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hidePivotFieldList="1" defaultThemeVersion="166925"/>
  <mc:AlternateContent xmlns:mc="http://schemas.openxmlformats.org/markup-compatibility/2006">
    <mc:Choice Requires="x15">
      <x15ac:absPath xmlns:x15ac="http://schemas.microsoft.com/office/spreadsheetml/2010/11/ac" url="https://d.docs.live.net/d46a542e399632b1/01. Projects/1. Carbon studies/5. ABC PoA/4. Uganda/1. MPI CPII/56/"/>
    </mc:Choice>
  </mc:AlternateContent>
  <xr:revisionPtr revIDLastSave="8" documentId="8_{C8F08F65-F13E-4337-BE6B-AC45E4D1DEA3}" xr6:coauthVersionLast="47" xr6:coauthVersionMax="47" xr10:uidLastSave="{10F08B8C-C938-4248-846E-5DACAFDCC315}"/>
  <bookViews>
    <workbookView xWindow="-120" yWindow="-120" windowWidth="38640" windowHeight="23520" activeTab="11" xr2:uid="{2700D5A1-43BD-4BF4-BF79-D2F214E7E85C}"/>
  </bookViews>
  <sheets>
    <sheet name="units" sheetId="23" r:id="rId1"/>
    <sheet name="MPI DB final" sheetId="18" r:id="rId2"/>
    <sheet name="sample size" sheetId="24" r:id="rId3"/>
    <sheet name="BGTA 6" sheetId="16" r:id="rId4"/>
    <sheet name="AWMS" sheetId="3" r:id="rId5"/>
    <sheet name="VS" sheetId="9" r:id="rId6"/>
    <sheet name="SMS p1" sheetId="27" r:id="rId7"/>
    <sheet name="SMS p2" sheetId="30" r:id="rId8"/>
    <sheet name="PFT24" sheetId="32" r:id="rId9"/>
    <sheet name="BE" sheetId="2" r:id="rId10"/>
    <sheet name="PE_LE" sheetId="4" r:id="rId11"/>
    <sheet name="SDG outcome" sheetId="22" r:id="rId12"/>
    <sheet name="thermal capacity" sheetId="17" r:id="rId13"/>
  </sheets>
  <externalReferences>
    <externalReference r:id="rId14"/>
    <externalReference r:id="rId15"/>
  </externalReferences>
  <definedNames>
    <definedName name="_xlnm._FilterDatabase" localSheetId="1" hidden="1">'MPI DB final'!$A$1:$S$9353</definedName>
    <definedName name="_ftnref2" localSheetId="12">'thermal capacity'!$C$4</definedName>
    <definedName name="CM">#REF!</definedName>
    <definedName name="CS">#REF!</definedName>
    <definedName name="D">PE_LE!$E$6</definedName>
    <definedName name="FNRB">BE!$E$84</definedName>
    <definedName name="GWPch4">BE!$E$4</definedName>
    <definedName name="n">'BGTA 6'!$C$1</definedName>
    <definedName name="Sample_size">BE!#REF!</definedName>
    <definedName name="seasonal">#REF!</definedName>
    <definedName name="SRE">#REF!</definedName>
    <definedName name="SRE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59" i="22" l="1"/>
  <c r="S158" i="22"/>
  <c r="S154" i="22"/>
  <c r="Q151" i="22"/>
  <c r="Q157" i="22"/>
  <c r="S155" i="22" l="1"/>
  <c r="P146" i="22"/>
  <c r="R149" i="22"/>
  <c r="R153" i="22"/>
  <c r="R152" i="22"/>
  <c r="R151" i="22"/>
  <c r="R150" i="22"/>
  <c r="F44" i="22"/>
  <c r="F45" i="22"/>
  <c r="F43" i="22"/>
  <c r="G166" i="22"/>
  <c r="G167" i="22"/>
  <c r="G165" i="22"/>
  <c r="C164" i="22"/>
  <c r="Q161" i="22"/>
  <c r="R160" i="22"/>
  <c r="R159" i="22"/>
  <c r="R158" i="22"/>
  <c r="R157" i="22"/>
  <c r="R155" i="22"/>
  <c r="R154" i="22"/>
  <c r="S152" i="22"/>
  <c r="S153" i="22" s="1"/>
  <c r="N146" i="22"/>
  <c r="S150" i="22"/>
  <c r="P154" i="22"/>
  <c r="D126" i="22" l="1"/>
  <c r="D127" i="22" s="1"/>
  <c r="D147" i="22"/>
  <c r="N147" i="22"/>
  <c r="E128" i="22"/>
  <c r="E129" i="22"/>
  <c r="E130" i="22"/>
  <c r="E131" i="22"/>
  <c r="E133" i="22"/>
  <c r="E134" i="22"/>
  <c r="E135" i="22"/>
  <c r="E136" i="22"/>
  <c r="C127" i="22"/>
  <c r="S156" i="22" l="1"/>
  <c r="S157" i="22" s="1"/>
  <c r="K154" i="22"/>
  <c r="O154" i="22" s="1"/>
  <c r="J154" i="22"/>
  <c r="N154" i="22" s="1"/>
  <c r="L154" i="22"/>
  <c r="L147" i="22"/>
  <c r="P147" i="22" s="1"/>
  <c r="G158" i="22"/>
  <c r="L158" i="22" s="1"/>
  <c r="E158" i="22"/>
  <c r="K158" i="22" s="1"/>
  <c r="O158" i="22" s="1"/>
  <c r="D158" i="22"/>
  <c r="J158" i="22" s="1"/>
  <c r="N158" i="22" s="1"/>
  <c r="G159" i="22"/>
  <c r="L159" i="22" s="1"/>
  <c r="E159" i="22"/>
  <c r="K159" i="22" s="1"/>
  <c r="O159" i="22" s="1"/>
  <c r="D159" i="22"/>
  <c r="J159" i="22" s="1"/>
  <c r="N159" i="22" s="1"/>
  <c r="U9366" i="18"/>
  <c r="U9365" i="18"/>
  <c r="T9366" i="18" a="1"/>
  <c r="T9366" i="18" s="1"/>
  <c r="T9365" i="18" a="1"/>
  <c r="T9365" i="18" s="1"/>
  <c r="S9365" i="18" a="1"/>
  <c r="S9365" i="18" s="1"/>
  <c r="S9366" i="18" a="1"/>
  <c r="S9366" i="18" s="1"/>
  <c r="H152" i="22"/>
  <c r="H153" i="22" s="1"/>
  <c r="H154" i="22" s="1"/>
  <c r="H155" i="22" s="1"/>
  <c r="H156" i="22" s="1"/>
  <c r="H157" i="22" s="1"/>
  <c r="B149" i="22"/>
  <c r="C149" i="22"/>
  <c r="C150" i="22"/>
  <c r="B151" i="22"/>
  <c r="C151" i="22"/>
  <c r="C152" i="22"/>
  <c r="B153" i="22"/>
  <c r="C153" i="22"/>
  <c r="B154" i="22"/>
  <c r="C154" i="22"/>
  <c r="B155" i="22"/>
  <c r="C155" i="22"/>
  <c r="B156" i="22"/>
  <c r="C156" i="22"/>
  <c r="C157" i="22"/>
  <c r="B158" i="22"/>
  <c r="C158" i="22"/>
  <c r="B159" i="22"/>
  <c r="C159" i="22"/>
  <c r="B160" i="22"/>
  <c r="C160" i="22"/>
  <c r="B161" i="22"/>
  <c r="C161" i="22"/>
  <c r="C148" i="22"/>
  <c r="B148" i="22"/>
  <c r="C147" i="22"/>
  <c r="H115" i="22"/>
  <c r="E115" i="22"/>
  <c r="E6" i="16"/>
  <c r="E7" i="16"/>
  <c r="E8" i="16"/>
  <c r="E9" i="16"/>
  <c r="E10" i="16"/>
  <c r="E11" i="16"/>
  <c r="E5" i="16"/>
  <c r="M84" i="2"/>
  <c r="M78" i="4" s="1"/>
  <c r="I78" i="3"/>
  <c r="J72" i="3"/>
  <c r="G68" i="22"/>
  <c r="I136" i="22" s="1"/>
  <c r="I127" i="22"/>
  <c r="I128" i="22"/>
  <c r="I129" i="22"/>
  <c r="I130" i="22"/>
  <c r="I131" i="22"/>
  <c r="I132" i="22"/>
  <c r="I135" i="22"/>
  <c r="B118" i="22"/>
  <c r="C118" i="22"/>
  <c r="D118" i="22"/>
  <c r="E118" i="22"/>
  <c r="F118" i="22"/>
  <c r="C119" i="22"/>
  <c r="B120" i="22"/>
  <c r="F120" i="22"/>
  <c r="C117" i="22"/>
  <c r="D117" i="22"/>
  <c r="E117" i="22"/>
  <c r="F117" i="22"/>
  <c r="B117" i="22"/>
  <c r="EZ287" i="30"/>
  <c r="EZ288" i="30"/>
  <c r="EZ289" i="30"/>
  <c r="EZ290" i="30"/>
  <c r="EZ291" i="30"/>
  <c r="EZ292" i="30"/>
  <c r="EZ293" i="30"/>
  <c r="EZ286" i="30"/>
  <c r="AA274" i="30"/>
  <c r="AB274" i="30" s="1"/>
  <c r="AA275" i="30"/>
  <c r="AB275" i="30" s="1"/>
  <c r="AA276" i="30"/>
  <c r="AB276" i="30" s="1"/>
  <c r="AA277" i="30"/>
  <c r="AB277" i="30" s="1"/>
  <c r="AA278" i="30"/>
  <c r="AB278" i="30" s="1"/>
  <c r="AA279" i="30"/>
  <c r="AB279" i="30" s="1"/>
  <c r="AA280" i="30"/>
  <c r="AB280" i="30" s="1"/>
  <c r="AA281" i="30"/>
  <c r="AB281" i="30" s="1"/>
  <c r="AA282" i="30"/>
  <c r="AB282" i="30" s="1"/>
  <c r="AA283" i="30"/>
  <c r="AB283" i="30" s="1"/>
  <c r="AA284" i="30"/>
  <c r="AB284" i="30" s="1"/>
  <c r="AA285" i="30"/>
  <c r="AB285" i="30" s="1"/>
  <c r="BU274" i="30" a="1"/>
  <c r="BU274" i="30"/>
  <c r="BU275" i="30" a="1"/>
  <c r="BU275" i="30"/>
  <c r="BU276" i="30" a="1"/>
  <c r="BU276" i="30"/>
  <c r="BU277" i="30" a="1"/>
  <c r="BU277" i="30"/>
  <c r="BU278" i="30" a="1"/>
  <c r="BU278" i="30"/>
  <c r="BU279" i="30" a="1"/>
  <c r="BU279" i="30"/>
  <c r="BU280" i="30" a="1"/>
  <c r="BU280" i="30"/>
  <c r="BU281" i="30" a="1"/>
  <c r="BU281" i="30"/>
  <c r="BU282" i="30" a="1"/>
  <c r="BU282" i="30"/>
  <c r="BU283" i="30" a="1"/>
  <c r="BU283" i="30"/>
  <c r="BU284" i="30" a="1"/>
  <c r="BU284" i="30"/>
  <c r="BU285" i="30" a="1"/>
  <c r="BU285" i="30"/>
  <c r="BV274" i="30"/>
  <c r="BV275" i="30"/>
  <c r="BV276" i="30"/>
  <c r="BV277" i="30"/>
  <c r="BV278" i="30"/>
  <c r="BV279" i="30"/>
  <c r="BV280" i="30"/>
  <c r="BV281" i="30"/>
  <c r="BV282" i="30"/>
  <c r="BV283" i="30"/>
  <c r="BV284" i="30"/>
  <c r="BV285" i="30"/>
  <c r="CR274" i="30"/>
  <c r="CR275" i="30"/>
  <c r="CR276" i="30"/>
  <c r="CR277" i="30"/>
  <c r="CR278" i="30"/>
  <c r="CR279" i="30"/>
  <c r="CR280" i="30"/>
  <c r="CR281" i="30"/>
  <c r="CR282" i="30"/>
  <c r="CR283" i="30"/>
  <c r="CR284" i="30"/>
  <c r="CR285" i="30"/>
  <c r="EZ89" i="30"/>
  <c r="EZ74" i="30"/>
  <c r="EZ84" i="30"/>
  <c r="EZ46" i="30"/>
  <c r="EZ41" i="30"/>
  <c r="EZ87" i="30"/>
  <c r="EZ85" i="30"/>
  <c r="EZ92" i="30"/>
  <c r="EZ60" i="30"/>
  <c r="EZ25" i="30"/>
  <c r="EZ59" i="30"/>
  <c r="EZ79" i="30"/>
  <c r="EZ56" i="30"/>
  <c r="EZ75" i="30"/>
  <c r="EZ63" i="30"/>
  <c r="EZ100" i="30"/>
  <c r="EZ113" i="30"/>
  <c r="EZ110" i="30"/>
  <c r="EZ55" i="30"/>
  <c r="EZ88" i="30"/>
  <c r="EZ39" i="30"/>
  <c r="EZ27" i="30"/>
  <c r="EZ47" i="30"/>
  <c r="EZ101" i="30"/>
  <c r="EZ40" i="30"/>
  <c r="EZ18" i="30"/>
  <c r="EZ36" i="30"/>
  <c r="EZ48" i="30"/>
  <c r="EZ64" i="30"/>
  <c r="EZ49" i="30"/>
  <c r="EZ65" i="30"/>
  <c r="EZ66" i="30"/>
  <c r="EZ45" i="30"/>
  <c r="EZ26" i="30"/>
  <c r="EZ37" i="30"/>
  <c r="EZ67" i="30"/>
  <c r="EZ17" i="30"/>
  <c r="EZ61" i="30"/>
  <c r="EZ38" i="30"/>
  <c r="EZ51" i="30"/>
  <c r="EZ80" i="30"/>
  <c r="EZ98" i="30"/>
  <c r="EZ53" i="30"/>
  <c r="EZ76" i="30"/>
  <c r="EZ90" i="30"/>
  <c r="EZ108" i="30"/>
  <c r="EZ50" i="30"/>
  <c r="EZ107" i="30"/>
  <c r="EZ93" i="30"/>
  <c r="EZ73" i="30"/>
  <c r="EZ68" i="30"/>
  <c r="EZ69" i="30"/>
  <c r="EZ33" i="30"/>
  <c r="EZ70" i="30"/>
  <c r="EZ28" i="30"/>
  <c r="EZ71" i="30"/>
  <c r="EZ42" i="30"/>
  <c r="EZ83" i="30"/>
  <c r="EZ32" i="30"/>
  <c r="EZ81" i="30"/>
  <c r="EZ82" i="30"/>
  <c r="EZ94" i="30"/>
  <c r="EZ19" i="30"/>
  <c r="EZ29" i="30"/>
  <c r="EZ30" i="30"/>
  <c r="EZ21" i="30"/>
  <c r="EZ23" i="30"/>
  <c r="EZ22" i="30"/>
  <c r="EZ16" i="30"/>
  <c r="EZ24" i="30"/>
  <c r="EZ72" i="30"/>
  <c r="EZ34" i="30"/>
  <c r="EZ97" i="30"/>
  <c r="EZ106" i="30"/>
  <c r="EZ99" i="30"/>
  <c r="EZ35" i="30"/>
  <c r="EZ91" i="30"/>
  <c r="EZ54" i="30"/>
  <c r="EZ77" i="30"/>
  <c r="EZ52" i="30"/>
  <c r="EZ58" i="30"/>
  <c r="EZ31" i="30"/>
  <c r="EZ86" i="30"/>
  <c r="EZ20" i="30"/>
  <c r="EZ112" i="30"/>
  <c r="EZ111" i="30"/>
  <c r="EZ44" i="30"/>
  <c r="EZ78" i="30"/>
  <c r="EZ57" i="30"/>
  <c r="EZ62" i="30"/>
  <c r="EZ102" i="30"/>
  <c r="EZ103" i="30"/>
  <c r="EZ109" i="30"/>
  <c r="EZ104" i="30"/>
  <c r="EZ95" i="30"/>
  <c r="EZ96" i="30"/>
  <c r="EZ105" i="30"/>
  <c r="EZ43" i="30"/>
  <c r="D93" i="22" s="1"/>
  <c r="FN80" i="27"/>
  <c r="FN81" i="27"/>
  <c r="FN85" i="27"/>
  <c r="FN86" i="27"/>
  <c r="FN89" i="27"/>
  <c r="FN92" i="27"/>
  <c r="FN93" i="27"/>
  <c r="FN95" i="27"/>
  <c r="FN98" i="27"/>
  <c r="FN99" i="27"/>
  <c r="FN102" i="27"/>
  <c r="FN103" i="27"/>
  <c r="FN104" i="27"/>
  <c r="FN105" i="27"/>
  <c r="FN106" i="27"/>
  <c r="FN107" i="27"/>
  <c r="FN108" i="27"/>
  <c r="FN109" i="27"/>
  <c r="FN110" i="27"/>
  <c r="FN112" i="27"/>
  <c r="FN113" i="27"/>
  <c r="FN115" i="27"/>
  <c r="FN116" i="27"/>
  <c r="FN118" i="27"/>
  <c r="FN121" i="27"/>
  <c r="FN122" i="27"/>
  <c r="FN124" i="27"/>
  <c r="FN125" i="27"/>
  <c r="FN126" i="27"/>
  <c r="FN128" i="27"/>
  <c r="FN129" i="27"/>
  <c r="FN130" i="27"/>
  <c r="FN131" i="27"/>
  <c r="FN134" i="27"/>
  <c r="FN135" i="27"/>
  <c r="FN136" i="27"/>
  <c r="FN138" i="27"/>
  <c r="FN139" i="27"/>
  <c r="FN140" i="27"/>
  <c r="FN141" i="27"/>
  <c r="FN142" i="27"/>
  <c r="FN143" i="27"/>
  <c r="FN144" i="27"/>
  <c r="FN145" i="27"/>
  <c r="FN146" i="27"/>
  <c r="FN147" i="27"/>
  <c r="FN148" i="27"/>
  <c r="FN149" i="27"/>
  <c r="FN150" i="27"/>
  <c r="FN151" i="27"/>
  <c r="FN152" i="27"/>
  <c r="FN153" i="27"/>
  <c r="FN154" i="27"/>
  <c r="FN155" i="27"/>
  <c r="FN156" i="27"/>
  <c r="FN157" i="27"/>
  <c r="FN158" i="27"/>
  <c r="FN159" i="27"/>
  <c r="FN160" i="27"/>
  <c r="FN161" i="27"/>
  <c r="FN162" i="27"/>
  <c r="FN163" i="27"/>
  <c r="FN166" i="27"/>
  <c r="FN167" i="27"/>
  <c r="FN168" i="27"/>
  <c r="FN169" i="27"/>
  <c r="FN170" i="27"/>
  <c r="FN172" i="27"/>
  <c r="FN174" i="27"/>
  <c r="FN175" i="27"/>
  <c r="FN176" i="27"/>
  <c r="FN177" i="27"/>
  <c r="FN182" i="27"/>
  <c r="FN183" i="27"/>
  <c r="FN184" i="27"/>
  <c r="FN186" i="27"/>
  <c r="FN187" i="27"/>
  <c r="FN78" i="27"/>
  <c r="D92" i="22"/>
  <c r="C92" i="22"/>
  <c r="D96" i="22"/>
  <c r="C96" i="22"/>
  <c r="D95" i="22"/>
  <c r="C95" i="22"/>
  <c r="D94" i="22"/>
  <c r="C94" i="22"/>
  <c r="D90" i="22"/>
  <c r="C90" i="22"/>
  <c r="O66" i="4"/>
  <c r="CO300" i="30"/>
  <c r="C97" i="3"/>
  <c r="C96" i="3"/>
  <c r="M77" i="2"/>
  <c r="S9360" i="18" a="1"/>
  <c r="S9360" i="18" s="1"/>
  <c r="R9360" i="18" a="1"/>
  <c r="R9360" i="18" s="1"/>
  <c r="G70" i="22"/>
  <c r="G65" i="22"/>
  <c r="J12" i="22"/>
  <c r="AA288" i="30"/>
  <c r="AA289" i="30"/>
  <c r="AA290" i="30"/>
  <c r="AA291" i="30"/>
  <c r="AA292" i="30"/>
  <c r="AA293" i="30"/>
  <c r="AB293" i="30" s="1"/>
  <c r="AA294" i="30"/>
  <c r="AA295" i="30"/>
  <c r="AA296" i="30"/>
  <c r="AA297" i="30"/>
  <c r="AA287" i="30"/>
  <c r="AA286" i="30"/>
  <c r="L128" i="4"/>
  <c r="N128" i="4"/>
  <c r="N125" i="4"/>
  <c r="O125" i="4"/>
  <c r="M127" i="4"/>
  <c r="N127" i="4"/>
  <c r="L126" i="4"/>
  <c r="L127" i="4"/>
  <c r="L125" i="4"/>
  <c r="X18" i="32"/>
  <c r="X17" i="32"/>
  <c r="X9" i="32"/>
  <c r="X15" i="32" s="1"/>
  <c r="J75" i="32"/>
  <c r="P64" i="32"/>
  <c r="I64" i="32"/>
  <c r="O64" i="32" s="1"/>
  <c r="H64" i="32"/>
  <c r="N64" i="32" s="1"/>
  <c r="G64" i="32"/>
  <c r="F64" i="32"/>
  <c r="C64" i="32"/>
  <c r="B64" i="32"/>
  <c r="P63" i="32"/>
  <c r="I63" i="32"/>
  <c r="O63" i="32" s="1"/>
  <c r="H63" i="32"/>
  <c r="N63" i="32" s="1"/>
  <c r="G63" i="32"/>
  <c r="F63" i="32"/>
  <c r="C63" i="32"/>
  <c r="B63" i="32"/>
  <c r="P62" i="32"/>
  <c r="I62" i="32"/>
  <c r="O62" i="32" s="1"/>
  <c r="H62" i="32"/>
  <c r="N62" i="32" s="1"/>
  <c r="G62" i="32"/>
  <c r="F62" i="32"/>
  <c r="C62" i="32"/>
  <c r="B62" i="32"/>
  <c r="P61" i="32"/>
  <c r="I61" i="32"/>
  <c r="O61" i="32" s="1"/>
  <c r="H61" i="32"/>
  <c r="N61" i="32" s="1"/>
  <c r="G61" i="32"/>
  <c r="F61" i="32"/>
  <c r="C61" i="32"/>
  <c r="B61" i="32"/>
  <c r="P60" i="32"/>
  <c r="I60" i="32"/>
  <c r="O60" i="32" s="1"/>
  <c r="H60" i="32"/>
  <c r="N60" i="32" s="1"/>
  <c r="G60" i="32"/>
  <c r="F60" i="32"/>
  <c r="C60" i="32"/>
  <c r="B60" i="32"/>
  <c r="P59" i="32"/>
  <c r="I59" i="32"/>
  <c r="O59" i="32" s="1"/>
  <c r="H59" i="32"/>
  <c r="N59" i="32" s="1"/>
  <c r="G59" i="32"/>
  <c r="F59" i="32"/>
  <c r="C59" i="32"/>
  <c r="B59" i="32"/>
  <c r="P58" i="32"/>
  <c r="I58" i="32"/>
  <c r="O58" i="32" s="1"/>
  <c r="H58" i="32"/>
  <c r="N58" i="32" s="1"/>
  <c r="G58" i="32"/>
  <c r="F58" i="32"/>
  <c r="C58" i="32"/>
  <c r="B58" i="32"/>
  <c r="P57" i="32"/>
  <c r="I57" i="32"/>
  <c r="O57" i="32" s="1"/>
  <c r="H57" i="32"/>
  <c r="N57" i="32" s="1"/>
  <c r="G57" i="32"/>
  <c r="F57" i="32"/>
  <c r="C57" i="32"/>
  <c r="B57" i="32"/>
  <c r="P56" i="32"/>
  <c r="I56" i="32"/>
  <c r="O56" i="32" s="1"/>
  <c r="H56" i="32"/>
  <c r="N56" i="32" s="1"/>
  <c r="G56" i="32"/>
  <c r="F56" i="32"/>
  <c r="C56" i="32"/>
  <c r="B56" i="32"/>
  <c r="P81" i="32"/>
  <c r="I81" i="32"/>
  <c r="O81" i="32" s="1"/>
  <c r="H81" i="32"/>
  <c r="N81" i="32" s="1"/>
  <c r="G81" i="32"/>
  <c r="F81" i="32"/>
  <c r="C81" i="32"/>
  <c r="B81" i="32"/>
  <c r="P54" i="32"/>
  <c r="I54" i="32"/>
  <c r="O54" i="32" s="1"/>
  <c r="H54" i="32"/>
  <c r="N54" i="32" s="1"/>
  <c r="G54" i="32"/>
  <c r="F54" i="32"/>
  <c r="C54" i="32"/>
  <c r="B54" i="32"/>
  <c r="P53" i="32"/>
  <c r="I53" i="32"/>
  <c r="O53" i="32" s="1"/>
  <c r="H53" i="32"/>
  <c r="N53" i="32" s="1"/>
  <c r="G53" i="32"/>
  <c r="F53" i="32"/>
  <c r="C53" i="32"/>
  <c r="B53" i="32"/>
  <c r="P52" i="32"/>
  <c r="I52" i="32"/>
  <c r="O52" i="32" s="1"/>
  <c r="H52" i="32"/>
  <c r="N52" i="32" s="1"/>
  <c r="G52" i="32"/>
  <c r="F52" i="32"/>
  <c r="C52" i="32"/>
  <c r="B52" i="32"/>
  <c r="P51" i="32"/>
  <c r="I51" i="32"/>
  <c r="O51" i="32" s="1"/>
  <c r="H51" i="32"/>
  <c r="N51" i="32" s="1"/>
  <c r="G51" i="32"/>
  <c r="F51" i="32"/>
  <c r="C51" i="32"/>
  <c r="B51" i="32"/>
  <c r="P50" i="32"/>
  <c r="I50" i="32"/>
  <c r="O50" i="32" s="1"/>
  <c r="H50" i="32"/>
  <c r="N50" i="32" s="1"/>
  <c r="G50" i="32"/>
  <c r="F50" i="32"/>
  <c r="C50" i="32"/>
  <c r="B50" i="32"/>
  <c r="P49" i="32"/>
  <c r="I49" i="32"/>
  <c r="O49" i="32" s="1"/>
  <c r="H49" i="32"/>
  <c r="N49" i="32" s="1"/>
  <c r="G49" i="32"/>
  <c r="F49" i="32"/>
  <c r="C49" i="32"/>
  <c r="B49" i="32"/>
  <c r="P48" i="32"/>
  <c r="I48" i="32"/>
  <c r="O48" i="32" s="1"/>
  <c r="H48" i="32"/>
  <c r="N48" i="32" s="1"/>
  <c r="G48" i="32"/>
  <c r="F48" i="32"/>
  <c r="C48" i="32"/>
  <c r="B48" i="32"/>
  <c r="P47" i="32"/>
  <c r="I47" i="32"/>
  <c r="O47" i="32" s="1"/>
  <c r="H47" i="32"/>
  <c r="N47" i="32" s="1"/>
  <c r="G47" i="32"/>
  <c r="F47" i="32"/>
  <c r="C47" i="32"/>
  <c r="B47" i="32"/>
  <c r="P46" i="32"/>
  <c r="I46" i="32"/>
  <c r="O46" i="32" s="1"/>
  <c r="H46" i="32"/>
  <c r="N46" i="32" s="1"/>
  <c r="G46" i="32"/>
  <c r="F46" i="32"/>
  <c r="C46" i="32"/>
  <c r="B46" i="32"/>
  <c r="P45" i="32"/>
  <c r="I45" i="32"/>
  <c r="O45" i="32" s="1"/>
  <c r="H45" i="32"/>
  <c r="N45" i="32" s="1"/>
  <c r="G45" i="32"/>
  <c r="F45" i="32"/>
  <c r="C45" i="32"/>
  <c r="B45" i="32"/>
  <c r="P44" i="32"/>
  <c r="I44" i="32"/>
  <c r="O44" i="32" s="1"/>
  <c r="H44" i="32"/>
  <c r="N44" i="32" s="1"/>
  <c r="G44" i="32"/>
  <c r="F44" i="32"/>
  <c r="C44" i="32"/>
  <c r="B44" i="32"/>
  <c r="P43" i="32"/>
  <c r="I43" i="32"/>
  <c r="O43" i="32" s="1"/>
  <c r="H43" i="32"/>
  <c r="N43" i="32" s="1"/>
  <c r="G43" i="32"/>
  <c r="F43" i="32"/>
  <c r="C43" i="32"/>
  <c r="B43" i="32"/>
  <c r="P42" i="32"/>
  <c r="I42" i="32"/>
  <c r="O42" i="32" s="1"/>
  <c r="H42" i="32"/>
  <c r="N42" i="32" s="1"/>
  <c r="G42" i="32"/>
  <c r="F42" i="32"/>
  <c r="C42" i="32"/>
  <c r="B42" i="32"/>
  <c r="P41" i="32"/>
  <c r="I41" i="32"/>
  <c r="O41" i="32" s="1"/>
  <c r="H41" i="32"/>
  <c r="N41" i="32" s="1"/>
  <c r="G41" i="32"/>
  <c r="F41" i="32"/>
  <c r="C41" i="32"/>
  <c r="B41" i="32"/>
  <c r="V40" i="32"/>
  <c r="P40" i="32"/>
  <c r="I40" i="32"/>
  <c r="O40" i="32" s="1"/>
  <c r="H40" i="32"/>
  <c r="N40" i="32" s="1"/>
  <c r="G40" i="32"/>
  <c r="F40" i="32"/>
  <c r="C40" i="32"/>
  <c r="B40" i="32"/>
  <c r="P39" i="32"/>
  <c r="I39" i="32"/>
  <c r="O39" i="32" s="1"/>
  <c r="H39" i="32"/>
  <c r="N39" i="32" s="1"/>
  <c r="G39" i="32"/>
  <c r="F39" i="32"/>
  <c r="C39" i="32"/>
  <c r="B39" i="32"/>
  <c r="P38" i="32"/>
  <c r="I38" i="32"/>
  <c r="O38" i="32" s="1"/>
  <c r="H38" i="32"/>
  <c r="N38" i="32" s="1"/>
  <c r="G38" i="32"/>
  <c r="F38" i="32"/>
  <c r="C38" i="32"/>
  <c r="B38" i="32"/>
  <c r="P37" i="32"/>
  <c r="I37" i="32"/>
  <c r="O37" i="32" s="1"/>
  <c r="H37" i="32"/>
  <c r="N37" i="32" s="1"/>
  <c r="G37" i="32"/>
  <c r="F37" i="32"/>
  <c r="C37" i="32"/>
  <c r="B37" i="32"/>
  <c r="P36" i="32"/>
  <c r="I36" i="32"/>
  <c r="O36" i="32" s="1"/>
  <c r="H36" i="32"/>
  <c r="N36" i="32" s="1"/>
  <c r="G36" i="32"/>
  <c r="F36" i="32"/>
  <c r="C36" i="32"/>
  <c r="B36" i="32"/>
  <c r="P35" i="32"/>
  <c r="I35" i="32"/>
  <c r="O35" i="32" s="1"/>
  <c r="H35" i="32"/>
  <c r="N35" i="32" s="1"/>
  <c r="G35" i="32"/>
  <c r="F35" i="32"/>
  <c r="C35" i="32"/>
  <c r="B35" i="32"/>
  <c r="P34" i="32"/>
  <c r="I34" i="32"/>
  <c r="O34" i="32" s="1"/>
  <c r="H34" i="32"/>
  <c r="N34" i="32" s="1"/>
  <c r="G34" i="32"/>
  <c r="F34" i="32"/>
  <c r="C34" i="32"/>
  <c r="B34" i="32"/>
  <c r="P33" i="32"/>
  <c r="I33" i="32"/>
  <c r="O33" i="32" s="1"/>
  <c r="H33" i="32"/>
  <c r="N33" i="32" s="1"/>
  <c r="G33" i="32"/>
  <c r="F33" i="32"/>
  <c r="C33" i="32"/>
  <c r="B33" i="32"/>
  <c r="P32" i="32"/>
  <c r="I32" i="32"/>
  <c r="O32" i="32" s="1"/>
  <c r="H32" i="32"/>
  <c r="N32" i="32" s="1"/>
  <c r="G32" i="32"/>
  <c r="F32" i="32"/>
  <c r="C32" i="32"/>
  <c r="B32" i="32"/>
  <c r="P31" i="32"/>
  <c r="I31" i="32"/>
  <c r="O31" i="32" s="1"/>
  <c r="H31" i="32"/>
  <c r="N31" i="32" s="1"/>
  <c r="G31" i="32"/>
  <c r="F31" i="32"/>
  <c r="C31" i="32"/>
  <c r="B31" i="32"/>
  <c r="P30" i="32"/>
  <c r="I30" i="32"/>
  <c r="O30" i="32" s="1"/>
  <c r="H30" i="32"/>
  <c r="N30" i="32" s="1"/>
  <c r="G30" i="32"/>
  <c r="F30" i="32"/>
  <c r="C30" i="32"/>
  <c r="B30" i="32"/>
  <c r="P29" i="32"/>
  <c r="I29" i="32"/>
  <c r="O29" i="32" s="1"/>
  <c r="H29" i="32"/>
  <c r="N29" i="32" s="1"/>
  <c r="G29" i="32"/>
  <c r="F29" i="32"/>
  <c r="C29" i="32"/>
  <c r="B29" i="32"/>
  <c r="P28" i="32"/>
  <c r="I28" i="32"/>
  <c r="O28" i="32" s="1"/>
  <c r="H28" i="32"/>
  <c r="N28" i="32" s="1"/>
  <c r="G28" i="32"/>
  <c r="F28" i="32"/>
  <c r="C28" i="32"/>
  <c r="B28" i="32"/>
  <c r="P27" i="32"/>
  <c r="I27" i="32"/>
  <c r="O27" i="32" s="1"/>
  <c r="H27" i="32"/>
  <c r="N27" i="32" s="1"/>
  <c r="G27" i="32"/>
  <c r="F27" i="32"/>
  <c r="C27" i="32"/>
  <c r="B27" i="32"/>
  <c r="P26" i="32"/>
  <c r="I26" i="32"/>
  <c r="O26" i="32" s="1"/>
  <c r="H26" i="32"/>
  <c r="N26" i="32" s="1"/>
  <c r="G26" i="32"/>
  <c r="F26" i="32"/>
  <c r="C26" i="32"/>
  <c r="B26" i="32"/>
  <c r="P25" i="32"/>
  <c r="I25" i="32"/>
  <c r="O25" i="32" s="1"/>
  <c r="H25" i="32"/>
  <c r="N25" i="32" s="1"/>
  <c r="G25" i="32"/>
  <c r="F25" i="32"/>
  <c r="C25" i="32"/>
  <c r="B25" i="32"/>
  <c r="P24" i="32"/>
  <c r="I24" i="32"/>
  <c r="O24" i="32" s="1"/>
  <c r="H24" i="32"/>
  <c r="N24" i="32" s="1"/>
  <c r="G24" i="32"/>
  <c r="F24" i="32"/>
  <c r="C24" i="32"/>
  <c r="B24" i="32"/>
  <c r="P23" i="32"/>
  <c r="I23" i="32"/>
  <c r="O23" i="32" s="1"/>
  <c r="H23" i="32"/>
  <c r="N23" i="32" s="1"/>
  <c r="G23" i="32"/>
  <c r="F23" i="32"/>
  <c r="C23" i="32"/>
  <c r="B23" i="32"/>
  <c r="P22" i="32"/>
  <c r="I22" i="32"/>
  <c r="O22" i="32" s="1"/>
  <c r="H22" i="32"/>
  <c r="N22" i="32" s="1"/>
  <c r="G22" i="32"/>
  <c r="F22" i="32"/>
  <c r="C22" i="32"/>
  <c r="B22" i="32"/>
  <c r="P21" i="32"/>
  <c r="I21" i="32"/>
  <c r="O21" i="32" s="1"/>
  <c r="H21" i="32"/>
  <c r="N21" i="32" s="1"/>
  <c r="G21" i="32"/>
  <c r="F21" i="32"/>
  <c r="C21" i="32"/>
  <c r="B21" i="32"/>
  <c r="P20" i="32"/>
  <c r="I20" i="32"/>
  <c r="O20" i="32" s="1"/>
  <c r="H20" i="32"/>
  <c r="N20" i="32" s="1"/>
  <c r="G20" i="32"/>
  <c r="F20" i="32"/>
  <c r="C20" i="32"/>
  <c r="B20" i="32"/>
  <c r="P19" i="32"/>
  <c r="I19" i="32"/>
  <c r="O19" i="32" s="1"/>
  <c r="H19" i="32"/>
  <c r="N19" i="32" s="1"/>
  <c r="G19" i="32"/>
  <c r="F19" i="32"/>
  <c r="C19" i="32"/>
  <c r="B19" i="32"/>
  <c r="P18" i="32"/>
  <c r="I18" i="32"/>
  <c r="O18" i="32" s="1"/>
  <c r="H18" i="32"/>
  <c r="N18" i="32" s="1"/>
  <c r="G18" i="32"/>
  <c r="F18" i="32"/>
  <c r="C18" i="32"/>
  <c r="B18" i="32"/>
  <c r="P17" i="32"/>
  <c r="I17" i="32"/>
  <c r="O17" i="32" s="1"/>
  <c r="H17" i="32"/>
  <c r="N17" i="32" s="1"/>
  <c r="G17" i="32"/>
  <c r="F17" i="32"/>
  <c r="C17" i="32"/>
  <c r="B17" i="32"/>
  <c r="P16" i="32"/>
  <c r="I16" i="32"/>
  <c r="O16" i="32" s="1"/>
  <c r="H16" i="32"/>
  <c r="N16" i="32" s="1"/>
  <c r="G16" i="32"/>
  <c r="F16" i="32"/>
  <c r="C16" i="32"/>
  <c r="B16" i="32"/>
  <c r="P15" i="32"/>
  <c r="I15" i="32"/>
  <c r="O15" i="32" s="1"/>
  <c r="H15" i="32"/>
  <c r="N15" i="32" s="1"/>
  <c r="G15" i="32"/>
  <c r="F15" i="32"/>
  <c r="C15" i="32"/>
  <c r="B15" i="32"/>
  <c r="P14" i="32"/>
  <c r="I14" i="32"/>
  <c r="O14" i="32" s="1"/>
  <c r="H14" i="32"/>
  <c r="N14" i="32" s="1"/>
  <c r="G14" i="32"/>
  <c r="F14" i="32"/>
  <c r="C14" i="32"/>
  <c r="B14" i="32"/>
  <c r="P13" i="32"/>
  <c r="I13" i="32"/>
  <c r="O13" i="32" s="1"/>
  <c r="H13" i="32"/>
  <c r="N13" i="32" s="1"/>
  <c r="G13" i="32"/>
  <c r="F13" i="32"/>
  <c r="C13" i="32"/>
  <c r="B13" i="32"/>
  <c r="P12" i="32"/>
  <c r="I12" i="32"/>
  <c r="O12" i="32" s="1"/>
  <c r="H12" i="32"/>
  <c r="N12" i="32" s="1"/>
  <c r="G12" i="32"/>
  <c r="F12" i="32"/>
  <c r="C12" i="32"/>
  <c r="B12" i="32"/>
  <c r="P11" i="32"/>
  <c r="I11" i="32"/>
  <c r="O11" i="32" s="1"/>
  <c r="H11" i="32"/>
  <c r="N11" i="32" s="1"/>
  <c r="G11" i="32"/>
  <c r="F11" i="32"/>
  <c r="C11" i="32"/>
  <c r="B11" i="32"/>
  <c r="P10" i="32"/>
  <c r="I10" i="32"/>
  <c r="O10" i="32" s="1"/>
  <c r="H10" i="32"/>
  <c r="N10" i="32" s="1"/>
  <c r="G10" i="32"/>
  <c r="F10" i="32"/>
  <c r="C10" i="32"/>
  <c r="B10" i="32"/>
  <c r="P9" i="32"/>
  <c r="I9" i="32"/>
  <c r="O9" i="32" s="1"/>
  <c r="H9" i="32"/>
  <c r="N9" i="32" s="1"/>
  <c r="G9" i="32"/>
  <c r="F9" i="32"/>
  <c r="C9" i="32"/>
  <c r="B9" i="32"/>
  <c r="P8" i="32"/>
  <c r="I8" i="32"/>
  <c r="H8" i="32"/>
  <c r="G8" i="32"/>
  <c r="F8" i="32"/>
  <c r="C8" i="32"/>
  <c r="B8" i="32"/>
  <c r="E78" i="22"/>
  <c r="E74" i="22" a="1"/>
  <c r="E74" i="22" s="1"/>
  <c r="E75" i="22" a="1"/>
  <c r="E75" i="22" s="1"/>
  <c r="E76" i="22" a="1"/>
  <c r="E76" i="22" s="1"/>
  <c r="E77" i="22" a="1"/>
  <c r="E77" i="22" s="1"/>
  <c r="E73" i="22" a="1"/>
  <c r="E73" i="22" s="1"/>
  <c r="C73" i="22" a="1"/>
  <c r="C73" i="22" s="1"/>
  <c r="O21" i="24"/>
  <c r="F21" i="24"/>
  <c r="D58" i="22"/>
  <c r="D59" i="22" s="1"/>
  <c r="C84" i="22"/>
  <c r="D85" i="22"/>
  <c r="D84" i="22"/>
  <c r="C85" i="22"/>
  <c r="M45" i="2"/>
  <c r="M51" i="4" s="1"/>
  <c r="M39" i="2"/>
  <c r="M44" i="4" s="1"/>
  <c r="M33" i="2"/>
  <c r="M37" i="4" s="1"/>
  <c r="M27" i="2"/>
  <c r="M30" i="4" s="1"/>
  <c r="M15" i="2"/>
  <c r="M16" i="4" s="1"/>
  <c r="M9" i="2"/>
  <c r="M9" i="4" s="1"/>
  <c r="O30" i="22"/>
  <c r="O31" i="22" s="1"/>
  <c r="O32" i="22" s="1"/>
  <c r="O33" i="22" s="1"/>
  <c r="O34" i="22" s="1"/>
  <c r="O35" i="22" s="1"/>
  <c r="O36" i="22" s="1"/>
  <c r="O37" i="22" s="1"/>
  <c r="M48" i="2"/>
  <c r="M54" i="4" s="1"/>
  <c r="M42" i="2"/>
  <c r="M47" i="4" s="1"/>
  <c r="M36" i="2"/>
  <c r="M40" i="4" s="1"/>
  <c r="M30" i="2"/>
  <c r="M33" i="4" s="1"/>
  <c r="M24" i="2"/>
  <c r="M26" i="4" s="1"/>
  <c r="M18" i="2"/>
  <c r="M19" i="4" s="1"/>
  <c r="M12" i="2"/>
  <c r="M12" i="4" s="1"/>
  <c r="J102" i="2"/>
  <c r="J101" i="2"/>
  <c r="J100" i="2"/>
  <c r="J99" i="2"/>
  <c r="J97" i="2"/>
  <c r="J96" i="2"/>
  <c r="M88" i="2"/>
  <c r="O84" i="2"/>
  <c r="N82" i="2"/>
  <c r="N80" i="2"/>
  <c r="M80" i="2"/>
  <c r="N77" i="2"/>
  <c r="O75" i="2"/>
  <c r="N75" i="2"/>
  <c r="O74" i="2"/>
  <c r="N74" i="2"/>
  <c r="O73" i="2"/>
  <c r="N73" i="2"/>
  <c r="O72" i="2"/>
  <c r="O77" i="2" s="1"/>
  <c r="M70" i="2"/>
  <c r="N67" i="2"/>
  <c r="L61" i="2"/>
  <c r="L60" i="2"/>
  <c r="N59" i="2"/>
  <c r="L59" i="2"/>
  <c r="O56" i="2"/>
  <c r="O51" i="2"/>
  <c r="O16" i="2"/>
  <c r="O22" i="2" s="1"/>
  <c r="O28" i="2" s="1"/>
  <c r="O34" i="2" s="1"/>
  <c r="O40" i="2" s="1"/>
  <c r="O46" i="2" s="1"/>
  <c r="O15" i="2"/>
  <c r="O27" i="2" s="1"/>
  <c r="O33" i="2" s="1"/>
  <c r="O39" i="2" s="1"/>
  <c r="O45" i="2" s="1"/>
  <c r="AA154" i="30"/>
  <c r="AB154" i="30" s="1"/>
  <c r="AA89" i="30"/>
  <c r="AB89" i="30" s="1"/>
  <c r="AA112" i="30"/>
  <c r="AB112" i="30" s="1"/>
  <c r="AA201" i="30"/>
  <c r="AB201" i="30" s="1"/>
  <c r="AA111" i="30"/>
  <c r="AB111" i="30" s="1"/>
  <c r="AA179" i="30"/>
  <c r="AB179" i="30" s="1"/>
  <c r="AA44" i="30"/>
  <c r="AB44" i="30" s="1"/>
  <c r="AA189" i="30"/>
  <c r="AB189" i="30" s="1"/>
  <c r="AA74" i="30"/>
  <c r="AB74" i="30" s="1"/>
  <c r="AA84" i="30"/>
  <c r="AB84" i="30" s="1"/>
  <c r="AA264" i="30"/>
  <c r="AB264" i="30" s="1"/>
  <c r="AA233" i="30"/>
  <c r="AB233" i="30" s="1"/>
  <c r="AA202" i="30"/>
  <c r="AB202" i="30" s="1"/>
  <c r="AA267" i="30"/>
  <c r="AB267" i="30" s="1"/>
  <c r="AA78" i="30"/>
  <c r="AB78" i="30" s="1"/>
  <c r="AA236" i="30"/>
  <c r="AB236" i="30" s="1"/>
  <c r="AA46" i="30"/>
  <c r="AB46" i="30" s="1"/>
  <c r="AA240" i="30"/>
  <c r="AB240" i="30" s="1"/>
  <c r="AA41" i="30"/>
  <c r="AB41" i="30" s="1"/>
  <c r="AA144" i="30"/>
  <c r="AB144" i="30" s="1"/>
  <c r="AA190" i="30"/>
  <c r="AB190" i="30" s="1"/>
  <c r="AA87" i="30"/>
  <c r="AB87" i="30" s="1"/>
  <c r="AA85" i="30"/>
  <c r="AB85" i="30" s="1"/>
  <c r="AA114" i="30"/>
  <c r="AB114" i="30" s="1"/>
  <c r="AA115" i="30"/>
  <c r="AB115" i="30" s="1"/>
  <c r="AA116" i="30"/>
  <c r="AB116" i="30" s="1"/>
  <c r="AA184" i="30"/>
  <c r="AB184" i="30" s="1"/>
  <c r="AA141" i="30"/>
  <c r="AB141" i="30" s="1"/>
  <c r="AA203" i="30"/>
  <c r="AB203" i="30" s="1"/>
  <c r="AA92" i="30"/>
  <c r="AB92" i="30" s="1"/>
  <c r="AA117" i="30"/>
  <c r="AB117" i="30" s="1"/>
  <c r="AA118" i="30"/>
  <c r="AB118" i="30" s="1"/>
  <c r="AA185" i="30"/>
  <c r="AB185" i="30" s="1"/>
  <c r="AA153" i="30"/>
  <c r="AB153" i="30" s="1"/>
  <c r="AA155" i="30"/>
  <c r="AB155" i="30" s="1"/>
  <c r="AA191" i="30"/>
  <c r="AB191" i="30" s="1"/>
  <c r="AA131" i="30"/>
  <c r="AB131" i="30" s="1"/>
  <c r="AA132" i="30"/>
  <c r="AB132" i="30" s="1"/>
  <c r="AA133" i="30"/>
  <c r="AB133" i="30" s="1"/>
  <c r="AA143" i="30"/>
  <c r="AB143" i="30" s="1"/>
  <c r="AA119" i="30"/>
  <c r="AB119" i="30" s="1"/>
  <c r="AA134" i="30"/>
  <c r="AB134" i="30" s="1"/>
  <c r="AA120" i="30"/>
  <c r="AB120" i="30" s="1"/>
  <c r="AA237" i="30"/>
  <c r="AB237" i="30" s="1"/>
  <c r="AA204" i="30"/>
  <c r="AB204" i="30" s="1"/>
  <c r="AA205" i="30"/>
  <c r="AB205" i="30" s="1"/>
  <c r="AA57" i="30"/>
  <c r="AB57" i="30" s="1"/>
  <c r="AA246" i="30"/>
  <c r="AB246" i="30" s="1"/>
  <c r="AA258" i="30"/>
  <c r="AB258" i="30" s="1"/>
  <c r="AA62" i="30"/>
  <c r="AB62" i="30" s="1"/>
  <c r="AA206" i="30"/>
  <c r="AB206" i="30" s="1"/>
  <c r="AA207" i="30"/>
  <c r="AB207" i="30" s="1"/>
  <c r="AA60" i="30"/>
  <c r="AB60" i="30" s="1"/>
  <c r="AA208" i="30"/>
  <c r="AB208" i="30" s="1"/>
  <c r="AA25" i="30"/>
  <c r="AB25" i="30" s="1"/>
  <c r="AA59" i="30"/>
  <c r="AB59" i="30" s="1"/>
  <c r="AA209" i="30"/>
  <c r="AB209" i="30" s="1"/>
  <c r="AA79" i="30"/>
  <c r="AB79" i="30" s="1"/>
  <c r="AA273" i="30"/>
  <c r="AB273" i="30" s="1"/>
  <c r="AA210" i="30"/>
  <c r="AB210" i="30" s="1"/>
  <c r="AA56" i="30"/>
  <c r="AB56" i="30" s="1"/>
  <c r="AA180" i="30"/>
  <c r="AB180" i="30" s="1"/>
  <c r="AA211" i="30"/>
  <c r="AB211" i="30" s="1"/>
  <c r="AA75" i="30"/>
  <c r="AB75" i="30" s="1"/>
  <c r="AA63" i="30"/>
  <c r="AB63" i="30" s="1"/>
  <c r="AA100" i="30"/>
  <c r="AB100" i="30" s="1"/>
  <c r="AA113" i="30"/>
  <c r="AB113" i="30" s="1"/>
  <c r="AA121" i="30"/>
  <c r="AB121" i="30" s="1"/>
  <c r="AA181" i="30"/>
  <c r="AB181" i="30" s="1"/>
  <c r="AA105" i="30"/>
  <c r="AB105" i="30" s="1"/>
  <c r="AA122" i="30"/>
  <c r="AB122" i="30" s="1"/>
  <c r="AA110" i="30"/>
  <c r="AB110" i="30" s="1"/>
  <c r="AA135" i="30"/>
  <c r="AB135" i="30" s="1"/>
  <c r="AA55" i="30"/>
  <c r="AB55" i="30" s="1"/>
  <c r="AA88" i="30"/>
  <c r="AB88" i="30" s="1"/>
  <c r="AA156" i="30"/>
  <c r="AB156" i="30" s="1"/>
  <c r="AA259" i="30"/>
  <c r="AB259" i="30" s="1"/>
  <c r="AA182" i="30"/>
  <c r="AB182" i="30" s="1"/>
  <c r="AA39" i="30"/>
  <c r="AB39" i="30" s="1"/>
  <c r="AA256" i="30"/>
  <c r="AB256" i="30" s="1"/>
  <c r="AA27" i="30"/>
  <c r="AB27" i="30" s="1"/>
  <c r="AA149" i="30"/>
  <c r="AB149" i="30" s="1"/>
  <c r="AA47" i="30"/>
  <c r="AB47" i="30" s="1"/>
  <c r="AA251" i="30"/>
  <c r="AB251" i="30" s="1"/>
  <c r="AA212" i="30"/>
  <c r="AB212" i="30" s="1"/>
  <c r="AA213" i="30"/>
  <c r="AB213" i="30" s="1"/>
  <c r="AA151" i="30"/>
  <c r="AB151" i="30" s="1"/>
  <c r="AA214" i="30"/>
  <c r="AB214" i="30" s="1"/>
  <c r="AA215" i="30"/>
  <c r="AB215" i="30" s="1"/>
  <c r="AA157" i="30"/>
  <c r="AB157" i="30" s="1"/>
  <c r="AA199" i="30"/>
  <c r="AB199" i="30" s="1"/>
  <c r="AA242" i="30"/>
  <c r="AB242" i="30" s="1"/>
  <c r="AA101" i="30"/>
  <c r="AB101" i="30" s="1"/>
  <c r="AA216" i="30"/>
  <c r="AB216" i="30" s="1"/>
  <c r="AA40" i="30"/>
  <c r="AB40" i="30" s="1"/>
  <c r="AA235" i="30"/>
  <c r="AB235" i="30" s="1"/>
  <c r="AA158" i="30"/>
  <c r="AB158" i="30" s="1"/>
  <c r="AA140" i="30"/>
  <c r="AB140" i="30" s="1"/>
  <c r="AA272" i="30"/>
  <c r="AB272" i="30" s="1"/>
  <c r="AA159" i="30"/>
  <c r="AB159" i="30" s="1"/>
  <c r="AA245" i="30"/>
  <c r="AB245" i="30" s="1"/>
  <c r="AA18" i="30"/>
  <c r="AB18" i="30" s="1"/>
  <c r="AA186" i="30"/>
  <c r="AB186" i="30" s="1"/>
  <c r="AA160" i="30"/>
  <c r="AB160" i="30" s="1"/>
  <c r="AA145" i="30"/>
  <c r="AB145" i="30" s="1"/>
  <c r="AA36" i="30"/>
  <c r="AB36" i="30" s="1"/>
  <c r="AA48" i="30"/>
  <c r="AB48" i="30" s="1"/>
  <c r="AA64" i="30"/>
  <c r="AB64" i="30" s="1"/>
  <c r="AA161" i="30"/>
  <c r="AB161" i="30" s="1"/>
  <c r="AA192" i="30"/>
  <c r="AB192" i="30" s="1"/>
  <c r="AA49" i="30"/>
  <c r="AB49" i="30" s="1"/>
  <c r="AA65" i="30"/>
  <c r="AB65" i="30" s="1"/>
  <c r="AA146" i="30"/>
  <c r="AB146" i="30" s="1"/>
  <c r="AA66" i="30"/>
  <c r="AB66" i="30" s="1"/>
  <c r="AA270" i="30"/>
  <c r="AB270" i="30" s="1"/>
  <c r="AA162" i="30"/>
  <c r="AB162" i="30" s="1"/>
  <c r="AA253" i="30"/>
  <c r="AB253" i="30" s="1"/>
  <c r="AA269" i="30"/>
  <c r="AB269" i="30" s="1"/>
  <c r="AA217" i="30"/>
  <c r="AB217" i="30" s="1"/>
  <c r="AA45" i="30"/>
  <c r="AB45" i="30" s="1"/>
  <c r="AA26" i="30"/>
  <c r="AB26" i="30" s="1"/>
  <c r="AA37" i="30"/>
  <c r="AB37" i="30" s="1"/>
  <c r="AA67" i="30"/>
  <c r="AB67" i="30" s="1"/>
  <c r="AA263" i="30"/>
  <c r="AB263" i="30" s="1"/>
  <c r="AA163" i="30"/>
  <c r="AB163" i="30" s="1"/>
  <c r="AA265" i="30"/>
  <c r="AB265" i="30" s="1"/>
  <c r="AA147" i="30"/>
  <c r="AB147" i="30" s="1"/>
  <c r="AA218" i="30"/>
  <c r="AB218" i="30" s="1"/>
  <c r="AA17" i="30"/>
  <c r="AB17" i="30" s="1"/>
  <c r="AA148" i="30"/>
  <c r="AB148" i="30" s="1"/>
  <c r="AA241" i="30"/>
  <c r="AB241" i="30" s="1"/>
  <c r="AA61" i="30"/>
  <c r="AB61" i="30" s="1"/>
  <c r="AA14" i="30"/>
  <c r="AB14" i="30" s="1"/>
  <c r="AA38" i="30"/>
  <c r="AB38" i="30" s="1"/>
  <c r="AA51" i="30"/>
  <c r="AB51" i="30" s="1"/>
  <c r="AA80" i="30"/>
  <c r="AB80" i="30" s="1"/>
  <c r="AA239" i="30"/>
  <c r="AB239" i="30" s="1"/>
  <c r="AA136" i="30"/>
  <c r="AB136" i="30" s="1"/>
  <c r="AA102" i="30"/>
  <c r="AB102" i="30" s="1"/>
  <c r="AA103" i="30"/>
  <c r="AB103" i="30" s="1"/>
  <c r="AA266" i="30"/>
  <c r="AB266" i="30" s="1"/>
  <c r="AA260" i="30"/>
  <c r="AB260" i="30" s="1"/>
  <c r="AA98" i="30"/>
  <c r="AB98" i="30" s="1"/>
  <c r="AA53" i="30"/>
  <c r="AB53" i="30" s="1"/>
  <c r="AA76" i="30"/>
  <c r="AB76" i="30" s="1"/>
  <c r="AA164" i="30"/>
  <c r="AB164" i="30" s="1"/>
  <c r="AA219" i="30"/>
  <c r="AB219" i="30" s="1"/>
  <c r="AA90" i="30"/>
  <c r="AB90" i="30" s="1"/>
  <c r="AA165" i="30"/>
  <c r="AB165" i="30" s="1"/>
  <c r="AA109" i="30"/>
  <c r="AB109" i="30" s="1"/>
  <c r="AA220" i="30"/>
  <c r="AB220" i="30" s="1"/>
  <c r="AA249" i="30"/>
  <c r="AB249" i="30" s="1"/>
  <c r="AA142" i="30"/>
  <c r="AB142" i="30" s="1"/>
  <c r="AA123" i="30"/>
  <c r="AB123" i="30" s="1"/>
  <c r="AA271" i="30"/>
  <c r="AB271" i="30" s="1"/>
  <c r="AA248" i="30"/>
  <c r="AB248" i="30" s="1"/>
  <c r="AA124" i="30"/>
  <c r="AB124" i="30" s="1"/>
  <c r="AA137" i="30"/>
  <c r="AB137" i="30" s="1"/>
  <c r="AA125" i="30"/>
  <c r="AB125" i="30" s="1"/>
  <c r="AA126" i="30"/>
  <c r="AB126" i="30" s="1"/>
  <c r="AA221" i="30"/>
  <c r="AB221" i="30" s="1"/>
  <c r="AA166" i="30"/>
  <c r="AB166" i="30" s="1"/>
  <c r="AA104" i="30"/>
  <c r="AB104" i="30" s="1"/>
  <c r="AA138" i="30"/>
  <c r="AB138" i="30" s="1"/>
  <c r="AA127" i="30"/>
  <c r="AB127" i="30" s="1"/>
  <c r="AA232" i="30"/>
  <c r="AB232" i="30" s="1"/>
  <c r="AA234" i="30"/>
  <c r="AB234" i="30" s="1"/>
  <c r="AA167" i="30"/>
  <c r="AB167" i="30" s="1"/>
  <c r="AA222" i="30"/>
  <c r="AB222" i="30" s="1"/>
  <c r="AA108" i="30"/>
  <c r="AB108" i="30" s="1"/>
  <c r="AA168" i="30"/>
  <c r="AB168" i="30" s="1"/>
  <c r="AA50" i="30"/>
  <c r="AB50" i="30" s="1"/>
  <c r="AA107" i="30"/>
  <c r="AB107" i="30" s="1"/>
  <c r="AA93" i="30"/>
  <c r="AB93" i="30" s="1"/>
  <c r="AA231" i="30"/>
  <c r="AB231" i="30" s="1"/>
  <c r="AA139" i="30"/>
  <c r="AB139" i="30" s="1"/>
  <c r="AA193" i="30"/>
  <c r="AB193" i="30" s="1"/>
  <c r="AA73" i="30"/>
  <c r="AB73" i="30" s="1"/>
  <c r="AA169" i="30"/>
  <c r="AB169" i="30" s="1"/>
  <c r="AA170" i="30"/>
  <c r="AB170" i="30" s="1"/>
  <c r="AA68" i="30"/>
  <c r="AB68" i="30" s="1"/>
  <c r="AA69" i="30"/>
  <c r="AB69" i="30" s="1"/>
  <c r="AA194" i="30"/>
  <c r="AB194" i="30" s="1"/>
  <c r="AA230" i="30"/>
  <c r="AB230" i="30" s="1"/>
  <c r="AA244" i="30"/>
  <c r="AB244" i="30" s="1"/>
  <c r="AA255" i="30"/>
  <c r="AB255" i="30" s="1"/>
  <c r="AA33" i="30"/>
  <c r="AB33" i="30" s="1"/>
  <c r="AA70" i="30"/>
  <c r="AB70" i="30" s="1"/>
  <c r="AA28" i="30"/>
  <c r="AB28" i="30" s="1"/>
  <c r="AA71" i="30"/>
  <c r="AB71" i="30" s="1"/>
  <c r="AA223" i="30"/>
  <c r="AB223" i="30" s="1"/>
  <c r="AA171" i="30"/>
  <c r="AB171" i="30" s="1"/>
  <c r="AA42" i="30"/>
  <c r="AB42" i="30" s="1"/>
  <c r="AA83" i="30"/>
  <c r="AB83" i="30" s="1"/>
  <c r="AA243" i="30"/>
  <c r="AB243" i="30" s="1"/>
  <c r="AA32" i="30"/>
  <c r="AB32" i="30" s="1"/>
  <c r="AA95" i="30"/>
  <c r="AB95" i="30" s="1"/>
  <c r="AA81" i="30"/>
  <c r="AB81" i="30" s="1"/>
  <c r="AA96" i="30"/>
  <c r="AB96" i="30" s="1"/>
  <c r="AA82" i="30"/>
  <c r="AB82" i="30" s="1"/>
  <c r="AA94" i="30"/>
  <c r="AB94" i="30" s="1"/>
  <c r="AA252" i="30"/>
  <c r="AB252" i="30" s="1"/>
  <c r="AA224" i="30"/>
  <c r="AB224" i="30" s="1"/>
  <c r="AA183" i="30"/>
  <c r="AB183" i="30" s="1"/>
  <c r="AA13" i="30"/>
  <c r="AB13" i="30" s="1"/>
  <c r="AA19" i="30"/>
  <c r="AB19" i="30" s="1"/>
  <c r="AA172" i="30"/>
  <c r="AB172" i="30" s="1"/>
  <c r="AA15" i="30"/>
  <c r="AB15" i="30" s="1"/>
  <c r="AA29" i="30"/>
  <c r="AB29" i="30" s="1"/>
  <c r="AA247" i="30"/>
  <c r="AB247" i="30" s="1"/>
  <c r="AA173" i="30"/>
  <c r="AB173" i="30" s="1"/>
  <c r="AA250" i="30"/>
  <c r="AB250" i="30" s="1"/>
  <c r="AA174" i="30"/>
  <c r="AB174" i="30" s="1"/>
  <c r="AA30" i="30"/>
  <c r="AB30" i="30" s="1"/>
  <c r="AA21" i="30"/>
  <c r="AB21" i="30" s="1"/>
  <c r="AA23" i="30"/>
  <c r="AB23" i="30" s="1"/>
  <c r="AA22" i="30"/>
  <c r="AB22" i="30" s="1"/>
  <c r="AA175" i="30"/>
  <c r="AB175" i="30" s="1"/>
  <c r="AA187" i="30"/>
  <c r="AB187" i="30" s="1"/>
  <c r="AA195" i="30"/>
  <c r="AB195" i="30" s="1"/>
  <c r="AA196" i="30"/>
  <c r="AB196" i="30" s="1"/>
  <c r="AA16" i="30"/>
  <c r="AB16" i="30" s="1"/>
  <c r="AA197" i="30"/>
  <c r="AB197" i="30" s="1"/>
  <c r="AA24" i="30"/>
  <c r="AB24" i="30" s="1"/>
  <c r="AA72" i="30"/>
  <c r="AB72" i="30" s="1"/>
  <c r="AA34" i="30"/>
  <c r="AB34" i="30" s="1"/>
  <c r="AA152" i="30"/>
  <c r="AB152" i="30" s="1"/>
  <c r="AA97" i="30"/>
  <c r="AB97" i="30" s="1"/>
  <c r="AA128" i="30"/>
  <c r="AB128" i="30" s="1"/>
  <c r="AA106" i="30"/>
  <c r="AB106" i="30" s="1"/>
  <c r="AA188" i="30"/>
  <c r="AB188" i="30" s="1"/>
  <c r="AA225" i="30"/>
  <c r="AB225" i="30" s="1"/>
  <c r="AA129" i="30"/>
  <c r="AB129" i="30" s="1"/>
  <c r="AA99" i="30"/>
  <c r="AB99" i="30" s="1"/>
  <c r="AA130" i="30"/>
  <c r="AB130" i="30" s="1"/>
  <c r="AA262" i="30"/>
  <c r="AB262" i="30" s="1"/>
  <c r="AA35" i="30"/>
  <c r="AB35" i="30" s="1"/>
  <c r="AA150" i="30"/>
  <c r="AB150" i="30" s="1"/>
  <c r="AA261" i="30"/>
  <c r="AB261" i="30" s="1"/>
  <c r="AA91" i="30"/>
  <c r="AB91" i="30" s="1"/>
  <c r="AA176" i="30"/>
  <c r="AB176" i="30" s="1"/>
  <c r="AA257" i="30"/>
  <c r="AB257" i="30" s="1"/>
  <c r="AA268" i="30"/>
  <c r="AB268" i="30" s="1"/>
  <c r="AA54" i="30"/>
  <c r="AB54" i="30" s="1"/>
  <c r="AA226" i="30"/>
  <c r="AB226" i="30" s="1"/>
  <c r="AA77" i="30"/>
  <c r="AB77" i="30" s="1"/>
  <c r="AA177" i="30"/>
  <c r="AB177" i="30" s="1"/>
  <c r="AA52" i="30"/>
  <c r="AB52" i="30" s="1"/>
  <c r="AA58" i="30"/>
  <c r="AB58" i="30" s="1"/>
  <c r="AA178" i="30"/>
  <c r="AB178" i="30" s="1"/>
  <c r="AA227" i="30"/>
  <c r="AB227" i="30" s="1"/>
  <c r="AA198" i="30"/>
  <c r="AB198" i="30" s="1"/>
  <c r="AA31" i="30"/>
  <c r="AB31" i="30" s="1"/>
  <c r="AA228" i="30"/>
  <c r="AB228" i="30" s="1"/>
  <c r="AA229" i="30"/>
  <c r="AB229" i="30" s="1"/>
  <c r="AA238" i="30"/>
  <c r="AB238" i="30" s="1"/>
  <c r="AA254" i="30"/>
  <c r="AB254" i="30" s="1"/>
  <c r="AA200" i="30"/>
  <c r="AB200" i="30" s="1"/>
  <c r="AA86" i="30"/>
  <c r="AB86" i="30" s="1"/>
  <c r="AA20" i="30"/>
  <c r="AB20" i="30" s="1"/>
  <c r="AA43" i="30"/>
  <c r="N3" i="22"/>
  <c r="BU20" i="30" a="1"/>
  <c r="BU20" i="30" s="1"/>
  <c r="BV20" i="30" s="1"/>
  <c r="BW20" i="30" s="1" a="1"/>
  <c r="BW20" i="30" s="1"/>
  <c r="BU86" i="30" a="1"/>
  <c r="BU86" i="30" s="1"/>
  <c r="BV86" i="30" s="1"/>
  <c r="BW86" i="30" s="1" a="1"/>
  <c r="BW86" i="30" s="1"/>
  <c r="BU31" i="30" a="1"/>
  <c r="BU31" i="30" s="1"/>
  <c r="BV31" i="30" s="1"/>
  <c r="BW31" i="30" s="1" a="1"/>
  <c r="BW31" i="30" s="1"/>
  <c r="BU58" i="30" a="1"/>
  <c r="BU58" i="30" s="1"/>
  <c r="BV58" i="30" s="1"/>
  <c r="BW58" i="30" s="1" a="1"/>
  <c r="BW58" i="30" s="1"/>
  <c r="BU52" i="30" a="1"/>
  <c r="BU52" i="30" s="1"/>
  <c r="BV52" i="30" s="1"/>
  <c r="BW52" i="30" s="1" a="1"/>
  <c r="BW52" i="30" s="1"/>
  <c r="BU77" i="30" a="1"/>
  <c r="BU77" i="30" s="1"/>
  <c r="BV77" i="30" s="1"/>
  <c r="BW77" i="30" s="1" a="1"/>
  <c r="BW77" i="30" s="1"/>
  <c r="BU54" i="30" a="1"/>
  <c r="BU54" i="30" s="1"/>
  <c r="BV54" i="30" s="1"/>
  <c r="BW54" i="30" s="1" a="1"/>
  <c r="BW54" i="30" s="1"/>
  <c r="BU91" i="30" a="1"/>
  <c r="BU91" i="30" s="1"/>
  <c r="BV91" i="30" s="1"/>
  <c r="BW91" i="30" s="1" a="1"/>
  <c r="BW91" i="30" s="1"/>
  <c r="BU35" i="30" a="1"/>
  <c r="BU35" i="30" s="1"/>
  <c r="BV35" i="30" s="1"/>
  <c r="BW35" i="30" s="1" a="1"/>
  <c r="BW35" i="30" s="1"/>
  <c r="BU130" i="30" a="1"/>
  <c r="BU130" i="30" s="1"/>
  <c r="BV130" i="30" s="1"/>
  <c r="BW130" i="30" s="1" a="1"/>
  <c r="BW130" i="30" s="1"/>
  <c r="BU99" i="30" a="1"/>
  <c r="BU99" i="30" s="1"/>
  <c r="BV99" i="30" s="1"/>
  <c r="BW99" i="30" s="1" a="1"/>
  <c r="BW99" i="30" s="1"/>
  <c r="BU129" i="30" a="1"/>
  <c r="BU129" i="30" s="1"/>
  <c r="BV129" i="30" s="1"/>
  <c r="BW129" i="30" s="1" a="1"/>
  <c r="BW129" i="30" s="1"/>
  <c r="BU106" i="30" a="1"/>
  <c r="BU106" i="30" s="1"/>
  <c r="BV106" i="30" s="1"/>
  <c r="BW106" i="30" s="1" a="1"/>
  <c r="BW106" i="30" s="1"/>
  <c r="BU128" i="30" a="1"/>
  <c r="BU128" i="30" s="1"/>
  <c r="BV128" i="30" s="1"/>
  <c r="BW128" i="30" s="1" a="1"/>
  <c r="BW128" i="30" s="1"/>
  <c r="BU97" i="30" a="1"/>
  <c r="BU97" i="30" s="1"/>
  <c r="BV97" i="30" s="1"/>
  <c r="BW97" i="30" s="1" a="1"/>
  <c r="BW97" i="30" s="1"/>
  <c r="BU34" i="30" a="1"/>
  <c r="BU34" i="30" s="1"/>
  <c r="BV34" i="30" s="1"/>
  <c r="BW34" i="30" s="1" a="1"/>
  <c r="BW34" i="30" s="1"/>
  <c r="BU72" i="30" a="1"/>
  <c r="BU72" i="30" s="1"/>
  <c r="BV72" i="30" s="1"/>
  <c r="BW72" i="30" s="1" a="1"/>
  <c r="BW72" i="30" s="1"/>
  <c r="BU24" i="30" a="1"/>
  <c r="BU24" i="30" s="1"/>
  <c r="BV24" i="30" s="1"/>
  <c r="BW24" i="30" s="1" a="1"/>
  <c r="BW24" i="30" s="1"/>
  <c r="BU16" i="30" a="1"/>
  <c r="BU16" i="30" s="1"/>
  <c r="BV16" i="30" s="1"/>
  <c r="BW16" i="30" s="1" a="1"/>
  <c r="BW16" i="30" s="1"/>
  <c r="BU22" i="30" a="1"/>
  <c r="BU22" i="30" s="1"/>
  <c r="BV22" i="30" s="1"/>
  <c r="BW22" i="30" s="1" a="1"/>
  <c r="BW22" i="30" s="1"/>
  <c r="BU23" i="30" a="1"/>
  <c r="BU23" i="30" s="1"/>
  <c r="BV23" i="30" s="1"/>
  <c r="BW23" i="30" s="1" a="1"/>
  <c r="BW23" i="30" s="1"/>
  <c r="BU21" i="30" a="1"/>
  <c r="BU21" i="30" s="1"/>
  <c r="BV21" i="30" s="1"/>
  <c r="BW21" i="30" s="1" a="1"/>
  <c r="BW21" i="30" s="1"/>
  <c r="BU30" i="30" a="1"/>
  <c r="BU30" i="30" s="1"/>
  <c r="BV30" i="30" s="1"/>
  <c r="BW30" i="30" s="1" a="1"/>
  <c r="BW30" i="30" s="1"/>
  <c r="BU29" i="30" a="1"/>
  <c r="BU29" i="30" s="1"/>
  <c r="BV29" i="30" s="1"/>
  <c r="BW29" i="30" s="1" a="1"/>
  <c r="BW29" i="30" s="1"/>
  <c r="BU15" i="30" a="1"/>
  <c r="BU15" i="30" s="1"/>
  <c r="BV15" i="30" s="1"/>
  <c r="BW15" i="30" s="1" a="1"/>
  <c r="BW15" i="30" s="1"/>
  <c r="BU19" i="30" a="1"/>
  <c r="BU19" i="30" s="1"/>
  <c r="BV19" i="30" s="1"/>
  <c r="BW19" i="30" s="1" a="1"/>
  <c r="BW19" i="30" s="1"/>
  <c r="BU13" i="30" a="1"/>
  <c r="BU13" i="30" s="1"/>
  <c r="BV13" i="30" s="1"/>
  <c r="BW13" i="30" s="1" a="1"/>
  <c r="BW13" i="30" s="1"/>
  <c r="BU94" i="30" a="1"/>
  <c r="BU94" i="30" s="1"/>
  <c r="BV94" i="30" s="1"/>
  <c r="BW94" i="30" s="1" a="1"/>
  <c r="BW94" i="30" s="1"/>
  <c r="BU82" i="30" a="1"/>
  <c r="BU82" i="30" s="1"/>
  <c r="BV82" i="30" s="1"/>
  <c r="BW82" i="30" s="1" a="1"/>
  <c r="BW82" i="30" s="1"/>
  <c r="BU96" i="30" a="1"/>
  <c r="BU96" i="30" s="1"/>
  <c r="BV96" i="30" s="1"/>
  <c r="BW96" i="30" s="1" a="1"/>
  <c r="BW96" i="30" s="1"/>
  <c r="BU81" i="30" a="1"/>
  <c r="BU81" i="30" s="1"/>
  <c r="BV81" i="30" s="1"/>
  <c r="BW81" i="30" s="1" a="1"/>
  <c r="BW81" i="30" s="1"/>
  <c r="BU95" i="30" a="1"/>
  <c r="BU95" i="30" s="1"/>
  <c r="BV95" i="30" s="1"/>
  <c r="BW95" i="30" s="1" a="1"/>
  <c r="BW95" i="30" s="1"/>
  <c r="BU32" i="30" a="1"/>
  <c r="BU32" i="30" s="1"/>
  <c r="BV32" i="30" s="1"/>
  <c r="BW32" i="30" s="1" a="1"/>
  <c r="BW32" i="30" s="1"/>
  <c r="BU83" i="30" a="1"/>
  <c r="BU83" i="30" s="1"/>
  <c r="BV83" i="30" s="1"/>
  <c r="BW83" i="30" s="1" a="1"/>
  <c r="BW83" i="30" s="1"/>
  <c r="BU42" i="30" a="1"/>
  <c r="BU42" i="30" s="1"/>
  <c r="BV42" i="30" s="1"/>
  <c r="BW42" i="30" s="1" a="1"/>
  <c r="BW42" i="30" s="1"/>
  <c r="BU71" i="30" a="1"/>
  <c r="BU71" i="30" s="1"/>
  <c r="BV71" i="30" s="1"/>
  <c r="BW71" i="30" s="1" a="1"/>
  <c r="BW71" i="30" s="1"/>
  <c r="BU28" i="30" a="1"/>
  <c r="BU28" i="30" s="1"/>
  <c r="BV28" i="30" s="1"/>
  <c r="BW28" i="30" s="1" a="1"/>
  <c r="BW28" i="30" s="1"/>
  <c r="BU70" i="30" a="1"/>
  <c r="BU70" i="30" s="1"/>
  <c r="BV70" i="30" s="1"/>
  <c r="BW70" i="30" s="1" a="1"/>
  <c r="BW70" i="30" s="1"/>
  <c r="BU33" i="30" a="1"/>
  <c r="BU33" i="30" s="1"/>
  <c r="BV33" i="30" s="1"/>
  <c r="BW33" i="30" s="1" a="1"/>
  <c r="BW33" i="30" s="1"/>
  <c r="BU69" i="30" a="1"/>
  <c r="BU69" i="30" s="1"/>
  <c r="BV69" i="30" s="1"/>
  <c r="BW69" i="30" s="1" a="1"/>
  <c r="BW69" i="30" s="1"/>
  <c r="BU68" i="30" a="1"/>
  <c r="BU68" i="30" s="1"/>
  <c r="BV68" i="30" s="1"/>
  <c r="BW68" i="30" s="1" a="1"/>
  <c r="BW68" i="30" s="1"/>
  <c r="BU73" i="30" a="1"/>
  <c r="BU73" i="30" s="1"/>
  <c r="BV73" i="30" s="1"/>
  <c r="BW73" i="30" s="1" a="1"/>
  <c r="BW73" i="30" s="1"/>
  <c r="BU139" i="30" a="1"/>
  <c r="BU139" i="30" s="1"/>
  <c r="BV139" i="30" s="1"/>
  <c r="BW139" i="30" s="1" a="1"/>
  <c r="BW139" i="30" s="1"/>
  <c r="BU93" i="30" a="1"/>
  <c r="BU93" i="30" s="1"/>
  <c r="BV93" i="30" s="1"/>
  <c r="BW93" i="30" s="1" a="1"/>
  <c r="BW93" i="30" s="1"/>
  <c r="BU107" i="30" a="1"/>
  <c r="BU107" i="30" s="1"/>
  <c r="BV107" i="30" s="1"/>
  <c r="BW107" i="30" s="1" a="1"/>
  <c r="BW107" i="30" s="1"/>
  <c r="BU50" i="30" a="1"/>
  <c r="BU50" i="30" s="1"/>
  <c r="BV50" i="30" s="1"/>
  <c r="BW50" i="30" s="1" a="1"/>
  <c r="BW50" i="30" s="1"/>
  <c r="BU108" i="30" a="1"/>
  <c r="BU108" i="30" s="1"/>
  <c r="BV108" i="30" s="1"/>
  <c r="BW108" i="30" s="1" a="1"/>
  <c r="BW108" i="30" s="1"/>
  <c r="BU127" i="30" a="1"/>
  <c r="BU127" i="30" s="1"/>
  <c r="BV127" i="30" s="1"/>
  <c r="BW127" i="30" s="1" a="1"/>
  <c r="BW127" i="30" s="1"/>
  <c r="BU138" i="30" a="1"/>
  <c r="BU138" i="30" s="1"/>
  <c r="BV138" i="30" s="1"/>
  <c r="BW138" i="30" s="1" a="1"/>
  <c r="BW138" i="30" s="1"/>
  <c r="BU104" i="30" a="1"/>
  <c r="BU104" i="30" s="1"/>
  <c r="BV104" i="30" s="1"/>
  <c r="BW104" i="30" s="1" a="1"/>
  <c r="BW104" i="30" s="1"/>
  <c r="BU126" i="30" a="1"/>
  <c r="BU126" i="30" s="1"/>
  <c r="BV126" i="30" s="1"/>
  <c r="BW126" i="30" s="1" a="1"/>
  <c r="BW126" i="30" s="1"/>
  <c r="BU125" i="30" a="1"/>
  <c r="BU125" i="30" s="1"/>
  <c r="BV125" i="30" s="1"/>
  <c r="BW125" i="30" s="1" a="1"/>
  <c r="BW125" i="30" s="1"/>
  <c r="BU137" i="30" a="1"/>
  <c r="BU137" i="30" s="1"/>
  <c r="BV137" i="30" s="1"/>
  <c r="BW137" i="30" s="1" a="1"/>
  <c r="BW137" i="30" s="1"/>
  <c r="BU124" i="30" a="1"/>
  <c r="BU124" i="30" s="1"/>
  <c r="BV124" i="30" s="1"/>
  <c r="BW124" i="30" s="1" a="1"/>
  <c r="BW124" i="30" s="1"/>
  <c r="BU123" i="30" a="1"/>
  <c r="BU123" i="30" s="1"/>
  <c r="BV123" i="30" s="1"/>
  <c r="BW123" i="30" s="1" a="1"/>
  <c r="BW123" i="30" s="1"/>
  <c r="BU109" i="30" a="1"/>
  <c r="BU109" i="30" s="1"/>
  <c r="BV109" i="30" s="1"/>
  <c r="BW109" i="30" s="1" a="1"/>
  <c r="BW109" i="30" s="1"/>
  <c r="BU90" i="30" a="1"/>
  <c r="BU90" i="30" s="1"/>
  <c r="BV90" i="30" s="1"/>
  <c r="BW90" i="30" s="1" a="1"/>
  <c r="BW90" i="30" s="1"/>
  <c r="BU76" i="30" a="1"/>
  <c r="BU76" i="30" s="1"/>
  <c r="BV76" i="30" s="1"/>
  <c r="BW76" i="30" s="1" a="1"/>
  <c r="BW76" i="30" s="1"/>
  <c r="BU53" i="30" a="1"/>
  <c r="BU53" i="30" s="1"/>
  <c r="BV53" i="30" s="1"/>
  <c r="BW53" i="30" s="1" a="1"/>
  <c r="BW53" i="30" s="1"/>
  <c r="BU98" i="30" a="1"/>
  <c r="BU98" i="30" s="1"/>
  <c r="BV98" i="30" s="1"/>
  <c r="BW98" i="30" s="1" a="1"/>
  <c r="BW98" i="30" s="1"/>
  <c r="BU103" i="30" a="1"/>
  <c r="BU103" i="30" s="1"/>
  <c r="BV103" i="30" s="1"/>
  <c r="BW103" i="30" s="1" a="1"/>
  <c r="BW103" i="30" s="1"/>
  <c r="BU102" i="30" a="1"/>
  <c r="BU102" i="30" s="1"/>
  <c r="BV102" i="30" s="1"/>
  <c r="BW102" i="30" s="1" a="1"/>
  <c r="BW102" i="30" s="1"/>
  <c r="BU136" i="30" a="1"/>
  <c r="BU136" i="30" s="1"/>
  <c r="BV136" i="30" s="1"/>
  <c r="BW136" i="30" s="1" a="1"/>
  <c r="BW136" i="30" s="1"/>
  <c r="BU80" i="30" a="1"/>
  <c r="BU80" i="30" s="1"/>
  <c r="BV80" i="30" s="1"/>
  <c r="BW80" i="30" s="1" a="1"/>
  <c r="BW80" i="30" s="1"/>
  <c r="BU51" i="30" a="1"/>
  <c r="BU51" i="30" s="1"/>
  <c r="BV51" i="30" s="1"/>
  <c r="BW51" i="30" s="1" a="1"/>
  <c r="BW51" i="30" s="1"/>
  <c r="BU38" i="30" a="1"/>
  <c r="BU38" i="30" s="1"/>
  <c r="BV38" i="30" s="1"/>
  <c r="BW38" i="30" s="1" a="1"/>
  <c r="BW38" i="30" s="1"/>
  <c r="BU14" i="30" a="1"/>
  <c r="BU14" i="30" s="1"/>
  <c r="BV14" i="30" s="1"/>
  <c r="BW14" i="30" s="1" a="1"/>
  <c r="BW14" i="30" s="1"/>
  <c r="BU61" i="30" a="1"/>
  <c r="BU61" i="30" s="1"/>
  <c r="BV61" i="30" s="1"/>
  <c r="BW61" i="30" s="1" a="1"/>
  <c r="BW61" i="30" s="1"/>
  <c r="BU17" i="30" a="1"/>
  <c r="BU17" i="30" s="1"/>
  <c r="BV17" i="30" s="1"/>
  <c r="BW17" i="30" s="1" a="1"/>
  <c r="BW17" i="30" s="1"/>
  <c r="BU67" i="30" a="1"/>
  <c r="BU67" i="30" s="1"/>
  <c r="BV67" i="30" s="1"/>
  <c r="BW67" i="30" s="1" a="1"/>
  <c r="BW67" i="30" s="1"/>
  <c r="BU37" i="30" a="1"/>
  <c r="BU37" i="30" s="1"/>
  <c r="BV37" i="30" s="1"/>
  <c r="BW37" i="30" s="1" a="1"/>
  <c r="BW37" i="30" s="1"/>
  <c r="BU26" i="30" a="1"/>
  <c r="BU26" i="30" s="1"/>
  <c r="BV26" i="30" s="1"/>
  <c r="BW26" i="30" s="1" a="1"/>
  <c r="BW26" i="30" s="1"/>
  <c r="BU45" i="30" a="1"/>
  <c r="BU45" i="30" s="1"/>
  <c r="BV45" i="30" s="1"/>
  <c r="BW45" i="30" s="1" a="1"/>
  <c r="BW45" i="30" s="1"/>
  <c r="BU66" i="30" a="1"/>
  <c r="BU66" i="30" s="1"/>
  <c r="BV66" i="30" s="1"/>
  <c r="BW66" i="30" s="1" a="1"/>
  <c r="BW66" i="30" s="1"/>
  <c r="BU65" i="30" a="1"/>
  <c r="BU65" i="30" s="1"/>
  <c r="BV65" i="30" s="1"/>
  <c r="BW65" i="30" s="1" a="1"/>
  <c r="BW65" i="30" s="1"/>
  <c r="BU49" i="30" a="1"/>
  <c r="BU49" i="30" s="1"/>
  <c r="BV49" i="30" s="1"/>
  <c r="BW49" i="30" s="1" a="1"/>
  <c r="BW49" i="30" s="1"/>
  <c r="BU64" i="30" a="1"/>
  <c r="BU64" i="30" s="1"/>
  <c r="BV64" i="30" s="1"/>
  <c r="BW64" i="30" s="1" a="1"/>
  <c r="BW64" i="30" s="1"/>
  <c r="BU48" i="30" a="1"/>
  <c r="BU48" i="30" s="1"/>
  <c r="BV48" i="30" s="1"/>
  <c r="BW48" i="30" s="1" a="1"/>
  <c r="BW48" i="30" s="1"/>
  <c r="BU36" i="30" a="1"/>
  <c r="BU36" i="30" s="1"/>
  <c r="BV36" i="30" s="1"/>
  <c r="BW36" i="30" s="1" a="1"/>
  <c r="BW36" i="30" s="1"/>
  <c r="BU18" i="30" a="1"/>
  <c r="BU18" i="30" s="1"/>
  <c r="BV18" i="30" s="1"/>
  <c r="BW18" i="30" s="1" a="1"/>
  <c r="BW18" i="30" s="1"/>
  <c r="BU40" i="30" a="1"/>
  <c r="BU40" i="30" s="1"/>
  <c r="BV40" i="30" s="1"/>
  <c r="BW40" i="30" s="1" a="1"/>
  <c r="BW40" i="30" s="1"/>
  <c r="BU101" i="30" a="1"/>
  <c r="BU101" i="30" s="1"/>
  <c r="BV101" i="30" s="1"/>
  <c r="BW101" i="30" s="1" a="1"/>
  <c r="BW101" i="30" s="1"/>
  <c r="BU47" i="30" a="1"/>
  <c r="BU47" i="30" s="1"/>
  <c r="BV47" i="30" s="1"/>
  <c r="BW47" i="30" s="1" a="1"/>
  <c r="BW47" i="30" s="1"/>
  <c r="BU27" i="30" a="1"/>
  <c r="BU27" i="30" s="1"/>
  <c r="BV27" i="30" s="1"/>
  <c r="BW27" i="30" s="1" a="1"/>
  <c r="BW27" i="30" s="1"/>
  <c r="BU39" i="30" a="1"/>
  <c r="BU39" i="30" s="1"/>
  <c r="BV39" i="30" s="1"/>
  <c r="BW39" i="30" s="1" a="1"/>
  <c r="BW39" i="30" s="1"/>
  <c r="BU88" i="30" a="1"/>
  <c r="BU88" i="30" s="1"/>
  <c r="BV88" i="30" s="1"/>
  <c r="BW88" i="30" s="1" a="1"/>
  <c r="BW88" i="30" s="1"/>
  <c r="BU55" i="30" a="1"/>
  <c r="BU55" i="30" s="1"/>
  <c r="BV55" i="30" s="1"/>
  <c r="BW55" i="30" s="1" a="1"/>
  <c r="BW55" i="30" s="1"/>
  <c r="BU135" i="30" a="1"/>
  <c r="BU135" i="30" s="1"/>
  <c r="BV135" i="30" s="1"/>
  <c r="BW135" i="30" s="1" a="1"/>
  <c r="BW135" i="30" s="1"/>
  <c r="BU110" i="30" a="1"/>
  <c r="BU110" i="30" s="1"/>
  <c r="BV110" i="30" s="1"/>
  <c r="BW110" i="30" s="1" a="1"/>
  <c r="BW110" i="30" s="1"/>
  <c r="BU122" i="30" a="1"/>
  <c r="BU122" i="30" s="1"/>
  <c r="BV122" i="30" s="1"/>
  <c r="BW122" i="30" s="1" a="1"/>
  <c r="BW122" i="30" s="1"/>
  <c r="BU105" i="30" a="1"/>
  <c r="BU105" i="30" s="1"/>
  <c r="BV105" i="30" s="1"/>
  <c r="BW105" i="30" s="1" a="1"/>
  <c r="BW105" i="30" s="1"/>
  <c r="BU121" i="30" a="1"/>
  <c r="BU121" i="30" s="1"/>
  <c r="BV121" i="30" s="1"/>
  <c r="BW121" i="30" s="1" a="1"/>
  <c r="BW121" i="30" s="1"/>
  <c r="BU113" i="30" a="1"/>
  <c r="BU113" i="30" s="1"/>
  <c r="BV113" i="30" s="1"/>
  <c r="BW113" i="30" s="1" a="1"/>
  <c r="BW113" i="30" s="1"/>
  <c r="BU100" i="30" a="1"/>
  <c r="BU100" i="30" s="1"/>
  <c r="BV100" i="30" s="1"/>
  <c r="BW100" i="30" s="1" a="1"/>
  <c r="BW100" i="30" s="1"/>
  <c r="BU63" i="30" a="1"/>
  <c r="BU63" i="30" s="1"/>
  <c r="BV63" i="30" s="1"/>
  <c r="BW63" i="30" s="1" a="1"/>
  <c r="BW63" i="30" s="1"/>
  <c r="BU75" i="30" a="1"/>
  <c r="BU75" i="30" s="1"/>
  <c r="BV75" i="30" s="1"/>
  <c r="BW75" i="30" s="1" a="1"/>
  <c r="BW75" i="30" s="1"/>
  <c r="BU56" i="30" a="1"/>
  <c r="BU56" i="30" s="1"/>
  <c r="BV56" i="30" s="1"/>
  <c r="BW56" i="30" s="1" a="1"/>
  <c r="BW56" i="30" s="1"/>
  <c r="BU79" i="30" a="1"/>
  <c r="BU79" i="30" s="1"/>
  <c r="BV79" i="30" s="1"/>
  <c r="BW79" i="30" s="1" a="1"/>
  <c r="BW79" i="30" s="1"/>
  <c r="BU59" i="30" a="1"/>
  <c r="BU59" i="30" s="1"/>
  <c r="BV59" i="30" s="1"/>
  <c r="BW59" i="30" s="1" a="1"/>
  <c r="BW59" i="30" s="1"/>
  <c r="BU25" i="30" a="1"/>
  <c r="BU25" i="30" s="1"/>
  <c r="BV25" i="30" s="1"/>
  <c r="BW25" i="30" s="1" a="1"/>
  <c r="BW25" i="30" s="1"/>
  <c r="BU60" i="30" a="1"/>
  <c r="BU60" i="30" s="1"/>
  <c r="BV60" i="30" s="1"/>
  <c r="BW60" i="30" s="1" a="1"/>
  <c r="BW60" i="30" s="1"/>
  <c r="BU62" i="30" a="1"/>
  <c r="BU62" i="30" s="1"/>
  <c r="BV62" i="30" s="1"/>
  <c r="BW62" i="30" s="1" a="1"/>
  <c r="BW62" i="30" s="1"/>
  <c r="BU57" i="30" a="1"/>
  <c r="BU57" i="30" s="1"/>
  <c r="BV57" i="30" s="1"/>
  <c r="BW57" i="30" s="1" a="1"/>
  <c r="BW57" i="30" s="1"/>
  <c r="BU120" i="30" a="1"/>
  <c r="BU120" i="30" s="1"/>
  <c r="BV120" i="30" s="1"/>
  <c r="BW120" i="30" s="1" a="1"/>
  <c r="BW120" i="30" s="1"/>
  <c r="BU134" i="30" a="1"/>
  <c r="BU134" i="30" s="1"/>
  <c r="BV134" i="30" s="1"/>
  <c r="BW134" i="30" s="1" a="1"/>
  <c r="BW134" i="30" s="1"/>
  <c r="BU119" i="30" a="1"/>
  <c r="BU119" i="30" s="1"/>
  <c r="BV119" i="30" s="1"/>
  <c r="BW119" i="30" s="1" a="1"/>
  <c r="BW119" i="30" s="1"/>
  <c r="BU133" i="30" a="1"/>
  <c r="BU133" i="30" s="1"/>
  <c r="BV133" i="30" s="1"/>
  <c r="BW133" i="30" s="1" a="1"/>
  <c r="BW133" i="30" s="1"/>
  <c r="BU132" i="30" a="1"/>
  <c r="BU132" i="30" s="1"/>
  <c r="BV132" i="30" s="1"/>
  <c r="BW132" i="30" s="1" a="1"/>
  <c r="BW132" i="30" s="1"/>
  <c r="BU131" i="30" a="1"/>
  <c r="BU131" i="30" s="1"/>
  <c r="BV131" i="30" s="1"/>
  <c r="BW131" i="30" s="1" a="1"/>
  <c r="BW131" i="30" s="1"/>
  <c r="BU118" i="30" a="1"/>
  <c r="BU118" i="30" s="1"/>
  <c r="BV118" i="30" s="1"/>
  <c r="BW118" i="30" s="1" a="1"/>
  <c r="BW118" i="30" s="1"/>
  <c r="BU117" i="30" a="1"/>
  <c r="BU117" i="30" s="1"/>
  <c r="BV117" i="30" s="1"/>
  <c r="BW117" i="30" s="1" a="1"/>
  <c r="BW117" i="30" s="1"/>
  <c r="BU92" i="30" a="1"/>
  <c r="BU92" i="30" s="1"/>
  <c r="BV92" i="30" s="1"/>
  <c r="BW92" i="30" s="1" a="1"/>
  <c r="BW92" i="30" s="1"/>
  <c r="BU116" i="30" a="1"/>
  <c r="BU116" i="30" s="1"/>
  <c r="BV116" i="30" s="1"/>
  <c r="BW116" i="30" s="1" a="1"/>
  <c r="BW116" i="30" s="1"/>
  <c r="BU115" i="30" a="1"/>
  <c r="BU115" i="30" s="1"/>
  <c r="BV115" i="30" s="1"/>
  <c r="BW115" i="30" s="1" a="1"/>
  <c r="BW115" i="30" s="1"/>
  <c r="BU114" i="30" a="1"/>
  <c r="BU114" i="30" s="1"/>
  <c r="BV114" i="30" s="1"/>
  <c r="BU85" i="30" a="1"/>
  <c r="BU85" i="30" s="1"/>
  <c r="BV85" i="30" s="1"/>
  <c r="BW85" i="30" s="1" a="1"/>
  <c r="BW85" i="30" s="1"/>
  <c r="BU87" i="30" a="1"/>
  <c r="BU87" i="30" s="1"/>
  <c r="BV87" i="30" s="1"/>
  <c r="BW87" i="30" s="1" a="1"/>
  <c r="BW87" i="30" s="1"/>
  <c r="BU41" i="30" a="1"/>
  <c r="BU41" i="30" s="1"/>
  <c r="BV41" i="30" s="1"/>
  <c r="BW41" i="30" s="1" a="1"/>
  <c r="BW41" i="30" s="1"/>
  <c r="BU46" i="30" a="1"/>
  <c r="BU46" i="30" s="1"/>
  <c r="BV46" i="30" s="1"/>
  <c r="BW46" i="30" s="1" a="1"/>
  <c r="BW46" i="30" s="1"/>
  <c r="BU78" i="30" a="1"/>
  <c r="BU78" i="30" s="1"/>
  <c r="BV78" i="30" s="1"/>
  <c r="BW78" i="30" s="1" a="1"/>
  <c r="BW78" i="30" s="1"/>
  <c r="BU84" i="30" a="1"/>
  <c r="BU84" i="30" s="1"/>
  <c r="BV84" i="30" s="1"/>
  <c r="BW84" i="30" s="1" a="1"/>
  <c r="BW84" i="30" s="1"/>
  <c r="BU74" i="30" a="1"/>
  <c r="BU74" i="30" s="1"/>
  <c r="BV74" i="30" s="1"/>
  <c r="BW74" i="30" s="1" a="1"/>
  <c r="BW74" i="30" s="1"/>
  <c r="BU44" i="30" a="1"/>
  <c r="BU44" i="30" s="1"/>
  <c r="BV44" i="30" s="1"/>
  <c r="BW44" i="30" s="1" a="1"/>
  <c r="BW44" i="30" s="1"/>
  <c r="BU111" i="30" a="1"/>
  <c r="BU111" i="30" s="1"/>
  <c r="BV111" i="30" s="1"/>
  <c r="BW111" i="30" s="1" a="1"/>
  <c r="BW111" i="30" s="1"/>
  <c r="BU112" i="30" a="1"/>
  <c r="BU112" i="30" s="1"/>
  <c r="BV112" i="30" s="1"/>
  <c r="BW112" i="30" s="1" a="1"/>
  <c r="BW112" i="30" s="1"/>
  <c r="BU89" i="30" a="1"/>
  <c r="BU89" i="30" s="1"/>
  <c r="BV89" i="30" s="1"/>
  <c r="BW89" i="30" s="1" a="1"/>
  <c r="BW89" i="30" s="1"/>
  <c r="BU43" i="30" a="1"/>
  <c r="BU43" i="30" s="1"/>
  <c r="BV43" i="30" s="1"/>
  <c r="BW43" i="30" s="1" a="1"/>
  <c r="BW43" i="30" s="1"/>
  <c r="H67" i="3"/>
  <c r="H68" i="3"/>
  <c r="H71" i="3" s="1"/>
  <c r="H69" i="3"/>
  <c r="H70" i="3"/>
  <c r="G63" i="3"/>
  <c r="H63" i="3"/>
  <c r="H62" i="3"/>
  <c r="G62" i="3"/>
  <c r="D70" i="3"/>
  <c r="E70" i="3"/>
  <c r="F70" i="3"/>
  <c r="G70" i="3"/>
  <c r="I70" i="3"/>
  <c r="C70" i="3"/>
  <c r="I67" i="3"/>
  <c r="G67" i="3"/>
  <c r="D68" i="3"/>
  <c r="E68" i="3"/>
  <c r="F68" i="3"/>
  <c r="G68" i="3"/>
  <c r="I68" i="3"/>
  <c r="C68" i="3"/>
  <c r="O11" i="4"/>
  <c r="O18" i="4"/>
  <c r="O16" i="4"/>
  <c r="O23" i="4" s="1"/>
  <c r="O30" i="4"/>
  <c r="O21" i="4"/>
  <c r="O28" i="4" s="1"/>
  <c r="O20" i="4"/>
  <c r="O27" i="4" s="1"/>
  <c r="O19" i="4"/>
  <c r="O26" i="4" s="1"/>
  <c r="O25" i="4"/>
  <c r="O6" i="4"/>
  <c r="J3" i="4"/>
  <c r="O77" i="4"/>
  <c r="O79" i="4" s="1"/>
  <c r="N76" i="4"/>
  <c r="N74" i="4"/>
  <c r="M74" i="4"/>
  <c r="L74" i="4"/>
  <c r="L73" i="4"/>
  <c r="L72" i="4"/>
  <c r="N71" i="4"/>
  <c r="L71" i="4"/>
  <c r="O69" i="4"/>
  <c r="N69" i="4"/>
  <c r="L69" i="4"/>
  <c r="O68" i="4"/>
  <c r="N68" i="4"/>
  <c r="L68" i="4"/>
  <c r="O67" i="4"/>
  <c r="N67" i="4"/>
  <c r="L67" i="4"/>
  <c r="O71" i="4"/>
  <c r="L66" i="4"/>
  <c r="M64" i="4"/>
  <c r="L64" i="4"/>
  <c r="L63" i="4"/>
  <c r="L62" i="4"/>
  <c r="N61" i="4"/>
  <c r="M7" i="4"/>
  <c r="M6" i="4"/>
  <c r="J10" i="22"/>
  <c r="C10" i="22"/>
  <c r="O5" i="22"/>
  <c r="C52" i="22"/>
  <c r="E56" i="2"/>
  <c r="M56" i="2" s="1"/>
  <c r="E55" i="2"/>
  <c r="F45" i="4"/>
  <c r="F52" i="4"/>
  <c r="F38" i="4" s="1"/>
  <c r="E39" i="2"/>
  <c r="E33" i="2"/>
  <c r="E27" i="2"/>
  <c r="E45" i="2"/>
  <c r="E15" i="2"/>
  <c r="E41" i="2"/>
  <c r="M41" i="2" s="1"/>
  <c r="D65" i="3"/>
  <c r="E65" i="3"/>
  <c r="G65" i="3"/>
  <c r="H65" i="3"/>
  <c r="I65" i="3"/>
  <c r="C65" i="3"/>
  <c r="B65" i="3"/>
  <c r="E71" i="3"/>
  <c r="D71" i="3"/>
  <c r="C71" i="3"/>
  <c r="F69" i="3"/>
  <c r="F67" i="3"/>
  <c r="F71" i="3" s="1"/>
  <c r="F66" i="3"/>
  <c r="F64" i="3"/>
  <c r="F65" i="3" s="1"/>
  <c r="F62" i="3"/>
  <c r="E38" i="3"/>
  <c r="D61" i="3" s="1"/>
  <c r="C93" i="3" s="1"/>
  <c r="F38" i="3"/>
  <c r="E61" i="3" s="1"/>
  <c r="C94" i="3" s="1"/>
  <c r="G38" i="3"/>
  <c r="F61" i="3" s="1"/>
  <c r="C95" i="3" s="1"/>
  <c r="H38" i="3"/>
  <c r="I38" i="3"/>
  <c r="J38" i="3"/>
  <c r="I61" i="3" s="1"/>
  <c r="C98" i="3" s="1"/>
  <c r="D38" i="3"/>
  <c r="C61" i="3" s="1"/>
  <c r="C92" i="3" s="1"/>
  <c r="C40" i="3"/>
  <c r="C41" i="3"/>
  <c r="C42" i="3"/>
  <c r="C43" i="3"/>
  <c r="C44" i="3"/>
  <c r="C45" i="3"/>
  <c r="C46" i="3"/>
  <c r="C47" i="3"/>
  <c r="C48" i="3"/>
  <c r="C39" i="3"/>
  <c r="O24" i="24"/>
  <c r="N24" i="24"/>
  <c r="V9015" i="18" a="1"/>
  <c r="V9015" i="18" s="1"/>
  <c r="V9016" i="18" s="1"/>
  <c r="Y9015" i="18" a="1"/>
  <c r="Y9015" i="18" s="1"/>
  <c r="Y9016" i="18" s="1"/>
  <c r="E9" i="2"/>
  <c r="M154" i="22" l="1"/>
  <c r="E63" i="22" s="1"/>
  <c r="P159" i="22"/>
  <c r="Q159" i="22" s="1"/>
  <c r="F68" i="22" s="1"/>
  <c r="M159" i="22"/>
  <c r="E68" i="22" s="1"/>
  <c r="P158" i="22"/>
  <c r="M158" i="22"/>
  <c r="E67" i="22" s="1"/>
  <c r="C93" i="22"/>
  <c r="Q154" i="22"/>
  <c r="F63" i="22" s="1"/>
  <c r="F131" i="22" s="1"/>
  <c r="G131" i="22" s="1"/>
  <c r="Q158" i="22"/>
  <c r="F67" i="22" s="1"/>
  <c r="S9361" i="18"/>
  <c r="R9361" i="18"/>
  <c r="D97" i="22"/>
  <c r="M55" i="2"/>
  <c r="M67" i="2" s="1"/>
  <c r="E67" i="2"/>
  <c r="M62" i="32"/>
  <c r="Q62" i="32" s="1"/>
  <c r="M59" i="32"/>
  <c r="M81" i="32"/>
  <c r="M48" i="32"/>
  <c r="M45" i="32"/>
  <c r="M35" i="32"/>
  <c r="M29" i="32"/>
  <c r="M24" i="32"/>
  <c r="Q24" i="32" s="1"/>
  <c r="M18" i="32"/>
  <c r="M16" i="32"/>
  <c r="M20" i="32"/>
  <c r="M22" i="32"/>
  <c r="M26" i="32"/>
  <c r="M30" i="32"/>
  <c r="M33" i="32"/>
  <c r="Q33" i="32" s="1"/>
  <c r="M37" i="32"/>
  <c r="M47" i="32"/>
  <c r="M51" i="32"/>
  <c r="M54" i="32"/>
  <c r="M57" i="32"/>
  <c r="M61" i="32"/>
  <c r="M46" i="32"/>
  <c r="M50" i="32"/>
  <c r="M53" i="32"/>
  <c r="M58" i="32"/>
  <c r="M64" i="32"/>
  <c r="M9" i="32"/>
  <c r="M10" i="32"/>
  <c r="M11" i="32"/>
  <c r="Q11" i="32" s="1"/>
  <c r="M12" i="32"/>
  <c r="M13" i="32"/>
  <c r="M14" i="32"/>
  <c r="M17" i="32"/>
  <c r="M21" i="32"/>
  <c r="M25" i="32"/>
  <c r="M28" i="32"/>
  <c r="M32" i="32"/>
  <c r="M36" i="32"/>
  <c r="M38" i="32"/>
  <c r="M39" i="32"/>
  <c r="M40" i="32"/>
  <c r="M41" i="32"/>
  <c r="M42" i="32"/>
  <c r="M43" i="32"/>
  <c r="M15" i="32"/>
  <c r="M19" i="32"/>
  <c r="M23" i="32"/>
  <c r="M27" i="32"/>
  <c r="M31" i="32"/>
  <c r="Q31" i="32" s="1"/>
  <c r="M34" i="32"/>
  <c r="M44" i="32"/>
  <c r="M49" i="32"/>
  <c r="M52" i="32"/>
  <c r="M56" i="32"/>
  <c r="M60" i="32"/>
  <c r="M63" i="32"/>
  <c r="G69" i="22"/>
  <c r="I137" i="22" s="1"/>
  <c r="I138" i="22"/>
  <c r="G66" i="22"/>
  <c r="I134" i="22" s="1"/>
  <c r="I133" i="22"/>
  <c r="C121" i="22"/>
  <c r="AB288" i="30"/>
  <c r="AB289" i="30"/>
  <c r="AB290" i="30"/>
  <c r="AB291" i="30"/>
  <c r="AB292" i="30"/>
  <c r="AB294" i="30"/>
  <c r="AB295" i="30"/>
  <c r="AB296" i="30"/>
  <c r="AB297" i="30"/>
  <c r="AB287" i="30"/>
  <c r="AB286" i="30"/>
  <c r="F74" i="22"/>
  <c r="F75" i="22"/>
  <c r="F76" i="22"/>
  <c r="F77" i="22"/>
  <c r="F73" i="22"/>
  <c r="D86" i="22"/>
  <c r="L61" i="32"/>
  <c r="L64" i="32"/>
  <c r="L63" i="32"/>
  <c r="L62" i="32"/>
  <c r="L60" i="32"/>
  <c r="L59" i="32"/>
  <c r="Q59" i="32" s="1"/>
  <c r="L58" i="32"/>
  <c r="L57" i="32"/>
  <c r="L56" i="32"/>
  <c r="Q56" i="32" s="1"/>
  <c r="L81" i="32"/>
  <c r="Q81" i="32" s="1"/>
  <c r="L54" i="32"/>
  <c r="L53" i="32"/>
  <c r="L52" i="32"/>
  <c r="L51" i="32"/>
  <c r="Q51" i="32"/>
  <c r="L50" i="32"/>
  <c r="L49" i="32"/>
  <c r="L48" i="32"/>
  <c r="Q48" i="32"/>
  <c r="L47" i="32"/>
  <c r="L46" i="32"/>
  <c r="L45" i="32"/>
  <c r="Q45" i="32" s="1"/>
  <c r="L44" i="32"/>
  <c r="L43" i="32"/>
  <c r="Q43" i="32" s="1"/>
  <c r="L42" i="32"/>
  <c r="Q42" i="32" s="1"/>
  <c r="L41" i="32"/>
  <c r="Q41" i="32" s="1"/>
  <c r="L40" i="32"/>
  <c r="L39" i="32"/>
  <c r="L38" i="32"/>
  <c r="L37" i="32"/>
  <c r="L36" i="32"/>
  <c r="Q36" i="32" s="1"/>
  <c r="L35" i="32"/>
  <c r="Q35" i="32" s="1"/>
  <c r="L34" i="32"/>
  <c r="Q34" i="32" s="1"/>
  <c r="L33" i="32"/>
  <c r="L32" i="32"/>
  <c r="Q32" i="32" s="1"/>
  <c r="L31" i="32"/>
  <c r="L30" i="32"/>
  <c r="Q30" i="32"/>
  <c r="L29" i="32"/>
  <c r="L28" i="32"/>
  <c r="Q28" i="32"/>
  <c r="L27" i="32"/>
  <c r="Q27" i="32" s="1"/>
  <c r="L26" i="32"/>
  <c r="Q26" i="32" s="1"/>
  <c r="L25" i="32"/>
  <c r="Q25" i="32"/>
  <c r="L24" i="32"/>
  <c r="L23" i="32"/>
  <c r="L22" i="32"/>
  <c r="Q22" i="32" s="1"/>
  <c r="L21" i="32"/>
  <c r="L20" i="32"/>
  <c r="L19" i="32"/>
  <c r="L18" i="32"/>
  <c r="Q18" i="32" s="1"/>
  <c r="L17" i="32"/>
  <c r="L16" i="32"/>
  <c r="Q16" i="32"/>
  <c r="L15" i="32"/>
  <c r="L14" i="32"/>
  <c r="L13" i="32"/>
  <c r="Q13" i="32" s="1"/>
  <c r="L12" i="32"/>
  <c r="Q12" i="32" s="1"/>
  <c r="L11" i="32"/>
  <c r="L10" i="32"/>
  <c r="Q10" i="32"/>
  <c r="L9" i="32"/>
  <c r="Q9" i="32" s="1"/>
  <c r="O8" i="32"/>
  <c r="I71" i="32"/>
  <c r="I72" i="32" s="1"/>
  <c r="I75" i="32" s="1"/>
  <c r="M71" i="4" s="1"/>
  <c r="N8" i="32"/>
  <c r="H71" i="32"/>
  <c r="H72" i="32" s="1"/>
  <c r="H75" i="32" s="1"/>
  <c r="G71" i="32"/>
  <c r="G72" i="32" s="1"/>
  <c r="G75" i="32" s="1"/>
  <c r="M8" i="32"/>
  <c r="L8" i="32"/>
  <c r="F71" i="32"/>
  <c r="F72" i="32" s="1"/>
  <c r="F75" i="32" s="1"/>
  <c r="M61" i="4" s="1"/>
  <c r="C86" i="22"/>
  <c r="N2" i="22"/>
  <c r="N26" i="24"/>
  <c r="O38" i="22"/>
  <c r="O39" i="22" s="1"/>
  <c r="BW9" i="30"/>
  <c r="AB43" i="30"/>
  <c r="K100" i="2"/>
  <c r="K101" i="2"/>
  <c r="K97" i="2"/>
  <c r="N63" i="2"/>
  <c r="N60" i="2"/>
  <c r="Q37" i="32" l="1"/>
  <c r="Q14" i="32"/>
  <c r="Q39" i="32"/>
  <c r="Q17" i="32"/>
  <c r="Q40" i="32"/>
  <c r="Q38" i="32"/>
  <c r="Q23" i="32"/>
  <c r="Q29" i="32"/>
  <c r="O40" i="22"/>
  <c r="Q19" i="32"/>
  <c r="Q15" i="32"/>
  <c r="Q44" i="32"/>
  <c r="Q61" i="32"/>
  <c r="Q60" i="32"/>
  <c r="Q58" i="32"/>
  <c r="Q64" i="32"/>
  <c r="Q57" i="32"/>
  <c r="Q53" i="32"/>
  <c r="Q54" i="32"/>
  <c r="Q52" i="32"/>
  <c r="Q50" i="32"/>
  <c r="Q49" i="32"/>
  <c r="Q21" i="32"/>
  <c r="Q20" i="32"/>
  <c r="Q63" i="32"/>
  <c r="Q47" i="32"/>
  <c r="Q46" i="32"/>
  <c r="C87" i="22"/>
  <c r="C91" i="22"/>
  <c r="D87" i="22"/>
  <c r="D91" i="22"/>
  <c r="Q8" i="32"/>
  <c r="M66" i="4"/>
  <c r="W34" i="32"/>
  <c r="K102" i="2"/>
  <c r="K96" i="2"/>
  <c r="K99" i="2"/>
  <c r="N61" i="2"/>
  <c r="N65" i="2" s="1"/>
  <c r="N64" i="2"/>
  <c r="G19" i="4"/>
  <c r="G26" i="4" s="1"/>
  <c r="G20" i="4"/>
  <c r="G27" i="4" s="1"/>
  <c r="G21" i="4"/>
  <c r="G28" i="4" s="1"/>
  <c r="G30" i="4"/>
  <c r="CP207" i="27"/>
  <c r="B102" i="2"/>
  <c r="B101" i="2"/>
  <c r="B100" i="2"/>
  <c r="B99" i="2"/>
  <c r="B97" i="2"/>
  <c r="B96" i="2"/>
  <c r="Q66" i="32" l="1"/>
  <c r="W37" i="32" s="1"/>
  <c r="M77" i="4"/>
  <c r="M76" i="4"/>
  <c r="M79" i="4" s="1"/>
  <c r="E96" i="4"/>
  <c r="E97" i="4" s="1"/>
  <c r="H5" i="22" l="1"/>
  <c r="EV152" i="27" l="1"/>
  <c r="EW152" i="27"/>
  <c r="EX152" i="27"/>
  <c r="EY152" i="27"/>
  <c r="EZ152" i="27"/>
  <c r="EV100" i="27"/>
  <c r="EW100" i="27"/>
  <c r="EX100" i="27"/>
  <c r="EY100" i="27"/>
  <c r="EZ100" i="27"/>
  <c r="EV101" i="27"/>
  <c r="EW101" i="27"/>
  <c r="EX101" i="27"/>
  <c r="EY101" i="27"/>
  <c r="EZ101" i="27"/>
  <c r="EV96" i="27"/>
  <c r="EW96" i="27"/>
  <c r="EX96" i="27"/>
  <c r="EY96" i="27"/>
  <c r="EZ96" i="27"/>
  <c r="EV146" i="27"/>
  <c r="EW146" i="27"/>
  <c r="EX146" i="27"/>
  <c r="EY146" i="27"/>
  <c r="EZ146" i="27"/>
  <c r="EV87" i="27"/>
  <c r="EW87" i="27"/>
  <c r="EX87" i="27"/>
  <c r="EY87" i="27"/>
  <c r="EZ87" i="27"/>
  <c r="EV119" i="27"/>
  <c r="EW119" i="27"/>
  <c r="EX119" i="27"/>
  <c r="EY119" i="27"/>
  <c r="EZ119" i="27"/>
  <c r="EV120" i="27"/>
  <c r="EW120" i="27"/>
  <c r="EX120" i="27"/>
  <c r="EY120" i="27"/>
  <c r="EZ120" i="27"/>
  <c r="EV187" i="27"/>
  <c r="EW187" i="27"/>
  <c r="EX187" i="27"/>
  <c r="EY187" i="27"/>
  <c r="EZ187" i="27"/>
  <c r="EV135" i="27"/>
  <c r="EW135" i="27"/>
  <c r="EX135" i="27"/>
  <c r="EY135" i="27"/>
  <c r="EZ135" i="27"/>
  <c r="EV125" i="27"/>
  <c r="EW125" i="27"/>
  <c r="EX125" i="27"/>
  <c r="EY125" i="27"/>
  <c r="EZ125" i="27"/>
  <c r="EV165" i="27"/>
  <c r="EW165" i="27"/>
  <c r="EX165" i="27"/>
  <c r="EY165" i="27"/>
  <c r="EZ165" i="27"/>
  <c r="EV109" i="27"/>
  <c r="EW109" i="27"/>
  <c r="EX109" i="27"/>
  <c r="EY109" i="27"/>
  <c r="EZ109" i="27"/>
  <c r="EV147" i="27"/>
  <c r="EW147" i="27"/>
  <c r="EX147" i="27"/>
  <c r="EY147" i="27"/>
  <c r="EZ147" i="27"/>
  <c r="EV154" i="27"/>
  <c r="EW154" i="27"/>
  <c r="EX154" i="27"/>
  <c r="EY154" i="27"/>
  <c r="EZ154" i="27"/>
  <c r="EV155" i="27"/>
  <c r="EW155" i="27"/>
  <c r="EX155" i="27"/>
  <c r="EY155" i="27"/>
  <c r="EZ155" i="27"/>
  <c r="EV148" i="27"/>
  <c r="EW148" i="27"/>
  <c r="EX148" i="27"/>
  <c r="EY148" i="27"/>
  <c r="EZ148" i="27"/>
  <c r="EV156" i="27"/>
  <c r="EW156" i="27"/>
  <c r="EX156" i="27"/>
  <c r="EY156" i="27"/>
  <c r="EZ156" i="27"/>
  <c r="EV139" i="27"/>
  <c r="EW139" i="27"/>
  <c r="EX139" i="27"/>
  <c r="EY139" i="27"/>
  <c r="EZ139" i="27"/>
  <c r="EV131" i="27"/>
  <c r="EW131" i="27"/>
  <c r="EX131" i="27"/>
  <c r="EY131" i="27"/>
  <c r="EZ131" i="27"/>
  <c r="EV116" i="27"/>
  <c r="EW116" i="27"/>
  <c r="EX116" i="27"/>
  <c r="EY116" i="27"/>
  <c r="EZ116" i="27"/>
  <c r="EV129" i="27"/>
  <c r="EW129" i="27"/>
  <c r="EX129" i="27"/>
  <c r="EY129" i="27"/>
  <c r="EZ129" i="27"/>
  <c r="EV134" i="27"/>
  <c r="EW134" i="27"/>
  <c r="EX134" i="27"/>
  <c r="EY134" i="27"/>
  <c r="EZ134" i="27"/>
  <c r="EV124" i="27"/>
  <c r="EW124" i="27"/>
  <c r="EX124" i="27"/>
  <c r="EY124" i="27"/>
  <c r="EZ124" i="27"/>
  <c r="EV157" i="27"/>
  <c r="EW157" i="27"/>
  <c r="EX157" i="27"/>
  <c r="EY157" i="27"/>
  <c r="EZ157" i="27"/>
  <c r="EV140" i="27"/>
  <c r="EW140" i="27"/>
  <c r="EX140" i="27"/>
  <c r="EY140" i="27"/>
  <c r="EZ140" i="27"/>
  <c r="EV84" i="27"/>
  <c r="EW84" i="27"/>
  <c r="EX84" i="27"/>
  <c r="EY84" i="27"/>
  <c r="EZ84" i="27"/>
  <c r="EV92" i="27"/>
  <c r="EW92" i="27"/>
  <c r="EX92" i="27"/>
  <c r="EY92" i="27"/>
  <c r="EZ92" i="27"/>
  <c r="EV177" i="27"/>
  <c r="EW177" i="27"/>
  <c r="EX177" i="27"/>
  <c r="EY177" i="27"/>
  <c r="EZ177" i="27"/>
  <c r="EV121" i="27"/>
  <c r="EW121" i="27"/>
  <c r="EX121" i="27"/>
  <c r="EY121" i="27"/>
  <c r="EZ121" i="27"/>
  <c r="EV180" i="27"/>
  <c r="EW180" i="27"/>
  <c r="EX180" i="27"/>
  <c r="EY180" i="27"/>
  <c r="EZ180" i="27"/>
  <c r="EV181" i="27"/>
  <c r="EW181" i="27"/>
  <c r="EX181" i="27"/>
  <c r="EY181" i="27"/>
  <c r="EZ181" i="27"/>
  <c r="EV94" i="27"/>
  <c r="EW94" i="27"/>
  <c r="EX94" i="27"/>
  <c r="EY94" i="27"/>
  <c r="EZ94" i="27"/>
  <c r="EV132" i="27"/>
  <c r="EW132" i="27"/>
  <c r="EX132" i="27"/>
  <c r="EY132" i="27"/>
  <c r="EZ132" i="27"/>
  <c r="EV164" i="27"/>
  <c r="EW164" i="27"/>
  <c r="EX164" i="27"/>
  <c r="EY164" i="27"/>
  <c r="EZ164" i="27"/>
  <c r="EV158" i="27"/>
  <c r="EW158" i="27"/>
  <c r="EX158" i="27"/>
  <c r="EY158" i="27"/>
  <c r="EZ158" i="27"/>
  <c r="EV110" i="27"/>
  <c r="EW110" i="27"/>
  <c r="EX110" i="27"/>
  <c r="EY110" i="27"/>
  <c r="EZ110" i="27"/>
  <c r="EV138" i="27"/>
  <c r="EW138" i="27"/>
  <c r="EX138" i="27"/>
  <c r="EY138" i="27"/>
  <c r="EZ138" i="27"/>
  <c r="EV183" i="27"/>
  <c r="EW183" i="27"/>
  <c r="EX183" i="27"/>
  <c r="EY183" i="27"/>
  <c r="EZ183" i="27"/>
  <c r="EV103" i="27"/>
  <c r="EW103" i="27"/>
  <c r="EX103" i="27"/>
  <c r="EY103" i="27"/>
  <c r="EZ103" i="27"/>
  <c r="EV182" i="27"/>
  <c r="EW182" i="27"/>
  <c r="EX182" i="27"/>
  <c r="EY182" i="27"/>
  <c r="EZ182" i="27"/>
  <c r="EV170" i="27"/>
  <c r="EW170" i="27"/>
  <c r="EX170" i="27"/>
  <c r="EY170" i="27"/>
  <c r="EZ170" i="27"/>
  <c r="EV171" i="27"/>
  <c r="EW171" i="27"/>
  <c r="EX171" i="27"/>
  <c r="EY171" i="27"/>
  <c r="EZ171" i="27"/>
  <c r="EV159" i="27"/>
  <c r="EW159" i="27"/>
  <c r="EX159" i="27"/>
  <c r="EY159" i="27"/>
  <c r="EZ159" i="27"/>
  <c r="EV167" i="27"/>
  <c r="EW167" i="27"/>
  <c r="EX167" i="27"/>
  <c r="EY167" i="27"/>
  <c r="EZ167" i="27"/>
  <c r="EV169" i="27"/>
  <c r="EW169" i="27"/>
  <c r="EX169" i="27"/>
  <c r="EY169" i="27"/>
  <c r="EZ169" i="27"/>
  <c r="EV89" i="27"/>
  <c r="EW89" i="27"/>
  <c r="EX89" i="27"/>
  <c r="EY89" i="27"/>
  <c r="EZ89" i="27"/>
  <c r="EV102" i="27"/>
  <c r="EW102" i="27"/>
  <c r="EX102" i="27"/>
  <c r="EY102" i="27"/>
  <c r="EZ102" i="27"/>
  <c r="EV85" i="27"/>
  <c r="EW85" i="27"/>
  <c r="EX85" i="27"/>
  <c r="EY85" i="27"/>
  <c r="EZ85" i="27"/>
  <c r="EV98" i="27"/>
  <c r="EW98" i="27"/>
  <c r="EX98" i="27"/>
  <c r="EY98" i="27"/>
  <c r="EZ98" i="27"/>
  <c r="EV112" i="27"/>
  <c r="EW112" i="27"/>
  <c r="EX112" i="27"/>
  <c r="EY112" i="27"/>
  <c r="EZ112" i="27"/>
  <c r="EV166" i="27"/>
  <c r="EW166" i="27"/>
  <c r="EX166" i="27"/>
  <c r="EY166" i="27"/>
  <c r="EZ166" i="27"/>
  <c r="EV90" i="27"/>
  <c r="EW90" i="27"/>
  <c r="EX90" i="27"/>
  <c r="EY90" i="27"/>
  <c r="EZ90" i="27"/>
  <c r="EV104" i="27"/>
  <c r="EW104" i="27"/>
  <c r="EX104" i="27"/>
  <c r="EY104" i="27"/>
  <c r="EZ104" i="27"/>
  <c r="EV99" i="27"/>
  <c r="EW99" i="27"/>
  <c r="EX99" i="27"/>
  <c r="EY99" i="27"/>
  <c r="EZ99" i="27"/>
  <c r="EV142" i="27"/>
  <c r="EW142" i="27"/>
  <c r="EX142" i="27"/>
  <c r="EY142" i="27"/>
  <c r="EZ142" i="27"/>
  <c r="EV126" i="27"/>
  <c r="EW126" i="27"/>
  <c r="EX126" i="27"/>
  <c r="EY126" i="27"/>
  <c r="EZ126" i="27"/>
  <c r="EV106" i="27"/>
  <c r="EW106" i="27"/>
  <c r="EX106" i="27"/>
  <c r="EY106" i="27"/>
  <c r="EZ106" i="27"/>
  <c r="EV176" i="27"/>
  <c r="EW176" i="27"/>
  <c r="EX176" i="27"/>
  <c r="EY176" i="27"/>
  <c r="EZ176" i="27"/>
  <c r="EV163" i="27"/>
  <c r="EW163" i="27"/>
  <c r="EX163" i="27"/>
  <c r="EY163" i="27"/>
  <c r="EZ163" i="27"/>
  <c r="EV130" i="27"/>
  <c r="EW130" i="27"/>
  <c r="EX130" i="27"/>
  <c r="EY130" i="27"/>
  <c r="EZ130" i="27"/>
  <c r="EV172" i="27"/>
  <c r="EW172" i="27"/>
  <c r="EX172" i="27"/>
  <c r="EY172" i="27"/>
  <c r="EZ172" i="27"/>
  <c r="EV184" i="27"/>
  <c r="EW184" i="27"/>
  <c r="EX184" i="27"/>
  <c r="EY184" i="27"/>
  <c r="EZ184" i="27"/>
  <c r="EV117" i="27"/>
  <c r="EW117" i="27"/>
  <c r="EX117" i="27"/>
  <c r="EY117" i="27"/>
  <c r="EZ117" i="27"/>
  <c r="EV111" i="27"/>
  <c r="EW111" i="27"/>
  <c r="EX111" i="27"/>
  <c r="EY111" i="27"/>
  <c r="EZ111" i="27"/>
  <c r="EV122" i="27"/>
  <c r="EW122" i="27"/>
  <c r="EX122" i="27"/>
  <c r="EY122" i="27"/>
  <c r="EZ122" i="27"/>
  <c r="EV123" i="27"/>
  <c r="EW123" i="27"/>
  <c r="EX123" i="27"/>
  <c r="EY123" i="27"/>
  <c r="EZ123" i="27"/>
  <c r="EV79" i="27"/>
  <c r="EW79" i="27"/>
  <c r="EX79" i="27"/>
  <c r="EY79" i="27"/>
  <c r="EZ79" i="27"/>
  <c r="EV137" i="27"/>
  <c r="EW137" i="27"/>
  <c r="EX137" i="27"/>
  <c r="EY137" i="27"/>
  <c r="EZ137" i="27"/>
  <c r="EV179" i="27"/>
  <c r="EW179" i="27"/>
  <c r="EX179" i="27"/>
  <c r="EY179" i="27"/>
  <c r="EZ179" i="27"/>
  <c r="EV145" i="27"/>
  <c r="EW145" i="27"/>
  <c r="EX145" i="27"/>
  <c r="EY145" i="27"/>
  <c r="EZ145" i="27"/>
  <c r="EV114" i="27"/>
  <c r="EW114" i="27"/>
  <c r="EX114" i="27"/>
  <c r="EY114" i="27"/>
  <c r="EZ114" i="27"/>
  <c r="EV153" i="27"/>
  <c r="EW153" i="27"/>
  <c r="EX153" i="27"/>
  <c r="EY153" i="27"/>
  <c r="EZ153" i="27"/>
  <c r="EV97" i="27"/>
  <c r="EW97" i="27"/>
  <c r="EX97" i="27"/>
  <c r="EY97" i="27"/>
  <c r="EZ97" i="27"/>
  <c r="EV105" i="27"/>
  <c r="EW105" i="27"/>
  <c r="EX105" i="27"/>
  <c r="EY105" i="27"/>
  <c r="EZ105" i="27"/>
  <c r="EV186" i="27"/>
  <c r="EW186" i="27"/>
  <c r="EX186" i="27"/>
  <c r="EY186" i="27"/>
  <c r="EZ186" i="27"/>
  <c r="EV149" i="27"/>
  <c r="EW149" i="27"/>
  <c r="EX149" i="27"/>
  <c r="EY149" i="27"/>
  <c r="EZ149" i="27"/>
  <c r="EV82" i="27"/>
  <c r="EW82" i="27"/>
  <c r="EX82" i="27"/>
  <c r="EY82" i="27"/>
  <c r="EZ82" i="27"/>
  <c r="EV78" i="27"/>
  <c r="EW78" i="27"/>
  <c r="EX78" i="27"/>
  <c r="EY78" i="27"/>
  <c r="EZ78" i="27"/>
  <c r="EV107" i="27"/>
  <c r="EW107" i="27"/>
  <c r="EX107" i="27"/>
  <c r="EY107" i="27"/>
  <c r="EZ107" i="27"/>
  <c r="EV108" i="27"/>
  <c r="EW108" i="27"/>
  <c r="EX108" i="27"/>
  <c r="EY108" i="27"/>
  <c r="EZ108" i="27"/>
  <c r="EV185" i="27"/>
  <c r="EW185" i="27"/>
  <c r="EX185" i="27"/>
  <c r="EY185" i="27"/>
  <c r="EZ185" i="27"/>
  <c r="EV83" i="27"/>
  <c r="EW83" i="27"/>
  <c r="EX83" i="27"/>
  <c r="EY83" i="27"/>
  <c r="EZ83" i="27"/>
  <c r="EV168" i="27"/>
  <c r="EW168" i="27"/>
  <c r="EX168" i="27"/>
  <c r="EY168" i="27"/>
  <c r="EZ168" i="27"/>
  <c r="EV127" i="27"/>
  <c r="EW127" i="27"/>
  <c r="EX127" i="27"/>
  <c r="EY127" i="27"/>
  <c r="EZ127" i="27"/>
  <c r="EV160" i="27"/>
  <c r="EW160" i="27"/>
  <c r="EX160" i="27"/>
  <c r="EY160" i="27"/>
  <c r="EZ160" i="27"/>
  <c r="EV151" i="27"/>
  <c r="EW151" i="27"/>
  <c r="EX151" i="27"/>
  <c r="EY151" i="27"/>
  <c r="EZ151" i="27"/>
  <c r="EV173" i="27"/>
  <c r="EW173" i="27"/>
  <c r="EX173" i="27"/>
  <c r="EY173" i="27"/>
  <c r="EZ173" i="27"/>
  <c r="EV91" i="27"/>
  <c r="EW91" i="27"/>
  <c r="EX91" i="27"/>
  <c r="EY91" i="27"/>
  <c r="EZ91" i="27"/>
  <c r="EV95" i="27"/>
  <c r="EW95" i="27"/>
  <c r="EX95" i="27"/>
  <c r="EY95" i="27"/>
  <c r="EZ95" i="27"/>
  <c r="EV161" i="27"/>
  <c r="EW161" i="27"/>
  <c r="EX161" i="27"/>
  <c r="EY161" i="27"/>
  <c r="EZ161" i="27"/>
  <c r="EV174" i="27"/>
  <c r="EW174" i="27"/>
  <c r="EX174" i="27"/>
  <c r="EY174" i="27"/>
  <c r="EZ174" i="27"/>
  <c r="EV143" i="27"/>
  <c r="EW143" i="27"/>
  <c r="EX143" i="27"/>
  <c r="EY143" i="27"/>
  <c r="EZ143" i="27"/>
  <c r="EV136" i="27"/>
  <c r="EW136" i="27"/>
  <c r="EX136" i="27"/>
  <c r="EY136" i="27"/>
  <c r="EZ136" i="27"/>
  <c r="EV162" i="27"/>
  <c r="EW162" i="27"/>
  <c r="EX162" i="27"/>
  <c r="EY162" i="27"/>
  <c r="EZ162" i="27"/>
  <c r="EV178" i="27"/>
  <c r="EW178" i="27"/>
  <c r="EX178" i="27"/>
  <c r="EY178" i="27"/>
  <c r="EZ178" i="27"/>
  <c r="EV128" i="27"/>
  <c r="EW128" i="27"/>
  <c r="EX128" i="27"/>
  <c r="EY128" i="27"/>
  <c r="EZ128" i="27"/>
  <c r="EV175" i="27"/>
  <c r="EW175" i="27"/>
  <c r="EX175" i="27"/>
  <c r="EY175" i="27"/>
  <c r="EZ175" i="27"/>
  <c r="EV141" i="27"/>
  <c r="EW141" i="27"/>
  <c r="EX141" i="27"/>
  <c r="EY141" i="27"/>
  <c r="EZ141" i="27"/>
  <c r="EV133" i="27"/>
  <c r="EW133" i="27"/>
  <c r="EX133" i="27"/>
  <c r="EY133" i="27"/>
  <c r="EZ133" i="27"/>
  <c r="EV113" i="27"/>
  <c r="EW113" i="27"/>
  <c r="EX113" i="27"/>
  <c r="EY113" i="27"/>
  <c r="EZ113" i="27"/>
  <c r="EV81" i="27"/>
  <c r="EW81" i="27"/>
  <c r="EX81" i="27"/>
  <c r="EY81" i="27"/>
  <c r="EZ81" i="27"/>
  <c r="EV93" i="27"/>
  <c r="EW93" i="27"/>
  <c r="EX93" i="27"/>
  <c r="EY93" i="27"/>
  <c r="EZ93" i="27"/>
  <c r="EV86" i="27"/>
  <c r="EW86" i="27"/>
  <c r="EX86" i="27"/>
  <c r="EY86" i="27"/>
  <c r="EZ86" i="27"/>
  <c r="EV118" i="27"/>
  <c r="EW118" i="27"/>
  <c r="EX118" i="27"/>
  <c r="EY118" i="27"/>
  <c r="EZ118" i="27"/>
  <c r="EV144" i="27"/>
  <c r="EW144" i="27"/>
  <c r="EX144" i="27"/>
  <c r="EY144" i="27"/>
  <c r="EZ144" i="27"/>
  <c r="EV115" i="27"/>
  <c r="EW115" i="27"/>
  <c r="EX115" i="27"/>
  <c r="EY115" i="27"/>
  <c r="EZ115" i="27"/>
  <c r="EV80" i="27"/>
  <c r="EW80" i="27"/>
  <c r="EX80" i="27"/>
  <c r="EY80" i="27"/>
  <c r="EZ80" i="27"/>
  <c r="EV150" i="27"/>
  <c r="EW150" i="27"/>
  <c r="EX150" i="27"/>
  <c r="EY150" i="27"/>
  <c r="EZ150" i="27"/>
  <c r="EW88" i="27"/>
  <c r="EX88" i="27"/>
  <c r="EY88" i="27"/>
  <c r="EZ88" i="27"/>
  <c r="EV88" i="27"/>
  <c r="EE109" i="27"/>
  <c r="EF109" i="27"/>
  <c r="EG109" i="27"/>
  <c r="EH109" i="27"/>
  <c r="EI109" i="27"/>
  <c r="EE147" i="27"/>
  <c r="EF147" i="27"/>
  <c r="EG147" i="27"/>
  <c r="EH147" i="27"/>
  <c r="EI147" i="27"/>
  <c r="EE154" i="27"/>
  <c r="EF154" i="27"/>
  <c r="EG154" i="27"/>
  <c r="EH154" i="27"/>
  <c r="EI154" i="27"/>
  <c r="EE155" i="27"/>
  <c r="EF155" i="27"/>
  <c r="EG155" i="27"/>
  <c r="EH155" i="27"/>
  <c r="EI155" i="27"/>
  <c r="EE148" i="27"/>
  <c r="EF148" i="27"/>
  <c r="EG148" i="27"/>
  <c r="EH148" i="27"/>
  <c r="EI148" i="27"/>
  <c r="EE156" i="27"/>
  <c r="EF156" i="27"/>
  <c r="EG156" i="27"/>
  <c r="EH156" i="27"/>
  <c r="EI156" i="27"/>
  <c r="EE139" i="27"/>
  <c r="EF139" i="27"/>
  <c r="EG139" i="27"/>
  <c r="EH139" i="27"/>
  <c r="EI139" i="27"/>
  <c r="EE131" i="27"/>
  <c r="EF131" i="27"/>
  <c r="EG131" i="27"/>
  <c r="EH131" i="27"/>
  <c r="EI131" i="27"/>
  <c r="EE116" i="27"/>
  <c r="EF116" i="27"/>
  <c r="EG116" i="27"/>
  <c r="EH116" i="27"/>
  <c r="EI116" i="27"/>
  <c r="EE129" i="27"/>
  <c r="EF129" i="27"/>
  <c r="EG129" i="27"/>
  <c r="EH129" i="27"/>
  <c r="EI129" i="27"/>
  <c r="EE134" i="27"/>
  <c r="EF134" i="27"/>
  <c r="EG134" i="27"/>
  <c r="EH134" i="27"/>
  <c r="EI134" i="27"/>
  <c r="EE124" i="27"/>
  <c r="EF124" i="27"/>
  <c r="EG124" i="27"/>
  <c r="EH124" i="27"/>
  <c r="EI124" i="27"/>
  <c r="EE157" i="27"/>
  <c r="EF157" i="27"/>
  <c r="EG157" i="27"/>
  <c r="EH157" i="27"/>
  <c r="EI157" i="27"/>
  <c r="EE140" i="27"/>
  <c r="EF140" i="27"/>
  <c r="EG140" i="27"/>
  <c r="EH140" i="27"/>
  <c r="EI140" i="27"/>
  <c r="EE84" i="27"/>
  <c r="EF84" i="27"/>
  <c r="EG84" i="27"/>
  <c r="EH84" i="27"/>
  <c r="EI84" i="27"/>
  <c r="EE92" i="27"/>
  <c r="EF92" i="27"/>
  <c r="EG92" i="27"/>
  <c r="EH92" i="27"/>
  <c r="EI92" i="27"/>
  <c r="EE177" i="27"/>
  <c r="EF177" i="27"/>
  <c r="EG177" i="27"/>
  <c r="EH177" i="27"/>
  <c r="EI177" i="27"/>
  <c r="EE121" i="27"/>
  <c r="EF121" i="27"/>
  <c r="EG121" i="27"/>
  <c r="EH121" i="27"/>
  <c r="EI121" i="27"/>
  <c r="EE180" i="27"/>
  <c r="EF180" i="27"/>
  <c r="EG180" i="27"/>
  <c r="EH180" i="27"/>
  <c r="EI180" i="27"/>
  <c r="EE181" i="27"/>
  <c r="EF181" i="27"/>
  <c r="EG181" i="27"/>
  <c r="EH181" i="27"/>
  <c r="EI181" i="27"/>
  <c r="EE94" i="27"/>
  <c r="EF94" i="27"/>
  <c r="EG94" i="27"/>
  <c r="EH94" i="27"/>
  <c r="EI94" i="27"/>
  <c r="EE132" i="27"/>
  <c r="EF132" i="27"/>
  <c r="EG132" i="27"/>
  <c r="EH132" i="27"/>
  <c r="EI132" i="27"/>
  <c r="EE164" i="27"/>
  <c r="EF164" i="27"/>
  <c r="EG164" i="27"/>
  <c r="EH164" i="27"/>
  <c r="EI164" i="27"/>
  <c r="EE158" i="27"/>
  <c r="EF158" i="27"/>
  <c r="EG158" i="27"/>
  <c r="EH158" i="27"/>
  <c r="EI158" i="27"/>
  <c r="EE110" i="27"/>
  <c r="EF110" i="27"/>
  <c r="EG110" i="27"/>
  <c r="EH110" i="27"/>
  <c r="EI110" i="27"/>
  <c r="EE138" i="27"/>
  <c r="EF138" i="27"/>
  <c r="EG138" i="27"/>
  <c r="EH138" i="27"/>
  <c r="EI138" i="27"/>
  <c r="EE183" i="27"/>
  <c r="EF183" i="27"/>
  <c r="EG183" i="27"/>
  <c r="EH183" i="27"/>
  <c r="EI183" i="27"/>
  <c r="EE103" i="27"/>
  <c r="EF103" i="27"/>
  <c r="EG103" i="27"/>
  <c r="EH103" i="27"/>
  <c r="EI103" i="27"/>
  <c r="EE182" i="27"/>
  <c r="EF182" i="27"/>
  <c r="EG182" i="27"/>
  <c r="EH182" i="27"/>
  <c r="EI182" i="27"/>
  <c r="EE170" i="27"/>
  <c r="EF170" i="27"/>
  <c r="EG170" i="27"/>
  <c r="EH170" i="27"/>
  <c r="EI170" i="27"/>
  <c r="EE171" i="27"/>
  <c r="EF171" i="27"/>
  <c r="EG171" i="27"/>
  <c r="EH171" i="27"/>
  <c r="EI171" i="27"/>
  <c r="EE159" i="27"/>
  <c r="EF159" i="27"/>
  <c r="EG159" i="27"/>
  <c r="EH159" i="27"/>
  <c r="EI159" i="27"/>
  <c r="EE167" i="27"/>
  <c r="EF167" i="27"/>
  <c r="EG167" i="27"/>
  <c r="EH167" i="27"/>
  <c r="EI167" i="27"/>
  <c r="EE169" i="27"/>
  <c r="EF169" i="27"/>
  <c r="EG169" i="27"/>
  <c r="EH169" i="27"/>
  <c r="EI169" i="27"/>
  <c r="EE89" i="27"/>
  <c r="EF89" i="27"/>
  <c r="EG89" i="27"/>
  <c r="EH89" i="27"/>
  <c r="EI89" i="27"/>
  <c r="EE102" i="27"/>
  <c r="EF102" i="27"/>
  <c r="EG102" i="27"/>
  <c r="EH102" i="27"/>
  <c r="EI102" i="27"/>
  <c r="EE85" i="27"/>
  <c r="EF85" i="27"/>
  <c r="EG85" i="27"/>
  <c r="EH85" i="27"/>
  <c r="EI85" i="27"/>
  <c r="EE98" i="27"/>
  <c r="EF98" i="27"/>
  <c r="EG98" i="27"/>
  <c r="EH98" i="27"/>
  <c r="EI98" i="27"/>
  <c r="EE112" i="27"/>
  <c r="EF112" i="27"/>
  <c r="EG112" i="27"/>
  <c r="EH112" i="27"/>
  <c r="EI112" i="27"/>
  <c r="EE166" i="27"/>
  <c r="EF166" i="27"/>
  <c r="EG166" i="27"/>
  <c r="EH166" i="27"/>
  <c r="EI166" i="27"/>
  <c r="EE90" i="27"/>
  <c r="EF90" i="27"/>
  <c r="EG90" i="27"/>
  <c r="EH90" i="27"/>
  <c r="EI90" i="27"/>
  <c r="EE104" i="27"/>
  <c r="EF104" i="27"/>
  <c r="EG104" i="27"/>
  <c r="EH104" i="27"/>
  <c r="EI104" i="27"/>
  <c r="EE99" i="27"/>
  <c r="EF99" i="27"/>
  <c r="EG99" i="27"/>
  <c r="EH99" i="27"/>
  <c r="EI99" i="27"/>
  <c r="EE142" i="27"/>
  <c r="EF142" i="27"/>
  <c r="EG142" i="27"/>
  <c r="EH142" i="27"/>
  <c r="EI142" i="27"/>
  <c r="EE126" i="27"/>
  <c r="EF126" i="27"/>
  <c r="EG126" i="27"/>
  <c r="EH126" i="27"/>
  <c r="EI126" i="27"/>
  <c r="EE106" i="27"/>
  <c r="EF106" i="27"/>
  <c r="EG106" i="27"/>
  <c r="EH106" i="27"/>
  <c r="EI106" i="27"/>
  <c r="EE176" i="27"/>
  <c r="EF176" i="27"/>
  <c r="EG176" i="27"/>
  <c r="EH176" i="27"/>
  <c r="EI176" i="27"/>
  <c r="EE163" i="27"/>
  <c r="EF163" i="27"/>
  <c r="EG163" i="27"/>
  <c r="EH163" i="27"/>
  <c r="EI163" i="27"/>
  <c r="EE130" i="27"/>
  <c r="EF130" i="27"/>
  <c r="EG130" i="27"/>
  <c r="EH130" i="27"/>
  <c r="EI130" i="27"/>
  <c r="EE172" i="27"/>
  <c r="EF172" i="27"/>
  <c r="EG172" i="27"/>
  <c r="EH172" i="27"/>
  <c r="EI172" i="27"/>
  <c r="EE184" i="27"/>
  <c r="EF184" i="27"/>
  <c r="EG184" i="27"/>
  <c r="EH184" i="27"/>
  <c r="EI184" i="27"/>
  <c r="EE117" i="27"/>
  <c r="EF117" i="27"/>
  <c r="EG117" i="27"/>
  <c r="EH117" i="27"/>
  <c r="EI117" i="27"/>
  <c r="EE111" i="27"/>
  <c r="EF111" i="27"/>
  <c r="EG111" i="27"/>
  <c r="EH111" i="27"/>
  <c r="EI111" i="27"/>
  <c r="EE122" i="27"/>
  <c r="EF122" i="27"/>
  <c r="EG122" i="27"/>
  <c r="EH122" i="27"/>
  <c r="EI122" i="27"/>
  <c r="EE123" i="27"/>
  <c r="EF123" i="27"/>
  <c r="EG123" i="27"/>
  <c r="EH123" i="27"/>
  <c r="EI123" i="27"/>
  <c r="EE79" i="27"/>
  <c r="EF79" i="27"/>
  <c r="EG79" i="27"/>
  <c r="EH79" i="27"/>
  <c r="EI79" i="27"/>
  <c r="EE137" i="27"/>
  <c r="EF137" i="27"/>
  <c r="EG137" i="27"/>
  <c r="EH137" i="27"/>
  <c r="EI137" i="27"/>
  <c r="EE179" i="27"/>
  <c r="EF179" i="27"/>
  <c r="EG179" i="27"/>
  <c r="EH179" i="27"/>
  <c r="EI179" i="27"/>
  <c r="EE145" i="27"/>
  <c r="EF145" i="27"/>
  <c r="EG145" i="27"/>
  <c r="EH145" i="27"/>
  <c r="EI145" i="27"/>
  <c r="EE114" i="27"/>
  <c r="EF114" i="27"/>
  <c r="EG114" i="27"/>
  <c r="EH114" i="27"/>
  <c r="EI114" i="27"/>
  <c r="EE153" i="27"/>
  <c r="EF153" i="27"/>
  <c r="EG153" i="27"/>
  <c r="EH153" i="27"/>
  <c r="EI153" i="27"/>
  <c r="EE97" i="27"/>
  <c r="EF97" i="27"/>
  <c r="EG97" i="27"/>
  <c r="EH97" i="27"/>
  <c r="EI97" i="27"/>
  <c r="EE105" i="27"/>
  <c r="EF105" i="27"/>
  <c r="EG105" i="27"/>
  <c r="EH105" i="27"/>
  <c r="EI105" i="27"/>
  <c r="EE186" i="27"/>
  <c r="EF186" i="27"/>
  <c r="EG186" i="27"/>
  <c r="EH186" i="27"/>
  <c r="EI186" i="27"/>
  <c r="EE149" i="27"/>
  <c r="EF149" i="27"/>
  <c r="EG149" i="27"/>
  <c r="EH149" i="27"/>
  <c r="EI149" i="27"/>
  <c r="EE82" i="27"/>
  <c r="EF82" i="27"/>
  <c r="EG82" i="27"/>
  <c r="EH82" i="27"/>
  <c r="EI82" i="27"/>
  <c r="EE78" i="27"/>
  <c r="EF78" i="27"/>
  <c r="EG78" i="27"/>
  <c r="EH78" i="27"/>
  <c r="EI78" i="27"/>
  <c r="EE107" i="27"/>
  <c r="EF107" i="27"/>
  <c r="EG107" i="27"/>
  <c r="EH107" i="27"/>
  <c r="EI107" i="27"/>
  <c r="EE108" i="27"/>
  <c r="EF108" i="27"/>
  <c r="EG108" i="27"/>
  <c r="EH108" i="27"/>
  <c r="EI108" i="27"/>
  <c r="EE185" i="27"/>
  <c r="EF185" i="27"/>
  <c r="EG185" i="27"/>
  <c r="EH185" i="27"/>
  <c r="EI185" i="27"/>
  <c r="EE83" i="27"/>
  <c r="EF83" i="27"/>
  <c r="EG83" i="27"/>
  <c r="EH83" i="27"/>
  <c r="EI83" i="27"/>
  <c r="EE168" i="27"/>
  <c r="EF168" i="27"/>
  <c r="EG168" i="27"/>
  <c r="EH168" i="27"/>
  <c r="EI168" i="27"/>
  <c r="EE127" i="27"/>
  <c r="EF127" i="27"/>
  <c r="EG127" i="27"/>
  <c r="EH127" i="27"/>
  <c r="EI127" i="27"/>
  <c r="EE160" i="27"/>
  <c r="EF160" i="27"/>
  <c r="EG160" i="27"/>
  <c r="EH160" i="27"/>
  <c r="EI160" i="27"/>
  <c r="EE151" i="27"/>
  <c r="EF151" i="27"/>
  <c r="EG151" i="27"/>
  <c r="EH151" i="27"/>
  <c r="EI151" i="27"/>
  <c r="EE173" i="27"/>
  <c r="EF173" i="27"/>
  <c r="EG173" i="27"/>
  <c r="EH173" i="27"/>
  <c r="EI173" i="27"/>
  <c r="EE91" i="27"/>
  <c r="EF91" i="27"/>
  <c r="EG91" i="27"/>
  <c r="EH91" i="27"/>
  <c r="EI91" i="27"/>
  <c r="EE95" i="27"/>
  <c r="EF95" i="27"/>
  <c r="EG95" i="27"/>
  <c r="EH95" i="27"/>
  <c r="EI95" i="27"/>
  <c r="EE161" i="27"/>
  <c r="EF161" i="27"/>
  <c r="EG161" i="27"/>
  <c r="EH161" i="27"/>
  <c r="EI161" i="27"/>
  <c r="EE174" i="27"/>
  <c r="EF174" i="27"/>
  <c r="EG174" i="27"/>
  <c r="EH174" i="27"/>
  <c r="EI174" i="27"/>
  <c r="EE143" i="27"/>
  <c r="EF143" i="27"/>
  <c r="EG143" i="27"/>
  <c r="EH143" i="27"/>
  <c r="EI143" i="27"/>
  <c r="EE136" i="27"/>
  <c r="EF136" i="27"/>
  <c r="EG136" i="27"/>
  <c r="EH136" i="27"/>
  <c r="EI136" i="27"/>
  <c r="EE162" i="27"/>
  <c r="EF162" i="27"/>
  <c r="EG162" i="27"/>
  <c r="EH162" i="27"/>
  <c r="EI162" i="27"/>
  <c r="EE178" i="27"/>
  <c r="EF178" i="27"/>
  <c r="EG178" i="27"/>
  <c r="EH178" i="27"/>
  <c r="EI178" i="27"/>
  <c r="EE128" i="27"/>
  <c r="EF128" i="27"/>
  <c r="EG128" i="27"/>
  <c r="EH128" i="27"/>
  <c r="EI128" i="27"/>
  <c r="EE175" i="27"/>
  <c r="EF175" i="27"/>
  <c r="EG175" i="27"/>
  <c r="EH175" i="27"/>
  <c r="EI175" i="27"/>
  <c r="EE141" i="27"/>
  <c r="EF141" i="27"/>
  <c r="EG141" i="27"/>
  <c r="EH141" i="27"/>
  <c r="EI141" i="27"/>
  <c r="EE133" i="27"/>
  <c r="EF133" i="27"/>
  <c r="EG133" i="27"/>
  <c r="EH133" i="27"/>
  <c r="EI133" i="27"/>
  <c r="EE113" i="27"/>
  <c r="EF113" i="27"/>
  <c r="EG113" i="27"/>
  <c r="EH113" i="27"/>
  <c r="EI113" i="27"/>
  <c r="EE81" i="27"/>
  <c r="EF81" i="27"/>
  <c r="EG81" i="27"/>
  <c r="EH81" i="27"/>
  <c r="EI81" i="27"/>
  <c r="EE93" i="27"/>
  <c r="EF93" i="27"/>
  <c r="EG93" i="27"/>
  <c r="EH93" i="27"/>
  <c r="EI93" i="27"/>
  <c r="EE86" i="27"/>
  <c r="EF86" i="27"/>
  <c r="EG86" i="27"/>
  <c r="EH86" i="27"/>
  <c r="EI86" i="27"/>
  <c r="EE118" i="27"/>
  <c r="EF118" i="27"/>
  <c r="EG118" i="27"/>
  <c r="EH118" i="27"/>
  <c r="EI118" i="27"/>
  <c r="EE144" i="27"/>
  <c r="EF144" i="27"/>
  <c r="EG144" i="27"/>
  <c r="EH144" i="27"/>
  <c r="EI144" i="27"/>
  <c r="EE115" i="27"/>
  <c r="EF115" i="27"/>
  <c r="EG115" i="27"/>
  <c r="EH115" i="27"/>
  <c r="EI115" i="27"/>
  <c r="EE80" i="27"/>
  <c r="EF80" i="27"/>
  <c r="EG80" i="27"/>
  <c r="EH80" i="27"/>
  <c r="EI80" i="27"/>
  <c r="EE150" i="27"/>
  <c r="EF150" i="27"/>
  <c r="EG150" i="27"/>
  <c r="EH150" i="27"/>
  <c r="EI150" i="27"/>
  <c r="EE152" i="27"/>
  <c r="EF152" i="27"/>
  <c r="EG152" i="27"/>
  <c r="EH152" i="27"/>
  <c r="EI152" i="27"/>
  <c r="EE100" i="27"/>
  <c r="EF100" i="27"/>
  <c r="EG100" i="27"/>
  <c r="EH100" i="27"/>
  <c r="EI100" i="27"/>
  <c r="EE101" i="27"/>
  <c r="EF101" i="27"/>
  <c r="EG101" i="27"/>
  <c r="EH101" i="27"/>
  <c r="EI101" i="27"/>
  <c r="EE96" i="27"/>
  <c r="EF96" i="27"/>
  <c r="EG96" i="27"/>
  <c r="EH96" i="27"/>
  <c r="EI96" i="27"/>
  <c r="EE146" i="27"/>
  <c r="EF146" i="27"/>
  <c r="EG146" i="27"/>
  <c r="EH146" i="27"/>
  <c r="EI146" i="27"/>
  <c r="EE87" i="27"/>
  <c r="EF87" i="27"/>
  <c r="EG87" i="27"/>
  <c r="EH87" i="27"/>
  <c r="EI87" i="27"/>
  <c r="EE119" i="27"/>
  <c r="EF119" i="27"/>
  <c r="EG119" i="27"/>
  <c r="EH119" i="27"/>
  <c r="EI119" i="27"/>
  <c r="EE120" i="27"/>
  <c r="EF120" i="27"/>
  <c r="EG120" i="27"/>
  <c r="EH120" i="27"/>
  <c r="EI120" i="27"/>
  <c r="EE187" i="27"/>
  <c r="EF187" i="27"/>
  <c r="EG187" i="27"/>
  <c r="EH187" i="27"/>
  <c r="EI187" i="27"/>
  <c r="EE135" i="27"/>
  <c r="EF135" i="27"/>
  <c r="EG135" i="27"/>
  <c r="EH135" i="27"/>
  <c r="EI135" i="27"/>
  <c r="EE125" i="27"/>
  <c r="EF125" i="27"/>
  <c r="EG125" i="27"/>
  <c r="EH125" i="27"/>
  <c r="EI125" i="27"/>
  <c r="EE165" i="27"/>
  <c r="EF165" i="27"/>
  <c r="EG165" i="27"/>
  <c r="EH165" i="27"/>
  <c r="EI165" i="27"/>
  <c r="EF88" i="27"/>
  <c r="EG88" i="27"/>
  <c r="EH88" i="27"/>
  <c r="EI88" i="27"/>
  <c r="EE88" i="27"/>
  <c r="E78" i="4" l="1"/>
  <c r="D16" i="22"/>
  <c r="G56" i="2" l="1"/>
  <c r="D61" i="2"/>
  <c r="D60" i="2"/>
  <c r="D59" i="2"/>
  <c r="W40" i="32" l="1"/>
  <c r="ET80" i="27"/>
  <c r="ET150" i="27"/>
  <c r="ET152" i="27"/>
  <c r="ET100" i="27"/>
  <c r="ET101" i="27"/>
  <c r="ET96" i="27"/>
  <c r="ET146" i="27"/>
  <c r="ET87" i="27"/>
  <c r="ET119" i="27"/>
  <c r="ET120" i="27"/>
  <c r="ET187" i="27"/>
  <c r="ET135" i="27"/>
  <c r="ET125" i="27"/>
  <c r="ET165" i="27"/>
  <c r="ET109" i="27"/>
  <c r="ET147" i="27"/>
  <c r="ET154" i="27"/>
  <c r="ET155" i="27"/>
  <c r="ET148" i="27"/>
  <c r="ET156" i="27"/>
  <c r="ET139" i="27"/>
  <c r="ET131" i="27"/>
  <c r="ET116" i="27"/>
  <c r="ET129" i="27"/>
  <c r="ET134" i="27"/>
  <c r="ET124" i="27"/>
  <c r="ET157" i="27"/>
  <c r="ET140" i="27"/>
  <c r="ET84" i="27"/>
  <c r="ET92" i="27"/>
  <c r="ET177" i="27"/>
  <c r="ET121" i="27"/>
  <c r="ET180" i="27"/>
  <c r="ET181" i="27"/>
  <c r="ET94" i="27"/>
  <c r="ET132" i="27"/>
  <c r="ET164" i="27"/>
  <c r="ET158" i="27"/>
  <c r="ET110" i="27"/>
  <c r="ET138" i="27"/>
  <c r="ET183" i="27"/>
  <c r="ET103" i="27"/>
  <c r="ET182" i="27"/>
  <c r="ET170" i="27"/>
  <c r="ET171" i="27"/>
  <c r="ET159" i="27"/>
  <c r="ET167" i="27"/>
  <c r="ET169" i="27"/>
  <c r="ET89" i="27"/>
  <c r="ET102" i="27"/>
  <c r="ET85" i="27"/>
  <c r="ET98" i="27"/>
  <c r="ET112" i="27"/>
  <c r="ET166" i="27"/>
  <c r="ET90" i="27"/>
  <c r="ET104" i="27"/>
  <c r="ET99" i="27"/>
  <c r="ET142" i="27"/>
  <c r="ET126" i="27"/>
  <c r="ET106" i="27"/>
  <c r="ET176" i="27"/>
  <c r="ET163" i="27"/>
  <c r="ET130" i="27"/>
  <c r="ET172" i="27"/>
  <c r="ET184" i="27"/>
  <c r="ET117" i="27"/>
  <c r="ET111" i="27"/>
  <c r="ET122" i="27"/>
  <c r="ET123" i="27"/>
  <c r="ET79" i="27"/>
  <c r="ET137" i="27"/>
  <c r="ET179" i="27"/>
  <c r="ET145" i="27"/>
  <c r="ET114" i="27"/>
  <c r="ET153" i="27"/>
  <c r="ET97" i="27"/>
  <c r="ET105" i="27"/>
  <c r="ET186" i="27"/>
  <c r="ET149" i="27"/>
  <c r="ET82" i="27"/>
  <c r="ET78" i="27"/>
  <c r="ET107" i="27"/>
  <c r="ET108" i="27"/>
  <c r="ET185" i="27"/>
  <c r="ET83" i="27"/>
  <c r="ET168" i="27"/>
  <c r="ET127" i="27"/>
  <c r="ET160" i="27"/>
  <c r="ET151" i="27"/>
  <c r="ET173" i="27"/>
  <c r="ET91" i="27"/>
  <c r="ET95" i="27"/>
  <c r="ET161" i="27"/>
  <c r="ET174" i="27"/>
  <c r="ET143" i="27"/>
  <c r="ET136" i="27"/>
  <c r="ET162" i="27"/>
  <c r="ET178" i="27"/>
  <c r="ET128" i="27"/>
  <c r="ET175" i="27"/>
  <c r="ET141" i="27"/>
  <c r="ET133" i="27"/>
  <c r="ET113" i="27"/>
  <c r="ET81" i="27"/>
  <c r="ET93" i="27"/>
  <c r="ET86" i="27"/>
  <c r="ET118" i="27"/>
  <c r="ET144" i="27"/>
  <c r="ET115" i="27"/>
  <c r="ET88" i="27"/>
  <c r="EO88" i="27"/>
  <c r="EO80" i="27"/>
  <c r="EO150" i="27"/>
  <c r="EO152" i="27"/>
  <c r="EO100" i="27"/>
  <c r="EO101" i="27"/>
  <c r="EO96" i="27"/>
  <c r="EO146" i="27"/>
  <c r="EO87" i="27"/>
  <c r="EO119" i="27"/>
  <c r="EO120" i="27"/>
  <c r="EO187" i="27"/>
  <c r="EO135" i="27"/>
  <c r="EO125" i="27"/>
  <c r="EO165" i="27"/>
  <c r="EO109" i="27"/>
  <c r="EO147" i="27"/>
  <c r="EO154" i="27"/>
  <c r="EO155" i="27"/>
  <c r="EO148" i="27"/>
  <c r="EO156" i="27"/>
  <c r="EO139" i="27"/>
  <c r="EO131" i="27"/>
  <c r="EO116" i="27"/>
  <c r="EO129" i="27"/>
  <c r="EO134" i="27"/>
  <c r="EO124" i="27"/>
  <c r="EO157" i="27"/>
  <c r="EO140" i="27"/>
  <c r="EO84" i="27"/>
  <c r="EO92" i="27"/>
  <c r="EO177" i="27"/>
  <c r="EO121" i="27"/>
  <c r="EO180" i="27"/>
  <c r="EO181" i="27"/>
  <c r="EO94" i="27"/>
  <c r="EO132" i="27"/>
  <c r="EO164" i="27"/>
  <c r="EO158" i="27"/>
  <c r="EO110" i="27"/>
  <c r="EO138" i="27"/>
  <c r="EO183" i="27"/>
  <c r="EO103" i="27"/>
  <c r="EO182" i="27"/>
  <c r="EO170" i="27"/>
  <c r="EO171" i="27"/>
  <c r="EO159" i="27"/>
  <c r="EO167" i="27"/>
  <c r="EO169" i="27"/>
  <c r="EO89" i="27"/>
  <c r="EO102" i="27"/>
  <c r="EO85" i="27"/>
  <c r="EO98" i="27"/>
  <c r="EO112" i="27"/>
  <c r="EO166" i="27"/>
  <c r="EO90" i="27"/>
  <c r="EO104" i="27"/>
  <c r="EO99" i="27"/>
  <c r="EO142" i="27"/>
  <c r="EO126" i="27"/>
  <c r="EO106" i="27"/>
  <c r="EO176" i="27"/>
  <c r="EO163" i="27"/>
  <c r="EO130" i="27"/>
  <c r="EO172" i="27"/>
  <c r="EO184" i="27"/>
  <c r="EO117" i="27"/>
  <c r="EO111" i="27"/>
  <c r="EO122" i="27"/>
  <c r="EO123" i="27"/>
  <c r="EO79" i="27"/>
  <c r="EO137" i="27"/>
  <c r="EO179" i="27"/>
  <c r="EO145" i="27"/>
  <c r="EO114" i="27"/>
  <c r="EO153" i="27"/>
  <c r="EO97" i="27"/>
  <c r="EO105" i="27"/>
  <c r="EO186" i="27"/>
  <c r="EO149" i="27"/>
  <c r="EO82" i="27"/>
  <c r="EO78" i="27"/>
  <c r="EO107" i="27"/>
  <c r="EO108" i="27"/>
  <c r="EO185" i="27"/>
  <c r="EO83" i="27"/>
  <c r="EO168" i="27"/>
  <c r="EO127" i="27"/>
  <c r="EO160" i="27"/>
  <c r="EO151" i="27"/>
  <c r="EO173" i="27"/>
  <c r="EO91" i="27"/>
  <c r="EO95" i="27"/>
  <c r="EO161" i="27"/>
  <c r="EO174" i="27"/>
  <c r="EO143" i="27"/>
  <c r="EO136" i="27"/>
  <c r="EO162" i="27"/>
  <c r="EO178" i="27"/>
  <c r="EO128" i="27"/>
  <c r="EO175" i="27"/>
  <c r="EO141" i="27"/>
  <c r="EO133" i="27"/>
  <c r="EO113" i="27"/>
  <c r="EO81" i="27"/>
  <c r="EO93" i="27"/>
  <c r="EO86" i="27"/>
  <c r="EO118" i="27"/>
  <c r="EO144" i="27"/>
  <c r="EO115" i="27"/>
  <c r="FD119" i="27"/>
  <c r="FD120" i="27"/>
  <c r="FD187" i="27"/>
  <c r="FD87" i="27"/>
  <c r="FD80" i="27"/>
  <c r="FD150" i="27"/>
  <c r="FD152" i="27"/>
  <c r="FD100" i="27"/>
  <c r="FD101" i="27"/>
  <c r="FD96" i="27"/>
  <c r="FD146" i="27"/>
  <c r="FD135" i="27"/>
  <c r="FD125" i="27"/>
  <c r="FD165" i="27"/>
  <c r="FD109" i="27"/>
  <c r="FD147" i="27"/>
  <c r="FD154" i="27"/>
  <c r="FD155" i="27"/>
  <c r="FD148" i="27"/>
  <c r="FD156" i="27"/>
  <c r="FD139" i="27"/>
  <c r="FD131" i="27"/>
  <c r="FD116" i="27"/>
  <c r="FD129" i="27"/>
  <c r="FD134" i="27"/>
  <c r="FD124" i="27"/>
  <c r="FD157" i="27"/>
  <c r="FD140" i="27"/>
  <c r="FD84" i="27"/>
  <c r="FD92" i="27"/>
  <c r="FD177" i="27"/>
  <c r="FD121" i="27"/>
  <c r="FD180" i="27"/>
  <c r="FD181" i="27"/>
  <c r="FD94" i="27"/>
  <c r="FD132" i="27"/>
  <c r="FD164" i="27"/>
  <c r="FD158" i="27"/>
  <c r="FD110" i="27"/>
  <c r="FD138" i="27"/>
  <c r="FD183" i="27"/>
  <c r="FD103" i="27"/>
  <c r="FD182" i="27"/>
  <c r="FD170" i="27"/>
  <c r="FD171" i="27"/>
  <c r="FD159" i="27"/>
  <c r="FD167" i="27"/>
  <c r="FD169" i="27"/>
  <c r="FD89" i="27"/>
  <c r="FD102" i="27"/>
  <c r="FD85" i="27"/>
  <c r="FD98" i="27"/>
  <c r="FD112" i="27"/>
  <c r="FD166" i="27"/>
  <c r="FD90" i="27"/>
  <c r="FD104" i="27"/>
  <c r="FD99" i="27"/>
  <c r="FD142" i="27"/>
  <c r="FD126" i="27"/>
  <c r="FD106" i="27"/>
  <c r="FD176" i="27"/>
  <c r="FD163" i="27"/>
  <c r="FD130" i="27"/>
  <c r="FD172" i="27"/>
  <c r="FD184" i="27"/>
  <c r="FD117" i="27"/>
  <c r="FD111" i="27"/>
  <c r="FD122" i="27"/>
  <c r="FD123" i="27"/>
  <c r="FD79" i="27"/>
  <c r="FD137" i="27"/>
  <c r="FD179" i="27"/>
  <c r="FD145" i="27"/>
  <c r="FD114" i="27"/>
  <c r="FD153" i="27"/>
  <c r="FD97" i="27"/>
  <c r="FD105" i="27"/>
  <c r="FD186" i="27"/>
  <c r="FD149" i="27"/>
  <c r="FD82" i="27"/>
  <c r="FD78" i="27"/>
  <c r="FD107" i="27"/>
  <c r="FD108" i="27"/>
  <c r="FD185" i="27"/>
  <c r="FD83" i="27"/>
  <c r="FD168" i="27"/>
  <c r="FD127" i="27"/>
  <c r="FD160" i="27"/>
  <c r="FD151" i="27"/>
  <c r="FD173" i="27"/>
  <c r="FD91" i="27"/>
  <c r="FD95" i="27"/>
  <c r="FD161" i="27"/>
  <c r="FD174" i="27"/>
  <c r="FD143" i="27"/>
  <c r="FD136" i="27"/>
  <c r="FD162" i="27"/>
  <c r="FD178" i="27"/>
  <c r="FD128" i="27"/>
  <c r="FD175" i="27"/>
  <c r="FD141" i="27"/>
  <c r="FD133" i="27"/>
  <c r="FD113" i="27"/>
  <c r="FD81" i="27"/>
  <c r="FD93" i="27"/>
  <c r="FD86" i="27"/>
  <c r="FD118" i="27"/>
  <c r="FD144" i="27"/>
  <c r="FD115" i="27"/>
  <c r="FD88" i="27"/>
  <c r="G15" i="2"/>
  <c r="G27" i="2" s="1"/>
  <c r="G33" i="2" s="1"/>
  <c r="G39" i="2" s="1"/>
  <c r="G45" i="2" s="1"/>
  <c r="F88" i="4"/>
  <c r="F94" i="4"/>
  <c r="F95" i="4" s="1"/>
  <c r="F127" i="4"/>
  <c r="E95" i="4"/>
  <c r="E94" i="4"/>
  <c r="E92" i="4"/>
  <c r="C88" i="4"/>
  <c r="E86" i="4"/>
  <c r="E88" i="4" s="1"/>
  <c r="E84" i="4"/>
  <c r="E85" i="4"/>
  <c r="E83" i="4"/>
  <c r="C78" i="22"/>
  <c r="C77" i="22" a="1"/>
  <c r="C77" i="22" s="1"/>
  <c r="C74" i="22" a="1"/>
  <c r="C74" i="22" s="1"/>
  <c r="C75" i="22" a="1"/>
  <c r="C75" i="22" s="1"/>
  <c r="C76" i="22" a="1"/>
  <c r="C76" i="22" s="1"/>
  <c r="BV131" i="27" a="1"/>
  <c r="BV131" i="27" s="1"/>
  <c r="BW131" i="27" s="1"/>
  <c r="BX131" i="27" s="1" a="1"/>
  <c r="BX131" i="27" s="1"/>
  <c r="BV135" i="27" a="1"/>
  <c r="BV135" i="27" s="1"/>
  <c r="BW135" i="27" s="1"/>
  <c r="BX135" i="27" s="1" a="1"/>
  <c r="BX135" i="27" s="1"/>
  <c r="BV116" i="27" a="1"/>
  <c r="BV116" i="27" s="1"/>
  <c r="BW116" i="27" s="1"/>
  <c r="BX116" i="27" s="1" a="1"/>
  <c r="BX116" i="27" s="1"/>
  <c r="BV129" i="27" a="1"/>
  <c r="BV129" i="27" s="1"/>
  <c r="BW129" i="27" s="1"/>
  <c r="BX129" i="27" s="1" a="1"/>
  <c r="BX129" i="27" s="1"/>
  <c r="BV134" i="27" a="1"/>
  <c r="BV134" i="27" s="1"/>
  <c r="BW134" i="27" s="1"/>
  <c r="BX134" i="27" s="1" a="1"/>
  <c r="BX134" i="27" s="1"/>
  <c r="BV149" i="27" a="1"/>
  <c r="BV149" i="27" s="1"/>
  <c r="BW149" i="27" s="1"/>
  <c r="BX149" i="27" s="1" a="1"/>
  <c r="BX149" i="27" s="1"/>
  <c r="BV124" i="27" a="1"/>
  <c r="BV124" i="27" s="1"/>
  <c r="BW124" i="27" s="1"/>
  <c r="BX124" i="27" s="1" a="1"/>
  <c r="BX124" i="27" s="1"/>
  <c r="BV157" i="27" a="1"/>
  <c r="BV157" i="27" s="1"/>
  <c r="BW157" i="27" s="1"/>
  <c r="BX157" i="27" s="1" a="1"/>
  <c r="BX157" i="27" s="1"/>
  <c r="BV140" i="27" a="1"/>
  <c r="BV140" i="27" s="1"/>
  <c r="BW140" i="27" s="1"/>
  <c r="BX140" i="27" s="1" a="1"/>
  <c r="BX140" i="27" s="1"/>
  <c r="BV82" i="27" a="1"/>
  <c r="BV82" i="27" s="1"/>
  <c r="BW82" i="27" s="1"/>
  <c r="BX82" i="27" s="1" a="1"/>
  <c r="BX82" i="27" s="1"/>
  <c r="BV84" i="27" a="1"/>
  <c r="BV84" i="27" s="1"/>
  <c r="BW84" i="27" s="1"/>
  <c r="BX84" i="27" s="1" a="1"/>
  <c r="BX84" i="27" s="1"/>
  <c r="BV78" i="27" a="1"/>
  <c r="BV78" i="27" s="1"/>
  <c r="BW78" i="27" s="1"/>
  <c r="BX78" i="27" s="1" a="1"/>
  <c r="BX78" i="27" s="1"/>
  <c r="BV92" i="27" a="1"/>
  <c r="BV92" i="27" s="1"/>
  <c r="BW92" i="27" s="1"/>
  <c r="BX92" i="27" s="1" a="1"/>
  <c r="BX92" i="27" s="1"/>
  <c r="BV107" i="27" a="1"/>
  <c r="BV107" i="27" s="1"/>
  <c r="BW107" i="27" s="1"/>
  <c r="BX107" i="27" s="1" a="1"/>
  <c r="BX107" i="27" s="1"/>
  <c r="BV108" i="27" a="1"/>
  <c r="BV108" i="27" s="1"/>
  <c r="BW108" i="27" s="1"/>
  <c r="BX108" i="27" s="1" a="1"/>
  <c r="BX108" i="27" s="1"/>
  <c r="BV177" i="27" a="1"/>
  <c r="BV177" i="27" s="1"/>
  <c r="BW177" i="27" s="1"/>
  <c r="BX177" i="27" s="1" a="1"/>
  <c r="BX177" i="27" s="1"/>
  <c r="BV121" i="27" a="1"/>
  <c r="BV121" i="27" s="1"/>
  <c r="BW121" i="27" s="1"/>
  <c r="BX121" i="27" s="1" a="1"/>
  <c r="BX121" i="27" s="1"/>
  <c r="BV180" i="27" a="1"/>
  <c r="BV180" i="27" s="1"/>
  <c r="BW180" i="27" s="1"/>
  <c r="BX180" i="27" s="1" a="1"/>
  <c r="BX180" i="27" s="1"/>
  <c r="BV181" i="27" a="1"/>
  <c r="BV181" i="27" s="1"/>
  <c r="BW181" i="27" s="1"/>
  <c r="BX181" i="27" s="1" a="1"/>
  <c r="BX181" i="27" s="1"/>
  <c r="BV94" i="27" a="1"/>
  <c r="BV94" i="27" s="1"/>
  <c r="BW94" i="27" s="1"/>
  <c r="BX94" i="27" s="1" a="1"/>
  <c r="BX94" i="27" s="1"/>
  <c r="BV132" i="27" a="1"/>
  <c r="BV132" i="27" s="1"/>
  <c r="BW132" i="27" s="1"/>
  <c r="BX132" i="27" s="1" a="1"/>
  <c r="BX132" i="27" s="1"/>
  <c r="BV164" i="27" a="1"/>
  <c r="BV164" i="27" s="1"/>
  <c r="BW164" i="27" s="1"/>
  <c r="BX164" i="27" s="1" a="1"/>
  <c r="BX164" i="27" s="1"/>
  <c r="BV158" i="27" a="1"/>
  <c r="BV158" i="27" s="1"/>
  <c r="BW158" i="27" s="1"/>
  <c r="BX158" i="27" s="1" a="1"/>
  <c r="BX158" i="27" s="1"/>
  <c r="BV110" i="27" a="1"/>
  <c r="BV110" i="27" s="1"/>
  <c r="BW110" i="27" s="1"/>
  <c r="BX110" i="27" s="1" a="1"/>
  <c r="BX110" i="27" s="1"/>
  <c r="BV100" i="27" a="1"/>
  <c r="BV100" i="27" s="1"/>
  <c r="BW100" i="27" s="1"/>
  <c r="BX100" i="27" s="1" a="1"/>
  <c r="BX100" i="27" s="1"/>
  <c r="BV185" i="27" a="1"/>
  <c r="BV185" i="27" s="1"/>
  <c r="BW185" i="27" s="1"/>
  <c r="BX185" i="27" s="1" a="1"/>
  <c r="BX185" i="27" s="1"/>
  <c r="BV146" i="27" a="1"/>
  <c r="BV146" i="27" s="1"/>
  <c r="BW146" i="27" s="1"/>
  <c r="BX146" i="27" s="1" a="1"/>
  <c r="BX146" i="27" s="1"/>
  <c r="BV138" i="27" a="1"/>
  <c r="BV138" i="27" s="1"/>
  <c r="BW138" i="27" s="1"/>
  <c r="BX138" i="27" s="1" a="1"/>
  <c r="BX138" i="27" s="1"/>
  <c r="BV183" i="27" a="1"/>
  <c r="BV183" i="27" s="1"/>
  <c r="BW183" i="27" s="1"/>
  <c r="BX183" i="27" s="1" a="1"/>
  <c r="BX183" i="27" s="1"/>
  <c r="BV103" i="27" a="1"/>
  <c r="BV103" i="27" s="1"/>
  <c r="BW103" i="27" s="1"/>
  <c r="BX103" i="27" s="1" a="1"/>
  <c r="BX103" i="27" s="1"/>
  <c r="BV182" i="27" a="1"/>
  <c r="BV182" i="27" s="1"/>
  <c r="BW182" i="27" s="1"/>
  <c r="BX182" i="27" s="1" a="1"/>
  <c r="BX182" i="27" s="1"/>
  <c r="BV170" i="27" a="1"/>
  <c r="BV170" i="27" s="1"/>
  <c r="BW170" i="27" s="1"/>
  <c r="BX170" i="27" s="1" a="1"/>
  <c r="BX170" i="27" s="1"/>
  <c r="BV171" i="27" a="1"/>
  <c r="BV171" i="27" s="1"/>
  <c r="BW171" i="27" s="1"/>
  <c r="BX171" i="27" s="1" a="1"/>
  <c r="BX171" i="27" s="1"/>
  <c r="BV83" i="27" a="1"/>
  <c r="BV83" i="27" s="1"/>
  <c r="BW83" i="27" s="1"/>
  <c r="BX83" i="27" s="1" a="1"/>
  <c r="BX83" i="27" s="1"/>
  <c r="BV159" i="27" a="1"/>
  <c r="BV159" i="27" s="1"/>
  <c r="BW159" i="27" s="1"/>
  <c r="BX159" i="27" s="1" a="1"/>
  <c r="BX159" i="27" s="1"/>
  <c r="BV167" i="27" a="1"/>
  <c r="BV167" i="27" s="1"/>
  <c r="BW167" i="27" s="1"/>
  <c r="BX167" i="27" s="1" a="1"/>
  <c r="BX167" i="27" s="1"/>
  <c r="BV168" i="27" a="1"/>
  <c r="BV168" i="27" s="1"/>
  <c r="BW168" i="27" s="1"/>
  <c r="BX168" i="27" s="1" a="1"/>
  <c r="BX168" i="27" s="1"/>
  <c r="BV169" i="27" a="1"/>
  <c r="BV169" i="27" s="1"/>
  <c r="BW169" i="27" s="1"/>
  <c r="BX169" i="27" s="1" a="1"/>
  <c r="BX169" i="27" s="1"/>
  <c r="BV127" i="27" a="1"/>
  <c r="BV127" i="27" s="1"/>
  <c r="BW127" i="27" s="1"/>
  <c r="BX127" i="27" s="1" a="1"/>
  <c r="BX127" i="27" s="1"/>
  <c r="BV89" i="27" a="1"/>
  <c r="BV89" i="27" s="1"/>
  <c r="BW89" i="27" s="1"/>
  <c r="BX89" i="27" s="1" a="1"/>
  <c r="BX89" i="27" s="1"/>
  <c r="BV102" i="27" a="1"/>
  <c r="BV102" i="27" s="1"/>
  <c r="BW102" i="27" s="1"/>
  <c r="BX102" i="27" s="1" a="1"/>
  <c r="BX102" i="27" s="1"/>
  <c r="BV85" i="27" a="1"/>
  <c r="BV85" i="27" s="1"/>
  <c r="BW85" i="27" s="1"/>
  <c r="BX85" i="27" s="1" a="1"/>
  <c r="BX85" i="27" s="1"/>
  <c r="BV101" i="27" a="1"/>
  <c r="BV101" i="27" s="1"/>
  <c r="BW101" i="27" s="1"/>
  <c r="BX101" i="27" s="1" a="1"/>
  <c r="BX101" i="27" s="1"/>
  <c r="BV98" i="27" a="1"/>
  <c r="BV98" i="27" s="1"/>
  <c r="BW98" i="27" s="1"/>
  <c r="BX98" i="27" s="1" a="1"/>
  <c r="BX98" i="27" s="1"/>
  <c r="BV112" i="27" a="1"/>
  <c r="BV112" i="27" s="1"/>
  <c r="BW112" i="27" s="1"/>
  <c r="BX112" i="27" s="1" a="1"/>
  <c r="BX112" i="27" s="1"/>
  <c r="BV152" i="27" a="1"/>
  <c r="BV152" i="27" s="1"/>
  <c r="BW152" i="27" s="1"/>
  <c r="BX152" i="27" s="1" a="1"/>
  <c r="BX152" i="27" s="1"/>
  <c r="BV166" i="27" a="1"/>
  <c r="BV166" i="27" s="1"/>
  <c r="BW166" i="27" s="1"/>
  <c r="BX166" i="27" s="1" a="1"/>
  <c r="BX166" i="27" s="1"/>
  <c r="BV125" i="27" a="1"/>
  <c r="BV125" i="27" s="1"/>
  <c r="BW125" i="27" s="1"/>
  <c r="BX125" i="27" s="1" a="1"/>
  <c r="BX125" i="27" s="1"/>
  <c r="BV160" i="27" a="1"/>
  <c r="BV160" i="27" s="1"/>
  <c r="BW160" i="27" s="1"/>
  <c r="BX160" i="27" s="1" a="1"/>
  <c r="BX160" i="27" s="1"/>
  <c r="BV90" i="27" a="1"/>
  <c r="BV90" i="27" s="1"/>
  <c r="BW90" i="27" s="1"/>
  <c r="BX90" i="27" s="1" a="1"/>
  <c r="BX90" i="27" s="1"/>
  <c r="BV87" i="27" a="1"/>
  <c r="BV87" i="27" s="1"/>
  <c r="BW87" i="27" s="1"/>
  <c r="BX87" i="27" s="1" a="1"/>
  <c r="BX87" i="27" s="1"/>
  <c r="BV150" i="27" a="1"/>
  <c r="BV150" i="27" s="1"/>
  <c r="BW150" i="27" s="1"/>
  <c r="BX150" i="27" s="1" a="1"/>
  <c r="BX150" i="27" s="1"/>
  <c r="BV151" i="27" a="1"/>
  <c r="BV151" i="27" s="1"/>
  <c r="BW151" i="27" s="1"/>
  <c r="BX151" i="27" s="1" a="1"/>
  <c r="BX151" i="27" s="1"/>
  <c r="BV173" i="27" a="1"/>
  <c r="BV173" i="27" s="1"/>
  <c r="BW173" i="27" s="1"/>
  <c r="BX173" i="27" s="1" a="1"/>
  <c r="BX173" i="27" s="1"/>
  <c r="BV88" i="27" a="1"/>
  <c r="BV88" i="27" s="1"/>
  <c r="BW88" i="27" s="1"/>
  <c r="BX88" i="27" s="1" a="1"/>
  <c r="BX88" i="27" s="1"/>
  <c r="BV91" i="27" a="1"/>
  <c r="BV91" i="27" s="1"/>
  <c r="BW91" i="27" s="1"/>
  <c r="BX91" i="27" s="1" a="1"/>
  <c r="BX91" i="27" s="1"/>
  <c r="BV104" i="27" a="1"/>
  <c r="BV104" i="27" s="1"/>
  <c r="BW104" i="27" s="1"/>
  <c r="BX104" i="27" s="1" a="1"/>
  <c r="BX104" i="27" s="1"/>
  <c r="BV95" i="27" a="1"/>
  <c r="BV95" i="27" s="1"/>
  <c r="BW95" i="27" s="1"/>
  <c r="BX95" i="27" s="1" a="1"/>
  <c r="BX95" i="27" s="1"/>
  <c r="BV99" i="27" a="1"/>
  <c r="BV99" i="27" s="1"/>
  <c r="BW99" i="27" s="1"/>
  <c r="BX99" i="27" s="1" a="1"/>
  <c r="BX99" i="27" s="1"/>
  <c r="BV142" i="27" a="1"/>
  <c r="BV142" i="27" s="1"/>
  <c r="BW142" i="27" s="1"/>
  <c r="BX142" i="27" s="1" a="1"/>
  <c r="BX142" i="27" s="1"/>
  <c r="BV161" i="27" a="1"/>
  <c r="BV161" i="27" s="1"/>
  <c r="BW161" i="27" s="1"/>
  <c r="BX161" i="27" s="1" a="1"/>
  <c r="BX161" i="27" s="1"/>
  <c r="BV174" i="27" a="1"/>
  <c r="BV174" i="27" s="1"/>
  <c r="BW174" i="27" s="1"/>
  <c r="BX174" i="27" s="1" a="1"/>
  <c r="BX174" i="27" s="1"/>
  <c r="BV143" i="27" a="1"/>
  <c r="BV143" i="27" s="1"/>
  <c r="BW143" i="27" s="1"/>
  <c r="BX143" i="27" s="1" a="1"/>
  <c r="BX143" i="27" s="1"/>
  <c r="BV136" i="27" a="1"/>
  <c r="BV136" i="27" s="1"/>
  <c r="BW136" i="27" s="1"/>
  <c r="BX136" i="27" s="1" a="1"/>
  <c r="BX136" i="27" s="1"/>
  <c r="BV162" i="27" a="1"/>
  <c r="BV162" i="27" s="1"/>
  <c r="BW162" i="27" s="1"/>
  <c r="BX162" i="27" s="1" a="1"/>
  <c r="BX162" i="27" s="1"/>
  <c r="BV178" i="27" a="1"/>
  <c r="BV178" i="27" s="1"/>
  <c r="BW178" i="27" s="1"/>
  <c r="BX178" i="27" s="1" a="1"/>
  <c r="BX178" i="27" s="1"/>
  <c r="BV128" i="27" a="1"/>
  <c r="BV128" i="27" s="1"/>
  <c r="BW128" i="27" s="1"/>
  <c r="BX128" i="27" s="1" a="1"/>
  <c r="BX128" i="27" s="1"/>
  <c r="BV175" i="27" a="1"/>
  <c r="BV175" i="27" s="1"/>
  <c r="BW175" i="27" s="1"/>
  <c r="BX175" i="27" s="1" a="1"/>
  <c r="BX175" i="27" s="1"/>
  <c r="BV126" i="27" a="1"/>
  <c r="BV126" i="27" s="1"/>
  <c r="BW126" i="27" s="1"/>
  <c r="BX126" i="27" s="1" a="1"/>
  <c r="BX126" i="27" s="1"/>
  <c r="BV106" i="27" a="1"/>
  <c r="BV106" i="27" s="1"/>
  <c r="BW106" i="27" s="1"/>
  <c r="BX106" i="27" s="1" a="1"/>
  <c r="BX106" i="27" s="1"/>
  <c r="BV176" i="27" a="1"/>
  <c r="BV176" i="27" s="1"/>
  <c r="BW176" i="27" s="1"/>
  <c r="BX176" i="27" s="1" a="1"/>
  <c r="BX176" i="27" s="1"/>
  <c r="BV163" i="27" a="1"/>
  <c r="BV163" i="27" s="1"/>
  <c r="BW163" i="27" s="1"/>
  <c r="BX163" i="27" s="1" a="1"/>
  <c r="BX163" i="27" s="1"/>
  <c r="BV141" i="27" a="1"/>
  <c r="BV141" i="27" s="1"/>
  <c r="BW141" i="27" s="1"/>
  <c r="BX141" i="27" s="1" a="1"/>
  <c r="BX141" i="27" s="1"/>
  <c r="BV130" i="27" a="1"/>
  <c r="BV130" i="27" s="1"/>
  <c r="BW130" i="27" s="1"/>
  <c r="BX130" i="27" s="1" a="1"/>
  <c r="BX130" i="27" s="1"/>
  <c r="BV96" i="27" a="1"/>
  <c r="BV96" i="27" s="1"/>
  <c r="BW96" i="27" s="1"/>
  <c r="BX96" i="27" s="1" a="1"/>
  <c r="BX96" i="27" s="1"/>
  <c r="BV133" i="27" a="1"/>
  <c r="BV133" i="27" s="1"/>
  <c r="BW133" i="27" s="1"/>
  <c r="BX133" i="27" s="1" a="1"/>
  <c r="BX133" i="27" s="1"/>
  <c r="BV184" i="27" a="1"/>
  <c r="BV184" i="27" s="1"/>
  <c r="BW184" i="27" s="1"/>
  <c r="BX184" i="27" s="1" a="1"/>
  <c r="BX184" i="27" s="1"/>
  <c r="BV117" i="27" a="1"/>
  <c r="BV117" i="27" s="1"/>
  <c r="BW117" i="27" s="1"/>
  <c r="BX117" i="27" s="1" a="1"/>
  <c r="BX117" i="27" s="1"/>
  <c r="BV111" i="27" a="1"/>
  <c r="BV111" i="27" s="1"/>
  <c r="BW111" i="27" s="1"/>
  <c r="BX111" i="27" s="1" a="1"/>
  <c r="BX111" i="27" s="1"/>
  <c r="BV113" i="27" a="1"/>
  <c r="BV113" i="27" s="1"/>
  <c r="BW113" i="27" s="1"/>
  <c r="BX113" i="27" s="1" a="1"/>
  <c r="BX113" i="27" s="1"/>
  <c r="BV80" i="27" a="1"/>
  <c r="BV80" i="27" s="1"/>
  <c r="BW80" i="27" s="1"/>
  <c r="BX80" i="27" s="1" a="1"/>
  <c r="BX80" i="27" s="1"/>
  <c r="BV81" i="27" a="1"/>
  <c r="BV81" i="27" s="1"/>
  <c r="BW81" i="27" s="1"/>
  <c r="BX81" i="27" s="1" a="1"/>
  <c r="BX81" i="27" s="1"/>
  <c r="BV93" i="27" a="1"/>
  <c r="BV93" i="27" s="1"/>
  <c r="BW93" i="27" s="1"/>
  <c r="BX93" i="27" s="1" a="1"/>
  <c r="BX93" i="27" s="1"/>
  <c r="BV86" i="27" a="1"/>
  <c r="BV86" i="27" s="1"/>
  <c r="BW86" i="27" s="1"/>
  <c r="BX86" i="27" s="1" a="1"/>
  <c r="BX86" i="27" s="1"/>
  <c r="BV122" i="27" a="1"/>
  <c r="BV122" i="27" s="1"/>
  <c r="BW122" i="27" s="1"/>
  <c r="BX122" i="27" s="1" a="1"/>
  <c r="BX122" i="27" s="1"/>
  <c r="BV118" i="27" a="1"/>
  <c r="BV118" i="27" s="1"/>
  <c r="BW118" i="27" s="1"/>
  <c r="BX118" i="27" s="1" a="1"/>
  <c r="BX118" i="27" s="1"/>
  <c r="BV144" i="27" a="1"/>
  <c r="BV144" i="27" s="1"/>
  <c r="BW144" i="27" s="1"/>
  <c r="BX144" i="27" s="1" a="1"/>
  <c r="BX144" i="27" s="1"/>
  <c r="BV123" i="27" a="1"/>
  <c r="BV123" i="27" s="1"/>
  <c r="BW123" i="27" s="1"/>
  <c r="BX123" i="27" s="1" a="1"/>
  <c r="BX123" i="27" s="1"/>
  <c r="BV119" i="27" a="1"/>
  <c r="BV119" i="27" s="1"/>
  <c r="BW119" i="27" s="1"/>
  <c r="BX119" i="27" s="1" a="1"/>
  <c r="BX119" i="27" s="1"/>
  <c r="BV79" i="27" a="1"/>
  <c r="BV79" i="27" s="1"/>
  <c r="BW79" i="27" s="1"/>
  <c r="BX79" i="27" s="1" a="1"/>
  <c r="BX79" i="27" s="1"/>
  <c r="BV137" i="27" a="1"/>
  <c r="BV137" i="27" s="1"/>
  <c r="BW137" i="27" s="1"/>
  <c r="BX137" i="27" s="1" a="1"/>
  <c r="BX137" i="27" s="1"/>
  <c r="BV120" i="27" a="1"/>
  <c r="BV120" i="27" s="1"/>
  <c r="BW120" i="27" s="1"/>
  <c r="BX120" i="27" s="1" a="1"/>
  <c r="BX120" i="27" s="1"/>
  <c r="BV179" i="27" a="1"/>
  <c r="BV179" i="27" s="1"/>
  <c r="BW179" i="27" s="1"/>
  <c r="BX179" i="27" s="1" a="1"/>
  <c r="BX179" i="27" s="1"/>
  <c r="BV145" i="27" a="1"/>
  <c r="BV145" i="27" s="1"/>
  <c r="BW145" i="27" s="1"/>
  <c r="BX145" i="27" s="1" a="1"/>
  <c r="BX145" i="27" s="1"/>
  <c r="BV114" i="27" a="1"/>
  <c r="BV114" i="27" s="1"/>
  <c r="BW114" i="27" s="1"/>
  <c r="BX114" i="27" s="1" a="1"/>
  <c r="BX114" i="27" s="1"/>
  <c r="BV165" i="27" a="1"/>
  <c r="BV165" i="27" s="1"/>
  <c r="BW165" i="27" s="1"/>
  <c r="BX165" i="27" s="1" a="1"/>
  <c r="BX165" i="27" s="1"/>
  <c r="BV153" i="27" a="1"/>
  <c r="BV153" i="27" s="1"/>
  <c r="BW153" i="27" s="1"/>
  <c r="BX153" i="27" s="1" a="1"/>
  <c r="BX153" i="27" s="1"/>
  <c r="BV97" i="27" a="1"/>
  <c r="BV97" i="27" s="1"/>
  <c r="BW97" i="27" s="1"/>
  <c r="BX97" i="27" s="1" a="1"/>
  <c r="BX97" i="27" s="1"/>
  <c r="BV187" i="27" a="1"/>
  <c r="BV187" i="27" s="1"/>
  <c r="BW187" i="27" s="1"/>
  <c r="BX187" i="27" s="1" a="1"/>
  <c r="BX187" i="27" s="1"/>
  <c r="BV105" i="27" a="1"/>
  <c r="BV105" i="27" s="1"/>
  <c r="BW105" i="27" s="1"/>
  <c r="BX105" i="27" s="1" a="1"/>
  <c r="BX105" i="27" s="1"/>
  <c r="BV115" i="27" a="1"/>
  <c r="BV115" i="27" s="1"/>
  <c r="BW115" i="27" s="1"/>
  <c r="BX115" i="27" s="1" a="1"/>
  <c r="BX115" i="27" s="1"/>
  <c r="BV186" i="27" a="1"/>
  <c r="BV186" i="27" s="1"/>
  <c r="BW186" i="27" s="1"/>
  <c r="BX186" i="27" s="1" a="1"/>
  <c r="BX186" i="27" s="1"/>
  <c r="BV148" i="27" a="1"/>
  <c r="BV148" i="27" s="1"/>
  <c r="BW148" i="27" s="1"/>
  <c r="BX148" i="27" s="1" a="1"/>
  <c r="BX148" i="27" s="1"/>
  <c r="BV156" i="27" a="1"/>
  <c r="BV156" i="27" s="1"/>
  <c r="BW156" i="27" s="1"/>
  <c r="BX156" i="27" s="1" a="1"/>
  <c r="BX156" i="27" s="1"/>
  <c r="BV139" i="27" a="1"/>
  <c r="BV139" i="27" s="1"/>
  <c r="BW139" i="27" s="1"/>
  <c r="BX139" i="27" s="1" a="1"/>
  <c r="BX139" i="27" s="1"/>
  <c r="F14" i="4"/>
  <c r="F21" i="4" s="1"/>
  <c r="F28" i="4" s="1"/>
  <c r="F35" i="4" s="1"/>
  <c r="F42" i="4" s="1"/>
  <c r="F49" i="4" s="1"/>
  <c r="F56" i="4" s="1"/>
  <c r="E54" i="4"/>
  <c r="E48" i="2" s="1"/>
  <c r="E47" i="4"/>
  <c r="E42" i="2" s="1"/>
  <c r="E40" i="4"/>
  <c r="E36" i="2" s="1"/>
  <c r="E33" i="4"/>
  <c r="E30" i="2" s="1"/>
  <c r="E19" i="4"/>
  <c r="E18" i="2" s="1"/>
  <c r="E26" i="4"/>
  <c r="E24" i="2" s="1"/>
  <c r="E12" i="4"/>
  <c r="E12" i="2" s="1"/>
  <c r="C12" i="22"/>
  <c r="BV155" i="27" a="1"/>
  <c r="BV155" i="27" s="1"/>
  <c r="BW155" i="27" s="1"/>
  <c r="BX155" i="27" s="1" a="1"/>
  <c r="BX155" i="27" s="1"/>
  <c r="BV154" i="27" a="1"/>
  <c r="BV154" i="27" s="1"/>
  <c r="BW154" i="27" s="1"/>
  <c r="BX154" i="27" s="1" a="1"/>
  <c r="BX154" i="27" s="1"/>
  <c r="BV147" i="27" a="1"/>
  <c r="BV147" i="27" s="1"/>
  <c r="BW147" i="27" s="1"/>
  <c r="BX147" i="27" s="1" a="1"/>
  <c r="BX147" i="27" s="1"/>
  <c r="BV109" i="27" a="1"/>
  <c r="BV109" i="27" s="1"/>
  <c r="BW109" i="27" s="1"/>
  <c r="BX109" i="27" s="1" a="1"/>
  <c r="BX109" i="27" s="1"/>
  <c r="C97" i="22" l="1"/>
  <c r="E26" i="24"/>
  <c r="C102" i="2"/>
  <c r="C100" i="2"/>
  <c r="D75" i="22"/>
  <c r="D77" i="22"/>
  <c r="D73" i="22"/>
  <c r="D76" i="22"/>
  <c r="D74" i="22"/>
  <c r="E100" i="4"/>
  <c r="C96" i="2"/>
  <c r="E124" i="4"/>
  <c r="C99" i="2"/>
  <c r="C101" i="2"/>
  <c r="C97" i="2"/>
  <c r="E125" i="4" l="1"/>
  <c r="M125" i="4"/>
  <c r="E72" i="2"/>
  <c r="M72" i="2" s="1"/>
  <c r="E108" i="4"/>
  <c r="E101" i="4"/>
  <c r="E106" i="4"/>
  <c r="E105" i="4"/>
  <c r="E113" i="4"/>
  <c r="E104" i="4"/>
  <c r="E103" i="4"/>
  <c r="E110" i="4"/>
  <c r="E109" i="4"/>
  <c r="E111" i="4"/>
  <c r="E102" i="4"/>
  <c r="E112" i="4"/>
  <c r="E115" i="4"/>
  <c r="E116" i="4"/>
  <c r="E119" i="4" l="1"/>
  <c r="M126" i="4"/>
  <c r="E127" i="4"/>
  <c r="M128" i="4" s="1"/>
  <c r="M82" i="2"/>
  <c r="M83" i="2"/>
  <c r="E120" i="4"/>
  <c r="E117" i="4"/>
  <c r="M85" i="2" l="1"/>
  <c r="C13" i="23"/>
  <c r="E24" i="24"/>
  <c r="F24" i="24"/>
  <c r="F135" i="22" l="1"/>
  <c r="G135" i="22" s="1"/>
  <c r="E66" i="4"/>
  <c r="D72" i="4" l="1"/>
  <c r="D73" i="4"/>
  <c r="D74" i="4"/>
  <c r="D71" i="4"/>
  <c r="D67" i="4"/>
  <c r="D68" i="4"/>
  <c r="D69" i="4"/>
  <c r="D66" i="4"/>
  <c r="D63" i="4"/>
  <c r="D64" i="4"/>
  <c r="D62" i="4"/>
  <c r="G84" i="2"/>
  <c r="C4" i="23" l="1"/>
  <c r="C5" i="23"/>
  <c r="C6" i="23"/>
  <c r="C7" i="23"/>
  <c r="C8" i="23"/>
  <c r="C9" i="23"/>
  <c r="C10" i="23"/>
  <c r="C3" i="23"/>
  <c r="C11" i="23" l="1"/>
  <c r="F136" i="22" l="1"/>
  <c r="G136" i="22" s="1"/>
  <c r="D4" i="23"/>
  <c r="C2" i="17"/>
  <c r="D10" i="23"/>
  <c r="D6" i="23"/>
  <c r="D8" i="23"/>
  <c r="D7" i="23"/>
  <c r="D5" i="23"/>
  <c r="D3" i="23"/>
  <c r="D9" i="23"/>
  <c r="C1" i="17" l="1"/>
  <c r="B50" i="22"/>
  <c r="D50" i="22" l="1"/>
  <c r="B119" i="22"/>
  <c r="D141" i="22"/>
  <c r="C21" i="17"/>
  <c r="C22" i="17" s="1"/>
  <c r="C23" i="17" s="1"/>
  <c r="C3" i="17" s="1"/>
  <c r="F7" i="17"/>
  <c r="G77" i="4"/>
  <c r="G79" i="4" s="1"/>
  <c r="A1" i="2"/>
  <c r="B3" i="4"/>
  <c r="G51" i="2"/>
  <c r="E76" i="4"/>
  <c r="F76" i="4"/>
  <c r="F74" i="4"/>
  <c r="F71" i="4"/>
  <c r="G69" i="4"/>
  <c r="F69" i="4"/>
  <c r="G68" i="4"/>
  <c r="F68" i="4"/>
  <c r="G67" i="4"/>
  <c r="F67" i="4"/>
  <c r="G66" i="4"/>
  <c r="G71" i="4" s="1"/>
  <c r="E64" i="4"/>
  <c r="F61" i="4"/>
  <c r="D18" i="4"/>
  <c r="E137" i="22" l="1"/>
  <c r="E138" i="22"/>
  <c r="E132" i="22"/>
  <c r="E127" i="22"/>
  <c r="E126" i="22"/>
  <c r="D119" i="22"/>
  <c r="D146" i="22" s="1"/>
  <c r="F50" i="22"/>
  <c r="F119" i="22" s="1"/>
  <c r="C7" i="17"/>
  <c r="C5" i="17"/>
  <c r="F77" i="2" l="1"/>
  <c r="F67" i="2"/>
  <c r="F59" i="2" s="1"/>
  <c r="G72" i="2"/>
  <c r="G77" i="2" s="1"/>
  <c r="F60" i="2" l="1"/>
  <c r="F63" i="2"/>
  <c r="F61" i="2" l="1"/>
  <c r="F65" i="2" s="1"/>
  <c r="F64" i="2"/>
  <c r="E82" i="2"/>
  <c r="F80" i="2"/>
  <c r="D21" i="2"/>
  <c r="L21" i="2" s="1"/>
  <c r="J98" i="2" s="1"/>
  <c r="E70" i="2"/>
  <c r="G74" i="2"/>
  <c r="G75" i="2"/>
  <c r="G73" i="2"/>
  <c r="F74" i="2"/>
  <c r="F75" i="2"/>
  <c r="F73" i="2"/>
  <c r="E6" i="4"/>
  <c r="E44" i="4"/>
  <c r="E7" i="4"/>
  <c r="G9" i="4"/>
  <c r="G16" i="4" s="1"/>
  <c r="G23" i="4" s="1"/>
  <c r="E33" i="3"/>
  <c r="D13" i="9"/>
  <c r="D19" i="9" s="1"/>
  <c r="D25" i="9" s="1"/>
  <c r="D31" i="9" s="1"/>
  <c r="D37" i="9" s="1"/>
  <c r="D43" i="9" s="1"/>
  <c r="D12" i="9"/>
  <c r="D18" i="9" s="1"/>
  <c r="D24" i="9" s="1"/>
  <c r="D30" i="9" s="1"/>
  <c r="D36" i="9" s="1"/>
  <c r="D42" i="9" s="1"/>
  <c r="C42" i="9"/>
  <c r="B42" i="9"/>
  <c r="D46" i="9"/>
  <c r="B46" i="9"/>
  <c r="D40" i="9"/>
  <c r="B40" i="9"/>
  <c r="C12" i="9"/>
  <c r="C18" i="9" s="1"/>
  <c r="C24" i="9" s="1"/>
  <c r="C30" i="9" s="1"/>
  <c r="C36" i="9" s="1"/>
  <c r="B12" i="9"/>
  <c r="B18" i="9" s="1"/>
  <c r="B24" i="9" s="1"/>
  <c r="B30" i="9" s="1"/>
  <c r="B36" i="9" s="1"/>
  <c r="D34" i="9"/>
  <c r="B34" i="9"/>
  <c r="D28" i="9"/>
  <c r="D22" i="9"/>
  <c r="D16" i="9"/>
  <c r="D10" i="9"/>
  <c r="G16" i="2"/>
  <c r="G22" i="2" s="1"/>
  <c r="G28" i="2" s="1"/>
  <c r="G34" i="2" s="1"/>
  <c r="B28" i="9"/>
  <c r="B22" i="9"/>
  <c r="B16" i="9"/>
  <c r="B10" i="9"/>
  <c r="F82" i="2"/>
  <c r="F30" i="4"/>
  <c r="F51" i="4" s="1"/>
  <c r="F37" i="4" s="1"/>
  <c r="F32" i="4"/>
  <c r="F53" i="4" s="1"/>
  <c r="F39" i="4" s="1"/>
  <c r="F46" i="4" s="1"/>
  <c r="F34" i="4"/>
  <c r="F55" i="4" s="1"/>
  <c r="F41" i="4" s="1"/>
  <c r="D11" i="4"/>
  <c r="F11" i="4"/>
  <c r="F18" i="4" s="1"/>
  <c r="G11" i="4"/>
  <c r="F13" i="4"/>
  <c r="D16" i="4"/>
  <c r="D25" i="4"/>
  <c r="D30" i="4"/>
  <c r="D32" i="4"/>
  <c r="D51" i="4"/>
  <c r="D53" i="4"/>
  <c r="D37" i="4"/>
  <c r="D39" i="4"/>
  <c r="D44" i="4"/>
  <c r="D46" i="4"/>
  <c r="D9" i="4"/>
  <c r="F9" i="4"/>
  <c r="D6" i="4"/>
  <c r="F6" i="4"/>
  <c r="G6" i="4"/>
  <c r="D7" i="4"/>
  <c r="F7" i="4"/>
  <c r="C7" i="4"/>
  <c r="C6" i="4"/>
  <c r="D4" i="4"/>
  <c r="D5" i="4"/>
  <c r="C5" i="4"/>
  <c r="C4" i="4"/>
  <c r="D98" i="3" l="1"/>
  <c r="M71" i="9"/>
  <c r="M46" i="2"/>
  <c r="E40" i="2"/>
  <c r="D97" i="3"/>
  <c r="M40" i="2"/>
  <c r="M43" i="2" s="1"/>
  <c r="E34" i="2"/>
  <c r="E39" i="4" s="1"/>
  <c r="M34" i="2"/>
  <c r="D96" i="3"/>
  <c r="M28" i="2"/>
  <c r="D95" i="3"/>
  <c r="E22" i="2"/>
  <c r="E25" i="4" s="1"/>
  <c r="M25" i="4" s="1"/>
  <c r="D94" i="3"/>
  <c r="M22" i="2"/>
  <c r="E16" i="2"/>
  <c r="E18" i="4" s="1"/>
  <c r="M18" i="4" s="1"/>
  <c r="M21" i="4" s="1"/>
  <c r="D93" i="3"/>
  <c r="M16" i="2"/>
  <c r="E10" i="2"/>
  <c r="D92" i="3"/>
  <c r="M10" i="2"/>
  <c r="E57" i="3"/>
  <c r="G56" i="3"/>
  <c r="G57" i="3" s="1"/>
  <c r="H57" i="3"/>
  <c r="I56" i="3"/>
  <c r="I57" i="3" s="1"/>
  <c r="C56" i="3"/>
  <c r="C57" i="3" s="1"/>
  <c r="F56" i="3"/>
  <c r="F57" i="3" s="1"/>
  <c r="D56" i="3"/>
  <c r="D57" i="3" s="1"/>
  <c r="D23" i="4"/>
  <c r="B98" i="2"/>
  <c r="G18" i="4"/>
  <c r="G25" i="4" s="1"/>
  <c r="H48" i="3"/>
  <c r="E40" i="3"/>
  <c r="E41" i="3"/>
  <c r="I42" i="3"/>
  <c r="J44" i="3"/>
  <c r="F45" i="3"/>
  <c r="J45" i="3"/>
  <c r="H46" i="3"/>
  <c r="E47" i="3"/>
  <c r="I47" i="3"/>
  <c r="E39" i="3"/>
  <c r="J39" i="3"/>
  <c r="H43" i="3"/>
  <c r="G40" i="3"/>
  <c r="G41" i="3"/>
  <c r="E42" i="3"/>
  <c r="D43" i="3"/>
  <c r="G43" i="3"/>
  <c r="D45" i="3"/>
  <c r="G46" i="3"/>
  <c r="D48" i="3"/>
  <c r="J49" i="3"/>
  <c r="I39" i="3"/>
  <c r="H44" i="3"/>
  <c r="J40" i="3"/>
  <c r="J41" i="3"/>
  <c r="F42" i="3"/>
  <c r="E43" i="3"/>
  <c r="E44" i="3"/>
  <c r="I44" i="3"/>
  <c r="G45" i="3"/>
  <c r="D47" i="3"/>
  <c r="J47" i="3"/>
  <c r="G48" i="3"/>
  <c r="D39" i="3"/>
  <c r="H40" i="3"/>
  <c r="I40" i="3"/>
  <c r="D42" i="3"/>
  <c r="J42" i="3"/>
  <c r="D44" i="3"/>
  <c r="G44" i="3"/>
  <c r="I45" i="3"/>
  <c r="F46" i="3"/>
  <c r="F47" i="3"/>
  <c r="E48" i="3"/>
  <c r="G39" i="3"/>
  <c r="H41" i="3"/>
  <c r="F40" i="3"/>
  <c r="F41" i="3"/>
  <c r="H42" i="3"/>
  <c r="F43" i="3"/>
  <c r="J43" i="3"/>
  <c r="F44" i="3"/>
  <c r="H45" i="3"/>
  <c r="D46" i="3"/>
  <c r="J46" i="3"/>
  <c r="H47" i="3"/>
  <c r="F48" i="3"/>
  <c r="F39" i="3"/>
  <c r="E78" i="3" s="1"/>
  <c r="E79" i="3" s="1"/>
  <c r="E94" i="3" s="1"/>
  <c r="F94" i="3" s="1"/>
  <c r="H39" i="3"/>
  <c r="D40" i="3"/>
  <c r="D41" i="3"/>
  <c r="I41" i="3"/>
  <c r="G42" i="3"/>
  <c r="I43" i="3"/>
  <c r="E45" i="3"/>
  <c r="E46" i="3"/>
  <c r="I46" i="3"/>
  <c r="G47" i="3"/>
  <c r="I48" i="3"/>
  <c r="F44" i="4"/>
  <c r="E83" i="2"/>
  <c r="E28" i="2"/>
  <c r="E32" i="4" s="1"/>
  <c r="M32" i="4" s="1"/>
  <c r="M35" i="4" s="1"/>
  <c r="E46" i="2"/>
  <c r="E53" i="4" s="1"/>
  <c r="E23" i="4"/>
  <c r="E16" i="4"/>
  <c r="E37" i="4"/>
  <c r="E51" i="4"/>
  <c r="H78" i="3" l="1"/>
  <c r="H79" i="3" s="1"/>
  <c r="E97" i="3" s="1"/>
  <c r="F97" i="3" s="1"/>
  <c r="D78" i="3"/>
  <c r="D79" i="3" s="1"/>
  <c r="E93" i="3" s="1"/>
  <c r="F93" i="3" s="1"/>
  <c r="C78" i="3"/>
  <c r="F78" i="3"/>
  <c r="F79" i="3" s="1"/>
  <c r="E95" i="3" s="1"/>
  <c r="F95" i="3" s="1"/>
  <c r="C79" i="3"/>
  <c r="E92" i="3" s="1"/>
  <c r="F92" i="3" s="1"/>
  <c r="E11" i="2"/>
  <c r="E43" i="2"/>
  <c r="E46" i="4"/>
  <c r="E28" i="4"/>
  <c r="E21" i="4"/>
  <c r="E11" i="4"/>
  <c r="M11" i="4" s="1"/>
  <c r="M14" i="4" s="1"/>
  <c r="F50" i="3"/>
  <c r="H50" i="3"/>
  <c r="M46" i="4"/>
  <c r="M49" i="4" s="1"/>
  <c r="E49" i="4"/>
  <c r="E42" i="4"/>
  <c r="M39" i="4"/>
  <c r="M42" i="4" s="1"/>
  <c r="E56" i="4"/>
  <c r="M53" i="4"/>
  <c r="M56" i="4" s="1"/>
  <c r="E50" i="3"/>
  <c r="D50" i="3"/>
  <c r="G50" i="3"/>
  <c r="J50" i="3"/>
  <c r="I50" i="3"/>
  <c r="E85" i="2"/>
  <c r="E9" i="4"/>
  <c r="M11" i="2" l="1"/>
  <c r="M13" i="2" s="1"/>
  <c r="E13" i="2"/>
  <c r="E14" i="4"/>
  <c r="C6" i="17"/>
  <c r="C10" i="17" s="1"/>
  <c r="C11" i="17" s="1"/>
  <c r="E88" i="2" l="1"/>
  <c r="E80" i="2" s="1"/>
  <c r="E74" i="4" l="1"/>
  <c r="E77" i="4" s="1"/>
  <c r="E79" i="4" s="1"/>
  <c r="E16" i="22" l="1"/>
  <c r="B17" i="22"/>
  <c r="F16" i="22"/>
  <c r="G16" i="22" l="1"/>
  <c r="B18" i="22"/>
  <c r="C17" i="22" l="1"/>
  <c r="D17" i="22" s="1"/>
  <c r="B19" i="22"/>
  <c r="B20" i="22" l="1"/>
  <c r="C18" i="22"/>
  <c r="D18" i="22" s="1"/>
  <c r="F17" i="22"/>
  <c r="E17" i="22"/>
  <c r="G17" i="22" l="1"/>
  <c r="F18" i="22"/>
  <c r="E18" i="22"/>
  <c r="B21" i="22"/>
  <c r="C19" i="22"/>
  <c r="D19" i="22" s="1"/>
  <c r="G18" i="22" l="1"/>
  <c r="C20" i="22"/>
  <c r="D20" i="22" s="1"/>
  <c r="B22" i="22"/>
  <c r="F19" i="22"/>
  <c r="E19" i="22"/>
  <c r="G19" i="22" l="1"/>
  <c r="B23" i="22"/>
  <c r="C21" i="22"/>
  <c r="D21" i="22" s="1"/>
  <c r="F20" i="22"/>
  <c r="E20" i="22"/>
  <c r="B24" i="22" l="1"/>
  <c r="C22" i="22"/>
  <c r="D22" i="22" s="1"/>
  <c r="G20" i="22"/>
  <c r="F21" i="22"/>
  <c r="E21" i="22"/>
  <c r="F22" i="22" l="1"/>
  <c r="E22" i="22"/>
  <c r="G21" i="22"/>
  <c r="C23" i="22"/>
  <c r="D23" i="22" s="1"/>
  <c r="B25" i="22"/>
  <c r="G22" i="22" l="1"/>
  <c r="C24" i="22"/>
  <c r="D24" i="22" s="1"/>
  <c r="B26" i="22"/>
  <c r="F23" i="22"/>
  <c r="E23" i="22"/>
  <c r="G23" i="22" l="1"/>
  <c r="B27" i="22"/>
  <c r="C25" i="22"/>
  <c r="D25" i="22" s="1"/>
  <c r="F24" i="22"/>
  <c r="E24" i="22"/>
  <c r="B28" i="22" l="1"/>
  <c r="E146" i="22" s="1"/>
  <c r="C26" i="22"/>
  <c r="G24" i="22"/>
  <c r="F25" i="22"/>
  <c r="E25" i="22"/>
  <c r="AC274" i="30" l="1"/>
  <c r="AC275" i="30"/>
  <c r="AC276" i="30"/>
  <c r="AC277" i="30"/>
  <c r="AC278" i="30"/>
  <c r="AC279" i="30"/>
  <c r="AC280" i="30"/>
  <c r="AC281" i="30"/>
  <c r="AC282" i="30"/>
  <c r="AC283" i="30"/>
  <c r="AC284" i="30"/>
  <c r="AC285" i="30"/>
  <c r="AC293" i="30"/>
  <c r="AC287" i="30"/>
  <c r="AC288" i="30"/>
  <c r="AC289" i="30"/>
  <c r="AC290" i="30"/>
  <c r="AC291" i="30"/>
  <c r="AC292" i="30"/>
  <c r="AC294" i="30"/>
  <c r="AC295" i="30"/>
  <c r="AC296" i="30"/>
  <c r="AC297" i="30"/>
  <c r="AC286" i="30"/>
  <c r="AC240" i="30"/>
  <c r="AC203" i="30"/>
  <c r="AC155" i="30"/>
  <c r="AC143" i="30"/>
  <c r="AC204" i="30"/>
  <c r="AC258" i="30"/>
  <c r="AC208" i="30"/>
  <c r="AC273" i="30"/>
  <c r="AC75" i="30"/>
  <c r="AC181" i="30"/>
  <c r="AC55" i="30"/>
  <c r="AC182" i="30"/>
  <c r="AC47" i="30"/>
  <c r="AC151" i="30"/>
  <c r="AC235" i="30"/>
  <c r="AC245" i="30"/>
  <c r="AC36" i="30"/>
  <c r="AC49" i="30"/>
  <c r="AC162" i="30"/>
  <c r="AC221" i="30"/>
  <c r="AC167" i="30"/>
  <c r="AC107" i="30"/>
  <c r="AC169" i="30"/>
  <c r="AC255" i="30"/>
  <c r="AC223" i="30"/>
  <c r="AC96" i="30"/>
  <c r="AC172" i="30"/>
  <c r="AC21" i="30"/>
  <c r="AC197" i="30"/>
  <c r="AC188" i="30"/>
  <c r="AC261" i="30"/>
  <c r="AC58" i="30"/>
  <c r="AC238" i="30"/>
  <c r="AC154" i="30"/>
  <c r="AC89" i="30"/>
  <c r="AC112" i="30"/>
  <c r="AC201" i="30"/>
  <c r="AC111" i="30"/>
  <c r="AC179" i="30"/>
  <c r="AC44" i="30"/>
  <c r="AC189" i="30"/>
  <c r="AC74" i="30"/>
  <c r="AC84" i="30"/>
  <c r="AC264" i="30"/>
  <c r="AC233" i="30"/>
  <c r="AC202" i="30"/>
  <c r="AC267" i="30"/>
  <c r="AC78" i="30"/>
  <c r="AC236" i="30"/>
  <c r="AC46" i="30"/>
  <c r="AC87" i="30"/>
  <c r="AC85" i="30"/>
  <c r="AC116" i="30"/>
  <c r="AC92" i="30"/>
  <c r="AC191" i="30"/>
  <c r="AC119" i="30"/>
  <c r="AC205" i="30"/>
  <c r="AC206" i="30"/>
  <c r="AC59" i="30"/>
  <c r="AC210" i="30"/>
  <c r="AC63" i="30"/>
  <c r="AC105" i="30"/>
  <c r="AC156" i="30"/>
  <c r="AC27" i="30"/>
  <c r="AC213" i="30"/>
  <c r="AC199" i="30"/>
  <c r="AC216" i="30"/>
  <c r="AC272" i="30"/>
  <c r="AC160" i="30"/>
  <c r="AC64" i="30"/>
  <c r="AC146" i="30"/>
  <c r="AC253" i="30"/>
  <c r="AC138" i="30"/>
  <c r="AC108" i="30"/>
  <c r="AC139" i="30"/>
  <c r="AC194" i="30"/>
  <c r="AC71" i="30"/>
  <c r="AC32" i="30"/>
  <c r="AC224" i="30"/>
  <c r="AC29" i="30"/>
  <c r="AC23" i="30"/>
  <c r="AC16" i="30"/>
  <c r="AC128" i="30"/>
  <c r="AC262" i="30"/>
  <c r="AC54" i="30"/>
  <c r="AC227" i="30"/>
  <c r="AC254" i="30"/>
  <c r="AC217" i="30"/>
  <c r="AC45" i="30"/>
  <c r="AC26" i="30"/>
  <c r="AC37" i="30"/>
  <c r="AC67" i="30"/>
  <c r="AC263" i="30"/>
  <c r="AC163" i="30"/>
  <c r="AC265" i="30"/>
  <c r="AC147" i="30"/>
  <c r="AC218" i="30"/>
  <c r="AC17" i="30"/>
  <c r="AC148" i="30"/>
  <c r="AC241" i="30"/>
  <c r="AC61" i="30"/>
  <c r="AC14" i="30"/>
  <c r="AC38" i="30"/>
  <c r="AC51" i="30"/>
  <c r="AC80" i="30"/>
  <c r="AC239" i="30"/>
  <c r="AC136" i="30"/>
  <c r="AC102" i="30"/>
  <c r="AC103" i="30"/>
  <c r="AC266" i="30"/>
  <c r="AC260" i="30"/>
  <c r="AC98" i="30"/>
  <c r="AC53" i="30"/>
  <c r="AC76" i="30"/>
  <c r="AC164" i="30"/>
  <c r="AC219" i="30"/>
  <c r="AC90" i="30"/>
  <c r="AC165" i="30"/>
  <c r="AC109" i="30"/>
  <c r="AC220" i="30"/>
  <c r="AC249" i="30"/>
  <c r="AC142" i="30"/>
  <c r="AC123" i="30"/>
  <c r="AC271" i="30"/>
  <c r="AC248" i="30"/>
  <c r="AC124" i="30"/>
  <c r="AC137" i="30"/>
  <c r="AC126" i="30"/>
  <c r="AC234" i="30"/>
  <c r="AC50" i="30"/>
  <c r="AC170" i="30"/>
  <c r="AC70" i="30"/>
  <c r="AC83" i="30"/>
  <c r="AC94" i="30"/>
  <c r="AC15" i="30"/>
  <c r="AC30" i="30"/>
  <c r="AC196" i="30"/>
  <c r="AC97" i="30"/>
  <c r="AC130" i="30"/>
  <c r="AC257" i="30"/>
  <c r="AC52" i="30"/>
  <c r="AC229" i="30"/>
  <c r="AC65" i="30"/>
  <c r="AC104" i="30"/>
  <c r="AC222" i="30"/>
  <c r="AC73" i="30"/>
  <c r="AC244" i="30"/>
  <c r="AC42" i="30"/>
  <c r="AC81" i="30"/>
  <c r="AC19" i="30"/>
  <c r="AC250" i="30"/>
  <c r="AC187" i="30"/>
  <c r="AC34" i="30"/>
  <c r="AC129" i="30"/>
  <c r="AC91" i="30"/>
  <c r="AC77" i="30"/>
  <c r="AC198" i="30"/>
  <c r="J9" i="22"/>
  <c r="N4" i="22" s="1"/>
  <c r="AC190" i="30"/>
  <c r="AC114" i="30"/>
  <c r="AC141" i="30"/>
  <c r="AC185" i="30"/>
  <c r="AC132" i="30"/>
  <c r="AC120" i="30"/>
  <c r="AC246" i="30"/>
  <c r="AC60" i="30"/>
  <c r="AC79" i="30"/>
  <c r="AC211" i="30"/>
  <c r="AC121" i="30"/>
  <c r="AC135" i="30"/>
  <c r="AC39" i="30"/>
  <c r="AC251" i="30"/>
  <c r="AC157" i="30"/>
  <c r="AC101" i="30"/>
  <c r="AC140" i="30"/>
  <c r="AC186" i="30"/>
  <c r="AC161" i="30"/>
  <c r="AC66" i="30"/>
  <c r="AC125" i="30"/>
  <c r="AC127" i="30"/>
  <c r="AC168" i="30"/>
  <c r="AC193" i="30"/>
  <c r="AC230" i="30"/>
  <c r="AC95" i="30"/>
  <c r="AC183" i="30"/>
  <c r="AC173" i="30"/>
  <c r="AC175" i="30"/>
  <c r="AC24" i="30"/>
  <c r="AC106" i="30"/>
  <c r="AC35" i="30"/>
  <c r="AC268" i="30"/>
  <c r="AC178" i="30"/>
  <c r="AC200" i="30"/>
  <c r="AC144" i="30"/>
  <c r="AC115" i="30"/>
  <c r="AC117" i="30"/>
  <c r="AC153" i="30"/>
  <c r="AC133" i="30"/>
  <c r="AC237" i="30"/>
  <c r="AC62" i="30"/>
  <c r="AC25" i="30"/>
  <c r="AC180" i="30"/>
  <c r="AC113" i="30"/>
  <c r="AC110" i="30"/>
  <c r="AC259" i="30"/>
  <c r="AC149" i="30"/>
  <c r="AC214" i="30"/>
  <c r="AC40" i="30"/>
  <c r="AC159" i="30"/>
  <c r="AC145" i="30"/>
  <c r="AC192" i="30"/>
  <c r="AC270" i="30"/>
  <c r="AC166" i="30"/>
  <c r="AC231" i="30"/>
  <c r="AC69" i="30"/>
  <c r="AC28" i="30"/>
  <c r="AC243" i="30"/>
  <c r="AC252" i="30"/>
  <c r="AC247" i="30"/>
  <c r="AC22" i="30"/>
  <c r="AC72" i="30"/>
  <c r="AC225" i="30"/>
  <c r="AC150" i="30"/>
  <c r="AC226" i="30"/>
  <c r="AC31" i="30"/>
  <c r="AC86" i="30"/>
  <c r="AC41" i="30"/>
  <c r="AC184" i="30"/>
  <c r="AC118" i="30"/>
  <c r="AC131" i="30"/>
  <c r="AC134" i="30"/>
  <c r="AC57" i="30"/>
  <c r="AC207" i="30"/>
  <c r="AC209" i="30"/>
  <c r="AC56" i="30"/>
  <c r="AC100" i="30"/>
  <c r="AC122" i="30"/>
  <c r="AC88" i="30"/>
  <c r="AC256" i="30"/>
  <c r="AC212" i="30"/>
  <c r="AC215" i="30"/>
  <c r="AC242" i="30"/>
  <c r="AC158" i="30"/>
  <c r="AC18" i="30"/>
  <c r="AC48" i="30"/>
  <c r="AC269" i="30"/>
  <c r="AC232" i="30"/>
  <c r="AC93" i="30"/>
  <c r="AC68" i="30"/>
  <c r="AC33" i="30"/>
  <c r="AC171" i="30"/>
  <c r="AC82" i="30"/>
  <c r="AC13" i="30"/>
  <c r="AC174" i="30"/>
  <c r="AC195" i="30"/>
  <c r="AC152" i="30"/>
  <c r="AC99" i="30"/>
  <c r="AC176" i="30"/>
  <c r="AC177" i="30"/>
  <c r="AC228" i="30"/>
  <c r="AC20" i="30"/>
  <c r="AC43" i="30"/>
  <c r="C27" i="22"/>
  <c r="B29" i="22"/>
  <c r="F26" i="22"/>
  <c r="D26" i="22"/>
  <c r="G25" i="22"/>
  <c r="N5" i="22" l="1"/>
  <c r="N6" i="22" s="1"/>
  <c r="N7" i="22" s="1"/>
  <c r="J11" i="22" s="1"/>
  <c r="F27" i="22"/>
  <c r="D27" i="22"/>
  <c r="C9" i="22"/>
  <c r="Z116" i="27"/>
  <c r="Z107" i="27"/>
  <c r="Z98" i="27"/>
  <c r="Z90" i="27"/>
  <c r="Z79" i="27"/>
  <c r="Z67" i="27"/>
  <c r="Z190" i="27"/>
  <c r="Z173" i="27"/>
  <c r="Z166" i="27"/>
  <c r="Z156" i="27"/>
  <c r="Z146" i="27"/>
  <c r="Z136" i="27"/>
  <c r="Z126" i="27"/>
  <c r="Z94" i="27"/>
  <c r="Z121" i="27"/>
  <c r="Z110" i="27"/>
  <c r="Z101" i="27"/>
  <c r="Z87" i="27"/>
  <c r="Z76" i="27"/>
  <c r="Z65" i="27"/>
  <c r="Z192" i="27"/>
  <c r="Z172" i="27"/>
  <c r="Z165" i="27"/>
  <c r="Z157" i="27"/>
  <c r="Z152" i="27"/>
  <c r="Z147" i="27"/>
  <c r="Z143" i="27"/>
  <c r="Z138" i="27"/>
  <c r="Z133" i="27"/>
  <c r="Z128" i="27"/>
  <c r="Z120" i="27"/>
  <c r="Z115" i="27"/>
  <c r="Z124" i="27"/>
  <c r="Z113" i="27"/>
  <c r="Z109" i="27"/>
  <c r="Z106" i="27"/>
  <c r="Z103" i="27"/>
  <c r="Z100" i="27"/>
  <c r="Z96" i="27"/>
  <c r="Z92" i="27"/>
  <c r="Z89" i="27"/>
  <c r="Z86" i="27"/>
  <c r="Z83" i="27"/>
  <c r="Z80" i="27"/>
  <c r="Z77" i="27"/>
  <c r="Z74" i="27"/>
  <c r="Z71" i="27"/>
  <c r="Z69" i="27"/>
  <c r="Z66" i="27"/>
  <c r="Z64" i="27"/>
  <c r="Z189" i="27"/>
  <c r="Z191" i="27"/>
  <c r="Z194" i="27"/>
  <c r="Z195" i="27"/>
  <c r="Z174" i="27"/>
  <c r="Z169" i="27"/>
  <c r="Z164" i="27"/>
  <c r="Z160" i="27"/>
  <c r="Z155" i="27"/>
  <c r="Z150" i="27"/>
  <c r="Z145" i="27"/>
  <c r="Z140" i="27"/>
  <c r="Z135" i="27"/>
  <c r="Z130" i="27"/>
  <c r="Z125" i="27"/>
  <c r="Z119" i="27"/>
  <c r="Z97" i="27"/>
  <c r="Z175" i="27"/>
  <c r="Z168" i="27"/>
  <c r="Z163" i="27"/>
  <c r="Z159" i="27"/>
  <c r="Z154" i="27"/>
  <c r="Z148" i="27"/>
  <c r="Z142" i="27"/>
  <c r="Z137" i="27"/>
  <c r="Z132" i="27"/>
  <c r="Z127" i="27"/>
  <c r="Z123" i="27"/>
  <c r="Z118" i="27"/>
  <c r="Z114" i="27"/>
  <c r="Z111" i="27"/>
  <c r="Z108" i="27"/>
  <c r="Z105" i="27"/>
  <c r="Z102" i="27"/>
  <c r="Z99" i="27"/>
  <c r="Z95" i="27"/>
  <c r="Z91" i="27"/>
  <c r="Z88" i="27"/>
  <c r="Z85" i="27"/>
  <c r="Z84" i="27"/>
  <c r="Z81" i="27"/>
  <c r="Z78" i="27"/>
  <c r="Z75" i="27"/>
  <c r="Z72" i="27"/>
  <c r="Z68" i="27"/>
  <c r="Z193" i="27"/>
  <c r="Z176" i="27"/>
  <c r="Z171" i="27"/>
  <c r="Z167" i="27"/>
  <c r="Z162" i="27"/>
  <c r="Z158" i="27"/>
  <c r="Z153" i="27"/>
  <c r="Z149" i="27"/>
  <c r="Z144" i="27"/>
  <c r="Z139" i="27"/>
  <c r="Z134" i="27"/>
  <c r="Z129" i="27"/>
  <c r="Z112" i="27"/>
  <c r="Z104" i="27"/>
  <c r="Z93" i="27"/>
  <c r="Z82" i="27"/>
  <c r="Z73" i="27"/>
  <c r="Z70" i="27"/>
  <c r="Z188" i="27"/>
  <c r="Z196" i="27"/>
  <c r="Z170" i="27"/>
  <c r="Z161" i="27"/>
  <c r="Z151" i="27"/>
  <c r="Z141" i="27"/>
  <c r="Z131" i="27"/>
  <c r="Z122" i="27"/>
  <c r="Z117" i="27"/>
  <c r="Z200" i="27"/>
  <c r="Z61" i="27"/>
  <c r="Z55" i="27"/>
  <c r="Z52" i="27"/>
  <c r="Z46" i="27"/>
  <c r="Z41" i="27"/>
  <c r="Z37" i="27"/>
  <c r="Z32" i="27"/>
  <c r="Z27" i="27"/>
  <c r="Z22" i="27"/>
  <c r="Z17" i="27"/>
  <c r="Z12" i="27"/>
  <c r="Z7" i="27"/>
  <c r="Z183" i="27"/>
  <c r="Z178" i="27"/>
  <c r="Z197" i="27"/>
  <c r="Z63" i="27"/>
  <c r="Z58" i="27"/>
  <c r="Z53" i="27"/>
  <c r="Z48" i="27"/>
  <c r="Z43" i="27"/>
  <c r="Z38" i="27"/>
  <c r="Z33" i="27"/>
  <c r="Z28" i="27"/>
  <c r="Z23" i="27"/>
  <c r="Z18" i="27"/>
  <c r="Z13" i="27"/>
  <c r="Z8" i="27"/>
  <c r="Z4" i="27"/>
  <c r="Z186" i="27"/>
  <c r="Z177" i="27"/>
  <c r="Z2" i="27"/>
  <c r="Z201" i="27"/>
  <c r="Z60" i="27"/>
  <c r="Z56" i="27"/>
  <c r="Z50" i="27"/>
  <c r="Z44" i="27"/>
  <c r="Z40" i="27"/>
  <c r="Z35" i="27"/>
  <c r="Z31" i="27"/>
  <c r="Z26" i="27"/>
  <c r="Z21" i="27"/>
  <c r="Z16" i="27"/>
  <c r="Z11" i="27"/>
  <c r="Z3" i="27"/>
  <c r="Z185" i="27"/>
  <c r="Z179" i="27"/>
  <c r="Z199" i="27"/>
  <c r="Z202" i="27"/>
  <c r="AB202" i="27" s="1"/>
  <c r="Z59" i="27"/>
  <c r="Z54" i="27"/>
  <c r="Z49" i="27"/>
  <c r="Z47" i="27"/>
  <c r="Z42" i="27"/>
  <c r="Z36" i="27"/>
  <c r="Z30" i="27"/>
  <c r="Z25" i="27"/>
  <c r="Z20" i="27"/>
  <c r="Z15" i="27"/>
  <c r="Z10" i="27"/>
  <c r="Z6" i="27"/>
  <c r="Z184" i="27"/>
  <c r="Z181" i="27"/>
  <c r="Z198" i="27"/>
  <c r="Z62" i="27"/>
  <c r="Z57" i="27"/>
  <c r="Z51" i="27"/>
  <c r="Z45" i="27"/>
  <c r="Z39" i="27"/>
  <c r="Z34" i="27"/>
  <c r="Z29" i="27"/>
  <c r="Z24" i="27"/>
  <c r="Z19" i="27"/>
  <c r="Z14" i="27"/>
  <c r="Z9" i="27"/>
  <c r="Z5" i="27"/>
  <c r="Z187" i="27"/>
  <c r="Z182" i="27"/>
  <c r="Z180" i="27"/>
  <c r="C28" i="22"/>
  <c r="B30" i="22"/>
  <c r="E26" i="22"/>
  <c r="G26" i="22"/>
  <c r="E27" i="22" l="1"/>
  <c r="G77" i="22"/>
  <c r="G73" i="22"/>
  <c r="G76" i="22"/>
  <c r="G74" i="22"/>
  <c r="G75" i="22"/>
  <c r="N22" i="24"/>
  <c r="CR43" i="30"/>
  <c r="CR89" i="30"/>
  <c r="CR112" i="30"/>
  <c r="CR111" i="30"/>
  <c r="CR44" i="30"/>
  <c r="CR74" i="30"/>
  <c r="CR84" i="30"/>
  <c r="CR78" i="30"/>
  <c r="CR46" i="30"/>
  <c r="CR41" i="30"/>
  <c r="CR87" i="30"/>
  <c r="CR85" i="30"/>
  <c r="CR114" i="30"/>
  <c r="CR115" i="30"/>
  <c r="CR116" i="30"/>
  <c r="CR92" i="30"/>
  <c r="CR117" i="30"/>
  <c r="CR118" i="30"/>
  <c r="CR131" i="30"/>
  <c r="CR132" i="30"/>
  <c r="CR133" i="30"/>
  <c r="CR119" i="30"/>
  <c r="CR134" i="30"/>
  <c r="CR120" i="30"/>
  <c r="CR57" i="30"/>
  <c r="CR62" i="30"/>
  <c r="CR60" i="30"/>
  <c r="CR25" i="30"/>
  <c r="CR59" i="30"/>
  <c r="CR79" i="30"/>
  <c r="CR56" i="30"/>
  <c r="CR75" i="30"/>
  <c r="CR63" i="30"/>
  <c r="CR100" i="30"/>
  <c r="CR113" i="30"/>
  <c r="CR121" i="30"/>
  <c r="CR105" i="30"/>
  <c r="CR122" i="30"/>
  <c r="CR110" i="30"/>
  <c r="CR135" i="30"/>
  <c r="CR55" i="30"/>
  <c r="CR88" i="30"/>
  <c r="CR39" i="30"/>
  <c r="CR27" i="30"/>
  <c r="CR47" i="30"/>
  <c r="CR101" i="30"/>
  <c r="CR40" i="30"/>
  <c r="CR18" i="30"/>
  <c r="CR36" i="30"/>
  <c r="CR48" i="30"/>
  <c r="CR64" i="30"/>
  <c r="CR49" i="30"/>
  <c r="CR65" i="30"/>
  <c r="CR66" i="30"/>
  <c r="CR45" i="30"/>
  <c r="CR26" i="30"/>
  <c r="CR37" i="30"/>
  <c r="CR67" i="30"/>
  <c r="CR17" i="30"/>
  <c r="CR61" i="30"/>
  <c r="CR14" i="30"/>
  <c r="CR38" i="30"/>
  <c r="CR51" i="30"/>
  <c r="CR80" i="30"/>
  <c r="CR136" i="30"/>
  <c r="CR102" i="30"/>
  <c r="CR103" i="30"/>
  <c r="CR98" i="30"/>
  <c r="CR53" i="30"/>
  <c r="CR76" i="30"/>
  <c r="CR90" i="30"/>
  <c r="CR109" i="30"/>
  <c r="CR123" i="30"/>
  <c r="CR124" i="30"/>
  <c r="CR137" i="30"/>
  <c r="CR125" i="30"/>
  <c r="CR126" i="30"/>
  <c r="CR104" i="30"/>
  <c r="CR138" i="30"/>
  <c r="CR127" i="30"/>
  <c r="CR108" i="30"/>
  <c r="CR50" i="30"/>
  <c r="CR107" i="30"/>
  <c r="CR93" i="30"/>
  <c r="CR139" i="30"/>
  <c r="CR73" i="30"/>
  <c r="CR68" i="30"/>
  <c r="CR69" i="30"/>
  <c r="CR33" i="30"/>
  <c r="CR70" i="30"/>
  <c r="CR28" i="30"/>
  <c r="CR71" i="30"/>
  <c r="CR42" i="30"/>
  <c r="CR83" i="30"/>
  <c r="CR32" i="30"/>
  <c r="CR95" i="30"/>
  <c r="CR81" i="30"/>
  <c r="CR96" i="30"/>
  <c r="CR82" i="30"/>
  <c r="CR94" i="30"/>
  <c r="CR13" i="30"/>
  <c r="CR19" i="30"/>
  <c r="CR15" i="30"/>
  <c r="CR29" i="30"/>
  <c r="CR30" i="30"/>
  <c r="CR21" i="30"/>
  <c r="CR23" i="30"/>
  <c r="CR22" i="30"/>
  <c r="CR16" i="30"/>
  <c r="CR24" i="30"/>
  <c r="CR72" i="30"/>
  <c r="CR34" i="30"/>
  <c r="CR97" i="30"/>
  <c r="CR128" i="30"/>
  <c r="CR106" i="30"/>
  <c r="CR129" i="30"/>
  <c r="CR99" i="30"/>
  <c r="CR130" i="30"/>
  <c r="CR35" i="30"/>
  <c r="CR91" i="30"/>
  <c r="CR54" i="30"/>
  <c r="CR77" i="30"/>
  <c r="CR52" i="30"/>
  <c r="CR58" i="30"/>
  <c r="CR31" i="30"/>
  <c r="CR86" i="30"/>
  <c r="CR20" i="30"/>
  <c r="D28" i="22"/>
  <c r="E28" i="22" s="1"/>
  <c r="F28" i="22"/>
  <c r="CS160" i="27"/>
  <c r="CS126" i="27"/>
  <c r="CS94" i="27"/>
  <c r="CS85" i="27"/>
  <c r="CS173" i="27"/>
  <c r="CS152" i="27"/>
  <c r="CS134" i="27"/>
  <c r="CS116" i="27"/>
  <c r="CS101" i="27"/>
  <c r="CS81" i="27"/>
  <c r="CS179" i="27"/>
  <c r="CS149" i="27"/>
  <c r="CS130" i="27"/>
  <c r="CS110" i="27"/>
  <c r="CS95" i="27"/>
  <c r="CS178" i="27"/>
  <c r="CS161" i="27"/>
  <c r="CS129" i="27"/>
  <c r="CS111" i="27"/>
  <c r="CS97" i="27"/>
  <c r="CS183" i="27"/>
  <c r="CS155" i="27"/>
  <c r="CS135" i="27"/>
  <c r="CS89" i="27"/>
  <c r="CS80" i="27"/>
  <c r="CS184" i="27"/>
  <c r="CS167" i="27"/>
  <c r="CS157" i="27"/>
  <c r="CS139" i="27"/>
  <c r="CS121" i="27"/>
  <c r="CS104" i="27"/>
  <c r="CS87" i="27"/>
  <c r="CS107" i="27"/>
  <c r="CS103" i="27"/>
  <c r="CS98" i="27"/>
  <c r="CS93" i="27"/>
  <c r="CS88" i="27"/>
  <c r="CS174" i="27"/>
  <c r="CS144" i="27"/>
  <c r="CS117" i="27"/>
  <c r="CS79" i="27"/>
  <c r="CS185" i="27"/>
  <c r="CS180" i="27"/>
  <c r="CS175" i="27"/>
  <c r="CS171" i="27"/>
  <c r="CS166" i="27"/>
  <c r="CS162" i="27"/>
  <c r="CS156" i="27"/>
  <c r="CS151" i="27"/>
  <c r="CS147" i="27"/>
  <c r="CS142" i="27"/>
  <c r="CS137" i="27"/>
  <c r="CS132" i="27"/>
  <c r="CS127" i="27"/>
  <c r="CS123" i="27"/>
  <c r="CS119" i="27"/>
  <c r="CS112" i="27"/>
  <c r="CS106" i="27"/>
  <c r="CS102" i="27"/>
  <c r="CS96" i="27"/>
  <c r="CS83" i="27"/>
  <c r="CS165" i="27"/>
  <c r="CS120" i="27"/>
  <c r="CS100" i="27"/>
  <c r="CS91" i="27"/>
  <c r="CS86" i="27"/>
  <c r="CS82" i="27"/>
  <c r="CS78" i="27"/>
  <c r="CS187" i="27"/>
  <c r="CS182" i="27"/>
  <c r="CS177" i="27"/>
  <c r="CS172" i="27"/>
  <c r="CS168" i="27"/>
  <c r="CS163" i="27"/>
  <c r="CS158" i="27"/>
  <c r="CS153" i="27"/>
  <c r="CS148" i="27"/>
  <c r="CS143" i="27"/>
  <c r="CS138" i="27"/>
  <c r="CS133" i="27"/>
  <c r="CS128" i="27"/>
  <c r="CS115" i="27"/>
  <c r="CS108" i="27"/>
  <c r="CS105" i="27"/>
  <c r="CS99" i="27"/>
  <c r="CS169" i="27"/>
  <c r="CS140" i="27"/>
  <c r="CS114" i="27"/>
  <c r="CS84" i="27"/>
  <c r="CS90" i="27"/>
  <c r="CS145" i="27"/>
  <c r="CS124" i="27"/>
  <c r="CS109" i="27"/>
  <c r="CS92" i="27"/>
  <c r="CS186" i="27"/>
  <c r="CS181" i="27"/>
  <c r="CS176" i="27"/>
  <c r="CS170" i="27"/>
  <c r="CS164" i="27"/>
  <c r="CS159" i="27"/>
  <c r="CS154" i="27"/>
  <c r="CS150" i="27"/>
  <c r="CS146" i="27"/>
  <c r="CS141" i="27"/>
  <c r="CS136" i="27"/>
  <c r="CS131" i="27"/>
  <c r="CS125" i="27"/>
  <c r="CS122" i="27"/>
  <c r="CS118" i="27"/>
  <c r="CS113" i="27"/>
  <c r="AA116" i="27"/>
  <c r="AB116" i="27"/>
  <c r="AA107" i="27"/>
  <c r="AB107" i="27"/>
  <c r="AA98" i="27"/>
  <c r="AB98" i="27"/>
  <c r="AA90" i="27"/>
  <c r="AB90" i="27"/>
  <c r="AA79" i="27"/>
  <c r="AB79" i="27"/>
  <c r="AA67" i="27"/>
  <c r="AB67" i="27"/>
  <c r="AA190" i="27"/>
  <c r="AB190" i="27"/>
  <c r="AA173" i="27"/>
  <c r="AB173" i="27"/>
  <c r="AA166" i="27"/>
  <c r="AB166" i="27"/>
  <c r="AA156" i="27"/>
  <c r="AB156" i="27"/>
  <c r="AA146" i="27"/>
  <c r="AB146" i="27"/>
  <c r="AA136" i="27"/>
  <c r="AB136" i="27"/>
  <c r="AA126" i="27"/>
  <c r="AB126" i="27"/>
  <c r="AA94" i="27"/>
  <c r="AB94" i="27"/>
  <c r="AA121" i="27"/>
  <c r="AB121" i="27"/>
  <c r="AA110" i="27"/>
  <c r="AB110" i="27"/>
  <c r="AA101" i="27"/>
  <c r="AB101" i="27"/>
  <c r="AA87" i="27"/>
  <c r="AB87" i="27"/>
  <c r="AA76" i="27"/>
  <c r="AB76" i="27"/>
  <c r="AA65" i="27"/>
  <c r="AB65" i="27"/>
  <c r="AA192" i="27"/>
  <c r="AB192" i="27"/>
  <c r="AA172" i="27"/>
  <c r="AB172" i="27"/>
  <c r="AA165" i="27"/>
  <c r="AB165" i="27"/>
  <c r="AA157" i="27"/>
  <c r="AB157" i="27"/>
  <c r="AA152" i="27"/>
  <c r="AB152" i="27"/>
  <c r="AA147" i="27"/>
  <c r="AB147" i="27"/>
  <c r="AA143" i="27"/>
  <c r="AB143" i="27"/>
  <c r="AA138" i="27"/>
  <c r="AB138" i="27"/>
  <c r="AA133" i="27"/>
  <c r="AB133" i="27"/>
  <c r="AA128" i="27"/>
  <c r="AB128" i="27"/>
  <c r="AA120" i="27"/>
  <c r="AB120" i="27"/>
  <c r="AA115" i="27"/>
  <c r="AB115" i="27"/>
  <c r="AA124" i="27"/>
  <c r="AB124" i="27"/>
  <c r="AA113" i="27"/>
  <c r="AB113" i="27"/>
  <c r="AA109" i="27"/>
  <c r="AB109" i="27"/>
  <c r="AA106" i="27"/>
  <c r="AB106" i="27"/>
  <c r="AA103" i="27"/>
  <c r="AB103" i="27"/>
  <c r="AA100" i="27"/>
  <c r="AB100" i="27"/>
  <c r="AA96" i="27"/>
  <c r="AB96" i="27"/>
  <c r="AA92" i="27"/>
  <c r="AB92" i="27"/>
  <c r="AA89" i="27"/>
  <c r="AB89" i="27"/>
  <c r="AA86" i="27"/>
  <c r="AB86" i="27"/>
  <c r="AA83" i="27"/>
  <c r="AB83" i="27"/>
  <c r="AA80" i="27"/>
  <c r="AB80" i="27"/>
  <c r="AA77" i="27"/>
  <c r="AB77" i="27"/>
  <c r="AA74" i="27"/>
  <c r="AB74" i="27"/>
  <c r="AA71" i="27"/>
  <c r="AB71" i="27"/>
  <c r="AA69" i="27"/>
  <c r="AB69" i="27"/>
  <c r="AA66" i="27"/>
  <c r="AB66" i="27"/>
  <c r="AA64" i="27"/>
  <c r="AB64" i="27"/>
  <c r="AA189" i="27"/>
  <c r="AB189" i="27"/>
  <c r="AA191" i="27"/>
  <c r="AB191" i="27"/>
  <c r="AA194" i="27"/>
  <c r="AB194" i="27"/>
  <c r="AA195" i="27"/>
  <c r="AB195" i="27"/>
  <c r="AA174" i="27"/>
  <c r="AB174" i="27"/>
  <c r="AA169" i="27"/>
  <c r="AB169" i="27"/>
  <c r="AA164" i="27"/>
  <c r="AB164" i="27"/>
  <c r="AA160" i="27"/>
  <c r="AB160" i="27"/>
  <c r="AA155" i="27"/>
  <c r="AB155" i="27"/>
  <c r="AA150" i="27"/>
  <c r="AB150" i="27"/>
  <c r="AA145" i="27"/>
  <c r="AB145" i="27"/>
  <c r="AA140" i="27"/>
  <c r="AB140" i="27"/>
  <c r="AA135" i="27"/>
  <c r="AB135" i="27"/>
  <c r="AA130" i="27"/>
  <c r="AB130" i="27"/>
  <c r="AA125" i="27"/>
  <c r="AB125" i="27"/>
  <c r="AA119" i="27"/>
  <c r="AB119" i="27"/>
  <c r="AA97" i="27"/>
  <c r="AB97" i="27"/>
  <c r="AA175" i="27"/>
  <c r="AB175" i="27"/>
  <c r="AA168" i="27"/>
  <c r="AB168" i="27"/>
  <c r="AA163" i="27"/>
  <c r="AB163" i="27"/>
  <c r="AA159" i="27"/>
  <c r="AB159" i="27"/>
  <c r="AA154" i="27"/>
  <c r="AB154" i="27"/>
  <c r="AA148" i="27"/>
  <c r="AB148" i="27"/>
  <c r="AA142" i="27"/>
  <c r="AB142" i="27"/>
  <c r="AA137" i="27"/>
  <c r="AB137" i="27"/>
  <c r="AA132" i="27"/>
  <c r="AB132" i="27"/>
  <c r="AA127" i="27"/>
  <c r="AB127" i="27"/>
  <c r="AA123" i="27"/>
  <c r="AB123" i="27"/>
  <c r="AA118" i="27"/>
  <c r="AB118" i="27"/>
  <c r="AA114" i="27"/>
  <c r="AB114" i="27"/>
  <c r="AA111" i="27"/>
  <c r="AB111" i="27"/>
  <c r="AA108" i="27"/>
  <c r="AB108" i="27"/>
  <c r="AA105" i="27"/>
  <c r="AB105" i="27"/>
  <c r="AA102" i="27"/>
  <c r="AB102" i="27"/>
  <c r="AA99" i="27"/>
  <c r="AB99" i="27"/>
  <c r="AA95" i="27"/>
  <c r="AB95" i="27"/>
  <c r="AA91" i="27"/>
  <c r="AB91" i="27"/>
  <c r="AA88" i="27"/>
  <c r="AB88" i="27"/>
  <c r="AA85" i="27"/>
  <c r="AB85" i="27"/>
  <c r="AA84" i="27"/>
  <c r="AB84" i="27"/>
  <c r="AA81" i="27"/>
  <c r="AB81" i="27"/>
  <c r="AA78" i="27"/>
  <c r="AB78" i="27"/>
  <c r="AA75" i="27"/>
  <c r="AB75" i="27"/>
  <c r="AA72" i="27"/>
  <c r="AB72" i="27"/>
  <c r="AA68" i="27"/>
  <c r="AB68" i="27"/>
  <c r="AA193" i="27"/>
  <c r="AB193" i="27"/>
  <c r="AA176" i="27"/>
  <c r="AB176" i="27"/>
  <c r="AA171" i="27"/>
  <c r="AB171" i="27"/>
  <c r="AA167" i="27"/>
  <c r="AB167" i="27"/>
  <c r="AA162" i="27"/>
  <c r="AB162" i="27"/>
  <c r="AA158" i="27"/>
  <c r="AB158" i="27"/>
  <c r="AA153" i="27"/>
  <c r="AB153" i="27"/>
  <c r="AA149" i="27"/>
  <c r="AB149" i="27"/>
  <c r="AA144" i="27"/>
  <c r="AB144" i="27"/>
  <c r="AA139" i="27"/>
  <c r="AB139" i="27"/>
  <c r="AA134" i="27"/>
  <c r="AB134" i="27"/>
  <c r="AA129" i="27"/>
  <c r="AB129" i="27"/>
  <c r="AA112" i="27"/>
  <c r="AB112" i="27"/>
  <c r="AA104" i="27"/>
  <c r="AB104" i="27"/>
  <c r="AA93" i="27"/>
  <c r="AB93" i="27"/>
  <c r="AA82" i="27"/>
  <c r="AB82" i="27"/>
  <c r="AA73" i="27"/>
  <c r="AB73" i="27"/>
  <c r="AA70" i="27"/>
  <c r="AB70" i="27"/>
  <c r="AA188" i="27"/>
  <c r="AB188" i="27"/>
  <c r="AA196" i="27"/>
  <c r="AB196" i="27"/>
  <c r="AA170" i="27"/>
  <c r="AB170" i="27"/>
  <c r="AA161" i="27"/>
  <c r="AB161" i="27"/>
  <c r="AA151" i="27"/>
  <c r="AB151" i="27"/>
  <c r="AA141" i="27"/>
  <c r="AB141" i="27"/>
  <c r="AA131" i="27"/>
  <c r="AB131" i="27"/>
  <c r="AA122" i="27"/>
  <c r="AB122" i="27"/>
  <c r="AA117" i="27"/>
  <c r="AB117" i="27"/>
  <c r="AA200" i="27"/>
  <c r="AB200" i="27"/>
  <c r="AA61" i="27"/>
  <c r="AB61" i="27"/>
  <c r="AA55" i="27"/>
  <c r="AB55" i="27"/>
  <c r="AA52" i="27"/>
  <c r="AB52" i="27"/>
  <c r="AA46" i="27"/>
  <c r="AB46" i="27"/>
  <c r="AA41" i="27"/>
  <c r="AB41" i="27"/>
  <c r="AA37" i="27"/>
  <c r="AB37" i="27"/>
  <c r="AA32" i="27"/>
  <c r="AB32" i="27"/>
  <c r="AA27" i="27"/>
  <c r="AB27" i="27"/>
  <c r="AA22" i="27"/>
  <c r="AB22" i="27"/>
  <c r="AA17" i="27"/>
  <c r="AB17" i="27"/>
  <c r="AA12" i="27"/>
  <c r="AB12" i="27"/>
  <c r="AA7" i="27"/>
  <c r="AB7" i="27"/>
  <c r="AA183" i="27"/>
  <c r="AB183" i="27"/>
  <c r="AA178" i="27"/>
  <c r="AB178" i="27"/>
  <c r="AA197" i="27"/>
  <c r="AB197" i="27"/>
  <c r="AA63" i="27"/>
  <c r="AB63" i="27"/>
  <c r="AA58" i="27"/>
  <c r="AB58" i="27"/>
  <c r="AA53" i="27"/>
  <c r="AB53" i="27"/>
  <c r="AA48" i="27"/>
  <c r="AB48" i="27"/>
  <c r="AA43" i="27"/>
  <c r="AB43" i="27"/>
  <c r="AA38" i="27"/>
  <c r="AB38" i="27"/>
  <c r="AA33" i="27"/>
  <c r="AB33" i="27"/>
  <c r="AA28" i="27"/>
  <c r="AB28" i="27"/>
  <c r="AA23" i="27"/>
  <c r="AB23" i="27"/>
  <c r="AA18" i="27"/>
  <c r="AB18" i="27"/>
  <c r="AA13" i="27"/>
  <c r="AB13" i="27"/>
  <c r="AA8" i="27"/>
  <c r="AB8" i="27"/>
  <c r="AA4" i="27"/>
  <c r="AB4" i="27"/>
  <c r="AA186" i="27"/>
  <c r="AB186" i="27"/>
  <c r="AA177" i="27"/>
  <c r="AB177" i="27"/>
  <c r="G2" i="22"/>
  <c r="E99" i="22" s="1"/>
  <c r="AA2" i="27"/>
  <c r="AB2" i="27"/>
  <c r="AA201" i="27"/>
  <c r="AB201" i="27"/>
  <c r="AA60" i="27"/>
  <c r="AB60" i="27"/>
  <c r="AA56" i="27"/>
  <c r="AB56" i="27"/>
  <c r="AA50" i="27"/>
  <c r="AB50" i="27"/>
  <c r="AA44" i="27"/>
  <c r="AB44" i="27"/>
  <c r="AA40" i="27"/>
  <c r="AB40" i="27"/>
  <c r="AA35" i="27"/>
  <c r="AB35" i="27"/>
  <c r="AA31" i="27"/>
  <c r="AB31" i="27"/>
  <c r="AA26" i="27"/>
  <c r="AB26" i="27"/>
  <c r="AA21" i="27"/>
  <c r="AB21" i="27"/>
  <c r="AA16" i="27"/>
  <c r="AB16" i="27"/>
  <c r="AA11" i="27"/>
  <c r="AB11" i="27"/>
  <c r="AA3" i="27"/>
  <c r="AB3" i="27"/>
  <c r="AA185" i="27"/>
  <c r="AB185" i="27"/>
  <c r="AA179" i="27"/>
  <c r="AB179" i="27"/>
  <c r="AA199" i="27"/>
  <c r="AB199" i="27"/>
  <c r="AA202" i="27"/>
  <c r="AA59" i="27"/>
  <c r="AB59" i="27"/>
  <c r="AA54" i="27"/>
  <c r="AB54" i="27"/>
  <c r="AA49" i="27"/>
  <c r="AB49" i="27"/>
  <c r="AA47" i="27"/>
  <c r="AB47" i="27"/>
  <c r="AA42" i="27"/>
  <c r="AB42" i="27"/>
  <c r="AA36" i="27"/>
  <c r="AB36" i="27"/>
  <c r="AA30" i="27"/>
  <c r="AB30" i="27"/>
  <c r="AA25" i="27"/>
  <c r="AB25" i="27"/>
  <c r="AA20" i="27"/>
  <c r="AB20" i="27"/>
  <c r="AA15" i="27"/>
  <c r="AB15" i="27"/>
  <c r="AA10" i="27"/>
  <c r="AB10" i="27"/>
  <c r="AA6" i="27"/>
  <c r="AB6" i="27"/>
  <c r="AA184" i="27"/>
  <c r="AB184" i="27"/>
  <c r="AA181" i="27"/>
  <c r="AB181" i="27"/>
  <c r="AA198" i="27"/>
  <c r="AB198" i="27"/>
  <c r="AA62" i="27"/>
  <c r="AB62" i="27"/>
  <c r="AA57" i="27"/>
  <c r="AB57" i="27"/>
  <c r="AA51" i="27"/>
  <c r="AB51" i="27"/>
  <c r="AA45" i="27"/>
  <c r="AB45" i="27"/>
  <c r="AA39" i="27"/>
  <c r="AB39" i="27"/>
  <c r="AA34" i="27"/>
  <c r="AB34" i="27"/>
  <c r="AA29" i="27"/>
  <c r="AB29" i="27"/>
  <c r="AA24" i="27"/>
  <c r="AB24" i="27"/>
  <c r="AA19" i="27"/>
  <c r="AB19" i="27"/>
  <c r="AA14" i="27"/>
  <c r="AB14" i="27"/>
  <c r="AA9" i="27"/>
  <c r="AB9" i="27"/>
  <c r="AA5" i="27"/>
  <c r="AB5" i="27"/>
  <c r="AA187" i="27"/>
  <c r="AB187" i="27"/>
  <c r="AA182" i="27"/>
  <c r="AB182" i="27"/>
  <c r="AA180" i="27"/>
  <c r="AB180" i="27"/>
  <c r="C29" i="22"/>
  <c r="B31" i="22"/>
  <c r="G27" i="22"/>
  <c r="E11" i="24"/>
  <c r="M21" i="2" l="1"/>
  <c r="M23" i="4" s="1"/>
  <c r="G28" i="22"/>
  <c r="H28" i="22" s="1"/>
  <c r="R28" i="22" s="1"/>
  <c r="D29" i="22"/>
  <c r="E29" i="22" s="1"/>
  <c r="F29" i="22"/>
  <c r="C30" i="22"/>
  <c r="B32" i="22"/>
  <c r="E21" i="2"/>
  <c r="G5" i="22"/>
  <c r="G6" i="22" s="1"/>
  <c r="G3" i="22"/>
  <c r="G4" i="22" s="1"/>
  <c r="E12" i="24"/>
  <c r="E13" i="24" s="1"/>
  <c r="E27" i="24" s="1"/>
  <c r="E19" i="24"/>
  <c r="Q28" i="22" l="1"/>
  <c r="G29" i="22"/>
  <c r="H29" i="22" s="1"/>
  <c r="R29" i="22" s="1"/>
  <c r="M28" i="4"/>
  <c r="M58" i="4" s="1"/>
  <c r="J28" i="22"/>
  <c r="M28" i="22"/>
  <c r="D30" i="22"/>
  <c r="E30" i="22" s="1"/>
  <c r="F30" i="22"/>
  <c r="C31" i="22"/>
  <c r="B33" i="22"/>
  <c r="C98" i="2"/>
  <c r="E30" i="4"/>
  <c r="E35" i="4" s="1"/>
  <c r="E58" i="4" s="1"/>
  <c r="G7" i="22"/>
  <c r="S28" i="22" l="1"/>
  <c r="Q29" i="22"/>
  <c r="G30" i="22"/>
  <c r="H30" i="22" s="1"/>
  <c r="R30" i="22" s="1"/>
  <c r="K98" i="2"/>
  <c r="L28" i="22"/>
  <c r="L29" i="22"/>
  <c r="J29" i="22"/>
  <c r="M29" i="22"/>
  <c r="D31" i="22"/>
  <c r="E31" i="22" s="1"/>
  <c r="F31" i="22"/>
  <c r="C32" i="22"/>
  <c r="B34" i="22"/>
  <c r="C11" i="22"/>
  <c r="S29" i="22" l="1"/>
  <c r="Q30" i="22"/>
  <c r="D156" i="22"/>
  <c r="D152" i="22"/>
  <c r="J152" i="22" s="1"/>
  <c r="N152" i="22" s="1"/>
  <c r="D157" i="22"/>
  <c r="D153" i="22"/>
  <c r="E151" i="22"/>
  <c r="E153" i="22"/>
  <c r="E152" i="22"/>
  <c r="E157" i="22"/>
  <c r="E156" i="22"/>
  <c r="D151" i="22"/>
  <c r="J151" i="22" s="1"/>
  <c r="N151" i="22" s="1"/>
  <c r="N28" i="22"/>
  <c r="K11" i="22"/>
  <c r="L30" i="22"/>
  <c r="G31" i="22"/>
  <c r="H31" i="22" s="1"/>
  <c r="R31" i="22" s="1"/>
  <c r="M30" i="22"/>
  <c r="J30" i="22"/>
  <c r="N29" i="22"/>
  <c r="D32" i="22"/>
  <c r="E32" i="22" s="1"/>
  <c r="F32" i="22"/>
  <c r="C33" i="22"/>
  <c r="B35" i="22"/>
  <c r="H27" i="22"/>
  <c r="R27" i="22" s="1"/>
  <c r="H26" i="22"/>
  <c r="R26" i="22" s="1"/>
  <c r="H25" i="22"/>
  <c r="R25" i="22" s="1"/>
  <c r="H24" i="22"/>
  <c r="R24" i="22" s="1"/>
  <c r="H23" i="22"/>
  <c r="R23" i="22" s="1"/>
  <c r="H22" i="22"/>
  <c r="R22" i="22" s="1"/>
  <c r="H21" i="22"/>
  <c r="R21" i="22" s="1"/>
  <c r="H20" i="22"/>
  <c r="R20" i="22" s="1"/>
  <c r="H19" i="22"/>
  <c r="R19" i="22" s="1"/>
  <c r="H18" i="22"/>
  <c r="R18" i="22" s="1"/>
  <c r="H17" i="22"/>
  <c r="R17" i="22" s="1"/>
  <c r="H16" i="22"/>
  <c r="R16" i="22" s="1"/>
  <c r="E22" i="24"/>
  <c r="E20" i="24" s="1"/>
  <c r="E21" i="24" s="1"/>
  <c r="E28" i="24" s="1"/>
  <c r="E30" i="24" s="1"/>
  <c r="J153" i="22" l="1"/>
  <c r="N153" i="22" s="1"/>
  <c r="Q16" i="22"/>
  <c r="Q24" i="22"/>
  <c r="Q17" i="22"/>
  <c r="Q25" i="22"/>
  <c r="Q18" i="22"/>
  <c r="Q26" i="22"/>
  <c r="Q19" i="22"/>
  <c r="Q27" i="22"/>
  <c r="Q31" i="22"/>
  <c r="J157" i="22"/>
  <c r="N157" i="22" s="1"/>
  <c r="Q20" i="22"/>
  <c r="Q21" i="22"/>
  <c r="J156" i="22"/>
  <c r="N156" i="22" s="1"/>
  <c r="Q22" i="22"/>
  <c r="Q23" i="22"/>
  <c r="S23" i="22" s="1"/>
  <c r="S30" i="22"/>
  <c r="E160" i="22"/>
  <c r="E149" i="22"/>
  <c r="E150" i="22" s="1"/>
  <c r="D149" i="22"/>
  <c r="D160" i="22"/>
  <c r="J160" i="22" s="1"/>
  <c r="E155" i="22" a="1"/>
  <c r="E155" i="22" s="1"/>
  <c r="D155" i="22" a="1"/>
  <c r="D155" i="22" s="1"/>
  <c r="J155" i="22" s="1"/>
  <c r="N155" i="22" s="1"/>
  <c r="H43" i="22"/>
  <c r="H41" i="22"/>
  <c r="N30" i="22"/>
  <c r="G32" i="22"/>
  <c r="H32" i="22" s="1"/>
  <c r="R32" i="22" s="1"/>
  <c r="L31" i="22"/>
  <c r="J31" i="22"/>
  <c r="M31" i="22"/>
  <c r="D33" i="22"/>
  <c r="E33" i="22" s="1"/>
  <c r="F33" i="22"/>
  <c r="C34" i="22"/>
  <c r="B36" i="22"/>
  <c r="L27" i="22"/>
  <c r="M27" i="22"/>
  <c r="J27" i="22"/>
  <c r="M26" i="22"/>
  <c r="J26" i="22"/>
  <c r="L26" i="22"/>
  <c r="M25" i="22"/>
  <c r="J25" i="22"/>
  <c r="L25" i="22"/>
  <c r="J24" i="22"/>
  <c r="M24" i="22"/>
  <c r="L24" i="22"/>
  <c r="M23" i="22"/>
  <c r="J23" i="22"/>
  <c r="L23" i="22"/>
  <c r="J22" i="22"/>
  <c r="M22" i="22"/>
  <c r="L22" i="22"/>
  <c r="J21" i="22"/>
  <c r="M21" i="22"/>
  <c r="L21" i="22"/>
  <c r="M20" i="22"/>
  <c r="J20" i="22"/>
  <c r="L20" i="22"/>
  <c r="M19" i="22"/>
  <c r="J19" i="22"/>
  <c r="L19" i="22"/>
  <c r="J18" i="22"/>
  <c r="M18" i="22"/>
  <c r="L18" i="22"/>
  <c r="M17" i="22"/>
  <c r="J17" i="22"/>
  <c r="L17" i="22"/>
  <c r="J16" i="22"/>
  <c r="M16" i="22"/>
  <c r="L16" i="22"/>
  <c r="G40" i="2"/>
  <c r="G46" i="2" s="1"/>
  <c r="N160" i="22" l="1"/>
  <c r="S21" i="22"/>
  <c r="S20" i="22"/>
  <c r="S17" i="22"/>
  <c r="S22" i="22"/>
  <c r="S24" i="22"/>
  <c r="S31" i="22"/>
  <c r="C165" i="22"/>
  <c r="S19" i="22"/>
  <c r="Q32" i="22"/>
  <c r="S26" i="22"/>
  <c r="S18" i="22"/>
  <c r="S27" i="22"/>
  <c r="S25" i="22"/>
  <c r="S16" i="22"/>
  <c r="C166" i="22"/>
  <c r="D150" i="22"/>
  <c r="J150" i="22" s="1"/>
  <c r="J149" i="22"/>
  <c r="J41" i="22"/>
  <c r="M41" i="22"/>
  <c r="L41" i="22"/>
  <c r="G33" i="22"/>
  <c r="H33" i="22" s="1"/>
  <c r="R33" i="22" s="1"/>
  <c r="J32" i="22"/>
  <c r="M32" i="22"/>
  <c r="L32" i="22"/>
  <c r="N31" i="22"/>
  <c r="D34" i="22"/>
  <c r="E34" i="22" s="1"/>
  <c r="F34" i="22"/>
  <c r="C35" i="22"/>
  <c r="B37" i="22"/>
  <c r="E161" i="22" l="1"/>
  <c r="N149" i="22"/>
  <c r="N150" i="22"/>
  <c r="D161" i="22"/>
  <c r="J161" i="22"/>
  <c r="B52" i="22"/>
  <c r="D52" i="22" s="1"/>
  <c r="F146" i="22"/>
  <c r="S32" i="22"/>
  <c r="C167" i="22"/>
  <c r="N161" i="22" s="1"/>
  <c r="Q33" i="22"/>
  <c r="N32" i="22"/>
  <c r="G34" i="22"/>
  <c r="H34" i="22" s="1"/>
  <c r="R34" i="22" s="1"/>
  <c r="J33" i="22"/>
  <c r="L33" i="22"/>
  <c r="M33" i="22"/>
  <c r="D35" i="22"/>
  <c r="E35" i="22" s="1"/>
  <c r="F35" i="22"/>
  <c r="C36" i="22"/>
  <c r="C51" i="22" s="1"/>
  <c r="B38" i="22"/>
  <c r="B121" i="22" l="1"/>
  <c r="S33" i="22"/>
  <c r="Q34" i="22"/>
  <c r="D121" i="22"/>
  <c r="G146" i="22" s="1"/>
  <c r="F52" i="22"/>
  <c r="D51" i="22"/>
  <c r="D120" i="22" s="1"/>
  <c r="C120" i="22"/>
  <c r="N33" i="22"/>
  <c r="G35" i="22"/>
  <c r="H35" i="22" s="1"/>
  <c r="R35" i="22" s="1"/>
  <c r="M34" i="22"/>
  <c r="J34" i="22"/>
  <c r="L34" i="22"/>
  <c r="D36" i="22"/>
  <c r="E36" i="22" s="1"/>
  <c r="F151" i="22" s="1"/>
  <c r="F36" i="22"/>
  <c r="B39" i="22"/>
  <c r="F39" i="22" s="1"/>
  <c r="C37" i="22"/>
  <c r="Q35" i="22" l="1"/>
  <c r="S35" i="22" s="1"/>
  <c r="S34" i="22"/>
  <c r="F157" i="22"/>
  <c r="F153" i="22"/>
  <c r="K151" i="22"/>
  <c r="O151" i="22" s="1"/>
  <c r="F152" i="22"/>
  <c r="K152" i="22" s="1"/>
  <c r="O152" i="22" s="1"/>
  <c r="F156" i="22"/>
  <c r="F121" i="22"/>
  <c r="F53" i="22"/>
  <c r="E125" i="22" s="1"/>
  <c r="N34" i="22"/>
  <c r="G36" i="22"/>
  <c r="H36" i="22" s="1"/>
  <c r="J35" i="22"/>
  <c r="L35" i="22"/>
  <c r="M35" i="22"/>
  <c r="D37" i="22"/>
  <c r="E37" i="22" s="1"/>
  <c r="F37" i="22"/>
  <c r="C38" i="22"/>
  <c r="D39" i="22"/>
  <c r="R36" i="22" l="1"/>
  <c r="D166" i="22" s="1"/>
  <c r="K153" i="22"/>
  <c r="O153" i="22" s="1"/>
  <c r="Q36" i="22"/>
  <c r="D165" i="22" s="1"/>
  <c r="K157" i="22"/>
  <c r="O157" i="22" s="1"/>
  <c r="K156" i="22"/>
  <c r="O156" i="22" s="1"/>
  <c r="F155" i="22"/>
  <c r="K155" i="22" s="1"/>
  <c r="O155" i="22" s="1"/>
  <c r="F160" i="22"/>
  <c r="K160" i="22" s="1"/>
  <c r="F149" i="22" a="1"/>
  <c r="F149" i="22" s="1"/>
  <c r="K149" i="22" s="1"/>
  <c r="M36" i="22"/>
  <c r="H44" i="22"/>
  <c r="N35" i="22"/>
  <c r="G37" i="22"/>
  <c r="H37" i="22" s="1"/>
  <c r="R37" i="22" s="1"/>
  <c r="J36" i="22"/>
  <c r="L36" i="22"/>
  <c r="D38" i="22"/>
  <c r="E38" i="22" s="1"/>
  <c r="F38" i="22"/>
  <c r="O160" i="22" l="1"/>
  <c r="Q37" i="22"/>
  <c r="S36" i="22"/>
  <c r="F161" i="22" s="1"/>
  <c r="F150" i="22"/>
  <c r="K150" i="22" s="1"/>
  <c r="O149" i="22"/>
  <c r="N36" i="22"/>
  <c r="G38" i="22"/>
  <c r="H38" i="22" s="1"/>
  <c r="R38" i="22" s="1"/>
  <c r="M37" i="22"/>
  <c r="J37" i="22"/>
  <c r="L37" i="22"/>
  <c r="E39" i="22"/>
  <c r="G39" i="22"/>
  <c r="E17" i="2"/>
  <c r="E23" i="2"/>
  <c r="G69" i="3"/>
  <c r="G78" i="3" s="1"/>
  <c r="G79" i="3" s="1"/>
  <c r="E96" i="3" s="1"/>
  <c r="F96" i="3" s="1"/>
  <c r="G71" i="3"/>
  <c r="O150" i="22" l="1"/>
  <c r="G151" i="22"/>
  <c r="L151" i="22" s="1"/>
  <c r="M151" i="22" s="1"/>
  <c r="E60" i="22" s="1"/>
  <c r="G152" i="22"/>
  <c r="L152" i="22" s="1"/>
  <c r="M152" i="22" s="1"/>
  <c r="E61" i="22" s="1"/>
  <c r="D167" i="22"/>
  <c r="O161" i="22" s="1"/>
  <c r="K161" i="22"/>
  <c r="Q38" i="22"/>
  <c r="S37" i="22"/>
  <c r="G156" i="22"/>
  <c r="G157" i="22"/>
  <c r="G153" i="22"/>
  <c r="E19" i="2"/>
  <c r="M17" i="2"/>
  <c r="M19" i="2" s="1"/>
  <c r="E25" i="2"/>
  <c r="M23" i="2"/>
  <c r="M25" i="2" s="1"/>
  <c r="N11" i="24"/>
  <c r="N19" i="24" s="1"/>
  <c r="N37" i="22"/>
  <c r="J38" i="22"/>
  <c r="M38" i="22"/>
  <c r="L38" i="22"/>
  <c r="G40" i="22"/>
  <c r="H39" i="22"/>
  <c r="R39" i="22" s="1"/>
  <c r="E29" i="2"/>
  <c r="E35" i="2"/>
  <c r="M157" i="22" l="1"/>
  <c r="E66" i="22" s="1"/>
  <c r="M156" i="22"/>
  <c r="E65" i="22" s="1"/>
  <c r="M153" i="22"/>
  <c r="E62" i="22" s="1"/>
  <c r="L153" i="22"/>
  <c r="P153" i="22" s="1"/>
  <c r="Q153" i="22" s="1"/>
  <c r="F62" i="22" s="1"/>
  <c r="F60" i="22"/>
  <c r="P151" i="22"/>
  <c r="P152" i="22"/>
  <c r="Q152" i="22" s="1"/>
  <c r="F61" i="22" s="1"/>
  <c r="L156" i="22"/>
  <c r="P156" i="22" s="1"/>
  <c r="Q156" i="22" s="1"/>
  <c r="L157" i="22"/>
  <c r="P157" i="22" s="1"/>
  <c r="F66" i="22" s="1"/>
  <c r="S38" i="22"/>
  <c r="Q39" i="22"/>
  <c r="E166" i="22"/>
  <c r="G160" i="22"/>
  <c r="L160" i="22" s="1"/>
  <c r="G149" i="22" a="1"/>
  <c r="G149" i="22" s="1"/>
  <c r="G155" i="22"/>
  <c r="L155" i="22" s="1"/>
  <c r="M155" i="22" s="1"/>
  <c r="E64" i="22" s="1"/>
  <c r="H45" i="22"/>
  <c r="E47" i="2"/>
  <c r="I79" i="3"/>
  <c r="E98" i="3" s="1"/>
  <c r="F98" i="3" s="1"/>
  <c r="E31" i="2"/>
  <c r="M29" i="2"/>
  <c r="M31" i="2" s="1"/>
  <c r="E37" i="2"/>
  <c r="M35" i="2"/>
  <c r="M37" i="2" s="1"/>
  <c r="H42" i="22"/>
  <c r="N38" i="22"/>
  <c r="H40" i="22"/>
  <c r="L39" i="22"/>
  <c r="L42" i="22" s="1"/>
  <c r="J39" i="22"/>
  <c r="M39" i="22"/>
  <c r="F65" i="22" l="1"/>
  <c r="R156" i="22"/>
  <c r="P160" i="22"/>
  <c r="Q160" i="22" s="1"/>
  <c r="F69" i="22" s="1"/>
  <c r="M160" i="22"/>
  <c r="E69" i="22" s="1"/>
  <c r="F134" i="22"/>
  <c r="G134" i="22" s="1"/>
  <c r="L161" i="22"/>
  <c r="F166" i="22"/>
  <c r="M161" i="22" s="1"/>
  <c r="E70" i="22" s="1"/>
  <c r="Q155" i="22"/>
  <c r="F64" i="22" s="1"/>
  <c r="P155" i="22"/>
  <c r="S39" i="22"/>
  <c r="G161" i="22" s="1"/>
  <c r="E165" i="22"/>
  <c r="L149" i="22"/>
  <c r="G150" i="22"/>
  <c r="F130" i="22"/>
  <c r="G130" i="22" s="1"/>
  <c r="E49" i="2"/>
  <c r="E52" i="2" s="1"/>
  <c r="I20" i="22" s="1"/>
  <c r="K20" i="22" s="1"/>
  <c r="M47" i="2"/>
  <c r="M49" i="2" s="1"/>
  <c r="M52" i="2" s="1"/>
  <c r="J40" i="22"/>
  <c r="J42" i="22"/>
  <c r="M40" i="22"/>
  <c r="M42" i="22"/>
  <c r="L40" i="22"/>
  <c r="N39" i="22"/>
  <c r="N18" i="22"/>
  <c r="N17" i="22"/>
  <c r="N19" i="22"/>
  <c r="N21" i="22"/>
  <c r="N20" i="22"/>
  <c r="N22" i="22"/>
  <c r="N23" i="22"/>
  <c r="N24" i="22"/>
  <c r="N25" i="22"/>
  <c r="N26" i="22"/>
  <c r="N27" i="22"/>
  <c r="P149" i="22" l="1"/>
  <c r="Q149" i="22" s="1"/>
  <c r="F58" i="22" s="1"/>
  <c r="M149" i="22"/>
  <c r="E58" i="22" s="1"/>
  <c r="E167" i="22"/>
  <c r="P161" i="22" s="1"/>
  <c r="F165" i="22"/>
  <c r="D70" i="22" s="1"/>
  <c r="F167" i="22"/>
  <c r="E44" i="22"/>
  <c r="L148" i="22" s="1"/>
  <c r="N42" i="22"/>
  <c r="I23" i="22"/>
  <c r="K23" i="22" s="1"/>
  <c r="P23" i="22" s="1"/>
  <c r="I25" i="22"/>
  <c r="K25" i="22" s="1"/>
  <c r="P25" i="22" s="1"/>
  <c r="I26" i="22"/>
  <c r="K26" i="22" s="1"/>
  <c r="P26" i="22" s="1"/>
  <c r="I21" i="22"/>
  <c r="K21" i="22" s="1"/>
  <c r="P21" i="22" s="1"/>
  <c r="I16" i="22"/>
  <c r="I22" i="22"/>
  <c r="K22" i="22" s="1"/>
  <c r="P22" i="22" s="1"/>
  <c r="I19" i="22"/>
  <c r="K19" i="22" s="1"/>
  <c r="P19" i="22" s="1"/>
  <c r="I24" i="22"/>
  <c r="K24" i="22" s="1"/>
  <c r="P24" i="22" s="1"/>
  <c r="I27" i="22"/>
  <c r="K27" i="22" s="1"/>
  <c r="P27" i="22" s="1"/>
  <c r="I18" i="22"/>
  <c r="K18" i="22" s="1"/>
  <c r="P18" i="22" s="1"/>
  <c r="I17" i="22"/>
  <c r="K17" i="22" s="1"/>
  <c r="P17" i="22" s="1"/>
  <c r="I38" i="22"/>
  <c r="K38" i="22" s="1"/>
  <c r="P38" i="22" s="1"/>
  <c r="I37" i="22"/>
  <c r="K37" i="22" s="1"/>
  <c r="P37" i="22" s="1"/>
  <c r="I36" i="22"/>
  <c r="K36" i="22" s="1"/>
  <c r="P36" i="22" s="1"/>
  <c r="I35" i="22"/>
  <c r="K35" i="22" s="1"/>
  <c r="P35" i="22" s="1"/>
  <c r="I34" i="22"/>
  <c r="K34" i="22" s="1"/>
  <c r="P34" i="22" s="1"/>
  <c r="I33" i="22"/>
  <c r="K33" i="22" s="1"/>
  <c r="P33" i="22" s="1"/>
  <c r="I32" i="22"/>
  <c r="K32" i="22" s="1"/>
  <c r="P32" i="22" s="1"/>
  <c r="I31" i="22"/>
  <c r="K31" i="22" s="1"/>
  <c r="P31" i="22" s="1"/>
  <c r="I30" i="22"/>
  <c r="K30" i="22" s="1"/>
  <c r="P30" i="22" s="1"/>
  <c r="I29" i="22"/>
  <c r="I28" i="22"/>
  <c r="I39" i="22"/>
  <c r="K39" i="22" s="1"/>
  <c r="D44" i="22"/>
  <c r="K148" i="22" s="1"/>
  <c r="P20" i="22"/>
  <c r="N16" i="22"/>
  <c r="C44" i="22" s="1"/>
  <c r="J148" i="22" s="1"/>
  <c r="M148" i="22" l="1"/>
  <c r="E57" i="22" s="1"/>
  <c r="F70" i="22"/>
  <c r="F138" i="22" s="1"/>
  <c r="G138" i="22" s="1"/>
  <c r="F128" i="22"/>
  <c r="G128" i="22" s="1"/>
  <c r="F129" i="22"/>
  <c r="G129" i="22" s="1"/>
  <c r="F133" i="22"/>
  <c r="G133" i="22" s="1"/>
  <c r="K16" i="22"/>
  <c r="C43" i="22" s="1"/>
  <c r="I41" i="22"/>
  <c r="K28" i="22"/>
  <c r="I42" i="22"/>
  <c r="N40" i="22"/>
  <c r="N41" i="22"/>
  <c r="K29" i="22"/>
  <c r="I40" i="22"/>
  <c r="C8" i="17" s="1"/>
  <c r="E43" i="22"/>
  <c r="E45" i="22" s="1"/>
  <c r="P148" i="22" s="1"/>
  <c r="P39" i="22"/>
  <c r="N12" i="24"/>
  <c r="N13" i="24" s="1"/>
  <c r="N27" i="24" s="1"/>
  <c r="N20" i="24"/>
  <c r="N21" i="24" s="1"/>
  <c r="N28" i="24" s="1"/>
  <c r="N30" i="24" s="1"/>
  <c r="F126" i="22" l="1"/>
  <c r="G126" i="22" s="1"/>
  <c r="F132" i="22"/>
  <c r="G132" i="22" s="1"/>
  <c r="E52" i="22"/>
  <c r="E121" i="22" s="1"/>
  <c r="G148" i="22"/>
  <c r="K41" i="22"/>
  <c r="P16" i="22"/>
  <c r="K42" i="22"/>
  <c r="P28" i="22"/>
  <c r="K40" i="22"/>
  <c r="D43" i="22"/>
  <c r="P29" i="22"/>
  <c r="L150" i="22" l="1"/>
  <c r="P40" i="22"/>
  <c r="C45" i="22"/>
  <c r="N148" i="22" s="1"/>
  <c r="D57" i="22"/>
  <c r="D45" i="22"/>
  <c r="O148" i="22" s="1"/>
  <c r="P150" i="22" l="1"/>
  <c r="Q150" i="22" s="1"/>
  <c r="F59" i="22" s="1"/>
  <c r="F127" i="22" s="1"/>
  <c r="G127" i="22" s="1"/>
  <c r="M150" i="22"/>
  <c r="E59" i="22" s="1"/>
  <c r="Q148" i="22"/>
  <c r="E50" i="22"/>
  <c r="D148" i="22"/>
  <c r="E51" i="22"/>
  <c r="E120" i="22" s="1"/>
  <c r="F148" i="22"/>
  <c r="F57" i="22" l="1"/>
  <c r="F125" i="22" s="1"/>
  <c r="G125" i="22" s="1"/>
  <c r="E119" i="22"/>
  <c r="E53" i="22"/>
  <c r="W35" i="32" a="1"/>
  <c r="W35" i="32" s="1"/>
  <c r="W38" i="32" s="1"/>
  <c r="F137" i="22" l="1"/>
  <c r="G137"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Lenovo User</author>
    <author>Personal</author>
  </authors>
  <commentList>
    <comment ref="G739" authorId="0" shapeId="0" xr:uid="{96F9A452-82F3-48AA-8882-33FC90F77E1B}">
      <text>
        <r>
          <rPr>
            <b/>
            <sz val="9"/>
            <color indexed="81"/>
            <rFont val="Tahoma"/>
            <family val="2"/>
          </rPr>
          <t>Lenovo User:</t>
        </r>
        <r>
          <rPr>
            <sz val="9"/>
            <color indexed="81"/>
            <rFont val="Tahoma"/>
            <family val="2"/>
          </rPr>
          <t xml:space="preserve">
He has 2 plants one is Ntungamo and another in Kisoro. We havenot excluded since they are in 2 different locations</t>
        </r>
      </text>
    </comment>
    <comment ref="G867" authorId="0" shapeId="0" xr:uid="{C30195E3-F85D-43F5-996B-E84B8136E60F}">
      <text>
        <r>
          <rPr>
            <b/>
            <sz val="9"/>
            <color indexed="81"/>
            <rFont val="Tahoma"/>
            <family val="2"/>
          </rPr>
          <t>Lenovo User:</t>
        </r>
        <r>
          <rPr>
            <sz val="9"/>
            <color indexed="81"/>
            <rFont val="Tahoma"/>
            <family val="2"/>
          </rPr>
          <t xml:space="preserve">
 it was picked from Lugolobi Lawrence of 2019.</t>
        </r>
      </text>
    </comment>
    <comment ref="G1023" authorId="0" shapeId="0" xr:uid="{C59BA6BC-0D3D-43CC-832B-839E8614C9D1}">
      <text>
        <r>
          <rPr>
            <b/>
            <sz val="9"/>
            <color indexed="81"/>
            <rFont val="Tahoma"/>
            <family val="2"/>
          </rPr>
          <t>Lenovo User:</t>
        </r>
        <r>
          <rPr>
            <sz val="9"/>
            <color indexed="81"/>
            <rFont val="Tahoma"/>
            <family val="2"/>
          </rPr>
          <t xml:space="preserve">
qpi was paid to Habert PREC because he is the one who repaired the plant</t>
        </r>
      </text>
    </comment>
    <comment ref="H1051" authorId="0" shapeId="0" xr:uid="{26A428BF-E402-4296-BBAD-36DF98AD30EB}">
      <text>
        <r>
          <rPr>
            <b/>
            <sz val="9"/>
            <color indexed="81"/>
            <rFont val="Tahoma"/>
            <family val="2"/>
          </rPr>
          <t>Lenovo User:</t>
        </r>
        <r>
          <rPr>
            <sz val="9"/>
            <color indexed="81"/>
            <rFont val="Tahoma"/>
            <family val="2"/>
          </rPr>
          <t xml:space="preserve">
Shares number with Kabarebe Moses bse the 2 plants are owned by one person</t>
        </r>
      </text>
    </comment>
    <comment ref="G1065" authorId="0" shapeId="0" xr:uid="{C4CF83CB-DDF9-4DBC-A6E6-E792AB8CFA9B}">
      <text>
        <r>
          <rPr>
            <b/>
            <sz val="9"/>
            <color indexed="81"/>
            <rFont val="Tahoma"/>
            <family val="2"/>
          </rPr>
          <t>Lenovo User:</t>
        </r>
        <r>
          <rPr>
            <sz val="9"/>
            <color indexed="81"/>
            <rFont val="Tahoma"/>
            <family val="2"/>
          </rPr>
          <t xml:space="preserve">
Shares a contact with Rushanga Gorilla campsite. But the plants are in different locations</t>
        </r>
      </text>
    </comment>
    <comment ref="H1313" authorId="0" shapeId="0" xr:uid="{4A85F8C8-6F8B-4BCD-8602-D79450A5A5ED}">
      <text>
        <r>
          <rPr>
            <b/>
            <sz val="9"/>
            <color indexed="81"/>
            <rFont val="Tahoma"/>
            <family val="2"/>
          </rPr>
          <t>Lenovo User:</t>
        </r>
        <r>
          <rPr>
            <sz val="9"/>
            <color indexed="81"/>
            <rFont val="Tahoma"/>
            <family val="2"/>
          </rPr>
          <t xml:space="preserve">
He is Atwine David, he doesn’t know Twine Denis</t>
        </r>
      </text>
    </comment>
    <comment ref="H1324" authorId="0" shapeId="0" xr:uid="{A76DEDBF-F6D3-4C19-94E2-023A921169EF}">
      <text>
        <r>
          <rPr>
            <b/>
            <sz val="9"/>
            <color indexed="81"/>
            <rFont val="Tahoma"/>
            <family val="2"/>
          </rPr>
          <t>Lenovo User:</t>
        </r>
        <r>
          <rPr>
            <sz val="9"/>
            <color indexed="81"/>
            <rFont val="Tahoma"/>
            <family val="2"/>
          </rPr>
          <t xml:space="preserve">
He is Mikey, managing 2 biogas plants at Ndejje University, Zephania is a brother who has a biogas plant too though its not working because of no animals and manpower</t>
        </r>
      </text>
    </comment>
    <comment ref="H1399" authorId="0" shapeId="0" xr:uid="{83CFED8F-A1CE-4FF2-9E52-844132D85EFB}">
      <text>
        <r>
          <rPr>
            <b/>
            <sz val="9"/>
            <color indexed="81"/>
            <rFont val="Tahoma"/>
            <family val="2"/>
          </rPr>
          <t>Lenovo User:</t>
        </r>
        <r>
          <rPr>
            <sz val="9"/>
            <color indexed="81"/>
            <rFont val="Tahoma"/>
            <family val="2"/>
          </rPr>
          <t xml:space="preserve">
He is Ogire Richard and he doesn’t know Ogire John</t>
        </r>
      </text>
    </comment>
    <comment ref="G1433" authorId="1" shapeId="0" xr:uid="{25C60A5F-4645-4EB5-B744-26492A2EA7C4}">
      <text>
        <r>
          <rPr>
            <b/>
            <sz val="9"/>
            <color indexed="81"/>
            <rFont val="Tahoma"/>
            <family val="2"/>
          </rPr>
          <t>Personal:</t>
        </r>
        <r>
          <rPr>
            <sz val="9"/>
            <color indexed="81"/>
            <rFont val="Tahoma"/>
            <family val="2"/>
          </rPr>
          <t xml:space="preserve">
The plant was originally reported under Akao Rose Plant 2 but she died, Opio Emmanuel is the son</t>
        </r>
      </text>
    </comment>
    <comment ref="H1441" authorId="0" shapeId="0" xr:uid="{DBBB348A-8640-48CA-B281-897FF87ACBC8}">
      <text>
        <r>
          <rPr>
            <b/>
            <sz val="9"/>
            <color indexed="81"/>
            <rFont val="Tahoma"/>
            <family val="2"/>
          </rPr>
          <t>Lenovo User:</t>
        </r>
        <r>
          <rPr>
            <sz val="9"/>
            <color indexed="81"/>
            <rFont val="Tahoma"/>
            <family val="2"/>
          </rPr>
          <t xml:space="preserve">
She is maama Naluboowa and she has one biogas plant</t>
        </r>
      </text>
    </comment>
    <comment ref="H1542" authorId="0" shapeId="0" xr:uid="{AE25F3B9-3389-45BB-8527-EA7D7D44A8B2}">
      <text>
        <r>
          <rPr>
            <b/>
            <sz val="9"/>
            <color indexed="81"/>
            <rFont val="Tahoma"/>
            <family val="2"/>
          </rPr>
          <t>Lenovo User:</t>
        </r>
        <r>
          <rPr>
            <sz val="9"/>
            <color indexed="81"/>
            <rFont val="Tahoma"/>
            <family val="2"/>
          </rPr>
          <t xml:space="preserve">
She is Twinamatsiko Airet Turyahabwe and they have 1 biogas plant</t>
        </r>
      </text>
    </comment>
    <comment ref="H1623" authorId="0" shapeId="0" xr:uid="{2B36BC11-5AEB-415F-AE03-78C1E6CF6B43}">
      <text>
        <r>
          <rPr>
            <b/>
            <sz val="9"/>
            <color indexed="81"/>
            <rFont val="Tahoma"/>
            <family val="2"/>
          </rPr>
          <t>Lenovo User:</t>
        </r>
        <r>
          <rPr>
            <sz val="9"/>
            <color indexed="81"/>
            <rFont val="Tahoma"/>
            <family val="2"/>
          </rPr>
          <t xml:space="preserve">
He is a manager for General Mugira James. And they both have biogas plants</t>
        </r>
      </text>
    </comment>
    <comment ref="H1675" authorId="0" shapeId="0" xr:uid="{716F4081-D4FD-4D7E-B426-165347517484}">
      <text>
        <r>
          <rPr>
            <b/>
            <sz val="9"/>
            <color indexed="81"/>
            <rFont val="Tahoma"/>
            <family val="2"/>
          </rPr>
          <t>Lenovo User:</t>
        </r>
        <r>
          <rPr>
            <sz val="9"/>
            <color indexed="81"/>
            <rFont val="Tahoma"/>
            <family val="2"/>
          </rPr>
          <t xml:space="preserve">
They used the number of Kakuru since she works for KDC but they both have biogas plants</t>
        </r>
      </text>
    </comment>
    <comment ref="Q1863" authorId="0" shapeId="0" xr:uid="{60AAF876-E256-4131-9884-0C3768D69E07}">
      <text>
        <r>
          <rPr>
            <b/>
            <sz val="9"/>
            <color indexed="81"/>
            <rFont val="Tahoma"/>
            <family val="2"/>
          </rPr>
          <t>Lenovo User:</t>
        </r>
        <r>
          <rPr>
            <sz val="9"/>
            <color indexed="81"/>
            <rFont val="Tahoma"/>
            <family val="2"/>
          </rPr>
          <t xml:space="preserve">
size is 20cc though hhform has 13cc</t>
        </r>
      </text>
    </comment>
    <comment ref="G1908" authorId="0" shapeId="0" xr:uid="{D8901B55-1C9C-4930-AB46-61DED9B74747}">
      <text>
        <r>
          <rPr>
            <b/>
            <sz val="9"/>
            <color indexed="81"/>
            <rFont val="Tahoma"/>
            <family val="2"/>
          </rPr>
          <t>Lenovo User:</t>
        </r>
        <r>
          <rPr>
            <sz val="9"/>
            <color indexed="81"/>
            <rFont val="Tahoma"/>
            <family val="2"/>
          </rPr>
          <t xml:space="preserve">
client has 2 plants but in different locations</t>
        </r>
      </text>
    </comment>
    <comment ref="H2092" authorId="0" shapeId="0" xr:uid="{0F1FCCA3-F87D-47AD-809A-594F3AB97A68}">
      <text>
        <r>
          <rPr>
            <b/>
            <sz val="9"/>
            <color indexed="81"/>
            <rFont val="Tahoma"/>
            <family val="2"/>
          </rPr>
          <t>Lenovo User:</t>
        </r>
        <r>
          <rPr>
            <sz val="9"/>
            <color indexed="81"/>
            <rFont val="Tahoma"/>
            <family val="2"/>
          </rPr>
          <t xml:space="preserve">
She has a plant and she knows kanani wilson who has a plant too</t>
        </r>
      </text>
    </comment>
    <comment ref="G2106" authorId="0" shapeId="0" xr:uid="{7C98EE05-BAD7-423A-ABE2-09A722AF2290}">
      <text>
        <r>
          <rPr>
            <b/>
            <sz val="9"/>
            <color indexed="81"/>
            <rFont val="Tahoma"/>
            <family val="2"/>
          </rPr>
          <t>Lenovo User:</t>
        </r>
        <r>
          <rPr>
            <sz val="9"/>
            <color indexed="81"/>
            <rFont val="Tahoma"/>
            <family val="2"/>
          </rPr>
          <t xml:space="preserve">
he has 2 plants but in different locations</t>
        </r>
      </text>
    </comment>
    <comment ref="G2171" authorId="0" shapeId="0" xr:uid="{E30FF768-1448-4279-A686-E255471E7AB7}">
      <text>
        <r>
          <rPr>
            <b/>
            <sz val="9"/>
            <color indexed="81"/>
            <rFont val="Tahoma"/>
            <family val="2"/>
          </rPr>
          <t>Lenovo User:</t>
        </r>
        <r>
          <rPr>
            <sz val="9"/>
            <color indexed="81"/>
            <rFont val="Tahoma"/>
            <family val="2"/>
          </rPr>
          <t xml:space="preserve">
He has 2 plants one is Ntungamo and another in Kisoro. We havenot excluded since they are in 2 different locations</t>
        </r>
      </text>
    </comment>
    <comment ref="G2266" authorId="0" shapeId="0" xr:uid="{CCA4DEC4-6E69-4BB8-9BB1-FBE154B62BE9}">
      <text>
        <r>
          <rPr>
            <b/>
            <sz val="9"/>
            <color indexed="81"/>
            <rFont val="Tahoma"/>
            <family val="2"/>
          </rPr>
          <t>Lenovo User:</t>
        </r>
        <r>
          <rPr>
            <sz val="9"/>
            <color indexed="81"/>
            <rFont val="Tahoma"/>
            <family val="2"/>
          </rPr>
          <t xml:space="preserve">
not excluded bse its in a different home for another wife </t>
        </r>
      </text>
    </comment>
    <comment ref="H2674" authorId="0" shapeId="0" xr:uid="{61E206E4-B52E-4022-B504-1123192360D0}">
      <text>
        <r>
          <rPr>
            <b/>
            <sz val="9"/>
            <color indexed="81"/>
            <rFont val="Tahoma"/>
            <family val="2"/>
          </rPr>
          <t>Lenovo User:</t>
        </r>
        <r>
          <rPr>
            <sz val="9"/>
            <color indexed="81"/>
            <rFont val="Tahoma"/>
            <family val="2"/>
          </rPr>
          <t xml:space="preserve">
Prudence is the wife, they have 2 biogas plants in different locations</t>
        </r>
      </text>
    </comment>
    <comment ref="G3053" authorId="1" shapeId="0" xr:uid="{1113B688-5B9E-44AF-B2B2-A1F5F9AF9275}">
      <text>
        <r>
          <rPr>
            <b/>
            <sz val="9"/>
            <color indexed="81"/>
            <rFont val="Tahoma"/>
            <family val="2"/>
          </rPr>
          <t>Personal:</t>
        </r>
        <r>
          <rPr>
            <sz val="9"/>
            <color indexed="81"/>
            <rFont val="Tahoma"/>
            <family val="2"/>
          </rPr>
          <t xml:space="preserve">
Mukiibi has 2 plants in 2 different areas therefore they are all included</t>
        </r>
      </text>
    </comment>
    <comment ref="G3191" authorId="1" shapeId="0" xr:uid="{CB36FBF6-C48C-41FB-BBC6-CF76F4167C3F}">
      <text>
        <r>
          <rPr>
            <b/>
            <sz val="9"/>
            <color indexed="81"/>
            <rFont val="Tahoma"/>
            <family val="2"/>
          </rPr>
          <t>Personal
There are 2 different farmers sharing this name</t>
        </r>
      </text>
    </comment>
    <comment ref="G3219" authorId="1" shapeId="0" xr:uid="{FE8D4E6E-F4C8-4DC4-966B-E7C54D84AA37}">
      <text>
        <r>
          <rPr>
            <b/>
            <sz val="9"/>
            <color indexed="81"/>
            <rFont val="Tahoma"/>
            <family val="2"/>
          </rPr>
          <t>Personal:</t>
        </r>
        <r>
          <rPr>
            <sz val="9"/>
            <color indexed="81"/>
            <rFont val="Tahoma"/>
            <family val="2"/>
          </rPr>
          <t xml:space="preserve">
Tumwesigye Robert has 2 plants in 2 areas therefore they are all included</t>
        </r>
      </text>
    </comment>
    <comment ref="G3424" authorId="1" shapeId="0" xr:uid="{DA82E77D-1FAE-435D-A812-82A04A205234}">
      <text>
        <r>
          <rPr>
            <b/>
            <sz val="9"/>
            <color indexed="81"/>
            <rFont val="Tahoma"/>
            <family val="2"/>
          </rPr>
          <t>Personal:</t>
        </r>
        <r>
          <rPr>
            <sz val="9"/>
            <color indexed="81"/>
            <rFont val="Tahoma"/>
            <family val="2"/>
          </rPr>
          <t xml:space="preserve">
The plant was originally in the names of Wakimwayi Godfrey who died, Wamanga Paul is the son</t>
        </r>
      </text>
    </comment>
    <comment ref="G3757" authorId="0" shapeId="0" xr:uid="{8D2A03D1-C29B-4BA1-A794-3E48F299347C}">
      <text>
        <r>
          <rPr>
            <b/>
            <sz val="9"/>
            <color indexed="81"/>
            <rFont val="Tahoma"/>
            <family val="2"/>
          </rPr>
          <t>Lenovo User:The original owner was Ayebazibwe Nicholas who sold the land to Kamugasho Mathius</t>
        </r>
      </text>
    </comment>
    <comment ref="H3943" authorId="0" shapeId="0" xr:uid="{3E3F2B9C-222F-4BE5-80AE-78378465B584}">
      <text>
        <r>
          <rPr>
            <b/>
            <sz val="9"/>
            <color indexed="81"/>
            <rFont val="Tahoma"/>
            <family val="2"/>
          </rPr>
          <t>Lenovo User:</t>
        </r>
        <r>
          <rPr>
            <sz val="9"/>
            <color indexed="81"/>
            <rFont val="Tahoma"/>
            <family val="2"/>
          </rPr>
          <t xml:space="preserve">
He promoted the idea to Nakakuyu Loy who constructed too. So they both have biogas plnts</t>
        </r>
      </text>
    </comment>
    <comment ref="H3980" authorId="0" shapeId="0" xr:uid="{C7E62B27-E277-4BC7-95B0-5EB830944DA3}">
      <text>
        <r>
          <rPr>
            <b/>
            <sz val="9"/>
            <color indexed="81"/>
            <rFont val="Tahoma"/>
            <family val="2"/>
          </rPr>
          <t>Lenovo User:</t>
        </r>
        <r>
          <rPr>
            <sz val="9"/>
            <color indexed="81"/>
            <rFont val="Tahoma"/>
            <family val="2"/>
          </rPr>
          <t xml:space="preserve">
He is a neighbour to Mabonga Patrick, they all have biogas plants</t>
        </r>
      </text>
    </comment>
    <comment ref="H3988" authorId="0" shapeId="0" xr:uid="{01256B99-CA84-4978-A1EA-49D24B1B0DF5}">
      <text>
        <r>
          <rPr>
            <b/>
            <sz val="9"/>
            <color indexed="81"/>
            <rFont val="Tahoma"/>
            <family val="2"/>
          </rPr>
          <t>Lenovo User:</t>
        </r>
        <r>
          <rPr>
            <sz val="9"/>
            <color indexed="81"/>
            <rFont val="Tahoma"/>
            <family val="2"/>
          </rPr>
          <t xml:space="preserve">
He is the owner of the phone and he knows Hibombo Sosi who also has a biogas plant</t>
        </r>
      </text>
    </comment>
    <comment ref="G4258" authorId="0" shapeId="0" xr:uid="{AFEB4ABC-4991-4DE4-BF75-29E70E0C3C7F}">
      <text>
        <r>
          <rPr>
            <b/>
            <sz val="9"/>
            <color indexed="81"/>
            <rFont val="Tahoma"/>
            <family val="2"/>
          </rPr>
          <t>Lenovo User:</t>
        </r>
        <r>
          <rPr>
            <sz val="9"/>
            <color indexed="81"/>
            <rFont val="Tahoma"/>
            <family val="2"/>
          </rPr>
          <t xml:space="preserve">
He is the owner of the phone, Bahati and Edrinah are all in the same family. They all have biogas plants</t>
        </r>
      </text>
    </comment>
    <comment ref="H4734" authorId="0" shapeId="0" xr:uid="{115496F0-8F05-4BCD-B9E6-C75DFA30F2C1}">
      <text>
        <r>
          <rPr>
            <b/>
            <sz val="9"/>
            <color indexed="81"/>
            <rFont val="Tahoma"/>
            <family val="2"/>
          </rPr>
          <t>Lenovo User:</t>
        </r>
        <r>
          <rPr>
            <sz val="9"/>
            <color indexed="81"/>
            <rFont val="Tahoma"/>
            <family val="2"/>
          </rPr>
          <t xml:space="preserve">
He used the same number as Ochen bse he dint have a phone. They both have biogas plants though</t>
        </r>
      </text>
    </comment>
    <comment ref="H4911" authorId="1" shapeId="0" xr:uid="{B3AEB9CE-A600-46B3-B57D-3202CC2AA38F}">
      <text>
        <r>
          <rPr>
            <b/>
            <sz val="9"/>
            <color indexed="81"/>
            <rFont val="Tahoma"/>
            <family val="2"/>
          </rPr>
          <t>Personal:</t>
        </r>
        <r>
          <rPr>
            <sz val="9"/>
            <color indexed="81"/>
            <rFont val="Tahoma"/>
            <family val="2"/>
          </rPr>
          <t xml:space="preserve">
mwanika Patrick is the new owner since originalowner (vicent) shifted
</t>
        </r>
      </text>
    </comment>
    <comment ref="G5256" authorId="0" shapeId="0" xr:uid="{9B166791-179D-40BB-933C-0DBCE06C6457}">
      <text>
        <r>
          <rPr>
            <b/>
            <sz val="9"/>
            <color indexed="81"/>
            <rFont val="Tahoma"/>
            <family val="2"/>
          </rPr>
          <t>Lenovo U
decided to include it since its in a different location from the first plant</t>
        </r>
      </text>
    </comment>
    <comment ref="H5360" authorId="0" shapeId="0" xr:uid="{9B067F3A-7A95-4C44-8E2E-24314E2AFE3E}">
      <text>
        <r>
          <rPr>
            <b/>
            <sz val="9"/>
            <color indexed="81"/>
            <rFont val="Tahoma"/>
            <family val="2"/>
          </rPr>
          <t>Lenovo User:</t>
        </r>
        <r>
          <rPr>
            <sz val="9"/>
            <color indexed="81"/>
            <rFont val="Tahoma"/>
            <family val="2"/>
          </rPr>
          <t xml:space="preserve">
He is the owner of the phone and has a biogas plant, He knew Kususu Robinah but she died and she had a biogas plant too</t>
        </r>
      </text>
    </comment>
    <comment ref="H5577" authorId="0" shapeId="0" xr:uid="{B00D089E-69E1-4D16-8DFC-01488097BC33}">
      <text>
        <r>
          <rPr>
            <b/>
            <sz val="9"/>
            <color indexed="81"/>
            <rFont val="Tahoma"/>
            <family val="2"/>
          </rPr>
          <t>Lenovo User:</t>
        </r>
        <r>
          <rPr>
            <sz val="9"/>
            <color indexed="81"/>
            <rFont val="Tahoma"/>
            <family val="2"/>
          </rPr>
          <t xml:space="preserve">
Flavia is the wife to Jotham Kayondo. </t>
        </r>
      </text>
    </comment>
    <comment ref="H5678" authorId="0" shapeId="0" xr:uid="{B2E3629E-08A9-45D8-8E9E-6DD170CB9857}">
      <text>
        <r>
          <rPr>
            <b/>
            <sz val="9"/>
            <color indexed="81"/>
            <rFont val="Tahoma"/>
            <family val="2"/>
          </rPr>
          <t>Lenovo User:</t>
        </r>
        <r>
          <rPr>
            <sz val="9"/>
            <color indexed="81"/>
            <rFont val="Tahoma"/>
            <family val="2"/>
          </rPr>
          <t xml:space="preserve">
He knows OdekeDarlington and he has a biogas plant too</t>
        </r>
      </text>
    </comment>
    <comment ref="H5954" authorId="0" shapeId="0" xr:uid="{6BF06FEE-79DE-40B9-AB85-02C8C62C095B}">
      <text>
        <r>
          <rPr>
            <b/>
            <sz val="9"/>
            <color indexed="81"/>
            <rFont val="Tahoma"/>
            <family val="2"/>
          </rPr>
          <t>Lenovo User:</t>
        </r>
        <r>
          <rPr>
            <sz val="9"/>
            <color indexed="81"/>
            <rFont val="Tahoma"/>
            <family val="2"/>
          </rPr>
          <t xml:space="preserve">
She used the neighbours number( Owere Mondo Max)</t>
        </r>
      </text>
    </comment>
    <comment ref="H6274" authorId="0" shapeId="0" xr:uid="{6E53BFDE-5923-45AF-963A-44478062B624}">
      <text>
        <r>
          <rPr>
            <b/>
            <sz val="9"/>
            <color indexed="81"/>
            <rFont val="Tahoma"/>
            <family val="2"/>
          </rPr>
          <t>Lenovo User:</t>
        </r>
        <r>
          <rPr>
            <sz val="9"/>
            <color indexed="81"/>
            <rFont val="Tahoma"/>
            <family val="2"/>
          </rPr>
          <t xml:space="preserve">
Ineget Stephen is the brother and they both have biogas plants</t>
        </r>
      </text>
    </comment>
    <comment ref="H6516" authorId="0" shapeId="0" xr:uid="{1847D7C2-4E32-4AEE-9D36-78BB0323428E}">
      <text>
        <r>
          <rPr>
            <b/>
            <sz val="9"/>
            <color indexed="81"/>
            <rFont val="Tahoma"/>
            <family val="2"/>
          </rPr>
          <t>Lenovo User:</t>
        </r>
        <r>
          <rPr>
            <sz val="9"/>
            <color indexed="81"/>
            <rFont val="Tahoma"/>
            <family val="2"/>
          </rPr>
          <t xml:space="preserve">
She is a wife to John Vianney Lutaaya, they have 2 biogas plants but in different locations</t>
        </r>
      </text>
    </comment>
    <comment ref="H6629" authorId="0" shapeId="0" xr:uid="{D37E99BD-2DAC-4220-BC48-FC9954BE717C}">
      <text>
        <r>
          <rPr>
            <b/>
            <sz val="9"/>
            <color indexed="81"/>
            <rFont val="Tahoma"/>
            <family val="2"/>
          </rPr>
          <t>Lenovo User:</t>
        </r>
        <r>
          <rPr>
            <sz val="9"/>
            <color indexed="81"/>
            <rFont val="Tahoma"/>
            <family val="2"/>
          </rPr>
          <t xml:space="preserve">
She used  Twaha Nsubuga Jafari's no. since since she dint have a phone at that time</t>
        </r>
      </text>
    </comment>
    <comment ref="H6710" authorId="0" shapeId="0" xr:uid="{1BB4715D-5B2A-4457-965F-3BDE1E48B2C1}">
      <text>
        <r>
          <rPr>
            <b/>
            <sz val="9"/>
            <color indexed="81"/>
            <rFont val="Tahoma"/>
            <family val="2"/>
          </rPr>
          <t>Lenovo User:</t>
        </r>
        <r>
          <rPr>
            <sz val="9"/>
            <color indexed="81"/>
            <rFont val="Tahoma"/>
            <family val="2"/>
          </rPr>
          <t xml:space="preserve">
She is the owner of the phone, the Atyam Concy is the mother inlaw who has a plant too</t>
        </r>
      </text>
    </comment>
    <comment ref="H6961" authorId="0" shapeId="0" xr:uid="{A1DCE8AE-EF5E-4B22-8901-0060D5EF9B72}">
      <text>
        <r>
          <rPr>
            <b/>
            <sz val="9"/>
            <color indexed="81"/>
            <rFont val="Tahoma"/>
            <family val="2"/>
          </rPr>
          <t>Lenovo User:</t>
        </r>
        <r>
          <rPr>
            <sz val="9"/>
            <color indexed="81"/>
            <rFont val="Tahoma"/>
            <family val="2"/>
          </rPr>
          <t xml:space="preserve">
He knows Maureen,  they are in the same village and they both have got biogas plants</t>
        </r>
      </text>
    </comment>
    <comment ref="G7033" authorId="0" shapeId="0" xr:uid="{5DF60A42-C534-4F00-A95F-783033CE402F}">
      <text>
        <r>
          <rPr>
            <b/>
            <sz val="9"/>
            <color indexed="81"/>
            <rFont val="Tahoma"/>
            <family val="2"/>
          </rPr>
          <t>Lenovo User:</t>
        </r>
        <r>
          <rPr>
            <sz val="9"/>
            <color indexed="81"/>
            <rFont val="Tahoma"/>
            <family val="2"/>
          </rPr>
          <t xml:space="preserve">
Has 3 biogas plants</t>
        </r>
      </text>
    </comment>
    <comment ref="H7100" authorId="0" shapeId="0" xr:uid="{3A0E3CA3-80EA-4EAA-8232-FFD09797CDBF}">
      <text>
        <r>
          <rPr>
            <b/>
            <sz val="9"/>
            <color indexed="81"/>
            <rFont val="Tahoma"/>
            <family val="2"/>
          </rPr>
          <t>Lenovo User:</t>
        </r>
        <r>
          <rPr>
            <sz val="9"/>
            <color indexed="81"/>
            <rFont val="Tahoma"/>
            <family val="2"/>
          </rPr>
          <t xml:space="preserve">
Sarah is the mother and they both have biogas plants</t>
        </r>
      </text>
    </comment>
    <comment ref="G7270" authorId="0" shapeId="0" xr:uid="{615FD452-328D-47EB-815F-4D40F9431409}">
      <text>
        <r>
          <rPr>
            <b/>
            <sz val="9"/>
            <color indexed="81"/>
            <rFont val="Tahoma"/>
            <family val="2"/>
          </rPr>
          <t>Lenovo User:</t>
        </r>
        <r>
          <rPr>
            <sz val="9"/>
            <color indexed="81"/>
            <rFont val="Tahoma"/>
            <family val="2"/>
          </rPr>
          <t xml:space="preserve">
client has 2 plants but in different locations</t>
        </r>
      </text>
    </comment>
    <comment ref="H7324" authorId="0" shapeId="0" xr:uid="{AB809380-3A30-4229-87EC-CA68B6182BC6}">
      <text>
        <r>
          <rPr>
            <b/>
            <sz val="9"/>
            <color indexed="81"/>
            <rFont val="Tahoma"/>
            <family val="2"/>
          </rPr>
          <t>Lenovo User:</t>
        </r>
        <r>
          <rPr>
            <sz val="9"/>
            <color indexed="81"/>
            <rFont val="Tahoma"/>
            <family val="2"/>
          </rPr>
          <t xml:space="preserve">
She used Sentengo Edwards's number since she didn’t have a phone herself</t>
        </r>
      </text>
    </comment>
    <comment ref="G7432" authorId="1" shapeId="0" xr:uid="{946F56B0-85B7-4E29-9F77-11571EE2F02F}">
      <text>
        <r>
          <rPr>
            <b/>
            <sz val="9"/>
            <color indexed="81"/>
            <rFont val="Tahoma"/>
            <family val="2"/>
          </rPr>
          <t>Personal:</t>
        </r>
        <r>
          <rPr>
            <sz val="9"/>
            <color indexed="81"/>
            <rFont val="Tahoma"/>
            <family val="2"/>
          </rPr>
          <t xml:space="preserve">
upload a new form</t>
        </r>
      </text>
    </comment>
    <comment ref="G7697" authorId="0" shapeId="0" xr:uid="{FC8EBD7C-7216-4F17-AEC7-57C72D101792}">
      <text>
        <r>
          <rPr>
            <b/>
            <sz val="9"/>
            <color indexed="81"/>
            <rFont val="Tahoma"/>
            <family val="2"/>
          </rPr>
          <t>Lenovo User:</t>
        </r>
        <r>
          <rPr>
            <sz val="9"/>
            <color indexed="81"/>
            <rFont val="Tahoma"/>
            <family val="2"/>
          </rPr>
          <t xml:space="preserve">
Matia is the husband, they have 2 biogas plants though the other plant stopped working</t>
        </r>
      </text>
    </comment>
    <comment ref="G7733" authorId="0" shapeId="0" xr:uid="{261BE583-0DF5-4947-ABD0-23B728BCA58E}">
      <text>
        <r>
          <rPr>
            <b/>
            <sz val="9"/>
            <color indexed="81"/>
            <rFont val="Tahoma"/>
            <family val="2"/>
          </rPr>
          <t>Lenovo User:</t>
        </r>
        <r>
          <rPr>
            <sz val="9"/>
            <color indexed="81"/>
            <rFont val="Tahoma"/>
            <family val="2"/>
          </rPr>
          <t xml:space="preserve">
Fravior and Lilian are from the same family but they have separate biogas plants though nolonger using them, they failed to maintain their plants</t>
        </r>
      </text>
    </comment>
    <comment ref="H7778" authorId="0" shapeId="0" xr:uid="{1BBAD69D-25AA-4D17-AF5B-452EE52B870B}">
      <text>
        <r>
          <rPr>
            <b/>
            <sz val="9"/>
            <color indexed="81"/>
            <rFont val="Tahoma"/>
            <family val="2"/>
          </rPr>
          <t>Lenovo User:</t>
        </r>
        <r>
          <rPr>
            <sz val="9"/>
            <color indexed="81"/>
            <rFont val="Tahoma"/>
            <family val="2"/>
          </rPr>
          <t xml:space="preserve">
This is the owner of the plant though he is nolonger using his plant since his animals were stolen. He knows Haggai, he also has a plant but not functional- no one to maintain it</t>
        </r>
      </text>
    </comment>
    <comment ref="H7889" authorId="0" shapeId="0" xr:uid="{F93B4E91-1F96-4806-86D1-E2C700943F4F}">
      <text>
        <r>
          <rPr>
            <b/>
            <sz val="9"/>
            <color indexed="81"/>
            <rFont val="Tahoma"/>
            <family val="2"/>
          </rPr>
          <t>Lenovo User:</t>
        </r>
        <r>
          <rPr>
            <sz val="9"/>
            <color indexed="81"/>
            <rFont val="Tahoma"/>
            <family val="2"/>
          </rPr>
          <t xml:space="preserve">
He is the owner of the phone, the other 3 pple( Boheruku Fred, Emmanuel Tubuya, Mwoleka Godfrey have biogas plants too but have no phones</t>
        </r>
      </text>
    </comment>
    <comment ref="H7938" authorId="0" shapeId="0" xr:uid="{3674C89E-574D-46EB-A39B-ECAE798DB89E}">
      <text>
        <r>
          <rPr>
            <b/>
            <sz val="9"/>
            <color indexed="81"/>
            <rFont val="Tahoma"/>
            <family val="2"/>
          </rPr>
          <t>Lenovo User:</t>
        </r>
        <r>
          <rPr>
            <sz val="9"/>
            <color indexed="81"/>
            <rFont val="Tahoma"/>
            <family val="2"/>
          </rPr>
          <t xml:space="preserve">
He used the same number asMagara Peter James b'se they are neighbours</t>
        </r>
      </text>
    </comment>
    <comment ref="H8104" authorId="0" shapeId="0" xr:uid="{FDFCA080-0845-4A3E-8C94-A8392416131B}">
      <text>
        <r>
          <rPr>
            <b/>
            <sz val="9"/>
            <color indexed="81"/>
            <rFont val="Tahoma"/>
            <family val="2"/>
          </rPr>
          <t>Lenovo User:</t>
        </r>
        <r>
          <rPr>
            <sz val="9"/>
            <color indexed="81"/>
            <rFont val="Tahoma"/>
            <family val="2"/>
          </rPr>
          <t xml:space="preserve">
He used the neighbours phone (Wahanyenye Robert) since he dint have a phone)</t>
        </r>
      </text>
    </comment>
    <comment ref="H8292" authorId="0" shapeId="0" xr:uid="{1F06A038-50D5-46D6-B37D-206283C70EC5}">
      <text>
        <r>
          <rPr>
            <b/>
            <sz val="9"/>
            <color indexed="81"/>
            <rFont val="Tahoma"/>
            <family val="2"/>
          </rPr>
          <t>Lenovo User:</t>
        </r>
        <r>
          <rPr>
            <sz val="9"/>
            <color indexed="81"/>
            <rFont val="Tahoma"/>
            <family val="2"/>
          </rPr>
          <t xml:space="preserve">
shares anumber with Ochwo Beatrice, since she has no phone but they both have biogas plants</t>
        </r>
      </text>
    </comment>
    <comment ref="G8390" authorId="0" shapeId="0" xr:uid="{076F15AD-31DB-42D0-A8F6-FF3D044A85DC}">
      <text>
        <r>
          <rPr>
            <b/>
            <sz val="9"/>
            <color indexed="81"/>
            <rFont val="Tahoma"/>
            <family val="2"/>
          </rPr>
          <t>Lenovo User:</t>
        </r>
        <r>
          <rPr>
            <sz val="9"/>
            <color indexed="81"/>
            <rFont val="Tahoma"/>
            <family val="2"/>
          </rPr>
          <t xml:space="preserve">
This plant belongs to the mother of Cheptuker)
</t>
        </r>
      </text>
    </comment>
    <comment ref="H8500" authorId="0" shapeId="0" xr:uid="{5870FBF5-831B-44E6-916F-E4EB47C0A254}">
      <text>
        <r>
          <rPr>
            <b/>
            <sz val="9"/>
            <color indexed="81"/>
            <rFont val="Tahoma"/>
            <family val="2"/>
          </rPr>
          <t>Lenovo User:</t>
        </r>
        <r>
          <rPr>
            <sz val="9"/>
            <color indexed="81"/>
            <rFont val="Tahoma"/>
            <family val="2"/>
          </rPr>
          <t xml:space="preserve">
Used the same phone number as Nvule Enock since they are neighbours and the later has no phone</t>
        </r>
      </text>
    </comment>
    <comment ref="H8524" authorId="0" shapeId="0" xr:uid="{DF140DA2-5FE3-4E88-82CA-7F30B0ABC2C6}">
      <text>
        <r>
          <rPr>
            <b/>
            <sz val="9"/>
            <color indexed="81"/>
            <rFont val="Tahoma"/>
            <family val="2"/>
          </rPr>
          <t>Lenovo User:</t>
        </r>
        <r>
          <rPr>
            <sz val="9"/>
            <color indexed="81"/>
            <rFont val="Tahoma"/>
            <family val="2"/>
          </rPr>
          <t xml:space="preserve">
He knows Bwemera Paulina but she has no phone. They both have bogas plants though</t>
        </r>
      </text>
    </comment>
    <comment ref="G8586" authorId="1" shapeId="0" xr:uid="{60FF579A-C4D7-4C01-9677-BB7454BBEED9}">
      <text>
        <r>
          <rPr>
            <b/>
            <sz val="9"/>
            <color indexed="81"/>
            <rFont val="Tahoma"/>
            <family val="2"/>
          </rPr>
          <t>Personal:</t>
        </r>
        <r>
          <rPr>
            <sz val="9"/>
            <color indexed="81"/>
            <rFont val="Tahoma"/>
            <family val="2"/>
          </rPr>
          <t xml:space="preserve">
owner died, wife is now the one in charge</t>
        </r>
      </text>
    </comment>
    <comment ref="H8786" authorId="0" shapeId="0" xr:uid="{00159508-0BC7-4534-9D51-ECA350796B1A}">
      <text>
        <r>
          <rPr>
            <b/>
            <sz val="9"/>
            <color indexed="81"/>
            <rFont val="Tahoma"/>
            <family val="2"/>
          </rPr>
          <t>Lenovo User:</t>
        </r>
        <r>
          <rPr>
            <sz val="9"/>
            <color indexed="81"/>
            <rFont val="Tahoma"/>
            <family val="2"/>
          </rPr>
          <t xml:space="preserve">
Wamono paul is the son and they both have biogas plants</t>
        </r>
      </text>
    </comment>
    <comment ref="H9017" authorId="0" shapeId="0" xr:uid="{15D20AF5-93A3-4A1D-9FF8-A6BAD4AF7FB0}">
      <text>
        <r>
          <rPr>
            <b/>
            <sz val="9"/>
            <color indexed="81"/>
            <rFont val="Tahoma"/>
            <family val="2"/>
          </rPr>
          <t>Lenovo User:</t>
        </r>
        <r>
          <rPr>
            <sz val="9"/>
            <color indexed="81"/>
            <rFont val="Tahoma"/>
            <family val="2"/>
          </rPr>
          <t xml:space="preserve">
He knows Muloni David and they both have biogas plants</t>
        </r>
      </text>
    </comment>
    <comment ref="H9095" authorId="0" shapeId="0" xr:uid="{8BAE6928-0A12-4CA4-9804-E5A829B21BC9}">
      <text>
        <r>
          <rPr>
            <b/>
            <sz val="9"/>
            <color indexed="81"/>
            <rFont val="Tahoma"/>
            <family val="2"/>
          </rPr>
          <t>Lenovo User:</t>
        </r>
        <r>
          <rPr>
            <sz val="9"/>
            <color indexed="81"/>
            <rFont val="Tahoma"/>
            <family val="2"/>
          </rPr>
          <t xml:space="preserve">
She registered the phone number of Kazibwe Nathan because she didnt have a phone</t>
        </r>
      </text>
    </comment>
    <comment ref="H9164" authorId="0" shapeId="0" xr:uid="{9EC7A3D5-ACEC-4EBE-B668-90C0F5432727}">
      <text>
        <r>
          <rPr>
            <b/>
            <sz val="9"/>
            <color indexed="81"/>
            <rFont val="Tahoma"/>
            <family val="2"/>
          </rPr>
          <t>Lenovo User:</t>
        </r>
        <r>
          <rPr>
            <sz val="9"/>
            <color indexed="81"/>
            <rFont val="Tahoma"/>
            <family val="2"/>
          </rPr>
          <t xml:space="preserve">
She used Sempebwa Edward's number since she dint have a phone herself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Paddy Ntabu</author>
    <author>tc={30CADE6B-5522-450F-889F-6FC39173EEF2}</author>
    <author>Lab Technician</author>
  </authors>
  <commentList>
    <comment ref="P6" authorId="0" shapeId="0" xr:uid="{6ED8D571-8640-4916-93C2-DFEEA31C27B0}">
      <text>
        <r>
          <rPr>
            <b/>
            <sz val="9"/>
            <color indexed="81"/>
            <rFont val="Tahoma"/>
            <family val="2"/>
          </rPr>
          <t>Paddy Ntabu:</t>
        </r>
        <r>
          <rPr>
            <sz val="9"/>
            <color indexed="81"/>
            <rFont val="Tahoma"/>
            <family val="2"/>
          </rPr>
          <t xml:space="preserve">
Extended Homestead</t>
        </r>
      </text>
    </comment>
    <comment ref="P20" authorId="0" shapeId="0" xr:uid="{19439A27-7BAB-4621-A46E-5FBA89012250}">
      <text>
        <r>
          <rPr>
            <b/>
            <sz val="9"/>
            <color indexed="81"/>
            <rFont val="Tahoma"/>
            <family val="2"/>
          </rPr>
          <t>Paddy Ntabu:</t>
        </r>
        <r>
          <rPr>
            <sz val="9"/>
            <color indexed="81"/>
            <rFont val="Tahoma"/>
            <family val="2"/>
          </rPr>
          <t xml:space="preserve">
Extended homestead</t>
        </r>
      </text>
    </comment>
    <comment ref="AI26" authorId="0" shapeId="0" xr:uid="{86BD9197-4ABA-4C00-BD72-DEF867F2C64D}">
      <text>
        <r>
          <rPr>
            <b/>
            <sz val="9"/>
            <color indexed="81"/>
            <rFont val="Tahoma"/>
            <family val="2"/>
          </rPr>
          <t>Paddy Ntabu:</t>
        </r>
        <r>
          <rPr>
            <sz val="9"/>
            <color indexed="81"/>
            <rFont val="Tahoma"/>
            <family val="2"/>
          </rPr>
          <t xml:space="preserve">
When resources are available</t>
        </r>
      </text>
    </comment>
    <comment ref="AI51" authorId="0" shapeId="0" xr:uid="{425473BF-D7CB-4A3C-A5AA-061B0DED19A4}">
      <text>
        <r>
          <rPr>
            <b/>
            <sz val="9"/>
            <color indexed="81"/>
            <rFont val="Tahoma"/>
            <family val="2"/>
          </rPr>
          <t>Paddy Ntabu:</t>
        </r>
        <r>
          <rPr>
            <sz val="9"/>
            <color indexed="81"/>
            <rFont val="Tahoma"/>
            <family val="2"/>
          </rPr>
          <t xml:space="preserve">
When resources are available</t>
        </r>
      </text>
    </comment>
    <comment ref="AI54" authorId="0" shapeId="0" xr:uid="{DF92A226-50F7-4FB4-9C52-54D6F3027523}">
      <text>
        <r>
          <rPr>
            <b/>
            <sz val="9"/>
            <color indexed="81"/>
            <rFont val="Tahoma"/>
            <family val="2"/>
          </rPr>
          <t>Paddy Ntabu:</t>
        </r>
        <r>
          <rPr>
            <sz val="9"/>
            <color indexed="81"/>
            <rFont val="Tahoma"/>
            <family val="2"/>
          </rPr>
          <t xml:space="preserve">
When resources are available</t>
        </r>
      </text>
    </comment>
    <comment ref="AI56" authorId="0" shapeId="0" xr:uid="{EF923EFE-D85A-4F5B-A3B5-E400D8056F73}">
      <text>
        <r>
          <rPr>
            <b/>
            <sz val="9"/>
            <color indexed="81"/>
            <rFont val="Tahoma"/>
            <family val="2"/>
          </rPr>
          <t>Paddy Ntabu:</t>
        </r>
        <r>
          <rPr>
            <sz val="9"/>
            <color indexed="81"/>
            <rFont val="Tahoma"/>
            <family val="2"/>
          </rPr>
          <t xml:space="preserve">
When resources are available</t>
        </r>
      </text>
    </comment>
    <comment ref="P64" authorId="0" shapeId="0" xr:uid="{3432A1C8-F01B-4D84-AB8D-8B7380808A86}">
      <text>
        <r>
          <rPr>
            <b/>
            <sz val="9"/>
            <color indexed="81"/>
            <rFont val="Tahoma"/>
            <family val="2"/>
          </rPr>
          <t>Paddy Ntabu:</t>
        </r>
        <r>
          <rPr>
            <sz val="9"/>
            <color indexed="81"/>
            <rFont val="Tahoma"/>
            <family val="2"/>
          </rPr>
          <t xml:space="preserve">
Meals for the staff and a few children. It’s a home of the Institution proprietor</t>
        </r>
      </text>
    </comment>
    <comment ref="AI67" authorId="0" shapeId="0" xr:uid="{5A97F204-52EF-40E0-844C-B94F7A433390}">
      <text>
        <r>
          <rPr>
            <b/>
            <sz val="9"/>
            <color indexed="81"/>
            <rFont val="Tahoma"/>
            <family val="2"/>
          </rPr>
          <t>Paddy Ntabu:</t>
        </r>
        <r>
          <rPr>
            <sz val="9"/>
            <color indexed="81"/>
            <rFont val="Tahoma"/>
            <family val="2"/>
          </rPr>
          <t xml:space="preserve">
When resources are available</t>
        </r>
      </text>
    </comment>
    <comment ref="AI70" authorId="0" shapeId="0" xr:uid="{E6928ADA-51EF-47F9-866F-A65F84A2B8C2}">
      <text>
        <r>
          <rPr>
            <b/>
            <sz val="9"/>
            <color indexed="81"/>
            <rFont val="Tahoma"/>
            <family val="2"/>
          </rPr>
          <t>Paddy Ntabu:</t>
        </r>
        <r>
          <rPr>
            <sz val="9"/>
            <color indexed="81"/>
            <rFont val="Tahoma"/>
            <family val="2"/>
          </rPr>
          <t xml:space="preserve">
When resources are available</t>
        </r>
      </text>
    </comment>
    <comment ref="FK79" authorId="0" shapeId="0" xr:uid="{CDA26A82-53D9-4FB1-A53C-A58F4A5C0827}">
      <text>
        <r>
          <rPr>
            <b/>
            <sz val="9"/>
            <color indexed="81"/>
            <rFont val="Tahoma"/>
            <family val="2"/>
          </rPr>
          <t>Paddy Ntabu:</t>
        </r>
        <r>
          <rPr>
            <sz val="9"/>
            <color indexed="81"/>
            <rFont val="Tahoma"/>
            <family val="2"/>
          </rPr>
          <t xml:space="preserve">
518 acres</t>
        </r>
      </text>
    </comment>
    <comment ref="FN79" authorId="1" shapeId="0" xr:uid="{30CADE6B-5522-450F-889F-6FC39173EEF2}">
      <text>
        <t>[Threaded comment]
Your version of Excel allows you to read this threaded comment; however, any edits to it will get removed if the file is opened in a newer version of Excel. Learn more: https://go.microsoft.com/fwlink/?linkid=870924
Comment:
    Original value 63. Value is removed as it is considered an outlier. This is conservative</t>
      </text>
    </comment>
    <comment ref="FK80" authorId="0" shapeId="0" xr:uid="{490010E3-164C-4B28-90DC-89A564343D9C}">
      <text>
        <r>
          <rPr>
            <b/>
            <sz val="9"/>
            <color indexed="81"/>
            <rFont val="Tahoma"/>
            <family val="2"/>
          </rPr>
          <t>Paddy Ntabu:</t>
        </r>
        <r>
          <rPr>
            <sz val="9"/>
            <color indexed="81"/>
            <rFont val="Tahoma"/>
            <family val="2"/>
          </rPr>
          <t xml:space="preserve">
100 acres</t>
        </r>
      </text>
    </comment>
    <comment ref="FK81" authorId="0" shapeId="0" xr:uid="{FC54A147-25C7-4AA8-9A29-4205BA748EAB}">
      <text>
        <r>
          <rPr>
            <b/>
            <sz val="9"/>
            <color indexed="81"/>
            <rFont val="Tahoma"/>
            <family val="2"/>
          </rPr>
          <t>Paddy Ntabu:</t>
        </r>
        <r>
          <rPr>
            <sz val="9"/>
            <color indexed="81"/>
            <rFont val="Tahoma"/>
            <family val="2"/>
          </rPr>
          <t xml:space="preserve">
40 acres</t>
        </r>
      </text>
    </comment>
    <comment ref="BV84" authorId="0" shapeId="0" xr:uid="{DFA5878D-C0E0-4D17-9F94-95543D23616F}">
      <text>
        <r>
          <rPr>
            <b/>
            <sz val="9"/>
            <color indexed="81"/>
            <rFont val="Tahoma"/>
            <family val="2"/>
          </rPr>
          <t>Paddy Ntabu:</t>
        </r>
        <r>
          <rPr>
            <sz val="9"/>
            <color indexed="81"/>
            <rFont val="Tahoma"/>
            <family val="2"/>
          </rPr>
          <t xml:space="preserve">
After probing further, HH confirmed that they feed the system between 1 to 2 wheelbarrows per day.</t>
        </r>
      </text>
    </comment>
    <comment ref="BQ88" authorId="2" shapeId="0" xr:uid="{616B1E50-664F-44AC-913F-97795B70559C}">
      <text>
        <r>
          <rPr>
            <b/>
            <sz val="9"/>
            <color indexed="81"/>
            <rFont val="Tahoma"/>
            <family val="2"/>
          </rPr>
          <t>Lab Technician:</t>
        </r>
        <r>
          <rPr>
            <sz val="9"/>
            <color indexed="81"/>
            <rFont val="Tahoma"/>
            <family val="2"/>
          </rPr>
          <t xml:space="preserve">
They feed it with human waste multiple times a day</t>
        </r>
      </text>
    </comment>
    <comment ref="BR88" authorId="0" shapeId="0" xr:uid="{55392C04-6957-4B79-8DF7-EB2C984939BE}">
      <text>
        <r>
          <rPr>
            <b/>
            <sz val="9"/>
            <color indexed="81"/>
            <rFont val="Tahoma"/>
            <family val="2"/>
          </rPr>
          <t>Paddy Ntabu:</t>
        </r>
        <r>
          <rPr>
            <sz val="9"/>
            <color indexed="81"/>
            <rFont val="Tahoma"/>
            <family val="2"/>
          </rPr>
          <t xml:space="preserve">
Bio-Latrine feeding strictly.</t>
        </r>
      </text>
    </comment>
    <comment ref="CP88" authorId="0" shapeId="0" xr:uid="{EAA74A7E-C70C-4C3C-9140-3BA85F707C10}">
      <text>
        <r>
          <rPr>
            <b/>
            <sz val="9"/>
            <color indexed="81"/>
            <rFont val="Tahoma"/>
            <family val="2"/>
          </rPr>
          <t>Paddy Ntabu:</t>
        </r>
        <r>
          <rPr>
            <sz val="9"/>
            <color indexed="81"/>
            <rFont val="Tahoma"/>
            <family val="2"/>
          </rPr>
          <t xml:space="preserve">
4 Months</t>
        </r>
      </text>
    </comment>
    <comment ref="CP91" authorId="0" shapeId="0" xr:uid="{45F65EAC-CE1F-4C74-B16C-0CA074DF4C0F}">
      <text>
        <r>
          <rPr>
            <b/>
            <sz val="9"/>
            <color indexed="81"/>
            <rFont val="Tahoma"/>
            <family val="2"/>
          </rPr>
          <t>Paddy Ntabu:</t>
        </r>
        <r>
          <rPr>
            <sz val="9"/>
            <color indexed="81"/>
            <rFont val="Tahoma"/>
            <family val="2"/>
          </rPr>
          <t xml:space="preserve">
4 Months</t>
        </r>
      </text>
    </comment>
    <comment ref="CP109" authorId="0" shapeId="0" xr:uid="{7EE7A5DA-5835-4793-B62F-E313BC3931A8}">
      <text>
        <r>
          <rPr>
            <b/>
            <sz val="9"/>
            <color indexed="81"/>
            <rFont val="Tahoma"/>
            <family val="2"/>
          </rPr>
          <t>Paddy Ntabu:</t>
        </r>
        <r>
          <rPr>
            <sz val="9"/>
            <color indexed="81"/>
            <rFont val="Tahoma"/>
            <family val="2"/>
          </rPr>
          <t xml:space="preserve">
4 Months</t>
        </r>
      </text>
    </comment>
    <comment ref="FK113" authorId="0" shapeId="0" xr:uid="{EE275761-5B07-424C-94C2-A2AD7BAF884F}">
      <text>
        <r>
          <rPr>
            <b/>
            <sz val="9"/>
            <color indexed="81"/>
            <rFont val="Tahoma"/>
            <family val="2"/>
          </rPr>
          <t>Paddy Ntabu:</t>
        </r>
        <r>
          <rPr>
            <sz val="9"/>
            <color indexed="81"/>
            <rFont val="Tahoma"/>
            <family val="2"/>
          </rPr>
          <t xml:space="preserve">
80 acres</t>
        </r>
      </text>
    </comment>
    <comment ref="FK121" authorId="0" shapeId="0" xr:uid="{B02B8F36-F81F-43CF-9E56-A2B85429B0E9}">
      <text>
        <r>
          <rPr>
            <b/>
            <sz val="9"/>
            <color indexed="81"/>
            <rFont val="Tahoma"/>
            <family val="2"/>
          </rPr>
          <t>Paddy Ntabu:</t>
        </r>
        <r>
          <rPr>
            <sz val="9"/>
            <color indexed="81"/>
            <rFont val="Tahoma"/>
            <family val="2"/>
          </rPr>
          <t xml:space="preserve">
24 acres</t>
        </r>
      </text>
    </comment>
    <comment ref="FM152" authorId="0" shapeId="0" xr:uid="{BAC161EC-E554-4109-9252-500997FDAFBC}">
      <text>
        <r>
          <rPr>
            <b/>
            <sz val="9"/>
            <color indexed="81"/>
            <rFont val="Tahoma"/>
            <family val="2"/>
          </rPr>
          <t>Paddy Ntabu:</t>
        </r>
        <r>
          <rPr>
            <sz val="9"/>
            <color indexed="81"/>
            <rFont val="Tahoma"/>
            <family val="2"/>
          </rPr>
          <t xml:space="preserve">
Mukasa Ronald has alot of land that includes his home, farm where he does animal keeping and small portion for crop growing and also a school. So on computing got 2%</t>
        </r>
      </text>
    </comment>
    <comment ref="BQ181" authorId="0" shapeId="0" xr:uid="{C3B216D3-98E6-44B9-A1D1-8AF995913C3A}">
      <text>
        <r>
          <rPr>
            <b/>
            <sz val="9"/>
            <color indexed="81"/>
            <rFont val="Tahoma"/>
            <family val="2"/>
          </rPr>
          <t>Paddy Ntabu:</t>
        </r>
        <r>
          <rPr>
            <sz val="9"/>
            <color indexed="81"/>
            <rFont val="Tahoma"/>
            <family val="2"/>
          </rPr>
          <t xml:space="preserve">
Bio-Latrine feeding strictly.</t>
        </r>
      </text>
    </comment>
    <comment ref="BR181" authorId="0" shapeId="0" xr:uid="{D93718A9-FA68-40DC-97BD-DB78A66EB8B2}">
      <text>
        <r>
          <rPr>
            <b/>
            <sz val="9"/>
            <color indexed="81"/>
            <rFont val="Tahoma"/>
            <family val="2"/>
          </rPr>
          <t>Paddy Ntabu:</t>
        </r>
        <r>
          <rPr>
            <sz val="9"/>
            <color indexed="81"/>
            <rFont val="Tahoma"/>
            <family val="2"/>
          </rPr>
          <t xml:space="preserve">
Bio-Latrine feeding strictly.</t>
        </r>
      </text>
    </comment>
    <comment ref="P189" authorId="0" shapeId="0" xr:uid="{6C733AA5-3B08-4FAE-A91A-F64A54BABD2F}">
      <text>
        <r>
          <rPr>
            <b/>
            <sz val="9"/>
            <color indexed="81"/>
            <rFont val="Tahoma"/>
            <family val="2"/>
          </rPr>
          <t>Paddy Ntabu:</t>
        </r>
        <r>
          <rPr>
            <sz val="9"/>
            <color indexed="81"/>
            <rFont val="Tahoma"/>
            <family val="2"/>
          </rPr>
          <t xml:space="preserve">
Uganda Matrys Vocational Institution. Its not a HH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tc={3BD4E912-5785-465B-BEFA-A6F8E83B81B6}</author>
    <author>tc={15E021C6-C53D-48CE-9966-90EED5BBFC7B}</author>
    <author>tc={486603F9-D17C-46CD-8662-17FC998B9710}</author>
  </authors>
  <commentList>
    <comment ref="EZ13" authorId="0" shapeId="0" xr:uid="{3BD4E912-5785-465B-BEFA-A6F8E83B81B6}">
      <text>
        <t>[Threaded comment]
Your version of Excel allows you to read this threaded comment; however, any edits to it will get removed if the file is opened in a newer version of Excel. Learn more: https://go.microsoft.com/fwlink/?linkid=870924
Comment:
    Value not calculated, as it is considered and extreme, and thus excluded, which is conservative</t>
      </text>
    </comment>
    <comment ref="EZ14" authorId="1" shapeId="0" xr:uid="{15E021C6-C53D-48CE-9966-90EED5BBFC7B}">
      <text>
        <t xml:space="preserve">[Threaded comment]
Your version of Excel allows you to read this threaded comment; however, any edits to it will get removed if the file is opened in a newer version of Excel. Learn more: https://go.microsoft.com/fwlink/?linkid=870924
Comment:
    Value not calculated, as it is considered and extreme, and thus excluded, which is conservative
</t>
      </text>
    </comment>
    <comment ref="EZ15" authorId="2" shapeId="0" xr:uid="{486603F9-D17C-46CD-8662-17FC998B9710}">
      <text>
        <t xml:space="preserve">[Threaded comment]
Your version of Excel allows you to read this threaded comment; however, any edits to it will get removed if the file is opened in a newer version of Excel. Learn more: https://go.microsoft.com/fwlink/?linkid=870924
Comment:
    Value not calculated, as it is considered and extreme, and thus excluded, which is conservative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<sst xmlns="http://schemas.openxmlformats.org/spreadsheetml/2006/main" count="179034" uniqueCount="36549">
  <si>
    <t>#</t>
  </si>
  <si>
    <t>UG-EAS-1106-2173</t>
  </si>
  <si>
    <t>No</t>
  </si>
  <si>
    <t>Female</t>
  </si>
  <si>
    <t>NA</t>
  </si>
  <si>
    <t>Male</t>
  </si>
  <si>
    <t>Firewood</t>
  </si>
  <si>
    <t>Yes</t>
  </si>
  <si>
    <t>Other (specify)</t>
  </si>
  <si>
    <t>DNA</t>
  </si>
  <si>
    <t>UG-EAS-1302-2079</t>
  </si>
  <si>
    <t>Charcoal</t>
  </si>
  <si>
    <t>Composting</t>
  </si>
  <si>
    <t>Other</t>
  </si>
  <si>
    <t>Child</t>
  </si>
  <si>
    <t>UG-EAS-1402-2208</t>
  </si>
  <si>
    <t>None</t>
  </si>
  <si>
    <t>UG-EAS-1408-1868</t>
  </si>
  <si>
    <t>Sheep</t>
  </si>
  <si>
    <t>No knowledge about it</t>
  </si>
  <si>
    <t>UG-EAS-1409-1918</t>
  </si>
  <si>
    <t>Asiimwe Brenda - 700121356</t>
  </si>
  <si>
    <t>Worker</t>
  </si>
  <si>
    <t>UG-WES-1402-3735</t>
  </si>
  <si>
    <t>UG-WES-1909-012691</t>
  </si>
  <si>
    <t>Other cattle</t>
  </si>
  <si>
    <t>Solid storage</t>
  </si>
  <si>
    <t>UG-WES-2103-014495</t>
  </si>
  <si>
    <t>LPG</t>
  </si>
  <si>
    <t>UG-CEN-2009-017934</t>
  </si>
  <si>
    <t>UG-WES-1308-2432</t>
  </si>
  <si>
    <t>UG-EAS-1112-25</t>
  </si>
  <si>
    <t>Collecting firewood</t>
  </si>
  <si>
    <t>UG-EAS-1207-1352</t>
  </si>
  <si>
    <t>Nduhukire Elizabeth - 754070019</t>
  </si>
  <si>
    <t>UG-EAS-1210-1549</t>
  </si>
  <si>
    <t>UG-EAS-1309-1616</t>
  </si>
  <si>
    <t>UG-EAS-1402-1960</t>
  </si>
  <si>
    <t>UG-EAS-1402-4762</t>
  </si>
  <si>
    <t>UG-EAS-1410-4846</t>
  </si>
  <si>
    <t>UG-EAS-1508-962</t>
  </si>
  <si>
    <t>UG-EAS-1508-973</t>
  </si>
  <si>
    <t>UG-WES-1402-2430</t>
  </si>
  <si>
    <t>Rukundo Phionah - 779492344</t>
  </si>
  <si>
    <t>UG-CEN-1106-2961</t>
  </si>
  <si>
    <t>UG-CEN-1203-4298</t>
  </si>
  <si>
    <t>UG-CEN-1305-4573</t>
  </si>
  <si>
    <t>UG-CEN-1310-3898</t>
  </si>
  <si>
    <t>UG-WES-1205-2593</t>
  </si>
  <si>
    <t>UG-NOR-1306-5279</t>
  </si>
  <si>
    <t>UG-WES-1606-4729</t>
  </si>
  <si>
    <t>UG-WES-1108-3235</t>
  </si>
  <si>
    <t>Agaba Irene - 788372713</t>
  </si>
  <si>
    <t>Kerosene</t>
  </si>
  <si>
    <t>UG-EAS-1308-4116</t>
  </si>
  <si>
    <t>UG-EAS-1610-07791</t>
  </si>
  <si>
    <t>Orishaba Evalyne - 774482641</t>
  </si>
  <si>
    <t>UG-CEN-1104-3806</t>
  </si>
  <si>
    <t>UG-CEN-1202-4408</t>
  </si>
  <si>
    <t>Poultry</t>
  </si>
  <si>
    <t>UG-CEN-1202-4410</t>
  </si>
  <si>
    <t>UG-CEN-1503-628</t>
  </si>
  <si>
    <t>UG-CEN-1905-06388</t>
  </si>
  <si>
    <t>UG-EAS-1105-4070</t>
  </si>
  <si>
    <t>UG-EAS-1105-729</t>
  </si>
  <si>
    <t>UG-EAS-1307-4088</t>
  </si>
  <si>
    <t>UG-EAS-1310-2323</t>
  </si>
  <si>
    <t>UG-EAS-1312-4066</t>
  </si>
  <si>
    <t>UG-EAS-1401-4079</t>
  </si>
  <si>
    <t>UG-EAS-1912-018456</t>
  </si>
  <si>
    <t>Barigeya Yunus - 781724138</t>
  </si>
  <si>
    <t>UG-WES-1603-3427</t>
  </si>
  <si>
    <t>Na</t>
  </si>
  <si>
    <t>UG-WES-1606-4728</t>
  </si>
  <si>
    <t>UG-WES-1706-06539</t>
  </si>
  <si>
    <t>UG-CEN-2103-018422</t>
  </si>
  <si>
    <t>Electricity</t>
  </si>
  <si>
    <t>UG-WES-1302-1266</t>
  </si>
  <si>
    <t>UG-WES-1306-3277</t>
  </si>
  <si>
    <t>UG-CEN-1103-1949</t>
  </si>
  <si>
    <t>UG-CEN-1103-2552</t>
  </si>
  <si>
    <t>UG-CEN-1203-1050</t>
  </si>
  <si>
    <t>UG-CEN-1203-1052</t>
  </si>
  <si>
    <t>Kemigisha Vastinah - 782119054</t>
  </si>
  <si>
    <t>UG-CEN-1203-1057</t>
  </si>
  <si>
    <t>UG-CEN-1205-1051</t>
  </si>
  <si>
    <t>UG-CEN-1207-1053</t>
  </si>
  <si>
    <t>UG-EAS-2108-08152</t>
  </si>
  <si>
    <t>UG-CEN-1205-5207</t>
  </si>
  <si>
    <t>UG-CEN-1107-3508</t>
  </si>
  <si>
    <t>UG-CEN-1304-3545</t>
  </si>
  <si>
    <t>UG-CEN-1307-3550</t>
  </si>
  <si>
    <t>UG-CEN-1210-2796</t>
  </si>
  <si>
    <t>UG-WES-1308-1299</t>
  </si>
  <si>
    <t>UG-WES-1903-013682</t>
  </si>
  <si>
    <t>Reference</t>
  </si>
  <si>
    <t>Description</t>
  </si>
  <si>
    <t>Data</t>
  </si>
  <si>
    <t>Unit</t>
  </si>
  <si>
    <t>Source</t>
  </si>
  <si>
    <t>Baseline emissions</t>
  </si>
  <si>
    <t>https://globalgoals.goldstandard.org/standards/RU-2020-PR-V1.2-GWP-values.pdf</t>
  </si>
  <si>
    <t>IPCC default</t>
  </si>
  <si>
    <t>Number of dairy cows</t>
  </si>
  <si>
    <t>units</t>
  </si>
  <si>
    <t>Number of other cattle</t>
  </si>
  <si>
    <t>Number of breeding swine</t>
  </si>
  <si>
    <t>Number of poultry</t>
  </si>
  <si>
    <t>Number of sheep</t>
  </si>
  <si>
    <t>Number of goat</t>
  </si>
  <si>
    <r>
      <t>D</t>
    </r>
    <r>
      <rPr>
        <vertAlign val="subscript"/>
        <sz val="10"/>
        <color indexed="8"/>
        <rFont val="Calibri"/>
        <family val="2"/>
        <scheme val="minor"/>
      </rPr>
      <t>CH4</t>
    </r>
  </si>
  <si>
    <t>Density of methane (conversion factor)</t>
  </si>
  <si>
    <t>tonne/m3</t>
  </si>
  <si>
    <t>m3 CH4/kg</t>
  </si>
  <si>
    <t>IPCC default Chap 10 Emissions from livestock and manure management (2006)</t>
  </si>
  <si>
    <t>Daily volatile solid excreted for livestock category T in g dry matter per dairy cows</t>
  </si>
  <si>
    <t>kg/hd/day</t>
  </si>
  <si>
    <t>Daily volatile solid excreted for livestock category T in g dry matter per goat</t>
  </si>
  <si>
    <t>Daily volatile solid excreted for livestock category T in g dry matter per market swine</t>
  </si>
  <si>
    <t>Daily volatile solid excreted for livestock category T in g dry matter per breeding swine</t>
  </si>
  <si>
    <t>Daily volatile solid excreted for livestock category T in g dry matter per sheep</t>
  </si>
  <si>
    <t>Daily volatile solid excreted for livestock category T in g dry matter per other cattle</t>
  </si>
  <si>
    <t>Daily volatile solid excreted for livestock category T in g dry matter per poultry</t>
  </si>
  <si>
    <t>Days</t>
  </si>
  <si>
    <t>Days per year</t>
  </si>
  <si>
    <r>
      <t>tCO</t>
    </r>
    <r>
      <rPr>
        <vertAlign val="subscript"/>
        <sz val="10"/>
        <color indexed="53"/>
        <rFont val="Calibri"/>
        <family val="2"/>
        <scheme val="minor"/>
      </rPr>
      <t>2</t>
    </r>
    <r>
      <rPr>
        <sz val="10"/>
        <color indexed="53"/>
        <rFont val="Calibri"/>
        <family val="2"/>
        <scheme val="minor"/>
      </rPr>
      <t xml:space="preserve"> / yr/hh</t>
    </r>
  </si>
  <si>
    <t>Fuel substitution</t>
  </si>
  <si>
    <r>
      <rPr>
        <i/>
        <sz val="10"/>
        <color indexed="8"/>
        <rFont val="Calibri"/>
        <family val="2"/>
        <scheme val="minor"/>
      </rPr>
      <t>f</t>
    </r>
    <r>
      <rPr>
        <vertAlign val="subscript"/>
        <sz val="10"/>
        <color indexed="8"/>
        <rFont val="Calibri"/>
        <family val="2"/>
        <scheme val="minor"/>
      </rPr>
      <t>NRB</t>
    </r>
  </si>
  <si>
    <t>Fraction of non-renewable biomass</t>
  </si>
  <si>
    <t>%</t>
  </si>
  <si>
    <t>TJ/tonne</t>
  </si>
  <si>
    <r>
      <t>tCO</t>
    </r>
    <r>
      <rPr>
        <vertAlign val="subscript"/>
        <sz val="10"/>
        <rFont val="Calibri"/>
        <family val="2"/>
        <scheme val="minor"/>
      </rPr>
      <t>2</t>
    </r>
    <r>
      <rPr>
        <sz val="10"/>
        <color theme="1"/>
        <rFont val="Calibri"/>
        <family val="2"/>
        <scheme val="minor"/>
      </rPr>
      <t>/TJ</t>
    </r>
  </si>
  <si>
    <r>
      <t>tCO</t>
    </r>
    <r>
      <rPr>
        <vertAlign val="subscript"/>
        <sz val="10"/>
        <color indexed="17"/>
        <rFont val="Calibri"/>
        <family val="2"/>
        <scheme val="minor"/>
      </rPr>
      <t>2</t>
    </r>
    <r>
      <rPr>
        <sz val="10"/>
        <color indexed="17"/>
        <rFont val="Calibri"/>
        <family val="2"/>
        <scheme val="minor"/>
      </rPr>
      <t xml:space="preserve"> / yr /hh</t>
    </r>
  </si>
  <si>
    <t>sum</t>
  </si>
  <si>
    <t>Market swine</t>
  </si>
  <si>
    <t>AVG</t>
  </si>
  <si>
    <t>N</t>
  </si>
  <si>
    <t>Dairy cow</t>
  </si>
  <si>
    <t>Anaerobic lagoon</t>
  </si>
  <si>
    <t>liquid/slurry</t>
  </si>
  <si>
    <t>solid storage</t>
  </si>
  <si>
    <t>dry lot</t>
  </si>
  <si>
    <t>daily spreadd</t>
  </si>
  <si>
    <t>burned as fuel</t>
  </si>
  <si>
    <t>Breeding swine</t>
  </si>
  <si>
    <t>Goat</t>
  </si>
  <si>
    <t>another way</t>
  </si>
  <si>
    <t>Uganda - Climatology | Climate Change Knowledge Portal (worldbank.org)</t>
  </si>
  <si>
    <t>uganda_climate_vulnerability_profile_jan2013.pdf (climatelinks.org)</t>
  </si>
  <si>
    <t>USAID</t>
  </si>
  <si>
    <t>Rainy season</t>
  </si>
  <si>
    <t>months/year</t>
  </si>
  <si>
    <t>dry season</t>
  </si>
  <si>
    <t>MCF</t>
  </si>
  <si>
    <t xml:space="preserve">temperature </t>
  </si>
  <si>
    <t>Microsoft Word - 10_1_V4_Ch10_Livestock_Part1_final_v2.doc (iges.or.jp)</t>
  </si>
  <si>
    <t>Animal</t>
  </si>
  <si>
    <r>
      <t>kgCO</t>
    </r>
    <r>
      <rPr>
        <sz val="6.5"/>
        <color rgb="FF4D4D4C"/>
        <rFont val="Verdana"/>
        <family val="2"/>
      </rPr>
      <t>2</t>
    </r>
    <r>
      <rPr>
        <sz val="10"/>
        <color rgb="FF4D4D4C"/>
        <rFont val="Verdana"/>
        <family val="2"/>
      </rPr>
      <t>/TJ</t>
    </r>
  </si>
  <si>
    <t>Table 2.5, Chapter 2, Volume 2 of the 2006 IPCC Guidelines.</t>
  </si>
  <si>
    <t>N2O</t>
  </si>
  <si>
    <t>Global Warming Potential of methane</t>
  </si>
  <si>
    <t>Global Warming Potential of Nitrous dioxide</t>
  </si>
  <si>
    <t>date from</t>
  </si>
  <si>
    <t>date to</t>
  </si>
  <si>
    <t>Leakage</t>
  </si>
  <si>
    <t>units/hh</t>
  </si>
  <si>
    <t>Pasture</t>
  </si>
  <si>
    <t xml:space="preserve"> </t>
  </si>
  <si>
    <t>BE</t>
  </si>
  <si>
    <r>
      <t>N</t>
    </r>
    <r>
      <rPr>
        <vertAlign val="subscript"/>
        <sz val="10"/>
        <color indexed="8"/>
        <rFont val="Calibri"/>
        <family val="2"/>
        <scheme val="minor"/>
      </rPr>
      <t>t</t>
    </r>
  </si>
  <si>
    <t>Emissions at hh level</t>
  </si>
  <si>
    <t>calculation</t>
  </si>
  <si>
    <t>Calculation</t>
  </si>
  <si>
    <t>NCV</t>
  </si>
  <si>
    <t>EF CH4</t>
  </si>
  <si>
    <t>CH4  emisson factor of subsituted fuel</t>
  </si>
  <si>
    <t>EF N2O</t>
  </si>
  <si>
    <t>N20  emisson factor of subsituted fuel</t>
  </si>
  <si>
    <t>Average biodigester size</t>
  </si>
  <si>
    <t>m3</t>
  </si>
  <si>
    <t xml:space="preserve">Number of biodigesters VPA-3 (NOT adjusted for drop-off rate) </t>
  </si>
  <si>
    <t>Thermal capacity of a 100m3 biodigester</t>
  </si>
  <si>
    <t>kWth</t>
  </si>
  <si>
    <t>Average thermal capacity per biodigester for VPA-3</t>
  </si>
  <si>
    <r>
      <rPr>
        <b/>
        <sz val="10"/>
        <rFont val="Arial"/>
        <family val="2"/>
      </rPr>
      <t>Threshold 1:</t>
    </r>
    <r>
      <rPr>
        <sz val="11"/>
        <color theme="1"/>
        <rFont val="Calibri"/>
        <family val="2"/>
        <scheme val="minor"/>
      </rPr>
      <t xml:space="preserve"> Capacity total VPA-3</t>
    </r>
  </si>
  <si>
    <t>&lt;</t>
  </si>
  <si>
    <r>
      <rPr>
        <b/>
        <sz val="10"/>
        <rFont val="Arial"/>
        <family val="2"/>
      </rPr>
      <t>Threshold 2:</t>
    </r>
    <r>
      <rPr>
        <sz val="11"/>
        <color theme="1"/>
        <rFont val="Calibri"/>
        <family val="2"/>
        <scheme val="minor"/>
      </rPr>
      <t xml:space="preserve"> Capacity less than 1%</t>
    </r>
  </si>
  <si>
    <r>
      <rPr>
        <b/>
        <sz val="10"/>
        <rFont val="Arial"/>
        <family val="2"/>
      </rPr>
      <t xml:space="preserve">Threshold 3: </t>
    </r>
    <r>
      <rPr>
        <sz val="11"/>
        <color theme="1"/>
        <rFont val="Calibri"/>
        <family val="2"/>
        <scheme val="minor"/>
      </rPr>
      <t>Type III emissions below 60,000</t>
    </r>
  </si>
  <si>
    <t>tCO2e per year</t>
  </si>
  <si>
    <t>Space for additional units:</t>
  </si>
  <si>
    <r>
      <rPr>
        <b/>
        <sz val="10"/>
        <rFont val="Arial"/>
        <family val="2"/>
      </rPr>
      <t>Table:</t>
    </r>
    <r>
      <rPr>
        <sz val="11"/>
        <color theme="1"/>
        <rFont val="Calibri"/>
        <family val="2"/>
        <scheme val="minor"/>
      </rPr>
      <t xml:space="preserve"> Data for 100m3 biodigesters</t>
    </r>
  </si>
  <si>
    <t>Where:</t>
  </si>
  <si>
    <t>Value:</t>
  </si>
  <si>
    <t>Comments:</t>
  </si>
  <si>
    <t>t = hours/day usage</t>
  </si>
  <si>
    <t>η = efficiency of stove</t>
  </si>
  <si>
    <r>
      <t>H</t>
    </r>
    <r>
      <rPr>
        <vertAlign val="subscript"/>
        <sz val="10"/>
        <rFont val="Arial"/>
        <family val="2"/>
      </rPr>
      <t>b</t>
    </r>
    <r>
      <rPr>
        <sz val="10"/>
        <rFont val="Arial"/>
        <family val="2"/>
      </rPr>
      <t xml:space="preserve"> = heat of combustion per unit volume of biogas</t>
    </r>
  </si>
  <si>
    <r>
      <t xml:space="preserve">MJ/m3 </t>
    </r>
    <r>
      <rPr>
        <sz val="10"/>
        <color indexed="62"/>
        <rFont val="Arial"/>
        <family val="2"/>
      </rPr>
      <t>[1]</t>
    </r>
    <r>
      <rPr>
        <sz val="10"/>
        <rFont val="Arial"/>
        <family val="2"/>
      </rPr>
      <t xml:space="preserve">
Derived from IPCC defaults</t>
    </r>
  </si>
  <si>
    <r>
      <t>V</t>
    </r>
    <r>
      <rPr>
        <vertAlign val="subscript"/>
        <sz val="10"/>
        <rFont val="Arial"/>
        <family val="2"/>
      </rPr>
      <t>b</t>
    </r>
    <r>
      <rPr>
        <sz val="10"/>
        <rFont val="Arial"/>
        <family val="2"/>
      </rPr>
      <t xml:space="preserve"> = volume of biogas</t>
    </r>
  </si>
  <si>
    <r>
      <t xml:space="preserve">m3/day </t>
    </r>
    <r>
      <rPr>
        <sz val="10"/>
        <color indexed="62"/>
        <rFont val="Arial"/>
        <family val="2"/>
      </rPr>
      <t>[2]</t>
    </r>
    <r>
      <rPr>
        <sz val="10"/>
        <rFont val="Arial"/>
        <family val="2"/>
      </rPr>
      <t xml:space="preserve">
Data provided by Hivos</t>
    </r>
  </si>
  <si>
    <r>
      <t>E</t>
    </r>
    <r>
      <rPr>
        <sz val="10"/>
        <rFont val="Arial"/>
        <family val="2"/>
      </rPr>
      <t xml:space="preserve"> = Energy available from the biogas system</t>
    </r>
  </si>
  <si>
    <r>
      <t xml:space="preserve">MJ/day
Calculated </t>
    </r>
    <r>
      <rPr>
        <sz val="10"/>
        <color indexed="62"/>
        <rFont val="Arial"/>
        <family val="2"/>
      </rPr>
      <t>[3]</t>
    </r>
  </si>
  <si>
    <r>
      <t>E</t>
    </r>
    <r>
      <rPr>
        <b/>
        <vertAlign val="subscript"/>
        <sz val="10"/>
        <rFont val="Arial"/>
        <family val="2"/>
      </rPr>
      <t>th</t>
    </r>
    <r>
      <rPr>
        <b/>
        <sz val="10"/>
        <rFont val="Arial"/>
        <family val="2"/>
      </rPr>
      <t xml:space="preserve"> =</t>
    </r>
  </si>
  <si>
    <t>kWh/day
1 MJ = 0.2778 kWh</t>
  </si>
  <si>
    <r>
      <t>Th</t>
    </r>
    <r>
      <rPr>
        <b/>
        <vertAlign val="subscript"/>
        <sz val="10"/>
        <rFont val="Arial"/>
        <family val="2"/>
      </rPr>
      <t>cap</t>
    </r>
    <r>
      <rPr>
        <b/>
        <sz val="10"/>
        <rFont val="Arial"/>
        <family val="2"/>
      </rPr>
      <t xml:space="preserve"> =</t>
    </r>
  </si>
  <si>
    <t>kWth
Given a 2.15 hour/day usage</t>
  </si>
  <si>
    <t>[1] Methane has an energy value of 37.78 MJ/m3; thus, biogas at 55% CH4 has an energy value of 21 MJ/m3</t>
  </si>
  <si>
    <t>[2] Cow dung produces approximately 40 litres biogas per kg. Each m3 capacity of the biodigester needs 7.5 kg dung per day. Given a 100 m3 biodigester, 750 kg of cow dung per day is required. This translates into 30 m3 of gas produced per day.</t>
  </si>
  <si>
    <t>[3] Calculated as: 55% * 21 * 30</t>
  </si>
  <si>
    <r>
      <t>VS</t>
    </r>
    <r>
      <rPr>
        <vertAlign val="subscript"/>
        <sz val="10"/>
        <color indexed="8"/>
        <rFont val="Calibri"/>
        <family val="2"/>
        <scheme val="minor"/>
      </rPr>
      <t>T</t>
    </r>
  </si>
  <si>
    <r>
      <t>B</t>
    </r>
    <r>
      <rPr>
        <vertAlign val="subscript"/>
        <sz val="10"/>
        <color indexed="8"/>
        <rFont val="Calibri"/>
        <family val="2"/>
        <scheme val="minor"/>
      </rPr>
      <t>0T</t>
    </r>
  </si>
  <si>
    <t>Uf</t>
  </si>
  <si>
    <t>Model correction for uncertainties</t>
  </si>
  <si>
    <t>W</t>
  </si>
  <si>
    <t>VS</t>
  </si>
  <si>
    <t>Weight</t>
  </si>
  <si>
    <t>P</t>
  </si>
  <si>
    <t>Production system</t>
  </si>
  <si>
    <t>low productivity</t>
  </si>
  <si>
    <t>-</t>
  </si>
  <si>
    <t>VS (1000 kg animal mass -1 ) *day-1</t>
  </si>
  <si>
    <t>kg/animal/day</t>
  </si>
  <si>
    <t>Volatile excrection per 1000 kg</t>
  </si>
  <si>
    <t>VS/day</t>
  </si>
  <si>
    <t>R</t>
  </si>
  <si>
    <t>Region</t>
  </si>
  <si>
    <t>Africa</t>
  </si>
  <si>
    <t>T</t>
  </si>
  <si>
    <t>Type</t>
  </si>
  <si>
    <t>table 10.13A</t>
  </si>
  <si>
    <t>Swine finishing</t>
  </si>
  <si>
    <t>Swine breeding</t>
  </si>
  <si>
    <t>https://www.ipcc-nggip.iges.or.jp/public/2019rf/pdf/4_Volume4/19R_V4_Ch10_Livestock.pdf</t>
  </si>
  <si>
    <r>
      <t>CO</t>
    </r>
    <r>
      <rPr>
        <vertAlign val="subscript"/>
        <sz val="10"/>
        <rFont val="Calibri"/>
        <family val="2"/>
        <scheme val="minor"/>
      </rPr>
      <t>2</t>
    </r>
    <r>
      <rPr>
        <sz val="10"/>
        <color theme="1"/>
        <rFont val="Calibri"/>
        <family val="2"/>
        <scheme val="minor"/>
      </rPr>
      <t xml:space="preserve"> emission factor of wood</t>
    </r>
  </si>
  <si>
    <r>
      <t>tCO</t>
    </r>
    <r>
      <rPr>
        <sz val="6.5"/>
        <color rgb="FF4D4D4C"/>
        <rFont val="Verdana"/>
        <family val="2"/>
      </rPr>
      <t>2</t>
    </r>
    <r>
      <rPr>
        <sz val="10"/>
        <color rgb="FF4D4D4C"/>
        <rFont val="Verdana"/>
        <family val="2"/>
      </rPr>
      <t>/TJ</t>
    </r>
  </si>
  <si>
    <t xml:space="preserve">Non CO2 emission factor of wood </t>
  </si>
  <si>
    <t>BGTA 14 default</t>
  </si>
  <si>
    <t>BGTA13 default</t>
  </si>
  <si>
    <t>CO2 emission factor of charcoal</t>
  </si>
  <si>
    <t xml:space="preserve">Non-CO2 emission factor of charcoal </t>
  </si>
  <si>
    <r>
      <t>P</t>
    </r>
    <r>
      <rPr>
        <sz val="9"/>
        <color theme="1"/>
        <rFont val="Calibri"/>
        <family val="2"/>
        <scheme val="minor"/>
      </rPr>
      <t>b,i,y</t>
    </r>
  </si>
  <si>
    <t xml:space="preserve">The quantity of wood consumed </t>
  </si>
  <si>
    <t xml:space="preserve">The quantity of charcoal consumed </t>
  </si>
  <si>
    <t>𝑆𝐸𝑏,𝑦,𝐶𝑂2</t>
  </si>
  <si>
    <t>𝑆𝐸𝑏,𝑦,𝑛𝑜𝑛−𝐶𝑂2</t>
  </si>
  <si>
    <r>
      <t>4.</t>
    </r>
    <r>
      <rPr>
        <sz val="7"/>
        <color rgb="FF4D4D4C"/>
        <rFont val="Times New Roman"/>
        <family val="1"/>
      </rPr>
      <t xml:space="preserve">        </t>
    </r>
    <r>
      <rPr>
        <sz val="11"/>
        <color rgb="FF4D4D4C"/>
        <rFont val="Verdana"/>
        <family val="2"/>
      </rPr>
      <t>AWMS</t>
    </r>
  </si>
  <si>
    <r>
      <t>x.</t>
    </r>
    <r>
      <rPr>
        <sz val="7"/>
        <color rgb="FF4D4D4C"/>
        <rFont val="Times New Roman"/>
        <family val="1"/>
      </rPr>
      <t xml:space="preserve">        </t>
    </r>
    <r>
      <rPr>
        <sz val="11"/>
        <color rgb="FF4D4D4C"/>
        <rFont val="Verdana"/>
        <family val="2"/>
      </rPr>
      <t>Type of animals</t>
    </r>
  </si>
  <si>
    <r>
      <t>xiii.</t>
    </r>
    <r>
      <rPr>
        <sz val="7"/>
        <color rgb="FF4D4D4C"/>
        <rFont val="Times New Roman"/>
        <family val="1"/>
      </rPr>
      <t xml:space="preserve">    </t>
    </r>
    <r>
      <rPr>
        <sz val="11"/>
        <color rgb="FF4D4D4C"/>
        <rFont val="Verdana"/>
        <family val="2"/>
      </rPr>
      <t xml:space="preserve">Fraction of manure handled in baseline animal manure management system </t>
    </r>
  </si>
  <si>
    <t>sample size</t>
  </si>
  <si>
    <t>N/A all farms are household farms</t>
  </si>
  <si>
    <t>See indicator BGTA 26</t>
  </si>
  <si>
    <r>
      <t>xi.</t>
    </r>
    <r>
      <rPr>
        <sz val="7"/>
        <color rgb="FF4D4D4C"/>
        <rFont val="Times New Roman"/>
        <family val="1"/>
      </rPr>
      <t xml:space="preserve">      </t>
    </r>
    <r>
      <rPr>
        <sz val="11"/>
        <color rgb="FF4D4D4C"/>
        <rFont val="Verdana"/>
        <family val="2"/>
      </rPr>
      <t xml:space="preserve">Average number of animal for each system type. </t>
    </r>
  </si>
  <si>
    <r>
      <t>xii.</t>
    </r>
    <r>
      <rPr>
        <sz val="7"/>
        <color rgb="FF4D4D4C"/>
        <rFont val="Times New Roman"/>
        <family val="1"/>
      </rPr>
      <t xml:space="preserve">     </t>
    </r>
    <r>
      <rPr>
        <sz val="11"/>
        <color rgb="FF4D4D4C"/>
        <rFont val="Verdana"/>
        <family val="2"/>
      </rPr>
      <t xml:space="preserve">The amount of waste or raw materials that would decay anaerobically in the baseline situation </t>
    </r>
    <r>
      <rPr>
        <i/>
        <sz val="11"/>
        <color rgb="FF4D4D4C"/>
        <rFont val="Verdana"/>
        <family val="2"/>
      </rPr>
      <t>(since only VS degrades anaerobically, the information is expressed here as VS/day degraded anaerobically by animal type)</t>
    </r>
  </si>
  <si>
    <r>
      <t>xiv.</t>
    </r>
    <r>
      <rPr>
        <sz val="7"/>
        <color rgb="FF4D4D4C"/>
        <rFont val="Times New Roman"/>
        <family val="1"/>
      </rPr>
      <t xml:space="preserve">   </t>
    </r>
    <r>
      <rPr>
        <sz val="11"/>
        <color rgb="FF4D4D4C"/>
        <rFont val="Verdana"/>
        <family val="2"/>
      </rPr>
      <t>If the livestock is raised in shared centralized farms, the project proponent shall be able to show the baseline animal manure management practices at each farm, either individually or through sampling</t>
    </r>
  </si>
  <si>
    <t>breeding swine</t>
  </si>
  <si>
    <t>market swine</t>
  </si>
  <si>
    <t>composting passve windrow</t>
  </si>
  <si>
    <t xml:space="preserve">LPG non CO2 emissoin factor </t>
  </si>
  <si>
    <t>Non CO2 emission factor</t>
  </si>
  <si>
    <t>tCO2/TJ</t>
  </si>
  <si>
    <t xml:space="preserve">Calculated based on IPCC defaults </t>
  </si>
  <si>
    <t>2019 refinement to the 2006 guidelines</t>
  </si>
  <si>
    <t>Table 10A.5</t>
  </si>
  <si>
    <t>Table 10A.1</t>
  </si>
  <si>
    <t>BFT study</t>
  </si>
  <si>
    <t>The quantity of LPG consumed</t>
  </si>
  <si>
    <r>
      <t>EF</t>
    </r>
    <r>
      <rPr>
        <vertAlign val="subscript"/>
        <sz val="10"/>
        <color indexed="8"/>
        <rFont val="Calibri"/>
        <family val="2"/>
        <scheme val="minor"/>
      </rPr>
      <t>nonCO2</t>
    </r>
  </si>
  <si>
    <r>
      <t>EF</t>
    </r>
    <r>
      <rPr>
        <vertAlign val="subscript"/>
        <sz val="10"/>
        <color indexed="8"/>
        <rFont val="Calibri"/>
        <family val="2"/>
        <scheme val="minor"/>
      </rPr>
      <t>CO2</t>
    </r>
  </si>
  <si>
    <t>tCO2e/yr/hh</t>
  </si>
  <si>
    <t>Specific non-CO2 emissions for a baseline b technology in year y</t>
  </si>
  <si>
    <r>
      <t>BE</t>
    </r>
    <r>
      <rPr>
        <b/>
        <vertAlign val="subscript"/>
        <sz val="10"/>
        <color indexed="17"/>
        <rFont val="Calibri"/>
        <family val="2"/>
        <scheme val="minor"/>
      </rPr>
      <t>TA,y</t>
    </r>
  </si>
  <si>
    <t>ton/year</t>
  </si>
  <si>
    <t>Share manure treated in biodigester</t>
  </si>
  <si>
    <t>Specific CO2 emissions for a project technology in year y</t>
  </si>
  <si>
    <t xml:space="preserve">Calculated with equation 1in the methodology </t>
  </si>
  <si>
    <t>AWMS Tier 1</t>
  </si>
  <si>
    <t>Technology days</t>
  </si>
  <si>
    <r>
      <t>BE</t>
    </r>
    <r>
      <rPr>
        <sz val="8"/>
        <color theme="1"/>
        <rFont val="Calibri"/>
        <family val="2"/>
        <scheme val="minor"/>
      </rPr>
      <t>AWMS,y</t>
    </r>
  </si>
  <si>
    <r>
      <t>PE</t>
    </r>
    <r>
      <rPr>
        <b/>
        <sz val="8"/>
        <color theme="9"/>
        <rFont val="Calibri"/>
        <family val="2"/>
        <scheme val="minor"/>
      </rPr>
      <t>awms,y</t>
    </r>
  </si>
  <si>
    <t>BEy</t>
  </si>
  <si>
    <t>Pey</t>
  </si>
  <si>
    <r>
      <t>PE</t>
    </r>
    <r>
      <rPr>
        <b/>
        <sz val="8"/>
        <color rgb="FF00B050"/>
        <rFont val="Calibri"/>
        <family val="2"/>
        <scheme val="minor"/>
      </rPr>
      <t>y</t>
    </r>
  </si>
  <si>
    <t>ERy</t>
  </si>
  <si>
    <t>𝑆𝐸p,𝑦,𝐶𝑂2</t>
  </si>
  <si>
    <t>𝑆𝐸p,𝑦,𝑛𝑜𝑛−𝐶𝑂2</t>
  </si>
  <si>
    <t xml:space="preserve">Baseline emissions for total project activity in year y </t>
  </si>
  <si>
    <t xml:space="preserve">Baseline emissions in year y </t>
  </si>
  <si>
    <r>
      <t>PE</t>
    </r>
    <r>
      <rPr>
        <sz val="8"/>
        <color theme="1"/>
        <rFont val="Calibri"/>
        <family val="2"/>
        <scheme val="minor"/>
      </rPr>
      <t>PL,y</t>
    </r>
  </si>
  <si>
    <t xml:space="preserve">calculated with equation 14 in the methodology </t>
  </si>
  <si>
    <t xml:space="preserve">Project emissions from physical leakage in year y </t>
  </si>
  <si>
    <t xml:space="preserve">Project emissions for total project activity in year </t>
  </si>
  <si>
    <t>Units installed</t>
  </si>
  <si>
    <t>VPA</t>
  </si>
  <si>
    <t>Account Name from Salesforce</t>
  </si>
  <si>
    <t>VPA Status</t>
  </si>
  <si>
    <t>VPA Explanation For Exclusion</t>
  </si>
  <si>
    <t>Completion Date</t>
  </si>
  <si>
    <t>Commission Date</t>
  </si>
  <si>
    <t>Family Head full name</t>
  </si>
  <si>
    <t>Head of Household Mobile</t>
  </si>
  <si>
    <t>Phone Buffer</t>
  </si>
  <si>
    <t>Zone 1 - Geographic</t>
  </si>
  <si>
    <t>Zone 2 - Geographic</t>
  </si>
  <si>
    <t>Zone 3 - Geographic</t>
  </si>
  <si>
    <t>Zone 4 - Geographic</t>
  </si>
  <si>
    <t>Zone 6 - Geographic</t>
  </si>
  <si>
    <t>Size</t>
  </si>
  <si>
    <t>BCE Company- Individual Mason</t>
  </si>
  <si>
    <t>Plant brand</t>
  </si>
  <si>
    <t xml:space="preserve"> Type of biodigester</t>
  </si>
  <si>
    <t>ABC - UG - VPA003</t>
  </si>
  <si>
    <t>Excluded</t>
  </si>
  <si>
    <t>No source of animal waste</t>
  </si>
  <si>
    <t>0774620762</t>
  </si>
  <si>
    <t>Central Region</t>
  </si>
  <si>
    <t>Butambala</t>
  </si>
  <si>
    <t>Kalamba</t>
  </si>
  <si>
    <t>Kakonge</t>
  </si>
  <si>
    <t>PSEM Africa</t>
  </si>
  <si>
    <t>Masonry</t>
  </si>
  <si>
    <t>UG-CEN-1502-606</t>
  </si>
  <si>
    <t>Mpigi</t>
  </si>
  <si>
    <t>Mawokota</t>
  </si>
  <si>
    <t>Mengo</t>
  </si>
  <si>
    <t>Nsamizi</t>
  </si>
  <si>
    <t>ENVIROSYN</t>
  </si>
  <si>
    <t>UG-CEN-1001-3053</t>
  </si>
  <si>
    <t>Included</t>
  </si>
  <si>
    <t>Margaret  Nakiwala Kasajja</t>
  </si>
  <si>
    <t>Mukono</t>
  </si>
  <si>
    <t>Mukono municipality</t>
  </si>
  <si>
    <t>Mukono central division</t>
  </si>
  <si>
    <t>Kigombya North</t>
  </si>
  <si>
    <t>HPI</t>
  </si>
  <si>
    <t>UG-CEN-1002-0005</t>
  </si>
  <si>
    <t>Isha Nakilijja Ssenoga</t>
  </si>
  <si>
    <t>Kyampisi</t>
  </si>
  <si>
    <t>Kasaayi</t>
  </si>
  <si>
    <t>Kinalwa  Benon</t>
  </si>
  <si>
    <t>Gomba</t>
  </si>
  <si>
    <t>kanoni T.C</t>
  </si>
  <si>
    <t>kanoni</t>
  </si>
  <si>
    <t>Nalubega  Immaculate</t>
  </si>
  <si>
    <t>Sembabule</t>
  </si>
  <si>
    <t>mawogola</t>
  </si>
  <si>
    <t>mateete</t>
  </si>
  <si>
    <t>kabasanda</t>
  </si>
  <si>
    <t>UG-CEN-1002-4701</t>
  </si>
  <si>
    <t>Yahaya  Kirya</t>
  </si>
  <si>
    <t>Buikwe</t>
  </si>
  <si>
    <t>Buikwe west</t>
  </si>
  <si>
    <t>Kawolo</t>
  </si>
  <si>
    <t>Kiteza</t>
  </si>
  <si>
    <t>REO Ltd</t>
  </si>
  <si>
    <t>UG-CEN-1002-4703</t>
  </si>
  <si>
    <t>Ssengendo  Tadeo</t>
  </si>
  <si>
    <t>UG-CEN-1003-3084</t>
  </si>
  <si>
    <t>Gubya  Erisafu</t>
  </si>
  <si>
    <t>Nakabago</t>
  </si>
  <si>
    <t>UG-CEN-1003-4330</t>
  </si>
  <si>
    <t>Teddy  Bulya</t>
  </si>
  <si>
    <t>Wakiso</t>
  </si>
  <si>
    <t>Kyaddodo</t>
  </si>
  <si>
    <t>Kira</t>
  </si>
  <si>
    <t>Kungu</t>
  </si>
  <si>
    <t>Rev Canon Paul  Kiggundu</t>
  </si>
  <si>
    <t>Nasuuti</t>
  </si>
  <si>
    <t>UG-CEN-1003-4702</t>
  </si>
  <si>
    <t>Mukasa  Mutyaba Salongo</t>
  </si>
  <si>
    <t>Nsereko Henry</t>
  </si>
  <si>
    <t>nangabo</t>
  </si>
  <si>
    <t>kayunga</t>
  </si>
  <si>
    <t>UG-CEN-1003-5203</t>
  </si>
  <si>
    <t>Mary  Wosula</t>
  </si>
  <si>
    <t>Busiro</t>
  </si>
  <si>
    <t>Nsangi</t>
  </si>
  <si>
    <t>Mugongo</t>
  </si>
  <si>
    <t>UG-CEN-1003-5214</t>
  </si>
  <si>
    <t>Christopher  Sekitoreko</t>
  </si>
  <si>
    <t>Kiira</t>
  </si>
  <si>
    <t>UG-CEN-1004-1168</t>
  </si>
  <si>
    <t>Kibirige George Willam</t>
  </si>
  <si>
    <t>Masaka</t>
  </si>
  <si>
    <t>Masaka municipality</t>
  </si>
  <si>
    <t>Nyendo SSenyange.</t>
  </si>
  <si>
    <t>Kayirikiti.</t>
  </si>
  <si>
    <t>UG-CEN-1004-214</t>
  </si>
  <si>
    <t>Katumba Kamada</t>
  </si>
  <si>
    <t>Kyamabale</t>
  </si>
  <si>
    <t>UG-CEN-1004-2528</t>
  </si>
  <si>
    <t>Kasule  Lawrence</t>
  </si>
  <si>
    <t>mijwala</t>
  </si>
  <si>
    <t>mirowa</t>
  </si>
  <si>
    <t>UG-CEN-1004-3089</t>
  </si>
  <si>
    <t>Fatumah  Kalama</t>
  </si>
  <si>
    <t>Nabuti</t>
  </si>
  <si>
    <t>UG-CEN-1004-3951</t>
  </si>
  <si>
    <t xml:space="preserve">Enos  Mugisha </t>
  </si>
  <si>
    <t>Rakai</t>
  </si>
  <si>
    <t>Kyotera</t>
  </si>
  <si>
    <t>Kabira</t>
  </si>
  <si>
    <t>Bukaala</t>
  </si>
  <si>
    <t>IDEX ENERGY CONSULT</t>
  </si>
  <si>
    <t>UG-CEN-1004-4447</t>
  </si>
  <si>
    <t>Godfrey  Tebesigwa</t>
  </si>
  <si>
    <t>Buikwe north</t>
  </si>
  <si>
    <t>Njeru town council</t>
  </si>
  <si>
    <t>Mbiko</t>
  </si>
  <si>
    <t>UG-CEN-1004-5153</t>
  </si>
  <si>
    <t>Wilson  Mukasa Balibawo James</t>
  </si>
  <si>
    <t>Nangabo</t>
  </si>
  <si>
    <t>Gayaza</t>
  </si>
  <si>
    <t>Samuel Matta Mukasa</t>
  </si>
  <si>
    <t>Manyangwa</t>
  </si>
  <si>
    <t>Ntayi Faizal</t>
  </si>
  <si>
    <t>Kalamba A</t>
  </si>
  <si>
    <t>UG-CEN-1005-184</t>
  </si>
  <si>
    <t>Kalamba Size Eric</t>
  </si>
  <si>
    <t>kiira</t>
  </si>
  <si>
    <t>UG-CEN-1005-3391</t>
  </si>
  <si>
    <t>Stephen  Musisi</t>
  </si>
  <si>
    <t>Kasangati</t>
  </si>
  <si>
    <t>UG-CEN-1005-3392</t>
  </si>
  <si>
    <t>Rita   Nsamba</t>
  </si>
  <si>
    <t>Kabanyolo</t>
  </si>
  <si>
    <t>UG-CEN-1005-3818</t>
  </si>
  <si>
    <t>Joshua  Watti</t>
  </si>
  <si>
    <t>Masulita</t>
  </si>
  <si>
    <t>Baale</t>
  </si>
  <si>
    <t>Seperiano  Muwonge</t>
  </si>
  <si>
    <t>Luguggude</t>
  </si>
  <si>
    <t>UG-CEN-1005-3911</t>
  </si>
  <si>
    <t>Moses  Bagyendere</t>
  </si>
  <si>
    <t>Busukuma</t>
  </si>
  <si>
    <t>Kikoko</t>
  </si>
  <si>
    <t>UG-CEN-1005-3921</t>
  </si>
  <si>
    <t>Kasozi Joseph</t>
  </si>
  <si>
    <t>kawanda</t>
  </si>
  <si>
    <t>Contragens Energy</t>
  </si>
  <si>
    <t>UG-CEN-1005-5152</t>
  </si>
  <si>
    <t>Patrick  Muzeeyi</t>
  </si>
  <si>
    <t>UG-CEN-1005-5171</t>
  </si>
  <si>
    <t>Norah  Mukasa</t>
  </si>
  <si>
    <t>Biira</t>
  </si>
  <si>
    <t>Kagyenzi  Godfrey</t>
  </si>
  <si>
    <t>Mubende</t>
  </si>
  <si>
    <t>Buwekula</t>
  </si>
  <si>
    <t>Kitenga</t>
  </si>
  <si>
    <t>Lusikizi</t>
  </si>
  <si>
    <t>UG-CEN-1006-117</t>
  </si>
  <si>
    <t>Galiwango Florence</t>
  </si>
  <si>
    <t>UG-CEN-1006-213</t>
  </si>
  <si>
    <t>Katumba Edward</t>
  </si>
  <si>
    <t>gayaza</t>
  </si>
  <si>
    <t>Kayizi Charles</t>
  </si>
  <si>
    <t>Kauga</t>
  </si>
  <si>
    <t>UG-CEN-1006-2513</t>
  </si>
  <si>
    <t>Bakongovule  Abdullah Kaweesi</t>
  </si>
  <si>
    <t>misojo</t>
  </si>
  <si>
    <t>Mayega  Timothy</t>
  </si>
  <si>
    <t>UG-CEN-1006-2525</t>
  </si>
  <si>
    <t>Mutanda  Nalongo</t>
  </si>
  <si>
    <t>katyaaza</t>
  </si>
  <si>
    <t>Ssesanga Gorreti</t>
  </si>
  <si>
    <t>kabaga</t>
  </si>
  <si>
    <t>UG-CEN-1006-3815</t>
  </si>
  <si>
    <t>Hajji Abdu Kayanja</t>
  </si>
  <si>
    <t>Gamba</t>
  </si>
  <si>
    <t>Namwandu  Kigongo</t>
  </si>
  <si>
    <t>Nabweru</t>
  </si>
  <si>
    <t>Wabitembe</t>
  </si>
  <si>
    <t>UG-CEN-1006-4714</t>
  </si>
  <si>
    <t>Muwaga Betty Musani</t>
  </si>
  <si>
    <t>Buikwe south</t>
  </si>
  <si>
    <t>Njeru T.C</t>
  </si>
  <si>
    <t>Bwanika Edward</t>
  </si>
  <si>
    <t>Buwama</t>
  </si>
  <si>
    <t>Maggale</t>
  </si>
  <si>
    <t>UG-CEN-1007-260</t>
  </si>
  <si>
    <t>Kisitu Henry</t>
  </si>
  <si>
    <t>nabwero</t>
  </si>
  <si>
    <t>kirinyabigo</t>
  </si>
  <si>
    <t>UG-CEN-1007-3953</t>
  </si>
  <si>
    <t xml:space="preserve">Evalisto  Kisagara </t>
  </si>
  <si>
    <t>kabila</t>
  </si>
  <si>
    <t>UG-CEN-1007-445</t>
  </si>
  <si>
    <t>Muyingo Dominic</t>
  </si>
  <si>
    <t>Njeru Town Council</t>
  </si>
  <si>
    <t>Triangle</t>
  </si>
  <si>
    <t>Nakiyemba Yudaya</t>
  </si>
  <si>
    <t>Kawere Ali</t>
  </si>
  <si>
    <t>UG-CEN-1008-2514</t>
  </si>
  <si>
    <t>Ssenyomo  Edward</t>
  </si>
  <si>
    <t>UG-CEN-1008-2521</t>
  </si>
  <si>
    <t>Nsereko  Mauricio</t>
  </si>
  <si>
    <t>kasaana</t>
  </si>
  <si>
    <t>UG-CEN-1008-283</t>
  </si>
  <si>
    <t>Lule Charles</t>
  </si>
  <si>
    <t>kira</t>
  </si>
  <si>
    <t>namataba</t>
  </si>
  <si>
    <t>UG-CEN-1008-2864</t>
  </si>
  <si>
    <t>Jackson  Sezibwa</t>
  </si>
  <si>
    <t>Kayunga</t>
  </si>
  <si>
    <t>Ntenjeru south</t>
  </si>
  <si>
    <t>Nazigo</t>
  </si>
  <si>
    <t>Magala</t>
  </si>
  <si>
    <t>UG-CEN-1008-3052</t>
  </si>
  <si>
    <t>Christine  Mubiru</t>
  </si>
  <si>
    <t>Kigombya</t>
  </si>
  <si>
    <t>Henry  Kanyike</t>
  </si>
  <si>
    <t>Kiteezi</t>
  </si>
  <si>
    <t>UG-CEN-1008-3922</t>
  </si>
  <si>
    <t>Ritah  Kizito</t>
  </si>
  <si>
    <t>Nakyesanja</t>
  </si>
  <si>
    <t>UG-CEN-1008-3947</t>
  </si>
  <si>
    <t>Joseph  Galiwango</t>
  </si>
  <si>
    <t>Kikaya</t>
  </si>
  <si>
    <t>UG-CEN-1008-416</t>
  </si>
  <si>
    <t>Mukasa Nasiri</t>
  </si>
  <si>
    <t>Kiringente</t>
  </si>
  <si>
    <t>kololo</t>
  </si>
  <si>
    <t>UG-CEN-1008-4338</t>
  </si>
  <si>
    <t>Kawesa  Kigozi</t>
  </si>
  <si>
    <t>Gombe</t>
  </si>
  <si>
    <t>Kigogwa</t>
  </si>
  <si>
    <t>Envirosyn</t>
  </si>
  <si>
    <t>UG-CEN-1008-4485</t>
  </si>
  <si>
    <t>Theopista  Kizito Norah</t>
  </si>
  <si>
    <t>Nakifuma</t>
  </si>
  <si>
    <t>Nagojje</t>
  </si>
  <si>
    <t>Mutanzige</t>
  </si>
  <si>
    <t>UG-CEN-1008-460</t>
  </si>
  <si>
    <t>Nabbosa Hamiyati Makaku</t>
  </si>
  <si>
    <t>UG-CEN-1008-5194</t>
  </si>
  <si>
    <t>Twahili  Kawooya</t>
  </si>
  <si>
    <t>Mende</t>
  </si>
  <si>
    <t>Sesirimba</t>
  </si>
  <si>
    <t>UG-CEN-1009-185</t>
  </si>
  <si>
    <t>Kalanzi Nikiganda</t>
  </si>
  <si>
    <t>bweyogerere</t>
  </si>
  <si>
    <t>UG-CEN-1009-2926</t>
  </si>
  <si>
    <t>Lwasempija Tadeo</t>
  </si>
  <si>
    <t>Kagoma</t>
  </si>
  <si>
    <t>UG-CEN-1009-3074</t>
  </si>
  <si>
    <t>Amiri  Sewanonda</t>
  </si>
  <si>
    <t>Mukono north</t>
  </si>
  <si>
    <t>Nama</t>
  </si>
  <si>
    <t>Kirangira</t>
  </si>
  <si>
    <t xml:space="preserve">Anthony  Kintu </t>
  </si>
  <si>
    <t>Buikwe South</t>
  </si>
  <si>
    <t>kasubi</t>
  </si>
  <si>
    <t>Kiyagi</t>
  </si>
  <si>
    <t>UG-CEN-1009-3324</t>
  </si>
  <si>
    <t>Mbidde   Samuel</t>
  </si>
  <si>
    <t>Kasubi village</t>
  </si>
  <si>
    <t>UG-CEN-1009-3393</t>
  </si>
  <si>
    <t>Charles  Kyobe</t>
  </si>
  <si>
    <t>Kayebe</t>
  </si>
  <si>
    <t>UG-CEN-1009-3839</t>
  </si>
  <si>
    <t>Nathan  Kazibwe</t>
  </si>
  <si>
    <t>Zitemwa</t>
  </si>
  <si>
    <t>UG-CEN-1009-3925</t>
  </si>
  <si>
    <t>Frederick  Ssali William</t>
  </si>
  <si>
    <t>Wamala</t>
  </si>
  <si>
    <t>UG-CEN-1009-3949</t>
  </si>
  <si>
    <t>David  Mukiibi</t>
  </si>
  <si>
    <t>Bbiira</t>
  </si>
  <si>
    <t>Katinta</t>
  </si>
  <si>
    <t>UG-CEN-1009-4261</t>
  </si>
  <si>
    <t>Kaso  Erisha</t>
  </si>
  <si>
    <t xml:space="preserve"> Kassanda</t>
  </si>
  <si>
    <t>Kasanda</t>
  </si>
  <si>
    <t>Mirembe kaweesa</t>
  </si>
  <si>
    <t>UG-CEN-1009-434</t>
  </si>
  <si>
    <t>Musisi Nuuhu</t>
  </si>
  <si>
    <t>Kilingente</t>
  </si>
  <si>
    <t>Sekiwunga</t>
  </si>
  <si>
    <t>UG-CEN-1009-5164</t>
  </si>
  <si>
    <t>Yusuf   Nsubuga</t>
  </si>
  <si>
    <t>Kitetika</t>
  </si>
  <si>
    <t>Sewalula Dilisa</t>
  </si>
  <si>
    <t>Buikwe Town Council</t>
  </si>
  <si>
    <t>Nalubabwe Lc1</t>
  </si>
  <si>
    <t>Simon  Lugolobi Salongo</t>
  </si>
  <si>
    <t>Betty  Kigundu Ojambo</t>
  </si>
  <si>
    <t>UG-CEN-1010-4470</t>
  </si>
  <si>
    <t>Paul  Kayenje Ssalongo</t>
  </si>
  <si>
    <t>Dundu</t>
  </si>
  <si>
    <t>UG-CEN-1010-4623</t>
  </si>
  <si>
    <t>Otim  Robert</t>
  </si>
  <si>
    <t>Western Region</t>
  </si>
  <si>
    <t>Kiryandongo</t>
  </si>
  <si>
    <t>Kibanda North</t>
  </si>
  <si>
    <t>Bweyale town council</t>
  </si>
  <si>
    <t>Nyamusasa</t>
  </si>
  <si>
    <t>Semuyaba Fred</t>
  </si>
  <si>
    <t>Buwambo</t>
  </si>
  <si>
    <t>Kigoogwa</t>
  </si>
  <si>
    <t>UG-CEN-1011-162</t>
  </si>
  <si>
    <t>Wasswa Kalule John</t>
  </si>
  <si>
    <t>Goma Division</t>
  </si>
  <si>
    <t>Gulama</t>
  </si>
  <si>
    <t>UG-CEN-1011-3323</t>
  </si>
  <si>
    <t>William K Makanga</t>
  </si>
  <si>
    <t>UG-CEN-1011-411</t>
  </si>
  <si>
    <t>Mukalazi Kizito Hormisdasc</t>
  </si>
  <si>
    <t>Kabaganda</t>
  </si>
  <si>
    <t>CIRCODU</t>
  </si>
  <si>
    <t>UG-CEN-1011-4341</t>
  </si>
  <si>
    <t>Mubiru  Stephen</t>
  </si>
  <si>
    <t>Harriet  Ndawula</t>
  </si>
  <si>
    <t>Bukasa</t>
  </si>
  <si>
    <t>UG-CEN-1011-4473</t>
  </si>
  <si>
    <t>Tom  Kyeranyi</t>
  </si>
  <si>
    <t>Norah Batuma</t>
  </si>
  <si>
    <t>Mukono Central Division</t>
  </si>
  <si>
    <t>UG-CEN-1011-5229</t>
  </si>
  <si>
    <t>Christine  Nantambi</t>
  </si>
  <si>
    <t>Makindye</t>
  </si>
  <si>
    <t>Bweya</t>
  </si>
  <si>
    <t>UG-CEN-1011-561</t>
  </si>
  <si>
    <t>Ssabika Miriam</t>
  </si>
  <si>
    <t>Kirowooza</t>
  </si>
  <si>
    <t>Hajji Byakatonda  Yusufu</t>
  </si>
  <si>
    <t>Nyendo senyange.</t>
  </si>
  <si>
    <t>Senyange B.</t>
  </si>
  <si>
    <t>Najjumba Juliet</t>
  </si>
  <si>
    <t>Kigunga</t>
  </si>
  <si>
    <t>UG-CEN-1012-3078</t>
  </si>
  <si>
    <t>James   Musisi</t>
  </si>
  <si>
    <t>Goma division</t>
  </si>
  <si>
    <t>Nyenje</t>
  </si>
  <si>
    <t>UG-CEN-1012-3395</t>
  </si>
  <si>
    <t>Maria  Bwanika</t>
  </si>
  <si>
    <t>UG-CEN-1012-3814</t>
  </si>
  <si>
    <t>Disan Dongo</t>
  </si>
  <si>
    <t>Lwemwedde</t>
  </si>
  <si>
    <t>Grace  Kwihangana</t>
  </si>
  <si>
    <t>Katabi</t>
  </si>
  <si>
    <t>Nkumba</t>
  </si>
  <si>
    <t>UG-CEN-1012-3923</t>
  </si>
  <si>
    <t>Samuel  Nabugulu</t>
  </si>
  <si>
    <t>Kawanda Mayanja</t>
  </si>
  <si>
    <t>UG-CEN-1012-439</t>
  </si>
  <si>
    <t>Mutebi Ronald</t>
  </si>
  <si>
    <t>Namawata</t>
  </si>
  <si>
    <t>UG-CEN-1012-4416</t>
  </si>
  <si>
    <t>William  Kiwanuka George</t>
  </si>
  <si>
    <t>Kasawo</t>
  </si>
  <si>
    <t>Kyewanise</t>
  </si>
  <si>
    <t>UG-CEN-1012-4458</t>
  </si>
  <si>
    <t>Nansubuga  Luutu Winfred</t>
  </si>
  <si>
    <t>Mukono South</t>
  </si>
  <si>
    <t>Nakisunga</t>
  </si>
  <si>
    <t>Kyawambogo</t>
  </si>
  <si>
    <t>Kibirango  Immaculate Mn</t>
  </si>
  <si>
    <t>Najjembe</t>
  </si>
  <si>
    <t>Bwavumpologoma</t>
  </si>
  <si>
    <t>UG-CEN-1012-510</t>
  </si>
  <si>
    <t>Nsubuga Denis</t>
  </si>
  <si>
    <t>UG-CEN-1012-5310</t>
  </si>
  <si>
    <t>James Kabogo</t>
  </si>
  <si>
    <t>Namayumba</t>
  </si>
  <si>
    <t>Kivule</t>
  </si>
  <si>
    <t>UG-CEN-1012-5311</t>
  </si>
  <si>
    <t>Lydia  Jjemba</t>
  </si>
  <si>
    <t>Bukuku</t>
  </si>
  <si>
    <t>UG-CEN-1012-605</t>
  </si>
  <si>
    <t>Nakazi Susan</t>
  </si>
  <si>
    <t>UG-CEN-1101-1058</t>
  </si>
  <si>
    <t>Kiwanuka  Gladys</t>
  </si>
  <si>
    <t>Bulo</t>
  </si>
  <si>
    <t>Mpanga</t>
  </si>
  <si>
    <t>UG-CEN-1101-1080</t>
  </si>
  <si>
    <t>Fr Mubiru  A</t>
  </si>
  <si>
    <t>Mityana</t>
  </si>
  <si>
    <t>Busujju</t>
  </si>
  <si>
    <t>Kakindu</t>
  </si>
  <si>
    <t>Mwera</t>
  </si>
  <si>
    <t>Mrs Katongole Annet</t>
  </si>
  <si>
    <t>SSenyange.</t>
  </si>
  <si>
    <t>UG-CEN-1101-2863</t>
  </si>
  <si>
    <t>Charles   Ddungu</t>
  </si>
  <si>
    <t>Senda</t>
  </si>
  <si>
    <t>UG-CEN-1101-2895</t>
  </si>
  <si>
    <t>Godfrey  Kasirye</t>
  </si>
  <si>
    <t>Ngogwe</t>
  </si>
  <si>
    <t>Mayirikiti</t>
  </si>
  <si>
    <t>UG-CEN-1101-2896</t>
  </si>
  <si>
    <t>Yolanimu  Ssempaka</t>
  </si>
  <si>
    <t>Ngoggwe</t>
  </si>
  <si>
    <t>Masaaba</t>
  </si>
  <si>
    <t>UG-CEN-1101-3076</t>
  </si>
  <si>
    <t>Emanuel  Mukwaaya Musisi</t>
  </si>
  <si>
    <t>Kalangala</t>
  </si>
  <si>
    <t>UG-CEN-1101-413</t>
  </si>
  <si>
    <t>Mukasa Bendicto</t>
  </si>
  <si>
    <t>Nantwala</t>
  </si>
  <si>
    <t>Mugerwa  Ignatius</t>
  </si>
  <si>
    <t>Kassanda north</t>
  </si>
  <si>
    <t>Ziwomerede</t>
  </si>
  <si>
    <t>UG-CEN-1101-4366</t>
  </si>
  <si>
    <t>Saalima  Mugalu</t>
  </si>
  <si>
    <t>Naalya</t>
  </si>
  <si>
    <t>UG-CEN-1102-133</t>
  </si>
  <si>
    <t>Haji  Yusufu Ddamulira</t>
  </si>
  <si>
    <t>Mukono central Division</t>
  </si>
  <si>
    <t>Kitete</t>
  </si>
  <si>
    <t>Namulindwa Dorothy</t>
  </si>
  <si>
    <t>Kimanya kabakuza.</t>
  </si>
  <si>
    <t>Kimanya A.</t>
  </si>
  <si>
    <t>John bosco Ssentoogo</t>
  </si>
  <si>
    <t>Kawonawo Moses Kiritta</t>
  </si>
  <si>
    <t>UG-CEN-1102-2417</t>
  </si>
  <si>
    <t>Mukasa  Stephen Margaret</t>
  </si>
  <si>
    <t>wasinda</t>
  </si>
  <si>
    <t>UG-CEN-1102-2471</t>
  </si>
  <si>
    <t>Mubiru  Mohammed Hajji</t>
  </si>
  <si>
    <t>butambala</t>
  </si>
  <si>
    <t>kalamba</t>
  </si>
  <si>
    <t>kikunyu</t>
  </si>
  <si>
    <t>UG-CEN-1102-2482</t>
  </si>
  <si>
    <t>Kanyunyuzi  Justine</t>
  </si>
  <si>
    <t>sembabule</t>
  </si>
  <si>
    <t>kyolola</t>
  </si>
  <si>
    <t>UG-CEN-1102-2486</t>
  </si>
  <si>
    <t>Bitakaramire  Henry Bk</t>
  </si>
  <si>
    <t>lwebitakuli</t>
  </si>
  <si>
    <t>katoma B</t>
  </si>
  <si>
    <t>UG-CEN-1102-2487</t>
  </si>
  <si>
    <t>Kakuba  Nathan</t>
  </si>
  <si>
    <t>kidokolo</t>
  </si>
  <si>
    <t>UG-CEN-1102-2489</t>
  </si>
  <si>
    <t>Twine  Betty</t>
  </si>
  <si>
    <t>ntete t.c</t>
  </si>
  <si>
    <t>UG-CEN-1102-2491</t>
  </si>
  <si>
    <t>Kakuhikire  Francis</t>
  </si>
  <si>
    <t>ntete west</t>
  </si>
  <si>
    <t>UG-CEN-1102-2621</t>
  </si>
  <si>
    <t>Lubowa  Deodata Nandaula</t>
  </si>
  <si>
    <t>Lwankoni</t>
  </si>
  <si>
    <t>Ssunga</t>
  </si>
  <si>
    <t>UG-CEN-1102-2622</t>
  </si>
  <si>
    <t>Nandaula  Nakalema Josphine</t>
  </si>
  <si>
    <t>UG-CEN-1102-2632</t>
  </si>
  <si>
    <t xml:space="preserve">Vicent  Ssenyomo </t>
  </si>
  <si>
    <t>Bbale.</t>
  </si>
  <si>
    <t>UG-CEN-1102-279</t>
  </si>
  <si>
    <t>Lubega Gladys</t>
  </si>
  <si>
    <t>UG-CEN-1102-2820</t>
  </si>
  <si>
    <t>Mariam  Sebuko</t>
  </si>
  <si>
    <t>Kawonawo zone</t>
  </si>
  <si>
    <t>UG-CEN-1102-2837</t>
  </si>
  <si>
    <t>Georgewilliam  Kyemba</t>
  </si>
  <si>
    <t>Gangama_ssenda</t>
  </si>
  <si>
    <t>UG-CEN-1102-2894</t>
  </si>
  <si>
    <t>Joseph  Ddumba</t>
  </si>
  <si>
    <t>Nabuwundo</t>
  </si>
  <si>
    <t>UG-CEN-1102-3057</t>
  </si>
  <si>
    <t>Vicente Sebyayi</t>
  </si>
  <si>
    <t>UG-CEN-1102-3058</t>
  </si>
  <si>
    <t>Hawa  Nakitto The Late</t>
  </si>
  <si>
    <t>UG-CEN-1102-3059</t>
  </si>
  <si>
    <t>Wilson  Buyungo</t>
  </si>
  <si>
    <t>UG-CEN-1102-3060</t>
  </si>
  <si>
    <t>Atnoto  Agili</t>
  </si>
  <si>
    <t>kigombya</t>
  </si>
  <si>
    <t>UG-CEN-1102-3061</t>
  </si>
  <si>
    <t>Nulu  Kisumbi</t>
  </si>
  <si>
    <t>UG-CEN-1102-3087</t>
  </si>
  <si>
    <t>Robert  Sentongo</t>
  </si>
  <si>
    <t>Kaasangalabi</t>
  </si>
  <si>
    <t>UG-CEN-1102-3090</t>
  </si>
  <si>
    <t>Joseph  Kisitu</t>
  </si>
  <si>
    <t>UG-CEN-1102-3091</t>
  </si>
  <si>
    <t>Jessica  Kalema</t>
  </si>
  <si>
    <t>UG-CEN-1102-3099</t>
  </si>
  <si>
    <t>John  Mugisa</t>
  </si>
  <si>
    <t>Nsube'A'</t>
  </si>
  <si>
    <t>UG-CEN-1102-3840</t>
  </si>
  <si>
    <t>Peter  Kasirivu Lugolobi</t>
  </si>
  <si>
    <t>Bamugye Gwilliam</t>
  </si>
  <si>
    <t>UG-CEN-1102-404</t>
  </si>
  <si>
    <t>Mugwano Noah Salongo</t>
  </si>
  <si>
    <t>Upper Kauga</t>
  </si>
  <si>
    <t>UG-CEN-1102-4359</t>
  </si>
  <si>
    <t>Abdunoor  Nampagi Hajji</t>
  </si>
  <si>
    <t>Goma</t>
  </si>
  <si>
    <t>Nyanja</t>
  </si>
  <si>
    <t>UG-CEN-1102-4364</t>
  </si>
  <si>
    <t>Aminah  Mugwanya</t>
  </si>
  <si>
    <t>Lutengo B</t>
  </si>
  <si>
    <t>UG-CEN-1102-4365</t>
  </si>
  <si>
    <t>Edward  Muyira</t>
  </si>
  <si>
    <t>UG-CEN-1102-4367</t>
  </si>
  <si>
    <t>Emmanuel  Ssemugooma</t>
  </si>
  <si>
    <t>Buntaba</t>
  </si>
  <si>
    <t>UG-CEN-1102-4369</t>
  </si>
  <si>
    <t>Patrick  Magimbi</t>
  </si>
  <si>
    <t>UG-CEN-1102-4370</t>
  </si>
  <si>
    <t>Edith  Ssenoga</t>
  </si>
  <si>
    <t>UG-CEN-1102-4380</t>
  </si>
  <si>
    <t>Kiwanuka  Mubiru Stanley</t>
  </si>
  <si>
    <t>Mukono south</t>
  </si>
  <si>
    <t>Katente A</t>
  </si>
  <si>
    <t>UG-CEN-1102-4382</t>
  </si>
  <si>
    <t>William  Sekinkuse</t>
  </si>
  <si>
    <t>UG-CEN-1102-4391</t>
  </si>
  <si>
    <t>Isa  Mujabi</t>
  </si>
  <si>
    <t>Kabembe</t>
  </si>
  <si>
    <t>Matilda  Kambugu</t>
  </si>
  <si>
    <t>Kabimbiri</t>
  </si>
  <si>
    <t>UG-CEN-1102-4441</t>
  </si>
  <si>
    <t>Lawrence  Kakande</t>
  </si>
  <si>
    <t>Kikandwa</t>
  </si>
  <si>
    <t>UG-CEN-1102-4442</t>
  </si>
  <si>
    <t>Margret  Namwanje</t>
  </si>
  <si>
    <t>Kanyogoga</t>
  </si>
  <si>
    <t>UG-CEN-1102-4466</t>
  </si>
  <si>
    <t>Jennifer  Musiime</t>
  </si>
  <si>
    <t>Chritine  Muzira Cissy</t>
  </si>
  <si>
    <t>Bajjo</t>
  </si>
  <si>
    <t>UG-CEN-1102-4472</t>
  </si>
  <si>
    <t>Emanuel  Kuteesa</t>
  </si>
  <si>
    <t>UG-CEN-1102-4474</t>
  </si>
  <si>
    <t>Sam   Ssali</t>
  </si>
  <si>
    <t>John   Ssemakula</t>
  </si>
  <si>
    <t>Kigombya north</t>
  </si>
  <si>
    <t>UG-CEN-1102-4478</t>
  </si>
  <si>
    <t>Timothy   Njakasi</t>
  </si>
  <si>
    <t>Nakapinyi south</t>
  </si>
  <si>
    <t>UG-CEN-1102-4492</t>
  </si>
  <si>
    <t>Livingston  Lutaaya</t>
  </si>
  <si>
    <t>Dandira</t>
  </si>
  <si>
    <t>UG-CEN-1102-4494</t>
  </si>
  <si>
    <t>John  Kisolo</t>
  </si>
  <si>
    <t>Katuba</t>
  </si>
  <si>
    <t>UG-CEN-1102-4495</t>
  </si>
  <si>
    <t>Sam  Tamukede</t>
  </si>
  <si>
    <t>Nolonger interested</t>
  </si>
  <si>
    <t>Tusabe Annet</t>
  </si>
  <si>
    <t>Kituntu</t>
  </si>
  <si>
    <t>Masiko</t>
  </si>
  <si>
    <t>UG-CEN-1102-4497</t>
  </si>
  <si>
    <t>Mathias  Bakama</t>
  </si>
  <si>
    <t>Kitanvubu</t>
  </si>
  <si>
    <t>UG-CEN-1102-4634</t>
  </si>
  <si>
    <t>Oyera  Dibeta</t>
  </si>
  <si>
    <t>Kibanda south</t>
  </si>
  <si>
    <t>Kigumba town council</t>
  </si>
  <si>
    <t>Kitwanga</t>
  </si>
  <si>
    <t>UG-CEN-1102-551</t>
  </si>
  <si>
    <t>Rose Kaddu</t>
  </si>
  <si>
    <t>Gulu</t>
  </si>
  <si>
    <t>Mukibi Lawrence</t>
  </si>
  <si>
    <t>Lukalu</t>
  </si>
  <si>
    <t>UG-NOR-1909-013927</t>
  </si>
  <si>
    <t>Temporarily excluded</t>
  </si>
  <si>
    <t>Repaired, Feeding</t>
  </si>
  <si>
    <t>Akao Rose Plant 1</t>
  </si>
  <si>
    <t>Northern Region</t>
  </si>
  <si>
    <t>Apac</t>
  </si>
  <si>
    <t>Maruzi</t>
  </si>
  <si>
    <t>Ibuye</t>
  </si>
  <si>
    <t>Ajo Adoko.A.</t>
  </si>
  <si>
    <t>Crestank</t>
  </si>
  <si>
    <t>Plastic</t>
  </si>
  <si>
    <t>UG-WES-1402-2795</t>
  </si>
  <si>
    <t>lack of feed material</t>
  </si>
  <si>
    <t>Rutabingwa  Daniel</t>
  </si>
  <si>
    <t>Ibanda</t>
  </si>
  <si>
    <t>Ibanda North</t>
  </si>
  <si>
    <t>Bisheshe</t>
  </si>
  <si>
    <t>Bisheshe central</t>
  </si>
  <si>
    <t>Conserve Nature Uganda Company Limited</t>
  </si>
  <si>
    <t>Kisarye Musísi Fred</t>
  </si>
  <si>
    <t>maganja</t>
  </si>
  <si>
    <t>UG-WES-1711-06667</t>
  </si>
  <si>
    <t>Kaggwa Busingye winifred</t>
  </si>
  <si>
    <t>Isingiro</t>
  </si>
  <si>
    <t>Isingiro North</t>
  </si>
  <si>
    <t>Masha</t>
  </si>
  <si>
    <t>Buyojwa</t>
  </si>
  <si>
    <t>Modern Earth Technologies Company Ltd (METCO)</t>
  </si>
  <si>
    <t>BSU 2015</t>
  </si>
  <si>
    <t>Mugagga Henry Bukenya</t>
  </si>
  <si>
    <t>Kagala</t>
  </si>
  <si>
    <t>UG-WES-1807-12562</t>
  </si>
  <si>
    <t>Kagwa  Yorokamu (Plant 1)</t>
  </si>
  <si>
    <t>Rwakahaya</t>
  </si>
  <si>
    <t>duplicate plant</t>
  </si>
  <si>
    <t>Yorokamu Kagwa (Plant 1)</t>
  </si>
  <si>
    <t>Nyakakoni</t>
  </si>
  <si>
    <t>Mulwana Deus</t>
  </si>
  <si>
    <t>Kabonera</t>
  </si>
  <si>
    <t>UG-CEN-1103-1660</t>
  </si>
  <si>
    <t>Nsibambi Joseph</t>
  </si>
  <si>
    <t>Katwe.</t>
  </si>
  <si>
    <t>Kirumba B</t>
  </si>
  <si>
    <t>Sserwadda  Laurence</t>
  </si>
  <si>
    <t>Kalungu</t>
  </si>
  <si>
    <t>Kaungu</t>
  </si>
  <si>
    <t>Bbaala</t>
  </si>
  <si>
    <t xml:space="preserve">Gelasiu  Kaweesi </t>
  </si>
  <si>
    <t>kalungu</t>
  </si>
  <si>
    <t>Kasabbale</t>
  </si>
  <si>
    <t>Magezzi Abedi</t>
  </si>
  <si>
    <t>UG-CEN-1103-2891</t>
  </si>
  <si>
    <t>Simon Peter  Kiwanuka</t>
  </si>
  <si>
    <t>Ntenjeru</t>
  </si>
  <si>
    <t>Bunyama</t>
  </si>
  <si>
    <t>UG-CEN-1103-2906</t>
  </si>
  <si>
    <t>Nsibambi  Yowasi</t>
  </si>
  <si>
    <t>Ngando</t>
  </si>
  <si>
    <t>Kizama</t>
  </si>
  <si>
    <t>UG-CEN-1002-3056</t>
  </si>
  <si>
    <t>Benedicto  Semagambo Kiva</t>
  </si>
  <si>
    <t>UG-CEN-1002-3095</t>
  </si>
  <si>
    <t>Godfrey  Kisembo</t>
  </si>
  <si>
    <t>Degeya</t>
  </si>
  <si>
    <t>UG-CEN-1002-4454</t>
  </si>
  <si>
    <t>Advised to empty for further inspection, not yet emptied</t>
  </si>
  <si>
    <t>Florence  Baziyaka</t>
  </si>
  <si>
    <t>Lwanyonyi</t>
  </si>
  <si>
    <t>UG-CEN-1002-4456</t>
  </si>
  <si>
    <t>Plant is nolonger in a suitable environment and client has no feedstock</t>
  </si>
  <si>
    <t>Kasajja  Muwonge Edward</t>
  </si>
  <si>
    <t>UG-CEN-1103-3086</t>
  </si>
  <si>
    <t>Lovisa  Nakibuuka Nalongo</t>
  </si>
  <si>
    <t>UG-CEN-1103-3327</t>
  </si>
  <si>
    <t>Ssali  Ronald</t>
  </si>
  <si>
    <t>Matale</t>
  </si>
  <si>
    <t>Abandoned biodigester</t>
  </si>
  <si>
    <t>Dezilanta  Musoke</t>
  </si>
  <si>
    <t>UG-CEN-1103-3378</t>
  </si>
  <si>
    <t>Paul  Kyeyune</t>
  </si>
  <si>
    <t>Kawempe</t>
  </si>
  <si>
    <t>Komaboga</t>
  </si>
  <si>
    <t>UG-CEN-1103-3394</t>
  </si>
  <si>
    <t>Sikolastica  Alimpa</t>
  </si>
  <si>
    <t xml:space="preserve">Edward  Kizito </t>
  </si>
  <si>
    <t>Bukoto East</t>
  </si>
  <si>
    <t>Nyendo ssenyange</t>
  </si>
  <si>
    <t>Ssenyange</t>
  </si>
  <si>
    <t>Konerius  Oyidamong Ssuubi</t>
  </si>
  <si>
    <t>Kasowo</t>
  </si>
  <si>
    <t>Kitovu</t>
  </si>
  <si>
    <t xml:space="preserve">Justine  Kyagulanyi </t>
  </si>
  <si>
    <t>katwe Butego</t>
  </si>
  <si>
    <t>Kirumba</t>
  </si>
  <si>
    <t>UG-CEN-1103-3795</t>
  </si>
  <si>
    <t>Emmanuel  Gashegu</t>
  </si>
  <si>
    <t>Kakiri</t>
  </si>
  <si>
    <t>Busujja</t>
  </si>
  <si>
    <t>UG-CEN-1103-3799</t>
  </si>
  <si>
    <t>Samuel  Mayambala</t>
  </si>
  <si>
    <t>Bulamu</t>
  </si>
  <si>
    <t>UG-CEN-1103-3880</t>
  </si>
  <si>
    <t>Lameck  Sekandi</t>
  </si>
  <si>
    <t>Luweero</t>
  </si>
  <si>
    <t>Bamunanika</t>
  </si>
  <si>
    <t>Kalagala</t>
  </si>
  <si>
    <t>Luteete</t>
  </si>
  <si>
    <t>UG-CEN-1003-5309</t>
  </si>
  <si>
    <t>Has never been commissioned because of failure to get cow dung</t>
  </si>
  <si>
    <t>Denis  Rwaboona</t>
  </si>
  <si>
    <t>Lutisi</t>
  </si>
  <si>
    <t>OBIONET</t>
  </si>
  <si>
    <t>UG-CEN-1103-3894</t>
  </si>
  <si>
    <t>Frederick  Ssempebwa Edward</t>
  </si>
  <si>
    <t>UG-CEN-1103-3910</t>
  </si>
  <si>
    <t>Harun   Mwanje</t>
  </si>
  <si>
    <t>UG-CEN-1103-4355</t>
  </si>
  <si>
    <t>Jimmy   Kibirige</t>
  </si>
  <si>
    <t>Bukanda</t>
  </si>
  <si>
    <t>Banda</t>
  </si>
  <si>
    <t>UG-CEN-1103-4493</t>
  </si>
  <si>
    <t>Jane  Muyonjo</t>
  </si>
  <si>
    <t>Ngandu</t>
  </si>
  <si>
    <t>UG-CEN-1103-5170</t>
  </si>
  <si>
    <t>Margaret  Nakiyini</t>
  </si>
  <si>
    <t>Bbira</t>
  </si>
  <si>
    <t>UG-CEN-1004-4361</t>
  </si>
  <si>
    <t>Gladys  Nakanyike</t>
  </si>
  <si>
    <t>Ntakafunvu</t>
  </si>
  <si>
    <t>UG-CEN-1103-5241</t>
  </si>
  <si>
    <t>Faridah  Katalaga</t>
  </si>
  <si>
    <t>Nakawa</t>
  </si>
  <si>
    <t>Bukoto</t>
  </si>
  <si>
    <t>Nsubuga Ibrahim</t>
  </si>
  <si>
    <t>UG-CEN-1104-03379</t>
  </si>
  <si>
    <t>Mabirizi  Kakande Angella</t>
  </si>
  <si>
    <t>Kampala</t>
  </si>
  <si>
    <t>Kyanja</t>
  </si>
  <si>
    <t>TUSK Engineers</t>
  </si>
  <si>
    <t>Kaboggoza  Ahmed</t>
  </si>
  <si>
    <t>Mpigi Town Council</t>
  </si>
  <si>
    <t>Mpami</t>
  </si>
  <si>
    <t>UG-CEN-1104-1126</t>
  </si>
  <si>
    <t>Katibe Paul</t>
  </si>
  <si>
    <t>Nsaamu</t>
  </si>
  <si>
    <t>UG-CEN-1005-107</t>
  </si>
  <si>
    <t>Nalumansi Faridah</t>
  </si>
  <si>
    <t>Mpambire A</t>
  </si>
  <si>
    <t>Musisi Alice</t>
  </si>
  <si>
    <t>Kabanga</t>
  </si>
  <si>
    <t>UG-CEN-1005-2488</t>
  </si>
  <si>
    <t>Lack of man power to feed the digester</t>
  </si>
  <si>
    <t>Kagga  Willy</t>
  </si>
  <si>
    <t>lwebirakuli</t>
  </si>
  <si>
    <t>Ssenyonga  Leonard</t>
  </si>
  <si>
    <t>kiteredde</t>
  </si>
  <si>
    <t>UG-CEN-1005-264</t>
  </si>
  <si>
    <t>Shifted to another location</t>
  </si>
  <si>
    <t>Kyanjo Annet</t>
  </si>
  <si>
    <t>Mpambire A zone</t>
  </si>
  <si>
    <t>Pr Joel Bukenya</t>
  </si>
  <si>
    <t>Mudduma</t>
  </si>
  <si>
    <t>UG-CEN-1104-1872</t>
  </si>
  <si>
    <t>Ssali Richard</t>
  </si>
  <si>
    <t>Mukungwe.</t>
  </si>
  <si>
    <t>Kasan.</t>
  </si>
  <si>
    <t>Ssemwogerere John</t>
  </si>
  <si>
    <t>Kammengo</t>
  </si>
  <si>
    <t>Lwagwa</t>
  </si>
  <si>
    <t>Walugembe  Augustine</t>
  </si>
  <si>
    <t>Buwama  B</t>
  </si>
  <si>
    <t>UG-CEN-1005-3822</t>
  </si>
  <si>
    <t>Edward  Kanyike</t>
  </si>
  <si>
    <t>Kiziba</t>
  </si>
  <si>
    <t>UG-CEN-1104-2243</t>
  </si>
  <si>
    <t>Dr Njagala James</t>
  </si>
  <si>
    <t>Kabonera.</t>
  </si>
  <si>
    <t>Busense.</t>
  </si>
  <si>
    <t>UG-CEN-1104-2620</t>
  </si>
  <si>
    <t xml:space="preserve">Charles   Ddamurlira </t>
  </si>
  <si>
    <t>Ssunga.</t>
  </si>
  <si>
    <t>Repaired, feeding</t>
  </si>
  <si>
    <t>Moses  Kasirivu</t>
  </si>
  <si>
    <t>Buyuki</t>
  </si>
  <si>
    <t>UG-CEN-1005-4632</t>
  </si>
  <si>
    <t>Otto  Christine</t>
  </si>
  <si>
    <t>kigumba town council</t>
  </si>
  <si>
    <t>kabukye</t>
  </si>
  <si>
    <t>UG-CEN-1104-2624</t>
  </si>
  <si>
    <t>Kisseka  Tom</t>
  </si>
  <si>
    <t>Nabyajwe.</t>
  </si>
  <si>
    <t xml:space="preserve">Faizal  Ntayi </t>
  </si>
  <si>
    <t xml:space="preserve">Said  Kintu </t>
  </si>
  <si>
    <t>Katengo</t>
  </si>
  <si>
    <t>Repaired, feeding and almost full. The people at home  feed it once in a while.</t>
  </si>
  <si>
    <t>Birungi Stellah Nsubuga</t>
  </si>
  <si>
    <t>Nyendo Senyange.</t>
  </si>
  <si>
    <t>UG-CEN-1104-2647</t>
  </si>
  <si>
    <t xml:space="preserve">Kayanja  Nalongo </t>
  </si>
  <si>
    <t>kifamba</t>
  </si>
  <si>
    <t>Kifamba</t>
  </si>
  <si>
    <t>UG-CEN-1104-2907</t>
  </si>
  <si>
    <t>Namayanja  Consulanta</t>
  </si>
  <si>
    <t>Lwezo</t>
  </si>
  <si>
    <t>UG-CEN-1104-2910</t>
  </si>
  <si>
    <t>Kizza  Musiini</t>
  </si>
  <si>
    <t>Najja</t>
  </si>
  <si>
    <t>UG-CEN-1104-2993</t>
  </si>
  <si>
    <t>Kawuki  Joseph</t>
  </si>
  <si>
    <t>Ssingo</t>
  </si>
  <si>
    <t>Busimbi</t>
  </si>
  <si>
    <t>Butega</t>
  </si>
  <si>
    <t>UG-CEN-1104-2995</t>
  </si>
  <si>
    <t>Kalema  Joseph</t>
  </si>
  <si>
    <t>Mityana(ssingo)</t>
  </si>
  <si>
    <t>Lulagala</t>
  </si>
  <si>
    <t>Ndugwa  Diriisa</t>
  </si>
  <si>
    <t>kanyogoga</t>
  </si>
  <si>
    <t>UG-CEN-1104-3517</t>
  </si>
  <si>
    <t xml:space="preserve">Annet   Namutebi </t>
  </si>
  <si>
    <t>Mukungwe</t>
  </si>
  <si>
    <t>Kalundira</t>
  </si>
  <si>
    <t>UG-CEN-1104-3524</t>
  </si>
  <si>
    <t xml:space="preserve">Davis  Kibonde </t>
  </si>
  <si>
    <t>Bukomansimbi</t>
  </si>
  <si>
    <t>Bujomasimbi</t>
  </si>
  <si>
    <t>Kibinge</t>
  </si>
  <si>
    <t>kiryasaka</t>
  </si>
  <si>
    <t>UG-CEN-1006-259</t>
  </si>
  <si>
    <t>Kizito Daisy</t>
  </si>
  <si>
    <t>Mpambire</t>
  </si>
  <si>
    <t>Mackline  Sekimpi</t>
  </si>
  <si>
    <t>Lukuli konga</t>
  </si>
  <si>
    <t>UG-CEN-1104-3817</t>
  </si>
  <si>
    <t>Fred  Kamoga</t>
  </si>
  <si>
    <t>Kanzize</t>
  </si>
  <si>
    <t>UG-CEN-1104-3851</t>
  </si>
  <si>
    <t>Chrizestom  Kalungi</t>
  </si>
  <si>
    <t>Katikamu</t>
  </si>
  <si>
    <t>Luweero TC</t>
  </si>
  <si>
    <t>Seeta</t>
  </si>
  <si>
    <t>Moses  Tibesigwa</t>
  </si>
  <si>
    <t>Bujuko</t>
  </si>
  <si>
    <t>UG-CEN-1104-3909</t>
  </si>
  <si>
    <t>Aisha  Nanono</t>
  </si>
  <si>
    <t>Nazalesi</t>
  </si>
  <si>
    <t>UG-CEN-1104-3914</t>
  </si>
  <si>
    <t>Experito  Lwomwa</t>
  </si>
  <si>
    <t>Kisibe</t>
  </si>
  <si>
    <t>UG-CEN-1007-3326</t>
  </si>
  <si>
    <t>Bigere  Jonathen</t>
  </si>
  <si>
    <t>Kyaggwe</t>
  </si>
  <si>
    <t>Ngogwe Sabagabo</t>
  </si>
  <si>
    <t>Kawuna</t>
  </si>
  <si>
    <t>UG-CEN-1007-3349</t>
  </si>
  <si>
    <t>Demolished plant</t>
  </si>
  <si>
    <t>Hon Impiima  Dorothy</t>
  </si>
  <si>
    <t>Njeru</t>
  </si>
  <si>
    <t>Nanso Estate</t>
  </si>
  <si>
    <t>UG-CEN-1104-3915</t>
  </si>
  <si>
    <t>Henry  Kalule</t>
  </si>
  <si>
    <t>UG-CEN-1104-3981</t>
  </si>
  <si>
    <t>Hafisa  Hajjat Nakalema</t>
  </si>
  <si>
    <t>Kalungu East</t>
  </si>
  <si>
    <t>Kaliro</t>
  </si>
  <si>
    <t>kalongo</t>
  </si>
  <si>
    <t>UG-CEN-1104-3983</t>
  </si>
  <si>
    <t>Bwanika  Benedict K</t>
  </si>
  <si>
    <t>Byana</t>
  </si>
  <si>
    <t>UG-CEN-1104-3987</t>
  </si>
  <si>
    <t xml:space="preserve">Herizon  Kayinga </t>
  </si>
  <si>
    <t>Mpugwe</t>
  </si>
  <si>
    <t>UG-CEN-1104-4475</t>
  </si>
  <si>
    <t>Mary  Kibuuka</t>
  </si>
  <si>
    <t>Kyampi</t>
  </si>
  <si>
    <t>Namanganga</t>
  </si>
  <si>
    <t>UG-CEN-1104-4571</t>
  </si>
  <si>
    <t>Seremba  Daniel</t>
  </si>
  <si>
    <t>Mityana town council</t>
  </si>
  <si>
    <t>Katakala</t>
  </si>
  <si>
    <t>UG-CEN-1104-5196</t>
  </si>
  <si>
    <t>Makinawa  Mulindwa Isaac</t>
  </si>
  <si>
    <t>Busikiri</t>
  </si>
  <si>
    <t>UG-CEN-1104-5233</t>
  </si>
  <si>
    <t>James  Matovu</t>
  </si>
  <si>
    <t>UG-CEN-1008-291</t>
  </si>
  <si>
    <t>lack of water for mixing dung</t>
  </si>
  <si>
    <t>Hajjati Madinah Nantongo</t>
  </si>
  <si>
    <t>UG-CEN-1008-3051</t>
  </si>
  <si>
    <t>Sarah  Kakungulu</t>
  </si>
  <si>
    <t>UG-CEN-1104-5345</t>
  </si>
  <si>
    <t>Kimoga  Kato</t>
  </si>
  <si>
    <t>Guluddene</t>
  </si>
  <si>
    <t>Annet Bwanika</t>
  </si>
  <si>
    <t>Senyange.</t>
  </si>
  <si>
    <t>UG-CEN-1104-743</t>
  </si>
  <si>
    <t>Balilonda David</t>
  </si>
  <si>
    <t>Bulayi lugudo.</t>
  </si>
  <si>
    <t>UG-CEN-1104-795</t>
  </si>
  <si>
    <t>Buyungo Joseph</t>
  </si>
  <si>
    <t>Konkoma</t>
  </si>
  <si>
    <t>Lubega Gerald</t>
  </si>
  <si>
    <t>Nyabutongwa</t>
  </si>
  <si>
    <t>UG-CEN-1008-4262</t>
  </si>
  <si>
    <t>Sebisaalu  Ismail</t>
  </si>
  <si>
    <t>Mwasabikopo</t>
  </si>
  <si>
    <t>Gombe Exier</t>
  </si>
  <si>
    <t>Bubezi</t>
  </si>
  <si>
    <t>Joyce  Kanyike</t>
  </si>
  <si>
    <t>kiteezi</t>
  </si>
  <si>
    <t>UG-CEN-1105-1143</t>
  </si>
  <si>
    <t>Kavuma Rita</t>
  </si>
  <si>
    <t>Kimanya Kyabakuza .</t>
  </si>
  <si>
    <t>kijabwemi.</t>
  </si>
  <si>
    <t>Njakasi Jackson</t>
  </si>
  <si>
    <t>Lweru</t>
  </si>
  <si>
    <t>UG-CEN-1008-5156</t>
  </si>
  <si>
    <t>Michael Edke Ojok</t>
  </si>
  <si>
    <t>Kabunza</t>
  </si>
  <si>
    <t>UG-CEN-1105-1154</t>
  </si>
  <si>
    <t>Kazibwe Edward</t>
  </si>
  <si>
    <t>Oliver Makumbi</t>
  </si>
  <si>
    <t>UG-CEN-1008-532</t>
  </si>
  <si>
    <t>Perusi Nsajja</t>
  </si>
  <si>
    <t>Kiyaga John Plant 1</t>
  </si>
  <si>
    <t>Kiwumu A</t>
  </si>
  <si>
    <t>Lumu Ronald</t>
  </si>
  <si>
    <t>Matovu Francis</t>
  </si>
  <si>
    <t>Bukalasa</t>
  </si>
  <si>
    <t>Mrs Mugisha Scolah</t>
  </si>
  <si>
    <t>Katwe Butengo .</t>
  </si>
  <si>
    <t>Kirumba.</t>
  </si>
  <si>
    <t>Mutesasira Grace</t>
  </si>
  <si>
    <t>Lwengo</t>
  </si>
  <si>
    <t>Kingo</t>
  </si>
  <si>
    <t>Kabukorwa.</t>
  </si>
  <si>
    <t>Nakayiza Yoyce</t>
  </si>
  <si>
    <t>Namanda Susan</t>
  </si>
  <si>
    <t>Gayaza zone</t>
  </si>
  <si>
    <t>Nkonge Livingstone</t>
  </si>
  <si>
    <t>UG-CEN-1105-1900</t>
  </si>
  <si>
    <t>Semutenga  Patrick</t>
  </si>
  <si>
    <t>Wamala Abdu</t>
  </si>
  <si>
    <t>Kyabakuza.</t>
  </si>
  <si>
    <t>UG-CEN-1105-210</t>
  </si>
  <si>
    <t>Kato William</t>
  </si>
  <si>
    <t>UG-CEN-1009-4469</t>
  </si>
  <si>
    <t>Edward  Kibirige Salongo</t>
  </si>
  <si>
    <t>UG-CEN-1009-486</t>
  </si>
  <si>
    <t>Namutebi Anna Maria</t>
  </si>
  <si>
    <t>Kawanda</t>
  </si>
  <si>
    <t>UG-CEN-1105-2526</t>
  </si>
  <si>
    <t>Ssali  Angello Doctor</t>
  </si>
  <si>
    <t>mabindo</t>
  </si>
  <si>
    <t>UG-CEN-1105-2534</t>
  </si>
  <si>
    <t>Mugambe  Kalid Hajji</t>
  </si>
  <si>
    <t>UG-CEN-1105-2603</t>
  </si>
  <si>
    <t>Edrisa  Hajji Kagwa</t>
  </si>
  <si>
    <t>Kiseka.</t>
  </si>
  <si>
    <t>Kinoni</t>
  </si>
  <si>
    <t>UG-CEN-1105-2623</t>
  </si>
  <si>
    <t>Kabajjo   Keteregga Joseph Rogers</t>
  </si>
  <si>
    <t>Nabyejwe.</t>
  </si>
  <si>
    <t>UG-CEN-1105-2625</t>
  </si>
  <si>
    <t xml:space="preserve">Emmanuel  Ssekanjako </t>
  </si>
  <si>
    <t>Nabyejwe</t>
  </si>
  <si>
    <t>Jackson  Kawooya</t>
  </si>
  <si>
    <t>UG-CEN-1105-2646</t>
  </si>
  <si>
    <t xml:space="preserve">Kapston  Mugisha </t>
  </si>
  <si>
    <t>Kasasa</t>
  </si>
  <si>
    <t>Mityebiri</t>
  </si>
  <si>
    <t>UG-CEN-1105-2829</t>
  </si>
  <si>
    <t>Immaculate  Nakityo</t>
  </si>
  <si>
    <t>Ntenjeru north</t>
  </si>
  <si>
    <t>Butakoola</t>
  </si>
  <si>
    <t>Kaiira Christine</t>
  </si>
  <si>
    <t>masooli</t>
  </si>
  <si>
    <t>Alloysius  Kintu</t>
  </si>
  <si>
    <t>Natteta</t>
  </si>
  <si>
    <t>Nakibuule  Lucy Esther</t>
  </si>
  <si>
    <t>Kitagobwa</t>
  </si>
  <si>
    <t>UG-CEN-1011-3790</t>
  </si>
  <si>
    <t>Daniel  Kasozi Salapio</t>
  </si>
  <si>
    <t>Temangalo</t>
  </si>
  <si>
    <t>Naggayi  Aisha</t>
  </si>
  <si>
    <t>Bugobango</t>
  </si>
  <si>
    <t>UG-CEN-1105-2917</t>
  </si>
  <si>
    <t>Namagembe  Teddy</t>
  </si>
  <si>
    <t>Mawokota North</t>
  </si>
  <si>
    <t>Nnama</t>
  </si>
  <si>
    <t>UG-CEN-1105-2959</t>
  </si>
  <si>
    <t>Akisoferi  Luzige</t>
  </si>
  <si>
    <t>Bulera</t>
  </si>
  <si>
    <t>Mwererwe</t>
  </si>
  <si>
    <t>UG-CEN-1105-2984</t>
  </si>
  <si>
    <t>Kalungi  Nasil</t>
  </si>
  <si>
    <t>Gombe Town Council</t>
  </si>
  <si>
    <t>Kasama</t>
  </si>
  <si>
    <t>UG-CEN-1105-3360</t>
  </si>
  <si>
    <t>Makanga  Musoke Samuel</t>
  </si>
  <si>
    <t>Mabanga</t>
  </si>
  <si>
    <t>UG-CEN-1105-3381</t>
  </si>
  <si>
    <t>Jane  Lubowa</t>
  </si>
  <si>
    <t xml:space="preserve">Fred  Mwonge </t>
  </si>
  <si>
    <t>Buwunga</t>
  </si>
  <si>
    <t>Bulando B</t>
  </si>
  <si>
    <t xml:space="preserve">Vicent  Lubega </t>
  </si>
  <si>
    <t>SEA</t>
  </si>
  <si>
    <t xml:space="preserve">Ahaumadim  Kazibwe </t>
  </si>
  <si>
    <t>Nyendo</t>
  </si>
  <si>
    <t>UG-CEN-1105-3525</t>
  </si>
  <si>
    <t xml:space="preserve">Mike  Kawunde </t>
  </si>
  <si>
    <t>kyabagoma</t>
  </si>
  <si>
    <t xml:space="preserve">Kamali  Everest </t>
  </si>
  <si>
    <t>Kasubi town</t>
  </si>
  <si>
    <t>UG-CEN-1105-3526</t>
  </si>
  <si>
    <t xml:space="preserve">Frugensio   Ssengendo </t>
  </si>
  <si>
    <t>Kisojo</t>
  </si>
  <si>
    <t>UG-CEN-1105-3768</t>
  </si>
  <si>
    <t>Gideon  Zake Twegumye</t>
  </si>
  <si>
    <t>Kyengera</t>
  </si>
  <si>
    <t>UG-CEN-1105-3778</t>
  </si>
  <si>
    <t>Sarah  Mbabazi</t>
  </si>
  <si>
    <t>Entebbe</t>
  </si>
  <si>
    <t>Div A</t>
  </si>
  <si>
    <t>Lunyo</t>
  </si>
  <si>
    <t>UG-CEN-1012-3919</t>
  </si>
  <si>
    <t>Hermidasc  Mukalazi Kizito</t>
  </si>
  <si>
    <t>Lubatu</t>
  </si>
  <si>
    <t>UG-CEN-1105-3780</t>
  </si>
  <si>
    <t>Muhammad  Kirumira Ssemutende</t>
  </si>
  <si>
    <t>Banga</t>
  </si>
  <si>
    <t>UG-CEN-1105-3837</t>
  </si>
  <si>
    <t>Godfrey  Ntwatwa</t>
  </si>
  <si>
    <t>Nansana</t>
  </si>
  <si>
    <t>Kibibi</t>
  </si>
  <si>
    <t>UG-CEN-1105-3838</t>
  </si>
  <si>
    <t>Moses  Sseruwojjo</t>
  </si>
  <si>
    <t>UG-CEN-1105-3916</t>
  </si>
  <si>
    <t>Nicholas  Kanabahita</t>
  </si>
  <si>
    <t>Kigogola</t>
  </si>
  <si>
    <t>UG-CEN-1105-3952</t>
  </si>
  <si>
    <t xml:space="preserve">Mugisha  Nalongo </t>
  </si>
  <si>
    <t>kabira</t>
  </si>
  <si>
    <t>UG-CEN-1105-3978</t>
  </si>
  <si>
    <t xml:space="preserve">Kibilige  Nansamba </t>
  </si>
  <si>
    <t>Bukulula</t>
  </si>
  <si>
    <t>Mukoko.</t>
  </si>
  <si>
    <t>UG-CEN-1105-3989</t>
  </si>
  <si>
    <t>Christopher  Ssalongo Sseguya</t>
  </si>
  <si>
    <t>Kasaala</t>
  </si>
  <si>
    <t>Boaz  Tunumbe</t>
  </si>
  <si>
    <t>Bulemeezi</t>
  </si>
  <si>
    <t>Luweero t c</t>
  </si>
  <si>
    <t>Kasana</t>
  </si>
  <si>
    <t>UG-CEN-1105-4329</t>
  </si>
  <si>
    <t>John  Kavuma</t>
  </si>
  <si>
    <t>Ndeeba</t>
  </si>
  <si>
    <t>UG-CEN-1105-4337</t>
  </si>
  <si>
    <t>Musajjawaza  Jacob</t>
  </si>
  <si>
    <t>Makenke</t>
  </si>
  <si>
    <t>UG-CEN-1105-4342</t>
  </si>
  <si>
    <t>Namaganda  Asinansi</t>
  </si>
  <si>
    <t>UG-CEN-1105-4344</t>
  </si>
  <si>
    <t>Rusoke  Katasi Perry</t>
  </si>
  <si>
    <t>Namataba</t>
  </si>
  <si>
    <t>UG-CEN-1105-4350</t>
  </si>
  <si>
    <t>Aloysius  Musoke</t>
  </si>
  <si>
    <t>Magere</t>
  </si>
  <si>
    <t>Matovu  George</t>
  </si>
  <si>
    <t>Magando</t>
  </si>
  <si>
    <t>UG-CEN-1105-4568</t>
  </si>
  <si>
    <t>Kibirige  Irine</t>
  </si>
  <si>
    <t>Mityana. Town Council</t>
  </si>
  <si>
    <t>Buswabulongo</t>
  </si>
  <si>
    <t>UG-CEN-1101-3071</t>
  </si>
  <si>
    <t>Frederick  Ntambi David</t>
  </si>
  <si>
    <t>Masitula  Kasule</t>
  </si>
  <si>
    <t>Kizigo</t>
  </si>
  <si>
    <t>UG-CEN-1105-5151</t>
  </si>
  <si>
    <t>Gilbert  Musimenta</t>
  </si>
  <si>
    <t>Masooli</t>
  </si>
  <si>
    <t>UG-CEN-1105-5189</t>
  </si>
  <si>
    <t>Dominika  Lukabya</t>
  </si>
  <si>
    <t>Rubaga</t>
  </si>
  <si>
    <t>Bunamwaya</t>
  </si>
  <si>
    <t>Kitebi</t>
  </si>
  <si>
    <t>UG-CEN-1105-5191</t>
  </si>
  <si>
    <t>Henry  Ssemiganda</t>
  </si>
  <si>
    <t>Kyebando</t>
  </si>
  <si>
    <t>UG-CEN-1105-5215</t>
  </si>
  <si>
    <t>Victoria  Lukwago</t>
  </si>
  <si>
    <t>Munyonyo</t>
  </si>
  <si>
    <t>UG-CEN-1105-5308</t>
  </si>
  <si>
    <t>Vincent  Taremwa</t>
  </si>
  <si>
    <t>Nampungwe</t>
  </si>
  <si>
    <t>UG-CEN-1105-5343</t>
  </si>
  <si>
    <t>Jitta  Frederick</t>
  </si>
  <si>
    <t>Nabutiti</t>
  </si>
  <si>
    <t>UG-CEN-1105-5349</t>
  </si>
  <si>
    <t>Swaibu  Zzizinga</t>
  </si>
  <si>
    <t>Wabiyinja</t>
  </si>
  <si>
    <t>UG-CEN-1105-5378</t>
  </si>
  <si>
    <t>Ssali  Jonathan</t>
  </si>
  <si>
    <t>Kyankwanzi</t>
  </si>
  <si>
    <t>Ntwetwe</t>
  </si>
  <si>
    <t>Buttikiro</t>
  </si>
  <si>
    <t>UG-CEN-1105-742</t>
  </si>
  <si>
    <t>Balemezi Henry</t>
  </si>
  <si>
    <t>NANGABo</t>
  </si>
  <si>
    <t>kayebe</t>
  </si>
  <si>
    <t>Katongole  Jaber Hajji</t>
  </si>
  <si>
    <t>Ddumba Francis</t>
  </si>
  <si>
    <t>Mpigi Town council</t>
  </si>
  <si>
    <t>Police Zone</t>
  </si>
  <si>
    <t>Haji Abudul Muyingo</t>
  </si>
  <si>
    <t>Luwala</t>
  </si>
  <si>
    <t>Nvule  Enoch</t>
  </si>
  <si>
    <t>Namungo</t>
  </si>
  <si>
    <t>Zzira</t>
  </si>
  <si>
    <t>UG-CEN-1106-1164</t>
  </si>
  <si>
    <t>Kibira Paul</t>
  </si>
  <si>
    <t>Kyera.</t>
  </si>
  <si>
    <t>UG-CEN-1102-2490</t>
  </si>
  <si>
    <t>Tumwine  Moses</t>
  </si>
  <si>
    <t>lutanwa</t>
  </si>
  <si>
    <t>UG-CEN-1106-1183</t>
  </si>
  <si>
    <t>Kikuklukunyu Lauben</t>
  </si>
  <si>
    <t>UG-CEN-1102-2495</t>
  </si>
  <si>
    <t>Mujuzi  Copriano</t>
  </si>
  <si>
    <t>kirungi</t>
  </si>
  <si>
    <t>Mugerwa George William</t>
  </si>
  <si>
    <t>Kamukungu</t>
  </si>
  <si>
    <t>UG-CEN-1106-1480</t>
  </si>
  <si>
    <t>Musoke Ali</t>
  </si>
  <si>
    <t>Ssembatya George William</t>
  </si>
  <si>
    <t>Kigo</t>
  </si>
  <si>
    <t>Nalongo Clare Nansimbi</t>
  </si>
  <si>
    <t>Masaka.</t>
  </si>
  <si>
    <t>Kyabakuza Kimanya.</t>
  </si>
  <si>
    <t>New kumbu.</t>
  </si>
  <si>
    <t>Nsubuga Edward</t>
  </si>
  <si>
    <t>UG-CEN-1106-1969</t>
  </si>
  <si>
    <t>Sserunjogi Annet</t>
  </si>
  <si>
    <t>Gayaza.</t>
  </si>
  <si>
    <t>Bukomba  Nangoli Rev</t>
  </si>
  <si>
    <t>Senda-Gangama</t>
  </si>
  <si>
    <t>UG-CEN-1102-2888</t>
  </si>
  <si>
    <t>Anet  Muheme</t>
  </si>
  <si>
    <t>Buyikwe North</t>
  </si>
  <si>
    <t>Kisaasi</t>
  </si>
  <si>
    <t>UG-CEN-1106-1970</t>
  </si>
  <si>
    <t>Sserunjogi  Joseph</t>
  </si>
  <si>
    <t>Bukakala</t>
  </si>
  <si>
    <t>Ssenyonjo  William</t>
  </si>
  <si>
    <t>kibibi</t>
  </si>
  <si>
    <t>kinoni</t>
  </si>
  <si>
    <t>UG-CEN-1106-2510</t>
  </si>
  <si>
    <t>Matovu  Hussein</t>
  </si>
  <si>
    <t>kinoni A</t>
  </si>
  <si>
    <t>UG-CEN-1106-2606</t>
  </si>
  <si>
    <t>Mary  Nansamba</t>
  </si>
  <si>
    <t>kkingo</t>
  </si>
  <si>
    <t>Nkalwe.</t>
  </si>
  <si>
    <t>UG-CEN-1106-2627</t>
  </si>
  <si>
    <t xml:space="preserve">Herman  Katongole </t>
  </si>
  <si>
    <t>UG-CEN-1106-2628</t>
  </si>
  <si>
    <t xml:space="preserve">Charles  Ssekwe </t>
  </si>
  <si>
    <t>Nabyajwe</t>
  </si>
  <si>
    <t>Moses  Kawesa The Late</t>
  </si>
  <si>
    <t>Theresa  Mubiru</t>
  </si>
  <si>
    <t>Namubiru</t>
  </si>
  <si>
    <t>UG-CEN-1106-2960</t>
  </si>
  <si>
    <t>Kibuuka  Butulumayo Ssalongo</t>
  </si>
  <si>
    <t>Natembe</t>
  </si>
  <si>
    <t>Kibuule  Charles</t>
  </si>
  <si>
    <t>Nakatembe</t>
  </si>
  <si>
    <t>UG-CEN-1106-2962</t>
  </si>
  <si>
    <t>Mwasa  Lawrence</t>
  </si>
  <si>
    <t>Katette</t>
  </si>
  <si>
    <t>UG-CEN-1102-3093</t>
  </si>
  <si>
    <t>Germa  Najjuma Mary</t>
  </si>
  <si>
    <t>Njendahayo  John</t>
  </si>
  <si>
    <t>Bakijulula</t>
  </si>
  <si>
    <t>UG-CEN-1102-317</t>
  </si>
  <si>
    <t>Mutatila Juliet</t>
  </si>
  <si>
    <t>Mukono division</t>
  </si>
  <si>
    <t>Namyoya</t>
  </si>
  <si>
    <t>UG-CEN-1106-3329</t>
  </si>
  <si>
    <t>Mukalazi  Samuel</t>
  </si>
  <si>
    <t>Ssugu</t>
  </si>
  <si>
    <t>UG-CEN-1106-3385</t>
  </si>
  <si>
    <t>Joseph  Kibuuka</t>
  </si>
  <si>
    <t>Lubaga North</t>
  </si>
  <si>
    <t>Masanafu</t>
  </si>
  <si>
    <t>UG-CEN-1106-3387</t>
  </si>
  <si>
    <t>Anthony  Musubire</t>
  </si>
  <si>
    <t>UG-CEN-1102-4353</t>
  </si>
  <si>
    <t>No manpower to feed the plant</t>
  </si>
  <si>
    <t>Edward  Musoke Seezi</t>
  </si>
  <si>
    <t>Kayanja</t>
  </si>
  <si>
    <t>UG-CEN-1102-4356</t>
  </si>
  <si>
    <t>Christine  Mutyaba</t>
  </si>
  <si>
    <t>UG-CEN-1106-3388</t>
  </si>
  <si>
    <t>Margaret  Kyazze</t>
  </si>
  <si>
    <t>Jokolera</t>
  </si>
  <si>
    <t>UG-CEN-1102-4363</t>
  </si>
  <si>
    <t>Janaat  Nambi</t>
  </si>
  <si>
    <t>Nama 1</t>
  </si>
  <si>
    <t xml:space="preserve">Paul  Kimbugwe </t>
  </si>
  <si>
    <t>Mazinga</t>
  </si>
  <si>
    <t>UG-CEN-1106-3528</t>
  </si>
  <si>
    <t>Zziwa  Peter Musanga</t>
  </si>
  <si>
    <t>kirumba</t>
  </si>
  <si>
    <t>Busowe</t>
  </si>
  <si>
    <t>UG-CEN-1106-3771</t>
  </si>
  <si>
    <t>Mutebi  Kabengwe</t>
  </si>
  <si>
    <t>Katereke</t>
  </si>
  <si>
    <t>UG-CEN-1106-3959</t>
  </si>
  <si>
    <t xml:space="preserve">Aloysious  Ssemuwemba </t>
  </si>
  <si>
    <t>Bukoto west</t>
  </si>
  <si>
    <t>Kyazanga</t>
  </si>
  <si>
    <t>mpama</t>
  </si>
  <si>
    <t>UG-CEN-1106-400</t>
  </si>
  <si>
    <t xml:space="preserve">Joseph   Mwanje </t>
  </si>
  <si>
    <t>Bukoto south</t>
  </si>
  <si>
    <t>Lutete</t>
  </si>
  <si>
    <t>UG-CEN-1102-4373</t>
  </si>
  <si>
    <t>Gastone  Byamgisha</t>
  </si>
  <si>
    <t>Kisanyufu</t>
  </si>
  <si>
    <t>UG-CEN-1106-4323</t>
  </si>
  <si>
    <t>Herbart  Kavuma</t>
  </si>
  <si>
    <t>Mitiebiri</t>
  </si>
  <si>
    <t>UG-CEN-1102-4381</t>
  </si>
  <si>
    <t>Steven  Sserunkuma</t>
  </si>
  <si>
    <t>UG-CEN-1106-4706</t>
  </si>
  <si>
    <t>Senfuka  James</t>
  </si>
  <si>
    <t>Butavujja Kasoga</t>
  </si>
  <si>
    <t>UG-CEN-1102-4383</t>
  </si>
  <si>
    <t>Sarah  Kato</t>
  </si>
  <si>
    <t>UG-CEN-1106-4713</t>
  </si>
  <si>
    <t>Lutwama  Azziz</t>
  </si>
  <si>
    <t>Najjambe</t>
  </si>
  <si>
    <t>Kitigoma</t>
  </si>
  <si>
    <t>Mugabe  Robert</t>
  </si>
  <si>
    <t>Lugazi minicipality</t>
  </si>
  <si>
    <t>Kigowa</t>
  </si>
  <si>
    <t>UG-CEN-1102-4421</t>
  </si>
  <si>
    <t>Proscovia  Nalweyiso</t>
  </si>
  <si>
    <t>Ntaawo</t>
  </si>
  <si>
    <t>UG-CEN-1106-5250</t>
  </si>
  <si>
    <t>Caroline  Nankiga Kakinza</t>
  </si>
  <si>
    <t>Kalule</t>
  </si>
  <si>
    <t>UG-CEN-1107-1097</t>
  </si>
  <si>
    <t>Musisi  Sam</t>
  </si>
  <si>
    <t>Nassozi  Annet</t>
  </si>
  <si>
    <t>UG-CEN-1107-1117</t>
  </si>
  <si>
    <t>Kasumba Patrick</t>
  </si>
  <si>
    <t>Kyabakuza</t>
  </si>
  <si>
    <t>Kyabakuza .</t>
  </si>
  <si>
    <t>UG-CEN-1107-1186</t>
  </si>
  <si>
    <t>Kimera Mary</t>
  </si>
  <si>
    <t>Nyendo.</t>
  </si>
  <si>
    <t>Nakayiba</t>
  </si>
  <si>
    <t>Mugerwa Charles</t>
  </si>
  <si>
    <t>Kirowoza</t>
  </si>
  <si>
    <t>Mugerwa Peterson Nairobi</t>
  </si>
  <si>
    <t>Mutumba Pius</t>
  </si>
  <si>
    <t>Kyera</t>
  </si>
  <si>
    <t>UG-CEN-1107-1591</t>
  </si>
  <si>
    <t>Namirembe Clairence</t>
  </si>
  <si>
    <t>WEBMAS</t>
  </si>
  <si>
    <t>UG-CEN-1107-1887</t>
  </si>
  <si>
    <t>Masembe Sarah</t>
  </si>
  <si>
    <t>lusajja</t>
  </si>
  <si>
    <t>Sr.Namukasa Teopister</t>
  </si>
  <si>
    <t>Bwanda</t>
  </si>
  <si>
    <t>UG-CEN-1107-1965</t>
  </si>
  <si>
    <t>Ssenkima Maria</t>
  </si>
  <si>
    <t>Kayirikiti</t>
  </si>
  <si>
    <t>Zk Kiwanuka</t>
  </si>
  <si>
    <t>Lusanja</t>
  </si>
  <si>
    <t>UG-CEN-1102-493</t>
  </si>
  <si>
    <t>Nassanga Esther</t>
  </si>
  <si>
    <t>Lower Kauga</t>
  </si>
  <si>
    <t>Kifa Omusana  Ismail</t>
  </si>
  <si>
    <t>kigatto</t>
  </si>
  <si>
    <t xml:space="preserve">Eng William Kaaya Kizito </t>
  </si>
  <si>
    <t>UG-CEN-1107-2535</t>
  </si>
  <si>
    <t>Kusambizza  David Bbosa</t>
  </si>
  <si>
    <t>kaggulwe</t>
  </si>
  <si>
    <t>UG-CEN-1107-2537</t>
  </si>
  <si>
    <t>Sengendo  Ahmed</t>
  </si>
  <si>
    <t>lukalu</t>
  </si>
  <si>
    <t>UG-CEN-1107-2602</t>
  </si>
  <si>
    <t xml:space="preserve">Hadijja  Namuddu </t>
  </si>
  <si>
    <t>Bukoto West</t>
  </si>
  <si>
    <t>Kiseka</t>
  </si>
  <si>
    <t>Seke maine</t>
  </si>
  <si>
    <t>UG-CEN-1107-2619</t>
  </si>
  <si>
    <t xml:space="preserve">Herma  Mwanzi </t>
  </si>
  <si>
    <t>Lwankoni.</t>
  </si>
  <si>
    <t>UG-CEN-1107-2634</t>
  </si>
  <si>
    <t xml:space="preserve">Edward  Kankaka </t>
  </si>
  <si>
    <t>Bbale</t>
  </si>
  <si>
    <t>UG-CEN-1107-2636</t>
  </si>
  <si>
    <t>Banga  Nankya Allice</t>
  </si>
  <si>
    <t>Kalisizo</t>
  </si>
  <si>
    <t>Kakoma</t>
  </si>
  <si>
    <t>UG-CEN-1107-2954</t>
  </si>
  <si>
    <t>Kyagulanyi  Tom</t>
  </si>
  <si>
    <t>Kiterede</t>
  </si>
  <si>
    <t>UG-CEN-1107-3390</t>
  </si>
  <si>
    <t>Nyamaizi  Margaret</t>
  </si>
  <si>
    <t>Nalusuga</t>
  </si>
  <si>
    <t xml:space="preserve">Joseph  Lubega </t>
  </si>
  <si>
    <t>Ssenyenge</t>
  </si>
  <si>
    <t>UG-CEN-1107-3523</t>
  </si>
  <si>
    <t xml:space="preserve">Robert  Kasule </t>
  </si>
  <si>
    <t>misanvu</t>
  </si>
  <si>
    <t>UG-CEN-1107-3928</t>
  </si>
  <si>
    <t>Ostre  Loti Dradria</t>
  </si>
  <si>
    <t>Kibwa</t>
  </si>
  <si>
    <t>UG-CEN-1107-393</t>
  </si>
  <si>
    <t>Teo  Kawuma</t>
  </si>
  <si>
    <t>kingo</t>
  </si>
  <si>
    <t>Nzizi B</t>
  </si>
  <si>
    <t>UG-CEN-1107-3956</t>
  </si>
  <si>
    <t xml:space="preserve">Samuel  Kagambo </t>
  </si>
  <si>
    <t>Kabila</t>
  </si>
  <si>
    <t>Kakyanga</t>
  </si>
  <si>
    <t>UG-CEN-1107-4300</t>
  </si>
  <si>
    <t>Sempala  Dan</t>
  </si>
  <si>
    <t>Maanyi</t>
  </si>
  <si>
    <t>Kaato</t>
  </si>
  <si>
    <t>UG-CEN-1107-4386</t>
  </si>
  <si>
    <t>Edirisa  Sserwanga</t>
  </si>
  <si>
    <t>Katente B</t>
  </si>
  <si>
    <t>UG-CEN-1107-4411</t>
  </si>
  <si>
    <t>Moses Lule</t>
  </si>
  <si>
    <t>Kimenyede</t>
  </si>
  <si>
    <t>Mayangayanga</t>
  </si>
  <si>
    <t>UG-CEN-1107-4412</t>
  </si>
  <si>
    <t>David  Bulime</t>
  </si>
  <si>
    <t>Kirinyabigo-Kisamba</t>
  </si>
  <si>
    <t>UG-CEN-1107-4502</t>
  </si>
  <si>
    <t>Nampeera  Dorophy</t>
  </si>
  <si>
    <t>Bulabakulu</t>
  </si>
  <si>
    <t>UG-CEN-1103-3881</t>
  </si>
  <si>
    <t>Michael  Kiiza</t>
  </si>
  <si>
    <t>UG-CEN-1107-4559</t>
  </si>
  <si>
    <t>Nsabimana  James</t>
  </si>
  <si>
    <t>Sekanyonyi</t>
  </si>
  <si>
    <t>Kitanswa</t>
  </si>
  <si>
    <t>UG-CEN-1107-4561</t>
  </si>
  <si>
    <t>Saaja  Vicent</t>
  </si>
  <si>
    <t>Maleku</t>
  </si>
  <si>
    <t>UG-CEN-1107-4577</t>
  </si>
  <si>
    <t>Ssenyingo  Sebastian</t>
  </si>
  <si>
    <t>Kalongalo</t>
  </si>
  <si>
    <t>UG-CEN-1107-4705</t>
  </si>
  <si>
    <t>Nabukalu  Gladys</t>
  </si>
  <si>
    <t>Kikkati</t>
  </si>
  <si>
    <t>UG-CEN-1107-844</t>
  </si>
  <si>
    <t>Ddumba Nviiri Frank Washington</t>
  </si>
  <si>
    <t>Edward Kirumira</t>
  </si>
  <si>
    <t>Ssango</t>
  </si>
  <si>
    <t>KEJS</t>
  </si>
  <si>
    <t>UG-CEN-1108-1035</t>
  </si>
  <si>
    <t>Kigozi  Wilson</t>
  </si>
  <si>
    <t>Kibaggu</t>
  </si>
  <si>
    <t>UG-CEN-1104-1038</t>
  </si>
  <si>
    <t>Kimuli  Abel</t>
  </si>
  <si>
    <t>Manyogaseka</t>
  </si>
  <si>
    <t>UG-CEN-1108-1036</t>
  </si>
  <si>
    <t>Kibuuka  Sam</t>
  </si>
  <si>
    <t>Nakitoola</t>
  </si>
  <si>
    <t>Kasule  Betty</t>
  </si>
  <si>
    <t>Kawolongojjo</t>
  </si>
  <si>
    <t>Ssemwanga  Muhamud</t>
  </si>
  <si>
    <t>Nalukwago  Kamiat</t>
  </si>
  <si>
    <t>Kasozi Mary</t>
  </si>
  <si>
    <t>mukungwe.</t>
  </si>
  <si>
    <t>Masaka lukaka.</t>
  </si>
  <si>
    <t>UG-CEN-1108-1110</t>
  </si>
  <si>
    <t>Kasujja Richard</t>
  </si>
  <si>
    <t>UG-CEN-1108-1136</t>
  </si>
  <si>
    <t>Katumba Charles</t>
  </si>
  <si>
    <t>Kituka Miliam</t>
  </si>
  <si>
    <t>Mariam Musanje</t>
  </si>
  <si>
    <t>Ssemwogere Robert</t>
  </si>
  <si>
    <t>Namugoggo</t>
  </si>
  <si>
    <t>UG-CEN-1108-1382</t>
  </si>
  <si>
    <t>Mr Buuye  David</t>
  </si>
  <si>
    <t>UG-CEN-1108-1945</t>
  </si>
  <si>
    <t>Sekitto Godfrey</t>
  </si>
  <si>
    <t>Kasaamu</t>
  </si>
  <si>
    <t>Zziwa Patrick</t>
  </si>
  <si>
    <t>UG-CEN-1108-2533</t>
  </si>
  <si>
    <t>Muhumuza  Elly Doctor</t>
  </si>
  <si>
    <t>mawogola south</t>
  </si>
  <si>
    <t>bamuwanga</t>
  </si>
  <si>
    <t>UG-CEN-1108-2671</t>
  </si>
  <si>
    <t>Mpoza Edward</t>
  </si>
  <si>
    <t>Goli_Seeta</t>
  </si>
  <si>
    <t>Nsimbi  Perigirino</t>
  </si>
  <si>
    <t>Maddu</t>
  </si>
  <si>
    <t xml:space="preserve">Haruna  Lukyamuzi </t>
  </si>
  <si>
    <t>ssenyange</t>
  </si>
  <si>
    <t>UG-CEN-1108-3328</t>
  </si>
  <si>
    <t xml:space="preserve">Tunezerewe  Erastus </t>
  </si>
  <si>
    <t>UG-CEN-1108-3359</t>
  </si>
  <si>
    <t>Brenda  Sserugo</t>
  </si>
  <si>
    <t>Silas  Nsubuga</t>
  </si>
  <si>
    <t>Nakalya</t>
  </si>
  <si>
    <t>UG-CEN-1108-3834</t>
  </si>
  <si>
    <t>Wilson  Makubuya</t>
  </si>
  <si>
    <t>Katikamu south</t>
  </si>
  <si>
    <t>Makurubita</t>
  </si>
  <si>
    <t>Mulira</t>
  </si>
  <si>
    <t>UG-CEN-1108-3842</t>
  </si>
  <si>
    <t>Joyce  Nandawula Nakayi</t>
  </si>
  <si>
    <t>UG-CEN-1108-3870</t>
  </si>
  <si>
    <t>Eleanor  Kambungu</t>
  </si>
  <si>
    <t>Kyalugondo</t>
  </si>
  <si>
    <t>Judith  Ngarukire</t>
  </si>
  <si>
    <t>Busiro South</t>
  </si>
  <si>
    <t>Nkumba central</t>
  </si>
  <si>
    <t>UG-CEN-1108-3935</t>
  </si>
  <si>
    <t>Asuman  Bbosa</t>
  </si>
  <si>
    <t>Bada</t>
  </si>
  <si>
    <t>UG-CEN-1108-3944</t>
  </si>
  <si>
    <t>Jane  Kanakulya</t>
  </si>
  <si>
    <t>UG-CEN-1108-3946</t>
  </si>
  <si>
    <t>Robert  Kyambadde</t>
  </si>
  <si>
    <t>Michael  Lubowa</t>
  </si>
  <si>
    <t>Buwanuka</t>
  </si>
  <si>
    <t>UG-CEN-1108-4339</t>
  </si>
  <si>
    <t>Rev Jjuuju  Gideon</t>
  </si>
  <si>
    <t>Nakuwadde</t>
  </si>
  <si>
    <t>UG-CEN-1108-4387</t>
  </si>
  <si>
    <t>Godfrey  Lule Buyondo</t>
  </si>
  <si>
    <t>UG-CEN-1104-4506</t>
  </si>
  <si>
    <t>Sekitoleko  Joseph Nkata</t>
  </si>
  <si>
    <t>Maanyj</t>
  </si>
  <si>
    <t>Serinya</t>
  </si>
  <si>
    <t>UG-CEN-1108-4437</t>
  </si>
  <si>
    <t>Mowonge Gonzaga</t>
  </si>
  <si>
    <t>UG-CEN-1108-4551</t>
  </si>
  <si>
    <t>Mutangizi  Muhamad</t>
  </si>
  <si>
    <t>Nakwaya</t>
  </si>
  <si>
    <t>Nkundizana  Charles</t>
  </si>
  <si>
    <t>Nakasero</t>
  </si>
  <si>
    <t>UG-CEN-1108-4575</t>
  </si>
  <si>
    <t>Nyanzi  Andrew</t>
  </si>
  <si>
    <t>Kalangalo</t>
  </si>
  <si>
    <t>UG-CEN-1108-4576</t>
  </si>
  <si>
    <t>Ssali  Auguston</t>
  </si>
  <si>
    <t>Kibalangulo</t>
  </si>
  <si>
    <t>UG-CEN-1108-4669</t>
  </si>
  <si>
    <t>Mukaaya  Annet</t>
  </si>
  <si>
    <t>Mityana south</t>
  </si>
  <si>
    <t>Kambuzi</t>
  </si>
  <si>
    <t>UG-CEN-1108-5227</t>
  </si>
  <si>
    <t>Joseph  Ntege</t>
  </si>
  <si>
    <t>Zaana</t>
  </si>
  <si>
    <t>UG-CEN-1108-5331</t>
  </si>
  <si>
    <t>Hilda  Nsereko</t>
  </si>
  <si>
    <t>Maganjo A</t>
  </si>
  <si>
    <t>Annet Matale</t>
  </si>
  <si>
    <t>Kafumu</t>
  </si>
  <si>
    <t>UG-CEN-1105-05315</t>
  </si>
  <si>
    <t>Samuel  Kuluubya</t>
  </si>
  <si>
    <t>Nsawo</t>
  </si>
  <si>
    <t>Emailly Bourgeois</t>
  </si>
  <si>
    <t>Ssemogerere Gerald</t>
  </si>
  <si>
    <t>UG-CEN-1109-1034</t>
  </si>
  <si>
    <t>Kasolo  Moses</t>
  </si>
  <si>
    <t>Busunju</t>
  </si>
  <si>
    <t>Kayizzi  John</t>
  </si>
  <si>
    <t>Magala  Robert</t>
  </si>
  <si>
    <t>Hfrkituuma Herman</t>
  </si>
  <si>
    <t>Katigondo</t>
  </si>
  <si>
    <t>Rusoke Katasi</t>
  </si>
  <si>
    <t>bukasa</t>
  </si>
  <si>
    <t>Musumbusi Joseph</t>
  </si>
  <si>
    <t>UG-CEN-1109-1317</t>
  </si>
  <si>
    <t>Mary Namikinga</t>
  </si>
  <si>
    <t>MatugKito</t>
  </si>
  <si>
    <t>UG-CEN-1109-13330</t>
  </si>
  <si>
    <t>Mateega Anthony</t>
  </si>
  <si>
    <t>Nakimuli Kawooya Justine</t>
  </si>
  <si>
    <t>nsasa</t>
  </si>
  <si>
    <t>UG-CEN-1109-1561</t>
  </si>
  <si>
    <t>Ssesanga Milly</t>
  </si>
  <si>
    <t>Namutegere Andrew</t>
  </si>
  <si>
    <t>gombe</t>
  </si>
  <si>
    <t>matuuga</t>
  </si>
  <si>
    <t>UG-CEN-1109-1941</t>
  </si>
  <si>
    <t>Ssekaluvu  Joseph</t>
  </si>
  <si>
    <t>UG-CEN-1109-1982</t>
  </si>
  <si>
    <t>Taddeus  Tonda</t>
  </si>
  <si>
    <t>Kasamu</t>
  </si>
  <si>
    <t>UG-CEN-1109-2058</t>
  </si>
  <si>
    <t>Wasswa Joseph William</t>
  </si>
  <si>
    <t>UG-CEN-1109-2064</t>
  </si>
  <si>
    <t>Sande Were</t>
  </si>
  <si>
    <t>UG-CEN-1109-2615</t>
  </si>
  <si>
    <t>Chriseston  Ssansa Mutagejja</t>
  </si>
  <si>
    <t>UG-CEN-1109-2618</t>
  </si>
  <si>
    <t>Liz  Namayega Mary</t>
  </si>
  <si>
    <t>UG-CEN-1109-2963</t>
  </si>
  <si>
    <t>Kalibala  John</t>
  </si>
  <si>
    <t>Bwalantama</t>
  </si>
  <si>
    <t>UG-CEN-1109-2964</t>
  </si>
  <si>
    <t>Wanyana  Prossy</t>
  </si>
  <si>
    <t>Kigabi</t>
  </si>
  <si>
    <t>UG-CEN-1109-2990</t>
  </si>
  <si>
    <t>Kizito  Benard</t>
  </si>
  <si>
    <t>Kitigi lwajja</t>
  </si>
  <si>
    <t>Nakibinge  John Chrisestom</t>
  </si>
  <si>
    <t>Kitakyusa</t>
  </si>
  <si>
    <t>UG-CEN-1109-2992</t>
  </si>
  <si>
    <t>Ndagire  Justine</t>
  </si>
  <si>
    <t>Mulama,_katiko</t>
  </si>
  <si>
    <t xml:space="preserve">Mukasa Rebecca </t>
  </si>
  <si>
    <t>Ajiija</t>
  </si>
  <si>
    <t>UG-CEN-1109-3396</t>
  </si>
  <si>
    <t>Gatrude  Muyigwa</t>
  </si>
  <si>
    <t>UG-CEN-1109-381</t>
  </si>
  <si>
    <t>Hilda  Baki Kato</t>
  </si>
  <si>
    <t>kimanya</t>
  </si>
  <si>
    <t>UG-CEN-1105-2982</t>
  </si>
  <si>
    <t>shifted to another location</t>
  </si>
  <si>
    <t>Nsumba  Ezra</t>
  </si>
  <si>
    <t>Kayenje</t>
  </si>
  <si>
    <t>UG-CEN-1109-408</t>
  </si>
  <si>
    <t>Muini Nsaaliwa</t>
  </si>
  <si>
    <t>UG-CEN-1109-4322</t>
  </si>
  <si>
    <t>Gorret  Kabanda</t>
  </si>
  <si>
    <t>Namayuba T.C</t>
  </si>
  <si>
    <t>UG-CEN-1109-4503</t>
  </si>
  <si>
    <t>Kigozi  Rogers</t>
  </si>
  <si>
    <t>Ndeese</t>
  </si>
  <si>
    <t>UG-CEN-1109-4565</t>
  </si>
  <si>
    <t>Mbuga  Erisa</t>
  </si>
  <si>
    <t>Kiryassaka</t>
  </si>
  <si>
    <t>UG-CEN-1109-5076</t>
  </si>
  <si>
    <t xml:space="preserve">Magret  Byabagambi </t>
  </si>
  <si>
    <t>Lyantonde</t>
  </si>
  <si>
    <t>kyetume</t>
  </si>
  <si>
    <t>UG-CEN-1109-5161</t>
  </si>
  <si>
    <t>Christopher  Bitandikwa Kiggundu</t>
  </si>
  <si>
    <t>Masajja</t>
  </si>
  <si>
    <t>UG-CEN-1109-5186</t>
  </si>
  <si>
    <t>Brain  Muwonge Liku Robert</t>
  </si>
  <si>
    <t>Namayina</t>
  </si>
  <si>
    <t>UG-CEN-1109-699</t>
  </si>
  <si>
    <t>Anatoli  Kamal</t>
  </si>
  <si>
    <t>Nyomerwa</t>
  </si>
  <si>
    <t>Harriet Mulindwa</t>
  </si>
  <si>
    <t>Lumuli</t>
  </si>
  <si>
    <t>Muddu Kabanda Deo</t>
  </si>
  <si>
    <t>Misanvu</t>
  </si>
  <si>
    <t>UG-CEN-1105-3779</t>
  </si>
  <si>
    <t>Expedito  Nsubuga</t>
  </si>
  <si>
    <t>Nakiwongo</t>
  </si>
  <si>
    <t>UG-CEN-1110-1062</t>
  </si>
  <si>
    <t>Kajaya  Edward</t>
  </si>
  <si>
    <t>UG-CEN-1110-1094</t>
  </si>
  <si>
    <t>Namazzi  Annet</t>
  </si>
  <si>
    <t>Ssekandi  Godfrey</t>
  </si>
  <si>
    <t>Abdala  Waswa</t>
  </si>
  <si>
    <t>Kibike</t>
  </si>
  <si>
    <t>Lwanga Emmanuel</t>
  </si>
  <si>
    <t>Bumbo</t>
  </si>
  <si>
    <t>Kiyengo Edward</t>
  </si>
  <si>
    <t>Sega</t>
  </si>
  <si>
    <t>UG-CEN-1110-2434</t>
  </si>
  <si>
    <t>Kalikyejjo Edith</t>
  </si>
  <si>
    <t>Nyenga</t>
  </si>
  <si>
    <t>Bulumagi</t>
  </si>
  <si>
    <t>UG-CEN-1110-2604</t>
  </si>
  <si>
    <t xml:space="preserve">Oliver  Nakyanzi </t>
  </si>
  <si>
    <t>kiseka</t>
  </si>
  <si>
    <t>Seke</t>
  </si>
  <si>
    <t>Mary  Musisi Nalubwama</t>
  </si>
  <si>
    <t>UG-CEN-1110-2941</t>
  </si>
  <si>
    <t>Kibirige  Moses Sebunya</t>
  </si>
  <si>
    <t>Malangala</t>
  </si>
  <si>
    <t>Kawanga</t>
  </si>
  <si>
    <t>UG-CEN-1110-2957</t>
  </si>
  <si>
    <t>Ssali  Regina</t>
  </si>
  <si>
    <t>UG-CEN-1110-2966</t>
  </si>
  <si>
    <t>Kibeera  Paul</t>
  </si>
  <si>
    <t>Kibaale</t>
  </si>
  <si>
    <t>UG-CEN-1110-2988</t>
  </si>
  <si>
    <t>Ddamba  Joseph</t>
  </si>
  <si>
    <t>Mawokota south</t>
  </si>
  <si>
    <t>Bukemba</t>
  </si>
  <si>
    <t>UG-CEN-1110-3088</t>
  </si>
  <si>
    <t>George  Kasede Mukasa</t>
  </si>
  <si>
    <t xml:space="preserve">Agnes  Ssemakula </t>
  </si>
  <si>
    <t>UG-CEN-1110-3990</t>
  </si>
  <si>
    <t>Bulu  Hajji Katale Ibraim</t>
  </si>
  <si>
    <t>manywa.</t>
  </si>
  <si>
    <t>UG-CEN-1110-3991</t>
  </si>
  <si>
    <t>Kibuka Musoke</t>
  </si>
  <si>
    <t>Katabisongola</t>
  </si>
  <si>
    <t>UG-CEN-1110-4376</t>
  </si>
  <si>
    <t>Juliet   Mayanja</t>
  </si>
  <si>
    <t>Kyabakadde</t>
  </si>
  <si>
    <t>UG-CEN-1110-4501</t>
  </si>
  <si>
    <t>Lwembawo  Thomas</t>
  </si>
  <si>
    <t>Kalyankoko</t>
  </si>
  <si>
    <t>UG-CEN-1110-4552</t>
  </si>
  <si>
    <t>Kiwanuka  Eddy</t>
  </si>
  <si>
    <t>Bbombo</t>
  </si>
  <si>
    <t>UG-CEN-1110-4562</t>
  </si>
  <si>
    <t>Kalungi  Gabriel Kibirige</t>
  </si>
  <si>
    <t>Kyabiiri</t>
  </si>
  <si>
    <t>UG-CEN-1110-5154</t>
  </si>
  <si>
    <t>Gelasius   Mukasa</t>
  </si>
  <si>
    <t>UG-CEN-1110-5160</t>
  </si>
  <si>
    <t>Jane Francis  Ssali</t>
  </si>
  <si>
    <t>Kazinga</t>
  </si>
  <si>
    <t>Tonda Deogratias</t>
  </si>
  <si>
    <t>UG-CEN-1110-852</t>
  </si>
  <si>
    <t>Mrs Rosemary Muwanga</t>
  </si>
  <si>
    <t>Galiwango Mark</t>
  </si>
  <si>
    <t>Mpigi TC</t>
  </si>
  <si>
    <t>UG-CEN-1111-1037</t>
  </si>
  <si>
    <t>Iga  Christopher</t>
  </si>
  <si>
    <t>Ngabo  Ismael</t>
  </si>
  <si>
    <t>Bujati Emmanuel</t>
  </si>
  <si>
    <t>Nakiragala</t>
  </si>
  <si>
    <t>Kisitu Musa</t>
  </si>
  <si>
    <t>Nakaliji</t>
  </si>
  <si>
    <t>Matia Lukwago</t>
  </si>
  <si>
    <t>Buwere</t>
  </si>
  <si>
    <t>UG-CEN-1111-1375</t>
  </si>
  <si>
    <t>Mpaaka Agnes</t>
  </si>
  <si>
    <t>Ssango B</t>
  </si>
  <si>
    <t>UG-CEN-1111-1406</t>
  </si>
  <si>
    <t>Mrs Lule Teddy</t>
  </si>
  <si>
    <t>Kirimya.</t>
  </si>
  <si>
    <t>Musisi Daniel</t>
  </si>
  <si>
    <t>Buso</t>
  </si>
  <si>
    <t>UG-CEN-1111-1876</t>
  </si>
  <si>
    <t>Salonga Matovu</t>
  </si>
  <si>
    <t>kigogwa</t>
  </si>
  <si>
    <t>Namukasa Annet</t>
  </si>
  <si>
    <t>Kabonera .</t>
  </si>
  <si>
    <t>UG-CEN-1111-1895</t>
  </si>
  <si>
    <t>Sekitoreko Bernard</t>
  </si>
  <si>
    <t>Mutuba 1</t>
  </si>
  <si>
    <t>Kasozi</t>
  </si>
  <si>
    <t>Trody Odida</t>
  </si>
  <si>
    <t>UG-CEN-1111-2865</t>
  </si>
  <si>
    <t>Peter  Semwezi</t>
  </si>
  <si>
    <t>UG-CEN-1111-2912</t>
  </si>
  <si>
    <t>Kayongo  Debora</t>
  </si>
  <si>
    <t>Kyerima</t>
  </si>
  <si>
    <t>UG-CEN-1111-2950</t>
  </si>
  <si>
    <t>Kagabo  Elifaz</t>
  </si>
  <si>
    <t>Bbanda</t>
  </si>
  <si>
    <t>Kanyale</t>
  </si>
  <si>
    <t>Rainbow  Andrew Hotel</t>
  </si>
  <si>
    <t>UG-CEN-1111-2958</t>
  </si>
  <si>
    <t>Kanyerezi  George William</t>
  </si>
  <si>
    <t>Kyesengeze</t>
  </si>
  <si>
    <t>UG-CEN-1111-2965</t>
  </si>
  <si>
    <t>Ssenyondo  Lauben</t>
  </si>
  <si>
    <t>UG-CEN-1111-2967</t>
  </si>
  <si>
    <t>Kizito  Tonie</t>
  </si>
  <si>
    <t>Buleeya</t>
  </si>
  <si>
    <t>UG-CEN-1111-2989</t>
  </si>
  <si>
    <t>Kawuulu  John</t>
  </si>
  <si>
    <t>UG-CEN-1111-2994</t>
  </si>
  <si>
    <t>Mutemankada  Louis</t>
  </si>
  <si>
    <t>Ssingo(mityana)</t>
  </si>
  <si>
    <t>UG-CEN-1111-2996</t>
  </si>
  <si>
    <t>Kantinti  Hamis</t>
  </si>
  <si>
    <t>Busimbi_central divion</t>
  </si>
  <si>
    <t>Butebi</t>
  </si>
  <si>
    <t>UG-CEN-1111-3489</t>
  </si>
  <si>
    <t>Sebuliba  Mutumba</t>
  </si>
  <si>
    <t>UG-CEN-1111-3892</t>
  </si>
  <si>
    <t>George  Mubiru</t>
  </si>
  <si>
    <t>Kito</t>
  </si>
  <si>
    <t>UG-CEN-1111-390</t>
  </si>
  <si>
    <t>Pasco  Lwanga Lwanga</t>
  </si>
  <si>
    <t>kabulasoke</t>
  </si>
  <si>
    <t>UG-CEN-1111-3934</t>
  </si>
  <si>
    <t>Fred  Mugambi</t>
  </si>
  <si>
    <t>UG-CEN-1111-395</t>
  </si>
  <si>
    <t>Vicent  Ssekindu</t>
  </si>
  <si>
    <t>Kkingo</t>
  </si>
  <si>
    <t>Nabyewanga.</t>
  </si>
  <si>
    <t>UG-CEN-1111-4375</t>
  </si>
  <si>
    <t>Justine  Mayanja</t>
  </si>
  <si>
    <t>Kamugisha Aden</t>
  </si>
  <si>
    <t>kisagazi</t>
  </si>
  <si>
    <t>Muganiira  Apollo</t>
  </si>
  <si>
    <t>Kabongezo</t>
  </si>
  <si>
    <t>UG-CEN-1111-4564</t>
  </si>
  <si>
    <t>Kasekende  Vicent</t>
  </si>
  <si>
    <t>Kabaale</t>
  </si>
  <si>
    <t>UG-CEN-1106-3821</t>
  </si>
  <si>
    <t>Asuman  Nakabale-RIP</t>
  </si>
  <si>
    <t>Lugungudde</t>
  </si>
  <si>
    <t>UG-CEN-1111-4721</t>
  </si>
  <si>
    <t>Dr Wujabi  Vicent</t>
  </si>
  <si>
    <t>Bukaya west</t>
  </si>
  <si>
    <t>UG-CEN-1106-398</t>
  </si>
  <si>
    <t>Christine  Kitumba</t>
  </si>
  <si>
    <t>UG-CEN-1111-5178</t>
  </si>
  <si>
    <t>Desiderata  Nakitto</t>
  </si>
  <si>
    <t>Bulenga</t>
  </si>
  <si>
    <t>UG-CEN-1111-5247</t>
  </si>
  <si>
    <t>Juliet  Sekabanja</t>
  </si>
  <si>
    <t>UG-CEN-1111-5351</t>
  </si>
  <si>
    <t>Nkubano  Matia</t>
  </si>
  <si>
    <t>Kanyogoga,buzibazi</t>
  </si>
  <si>
    <t>Mubiru Fred</t>
  </si>
  <si>
    <t>Kayabe</t>
  </si>
  <si>
    <t>Mutebi Hajji Nuhu</t>
  </si>
  <si>
    <t>Buchuro</t>
  </si>
  <si>
    <t>UG-CEN-1112-1061</t>
  </si>
  <si>
    <t>Kaiza Mukasa</t>
  </si>
  <si>
    <t>Kasekende A</t>
  </si>
  <si>
    <t>UG-CEN-1107-1088</t>
  </si>
  <si>
    <t>Ssemwanga  Hamza</t>
  </si>
  <si>
    <t>UG-CEN-1112-1217</t>
  </si>
  <si>
    <t>Kiwanuka John Bosco</t>
  </si>
  <si>
    <t>Gwayambade Mukasa</t>
  </si>
  <si>
    <t>Nakatudde Ssali F</t>
  </si>
  <si>
    <t>Nalubega Alizik</t>
  </si>
  <si>
    <t>Migadde</t>
  </si>
  <si>
    <t>Mrs Kidedde  Marusya</t>
  </si>
  <si>
    <t>kigo</t>
  </si>
  <si>
    <t>Nkangabwa Abdu</t>
  </si>
  <si>
    <t>Kagasa</t>
  </si>
  <si>
    <t>Sonko Kasiimu</t>
  </si>
  <si>
    <t>Serut</t>
  </si>
  <si>
    <t>Kyebonere  Lameck</t>
  </si>
  <si>
    <t>kyegonza</t>
  </si>
  <si>
    <t>namabeya</t>
  </si>
  <si>
    <t>UG-CEN-1112-2909</t>
  </si>
  <si>
    <t>Naluggya  Zulaika</t>
  </si>
  <si>
    <t>Ngando village</t>
  </si>
  <si>
    <t>UG-CEN-1112-2911</t>
  </si>
  <si>
    <t>Nabagala  Bety Mayengo</t>
  </si>
  <si>
    <t>UG-CEN-1112-2969</t>
  </si>
  <si>
    <t>Mayanja  Fred</t>
  </si>
  <si>
    <t>Lubanyi</t>
  </si>
  <si>
    <t>UG-CEN-1112-2970</t>
  </si>
  <si>
    <t>Niyonteze  Spiriano</t>
  </si>
  <si>
    <t>UG-CEN-1112-2971</t>
  </si>
  <si>
    <t>Kiwanuka  Rajab</t>
  </si>
  <si>
    <t>Serungwangu</t>
  </si>
  <si>
    <t>UG-CEN-1112-2972</t>
  </si>
  <si>
    <t>Mukasa  Grace Nalongo</t>
  </si>
  <si>
    <t>Sangala</t>
  </si>
  <si>
    <t>UG-CEN-1112-3850</t>
  </si>
  <si>
    <t>Bernard  Ssemakula</t>
  </si>
  <si>
    <t>Nsaasi</t>
  </si>
  <si>
    <t>UG-CEN-1112-389</t>
  </si>
  <si>
    <t>Immacilate  Mayanja</t>
  </si>
  <si>
    <t>kyabogo</t>
  </si>
  <si>
    <t>UG-CEN-1112-4374</t>
  </si>
  <si>
    <t>Costance   Kyeyune</t>
  </si>
  <si>
    <t>Simon  Wanjala</t>
  </si>
  <si>
    <t>UG-CEN-1112-4507</t>
  </si>
  <si>
    <t>Kazibwe  Swaib</t>
  </si>
  <si>
    <t>UG-CEN-1112-4578</t>
  </si>
  <si>
    <t>Mayengo Ronald Mayanja</t>
  </si>
  <si>
    <t>UG-CEN-1112-4665</t>
  </si>
  <si>
    <t>Mwange  Ahmed</t>
  </si>
  <si>
    <t>Kasozo</t>
  </si>
  <si>
    <t>UG-CEN-1112-5185</t>
  </si>
  <si>
    <t>Lugudde  Kakinda Daniel</t>
  </si>
  <si>
    <t>Buyinja Zone</t>
  </si>
  <si>
    <t>UG-CEN-1112-5212</t>
  </si>
  <si>
    <t>Joram  Namunsi</t>
  </si>
  <si>
    <t>Namere</t>
  </si>
  <si>
    <t>UG-CEN-1112-5216</t>
  </si>
  <si>
    <t>Monica  Walunsimbi</t>
  </si>
  <si>
    <t>UG-CEN-1107-3546</t>
  </si>
  <si>
    <t xml:space="preserve">Rita  Ssekyewa </t>
  </si>
  <si>
    <t xml:space="preserve">Bukoto </t>
  </si>
  <si>
    <t>Ssenya</t>
  </si>
  <si>
    <t>UG-CEN-1112-5243</t>
  </si>
  <si>
    <t>Johnmary  Katende</t>
  </si>
  <si>
    <t>Kawukuggaba</t>
  </si>
  <si>
    <t>UG-CEN-1112-5312</t>
  </si>
  <si>
    <t>Edward  Ssebunfu</t>
  </si>
  <si>
    <t>Nzu</t>
  </si>
  <si>
    <t>UG-CEN-1112-5326</t>
  </si>
  <si>
    <t>Wilson   Gingo</t>
  </si>
  <si>
    <t>Makulubita</t>
  </si>
  <si>
    <t>UG-CEN-1107-397</t>
  </si>
  <si>
    <t xml:space="preserve">Rosemary   Nantumbwe </t>
  </si>
  <si>
    <t>kisoso.</t>
  </si>
  <si>
    <t>Entomocide/TAALI</t>
  </si>
  <si>
    <t>UG-CEN-1201-1047</t>
  </si>
  <si>
    <t>Namutebi  Mataali Hadija</t>
  </si>
  <si>
    <t>Budde</t>
  </si>
  <si>
    <t>Kyabadaza</t>
  </si>
  <si>
    <t>Nasali  Beatrice Mitaala</t>
  </si>
  <si>
    <t>Mugalu  Paul</t>
  </si>
  <si>
    <t>Kabule</t>
  </si>
  <si>
    <t>Ssala kabule</t>
  </si>
  <si>
    <t>UG-CEN-1201-1277</t>
  </si>
  <si>
    <t>Luyinda  Farooq</t>
  </si>
  <si>
    <t>Police Centre</t>
  </si>
  <si>
    <t>Nanteza Cissy</t>
  </si>
  <si>
    <t>ayembegambogo upper</t>
  </si>
  <si>
    <t>Semakula Francis</t>
  </si>
  <si>
    <t>Kakynyu</t>
  </si>
  <si>
    <t>UG-CEN-1201-2951</t>
  </si>
  <si>
    <t>Bwemere  Paulina</t>
  </si>
  <si>
    <t>UG-CEN-1201-2952</t>
  </si>
  <si>
    <t>Ssebiranda  Emmanuel</t>
  </si>
  <si>
    <t>UG-CEN-1201-2953</t>
  </si>
  <si>
    <t>Nsereko  David</t>
  </si>
  <si>
    <t>UG-CEN-1201-2973</t>
  </si>
  <si>
    <t>Matovu  Erica</t>
  </si>
  <si>
    <t>Kabungo</t>
  </si>
  <si>
    <t>UG-CEN-1201-2981</t>
  </si>
  <si>
    <t>Seremba  Vicent</t>
  </si>
  <si>
    <t>Gombe T c</t>
  </si>
  <si>
    <t>Nyanama</t>
  </si>
  <si>
    <t>UG-CEN-1201-3767</t>
  </si>
  <si>
    <t>Resty Nantongo Kibuuka</t>
  </si>
  <si>
    <t>Kasanje</t>
  </si>
  <si>
    <t>Mako</t>
  </si>
  <si>
    <t>UG-CEN-1201-4308</t>
  </si>
  <si>
    <t>Miriam  Kalule</t>
  </si>
  <si>
    <t>Mituba ebiri</t>
  </si>
  <si>
    <t>Kikoma</t>
  </si>
  <si>
    <t>UG-CEN-1201-4452</t>
  </si>
  <si>
    <t>Dennis  Yiga</t>
  </si>
  <si>
    <t>Kyungu</t>
  </si>
  <si>
    <t>UG-CEN-1201-4555</t>
  </si>
  <si>
    <t>Kagolo  Robinson</t>
  </si>
  <si>
    <t>UG-CEN-1201-4567</t>
  </si>
  <si>
    <t>Tumwebaze  Moses</t>
  </si>
  <si>
    <t>Bbuye</t>
  </si>
  <si>
    <t>Kasule   Hussein</t>
  </si>
  <si>
    <t>Nabuuna  Youdaya Hajjati</t>
  </si>
  <si>
    <t>Wakisi</t>
  </si>
  <si>
    <t>Kilugu</t>
  </si>
  <si>
    <t>UG-CEN-1201-5183</t>
  </si>
  <si>
    <t>Hirome  Sulaiman</t>
  </si>
  <si>
    <t>Kabuwoko</t>
  </si>
  <si>
    <t>UG-CEN-1201-5210</t>
  </si>
  <si>
    <t>Richard  Ssekamwa</t>
  </si>
  <si>
    <t>Mulawa</t>
  </si>
  <si>
    <t>UG-CEN-1202-1081</t>
  </si>
  <si>
    <t>Nawuba  George william</t>
  </si>
  <si>
    <t>Vvumbe</t>
  </si>
  <si>
    <t>Kakande  Robinah</t>
  </si>
  <si>
    <t>Taamu Divison</t>
  </si>
  <si>
    <t>UG-CEN-1202-1148</t>
  </si>
  <si>
    <t>Kauma Ronald</t>
  </si>
  <si>
    <t>Mary Nakitende</t>
  </si>
  <si>
    <t>Nabuye Rose</t>
  </si>
  <si>
    <t>Kumbya</t>
  </si>
  <si>
    <t>UG-CEN-1202-141</t>
  </si>
  <si>
    <t>Ndawula Harriet</t>
  </si>
  <si>
    <t>More than 1 Plant Per Household</t>
  </si>
  <si>
    <t>Ssalongo Yiga Isdore Plant 1</t>
  </si>
  <si>
    <t>UG-CEN-1202-1955</t>
  </si>
  <si>
    <t>Sempebwa Edward Frederick</t>
  </si>
  <si>
    <t>Dinah N Kiiza</t>
  </si>
  <si>
    <t>Nakawa division</t>
  </si>
  <si>
    <t>Luzira</t>
  </si>
  <si>
    <t>UG-CEN-1202-2470</t>
  </si>
  <si>
    <t>Mukasa  Kasawuli Samona</t>
  </si>
  <si>
    <t>mawokota</t>
  </si>
  <si>
    <t>kamengo</t>
  </si>
  <si>
    <t>kibanga</t>
  </si>
  <si>
    <t>Kamada  Seye</t>
  </si>
  <si>
    <t>lubugo</t>
  </si>
  <si>
    <t>UG-CEN-1202-2481</t>
  </si>
  <si>
    <t>Nakitende  Gorrette</t>
  </si>
  <si>
    <t>UG-CEN-1202-2531</t>
  </si>
  <si>
    <t>Ssekamate  Sulaiman Hajji</t>
  </si>
  <si>
    <t>masambya</t>
  </si>
  <si>
    <t>UG-CEN-1108-3397</t>
  </si>
  <si>
    <t>Resty  Nabumba</t>
  </si>
  <si>
    <t>UG-CEN-1108-3800</t>
  </si>
  <si>
    <t>Grace  Tayebwa</t>
  </si>
  <si>
    <t>Lydia Kiwanuka</t>
  </si>
  <si>
    <t>UG-CEN-1202-261</t>
  </si>
  <si>
    <t>Kizito Nicholas</t>
  </si>
  <si>
    <t>Nalongo  Muganwa</t>
  </si>
  <si>
    <t>Bukoloto</t>
  </si>
  <si>
    <t>UG-CEN-1202-2830</t>
  </si>
  <si>
    <t>Joseph  Kabiswa</t>
  </si>
  <si>
    <t>Ndeeba village</t>
  </si>
  <si>
    <t>Sembwayo  Abdukadili</t>
  </si>
  <si>
    <t>UG-CEN-1202-284</t>
  </si>
  <si>
    <t>Lule Henry</t>
  </si>
  <si>
    <t>UG-CEN-1202-2843</t>
  </si>
  <si>
    <t>David  Kiyaga</t>
  </si>
  <si>
    <t>Busagazi</t>
  </si>
  <si>
    <t>UG-CEN-1202-2844</t>
  </si>
  <si>
    <t>Samson  Wanambwa</t>
  </si>
  <si>
    <t>UG-CEN-1202-2866</t>
  </si>
  <si>
    <t>Emmanuel  Gizamba</t>
  </si>
  <si>
    <t>UG-CEN-1202-2869</t>
  </si>
  <si>
    <t>Livingstone  Guloba</t>
  </si>
  <si>
    <t>Kiremezi (B)</t>
  </si>
  <si>
    <t>UG-CEN-1202-2870</t>
  </si>
  <si>
    <t>Fred  Kalima</t>
  </si>
  <si>
    <t>Nsiim-Salaama</t>
  </si>
  <si>
    <t>UG-CEN-1202-2874</t>
  </si>
  <si>
    <t>Scovia  Nabagala</t>
  </si>
  <si>
    <t>Kisoga</t>
  </si>
  <si>
    <t>UG-CEN-1202-2885</t>
  </si>
  <si>
    <t>Ronald  Kizito</t>
  </si>
  <si>
    <t>Kangulumira</t>
  </si>
  <si>
    <t>Kawoomya Nyize</t>
  </si>
  <si>
    <t>UG-CEN-1202-2886</t>
  </si>
  <si>
    <t>Fredrick  Ndobo</t>
  </si>
  <si>
    <t>0772421021/0704781850</t>
  </si>
  <si>
    <t>Buikwe North</t>
  </si>
  <si>
    <t>Bulyanteete</t>
  </si>
  <si>
    <t>UG-CEN-1202-2892</t>
  </si>
  <si>
    <t>Kibuuka  Samuel</t>
  </si>
  <si>
    <t>Mpatta</t>
  </si>
  <si>
    <t>UG-CEN-1202-2968</t>
  </si>
  <si>
    <t>Lutaaya  Irene</t>
  </si>
  <si>
    <t>UG-CEN-1202-3094</t>
  </si>
  <si>
    <t>Bamutange  Mubiru Matia</t>
  </si>
  <si>
    <t>0754847716/0777906480</t>
  </si>
  <si>
    <t>Kiwanga- Rwanda</t>
  </si>
  <si>
    <t>UG-CEN-1108-5162</t>
  </si>
  <si>
    <t>Moses  Tamale Ssali</t>
  </si>
  <si>
    <t>Kabuma</t>
  </si>
  <si>
    <t>UG-CEN-1202-3096</t>
  </si>
  <si>
    <t>Rose  Walakira</t>
  </si>
  <si>
    <t>Upper Nabuti</t>
  </si>
  <si>
    <t>UG-CEN-1202-3097</t>
  </si>
  <si>
    <t>Charles  Ssebale</t>
  </si>
  <si>
    <t>Upper-Nabuti</t>
  </si>
  <si>
    <t>UG-CEN-1202-3100</t>
  </si>
  <si>
    <t>Abudarazake  Kitatta Hajji</t>
  </si>
  <si>
    <t>Nsube</t>
  </si>
  <si>
    <t>UG-CEN-1202-3816</t>
  </si>
  <si>
    <t>William  Kibiringe</t>
  </si>
  <si>
    <t>Pascal  Niwebyona</t>
  </si>
  <si>
    <t>Kigoma</t>
  </si>
  <si>
    <t>UG-CEN-1202-4288</t>
  </si>
  <si>
    <t>Mutumba  Steven</t>
  </si>
  <si>
    <t>Bukuya</t>
  </si>
  <si>
    <t>Kuzza</t>
  </si>
  <si>
    <t>UG-CEN-1202-4360</t>
  </si>
  <si>
    <t>Joseph  Mubiru</t>
  </si>
  <si>
    <t>Kyesereka</t>
  </si>
  <si>
    <t>UG-CEN-1202-4379</t>
  </si>
  <si>
    <t>Sylvia  Mukasa</t>
  </si>
  <si>
    <t>Kikabya</t>
  </si>
  <si>
    <t>UG-CEN-1202-4389</t>
  </si>
  <si>
    <t>Samson  Kalanzi</t>
  </si>
  <si>
    <t>Kiboba</t>
  </si>
  <si>
    <t>UG-CEN-1202-4398</t>
  </si>
  <si>
    <t>Bossa  Namirimu Theopista</t>
  </si>
  <si>
    <t>Kiyoola</t>
  </si>
  <si>
    <t>Phyllis  Kayondo</t>
  </si>
  <si>
    <t>Nabbaale</t>
  </si>
  <si>
    <t>Naggalama</t>
  </si>
  <si>
    <t>Vicent  Mukasa Ssalongo</t>
  </si>
  <si>
    <t>Gilinya</t>
  </si>
  <si>
    <t>UG-CEN-1202-4430</t>
  </si>
  <si>
    <t>Joan  Kakwenzire</t>
  </si>
  <si>
    <t>Mwanyangiri</t>
  </si>
  <si>
    <t>UG-CEN-1202-4498</t>
  </si>
  <si>
    <t>Paul Matovu2</t>
  </si>
  <si>
    <t>Lubugumu</t>
  </si>
  <si>
    <t>UG-CEN-1202-4664</t>
  </si>
  <si>
    <t>Ggingo  Mark</t>
  </si>
  <si>
    <t>Mabuye</t>
  </si>
  <si>
    <t>Rev Canon Charles Matovu</t>
  </si>
  <si>
    <t>Bujjo c.o.u</t>
  </si>
  <si>
    <t>UG-CEN-1202-4707</t>
  </si>
  <si>
    <t>Lutwama  Sofatia</t>
  </si>
  <si>
    <t>Bwaza</t>
  </si>
  <si>
    <t>UG-CEN-1202-4708</t>
  </si>
  <si>
    <t>Ssendagire  Edward</t>
  </si>
  <si>
    <t>UG-CEN-1202-5169</t>
  </si>
  <si>
    <t>Paul Matovu</t>
  </si>
  <si>
    <t>Kazo</t>
  </si>
  <si>
    <t>UG-CEN-1202-5239</t>
  </si>
  <si>
    <t>Eva  Konde</t>
  </si>
  <si>
    <t>Nakaana  Vicent Father</t>
  </si>
  <si>
    <t>katimba</t>
  </si>
  <si>
    <t>Hajat Nalubowa Masitula</t>
  </si>
  <si>
    <t>Mpigi  Town Council</t>
  </si>
  <si>
    <t>Police Centre Lc 1</t>
  </si>
  <si>
    <t>Nabankema  Asiat</t>
  </si>
  <si>
    <t>Kaalo</t>
  </si>
  <si>
    <t>Ssendawula  James</t>
  </si>
  <si>
    <t>Lwanga  Hamiat</t>
  </si>
  <si>
    <t>Bwala</t>
  </si>
  <si>
    <t>UG-CEN-1203-120</t>
  </si>
  <si>
    <t>Nakibuule Rehema</t>
  </si>
  <si>
    <t>Buddu</t>
  </si>
  <si>
    <t>Kitwe</t>
  </si>
  <si>
    <t>Tubular/PVC</t>
  </si>
  <si>
    <t>UG-CEN-1203-2374</t>
  </si>
  <si>
    <t>Jane Wagana</t>
  </si>
  <si>
    <t>UG-CEN-1203-2468</t>
  </si>
  <si>
    <t>Kiwanuka  Medad</t>
  </si>
  <si>
    <t>mpenja</t>
  </si>
  <si>
    <t>ngeye</t>
  </si>
  <si>
    <t>UG-CEN-1203-2831</t>
  </si>
  <si>
    <t>Nalongo Segawa</t>
  </si>
  <si>
    <t>kabuwoko</t>
  </si>
  <si>
    <t>UG-CEN-1203-3106</t>
  </si>
  <si>
    <t>Ssalongo Sembule Johnbosco</t>
  </si>
  <si>
    <t>Violet  Nabankema Kayinga</t>
  </si>
  <si>
    <t>Kyabakuza A</t>
  </si>
  <si>
    <t>UG-CEN-1203-3831</t>
  </si>
  <si>
    <t>David  Senkubuge</t>
  </si>
  <si>
    <t>Nsmakokome</t>
  </si>
  <si>
    <t>UG-CEN-1203-3866</t>
  </si>
  <si>
    <t>Godfrey  Mukasa</t>
  </si>
  <si>
    <t>Kikasa</t>
  </si>
  <si>
    <t>UG-CEN-1109-4431</t>
  </si>
  <si>
    <t>Magret  Bareeba</t>
  </si>
  <si>
    <t>Ssebuggwawo  Lovincer</t>
  </si>
  <si>
    <t>Nkwale/Nabatuza</t>
  </si>
  <si>
    <t>UG-CEN-1109-4505</t>
  </si>
  <si>
    <t>Waiting for a rainy season to feed</t>
  </si>
  <si>
    <t>Munyawera  Godfrey</t>
  </si>
  <si>
    <t>Kizimizo</t>
  </si>
  <si>
    <t>UG-CEN-1203-4306</t>
  </si>
  <si>
    <t>Gideon  Kisitu</t>
  </si>
  <si>
    <t>Nakaseke</t>
  </si>
  <si>
    <t>Sabagabo</t>
  </si>
  <si>
    <t>Kamanje</t>
  </si>
  <si>
    <t>UG-CEN-1203-4324</t>
  </si>
  <si>
    <t>George   Ssenabulya</t>
  </si>
  <si>
    <t>UG-CEN-1203-5205</t>
  </si>
  <si>
    <t>Francis  Muwonge</t>
  </si>
  <si>
    <t>Kanaala</t>
  </si>
  <si>
    <t>UG-CEN-1203-5313</t>
  </si>
  <si>
    <t>Paul  Wamala</t>
  </si>
  <si>
    <t>Nyimbwa</t>
  </si>
  <si>
    <t>Namasasula</t>
  </si>
  <si>
    <t>UG-CEN-1109-5230</t>
  </si>
  <si>
    <t>QSP visited plant needs medium category repairs.</t>
  </si>
  <si>
    <t>Margaret  Kakeeto</t>
  </si>
  <si>
    <t>Kasenyi</t>
  </si>
  <si>
    <t>UG-CEN-1203-5317</t>
  </si>
  <si>
    <t>Timothy  Maseruka</t>
  </si>
  <si>
    <t>Kyevunze</t>
  </si>
  <si>
    <t>UG-CEN-1204-1049</t>
  </si>
  <si>
    <t>Ssekalala  Shakib</t>
  </si>
  <si>
    <t>UG-CEN-1204-2448</t>
  </si>
  <si>
    <t>Kiwalabye  Mohammed</t>
  </si>
  <si>
    <t>kakipuya</t>
  </si>
  <si>
    <t>UG-CEN-1204-3363</t>
  </si>
  <si>
    <t>Steven  Ssekadda</t>
  </si>
  <si>
    <t>Kavule</t>
  </si>
  <si>
    <t>Jjagala</t>
  </si>
  <si>
    <t>UG-CEN-1204-3801</t>
  </si>
  <si>
    <t>Getrude  Nakibinge</t>
  </si>
  <si>
    <t>Lubaga</t>
  </si>
  <si>
    <t>UG-CEN-1204-3954</t>
  </si>
  <si>
    <t xml:space="preserve">Stenvio  Mugonza </t>
  </si>
  <si>
    <t>UG-CEN-1204-3957</t>
  </si>
  <si>
    <t>Mburuga  Muhamudu Salongo</t>
  </si>
  <si>
    <t>Kammitti B</t>
  </si>
  <si>
    <t>UG-CEN-1204-3962</t>
  </si>
  <si>
    <t xml:space="preserve">Martin  Kaijuga </t>
  </si>
  <si>
    <t>Malongo</t>
  </si>
  <si>
    <t>Katovu</t>
  </si>
  <si>
    <t>UG-CEN-1204-3973</t>
  </si>
  <si>
    <t>Male  Lenie</t>
  </si>
  <si>
    <t>Bugonzi</t>
  </si>
  <si>
    <t>UG-CEN-1204-4291</t>
  </si>
  <si>
    <t>Mutabuza  Mathew</t>
  </si>
  <si>
    <t>Butayunja</t>
  </si>
  <si>
    <t>UG-CEN-1204-4566</t>
  </si>
  <si>
    <t>Mbaziira  Costantino</t>
  </si>
  <si>
    <t>Makumbi  Eugeonio</t>
  </si>
  <si>
    <t>Nsozibiri</t>
  </si>
  <si>
    <t>Fr Kyemwa  Denis</t>
  </si>
  <si>
    <t>Busuubizi</t>
  </si>
  <si>
    <t>UG-CEN-1204-5070</t>
  </si>
  <si>
    <t xml:space="preserve">George  Okumu </t>
  </si>
  <si>
    <t>kasaka</t>
  </si>
  <si>
    <t>Kanyana  Johnchristom Kulabako</t>
  </si>
  <si>
    <t>Kawuku lc 1</t>
  </si>
  <si>
    <t>UG-CEN-1204-5314</t>
  </si>
  <si>
    <t>Haggai  Bukeddeko</t>
  </si>
  <si>
    <t>Namusasula</t>
  </si>
  <si>
    <t>Nambooze  Slivia</t>
  </si>
  <si>
    <t>UG-CEN-1205-1059</t>
  </si>
  <si>
    <t>Nalongo  Sekatawa</t>
  </si>
  <si>
    <t>Ngugulo</t>
  </si>
  <si>
    <t>UG-CEN-1110-3950</t>
  </si>
  <si>
    <t>Martin  Kasekende</t>
  </si>
  <si>
    <t>Buloba</t>
  </si>
  <si>
    <t>UG-CEN-1205-1060</t>
  </si>
  <si>
    <t>Ssemujju  Amon</t>
  </si>
  <si>
    <t>Manjeri   Gatrid Gamero</t>
  </si>
  <si>
    <t>Mayirye</t>
  </si>
  <si>
    <t>UG-CEN-1205-1064</t>
  </si>
  <si>
    <t>Mutyaba  Peter</t>
  </si>
  <si>
    <t>Mbawadde  Christine Kintu</t>
  </si>
  <si>
    <t>Malwa</t>
  </si>
  <si>
    <t>UG-CEN-1205-2410</t>
  </si>
  <si>
    <t>Namukasa  Rehema Yasin</t>
  </si>
  <si>
    <t>kakonge</t>
  </si>
  <si>
    <t>UG-CEN-1205-2411</t>
  </si>
  <si>
    <t>Zizinga  Asadu Aisha</t>
  </si>
  <si>
    <t>bulawa</t>
  </si>
  <si>
    <t>Kamya  Stephen Kyobe</t>
  </si>
  <si>
    <t>Kasota</t>
  </si>
  <si>
    <t>Katende David</t>
  </si>
  <si>
    <t>Semukombe</t>
  </si>
  <si>
    <t>UG-CEN-1205-2523</t>
  </si>
  <si>
    <t>Magezi  Godfrey</t>
  </si>
  <si>
    <t>kinywamazzi</t>
  </si>
  <si>
    <t>UG-CEN-1205-2530</t>
  </si>
  <si>
    <t>Mubiru  Hassan Hajji</t>
  </si>
  <si>
    <t>UG-CEN-1205-2656</t>
  </si>
  <si>
    <t>Mayanja Federesi</t>
  </si>
  <si>
    <t>Buuwe</t>
  </si>
  <si>
    <t>UG-CEN-1205-2839</t>
  </si>
  <si>
    <t>Nalumaga Florence</t>
  </si>
  <si>
    <t>kavule</t>
  </si>
  <si>
    <t>UG-CEN-1205-2976</t>
  </si>
  <si>
    <t>Kafeero  Francis</t>
  </si>
  <si>
    <t>UG-CEN-1205-3127</t>
  </si>
  <si>
    <t>Ssemutono Stephen</t>
  </si>
  <si>
    <t>kisoso</t>
  </si>
  <si>
    <t>UG-CEN-1205-3763</t>
  </si>
  <si>
    <t>Keret  Kajumba</t>
  </si>
  <si>
    <t>Kobba</t>
  </si>
  <si>
    <t>UG-CEN-1205-3887</t>
  </si>
  <si>
    <t>Miriam  Nankya</t>
  </si>
  <si>
    <t>Lukyamu</t>
  </si>
  <si>
    <t>UG-CEN-1205-3904</t>
  </si>
  <si>
    <t>Annette   Rwabushaija</t>
  </si>
  <si>
    <t>UG-CEN-1205-3924</t>
  </si>
  <si>
    <t>James  Ddamulira</t>
  </si>
  <si>
    <t>Kisimu</t>
  </si>
  <si>
    <t>UG-CEN-1205-4294</t>
  </si>
  <si>
    <t>Wamala  Edward</t>
  </si>
  <si>
    <t>Kitebere</t>
  </si>
  <si>
    <t>UG-CEN-1205-4310</t>
  </si>
  <si>
    <t>Christine  Muwanguzi</t>
  </si>
  <si>
    <t>Kikyusa</t>
  </si>
  <si>
    <t>UG-CEN-1205-4320</t>
  </si>
  <si>
    <t>John Bosco  Nsubuga</t>
  </si>
  <si>
    <t>UG-CEN-1205-4385</t>
  </si>
  <si>
    <t>Enoch  Goobi</t>
  </si>
  <si>
    <t>Ntove</t>
  </si>
  <si>
    <t>UG-CEN-1205-4394</t>
  </si>
  <si>
    <t>Phoebe  Kidda</t>
  </si>
  <si>
    <t>Bugolombe</t>
  </si>
  <si>
    <t>UG-CEN-1205-4461</t>
  </si>
  <si>
    <t>Aggrey   Kibinge</t>
  </si>
  <si>
    <t>Nangwa</t>
  </si>
  <si>
    <t>Kalibweza  Namatovu Joseph</t>
  </si>
  <si>
    <t>Kakoni</t>
  </si>
  <si>
    <t>UG-CEN-1205-4599</t>
  </si>
  <si>
    <t>Kamukama  Eriya</t>
  </si>
  <si>
    <t>Buyanja</t>
  </si>
  <si>
    <t>UG-CEN-1205-5068</t>
  </si>
  <si>
    <t xml:space="preserve">Christiane  Kyomugisha </t>
  </si>
  <si>
    <t>omusheshe</t>
  </si>
  <si>
    <t>UG-CEN-1205-5086</t>
  </si>
  <si>
    <t xml:space="preserve">Eddie Buyondo </t>
  </si>
  <si>
    <t>Nkozi</t>
  </si>
  <si>
    <t>kasulwo</t>
  </si>
  <si>
    <t>Bernard Agro Vet Farm</t>
  </si>
  <si>
    <t>UG-CEN-1206-1054</t>
  </si>
  <si>
    <t>Nambi  Kaawaase Alizik</t>
  </si>
  <si>
    <t>UG-CEN-1206-1055</t>
  </si>
  <si>
    <t>Mutebi  Edward</t>
  </si>
  <si>
    <t>Luyirika  Edward</t>
  </si>
  <si>
    <t>UG-CEN-1111-311</t>
  </si>
  <si>
    <t>Mary Kamyuka</t>
  </si>
  <si>
    <t>Hajj Baliruno  Sengendo</t>
  </si>
  <si>
    <t>Kasozi Gayaza</t>
  </si>
  <si>
    <t>Nanyonga  Dorothy</t>
  </si>
  <si>
    <t>Bukindu buna</t>
  </si>
  <si>
    <t>Kigozi  Annet</t>
  </si>
  <si>
    <t>UG-CEN-1206-2269</t>
  </si>
  <si>
    <t>Emmanuel Sajjabi</t>
  </si>
  <si>
    <t>Buwung.</t>
  </si>
  <si>
    <t>Kitwe A</t>
  </si>
  <si>
    <t>UG-CEN-1206-2414</t>
  </si>
  <si>
    <t>Mukalazi  Florence</t>
  </si>
  <si>
    <t>katabira</t>
  </si>
  <si>
    <t>UG-CEN-1206-2467</t>
  </si>
  <si>
    <t>Muyomba  Steven</t>
  </si>
  <si>
    <t>lunene</t>
  </si>
  <si>
    <t>UG-CEN-1206-2509</t>
  </si>
  <si>
    <t>Lubega  Joseph</t>
  </si>
  <si>
    <t>mabindo A</t>
  </si>
  <si>
    <t>UG-CEN-1206-2849</t>
  </si>
  <si>
    <t>Kisuule  Teopista</t>
  </si>
  <si>
    <t>Kimooli</t>
  </si>
  <si>
    <t>UG-CEN-1206-2902</t>
  </si>
  <si>
    <t>Fr Muloni  Vicent</t>
  </si>
  <si>
    <t>Maddu A</t>
  </si>
  <si>
    <t>UG-CEN-1206-2937</t>
  </si>
  <si>
    <t>Hajj Lukenge  Badru</t>
  </si>
  <si>
    <t>Mawokota north</t>
  </si>
  <si>
    <t>Muduma</t>
  </si>
  <si>
    <t>Busaanyi</t>
  </si>
  <si>
    <t>IDEAL</t>
  </si>
  <si>
    <t>UG-CEN-1206-2938</t>
  </si>
  <si>
    <t>Kivumbi  Vicent</t>
  </si>
  <si>
    <t>UG-CEN-1206-3809</t>
  </si>
  <si>
    <t>Sylvia  Nalule</t>
  </si>
  <si>
    <t>Mutungo Div</t>
  </si>
  <si>
    <t>Ndejje</t>
  </si>
  <si>
    <t>Mutungo</t>
  </si>
  <si>
    <t>UG-CEN-1206-3889</t>
  </si>
  <si>
    <t>Experito  Kaggwa</t>
  </si>
  <si>
    <t>Butundu</t>
  </si>
  <si>
    <t>UG-CEN-1206-3913</t>
  </si>
  <si>
    <t>Kiggundu  Lukwago</t>
  </si>
  <si>
    <t>Ggalamba</t>
  </si>
  <si>
    <t>Kigozi  Hormis</t>
  </si>
  <si>
    <t>Kabulamuliro</t>
  </si>
  <si>
    <t>UG-CEN-1206-3958</t>
  </si>
  <si>
    <t xml:space="preserve">Erias  Kasujja </t>
  </si>
  <si>
    <t>Kakuuto</t>
  </si>
  <si>
    <t>UG-CEN-1206-4333</t>
  </si>
  <si>
    <t>Moses  Kakande</t>
  </si>
  <si>
    <t>Ssisa</t>
  </si>
  <si>
    <t>Nsangu</t>
  </si>
  <si>
    <t>UG-CEN-1206-4384</t>
  </si>
  <si>
    <t>Charles  Lwanga</t>
  </si>
  <si>
    <t>Kiwebwa</t>
  </si>
  <si>
    <t>Namatovu  Fauster</t>
  </si>
  <si>
    <t>Nsozibiri B</t>
  </si>
  <si>
    <t>UG-CEN-1206-4595</t>
  </si>
  <si>
    <t>Senjobe  Matia</t>
  </si>
  <si>
    <t>Nsizibiri</t>
  </si>
  <si>
    <t>Nalongo Joyce Nansambu</t>
  </si>
  <si>
    <t>UG-CEN-1206-4596</t>
  </si>
  <si>
    <t>Kabweru  Paul</t>
  </si>
  <si>
    <t>Kigimba</t>
  </si>
  <si>
    <t>UG-CEN-1206-4650</t>
  </si>
  <si>
    <t>Katongole Fenekansi</t>
  </si>
  <si>
    <t>Nakasongola</t>
  </si>
  <si>
    <t>Kakooge</t>
  </si>
  <si>
    <t>Kyambogo</t>
  </si>
  <si>
    <t>still feeding</t>
  </si>
  <si>
    <t>Mabirizi  Samuel</t>
  </si>
  <si>
    <t>kalagala</t>
  </si>
  <si>
    <t>UG-CEN-1206-4659</t>
  </si>
  <si>
    <t>Kasajja  Besweri</t>
  </si>
  <si>
    <t>Ngoma</t>
  </si>
  <si>
    <t>Kalyabulo</t>
  </si>
  <si>
    <t>Abubaker  Ntembe</t>
  </si>
  <si>
    <t>Kilyamuli</t>
  </si>
  <si>
    <t>UG-CEN-1206-4660</t>
  </si>
  <si>
    <t>Kalanzi  John</t>
  </si>
  <si>
    <t>UG-CEN-1206-5069</t>
  </si>
  <si>
    <t xml:space="preserve">Kishokye  Mauda </t>
  </si>
  <si>
    <t>Kasambya</t>
  </si>
  <si>
    <t>UG-CEN-1112-2939</t>
  </si>
  <si>
    <t xml:space="preserve">Was repaired  but not yet fed. </t>
  </si>
  <si>
    <t>Nkunyingi  Rogers Kyeyune</t>
  </si>
  <si>
    <t>UG-CEN-1206-5075</t>
  </si>
  <si>
    <t xml:space="preserve">Grace  Kwijuka </t>
  </si>
  <si>
    <t>kyabazaala</t>
  </si>
  <si>
    <t>UG-CEN-1206-5361</t>
  </si>
  <si>
    <t>Ssabwe  Umar</t>
  </si>
  <si>
    <t>Kiboga</t>
  </si>
  <si>
    <t>muwanga</t>
  </si>
  <si>
    <t>Nabwendo</t>
  </si>
  <si>
    <t>Nambi  Recheal</t>
  </si>
  <si>
    <t>Bumtambala</t>
  </si>
  <si>
    <t>Semuyaba  Zziwa Fred</t>
  </si>
  <si>
    <t>bukandula</t>
  </si>
  <si>
    <t>UG-CEN-1207-2506</t>
  </si>
  <si>
    <t>Nuunu  Alfred</t>
  </si>
  <si>
    <t>lugusuulu</t>
  </si>
  <si>
    <t>lutunku</t>
  </si>
  <si>
    <t>UG-CEN-1207-2520</t>
  </si>
  <si>
    <t>Kikomeko Christopher</t>
  </si>
  <si>
    <t>Nkambo</t>
  </si>
  <si>
    <t>UG-CEN-1112-4299</t>
  </si>
  <si>
    <t>Nakato Maria</t>
  </si>
  <si>
    <t>Nakitolo</t>
  </si>
  <si>
    <t>UG-CEN-1207-2611</t>
  </si>
  <si>
    <t xml:space="preserve">Noah  Kagogwe </t>
  </si>
  <si>
    <t>Bukoto mid west</t>
  </si>
  <si>
    <t>kigusa.</t>
  </si>
  <si>
    <t>UG-CEN-1112-4468</t>
  </si>
  <si>
    <t>Godfrey  Ssewakiryanga</t>
  </si>
  <si>
    <t>UG-CEN-1207-2616</t>
  </si>
  <si>
    <t xml:space="preserve">Frank  Nvanungi </t>
  </si>
  <si>
    <t>UG-CEN-1207-2832</t>
  </si>
  <si>
    <t>Musisi  Nagawa</t>
  </si>
  <si>
    <t>Kyamimbi</t>
  </si>
  <si>
    <t>UG-CEN-1207-2833</t>
  </si>
  <si>
    <t>Theopista  Najemba</t>
  </si>
  <si>
    <t>UG-CEN-1207-2977</t>
  </si>
  <si>
    <t>Sserwada  Stone</t>
  </si>
  <si>
    <t>Ndaiga Miseebe</t>
  </si>
  <si>
    <t>UG-CEN-1207-3316</t>
  </si>
  <si>
    <t>John Mabyala  Simon Ssenyonga</t>
  </si>
  <si>
    <t>Kiyindi</t>
  </si>
  <si>
    <t>UG-CEN-1207-3859</t>
  </si>
  <si>
    <t>Evan  Kiseka</t>
  </si>
  <si>
    <t>UG-CEN-1207-396</t>
  </si>
  <si>
    <t>Saimon  Mwebe Lwanga</t>
  </si>
  <si>
    <t>Nkoni A.</t>
  </si>
  <si>
    <t>UG-CEN-1207-4255</t>
  </si>
  <si>
    <t>Kasozi  Charles</t>
  </si>
  <si>
    <t>Namaswata</t>
  </si>
  <si>
    <t>UG-CEN-1207-4289</t>
  </si>
  <si>
    <t>Kafeero  Vicent</t>
  </si>
  <si>
    <t>Nkokonjeru</t>
  </si>
  <si>
    <t>UG-CEN-1207-4293</t>
  </si>
  <si>
    <t>Sserunkuma  Joseph</t>
  </si>
  <si>
    <t>Nabunya Felista</t>
  </si>
  <si>
    <t>UG-CEN-1207-4638</t>
  </si>
  <si>
    <t>Kyalimpa  Enock</t>
  </si>
  <si>
    <t>Budyebo</t>
  </si>
  <si>
    <t>Nabiswera</t>
  </si>
  <si>
    <t>Kalubanga</t>
  </si>
  <si>
    <t>UG-CEN-1207-4663</t>
  </si>
  <si>
    <t>Mugyenzi  David</t>
  </si>
  <si>
    <t>Mulungi  Joseph</t>
  </si>
  <si>
    <t>Njeru TC</t>
  </si>
  <si>
    <t>Bujowali</t>
  </si>
  <si>
    <t>UG-CEN-1208-1056</t>
  </si>
  <si>
    <t>Ssetaala  Samuel</t>
  </si>
  <si>
    <t>Muhumuza  Joseph</t>
  </si>
  <si>
    <t>kakinga</t>
  </si>
  <si>
    <t>Nakaye Mary Galiwango</t>
  </si>
  <si>
    <t>UG-CEN-1208-2771</t>
  </si>
  <si>
    <t>Muwanga Twaha</t>
  </si>
  <si>
    <t>Kwata kasabo</t>
  </si>
  <si>
    <t>UG-CEN-1208-2776</t>
  </si>
  <si>
    <t>Muyigwa Victor</t>
  </si>
  <si>
    <t>Namutuya</t>
  </si>
  <si>
    <t>UG-CEN-1208-2808</t>
  </si>
  <si>
    <t>Catholic Parish Our Lady Of Fatima Kayunga</t>
  </si>
  <si>
    <t>Ntenjeru North</t>
  </si>
  <si>
    <t>Kayunga TC</t>
  </si>
  <si>
    <t>Namagabi A</t>
  </si>
  <si>
    <t>UG-CEN-1208-2918</t>
  </si>
  <si>
    <t>Sekyeru  David</t>
  </si>
  <si>
    <t>UG-CEN-1208-2936</t>
  </si>
  <si>
    <t>Lutaya  Livingstone</t>
  </si>
  <si>
    <t>Buyala</t>
  </si>
  <si>
    <t>UG-CEN-1208-3123</t>
  </si>
  <si>
    <t>Ssemanga Emanuel</t>
  </si>
  <si>
    <t>Kiwangala</t>
  </si>
  <si>
    <t>UG-CEN-1208-3361</t>
  </si>
  <si>
    <t>Francis  Ssali</t>
  </si>
  <si>
    <t>UG-CEN-1208-3362</t>
  </si>
  <si>
    <t>Erisa  Mutebi</t>
  </si>
  <si>
    <t>UG-CEN-1201-4504</t>
  </si>
  <si>
    <t>Kagaba  Eriya</t>
  </si>
  <si>
    <t>UG-CEN-1208-3384</t>
  </si>
  <si>
    <t>Nicholas  Yiga</t>
  </si>
  <si>
    <t>UG-CEN-1201-4556</t>
  </si>
  <si>
    <t>Kakooza  Elias</t>
  </si>
  <si>
    <t>Najanankumbi</t>
  </si>
  <si>
    <t>UG-CEN-1208-3386</t>
  </si>
  <si>
    <t>Semakula    Nampera</t>
  </si>
  <si>
    <t>Makerere</t>
  </si>
  <si>
    <t>UG-CEN-1208-3542</t>
  </si>
  <si>
    <t>William  Katerega George</t>
  </si>
  <si>
    <t>Lukaya T .C</t>
  </si>
  <si>
    <t>Lukaya t.c</t>
  </si>
  <si>
    <t>UG-CEN-1208-3762</t>
  </si>
  <si>
    <t>Godfrey  Nkugwa</t>
  </si>
  <si>
    <t>UG-CEN-1208-3807</t>
  </si>
  <si>
    <t>Fred  Ssenkaya</t>
  </si>
  <si>
    <t>Makindye Div 1</t>
  </si>
  <si>
    <t>Lusaka</t>
  </si>
  <si>
    <t>Hajji Bossa Juma</t>
  </si>
  <si>
    <t>UG-CEN-1208-3856</t>
  </si>
  <si>
    <t>Steven  Kiwanuka</t>
  </si>
  <si>
    <t>Gangu</t>
  </si>
  <si>
    <t>UG-CEN-1208-3877</t>
  </si>
  <si>
    <t>Mike  Senzizi</t>
  </si>
  <si>
    <t>Bukasa bukulu</t>
  </si>
  <si>
    <t>UG-CEN-1202-1141</t>
  </si>
  <si>
    <t>Kaumi Harriet</t>
  </si>
  <si>
    <t>UG-CEN-1202-1147</t>
  </si>
  <si>
    <t>Kawuma John</t>
  </si>
  <si>
    <t>UG-CEN-1208-392</t>
  </si>
  <si>
    <t>Vereranda  Nabwami</t>
  </si>
  <si>
    <t>kasana A.</t>
  </si>
  <si>
    <t>UG-CEN-1208-3926</t>
  </si>
  <si>
    <t>Josephine  Kibirige</t>
  </si>
  <si>
    <t>UG-CEN-1208-3929</t>
  </si>
  <si>
    <t>Alice  Bikanga</t>
  </si>
  <si>
    <t>Mayanja</t>
  </si>
  <si>
    <t>UG-CEN-1208-3930</t>
  </si>
  <si>
    <t>Joseph  Kawesa</t>
  </si>
  <si>
    <t>UG-CEN-1208-3938</t>
  </si>
  <si>
    <t>Mike  Ssengoba</t>
  </si>
  <si>
    <t>Ssenge</t>
  </si>
  <si>
    <t>UG-CEN-1208-3941</t>
  </si>
  <si>
    <t>Teo  Musoke</t>
  </si>
  <si>
    <t>UG-CEN-1208-4295</t>
  </si>
  <si>
    <t>Kabidde  Samuel</t>
  </si>
  <si>
    <t>Bulenge</t>
  </si>
  <si>
    <t>UG-CEN-1208-4309</t>
  </si>
  <si>
    <t>Fred  Ruhakana</t>
  </si>
  <si>
    <t>Luwube</t>
  </si>
  <si>
    <t>UG-CEN-1202-2494</t>
  </si>
  <si>
    <t>He changed the digester into a water tank</t>
  </si>
  <si>
    <t>Mwine  David</t>
  </si>
  <si>
    <t>Yudaya  Mutebi</t>
  </si>
  <si>
    <t>Kisule</t>
  </si>
  <si>
    <t>UG-CEN-1208-4328</t>
  </si>
  <si>
    <t>Kirumira  Mayamba</t>
  </si>
  <si>
    <t>Namakofu</t>
  </si>
  <si>
    <t>UG-CEN-1208-4336</t>
  </si>
  <si>
    <t>Lutalo  Nelson</t>
  </si>
  <si>
    <t>Kyetome</t>
  </si>
  <si>
    <t>UG-CEN-1208-4591</t>
  </si>
  <si>
    <t>Matovu  Noah</t>
  </si>
  <si>
    <t>UG-CEN-1208-5188</t>
  </si>
  <si>
    <t>Emmanuel   Kamya</t>
  </si>
  <si>
    <t>Nalumunye jomayi</t>
  </si>
  <si>
    <t>UG-CEN-1202-2836</t>
  </si>
  <si>
    <t>Emanuel   Luyima</t>
  </si>
  <si>
    <t>Nsotoka</t>
  </si>
  <si>
    <t>UG-CEN-1209-02853</t>
  </si>
  <si>
    <t>John  Mboowa</t>
  </si>
  <si>
    <t>Kitabaazi</t>
  </si>
  <si>
    <t>Kikka  Christine</t>
  </si>
  <si>
    <t>UG-CEN-1209-2288</t>
  </si>
  <si>
    <t>Fatuma  Kisenyi</t>
  </si>
  <si>
    <t>Bugabo</t>
  </si>
  <si>
    <t>UG-CEN-1209-2508</t>
  </si>
  <si>
    <t>Kibbuka Samuel</t>
  </si>
  <si>
    <t>lusanja</t>
  </si>
  <si>
    <t>UG-CEN-1209-2511</t>
  </si>
  <si>
    <t>Lubwama  Emmanuel</t>
  </si>
  <si>
    <t>Nakuya  Restetuta</t>
  </si>
  <si>
    <t>lwamwende</t>
  </si>
  <si>
    <t>UG-CEN-1209-2536</t>
  </si>
  <si>
    <t>Kiddu  Sulaiman Hajji</t>
  </si>
  <si>
    <t>bukandaganyi.A</t>
  </si>
  <si>
    <t>UG-CEN-1209-2720</t>
  </si>
  <si>
    <t>Mukiibi William</t>
  </si>
  <si>
    <t>Namakonkome</t>
  </si>
  <si>
    <t>Nakanjako Faith</t>
  </si>
  <si>
    <t>Elizabeth  Ewingu</t>
  </si>
  <si>
    <t>Mabango</t>
  </si>
  <si>
    <t>UG-CEN-1209-391</t>
  </si>
  <si>
    <t xml:space="preserve">Musa Matovu </t>
  </si>
  <si>
    <t>Ttagga</t>
  </si>
  <si>
    <t>UG-CEN-1209-4185</t>
  </si>
  <si>
    <t>Mabyala Ssenyange Salongo</t>
  </si>
  <si>
    <t>Zinga</t>
  </si>
  <si>
    <t>UG-CEN-1202-3063</t>
  </si>
  <si>
    <t>Moses  Bbosaa Sejjemba</t>
  </si>
  <si>
    <t>Nandawula  Sarah</t>
  </si>
  <si>
    <t>Namiringa</t>
  </si>
  <si>
    <t>UG-CEN-1209-4283</t>
  </si>
  <si>
    <t>Mubiru  Abdul</t>
  </si>
  <si>
    <t>Kalaata</t>
  </si>
  <si>
    <t>UG-CEN-1209-4513</t>
  </si>
  <si>
    <t>Nabakooza  Jane</t>
  </si>
  <si>
    <t>Kiganda</t>
  </si>
  <si>
    <t>Kalagi</t>
  </si>
  <si>
    <t>UG-CEN-1202-3098</t>
  </si>
  <si>
    <t>Margret  Nsubuga Nalongo</t>
  </si>
  <si>
    <t>Nakitto Rose</t>
  </si>
  <si>
    <t>UG-CEN-1209-4637</t>
  </si>
  <si>
    <t>Bagire  Elifazi</t>
  </si>
  <si>
    <t>Namakukuli</t>
  </si>
  <si>
    <t>UG-CEN-1209-4656</t>
  </si>
  <si>
    <t>Matovu  Eriasafu</t>
  </si>
  <si>
    <t>UG-CEN-1202-3939</t>
  </si>
  <si>
    <t>Charles  Kawalya</t>
  </si>
  <si>
    <t>Sebina Paul</t>
  </si>
  <si>
    <t>Kwata Kasabo</t>
  </si>
  <si>
    <t>Edith  Nsalasatta</t>
  </si>
  <si>
    <t>Sonde</t>
  </si>
  <si>
    <t>UG-CEN-1209-5074</t>
  </si>
  <si>
    <t xml:space="preserve">Matafungwa  Magaret </t>
  </si>
  <si>
    <t>UG-CEN-1209-5228</t>
  </si>
  <si>
    <t>Augustine  Nsobya</t>
  </si>
  <si>
    <t>Seguku zone 5</t>
  </si>
  <si>
    <t>UG-CEN-1209-5357</t>
  </si>
  <si>
    <t>Atusimirwe  Grace</t>
  </si>
  <si>
    <t>kiboga</t>
  </si>
  <si>
    <t>Dwaniro</t>
  </si>
  <si>
    <t>UG-CEN-1202-4393</t>
  </si>
  <si>
    <t>Florence  Ojaara</t>
  </si>
  <si>
    <t>Bugoye</t>
  </si>
  <si>
    <t>UG-CEN-1209-5362</t>
  </si>
  <si>
    <t>Nakalanzi  Grace Betty</t>
  </si>
  <si>
    <t>Muwanga</t>
  </si>
  <si>
    <t>UG-CEN-1209-5363</t>
  </si>
  <si>
    <t>Matovu  Paul</t>
  </si>
  <si>
    <t>Bulyambide</t>
  </si>
  <si>
    <t>Kasirivu  Abubakar</t>
  </si>
  <si>
    <t>Tuula</t>
  </si>
  <si>
    <t>Joeria Kigunddu</t>
  </si>
  <si>
    <t>UG-CEN-1202-4465</t>
  </si>
  <si>
    <t>David  Alimubanji</t>
  </si>
  <si>
    <t>Naabuta</t>
  </si>
  <si>
    <t>UG-CEN-1202-4487</t>
  </si>
  <si>
    <t>Melida  Semambo</t>
  </si>
  <si>
    <t>Kasenge 'A'</t>
  </si>
  <si>
    <t>UG-CEN-1202-4496</t>
  </si>
  <si>
    <t>William  Kibuuka</t>
  </si>
  <si>
    <t>UG-CEN-1210-2418</t>
  </si>
  <si>
    <t>Nakalembe  Deborah</t>
  </si>
  <si>
    <t>nsambwe</t>
  </si>
  <si>
    <t>Nakyejwe Rose</t>
  </si>
  <si>
    <t>Masaka Central.</t>
  </si>
  <si>
    <t>UG-CEN-1210-2529</t>
  </si>
  <si>
    <t>Kirwana Joseph</t>
  </si>
  <si>
    <t>UG-CEN-1210-2617</t>
  </si>
  <si>
    <t xml:space="preserve">Leonard  Mukwaya </t>
  </si>
  <si>
    <t>Ninzi</t>
  </si>
  <si>
    <t>UG-CEN-1210-2638</t>
  </si>
  <si>
    <t xml:space="preserve">Christopher  Sseruwu </t>
  </si>
  <si>
    <t>Buyamba</t>
  </si>
  <si>
    <t>Kaleele A</t>
  </si>
  <si>
    <t>UG-CEN-1202-4722</t>
  </si>
  <si>
    <t>Valeria  Okumu</t>
  </si>
  <si>
    <t>Bukaya West</t>
  </si>
  <si>
    <t>UG-CEN-1210-2640</t>
  </si>
  <si>
    <t xml:space="preserve">Joseph  Kabona </t>
  </si>
  <si>
    <t>kisana</t>
  </si>
  <si>
    <t>Nabbuto Delizanta</t>
  </si>
  <si>
    <t>GoMBE</t>
  </si>
  <si>
    <t>Nkene</t>
  </si>
  <si>
    <t>UG-CEN-1210-2847</t>
  </si>
  <si>
    <t>Herbert  Tebusweeke</t>
  </si>
  <si>
    <t>UG-CEN-1210-3041</t>
  </si>
  <si>
    <t>Nasiwa Rose</t>
  </si>
  <si>
    <t>Jjalaba</t>
  </si>
  <si>
    <t>Sarah Lumama Kanyago Dorreen</t>
  </si>
  <si>
    <t>UG-CEN-1210-3145</t>
  </si>
  <si>
    <t>Sseruuma Joseph</t>
  </si>
  <si>
    <t>Maggya</t>
  </si>
  <si>
    <t>UG-CEN-1210-3168</t>
  </si>
  <si>
    <t>Salongo Tezikyala David</t>
  </si>
  <si>
    <t>Bujjta B</t>
  </si>
  <si>
    <t>UG-CEN-1210-3382</t>
  </si>
  <si>
    <t>Syson  Kekuruston</t>
  </si>
  <si>
    <t>UG-CEN-1210-399</t>
  </si>
  <si>
    <t>Mukopi  Ak Mawanda</t>
  </si>
  <si>
    <t>Kimanya kyabakuza</t>
  </si>
  <si>
    <t>Lutette</t>
  </si>
  <si>
    <t>UG-CEN-1210-4080</t>
  </si>
  <si>
    <t>Nkundabajenzi Lozio</t>
  </si>
  <si>
    <t>Kakunyu</t>
  </si>
  <si>
    <t>UG-CEN-1210-4257</t>
  </si>
  <si>
    <t>Kibuka  Jane</t>
  </si>
  <si>
    <t>Kyababeenzi</t>
  </si>
  <si>
    <t>UG-CEN-1210-4263</t>
  </si>
  <si>
    <t>Katende  Donosio</t>
  </si>
  <si>
    <t>Kakata</t>
  </si>
  <si>
    <t>UG-CEN-1210-4267</t>
  </si>
  <si>
    <t>Kapere  Zeverio</t>
  </si>
  <si>
    <t>Kawawa</t>
  </si>
  <si>
    <t>UG-CEN-1203-3847</t>
  </si>
  <si>
    <t>Ruth  Seggane</t>
  </si>
  <si>
    <t>Luweero T.C</t>
  </si>
  <si>
    <t>Kalongomiti</t>
  </si>
  <si>
    <t>UG-CEN-1210-4395</t>
  </si>
  <si>
    <t>Proscovia  Matovu</t>
  </si>
  <si>
    <t>UG-CEN-1203-3945</t>
  </si>
  <si>
    <t>Consolate  Lubega Nantege</t>
  </si>
  <si>
    <t>Serunkuma  Luuka</t>
  </si>
  <si>
    <t>Lumanyo</t>
  </si>
  <si>
    <t>UG-CEN-1210-4590</t>
  </si>
  <si>
    <t>Mulindwa  Labban</t>
  </si>
  <si>
    <t>UG-CEN-1210-4654</t>
  </si>
  <si>
    <t>Kajja  Eriyasafu</t>
  </si>
  <si>
    <t>UG-CEN-1203-4332</t>
  </si>
  <si>
    <t>Benjamin  Mukwaba</t>
  </si>
  <si>
    <t>Kisembo</t>
  </si>
  <si>
    <t>UG-CEN-1210-4655</t>
  </si>
  <si>
    <t>Muwonge  James</t>
  </si>
  <si>
    <t>UG-CEN-1203-5244</t>
  </si>
  <si>
    <t>Emmanuel  Kabuye</t>
  </si>
  <si>
    <t>Bunga soya</t>
  </si>
  <si>
    <t>UG-CEN-1203-5246</t>
  </si>
  <si>
    <t>George  Male William</t>
  </si>
  <si>
    <t>UG-CEN-1210-5354</t>
  </si>
  <si>
    <t>Nampala  Florence</t>
  </si>
  <si>
    <t>Bukomero</t>
  </si>
  <si>
    <t>UG-CEN-1210-5355</t>
  </si>
  <si>
    <t>Kavuma  Elizabeth</t>
  </si>
  <si>
    <t>Kibira Kasokolindo</t>
  </si>
  <si>
    <t>UG-CEN-1210-5356</t>
  </si>
  <si>
    <t>Walusimbi  Zaituni</t>
  </si>
  <si>
    <t>Kayonza</t>
  </si>
  <si>
    <t>UG-CEN-1210-5359</t>
  </si>
  <si>
    <t>Kayizhuka  John</t>
  </si>
  <si>
    <t>Bulyankuyege</t>
  </si>
  <si>
    <t>Sendege Ponsiano</t>
  </si>
  <si>
    <t>Nsangwa</t>
  </si>
  <si>
    <t>UG-CEN-1210-5360</t>
  </si>
  <si>
    <t>Mukasa  Yusufu Kanyadde</t>
  </si>
  <si>
    <t>Mwezi A</t>
  </si>
  <si>
    <t>UG-CEN-1204-3522</t>
  </si>
  <si>
    <t xml:space="preserve">Edith  Basalide </t>
  </si>
  <si>
    <t>kibinge</t>
  </si>
  <si>
    <t>kibinge.</t>
  </si>
  <si>
    <t>Misanvu village</t>
  </si>
  <si>
    <t>UG-CEN-1211-2386</t>
  </si>
  <si>
    <t>Salongokatende</t>
  </si>
  <si>
    <t>Galamba</t>
  </si>
  <si>
    <t>Kabemula Fred</t>
  </si>
  <si>
    <t>mabanda</t>
  </si>
  <si>
    <t>Kiggundu  John</t>
  </si>
  <si>
    <t>UG-CEN-1211-2550</t>
  </si>
  <si>
    <t>Kizito G W</t>
  </si>
  <si>
    <t>UG-CEN-1211-2608</t>
  </si>
  <si>
    <t xml:space="preserve">Joseph  Mugerwa </t>
  </si>
  <si>
    <t>Lwensiga.</t>
  </si>
  <si>
    <t>UG-CEN-1211-2665</t>
  </si>
  <si>
    <t>Mbuliro Pauline</t>
  </si>
  <si>
    <t>kiti</t>
  </si>
  <si>
    <t>UG-CEN-1204-4390</t>
  </si>
  <si>
    <t>Annet  Nakibuule</t>
  </si>
  <si>
    <t>UG-CEN-1211-2822</t>
  </si>
  <si>
    <t>Jackson  Ssebagala</t>
  </si>
  <si>
    <t>Nakaziba</t>
  </si>
  <si>
    <t>Lydia  Katerega</t>
  </si>
  <si>
    <t>Kikuuta</t>
  </si>
  <si>
    <t>UG-CEN-1211-3067</t>
  </si>
  <si>
    <t>Hadijjah  Kasibante</t>
  </si>
  <si>
    <t>Mpunge</t>
  </si>
  <si>
    <t>Masujju</t>
  </si>
  <si>
    <t>UG-CEN-1211-3153</t>
  </si>
  <si>
    <t>Ssonko Israel</t>
  </si>
  <si>
    <t>UG-CEN-1204-5192</t>
  </si>
  <si>
    <t>Jabel  Bwowe</t>
  </si>
  <si>
    <t>Namusela</t>
  </si>
  <si>
    <t>UG-CEN-1211-3364</t>
  </si>
  <si>
    <t>Ali   Lutaaya</t>
  </si>
  <si>
    <t>UG-CEN-1205-021667</t>
  </si>
  <si>
    <t xml:space="preserve">Ssempala Patrick </t>
  </si>
  <si>
    <t>0756738881</t>
  </si>
  <si>
    <t/>
  </si>
  <si>
    <t>Nyendo mukungwe</t>
  </si>
  <si>
    <t>Kwasatu</t>
  </si>
  <si>
    <t>UG-CEN-1211-3568</t>
  </si>
  <si>
    <t>Easter Masanso</t>
  </si>
  <si>
    <t>Ggoli</t>
  </si>
  <si>
    <t>UG-CEN-1211-3828</t>
  </si>
  <si>
    <t>Allan Nimwesiga</t>
  </si>
  <si>
    <t>Zirobwe</t>
  </si>
  <si>
    <t>Mpagati</t>
  </si>
  <si>
    <t>UG-CEN-1211-4273</t>
  </si>
  <si>
    <t>Lubega  Cissy</t>
  </si>
  <si>
    <t>Kitumbi</t>
  </si>
  <si>
    <t>Kyamulinga</t>
  </si>
  <si>
    <t>UG-CEN-1211-4275</t>
  </si>
  <si>
    <t>Nabukeera  Janefrancis</t>
  </si>
  <si>
    <t>Kitongo</t>
  </si>
  <si>
    <t>Mayanja  Robert John</t>
  </si>
  <si>
    <t>UG-CEN-1211-4347</t>
  </si>
  <si>
    <t>Marcel  Saali</t>
  </si>
  <si>
    <t>Kikajjo</t>
  </si>
  <si>
    <t>UG-CEN-1211-4362</t>
  </si>
  <si>
    <t>Paul  Kasozi</t>
  </si>
  <si>
    <t>UG-CEN-1211-4397</t>
  </si>
  <si>
    <t>Chritine  Kakooza</t>
  </si>
  <si>
    <t>Mbajja</t>
  </si>
  <si>
    <t>UG-CEN-1211-4479</t>
  </si>
  <si>
    <t>Christopher  Batwawula Nkwanga</t>
  </si>
  <si>
    <t>Kamya Dorine</t>
  </si>
  <si>
    <t>mwererwe</t>
  </si>
  <si>
    <t>UG-CEN-1211-4500</t>
  </si>
  <si>
    <t>Matthias  Ssekamanya Bishop</t>
  </si>
  <si>
    <t>Kibubbu</t>
  </si>
  <si>
    <t>Nakityo Justine</t>
  </si>
  <si>
    <t>Nalugo  Mbukenya Hariet</t>
  </si>
  <si>
    <t>Kiyuuni</t>
  </si>
  <si>
    <t>UG-CEN-1211-4530</t>
  </si>
  <si>
    <t>Lumbuye  Stephen</t>
  </si>
  <si>
    <t>UG-CEN-1211-4534</t>
  </si>
  <si>
    <t>Mulondo  Absolom</t>
  </si>
  <si>
    <t>Kiyuni</t>
  </si>
  <si>
    <t>Kyawooga</t>
  </si>
  <si>
    <t>UG-CEN-1205-2929</t>
  </si>
  <si>
    <t>Nabagala  Specioza</t>
  </si>
  <si>
    <t>Mubende municipality</t>
  </si>
  <si>
    <t>East Division</t>
  </si>
  <si>
    <t>Kiryanongo</t>
  </si>
  <si>
    <t>UG-CEN-1205-2974</t>
  </si>
  <si>
    <t>Nkundabo  Simon</t>
  </si>
  <si>
    <t>Ssjngo</t>
  </si>
  <si>
    <t>Butalega</t>
  </si>
  <si>
    <t>UG-CEN-1211-4661</t>
  </si>
  <si>
    <t>Bazimpaka  Julius</t>
  </si>
  <si>
    <t>Bazira  Joseph</t>
  </si>
  <si>
    <t>Kibiniizi</t>
  </si>
  <si>
    <t>UG-CEN-1211-5067</t>
  </si>
  <si>
    <t xml:space="preserve">Enock  Magabi </t>
  </si>
  <si>
    <t>Lyantinde</t>
  </si>
  <si>
    <t>UG-CEN-1205-3544</t>
  </si>
  <si>
    <t xml:space="preserve">Peter  Luswata </t>
  </si>
  <si>
    <t>UG-CEN-1211-5071</t>
  </si>
  <si>
    <t xml:space="preserve">Magret  Ntaratambi </t>
  </si>
  <si>
    <t>Mukokoma</t>
  </si>
  <si>
    <t>UG-CEN-1211-5201</t>
  </si>
  <si>
    <t>Angelline  Kasule</t>
  </si>
  <si>
    <t>Mugongo b</t>
  </si>
  <si>
    <t>UG-CEN-1211-5242</t>
  </si>
  <si>
    <t>Stephen  Nsubuga</t>
  </si>
  <si>
    <t>Kitintale</t>
  </si>
  <si>
    <t>UG-CEN-1211-5364</t>
  </si>
  <si>
    <t>Asiimwe  Martin</t>
  </si>
  <si>
    <t>Kibulala</t>
  </si>
  <si>
    <t>UG-CEN-1205-4265</t>
  </si>
  <si>
    <t>QSP visited plant needs to be emptied for assessment. Client has not yet emptied</t>
  </si>
  <si>
    <t>Wasswa  John</t>
  </si>
  <si>
    <t>Kyoga B</t>
  </si>
  <si>
    <t>UG-CEN-1212-2207</t>
  </si>
  <si>
    <t>Bossa Christopher</t>
  </si>
  <si>
    <t>Kabuye Ntayi</t>
  </si>
  <si>
    <t>Byaruhanga Charles</t>
  </si>
  <si>
    <t>Nabitalo</t>
  </si>
  <si>
    <t>Damiano Nsubuga</t>
  </si>
  <si>
    <t>Wagumba Magaret</t>
  </si>
  <si>
    <t>Kyadoddo</t>
  </si>
  <si>
    <t>Janet Kibuuka</t>
  </si>
  <si>
    <t>Ngalomtambe</t>
  </si>
  <si>
    <t>UG-CEN-1205-4459</t>
  </si>
  <si>
    <t>Damali  Wabbi</t>
  </si>
  <si>
    <t>Namuyenje</t>
  </si>
  <si>
    <t>Sengooba  Hasan</t>
  </si>
  <si>
    <t>simba</t>
  </si>
  <si>
    <t>UG-CEN-1212-2457</t>
  </si>
  <si>
    <t>Samakula  Grace</t>
  </si>
  <si>
    <t>kiriri</t>
  </si>
  <si>
    <t>UG-CEN-1212-2532</t>
  </si>
  <si>
    <t>Kisamba Lawrence</t>
  </si>
  <si>
    <t>Kamuli</t>
  </si>
  <si>
    <t>UG-CEN-1205-4600</t>
  </si>
  <si>
    <t>Kutegana  Godfrey</t>
  </si>
  <si>
    <t>Kigumba</t>
  </si>
  <si>
    <t>Kizza Mpiisa Damali</t>
  </si>
  <si>
    <t>UG-CEN-1205-5072</t>
  </si>
  <si>
    <t xml:space="preserve">Eric  Bagambana </t>
  </si>
  <si>
    <t>UG-CEN-1205-5082</t>
  </si>
  <si>
    <t xml:space="preserve">Charles  Mwesigwa </t>
  </si>
  <si>
    <t>katovuMalongo</t>
  </si>
  <si>
    <t>Bwingana</t>
  </si>
  <si>
    <t>UG-CEN-1212-2610</t>
  </si>
  <si>
    <t>John  Yamulemye</t>
  </si>
  <si>
    <t>Buzinga</t>
  </si>
  <si>
    <t>UG-CEN-1205-5155</t>
  </si>
  <si>
    <t>Andrew  Nsubuga</t>
  </si>
  <si>
    <t>UG-CEN-1212-2659</t>
  </si>
  <si>
    <t>Mbabazi Flavia</t>
  </si>
  <si>
    <t>UG-CEN-1212-2840</t>
  </si>
  <si>
    <t>Naluwooza Mary</t>
  </si>
  <si>
    <t>mweterwe</t>
  </si>
  <si>
    <t>UG-CEN-1212-2842</t>
  </si>
  <si>
    <t>Namalego Jonathan</t>
  </si>
  <si>
    <t>UG-CEN-1212-2846</t>
  </si>
  <si>
    <t>Agaton   Walusimbi</t>
  </si>
  <si>
    <t>Wabukwa</t>
  </si>
  <si>
    <t>UG-CEN-1212-2851</t>
  </si>
  <si>
    <t>Bandali  Musisi</t>
  </si>
  <si>
    <t>UG-CEN-1212-2860</t>
  </si>
  <si>
    <t>Emanuel  Ssendi</t>
  </si>
  <si>
    <t>UG-CEN-1212-2901</t>
  </si>
  <si>
    <t>Nsibiryafredrick</t>
  </si>
  <si>
    <t>Matuga</t>
  </si>
  <si>
    <t>Afande Mulamagi</t>
  </si>
  <si>
    <t>nakawa</t>
  </si>
  <si>
    <t>kaziga Zone</t>
  </si>
  <si>
    <t>UG-CEN-1212-2905</t>
  </si>
  <si>
    <t>Nsubuga Henry</t>
  </si>
  <si>
    <t>UG-CEN-1212-2919</t>
  </si>
  <si>
    <t>Sematimba  Godfrey Kasasa</t>
  </si>
  <si>
    <t>Katende</t>
  </si>
  <si>
    <t>UG-CEN-1212-2933</t>
  </si>
  <si>
    <t>Ssematimba  James Mukasa</t>
  </si>
  <si>
    <t>West division</t>
  </si>
  <si>
    <t>Katawa B</t>
  </si>
  <si>
    <t>Bazaara  William</t>
  </si>
  <si>
    <t>nabinoga</t>
  </si>
  <si>
    <t>UG-CEN-1212-3070</t>
  </si>
  <si>
    <t>Gatrude  Nabwami</t>
  </si>
  <si>
    <t>Bwanga</t>
  </si>
  <si>
    <t>UG-CEN-1206-2635</t>
  </si>
  <si>
    <t>Joseph Ssemwanga</t>
  </si>
  <si>
    <t>Kalisizo t.c</t>
  </si>
  <si>
    <t>Mistale</t>
  </si>
  <si>
    <t>UG-CEN-1212-3075</t>
  </si>
  <si>
    <t>Seguya Peter</t>
  </si>
  <si>
    <t>Ntula Kisuuto</t>
  </si>
  <si>
    <t>UG-CEN-1212-3104</t>
  </si>
  <si>
    <t>Ssalongo Lwanga Clement</t>
  </si>
  <si>
    <t>UG-CEN-1212-3105</t>
  </si>
  <si>
    <t>Sebastiyani Eriver</t>
  </si>
  <si>
    <t>UG-CEN-1212-3115</t>
  </si>
  <si>
    <t>Ssenfuma Georgewilliam</t>
  </si>
  <si>
    <t>Kabaga</t>
  </si>
  <si>
    <t>UG-CEN-1212-3137</t>
  </si>
  <si>
    <t>Sentongo Edward</t>
  </si>
  <si>
    <t>Jjagals</t>
  </si>
  <si>
    <t>UG-CEN-1212-3152</t>
  </si>
  <si>
    <t>Sewava Kakooza Bonnie</t>
  </si>
  <si>
    <t>Walusimbi John</t>
  </si>
  <si>
    <t>Bulamazzi</t>
  </si>
  <si>
    <t>UG-CEN-1212-3366</t>
  </si>
  <si>
    <t>Swaliki  Kyobe Kaliga</t>
  </si>
  <si>
    <t>Mwererwe B</t>
  </si>
  <si>
    <t>UG-CEN-1212-3764</t>
  </si>
  <si>
    <t>Francis   Bugeza</t>
  </si>
  <si>
    <t>UG-CEN-1212-3765</t>
  </si>
  <si>
    <t>Chriscencio Mukasa</t>
  </si>
  <si>
    <t>UG-CEN-1212-3794</t>
  </si>
  <si>
    <t>Kenneth  Korokora</t>
  </si>
  <si>
    <t>Luwunga</t>
  </si>
  <si>
    <t>UG-CEN-1212-3796</t>
  </si>
  <si>
    <t>Jehoash  Wampamba</t>
  </si>
  <si>
    <t>Nakyerogasa</t>
  </si>
  <si>
    <t>UG-CEN-1212-3805</t>
  </si>
  <si>
    <t>Remeo  Sekitoreko</t>
  </si>
  <si>
    <t>Lukuli nanganda</t>
  </si>
  <si>
    <t>UG-CEN-1206-4597</t>
  </si>
  <si>
    <t>Namigadde  Hariet</t>
  </si>
  <si>
    <t>UG-CEN-1212-3830</t>
  </si>
  <si>
    <t>Jane   Ashaba</t>
  </si>
  <si>
    <t>Sande  Steven</t>
  </si>
  <si>
    <t>UG-CEN-1212-3843</t>
  </si>
  <si>
    <t>Edward  Nsubuga</t>
  </si>
  <si>
    <t>Bweyogerere</t>
  </si>
  <si>
    <t>UG-CEN-1212-3864</t>
  </si>
  <si>
    <t>Kaloli  Kajubi</t>
  </si>
  <si>
    <t>Lumundi</t>
  </si>
  <si>
    <t>UG-CEN-1212-3886</t>
  </si>
  <si>
    <t>James  Ssentamu</t>
  </si>
  <si>
    <t>Busula</t>
  </si>
  <si>
    <t>UG-CEN-1212-3927</t>
  </si>
  <si>
    <t>Evelyne  Sserwanda</t>
  </si>
  <si>
    <t>UG-CEN-1206-5344</t>
  </si>
  <si>
    <t>Esther  Mugisa</t>
  </si>
  <si>
    <t>UG-CEN-1212-4270</t>
  </si>
  <si>
    <t>Katamba  Joel</t>
  </si>
  <si>
    <t>UG-CEN-1212-4271</t>
  </si>
  <si>
    <t>Sseguya  Grace</t>
  </si>
  <si>
    <t>Namabale</t>
  </si>
  <si>
    <t>UG-CEN-1212-4297</t>
  </si>
  <si>
    <t>Ssebaduka  Christopher</t>
  </si>
  <si>
    <t>UG-CEN-1212-4512</t>
  </si>
  <si>
    <t>Sserwadda  Peter</t>
  </si>
  <si>
    <t>Kalwana</t>
  </si>
  <si>
    <t>UG-CEN-1212-4531</t>
  </si>
  <si>
    <t>Birungi  Sophie</t>
  </si>
  <si>
    <t>UG-CEN-1212-4582</t>
  </si>
  <si>
    <t>Nantubwe  Florence</t>
  </si>
  <si>
    <t>Kibalinga</t>
  </si>
  <si>
    <t>Kabanyi</t>
  </si>
  <si>
    <t>Namembwa Josephine</t>
  </si>
  <si>
    <t>UG-CEN-1212-4589</t>
  </si>
  <si>
    <t>Namazzi Teddy</t>
  </si>
  <si>
    <t>Sekyanzi  David</t>
  </si>
  <si>
    <t>Kabusinde</t>
  </si>
  <si>
    <t>Galiwango  Washington</t>
  </si>
  <si>
    <t>UG-CEN-1212-4720</t>
  </si>
  <si>
    <t>Magero  Jack</t>
  </si>
  <si>
    <t>Nakwonga</t>
  </si>
  <si>
    <t>UG-CEN-1212-5065</t>
  </si>
  <si>
    <t xml:space="preserve">Charles  Rorongo </t>
  </si>
  <si>
    <t>UG-CEN-1212-5336</t>
  </si>
  <si>
    <t>Bbosa  Kiyingi Josephine</t>
  </si>
  <si>
    <t>Muyomba</t>
  </si>
  <si>
    <t>UG-CEN-1212-5342</t>
  </si>
  <si>
    <t>Damian  Bazira</t>
  </si>
  <si>
    <t>Ssali John</t>
  </si>
  <si>
    <t>Katende kiwamirembe</t>
  </si>
  <si>
    <t>UG-CEN-1207-4290</t>
  </si>
  <si>
    <t>Kirumira  Peter</t>
  </si>
  <si>
    <t>Watuba</t>
  </si>
  <si>
    <t>UG-CEN-1207-4292</t>
  </si>
  <si>
    <t>Nabukeera  Stella</t>
  </si>
  <si>
    <t>UG-CEN-1301-2412</t>
  </si>
  <si>
    <t>Sengooba  Marium Nabweteme</t>
  </si>
  <si>
    <t>butaaka</t>
  </si>
  <si>
    <t>UG-CEN-1301-2441</t>
  </si>
  <si>
    <t>Kakembo  Eria</t>
  </si>
  <si>
    <t>Kasansula Joseph</t>
  </si>
  <si>
    <t>Niwamamya  Grace</t>
  </si>
  <si>
    <t>nkoma</t>
  </si>
  <si>
    <t>Tumwine Obadia</t>
  </si>
  <si>
    <t>mawogola north</t>
  </si>
  <si>
    <t>UG-CEN-1207-5047</t>
  </si>
  <si>
    <t>Ssemanda Lafairi</t>
  </si>
  <si>
    <t>Kitovunume.</t>
  </si>
  <si>
    <t>Nalukenge  Sarah</t>
  </si>
  <si>
    <t>Kyobe Kizito</t>
  </si>
  <si>
    <t>Lungala</t>
  </si>
  <si>
    <t>Revfrgodfrey  Kibirige</t>
  </si>
  <si>
    <t>George Mwanje</t>
  </si>
  <si>
    <t>Kijabijo</t>
  </si>
  <si>
    <t>UG-CEN-1301-2724</t>
  </si>
  <si>
    <t>Muligi Ntambi</t>
  </si>
  <si>
    <t>Jalamba</t>
  </si>
  <si>
    <t>UG-CEN-1208-2522</t>
  </si>
  <si>
    <t>Mulindwa  Faustino</t>
  </si>
  <si>
    <t>lwwbitakuli</t>
  </si>
  <si>
    <t>kambulala</t>
  </si>
  <si>
    <t>Sarah  Nyombi</t>
  </si>
  <si>
    <t>Kayunga T.C</t>
  </si>
  <si>
    <t>Nakaliro</t>
  </si>
  <si>
    <t>UG-CEN-1301-2817</t>
  </si>
  <si>
    <t>Najjuka  Saidah</t>
  </si>
  <si>
    <t>William  Makubuya</t>
  </si>
  <si>
    <t>Nakijjoba Antonia</t>
  </si>
  <si>
    <t>Lukerere</t>
  </si>
  <si>
    <t>UG-CEN-1208-2884</t>
  </si>
  <si>
    <t>Florence  Akech</t>
  </si>
  <si>
    <t>Kawoomya</t>
  </si>
  <si>
    <t>UG-CEN-1301-2904</t>
  </si>
  <si>
    <t>Kizito  Amos Jjingo</t>
  </si>
  <si>
    <t>Ngando T C</t>
  </si>
  <si>
    <t>UG-CEN-1301-2908</t>
  </si>
  <si>
    <t>Ntaayi Richard Raymond</t>
  </si>
  <si>
    <t>UG-CEN-1301-2928</t>
  </si>
  <si>
    <t>Hajat Ssemakula  Hawa</t>
  </si>
  <si>
    <t>Mubende East Division</t>
  </si>
  <si>
    <t>Nkanaga</t>
  </si>
  <si>
    <t>UG-CEN-1301-3112</t>
  </si>
  <si>
    <t>Ssebuliba George</t>
  </si>
  <si>
    <t>UG-CEN-1301-3162</t>
  </si>
  <si>
    <t>Tamale John</t>
  </si>
  <si>
    <t>Nswanjere</t>
  </si>
  <si>
    <t>Musisi Wilson</t>
  </si>
  <si>
    <t>UG-CEN-1301-3256</t>
  </si>
  <si>
    <t>Zinda Teyise Johnathan</t>
  </si>
  <si>
    <t>UG-CEN-1301-3766</t>
  </si>
  <si>
    <t>Henry  Mello</t>
  </si>
  <si>
    <t>Resty Nkata</t>
  </si>
  <si>
    <t>UG-CEN-1301-394</t>
  </si>
  <si>
    <t>Mayanja  Hamidu</t>
  </si>
  <si>
    <t>Namugambira</t>
  </si>
  <si>
    <t>UG-CEN-1301-4279</t>
  </si>
  <si>
    <t>Mawejje Wilson</t>
  </si>
  <si>
    <t>Namiryango</t>
  </si>
  <si>
    <t>UG-CEN-1301-4280</t>
  </si>
  <si>
    <t>Senkaaba  Betty</t>
  </si>
  <si>
    <t>Mweya</t>
  </si>
  <si>
    <t>UG-CEN-1301-4282</t>
  </si>
  <si>
    <t>Kigozi  Eriasa</t>
  </si>
  <si>
    <t>UG-CEN-1301-4409</t>
  </si>
  <si>
    <t>Martin  Mushi</t>
  </si>
  <si>
    <t>Namakomo</t>
  </si>
  <si>
    <t>UG-CEN-1301-4457</t>
  </si>
  <si>
    <t>Olivia  Sempanji</t>
  </si>
  <si>
    <t>UG-CEN-1301-4509</t>
  </si>
  <si>
    <t>Katta  Edward</t>
  </si>
  <si>
    <t>UG-CEN-1301-4532</t>
  </si>
  <si>
    <t>Balinda  Samuel</t>
  </si>
  <si>
    <t>Kabende</t>
  </si>
  <si>
    <t>UG-CEN-1301-4536</t>
  </si>
  <si>
    <t>Kayondo  Ludovika Ssalongo</t>
  </si>
  <si>
    <t>UG-CEN-1301-4542</t>
  </si>
  <si>
    <t>Bishop Herbert  Kuuku</t>
  </si>
  <si>
    <t>Bageza</t>
  </si>
  <si>
    <t>Buliisa</t>
  </si>
  <si>
    <t>UG-CEN-1208-3942</t>
  </si>
  <si>
    <t>Andrew  Mahezi</t>
  </si>
  <si>
    <t>UG-CEN-1301-4588</t>
  </si>
  <si>
    <t>Semaganda  Christopher</t>
  </si>
  <si>
    <t>Nabingola</t>
  </si>
  <si>
    <t>Lwensama</t>
  </si>
  <si>
    <t>UG-CEN-1301-5091</t>
  </si>
  <si>
    <t>Musoke  Musawo Livingstone</t>
  </si>
  <si>
    <t>kalangala</t>
  </si>
  <si>
    <t>Kumalaki  Joseph</t>
  </si>
  <si>
    <t>Lwemivubo</t>
  </si>
  <si>
    <t>Nkule  Sulaiman</t>
  </si>
  <si>
    <t>UG-CEN-1302-1082</t>
  </si>
  <si>
    <t>Sseddu   Mohamad</t>
  </si>
  <si>
    <t>Bussujju</t>
  </si>
  <si>
    <t>UG-CEN-1302-2409</t>
  </si>
  <si>
    <t>Nakigudde  Sandrah</t>
  </si>
  <si>
    <t>Bbungo</t>
  </si>
  <si>
    <t>UG-CEN-1208-5179</t>
  </si>
  <si>
    <t>Medard  Lubega</t>
  </si>
  <si>
    <t>Nakasozi</t>
  </si>
  <si>
    <t>UG-CEN-1302-2416</t>
  </si>
  <si>
    <t>Ssevume  Fabiano</t>
  </si>
  <si>
    <t>UG-CEN-1302-2442</t>
  </si>
  <si>
    <t>Galiwango  William</t>
  </si>
  <si>
    <t>kitwe</t>
  </si>
  <si>
    <t>UG-CEN-1302-2452</t>
  </si>
  <si>
    <t>Semanda  Vicent</t>
  </si>
  <si>
    <t>lugaaga</t>
  </si>
  <si>
    <t>UG-CEN-1302-2453</t>
  </si>
  <si>
    <t>Sewanyana  George</t>
  </si>
  <si>
    <t>kakipuuya</t>
  </si>
  <si>
    <t>UG-CEN-1302-2469</t>
  </si>
  <si>
    <t>Sserubbo  Andrew Salongo</t>
  </si>
  <si>
    <t>UG-CEN-1302-2476</t>
  </si>
  <si>
    <t>Kizza  Sofasi Salongo</t>
  </si>
  <si>
    <t>UG-CEN-1302-2484</t>
  </si>
  <si>
    <t>Kasozi  Erias</t>
  </si>
  <si>
    <t>kakiika</t>
  </si>
  <si>
    <t>UG-CEN-1302-2485</t>
  </si>
  <si>
    <t>Kalinzi  Julian</t>
  </si>
  <si>
    <t>suzaddembe</t>
  </si>
  <si>
    <t>UG-CEN-1302-2492</t>
  </si>
  <si>
    <t>Kalinzi  Pauline Nabukeera</t>
  </si>
  <si>
    <t>UG-CEN-1302-2498</t>
  </si>
  <si>
    <t>Twesigye Mukama</t>
  </si>
  <si>
    <t>kagango</t>
  </si>
  <si>
    <t>UG-CEN-1302-2500</t>
  </si>
  <si>
    <t>Nyamwiza  Justine</t>
  </si>
  <si>
    <t>UG-CEN-1302-2631</t>
  </si>
  <si>
    <t xml:space="preserve">Ricard  Ssamula </t>
  </si>
  <si>
    <t>Kamagwa.</t>
  </si>
  <si>
    <t>UG-CEN-1302-2642</t>
  </si>
  <si>
    <t>No  Mibazi Joseph</t>
  </si>
  <si>
    <t>Bigando C</t>
  </si>
  <si>
    <t>UG-CEN-1302-2643</t>
  </si>
  <si>
    <t>Regious  Nakasaga</t>
  </si>
  <si>
    <t>kacumu</t>
  </si>
  <si>
    <t>Badru  Lugolobi Sekagya</t>
  </si>
  <si>
    <t>Asoni Kagwa Zone</t>
  </si>
  <si>
    <t>UG-CEN-1302-2809</t>
  </si>
  <si>
    <t>Christine  Nakanwagi</t>
  </si>
  <si>
    <t>Namagabi</t>
  </si>
  <si>
    <t>Sekgya  Musa</t>
  </si>
  <si>
    <t>Farida  Sekagya</t>
  </si>
  <si>
    <t>UG-CEN-1302-2815</t>
  </si>
  <si>
    <t>Robert  Wambi</t>
  </si>
  <si>
    <t>Kayunga town council</t>
  </si>
  <si>
    <t>UG-CEN-1302-2819</t>
  </si>
  <si>
    <t>Emanuel  Mukasa</t>
  </si>
  <si>
    <t>Ntenjeru South</t>
  </si>
  <si>
    <t>Nazigo Kiseven</t>
  </si>
  <si>
    <t>UG-CEN-1302-2821</t>
  </si>
  <si>
    <t>Kiwemba  Ssali Becon</t>
  </si>
  <si>
    <t>Kaazi</t>
  </si>
  <si>
    <t>UG-CEN-1302-2824</t>
  </si>
  <si>
    <t>William  Lutakome Paul</t>
  </si>
  <si>
    <t>UG-CEN-1302-2848</t>
  </si>
  <si>
    <t>Salapio  Mukiibi</t>
  </si>
  <si>
    <t>Fred  Sseruwagi</t>
  </si>
  <si>
    <t>UG-CEN-1302-2875</t>
  </si>
  <si>
    <t>Josephine  Namatovu</t>
  </si>
  <si>
    <t>Kitambuza</t>
  </si>
  <si>
    <t>UG-CEN-1302-2879</t>
  </si>
  <si>
    <t>Kisalita   Muwanga</t>
  </si>
  <si>
    <t>Wanyanga</t>
  </si>
  <si>
    <t>Deborah Kayima</t>
  </si>
  <si>
    <t>Kimbugu</t>
  </si>
  <si>
    <t>Kabila  Desire</t>
  </si>
  <si>
    <t>Buyaya kitojo</t>
  </si>
  <si>
    <t>UG-CEN-1302-3931</t>
  </si>
  <si>
    <t>Justine Mubiru</t>
  </si>
  <si>
    <t>Kiryagonja</t>
  </si>
  <si>
    <t>Mrs  Kyayi Daniel</t>
  </si>
  <si>
    <t>Baggala zone</t>
  </si>
  <si>
    <t>UG-CEN-1302-3932</t>
  </si>
  <si>
    <t>Godfrey  Ssentongo</t>
  </si>
  <si>
    <t>Kilyagonja</t>
  </si>
  <si>
    <t>UG-CEN-1302-3982</t>
  </si>
  <si>
    <t xml:space="preserve">Secred Heart Sisters  </t>
  </si>
  <si>
    <t>Kyamusansala</t>
  </si>
  <si>
    <t>UG-CEN-1302-4258</t>
  </si>
  <si>
    <t>Balebuga  Noah</t>
  </si>
  <si>
    <t>Kitulege</t>
  </si>
  <si>
    <t>Lugolobi  Moses</t>
  </si>
  <si>
    <t>Kimbeja</t>
  </si>
  <si>
    <t>UG-CEN-1302-4401</t>
  </si>
  <si>
    <t>George  Mpaata</t>
  </si>
  <si>
    <t>Bugereka</t>
  </si>
  <si>
    <t>UG-CEN-1302-4429</t>
  </si>
  <si>
    <t>Rev Godfrey   Muwanga</t>
  </si>
  <si>
    <t>UG-CEN-1302-4433</t>
  </si>
  <si>
    <t>Yoganathan  Kanapathypillai</t>
  </si>
  <si>
    <t>UG-CEN-1302-4434</t>
  </si>
  <si>
    <t>Alex  Kibuuka</t>
  </si>
  <si>
    <t>UG-CEN-1302-4449</t>
  </si>
  <si>
    <t>Ssekagya  Lugolobi Buruhan</t>
  </si>
  <si>
    <t>Ntooke</t>
  </si>
  <si>
    <t>UG-CEN-1302-4587</t>
  </si>
  <si>
    <t>Namusoke Florence</t>
  </si>
  <si>
    <t>Mitala maria</t>
  </si>
  <si>
    <t>Kalemera James</t>
  </si>
  <si>
    <t>UG-CEN-1302-4593</t>
  </si>
  <si>
    <t>Kisoolo  Yokana</t>
  </si>
  <si>
    <t>Nakaseeta</t>
  </si>
  <si>
    <t>UG-CEN-1302-5066</t>
  </si>
  <si>
    <t>Yosum  Mugira</t>
  </si>
  <si>
    <t>UG-CEN-1302-5126</t>
  </si>
  <si>
    <t xml:space="preserve">Ssemakula Haruna </t>
  </si>
  <si>
    <t>Kalokera</t>
  </si>
  <si>
    <t>UG-CEN-1302-5187</t>
  </si>
  <si>
    <t>Aine  Ntate</t>
  </si>
  <si>
    <t>UG-CEN-1302-5248</t>
  </si>
  <si>
    <t>Vincent  Buyungo</t>
  </si>
  <si>
    <t>Bunamwaya gobe</t>
  </si>
  <si>
    <t>UG-CEN-1302-5334</t>
  </si>
  <si>
    <t>Leontina  Nambooze</t>
  </si>
  <si>
    <t>UG-CEN-1210-4462</t>
  </si>
  <si>
    <t>Peninnah  Kalule</t>
  </si>
  <si>
    <t>Namuli  Irine</t>
  </si>
  <si>
    <t>UG-CEN-1303-2444</t>
  </si>
  <si>
    <t>Kakooza  Joseph</t>
  </si>
  <si>
    <t>mabuye</t>
  </si>
  <si>
    <t>UG-CEN-1210-4639</t>
  </si>
  <si>
    <t>Incomplete plant</t>
  </si>
  <si>
    <t>Mugyimbaho  Fred</t>
  </si>
  <si>
    <t>Nabiswere</t>
  </si>
  <si>
    <t>Kigalambi</t>
  </si>
  <si>
    <t>UG-CEN-1303-2455</t>
  </si>
  <si>
    <t>Namungo  Sita</t>
  </si>
  <si>
    <t>kalwanga</t>
  </si>
  <si>
    <t>UG-CEN-1303-2456</t>
  </si>
  <si>
    <t>Mugabi  Geofrey Lubega</t>
  </si>
  <si>
    <t>UG-CEN-1303-2613</t>
  </si>
  <si>
    <t>Bosco  Ssemanda John</t>
  </si>
  <si>
    <t>BukotoSouth</t>
  </si>
  <si>
    <t>UG-CEN-1303-2630</t>
  </si>
  <si>
    <t>Keresesia  Nakanjjako</t>
  </si>
  <si>
    <t>Kamagwa</t>
  </si>
  <si>
    <t>UG-CEN-1303-2913</t>
  </si>
  <si>
    <t>Katerega  Hamuza</t>
  </si>
  <si>
    <t>Busiro East</t>
  </si>
  <si>
    <t>Nanziga Bunga</t>
  </si>
  <si>
    <t>UG-CEN-1210-5358</t>
  </si>
  <si>
    <t>Ssebagala  William</t>
  </si>
  <si>
    <t>Ziwa Sserubiri</t>
  </si>
  <si>
    <t>Lugo</t>
  </si>
  <si>
    <t>Agnes Ssewabi</t>
  </si>
  <si>
    <t>Buroba</t>
  </si>
  <si>
    <t>UG-CEN-1303-3296</t>
  </si>
  <si>
    <t>Akello Ruth  Caroline Plant 1</t>
  </si>
  <si>
    <t>Kirombe</t>
  </si>
  <si>
    <t>Nakawa Division</t>
  </si>
  <si>
    <t>Kirombe B</t>
  </si>
  <si>
    <t>Catherine N Kiwesi</t>
  </si>
  <si>
    <t>Ntinda</t>
  </si>
  <si>
    <t>UG-CEN-1303-3857</t>
  </si>
  <si>
    <t>Michael  Kiyingi</t>
  </si>
  <si>
    <t>UG-CEN-1303-3903</t>
  </si>
  <si>
    <t>Justine  Sekandi</t>
  </si>
  <si>
    <t>UG-CEN-1303-4287</t>
  </si>
  <si>
    <t>Ntume   Charles</t>
  </si>
  <si>
    <t>Kigunda</t>
  </si>
  <si>
    <t>UG-CEN-1211-2639</t>
  </si>
  <si>
    <t xml:space="preserve">Rosmary  Nantongo </t>
  </si>
  <si>
    <t>Kaleele B</t>
  </si>
  <si>
    <t>UG-CEN-1303-4508</t>
  </si>
  <si>
    <t>Nakato Ruth 1</t>
  </si>
  <si>
    <t>Kapeeka</t>
  </si>
  <si>
    <t>Nakafero Juliet</t>
  </si>
  <si>
    <t>matuga</t>
  </si>
  <si>
    <t>UG-CEN-1303-4510</t>
  </si>
  <si>
    <t>Seruwu  Livingston</t>
  </si>
  <si>
    <t>Nabagala  Aisha</t>
  </si>
  <si>
    <t>Biwanga</t>
  </si>
  <si>
    <t>UG-CEN-1303-4581</t>
  </si>
  <si>
    <t>Ssenkonyo  Apollo</t>
  </si>
  <si>
    <t>Katungulu</t>
  </si>
  <si>
    <t>UG-CEN-1211-3069</t>
  </si>
  <si>
    <t>Dorothy  Nakalema</t>
  </si>
  <si>
    <t>Katosi-Bwangs</t>
  </si>
  <si>
    <t>UG-CEN-1303-4584</t>
  </si>
  <si>
    <t>Mugabi  Alex</t>
  </si>
  <si>
    <t>Ngomazamukasa</t>
  </si>
  <si>
    <t>Wasswa Nasitanziya</t>
  </si>
  <si>
    <t>Nsenga  Ronard</t>
  </si>
  <si>
    <t>Kizizi</t>
  </si>
  <si>
    <t>UG-CEN-1303-5048</t>
  </si>
  <si>
    <t>Ssembalato Ronald</t>
  </si>
  <si>
    <t>Ggalambe</t>
  </si>
  <si>
    <t>Sserukuma Mathias</t>
  </si>
  <si>
    <t>UG-CEN-1303-5304</t>
  </si>
  <si>
    <t>Fred  Genza</t>
  </si>
  <si>
    <t>Kisango</t>
  </si>
  <si>
    <t>UG-CEN-1303-5306</t>
  </si>
  <si>
    <t>Livingstone  Ssekibowa</t>
  </si>
  <si>
    <t>Namugera</t>
  </si>
  <si>
    <t>UG-CEN-1303-5337</t>
  </si>
  <si>
    <t>Boney  Lwasa</t>
  </si>
  <si>
    <t>Kaliti</t>
  </si>
  <si>
    <t>UG-CEN-1304-04538</t>
  </si>
  <si>
    <t>Magimbi  John</t>
  </si>
  <si>
    <t>Katoma</t>
  </si>
  <si>
    <t>UG-CEN-1304-1065</t>
  </si>
  <si>
    <t>Mwanje   Charles</t>
  </si>
  <si>
    <t>UG-CEN-1304-1066</t>
  </si>
  <si>
    <t>Nanono  Lazia</t>
  </si>
  <si>
    <t>Ssendigya  Samuel</t>
  </si>
  <si>
    <t>Bufuuma</t>
  </si>
  <si>
    <t>UG-CEN-1211-4511</t>
  </si>
  <si>
    <t>Mugisha  John</t>
  </si>
  <si>
    <t>Lwamagaga</t>
  </si>
  <si>
    <t>Namujunga  David</t>
  </si>
  <si>
    <t>kakomo</t>
  </si>
  <si>
    <t>UG-CEN-1304-2479</t>
  </si>
  <si>
    <t>Ssenyonjo  William Proscovia</t>
  </si>
  <si>
    <t>UG-CEN-1304-2507</t>
  </si>
  <si>
    <t>Mirembe  Hope</t>
  </si>
  <si>
    <t>nyabubaale</t>
  </si>
  <si>
    <t>UG-CEN-1304-2629</t>
  </si>
  <si>
    <t xml:space="preserve">Emmanuel   Ssemaganda </t>
  </si>
  <si>
    <t>UG-CEN-1304-2641</t>
  </si>
  <si>
    <t xml:space="preserve">Tibategeza  Benono </t>
  </si>
  <si>
    <t>Kyakasonzi</t>
  </si>
  <si>
    <t>Matongo  George</t>
  </si>
  <si>
    <t>UG-CEN-1304-2932</t>
  </si>
  <si>
    <t>Ssekabembe  Yekosefati</t>
  </si>
  <si>
    <t>Madudu</t>
  </si>
  <si>
    <t>Kijjunga</t>
  </si>
  <si>
    <t>UG-CEN-1304-2944</t>
  </si>
  <si>
    <t>Revkato  Musaasizi</t>
  </si>
  <si>
    <t>Kasanda south</t>
  </si>
  <si>
    <t>Myanzi</t>
  </si>
  <si>
    <t>Makata</t>
  </si>
  <si>
    <t>UG-CEN-1211-5073</t>
  </si>
  <si>
    <t xml:space="preserve">Dawson  Assimwe </t>
  </si>
  <si>
    <t>Lyantonde T.C</t>
  </si>
  <si>
    <t>Lyantonde Tc</t>
  </si>
  <si>
    <t>UG-CEN-1304-2979</t>
  </si>
  <si>
    <t>Nakidde  Josephine</t>
  </si>
  <si>
    <t xml:space="preserve">Joseph  Bunjoko </t>
  </si>
  <si>
    <t>UG-CEN-1304-3516</t>
  </si>
  <si>
    <t xml:space="preserve">Betty  Nabasinga </t>
  </si>
  <si>
    <t>gulama nakatete</t>
  </si>
  <si>
    <t>UG-CEN-1304-3540</t>
  </si>
  <si>
    <t>John bosco  Ssebyuma</t>
  </si>
  <si>
    <t>Nabyewamga</t>
  </si>
  <si>
    <t xml:space="preserve">Fred  Kibudde </t>
  </si>
  <si>
    <t>kimanya kyabakuza</t>
  </si>
  <si>
    <t>UG-CEN-1304-3882</t>
  </si>
  <si>
    <t>Wilson  Kasule</t>
  </si>
  <si>
    <t>Kayindu</t>
  </si>
  <si>
    <t>UG-CEN-1304-3897</t>
  </si>
  <si>
    <t>Sarah  Galiwango</t>
  </si>
  <si>
    <t>Lubaga South</t>
  </si>
  <si>
    <t>Nabisasiro</t>
  </si>
  <si>
    <t>UG-CEN-1304-3905</t>
  </si>
  <si>
    <t>Edith  Nantaba</t>
  </si>
  <si>
    <t>UG-CEN-1304-3917</t>
  </si>
  <si>
    <t>Bernadette  Nakijoba</t>
  </si>
  <si>
    <t>Katumba Christopher</t>
  </si>
  <si>
    <t>UG-CEN-1304-3964</t>
  </si>
  <si>
    <t xml:space="preserve">Geofrey  Mbazira </t>
  </si>
  <si>
    <t>Lwabenge</t>
  </si>
  <si>
    <t>Miwula</t>
  </si>
  <si>
    <t>UG-CEN-1304-4046</t>
  </si>
  <si>
    <t>Kiwalabye Patrick</t>
  </si>
  <si>
    <t>Bukabi</t>
  </si>
  <si>
    <t>Mabira Deziderio</t>
  </si>
  <si>
    <t>Kikwabanga</t>
  </si>
  <si>
    <t>UG-CEN-1304-4191</t>
  </si>
  <si>
    <t>Margaret Muwanga</t>
  </si>
  <si>
    <t>kitagobwa</t>
  </si>
  <si>
    <t>UG-CEN-1304-4285</t>
  </si>
  <si>
    <t>Tanula  Sulaiman</t>
  </si>
  <si>
    <t>UG-CEN-1304-4307</t>
  </si>
  <si>
    <t>Sebastian  Nkwusi Semi</t>
  </si>
  <si>
    <t>UG-CEN-1304-4404</t>
  </si>
  <si>
    <t>Dorothy  Nabbanja</t>
  </si>
  <si>
    <t>Naluvule</t>
  </si>
  <si>
    <t>UG-CEN-1304-4486</t>
  </si>
  <si>
    <t>Nabwami Ruth</t>
  </si>
  <si>
    <t>Ngalomyembe</t>
  </si>
  <si>
    <t>Muhwezi  Ismail</t>
  </si>
  <si>
    <t>Kyamusugga</t>
  </si>
  <si>
    <t>Nalongo Nakitto</t>
  </si>
  <si>
    <t>UG-CEN-1304-4607</t>
  </si>
  <si>
    <t>Mr Mugyenyi  Samuel</t>
  </si>
  <si>
    <t>Butemba</t>
  </si>
  <si>
    <t>Kitegwa</t>
  </si>
  <si>
    <t>UG-CEN-1304-4608</t>
  </si>
  <si>
    <t>Mpora  Deborah</t>
  </si>
  <si>
    <t>Nteyera</t>
  </si>
  <si>
    <t>UG-CEN-1304-4686</t>
  </si>
  <si>
    <t>Nsubuga William</t>
  </si>
  <si>
    <t>UG-CEN-1304-5166</t>
  </si>
  <si>
    <t>Peter  Mukasa</t>
  </si>
  <si>
    <t>Mawule</t>
  </si>
  <si>
    <t>UG-CEN-1304-5174</t>
  </si>
  <si>
    <t>Ntetge Stella</t>
  </si>
  <si>
    <t>UG-CEN-1304-5328</t>
  </si>
  <si>
    <t>Amfri Farms Ltd  Petet</t>
  </si>
  <si>
    <t>Watyato</t>
  </si>
  <si>
    <t>UG-CEN-1304-5353</t>
  </si>
  <si>
    <t>Kazibwe Charles</t>
  </si>
  <si>
    <t>Bukanaga</t>
  </si>
  <si>
    <t>UG-CEN-1304-5392</t>
  </si>
  <si>
    <t>Male  Matia</t>
  </si>
  <si>
    <t>Wattuba</t>
  </si>
  <si>
    <t>Kikweyego</t>
  </si>
  <si>
    <t>UG-CEN-1305-04269</t>
  </si>
  <si>
    <t>Sengoye  Peter</t>
  </si>
  <si>
    <t>UG-CEN-1305-1041</t>
  </si>
  <si>
    <t>Naluwooza  Mastula</t>
  </si>
  <si>
    <t>Sserukeera  Joseph Sekandi</t>
  </si>
  <si>
    <t>kawalanzigu</t>
  </si>
  <si>
    <t>UG-CEN-1305-2428</t>
  </si>
  <si>
    <t>Namugenyi  Kiyita Nalongo</t>
  </si>
  <si>
    <t>ttaba binzi</t>
  </si>
  <si>
    <t>Nantamu  Jovia Seddu</t>
  </si>
  <si>
    <t>Mubiru  Henry</t>
  </si>
  <si>
    <t>UG-CEN-1305-2434</t>
  </si>
  <si>
    <t>Mubiru  Hanington</t>
  </si>
  <si>
    <t>UG-CEN-1305-2454</t>
  </si>
  <si>
    <t>Nasolo  Teddy</t>
  </si>
  <si>
    <t>lubaale</t>
  </si>
  <si>
    <t>Ndalike  Angella Clovis</t>
  </si>
  <si>
    <t>kibengo</t>
  </si>
  <si>
    <t>UG-CEN-1305-2826</t>
  </si>
  <si>
    <t>Kalule   Evalesto</t>
  </si>
  <si>
    <t>Namizo</t>
  </si>
  <si>
    <t>UG-CEN-1212-3808</t>
  </si>
  <si>
    <t>Ahamed  Kirumira</t>
  </si>
  <si>
    <t>Ssabagabo</t>
  </si>
  <si>
    <t>UG-CEN-1305-2880</t>
  </si>
  <si>
    <t>Velonika  Nakito</t>
  </si>
  <si>
    <t>Busaana</t>
  </si>
  <si>
    <t>Kiwangula central</t>
  </si>
  <si>
    <t>UG-CEN-1305-2927</t>
  </si>
  <si>
    <t>Nakitende Lydia</t>
  </si>
  <si>
    <t>Katabalanga</t>
  </si>
  <si>
    <t>UG-CEN-1305-2935</t>
  </si>
  <si>
    <t>Ssekubunga  Stephene</t>
  </si>
  <si>
    <t>Bukongo</t>
  </si>
  <si>
    <t>UG-CEN-1305-2940</t>
  </si>
  <si>
    <t>Nalongo Hasifa  Ntengo</t>
  </si>
  <si>
    <t>Galabi</t>
  </si>
  <si>
    <t>UG-CEN-1212-3908</t>
  </si>
  <si>
    <t>Steven  Kayongo</t>
  </si>
  <si>
    <t>Kiwenda</t>
  </si>
  <si>
    <t>UG-CEN-1305-2985</t>
  </si>
  <si>
    <t>Kikaawa  Badru</t>
  </si>
  <si>
    <t>Bukoggolwa</t>
  </si>
  <si>
    <t>UG-CEN-1305-2986</t>
  </si>
  <si>
    <t>Nantongo  Zalika</t>
  </si>
  <si>
    <t>UG-CEN-1305-3400</t>
  </si>
  <si>
    <t>John  Luswata</t>
  </si>
  <si>
    <t>UG-CEN-1305-3527</t>
  </si>
  <si>
    <t xml:space="preserve">Maria  Kabito </t>
  </si>
  <si>
    <t>kakunyu</t>
  </si>
  <si>
    <t>UG-CEN-1212-4483</t>
  </si>
  <si>
    <t>Hanington  Kikonyogo Bugo</t>
  </si>
  <si>
    <t>Bulika</t>
  </si>
  <si>
    <t>Josephine  Mutekisa No</t>
  </si>
  <si>
    <t>Lukaya</t>
  </si>
  <si>
    <t>Nabyewanga</t>
  </si>
  <si>
    <t>UG-CEN-1305-3541</t>
  </si>
  <si>
    <t xml:space="preserve">Francis  Buzimba </t>
  </si>
  <si>
    <t>Golo Buzirango</t>
  </si>
  <si>
    <t>UG-CEN-1305-3782</t>
  </si>
  <si>
    <t>Margaret  Mugalagu</t>
  </si>
  <si>
    <t>UG-CEN-1212-4583</t>
  </si>
  <si>
    <t>Ssentongo  Imelda</t>
  </si>
  <si>
    <t>UG-CEN-1305-3791</t>
  </si>
  <si>
    <t>Francis  Wasswa</t>
  </si>
  <si>
    <t>Buyera</t>
  </si>
  <si>
    <t>UG-CEN-1305-3811</t>
  </si>
  <si>
    <t xml:space="preserve">John  Lutaaya Vianney </t>
  </si>
  <si>
    <t>Sissa</t>
  </si>
  <si>
    <t>Bwebajja</t>
  </si>
  <si>
    <t>Lutaaya Agness</t>
  </si>
  <si>
    <t>Bwebaja</t>
  </si>
  <si>
    <t>UG-CEN-1305-3854</t>
  </si>
  <si>
    <t>Edward  Serunjongi</t>
  </si>
  <si>
    <t>UG-CEN-1305-3883</t>
  </si>
  <si>
    <t>George  Nsigalira</t>
  </si>
  <si>
    <t>Lubwama</t>
  </si>
  <si>
    <t>UG-CEN-1305-3884</t>
  </si>
  <si>
    <t>Paul  Nsibambi</t>
  </si>
  <si>
    <t>UG-CEN-1212-5165</t>
  </si>
  <si>
    <t>Lubwama Tonny</t>
  </si>
  <si>
    <t>UG-CEN-1305-3901</t>
  </si>
  <si>
    <t>Kasirye Jame</t>
  </si>
  <si>
    <t>kawempe</t>
  </si>
  <si>
    <t>tura</t>
  </si>
  <si>
    <t>UG-CEN-1305-3933</t>
  </si>
  <si>
    <t>Bulhani  Mawejje</t>
  </si>
  <si>
    <t>UG-CEN-1305-3936</t>
  </si>
  <si>
    <t>Mariam  Ssemwanga</t>
  </si>
  <si>
    <t>Senge</t>
  </si>
  <si>
    <t>Kaaya Angelo</t>
  </si>
  <si>
    <t>Ndoddo</t>
  </si>
  <si>
    <t>UG-CEN-1305-3955</t>
  </si>
  <si>
    <t>Ssekaweke  Annet Augustine</t>
  </si>
  <si>
    <t>Siwa</t>
  </si>
  <si>
    <t>UG-CEN-1305-3960</t>
  </si>
  <si>
    <t>Kayondo Musoke</t>
  </si>
  <si>
    <t>Nakatete.</t>
  </si>
  <si>
    <t>UG-CEN-1305-3965</t>
  </si>
  <si>
    <t xml:space="preserve">Muhamdi  Ssali </t>
  </si>
  <si>
    <t>Bilongo</t>
  </si>
  <si>
    <t>UG-CEN-1305-3966</t>
  </si>
  <si>
    <t xml:space="preserve">Bernh  Nakalanzi </t>
  </si>
  <si>
    <t>Lwabwnge</t>
  </si>
  <si>
    <t>Bweesa</t>
  </si>
  <si>
    <t>UG-CEN-1305-3986</t>
  </si>
  <si>
    <t>Debit  Igga Deus</t>
  </si>
  <si>
    <t>Kibirige Emmanuel</t>
  </si>
  <si>
    <t>Kiswa B</t>
  </si>
  <si>
    <t xml:space="preserve">Charles  Luswata </t>
  </si>
  <si>
    <t>Kiggato</t>
  </si>
  <si>
    <t>UG-CEN-1305-3993</t>
  </si>
  <si>
    <t xml:space="preserve">George  Byekwaso </t>
  </si>
  <si>
    <t>Kijjonjo</t>
  </si>
  <si>
    <t>Kiyingi Ssamanya</t>
  </si>
  <si>
    <t>Kikondo</t>
  </si>
  <si>
    <t>UG-CEN-1305-4136</t>
  </si>
  <si>
    <t>Lubira Olivia</t>
  </si>
  <si>
    <t>Butiukirwa</t>
  </si>
  <si>
    <t>UG-CEN-1305-4260</t>
  </si>
  <si>
    <t>Ssimba  Ananias</t>
  </si>
  <si>
    <t>Kitonga</t>
  </si>
  <si>
    <t>Nantume Lucia</t>
  </si>
  <si>
    <t>Buwunga.</t>
  </si>
  <si>
    <t>Lwanunda</t>
  </si>
  <si>
    <t>UG-CEN-1305-4268</t>
  </si>
  <si>
    <t>Kisamba  Samson</t>
  </si>
  <si>
    <t>Mayanja Michael</t>
  </si>
  <si>
    <t>UG-CEN-1305-4274</t>
  </si>
  <si>
    <t>Ssenyonjo  John Baptist</t>
  </si>
  <si>
    <t>UG-CEN-1301-3079</t>
  </si>
  <si>
    <t>Nabatanzi Frolence</t>
  </si>
  <si>
    <t>UG-CEN-1305-4317</t>
  </si>
  <si>
    <t>Paul  Sinabulya</t>
  </si>
  <si>
    <t>Mbugu</t>
  </si>
  <si>
    <t>UG-CEN-1305-4335</t>
  </si>
  <si>
    <t>Bernard  Bwamwine</t>
  </si>
  <si>
    <t>Bwerega</t>
  </si>
  <si>
    <t>UG-CEN-1305-4372</t>
  </si>
  <si>
    <t>Mustapha  Bukulu Hajji</t>
  </si>
  <si>
    <t>Kaseenene</t>
  </si>
  <si>
    <t>UG-CEN-1305-4519</t>
  </si>
  <si>
    <t>Honnyombi  Thembo</t>
  </si>
  <si>
    <t>Kyamusuga</t>
  </si>
  <si>
    <t>UG-CEN-1305-4540</t>
  </si>
  <si>
    <t>Kyazze  Zaverio</t>
  </si>
  <si>
    <t>Dr Mugambe  Francis</t>
  </si>
  <si>
    <t>Mityana municipality</t>
  </si>
  <si>
    <t>Kiyinda</t>
  </si>
  <si>
    <t>UG-CEN-1301-3940</t>
  </si>
  <si>
    <t>Godfrey  Bbaale</t>
  </si>
  <si>
    <t>UG-CEN-1305-4586</t>
  </si>
  <si>
    <t>Namusoke Betty</t>
  </si>
  <si>
    <t>UG-CEN-1305-4704</t>
  </si>
  <si>
    <t>Wambwa  Fredrick</t>
  </si>
  <si>
    <t>Lugazi municipality</t>
  </si>
  <si>
    <t>Kasaasi</t>
  </si>
  <si>
    <t>UG-CEN-1305-5077</t>
  </si>
  <si>
    <t xml:space="preserve">George  Baale </t>
  </si>
  <si>
    <t>Mpumude</t>
  </si>
  <si>
    <t>Bulunga</t>
  </si>
  <si>
    <t>UG-CEN-1305-5087</t>
  </si>
  <si>
    <t xml:space="preserve">Expedito  Mbuga </t>
  </si>
  <si>
    <t>Mugoye</t>
  </si>
  <si>
    <t>Bbeta</t>
  </si>
  <si>
    <t>UG-CEN-1305-5088</t>
  </si>
  <si>
    <t xml:space="preserve">James  Kibengo </t>
  </si>
  <si>
    <t>UG-CEN-1305-5168</t>
  </si>
  <si>
    <t>Teopista  Najjuma</t>
  </si>
  <si>
    <t>UG-CEN-1305-5182</t>
  </si>
  <si>
    <t>Stanely  Mukasa</t>
  </si>
  <si>
    <t>Manja</t>
  </si>
  <si>
    <t>UG-CEN-1305-5195</t>
  </si>
  <si>
    <t>Paul  Katongole Rockson</t>
  </si>
  <si>
    <t>UG-CEN-1305-5232</t>
  </si>
  <si>
    <t>Moses  Kashiringi</t>
  </si>
  <si>
    <t>Bunono</t>
  </si>
  <si>
    <t>UG-CEN-1301-4579</t>
  </si>
  <si>
    <t>Mayanja  William</t>
  </si>
  <si>
    <t>Kyamusisi</t>
  </si>
  <si>
    <t>UG-CEN-1301-4580</t>
  </si>
  <si>
    <t>Kabuga  Samuel</t>
  </si>
  <si>
    <t>UG-CEN-1305-5329</t>
  </si>
  <si>
    <t>Augustine  Ssekaweka</t>
  </si>
  <si>
    <t>Wakyato</t>
  </si>
  <si>
    <t>UG-CEN-1305-5333</t>
  </si>
  <si>
    <t>Anamaria  Mukisa</t>
  </si>
  <si>
    <t>UG-CEN-1306-1083</t>
  </si>
  <si>
    <t>Luzunga  Leo</t>
  </si>
  <si>
    <t>Kanggundu</t>
  </si>
  <si>
    <t>Katongole  Kato</t>
  </si>
  <si>
    <t>lusenke</t>
  </si>
  <si>
    <t>UG-CEN-1306-2440</t>
  </si>
  <si>
    <t>Kizindo  Yusufu</t>
  </si>
  <si>
    <t>Kiberu  Edirisa</t>
  </si>
  <si>
    <t>golola</t>
  </si>
  <si>
    <t>UG-CEN-1306-2466</t>
  </si>
  <si>
    <t>Semakula  Twaib</t>
  </si>
  <si>
    <t>luzira</t>
  </si>
  <si>
    <t>Luwalira  George Kibuuka</t>
  </si>
  <si>
    <t>Nansikombi  Agness</t>
  </si>
  <si>
    <t>Mukunya  John</t>
  </si>
  <si>
    <t>UG-CEN-1306-2505</t>
  </si>
  <si>
    <t>Kakondo  Edward</t>
  </si>
  <si>
    <t>katikamu</t>
  </si>
  <si>
    <t>UG-CEN-1306-2524</t>
  </si>
  <si>
    <t>Kayondo  Ismail</t>
  </si>
  <si>
    <t>nakatooke</t>
  </si>
  <si>
    <t>Nvunabandi  Kanuziyo</t>
  </si>
  <si>
    <t>katikampanda</t>
  </si>
  <si>
    <t>UG-CEN-1306-2544</t>
  </si>
  <si>
    <t>Mayanja  Musa Mukasa</t>
  </si>
  <si>
    <t>golola kisuudi</t>
  </si>
  <si>
    <t>Kyewalyanga  James</t>
  </si>
  <si>
    <t>UG-CEN-1306-2605</t>
  </si>
  <si>
    <t xml:space="preserve">Joseph  Ziggude </t>
  </si>
  <si>
    <t>Kaboyo</t>
  </si>
  <si>
    <t>UG-CEN-1306-2614</t>
  </si>
  <si>
    <t>Ssejje  Frank</t>
  </si>
  <si>
    <t>Katunganyi.</t>
  </si>
  <si>
    <t>UG-CEN-1306-2626</t>
  </si>
  <si>
    <t xml:space="preserve">Vicent  Ssetuba </t>
  </si>
  <si>
    <t>UG-CEN-1306-2644</t>
  </si>
  <si>
    <t>Ssajabi  Kagwa Johnbaptist</t>
  </si>
  <si>
    <t>Kyakondo</t>
  </si>
  <si>
    <t>UG-CEN-1302-2499</t>
  </si>
  <si>
    <t>Namanya  Martin</t>
  </si>
  <si>
    <t>UG-CEN-1306-2881</t>
  </si>
  <si>
    <t>Sammuel  Kiwanuka</t>
  </si>
  <si>
    <t>Mpumudde</t>
  </si>
  <si>
    <t>UG-CEN-1306-2903</t>
  </si>
  <si>
    <t>Namanya  Rose</t>
  </si>
  <si>
    <t>Maddu tc</t>
  </si>
  <si>
    <t>UG-CEN-1306-2915</t>
  </si>
  <si>
    <t>Nabitosi  Christine</t>
  </si>
  <si>
    <t>Kololo</t>
  </si>
  <si>
    <t>UG-CEN-1306-2920</t>
  </si>
  <si>
    <t>Nsimire  David</t>
  </si>
  <si>
    <t>Kivera</t>
  </si>
  <si>
    <t>Lugolobi Nanozi Madina</t>
  </si>
  <si>
    <t>Mustafa  Tafumba</t>
  </si>
  <si>
    <t>UG-CEN-1306-2924</t>
  </si>
  <si>
    <t>Sekide  John</t>
  </si>
  <si>
    <t>UG-CEN-1306-3505</t>
  </si>
  <si>
    <t xml:space="preserve">Flumera  Nakitende </t>
  </si>
  <si>
    <t>Mbira</t>
  </si>
  <si>
    <t xml:space="preserve">Kataila  Frolence </t>
  </si>
  <si>
    <t>Butenga</t>
  </si>
  <si>
    <t>Bulalo</t>
  </si>
  <si>
    <t>Haji Yusufu Musaasi</t>
  </si>
  <si>
    <t>Misindye</t>
  </si>
  <si>
    <t>UG-CEN-1302-2814</t>
  </si>
  <si>
    <t>Nakawombe Joyce</t>
  </si>
  <si>
    <t>UG-CEN-1306-3774</t>
  </si>
  <si>
    <t>Henry  Kawuma</t>
  </si>
  <si>
    <t>Maya</t>
  </si>
  <si>
    <t>Christopher  Lutwama</t>
  </si>
  <si>
    <t>Buddo</t>
  </si>
  <si>
    <t>UG-CEN-1306-3812</t>
  </si>
  <si>
    <t>Kubulangira  Hilary (plant 1)</t>
  </si>
  <si>
    <t>UG-CEN-1306-3844</t>
  </si>
  <si>
    <t>George Kiwanuka</t>
  </si>
  <si>
    <t>Kalongmiti</t>
  </si>
  <si>
    <t>Kasule Abudala</t>
  </si>
  <si>
    <t>kite</t>
  </si>
  <si>
    <t>Kasule Catherine</t>
  </si>
  <si>
    <t>Nyendo Sseyange</t>
  </si>
  <si>
    <t>Mukudde</t>
  </si>
  <si>
    <t>UG-CEN-1302-2871</t>
  </si>
  <si>
    <t>Florance  Ndikilya</t>
  </si>
  <si>
    <t>Kyetume</t>
  </si>
  <si>
    <t>UG-CEN-1306-3961</t>
  </si>
  <si>
    <t>Kayongo Francis</t>
  </si>
  <si>
    <t>Nkozi B</t>
  </si>
  <si>
    <t>PDSO</t>
  </si>
  <si>
    <t>Kayanja Godfrey</t>
  </si>
  <si>
    <t>UG-CEN-1302-2987</t>
  </si>
  <si>
    <t>Nantege  Hasifah</t>
  </si>
  <si>
    <t>Kibiikyo Charles</t>
  </si>
  <si>
    <t>Mbazzi</t>
  </si>
  <si>
    <t>Kiyingi Richard Charles</t>
  </si>
  <si>
    <t>Kawala</t>
  </si>
  <si>
    <t>UG-CEN-1306-4158</t>
  </si>
  <si>
    <t>Lusiba  Ahmed</t>
  </si>
  <si>
    <t>Kyasanku</t>
  </si>
  <si>
    <t>UG-CEN-1306-4259</t>
  </si>
  <si>
    <t>Mayanja  Dan</t>
  </si>
  <si>
    <t>UG-CEN-1302-3937</t>
  </si>
  <si>
    <t>Godfrey  Kizuula</t>
  </si>
  <si>
    <t>UG-CEN-1306-4305</t>
  </si>
  <si>
    <t>Salongo  Bugembe Kalifani</t>
  </si>
  <si>
    <t>Ssemuto</t>
  </si>
  <si>
    <t>Kokogwanga</t>
  </si>
  <si>
    <t>UG-CEN-1306-4315</t>
  </si>
  <si>
    <t>Ana Nsubuga Nalongo</t>
  </si>
  <si>
    <t>Wambitembe</t>
  </si>
  <si>
    <t>UG-CEN-1306-4346</t>
  </si>
  <si>
    <t>Jane  Nabuguzi</t>
  </si>
  <si>
    <t>Masajja Kikajjo</t>
  </si>
  <si>
    <t>UG-CEN-1306-4423</t>
  </si>
  <si>
    <t>Erias  Nakaawula</t>
  </si>
  <si>
    <t>Buzumbula</t>
  </si>
  <si>
    <t>Edward  Samanya Ssalongo</t>
  </si>
  <si>
    <t>Kisoko</t>
  </si>
  <si>
    <t>UG-CEN-1306-4514</t>
  </si>
  <si>
    <t>Nansamba  Sawuya</t>
  </si>
  <si>
    <t>Kisolooza</t>
  </si>
  <si>
    <t>UG-CEN-1306-4515</t>
  </si>
  <si>
    <t>Nabwami  Rehema</t>
  </si>
  <si>
    <t>UG-CEN-1306-4516</t>
  </si>
  <si>
    <t>Nanteza  Meridar</t>
  </si>
  <si>
    <t>UG-CEN-1302-4435</t>
  </si>
  <si>
    <t xml:space="preserve"> Namiryango Secondary School</t>
  </si>
  <si>
    <t>UG-CEN-1302-4438</t>
  </si>
  <si>
    <t>Sarah  Nakakande</t>
  </si>
  <si>
    <t>Nakkoba</t>
  </si>
  <si>
    <t>UG-CEN-1306-4523</t>
  </si>
  <si>
    <t>Kiwanuka  Benedict</t>
  </si>
  <si>
    <t>Kitayiza</t>
  </si>
  <si>
    <t>UG-CEN-1302-4464</t>
  </si>
  <si>
    <t>Ivan   Sebunya</t>
  </si>
  <si>
    <t>UG-CEN-1306-4535</t>
  </si>
  <si>
    <t>Tereza  Semakula</t>
  </si>
  <si>
    <t>UG-CEN-1306-4537</t>
  </si>
  <si>
    <t>Luyima  John Baptist</t>
  </si>
  <si>
    <t>Kawumulwa</t>
  </si>
  <si>
    <t>UG-CEN-1302-5035</t>
  </si>
  <si>
    <t>Seezi Kigozi</t>
  </si>
  <si>
    <t>Lubaga north</t>
  </si>
  <si>
    <t>lugujja</t>
  </si>
  <si>
    <t>UG-CEN-1306-4619</t>
  </si>
  <si>
    <t>Nanyonga Betty</t>
  </si>
  <si>
    <t>UG-CEN-1306-4636</t>
  </si>
  <si>
    <t>Lwanga  Robert</t>
  </si>
  <si>
    <t>Kyangogolo</t>
  </si>
  <si>
    <t>Sekaboga  Godfrey</t>
  </si>
  <si>
    <t>Lwampanga</t>
  </si>
  <si>
    <t>Rwakataba</t>
  </si>
  <si>
    <t>Senku  Stanly</t>
  </si>
  <si>
    <t>Wabinyonyi</t>
  </si>
  <si>
    <t>Maccumu</t>
  </si>
  <si>
    <t>Naguti  Florence</t>
  </si>
  <si>
    <t>Kizza  Godfrey</t>
  </si>
  <si>
    <t>UG-CEN-1306-5301</t>
  </si>
  <si>
    <t>Shemei  Mwanje</t>
  </si>
  <si>
    <t>UG-CEN-1306-5316</t>
  </si>
  <si>
    <t>Lummama  Nakibinge</t>
  </si>
  <si>
    <t>Kakakala</t>
  </si>
  <si>
    <t>UG-CEN-1306-5348</t>
  </si>
  <si>
    <t>Nakyanzi  Namusoke Thereza</t>
  </si>
  <si>
    <t>Busawa</t>
  </si>
  <si>
    <t>UG-CEN-1303-2601</t>
  </si>
  <si>
    <t xml:space="preserve">Edward  Ssemogerere </t>
  </si>
  <si>
    <t>UG-CEN-1307-1048</t>
  </si>
  <si>
    <t>Naluggwa  Ddiiro</t>
  </si>
  <si>
    <t>Mahatto  Joseph</t>
  </si>
  <si>
    <t>UG-CEN-1307-2439</t>
  </si>
  <si>
    <t>Senkubuge  Edith Samson</t>
  </si>
  <si>
    <t>UG-CEN-1307-2543</t>
  </si>
  <si>
    <t>Kiwanuka John</t>
  </si>
  <si>
    <t>UG-CEN-1307-2553</t>
  </si>
  <si>
    <t>Marry  Kassaga</t>
  </si>
  <si>
    <t>kikaya</t>
  </si>
  <si>
    <t>UG-CEN-1307-2554</t>
  </si>
  <si>
    <t xml:space="preserve">Jane  Namata </t>
  </si>
  <si>
    <t>kawule</t>
  </si>
  <si>
    <t>UG-CEN-1307-2633</t>
  </si>
  <si>
    <t xml:space="preserve">Gyagenda  Ssegawa </t>
  </si>
  <si>
    <t>UG-CEN-1307-2835</t>
  </si>
  <si>
    <t>Jacob   Kasibante Kato</t>
  </si>
  <si>
    <t>UG-CEN-1307-2889</t>
  </si>
  <si>
    <t>Maria Ghoret  Thenge</t>
  </si>
  <si>
    <t>Buyikwe north</t>
  </si>
  <si>
    <t>Bulyantete</t>
  </si>
  <si>
    <t>UG-CEN-1307-2897</t>
  </si>
  <si>
    <t>Willson  Lubayiza</t>
  </si>
  <si>
    <t>Hellen Kakembo</t>
  </si>
  <si>
    <t>Nakinguguzi</t>
  </si>
  <si>
    <t>Lawrance  Mukasa</t>
  </si>
  <si>
    <t>Kitebe</t>
  </si>
  <si>
    <t>UG-CEN-1307-2922</t>
  </si>
  <si>
    <t>Sawa Sawa  Ibrahim</t>
  </si>
  <si>
    <t>UG-CEN-1307-2930</t>
  </si>
  <si>
    <t>Sentongo  Juliet</t>
  </si>
  <si>
    <t>Kaweeri</t>
  </si>
  <si>
    <t>UG-CEN-1303-4518</t>
  </si>
  <si>
    <t>Nakiligya  Mary</t>
  </si>
  <si>
    <t>UG-CEN-1307-2942</t>
  </si>
  <si>
    <t>Mayambala  Edward</t>
  </si>
  <si>
    <t>Kitandwe</t>
  </si>
  <si>
    <t>UG-CEN-1307-2943</t>
  </si>
  <si>
    <t>Mpanga   David</t>
  </si>
  <si>
    <t>UG-CEN-1307-2980</t>
  </si>
  <si>
    <t>Luyombya  Livingstone</t>
  </si>
  <si>
    <t>UG-CEN-1307-2999</t>
  </si>
  <si>
    <t>Mugisha  Noah Jackson</t>
  </si>
  <si>
    <t>Kawamirembe</t>
  </si>
  <si>
    <t>Lukaka  Abudalah</t>
  </si>
  <si>
    <t>Nkandwa</t>
  </si>
  <si>
    <t>Kabuuka</t>
  </si>
  <si>
    <t>Byekwaso Eva</t>
  </si>
  <si>
    <t>Kabuye Bumbu</t>
  </si>
  <si>
    <t>UG-CEN-1307-3532</t>
  </si>
  <si>
    <t>Ssembatya  George William</t>
  </si>
  <si>
    <t>Nakibanga</t>
  </si>
  <si>
    <t>Magidu  Magembe Abdul</t>
  </si>
  <si>
    <t>Ndagwe</t>
  </si>
  <si>
    <t>Luyiyi</t>
  </si>
  <si>
    <t>UG-CEN-1307-3708</t>
  </si>
  <si>
    <t>Hajji Nkambwe</t>
  </si>
  <si>
    <t>Lukelele</t>
  </si>
  <si>
    <t>Nakibinge John Christopher</t>
  </si>
  <si>
    <t>kagoma</t>
  </si>
  <si>
    <t>UG-CEN-1307-3833</t>
  </si>
  <si>
    <t>Shamim  Nalulunda</t>
  </si>
  <si>
    <t>Bombo</t>
  </si>
  <si>
    <t>Nnyimbwa</t>
  </si>
  <si>
    <t>Kakute</t>
  </si>
  <si>
    <t>Paul  Kiboneka</t>
  </si>
  <si>
    <t>Bbajo</t>
  </si>
  <si>
    <t>Kalega Sarah</t>
  </si>
  <si>
    <t>UG-CEN-1307-3865</t>
  </si>
  <si>
    <t>Frederick  Mwanje</t>
  </si>
  <si>
    <t>UG-CEN-1307-3868</t>
  </si>
  <si>
    <t>Richard  Jjunju</t>
  </si>
  <si>
    <t>Lusenke</t>
  </si>
  <si>
    <t>UG-CEN-1307-3888</t>
  </si>
  <si>
    <t>Vincent  Bukenya</t>
  </si>
  <si>
    <t>UG-CEN-1307-3907</t>
  </si>
  <si>
    <t>Sendi  Kayongo</t>
  </si>
  <si>
    <t xml:space="preserve">Fred  Ssekitooleko </t>
  </si>
  <si>
    <t>Kyazanga t.c</t>
  </si>
  <si>
    <t>UG-CEN-1307-3970</t>
  </si>
  <si>
    <t>Doreen Tumwebaze</t>
  </si>
  <si>
    <t>kyanja</t>
  </si>
  <si>
    <t>UG-CEN-1304-2925</t>
  </si>
  <si>
    <t>Agumisa  Jacob</t>
  </si>
  <si>
    <t>Gogonya</t>
  </si>
  <si>
    <t>UG-CEN-1307-3979</t>
  </si>
  <si>
    <t xml:space="preserve">Josephine  Kasozi </t>
  </si>
  <si>
    <t>Nsaala</t>
  </si>
  <si>
    <t>UG-CEN-1307-3992</t>
  </si>
  <si>
    <t xml:space="preserve">George  Musoke </t>
  </si>
  <si>
    <t>Mukyngwe</t>
  </si>
  <si>
    <t>UG-CEN-1307-3996</t>
  </si>
  <si>
    <t xml:space="preserve">Fred  Luzinda </t>
  </si>
  <si>
    <t>UG-CEN-1307-3997</t>
  </si>
  <si>
    <t>Fr Kinsambwe  Kenedy</t>
  </si>
  <si>
    <t>Narozari</t>
  </si>
  <si>
    <t>UG-CEN-1307-3998</t>
  </si>
  <si>
    <t>Mubiru Lawrence</t>
  </si>
  <si>
    <t>UG-CEN-1307-4003</t>
  </si>
  <si>
    <t>Dr Kiwalyanga Kikabi</t>
  </si>
  <si>
    <t>kako village</t>
  </si>
  <si>
    <t>UG-CEN-1307-4052</t>
  </si>
  <si>
    <t>Kiwanuka Janet</t>
  </si>
  <si>
    <t>Buloli</t>
  </si>
  <si>
    <t>UG-CEN-1307-4072</t>
  </si>
  <si>
    <t>Kizza Livingstone</t>
  </si>
  <si>
    <t>Bujja.</t>
  </si>
  <si>
    <t>UG-CEN-1307-4286</t>
  </si>
  <si>
    <t>Memeri Zzinga Yoswa</t>
  </si>
  <si>
    <t>nabweru</t>
  </si>
  <si>
    <t>UG-CEN-1307-4311</t>
  </si>
  <si>
    <t>Cissy  Nantongo</t>
  </si>
  <si>
    <t>Wobulenzi</t>
  </si>
  <si>
    <t>UG-CEN-1307-4321</t>
  </si>
  <si>
    <t>Fred  Sozi</t>
  </si>
  <si>
    <t>Namagumba T.C</t>
  </si>
  <si>
    <t>Kyondo</t>
  </si>
  <si>
    <t>UG-CEN-1307-4415</t>
  </si>
  <si>
    <t>Musoke Joseph</t>
  </si>
  <si>
    <t>Namasawo</t>
  </si>
  <si>
    <t>Musoke Paul</t>
  </si>
  <si>
    <t>Kyagunda</t>
  </si>
  <si>
    <t>UG-CEN-1307-4424</t>
  </si>
  <si>
    <t>Mutesasira Richard</t>
  </si>
  <si>
    <t>Kimanya  kyabakuza.</t>
  </si>
  <si>
    <t>UG-CEN-1307-4517</t>
  </si>
  <si>
    <t>Ssenyonga  Sylvia</t>
  </si>
  <si>
    <t>UG-CEN-1307-4521</t>
  </si>
  <si>
    <t>Revkiryankusa  David</t>
  </si>
  <si>
    <t>Kamusenene</t>
  </si>
  <si>
    <t>UG-CEN-1307-4524</t>
  </si>
  <si>
    <t>Kayondo  Badru</t>
  </si>
  <si>
    <t>Namagongolo</t>
  </si>
  <si>
    <t>The digester needs empting and reconstruction. Not yet emptied</t>
  </si>
  <si>
    <t>Mulambuzi Paul</t>
  </si>
  <si>
    <t>UG-CEN-1307-4525</t>
  </si>
  <si>
    <t>Salongo Yunus  Tebandeke</t>
  </si>
  <si>
    <t>UG-CEN-1307-4527</t>
  </si>
  <si>
    <t>Kabugo  George William</t>
  </si>
  <si>
    <t>Buyonga</t>
  </si>
  <si>
    <t>Kanyike  Isaac Muli</t>
  </si>
  <si>
    <t>Kyasa</t>
  </si>
  <si>
    <t>UG-CEN-1307-4554</t>
  </si>
  <si>
    <t>Nalwanga Deborah</t>
  </si>
  <si>
    <t>Waladde  Emmanuel</t>
  </si>
  <si>
    <t>Kabbega</t>
  </si>
  <si>
    <t>UG-CEN-1307-4640</t>
  </si>
  <si>
    <t>Magado  Ronald</t>
  </si>
  <si>
    <t>Kyawaikaata</t>
  </si>
  <si>
    <t>UG-CEN-1307-4693</t>
  </si>
  <si>
    <t>Nantege Immaculate</t>
  </si>
  <si>
    <t>Nkozi.B</t>
  </si>
  <si>
    <t>Mudebo  Moses</t>
  </si>
  <si>
    <t>UG-CEN-1307-5081</t>
  </si>
  <si>
    <t xml:space="preserve">Rogers  Kama </t>
  </si>
  <si>
    <t>Ryakajjura</t>
  </si>
  <si>
    <t>Kanshama</t>
  </si>
  <si>
    <t>UG-CEN-1307-5104</t>
  </si>
  <si>
    <t>Ssalongo Yiga</t>
  </si>
  <si>
    <t>Kulungu</t>
  </si>
  <si>
    <t>Bulawula</t>
  </si>
  <si>
    <t>UG-CEN-1307-5146</t>
  </si>
  <si>
    <t>Ssengaba Richard</t>
  </si>
  <si>
    <t>Kitosi</t>
  </si>
  <si>
    <t>UG-CEN-1307-5159</t>
  </si>
  <si>
    <t>Abdu  Lubinga Migadde</t>
  </si>
  <si>
    <t>Lugala</t>
  </si>
  <si>
    <t>UG-CEN-1307-5206</t>
  </si>
  <si>
    <t>Edith  Kyeswa</t>
  </si>
  <si>
    <t>UG-CEN-1307-5307</t>
  </si>
  <si>
    <t>John  Ssegujja</t>
  </si>
  <si>
    <t>Magogo</t>
  </si>
  <si>
    <t>UG-CEN-1307-5401</t>
  </si>
  <si>
    <t xml:space="preserve">Lubanga  Lawrence </t>
  </si>
  <si>
    <t>Naminya centre</t>
  </si>
  <si>
    <t>UG-CEN-1307-848</t>
  </si>
  <si>
    <t>Stella  Nakityo</t>
  </si>
  <si>
    <t>Kiwumu</t>
  </si>
  <si>
    <t>UG-CEN-1308-1043</t>
  </si>
  <si>
    <t>Lukoba  Aisha</t>
  </si>
  <si>
    <t>Lusanja Bajjo</t>
  </si>
  <si>
    <t>UG-CEN-1308-1044</t>
  </si>
  <si>
    <t>Kugonza  Jonathan</t>
  </si>
  <si>
    <t>Sserwambala  Angella</t>
  </si>
  <si>
    <t>Kasigu   Fred</t>
  </si>
  <si>
    <t>Buyonje  Bonefansio</t>
  </si>
  <si>
    <t>kangumba</t>
  </si>
  <si>
    <t>UG-CEN-1308-2458</t>
  </si>
  <si>
    <t>Makumbi  Musisi</t>
  </si>
  <si>
    <t>nswanjere</t>
  </si>
  <si>
    <t>Kekigaaga Jovia</t>
  </si>
  <si>
    <t>kyabalesa</t>
  </si>
  <si>
    <t>UG-CEN-1308-2539</t>
  </si>
  <si>
    <t>Sebidde  Emmanuel</t>
  </si>
  <si>
    <t>sugezi</t>
  </si>
  <si>
    <t>UG-CEN-1308-2545</t>
  </si>
  <si>
    <t>Wasswa  Erias</t>
  </si>
  <si>
    <t>jjumbi</t>
  </si>
  <si>
    <t>UG-CEN-1308-2609</t>
  </si>
  <si>
    <t>Moses  Ssalongo Bukenya</t>
  </si>
  <si>
    <t>UG-CEN-1308-2818</t>
  </si>
  <si>
    <t>Francis  Ssimbwa</t>
  </si>
  <si>
    <t>UG-CEN-1308-2834</t>
  </si>
  <si>
    <t>Mukwaya  Joseph</t>
  </si>
  <si>
    <t>UG-CEN-1308-2898</t>
  </si>
  <si>
    <t>Fred   Masaaba</t>
  </si>
  <si>
    <t>UG-CEN-1308-2916</t>
  </si>
  <si>
    <t>Kasozi  Josephine</t>
  </si>
  <si>
    <t>Nsujjuwe</t>
  </si>
  <si>
    <t>UG-CEN-1305-3380</t>
  </si>
  <si>
    <t>Edward  Kinene</t>
  </si>
  <si>
    <t>Busakya</t>
  </si>
  <si>
    <t>UG-CEN-1308-2923</t>
  </si>
  <si>
    <t>Nasasira  Joram</t>
  </si>
  <si>
    <t>UG-CEN-1308-2945</t>
  </si>
  <si>
    <t>Sserumaga  Johnbaptst</t>
  </si>
  <si>
    <t>Nalutuntu</t>
  </si>
  <si>
    <t>UG-CEN-1308-2946</t>
  </si>
  <si>
    <t>Munyaneza  Adrian Javira</t>
  </si>
  <si>
    <t>Kiwumulo</t>
  </si>
  <si>
    <t>UG-CEN-1308-2947</t>
  </si>
  <si>
    <t>Kimogofu  John</t>
  </si>
  <si>
    <t>UG-CEN-1308-2948</t>
  </si>
  <si>
    <t>Kabanda  Paul</t>
  </si>
  <si>
    <t>Butwaala</t>
  </si>
  <si>
    <t>UG-CEN-1308-2997</t>
  </si>
  <si>
    <t>Matovu  Remigious</t>
  </si>
  <si>
    <t>Central Division</t>
  </si>
  <si>
    <t>Butebi B</t>
  </si>
  <si>
    <t>UG-CEN-1308-2998</t>
  </si>
  <si>
    <t>Naziwa  Jane</t>
  </si>
  <si>
    <t>Mityana ,ssingo</t>
  </si>
  <si>
    <t>Nandegeja</t>
  </si>
  <si>
    <t>UG-CEN-1308-3000</t>
  </si>
  <si>
    <t>Kantunsimbi  Noah</t>
  </si>
  <si>
    <t xml:space="preserve">Semulema  Fred </t>
  </si>
  <si>
    <t>Sanga</t>
  </si>
  <si>
    <t>UG-CEN-1305-3873</t>
  </si>
  <si>
    <t>Joseph  Nabali Nabali</t>
  </si>
  <si>
    <t>Bukeka</t>
  </si>
  <si>
    <t>Lugolobi  Samson Sogi</t>
  </si>
  <si>
    <t>Tukulu</t>
  </si>
  <si>
    <t>Kissule  Suubi Isamail</t>
  </si>
  <si>
    <t>UG-CEN-1305-3891</t>
  </si>
  <si>
    <t>John  Kakembo</t>
  </si>
  <si>
    <t>UG-CEN-1308-3478</t>
  </si>
  <si>
    <t>Busulwa Charles</t>
  </si>
  <si>
    <t>Kanaani</t>
  </si>
  <si>
    <t>Kirumira  Hajji Muhamadi</t>
  </si>
  <si>
    <t>George  Nkata</t>
  </si>
  <si>
    <t>Sokolo</t>
  </si>
  <si>
    <t>UG-CEN-1308-3769</t>
  </si>
  <si>
    <t>Sabdin Hassan</t>
  </si>
  <si>
    <t>Nabaziza</t>
  </si>
  <si>
    <t>UG-CEN-1308-3770</t>
  </si>
  <si>
    <t>Simon Ndawula</t>
  </si>
  <si>
    <t>ECOSAFE LTD</t>
  </si>
  <si>
    <t>Juma  Bakhit</t>
  </si>
  <si>
    <t>Kitubulu</t>
  </si>
  <si>
    <t>UG-CEN-1308-3776</t>
  </si>
  <si>
    <t>Gukiina  Musoke Peter</t>
  </si>
  <si>
    <t>Zzika</t>
  </si>
  <si>
    <t>UG-CEN-1308-3783</t>
  </si>
  <si>
    <t>Gladys  Nalwanga</t>
  </si>
  <si>
    <t>UG-CEN-1308-3798</t>
  </si>
  <si>
    <t>Evelyn  Kigoye</t>
  </si>
  <si>
    <t>UG-CEN-1308-3804</t>
  </si>
  <si>
    <t>Tereza  Namusisi</t>
  </si>
  <si>
    <t>Lubaga division</t>
  </si>
  <si>
    <t>Mackayi</t>
  </si>
  <si>
    <t>UG-CEN-1305-4010</t>
  </si>
  <si>
    <t>Kintu Jamada</t>
  </si>
  <si>
    <t>UG-CEN-1308-3832</t>
  </si>
  <si>
    <t>Joseph  Ssemambo</t>
  </si>
  <si>
    <t>Kiryamuli</t>
  </si>
  <si>
    <t>UG-CEN-1308-3835</t>
  </si>
  <si>
    <t>Proscovia Nalwoga</t>
  </si>
  <si>
    <t>Margret Seguuya</t>
  </si>
  <si>
    <t>UG-CEN-1308-3836</t>
  </si>
  <si>
    <t>Kajjimu Joseph</t>
  </si>
  <si>
    <t>UG-CEN-1308-3845</t>
  </si>
  <si>
    <t>Agnes  Kiwanuka</t>
  </si>
  <si>
    <t>Luweero t.c</t>
  </si>
  <si>
    <t>UG-CEN-1308-388</t>
  </si>
  <si>
    <t>Kakinda   Prisca</t>
  </si>
  <si>
    <t>UG-CEN-1308-3893</t>
  </si>
  <si>
    <t>Khasifa  Nantaba</t>
  </si>
  <si>
    <t>Mpererwe</t>
  </si>
  <si>
    <t>UG-CEN-1308-3895</t>
  </si>
  <si>
    <t>Fred  Bamwine</t>
  </si>
  <si>
    <t>UG-CEN-1308-3943</t>
  </si>
  <si>
    <t>Hakimu  Ssenyonga</t>
  </si>
  <si>
    <t>Kisomose Mustafa</t>
  </si>
  <si>
    <t>UG-CEN-1308-4100</t>
  </si>
  <si>
    <t>Kyayajohn Bosco</t>
  </si>
  <si>
    <t>UG-CEN-1308-4114</t>
  </si>
  <si>
    <t>Miyonga Lameck</t>
  </si>
  <si>
    <t>Kaggaba</t>
  </si>
  <si>
    <t>UG-CEN-1308-4256</t>
  </si>
  <si>
    <t>Matovu William</t>
  </si>
  <si>
    <t>Kitegobwa</t>
  </si>
  <si>
    <t>Ssewaya  Samuel</t>
  </si>
  <si>
    <t>Lusaba</t>
  </si>
  <si>
    <t xml:space="preserve">Repaired, Feeding, almost full </t>
  </si>
  <si>
    <t>Nakivumbi  Scovia</t>
  </si>
  <si>
    <t>Kalongo</t>
  </si>
  <si>
    <t>UG-CEN-1308-4276</t>
  </si>
  <si>
    <t>Kayondo  Emmanuel</t>
  </si>
  <si>
    <t>Ssalongo Kiyingi</t>
  </si>
  <si>
    <t>Ggavu</t>
  </si>
  <si>
    <t>UG-CEN-1308-4278</t>
  </si>
  <si>
    <t>Boazi  Emmanuel</t>
  </si>
  <si>
    <t>Kiduzi</t>
  </si>
  <si>
    <t>UG-CEN-1308-4314</t>
  </si>
  <si>
    <t>Grace  Ntege</t>
  </si>
  <si>
    <t>Buntutumula</t>
  </si>
  <si>
    <t>Ndibulungi</t>
  </si>
  <si>
    <t>Gabriel   Lugolobi</t>
  </si>
  <si>
    <t>Magoggo</t>
  </si>
  <si>
    <t>Abdullah  Kiggundu</t>
  </si>
  <si>
    <t>Victoria  Luyiga Susan</t>
  </si>
  <si>
    <t>Kisasi</t>
  </si>
  <si>
    <t>Mungwanya Sarah</t>
  </si>
  <si>
    <t>UG-CEN-1308-4414</t>
  </si>
  <si>
    <t>Musoke Yusufu</t>
  </si>
  <si>
    <t>UG-CEN-1308-4480</t>
  </si>
  <si>
    <t>John  Kasajja Miiro</t>
  </si>
  <si>
    <t>UG-CEN-1308-4482</t>
  </si>
  <si>
    <t>Abdulah  Kagiri</t>
  </si>
  <si>
    <t>UG-CEN-1308-4528</t>
  </si>
  <si>
    <t>Baanabakintu  Matia</t>
  </si>
  <si>
    <t>Kankole</t>
  </si>
  <si>
    <t>UG-CEN-1308-4543</t>
  </si>
  <si>
    <t>Ssajjaguma  Johnson</t>
  </si>
  <si>
    <t>Kyamukona</t>
  </si>
  <si>
    <t>UG-CEN-1308-4570</t>
  </si>
  <si>
    <t>Lule  Jakson</t>
  </si>
  <si>
    <t>Nkonya</t>
  </si>
  <si>
    <t>Ssenyonjo  Gordon</t>
  </si>
  <si>
    <t>Nkurubanyi</t>
  </si>
  <si>
    <t>UG-CEN-1308-4626</t>
  </si>
  <si>
    <t>Kiirya  Erisa</t>
  </si>
  <si>
    <t>Kibanda north</t>
  </si>
  <si>
    <t>Nyakakindo</t>
  </si>
  <si>
    <t>UG-CEN-1308-5129</t>
  </si>
  <si>
    <t>Ssemambo Emmanuel</t>
  </si>
  <si>
    <t>UG-CEN-1308-5163</t>
  </si>
  <si>
    <t>Serunjogi Cyprian</t>
  </si>
  <si>
    <t>NABWERU</t>
  </si>
  <si>
    <t>maganjo</t>
  </si>
  <si>
    <t>UG-CEN-1308-5176</t>
  </si>
  <si>
    <t>Sam  Nsereko</t>
  </si>
  <si>
    <t>Buloba Kasero</t>
  </si>
  <si>
    <t>UG-CEN-1306-2538</t>
  </si>
  <si>
    <t>Nanyunja Janet</t>
  </si>
  <si>
    <t>kabuye</t>
  </si>
  <si>
    <t>UG-CEN-1308-5197</t>
  </si>
  <si>
    <t>Peter   Byekwaso</t>
  </si>
  <si>
    <t>Nakaseke TC</t>
  </si>
  <si>
    <t>Namilali</t>
  </si>
  <si>
    <t>UG-CEN-1308-5199</t>
  </si>
  <si>
    <t>Peter  Kintu</t>
  </si>
  <si>
    <t>UG-CEN-1308-5200</t>
  </si>
  <si>
    <t>Isirael  Kambungu Kizza</t>
  </si>
  <si>
    <t>Kigedde</t>
  </si>
  <si>
    <t>UG-CEN-1308-5202</t>
  </si>
  <si>
    <t>Andrew  Mawanda</t>
  </si>
  <si>
    <t>UG-CEN-1308-5221</t>
  </si>
  <si>
    <t>Michael  Tushabe</t>
  </si>
  <si>
    <t>UG-CEN-1308-5222</t>
  </si>
  <si>
    <t>Mided  Mukasa</t>
  </si>
  <si>
    <t>Busabala</t>
  </si>
  <si>
    <t>UG-CEN-1308-5223</t>
  </si>
  <si>
    <t>Athiman  Nwabi</t>
  </si>
  <si>
    <t>UG-CEN-1308-5231</t>
  </si>
  <si>
    <t>Annet  Tamale</t>
  </si>
  <si>
    <t>Kiisi</t>
  </si>
  <si>
    <t>UG-CEN-1308-5240</t>
  </si>
  <si>
    <t>Florence  Kintu</t>
  </si>
  <si>
    <t>Lubya</t>
  </si>
  <si>
    <t>UG-CEN-1308-5255</t>
  </si>
  <si>
    <t>Walusimbi Elenio</t>
  </si>
  <si>
    <t>UG-CEN-1308-5324</t>
  </si>
  <si>
    <t>Fred  Rwashaha Kato</t>
  </si>
  <si>
    <t>Namasujju</t>
  </si>
  <si>
    <t>UG-CEN-1308-5335</t>
  </si>
  <si>
    <t>Gatrude  Nabukalu Wataata</t>
  </si>
  <si>
    <t>Bulabukalu</t>
  </si>
  <si>
    <t xml:space="preserve">Musoke  Lukia </t>
  </si>
  <si>
    <t>UG-CEN-1308-5340</t>
  </si>
  <si>
    <t>Remigius  Muzingu</t>
  </si>
  <si>
    <t>Katiiti</t>
  </si>
  <si>
    <t>UG-CEN-1306-3547</t>
  </si>
  <si>
    <t xml:space="preserve">Samuel Lusiba </t>
  </si>
  <si>
    <t>Lwamanyonyi</t>
  </si>
  <si>
    <t>Kalungi  John</t>
  </si>
  <si>
    <t>Nabwiri</t>
  </si>
  <si>
    <t>UG-CEN-1309-2546</t>
  </si>
  <si>
    <t>Mwanje  Lawrence</t>
  </si>
  <si>
    <t>ngelibalya</t>
  </si>
  <si>
    <t>UG-CEN-1309-2547</t>
  </si>
  <si>
    <t>Kalule  Andrew</t>
  </si>
  <si>
    <t>UG-CEN-1309-2914</t>
  </si>
  <si>
    <t>Nakabugo  Merabu</t>
  </si>
  <si>
    <t>Bukomye</t>
  </si>
  <si>
    <t>UG-CEN-1309-2931</t>
  </si>
  <si>
    <t>Jingo  Joseph</t>
  </si>
  <si>
    <t>East division</t>
  </si>
  <si>
    <t>Kasule John</t>
  </si>
  <si>
    <t>UG-CEN-1309-3068</t>
  </si>
  <si>
    <t>Magret  Sserunkuma</t>
  </si>
  <si>
    <t>Katutu</t>
  </si>
  <si>
    <t>UG-CEN-1309-3073</t>
  </si>
  <si>
    <t>George  Bengo</t>
  </si>
  <si>
    <t>Kirangila</t>
  </si>
  <si>
    <t>UG-CEN-1309-3311</t>
  </si>
  <si>
    <t>Nalongo Tapilisita Sendawula (Plant 1)</t>
  </si>
  <si>
    <t>Mukasa  Kaddu Erifazi</t>
  </si>
  <si>
    <t>Koba kiyindi</t>
  </si>
  <si>
    <t>UG-CEN-1309-3365</t>
  </si>
  <si>
    <t>Milly  Mugerwa</t>
  </si>
  <si>
    <t>UG-CEN-1309-3398</t>
  </si>
  <si>
    <t>Bernard  Zzimbe</t>
  </si>
  <si>
    <t>UG-CEN-1309-3480</t>
  </si>
  <si>
    <t>Buteraba Edward</t>
  </si>
  <si>
    <t>UG-CEN-1309-3538</t>
  </si>
  <si>
    <t>Peter  Fr Ssenkayi</t>
  </si>
  <si>
    <t>Bukomasimbi west</t>
  </si>
  <si>
    <t>Bigasa</t>
  </si>
  <si>
    <t>kasenyi</t>
  </si>
  <si>
    <t>Frkivumbi Venapius</t>
  </si>
  <si>
    <t>Butende</t>
  </si>
  <si>
    <t>UG-CEN-1309-3710</t>
  </si>
  <si>
    <t>Hajji Simbwa Bunya</t>
  </si>
  <si>
    <t>UG-CEN-1306-4334</t>
  </si>
  <si>
    <t>Livingston  Bisaso</t>
  </si>
  <si>
    <t>Mazzi</t>
  </si>
  <si>
    <t>UG-CEN-1309-3753</t>
  </si>
  <si>
    <t>Gorret  Kayongo</t>
  </si>
  <si>
    <t>Kalambi</t>
  </si>
  <si>
    <t>Robert  Kasendwa</t>
  </si>
  <si>
    <t>UG-CEN-1309-3777</t>
  </si>
  <si>
    <t>John  Mugoya</t>
  </si>
  <si>
    <t>UG-CEN-1309-3802</t>
  </si>
  <si>
    <t>Abdu  Kato Musigire</t>
  </si>
  <si>
    <t>UG-CEN-1309-3860</t>
  </si>
  <si>
    <t>Kalule Edward</t>
  </si>
  <si>
    <t>UG-CEN-1309-3867</t>
  </si>
  <si>
    <t>David  Naluswa</t>
  </si>
  <si>
    <t>Kirimamayuni</t>
  </si>
  <si>
    <t>UG-CEN-1309-3871</t>
  </si>
  <si>
    <t>Yusuf  Kagumba</t>
  </si>
  <si>
    <t>UG-CEN-1309-3872</t>
  </si>
  <si>
    <t>Nakyambadde  Semambo</t>
  </si>
  <si>
    <t>Kande</t>
  </si>
  <si>
    <t>UG-CEN-1306-4539</t>
  </si>
  <si>
    <t>Bukajjumbe  Sarapio</t>
  </si>
  <si>
    <t>Kanabii Simon</t>
  </si>
  <si>
    <t>Herman  Alirabaki</t>
  </si>
  <si>
    <t xml:space="preserve">Ssozi   Winnie </t>
  </si>
  <si>
    <t>Kyazanga tc</t>
  </si>
  <si>
    <t>UG-CEN-1309-3975</t>
  </si>
  <si>
    <t>Lusagi  Makato Paul</t>
  </si>
  <si>
    <t>Kasaali</t>
  </si>
  <si>
    <t>Kibuuka Charles</t>
  </si>
  <si>
    <t>UG-CEN-1306-5117</t>
  </si>
  <si>
    <t>Ssekamate  Johnbaptist</t>
  </si>
  <si>
    <t>Seta</t>
  </si>
  <si>
    <t>UG-CEN-1306-5198</t>
  </si>
  <si>
    <t>Nanyonga   Nabawanga Ruth</t>
  </si>
  <si>
    <t>Kiseka Joseph</t>
  </si>
  <si>
    <t>Misenyi</t>
  </si>
  <si>
    <t>Nalongo Kizito</t>
  </si>
  <si>
    <t>UG-CEN-1306-5339</t>
  </si>
  <si>
    <t>Plant needs repairs</t>
  </si>
  <si>
    <t>Felix  Bahimbise</t>
  </si>
  <si>
    <t>Kaliri</t>
  </si>
  <si>
    <t>UG-CEN-1309-4266</t>
  </si>
  <si>
    <t>Mayanja Faizal</t>
  </si>
  <si>
    <t>Muyanja  Benald</t>
  </si>
  <si>
    <t>Kamira</t>
  </si>
  <si>
    <t>UG-CEN-1309-4284</t>
  </si>
  <si>
    <t>Hajji Kyambade  Ramanzan</t>
  </si>
  <si>
    <t>Kyakidu</t>
  </si>
  <si>
    <t>UG-CEN-1309-4377</t>
  </si>
  <si>
    <t>Diana  Waibale</t>
  </si>
  <si>
    <t>Kyabakadde- Mbugwe</t>
  </si>
  <si>
    <t>Namusisi  Mary</t>
  </si>
  <si>
    <t>UG-CEN-1309-4406</t>
  </si>
  <si>
    <t>Livingstone  Musisi</t>
  </si>
  <si>
    <t>Nakisuga</t>
  </si>
  <si>
    <t>Busimbe</t>
  </si>
  <si>
    <t>UG-CEN-1309-4450</t>
  </si>
  <si>
    <t>Muhamud  Bitta</t>
  </si>
  <si>
    <t>UG-CEN-1309-4460</t>
  </si>
  <si>
    <t>Kiwanuka  Kagili Richard</t>
  </si>
  <si>
    <t>UG-CEN-1309-4476</t>
  </si>
  <si>
    <t>Ruth   Kayaga</t>
  </si>
  <si>
    <t>UG-CEN-1309-4481</t>
  </si>
  <si>
    <t>Godfrey  Ssebunya</t>
  </si>
  <si>
    <t>Kasenge' A'</t>
  </si>
  <si>
    <t>Nakato Ruth2</t>
  </si>
  <si>
    <t>Nakibuka Mariam</t>
  </si>
  <si>
    <t>UG-CEN-1309-4533</t>
  </si>
  <si>
    <t>Nakalege  Ednus</t>
  </si>
  <si>
    <t>UG-CEN-1309-4544</t>
  </si>
  <si>
    <t>Nzyabake  Wilson</t>
  </si>
  <si>
    <t>Kyamukoona</t>
  </si>
  <si>
    <t>UG-CEN-1309-4545</t>
  </si>
  <si>
    <t>Tamale  Arthur</t>
  </si>
  <si>
    <t>Nabikakala</t>
  </si>
  <si>
    <t>Byekwaso  Posiano</t>
  </si>
  <si>
    <t>Kagumu</t>
  </si>
  <si>
    <t>UG-CEN-1309-4558</t>
  </si>
  <si>
    <t>Namaganda Aisha</t>
  </si>
  <si>
    <t>Nabutongwa</t>
  </si>
  <si>
    <t>UG-CEN-1309-4560</t>
  </si>
  <si>
    <t>Namajja Nalongo</t>
  </si>
  <si>
    <t>UG-CEN-1309-4574</t>
  </si>
  <si>
    <t>Ssekitoleko  Beera</t>
  </si>
  <si>
    <t>UG-CEN-1309-4606</t>
  </si>
  <si>
    <t>Kagwa  Serebe</t>
  </si>
  <si>
    <t>Nkulubanyi</t>
  </si>
  <si>
    <t>Nantaba Jane</t>
  </si>
  <si>
    <t>UG-CEN-1309-4643</t>
  </si>
  <si>
    <t>Kabano  Paul</t>
  </si>
  <si>
    <t>Wabbale</t>
  </si>
  <si>
    <t>Galiwango Charles</t>
  </si>
  <si>
    <t>Sempa  Frank</t>
  </si>
  <si>
    <t>Kaisoro</t>
  </si>
  <si>
    <t>UG-CEN-1309-4685</t>
  </si>
  <si>
    <t>Nsubuga George</t>
  </si>
  <si>
    <t>Nakwero A</t>
  </si>
  <si>
    <t>Ssenoga David</t>
  </si>
  <si>
    <t>mawulu</t>
  </si>
  <si>
    <t>UG-CEN-1309-5044</t>
  </si>
  <si>
    <t>Semakula Hussein</t>
  </si>
  <si>
    <t>UG-CEN-1309-5045</t>
  </si>
  <si>
    <t>Semakula William</t>
  </si>
  <si>
    <t>UG-CEN-1309-5080</t>
  </si>
  <si>
    <t xml:space="preserve">Herbart  Baguma </t>
  </si>
  <si>
    <t>kyemamba</t>
  </si>
  <si>
    <t>UG-CEN-1309-5132</t>
  </si>
  <si>
    <t>Ssemanda Peter</t>
  </si>
  <si>
    <t>UG-CEN-1309-5133</t>
  </si>
  <si>
    <t>Ssembajjwe Emmanuel</t>
  </si>
  <si>
    <t>UG-CEN-1309-5224</t>
  </si>
  <si>
    <t>Immaculate  Kijjagulwe</t>
  </si>
  <si>
    <t>Lweza</t>
  </si>
  <si>
    <t>UG-CEN-1309-5320</t>
  </si>
  <si>
    <t>Zinga Eria</t>
  </si>
  <si>
    <t>UG-CEN-1309-5325</t>
  </si>
  <si>
    <t>Senyondwa  Musoke</t>
  </si>
  <si>
    <t>Nakikonge</t>
  </si>
  <si>
    <t>UG-CEN-1309-5399</t>
  </si>
  <si>
    <t>Ssekimpi   Boniface</t>
  </si>
  <si>
    <t>Mulagi</t>
  </si>
  <si>
    <t>Kidadda</t>
  </si>
  <si>
    <t>Lukenge  Gingo</t>
  </si>
  <si>
    <t>UG-CEN-1310-2315</t>
  </si>
  <si>
    <t>Gimei Francis</t>
  </si>
  <si>
    <t>Njerere</t>
  </si>
  <si>
    <t>UG-CEN-1310-2421</t>
  </si>
  <si>
    <t>Kivumbi  Deborah Nalongo</t>
  </si>
  <si>
    <t>UG-CEN-1310-2512</t>
  </si>
  <si>
    <t>Nalubega  Regina</t>
  </si>
  <si>
    <t>kandi</t>
  </si>
  <si>
    <t>UG-CEN-1310-2540</t>
  </si>
  <si>
    <t>Kyoloobi  Paul</t>
  </si>
  <si>
    <t>mpogo</t>
  </si>
  <si>
    <t>UG-CEN-1310-2555</t>
  </si>
  <si>
    <t xml:space="preserve">Deo  Ssemwanga </t>
  </si>
  <si>
    <t>Busoga</t>
  </si>
  <si>
    <t>UG-CEN-1310-2607</t>
  </si>
  <si>
    <t xml:space="preserve">Joseph  Wassajja </t>
  </si>
  <si>
    <t>Lwengo Tc</t>
  </si>
  <si>
    <t>Kabalungi</t>
  </si>
  <si>
    <t>UG-CEN-1310-2956</t>
  </si>
  <si>
    <t>Mukasa  Sulaiman</t>
  </si>
  <si>
    <t>Kiwawu</t>
  </si>
  <si>
    <t>UG-CEN-1310-3321</t>
  </si>
  <si>
    <t>Aloni Mawangi</t>
  </si>
  <si>
    <t>Mawu</t>
  </si>
  <si>
    <t>Bukenya Aloyzious</t>
  </si>
  <si>
    <t>Bulaula</t>
  </si>
  <si>
    <t>UG-CEN-1310-3506</t>
  </si>
  <si>
    <t xml:space="preserve">Nakimuli  Anasterzia </t>
  </si>
  <si>
    <t xml:space="preserve">Ngonge  Emmanuel </t>
  </si>
  <si>
    <t>Gulama nakatete</t>
  </si>
  <si>
    <t>UG-CEN-1310-3533</t>
  </si>
  <si>
    <t>Ddungu Damali</t>
  </si>
  <si>
    <t>Mitalamalia</t>
  </si>
  <si>
    <t>UG-CEN-1310-3754</t>
  </si>
  <si>
    <t>Angella  Tabalamulr</t>
  </si>
  <si>
    <t>Nansubuga  Sarah Matovu</t>
  </si>
  <si>
    <t>UG-CEN-1310-3755</t>
  </si>
  <si>
    <t>Aida  Ssemwogerere</t>
  </si>
  <si>
    <t>Bulaga</t>
  </si>
  <si>
    <t>UG-CEN-1307-4522</t>
  </si>
  <si>
    <t>Mwesige  Charles</t>
  </si>
  <si>
    <t>UG-CEN-1310-3758</t>
  </si>
  <si>
    <t>Jane Musagala</t>
  </si>
  <si>
    <t>UG-CEN-1310-3848</t>
  </si>
  <si>
    <t>Charles  Semuwemba Chris</t>
  </si>
  <si>
    <t>Luweero tc</t>
  </si>
  <si>
    <t>Kasaana</t>
  </si>
  <si>
    <t>UG-CEN-1307-4526</t>
  </si>
  <si>
    <t>Ssentongo  Swalik</t>
  </si>
  <si>
    <t>Kyojomanyi</t>
  </si>
  <si>
    <t>Kamya</t>
  </si>
  <si>
    <t>Luwanga</t>
  </si>
  <si>
    <t>Rose  Muwanguzi</t>
  </si>
  <si>
    <t>Busega</t>
  </si>
  <si>
    <t>Katumba Joseph</t>
  </si>
  <si>
    <t>UG-CEN-1310-3980</t>
  </si>
  <si>
    <t>Sunday   Mulindwa Juma</t>
  </si>
  <si>
    <t>Matanga</t>
  </si>
  <si>
    <t>UG-CEN-1310-3985</t>
  </si>
  <si>
    <t>Ntabani  Reverand Augustin</t>
  </si>
  <si>
    <t>Kalungu Tc</t>
  </si>
  <si>
    <t>Kikabi Annette</t>
  </si>
  <si>
    <t>Kimera Girazio</t>
  </si>
  <si>
    <t>Kyanangalo</t>
  </si>
  <si>
    <t>QSP visited unblocked pipes and repaired switches. Client feeding.</t>
  </si>
  <si>
    <t>Kasujja  Isma</t>
  </si>
  <si>
    <t>UG-CEN-1310-4014</t>
  </si>
  <si>
    <t>Kirabophoebe Balira</t>
  </si>
  <si>
    <t>Lule Ssetyeri</t>
  </si>
  <si>
    <t>Kisawo</t>
  </si>
  <si>
    <t>UG-CEN-1310-4192</t>
  </si>
  <si>
    <t>Margaret Sewanyana</t>
  </si>
  <si>
    <t>UG-CEN-1310-4251</t>
  </si>
  <si>
    <t>Mukalazi  Mulumba</t>
  </si>
  <si>
    <t>UG-CEN-1307-5167</t>
  </si>
  <si>
    <t>Nalongo Ruth  Nattembo</t>
  </si>
  <si>
    <t>Tula</t>
  </si>
  <si>
    <t>UG-CEN-1310-4318</t>
  </si>
  <si>
    <t>Steven  Ggalabuzi Kasoma</t>
  </si>
  <si>
    <t>UG-CEN-1310-4319</t>
  </si>
  <si>
    <t>Edward  Muwanga</t>
  </si>
  <si>
    <t>Kadede</t>
  </si>
  <si>
    <t>UG-CEN-1310-4325</t>
  </si>
  <si>
    <t>Mubiru Joseph</t>
  </si>
  <si>
    <t>Kyankunyu</t>
  </si>
  <si>
    <t>UG-CEN-1310-4407</t>
  </si>
  <si>
    <t>Musisi Godfrey</t>
  </si>
  <si>
    <t>Bunnamweri</t>
  </si>
  <si>
    <t>UG-CEN-1310-4547</t>
  </si>
  <si>
    <t>Kibuka  Ronald</t>
  </si>
  <si>
    <t>Kyakakonge B</t>
  </si>
  <si>
    <t>Nampijja  Specioza</t>
  </si>
  <si>
    <t>UG-CEN-1310-4550</t>
  </si>
  <si>
    <t>Nalukuma Annet</t>
  </si>
  <si>
    <t>UG-CEN-1310-4553</t>
  </si>
  <si>
    <t>Naluyange Divine</t>
  </si>
  <si>
    <t>UG-CEN-1310-4585</t>
  </si>
  <si>
    <t>Namusoke Angel</t>
  </si>
  <si>
    <t>UG-CEN-1310-4601</t>
  </si>
  <si>
    <t>Nanono Mary</t>
  </si>
  <si>
    <t>kiwatule</t>
  </si>
  <si>
    <t>UG-CEN-1308-2541</t>
  </si>
  <si>
    <t>Wamala  Isaac Yiga</t>
  </si>
  <si>
    <t>kisaaka</t>
  </si>
  <si>
    <t>UG-CEN-1308-2542</t>
  </si>
  <si>
    <t>Sembatya  Christopher</t>
  </si>
  <si>
    <t>Nanteza  Resty</t>
  </si>
  <si>
    <t>Nabitete</t>
  </si>
  <si>
    <t>UG-CEN-1310-4647</t>
  </si>
  <si>
    <t>Kimanywa  Patrick</t>
  </si>
  <si>
    <t>Kalungi</t>
  </si>
  <si>
    <t>Junda</t>
  </si>
  <si>
    <t>Byansi  William</t>
  </si>
  <si>
    <t>Ndayiga</t>
  </si>
  <si>
    <t>Misinde  Anthony</t>
  </si>
  <si>
    <t>Nsasa</t>
  </si>
  <si>
    <t>Kato  Mubira Ceasar</t>
  </si>
  <si>
    <t>Wabusake</t>
  </si>
  <si>
    <t>UG-CEN-1310-5157</t>
  </si>
  <si>
    <t>Ssenjonjo George Williams</t>
  </si>
  <si>
    <t>Lusana</t>
  </si>
  <si>
    <t>UG-CEN-1308-2921</t>
  </si>
  <si>
    <t>Rukundula  James</t>
  </si>
  <si>
    <t>UG-CEN-1310-5219</t>
  </si>
  <si>
    <t>Bernadette  Kamuli</t>
  </si>
  <si>
    <t>Wakkaabu Gabriel</t>
  </si>
  <si>
    <t>Seeta Goli</t>
  </si>
  <si>
    <t>UG-CEN-1311-2504</t>
  </si>
  <si>
    <t>Sezibera  James</t>
  </si>
  <si>
    <t>rwanyina</t>
  </si>
  <si>
    <t>UG-CEN-1311-2551</t>
  </si>
  <si>
    <t xml:space="preserve">Charles  Lubega </t>
  </si>
  <si>
    <t>Bugwa</t>
  </si>
  <si>
    <t>UG-CEN-1311-2827</t>
  </si>
  <si>
    <t>Flavia  Koyondo</t>
  </si>
  <si>
    <t>Kokotero</t>
  </si>
  <si>
    <t>Tangoye</t>
  </si>
  <si>
    <t>UG-CEN-1311-2828</t>
  </si>
  <si>
    <t>Jotham  Kayondo</t>
  </si>
  <si>
    <t>UG-CEN-1311-2862</t>
  </si>
  <si>
    <t>Luvule  Ssemujju Livingston</t>
  </si>
  <si>
    <t>Nakatovu</t>
  </si>
  <si>
    <t>UG-CEN-1311-2867</t>
  </si>
  <si>
    <t>Yahaya  Katende Mutyaba</t>
  </si>
  <si>
    <t>Kotye</t>
  </si>
  <si>
    <t>UG-CEN-1311-3318</t>
  </si>
  <si>
    <t xml:space="preserve">Waiswa  Henry </t>
  </si>
  <si>
    <t>Bulere</t>
  </si>
  <si>
    <t>UG-CEN-1311-3535</t>
  </si>
  <si>
    <t xml:space="preserve">Karevu  Muhamadi </t>
  </si>
  <si>
    <t>Meru</t>
  </si>
  <si>
    <t>Repaired, mobilizing animal waste for initial feeding.</t>
  </si>
  <si>
    <t xml:space="preserve">Bbosa  Samuel </t>
  </si>
  <si>
    <t>Buyoka</t>
  </si>
  <si>
    <t>UG-CEN-1311-3756</t>
  </si>
  <si>
    <t>Francis  Kiweewa</t>
  </si>
  <si>
    <t>UG-CEN-1311-3789</t>
  </si>
  <si>
    <t>Teopita  Nakibuule</t>
  </si>
  <si>
    <t>UG-CEN-1311-3885</t>
  </si>
  <si>
    <t>Amos  Zimwaguyiza</t>
  </si>
  <si>
    <t>UG-CEN-1311-3948</t>
  </si>
  <si>
    <t>Kawere Matia</t>
  </si>
  <si>
    <t>Lubwa</t>
  </si>
  <si>
    <t>UG-CEN-1311-4092</t>
  </si>
  <si>
    <t>Kyagaba Edward</t>
  </si>
  <si>
    <t>UG-CEN-1311-4095</t>
  </si>
  <si>
    <t>Kyambaddde Gerald</t>
  </si>
  <si>
    <t>Bulayi lugudo</t>
  </si>
  <si>
    <t>Lukwago Joseph</t>
  </si>
  <si>
    <t>Buseke</t>
  </si>
  <si>
    <t>UG-CEN-1311-4250</t>
  </si>
  <si>
    <t>Mathius Ssennyondwa</t>
  </si>
  <si>
    <t>UG-CEN-1311-4272</t>
  </si>
  <si>
    <t>Ssaka  Molly</t>
  </si>
  <si>
    <t>Kabulubuutu</t>
  </si>
  <si>
    <t>UG-CEN-1311-4351</t>
  </si>
  <si>
    <t>Violet  Wamala</t>
  </si>
  <si>
    <t>UG-CEN-1311-4440</t>
  </si>
  <si>
    <t>Ruth  Magala</t>
  </si>
  <si>
    <t>Gavu</t>
  </si>
  <si>
    <t>UG-CEN-1311-4546</t>
  </si>
  <si>
    <t>Lwanga  Francis</t>
  </si>
  <si>
    <t>UG-CEN-1311-4548</t>
  </si>
  <si>
    <t>Nalunga Josephine</t>
  </si>
  <si>
    <t>UG-CEN-1311-4572</t>
  </si>
  <si>
    <t>Musoke  Lauben Mazinga</t>
  </si>
  <si>
    <t>Mityana munispality</t>
  </si>
  <si>
    <t>Kanamba</t>
  </si>
  <si>
    <t>UG-CEN-1311-4642</t>
  </si>
  <si>
    <t>Nazziwa Wtheresa</t>
  </si>
  <si>
    <t>UG-CEN-1308-3861</t>
  </si>
  <si>
    <t>Rebecca  Mulwana</t>
  </si>
  <si>
    <t>Sonko  Robert</t>
  </si>
  <si>
    <t>Kisenyi</t>
  </si>
  <si>
    <t>UG-CEN-1311-4667</t>
  </si>
  <si>
    <t>Kyasima  Samuel Musoke</t>
  </si>
  <si>
    <t>Nsibirwa  Henry</t>
  </si>
  <si>
    <t>Sarah Baaka</t>
  </si>
  <si>
    <t>UG-CEN-1311-5057</t>
  </si>
  <si>
    <t>Semwanga Charles</t>
  </si>
  <si>
    <t>UG-CEN-1311-5078</t>
  </si>
  <si>
    <t xml:space="preserve">Kabonero  Amon </t>
  </si>
  <si>
    <t>Rwentanga</t>
  </si>
  <si>
    <t>UG-CEN-1311-5096</t>
  </si>
  <si>
    <t>Ssakulu Abdu</t>
  </si>
  <si>
    <t>UG-CEN-1311-5173</t>
  </si>
  <si>
    <t>Mary  Mutesasira</t>
  </si>
  <si>
    <t>Kasero Buloba</t>
  </si>
  <si>
    <t>UG-CEN-1311-5225</t>
  </si>
  <si>
    <t>Joan  Kabali Faith (Plant 1)</t>
  </si>
  <si>
    <t>Kajjansi</t>
  </si>
  <si>
    <t>UG-CEN-1311-5236</t>
  </si>
  <si>
    <t>Jackie  Walusimbi</t>
  </si>
  <si>
    <t>UG-CEN-1308-4277</t>
  </si>
  <si>
    <t>Zziwa  Peter</t>
  </si>
  <si>
    <t>UG-CEN-1311-5319</t>
  </si>
  <si>
    <t>George  Mwesigye William</t>
  </si>
  <si>
    <t>Kigumira</t>
  </si>
  <si>
    <t>UG-CEN-1311-5330</t>
  </si>
  <si>
    <t>Stephen  Kabaseke</t>
  </si>
  <si>
    <t>Wansalangi</t>
  </si>
  <si>
    <t>UG-CEN-1311-5341</t>
  </si>
  <si>
    <t>John Baptist  Yiga Kizito</t>
  </si>
  <si>
    <t>Katuso</t>
  </si>
  <si>
    <t>UG-CEN-1311-5374</t>
  </si>
  <si>
    <t>Ssebugwawo  Remagious</t>
  </si>
  <si>
    <t>Kyerere East</t>
  </si>
  <si>
    <t>UG-CEN-1311-5375</t>
  </si>
  <si>
    <t>Semakubire  Francis</t>
  </si>
  <si>
    <t>UG-CEN-1308-4358</t>
  </si>
  <si>
    <t>Christopher  Kivumbi</t>
  </si>
  <si>
    <t>Katwe</t>
  </si>
  <si>
    <t>UG-CEN-1311-5383</t>
  </si>
  <si>
    <t>Tamale  Matia</t>
  </si>
  <si>
    <t>Gayaza West</t>
  </si>
  <si>
    <t>UG-CEN-1311-5385</t>
  </si>
  <si>
    <t>Mwesigye  Sulait</t>
  </si>
  <si>
    <t>Butambuka</t>
  </si>
  <si>
    <t>UG-CEN-1311-5387</t>
  </si>
  <si>
    <t>Sekyewa  Chrisent</t>
  </si>
  <si>
    <t>Drmayiga</t>
  </si>
  <si>
    <t>Ndgeya</t>
  </si>
  <si>
    <t>Rubagumira Ibrahim</t>
  </si>
  <si>
    <t>Kigonya</t>
  </si>
  <si>
    <t>UG-CEN-1312-2861</t>
  </si>
  <si>
    <t>Richard  Siduda</t>
  </si>
  <si>
    <t>UG-CEN-1312-2882</t>
  </si>
  <si>
    <t>Fred   Mugambwa</t>
  </si>
  <si>
    <t>UG-CEN-1312-2883</t>
  </si>
  <si>
    <t>Charles  Mukki</t>
  </si>
  <si>
    <t>Kireku</t>
  </si>
  <si>
    <t>UG-CEN-1312-2893</t>
  </si>
  <si>
    <t>Abdu  Katende</t>
  </si>
  <si>
    <t>UG-CEN-1312-2949</t>
  </si>
  <si>
    <t>Kiwanuka  David</t>
  </si>
  <si>
    <t>Kyakasengula</t>
  </si>
  <si>
    <t>UG-CEN-1312-3317</t>
  </si>
  <si>
    <t xml:space="preserve">Lujja  Rose </t>
  </si>
  <si>
    <t xml:space="preserve">Buikwe </t>
  </si>
  <si>
    <t>UG-CEN-1308-5172</t>
  </si>
  <si>
    <t>Joseph  Kiyaga</t>
  </si>
  <si>
    <t>Sentema</t>
  </si>
  <si>
    <t>UG-CEN-1312-3319</t>
  </si>
  <si>
    <t>Kizza  Harriet</t>
  </si>
  <si>
    <t>UG-CEN-1312-3357</t>
  </si>
  <si>
    <t>Charles  Semitala</t>
  </si>
  <si>
    <t>Ssanga</t>
  </si>
  <si>
    <t>UG-CEN-1312-3452</t>
  </si>
  <si>
    <t>Bisaso Muhammad</t>
  </si>
  <si>
    <t>Kikungo</t>
  </si>
  <si>
    <t xml:space="preserve">Vicent  Kabogoza </t>
  </si>
  <si>
    <t>UG-CEN-1312-3537</t>
  </si>
  <si>
    <t xml:space="preserve">Joseph  Mawanje </t>
  </si>
  <si>
    <t>Bigas</t>
  </si>
  <si>
    <t>Haji Musa Lubega Masimbi</t>
  </si>
  <si>
    <t>UG-CEN-1312-3751</t>
  </si>
  <si>
    <t>Ruth   Byekweso</t>
  </si>
  <si>
    <t>UG-CEN-1312-3759</t>
  </si>
  <si>
    <t>Joseph  Nsamba</t>
  </si>
  <si>
    <t>UG-CEN-1312-3784</t>
  </si>
  <si>
    <t>Steven  Mayiga</t>
  </si>
  <si>
    <t>Kisozi</t>
  </si>
  <si>
    <t>UG-CEN-1312-3787</t>
  </si>
  <si>
    <t>Wilson  Late Nsubuga</t>
  </si>
  <si>
    <t>Nagalabi</t>
  </si>
  <si>
    <t>UG-CEN-1312-3792</t>
  </si>
  <si>
    <t>Robert  Kakoma</t>
  </si>
  <si>
    <t>Kavumba</t>
  </si>
  <si>
    <t>UG-CEN-1312-3803</t>
  </si>
  <si>
    <t>Hajat Rehema  Kasenene</t>
  </si>
  <si>
    <t>Kawempe division</t>
  </si>
  <si>
    <t>Mbogo</t>
  </si>
  <si>
    <t>UG-CEN-1312-3810</t>
  </si>
  <si>
    <t>Jacob  Kiwumulo</t>
  </si>
  <si>
    <t>UG-CEN-1312-3813</t>
  </si>
  <si>
    <t>Christopher Wagaba</t>
  </si>
  <si>
    <t>Kilolo</t>
  </si>
  <si>
    <t>UG-CEN-1308-5347</t>
  </si>
  <si>
    <t>Rosemary  Mukasa Namusoke</t>
  </si>
  <si>
    <t>Buwonzi</t>
  </si>
  <si>
    <t>Kaggwa Aloysius</t>
  </si>
  <si>
    <t>Bisikiri</t>
  </si>
  <si>
    <t>UG-CEN-1312-3846</t>
  </si>
  <si>
    <t>Salongo Muzamir Nyanzi</t>
  </si>
  <si>
    <t>Kayongo miti</t>
  </si>
  <si>
    <t>UG-CEN-1312-3849</t>
  </si>
  <si>
    <t>James  Masembe</t>
  </si>
  <si>
    <t>UG-CEN-1312-3852</t>
  </si>
  <si>
    <t>Ruth  Lwanga</t>
  </si>
  <si>
    <t>Kikubajinja</t>
  </si>
  <si>
    <t>UG-CEN-1312-3853</t>
  </si>
  <si>
    <t>Faith  Kafunende</t>
  </si>
  <si>
    <t>UG-CEN-1309-2934</t>
  </si>
  <si>
    <t>Ntege  Eric</t>
  </si>
  <si>
    <t>South division</t>
  </si>
  <si>
    <t>Kisindizi</t>
  </si>
  <si>
    <t>UG-CEN-1312-3862</t>
  </si>
  <si>
    <t>Yusuf  Sambwa</t>
  </si>
  <si>
    <t>Luseke</t>
  </si>
  <si>
    <t>UG-CEN-1312-3863</t>
  </si>
  <si>
    <t>Auralia  Nabwami</t>
  </si>
  <si>
    <t>UG-CEN-1312-3869</t>
  </si>
  <si>
    <t>Rodney  Goobi</t>
  </si>
  <si>
    <t>Kigulu</t>
  </si>
  <si>
    <t>UG-CEN-1312-3896</t>
  </si>
  <si>
    <t>Stanely  Kiwuwa</t>
  </si>
  <si>
    <t>UG-CEN-1312-3899</t>
  </si>
  <si>
    <t>Damian  Mugerwa</t>
  </si>
  <si>
    <t>Kavuma Daniel</t>
  </si>
  <si>
    <t>Kavuma Vincent</t>
  </si>
  <si>
    <t>Luke  Mukiibi William</t>
  </si>
  <si>
    <t>UG-CEN-1312-3963</t>
  </si>
  <si>
    <t xml:space="preserve">Rashid  Kwaba </t>
  </si>
  <si>
    <t>miwula</t>
  </si>
  <si>
    <t>Kazibwe Benard</t>
  </si>
  <si>
    <t>UG-CEN-1312-3967</t>
  </si>
  <si>
    <t xml:space="preserve">Godfrey  Lubambula </t>
  </si>
  <si>
    <t>Bulenzi A</t>
  </si>
  <si>
    <t>UG-CEN-1312-3968</t>
  </si>
  <si>
    <t xml:space="preserve">Charles  Ssesanga </t>
  </si>
  <si>
    <t>Lwabenge.</t>
  </si>
  <si>
    <t>kisamba Bukiri</t>
  </si>
  <si>
    <t>UG-CEN-1312-3969</t>
  </si>
  <si>
    <t>William  Kiweewa George</t>
  </si>
  <si>
    <t>Kasambya A</t>
  </si>
  <si>
    <t>UG-CEN-1312-3977</t>
  </si>
  <si>
    <t xml:space="preserve">Peter  Kazozi </t>
  </si>
  <si>
    <t>Kasasli</t>
  </si>
  <si>
    <t>UG-CEN-1312-3995</t>
  </si>
  <si>
    <t>Vicent  Ddamulira (Plant 1)</t>
  </si>
  <si>
    <t>kijjonjo</t>
  </si>
  <si>
    <t>UG-CEN-1312-4254</t>
  </si>
  <si>
    <t>Matovu Micheal</t>
  </si>
  <si>
    <t>UG-CEN-1312-4326</t>
  </si>
  <si>
    <t>Abel  Kimera</t>
  </si>
  <si>
    <t>Kasoma</t>
  </si>
  <si>
    <t>UG-CEN-1312-4443</t>
  </si>
  <si>
    <t>Nanteza  Ssemuddu Regina</t>
  </si>
  <si>
    <t>Namirembe</t>
  </si>
  <si>
    <t>UG-CEN-1312-4453</t>
  </si>
  <si>
    <t xml:space="preserve">Maria  Mukasa </t>
  </si>
  <si>
    <t>Takajunge</t>
  </si>
  <si>
    <t>UG-CEN-1312-4484</t>
  </si>
  <si>
    <t>Kizito   Kizito Kosozi</t>
  </si>
  <si>
    <t>UG-CEN-1312-4569</t>
  </si>
  <si>
    <t>Mbalire  Godfrey</t>
  </si>
  <si>
    <t>Busundo</t>
  </si>
  <si>
    <t>Mukwaba  Serestino</t>
  </si>
  <si>
    <t>Nakabiso</t>
  </si>
  <si>
    <t>Nankya  Christine Gwaluwa</t>
  </si>
  <si>
    <t>Bugomolwa</t>
  </si>
  <si>
    <t>Ssemwogerere  Steven</t>
  </si>
  <si>
    <t>UG-CEN-1312-4662</t>
  </si>
  <si>
    <t>Nkambwe Idi</t>
  </si>
  <si>
    <t>UG-CEN-1312-4674</t>
  </si>
  <si>
    <t>Nsereko Lawerence</t>
  </si>
  <si>
    <t>kira T.C</t>
  </si>
  <si>
    <t>kito</t>
  </si>
  <si>
    <t>UG-CEN-1312-4688</t>
  </si>
  <si>
    <t>Nsubuga John</t>
  </si>
  <si>
    <t>UG-CEN-1312-4712</t>
  </si>
  <si>
    <t>Muga  Micheal</t>
  </si>
  <si>
    <t>Njeru south</t>
  </si>
  <si>
    <t>Nsenge</t>
  </si>
  <si>
    <t>UG-CEN-1309-4378</t>
  </si>
  <si>
    <t>Annet  Auma</t>
  </si>
  <si>
    <t>Kakoola-Mbugwe</t>
  </si>
  <si>
    <t>UG-CEN-1312-4723</t>
  </si>
  <si>
    <t>Otim  Filio Pam</t>
  </si>
  <si>
    <t>Nyenga T.C</t>
  </si>
  <si>
    <t>Kiryowa</t>
  </si>
  <si>
    <t>UG-CEN-1312-5079</t>
  </si>
  <si>
    <t xml:space="preserve">Mose  Mpakaniye </t>
  </si>
  <si>
    <t>UG-CEN-1312-5089</t>
  </si>
  <si>
    <t>Francis  Galigo</t>
  </si>
  <si>
    <t>Bujumba</t>
  </si>
  <si>
    <t>Buyoga</t>
  </si>
  <si>
    <t>UG-CEN-1312-5149</t>
  </si>
  <si>
    <t>Ssentamu Anatoli</t>
  </si>
  <si>
    <t>UG-CEN-1312-5158</t>
  </si>
  <si>
    <t>David  Nkata</t>
  </si>
  <si>
    <t>Nateete</t>
  </si>
  <si>
    <t>Willy  Ssengendo</t>
  </si>
  <si>
    <t>Sserwanda Hipolita</t>
  </si>
  <si>
    <t>UG-CEN-1312-5211</t>
  </si>
  <si>
    <t>Hadija  Sebyala</t>
  </si>
  <si>
    <t>Bulindo</t>
  </si>
  <si>
    <t>UG-CEN-1312-5213</t>
  </si>
  <si>
    <t>Stephen  Bwango</t>
  </si>
  <si>
    <t>UG-CEN-1312-5237</t>
  </si>
  <si>
    <t>Roger  Kiwanuka Edward</t>
  </si>
  <si>
    <t>UG-CEN-1312-5318</t>
  </si>
  <si>
    <t>Mukuma  Kimbowa Paul</t>
  </si>
  <si>
    <t>Ssempa</t>
  </si>
  <si>
    <t>UG-CEN-1312-5332</t>
  </si>
  <si>
    <t>Twaha  Nsubuga Jafari</t>
  </si>
  <si>
    <t>UG-CEN-1312-5365</t>
  </si>
  <si>
    <t>Kibirige  John</t>
  </si>
  <si>
    <t>Natyole</t>
  </si>
  <si>
    <t>UG-CEN-1312-5366</t>
  </si>
  <si>
    <t>Senyanja  Jimmy</t>
  </si>
  <si>
    <t>Buduku</t>
  </si>
  <si>
    <t>UG-CEN-1312-5367</t>
  </si>
  <si>
    <t>Semugabi  Daniel</t>
  </si>
  <si>
    <t>Ntwetwe Town Council</t>
  </si>
  <si>
    <t>UG-CEN-1312-5390</t>
  </si>
  <si>
    <t>Ntungwa  Sam</t>
  </si>
  <si>
    <t>UG-CEN-1312-5398</t>
  </si>
  <si>
    <t>Waligo  Joseph</t>
  </si>
  <si>
    <t>Kiboga Town Council</t>
  </si>
  <si>
    <t>Luyinda  Ronald</t>
  </si>
  <si>
    <t>Kasujju  Lubinga</t>
  </si>
  <si>
    <t>UG-CEN-1401-3348</t>
  </si>
  <si>
    <t>Annet Byekwaso</t>
  </si>
  <si>
    <t>Kisiwula kiwesa</t>
  </si>
  <si>
    <t>Mugisha  Matyansi Bidagala</t>
  </si>
  <si>
    <t>Bongole Willison</t>
  </si>
  <si>
    <t>Kalokero</t>
  </si>
  <si>
    <t>UG-CEN-1401-3549</t>
  </si>
  <si>
    <t xml:space="preserve">Edward  Kitalumbwa </t>
  </si>
  <si>
    <t>UG-CEN-1401-3736</t>
  </si>
  <si>
    <t>Nakabazi Immaculate</t>
  </si>
  <si>
    <t>Bukoto Central</t>
  </si>
  <si>
    <t>UG-CEN-1401-3820</t>
  </si>
  <si>
    <t>Kagwa Henry</t>
  </si>
  <si>
    <t>UG-CEN-1401-3825</t>
  </si>
  <si>
    <t>Jamiya  Mbooge</t>
  </si>
  <si>
    <t>Bukimu</t>
  </si>
  <si>
    <t>UG-CEN-1401-3902</t>
  </si>
  <si>
    <t>Kasirye Resty</t>
  </si>
  <si>
    <t>Mmembe</t>
  </si>
  <si>
    <t>QSP Visited client says she will call for repiping when she finishes constructing her kitchen, she is still interested .</t>
  </si>
  <si>
    <t>Bbaale Teo</t>
  </si>
  <si>
    <t>UG-CEN-1309-5220</t>
  </si>
  <si>
    <t>ImmaculateNkarumbo</t>
  </si>
  <si>
    <t>UG-CEN-1401-3906</t>
  </si>
  <si>
    <t>Kasozi Matia</t>
  </si>
  <si>
    <t>UG-CEN-1309-5245</t>
  </si>
  <si>
    <t>Richard  Mayanja</t>
  </si>
  <si>
    <t>Nalumunye</t>
  </si>
  <si>
    <t>Katende William</t>
  </si>
  <si>
    <t>Lukonge</t>
  </si>
  <si>
    <t>UG-CEN-1401-4000</t>
  </si>
  <si>
    <t xml:space="preserve">Jonathan Lukenge </t>
  </si>
  <si>
    <t>Mitemula</t>
  </si>
  <si>
    <t>UG-CEN-1401-4199</t>
  </si>
  <si>
    <t>Nabizizi Magret</t>
  </si>
  <si>
    <t>Kisiwula</t>
  </si>
  <si>
    <t>UG-CEN-1309-5400</t>
  </si>
  <si>
    <t>Nassazi  Teddy</t>
  </si>
  <si>
    <t>Maria Gorette</t>
  </si>
  <si>
    <t>Bbaale Abaas</t>
  </si>
  <si>
    <t>Mitala malia</t>
  </si>
  <si>
    <t>UG-CEN-1401-4253</t>
  </si>
  <si>
    <t>Lukooya  Abudul</t>
  </si>
  <si>
    <t>Kasekere</t>
  </si>
  <si>
    <t>UG-CEN-1401-4264</t>
  </si>
  <si>
    <t>Mukasa  Kasule Robert</t>
  </si>
  <si>
    <t>UG-CEN-1401-4296</t>
  </si>
  <si>
    <t>Sebaduka  Christopher</t>
  </si>
  <si>
    <t>UG-CEN-1401-4313</t>
  </si>
  <si>
    <t>Mr Mathais Nalabirwo</t>
  </si>
  <si>
    <t>Kyaddondo</t>
  </si>
  <si>
    <t>UG-CEN-1401-4354</t>
  </si>
  <si>
    <t>Peter Ssebwalidda</t>
  </si>
  <si>
    <t>Wantayi</t>
  </si>
  <si>
    <t>UG-CEN-1401-4413</t>
  </si>
  <si>
    <t>Fred  Kasujja</t>
  </si>
  <si>
    <t>Namaliiri</t>
  </si>
  <si>
    <t>UG-CEN-1401-4427</t>
  </si>
  <si>
    <t>Catholic Church  St Paul</t>
  </si>
  <si>
    <t>Kikooza</t>
  </si>
  <si>
    <t>UG-CEN-1401-4467</t>
  </si>
  <si>
    <t>Nabaweesi Matilda</t>
  </si>
  <si>
    <t>UG-CEN-1401-4520</t>
  </si>
  <si>
    <t>Nakimuli Prossy</t>
  </si>
  <si>
    <t>UG-CEN-1401-4529</t>
  </si>
  <si>
    <t>Nakyanzi Angella</t>
  </si>
  <si>
    <t>Kasasa west</t>
  </si>
  <si>
    <t>UG-CEN-1401-4541</t>
  </si>
  <si>
    <t>Nambejja  Mary</t>
  </si>
  <si>
    <t>Kabatende</t>
  </si>
  <si>
    <t>Ddamba Charles</t>
  </si>
  <si>
    <t>UG-CEN-1401-4557</t>
  </si>
  <si>
    <t>Namalwa Benelate</t>
  </si>
  <si>
    <t>Nsaalu</t>
  </si>
  <si>
    <t>UG-CEN-1401-4602</t>
  </si>
  <si>
    <t>Sekanjako  Erias</t>
  </si>
  <si>
    <t>mulagi</t>
  </si>
  <si>
    <t>Kiwaguzi</t>
  </si>
  <si>
    <t>Kawooya  Moses</t>
  </si>
  <si>
    <t>Kasambya B</t>
  </si>
  <si>
    <t>Natukunda Flavia</t>
  </si>
  <si>
    <t>Kiti</t>
  </si>
  <si>
    <t>UG-CEN-1310-3788</t>
  </si>
  <si>
    <t>Joseph Kiwanuka</t>
  </si>
  <si>
    <t>Kitemu</t>
  </si>
  <si>
    <t>UG-CEN-1401-4710</t>
  </si>
  <si>
    <t>Lubega  Charles Masengere</t>
  </si>
  <si>
    <t>Osuka  Raphael</t>
  </si>
  <si>
    <t>Nakalanga</t>
  </si>
  <si>
    <t>UG-CEN-1401-5090</t>
  </si>
  <si>
    <t xml:space="preserve">Wansolo  Bulime </t>
  </si>
  <si>
    <t>UG-CEN-1401-5109</t>
  </si>
  <si>
    <t>Ssebuguzi  Sanday</t>
  </si>
  <si>
    <t>Kikonya</t>
  </si>
  <si>
    <t>UG-CEN-1401-5180</t>
  </si>
  <si>
    <t>Eddie  Ssegane</t>
  </si>
  <si>
    <t>UG-CEN-1401-5190</t>
  </si>
  <si>
    <t>Kiyimba Teo</t>
  </si>
  <si>
    <t>Jalia  Nakyanzi Ssegirinya</t>
  </si>
  <si>
    <t>Nakirama</t>
  </si>
  <si>
    <t>UG-CEN-1401-5369</t>
  </si>
  <si>
    <t>Ssenfuka  Jimmy</t>
  </si>
  <si>
    <t>Ntiba</t>
  </si>
  <si>
    <t>UG-CEN-1401-5370</t>
  </si>
  <si>
    <t>Nandawula  Kasumba</t>
  </si>
  <si>
    <t>Ntwetwe town council</t>
  </si>
  <si>
    <t>UG-CEN-1401-5381</t>
  </si>
  <si>
    <t>Birimumaso  John</t>
  </si>
  <si>
    <t>Kiryajjobyo West</t>
  </si>
  <si>
    <t>UG-CEN-1402-04439</t>
  </si>
  <si>
    <t>Mangadlena  Nakagwa</t>
  </si>
  <si>
    <t>Kampungu</t>
  </si>
  <si>
    <t>Ssejemba  Kenedy</t>
  </si>
  <si>
    <t>Tego bilungo</t>
  </si>
  <si>
    <t>Nakayiza Immaculate</t>
  </si>
  <si>
    <t>UG-CEN-1402-2424</t>
  </si>
  <si>
    <t>Matovu  John</t>
  </si>
  <si>
    <t>bukalagi</t>
  </si>
  <si>
    <t>UG-CEN-1402-2425</t>
  </si>
  <si>
    <t>Kibwese  Joseph</t>
  </si>
  <si>
    <t>UG-CEN-1402-2429</t>
  </si>
  <si>
    <t>Senteza  Livingstone</t>
  </si>
  <si>
    <t>kigongo</t>
  </si>
  <si>
    <t>Namayanja  Rose</t>
  </si>
  <si>
    <t>Lubega  Vicent</t>
  </si>
  <si>
    <t>kakomo kanyogoga</t>
  </si>
  <si>
    <t>UG-CEN-1402-2459</t>
  </si>
  <si>
    <t>Lwanga  Mary Duncan</t>
  </si>
  <si>
    <t>UG-CEN-1402-2460</t>
  </si>
  <si>
    <t>Busulwa  Matia</t>
  </si>
  <si>
    <t>nswanjere B</t>
  </si>
  <si>
    <t>UG-CEN-1402-2461</t>
  </si>
  <si>
    <t>Nsereko  Lawrence</t>
  </si>
  <si>
    <t>Kizito  Paul</t>
  </si>
  <si>
    <t>kyanika</t>
  </si>
  <si>
    <t>UG-CEN-1402-2515</t>
  </si>
  <si>
    <t>Mayanja  Denis Father</t>
  </si>
  <si>
    <t>bugenge</t>
  </si>
  <si>
    <t>Asaph  Ssenyonga</t>
  </si>
  <si>
    <t>Kayunga Town Council</t>
  </si>
  <si>
    <t>Kisawo Kibira</t>
  </si>
  <si>
    <t>UG-CEN-1402-2813</t>
  </si>
  <si>
    <t>Abudnoor  Lwanga</t>
  </si>
  <si>
    <t>UG-CEN-1402-2816</t>
  </si>
  <si>
    <t>Michael  Ssemusu</t>
  </si>
  <si>
    <t>Mamagabi A</t>
  </si>
  <si>
    <t>UG-CEN-1402-2823</t>
  </si>
  <si>
    <t>Maria   Wamala</t>
  </si>
  <si>
    <t>UG-CEN-1310-5085</t>
  </si>
  <si>
    <t>Lumu  Nalongo Magret</t>
  </si>
  <si>
    <t>Bukoto central</t>
  </si>
  <si>
    <t>UG-CEN-1402-2845</t>
  </si>
  <si>
    <t>Sara  Nakazi</t>
  </si>
  <si>
    <t>Joseph Musana</t>
  </si>
  <si>
    <t>UG-CEN-1402-2857</t>
  </si>
  <si>
    <t>Batten  George William</t>
  </si>
  <si>
    <t>Nakirubi</t>
  </si>
  <si>
    <t>UG-CEN-1402-2858</t>
  </si>
  <si>
    <t>Kitengejja Muzamiru</t>
  </si>
  <si>
    <t>Kangulumila</t>
  </si>
  <si>
    <t>UG-CEN-1402-2872</t>
  </si>
  <si>
    <t>Joseph  Kabogoza</t>
  </si>
  <si>
    <t>Chritine  Namasengere</t>
  </si>
  <si>
    <t>Ntooke kibira</t>
  </si>
  <si>
    <t>UG-CEN-1402-2873</t>
  </si>
  <si>
    <t>Pulikelia  Nansereko</t>
  </si>
  <si>
    <t>Wabilongo</t>
  </si>
  <si>
    <t>UG-CEN-1402-2876</t>
  </si>
  <si>
    <t>Hakim  Kalungi Haji</t>
  </si>
  <si>
    <t>Kisega</t>
  </si>
  <si>
    <t>UG-CEN-1402-2877</t>
  </si>
  <si>
    <t>Heilstone  Kabenge</t>
  </si>
  <si>
    <t>Nakatundu</t>
  </si>
  <si>
    <t>UG-CEN-1402-2878</t>
  </si>
  <si>
    <t>Emmanuel  Mukissa</t>
  </si>
  <si>
    <t>Kinyara</t>
  </si>
  <si>
    <t>UG-CEN-1402-2887</t>
  </si>
  <si>
    <t>Christine  Magala</t>
  </si>
  <si>
    <t>Christine Musisi</t>
  </si>
  <si>
    <t>Nsimbiziwome</t>
  </si>
  <si>
    <t>UG-CEN-1402-2890</t>
  </si>
  <si>
    <t>Bob  Kibilango</t>
  </si>
  <si>
    <t>Bugujju</t>
  </si>
  <si>
    <t>UG-CEN-1402-2955</t>
  </si>
  <si>
    <t>Lukwago  Gerald Majera</t>
  </si>
  <si>
    <t>Jane Nabaziwa</t>
  </si>
  <si>
    <t>UG-CEN-1402-3083</t>
  </si>
  <si>
    <t>Richard  Bukeerwa</t>
  </si>
  <si>
    <t>Kikubankima</t>
  </si>
  <si>
    <t>UG-CEN-1402-3085</t>
  </si>
  <si>
    <t>Lwasa  Kyeswa Christopher</t>
  </si>
  <si>
    <t>Kavuma Godfrey</t>
  </si>
  <si>
    <t>UG-CEN-1402-3310</t>
  </si>
  <si>
    <t>Sempebwa Sirajje</t>
  </si>
  <si>
    <t>UG-CEN-1311-3988</t>
  </si>
  <si>
    <t xml:space="preserve">Magaret  Nakanwagi </t>
  </si>
  <si>
    <t>kyalusowe</t>
  </si>
  <si>
    <t>UG-CEN-1402-3315</t>
  </si>
  <si>
    <t>Nabulya Prosscovia</t>
  </si>
  <si>
    <t>UG-CEN-1402-3350</t>
  </si>
  <si>
    <t xml:space="preserve">Ssebulime  James </t>
  </si>
  <si>
    <t>Buikwe town council</t>
  </si>
  <si>
    <t>UG-CEN-1402-3534</t>
  </si>
  <si>
    <t>John  Kiwalabye Kawuma</t>
  </si>
  <si>
    <t>Butenge</t>
  </si>
  <si>
    <t>Buwenda</t>
  </si>
  <si>
    <t>UG-CEN-1402-3773</t>
  </si>
  <si>
    <t>Gonzanga  Ssenkumba</t>
  </si>
  <si>
    <t>UG-CEN-1402-3775</t>
  </si>
  <si>
    <t>Nsereko John</t>
  </si>
  <si>
    <t>Kiwamirembe</t>
  </si>
  <si>
    <t>UG-CEN-1402-3781</t>
  </si>
  <si>
    <t>Joseph  Lukyamuzi</t>
  </si>
  <si>
    <t>UG-CEN-1402-3785</t>
  </si>
  <si>
    <t>Catalina Mukiibi</t>
  </si>
  <si>
    <t>UG-CEN-1402-3823</t>
  </si>
  <si>
    <t>Kagolobya Gerald</t>
  </si>
  <si>
    <t>UG-CEN-1402-3824</t>
  </si>
  <si>
    <t>Livingston  Ntege</t>
  </si>
  <si>
    <t>Konko</t>
  </si>
  <si>
    <t>UG-CEN-1402-3826</t>
  </si>
  <si>
    <t>Joseph  Ochera</t>
  </si>
  <si>
    <t>Bulimu</t>
  </si>
  <si>
    <t>UG-CEN-1402-3827</t>
  </si>
  <si>
    <t>Efuransi Zalwango</t>
  </si>
  <si>
    <t>UG-CEN-1402-3878</t>
  </si>
  <si>
    <t>Niah  Muweesi</t>
  </si>
  <si>
    <t>Nabukalu</t>
  </si>
  <si>
    <t>Kato Damiano</t>
  </si>
  <si>
    <t>Kalilo</t>
  </si>
  <si>
    <t>katigondo</t>
  </si>
  <si>
    <t>Kayongo Godfrey</t>
  </si>
  <si>
    <t>UG-CEN-1402-3994</t>
  </si>
  <si>
    <t xml:space="preserve">Javira  Nakoto </t>
  </si>
  <si>
    <t>Kigongo John (Plant 1)</t>
  </si>
  <si>
    <t>Walukunyu</t>
  </si>
  <si>
    <t>Sister Nankya Reggina</t>
  </si>
  <si>
    <t>Bisanje Covent.</t>
  </si>
  <si>
    <t>Mulika Leonald</t>
  </si>
  <si>
    <t>Kiwesa</t>
  </si>
  <si>
    <t>UG-CEN-1311-5111</t>
  </si>
  <si>
    <t>Nakayanja Teopista</t>
  </si>
  <si>
    <t>UG-CEN-1402-4091</t>
  </si>
  <si>
    <t>Kyadiba Leonard</t>
  </si>
  <si>
    <t>Bukulula.</t>
  </si>
  <si>
    <t>UG-CEN-1402-4117</t>
  </si>
  <si>
    <t>Lawrence Wadda</t>
  </si>
  <si>
    <t>Bikulula</t>
  </si>
  <si>
    <t>Kago</t>
  </si>
  <si>
    <t>UG-CEN-1402-4186</t>
  </si>
  <si>
    <t>Manotti Joseph</t>
  </si>
  <si>
    <t>Lyamusansala</t>
  </si>
  <si>
    <t>Walaga Henry William</t>
  </si>
  <si>
    <t>UG-CEN-1402-4352</t>
  </si>
  <si>
    <t>Mugulumya Robert</t>
  </si>
  <si>
    <t>Nyende ssenyange</t>
  </si>
  <si>
    <t>Bujjanjeru</t>
  </si>
  <si>
    <t>UG-CEN-1402-4388</t>
  </si>
  <si>
    <t>Madong  Baraka Mary</t>
  </si>
  <si>
    <t>UG-CEN-1402-4392</t>
  </si>
  <si>
    <t>Michael  Sseruyange</t>
  </si>
  <si>
    <t>UG-CEN-1402-4396</t>
  </si>
  <si>
    <t>Yosam  Kintu</t>
  </si>
  <si>
    <t>Kikona</t>
  </si>
  <si>
    <t>UG-CEN-1402-4399</t>
  </si>
  <si>
    <t>Dr joshua  Zimbe</t>
  </si>
  <si>
    <t>Miggo</t>
  </si>
  <si>
    <t>UG-CEN-1402-4417</t>
  </si>
  <si>
    <t>Anny Nassazi</t>
  </si>
  <si>
    <t>UG-CEN-1311-5386</t>
  </si>
  <si>
    <t>Ssempagi  Joseph</t>
  </si>
  <si>
    <t>UG-CEN-1402-4436</t>
  </si>
  <si>
    <t>Sarah  Kizza</t>
  </si>
  <si>
    <t>Muyingo Morris</t>
  </si>
  <si>
    <t>UG-CEN-1402-4445</t>
  </si>
  <si>
    <t>Michael  Kalema</t>
  </si>
  <si>
    <t>Takajjunge</t>
  </si>
  <si>
    <t>UG-CEN-1312-2612</t>
  </si>
  <si>
    <t>Boney  Kassuja</t>
  </si>
  <si>
    <t>Willngton  Makumbi</t>
  </si>
  <si>
    <t>Butebe</t>
  </si>
  <si>
    <t>Nakiganda Grace</t>
  </si>
  <si>
    <t>UG-CEN-1402-4592</t>
  </si>
  <si>
    <t>Namutinde Janet</t>
  </si>
  <si>
    <t>Mawazi  Mubi</t>
  </si>
  <si>
    <t>Kiboga town council</t>
  </si>
  <si>
    <t>Nasuuna</t>
  </si>
  <si>
    <t>Magoba  Abed</t>
  </si>
  <si>
    <t>Serunyonyi</t>
  </si>
  <si>
    <t>UG-CEN-1402-4618</t>
  </si>
  <si>
    <t>Kilaga  Joseph</t>
  </si>
  <si>
    <t>Ntwetwe Town council</t>
  </si>
  <si>
    <t>Ntuuti</t>
  </si>
  <si>
    <t>Nayiga Norah</t>
  </si>
  <si>
    <t>UG-CEN-1402-4645</t>
  </si>
  <si>
    <t>Ndawula Christine</t>
  </si>
  <si>
    <t>Bisanje.</t>
  </si>
  <si>
    <t>UG-CEN-1402-4666</t>
  </si>
  <si>
    <t>Wamala  Yusufu</t>
  </si>
  <si>
    <t>Kangundu</t>
  </si>
  <si>
    <t xml:space="preserve">Katumba  Rosmary </t>
  </si>
  <si>
    <t>UG-CEN-1402-4711</t>
  </si>
  <si>
    <t>Nanteza  Apollonia</t>
  </si>
  <si>
    <t>UG-CEN-1402-5058</t>
  </si>
  <si>
    <t>Sister Annet Nakato</t>
  </si>
  <si>
    <t>Serestin Muwonge</t>
  </si>
  <si>
    <t>UG-CEN-1402-5122</t>
  </si>
  <si>
    <t xml:space="preserve">Ssekono George </t>
  </si>
  <si>
    <t>Muhammad   Sebugenyi</t>
  </si>
  <si>
    <t>UG-CEN-1402-5175</t>
  </si>
  <si>
    <t>St Joseph Seminary Nyenga</t>
  </si>
  <si>
    <t>Njalaegobye</t>
  </si>
  <si>
    <t>UG-CEN-1402-5177</t>
  </si>
  <si>
    <t>Immaculate  Namusisi Ssenkumba</t>
  </si>
  <si>
    <t>UG-CEN-1402-5217</t>
  </si>
  <si>
    <t>Patrick  Mukose</t>
  </si>
  <si>
    <t>Mulago</t>
  </si>
  <si>
    <t>Wasswa Peter</t>
  </si>
  <si>
    <t>Kirimya</t>
  </si>
  <si>
    <t>UG-CEN-1402-5302</t>
  </si>
  <si>
    <t>Alice  Namugenyi</t>
  </si>
  <si>
    <t>UG-CEN-1402-5305</t>
  </si>
  <si>
    <t>Henry  Sensula</t>
  </si>
  <si>
    <t>Kasangombe</t>
  </si>
  <si>
    <t>Njagalabwami</t>
  </si>
  <si>
    <t>UG-CEN-1402-5327</t>
  </si>
  <si>
    <t xml:space="preserve">Bukalasa Agricultural Institution </t>
  </si>
  <si>
    <t>UG-CEN-1402-5388</t>
  </si>
  <si>
    <t>Matovu  Fred</t>
  </si>
  <si>
    <t>Kaswa</t>
  </si>
  <si>
    <t>UG-CEN-1402-5391</t>
  </si>
  <si>
    <t>Muwonge  Raphael Ssalongo</t>
  </si>
  <si>
    <t>Lwansama</t>
  </si>
  <si>
    <t>UG-CEN-1402-5396</t>
  </si>
  <si>
    <t>Kagugube  Edward</t>
  </si>
  <si>
    <t>Nkandwa B</t>
  </si>
  <si>
    <t>UG-CEN-1402-5402</t>
  </si>
  <si>
    <t xml:space="preserve">Kyobe  Joseph </t>
  </si>
  <si>
    <t>Malindi</t>
  </si>
  <si>
    <t>UG-CEN-1312-3855</t>
  </si>
  <si>
    <t>Zeverio Kyeyune</t>
  </si>
  <si>
    <t>UG-CEN-1312-3858</t>
  </si>
  <si>
    <t>Victoria  Nsimbi</t>
  </si>
  <si>
    <t>UG-CEN-1402-5403</t>
  </si>
  <si>
    <t xml:space="preserve">Kasujja  Judith </t>
  </si>
  <si>
    <t>Kikubamutwe</t>
  </si>
  <si>
    <t>UG-CEN-1403-2422</t>
  </si>
  <si>
    <t>Musoke  Anthony</t>
  </si>
  <si>
    <t>UG-CEN-1403-3717</t>
  </si>
  <si>
    <t>Bbuye Henry</t>
  </si>
  <si>
    <t>UG-CEN-1403-3876</t>
  </si>
  <si>
    <t>Kanakulya Dominic</t>
  </si>
  <si>
    <t>UG-CEN-1403-3879</t>
  </si>
  <si>
    <t>Peter  Kakooza</t>
  </si>
  <si>
    <t>Kirimamboga</t>
  </si>
  <si>
    <t>UG-CEN-1403-3984</t>
  </si>
  <si>
    <t xml:space="preserve">Mary  Mpombe </t>
  </si>
  <si>
    <t>kijomanyi</t>
  </si>
  <si>
    <t>UG-CEN-1403-4405</t>
  </si>
  <si>
    <t>Christine  Namubiru</t>
  </si>
  <si>
    <t>Kisoroza</t>
  </si>
  <si>
    <t>UG-CEN-1403-4627</t>
  </si>
  <si>
    <t>Nassanga Goretti</t>
  </si>
  <si>
    <t>UG-CEN-1403-5218</t>
  </si>
  <si>
    <t>Christine  Mukasa</t>
  </si>
  <si>
    <t>Rubaga north</t>
  </si>
  <si>
    <t>UG-CEN-1403-5352</t>
  </si>
  <si>
    <t>Lubi  Reonard</t>
  </si>
  <si>
    <t>Bband</t>
  </si>
  <si>
    <t>Mawanga</t>
  </si>
  <si>
    <t>UG-CEN-1403-5379</t>
  </si>
  <si>
    <t>Norah  Babumba</t>
  </si>
  <si>
    <t>UG-CEN-1403-5783</t>
  </si>
  <si>
    <t>Ssebaggala Fred</t>
  </si>
  <si>
    <t>UG-CEN-1404-4425</t>
  </si>
  <si>
    <t>Spencer  Kimera</t>
  </si>
  <si>
    <t>Dr Kibende  Samson</t>
  </si>
  <si>
    <t>Bamusuuta</t>
  </si>
  <si>
    <t>UG-CEN-1405-4603</t>
  </si>
  <si>
    <t>Ssemakula  Moses</t>
  </si>
  <si>
    <t>Munyami</t>
  </si>
  <si>
    <t>UG-CEN-1312-4252</t>
  </si>
  <si>
    <t>Kiweewa  Swaib</t>
  </si>
  <si>
    <t>UG-CEN-1406-4499</t>
  </si>
  <si>
    <t>Abdu  Byasaali</t>
  </si>
  <si>
    <t>Namayuba</t>
  </si>
  <si>
    <t>UG-CEN-1407-5516</t>
  </si>
  <si>
    <t>Kutesa Michael</t>
  </si>
  <si>
    <t>UG-CEN-1408-1042</t>
  </si>
  <si>
    <t>Nabukeera  Mariam</t>
  </si>
  <si>
    <t>Kibugga</t>
  </si>
  <si>
    <t>V.AGRO FOREST</t>
  </si>
  <si>
    <t>UG-CEN-1408-3501</t>
  </si>
  <si>
    <t xml:space="preserve">Kataama  Christopher </t>
  </si>
  <si>
    <t>Bulando</t>
  </si>
  <si>
    <t>UG-CEN-1408-3521</t>
  </si>
  <si>
    <t>Robert  Namugera Kiiza</t>
  </si>
  <si>
    <t>kabonera</t>
  </si>
  <si>
    <t>Kyanakase</t>
  </si>
  <si>
    <t>UG-CEN-1408-4653</t>
  </si>
  <si>
    <t>Katabazi  James</t>
  </si>
  <si>
    <t>Kabale</t>
  </si>
  <si>
    <t>UG-CEN-1408-5084</t>
  </si>
  <si>
    <t xml:space="preserve">Godfrey  Mutunzi </t>
  </si>
  <si>
    <t>Kyanamukaka</t>
  </si>
  <si>
    <t>Buregeya</t>
  </si>
  <si>
    <t>UG-CEN-1408-5440</t>
  </si>
  <si>
    <t>Hajji Sulaiman Kiggundu</t>
  </si>
  <si>
    <t>UG-CEN-1312-4620</t>
  </si>
  <si>
    <t>Nansubuga  Getrude</t>
  </si>
  <si>
    <t>UG-CEN-1408-5800</t>
  </si>
  <si>
    <t>Twebaze Alex</t>
  </si>
  <si>
    <t>mukono</t>
  </si>
  <si>
    <t>goma</t>
  </si>
  <si>
    <t>natonko</t>
  </si>
  <si>
    <t>UG-CEN-1409-429</t>
  </si>
  <si>
    <t>Lwanga John Bosco</t>
  </si>
  <si>
    <t>UG-CEN-1409-4432</t>
  </si>
  <si>
    <t>Lubow  Herbert Ssalongo</t>
  </si>
  <si>
    <t>UG-CEN-1409-5208</t>
  </si>
  <si>
    <t>Grace  Lukabya</t>
  </si>
  <si>
    <t>UG-CEN-1409-5656</t>
  </si>
  <si>
    <t>Namuga Gatrid(Plant 1)</t>
  </si>
  <si>
    <t>Bisanje west.</t>
  </si>
  <si>
    <t>Mustaq Abdulah Bhegani</t>
  </si>
  <si>
    <t>ESEC</t>
  </si>
  <si>
    <t>UG-CEN-1410-3772</t>
  </si>
  <si>
    <t>Daisy  Kawuki</t>
  </si>
  <si>
    <t>Buwali</t>
  </si>
  <si>
    <t>UG-CEN-1410-4444</t>
  </si>
  <si>
    <t>Galanju  Wakulira Joel</t>
  </si>
  <si>
    <t>Buligobe</t>
  </si>
  <si>
    <t>UG-CEN-1410-48</t>
  </si>
  <si>
    <t>African Soup School</t>
  </si>
  <si>
    <t>Namutumba</t>
  </si>
  <si>
    <t>Nabukabala</t>
  </si>
  <si>
    <t>UG-CEN-1410-5548</t>
  </si>
  <si>
    <t>Matovu Charles</t>
  </si>
  <si>
    <t>Kigangazi.</t>
  </si>
  <si>
    <t>UG-CEN-1411-3077</t>
  </si>
  <si>
    <t>Christine  Nanyanzi</t>
  </si>
  <si>
    <t xml:space="preserve">Jamal  Ssempa </t>
  </si>
  <si>
    <t>UG-CEN-1411-501</t>
  </si>
  <si>
    <t>Luzze Experidah</t>
  </si>
  <si>
    <t>Kasalirwe</t>
  </si>
  <si>
    <t>UG-CEN-1411-506</t>
  </si>
  <si>
    <t>Ssetuba Joseph</t>
  </si>
  <si>
    <t>Kilumba</t>
  </si>
  <si>
    <t>Kamuzinga</t>
  </si>
  <si>
    <t>UG-CEN-1411-53</t>
  </si>
  <si>
    <t>Kabatsi Peter</t>
  </si>
  <si>
    <t>Ntuusi</t>
  </si>
  <si>
    <t>UG-CEN-1411-56</t>
  </si>
  <si>
    <t>Kyeyune Godfrey</t>
  </si>
  <si>
    <t>Kirinyabigo</t>
  </si>
  <si>
    <t>UG-CEN-1412-1045</t>
  </si>
  <si>
    <t>Dr Ben Mbonye</t>
  </si>
  <si>
    <t>Busaku</t>
  </si>
  <si>
    <t>UG-CEN-1412-109</t>
  </si>
  <si>
    <t>Bamulumbye Remegio</t>
  </si>
  <si>
    <t>Kirinya</t>
  </si>
  <si>
    <t>UG-CEN-1412-502</t>
  </si>
  <si>
    <t>Alifunsi Kakooza</t>
  </si>
  <si>
    <t>UG-CEN-1412-503</t>
  </si>
  <si>
    <t>Ssenga Ndawalana</t>
  </si>
  <si>
    <t>Lusanji</t>
  </si>
  <si>
    <t>UG-CEN-1312-5380</t>
  </si>
  <si>
    <t>Sekikubo  Cranema</t>
  </si>
  <si>
    <t>UG-CEN-1412-505</t>
  </si>
  <si>
    <t>Kayongo Moses</t>
  </si>
  <si>
    <t>UG-CEN-1412-5249</t>
  </si>
  <si>
    <t>Rubaga  Uganda Catholic Social Centre</t>
  </si>
  <si>
    <t>UG-CEN-1412-55</t>
  </si>
  <si>
    <t>Katende Abel</t>
  </si>
  <si>
    <t>Busaawa</t>
  </si>
  <si>
    <t>UG-CEN-1412-5529</t>
  </si>
  <si>
    <t>Mabejjo Christine</t>
  </si>
  <si>
    <t>UG-CEN-1412-602</t>
  </si>
  <si>
    <t>Mrs Katabira Resty</t>
  </si>
  <si>
    <t>Nakatema</t>
  </si>
  <si>
    <t>UG-CEN-1412-603</t>
  </si>
  <si>
    <t>Julius Kajwengye</t>
  </si>
  <si>
    <t>Nakitokolo</t>
  </si>
  <si>
    <t>Nalongo Naiga</t>
  </si>
  <si>
    <t>Nzuu</t>
  </si>
  <si>
    <t>UG-CEN-1501-1009</t>
  </si>
  <si>
    <t>Nakiganda Prasanda</t>
  </si>
  <si>
    <t>UG-CEN-1501-1017</t>
  </si>
  <si>
    <t>Luyima Martin</t>
  </si>
  <si>
    <t>Matugga</t>
  </si>
  <si>
    <t>Mattugga</t>
  </si>
  <si>
    <t>Kabonza</t>
  </si>
  <si>
    <t>UG-CEN-1401-3829</t>
  </si>
  <si>
    <t>Mustafa  Katamba</t>
  </si>
  <si>
    <t>Bbubumbi</t>
  </si>
  <si>
    <t>UG-CEN-1501-1026</t>
  </si>
  <si>
    <t>Loy Kitamireke</t>
  </si>
  <si>
    <t>Mbutayojja</t>
  </si>
  <si>
    <t>UG-CEN-1501-49</t>
  </si>
  <si>
    <t>Dhikusoka Charles</t>
  </si>
  <si>
    <t>Mayuge</t>
  </si>
  <si>
    <t>Waitambogwe</t>
  </si>
  <si>
    <t>Wabulungu</t>
  </si>
  <si>
    <t>UG-CEN-1501-517</t>
  </si>
  <si>
    <t>Kiddu Fred</t>
  </si>
  <si>
    <t>Butego</t>
  </si>
  <si>
    <t>Kitabaaza</t>
  </si>
  <si>
    <t xml:space="preserve">Kalidi  Mayengo </t>
  </si>
  <si>
    <t>Butoole</t>
  </si>
  <si>
    <t>UG-CEN-1401-3971</t>
  </si>
  <si>
    <t xml:space="preserve">Robert   Mbabazi </t>
  </si>
  <si>
    <t>Kyamulibwa</t>
  </si>
  <si>
    <t>Bunoga</t>
  </si>
  <si>
    <t>UG-CEN-1401-3976</t>
  </si>
  <si>
    <t xml:space="preserve">Joseph  Mwanje </t>
  </si>
  <si>
    <t>Kasslaali</t>
  </si>
  <si>
    <t>Joyce Mpanga</t>
  </si>
  <si>
    <t>Rubaga Division</t>
  </si>
  <si>
    <t>Kosovo</t>
  </si>
  <si>
    <t>UG-CEN-1501-5393</t>
  </si>
  <si>
    <t>Kasozi  Emmanuel</t>
  </si>
  <si>
    <t>Kiremera</t>
  </si>
  <si>
    <t>UG-CEN-1501-5772</t>
  </si>
  <si>
    <t>Sserunjoji Emmanuel</t>
  </si>
  <si>
    <t>UG-CEN-1501-58</t>
  </si>
  <si>
    <t>Mangeeni Mutumba</t>
  </si>
  <si>
    <t>Namayingo</t>
  </si>
  <si>
    <t>Mutumba</t>
  </si>
  <si>
    <t>UG-CEN-1501-5836</t>
  </si>
  <si>
    <t>Ssembatya  Denis</t>
  </si>
  <si>
    <t>Musoke Solomon</t>
  </si>
  <si>
    <t>Ggoma</t>
  </si>
  <si>
    <t>UG-CEN-1502-1002</t>
  </si>
  <si>
    <t>Leuben Mubuya Mambule</t>
  </si>
  <si>
    <t>Kanyanya</t>
  </si>
  <si>
    <t>Mugalu Zone</t>
  </si>
  <si>
    <t>UG-CEN-1502-112</t>
  </si>
  <si>
    <t>Kakembo John</t>
  </si>
  <si>
    <t>Jajano</t>
  </si>
  <si>
    <t>Nabanja Winfred</t>
  </si>
  <si>
    <t>Bisanje</t>
  </si>
  <si>
    <t>UG-CEN-1502-115</t>
  </si>
  <si>
    <t>Ssajja Emmanuel</t>
  </si>
  <si>
    <t>UG-CEN-1401-4446</t>
  </si>
  <si>
    <t>John  Wanyama Wangah</t>
  </si>
  <si>
    <t>UG-CEN-1502-2493</t>
  </si>
  <si>
    <t>Tumwine  Dan</t>
  </si>
  <si>
    <t>kenziga</t>
  </si>
  <si>
    <t>UG-CEN-1401-4477</t>
  </si>
  <si>
    <t>Namotovu Christine</t>
  </si>
  <si>
    <t>UG-CEN-1502-447</t>
  </si>
  <si>
    <t>Lule John Bosco</t>
  </si>
  <si>
    <t>Kyanjovu</t>
  </si>
  <si>
    <t>UG-CEN-1502-4490</t>
  </si>
  <si>
    <t>Deo   Kintu Wagooli</t>
  </si>
  <si>
    <t>Nabuti central</t>
  </si>
  <si>
    <t>UG-CEN-1502-525</t>
  </si>
  <si>
    <t>Rev Father Matovu Jude</t>
  </si>
  <si>
    <t>Bugerere</t>
  </si>
  <si>
    <t>Baale Galiraya</t>
  </si>
  <si>
    <t>Galiraya</t>
  </si>
  <si>
    <t>UG-CEN-1502-610</t>
  </si>
  <si>
    <t>Mutesasira'S Farm Kalanamu</t>
  </si>
  <si>
    <t>Kalanamu</t>
  </si>
  <si>
    <t>UG-CEN-1502-701</t>
  </si>
  <si>
    <t>Ssebadduka Peter</t>
  </si>
  <si>
    <t>UG-CEN-1502-702</t>
  </si>
  <si>
    <t>Pr Jonnes Bakimi</t>
  </si>
  <si>
    <t>Kikamuto</t>
  </si>
  <si>
    <t>UG-CEN-1503-00113</t>
  </si>
  <si>
    <t>Matovu Vicent</t>
  </si>
  <si>
    <t>UG-CEN-1503-1008</t>
  </si>
  <si>
    <t>Lutaaya Jane</t>
  </si>
  <si>
    <t>Kitonge</t>
  </si>
  <si>
    <t>Nakayiki Rose</t>
  </si>
  <si>
    <t>Butaale</t>
  </si>
  <si>
    <t>Olivia Mukibi</t>
  </si>
  <si>
    <t>UG-CEN-1503-118</t>
  </si>
  <si>
    <t>Matovu Gerald</t>
  </si>
  <si>
    <t>UG-CEN-1503-119</t>
  </si>
  <si>
    <t>Ssebudde Denis</t>
  </si>
  <si>
    <t>UG-CEN-1503-121</t>
  </si>
  <si>
    <t>Stephanie  Corry</t>
  </si>
  <si>
    <t>UG-CEN-1401-5181</t>
  </si>
  <si>
    <t>Pamela  Nalukwago</t>
  </si>
  <si>
    <t>UG-CEN-1503-2707</t>
  </si>
  <si>
    <t>Kaserezo Nathan</t>
  </si>
  <si>
    <t>Kitabona</t>
  </si>
  <si>
    <t>Silimulo</t>
  </si>
  <si>
    <t>UG-CEN-1503-611</t>
  </si>
  <si>
    <t>Namukasa Mary</t>
  </si>
  <si>
    <t>UG-CEN-1401-5368</t>
  </si>
  <si>
    <t>Mutebi  Samuel</t>
  </si>
  <si>
    <t>UG-CEN-1503-613</t>
  </si>
  <si>
    <t>Ssekimoggo Zedeki</t>
  </si>
  <si>
    <t>Kisomesa</t>
  </si>
  <si>
    <t>UG-CEN-1503-615</t>
  </si>
  <si>
    <t>Lutaaya John (Plant 3)</t>
  </si>
  <si>
    <t>Muduuma</t>
  </si>
  <si>
    <t>Maliima</t>
  </si>
  <si>
    <t>UG-CEN-1401-5371</t>
  </si>
  <si>
    <t>Lukyamuzi  Samuel</t>
  </si>
  <si>
    <t>UG-CEN-1401-5373</t>
  </si>
  <si>
    <t>Nalubega  Margaret</t>
  </si>
  <si>
    <t>Ntwetwe, Town Council</t>
  </si>
  <si>
    <t>Lwanjale</t>
  </si>
  <si>
    <t>Walusaga Janet</t>
  </si>
  <si>
    <t>Kireka (Church Zone)</t>
  </si>
  <si>
    <t>UG-CEN-1401-5384</t>
  </si>
  <si>
    <t>Tibategyeza  Fred</t>
  </si>
  <si>
    <t>Kibanda Lc 1</t>
  </si>
  <si>
    <t>UG-CEN-1401-5394</t>
  </si>
  <si>
    <t>Mpagi  Joseph</t>
  </si>
  <si>
    <t>UG-CEN-1401-5395</t>
  </si>
  <si>
    <t>Muyanja  David</t>
  </si>
  <si>
    <t>UG-CEN-1401-5397</t>
  </si>
  <si>
    <t>Kayima  William</t>
  </si>
  <si>
    <t>Kibiga</t>
  </si>
  <si>
    <t>UG-CEN-1504-1007</t>
  </si>
  <si>
    <t>Alice Akalugaba</t>
  </si>
  <si>
    <t>Temangalao</t>
  </si>
  <si>
    <t>Henry  Kityo</t>
  </si>
  <si>
    <t>Ssumbwe</t>
  </si>
  <si>
    <t>UG-CEN-1504-1029</t>
  </si>
  <si>
    <t>Margret Kayiza</t>
  </si>
  <si>
    <t>UG-CEN-1504-1031</t>
  </si>
  <si>
    <t>Flavia Kihora</t>
  </si>
  <si>
    <t>Kakira</t>
  </si>
  <si>
    <t>UG-CEN-1504-1040</t>
  </si>
  <si>
    <t>Deogratoius Luswata</t>
  </si>
  <si>
    <t>Kigwanya</t>
  </si>
  <si>
    <t>UG-CEN-1504-1046</t>
  </si>
  <si>
    <t>Muwonge Agnes</t>
  </si>
  <si>
    <t>Nankuwade</t>
  </si>
  <si>
    <t>Preco tech</t>
  </si>
  <si>
    <t>UG-CEN-1504-1107</t>
  </si>
  <si>
    <t>Mr Sempijja</t>
  </si>
  <si>
    <t>UG-CEN-1504-127</t>
  </si>
  <si>
    <t>Ibraim Kizza</t>
  </si>
  <si>
    <t>Bugya</t>
  </si>
  <si>
    <t>UG-CEN-1504-128</t>
  </si>
  <si>
    <t>Ssamula Emanuel</t>
  </si>
  <si>
    <t>Kamaggwa</t>
  </si>
  <si>
    <t>UG-CEN-1402-2449</t>
  </si>
  <si>
    <t>Repaired and still in the process of feeding says client (they don’t have enough water).</t>
  </si>
  <si>
    <t>Kalanzi  David Mubiru Benedicto</t>
  </si>
  <si>
    <t>UG-CEN-1504-129</t>
  </si>
  <si>
    <t>Mugenyi Joseph</t>
  </si>
  <si>
    <t>Runyinya</t>
  </si>
  <si>
    <t>UG-CEN-1504-3429</t>
  </si>
  <si>
    <t>Brigedia Byarugaba</t>
  </si>
  <si>
    <t>UG-CEN-1504-618</t>
  </si>
  <si>
    <t>Nabukera Specioza</t>
  </si>
  <si>
    <t>Kiboga west</t>
  </si>
  <si>
    <t>Ntwetwe TC</t>
  </si>
  <si>
    <t>Kabindula</t>
  </si>
  <si>
    <t>UG-CEN-1504-622</t>
  </si>
  <si>
    <t>Kisakye Frank</t>
  </si>
  <si>
    <t>Maseke</t>
  </si>
  <si>
    <t>UG-CEN-1402-2480</t>
  </si>
  <si>
    <t>Erimiya  Suubi</t>
  </si>
  <si>
    <t>UG-CEN-1402-2483</t>
  </si>
  <si>
    <t>Apuuli Eric</t>
  </si>
  <si>
    <t>kisindi</t>
  </si>
  <si>
    <t>UG-CEN-1402-2496</t>
  </si>
  <si>
    <t>Berunga  Godfrey</t>
  </si>
  <si>
    <t>mawogola North</t>
  </si>
  <si>
    <t>kasansa</t>
  </si>
  <si>
    <t>UG-CEN-1402-2497</t>
  </si>
  <si>
    <t>Tukahirwa Johnson</t>
  </si>
  <si>
    <t>UG-CEN-1505-1039</t>
  </si>
  <si>
    <t>Allen Kasura</t>
  </si>
  <si>
    <t>St Matia Mulumba Parish</t>
  </si>
  <si>
    <t>Singo</t>
  </si>
  <si>
    <t>Kasirivu Hamis</t>
  </si>
  <si>
    <t>Catherine Aloikin</t>
  </si>
  <si>
    <t>Siisa</t>
  </si>
  <si>
    <t>kitende</t>
  </si>
  <si>
    <t>Makandwa</t>
  </si>
  <si>
    <t>UG-CEN-1505-1112</t>
  </si>
  <si>
    <t>Ntake - Geza Farm</t>
  </si>
  <si>
    <t>Geza</t>
  </si>
  <si>
    <t>UG-CEN-1505-1114</t>
  </si>
  <si>
    <t>Mr Guma</t>
  </si>
  <si>
    <t>UG-CEN-1402-2825</t>
  </si>
  <si>
    <t>Badru  Sseruwo</t>
  </si>
  <si>
    <t>Kitimbwa</t>
  </si>
  <si>
    <t>UG-CEN-1402-2841</t>
  </si>
  <si>
    <t>Nabirye  Dorothy</t>
  </si>
  <si>
    <t>UG-CEN-1505-1202</t>
  </si>
  <si>
    <t>Byakatonda Patrick</t>
  </si>
  <si>
    <t>Nakiggalala</t>
  </si>
  <si>
    <t>Kitende</t>
  </si>
  <si>
    <t>UG-CEN-1505-216</t>
  </si>
  <si>
    <t>Dr Mbuza Francis</t>
  </si>
  <si>
    <t>Kisimbiri</t>
  </si>
  <si>
    <t>Kyoga</t>
  </si>
  <si>
    <t>UG-CEN-1505-629</t>
  </si>
  <si>
    <t>Alunga Patrick</t>
  </si>
  <si>
    <t>Entebbe Municipality</t>
  </si>
  <si>
    <t>Nalugala</t>
  </si>
  <si>
    <t>UG-CEN-1505-631</t>
  </si>
  <si>
    <t>Mrs Kawaga Justine</t>
  </si>
  <si>
    <t>UG-CEN-1505-655</t>
  </si>
  <si>
    <t>Bamutiire Gerald</t>
  </si>
  <si>
    <t>UG-CEN-1506-10158</t>
  </si>
  <si>
    <t>John Genda Walala</t>
  </si>
  <si>
    <t>Wilfred Mubiru</t>
  </si>
  <si>
    <t>Katalemwa</t>
  </si>
  <si>
    <t>Kaddu Joyce</t>
  </si>
  <si>
    <t>Wazemba Allen</t>
  </si>
  <si>
    <t>UG-CEN-1506-1124</t>
  </si>
  <si>
    <t>Dr Ngamwa</t>
  </si>
  <si>
    <t>Muyenga</t>
  </si>
  <si>
    <t>Fr Kakooza</t>
  </si>
  <si>
    <t>Kamengo</t>
  </si>
  <si>
    <t>Ggoli seta</t>
  </si>
  <si>
    <t>UG-CEN-1506-142</t>
  </si>
  <si>
    <t>Wanambwa Samson Nanambwa</t>
  </si>
  <si>
    <t>UG-CEN-1506-215</t>
  </si>
  <si>
    <t>Nakyembe Gertrude</t>
  </si>
  <si>
    <t>Mugulu Zone</t>
  </si>
  <si>
    <t>UG-CEN-1506-657</t>
  </si>
  <si>
    <t>Nabanja Christine</t>
  </si>
  <si>
    <t>Mwase Musitafa (Dalia)</t>
  </si>
  <si>
    <t>Kasanja</t>
  </si>
  <si>
    <t>Yiga Fred</t>
  </si>
  <si>
    <t>Gwafu</t>
  </si>
  <si>
    <t>UG-CEN-1507-644</t>
  </si>
  <si>
    <t>Tiruhuga Teresifol</t>
  </si>
  <si>
    <t>Kiboga West</t>
  </si>
  <si>
    <t>Kamukanga</t>
  </si>
  <si>
    <t>UG-CEN-1402-3504</t>
  </si>
  <si>
    <t>Ssolongo  Ssemanda Hernan</t>
  </si>
  <si>
    <t>UG-CEN-1507-652</t>
  </si>
  <si>
    <t>Naluyange Florence</t>
  </si>
  <si>
    <t>Matugga-mabanda</t>
  </si>
  <si>
    <t>Father Ziwa Andrew</t>
  </si>
  <si>
    <t>UG-CEN-1507-658</t>
  </si>
  <si>
    <t>Teresa Baryomunsi</t>
  </si>
  <si>
    <t>Lubowa-Nfufu</t>
  </si>
  <si>
    <t>UG-CEN-1507-841</t>
  </si>
  <si>
    <t>Kyazze Lusambya Ronnie</t>
  </si>
  <si>
    <t>kawolo</t>
  </si>
  <si>
    <t>MECOD Enterprises</t>
  </si>
  <si>
    <t>Joseph Lubega</t>
  </si>
  <si>
    <t>Kabuusu</t>
  </si>
  <si>
    <t>Katumba George</t>
  </si>
  <si>
    <t>Kabojja</t>
  </si>
  <si>
    <t>UG-CEN-1508-155</t>
  </si>
  <si>
    <t>Ssebuggwawo Antonio</t>
  </si>
  <si>
    <t>Mayanja Geofrey</t>
  </si>
  <si>
    <t>Mukono T/C</t>
  </si>
  <si>
    <t>Nandu</t>
  </si>
  <si>
    <t>DEK</t>
  </si>
  <si>
    <t>UG-CEN-1508-1608</t>
  </si>
  <si>
    <t>Ssekitoleko Godfrey</t>
  </si>
  <si>
    <t>Bulela</t>
  </si>
  <si>
    <t>UG-CEN-1508-1610</t>
  </si>
  <si>
    <t>Musoke Lubega Benjamin</t>
  </si>
  <si>
    <t>kitetika</t>
  </si>
  <si>
    <t>UG-CEN-1508-1611</t>
  </si>
  <si>
    <t>Rev Wasswa</t>
  </si>
  <si>
    <t>Malagala</t>
  </si>
  <si>
    <t>UG-CEN-1402-3890</t>
  </si>
  <si>
    <t>Besweri  Musoke</t>
  </si>
  <si>
    <t>UG-CEN-1508-1612</t>
  </si>
  <si>
    <t>Mrs Sebuliba</t>
  </si>
  <si>
    <t>UG-CEN-1508-1613</t>
  </si>
  <si>
    <t>Prof Peter Nayeya</t>
  </si>
  <si>
    <t>Kabagola</t>
  </si>
  <si>
    <t>UG-CEN-1508-646</t>
  </si>
  <si>
    <t>Balasebanya Felesiane</t>
  </si>
  <si>
    <t>UG-CEN-1508-649</t>
  </si>
  <si>
    <t>Mwesigye Saul</t>
  </si>
  <si>
    <t>Namasa</t>
  </si>
  <si>
    <t>UG-CEN-1508-651</t>
  </si>
  <si>
    <t>Kibuuka Jamusi</t>
  </si>
  <si>
    <t>Sisa</t>
  </si>
  <si>
    <t>Nakawuuka</t>
  </si>
  <si>
    <t>UG-CEN-1508-653</t>
  </si>
  <si>
    <t>Charles Case</t>
  </si>
  <si>
    <t>Bukeka-Mirembe</t>
  </si>
  <si>
    <t>UG-CEN-1508-654</t>
  </si>
  <si>
    <t>Ssemmanzi Ssemond Joseph</t>
  </si>
  <si>
    <t>Nakawa Div</t>
  </si>
  <si>
    <t>Lukwago Robert</t>
  </si>
  <si>
    <t>UG-CEN-1508-704</t>
  </si>
  <si>
    <t>Mwesigwa Richard</t>
  </si>
  <si>
    <t>Mawugulu</t>
  </si>
  <si>
    <t>Mpiima Godfrey</t>
  </si>
  <si>
    <t>Wakiso Busiro</t>
  </si>
  <si>
    <t>Wakiso TC</t>
  </si>
  <si>
    <t>Mpunga</t>
  </si>
  <si>
    <t>UG-CEN-1509-1067</t>
  </si>
  <si>
    <t>Kigonya Mugula Christopher</t>
  </si>
  <si>
    <t>Nammere</t>
  </si>
  <si>
    <t>UG-CEN-1509-1070</t>
  </si>
  <si>
    <t>Bugembe Daniel</t>
  </si>
  <si>
    <t>Maya Bujaasi</t>
  </si>
  <si>
    <t>UG-CEN-1509-1204</t>
  </si>
  <si>
    <t>Hajji Hassan Semujju Karule</t>
  </si>
  <si>
    <t>Gombe TC</t>
  </si>
  <si>
    <t>UG-CEN-1509-1205</t>
  </si>
  <si>
    <t>Kasibante Livingstone</t>
  </si>
  <si>
    <t>Buyondo B</t>
  </si>
  <si>
    <t>UG-CEN-1402-4400</t>
  </si>
  <si>
    <t>Slyvia    Masiga</t>
  </si>
  <si>
    <t>UG-CEN-1402-4402</t>
  </si>
  <si>
    <t>Cleophas   Mubaha</t>
  </si>
  <si>
    <t>Nabbaale 1</t>
  </si>
  <si>
    <t>UG-CEN-1509-153</t>
  </si>
  <si>
    <t>Byaruhanga Edward</t>
  </si>
  <si>
    <t>Ndaggwe Kyeyagalire</t>
  </si>
  <si>
    <t>Kyeyagalire</t>
  </si>
  <si>
    <t>Wanambwa Joseph</t>
  </si>
  <si>
    <t>Naziggo</t>
  </si>
  <si>
    <t>UG-CEN-1509-1614</t>
  </si>
  <si>
    <t>Dr Walter Okwello Peter</t>
  </si>
  <si>
    <t>UG-CEN-1509-1617</t>
  </si>
  <si>
    <t>Ssentamu George</t>
  </si>
  <si>
    <t>Gyokolera</t>
  </si>
  <si>
    <t>UG-CEN-1402-4489</t>
  </si>
  <si>
    <t>Failed to get feeds for the start</t>
  </si>
  <si>
    <t>Robert  Kigozi</t>
  </si>
  <si>
    <t>Saza</t>
  </si>
  <si>
    <t>UG-CEN-1509-1701</t>
  </si>
  <si>
    <t>Sebunya Twaliki</t>
  </si>
  <si>
    <t>RECOIL</t>
  </si>
  <si>
    <t>UG-CEN-1509-3415</t>
  </si>
  <si>
    <t>Rutwama Moses</t>
  </si>
  <si>
    <t>Kasimbiri</t>
  </si>
  <si>
    <t>Kyaga</t>
  </si>
  <si>
    <t>UG-CEN-1509-659</t>
  </si>
  <si>
    <t>Mrswamala Allen</t>
  </si>
  <si>
    <t>Maluge</t>
  </si>
  <si>
    <t>UG-CEN-1509-667</t>
  </si>
  <si>
    <t>Nampewo Faith (Kirinya)</t>
  </si>
  <si>
    <t>Kyaggise</t>
  </si>
  <si>
    <t>Wabulege</t>
  </si>
  <si>
    <t>UG-CEN-1509-671</t>
  </si>
  <si>
    <t>Drkisuule Muhammad (Plant 1)</t>
  </si>
  <si>
    <t>Maganjo</t>
  </si>
  <si>
    <t>UG-CEN-1510-01619</t>
  </si>
  <si>
    <t>Kayiza Margret</t>
  </si>
  <si>
    <t>UG-CEN-1510-1068</t>
  </si>
  <si>
    <t>Agnes And Moses Dhatemwa</t>
  </si>
  <si>
    <t>UG-CEN-1510-1071</t>
  </si>
  <si>
    <t>Kirimanywa Bajunga Zelda</t>
  </si>
  <si>
    <t>Kitogo</t>
  </si>
  <si>
    <t>UG-CEN-1510-1206</t>
  </si>
  <si>
    <t>Pr Kigguli</t>
  </si>
  <si>
    <t xml:space="preserve">Mawokota </t>
  </si>
  <si>
    <t>UG-CEN-1510-1207</t>
  </si>
  <si>
    <t>Ndibadukirawa Solomon</t>
  </si>
  <si>
    <t>Mpenja</t>
  </si>
  <si>
    <t>Kanziira</t>
  </si>
  <si>
    <t>Charles Kitengesa</t>
  </si>
  <si>
    <t>Kitengesa</t>
  </si>
  <si>
    <t>UG-CEN-1510-1625</t>
  </si>
  <si>
    <t>Naluyange Oliver</t>
  </si>
  <si>
    <t>UG-CEN-1510-1626</t>
  </si>
  <si>
    <t>Jimmy K Habumugisha</t>
  </si>
  <si>
    <t>Nimwesiga Allan</t>
  </si>
  <si>
    <t>Butesasira Kaloli</t>
  </si>
  <si>
    <t>Magezi Andrew</t>
  </si>
  <si>
    <t>Bulyanzige</t>
  </si>
  <si>
    <t>UG-CEN-1511-1210</t>
  </si>
  <si>
    <t>Kyakamala Matia</t>
  </si>
  <si>
    <t>Kalodo</t>
  </si>
  <si>
    <t>UG-CEN-1511-1211</t>
  </si>
  <si>
    <t>Nakitende Cissy</t>
  </si>
  <si>
    <t>Kyakalagi Kisaga</t>
  </si>
  <si>
    <t>UG-CEN-1511-1212</t>
  </si>
  <si>
    <t>Kavulu Joseph Rogers</t>
  </si>
  <si>
    <t>Maya-Bukomye</t>
  </si>
  <si>
    <t>Mrs susan Rukwago</t>
  </si>
  <si>
    <t>UG-CEN-1511-1627</t>
  </si>
  <si>
    <t>Prof Steven Nyanzi</t>
  </si>
  <si>
    <t>UG-CEN-1402-5350</t>
  </si>
  <si>
    <t>James  Lubega</t>
  </si>
  <si>
    <t>Semuto</t>
  </si>
  <si>
    <t>Wabikokoma</t>
  </si>
  <si>
    <t>UG-CEN-1402-5382</t>
  </si>
  <si>
    <t>Senyanja  Emmanuel</t>
  </si>
  <si>
    <t>Luwuuna</t>
  </si>
  <si>
    <t>UG-CEN-1511-1702</t>
  </si>
  <si>
    <t>Mukalazi Swaibu</t>
  </si>
  <si>
    <t>Kitanda</t>
  </si>
  <si>
    <t>Ntuuma</t>
  </si>
  <si>
    <t>UG-CEN-1402-5389</t>
  </si>
  <si>
    <t>Ssemaganda  Julius</t>
  </si>
  <si>
    <t>Bukirimbo</t>
  </si>
  <si>
    <t>UG-CEN-1511-1704</t>
  </si>
  <si>
    <t>Lukwago Davis</t>
  </si>
  <si>
    <t>Kiira TC</t>
  </si>
  <si>
    <t>Kamuli A</t>
  </si>
  <si>
    <t>Mukwaya John Baptist</t>
  </si>
  <si>
    <t>Kaleemala Julius Kayemba</t>
  </si>
  <si>
    <t>Samalia</t>
  </si>
  <si>
    <t>UG-CEN-1511-3418</t>
  </si>
  <si>
    <t>Mrs Kyandondo Nakatude</t>
  </si>
  <si>
    <t>UG-CEN-1511-664</t>
  </si>
  <si>
    <t>Kisozi Bonny</t>
  </si>
  <si>
    <t>Malindi Estate</t>
  </si>
  <si>
    <t>UG-CEN-1511-665</t>
  </si>
  <si>
    <t>Matovu George</t>
  </si>
  <si>
    <t>UG-CEN-1403-3841</t>
  </si>
  <si>
    <t>Client changed the digester into a water tank</t>
  </si>
  <si>
    <t>Sylvia   Nakato</t>
  </si>
  <si>
    <t>UG-CEN-1511-705</t>
  </si>
  <si>
    <t>Ojangole Valentine</t>
  </si>
  <si>
    <t>Kiyunga</t>
  </si>
  <si>
    <t>UG-CEN-1512-00707</t>
  </si>
  <si>
    <t>Godfrey Musisi</t>
  </si>
  <si>
    <t>UG-CEN-1512-01074</t>
  </si>
  <si>
    <t>Kezo Andrew</t>
  </si>
  <si>
    <t>Kakiri TC</t>
  </si>
  <si>
    <t>Sebbi</t>
  </si>
  <si>
    <t>UG-CEN-1512-1079</t>
  </si>
  <si>
    <t>Ssali Israel</t>
  </si>
  <si>
    <t>Kalawami</t>
  </si>
  <si>
    <t>UG-CEN-1403-4426</t>
  </si>
  <si>
    <t xml:space="preserve">Rosemary  Ngaya </t>
  </si>
  <si>
    <t>Mulajje</t>
  </si>
  <si>
    <t>UG-CEN-1512-1089</t>
  </si>
  <si>
    <t>Sr Nakato Angelina</t>
  </si>
  <si>
    <t>Busiro North</t>
  </si>
  <si>
    <t>UG-CEN-1403-5193</t>
  </si>
  <si>
    <t>Lack of waste for feeding</t>
  </si>
  <si>
    <t>Beyinda   Musoke</t>
  </si>
  <si>
    <t>UG-CEN-1512-1090</t>
  </si>
  <si>
    <t>Kasozi Andrew</t>
  </si>
  <si>
    <t>UG-CEN-1512-1213</t>
  </si>
  <si>
    <t>Munyagwa Ronald</t>
  </si>
  <si>
    <t>UG-CEN-1512-1628</t>
  </si>
  <si>
    <t>Ntenge Andrew</t>
  </si>
  <si>
    <t>UG-CEN-1512-1640</t>
  </si>
  <si>
    <t>Harriet Nabayengo</t>
  </si>
  <si>
    <t>UG-CEN-1512-1710</t>
  </si>
  <si>
    <t>Ssekungu A</t>
  </si>
  <si>
    <t>Bukomansimbi TC</t>
  </si>
  <si>
    <t>Kyanakibi</t>
  </si>
  <si>
    <t>Mr kiggundu Peter</t>
  </si>
  <si>
    <t>Kabula</t>
  </si>
  <si>
    <t>Kooki</t>
  </si>
  <si>
    <t>Kyamuyonga</t>
  </si>
  <si>
    <t>RUKUNGIRI MASON’S  DEVELOPMENT ASSOCIATION (RMDA)</t>
  </si>
  <si>
    <t>UG-CEN-1512-672</t>
  </si>
  <si>
    <t>Ssekizivu Deo</t>
  </si>
  <si>
    <t>Mubende TC (Katabalanga)</t>
  </si>
  <si>
    <t>UG-CEN-1406-3399</t>
  </si>
  <si>
    <t>Willy  Kiku</t>
  </si>
  <si>
    <t>Baitababiri-Nkumba</t>
  </si>
  <si>
    <t>UG-CEN-1512-706</t>
  </si>
  <si>
    <t>Pr Sam Kasule</t>
  </si>
  <si>
    <t>UG-CEN-1512-708</t>
  </si>
  <si>
    <t>Ronald Kasule</t>
  </si>
  <si>
    <t>UG-CEN-1512-709</t>
  </si>
  <si>
    <t>Nkonge Benon</t>
  </si>
  <si>
    <t>UG-CEN-1512-711</t>
  </si>
  <si>
    <t>Byamugisha Jackie</t>
  </si>
  <si>
    <t>Kanyogoga-Bukasa</t>
  </si>
  <si>
    <t>Katamba Moses</t>
  </si>
  <si>
    <t>Rwemiyaga</t>
  </si>
  <si>
    <t>Kakinga</t>
  </si>
  <si>
    <t>UG-CEN-1601-1063</t>
  </si>
  <si>
    <t>Mukwaba Nicholas</t>
  </si>
  <si>
    <t>Jjoggo</t>
  </si>
  <si>
    <t>Balunzi Tereza</t>
  </si>
  <si>
    <t>Sempijja Paul</t>
  </si>
  <si>
    <t>Kibanga</t>
  </si>
  <si>
    <t>Ssetubba Vicent</t>
  </si>
  <si>
    <t>Kooki kilisizo</t>
  </si>
  <si>
    <t>Kanya</t>
  </si>
  <si>
    <t>Tabonya Charles</t>
  </si>
  <si>
    <t>Nakibizi</t>
  </si>
  <si>
    <t>Kibuuka Robert Herbert</t>
  </si>
  <si>
    <t>UG-CEN-1601-1642</t>
  </si>
  <si>
    <t>Kibirige Abdul</t>
  </si>
  <si>
    <t>Butawuka</t>
  </si>
  <si>
    <t>UG-CEN-1601-1643</t>
  </si>
  <si>
    <t>Nabankema Resty</t>
  </si>
  <si>
    <t>Sekalongo Kaddu Zeddekiya</t>
  </si>
  <si>
    <t>Bikongo</t>
  </si>
  <si>
    <t>UG-CEN-1601-223</t>
  </si>
  <si>
    <t>Kyaguranyi David</t>
  </si>
  <si>
    <t>Kashagama</t>
  </si>
  <si>
    <t>Katebe</t>
  </si>
  <si>
    <t>UG-CEN-1601-4303</t>
  </si>
  <si>
    <t>Ssemakula Paul</t>
  </si>
  <si>
    <t>Kawempe North</t>
  </si>
  <si>
    <t>MUTAX</t>
  </si>
  <si>
    <t>UG-CEN-1601-710</t>
  </si>
  <si>
    <t>Ssensano Adams</t>
  </si>
  <si>
    <t>Bukomba</t>
  </si>
  <si>
    <t>UG-CEN-1601-713</t>
  </si>
  <si>
    <t>Mubiru James</t>
  </si>
  <si>
    <t>UG-CEN-1411-102</t>
  </si>
  <si>
    <t>Dr Mayega</t>
  </si>
  <si>
    <t>Ndegeya</t>
  </si>
  <si>
    <t>UG-CEN-1601-714</t>
  </si>
  <si>
    <t>Kavuma Dannis</t>
  </si>
  <si>
    <t>UG-CEN-1602-00172</t>
  </si>
  <si>
    <t>Serwawudde Daniel</t>
  </si>
  <si>
    <t>Kawempe Div</t>
  </si>
  <si>
    <t>Komamboga</t>
  </si>
  <si>
    <t>UG-CEN-1602-07254</t>
  </si>
  <si>
    <t>Kenjoy Supermarket</t>
  </si>
  <si>
    <t>Busembe</t>
  </si>
  <si>
    <t>Crestanks Limited</t>
  </si>
  <si>
    <t>UG-CEN-1602-1092</t>
  </si>
  <si>
    <t>Serubiri David</t>
  </si>
  <si>
    <t>Kyadondo</t>
  </si>
  <si>
    <t>UG-CEN-1602-1222</t>
  </si>
  <si>
    <t>Tamuzadde Esawo</t>
  </si>
  <si>
    <t>Njagi</t>
  </si>
  <si>
    <t>UG-CEN-1602-1223</t>
  </si>
  <si>
    <t>Ssenyodo Matia</t>
  </si>
  <si>
    <t>UG-CEN-1602-1225</t>
  </si>
  <si>
    <t>Sekate Robert</t>
  </si>
  <si>
    <t>Ndibata</t>
  </si>
  <si>
    <t>UG-CEN-1602-1645</t>
  </si>
  <si>
    <t>Ssempala Vivian</t>
  </si>
  <si>
    <t>Stella</t>
  </si>
  <si>
    <t>Nassali Petronilla</t>
  </si>
  <si>
    <t>Butale A</t>
  </si>
  <si>
    <t>Nawaguma Irene</t>
  </si>
  <si>
    <t>Kabwama</t>
  </si>
  <si>
    <t>Rotary Vijana Poa Constructions</t>
  </si>
  <si>
    <t>Ssewanyana Henry</t>
  </si>
  <si>
    <t xml:space="preserve">256756015922/256702990518 </t>
  </si>
  <si>
    <t>Katooke</t>
  </si>
  <si>
    <t>UG-CEN-1603-01227</t>
  </si>
  <si>
    <t>Ntanda Paschal Baylon</t>
  </si>
  <si>
    <t>Mwawokota North</t>
  </si>
  <si>
    <t>Kittojo</t>
  </si>
  <si>
    <t>UG-CEN-1603-07269</t>
  </si>
  <si>
    <t>Tugumisirize Jothan</t>
  </si>
  <si>
    <t>Mukono North</t>
  </si>
  <si>
    <t>Namiyanzi</t>
  </si>
  <si>
    <t>UG-CEN-1603-1226</t>
  </si>
  <si>
    <t>Nabisere Rose Mary Violet</t>
  </si>
  <si>
    <t>Simon Kintu</t>
  </si>
  <si>
    <t>Lubowa</t>
  </si>
  <si>
    <t>Tugume Charles</t>
  </si>
  <si>
    <t>Mitimikali A</t>
  </si>
  <si>
    <t>Josephine Lwanga</t>
  </si>
  <si>
    <t>Namata Teddy</t>
  </si>
  <si>
    <t>Kabaseke</t>
  </si>
  <si>
    <t>UG-CEN-1603-176</t>
  </si>
  <si>
    <t>Kabiito Ssalongo</t>
  </si>
  <si>
    <t>Mutukula</t>
  </si>
  <si>
    <t>Mutukula A</t>
  </si>
  <si>
    <t>UG-CEN-1604-00169</t>
  </si>
  <si>
    <t>Ssenyondo Frank</t>
  </si>
  <si>
    <t>kayirikiti A</t>
  </si>
  <si>
    <t>UG-CEN-1501-449</t>
  </si>
  <si>
    <t>Katamba Kalala</t>
  </si>
  <si>
    <t>Karyango Kintu</t>
  </si>
  <si>
    <t>Kiwanga</t>
  </si>
  <si>
    <t>UG-CEN-1501-504</t>
  </si>
  <si>
    <t>More than one plant in the household</t>
  </si>
  <si>
    <t>Ssentamu Charles Plant 1</t>
  </si>
  <si>
    <t>Maya Mpilingisa</t>
  </si>
  <si>
    <t>Dr Kansime</t>
  </si>
  <si>
    <t>UG-CEN-1604-06851</t>
  </si>
  <si>
    <t>Kuteesa Bekosi</t>
  </si>
  <si>
    <t>Kabuula</t>
  </si>
  <si>
    <t>Byakajuka</t>
  </si>
  <si>
    <t>Kyemamba A</t>
  </si>
  <si>
    <t>UG-CEN-1604-07453</t>
  </si>
  <si>
    <t>Mukasa  Francis</t>
  </si>
  <si>
    <t>Sabagaho</t>
  </si>
  <si>
    <t>Kabowa</t>
  </si>
  <si>
    <t>Kaitaita Ivan</t>
  </si>
  <si>
    <t>UG-CEN-1604-07455</t>
  </si>
  <si>
    <t>Mzee Mawejje Moses</t>
  </si>
  <si>
    <t>Wakulukuku</t>
  </si>
  <si>
    <t>UG-CEN-1604-07456</t>
  </si>
  <si>
    <t>Nsereko Christopher Ssajjabi</t>
  </si>
  <si>
    <t>Wankulukuku</t>
  </si>
  <si>
    <t>UG-CEN-1604-1228</t>
  </si>
  <si>
    <t>Ssekamatte Fortunate</t>
  </si>
  <si>
    <t>Lusaga</t>
  </si>
  <si>
    <t>UG-CEN-1501-5825</t>
  </si>
  <si>
    <t>Yiga Charles</t>
  </si>
  <si>
    <t>Kayemba Richard</t>
  </si>
  <si>
    <t>Lukaaya</t>
  </si>
  <si>
    <t>Bunjako Posiano</t>
  </si>
  <si>
    <t>UG-CEN-1501-604</t>
  </si>
  <si>
    <t>Talwana Bucha Nathan</t>
  </si>
  <si>
    <t>Kibanda</t>
  </si>
  <si>
    <t>Kataleba</t>
  </si>
  <si>
    <t>Josephine A kaleebi</t>
  </si>
  <si>
    <t>UG-CEN-1604-167</t>
  </si>
  <si>
    <t>Ssemanda George Willy</t>
  </si>
  <si>
    <t>Kimanya Kyabakuza</t>
  </si>
  <si>
    <t>Kimanya A</t>
  </si>
  <si>
    <t>UG-CEN-1604-4682</t>
  </si>
  <si>
    <t>Kyeyune Peter</t>
  </si>
  <si>
    <t>Lwanda</t>
  </si>
  <si>
    <t>Prime Renewable Energy Consult (PREC)</t>
  </si>
  <si>
    <t>UG-CEN-1605-01254</t>
  </si>
  <si>
    <t>Kavuuya Barbara</t>
  </si>
  <si>
    <t>Kaniiro</t>
  </si>
  <si>
    <t>UG-CEN-1605-02527</t>
  </si>
  <si>
    <t>Ssalongo Yiga Idore (Plant 3)</t>
  </si>
  <si>
    <t>Not commissioned</t>
  </si>
  <si>
    <t>Emanuel  Kiwanuka</t>
  </si>
  <si>
    <t>UG-CEN-1502-4403</t>
  </si>
  <si>
    <t>Zefaniya  Lusebeya</t>
  </si>
  <si>
    <t>Kasenge A</t>
  </si>
  <si>
    <t>UG-CEN-1605-03458</t>
  </si>
  <si>
    <t>Byamukama Benon</t>
  </si>
  <si>
    <t>Mayindo</t>
  </si>
  <si>
    <t>UG-CEN-1605-06853</t>
  </si>
  <si>
    <t>Nakazzi Prossy</t>
  </si>
  <si>
    <t>UG-CEN-1502-5184</t>
  </si>
  <si>
    <t>Lameck  Nkanga</t>
  </si>
  <si>
    <t>Kikaya A</t>
  </si>
  <si>
    <t>UG-CEN-1605-07451</t>
  </si>
  <si>
    <t>Nankanja Esther Beatrice</t>
  </si>
  <si>
    <t>UG-CEN-1605-1230</t>
  </si>
  <si>
    <t>Kasule Vicent</t>
  </si>
  <si>
    <t>Katusomazikita</t>
  </si>
  <si>
    <t>UG-CEN-1605-1231</t>
  </si>
  <si>
    <t>Saaku Robert</t>
  </si>
  <si>
    <t>Kasanga</t>
  </si>
  <si>
    <t>UG-CEN-1605-1233</t>
  </si>
  <si>
    <t>Nabweteme Rosemary</t>
  </si>
  <si>
    <t>UG-CEN-1605-1234</t>
  </si>
  <si>
    <t>Nampeera Kavuma Teddy</t>
  </si>
  <si>
    <t>Nyendo-senyanga</t>
  </si>
  <si>
    <t>Senyanga</t>
  </si>
  <si>
    <t>Kiyemba Francis</t>
  </si>
  <si>
    <t>UG-CEN-1606-173</t>
  </si>
  <si>
    <t>Wanyama Wilberforce</t>
  </si>
  <si>
    <t>Kabulo</t>
  </si>
  <si>
    <t>UG-CEN-1606-178</t>
  </si>
  <si>
    <t>Anatoli Ssenyange</t>
  </si>
  <si>
    <t>UG-CEN-1606-4281</t>
  </si>
  <si>
    <t>Asaba Awebwa  Lawlence</t>
  </si>
  <si>
    <t>Lulamba</t>
  </si>
  <si>
    <t>UG-CEN-1607-00718</t>
  </si>
  <si>
    <t>Alysiuos Mugumya</t>
  </si>
  <si>
    <t>Ddundu- Namulaba</t>
  </si>
  <si>
    <t>UG-CEN-1607-07465</t>
  </si>
  <si>
    <t>Ssemwogerere David(Plant1)</t>
  </si>
  <si>
    <t>Kikenena</t>
  </si>
  <si>
    <t>Bukoho</t>
  </si>
  <si>
    <t>Lubanda</t>
  </si>
  <si>
    <t>UG-CEN-1503-607</t>
  </si>
  <si>
    <t>Ssenvuma Lenzeni</t>
  </si>
  <si>
    <t>UG-CEN-1608-00175</t>
  </si>
  <si>
    <t>Kalyango John</t>
  </si>
  <si>
    <t>UG-CEN-1503-612</t>
  </si>
  <si>
    <t>Asaph K Kasibwe</t>
  </si>
  <si>
    <t>Kikoloto A</t>
  </si>
  <si>
    <t>UG-CEN-1608-00715</t>
  </si>
  <si>
    <t>Nankindu Prosperous (Dr)</t>
  </si>
  <si>
    <t>wakiso</t>
  </si>
  <si>
    <t>Nakuwadde-Bulenga</t>
  </si>
  <si>
    <t>UG-CEN-1608-01242</t>
  </si>
  <si>
    <t>Kazibwe Steven</t>
  </si>
  <si>
    <t>Bujja</t>
  </si>
  <si>
    <t>UG-CEN-1503-617</t>
  </si>
  <si>
    <t>Isaac Ssendegeya</t>
  </si>
  <si>
    <t>kiboga West</t>
  </si>
  <si>
    <t>UG-CEN-1503-621</t>
  </si>
  <si>
    <t>Mugunga Freddie Emmanuel</t>
  </si>
  <si>
    <t>UG-CEN-1503-624</t>
  </si>
  <si>
    <t>Mary Kevin Nursery And Primary School(Plant 1)</t>
  </si>
  <si>
    <t>Lweza B</t>
  </si>
  <si>
    <t>UG-CEN-1608-03463</t>
  </si>
  <si>
    <t>Musisi Vicent</t>
  </si>
  <si>
    <t>Mukono central</t>
  </si>
  <si>
    <t>UG-CEN-1608-1235</t>
  </si>
  <si>
    <t>Nakasala Joseph</t>
  </si>
  <si>
    <t>Katiti</t>
  </si>
  <si>
    <t>UG-CEN-1504-1021</t>
  </si>
  <si>
    <t>Digester vandalised</t>
  </si>
  <si>
    <t>Jota Stephen</t>
  </si>
  <si>
    <t>Mwezi</t>
  </si>
  <si>
    <t>Nakageta</t>
  </si>
  <si>
    <t>UG-CEN-1504-1022</t>
  </si>
  <si>
    <t>Habaasa Gregory Kabuza</t>
  </si>
  <si>
    <t>Budanieli</t>
  </si>
  <si>
    <t>UG-CEN-1608-1237</t>
  </si>
  <si>
    <t>Kikomeko David</t>
  </si>
  <si>
    <t>Nsamizi-Namilyango</t>
  </si>
  <si>
    <t>UG-CEN-1608-1240</t>
  </si>
  <si>
    <t>Lule Lawrence</t>
  </si>
  <si>
    <t>Mawogola North</t>
  </si>
  <si>
    <t>Lugusuulu</t>
  </si>
  <si>
    <t>Nyakibaale</t>
  </si>
  <si>
    <t>UG-CEN-1608-1241</t>
  </si>
  <si>
    <t>Nujalazi Mubiru Martin</t>
  </si>
  <si>
    <t>Kabale-Luteete</t>
  </si>
  <si>
    <t>Wanyama Goloba Joseph</t>
  </si>
  <si>
    <t>Nabaale</t>
  </si>
  <si>
    <t>Makukuba</t>
  </si>
  <si>
    <t>UG-CEN-1608-4301</t>
  </si>
  <si>
    <t>Namunkere Agro-Processing Industries (Plant 1)</t>
  </si>
  <si>
    <t xml:space="preserve">Kapeeka </t>
  </si>
  <si>
    <t>UG-CEN-1504-126</t>
  </si>
  <si>
    <t>Kelesi Nakanjako</t>
  </si>
  <si>
    <t>UG-CEN-1609-06852</t>
  </si>
  <si>
    <t>Nakidde Nakimera Sanyu Robina</t>
  </si>
  <si>
    <t>Kagologolo</t>
  </si>
  <si>
    <t>UG-CEN-1609-07452</t>
  </si>
  <si>
    <t>Hajati Mariam Nabukeera</t>
  </si>
  <si>
    <t>Kawempe 1</t>
  </si>
  <si>
    <t>Kelizalawo zone</t>
  </si>
  <si>
    <t>UG-CEN-1609-0960</t>
  </si>
  <si>
    <t>Karema Becker</t>
  </si>
  <si>
    <t>Karisizo</t>
  </si>
  <si>
    <t>Timothy Napagi Augustine</t>
  </si>
  <si>
    <t>Gayaza kyetume</t>
  </si>
  <si>
    <t>UG-CEN-1610-00720</t>
  </si>
  <si>
    <t>Ssebuliba Richard Mutumba</t>
  </si>
  <si>
    <t>UG-CEN-1504-619</t>
  </si>
  <si>
    <t>Ssembogga Ronald</t>
  </si>
  <si>
    <t>Kitabona West</t>
  </si>
  <si>
    <t>UG-CEN-1504-620</t>
  </si>
  <si>
    <t>Mrsssewankambo Fortunate</t>
  </si>
  <si>
    <t>UG-CEN-1610-00722</t>
  </si>
  <si>
    <t>Mugisha -Twine Samuel</t>
  </si>
  <si>
    <t>Busiro east</t>
  </si>
  <si>
    <t>UG-CEN-1504-703</t>
  </si>
  <si>
    <t>Emmy Matovu</t>
  </si>
  <si>
    <t>Jinja - Karoli</t>
  </si>
  <si>
    <t>UG-CEN-1610-01247</t>
  </si>
  <si>
    <t>Kemigabo Judith</t>
  </si>
  <si>
    <t>Kambuwega</t>
  </si>
  <si>
    <t>kambuwega</t>
  </si>
  <si>
    <t>Lutande</t>
  </si>
  <si>
    <t>No manpower to feed digester</t>
  </si>
  <si>
    <t>Dr Mwanje</t>
  </si>
  <si>
    <t>kawempe division</t>
  </si>
  <si>
    <t>KawempeTula</t>
  </si>
  <si>
    <t>Patrick Katimbo</t>
  </si>
  <si>
    <t>Kikiri</t>
  </si>
  <si>
    <t>Bukalage</t>
  </si>
  <si>
    <t>UG-CEN-1610-02705</t>
  </si>
  <si>
    <t>Tumwesigye Lawrence</t>
  </si>
  <si>
    <t>Lukala</t>
  </si>
  <si>
    <t>UG-CEN-1610-03462</t>
  </si>
  <si>
    <t>Ssebiranda Richard</t>
  </si>
  <si>
    <t>Zigoti</t>
  </si>
  <si>
    <t>Namasenene</t>
  </si>
  <si>
    <t>UG-CEN-1610-03465</t>
  </si>
  <si>
    <t>Wamala Muhamada</t>
  </si>
  <si>
    <t>UG-CEN-1610-03466</t>
  </si>
  <si>
    <t>Christine Muhereza</t>
  </si>
  <si>
    <t>Kitto Magere</t>
  </si>
  <si>
    <t>UG-CEN-1610-03467</t>
  </si>
  <si>
    <t>Lusinge Charles</t>
  </si>
  <si>
    <t>Natonko</t>
  </si>
  <si>
    <t>UG-CEN-1610-06353</t>
  </si>
  <si>
    <t>Senyondo Frank</t>
  </si>
  <si>
    <t>Kiwanyizi</t>
  </si>
  <si>
    <t>UG-CEN-1611-00719</t>
  </si>
  <si>
    <t>Kateregga Charles Kiweewa</t>
  </si>
  <si>
    <t>Kizinda</t>
  </si>
  <si>
    <t>UG-CEN-1611-00721</t>
  </si>
  <si>
    <t>Birungi Eva</t>
  </si>
  <si>
    <t>Nansana Municipality</t>
  </si>
  <si>
    <t>Kabulengwa</t>
  </si>
  <si>
    <t>UG-CEN-1611-01245</t>
  </si>
  <si>
    <t>Luwandaga Livingstone</t>
  </si>
  <si>
    <t>Kabuye</t>
  </si>
  <si>
    <t>UG-CEN-1611-01248</t>
  </si>
  <si>
    <t>Kibombo Patrick</t>
  </si>
  <si>
    <t>Rwemilyega</t>
  </si>
  <si>
    <t>Kasamba B</t>
  </si>
  <si>
    <t>UG-CEN-1611-01249</t>
  </si>
  <si>
    <t>Bashali Steven</t>
  </si>
  <si>
    <t>Rwandagaga</t>
  </si>
  <si>
    <t>UG-CEN-1611-01250</t>
  </si>
  <si>
    <t>Kyeswa Everest</t>
  </si>
  <si>
    <t>UG-CEN-1611-01251</t>
  </si>
  <si>
    <t>Bakka Edward</t>
  </si>
  <si>
    <t>Mamokato North</t>
  </si>
  <si>
    <t>Sakabusolo</t>
  </si>
  <si>
    <t>UG-CEN-1611-02502</t>
  </si>
  <si>
    <t>Gayaza High School Plant 1</t>
  </si>
  <si>
    <t>Kasangati TC</t>
  </si>
  <si>
    <t>Ssemugoma Godfrey</t>
  </si>
  <si>
    <t>Busigye</t>
  </si>
  <si>
    <t>Bira</t>
  </si>
  <si>
    <t>UG-CEN-1611-03464</t>
  </si>
  <si>
    <t>Nabatanzi Bena</t>
  </si>
  <si>
    <t>UG-CEN-1612-01252</t>
  </si>
  <si>
    <t>Kibyamuwesi Ponny</t>
  </si>
  <si>
    <t>Kabamera</t>
  </si>
  <si>
    <t>Busense</t>
  </si>
  <si>
    <t>UG-CEN-1612-02501</t>
  </si>
  <si>
    <t>Sk Dairy Forum</t>
  </si>
  <si>
    <t>Namusimbi</t>
  </si>
  <si>
    <t>UG-CEN-1612-02503</t>
  </si>
  <si>
    <t>Gayaza High School Plant 2</t>
  </si>
  <si>
    <t>kasagati TC</t>
  </si>
  <si>
    <t>Ssenoga Babra</t>
  </si>
  <si>
    <t>Sumbwe</t>
  </si>
  <si>
    <t>UG-CEN-1612-02708</t>
  </si>
  <si>
    <t>Kizibaziba Vicent</t>
  </si>
  <si>
    <t>Kawempe Division</t>
  </si>
  <si>
    <t>UG-CEN-1612-06355</t>
  </si>
  <si>
    <t>Namirembe Margaret</t>
  </si>
  <si>
    <t>wakoba</t>
  </si>
  <si>
    <t>UG-CEN-1701-01664</t>
  </si>
  <si>
    <t>Bossa Henry</t>
  </si>
  <si>
    <t>Kalagi Zone C</t>
  </si>
  <si>
    <t>Mukasa Moses</t>
  </si>
  <si>
    <t>Nkegerwa</t>
  </si>
  <si>
    <t>UG-CEN-1701-06901</t>
  </si>
  <si>
    <t>Nsubuga Justice Kigoonya</t>
  </si>
  <si>
    <t>Kyaddondo North</t>
  </si>
  <si>
    <t>Nabona Justine</t>
  </si>
  <si>
    <t>Mukungwa</t>
  </si>
  <si>
    <t>Kawugi</t>
  </si>
  <si>
    <t>UG-CEN-1702-00179</t>
  </si>
  <si>
    <t>Nagayi Rosemary</t>
  </si>
  <si>
    <t>Malonga A</t>
  </si>
  <si>
    <t>Mr Jingo</t>
  </si>
  <si>
    <t>Mpande</t>
  </si>
  <si>
    <t>UG-CEN-1702-03472</t>
  </si>
  <si>
    <t>Kamanyire Eimim</t>
  </si>
  <si>
    <t>Mubende Municipality</t>
  </si>
  <si>
    <t>South Division</t>
  </si>
  <si>
    <t>Kalenguliro</t>
  </si>
  <si>
    <t>UG-CEN-1703-00724</t>
  </si>
  <si>
    <t>Luwaga Bonny Bawamu</t>
  </si>
  <si>
    <t>UG-CEN-1703-01257</t>
  </si>
  <si>
    <t>Mugisha John</t>
  </si>
  <si>
    <t>UG-CEN-1703-01665</t>
  </si>
  <si>
    <t>Kobusingye Jesca</t>
  </si>
  <si>
    <t xml:space="preserve">Bukasa </t>
  </si>
  <si>
    <t>Ochola Steven</t>
  </si>
  <si>
    <t>Mutungo Biina</t>
  </si>
  <si>
    <t>UG-CEN-1508-645</t>
  </si>
  <si>
    <t>Kasanvu Joseph</t>
  </si>
  <si>
    <t>singo</t>
  </si>
  <si>
    <t>Kiboga TC</t>
  </si>
  <si>
    <t>Kabutemba</t>
  </si>
  <si>
    <t>UG-CEN-1703-03471</t>
  </si>
  <si>
    <t xml:space="preserve">Kwebiha Mary </t>
  </si>
  <si>
    <t>Kyeguloso</t>
  </si>
  <si>
    <t>UG-CEN-1703-03473</t>
  </si>
  <si>
    <t>Mugisa Robert</t>
  </si>
  <si>
    <t>UG-CEN-1704-00723</t>
  </si>
  <si>
    <t>Mukasa Michael</t>
  </si>
  <si>
    <t>33. 4146</t>
  </si>
  <si>
    <t>UG-CEN-1704-00725</t>
  </si>
  <si>
    <t>Lugoloobi  Lawrence</t>
  </si>
  <si>
    <t>Nsambwa</t>
  </si>
  <si>
    <t>UG-CEN-1704-00727</t>
  </si>
  <si>
    <t>Arnold Bagubwagye</t>
  </si>
  <si>
    <t>Katikamu North</t>
  </si>
  <si>
    <t>UG-CEN-1508-670</t>
  </si>
  <si>
    <t>Ssenoga John Bosco</t>
  </si>
  <si>
    <t>Ssumbwe (Bulaga)</t>
  </si>
  <si>
    <t>UG-CEN-1704-06350</t>
  </si>
  <si>
    <t>Nahirwe Prudence</t>
  </si>
  <si>
    <t>Bamwanika</t>
  </si>
  <si>
    <t>Bugema</t>
  </si>
  <si>
    <t>UG-CEN-1704-07100</t>
  </si>
  <si>
    <t>Kaddu David</t>
  </si>
  <si>
    <t>Nukirebe</t>
  </si>
  <si>
    <t>UG-CEN-1705-001181</t>
  </si>
  <si>
    <t>Nakanwagi Florence</t>
  </si>
  <si>
    <t>Rakia</t>
  </si>
  <si>
    <t>Rakia Town council</t>
  </si>
  <si>
    <t>Kibona A</t>
  </si>
  <si>
    <t>UG-CEN-1705-06951</t>
  </si>
  <si>
    <t>Kabalega Emmanuel</t>
  </si>
  <si>
    <t>UG-CEN-1705-07052</t>
  </si>
  <si>
    <t>Kiwanuka Layer</t>
  </si>
  <si>
    <t>Kyaliwajala</t>
  </si>
  <si>
    <t>UG-CEN-1705-07053</t>
  </si>
  <si>
    <t>Kateregga Joseph</t>
  </si>
  <si>
    <t>Kyambizi</t>
  </si>
  <si>
    <t>UG-CEN-1706-06351</t>
  </si>
  <si>
    <t>Nabulya Teopista</t>
  </si>
  <si>
    <t>UG-CEN-1706-06858</t>
  </si>
  <si>
    <t>Kimera Godfrey Chairman</t>
  </si>
  <si>
    <t>Bwengye Herbert</t>
  </si>
  <si>
    <t>Rwetimba</t>
  </si>
  <si>
    <t>UG-CEN-1706-06902</t>
  </si>
  <si>
    <t>Nichola Wiire</t>
  </si>
  <si>
    <t>Namwezi</t>
  </si>
  <si>
    <t>UG-CEN-1706-3377</t>
  </si>
  <si>
    <t>Matia  Segujja</t>
  </si>
  <si>
    <t>UG-CEN-1707-02701</t>
  </si>
  <si>
    <t>Nkeretanyi Christine Joy</t>
  </si>
  <si>
    <t>Namagoma</t>
  </si>
  <si>
    <t>UG-CEN-1707-06903</t>
  </si>
  <si>
    <t xml:space="preserve">Ndagire Kiwanuka Jackie </t>
  </si>
  <si>
    <t>Nakapinyi</t>
  </si>
  <si>
    <t>Namatogonya</t>
  </si>
  <si>
    <t>UG-CEN-1707-06904</t>
  </si>
  <si>
    <t>Katashaya Lee Godfrey</t>
  </si>
  <si>
    <t>Kyankima</t>
  </si>
  <si>
    <t>UG-CEN-1707-07054</t>
  </si>
  <si>
    <t>Ntaganda Livingstone</t>
  </si>
  <si>
    <t>Kiterrede</t>
  </si>
  <si>
    <t>UG-CEN-1707-07055</t>
  </si>
  <si>
    <t>Mukiibi David  Byekwaso</t>
  </si>
  <si>
    <t>UG-CEN-1707-07056</t>
  </si>
  <si>
    <t>Nkamushaba Gad</t>
  </si>
  <si>
    <t>0.321053,</t>
  </si>
  <si>
    <t>Mawogola</t>
  </si>
  <si>
    <t>Rwebitakuli</t>
  </si>
  <si>
    <t>Lwendezi</t>
  </si>
  <si>
    <t>UG-CEN-1707-07058</t>
  </si>
  <si>
    <t>Kafeero Grace</t>
  </si>
  <si>
    <t>Mbuye</t>
  </si>
  <si>
    <t>UG-CEN-1707-07060</t>
  </si>
  <si>
    <t>Kaggwa sam</t>
  </si>
  <si>
    <t>Butanga</t>
  </si>
  <si>
    <t>UG-CEN-1708-06799</t>
  </si>
  <si>
    <t>Ruhweza RACO  Akiiki</t>
  </si>
  <si>
    <t>UG-CEN-1708-06905</t>
  </si>
  <si>
    <t xml:space="preserve">Nakanyike Shamim </t>
  </si>
  <si>
    <t>Kakiri Town Council</t>
  </si>
  <si>
    <t>Bukalango</t>
  </si>
  <si>
    <t>UG-CEN-1708-06907</t>
  </si>
  <si>
    <t>Tinkamanyire Jackson Mpiira</t>
  </si>
  <si>
    <t>Bukoto 2</t>
  </si>
  <si>
    <t>UG-CEN-1708-06915</t>
  </si>
  <si>
    <t>Sendagire Edgar Kaggwa</t>
  </si>
  <si>
    <t>Lubaga Division</t>
  </si>
  <si>
    <t>Nateete Church Zone</t>
  </si>
  <si>
    <t>UG-CEN-1708-06917</t>
  </si>
  <si>
    <t>Nangobi Zau Blessing</t>
  </si>
  <si>
    <t>Wakisi Division</t>
  </si>
  <si>
    <t>Naluwerere</t>
  </si>
  <si>
    <t>Kikamaze  James</t>
  </si>
  <si>
    <t>UG-CEN-1708-06918</t>
  </si>
  <si>
    <t xml:space="preserve">Zziwa Denis </t>
  </si>
  <si>
    <t>UG-CEN-1708-06922</t>
  </si>
  <si>
    <t xml:space="preserve">Kiconco Doris </t>
  </si>
  <si>
    <t>Lukoma</t>
  </si>
  <si>
    <t>UG-CEN-1708-06923</t>
  </si>
  <si>
    <t>Mpanga Wilson</t>
  </si>
  <si>
    <t>Busiro south</t>
  </si>
  <si>
    <t>Bubebbere</t>
  </si>
  <si>
    <t>UG-CEN-1708-06926</t>
  </si>
  <si>
    <t>Waliggo Deo</t>
  </si>
  <si>
    <t>Kajjansi T/C</t>
  </si>
  <si>
    <t>Nkungulutale</t>
  </si>
  <si>
    <t>UG-CEN-1708-06954</t>
  </si>
  <si>
    <t>Ssenungi Lumbuye David</t>
  </si>
  <si>
    <t>Ggaba</t>
  </si>
  <si>
    <t>Kawuku</t>
  </si>
  <si>
    <t>UG-CEN-1708-06955</t>
  </si>
  <si>
    <t>Katumba Saul George</t>
  </si>
  <si>
    <t>Bwanya</t>
  </si>
  <si>
    <t>UG-CEN-1708-06966</t>
  </si>
  <si>
    <t>Joan Kakwenzire</t>
  </si>
  <si>
    <t>UG-CEN-1708-06967</t>
  </si>
  <si>
    <t>Phoebe Muatte</t>
  </si>
  <si>
    <t>Kayunga Town council</t>
  </si>
  <si>
    <t>Nakayanja Pauline</t>
  </si>
  <si>
    <t>Magije</t>
  </si>
  <si>
    <t>UG-CEN-1708-07059</t>
  </si>
  <si>
    <t>Lukyamuzi Farooq</t>
  </si>
  <si>
    <t>Kyabalesa</t>
  </si>
  <si>
    <t>UG-CEN-1708-07064</t>
  </si>
  <si>
    <t>Hajji Bukenya Musa</t>
  </si>
  <si>
    <t>Lusaalira</t>
  </si>
  <si>
    <t>UG-CEN-1708-09688</t>
  </si>
  <si>
    <t>Nodic Investments Limited</t>
  </si>
  <si>
    <t>UG-CEN-1708-17061</t>
  </si>
  <si>
    <t>Mushabe Solomon</t>
  </si>
  <si>
    <t>UG-CEN-1709-06291</t>
  </si>
  <si>
    <t>Mayanja Kitaka Nathaniel</t>
  </si>
  <si>
    <t>Kiboga East</t>
  </si>
  <si>
    <t>Kiboga T/C</t>
  </si>
  <si>
    <t>Luwunga A</t>
  </si>
  <si>
    <t>UG-CEN-1709-06761</t>
  </si>
  <si>
    <t>Charles Matembe Kabanda</t>
  </si>
  <si>
    <t>Kakumiro</t>
  </si>
  <si>
    <t>Bugangari</t>
  </si>
  <si>
    <t>Mpasana</t>
  </si>
  <si>
    <t>M&amp;B Engineers Biogas and Conserve Nature</t>
  </si>
  <si>
    <t>UG-CEN-1709-06850</t>
  </si>
  <si>
    <t>Nalongo Kitimbo(Katimbo Nakayita Mary)</t>
  </si>
  <si>
    <t>UG-CEN-1511-666</t>
  </si>
  <si>
    <t>Mr&amp; Mrskivumbi David</t>
  </si>
  <si>
    <t>Gwaffu</t>
  </si>
  <si>
    <t>UG-CEN-1709-06906</t>
  </si>
  <si>
    <t xml:space="preserve">Kiyingi Bbosa David </t>
  </si>
  <si>
    <t>Bubiro</t>
  </si>
  <si>
    <t>UG-CEN-1709-06908</t>
  </si>
  <si>
    <t>Seluyinza Kayombya John</t>
  </si>
  <si>
    <t>Lugazi</t>
  </si>
  <si>
    <t>Luyanzi</t>
  </si>
  <si>
    <t>UG-CEN-1709-06909</t>
  </si>
  <si>
    <t>Kiwanuka John Mutumba</t>
  </si>
  <si>
    <t>Lwamata T/C</t>
  </si>
  <si>
    <t>Lunya</t>
  </si>
  <si>
    <t>UG-CEN-1709-06910</t>
  </si>
  <si>
    <t>Ssemakula Asaph Muyinda</t>
  </si>
  <si>
    <t>Kyaddodo East</t>
  </si>
  <si>
    <t>Kasangati T/C</t>
  </si>
  <si>
    <t>Ggayaaza B</t>
  </si>
  <si>
    <t>UG-CEN-1709-06911</t>
  </si>
  <si>
    <t>Matovu Joseph</t>
  </si>
  <si>
    <t>Malalangala</t>
  </si>
  <si>
    <t>Kabagolo</t>
  </si>
  <si>
    <t>UG-CEN-1709-06912</t>
  </si>
  <si>
    <t>Hajji Kazibwe Abasi Musisi</t>
  </si>
  <si>
    <t>UG-CEN-1709-06914</t>
  </si>
  <si>
    <t>Nantongo Kiwanuka Joyce</t>
  </si>
  <si>
    <t>Busaasa</t>
  </si>
  <si>
    <t>Senkungu Charles</t>
  </si>
  <si>
    <t>UG-CEN-1709-06919</t>
  </si>
  <si>
    <t>Sonko Ayubu Waswa</t>
  </si>
  <si>
    <t>Kawempe Div.</t>
  </si>
  <si>
    <t>Lugoba</t>
  </si>
  <si>
    <t>UG-CEN-1709-06920</t>
  </si>
  <si>
    <t>Kamulegeya  Hajati</t>
  </si>
  <si>
    <t>UG-CEN-1709-06928</t>
  </si>
  <si>
    <t>Kayiwa Simon</t>
  </si>
  <si>
    <t>UG-CEN-1709-06956</t>
  </si>
  <si>
    <t>Ogarnics Kasuku</t>
  </si>
  <si>
    <t>Ssissa</t>
  </si>
  <si>
    <t>Ngongolo</t>
  </si>
  <si>
    <t>UG-CEN-1709-06960</t>
  </si>
  <si>
    <t>Kabanda Joshua</t>
  </si>
  <si>
    <t>UG-CEN-1709-06969</t>
  </si>
  <si>
    <t>Wafula Charles</t>
  </si>
  <si>
    <t>Kabawala</t>
  </si>
  <si>
    <t>UG-CEN-1709-07062</t>
  </si>
  <si>
    <t>Kawagga Aidah</t>
  </si>
  <si>
    <t>Bubbale</t>
  </si>
  <si>
    <t>UG-CEN-1709-07063</t>
  </si>
  <si>
    <t>Sebunya Tom</t>
  </si>
  <si>
    <t>Buyinja</t>
  </si>
  <si>
    <t>UG-CEN-1709-07066</t>
  </si>
  <si>
    <t>Kiwala Fred</t>
  </si>
  <si>
    <t>Kiboga east</t>
  </si>
  <si>
    <t>Buwanga</t>
  </si>
  <si>
    <t>Jokero</t>
  </si>
  <si>
    <t>UG-CEN-1709-07078</t>
  </si>
  <si>
    <t>Muwonge Charles</t>
  </si>
  <si>
    <t>Bukakata</t>
  </si>
  <si>
    <t>Kayugi</t>
  </si>
  <si>
    <t>UG-CEN-1709-07277</t>
  </si>
  <si>
    <t xml:space="preserve">Kasiita James </t>
  </si>
  <si>
    <t xml:space="preserve">Wakiso county </t>
  </si>
  <si>
    <t>UG-CEN-1709-07461</t>
  </si>
  <si>
    <t>Hajji Nsamba Muhammed</t>
  </si>
  <si>
    <t>UG-CEN-1710-06356</t>
  </si>
  <si>
    <t>Mukasa Barbara</t>
  </si>
  <si>
    <t>UG-CEN-1710-06361</t>
  </si>
  <si>
    <t>Good Leisure Farm</t>
  </si>
  <si>
    <t xml:space="preserve">
0.396903 </t>
  </si>
  <si>
    <t>Najeera</t>
  </si>
  <si>
    <t>UG-CEN-1710-06363</t>
  </si>
  <si>
    <t>Matovu John Baptist</t>
  </si>
  <si>
    <t>Kira t.c</t>
  </si>
  <si>
    <t>Mbabazi Pather</t>
  </si>
  <si>
    <t>Kiyiila</t>
  </si>
  <si>
    <t>Kitukutye</t>
  </si>
  <si>
    <t>UG-CEN-1710-06859</t>
  </si>
  <si>
    <t>Ssaali Hajji Meddy</t>
  </si>
  <si>
    <t>Matete</t>
  </si>
  <si>
    <t>Kikaaya</t>
  </si>
  <si>
    <t>UG-CEN-1710-06925</t>
  </si>
  <si>
    <t>Sekidde Moses</t>
  </si>
  <si>
    <t>Semyungu-Kagogo</t>
  </si>
  <si>
    <t>UG-CEN-1710-06932</t>
  </si>
  <si>
    <t>Habyarimana Dodo Joseph</t>
  </si>
  <si>
    <t>Nambi</t>
  </si>
  <si>
    <t>Mawanda Alex</t>
  </si>
  <si>
    <t>Ttowa A</t>
  </si>
  <si>
    <t>UG-CEN-1710-06936</t>
  </si>
  <si>
    <t>Ssemirembe Richard Sepiria</t>
  </si>
  <si>
    <t>Buvuma</t>
  </si>
  <si>
    <t>Buvuma T/c</t>
  </si>
  <si>
    <t>UG-CEN-1710-06964</t>
  </si>
  <si>
    <t>Arimpa Robert</t>
  </si>
  <si>
    <t>UG-CEN-1710-07069</t>
  </si>
  <si>
    <t>Kizito Lenon</t>
  </si>
  <si>
    <t>UG-CEN-1710-07071</t>
  </si>
  <si>
    <t>Kiiza Herbert</t>
  </si>
  <si>
    <t>Mityana Tc</t>
  </si>
  <si>
    <t>Buwunda</t>
  </si>
  <si>
    <t>UG-CEN-1710-07072</t>
  </si>
  <si>
    <t>Bagwiire Fred</t>
  </si>
  <si>
    <t>Golola</t>
  </si>
  <si>
    <t>UG-CEN-1710-07075</t>
  </si>
  <si>
    <t>Kitimbo Linda Yiga</t>
  </si>
  <si>
    <t>Kamusogonya</t>
  </si>
  <si>
    <t>UG-CEN-1710-07102</t>
  </si>
  <si>
    <t>Kiwanuka William</t>
  </si>
  <si>
    <t>UG-CEN-1710-07103</t>
  </si>
  <si>
    <t>BMZ - GLS Project Farm</t>
  </si>
  <si>
    <t>Mawokota South</t>
  </si>
  <si>
    <t>Mpondwe</t>
  </si>
  <si>
    <t>UG-CEN-1710-07468</t>
  </si>
  <si>
    <t>Josephine Nattema</t>
  </si>
  <si>
    <t>UG-CEN-1710-09683</t>
  </si>
  <si>
    <t xml:space="preserve">Zebra Graphics Limited </t>
  </si>
  <si>
    <t>703433122/754433122</t>
  </si>
  <si>
    <t>UG-CEN-1710-9679</t>
  </si>
  <si>
    <t>Hasahya Musa</t>
  </si>
  <si>
    <t>UG-CEN-1711-06033</t>
  </si>
  <si>
    <t>Ssese Farm Institute</t>
  </si>
  <si>
    <t>Butumba</t>
  </si>
  <si>
    <t>Kizzi</t>
  </si>
  <si>
    <t>Needs repairs</t>
  </si>
  <si>
    <t>Mugabo Godson</t>
  </si>
  <si>
    <t>Lugusulu</t>
  </si>
  <si>
    <t>Kyabi</t>
  </si>
  <si>
    <t>UG-CEN-1711-06927</t>
  </si>
  <si>
    <t>Nansereko Ssekyondwa Suzan</t>
  </si>
  <si>
    <t>Kajjansi T/c</t>
  </si>
  <si>
    <t>UG-CEN-1711-06934</t>
  </si>
  <si>
    <t>Mbubi Ssalongo Daniel</t>
  </si>
  <si>
    <t>Kyamuswa</t>
  </si>
  <si>
    <t>Bufumira</t>
  </si>
  <si>
    <t>UG-CEN-1711-07067</t>
  </si>
  <si>
    <t>Dr. Mugagga Frank</t>
  </si>
  <si>
    <t>Kasengejje</t>
  </si>
  <si>
    <t>UG-CEN-1602-717</t>
  </si>
  <si>
    <t>Alyaka Farmers</t>
  </si>
  <si>
    <t>Kira TC</t>
  </si>
  <si>
    <t>UG-CEN-1711-07068</t>
  </si>
  <si>
    <t>Kabigumira Arthur</t>
  </si>
  <si>
    <t>Danya</t>
  </si>
  <si>
    <t>UG-CEN-1711-07070</t>
  </si>
  <si>
    <t>Ssimbwa Tendo Alex</t>
  </si>
  <si>
    <t>Senene</t>
  </si>
  <si>
    <t>UG-CEN-1603-02711</t>
  </si>
  <si>
    <t>2 plants in one household</t>
  </si>
  <si>
    <t>Akello Caroline Ruth (Plant 2)</t>
  </si>
  <si>
    <t>Sistema Biobolsa</t>
  </si>
  <si>
    <t>UG-CEN-1711-1003</t>
  </si>
  <si>
    <t>Semugoma Jane</t>
  </si>
  <si>
    <t>Makindye South</t>
  </si>
  <si>
    <t>UG-CEN-1712-022354</t>
  </si>
  <si>
    <t xml:space="preserve">Kabugo Fred </t>
  </si>
  <si>
    <t>0752421429</t>
  </si>
  <si>
    <t>0772886120</t>
  </si>
  <si>
    <t>Busirosouth</t>
  </si>
  <si>
    <t>Gganjo</t>
  </si>
  <si>
    <t>BUSUULWA GEORGE</t>
  </si>
  <si>
    <t>UG-CEN-1603-164</t>
  </si>
  <si>
    <t>Tumwiine Jimmy</t>
  </si>
  <si>
    <t>Busumbi</t>
  </si>
  <si>
    <t>UG-CEN-1712-06358</t>
  </si>
  <si>
    <t>Rachkra Paul</t>
  </si>
  <si>
    <t>seeta</t>
  </si>
  <si>
    <t>Mukono Municipal</t>
  </si>
  <si>
    <t>UG-CEN-1712-06591</t>
  </si>
  <si>
    <t>Kashungyera Lawrence</t>
  </si>
  <si>
    <t>Naama</t>
  </si>
  <si>
    <t>Biogas Masons Enterprises Ltd (BIOMEL)</t>
  </si>
  <si>
    <t>UG-CEN-1712-06610</t>
  </si>
  <si>
    <t>Godfrey Kasirivu</t>
  </si>
  <si>
    <t>UG-CEN-1712-06930</t>
  </si>
  <si>
    <t>Kaddu Kiberu</t>
  </si>
  <si>
    <t>UG-CEN-1712-06931</t>
  </si>
  <si>
    <t>Hajji Kasoma Isihaka</t>
  </si>
  <si>
    <t>Ngabo Lukomera LC1</t>
  </si>
  <si>
    <t>UG-CEN-1712-06935</t>
  </si>
  <si>
    <t>Nsubuga Small Vincent</t>
  </si>
  <si>
    <t>34.1307962</t>
  </si>
  <si>
    <t>Buvuma island</t>
  </si>
  <si>
    <t>Busamuzi</t>
  </si>
  <si>
    <t>Bukaayo</t>
  </si>
  <si>
    <t>UG-CEN-1712-06968</t>
  </si>
  <si>
    <t>Josephine Kaleebi</t>
  </si>
  <si>
    <t>Kira Municipality</t>
  </si>
  <si>
    <t>Kira central division</t>
  </si>
  <si>
    <t>UG-CEN-1712-07073</t>
  </si>
  <si>
    <t>Sendikadiwa Christopher</t>
  </si>
  <si>
    <t>Kkona</t>
  </si>
  <si>
    <t>UG-CEN-1604-07450</t>
  </si>
  <si>
    <t>Kizza Beatrice</t>
  </si>
  <si>
    <t>UG-CEN-1712-07074</t>
  </si>
  <si>
    <t>Katongole Joseph Salongo</t>
  </si>
  <si>
    <t>Lukwanga</t>
  </si>
  <si>
    <t>Jimbo</t>
  </si>
  <si>
    <t>UG-CEN-1712-07076</t>
  </si>
  <si>
    <t>Matovu Jane</t>
  </si>
  <si>
    <t>Katale</t>
  </si>
  <si>
    <t>UG-CEN-1712-07079</t>
  </si>
  <si>
    <t>Kamoga Paul</t>
  </si>
  <si>
    <t>Kisimbira</t>
  </si>
  <si>
    <t>UG-CEN-1604-07459</t>
  </si>
  <si>
    <t>Byamukama Richard</t>
  </si>
  <si>
    <t>Wakiso town council</t>
  </si>
  <si>
    <t>Namuseera</t>
  </si>
  <si>
    <t>UG-CEN-1604-07460</t>
  </si>
  <si>
    <t>Ssawajja Alex Arex</t>
  </si>
  <si>
    <t>Mbalwa</t>
  </si>
  <si>
    <t>Kamugasho Mathius</t>
  </si>
  <si>
    <t>Katikamu South</t>
  </si>
  <si>
    <t>UG-CEN-1712-07081</t>
  </si>
  <si>
    <t>Kazibwe Dan</t>
  </si>
  <si>
    <t>Kitaanga</t>
  </si>
  <si>
    <t>UG-CEN-1712-07082</t>
  </si>
  <si>
    <t>Kaakaba Fred</t>
  </si>
  <si>
    <t>Kitenya</t>
  </si>
  <si>
    <t>Bugoriti</t>
  </si>
  <si>
    <t>Nshengwe</t>
  </si>
  <si>
    <t>UG-CEN-1712-07083</t>
  </si>
  <si>
    <t>Mukasa Faith</t>
  </si>
  <si>
    <t>Kyoobe</t>
  </si>
  <si>
    <t>Lungujja</t>
  </si>
  <si>
    <t>UG-CEN-1712-07085</t>
  </si>
  <si>
    <t>Walugembe Aloysius</t>
  </si>
  <si>
    <t>Birongo</t>
  </si>
  <si>
    <t>UG-CEN-1712-07467</t>
  </si>
  <si>
    <t>Tamale Dickson</t>
  </si>
  <si>
    <t>31.343977</t>
  </si>
  <si>
    <t>Kyalulangira</t>
  </si>
  <si>
    <t>Lubuumba</t>
  </si>
  <si>
    <t>UG-CEN-1712-07854</t>
  </si>
  <si>
    <t>Sheema Charles</t>
  </si>
  <si>
    <t>Kigando</t>
  </si>
  <si>
    <t>Nkukuru</t>
  </si>
  <si>
    <t>UG-CEN-1712-08351</t>
  </si>
  <si>
    <t>Mukasa Ronald</t>
  </si>
  <si>
    <t>UG-CEN-1712-1011</t>
  </si>
  <si>
    <t>Kyeyune Stephen</t>
  </si>
  <si>
    <t>Mitala Maria</t>
  </si>
  <si>
    <t>UG-CEN-1712-124</t>
  </si>
  <si>
    <t>Major Kyaziza</t>
  </si>
  <si>
    <t>Kyaziza</t>
  </si>
  <si>
    <t>UG-CEN-1605-04304</t>
  </si>
  <si>
    <t>Ssalongo Yiga Isdore Plant 2</t>
  </si>
  <si>
    <t>UG-CEN-1605-06352</t>
  </si>
  <si>
    <t>Mugabi Erias</t>
  </si>
  <si>
    <t>Jjanyi</t>
  </si>
  <si>
    <t>Namatovu Seforoza</t>
  </si>
  <si>
    <t>BUDDU</t>
  </si>
  <si>
    <t>UG-CEN-1801-06359</t>
  </si>
  <si>
    <t>Atuhirwe Francis</t>
  </si>
  <si>
    <t>UG-CEN-1801-06360</t>
  </si>
  <si>
    <t>Mbiro Andrew</t>
  </si>
  <si>
    <t>UG-CEN-1801-06913</t>
  </si>
  <si>
    <t>Sentongo Ephraim Jackson</t>
  </si>
  <si>
    <t>Masuliita Tc</t>
  </si>
  <si>
    <t>UG-CEN-1605-1232</t>
  </si>
  <si>
    <t>Namazzi Eva</t>
  </si>
  <si>
    <t>Buyongo</t>
  </si>
  <si>
    <t>UG-CEN-1801-06938</t>
  </si>
  <si>
    <t>Sseruwagi Kezironi</t>
  </si>
  <si>
    <t xml:space="preserve">Katikamu North </t>
  </si>
  <si>
    <t>UG-CEN-1801-06943</t>
  </si>
  <si>
    <t>Sekandi Francis</t>
  </si>
  <si>
    <t>Jannet Kananura</t>
  </si>
  <si>
    <t>Jeluslam</t>
  </si>
  <si>
    <t>Barirema Joyce</t>
  </si>
  <si>
    <t>Kisamula</t>
  </si>
  <si>
    <t>UG-CEN-1801-06944</t>
  </si>
  <si>
    <t>Namukasa Rose Joan</t>
  </si>
  <si>
    <t>Katosi T/c</t>
  </si>
  <si>
    <t>Kalengeera</t>
  </si>
  <si>
    <t>UG-CEN-1801-06945</t>
  </si>
  <si>
    <t>Namata Betty</t>
  </si>
  <si>
    <t>UG-CEN-1801-06946</t>
  </si>
  <si>
    <t>Nakatongole Joan</t>
  </si>
  <si>
    <t>UG-CEN-1801-06947</t>
  </si>
  <si>
    <t>Nakafu Margaret</t>
  </si>
  <si>
    <t>Luyobyo</t>
  </si>
  <si>
    <t>Nnalongo Nyanzi</t>
  </si>
  <si>
    <t>UG-CEN-1801-06961</t>
  </si>
  <si>
    <t>Nakku Christine</t>
  </si>
  <si>
    <t>Ntennjeru</t>
  </si>
  <si>
    <t>Bukweya Lugazi</t>
  </si>
  <si>
    <t>UG-CEN-1801-07077</t>
  </si>
  <si>
    <t>Kalaama Fatuma</t>
  </si>
  <si>
    <t>UG-CEN-1801-07080</t>
  </si>
  <si>
    <t>Kayinza Justine</t>
  </si>
  <si>
    <t>Namusera</t>
  </si>
  <si>
    <t>UG-CEN-1801-07086</t>
  </si>
  <si>
    <t>Kakenda denis</t>
  </si>
  <si>
    <t>UG-CEN-1801-07087</t>
  </si>
  <si>
    <t>Nganda Yaferi</t>
  </si>
  <si>
    <t>UG-CEN-1801-07088</t>
  </si>
  <si>
    <t>Kizito yosiya</t>
  </si>
  <si>
    <t>Katabira</t>
  </si>
  <si>
    <t>UG-CEN-1801-07089</t>
  </si>
  <si>
    <t>Seguya Hajati</t>
  </si>
  <si>
    <t>Kyabadaaza</t>
  </si>
  <si>
    <t>UG-CEN-1801-07090</t>
  </si>
  <si>
    <t>Namuddu Franbea</t>
  </si>
  <si>
    <t>Ngendo</t>
  </si>
  <si>
    <t>UG-CEN-1801-07091</t>
  </si>
  <si>
    <t>Nassamula Madrine</t>
  </si>
  <si>
    <t>Butale</t>
  </si>
  <si>
    <t>UG-CEN-1801-07092</t>
  </si>
  <si>
    <t>Sebowa Joseph</t>
  </si>
  <si>
    <t>Ttaka Junge</t>
  </si>
  <si>
    <t>UG-CEN-1801-07093</t>
  </si>
  <si>
    <t>Nassaka Cissy</t>
  </si>
  <si>
    <t>UG-CEN-1801-07094</t>
  </si>
  <si>
    <t>Sempiira Fred</t>
  </si>
  <si>
    <t>UG-CEN-1801-07096</t>
  </si>
  <si>
    <t>Buligwanga Elijah</t>
  </si>
  <si>
    <t>UG-CEN-1801-07097</t>
  </si>
  <si>
    <t>Seremba Joshua</t>
  </si>
  <si>
    <t>Ttanga</t>
  </si>
  <si>
    <t>UG-CEN-1609-07454</t>
  </si>
  <si>
    <t>Nabaale Robinah</t>
  </si>
  <si>
    <t>UG-CEN-1801-07352</t>
  </si>
  <si>
    <t>Enid Ssebugawo</t>
  </si>
  <si>
    <t>UG-CEN-1801-1069</t>
  </si>
  <si>
    <t>Ngobi Kyomba Moses</t>
  </si>
  <si>
    <t>Bunyiri</t>
  </si>
  <si>
    <t>UG-CEN-1801-154</t>
  </si>
  <si>
    <t>Hajji Kazirwe</t>
  </si>
  <si>
    <t>Mr Kanabi Lworence</t>
  </si>
  <si>
    <t>UG-CEN-1610-01246</t>
  </si>
  <si>
    <t>Bagendawa Swaib</t>
  </si>
  <si>
    <t>Kiribedda</t>
  </si>
  <si>
    <t>UG-CEN-1801-4357</t>
  </si>
  <si>
    <t>Rossette Namawejje</t>
  </si>
  <si>
    <t>Sseta</t>
  </si>
  <si>
    <t>UG-CEN-1801-673</t>
  </si>
  <si>
    <t>Mbazira Coas</t>
  </si>
  <si>
    <t>Kitiko Mutungo central</t>
  </si>
  <si>
    <t>UG-CEN-1802-012706</t>
  </si>
  <si>
    <t>Nsubuga Muhamed</t>
  </si>
  <si>
    <t>Bukoto 1</t>
  </si>
  <si>
    <t>UG-CEN-1802-06862</t>
  </si>
  <si>
    <t>Nabuma Prossy Matron</t>
  </si>
  <si>
    <t>0.306950,</t>
  </si>
  <si>
    <t>UG-CEN-1802-06942</t>
  </si>
  <si>
    <t>Muhumuza Zenah</t>
  </si>
  <si>
    <t>Eastern Division</t>
  </si>
  <si>
    <t>Bukarugi</t>
  </si>
  <si>
    <t>UG-CEN-1802-06948</t>
  </si>
  <si>
    <t xml:space="preserve">John Samuel Kalibbala </t>
  </si>
  <si>
    <t>UG-CEN-1802-07099</t>
  </si>
  <si>
    <t>Lutaaya Joseph</t>
  </si>
  <si>
    <t>Miti Mikalu</t>
  </si>
  <si>
    <t>UG-CEN-1802-07105</t>
  </si>
  <si>
    <t>Buwule Francis</t>
  </si>
  <si>
    <t>UG-CEN-1802-07650</t>
  </si>
  <si>
    <t>Byabali Jacob</t>
  </si>
  <si>
    <t>Kabulasoke</t>
  </si>
  <si>
    <t>UG-CEN-1802-07651</t>
  </si>
  <si>
    <t>Ssewanyana Ponsiano Pascal</t>
  </si>
  <si>
    <t>Njala.B</t>
  </si>
  <si>
    <t>UG-CEN-1802-07652</t>
  </si>
  <si>
    <t>Bbaale Francisca</t>
  </si>
  <si>
    <t>Lusasa</t>
  </si>
  <si>
    <t>UG-CEN-1802-07653</t>
  </si>
  <si>
    <t>Muggagga Birimuye</t>
  </si>
  <si>
    <t>UG-CEN-1802-07655</t>
  </si>
  <si>
    <t>Kamulegeya Junior</t>
  </si>
  <si>
    <t>Nkalwe</t>
  </si>
  <si>
    <t>UG-CEN-1803-06768</t>
  </si>
  <si>
    <t xml:space="preserve">Tumwebaze Henry </t>
  </si>
  <si>
    <t>Kasabya</t>
  </si>
  <si>
    <t>UG-CEN-1803-07654</t>
  </si>
  <si>
    <t>Kayondo Damalie</t>
  </si>
  <si>
    <t>UG-CEN-1803-07656</t>
  </si>
  <si>
    <t>Ntale Alex</t>
  </si>
  <si>
    <t>Bumbwe</t>
  </si>
  <si>
    <t>UG-CEN-1803-07657</t>
  </si>
  <si>
    <t>Muwonge David</t>
  </si>
  <si>
    <t>kyotera</t>
  </si>
  <si>
    <t>Kigamba</t>
  </si>
  <si>
    <t>UG-CEN-1803-07658</t>
  </si>
  <si>
    <t>Kayabula Godfrey</t>
  </si>
  <si>
    <t>Kyanika</t>
  </si>
  <si>
    <t>UG-CEN-1803-07660</t>
  </si>
  <si>
    <t>Siboman George</t>
  </si>
  <si>
    <t>UG-CEN-1803-07662</t>
  </si>
  <si>
    <t>Kakumirizi Suleiman</t>
  </si>
  <si>
    <t>UG-CEN-1803-08352</t>
  </si>
  <si>
    <t>Ssemayaba Fred</t>
  </si>
  <si>
    <t>UG-CEN-1804-013451</t>
  </si>
  <si>
    <t>Naluyima Emma</t>
  </si>
  <si>
    <t>Bwelenga</t>
  </si>
  <si>
    <t>Biogas International Limited</t>
  </si>
  <si>
    <t>UG-CEN-1804-03470</t>
  </si>
  <si>
    <t>Ministry Limited Shalom Restoration</t>
  </si>
  <si>
    <t>Mitala Disan (Individual Mason)</t>
  </si>
  <si>
    <t>UG-CEN-1612-07250</t>
  </si>
  <si>
    <t>Harriet Ntulume Kiwanuka plant 1</t>
  </si>
  <si>
    <t>Karinga</t>
  </si>
  <si>
    <t>UG-CEN-1701-01255</t>
  </si>
  <si>
    <t>Bunya Joseph</t>
  </si>
  <si>
    <t>kawugi</t>
  </si>
  <si>
    <t>UG-CEN-1804-06376</t>
  </si>
  <si>
    <t>Jossete Zziwa Ssanyu</t>
  </si>
  <si>
    <t>Kasangati T.C</t>
  </si>
  <si>
    <t>Mrs Ssebana Kizito</t>
  </si>
  <si>
    <t>UG-CEN-1804-06779</t>
  </si>
  <si>
    <t>Isingoma I Geoffrey</t>
  </si>
  <si>
    <t>UG-CEN-1804-06959</t>
  </si>
  <si>
    <t>Najjuma Jjuuko Dorah</t>
  </si>
  <si>
    <t>Kilowoza</t>
  </si>
  <si>
    <t>UG-CEN-1804-06962</t>
  </si>
  <si>
    <t>Rural Development Youth Association For</t>
  </si>
  <si>
    <t>UG-CEN-1804-06970</t>
  </si>
  <si>
    <t>Primary School Kibirige Memorial</t>
  </si>
  <si>
    <t>Buhikwe south</t>
  </si>
  <si>
    <t>Kitenda</t>
  </si>
  <si>
    <t>UG-CEN-1804-07314</t>
  </si>
  <si>
    <t>Namatovu Milly Bukenya</t>
  </si>
  <si>
    <t>Malagala Emmanuel</t>
  </si>
  <si>
    <t>UG-CEN-1702-01256</t>
  </si>
  <si>
    <t>Repaired, feeding irregularly because she lost all her animals.</t>
  </si>
  <si>
    <t>Kasujja Teddy</t>
  </si>
  <si>
    <t>UG-CEN-1702-02710</t>
  </si>
  <si>
    <t>Nakayiza Merabu</t>
  </si>
  <si>
    <t>UG-CEN-1804-07661</t>
  </si>
  <si>
    <t>Kiwanuka Noah Doctor</t>
  </si>
  <si>
    <t>Lutaba</t>
  </si>
  <si>
    <t>UG-CEN-1804-07664</t>
  </si>
  <si>
    <t>Nuuwa Anthony Agnes</t>
  </si>
  <si>
    <t>UG-CEN-1804-07667</t>
  </si>
  <si>
    <t>Sserumpanise Ronald</t>
  </si>
  <si>
    <t>Lubanja</t>
  </si>
  <si>
    <t>UG-CEN-1804-07851</t>
  </si>
  <si>
    <t>Eresu Barugahara Daisy</t>
  </si>
  <si>
    <t>Kira Town council</t>
  </si>
  <si>
    <t>UG-CEN-1804-07855</t>
  </si>
  <si>
    <t>Sserwada Jane</t>
  </si>
  <si>
    <t>Gonve</t>
  </si>
  <si>
    <t>Mugabi Susan Samuel</t>
  </si>
  <si>
    <t>UG-CEN-1804-08353</t>
  </si>
  <si>
    <t>Mushaija John</t>
  </si>
  <si>
    <t>Rwaniro</t>
  </si>
  <si>
    <t>Nyakatiti</t>
  </si>
  <si>
    <t>UG-CEN-1805-012701</t>
  </si>
  <si>
    <t>Sekizibu Henry</t>
  </si>
  <si>
    <t>Kiwuka</t>
  </si>
  <si>
    <t>Bututi</t>
  </si>
  <si>
    <t>UG-CEN-1703-06965</t>
  </si>
  <si>
    <t>Hellen Mugarura</t>
  </si>
  <si>
    <t>UG-CEN-1805-012704</t>
  </si>
  <si>
    <t>Kiggundu William</t>
  </si>
  <si>
    <t>UG-CEN-1805-013452</t>
  </si>
  <si>
    <t>Kiguli Herbert</t>
  </si>
  <si>
    <t>Kabumbi East 1 zone</t>
  </si>
  <si>
    <t>UG-CEN-1805-06941</t>
  </si>
  <si>
    <t>Kawuki Joseph</t>
  </si>
  <si>
    <t>Muttambwa</t>
  </si>
  <si>
    <t>UG-CEN-1704-01258</t>
  </si>
  <si>
    <t>Namugwanya Mugunya Judith</t>
  </si>
  <si>
    <t>Lumegere</t>
  </si>
  <si>
    <t>Kazooba</t>
  </si>
  <si>
    <t>Nakhokho George William</t>
  </si>
  <si>
    <t>Eastern Region</t>
  </si>
  <si>
    <t>Bududa</t>
  </si>
  <si>
    <t>Manjiya</t>
  </si>
  <si>
    <t>Bushika</t>
  </si>
  <si>
    <t>Shebumba</t>
  </si>
  <si>
    <t>ELGON RENEWABLE ENERGY ASSOCIATION (EREA)</t>
  </si>
  <si>
    <t>UG-CEN-1805-06973</t>
  </si>
  <si>
    <t>Zawedde Teo</t>
  </si>
  <si>
    <t>Nsanja</t>
  </si>
  <si>
    <t>UG-CEN-1805-07666</t>
  </si>
  <si>
    <t>Semugera Fred Kato</t>
  </si>
  <si>
    <t>Wakiso Tc</t>
  </si>
  <si>
    <t>UG-CEN-1704-09225</t>
  </si>
  <si>
    <t>Angina Charles</t>
  </si>
  <si>
    <t>Busuma</t>
  </si>
  <si>
    <t>UG-CEN-1805-07668</t>
  </si>
  <si>
    <t>Mugabi Steven</t>
  </si>
  <si>
    <t>UG-CEN-1705-06365</t>
  </si>
  <si>
    <t>Serebe John</t>
  </si>
  <si>
    <t>Natete</t>
  </si>
  <si>
    <t>UG-CEN-1806-012705</t>
  </si>
  <si>
    <t>Hajji Mwebe Idrisa</t>
  </si>
  <si>
    <t>Busire</t>
  </si>
  <si>
    <t xml:space="preserve">Kasengejje </t>
  </si>
  <si>
    <t>masonry</t>
  </si>
  <si>
    <t>UG-CEN-1705-06952</t>
  </si>
  <si>
    <t>Rwebanda Anthony</t>
  </si>
  <si>
    <t>Bulonde</t>
  </si>
  <si>
    <t>UG-CEN-1806-013402</t>
  </si>
  <si>
    <t>Kyobe Justine</t>
  </si>
  <si>
    <t>752681730/ 704278001</t>
  </si>
  <si>
    <t>Central region</t>
  </si>
  <si>
    <t>UG-CEN-1806-06860</t>
  </si>
  <si>
    <t>Hajji Farm Ssaali</t>
  </si>
  <si>
    <t xml:space="preserve">0.308899, </t>
  </si>
  <si>
    <t>UG-CEN-1806-07669</t>
  </si>
  <si>
    <t>Ninsiima Viola</t>
  </si>
  <si>
    <t>Buwukuma</t>
  </si>
  <si>
    <t>Seeta-Nkolempomye</t>
  </si>
  <si>
    <t>UG-CEN-1706-06364</t>
  </si>
  <si>
    <t>nolonger feeding</t>
  </si>
  <si>
    <t>Romu Garden</t>
  </si>
  <si>
    <t>UG-CEN-1806-07670</t>
  </si>
  <si>
    <t>Katabaazi Joshua</t>
  </si>
  <si>
    <t xml:space="preserve">0.501372, </t>
  </si>
  <si>
    <t>Nabutiti-Kyambogo</t>
  </si>
  <si>
    <t>UG-CEN-1807-013401</t>
  </si>
  <si>
    <t>Nykyeramugaba John</t>
  </si>
  <si>
    <t>0.139695,</t>
  </si>
  <si>
    <t xml:space="preserve">Kasanje </t>
  </si>
  <si>
    <t>Buve</t>
  </si>
  <si>
    <t>UG-CEN-1807-013453</t>
  </si>
  <si>
    <t>Katale George</t>
  </si>
  <si>
    <t>Nakoosi</t>
  </si>
  <si>
    <t>UG-CEN-1807-06366</t>
  </si>
  <si>
    <t>Nabbosa Edith</t>
  </si>
  <si>
    <t>Bukwaya</t>
  </si>
  <si>
    <t>UG-CEN-1807-06367</t>
  </si>
  <si>
    <t>Zalwango Alice</t>
  </si>
  <si>
    <t>Bunakija</t>
  </si>
  <si>
    <t>UG-CEN-1807-06368</t>
  </si>
  <si>
    <t>Mugarura Flavia</t>
  </si>
  <si>
    <t>UG-CEN-1807-06369</t>
  </si>
  <si>
    <t>Sserwada Gertrude</t>
  </si>
  <si>
    <t>UG-CEN-1807-06864</t>
  </si>
  <si>
    <t>Mpira Samuel</t>
  </si>
  <si>
    <t>0751683455/0704354075</t>
  </si>
  <si>
    <t>Buwuzume</t>
  </si>
  <si>
    <t>UG-CEN-1807-07165</t>
  </si>
  <si>
    <t>Daniel Musoke Lutwama</t>
  </si>
  <si>
    <t>0.849737,</t>
  </si>
  <si>
    <t>Luweero town council</t>
  </si>
  <si>
    <t>Kabakedi</t>
  </si>
  <si>
    <t>Kigavu</t>
  </si>
  <si>
    <t>UG-CEN-1807-07671</t>
  </si>
  <si>
    <t>Apollo Matovu</t>
  </si>
  <si>
    <t xml:space="preserve">0.406478, </t>
  </si>
  <si>
    <t>BIOGAS AND ENVIRONMENTAL ANSWER (BEADA)</t>
  </si>
  <si>
    <t>UG-CEN-1807-07673</t>
  </si>
  <si>
    <t>Ssemujju Moses</t>
  </si>
  <si>
    <t>Kiteredde</t>
  </si>
  <si>
    <t>UG-CEN-1708-02702</t>
  </si>
  <si>
    <t>Dr Segawa Robert</t>
  </si>
  <si>
    <t>Mubango</t>
  </si>
  <si>
    <t>UG-CEN-1807-07674</t>
  </si>
  <si>
    <t>Gahima Vincent</t>
  </si>
  <si>
    <t xml:space="preserve">0.833605, </t>
  </si>
  <si>
    <t>Butalambu</t>
  </si>
  <si>
    <t>Konge</t>
  </si>
  <si>
    <t>UG-CEN-1807-07678</t>
  </si>
  <si>
    <t>Kigongo Benjamin</t>
  </si>
  <si>
    <t>Kijjanangabo</t>
  </si>
  <si>
    <t>UG-CEN-1807-07856</t>
  </si>
  <si>
    <t>Nabyonga Sseguya Deborah</t>
  </si>
  <si>
    <t>Kajansi T/C</t>
  </si>
  <si>
    <t>UG-CEN-1807-07858</t>
  </si>
  <si>
    <t>Muyanja Ponsiano</t>
  </si>
  <si>
    <t>Kajansi T/c</t>
  </si>
  <si>
    <t>UG-CEN-1807-08551</t>
  </si>
  <si>
    <t>Bagyenda Godfrey</t>
  </si>
  <si>
    <t>UG-CEN-1808-013405</t>
  </si>
  <si>
    <t>Nankanjja Babra</t>
  </si>
  <si>
    <t>Kisuga B</t>
  </si>
  <si>
    <t>UG-CEN-1808-06370</t>
  </si>
  <si>
    <t>Lutwama Teopista</t>
  </si>
  <si>
    <t>UG-CEN-1808-06371</t>
  </si>
  <si>
    <t>Serunjoji Vule James</t>
  </si>
  <si>
    <t>0701481442/0780248948</t>
  </si>
  <si>
    <t>Mumyuka</t>
  </si>
  <si>
    <t>Buloba-Bunwa</t>
  </si>
  <si>
    <t>UG-CEN-1808-06863</t>
  </si>
  <si>
    <t>Robert Kateregga Farm</t>
  </si>
  <si>
    <t>Kyabajanja</t>
  </si>
  <si>
    <t>UG-CEN-1808-06865</t>
  </si>
  <si>
    <t>Ssesazi Matia</t>
  </si>
  <si>
    <t>0701437797/0756817352</t>
  </si>
  <si>
    <t>Kumba</t>
  </si>
  <si>
    <t>UG-CEN-1808-06883</t>
  </si>
  <si>
    <t>Luwagga Apollo</t>
  </si>
  <si>
    <t>Mawogola Matete</t>
  </si>
  <si>
    <t>UG-CEN-1708-06963</t>
  </si>
  <si>
    <t>Green Valley  Farm</t>
  </si>
  <si>
    <t>UG-CEN-1808-06916</t>
  </si>
  <si>
    <t xml:space="preserve">Mukiibi Mubarack </t>
  </si>
  <si>
    <t>Nkowe</t>
  </si>
  <si>
    <t>UG-CEN-1808-07108</t>
  </si>
  <si>
    <t>Kubulangira Iralio (Plant 2)</t>
  </si>
  <si>
    <t>32.320343</t>
  </si>
  <si>
    <t>central region</t>
  </si>
  <si>
    <t>Mpigi town council</t>
  </si>
  <si>
    <t>Janya</t>
  </si>
  <si>
    <t>UG-CEN-1708-07057</t>
  </si>
  <si>
    <t>Mulasira Peace</t>
  </si>
  <si>
    <t>Lyabuguma</t>
  </si>
  <si>
    <t>UG-CEN-1808-07676</t>
  </si>
  <si>
    <t>Wasswa Jane</t>
  </si>
  <si>
    <t>Bubuule</t>
  </si>
  <si>
    <t>UG-CEN-1808-07679</t>
  </si>
  <si>
    <t>Nababi Maria Plaxida</t>
  </si>
  <si>
    <t>Nkoni B</t>
  </si>
  <si>
    <t>UG-CEN-1708-07101</t>
  </si>
  <si>
    <t>Kasekende Margaret</t>
  </si>
  <si>
    <t>UG-CEN-1808-07852</t>
  </si>
  <si>
    <t>Atuhula Joseph</t>
  </si>
  <si>
    <t>Lubbe</t>
  </si>
  <si>
    <t>UG-CEN-1808-07853</t>
  </si>
  <si>
    <t>Sebaggala Silver</t>
  </si>
  <si>
    <t>Kyabasiita</t>
  </si>
  <si>
    <t>UG-CEN-1808-07857</t>
  </si>
  <si>
    <t>Serwanga Nakanjako Joan</t>
  </si>
  <si>
    <t xml:space="preserve">  0.2634"</t>
  </si>
  <si>
    <t>32.3736"</t>
  </si>
  <si>
    <t>Kyaddondo East</t>
  </si>
  <si>
    <t>UG-CEN-1808-07859</t>
  </si>
  <si>
    <t>Oine Patrick</t>
  </si>
  <si>
    <t>Bugayi</t>
  </si>
  <si>
    <t>UG-CEN-1808-07860</t>
  </si>
  <si>
    <t>Mukunzi Fred</t>
  </si>
  <si>
    <t>Sseesa</t>
  </si>
  <si>
    <t>UG-CEN-1808-08554</t>
  </si>
  <si>
    <t>Mzee Christopher Lutwama</t>
  </si>
  <si>
    <t>UG-CEN-1809-012703</t>
  </si>
  <si>
    <t>Joseph Katumba Kiwuuka</t>
  </si>
  <si>
    <t>Kyamwigwa TC</t>
  </si>
  <si>
    <t>UG-CEN-1809-013403</t>
  </si>
  <si>
    <t>Kitto Grace</t>
  </si>
  <si>
    <t>Bumpenje</t>
  </si>
  <si>
    <t>UG-CEN-1809-013404</t>
  </si>
  <si>
    <t>Regina Kulabako</t>
  </si>
  <si>
    <t xml:space="preserve">0.156023, </t>
  </si>
  <si>
    <t>Kalengera</t>
  </si>
  <si>
    <t>UG-CEN-1809-013406</t>
  </si>
  <si>
    <t>Joyce Nabusayi</t>
  </si>
  <si>
    <t xml:space="preserve">0.151805, </t>
  </si>
  <si>
    <t>UG-CEN-1809-06374</t>
  </si>
  <si>
    <t>Byaruhanga Moses</t>
  </si>
  <si>
    <t>Lwanganga</t>
  </si>
  <si>
    <t>UG-CEN-1809-06375</t>
  </si>
  <si>
    <t>Nakibirige Christine</t>
  </si>
  <si>
    <t>Kategobwa</t>
  </si>
  <si>
    <t>UG-CEN-1809-07107</t>
  </si>
  <si>
    <t xml:space="preserve">Kirumira Moses ( Bright Future) </t>
  </si>
  <si>
    <t>UG-CEN-1809-07109</t>
  </si>
  <si>
    <t>Katongole Mary</t>
  </si>
  <si>
    <t>Nansana town council</t>
  </si>
  <si>
    <t>UG-CEN-1809-07321</t>
  </si>
  <si>
    <t>Muhizi Songa David</t>
  </si>
  <si>
    <t>Njeru central division</t>
  </si>
  <si>
    <t>Butema</t>
  </si>
  <si>
    <t>UG-CEN-1809-07680</t>
  </si>
  <si>
    <t>Onyati Lawrence</t>
  </si>
  <si>
    <t>0771680616/0700253937</t>
  </si>
  <si>
    <t>UG-CEN-1809-07681</t>
  </si>
  <si>
    <t>Bagarukayo Salongo Alexander</t>
  </si>
  <si>
    <t>Rakai Central</t>
  </si>
  <si>
    <t>UG-CEN-1809-07682</t>
  </si>
  <si>
    <t>Rwihandagaza Janet Jack</t>
  </si>
  <si>
    <t>Wakiso T.C</t>
  </si>
  <si>
    <t>UG-CEN-1809-07683</t>
  </si>
  <si>
    <t>Katongole Joseph</t>
  </si>
  <si>
    <t>Bumpenjje</t>
  </si>
  <si>
    <t>UG-CEN-1809-07861</t>
  </si>
  <si>
    <t>Nakibuuka Kijjambu Tracy</t>
  </si>
  <si>
    <t>Busiro north</t>
  </si>
  <si>
    <t>Kimbejja</t>
  </si>
  <si>
    <t>UG-CEN-1810-013408</t>
  </si>
  <si>
    <t>Katosi Women Development Trust</t>
  </si>
  <si>
    <t>Kattutu</t>
  </si>
  <si>
    <t>UG-CEN-1810-013508</t>
  </si>
  <si>
    <t>Kala Farm Limited</t>
  </si>
  <si>
    <t>Luweero North</t>
  </si>
  <si>
    <t>UG-CEN-1810-06373</t>
  </si>
  <si>
    <t>Barigye Didas</t>
  </si>
  <si>
    <t xml:space="preserve">0.236847, </t>
  </si>
  <si>
    <t>Kibiri</t>
  </si>
  <si>
    <t>UG-CEN-1810-06377</t>
  </si>
  <si>
    <t>Good Year Melody</t>
  </si>
  <si>
    <t>UG-CEN-1709-07466</t>
  </si>
  <si>
    <t>Kirunda Mary</t>
  </si>
  <si>
    <t>UG-CEN-1810-06378</t>
  </si>
  <si>
    <t>Paul Omach</t>
  </si>
  <si>
    <t>Kiira T.C</t>
  </si>
  <si>
    <t>Buwate</t>
  </si>
  <si>
    <t>UG-CEN-1810-07111</t>
  </si>
  <si>
    <t>Ayebale Fatumah</t>
  </si>
  <si>
    <t>UG-CEN-1810-07112</t>
  </si>
  <si>
    <t>Katabira Thomas</t>
  </si>
  <si>
    <t>Katojo</t>
  </si>
  <si>
    <t>UG-CEN-1810-07684</t>
  </si>
  <si>
    <t>Tumusiime Joseph</t>
  </si>
  <si>
    <t>Kimanya</t>
  </si>
  <si>
    <t>UG-CEN-1810-07686</t>
  </si>
  <si>
    <t>Nankumbi Matovu Regia</t>
  </si>
  <si>
    <t>Nakasajja</t>
  </si>
  <si>
    <t>UG-CEN-1810-07688</t>
  </si>
  <si>
    <t>Lubega Brother Andrew</t>
  </si>
  <si>
    <t>UG-CEN-1810-07689</t>
  </si>
  <si>
    <t>Kyaruzi Moses</t>
  </si>
  <si>
    <t>Kabogo</t>
  </si>
  <si>
    <t>UG-CEN-1810-07862</t>
  </si>
  <si>
    <t>Mubiru Charles</t>
  </si>
  <si>
    <t>Bulwanyi</t>
  </si>
  <si>
    <t>UG-CEN-1810-07864</t>
  </si>
  <si>
    <t>Tebewalwa Ignatius</t>
  </si>
  <si>
    <t>Kisozi A</t>
  </si>
  <si>
    <t>UG-CEN-1810-08567</t>
  </si>
  <si>
    <t>Wamabuya  Anthony</t>
  </si>
  <si>
    <t>Nakisungu</t>
  </si>
  <si>
    <t>Kirwanyi</t>
  </si>
  <si>
    <t>UG-CEN-1811-012707</t>
  </si>
  <si>
    <t>Bogere Fred</t>
  </si>
  <si>
    <t>Kitabazi</t>
  </si>
  <si>
    <t>UG-CEN-1811-013409</t>
  </si>
  <si>
    <t>Namazzi Njala Elizabeth</t>
  </si>
  <si>
    <t>UG-CEN-1811-06380</t>
  </si>
  <si>
    <t>Afrid Agriculture</t>
  </si>
  <si>
    <t>Nkoowe</t>
  </si>
  <si>
    <t>UG-CEN-1811-06381</t>
  </si>
  <si>
    <t>Nabisubi Catherine</t>
  </si>
  <si>
    <t>Zziru</t>
  </si>
  <si>
    <t>UG-CEN-1811-07110</t>
  </si>
  <si>
    <t>Luwaga Robert</t>
  </si>
  <si>
    <t>Bulalo. B</t>
  </si>
  <si>
    <t>UG-CEN-1811-07167</t>
  </si>
  <si>
    <t>Gabindade Musoke Gorret</t>
  </si>
  <si>
    <t>Namanyina</t>
  </si>
  <si>
    <t>UG-CEN-1811-07168</t>
  </si>
  <si>
    <t>Fredrick Rwekijuma</t>
  </si>
  <si>
    <t>Kira division</t>
  </si>
  <si>
    <t>UG-CEN-1811-07690</t>
  </si>
  <si>
    <t>Serunkuuma Emmanuel</t>
  </si>
  <si>
    <t>Kitanga</t>
  </si>
  <si>
    <t>UG-CEN-1811-07691</t>
  </si>
  <si>
    <t>Sendawula John</t>
  </si>
  <si>
    <t>Kilondo</t>
  </si>
  <si>
    <t>UG-CEN-1811-07692</t>
  </si>
  <si>
    <t xml:space="preserve">Nabaale Hajjat Lukia Sebowa </t>
  </si>
  <si>
    <t>32.7422785</t>
  </si>
  <si>
    <t>UG-CEN-1811-07863</t>
  </si>
  <si>
    <t>Kasendwa James</t>
  </si>
  <si>
    <t>Kyali</t>
  </si>
  <si>
    <t>UG-CEN-1811-07865</t>
  </si>
  <si>
    <t>Senyonjo Ivan</t>
  </si>
  <si>
    <t>UG-CEN-1811-08356</t>
  </si>
  <si>
    <t>Julius Kwehanga</t>
  </si>
  <si>
    <t>UG-CEN-1811-08568</t>
  </si>
  <si>
    <t>Jolly Asiimwe</t>
  </si>
  <si>
    <t>Wakiso town</t>
  </si>
  <si>
    <t>UG-CEN-1812-012708</t>
  </si>
  <si>
    <t>Kalyesubula Mathias</t>
  </si>
  <si>
    <t>Manya</t>
  </si>
  <si>
    <t>UG-CEN-1812-012709</t>
  </si>
  <si>
    <t>Kivuumbi Robert</t>
  </si>
  <si>
    <t>Ssaaza</t>
  </si>
  <si>
    <t>UG-CEN-1812-013407</t>
  </si>
  <si>
    <t>Nakasagga Buwule Mary Angalla</t>
  </si>
  <si>
    <t>Kasaala- Banda</t>
  </si>
  <si>
    <t>UG-CEN-1812-013410</t>
  </si>
  <si>
    <t>Ntutumu Samuel</t>
  </si>
  <si>
    <t>0754860356/0753048246</t>
  </si>
  <si>
    <t>Sabawaali</t>
  </si>
  <si>
    <t>Tyabire</t>
  </si>
  <si>
    <t>UG-CEN-1812-013608</t>
  </si>
  <si>
    <t>Mbabazi Alifazi</t>
  </si>
  <si>
    <t>UG-CEN-1812-013951</t>
  </si>
  <si>
    <t>Mubiru Aloysius</t>
  </si>
  <si>
    <t>UG-CEN-1812-013952</t>
  </si>
  <si>
    <t>Kebirungi Jacenta</t>
  </si>
  <si>
    <t>UG-CEN-1712-06949</t>
  </si>
  <si>
    <t>Elly Twesigye</t>
  </si>
  <si>
    <t>Bagezza</t>
  </si>
  <si>
    <t>UG-CEN-1812-013953</t>
  </si>
  <si>
    <t>Nagadya Justine</t>
  </si>
  <si>
    <t>Nakatyaba</t>
  </si>
  <si>
    <t>UG-CEN-1812-013954</t>
  </si>
  <si>
    <t>Musisi Edward</t>
  </si>
  <si>
    <t>Kitazi</t>
  </si>
  <si>
    <t>UG-CEN-1812-013956</t>
  </si>
  <si>
    <t>Ssekindu James</t>
  </si>
  <si>
    <t>Lwande</t>
  </si>
  <si>
    <t>UG-CEN-1812-06867</t>
  </si>
  <si>
    <t>Luwembo John Chairman</t>
  </si>
  <si>
    <t>Kulambiro</t>
  </si>
  <si>
    <t>UG-CEN-1812-06868</t>
  </si>
  <si>
    <t>Mugera Ronald Nina hardware</t>
  </si>
  <si>
    <t>Kimanya B</t>
  </si>
  <si>
    <t>UG-CEN-1812-07693</t>
  </si>
  <si>
    <t>Kakande Herbert Albert</t>
  </si>
  <si>
    <t>UG-CEN-1812-07694</t>
  </si>
  <si>
    <t>Mutekanga John Bosco</t>
  </si>
  <si>
    <t>UG-CEN-1812-07867</t>
  </si>
  <si>
    <t>Ndawula Richard</t>
  </si>
  <si>
    <t>Balitta</t>
  </si>
  <si>
    <t>UG-CEN-1812-07868</t>
  </si>
  <si>
    <t>Mbaraga Anthony</t>
  </si>
  <si>
    <t>Namulonge</t>
  </si>
  <si>
    <t>UG-CEN-1712-07309</t>
  </si>
  <si>
    <t>Ampereza Barbra</t>
  </si>
  <si>
    <t>Zion estate</t>
  </si>
  <si>
    <t>UG-CEN-1812-08057</t>
  </si>
  <si>
    <t>Hajjat Aida Namatovu</t>
  </si>
  <si>
    <t>Nabuta</t>
  </si>
  <si>
    <t>AFSED</t>
  </si>
  <si>
    <t>UG-CEN-1901-013609</t>
  </si>
  <si>
    <t>Waswa Baptist John</t>
  </si>
  <si>
    <t>Bio Kindred Uganda Limited</t>
  </si>
  <si>
    <t>Andinda Jennifer</t>
  </si>
  <si>
    <t>Bakuru Phillip</t>
  </si>
  <si>
    <t>Bubengwa</t>
  </si>
  <si>
    <t>Kazibwe Joseph</t>
  </si>
  <si>
    <t>Nakayiza Fatiya</t>
  </si>
  <si>
    <t>Kisoso</t>
  </si>
  <si>
    <t>UG-CEN-1801-06221</t>
  </si>
  <si>
    <t>Muchilwa Barbara Bukwaya</t>
  </si>
  <si>
    <t>33.46854</t>
  </si>
  <si>
    <t>Katosi Kyaggwe</t>
  </si>
  <si>
    <t>Ntengeru</t>
  </si>
  <si>
    <t>Bukwaya Village</t>
  </si>
  <si>
    <t>Mbale Renewable Energy Center Ltd (MREC))</t>
  </si>
  <si>
    <t>UG-CEN-1901-06382</t>
  </si>
  <si>
    <t>Nakajubi Max</t>
  </si>
  <si>
    <t>Kibiri A</t>
  </si>
  <si>
    <t>UG-CEN-1901-07695</t>
  </si>
  <si>
    <t>Namatovu Shadia</t>
  </si>
  <si>
    <t>Takkajunge</t>
  </si>
  <si>
    <t>UG-CEN-1901-07697</t>
  </si>
  <si>
    <t>Kakooza Wasswa</t>
  </si>
  <si>
    <t>Kikaalala</t>
  </si>
  <si>
    <t>UG-CEN-1801-06937</t>
  </si>
  <si>
    <t>Kiwalabye Godfrey</t>
  </si>
  <si>
    <t>UG-CEN-1901-07698</t>
  </si>
  <si>
    <t>Kayima Josephine</t>
  </si>
  <si>
    <t>Kawere</t>
  </si>
  <si>
    <t>UG-CEN-1901-07704</t>
  </si>
  <si>
    <t>Nakachwa Kibuuka Ruth</t>
  </si>
  <si>
    <t>UG-CEN-1901-07705</t>
  </si>
  <si>
    <t>Mugoma Richard</t>
  </si>
  <si>
    <t>UG-CEN-1902-013961</t>
  </si>
  <si>
    <t>Mugabo Fred Ogene</t>
  </si>
  <si>
    <t>Kikokokiro</t>
  </si>
  <si>
    <t>UG-CEN-1902-07113</t>
  </si>
  <si>
    <t>Kimbugwe Christopher</t>
  </si>
  <si>
    <t>Nakaseke North</t>
  </si>
  <si>
    <t>Kikamulo</t>
  </si>
  <si>
    <t>UG-CEN-1902-07114</t>
  </si>
  <si>
    <t>Natukunda irene</t>
  </si>
  <si>
    <t>wamala</t>
  </si>
  <si>
    <t>UG-CEN-1902-07703</t>
  </si>
  <si>
    <t>Nsibambi Daniel</t>
  </si>
  <si>
    <t>UG-CEN-1902-07706</t>
  </si>
  <si>
    <t>Nakibinge Ndawula Daniel</t>
  </si>
  <si>
    <t>UG-CEN-1903-013411</t>
  </si>
  <si>
    <t>Florence Nabunya</t>
  </si>
  <si>
    <t>Mpoma</t>
  </si>
  <si>
    <t>UG-CEN-1801-07084</t>
  </si>
  <si>
    <t>Semuwemba Rose</t>
  </si>
  <si>
    <t>Ttamu</t>
  </si>
  <si>
    <t>UG-CEN-1903-013603</t>
  </si>
  <si>
    <t>Deo Mr kyewunda</t>
  </si>
  <si>
    <t>Kagulube</t>
  </si>
  <si>
    <t>Busanje</t>
  </si>
  <si>
    <t>UG-CEN-1903-013755</t>
  </si>
  <si>
    <t>Serwanga  Samuel</t>
  </si>
  <si>
    <t>Green Gold Consultants Ltd</t>
  </si>
  <si>
    <t>UG-CEN-1903-013964</t>
  </si>
  <si>
    <t>Ddungu David</t>
  </si>
  <si>
    <t>Nsoloolo</t>
  </si>
  <si>
    <t>UG-CEN-1903-06869</t>
  </si>
  <si>
    <t>Kasekende Twaha Musubuzi</t>
  </si>
  <si>
    <t>Lwayebere</t>
  </si>
  <si>
    <t>UG-CEN-1903-06870</t>
  </si>
  <si>
    <t>Migga John Musubuzi</t>
  </si>
  <si>
    <t>UG-CEN-1903-07707</t>
  </si>
  <si>
    <t>Lwanga Charles</t>
  </si>
  <si>
    <t>Bulangala</t>
  </si>
  <si>
    <t>UG-CEN-1903-07708</t>
  </si>
  <si>
    <t>Nanjuka Aisha Kalema</t>
  </si>
  <si>
    <t>Namabaale</t>
  </si>
  <si>
    <t>Kassanda</t>
  </si>
  <si>
    <t>UG-CEN-1903-07709</t>
  </si>
  <si>
    <t>Mbaaga Joseph</t>
  </si>
  <si>
    <t>Kikungwe</t>
  </si>
  <si>
    <t>UG-CEN-1903-07710</t>
  </si>
  <si>
    <t>Mutuluki Yusuf</t>
  </si>
  <si>
    <t>Makondo</t>
  </si>
  <si>
    <t>UG-CEN-1801-07095</t>
  </si>
  <si>
    <t>Kakooza Sam</t>
  </si>
  <si>
    <t>UG-CEN-1903-07711</t>
  </si>
  <si>
    <t>Sendegeya Charles</t>
  </si>
  <si>
    <t>UG-CEN-1903-07712</t>
  </si>
  <si>
    <t>Sentongo Fulgensio</t>
  </si>
  <si>
    <t>Kasooka</t>
  </si>
  <si>
    <t>UG-CEN-1801-07161</t>
  </si>
  <si>
    <t>Baguma James</t>
  </si>
  <si>
    <t>Hoima</t>
  </si>
  <si>
    <t>Buyimba</t>
  </si>
  <si>
    <t>UG-CEN-1903-07713</t>
  </si>
  <si>
    <t xml:space="preserve">Masagazi Deogratious </t>
  </si>
  <si>
    <t>UG-CEN-1801-07458</t>
  </si>
  <si>
    <t>Solomon Nsubuga</t>
  </si>
  <si>
    <t>Mukono mc</t>
  </si>
  <si>
    <t>UG-CEN-1903-07714</t>
  </si>
  <si>
    <t>Mwagalanyi Khalid</t>
  </si>
  <si>
    <t>UG-CEN-1903-07715</t>
  </si>
  <si>
    <t>Kigundu Micheal</t>
  </si>
  <si>
    <t>Kibona</t>
  </si>
  <si>
    <t>UG-CEN-1903-07717</t>
  </si>
  <si>
    <t>Kibuuka James</t>
  </si>
  <si>
    <t>UG-CEN-1903-07719</t>
  </si>
  <si>
    <t>Namakula Margaret</t>
  </si>
  <si>
    <t>Buwungu</t>
  </si>
  <si>
    <t>UG-CEN-1904-06385</t>
  </si>
  <si>
    <t>Bwire Kevin</t>
  </si>
  <si>
    <t>Bwerenga</t>
  </si>
  <si>
    <t>UG-CEN-1904-07117</t>
  </si>
  <si>
    <t>Nabembezi Denes</t>
  </si>
  <si>
    <t>UG-CEN-1802-06362</t>
  </si>
  <si>
    <t>Matovu Victoria Ndibalekera</t>
  </si>
  <si>
    <t>Kira tc</t>
  </si>
  <si>
    <t>UG-CEN-1904-07337</t>
  </si>
  <si>
    <t>Baleka Irene</t>
  </si>
  <si>
    <t>NJERU</t>
  </si>
  <si>
    <t>WAMPALA-NAKIBIZI</t>
  </si>
  <si>
    <t>UG-CEN-1904-07718</t>
  </si>
  <si>
    <t>Mukiibi David Byekwaso</t>
  </si>
  <si>
    <t>Kikubampanga</t>
  </si>
  <si>
    <t>UG-CEN-1904-07720</t>
  </si>
  <si>
    <t>Lukaaga Salongo  James</t>
  </si>
  <si>
    <t>0.80833 </t>
  </si>
  <si>
    <t>Buswaaga</t>
  </si>
  <si>
    <t>UG-CEN-1904-07722</t>
  </si>
  <si>
    <t>Nabakooza Eva</t>
  </si>
  <si>
    <t>UG-CEN-1905-012460</t>
  </si>
  <si>
    <t>Bumba Saida (plant-1)</t>
  </si>
  <si>
    <t>Kiwoko town council</t>
  </si>
  <si>
    <t>Mabale</t>
  </si>
  <si>
    <t>Chinese plastic</t>
  </si>
  <si>
    <t>Fibre Glass</t>
  </si>
  <si>
    <t>UG-CEN-1802-07469</t>
  </si>
  <si>
    <t>Ssemwogerere  David (Plant 2)</t>
  </si>
  <si>
    <t>Bukkoho</t>
  </si>
  <si>
    <t>UG-CEN-1905-012710</t>
  </si>
  <si>
    <t>Luwaga Fred Tailor</t>
  </si>
  <si>
    <t>Kisenyi A</t>
  </si>
  <si>
    <t>UG-CEN-1905-013967</t>
  </si>
  <si>
    <t>Kiryoowa Haruna</t>
  </si>
  <si>
    <t>Kibale</t>
  </si>
  <si>
    <t>UG-CEN-1905-013968</t>
  </si>
  <si>
    <t>Semakula Christopher Kityo</t>
  </si>
  <si>
    <t>Katabi town council</t>
  </si>
  <si>
    <t>Nkumba Central</t>
  </si>
  <si>
    <t>Ddambya Patrick</t>
  </si>
  <si>
    <t>Bayitababiri</t>
  </si>
  <si>
    <t>UG-CEN-1905-07115</t>
  </si>
  <si>
    <t>Kimera Peter</t>
  </si>
  <si>
    <t>Kyadondo East</t>
  </si>
  <si>
    <t>Nangabo/Gayaza</t>
  </si>
  <si>
    <t>Namavundu</t>
  </si>
  <si>
    <t>UG-CEN-1802-07659</t>
  </si>
  <si>
    <t>Was repaired but never fed</t>
  </si>
  <si>
    <t>Fahad Kyewalyanga Hajji Dean</t>
  </si>
  <si>
    <t>UG-CEN-1905-07116</t>
  </si>
  <si>
    <t>Katongole Achilleo</t>
  </si>
  <si>
    <t xml:space="preserve">Katabi  </t>
  </si>
  <si>
    <t>UG-CEN-1905-07721</t>
  </si>
  <si>
    <t xml:space="preserve">Kasekende Gerald </t>
  </si>
  <si>
    <t> 29.833937</t>
  </si>
  <si>
    <t>Miti</t>
  </si>
  <si>
    <t>Bunyonyi</t>
  </si>
  <si>
    <t>UG-CEN-1905-07723</t>
  </si>
  <si>
    <t>Wangi Collins</t>
  </si>
  <si>
    <t>UG-CEN-1905-07875</t>
  </si>
  <si>
    <t xml:space="preserve">Nangoma Alizic </t>
  </si>
  <si>
    <t>UG-CEN-1905-08362</t>
  </si>
  <si>
    <t>Jude Yiga</t>
  </si>
  <si>
    <t>Nkondo</t>
  </si>
  <si>
    <t>UG-CEN-1906-012306</t>
  </si>
  <si>
    <t>Mubiri Ivan</t>
  </si>
  <si>
    <t>Bukontto</t>
  </si>
  <si>
    <t>UG-CEN-1906-012495</t>
  </si>
  <si>
    <t>Bishop Senyonjo primary school (Plant 1)</t>
  </si>
  <si>
    <t>Lwengo TC</t>
  </si>
  <si>
    <t>Mbiriizi</t>
  </si>
  <si>
    <t>UG-CEN-1906-012720</t>
  </si>
  <si>
    <t>Nakabuye Sarah ( Head teacher)</t>
  </si>
  <si>
    <t>Masaka Municipality</t>
  </si>
  <si>
    <t>Bugabira</t>
  </si>
  <si>
    <t>UG-CEN-1804-012702</t>
  </si>
  <si>
    <t>Nalwanga Angel</t>
  </si>
  <si>
    <t>33.4875653</t>
  </si>
  <si>
    <t>UG-CEN-1906-012721</t>
  </si>
  <si>
    <t>Nakyanzi Megga Margaret</t>
  </si>
  <si>
    <t>UG-CEN-1906-013691</t>
  </si>
  <si>
    <t>Namuwonge Jane</t>
  </si>
  <si>
    <t>Kabura</t>
  </si>
  <si>
    <t>Kinuka</t>
  </si>
  <si>
    <t>UG-CEN-1906-06386</t>
  </si>
  <si>
    <t>Hajji Sebizizi</t>
  </si>
  <si>
    <t>UG-CEN-1906-07119</t>
  </si>
  <si>
    <t>Luwesi Agnes</t>
  </si>
  <si>
    <t>0.38891 </t>
  </si>
  <si>
    <t>Mityana Noth</t>
  </si>
  <si>
    <t>Busunju Town Ciuncil</t>
  </si>
  <si>
    <t>Kawomya</t>
  </si>
  <si>
    <t>UG-CEN-1804-06939</t>
  </si>
  <si>
    <t>Taryahebwa Benon Salongo</t>
  </si>
  <si>
    <t>Ikula</t>
  </si>
  <si>
    <t>UG-CEN-1906-07726</t>
  </si>
  <si>
    <t>Lukanga Viane</t>
  </si>
  <si>
    <t>Wakyaato</t>
  </si>
  <si>
    <t>UG-CEN-1906-07731</t>
  </si>
  <si>
    <t>Rosemary Grace</t>
  </si>
  <si>
    <t>UG-CEN-1906-07874</t>
  </si>
  <si>
    <t>Makerere Mulawa collage</t>
  </si>
  <si>
    <t>-0.231442 </t>
  </si>
  <si>
    <t>UG-CEN-1906-07876</t>
  </si>
  <si>
    <t>Kabanda Gerald Mukwaya</t>
  </si>
  <si>
    <t>Kawotto B</t>
  </si>
  <si>
    <t>UG-CEN-1906-07877</t>
  </si>
  <si>
    <t>Nganda Edward</t>
  </si>
  <si>
    <t>Central</t>
  </si>
  <si>
    <t>UG-CEN-1804-07663</t>
  </si>
  <si>
    <t>Kalema Jolly</t>
  </si>
  <si>
    <t>UG-CEN-1906-08570</t>
  </si>
  <si>
    <t>Dr. Tendo Stephen</t>
  </si>
  <si>
    <t>Kira municipality</t>
  </si>
  <si>
    <t>UG-CEN-1907-012718</t>
  </si>
  <si>
    <t>Nkwangu Muyenga Fred</t>
  </si>
  <si>
    <t>Rwakai</t>
  </si>
  <si>
    <t>Rakayi TC</t>
  </si>
  <si>
    <t>UG-CEN-1907-013413</t>
  </si>
  <si>
    <t>Henry Kasimaggwa Pony</t>
  </si>
  <si>
    <t>Kisoga Central</t>
  </si>
  <si>
    <t>UG-CEN-1907-013414</t>
  </si>
  <si>
    <t>Lutalo Mary</t>
  </si>
  <si>
    <t>UG-CEN-1907-013971</t>
  </si>
  <si>
    <t>John Gumoshabe</t>
  </si>
  <si>
    <t>Kasangati town council</t>
  </si>
  <si>
    <t>UG-CEN-1907-013972</t>
  </si>
  <si>
    <t>Lubega Isaac</t>
  </si>
  <si>
    <t>Lubongo</t>
  </si>
  <si>
    <t>UG-CEN-1907-013973</t>
  </si>
  <si>
    <t>Karuhanga Gorreti Maria</t>
  </si>
  <si>
    <t>Namagoma B</t>
  </si>
  <si>
    <t>UG-CEN-1907-013974</t>
  </si>
  <si>
    <t>Jeffer Ndage</t>
  </si>
  <si>
    <t>Busunjju</t>
  </si>
  <si>
    <t>Kasinga</t>
  </si>
  <si>
    <t>UG-CEN-1907-013976</t>
  </si>
  <si>
    <t xml:space="preserve">Farm Nsanyuse </t>
  </si>
  <si>
    <t>UG-CEN-1907-06390</t>
  </si>
  <si>
    <t>Lukwago Martin roy</t>
  </si>
  <si>
    <t>Kyariwajjala</t>
  </si>
  <si>
    <t>UG-CEN-1805-07665</t>
  </si>
  <si>
    <t>Akishule Alex</t>
  </si>
  <si>
    <t>Kasubi</t>
  </si>
  <si>
    <t>UG-CEN-1907-07347</t>
  </si>
  <si>
    <t>Luzindana Robert</t>
  </si>
  <si>
    <t>UG-CEN-1907-07733</t>
  </si>
  <si>
    <t>Namutebi Elizabeth</t>
  </si>
  <si>
    <t>UG-CEN-1805-07672</t>
  </si>
  <si>
    <t>Mukasa  paul</t>
  </si>
  <si>
    <t xml:space="preserve">0.328347, </t>
  </si>
  <si>
    <t>UG-CEN-1907-07734</t>
  </si>
  <si>
    <t>Bukenya Joanita</t>
  </si>
  <si>
    <t>Nkokonjeru B</t>
  </si>
  <si>
    <t>UG-CEN-1907-07735</t>
  </si>
  <si>
    <t>Kyolamba Racheal</t>
  </si>
  <si>
    <t>UG-CEN-1907-07736</t>
  </si>
  <si>
    <t>Nuuru Namuli</t>
  </si>
  <si>
    <t>UG-CEN-1907-07738</t>
  </si>
  <si>
    <t>Kusiima Ernest Abwooli</t>
  </si>
  <si>
    <t>Kijjabijo-kisaawa</t>
  </si>
  <si>
    <t>UG-CEN-1907-07741</t>
  </si>
  <si>
    <t>Kizza Nuuhu</t>
  </si>
  <si>
    <t>UG-CEN-1907-07748</t>
  </si>
  <si>
    <t>HAMCO Enterprises Plant 1</t>
  </si>
  <si>
    <t>UG-CEN-1907-08361</t>
  </si>
  <si>
    <t>Tumwine Andrew</t>
  </si>
  <si>
    <t>UG-CEN-1807-013503</t>
  </si>
  <si>
    <t>Bakengesa Richard</t>
  </si>
  <si>
    <t xml:space="preserve">0.889305, </t>
  </si>
  <si>
    <t>Kagadi</t>
  </si>
  <si>
    <t>Buyaga west</t>
  </si>
  <si>
    <t>Muhooro</t>
  </si>
  <si>
    <t>Kyanyarara</t>
  </si>
  <si>
    <t>UG-CEN-1907-08363</t>
  </si>
  <si>
    <t>George william Nnyika</t>
  </si>
  <si>
    <t>central Region</t>
  </si>
  <si>
    <t>UG-CEN-1907-08571</t>
  </si>
  <si>
    <t>Technical Services Limited</t>
  </si>
  <si>
    <t>Nalyamagoja</t>
  </si>
  <si>
    <t>UG-CEN-1907-08572</t>
  </si>
  <si>
    <t>Aunitah Hardware</t>
  </si>
  <si>
    <t>Bugoba</t>
  </si>
  <si>
    <t>UG-CEN-1907-08573</t>
  </si>
  <si>
    <t>Green Valley Farm</t>
  </si>
  <si>
    <t>UG-CEN-1908-012464</t>
  </si>
  <si>
    <t>Mbiriizi John Robert</t>
  </si>
  <si>
    <t>Lwengo town council</t>
  </si>
  <si>
    <t>Lower zone</t>
  </si>
  <si>
    <t>UG-CEN-1807-06972</t>
  </si>
  <si>
    <t>lack of labour for feedig digester</t>
  </si>
  <si>
    <t>Kisakye Primary School</t>
  </si>
  <si>
    <t>0775873110/0785790931</t>
  </si>
  <si>
    <t>Namulesa</t>
  </si>
  <si>
    <t>UG-CEN-1807-07164</t>
  </si>
  <si>
    <t>Repaired, feeding.</t>
  </si>
  <si>
    <t>Margret Kintu Kizito</t>
  </si>
  <si>
    <t>0.850325,</t>
  </si>
  <si>
    <t>Luweero central</t>
  </si>
  <si>
    <t>Kizito</t>
  </si>
  <si>
    <t>UG-CEN-1908-012465</t>
  </si>
  <si>
    <t>Natongo Stella</t>
  </si>
  <si>
    <t>Bugambiira</t>
  </si>
  <si>
    <t>UG-CEN-1908-012510</t>
  </si>
  <si>
    <t>Ssenyonga Ibrahim Ibrahim</t>
  </si>
  <si>
    <t>Ssese</t>
  </si>
  <si>
    <t>Kalangala town council</t>
  </si>
  <si>
    <t>KalangalaB</t>
  </si>
  <si>
    <t>UG-CEN-1908-012511</t>
  </si>
  <si>
    <t xml:space="preserve">Asiimire Prossy </t>
  </si>
  <si>
    <t>Bugoma</t>
  </si>
  <si>
    <t>UG-CEN-1908-012792</t>
  </si>
  <si>
    <t>Nkuusi Steven</t>
  </si>
  <si>
    <t>Kyamatiyansi</t>
  </si>
  <si>
    <t>UG-CEN-1908-013415</t>
  </si>
  <si>
    <t>Sylevester Mwanja</t>
  </si>
  <si>
    <t>KYOTERA</t>
  </si>
  <si>
    <t>KABILA</t>
  </si>
  <si>
    <t>NTAKKE</t>
  </si>
  <si>
    <t>UG-CEN-1908-013761</t>
  </si>
  <si>
    <t>Musisi John Masakwa Salongo</t>
  </si>
  <si>
    <t>Nakirebe</t>
  </si>
  <si>
    <t>UG-CEN-1908-013901</t>
  </si>
  <si>
    <t>Kalanda Charles</t>
  </si>
  <si>
    <t>UG-CEN-1908-013904</t>
  </si>
  <si>
    <t>Bulenzi Francis</t>
  </si>
  <si>
    <t>UG-CEN-1908-013905</t>
  </si>
  <si>
    <t>Edward Kalemba</t>
  </si>
  <si>
    <t>UG-CEN-1908-013908</t>
  </si>
  <si>
    <t>Ntulumwe Harriet  Plant 2</t>
  </si>
  <si>
    <t>UG-CEN-1908-013909</t>
  </si>
  <si>
    <t>Tomusange Fredrick Mivule</t>
  </si>
  <si>
    <t>Kirugaruga</t>
  </si>
  <si>
    <t>UG-CEN-1808-06372</t>
  </si>
  <si>
    <t>Katusiime Cecil</t>
  </si>
  <si>
    <t>UG-CEN-1908-013910</t>
  </si>
  <si>
    <t>Kyotega Christine</t>
  </si>
  <si>
    <t>Nsekwa</t>
  </si>
  <si>
    <t>UG-CEN-1908-014516</t>
  </si>
  <si>
    <t xml:space="preserve">Kaitaita Ivan ( Plant 1) </t>
  </si>
  <si>
    <t>Senta</t>
  </si>
  <si>
    <t>UG-CEN-1808-06866</t>
  </si>
  <si>
    <t>Kabugo st.Paul Solomon</t>
  </si>
  <si>
    <t>0701664054/0752707989</t>
  </si>
  <si>
    <t>Kisazi</t>
  </si>
  <si>
    <t>UG-CEN-1908-022355</t>
  </si>
  <si>
    <t xml:space="preserve">Muwezi Gideon </t>
  </si>
  <si>
    <t>0702017639</t>
  </si>
  <si>
    <t>0781447020</t>
  </si>
  <si>
    <t>Katikamu east</t>
  </si>
  <si>
    <t>Mulidwa</t>
  </si>
  <si>
    <t>UG-CEN-1908-06389</t>
  </si>
  <si>
    <t>Katongole Peter</t>
  </si>
  <si>
    <t>Nguludene</t>
  </si>
  <si>
    <t>UG-CEN-1908-06392</t>
  </si>
  <si>
    <t>Peter Ebanyait</t>
  </si>
  <si>
    <t>UG-CEN-1908-07728</t>
  </si>
  <si>
    <t>Kalule Bosco</t>
  </si>
  <si>
    <t>UG-CEN-1908-07729</t>
  </si>
  <si>
    <t>Mukwaaya Charles</t>
  </si>
  <si>
    <t>UG-CEN-1908-07730</t>
  </si>
  <si>
    <t>Lukonge Mathias</t>
  </si>
  <si>
    <t>UG-CEN-1908-07739</t>
  </si>
  <si>
    <t>Sebaduka Benjamin</t>
  </si>
  <si>
    <t>Ssala</t>
  </si>
  <si>
    <t>UG-CEN-1908-07740</t>
  </si>
  <si>
    <t>Byomuhangi Peter</t>
  </si>
  <si>
    <t>Sanda</t>
  </si>
  <si>
    <t>UG-CEN-1908-07742</t>
  </si>
  <si>
    <t>Ntege Henry</t>
  </si>
  <si>
    <t>Kisansala</t>
  </si>
  <si>
    <t>UG-CEN-1908-07743</t>
  </si>
  <si>
    <t>Kizito Deus</t>
  </si>
  <si>
    <t>Kisojjo</t>
  </si>
  <si>
    <t>Kyamabaale</t>
  </si>
  <si>
    <t>UG-CEN-1908-07744</t>
  </si>
  <si>
    <t>Katushabe Beatrice</t>
  </si>
  <si>
    <t>UG-CEN-1908-07745</t>
  </si>
  <si>
    <t>Kabugo Abdulatif Bigambo</t>
  </si>
  <si>
    <t>Katiko</t>
  </si>
  <si>
    <t>UG-CEN-1908-07746</t>
  </si>
  <si>
    <t>Bamwiite Emmanuel</t>
  </si>
  <si>
    <t>UG-CEN-1908-07749</t>
  </si>
  <si>
    <t>Senono Twaha</t>
  </si>
  <si>
    <t>Kabasese</t>
  </si>
  <si>
    <t>UG-CEN-1908-07878</t>
  </si>
  <si>
    <t>Jjemba Pito</t>
  </si>
  <si>
    <t>Kyazzi</t>
  </si>
  <si>
    <t>UG-CEN-1908-07880</t>
  </si>
  <si>
    <t>Andrew Kamya</t>
  </si>
  <si>
    <t>Bwaise</t>
  </si>
  <si>
    <t>New Bubajjwe</t>
  </si>
  <si>
    <t>UG-CEN-1908-07884</t>
  </si>
  <si>
    <t>Apio Josephine Brendah</t>
  </si>
  <si>
    <t>UG-CEN-1908-08364</t>
  </si>
  <si>
    <t>Luyima peter</t>
  </si>
  <si>
    <t>Buyikwe south</t>
  </si>
  <si>
    <t>UG-CEN-1908-7882</t>
  </si>
  <si>
    <t>Joselyn Ishimwe plant 1</t>
  </si>
  <si>
    <t>UG-CEN-1908-O7890</t>
  </si>
  <si>
    <t>Ruth Kuteesa</t>
  </si>
  <si>
    <t>Kyaddondo north</t>
  </si>
  <si>
    <t>Kkata</t>
  </si>
  <si>
    <t>UG-CEN-1909-013417</t>
  </si>
  <si>
    <t>David Luwaga</t>
  </si>
  <si>
    <t>Butuntumula</t>
  </si>
  <si>
    <t>Gayaaza</t>
  </si>
  <si>
    <t>UG-CEN-1909-013762</t>
  </si>
  <si>
    <t>Karubanga Ruth</t>
  </si>
  <si>
    <t>UG-CEN-1909-013902</t>
  </si>
  <si>
    <t>Kisekka John Bosco</t>
  </si>
  <si>
    <t>UG-CEN-1909-013914</t>
  </si>
  <si>
    <t>Najjemba Annet</t>
  </si>
  <si>
    <t>UG-CEN-1809-07687</t>
  </si>
  <si>
    <t>Mbogo Nyanzi Stanley Estates</t>
  </si>
  <si>
    <t>UG-CEN-1909-013915</t>
  </si>
  <si>
    <t>Vika farm Hanns</t>
  </si>
  <si>
    <t>Buyege</t>
  </si>
  <si>
    <t>UG-CEN-1909-013920</t>
  </si>
  <si>
    <t>Nabisubi Milly Kyerabirwa</t>
  </si>
  <si>
    <t>Kyagwe</t>
  </si>
  <si>
    <t>Nakumbo</t>
  </si>
  <si>
    <t>UG-CEN-1909-013924</t>
  </si>
  <si>
    <t xml:space="preserve">Mubiru Fred </t>
  </si>
  <si>
    <t>Katubwe</t>
  </si>
  <si>
    <t>UG-CEN-1909-013930</t>
  </si>
  <si>
    <t>Namakula Yudaya</t>
  </si>
  <si>
    <t>Busawuli</t>
  </si>
  <si>
    <t>UG-CEN-1909-013941</t>
  </si>
  <si>
    <t>Duku Scopas</t>
  </si>
  <si>
    <t>Kkood</t>
  </si>
  <si>
    <t>UG-CEN-1909-013978</t>
  </si>
  <si>
    <t>Balikudembe Kaloli</t>
  </si>
  <si>
    <t>Lugala-Kittuti</t>
  </si>
  <si>
    <t>UG-CEN-1810-06379</t>
  </si>
  <si>
    <t>Margret Katabaalo</t>
  </si>
  <si>
    <t>UG-CEN-1810-07106</t>
  </si>
  <si>
    <t>Semakula Byagenda</t>
  </si>
  <si>
    <t>0706593017/0703880330</t>
  </si>
  <si>
    <t>Katambi</t>
  </si>
  <si>
    <t>UG-CEN-1909-013979</t>
  </si>
  <si>
    <t>Kalusi Annet</t>
  </si>
  <si>
    <t>Namasuba</t>
  </si>
  <si>
    <t>UG-CEN-1909-013981</t>
  </si>
  <si>
    <t>Muwonge George</t>
  </si>
  <si>
    <t>Mukokwa</t>
  </si>
  <si>
    <t>UG-CEN-1909-013982</t>
  </si>
  <si>
    <t>Mixed Farm</t>
  </si>
  <si>
    <t>Budhengo</t>
  </si>
  <si>
    <t>Nakitooma</t>
  </si>
  <si>
    <t>Kasonzi</t>
  </si>
  <si>
    <t>UG-CEN-1810-07685</t>
  </si>
  <si>
    <t>Mukasa William Jane</t>
  </si>
  <si>
    <t>UG-CEN-1909-013983</t>
  </si>
  <si>
    <t>Muteesi Rehema</t>
  </si>
  <si>
    <t>Naalyamagonya</t>
  </si>
  <si>
    <t>UG-CEN-1909-014508</t>
  </si>
  <si>
    <t>Bwanika Larwence</t>
  </si>
  <si>
    <t>Kakunji</t>
  </si>
  <si>
    <t>UG-CEN-1909-06393</t>
  </si>
  <si>
    <t>Rebecca Nanjala Umido</t>
  </si>
  <si>
    <t>UG-CEN-1909-07124</t>
  </si>
  <si>
    <t>Omittah Samuel</t>
  </si>
  <si>
    <t>Ntenjeru Town Council</t>
  </si>
  <si>
    <t>UG-CEN-1909-07125</t>
  </si>
  <si>
    <t>Kansiime Casiano</t>
  </si>
  <si>
    <t>Nakukuba</t>
  </si>
  <si>
    <t>UG-CEN-1909-07724</t>
  </si>
  <si>
    <t>Makona Siraje Colonel</t>
  </si>
  <si>
    <t>Butanbala</t>
  </si>
  <si>
    <t>UG-CEN-1909-07879</t>
  </si>
  <si>
    <t>Komugisha Ruth Okello</t>
  </si>
  <si>
    <t>Ttongolo</t>
  </si>
  <si>
    <t>UG-CEN-1909-07886</t>
  </si>
  <si>
    <t>Bwanika Lwanga Matia</t>
  </si>
  <si>
    <t>Kajansi Town Council</t>
  </si>
  <si>
    <t>Namulanda C</t>
  </si>
  <si>
    <t>UG-CEN-1909-07887</t>
  </si>
  <si>
    <t>Mukwaya Abby</t>
  </si>
  <si>
    <t>UG-CEN-1909-07889</t>
  </si>
  <si>
    <t>Ggita Deborah Nakitende</t>
  </si>
  <si>
    <t>Mpererwe Ssekati zone</t>
  </si>
  <si>
    <t>UG-CEN-1909-07893</t>
  </si>
  <si>
    <t>Nanteza Grace</t>
  </si>
  <si>
    <t>UG-CEN-1909-07894</t>
  </si>
  <si>
    <t>Nizeyimaana Jovan</t>
  </si>
  <si>
    <t>UG-CEN-1909-07895</t>
  </si>
  <si>
    <t>Ssentamu Charles Musisi Plant 2</t>
  </si>
  <si>
    <t>UG-CEN-1909-07898</t>
  </si>
  <si>
    <t>Kabugo Julius</t>
  </si>
  <si>
    <t>UG-CEN-1909-08577</t>
  </si>
  <si>
    <t>Samuel Ssali</t>
  </si>
  <si>
    <t>NAGARAMA</t>
  </si>
  <si>
    <t>MPOMA</t>
  </si>
  <si>
    <t>UG-CEN-1909-09866</t>
  </si>
  <si>
    <t>Kahwa Yekoyada</t>
  </si>
  <si>
    <t>Naminya</t>
  </si>
  <si>
    <t>UG-CEN-1909-09867</t>
  </si>
  <si>
    <t>Wakabi Daudi</t>
  </si>
  <si>
    <t>Buukwe</t>
  </si>
  <si>
    <t>Bundo</t>
  </si>
  <si>
    <t>UG-CEN-1909-7888</t>
  </si>
  <si>
    <t>Ssempala Ronnie</t>
  </si>
  <si>
    <t>786331634/ 708245654</t>
  </si>
  <si>
    <t>Nansana municipality</t>
  </si>
  <si>
    <t>UG-CEN-1910-012489</t>
  </si>
  <si>
    <t xml:space="preserve">Masaka School  For Deaf (plant1) </t>
  </si>
  <si>
    <t>Mukungu</t>
  </si>
  <si>
    <t>UG-CEN-1910-012719</t>
  </si>
  <si>
    <t>Najjemba Ssali Hajjat</t>
  </si>
  <si>
    <t>Kyotera TC</t>
  </si>
  <si>
    <t>UG-CEN-1910-013011</t>
  </si>
  <si>
    <t>Namuyaba Esther</t>
  </si>
  <si>
    <t>UG-CEN-1910-013913</t>
  </si>
  <si>
    <t>Kamulasi Henry</t>
  </si>
  <si>
    <t xml:space="preserve">Kyotera  </t>
  </si>
  <si>
    <t>Lwamagwa</t>
  </si>
  <si>
    <t>UG-CEN-1910-013923</t>
  </si>
  <si>
    <t>Katende Willy</t>
  </si>
  <si>
    <t>UG-CEN-1910-013925</t>
  </si>
  <si>
    <t>Tumuhimbise Eriab Tumunyebire</t>
  </si>
  <si>
    <t>Kembobo</t>
  </si>
  <si>
    <t>UG-CEN-1910-013929</t>
  </si>
  <si>
    <t>Kalyango Christine</t>
  </si>
  <si>
    <t>UG-CEN-1910-013931</t>
  </si>
  <si>
    <t>Kawooya Sande Amir</t>
  </si>
  <si>
    <t>Gombe B</t>
  </si>
  <si>
    <t>UG-CEN-1910-013932</t>
  </si>
  <si>
    <t>Kigonya Collins</t>
  </si>
  <si>
    <t>UG-CEN-1910-013933</t>
  </si>
  <si>
    <t>Kasimbi Edward</t>
  </si>
  <si>
    <t>UG-CEN-1910-013934</t>
  </si>
  <si>
    <t>Lwaasa Steven</t>
  </si>
  <si>
    <t>Bugwanya</t>
  </si>
  <si>
    <t>UG-CEN-1910-013935</t>
  </si>
  <si>
    <t>KalumbaAllan</t>
  </si>
  <si>
    <t>UG-CEN-1910-013936</t>
  </si>
  <si>
    <t>Muhairwe Julius</t>
  </si>
  <si>
    <t>UG-CEN-1910-013938</t>
  </si>
  <si>
    <t>Nakiguli Rose</t>
  </si>
  <si>
    <t>UG-CEN-1910-013939</t>
  </si>
  <si>
    <t>Kasozi Grace Sam</t>
  </si>
  <si>
    <t>Lukunyu</t>
  </si>
  <si>
    <t>UG-CEN-1910-013943</t>
  </si>
  <si>
    <t>Dr. Lwanga John Bosco</t>
  </si>
  <si>
    <t>UG-CEN-1910-013945</t>
  </si>
  <si>
    <t>Kanyaruganzi Matia</t>
  </si>
  <si>
    <t>Mangola</t>
  </si>
  <si>
    <t>UG-CEN-1910-013946</t>
  </si>
  <si>
    <t>Lukwago Abraham</t>
  </si>
  <si>
    <t>UG-CEN-1910-013949</t>
  </si>
  <si>
    <t>Kyanzi Isaac</t>
  </si>
  <si>
    <t>UG-CEN-1812-08357</t>
  </si>
  <si>
    <t>UG-CEN-1812-08564</t>
  </si>
  <si>
    <t>Consertium Kal</t>
  </si>
  <si>
    <t>UG-CEN-1910-013950</t>
  </si>
  <si>
    <t>Wandela Specioza</t>
  </si>
  <si>
    <t>UG-CEN-1910-013980</t>
  </si>
  <si>
    <t>Priscillian Heart Sacred</t>
  </si>
  <si>
    <t>Naava Zone</t>
  </si>
  <si>
    <t>UG-CEN-1910-013984</t>
  </si>
  <si>
    <t>Sekikubo Richard</t>
  </si>
  <si>
    <t>UG-CEN-1910-013985</t>
  </si>
  <si>
    <t>Veeramani Rajendiran</t>
  </si>
  <si>
    <t>Kiramata</t>
  </si>
  <si>
    <t>UG-CEN-1910-013986</t>
  </si>
  <si>
    <t>Kyangulanyi Ali Umar</t>
  </si>
  <si>
    <t>Kasambya- Nkubami</t>
  </si>
  <si>
    <t>UG-CEN-1910-013987</t>
  </si>
  <si>
    <t>Maama Naluboowa</t>
  </si>
  <si>
    <t>UG-CEN-1910-013989</t>
  </si>
  <si>
    <t>Robinah Nakamya</t>
  </si>
  <si>
    <t>UG-CEN-1901-07696</t>
  </si>
  <si>
    <t>Wachiemba Jonathan</t>
  </si>
  <si>
    <t>UG-CEN-1910-014503</t>
  </si>
  <si>
    <t>Ssambowa Mark</t>
  </si>
  <si>
    <t>Kyiwangara</t>
  </si>
  <si>
    <t>Lukindu</t>
  </si>
  <si>
    <t>Kamya Francis</t>
  </si>
  <si>
    <t>Kiboobi</t>
  </si>
  <si>
    <t>UG-CEN-1910-014510</t>
  </si>
  <si>
    <t>Nakintu Oliver</t>
  </si>
  <si>
    <t>UG-CEN-1910-07126</t>
  </si>
  <si>
    <t>Nakayima Mulongo Suzan</t>
  </si>
  <si>
    <t>Katoogo</t>
  </si>
  <si>
    <t>UG-CEN-1901-07866</t>
  </si>
  <si>
    <t>Buwule Priscillar</t>
  </si>
  <si>
    <t>Ggoma Division</t>
  </si>
  <si>
    <t>Nsambwe A</t>
  </si>
  <si>
    <t>UG-CEN-1902-013677</t>
  </si>
  <si>
    <t>Kubagye Abert Abert</t>
  </si>
  <si>
    <t>Kariro</t>
  </si>
  <si>
    <t>Burunga</t>
  </si>
  <si>
    <t>UG-CEN-1910-07737</t>
  </si>
  <si>
    <t>Atwiine Siraji</t>
  </si>
  <si>
    <t>Etamu</t>
  </si>
  <si>
    <t>Mbuuma</t>
  </si>
  <si>
    <t>Bujuuko</t>
  </si>
  <si>
    <t>UG-CEN-1910-07896</t>
  </si>
  <si>
    <t>Namata Regina Joan</t>
  </si>
  <si>
    <t>UG-CEN-1910-07897</t>
  </si>
  <si>
    <t>Namubiru Erina</t>
  </si>
  <si>
    <t>UG-CEN-1910-07899</t>
  </si>
  <si>
    <t>Kyabasinga Stephen</t>
  </si>
  <si>
    <t>Nsanji</t>
  </si>
  <si>
    <t>Katale Busawula</t>
  </si>
  <si>
    <t>UG-CEN-1910-08367</t>
  </si>
  <si>
    <t>Sande Fred</t>
  </si>
  <si>
    <t>Nagoje</t>
  </si>
  <si>
    <t>Namiyagi</t>
  </si>
  <si>
    <t>UG-CEN-1910-08578</t>
  </si>
  <si>
    <t>Mugerwa Andrew</t>
  </si>
  <si>
    <t>UG-CEN-1910-08579</t>
  </si>
  <si>
    <t>Abdullah Sekandi</t>
  </si>
  <si>
    <t>Busilo</t>
  </si>
  <si>
    <t>Memde</t>
  </si>
  <si>
    <t>Katubya</t>
  </si>
  <si>
    <t>UG-CEN-1911-013001</t>
  </si>
  <si>
    <t>Mukulu Allan</t>
  </si>
  <si>
    <t>Katosi</t>
  </si>
  <si>
    <t>UG-CEN-1911-013002</t>
  </si>
  <si>
    <t>Sekyanzi Bernard</t>
  </si>
  <si>
    <t>Kimaanya</t>
  </si>
  <si>
    <t>Kisuuna</t>
  </si>
  <si>
    <t>UG-CEN-1903-06383</t>
  </si>
  <si>
    <t>BEGL POULTRY FARM</t>
  </si>
  <si>
    <t>Zirombwe</t>
  </si>
  <si>
    <t>UG-CEN-1911-013004</t>
  </si>
  <si>
    <t>Tibenderana Henry</t>
  </si>
  <si>
    <t>UG-CEN-1911-013005</t>
  </si>
  <si>
    <t>Nakiganda Regina</t>
  </si>
  <si>
    <t>Nakatate</t>
  </si>
  <si>
    <t>Kyakanyonyi</t>
  </si>
  <si>
    <t>UG-CEN-1903-07169</t>
  </si>
  <si>
    <t>Charles Mwitanorwa</t>
  </si>
  <si>
    <t>Nalya</t>
  </si>
  <si>
    <t>UG-CEN-1911-013007</t>
  </si>
  <si>
    <t xml:space="preserve">Fr Jjumba Stephen </t>
  </si>
  <si>
    <t>Busimbi kasimbi</t>
  </si>
  <si>
    <t>UG-CEN-1911-013008</t>
  </si>
  <si>
    <t>Kizanye Jolly</t>
  </si>
  <si>
    <t>UG-CEN-1911-013010</t>
  </si>
  <si>
    <t>Ngabirano Arthur Bernard</t>
  </si>
  <si>
    <t>Bendegere</t>
  </si>
  <si>
    <t>UG-CEN-1911-013012</t>
  </si>
  <si>
    <t>Nagujja Zainab Hajjati</t>
  </si>
  <si>
    <t>UG-CEN-1911-013013</t>
  </si>
  <si>
    <t>Male Matia</t>
  </si>
  <si>
    <t>UG-CEN-1911-013014</t>
  </si>
  <si>
    <t>Kawuma Kizito</t>
  </si>
  <si>
    <t>UG-CEN-1911-013015</t>
  </si>
  <si>
    <t>Mayanja Robert</t>
  </si>
  <si>
    <t>Kakuta</t>
  </si>
  <si>
    <t>UG-CEN-1911-013016</t>
  </si>
  <si>
    <t>Senkindu Isaac (Plant 1)</t>
  </si>
  <si>
    <t>UG-CEN-1911-013017</t>
  </si>
  <si>
    <t>Katabaire Joy</t>
  </si>
  <si>
    <t>UG-CEN-1903-07716</t>
  </si>
  <si>
    <t>St. Joseph girls sss Apollo Kawuma</t>
  </si>
  <si>
    <t>Nsambya</t>
  </si>
  <si>
    <t>UG-CEN-1911-013018</t>
  </si>
  <si>
    <t>Muwonge Adonia</t>
  </si>
  <si>
    <t>UG-CEN-1911-013019</t>
  </si>
  <si>
    <t>Kizito Herman</t>
  </si>
  <si>
    <t>UG-CEN-1903-07872</t>
  </si>
  <si>
    <t>Mugula Joseph</t>
  </si>
  <si>
    <t>31.489758000000</t>
  </si>
  <si>
    <t>Kyamukama</t>
  </si>
  <si>
    <t>UG-CEN-1904-013966</t>
  </si>
  <si>
    <t>Muhaise John</t>
  </si>
  <si>
    <t>UG-CEN-1911-013020</t>
  </si>
  <si>
    <t>Nalongo Nassali Kimera</t>
  </si>
  <si>
    <t>Bukakata'4</t>
  </si>
  <si>
    <t>Bukakata'5</t>
  </si>
  <si>
    <t>UG-CEN-1911-013021</t>
  </si>
  <si>
    <t>Nkuba Godfrey</t>
  </si>
  <si>
    <t>UG-CEN-1911-013022</t>
  </si>
  <si>
    <t>Semakula Charles</t>
  </si>
  <si>
    <t>UG-CEN-1911-013907</t>
  </si>
  <si>
    <t>Elifaz Mubiru</t>
  </si>
  <si>
    <t>Kanoni</t>
  </si>
  <si>
    <t>UG-CEN-1911-013911</t>
  </si>
  <si>
    <t>John Minan</t>
  </si>
  <si>
    <t>Kakamba</t>
  </si>
  <si>
    <t>UG-CEN-1911-013922</t>
  </si>
  <si>
    <t>Sam Karuhanga</t>
  </si>
  <si>
    <t>Kanoguzi</t>
  </si>
  <si>
    <t>UG-CEN-1911-013944</t>
  </si>
  <si>
    <t>Lwagabo Sebastian</t>
  </si>
  <si>
    <t>Kisubi</t>
  </si>
  <si>
    <t>UG-CEN-1905-012461</t>
  </si>
  <si>
    <t>Bumba Saida (plant-2)</t>
  </si>
  <si>
    <t>UG-CEN-1911-013948</t>
  </si>
  <si>
    <t>Nalubega Annet Kajura</t>
  </si>
  <si>
    <t>UG-CEN-1911-013970</t>
  </si>
  <si>
    <t>Arimpa Brian</t>
  </si>
  <si>
    <t>Kajjansi TC</t>
  </si>
  <si>
    <t>Garuga</t>
  </si>
  <si>
    <t>UG-CEN-1911-013991</t>
  </si>
  <si>
    <t>Zephania Wasaka</t>
  </si>
  <si>
    <t>UG-CEN-1905-014501</t>
  </si>
  <si>
    <t>Kaitaita Ivan (Plant 2)</t>
  </si>
  <si>
    <t>0758113318</t>
  </si>
  <si>
    <t>0751379298</t>
  </si>
  <si>
    <t>UG-CEN-1911-013993</t>
  </si>
  <si>
    <t>Robert Ssajjabi</t>
  </si>
  <si>
    <t>Mpooma</t>
  </si>
  <si>
    <t>UG-CEN-1911-013994</t>
  </si>
  <si>
    <t>Paul Musoke</t>
  </si>
  <si>
    <t>Nabbanga</t>
  </si>
  <si>
    <t>UG-CEN-1911-013995</t>
  </si>
  <si>
    <t>Ndejje University</t>
  </si>
  <si>
    <t>UG-CEN-1911-014502</t>
  </si>
  <si>
    <t>Suuna Devid</t>
  </si>
  <si>
    <t>Kanbalebugozi</t>
  </si>
  <si>
    <t>Kabugozi</t>
  </si>
  <si>
    <t>UG-CEN-1911-014506</t>
  </si>
  <si>
    <t>Matovu John</t>
  </si>
  <si>
    <t>Nakibizzi</t>
  </si>
  <si>
    <t>UG-CEN-1911-017801</t>
  </si>
  <si>
    <t>Nangendo Bagonza Catherine</t>
  </si>
  <si>
    <t>Kituba</t>
  </si>
  <si>
    <t>UG-CEN-1911-017802</t>
  </si>
  <si>
    <t>Ddungu Salongo Peter</t>
  </si>
  <si>
    <t>Mateete</t>
  </si>
  <si>
    <t>UG-CEN-1911-017803</t>
  </si>
  <si>
    <t>Ssemakula Charles Muganwa (Plant 1)</t>
  </si>
  <si>
    <t>Mwererwe iv</t>
  </si>
  <si>
    <t>UG-CEN-1911-9872</t>
  </si>
  <si>
    <t>Mazima Peter</t>
  </si>
  <si>
    <t>Kisigula</t>
  </si>
  <si>
    <t>UG-CEN-1912-013024</t>
  </si>
  <si>
    <t>Kisekka Ponsiano</t>
  </si>
  <si>
    <t>Ggangu</t>
  </si>
  <si>
    <t>UG-CEN-1912-013026</t>
  </si>
  <si>
    <t>Baitwabusa Annette</t>
  </si>
  <si>
    <t>Kitukutwe</t>
  </si>
  <si>
    <t>UG-CEN-1912-013029</t>
  </si>
  <si>
    <t>Sekitto Isa</t>
  </si>
  <si>
    <t>UG-CEN-1912-013030</t>
  </si>
  <si>
    <t xml:space="preserve">Kibirige David </t>
  </si>
  <si>
    <t>0706481566</t>
  </si>
  <si>
    <t>UG-CEN-1912-013031</t>
  </si>
  <si>
    <t>Arineitwe Joseph</t>
  </si>
  <si>
    <t>Kagalama</t>
  </si>
  <si>
    <t>UG-CEN-1912-013034</t>
  </si>
  <si>
    <t>Nansubuga Annet</t>
  </si>
  <si>
    <t>Wabitamba</t>
  </si>
  <si>
    <t>UG-CEN-1906-07727</t>
  </si>
  <si>
    <t>Nsubuga Solome</t>
  </si>
  <si>
    <t>UG-CEN-1912-013038</t>
  </si>
  <si>
    <t xml:space="preserve">Nakibinge Mulangira </t>
  </si>
  <si>
    <t>0752611801</t>
  </si>
  <si>
    <t>UG-CEN-1912-013040</t>
  </si>
  <si>
    <t xml:space="preserve">Ssali Joel </t>
  </si>
  <si>
    <t>Vvumba</t>
  </si>
  <si>
    <t>UG-CEN-1912-013041</t>
  </si>
  <si>
    <t xml:space="preserve">Mbabazi Kesiime </t>
  </si>
  <si>
    <t>0772990977</t>
  </si>
  <si>
    <t>Nambigirwa</t>
  </si>
  <si>
    <t>UG-CEN-1912-013416</t>
  </si>
  <si>
    <t xml:space="preserve">George Kyalikunda </t>
  </si>
  <si>
    <t>0772930979</t>
  </si>
  <si>
    <t>0782246767</t>
  </si>
  <si>
    <t>Kyadondo North</t>
  </si>
  <si>
    <t>Bamba</t>
  </si>
  <si>
    <t>UG-CEN-1912-013418</t>
  </si>
  <si>
    <t xml:space="preserve">Wamukota George </t>
  </si>
  <si>
    <t>0782594875</t>
  </si>
  <si>
    <t>Mukono Municipality</t>
  </si>
  <si>
    <t>UG-CEN-1912-013903</t>
  </si>
  <si>
    <t xml:space="preserve">Bakesiga Martin </t>
  </si>
  <si>
    <t>0772312099</t>
  </si>
  <si>
    <t>UG-CEN-1912-013997</t>
  </si>
  <si>
    <t>Kyeyune Robinah</t>
  </si>
  <si>
    <t>UG-CEN-1912-013999</t>
  </si>
  <si>
    <t>Ssemalulu Arthur</t>
  </si>
  <si>
    <t>Bukerere</t>
  </si>
  <si>
    <t>Kiwango</t>
  </si>
  <si>
    <t>UG-CEN-1912-014000</t>
  </si>
  <si>
    <t>Magoma Organic Farm</t>
  </si>
  <si>
    <t>Kiwoko</t>
  </si>
  <si>
    <t>Magoma</t>
  </si>
  <si>
    <t>UG-CEN-1912-017805</t>
  </si>
  <si>
    <t>Kagumba Elukana</t>
  </si>
  <si>
    <t>Nakseke</t>
  </si>
  <si>
    <t>Nakaseke T/c</t>
  </si>
  <si>
    <t>UG-CEN-1912-017806</t>
  </si>
  <si>
    <t>Elizabeth Nalubi</t>
  </si>
  <si>
    <t>UG-CEN-1912-017807</t>
  </si>
  <si>
    <t>Sonko Joseph</t>
  </si>
  <si>
    <t>Nankuwadde</t>
  </si>
  <si>
    <t>UG-CEN-1912-017808</t>
  </si>
  <si>
    <t xml:space="preserve">Kibira Goefrey </t>
  </si>
  <si>
    <t>0700647661</t>
  </si>
  <si>
    <t>0772473253</t>
  </si>
  <si>
    <t>UG-CEN-1907-014509</t>
  </si>
  <si>
    <t>Ssegendo John Bosco</t>
  </si>
  <si>
    <t>Kyinyama</t>
  </si>
  <si>
    <t>UG-CEN-1912-018452</t>
  </si>
  <si>
    <t>Bukirwa Sarah</t>
  </si>
  <si>
    <t>UG-CEN-1912-018453</t>
  </si>
  <si>
    <t>Hajjati Nalukenge</t>
  </si>
  <si>
    <t>Wambale</t>
  </si>
  <si>
    <t>UG-CEN-1912-018461</t>
  </si>
  <si>
    <t xml:space="preserve">Serena Kamya </t>
  </si>
  <si>
    <t>0777120403</t>
  </si>
  <si>
    <t>Busegula</t>
  </si>
  <si>
    <t>UG-CEN-1912-018462</t>
  </si>
  <si>
    <t>Mugisa Allan Plant 1</t>
  </si>
  <si>
    <t>0751502120</t>
  </si>
  <si>
    <t>Buweekula</t>
  </si>
  <si>
    <t>UG-CEN-1912-07123</t>
  </si>
  <si>
    <t>Nantongo Gertrude</t>
  </si>
  <si>
    <t>Nabanze</t>
  </si>
  <si>
    <t>UG-CEN-1912-07870</t>
  </si>
  <si>
    <t>Karukubira Charles</t>
  </si>
  <si>
    <t>Najjeera</t>
  </si>
  <si>
    <t>UG-CEN-1912-08582</t>
  </si>
  <si>
    <t xml:space="preserve">Samuel Kangave </t>
  </si>
  <si>
    <t>0782752148</t>
  </si>
  <si>
    <t>Kireka</t>
  </si>
  <si>
    <t>Kasokoso</t>
  </si>
  <si>
    <t>UG-CEN-1912-9873</t>
  </si>
  <si>
    <t>Balungi Paul</t>
  </si>
  <si>
    <t>Njeru minicipality</t>
  </si>
  <si>
    <t>UG-CEN-2001-014512</t>
  </si>
  <si>
    <t>Ssekyewa George William</t>
  </si>
  <si>
    <t>0778970249</t>
  </si>
  <si>
    <t>0702410398</t>
  </si>
  <si>
    <t>Jangu</t>
  </si>
  <si>
    <t>UG-CEN-2001-014513</t>
  </si>
  <si>
    <t>Mze lubega Josephant</t>
  </si>
  <si>
    <t>Nabingasa</t>
  </si>
  <si>
    <t>Kibozi</t>
  </si>
  <si>
    <t>UG-CEN-2001-014515</t>
  </si>
  <si>
    <t>Tendo Nabwanka</t>
  </si>
  <si>
    <t>Kabala</t>
  </si>
  <si>
    <t>UG-CEN-2001-018455</t>
  </si>
  <si>
    <t xml:space="preserve">Mawejje Frank </t>
  </si>
  <si>
    <t>0772098149</t>
  </si>
  <si>
    <t>0705507985</t>
  </si>
  <si>
    <t>Kiti zone A</t>
  </si>
  <si>
    <t>UG-CEN-2001-018464</t>
  </si>
  <si>
    <t>Mwine Isaac Rubega</t>
  </si>
  <si>
    <t>0772910385</t>
  </si>
  <si>
    <t>Matugo</t>
  </si>
  <si>
    <t>UG-CEN-2001-018465</t>
  </si>
  <si>
    <t>Kakande William Mugabi</t>
  </si>
  <si>
    <t>0776861944</t>
  </si>
  <si>
    <t>Bumpejje</t>
  </si>
  <si>
    <t>UG-CEN-2001-022351</t>
  </si>
  <si>
    <t xml:space="preserve">Kataleka Godfrey </t>
  </si>
  <si>
    <t>0703098573</t>
  </si>
  <si>
    <t>0703833391</t>
  </si>
  <si>
    <t>Busuulwa George</t>
  </si>
  <si>
    <t>UG-CEN-2001-17810</t>
  </si>
  <si>
    <t>Kayongo Maria Nagujja</t>
  </si>
  <si>
    <t>0752644416</t>
  </si>
  <si>
    <t>UG-CEN-2001-17811</t>
  </si>
  <si>
    <t>Dr.  Rita Kibuuka Musoke</t>
  </si>
  <si>
    <t>0700408032</t>
  </si>
  <si>
    <t>0772438824</t>
  </si>
  <si>
    <t>Masiro Zone III</t>
  </si>
  <si>
    <t>UG-CEN-2002-017813</t>
  </si>
  <si>
    <t xml:space="preserve">Njuba Charles </t>
  </si>
  <si>
    <t>0782945418</t>
  </si>
  <si>
    <t>Ssakabusolo</t>
  </si>
  <si>
    <t>UG-CEN-2002-018466</t>
  </si>
  <si>
    <t>Bumeketo Farm Mixed</t>
  </si>
  <si>
    <t>Bumeketo</t>
  </si>
  <si>
    <t>UG-CEN-2002-018469</t>
  </si>
  <si>
    <t xml:space="preserve">James Jjumba </t>
  </si>
  <si>
    <t>Kiyana-KitaNswa</t>
  </si>
  <si>
    <t>UG-CEN-2002-018470</t>
  </si>
  <si>
    <t xml:space="preserve">Mukiibi Kayeba </t>
  </si>
  <si>
    <t>UG-CEN-2002-022353</t>
  </si>
  <si>
    <t xml:space="preserve">Haman Kityo </t>
  </si>
  <si>
    <t>0772890279</t>
  </si>
  <si>
    <t>0704911238</t>
  </si>
  <si>
    <t>Kawempe west</t>
  </si>
  <si>
    <t>Kyanja katuba zone</t>
  </si>
  <si>
    <t>Kisekka Paul (MM Farm)</t>
  </si>
  <si>
    <t>Nzigola</t>
  </si>
  <si>
    <t>UG-CEN-2002-08583</t>
  </si>
  <si>
    <t>Lubowa Eriasafu</t>
  </si>
  <si>
    <t>0782415532</t>
  </si>
  <si>
    <t>UG-CEN-2003-013049</t>
  </si>
  <si>
    <t xml:space="preserve">Sengendo Ritah </t>
  </si>
  <si>
    <t>Masuulita</t>
  </si>
  <si>
    <t>Wabiyinga</t>
  </si>
  <si>
    <t>UG-CEN-2003-014595</t>
  </si>
  <si>
    <t>Myers Tumukunde Murumu</t>
  </si>
  <si>
    <t>Nangambo</t>
  </si>
  <si>
    <t>Kimanyi</t>
  </si>
  <si>
    <t>UG-CEN-2003-017903</t>
  </si>
  <si>
    <t xml:space="preserve">Kakande Godfrey </t>
  </si>
  <si>
    <t>0751836829</t>
  </si>
  <si>
    <t>Mawokota nirth</t>
  </si>
  <si>
    <t>Seeta-Ggoli</t>
  </si>
  <si>
    <t>UG-CEN-2003-017905</t>
  </si>
  <si>
    <t>Mulondo William George</t>
  </si>
  <si>
    <t>0773794700</t>
  </si>
  <si>
    <t>Butoro</t>
  </si>
  <si>
    <t>UG-CEN-2003-017906</t>
  </si>
  <si>
    <t xml:space="preserve">Kamya Kruwodo </t>
  </si>
  <si>
    <t>0775940125</t>
  </si>
  <si>
    <t>Nabukeera Annet</t>
  </si>
  <si>
    <t>Busi</t>
  </si>
  <si>
    <t>Bugera</t>
  </si>
  <si>
    <t>UG-CEN-2003-018011</t>
  </si>
  <si>
    <t xml:space="preserve">Mugisha Habart </t>
  </si>
  <si>
    <t>0772955487</t>
  </si>
  <si>
    <t>Bataka</t>
  </si>
  <si>
    <t>UG-CEN-2003-018012</t>
  </si>
  <si>
    <t xml:space="preserve">Musiime Anest </t>
  </si>
  <si>
    <t>Kyadondo north</t>
  </si>
  <si>
    <t>UG-CEN-2003-018468</t>
  </si>
  <si>
    <t xml:space="preserve">Natema Josephine </t>
  </si>
  <si>
    <t>UG-CEN-2003-018472</t>
  </si>
  <si>
    <t xml:space="preserve">William Bagatya </t>
  </si>
  <si>
    <t>0757378287</t>
  </si>
  <si>
    <t>Ntinda zone</t>
  </si>
  <si>
    <t>Chiseveni Turyasingura</t>
  </si>
  <si>
    <t>Mawotto</t>
  </si>
  <si>
    <t>UG-CEN-2004-017901</t>
  </si>
  <si>
    <t xml:space="preserve">Nakayiza Saida </t>
  </si>
  <si>
    <t>0755352372</t>
  </si>
  <si>
    <t>Kisaka</t>
  </si>
  <si>
    <t>Nakalembe</t>
  </si>
  <si>
    <t>UG-CEN-2004-017904</t>
  </si>
  <si>
    <t xml:space="preserve">Mutabaazi Richard </t>
  </si>
  <si>
    <t>0751558467</t>
  </si>
  <si>
    <t>Kyadonddo</t>
  </si>
  <si>
    <t>UG-CEN-2004-07174</t>
  </si>
  <si>
    <t>Sarah John Ssebagara</t>
  </si>
  <si>
    <t>+256701885230</t>
  </si>
  <si>
    <t>0708988232</t>
  </si>
  <si>
    <t>Kajansi</t>
  </si>
  <si>
    <t>Kasuku</t>
  </si>
  <si>
    <t>UG-CEN-2005-017908</t>
  </si>
  <si>
    <t xml:space="preserve">Mutebi John </t>
  </si>
  <si>
    <t>0755841842</t>
  </si>
  <si>
    <t>0787227761</t>
  </si>
  <si>
    <t>UG-CEN-2005-017910</t>
  </si>
  <si>
    <t xml:space="preserve">Bwami Pross </t>
  </si>
  <si>
    <t>0773223334</t>
  </si>
  <si>
    <t>0755177446</t>
  </si>
  <si>
    <t>UG-CEN-2005-018471</t>
  </si>
  <si>
    <t xml:space="preserve">Florence Kabasinguzi </t>
  </si>
  <si>
    <t>0751812822</t>
  </si>
  <si>
    <t>UG-CEN-2006-013419</t>
  </si>
  <si>
    <t xml:space="preserve">Mwanje Michael </t>
  </si>
  <si>
    <t>0787417119</t>
  </si>
  <si>
    <t>Nakawuka</t>
  </si>
  <si>
    <t>Namulugo</t>
  </si>
  <si>
    <t>UG-CEN-2006-013420</t>
  </si>
  <si>
    <t xml:space="preserve">Bikaali Jonathan </t>
  </si>
  <si>
    <t>0782881734</t>
  </si>
  <si>
    <t>SSisa</t>
  </si>
  <si>
    <t>Budaniel</t>
  </si>
  <si>
    <t>UG-CEN-2006-013424</t>
  </si>
  <si>
    <t xml:space="preserve">SECILIA KIWANUKA </t>
  </si>
  <si>
    <t>+256702290626</t>
  </si>
  <si>
    <t>0708078236</t>
  </si>
  <si>
    <t>Wabitungulu</t>
  </si>
  <si>
    <t>UG-CEN-2006-017909</t>
  </si>
  <si>
    <t xml:space="preserve">Tumusiime Edmund </t>
  </si>
  <si>
    <t>0778390876</t>
  </si>
  <si>
    <t>0705864354</t>
  </si>
  <si>
    <t>UG-CEN-1908-07883</t>
  </si>
  <si>
    <t>Client blocked both inlet and outlet because of foul smell since he was usin pig waste and over feeding it, even when BCE ECOSAFE tried to intervene, client refused</t>
  </si>
  <si>
    <t xml:space="preserve">Wandyaka Andrew </t>
  </si>
  <si>
    <t>Nakwero B</t>
  </si>
  <si>
    <t>UG-CEN-2006-017913</t>
  </si>
  <si>
    <t xml:space="preserve">Mbubura James </t>
  </si>
  <si>
    <t>+256773304571</t>
  </si>
  <si>
    <t>UG-CEN-1908-07885</t>
  </si>
  <si>
    <t>Institutional Plant</t>
  </si>
  <si>
    <t>Makerere University Waste Management Center</t>
  </si>
  <si>
    <t>Kabanyoro</t>
  </si>
  <si>
    <t>UG-CEN-2006-018474</t>
  </si>
  <si>
    <t xml:space="preserve">Hajjati Ssula </t>
  </si>
  <si>
    <t>0772406066</t>
  </si>
  <si>
    <t>0757349887</t>
  </si>
  <si>
    <t>UG-CEN-2007-014478</t>
  </si>
  <si>
    <t xml:space="preserve">Muyingo Eric </t>
  </si>
  <si>
    <t>Kyandondo east</t>
  </si>
  <si>
    <t>Nabutiiti</t>
  </si>
  <si>
    <t>Buramu</t>
  </si>
  <si>
    <t>Simon Mukasa Magembe</t>
  </si>
  <si>
    <t>0776899630</t>
  </si>
  <si>
    <t>0772833779</t>
  </si>
  <si>
    <t>UG-CEN-1909-013412</t>
  </si>
  <si>
    <t>Kibirige Memorial Primary School (Plant 2)</t>
  </si>
  <si>
    <t>UG-CEN-2007-017814</t>
  </si>
  <si>
    <t>Nalumu Marie Ann</t>
  </si>
  <si>
    <t>0776228837</t>
  </si>
  <si>
    <t>0703921220</t>
  </si>
  <si>
    <t>UG-CEN-2007-017819</t>
  </si>
  <si>
    <t xml:space="preserve">Magrat Nanfuka </t>
  </si>
  <si>
    <t>0754788089</t>
  </si>
  <si>
    <t>UG-CEN-2007-017907</t>
  </si>
  <si>
    <t xml:space="preserve">Mpora mpora Alex </t>
  </si>
  <si>
    <t>UG-CEN-2007-017911</t>
  </si>
  <si>
    <t xml:space="preserve">Kiragga James </t>
  </si>
  <si>
    <t>UG-CEN-2007-017915</t>
  </si>
  <si>
    <t xml:space="preserve">Niwamanya Gracious </t>
  </si>
  <si>
    <t>UG-CEN-2007-017916</t>
  </si>
  <si>
    <t xml:space="preserve">Nalweyiso Regis </t>
  </si>
  <si>
    <t>Namugongo</t>
  </si>
  <si>
    <t>UG-CEN-2007-017917</t>
  </si>
  <si>
    <t xml:space="preserve">Nakayenga Faridah </t>
  </si>
  <si>
    <t>0703700755</t>
  </si>
  <si>
    <t>UG-CEN-2007-017918</t>
  </si>
  <si>
    <t xml:space="preserve">Lutaaya Moses </t>
  </si>
  <si>
    <t>Nkuluma kiteredde</t>
  </si>
  <si>
    <t>UG-CEN-2007-017919</t>
  </si>
  <si>
    <t>Makumbi William George</t>
  </si>
  <si>
    <t>Ntinzi</t>
  </si>
  <si>
    <t>UG-CEN-2007-017921</t>
  </si>
  <si>
    <t xml:space="preserve">Bukenya Simeo </t>
  </si>
  <si>
    <t>07013125020</t>
  </si>
  <si>
    <t>Nkozi-Nundu</t>
  </si>
  <si>
    <t>UG-CEN-2007-018473</t>
  </si>
  <si>
    <t xml:space="preserve">Nabaasa Caroline </t>
  </si>
  <si>
    <t>Nakuwade</t>
  </si>
  <si>
    <t>Bulalabo</t>
  </si>
  <si>
    <t>UG-CEN-2007-018476</t>
  </si>
  <si>
    <t>Kiwome Christopher</t>
  </si>
  <si>
    <t>Byafula</t>
  </si>
  <si>
    <t>Kitooke</t>
  </si>
  <si>
    <t>UG-CEN-2007-018478</t>
  </si>
  <si>
    <t xml:space="preserve">Olumu Walter </t>
  </si>
  <si>
    <t>0702200661</t>
  </si>
  <si>
    <t>Namwezi Eatate</t>
  </si>
  <si>
    <t>UG-CEN-2007-018480</t>
  </si>
  <si>
    <t xml:space="preserve">Lutalo Becker </t>
  </si>
  <si>
    <t>0701058131</t>
  </si>
  <si>
    <t>UG-CEN-2008-013421</t>
  </si>
  <si>
    <t>MOSES KIBUUKA SALONGO</t>
  </si>
  <si>
    <t>0777459767</t>
  </si>
  <si>
    <t>BUSIRO SOUTH</t>
  </si>
  <si>
    <t>SABAWAALI</t>
  </si>
  <si>
    <t>BUNJO</t>
  </si>
  <si>
    <t>UG-CEN-2008-013422</t>
  </si>
  <si>
    <t xml:space="preserve">Sara Mubiru </t>
  </si>
  <si>
    <t>0752460912</t>
  </si>
  <si>
    <t>0782460912</t>
  </si>
  <si>
    <t>KAJANSI MUNICIPALITY</t>
  </si>
  <si>
    <t>SSISA</t>
  </si>
  <si>
    <t>UG-CEN-2008-013423</t>
  </si>
  <si>
    <t xml:space="preserve">POLYCARP SSEGAWA </t>
  </si>
  <si>
    <t>0782155536</t>
  </si>
  <si>
    <t>0702155536</t>
  </si>
  <si>
    <t>Kitale</t>
  </si>
  <si>
    <t>UG-CEN-2008-017824</t>
  </si>
  <si>
    <t>Mukasa Mawuya (Kapeeka Agro and Livestock Farm)</t>
  </si>
  <si>
    <t>0754831157</t>
  </si>
  <si>
    <t>Nakaseke South</t>
  </si>
  <si>
    <t>Kizzikibi</t>
  </si>
  <si>
    <t>UG-CEN-2008-017920</t>
  </si>
  <si>
    <t xml:space="preserve">Bukenya Ben </t>
  </si>
  <si>
    <t>Nkoni</t>
  </si>
  <si>
    <t>UG-CEN-2008-017922</t>
  </si>
  <si>
    <t xml:space="preserve">Bulwanyi Achilles </t>
  </si>
  <si>
    <t>Ttaba binzi</t>
  </si>
  <si>
    <t>UG-CEN-2008-017924</t>
  </si>
  <si>
    <t xml:space="preserve">Kabagambe Emmanuel </t>
  </si>
  <si>
    <t>0772468574</t>
  </si>
  <si>
    <t>Kwaggwe</t>
  </si>
  <si>
    <t>UG-CEN-2008-017925</t>
  </si>
  <si>
    <t xml:space="preserve">Kaitura Sarah </t>
  </si>
  <si>
    <t>0773295078</t>
  </si>
  <si>
    <t>UG-CEN-2008-017926</t>
  </si>
  <si>
    <t xml:space="preserve">Nambooze Kevin </t>
  </si>
  <si>
    <t>0770734036</t>
  </si>
  <si>
    <t>Waluleeta</t>
  </si>
  <si>
    <t>UG-CEN-2008-017927</t>
  </si>
  <si>
    <t xml:space="preserve">Mpagi Mariam </t>
  </si>
  <si>
    <t>Kiweesa</t>
  </si>
  <si>
    <t>UG-CEN-2008-017928</t>
  </si>
  <si>
    <t xml:space="preserve">Matovu Ismah </t>
  </si>
  <si>
    <t>UG-CEN-2008-017930</t>
  </si>
  <si>
    <t xml:space="preserve">Muyise Mzee </t>
  </si>
  <si>
    <t>UG-CEN-2008-018479</t>
  </si>
  <si>
    <t xml:space="preserve">Namuwa Farm </t>
  </si>
  <si>
    <t>Busiro Kyadondo East</t>
  </si>
  <si>
    <t>UG-CEN-1909-08576</t>
  </si>
  <si>
    <t>Natures Earomos</t>
  </si>
  <si>
    <t>Nagarama</t>
  </si>
  <si>
    <t>Bulimo</t>
  </si>
  <si>
    <t>UG-CEN-2008-018483</t>
  </si>
  <si>
    <t xml:space="preserve">Yasin Ntege </t>
  </si>
  <si>
    <t>Kyeggwe</t>
  </si>
  <si>
    <t>Bbb</t>
  </si>
  <si>
    <t>Kirijja Byafula</t>
  </si>
  <si>
    <t>UG-CEN-2009-013425</t>
  </si>
  <si>
    <t xml:space="preserve">Annet Nalukwago </t>
  </si>
  <si>
    <t>+256779597504</t>
  </si>
  <si>
    <t>0751703415</t>
  </si>
  <si>
    <t>Bumpenje-Kaama</t>
  </si>
  <si>
    <t>UG-CEN-2009-017821</t>
  </si>
  <si>
    <t xml:space="preserve">Uganda Industrial Research Institute </t>
  </si>
  <si>
    <t>0779204071</t>
  </si>
  <si>
    <t>Nakawa 11</t>
  </si>
  <si>
    <t>Nakawa industrial area</t>
  </si>
  <si>
    <t>UG-CEN-2009-017823</t>
  </si>
  <si>
    <t xml:space="preserve">Rev. Lutaaya Emmanuel </t>
  </si>
  <si>
    <t>0753190560</t>
  </si>
  <si>
    <t>0782190560</t>
  </si>
  <si>
    <t>UG-CEN-1909-7891</t>
  </si>
  <si>
    <t>It was removed and given to another farmer in the names of Ndagire Sophia in Dec 2020</t>
  </si>
  <si>
    <t>Lugoloobi Lawrence</t>
  </si>
  <si>
    <t>Kiyanja LCI</t>
  </si>
  <si>
    <t>UG-CEN-2009-017825</t>
  </si>
  <si>
    <t>Nyakiru Paul Kamuntu</t>
  </si>
  <si>
    <t>0777723262</t>
  </si>
  <si>
    <t>Nyabikanda</t>
  </si>
  <si>
    <t>UG-CEN-1910-012490</t>
  </si>
  <si>
    <t xml:space="preserve">Masaka School  For Deaf (plant2) </t>
  </si>
  <si>
    <t>UG-CEN-1910-012498</t>
  </si>
  <si>
    <t>Bishop Ssenyonjo Primary school (Plant 2)</t>
  </si>
  <si>
    <t>UG-CEN-2009-017826</t>
  </si>
  <si>
    <t xml:space="preserve">Sserubiri Jimmy </t>
  </si>
  <si>
    <t>0772488918</t>
  </si>
  <si>
    <t>0702488918</t>
  </si>
  <si>
    <t>Kitemya</t>
  </si>
  <si>
    <t>UG-CEN-2009-017827</t>
  </si>
  <si>
    <t xml:space="preserve">Mugarura Martin </t>
  </si>
  <si>
    <t>0703614712</t>
  </si>
  <si>
    <t>Nakigalala</t>
  </si>
  <si>
    <t>Magota</t>
  </si>
  <si>
    <t>UG-CEN-2009-017829</t>
  </si>
  <si>
    <t xml:space="preserve">Ssali Franklin </t>
  </si>
  <si>
    <t>0702404584</t>
  </si>
  <si>
    <t>Kiwugo</t>
  </si>
  <si>
    <t>UG-CEN-2009-017932</t>
  </si>
  <si>
    <t>Luwalala Solomon Kijaala</t>
  </si>
  <si>
    <t>0752346543</t>
  </si>
  <si>
    <t>Makumbi Badru Councillor</t>
  </si>
  <si>
    <t>0705738107</t>
  </si>
  <si>
    <t>Mpigi T.C</t>
  </si>
  <si>
    <t>Mawoonve</t>
  </si>
  <si>
    <t>UG-CEN-1910-013926</t>
  </si>
  <si>
    <t>Ssendi Jvinani</t>
  </si>
  <si>
    <t>UG-CEN-2009-018024</t>
  </si>
  <si>
    <t xml:space="preserve">Kyeyune Jonathan </t>
  </si>
  <si>
    <t>0772412081</t>
  </si>
  <si>
    <t>UG-CEN-2009-08585</t>
  </si>
  <si>
    <t xml:space="preserve">Elly Tumuramye </t>
  </si>
  <si>
    <t>0782693089</t>
  </si>
  <si>
    <t>0701693081</t>
  </si>
  <si>
    <t>Namatamba</t>
  </si>
  <si>
    <t>UG-CEN-2010-017822</t>
  </si>
  <si>
    <t xml:space="preserve">Bakaze Elyeza </t>
  </si>
  <si>
    <t>0785171929</t>
  </si>
  <si>
    <t>Kasenene</t>
  </si>
  <si>
    <t>UG-CEN-2010-017830</t>
  </si>
  <si>
    <t xml:space="preserve">Ruth Angina </t>
  </si>
  <si>
    <t>0787410808</t>
  </si>
  <si>
    <t>0755679822</t>
  </si>
  <si>
    <t>Nabiyagi</t>
  </si>
  <si>
    <t>UG-CEN-2010-017935</t>
  </si>
  <si>
    <t xml:space="preserve">Musoke Twaha </t>
  </si>
  <si>
    <t>0753514806</t>
  </si>
  <si>
    <t>Bukoonoka</t>
  </si>
  <si>
    <t>UG-CEN-2010-017936</t>
  </si>
  <si>
    <t xml:space="preserve">Shaban Hajji </t>
  </si>
  <si>
    <t>0794332057</t>
  </si>
  <si>
    <t>UG-CEN-2010-017937</t>
  </si>
  <si>
    <t xml:space="preserve">Mugume George </t>
  </si>
  <si>
    <t>0705586015</t>
  </si>
  <si>
    <t>UG-CEN-2010-017938</t>
  </si>
  <si>
    <t xml:space="preserve">Mr matovu Jackson </t>
  </si>
  <si>
    <t>+256701863252</t>
  </si>
  <si>
    <t>0782863252</t>
  </si>
  <si>
    <t>UG-CEN-2010-017939</t>
  </si>
  <si>
    <t xml:space="preserve">Kusasira Ezekeri </t>
  </si>
  <si>
    <t>0759498862</t>
  </si>
  <si>
    <t>Biyanja</t>
  </si>
  <si>
    <t>UG-CEN-2010-017941</t>
  </si>
  <si>
    <t xml:space="preserve">Mwerekande Father </t>
  </si>
  <si>
    <t>0704699445</t>
  </si>
  <si>
    <t>0776960629</t>
  </si>
  <si>
    <t>UG-CEN-2010-017942</t>
  </si>
  <si>
    <t>Kakembo Godfrey Chairman</t>
  </si>
  <si>
    <t>0759916598</t>
  </si>
  <si>
    <t>0758092448</t>
  </si>
  <si>
    <t>UG-CEN-2010-017943</t>
  </si>
  <si>
    <t xml:space="preserve">Kushaba Ronald </t>
  </si>
  <si>
    <t>0752564173</t>
  </si>
  <si>
    <t>0706930834</t>
  </si>
  <si>
    <t>Nakitembe</t>
  </si>
  <si>
    <t>UG-CEN-1910-013947</t>
  </si>
  <si>
    <t>Tumusiime Joyce</t>
  </si>
  <si>
    <t>UG-CEN-2010-018488</t>
  </si>
  <si>
    <t xml:space="preserve">Senyonga Emmanuel </t>
  </si>
  <si>
    <t>0774190366</t>
  </si>
  <si>
    <t>0750190366</t>
  </si>
  <si>
    <t xml:space="preserve">Bayeza Jane </t>
  </si>
  <si>
    <t>0776658370</t>
  </si>
  <si>
    <t>0704578970</t>
  </si>
  <si>
    <t>Kabaga kayanga</t>
  </si>
  <si>
    <t xml:space="preserve">Mubarak Sahad </t>
  </si>
  <si>
    <t>+256758336803</t>
  </si>
  <si>
    <t>0758336803</t>
  </si>
  <si>
    <t>Kasangati town</t>
  </si>
  <si>
    <t>Kabbubu</t>
  </si>
  <si>
    <t xml:space="preserve">Apuli Evelyn </t>
  </si>
  <si>
    <t>0772423948/706122222</t>
  </si>
  <si>
    <t>0774637996</t>
  </si>
  <si>
    <t>Massajja</t>
  </si>
  <si>
    <t>UG-CEN-2011-017831</t>
  </si>
  <si>
    <t xml:space="preserve">Karegyesa Henry </t>
  </si>
  <si>
    <t>0705812731</t>
  </si>
  <si>
    <t>0784636262</t>
  </si>
  <si>
    <t>Gomba West</t>
  </si>
  <si>
    <t>Kantunku</t>
  </si>
  <si>
    <t>UG-CEN-2011-017945</t>
  </si>
  <si>
    <t>Agali awamu Muwonge CEG</t>
  </si>
  <si>
    <t>0781924707</t>
  </si>
  <si>
    <t>0772681633</t>
  </si>
  <si>
    <t>Buyiwa</t>
  </si>
  <si>
    <t>UG-CEN-2012-017835</t>
  </si>
  <si>
    <t>Kanyesigye Rullonga Monicah</t>
  </si>
  <si>
    <t>0782053697</t>
  </si>
  <si>
    <t>Bbunga</t>
  </si>
  <si>
    <t>UG-CEN-2012-017836</t>
  </si>
  <si>
    <t>Senfuka Kalule Jackson</t>
  </si>
  <si>
    <t>0701002000</t>
  </si>
  <si>
    <t>0703435185</t>
  </si>
  <si>
    <t>Mukalazi zone</t>
  </si>
  <si>
    <t>UG-CEN-2012-017946</t>
  </si>
  <si>
    <t>Kanyike Meddie Hajji</t>
  </si>
  <si>
    <t>0702294696</t>
  </si>
  <si>
    <t>0772570234</t>
  </si>
  <si>
    <t>UG-CEN-2012-017947</t>
  </si>
  <si>
    <t>Kigozi William</t>
  </si>
  <si>
    <t>0772400285</t>
  </si>
  <si>
    <t>UG-CEN-2012-017949</t>
  </si>
  <si>
    <t xml:space="preserve">Nalugwa Alizik </t>
  </si>
  <si>
    <t>0756516411</t>
  </si>
  <si>
    <t>0751045087</t>
  </si>
  <si>
    <t>UG-CEN-2012-017950</t>
  </si>
  <si>
    <t>Karusya Kenneth</t>
  </si>
  <si>
    <t>0772568366</t>
  </si>
  <si>
    <t>0701568366</t>
  </si>
  <si>
    <t>UG-CEN-2012-018402</t>
  </si>
  <si>
    <t>Kalungi Deo Plant 1</t>
  </si>
  <si>
    <t>0772558732</t>
  </si>
  <si>
    <t>0706184379</t>
  </si>
  <si>
    <t>UG-CEN-2012-018404</t>
  </si>
  <si>
    <t>Malikidogo Moses</t>
  </si>
  <si>
    <t>0706787077</t>
  </si>
  <si>
    <t>Kiryante</t>
  </si>
  <si>
    <t>UG-CEN-2012-018407</t>
  </si>
  <si>
    <t xml:space="preserve">Kizza David </t>
  </si>
  <si>
    <t>00772612509</t>
  </si>
  <si>
    <t>UG-CEN-2012-02517</t>
  </si>
  <si>
    <t xml:space="preserve">Ndagire Sophia </t>
  </si>
  <si>
    <t>0704571766</t>
  </si>
  <si>
    <t>Nandagira</t>
  </si>
  <si>
    <t>UG-CEN-2101-013613</t>
  </si>
  <si>
    <t>Bazanye Jonathan Senabulya</t>
  </si>
  <si>
    <t>0753574482</t>
  </si>
  <si>
    <t>0755683632</t>
  </si>
  <si>
    <t>Kalungu east</t>
  </si>
  <si>
    <t>UG-CEN-2101-013615</t>
  </si>
  <si>
    <t>Nankoba Councilor Margret</t>
  </si>
  <si>
    <t>0754502069</t>
  </si>
  <si>
    <t>UG-CEN-2101-013616</t>
  </si>
  <si>
    <t>Kato Bukenya Paul</t>
  </si>
  <si>
    <t>0753639930</t>
  </si>
  <si>
    <t>Bugomola A</t>
  </si>
  <si>
    <t>BugomolaA</t>
  </si>
  <si>
    <t>UG-CEN-2101-013617</t>
  </si>
  <si>
    <t xml:space="preserve">Nanyombi Passekazia </t>
  </si>
  <si>
    <t>0783630166</t>
  </si>
  <si>
    <t>LukenkeB</t>
  </si>
  <si>
    <t>Nunda</t>
  </si>
  <si>
    <t>Lukenke B</t>
  </si>
  <si>
    <t>UG-CEN-2101-013618</t>
  </si>
  <si>
    <t xml:space="preserve">Silaje Kafero </t>
  </si>
  <si>
    <t>0756653859</t>
  </si>
  <si>
    <t>BwesaA</t>
  </si>
  <si>
    <t>UG-CEN-2101-013619</t>
  </si>
  <si>
    <t xml:space="preserve">Namaganda Rose </t>
  </si>
  <si>
    <t>0758785361</t>
  </si>
  <si>
    <t>Lugalama</t>
  </si>
  <si>
    <t>UG-CEN-2101-013622</t>
  </si>
  <si>
    <t xml:space="preserve">Katalihwa Nathan </t>
  </si>
  <si>
    <t>0701142300</t>
  </si>
  <si>
    <t>0772536522</t>
  </si>
  <si>
    <t>Kawoto</t>
  </si>
  <si>
    <t>UG-CEN-1911-013006</t>
  </si>
  <si>
    <t>Namutebi Joy</t>
  </si>
  <si>
    <t>UG-CEN-2101-014518</t>
  </si>
  <si>
    <t xml:space="preserve">Yosamu Kafeero </t>
  </si>
  <si>
    <t>+2560772360326</t>
  </si>
  <si>
    <t>Kinvunikidde</t>
  </si>
  <si>
    <t>UG-CEN-2101-018406</t>
  </si>
  <si>
    <t xml:space="preserve">Nayiga Salima </t>
  </si>
  <si>
    <t>0753500177</t>
  </si>
  <si>
    <t>0701941205</t>
  </si>
  <si>
    <t>UG-CEN-2101-018408</t>
  </si>
  <si>
    <t xml:space="preserve">Turyagenda George </t>
  </si>
  <si>
    <t>0772371235</t>
  </si>
  <si>
    <t>UG-CEN-2101-018409</t>
  </si>
  <si>
    <t>Nakiwala Mary Mpanga</t>
  </si>
  <si>
    <t>0703386119</t>
  </si>
  <si>
    <t>UG-CEN-2101-018491</t>
  </si>
  <si>
    <t>Seru Robert Kazoora</t>
  </si>
  <si>
    <t>+256772986272</t>
  </si>
  <si>
    <t>Nakitoma</t>
  </si>
  <si>
    <t>UG-CEN-2101-018496</t>
  </si>
  <si>
    <t xml:space="preserve">Nasasira Moses </t>
  </si>
  <si>
    <t>0770471479</t>
  </si>
  <si>
    <t>0756563964</t>
  </si>
  <si>
    <t>Namasumbi</t>
  </si>
  <si>
    <t>UG-CEN-2101-018499</t>
  </si>
  <si>
    <t xml:space="preserve">Mugerwa Tom </t>
  </si>
  <si>
    <t>+256776624424</t>
  </si>
  <si>
    <t>0776624424</t>
  </si>
  <si>
    <t>UG-CEN-2101-07176</t>
  </si>
  <si>
    <t>Kaate James Lilian</t>
  </si>
  <si>
    <t>+256701949077</t>
  </si>
  <si>
    <t>0708311769</t>
  </si>
  <si>
    <t>Makindye North</t>
  </si>
  <si>
    <t>Kashanga</t>
  </si>
  <si>
    <t>Mutesasira zone</t>
  </si>
  <si>
    <t>Kayemba Namugenyi Possiono</t>
  </si>
  <si>
    <t>0752736066</t>
  </si>
  <si>
    <t>0782004476</t>
  </si>
  <si>
    <t>Kyajija</t>
  </si>
  <si>
    <t>UG-CEN-2102-014517</t>
  </si>
  <si>
    <t xml:space="preserve">Nalubowa Rose </t>
  </si>
  <si>
    <t>0701413552</t>
  </si>
  <si>
    <t>0759642938</t>
  </si>
  <si>
    <t>Kinsande</t>
  </si>
  <si>
    <t>UG-CEN-2102-014520</t>
  </si>
  <si>
    <t xml:space="preserve">Harriett Nakilijja </t>
  </si>
  <si>
    <t>0751073650</t>
  </si>
  <si>
    <t>0752627054</t>
  </si>
  <si>
    <t>Rakai T/C</t>
  </si>
  <si>
    <t>UG-CEN-2102-018401</t>
  </si>
  <si>
    <t>Agripina Augustine Ssennyonjo</t>
  </si>
  <si>
    <t>+256703066986</t>
  </si>
  <si>
    <t>0776066986</t>
  </si>
  <si>
    <t>Kalisilo</t>
  </si>
  <si>
    <t>Kinkodo</t>
  </si>
  <si>
    <t>UG-CEN-2102-018405</t>
  </si>
  <si>
    <t>Nakayiwa Edith Margaret</t>
  </si>
  <si>
    <t>+256757890408</t>
  </si>
  <si>
    <t>UG-CEN-2102-018411</t>
  </si>
  <si>
    <t xml:space="preserve">Okello William </t>
  </si>
  <si>
    <t>+256751558015</t>
  </si>
  <si>
    <t>0783466794</t>
  </si>
  <si>
    <t>UG-CEN-1911-013906</t>
  </si>
  <si>
    <t>Bernard Mubiru</t>
  </si>
  <si>
    <t>UG-CEN-2102-018412</t>
  </si>
  <si>
    <t>Katerega Joseph Mulangira</t>
  </si>
  <si>
    <t>+256772478434</t>
  </si>
  <si>
    <t>UG-CEN-2102-018416</t>
  </si>
  <si>
    <t>Matovu Abdallah Hajji</t>
  </si>
  <si>
    <t>+256702725335</t>
  </si>
  <si>
    <t>0705434390</t>
  </si>
  <si>
    <t>KKona</t>
  </si>
  <si>
    <t>UG-CEN-2102-018492</t>
  </si>
  <si>
    <t>Basansale Mark Allan</t>
  </si>
  <si>
    <t>0777886633</t>
  </si>
  <si>
    <t>0752886633</t>
  </si>
  <si>
    <t>Nanasana municipality</t>
  </si>
  <si>
    <t>UG-CEN-2102-018495</t>
  </si>
  <si>
    <t xml:space="preserve">Akiror Stella </t>
  </si>
  <si>
    <t>+256772629643</t>
  </si>
  <si>
    <t>UG-CEN-2102-018498</t>
  </si>
  <si>
    <t xml:space="preserve">Kasozi John </t>
  </si>
  <si>
    <t>+256706297915</t>
  </si>
  <si>
    <t>UG-CEN-2102-02518</t>
  </si>
  <si>
    <t xml:space="preserve">Mugamba Joshua </t>
  </si>
  <si>
    <t>+256772463268</t>
  </si>
  <si>
    <t>Kasanjombe</t>
  </si>
  <si>
    <t>Nambega</t>
  </si>
  <si>
    <t>UG-CEN-2102-08580</t>
  </si>
  <si>
    <t xml:space="preserve">Mulombo Usifu </t>
  </si>
  <si>
    <t>0773456330</t>
  </si>
  <si>
    <t>0701456330</t>
  </si>
  <si>
    <t>UG-CEN-1911-013992</t>
  </si>
  <si>
    <t>Denis Ssebabbi</t>
  </si>
  <si>
    <t>UG-CEN-2102-08879</t>
  </si>
  <si>
    <t>Muhamadi Abasi Were</t>
  </si>
  <si>
    <t>+256774313194</t>
  </si>
  <si>
    <t>0701239133</t>
  </si>
  <si>
    <t>Kangurumira</t>
  </si>
  <si>
    <t>Kisegga</t>
  </si>
  <si>
    <t>UG-CEN-2103-013426</t>
  </si>
  <si>
    <t xml:space="preserve">Serunjogi Godfrey </t>
  </si>
  <si>
    <t>0753111400</t>
  </si>
  <si>
    <t>0780915388</t>
  </si>
  <si>
    <t>UG-CEN-2103-013638</t>
  </si>
  <si>
    <t xml:space="preserve">Nakito Prossy </t>
  </si>
  <si>
    <t>0704878672</t>
  </si>
  <si>
    <t>UG-CEN-2103-013860</t>
  </si>
  <si>
    <t xml:space="preserve">Kyomuhendo Flavia </t>
  </si>
  <si>
    <t>0772656622</t>
  </si>
  <si>
    <t>Kyadondo east</t>
  </si>
  <si>
    <t>Magele</t>
  </si>
  <si>
    <t>UG-CEN-2103-018415</t>
  </si>
  <si>
    <t xml:space="preserve">Ospena Chris </t>
  </si>
  <si>
    <t>0783490415</t>
  </si>
  <si>
    <t>Kilyamuri</t>
  </si>
  <si>
    <t>UG-CEN-2103-018421</t>
  </si>
  <si>
    <t xml:space="preserve">Kizza Dan </t>
  </si>
  <si>
    <t>0708470659</t>
  </si>
  <si>
    <t>Lusese</t>
  </si>
  <si>
    <t xml:space="preserve">Ssekimpi Monday </t>
  </si>
  <si>
    <t>0751831477</t>
  </si>
  <si>
    <t>0701548839</t>
  </si>
  <si>
    <t>UG-CEN-2103-021308</t>
  </si>
  <si>
    <t xml:space="preserve">Twaha Musiime </t>
  </si>
  <si>
    <t>0701311847</t>
  </si>
  <si>
    <t>UG-CEN-1911-017804</t>
  </si>
  <si>
    <t>Ssemakula Charles Muganwa (Plant 2)</t>
  </si>
  <si>
    <t>UG-CEN-2103-021309</t>
  </si>
  <si>
    <t xml:space="preserve">Sendagire John </t>
  </si>
  <si>
    <t>0776084693</t>
  </si>
  <si>
    <t>Busukuuma</t>
  </si>
  <si>
    <t>Meevu</t>
  </si>
  <si>
    <t>UG-CEN-2103-07775</t>
  </si>
  <si>
    <t xml:space="preserve">Namusoke Alice </t>
  </si>
  <si>
    <t>0782752094</t>
  </si>
  <si>
    <t>0773928457</t>
  </si>
  <si>
    <t>Kirumiko</t>
  </si>
  <si>
    <t>UG-CEN-2103-07776</t>
  </si>
  <si>
    <t>Moses Joloba Lutaakome</t>
  </si>
  <si>
    <t>0782752582</t>
  </si>
  <si>
    <t>Utanda</t>
  </si>
  <si>
    <t>Nkanya</t>
  </si>
  <si>
    <t>UG-CEN-2104-013427</t>
  </si>
  <si>
    <t xml:space="preserve">Joseph Njuki </t>
  </si>
  <si>
    <t>0706514046</t>
  </si>
  <si>
    <t>UG-CEN-2104-013634</t>
  </si>
  <si>
    <t>Mulwana Samuel Samuel</t>
  </si>
  <si>
    <t>0782135915</t>
  </si>
  <si>
    <t>Kasala</t>
  </si>
  <si>
    <t>UG-CEN-2104-013635</t>
  </si>
  <si>
    <t>Ssalongo Fenecus Saava</t>
  </si>
  <si>
    <t>07541119491</t>
  </si>
  <si>
    <t>UG-CEN-1912-013033</t>
  </si>
  <si>
    <t>Senkindu Isaac (Plant 2)</t>
  </si>
  <si>
    <t>UG-CEN-2104-013636</t>
  </si>
  <si>
    <t xml:space="preserve">Kakebe Rameca </t>
  </si>
  <si>
    <t>0783294219</t>
  </si>
  <si>
    <t>Kaabunga</t>
  </si>
  <si>
    <t>UG-CEN-2104-013637</t>
  </si>
  <si>
    <t xml:space="preserve">Nalubega Debrah </t>
  </si>
  <si>
    <t>0772540559</t>
  </si>
  <si>
    <t>Lukomera</t>
  </si>
  <si>
    <t>UG-CEN-2104-013639</t>
  </si>
  <si>
    <t xml:space="preserve">Lubwama William </t>
  </si>
  <si>
    <t>0776694694</t>
  </si>
  <si>
    <t>Kitikamu</t>
  </si>
  <si>
    <t>UG-CEN-2104-013763</t>
  </si>
  <si>
    <t xml:space="preserve">Kainza Agnes </t>
  </si>
  <si>
    <t>0782643403</t>
  </si>
  <si>
    <t>kasanje</t>
  </si>
  <si>
    <t>Bakijulura</t>
  </si>
  <si>
    <t>UG-CEN-2104-014521</t>
  </si>
  <si>
    <t xml:space="preserve">Nviri Ellen </t>
  </si>
  <si>
    <t>0772492162</t>
  </si>
  <si>
    <t>0788874282</t>
  </si>
  <si>
    <t>UG-CEN-2104-017837</t>
  </si>
  <si>
    <t xml:space="preserve">Zziwa Frank </t>
  </si>
  <si>
    <t>0773821133</t>
  </si>
  <si>
    <t>0702233570</t>
  </si>
  <si>
    <t>Bikele</t>
  </si>
  <si>
    <t>UG-CEN-2104-018045</t>
  </si>
  <si>
    <t xml:space="preserve">Nyangoma Shakilah </t>
  </si>
  <si>
    <t>0771149835</t>
  </si>
  <si>
    <t>Kakili</t>
  </si>
  <si>
    <t>Kakili town council</t>
  </si>
  <si>
    <t>Nansomba</t>
  </si>
  <si>
    <t>UG-CEN-1912-013969</t>
  </si>
  <si>
    <t>incomplete plant</t>
  </si>
  <si>
    <t>Madelene Birabwa</t>
  </si>
  <si>
    <t>UG-CEN-2104-018423</t>
  </si>
  <si>
    <t xml:space="preserve">Kalanzi Agatha </t>
  </si>
  <si>
    <t>0772506486</t>
  </si>
  <si>
    <t>Kiwangula 1</t>
  </si>
  <si>
    <t>UG-CEN-1912-013998</t>
  </si>
  <si>
    <t>Baguma Francis</t>
  </si>
  <si>
    <t>Migyera</t>
  </si>
  <si>
    <t>Kibiira</t>
  </si>
  <si>
    <t>UG-CEN-2104-018424</t>
  </si>
  <si>
    <t xml:space="preserve">Nakigudde Betty </t>
  </si>
  <si>
    <t>0772398785</t>
  </si>
  <si>
    <t>0783984598</t>
  </si>
  <si>
    <t>UG-CEN-2104-018425</t>
  </si>
  <si>
    <t xml:space="preserve">Ssemuko Livingstone </t>
  </si>
  <si>
    <t>0782672588</t>
  </si>
  <si>
    <t>0757333903</t>
  </si>
  <si>
    <t>UG-CEN-1912-014471</t>
  </si>
  <si>
    <t>Sylivia Beinomugisha</t>
  </si>
  <si>
    <t>0773620466</t>
  </si>
  <si>
    <t>Kabatema</t>
  </si>
  <si>
    <t>Katangyengyera</t>
  </si>
  <si>
    <t>UG-CEN-2104-018426</t>
  </si>
  <si>
    <t xml:space="preserve">Woboya Vicent </t>
  </si>
  <si>
    <t>0772347518</t>
  </si>
  <si>
    <t>0706347518</t>
  </si>
  <si>
    <t>UG-CEN-2104-018428</t>
  </si>
  <si>
    <t xml:space="preserve">Kajumba Edward </t>
  </si>
  <si>
    <t>0704364112</t>
  </si>
  <si>
    <t>UG-CEN-2104-018430</t>
  </si>
  <si>
    <t xml:space="preserve">Mpumwiire Patrick </t>
  </si>
  <si>
    <t>0777415705</t>
  </si>
  <si>
    <t>0786523623</t>
  </si>
  <si>
    <t>Kikuube</t>
  </si>
  <si>
    <t>Kyangwali</t>
  </si>
  <si>
    <t>Kyarushesha</t>
  </si>
  <si>
    <t>UG-CEN-2104-018434</t>
  </si>
  <si>
    <t xml:space="preserve">Namugenyi Mayi </t>
  </si>
  <si>
    <t>0706428024</t>
  </si>
  <si>
    <t>0758865805</t>
  </si>
  <si>
    <t>Seeta A</t>
  </si>
  <si>
    <t>UG-CEN-2104-018438</t>
  </si>
  <si>
    <t xml:space="preserve">Ayiekoh Daphine </t>
  </si>
  <si>
    <t>0702786475</t>
  </si>
  <si>
    <t>Kitto</t>
  </si>
  <si>
    <t>UG-CEN-2105-014522</t>
  </si>
  <si>
    <t>Kaddu David (Wakiso)</t>
  </si>
  <si>
    <t>0701144100</t>
  </si>
  <si>
    <t>0705235082</t>
  </si>
  <si>
    <t>Kabalalu</t>
  </si>
  <si>
    <t>UG-CEN-1912-018457</t>
  </si>
  <si>
    <t>Buyemba Moses (plant 1)</t>
  </si>
  <si>
    <t>Kimera</t>
  </si>
  <si>
    <t>UG-CEN-1912-018458</t>
  </si>
  <si>
    <t>Buyemba Moses (plant 2)</t>
  </si>
  <si>
    <t>Kiwaaala</t>
  </si>
  <si>
    <t>UG-CEN-2105-018443</t>
  </si>
  <si>
    <t xml:space="preserve">Kittata Peter </t>
  </si>
  <si>
    <t>0757082544</t>
  </si>
  <si>
    <t>UG-CEN-2105-018444</t>
  </si>
  <si>
    <t xml:space="preserve">Nakawunde Constance </t>
  </si>
  <si>
    <t>0772514001</t>
  </si>
  <si>
    <t>UG-CEN-1912-018463</t>
  </si>
  <si>
    <t>Mugisa Allan Plant 2</t>
  </si>
  <si>
    <t>UG-CEN-2105-018445</t>
  </si>
  <si>
    <t>Kayizi Joseph Barnes</t>
  </si>
  <si>
    <t>0772917640</t>
  </si>
  <si>
    <t>Kunywa</t>
  </si>
  <si>
    <t>UG-CEN-2105-018448</t>
  </si>
  <si>
    <t>Kikaawa Lawrence Mayumba</t>
  </si>
  <si>
    <t>0772546818</t>
  </si>
  <si>
    <t>Butooro</t>
  </si>
  <si>
    <t>UG-CEN-2105-021302</t>
  </si>
  <si>
    <t xml:space="preserve">Tumwebaze Jackline </t>
  </si>
  <si>
    <t>Makindye West</t>
  </si>
  <si>
    <t>Kizungu</t>
  </si>
  <si>
    <t>UG-CEN-2105-021314</t>
  </si>
  <si>
    <t xml:space="preserve">Alinga Moses </t>
  </si>
  <si>
    <t>0782899853</t>
  </si>
  <si>
    <t>Kibanda South</t>
  </si>
  <si>
    <t>Kigumba T.C</t>
  </si>
  <si>
    <t>Nyakatugo</t>
  </si>
  <si>
    <t>UG-CEN-2001-013042</t>
  </si>
  <si>
    <t xml:space="preserve">Nassolo Robinah </t>
  </si>
  <si>
    <t>0704929647</t>
  </si>
  <si>
    <t>UG-CEN-2105-021316</t>
  </si>
  <si>
    <t xml:space="preserve">Kabanyolo Farm </t>
  </si>
  <si>
    <t>0703650050</t>
  </si>
  <si>
    <t>0773005525</t>
  </si>
  <si>
    <t>UG-CEN-2106-018439</t>
  </si>
  <si>
    <t xml:space="preserve">Lwanyaga Vicent </t>
  </si>
  <si>
    <t>0782924936</t>
  </si>
  <si>
    <t>0758924936</t>
  </si>
  <si>
    <t>Kayabwe</t>
  </si>
  <si>
    <t>Katonga</t>
  </si>
  <si>
    <t>UG-CEN-2106-018449</t>
  </si>
  <si>
    <t>The Grail Nazareth Holy Mother</t>
  </si>
  <si>
    <t>0755469691</t>
  </si>
  <si>
    <t>0782403470</t>
  </si>
  <si>
    <t>UG-CEN-2001-017809</t>
  </si>
  <si>
    <t xml:space="preserve">Kasujja Mariam </t>
  </si>
  <si>
    <t>0756358844</t>
  </si>
  <si>
    <t>Central Div</t>
  </si>
  <si>
    <t>Nsuube</t>
  </si>
  <si>
    <t>UG-CEN-2106-021303</t>
  </si>
  <si>
    <t xml:space="preserve">Nanjobe Grace </t>
  </si>
  <si>
    <t>UG-CEN-2106-021311</t>
  </si>
  <si>
    <t xml:space="preserve">Anticlo Farm </t>
  </si>
  <si>
    <t>0786758201</t>
  </si>
  <si>
    <t>Namayiba</t>
  </si>
  <si>
    <t>UG-CEN-2106-021317</t>
  </si>
  <si>
    <t>Tumwesigye Deo Mbabazi</t>
  </si>
  <si>
    <t>Lugazi Municipality</t>
  </si>
  <si>
    <t>Tega</t>
  </si>
  <si>
    <t>UG-CEN-2106-021321</t>
  </si>
  <si>
    <t>Tugabirwe Alfred Fredin</t>
  </si>
  <si>
    <t>0776404069</t>
  </si>
  <si>
    <t>UG-CEN-2106-021651</t>
  </si>
  <si>
    <t xml:space="preserve">Sematimba Duncan </t>
  </si>
  <si>
    <t>UG-CEN-2106-021654</t>
  </si>
  <si>
    <t>Kusasira Mary Bio Dairy Farm</t>
  </si>
  <si>
    <t>BUSIRO</t>
  </si>
  <si>
    <t>GOMBE</t>
  </si>
  <si>
    <t>MIGADDE</t>
  </si>
  <si>
    <t>UG-CEN-2106-021656</t>
  </si>
  <si>
    <t xml:space="preserve">Richard Mayanja </t>
  </si>
  <si>
    <t>Bulemezi</t>
  </si>
  <si>
    <t>Wobusana</t>
  </si>
  <si>
    <t>UG-CEN-2106-022352</t>
  </si>
  <si>
    <t xml:space="preserve">Mwanje Joyce </t>
  </si>
  <si>
    <t>0704927376</t>
  </si>
  <si>
    <t>0704937376</t>
  </si>
  <si>
    <t>Kisaasi  Dungu zone</t>
  </si>
  <si>
    <t>UG-CEN-2002-018467</t>
  </si>
  <si>
    <t>Brookside Limited Company</t>
  </si>
  <si>
    <t>Mitima</t>
  </si>
  <si>
    <t>UG-CEN-2106-21655</t>
  </si>
  <si>
    <t>Namujju Sarah Ssetamu</t>
  </si>
  <si>
    <t>Nabulagala-Munaku</t>
  </si>
  <si>
    <t>UG-CEN-2107-014524</t>
  </si>
  <si>
    <t xml:space="preserve">Dr luwaga Henry </t>
  </si>
  <si>
    <t>Mitiebili</t>
  </si>
  <si>
    <t>Lutente</t>
  </si>
  <si>
    <t>UG-CEN-2107-017840</t>
  </si>
  <si>
    <t xml:space="preserve">Nnakajjubi Josephine </t>
  </si>
  <si>
    <t>0774456448</t>
  </si>
  <si>
    <t>Butakeso</t>
  </si>
  <si>
    <t>UG-CEN-2107-018450</t>
  </si>
  <si>
    <t>Ssenoga Frederick Daniel</t>
  </si>
  <si>
    <t>Manze</t>
  </si>
  <si>
    <t>UG-CEN-2107-021318</t>
  </si>
  <si>
    <t xml:space="preserve">Tayebwa Daniel </t>
  </si>
  <si>
    <t>0701000780</t>
  </si>
  <si>
    <t>0705680065</t>
  </si>
  <si>
    <t>Ssabadu</t>
  </si>
  <si>
    <t>Sendegere Cell</t>
  </si>
  <si>
    <t>UG-CEN-2107-021334</t>
  </si>
  <si>
    <t xml:space="preserve">Muwanga Angelo </t>
  </si>
  <si>
    <t>0752772561</t>
  </si>
  <si>
    <t>0776867250</t>
  </si>
  <si>
    <t>UG-CEN-2003-013050</t>
  </si>
  <si>
    <t xml:space="preserve">Nakawesi Lydia </t>
  </si>
  <si>
    <t>UG-CEN-2107-021659</t>
  </si>
  <si>
    <t xml:space="preserve">Kabagumya Cecily </t>
  </si>
  <si>
    <t>UG-CEN-2003-014597</t>
  </si>
  <si>
    <t>Kirumira Ahamed (plant 2)</t>
  </si>
  <si>
    <t>UG-CEN-2107-021660</t>
  </si>
  <si>
    <t xml:space="preserve">Kidda Joseph </t>
  </si>
  <si>
    <t>0753943028</t>
  </si>
  <si>
    <t>Kitembo</t>
  </si>
  <si>
    <t>UG-CEN-2107-021662</t>
  </si>
  <si>
    <t xml:space="preserve">Mwesigwa Kenneth </t>
  </si>
  <si>
    <t>0757240379</t>
  </si>
  <si>
    <t>0782391460</t>
  </si>
  <si>
    <t>Nsera</t>
  </si>
  <si>
    <t>UG-CEN-2108-013764</t>
  </si>
  <si>
    <t xml:space="preserve">Paul Kakamba </t>
  </si>
  <si>
    <t>0772444026</t>
  </si>
  <si>
    <t>0783897187</t>
  </si>
  <si>
    <t>Kwata</t>
  </si>
  <si>
    <t>UG-CEN-2003-018010</t>
  </si>
  <si>
    <t>Dismantled</t>
  </si>
  <si>
    <t xml:space="preserve">Kayongo Abaas </t>
  </si>
  <si>
    <t>0772619858</t>
  </si>
  <si>
    <t>Kyodondo South</t>
  </si>
  <si>
    <t>Sabagabo municipality</t>
  </si>
  <si>
    <t>Ruuga</t>
  </si>
  <si>
    <t>UG-CEN-2108-017838</t>
  </si>
  <si>
    <t>Ms Battersea farm mixed</t>
  </si>
  <si>
    <t>0704818647</t>
  </si>
  <si>
    <t>0757682791</t>
  </si>
  <si>
    <t>Kasajjagirwa</t>
  </si>
  <si>
    <t>UG-CEN-2108-017839</t>
  </si>
  <si>
    <t xml:space="preserve">Munyola Vicent </t>
  </si>
  <si>
    <t>Buyindi</t>
  </si>
  <si>
    <t>UG-CEN-2108-018446</t>
  </si>
  <si>
    <t xml:space="preserve">Ssali Peter </t>
  </si>
  <si>
    <t>Boggo</t>
  </si>
  <si>
    <t>UG-CEN-2108-021315</t>
  </si>
  <si>
    <t xml:space="preserve">Kiggwe Margret </t>
  </si>
  <si>
    <t>0772319733</t>
  </si>
  <si>
    <t>0392002581</t>
  </si>
  <si>
    <t>Kijapan</t>
  </si>
  <si>
    <t>UG-CEN-2108-021319</t>
  </si>
  <si>
    <t xml:space="preserve">Tuume Moses </t>
  </si>
  <si>
    <t>0758541859</t>
  </si>
  <si>
    <t>0753574083</t>
  </si>
  <si>
    <t>UG-CEN-2108-021320</t>
  </si>
  <si>
    <t>Sister Midoor Lisa</t>
  </si>
  <si>
    <t>0778627959</t>
  </si>
  <si>
    <t>Zone A</t>
  </si>
  <si>
    <t>UG-CEN-2004-017902</t>
  </si>
  <si>
    <t xml:space="preserve">Kabuuza Joseph </t>
  </si>
  <si>
    <t>0772657725</t>
  </si>
  <si>
    <t>Muziinda</t>
  </si>
  <si>
    <t>UG-CEN-2108-021322</t>
  </si>
  <si>
    <t xml:space="preserve">KingFisher Farm </t>
  </si>
  <si>
    <t>0759495477</t>
  </si>
  <si>
    <t>UG-CEN-2108-021326</t>
  </si>
  <si>
    <t xml:space="preserve">Obalim James </t>
  </si>
  <si>
    <t>0789043045</t>
  </si>
  <si>
    <t>0757818827</t>
  </si>
  <si>
    <t>Nakasongola T.C</t>
  </si>
  <si>
    <t>Katugo</t>
  </si>
  <si>
    <t>UG-CEN-2108-021327</t>
  </si>
  <si>
    <t>Yesu Farm Amala</t>
  </si>
  <si>
    <t>0776412831</t>
  </si>
  <si>
    <t>Nakisamata</t>
  </si>
  <si>
    <t>UG-CEN-2108-021329</t>
  </si>
  <si>
    <t>Victorious Farm Poultry</t>
  </si>
  <si>
    <t>0709950449</t>
  </si>
  <si>
    <t>0787381847</t>
  </si>
  <si>
    <t>UG-CEN-2108-021330</t>
  </si>
  <si>
    <t xml:space="preserve">Mujabi Arthur </t>
  </si>
  <si>
    <t>0772396059</t>
  </si>
  <si>
    <t>0701396059</t>
  </si>
  <si>
    <t>UG-CEN-2108-021658</t>
  </si>
  <si>
    <t>Zam Ali Luwemba</t>
  </si>
  <si>
    <t>Sseganga</t>
  </si>
  <si>
    <t>UG-CEN-2108-021661</t>
  </si>
  <si>
    <t xml:space="preserve">Nasuna Kato </t>
  </si>
  <si>
    <t>0772405523</t>
  </si>
  <si>
    <t>UG-CEN-2108-021664</t>
  </si>
  <si>
    <t xml:space="preserve">Kakooza Edward </t>
  </si>
  <si>
    <t>0786663953</t>
  </si>
  <si>
    <t>0753785403</t>
  </si>
  <si>
    <t>UG-CEN-2006-017817</t>
  </si>
  <si>
    <t>Luyombya Bwete Shem</t>
  </si>
  <si>
    <t>UG-CEN-2108-021666</t>
  </si>
  <si>
    <t xml:space="preserve">Nakanwagi Reginah </t>
  </si>
  <si>
    <t>0775339333</t>
  </si>
  <si>
    <t>UG-CEN-2006-017912</t>
  </si>
  <si>
    <t>Nuwagaba Anthony Plant 2</t>
  </si>
  <si>
    <t>UG-CEN-2108-021668</t>
  </si>
  <si>
    <t xml:space="preserve">Mukasa Micheal </t>
  </si>
  <si>
    <t>0782380787</t>
  </si>
  <si>
    <t>Busuwa</t>
  </si>
  <si>
    <t>UG-CEN-2108-021669</t>
  </si>
  <si>
    <t xml:space="preserve">Nambi Cathy </t>
  </si>
  <si>
    <t>0705304558</t>
  </si>
  <si>
    <t>Busiika</t>
  </si>
  <si>
    <t>Wabikookoma</t>
  </si>
  <si>
    <t>UG-CEN-2006-018475</t>
  </si>
  <si>
    <t>Anam Cara Husbandry Farm Animal</t>
  </si>
  <si>
    <t>0772967574</t>
  </si>
  <si>
    <t>UG-CEN-2108-021671</t>
  </si>
  <si>
    <t>Kalule Francis Lumbuye</t>
  </si>
  <si>
    <t>0702352626</t>
  </si>
  <si>
    <t>0772352626</t>
  </si>
  <si>
    <t xml:space="preserve">Kyarisiima James </t>
  </si>
  <si>
    <t>0772690251</t>
  </si>
  <si>
    <t>UG-CEN-2108-07178</t>
  </si>
  <si>
    <t>Mugisha Charles K</t>
  </si>
  <si>
    <t>0772405349</t>
  </si>
  <si>
    <t>0751405349</t>
  </si>
  <si>
    <t>Bukuruji</t>
  </si>
  <si>
    <t>UG-CEN-2108-17841</t>
  </si>
  <si>
    <t xml:space="preserve">Orikushaba Paul </t>
  </si>
  <si>
    <t>0702449922</t>
  </si>
  <si>
    <t>0702412394</t>
  </si>
  <si>
    <t>UG-CEN-2108-17843</t>
  </si>
  <si>
    <t>Maria Kayongo poultry farm</t>
  </si>
  <si>
    <t>UG-CEN-2108-17844</t>
  </si>
  <si>
    <t xml:space="preserve">Mukisa Amos </t>
  </si>
  <si>
    <t>0702437789</t>
  </si>
  <si>
    <t>0772437789</t>
  </si>
  <si>
    <t>UG-CEN-2109-013109</t>
  </si>
  <si>
    <t xml:space="preserve">Muyengo Moses </t>
  </si>
  <si>
    <t>0702909183</t>
  </si>
  <si>
    <t>Kitinda</t>
  </si>
  <si>
    <t>UG-CEN-2109-013869</t>
  </si>
  <si>
    <t xml:space="preserve">Olumu Jackson </t>
  </si>
  <si>
    <t>0772440222</t>
  </si>
  <si>
    <t>UG-CEN-2109-013876</t>
  </si>
  <si>
    <t xml:space="preserve">Mbabari Jowakim </t>
  </si>
  <si>
    <t>0759185388</t>
  </si>
  <si>
    <t>Mawokoto</t>
  </si>
  <si>
    <t>Burereje</t>
  </si>
  <si>
    <t>UG-CEN-2109-013877</t>
  </si>
  <si>
    <t xml:space="preserve">St Joseph Nsambya girl school </t>
  </si>
  <si>
    <t>0703888997</t>
  </si>
  <si>
    <t>UG-CEN-2109-013879</t>
  </si>
  <si>
    <t xml:space="preserve">Matovu James </t>
  </si>
  <si>
    <t>0703045644</t>
  </si>
  <si>
    <t>Mwerere parish cothrioc church</t>
  </si>
  <si>
    <t>UG-CEN-2109-013880</t>
  </si>
  <si>
    <t xml:space="preserve">Ssekamanya Father </t>
  </si>
  <si>
    <t>0782964990</t>
  </si>
  <si>
    <t>Nkonge</t>
  </si>
  <si>
    <t>UG-CEN-2007-017923</t>
  </si>
  <si>
    <t xml:space="preserve">Nakalema Councillor </t>
  </si>
  <si>
    <t>0779856940</t>
  </si>
  <si>
    <t>Magungu</t>
  </si>
  <si>
    <t>UG-CEN-2109-021324</t>
  </si>
  <si>
    <t xml:space="preserve">St. Joseph Church </t>
  </si>
  <si>
    <t>0702660507</t>
  </si>
  <si>
    <t>Nansana zone 1</t>
  </si>
  <si>
    <t>UG-CEN-2109-021328</t>
  </si>
  <si>
    <t xml:space="preserve">Mwabutsya Baare </t>
  </si>
  <si>
    <t>0756656077</t>
  </si>
  <si>
    <t>UG-CEN-2109-021673</t>
  </si>
  <si>
    <t xml:space="preserve">Kwesiga Moses </t>
  </si>
  <si>
    <t>0750772127</t>
  </si>
  <si>
    <t>Lubanda A</t>
  </si>
  <si>
    <t>UG-CEN-2109-021674</t>
  </si>
  <si>
    <t>Ssemujju Richard Rogers</t>
  </si>
  <si>
    <t>0702411386</t>
  </si>
  <si>
    <t>0772411386</t>
  </si>
  <si>
    <t>UG-CEN-2109-021675</t>
  </si>
  <si>
    <t>Kahaya Edward Plant 1</t>
  </si>
  <si>
    <t>0759889296</t>
  </si>
  <si>
    <t>UG-CEN-2109-021679</t>
  </si>
  <si>
    <t xml:space="preserve">Katyaaba Andrew </t>
  </si>
  <si>
    <t>0753426364</t>
  </si>
  <si>
    <t>0776361078</t>
  </si>
  <si>
    <t>Kasangalabi</t>
  </si>
  <si>
    <t>UG-CEN-2109-021682</t>
  </si>
  <si>
    <t xml:space="preserve">Mutyaba Noah </t>
  </si>
  <si>
    <t>0782339528</t>
  </si>
  <si>
    <t>0701440785</t>
  </si>
  <si>
    <t>Kasuubo</t>
  </si>
  <si>
    <t>UG-CEN-2109-08574</t>
  </si>
  <si>
    <t>Miles Farm Demonstration</t>
  </si>
  <si>
    <t>0774370785</t>
  </si>
  <si>
    <t>0754314314</t>
  </si>
  <si>
    <t>Kabubu</t>
  </si>
  <si>
    <t>UG-CEN-2110-013110</t>
  </si>
  <si>
    <t xml:space="preserve">Musana Farm </t>
  </si>
  <si>
    <t>0772408691</t>
  </si>
  <si>
    <t>0753408622</t>
  </si>
  <si>
    <t>UG-CEN-2110-013428</t>
  </si>
  <si>
    <t xml:space="preserve">Miriam Kivumbi </t>
  </si>
  <si>
    <t>0758948974</t>
  </si>
  <si>
    <t>0701964310</t>
  </si>
  <si>
    <t>Lukooge</t>
  </si>
  <si>
    <t>UG-CEN-2110-013868</t>
  </si>
  <si>
    <t xml:space="preserve">Pr Zachariah Sserwadda </t>
  </si>
  <si>
    <t>0772428566</t>
  </si>
  <si>
    <t>0701306956</t>
  </si>
  <si>
    <t>Gimbo</t>
  </si>
  <si>
    <t>UG-CEN-2110-013881</t>
  </si>
  <si>
    <t xml:space="preserve">Salongo Kivumbi </t>
  </si>
  <si>
    <t>0770973333</t>
  </si>
  <si>
    <t>Kibungu</t>
  </si>
  <si>
    <t>UG-CEN-2110-014525</t>
  </si>
  <si>
    <t xml:space="preserve">Bunjako Ponsiano </t>
  </si>
  <si>
    <t>0782527432</t>
  </si>
  <si>
    <t>UG-CEN-2110-017852</t>
  </si>
  <si>
    <t xml:space="preserve">Ssembajwe / Mariam piggery farm David </t>
  </si>
  <si>
    <t>0704008962</t>
  </si>
  <si>
    <t>Kyagwe-Kyadondo</t>
  </si>
  <si>
    <t>UG-CEN-2110-021332</t>
  </si>
  <si>
    <t>Mugumya Rosette Maran</t>
  </si>
  <si>
    <t>0772688610</t>
  </si>
  <si>
    <t>Kajjansi T.C</t>
  </si>
  <si>
    <t>Bwebajja 1</t>
  </si>
  <si>
    <t>UG-CEN-2110-021367</t>
  </si>
  <si>
    <t xml:space="preserve">Prossy Nyombi </t>
  </si>
  <si>
    <t>0784154181</t>
  </si>
  <si>
    <t>0756886420</t>
  </si>
  <si>
    <t>Nakaseke North County</t>
  </si>
  <si>
    <t>Ngoma Town Council</t>
  </si>
  <si>
    <t>Ngoma B</t>
  </si>
  <si>
    <t>UG-CEN-2110-021368</t>
  </si>
  <si>
    <t>Victoria Namakula Kaweke</t>
  </si>
  <si>
    <t>0782937391</t>
  </si>
  <si>
    <t>0772601513</t>
  </si>
  <si>
    <t>Nakaseke Town Council</t>
  </si>
  <si>
    <t>Ngoma A</t>
  </si>
  <si>
    <t>UG-CEN-2110-021369</t>
  </si>
  <si>
    <t xml:space="preserve">Kalulu Yokana </t>
  </si>
  <si>
    <t>0784285746</t>
  </si>
  <si>
    <t>0772056720</t>
  </si>
  <si>
    <t>Gomero A</t>
  </si>
  <si>
    <t>UG-CEN-2110-021370</t>
  </si>
  <si>
    <t xml:space="preserve">Mugume Job </t>
  </si>
  <si>
    <t>0772882706</t>
  </si>
  <si>
    <t>0772472392</t>
  </si>
  <si>
    <t>Kabulamuguha</t>
  </si>
  <si>
    <t>UG-CEN-2110-021371</t>
  </si>
  <si>
    <t xml:space="preserve">Nkusi Stephen </t>
  </si>
  <si>
    <t>0782376263</t>
  </si>
  <si>
    <t>0779556504</t>
  </si>
  <si>
    <t>Kyamatyansi</t>
  </si>
  <si>
    <t>UG-CEN-2110-021372</t>
  </si>
  <si>
    <t xml:space="preserve">Kashaija Stephen </t>
  </si>
  <si>
    <t>0751222271</t>
  </si>
  <si>
    <t>0779182242</t>
  </si>
  <si>
    <t>Bulyamushenyi</t>
  </si>
  <si>
    <t>UG-CEN-2110-021373</t>
  </si>
  <si>
    <t xml:space="preserve">Kakwenzire Davis </t>
  </si>
  <si>
    <t>0784262819</t>
  </si>
  <si>
    <t>0782511002</t>
  </si>
  <si>
    <t>UG-CEN-2110-021374</t>
  </si>
  <si>
    <t xml:space="preserve">Muhammad Sebyala </t>
  </si>
  <si>
    <t>0772826680</t>
  </si>
  <si>
    <t>0758626100</t>
  </si>
  <si>
    <t>UG-CEN-2110-021680</t>
  </si>
  <si>
    <t>Nanyanzi Janat Musawo</t>
  </si>
  <si>
    <t>0757692143</t>
  </si>
  <si>
    <t>UG-CEN-2009-017828</t>
  </si>
  <si>
    <t>Ishimwe Joselyn plant 2</t>
  </si>
  <si>
    <t>0704801310</t>
  </si>
  <si>
    <t>0779643661</t>
  </si>
  <si>
    <t>Njeru municipality</t>
  </si>
  <si>
    <t>Lukaya East</t>
  </si>
  <si>
    <t>UG-CEN-2110-021683</t>
  </si>
  <si>
    <t xml:space="preserve">Tukundane Lawrence </t>
  </si>
  <si>
    <t>0709082601</t>
  </si>
  <si>
    <t xml:space="preserve">Rukundo Tom </t>
  </si>
  <si>
    <t>0785713305</t>
  </si>
  <si>
    <t>Kasangati tc</t>
  </si>
  <si>
    <t>Nabutaka</t>
  </si>
  <si>
    <t>UG-CEN-2110-21684</t>
  </si>
  <si>
    <t xml:space="preserve">Musoke Kenneth </t>
  </si>
  <si>
    <t>0776720924</t>
  </si>
  <si>
    <t>0770648445</t>
  </si>
  <si>
    <t>Jumba</t>
  </si>
  <si>
    <t>UG-CEN-2111-012148</t>
  </si>
  <si>
    <t xml:space="preserve">Muyinda Mike </t>
  </si>
  <si>
    <t>0772352303</t>
  </si>
  <si>
    <t>Nagambo</t>
  </si>
  <si>
    <t>Kifumbiro</t>
  </si>
  <si>
    <t>UG-CEN-2111-013429</t>
  </si>
  <si>
    <t xml:space="preserve">Asiat Lugero </t>
  </si>
  <si>
    <t>0700964073</t>
  </si>
  <si>
    <t>Masuliita</t>
  </si>
  <si>
    <t>UG-CEN-2111-017856</t>
  </si>
  <si>
    <t xml:space="preserve">Edward Kafuluma </t>
  </si>
  <si>
    <t>0788463883</t>
  </si>
  <si>
    <t>UG-CEN-2111-017858</t>
  </si>
  <si>
    <t xml:space="preserve">Lukyamuzi Husein </t>
  </si>
  <si>
    <t>0772498626</t>
  </si>
  <si>
    <t>Makindye east</t>
  </si>
  <si>
    <t>Kyamula</t>
  </si>
  <si>
    <t>UG-CEN-2010-017933</t>
  </si>
  <si>
    <t>Lwanga Johnbosco Dr plant 2</t>
  </si>
  <si>
    <t>UG-CEN-2111-017859</t>
  </si>
  <si>
    <t xml:space="preserve">Tinka Jackson </t>
  </si>
  <si>
    <t>0703297071</t>
  </si>
  <si>
    <t>0774349992</t>
  </si>
  <si>
    <t>Kigoowa</t>
  </si>
  <si>
    <t>UG-CEN-2111-017860</t>
  </si>
  <si>
    <t xml:space="preserve">Nabatanzi Sarah </t>
  </si>
  <si>
    <t>0752279399</t>
  </si>
  <si>
    <t>UG-CEN-2111-017861</t>
  </si>
  <si>
    <t xml:space="preserve">Muwanguzi Roselydia </t>
  </si>
  <si>
    <t>0783127007</t>
  </si>
  <si>
    <t>Busega central A</t>
  </si>
  <si>
    <t>UG-CEN-2111-021681</t>
  </si>
  <si>
    <t xml:space="preserve">Magezi Samuel </t>
  </si>
  <si>
    <t>0772321678</t>
  </si>
  <si>
    <t>UG-CEN-2111-021690</t>
  </si>
  <si>
    <t>Senkubuge Victoria Margaret</t>
  </si>
  <si>
    <t>0701945181</t>
  </si>
  <si>
    <t>0752758551</t>
  </si>
  <si>
    <t>UG-CEN-2111-021691</t>
  </si>
  <si>
    <t xml:space="preserve">Nabisaalu Rose </t>
  </si>
  <si>
    <t>0752013829</t>
  </si>
  <si>
    <t>Nabweru kibwa</t>
  </si>
  <si>
    <t>UG-CEN-2111-021692</t>
  </si>
  <si>
    <t xml:space="preserve">Patrick Katimbo </t>
  </si>
  <si>
    <t>0700968672</t>
  </si>
  <si>
    <t>Kakiri town council</t>
  </si>
  <si>
    <t>UG-CEN-2111-021694</t>
  </si>
  <si>
    <t>Nantale Leocaudia Nalongo</t>
  </si>
  <si>
    <t>0782354931</t>
  </si>
  <si>
    <t>UG-CEN-2111-022356</t>
  </si>
  <si>
    <t>Josephine Nakazibwe Ssenyonga</t>
  </si>
  <si>
    <t>0772932987</t>
  </si>
  <si>
    <t>0753960582</t>
  </si>
  <si>
    <t>Nalongo Bena Nanfuka</t>
  </si>
  <si>
    <t>0782801281</t>
  </si>
  <si>
    <t>UG-CEN-2111-07179</t>
  </si>
  <si>
    <t>Murungi K Doreen</t>
  </si>
  <si>
    <t>0772497824</t>
  </si>
  <si>
    <t>0778220756</t>
  </si>
  <si>
    <t>Kajasi Town Council</t>
  </si>
  <si>
    <t>Lumuri</t>
  </si>
  <si>
    <t>UG-CEN-2111-08586</t>
  </si>
  <si>
    <t xml:space="preserve">Claver Sekitto </t>
  </si>
  <si>
    <t>0752630607</t>
  </si>
  <si>
    <t>0752652841</t>
  </si>
  <si>
    <t>Kiyaya</t>
  </si>
  <si>
    <t>UG-CEN-2111-08587</t>
  </si>
  <si>
    <t xml:space="preserve">Imerida Nakanwagi </t>
  </si>
  <si>
    <t>0773966129</t>
  </si>
  <si>
    <t>0704301364</t>
  </si>
  <si>
    <t>Kyadodo</t>
  </si>
  <si>
    <t>Kasagati</t>
  </si>
  <si>
    <t>UG-CEN-2011-017944</t>
  </si>
  <si>
    <t xml:space="preserve">Assimwe James </t>
  </si>
  <si>
    <t>+256756545394</t>
  </si>
  <si>
    <t>0756545394</t>
  </si>
  <si>
    <t>Lwemwede</t>
  </si>
  <si>
    <t>UG-CEN-2111-08589</t>
  </si>
  <si>
    <t xml:space="preserve">Joan Kakwezire </t>
  </si>
  <si>
    <t>0788288874</t>
  </si>
  <si>
    <t>0750617633</t>
  </si>
  <si>
    <t>UG-CEN-2111-08878</t>
  </si>
  <si>
    <t>Muwonge Poul Musawo</t>
  </si>
  <si>
    <t>+256704158126</t>
  </si>
  <si>
    <t>0703377238</t>
  </si>
  <si>
    <t>Masaka city</t>
  </si>
  <si>
    <t>UG-CEN-2111-21695</t>
  </si>
  <si>
    <t>Mutebile Tumusiime Betty (Kusasira Mary Bio diary Farm plant 2)</t>
  </si>
  <si>
    <t>0702300476</t>
  </si>
  <si>
    <t>UG-CEN-2111-21697</t>
  </si>
  <si>
    <t xml:space="preserve">Mukiibi Hussein </t>
  </si>
  <si>
    <t>0776502663</t>
  </si>
  <si>
    <t>UG-CEN-2111-21698</t>
  </si>
  <si>
    <t xml:space="preserve">Nanyonga Sylvia </t>
  </si>
  <si>
    <t>0773263000</t>
  </si>
  <si>
    <t>UG-CEN-2112-013430</t>
  </si>
  <si>
    <t xml:space="preserve">Harriet Kembabazi </t>
  </si>
  <si>
    <t>0700654752</t>
  </si>
  <si>
    <t>UG-CEN-2112-014128</t>
  </si>
  <si>
    <t>David Kiyimba</t>
  </si>
  <si>
    <t>Nsambwe B</t>
  </si>
  <si>
    <t>RIBE- ENTEKO ENTREPRENEUR</t>
  </si>
  <si>
    <t>UG-CEN-2112-017845</t>
  </si>
  <si>
    <t xml:space="preserve">West management centre Makerere university </t>
  </si>
  <si>
    <t>0782025208</t>
  </si>
  <si>
    <t>0772619782</t>
  </si>
  <si>
    <t>UG-CEN-2012-018403</t>
  </si>
  <si>
    <t>Kalungi Deo Plant 2</t>
  </si>
  <si>
    <t>UG-CEN-2112-021693</t>
  </si>
  <si>
    <t>Mugisha Stephen Mutabaazi</t>
  </si>
  <si>
    <t>0706250500</t>
  </si>
  <si>
    <t>Sentingi</t>
  </si>
  <si>
    <t>UG-CEN-2112-021699</t>
  </si>
  <si>
    <t xml:space="preserve">Kavuma Edward </t>
  </si>
  <si>
    <t>Buswa</t>
  </si>
  <si>
    <t>UG-CEN-2112-021700</t>
  </si>
  <si>
    <t>Gitta Micheal Salongo</t>
  </si>
  <si>
    <t>0701314836</t>
  </si>
  <si>
    <t>Membe</t>
  </si>
  <si>
    <t>UG-CEN-2101-013612</t>
  </si>
  <si>
    <t>Duplicate plant</t>
  </si>
  <si>
    <t>Kayemba Namugenyi jene Possiono</t>
  </si>
  <si>
    <t>+256782004476</t>
  </si>
  <si>
    <t>Kyagija</t>
  </si>
  <si>
    <t>UG-CEN-2112-07180</t>
  </si>
  <si>
    <t>Drake Mwebe M</t>
  </si>
  <si>
    <t>0702446239</t>
  </si>
  <si>
    <t>0774377018</t>
  </si>
  <si>
    <t>Makindye Sabagabo</t>
  </si>
  <si>
    <t>Taza</t>
  </si>
  <si>
    <t>Kibutika</t>
  </si>
  <si>
    <t>UG-CEN-2101-013614</t>
  </si>
  <si>
    <t xml:space="preserve">Hajjat Nakayenga Marusi </t>
  </si>
  <si>
    <t>0758241114</t>
  </si>
  <si>
    <t>0774245767</t>
  </si>
  <si>
    <t>Butawata</t>
  </si>
  <si>
    <t>UG-CEN-2112-08590</t>
  </si>
  <si>
    <t xml:space="preserve">Josephine Karebi </t>
  </si>
  <si>
    <t>0706279385</t>
  </si>
  <si>
    <t>Kira town council</t>
  </si>
  <si>
    <t xml:space="preserve">Masembe Joseph </t>
  </si>
  <si>
    <t>0755290131</t>
  </si>
  <si>
    <t>0774425648/0774208471</t>
  </si>
  <si>
    <t>Mawokota  south</t>
  </si>
  <si>
    <t>UG-CEN-2112-21696</t>
  </si>
  <si>
    <t xml:space="preserve">Turyahikayo Jessy </t>
  </si>
  <si>
    <t>UG-CEN-2201-021347</t>
  </si>
  <si>
    <t xml:space="preserve">Nsubuga Shariq </t>
  </si>
  <si>
    <t>0758328267</t>
  </si>
  <si>
    <t>Naomi</t>
  </si>
  <si>
    <t>UG-CEN-2201-021348</t>
  </si>
  <si>
    <t xml:space="preserve">Oriema Harry </t>
  </si>
  <si>
    <t>0754477676</t>
  </si>
  <si>
    <t>UG-CEN-2201-021801</t>
  </si>
  <si>
    <t>Mukono Day and Boarding School Primary</t>
  </si>
  <si>
    <t>0751437719</t>
  </si>
  <si>
    <t>Mukono TC</t>
  </si>
  <si>
    <t>UG-CEN-2201-021804</t>
  </si>
  <si>
    <t xml:space="preserve">Magyezi Africano </t>
  </si>
  <si>
    <t>0752850921</t>
  </si>
  <si>
    <t>UG-CEN-2101-017834</t>
  </si>
  <si>
    <t>Ssenfuka Jackson Kabuye</t>
  </si>
  <si>
    <t>+256754788089</t>
  </si>
  <si>
    <t>Nakawa west</t>
  </si>
  <si>
    <t>Mukalazi</t>
  </si>
  <si>
    <t>UG-CEN-2201-021805</t>
  </si>
  <si>
    <t xml:space="preserve">Kirembe Gerald </t>
  </si>
  <si>
    <t>0705167648</t>
  </si>
  <si>
    <t>UG-CEN-2201-021808</t>
  </si>
  <si>
    <t xml:space="preserve">Ddumba Richard </t>
  </si>
  <si>
    <t>0772829352</t>
  </si>
  <si>
    <t>UG-CEN-2201-021810</t>
  </si>
  <si>
    <t xml:space="preserve">Greenwich Farm </t>
  </si>
  <si>
    <t>0744428622</t>
  </si>
  <si>
    <t>0740730993</t>
  </si>
  <si>
    <t>Buwaali</t>
  </si>
  <si>
    <t>UG-CEN-2201-021812</t>
  </si>
  <si>
    <t xml:space="preserve">Owesigye Ian </t>
  </si>
  <si>
    <t>0772087169</t>
  </si>
  <si>
    <t>UG-CEN-2101-018493</t>
  </si>
  <si>
    <t xml:space="preserve">Bwogi Farm </t>
  </si>
  <si>
    <t>0702950600</t>
  </si>
  <si>
    <t>Bulanga</t>
  </si>
  <si>
    <t>UG-CEN-2201-08588</t>
  </si>
  <si>
    <t>CHANCE FOR CHILDREN</t>
  </si>
  <si>
    <t>0706434175</t>
  </si>
  <si>
    <t>Busugu</t>
  </si>
  <si>
    <t>Butayuja</t>
  </si>
  <si>
    <t>UG-CEN-2202-017864</t>
  </si>
  <si>
    <t>Robin Ssemuwemba Joseph</t>
  </si>
  <si>
    <t>0760230617</t>
  </si>
  <si>
    <t>0782200010</t>
  </si>
  <si>
    <t>Bulemezi/katikamu south</t>
  </si>
  <si>
    <t>UG-CEN-2202-021813</t>
  </si>
  <si>
    <t>Nalubowa Masitula Hajjat</t>
  </si>
  <si>
    <t>0702526892</t>
  </si>
  <si>
    <t>UG-CEN-2203-014131</t>
  </si>
  <si>
    <t xml:space="preserve">Micheal Kalimera </t>
  </si>
  <si>
    <t>0774972820</t>
  </si>
  <si>
    <t>0700873686</t>
  </si>
  <si>
    <t>Kinawa Bandwe</t>
  </si>
  <si>
    <t>UG-CEN-2203-021811</t>
  </si>
  <si>
    <t>Nfuga Samuel Doctor</t>
  </si>
  <si>
    <t>0703468014</t>
  </si>
  <si>
    <t>Lutunku</t>
  </si>
  <si>
    <t>UG-CEN-2203-021819</t>
  </si>
  <si>
    <t xml:space="preserve">Wambi Ivan </t>
  </si>
  <si>
    <t>0705982257</t>
  </si>
  <si>
    <t>0774699877</t>
  </si>
  <si>
    <t>Kantanda</t>
  </si>
  <si>
    <t>UG-CEN-2203-021825</t>
  </si>
  <si>
    <t>Nakabare David Engineer</t>
  </si>
  <si>
    <t>0755831120</t>
  </si>
  <si>
    <t>Namawojolo</t>
  </si>
  <si>
    <t>UG-CEN-2203-021826</t>
  </si>
  <si>
    <t xml:space="preserve">Youth Association for Rural Development YARD </t>
  </si>
  <si>
    <t>0773116664</t>
  </si>
  <si>
    <t>Kabizzi</t>
  </si>
  <si>
    <t>UG-CEN-2203-021827</t>
  </si>
  <si>
    <t>Nakabiri Francis Jane</t>
  </si>
  <si>
    <t>0757513424</t>
  </si>
  <si>
    <t>0785466166</t>
  </si>
  <si>
    <t>Luleka</t>
  </si>
  <si>
    <t>UG-CEN-2204-021828</t>
  </si>
  <si>
    <t xml:space="preserve">Nakiyimba Prossy </t>
  </si>
  <si>
    <t>+256754979679</t>
  </si>
  <si>
    <t>UG-CEN-2205-021838</t>
  </si>
  <si>
    <t>0757921511</t>
  </si>
  <si>
    <t>Bbuwe. B</t>
  </si>
  <si>
    <t>UG-CEN-2207-010827</t>
  </si>
  <si>
    <t>Nalugo Josephine Kukiriza</t>
  </si>
  <si>
    <t>0789196364</t>
  </si>
  <si>
    <t>Irimba</t>
  </si>
  <si>
    <t>UG-CEN-2207-010833</t>
  </si>
  <si>
    <t xml:space="preserve">Sebabi Stephen </t>
  </si>
  <si>
    <t>0779266474</t>
  </si>
  <si>
    <t>Kyawaikata</t>
  </si>
  <si>
    <t>UG-CEN-2208-010828</t>
  </si>
  <si>
    <t xml:space="preserve">Nanyonjo Gorret </t>
  </si>
  <si>
    <t>0774773818</t>
  </si>
  <si>
    <t>Katuugo</t>
  </si>
  <si>
    <t>UG-CEN-2208-010829</t>
  </si>
  <si>
    <t xml:space="preserve">Kulabako Agnes </t>
  </si>
  <si>
    <t>0784260351</t>
  </si>
  <si>
    <t>Malengera</t>
  </si>
  <si>
    <t>UG-CEN-2208-010830</t>
  </si>
  <si>
    <t xml:space="preserve">Nambi Betty </t>
  </si>
  <si>
    <t>0780757762</t>
  </si>
  <si>
    <t>Rukinzi</t>
  </si>
  <si>
    <t>UG-CEN-2208-010831</t>
  </si>
  <si>
    <t xml:space="preserve">Semwasi Livingston </t>
  </si>
  <si>
    <t>0774771109</t>
  </si>
  <si>
    <t>Lwabiyata</t>
  </si>
  <si>
    <t>Mpabye</t>
  </si>
  <si>
    <t>UG-CEN-2209-010826</t>
  </si>
  <si>
    <t xml:space="preserve">Namwanje Scovia </t>
  </si>
  <si>
    <t>0779385682</t>
  </si>
  <si>
    <t>Bamusuta</t>
  </si>
  <si>
    <t>UG-CEN-2209-010832</t>
  </si>
  <si>
    <t>Kibalikoba Stephen Kyenkya</t>
  </si>
  <si>
    <t>0775131460</t>
  </si>
  <si>
    <t>Wabusaana</t>
  </si>
  <si>
    <t>UG-CEN-2209-011201</t>
  </si>
  <si>
    <t xml:space="preserve">Kazibwe Ibrahim </t>
  </si>
  <si>
    <t>0741916505</t>
  </si>
  <si>
    <t>Gombe division</t>
  </si>
  <si>
    <t>Nasse</t>
  </si>
  <si>
    <t>Devine Renewable Energy Company</t>
  </si>
  <si>
    <t>UG-CEN-2209-011202</t>
  </si>
  <si>
    <t xml:space="preserve">Nalule Safina </t>
  </si>
  <si>
    <t>0751816205</t>
  </si>
  <si>
    <t>Lwadda B</t>
  </si>
  <si>
    <t>UG-CEN-2209-011203</t>
  </si>
  <si>
    <t xml:space="preserve">Nakintu Esther </t>
  </si>
  <si>
    <t>0782497906</t>
  </si>
  <si>
    <t>Busiika T.C</t>
  </si>
  <si>
    <t>Gayira</t>
  </si>
  <si>
    <t>UG-CEN-2209-011204</t>
  </si>
  <si>
    <t xml:space="preserve">Kansiime Ibra </t>
  </si>
  <si>
    <t>0763838381</t>
  </si>
  <si>
    <t>kyadondo East</t>
  </si>
  <si>
    <t>Kansagati T.C</t>
  </si>
  <si>
    <t>Jjolwe</t>
  </si>
  <si>
    <t>UG-CEN-2209-011206</t>
  </si>
  <si>
    <t>Kyalimpa Annet Mugabe</t>
  </si>
  <si>
    <t>0761702140</t>
  </si>
  <si>
    <t>UG-CEN-2209-011209</t>
  </si>
  <si>
    <t xml:space="preserve">Byamukama David </t>
  </si>
  <si>
    <t>0788809383</t>
  </si>
  <si>
    <t>Nsubwe</t>
  </si>
  <si>
    <t>UG-CEN-2209-06953</t>
  </si>
  <si>
    <t>Mulamba Paddy</t>
  </si>
  <si>
    <t>Biyinja zone</t>
  </si>
  <si>
    <t>UG-CEN-2210-010408</t>
  </si>
  <si>
    <t xml:space="preserve">Okadet Omala </t>
  </si>
  <si>
    <t>0703045980</t>
  </si>
  <si>
    <t>Bulimajaga</t>
  </si>
  <si>
    <t>UG-CEN-2210-011210</t>
  </si>
  <si>
    <t xml:space="preserve">Kibalama James </t>
  </si>
  <si>
    <t>0705685437</t>
  </si>
  <si>
    <t>Wabinyogo</t>
  </si>
  <si>
    <t>UG-CEN-2211-010251</t>
  </si>
  <si>
    <t>Najja Brenda Najja</t>
  </si>
  <si>
    <t>0707859413</t>
  </si>
  <si>
    <t>Kyaddando East</t>
  </si>
  <si>
    <t>UG-CEN-2212-010255</t>
  </si>
  <si>
    <t xml:space="preserve">Lwasa Berna </t>
  </si>
  <si>
    <t>0704778057</t>
  </si>
  <si>
    <t>Makindye Ssabagabo</t>
  </si>
  <si>
    <t>UG-CEN-2212-010451</t>
  </si>
  <si>
    <t xml:space="preserve">BMS Industrial Group </t>
  </si>
  <si>
    <t>0757484926</t>
  </si>
  <si>
    <t>Kimenyedde</t>
  </si>
  <si>
    <t>UG-CEN-2212-011207</t>
  </si>
  <si>
    <t xml:space="preserve">Balinde Scovia </t>
  </si>
  <si>
    <t>0782212151</t>
  </si>
  <si>
    <t>Nakeseke</t>
  </si>
  <si>
    <t>UG-CEN-2212-011208</t>
  </si>
  <si>
    <t xml:space="preserve">Caro Musimenta </t>
  </si>
  <si>
    <t>0706633535</t>
  </si>
  <si>
    <t>Kansai</t>
  </si>
  <si>
    <t>UG-CEN-2212-011211</t>
  </si>
  <si>
    <t xml:space="preserve">Byekwaso John </t>
  </si>
  <si>
    <t>0783408880</t>
  </si>
  <si>
    <t>kapeka</t>
  </si>
  <si>
    <t>Kifampa</t>
  </si>
  <si>
    <t>UG-CEN-2212-011212</t>
  </si>
  <si>
    <t xml:space="preserve">Mayanja Kironde </t>
  </si>
  <si>
    <t>0774686268</t>
  </si>
  <si>
    <t>UG-CEN-2302-010256</t>
  </si>
  <si>
    <t xml:space="preserve">Nabulya Getrude </t>
  </si>
  <si>
    <t>0700931221</t>
  </si>
  <si>
    <t>UG-CEN-2302-010259</t>
  </si>
  <si>
    <t xml:space="preserve">Njuba Norah </t>
  </si>
  <si>
    <t>0752262335</t>
  </si>
  <si>
    <t>Mawale</t>
  </si>
  <si>
    <t>Lukaaka</t>
  </si>
  <si>
    <t>UG-CEN-2302-010261</t>
  </si>
  <si>
    <t>Nakandi Annet Semambo</t>
  </si>
  <si>
    <t>0702776323</t>
  </si>
  <si>
    <t>Kirolo</t>
  </si>
  <si>
    <t>UG-CEN-2302-010411</t>
  </si>
  <si>
    <t>Musoke Shamido Hajji. Hamidu</t>
  </si>
  <si>
    <t>0701999975</t>
  </si>
  <si>
    <t>Kiwuumu</t>
  </si>
  <si>
    <t>UG-CEN-2302-010755</t>
  </si>
  <si>
    <t xml:space="preserve">Ddamulira John </t>
  </si>
  <si>
    <t>0708154722</t>
  </si>
  <si>
    <t>Busana</t>
  </si>
  <si>
    <t>Ark Engineering Solutions Ltd</t>
  </si>
  <si>
    <t>UG-CEN-2302-010756</t>
  </si>
  <si>
    <t xml:space="preserve">Ssekonde Moses </t>
  </si>
  <si>
    <t>0782495013</t>
  </si>
  <si>
    <t>UG-CEN-2104-018427</t>
  </si>
  <si>
    <t>Nakkazi Robinah Mugerwa</t>
  </si>
  <si>
    <t>0772848883</t>
  </si>
  <si>
    <t>0758843901</t>
  </si>
  <si>
    <t>UG-CEN-2302-010757</t>
  </si>
  <si>
    <t>Kamugisha Emmanuel Ngenzi</t>
  </si>
  <si>
    <t>0200909733</t>
  </si>
  <si>
    <t>Kasokwe</t>
  </si>
  <si>
    <t>Kataigwa</t>
  </si>
  <si>
    <t>Akiki  Getrude</t>
  </si>
  <si>
    <t>Bukedea</t>
  </si>
  <si>
    <t>Kasoka</t>
  </si>
  <si>
    <t>TECH HR TECHNOLOGIES LIMITED (THRT)</t>
  </si>
  <si>
    <t>UG-EAS-1004-2200</t>
  </si>
  <si>
    <t>Mukula  Willy</t>
  </si>
  <si>
    <t>Pallisa</t>
  </si>
  <si>
    <t>Puti puti</t>
  </si>
  <si>
    <t>Bukamugewo</t>
  </si>
  <si>
    <t>UG-EAS-1005-1362</t>
  </si>
  <si>
    <t>Gogo  Florence</t>
  </si>
  <si>
    <t>Mbale</t>
  </si>
  <si>
    <t>Wanale</t>
  </si>
  <si>
    <t>Wanale division</t>
  </si>
  <si>
    <t>Butandiga cell</t>
  </si>
  <si>
    <t>UG-EAS-1005-2212</t>
  </si>
  <si>
    <t>Bugumirwa Wilber Yanga</t>
  </si>
  <si>
    <t>Buyende</t>
  </si>
  <si>
    <t>Budiope</t>
  </si>
  <si>
    <t>Kidera</t>
  </si>
  <si>
    <t>Ntaala</t>
  </si>
  <si>
    <t>UG-CEN-2105-018429</t>
  </si>
  <si>
    <t>Institutional plant</t>
  </si>
  <si>
    <t>Kiragga James Plant 2</t>
  </si>
  <si>
    <t>UG-EAS-1005-2256</t>
  </si>
  <si>
    <t>Kamulegeya  Siraji</t>
  </si>
  <si>
    <t>Bunghokho</t>
  </si>
  <si>
    <t>Namanyonyi</t>
  </si>
  <si>
    <t>Nakunsi</t>
  </si>
  <si>
    <t>UG-EAS-1006-2000</t>
  </si>
  <si>
    <t>Olowo  Danny Ofumbi</t>
  </si>
  <si>
    <t>Tororo</t>
  </si>
  <si>
    <t>Budama North</t>
  </si>
  <si>
    <t>Petta</t>
  </si>
  <si>
    <t>Morwa North</t>
  </si>
  <si>
    <t>Wancha  Dominic</t>
  </si>
  <si>
    <t>Kasodo</t>
  </si>
  <si>
    <t>Bukenya</t>
  </si>
  <si>
    <t>E&amp;A</t>
  </si>
  <si>
    <t>UG-CEN-2105-018447</t>
  </si>
  <si>
    <t>Kamya KRUWODO Plant 2</t>
  </si>
  <si>
    <t>0757460430</t>
  </si>
  <si>
    <t>Miseere</t>
  </si>
  <si>
    <t>UG-EAS-1006-4047</t>
  </si>
  <si>
    <t>Wancha Stephen</t>
  </si>
  <si>
    <t>Bukenye A</t>
  </si>
  <si>
    <t>Muloni  James</t>
  </si>
  <si>
    <t>Bulambuli</t>
  </si>
  <si>
    <t>Buginyanya</t>
  </si>
  <si>
    <t>Bugube lower</t>
  </si>
  <si>
    <t>Bukenya Stephen</t>
  </si>
  <si>
    <t xml:space="preserve">Budiope </t>
  </si>
  <si>
    <t>UG-EAS-1007-00933</t>
  </si>
  <si>
    <t>Kamiti Nakoko</t>
  </si>
  <si>
    <t>Namagumba</t>
  </si>
  <si>
    <t>UG-EAS-1007-116</t>
  </si>
  <si>
    <t>Galimakajohn</t>
  </si>
  <si>
    <t>Budiope west</t>
  </si>
  <si>
    <t>UG-EAS-1007-1377</t>
  </si>
  <si>
    <t>Kikonde Sulaina</t>
  </si>
  <si>
    <t>Kasanvu</t>
  </si>
  <si>
    <t>UG-EAS-1007-1529</t>
  </si>
  <si>
    <t>Were  Jessica</t>
  </si>
  <si>
    <t>Butalejja</t>
  </si>
  <si>
    <t>Buyonle East</t>
  </si>
  <si>
    <t>Mazimasa</t>
  </si>
  <si>
    <t>Melembe</t>
  </si>
  <si>
    <t>Masa Mariam</t>
  </si>
  <si>
    <t>Bungokho</t>
  </si>
  <si>
    <t>Munkaga</t>
  </si>
  <si>
    <t>UG-EAS-1007-1576</t>
  </si>
  <si>
    <t>Walyekere  Florence</t>
  </si>
  <si>
    <t>Sironko</t>
  </si>
  <si>
    <t>Budadiri</t>
  </si>
  <si>
    <t>Buwalasi</t>
  </si>
  <si>
    <t>Nalwitale</t>
  </si>
  <si>
    <t>UG-EAS-1007-2298</t>
  </si>
  <si>
    <t>Wandali  Stephen</t>
  </si>
  <si>
    <t>Lukhonge</t>
  </si>
  <si>
    <t>Nekombe</t>
  </si>
  <si>
    <t>UG-EAS-1007-3302</t>
  </si>
  <si>
    <t>Sister Regina Atimo</t>
  </si>
  <si>
    <t>Northen division</t>
  </si>
  <si>
    <t>kamuli municipal</t>
  </si>
  <si>
    <t>Bukabale</t>
  </si>
  <si>
    <t>UG-EAS-1007-38</t>
  </si>
  <si>
    <t>Balyogera Dorothy</t>
  </si>
  <si>
    <t>Jinja</t>
  </si>
  <si>
    <t>Butembe</t>
  </si>
  <si>
    <t>Mafubira</t>
  </si>
  <si>
    <t>Wanyange  lake</t>
  </si>
  <si>
    <t>Mugoda  Alfred</t>
  </si>
  <si>
    <t>Wanyange</t>
  </si>
  <si>
    <t>UG-EAS-1007-4099</t>
  </si>
  <si>
    <t>Iicha Juventine</t>
  </si>
  <si>
    <t>Kachumbala</t>
  </si>
  <si>
    <t>Kacumbala</t>
  </si>
  <si>
    <t>omonyono</t>
  </si>
  <si>
    <t>UG-EAS-1007-4103</t>
  </si>
  <si>
    <t>Shimanya  Dison</t>
  </si>
  <si>
    <t>Busoba</t>
  </si>
  <si>
    <t>Nalondo</t>
  </si>
  <si>
    <t>UG-EAS-1007-4110</t>
  </si>
  <si>
    <t>Waimbya  Yoswa</t>
  </si>
  <si>
    <t>Nakaloke Tc</t>
  </si>
  <si>
    <t>Nakaloke</t>
  </si>
  <si>
    <t>Na mabaga 2</t>
  </si>
  <si>
    <t>UG-EAS-1008-148</t>
  </si>
  <si>
    <t>Igaga Mutekanga G W</t>
  </si>
  <si>
    <t>Bugabula north</t>
  </si>
  <si>
    <t>Nabwigulu</t>
  </si>
  <si>
    <t>bufumba</t>
  </si>
  <si>
    <t>Wadugwa  Suleiman</t>
  </si>
  <si>
    <t>Bungokho South</t>
  </si>
  <si>
    <t>Mutoto cell</t>
  </si>
  <si>
    <t>UG-EAS-1008-168</t>
  </si>
  <si>
    <t>Kaago Denis</t>
  </si>
  <si>
    <t>UG-EAS-1008-191</t>
  </si>
  <si>
    <t>Kalyango Bashiri</t>
  </si>
  <si>
    <t>UG-CEN-2107-021652</t>
  </si>
  <si>
    <t>Institutional</t>
  </si>
  <si>
    <t>Namirembe Evelyn Nsimbi P&amp;N Sch</t>
  </si>
  <si>
    <t>Kasozi Stephen</t>
  </si>
  <si>
    <t>Nakawa B</t>
  </si>
  <si>
    <t>UG-EAS-1008-4203</t>
  </si>
  <si>
    <t>Nafuye  Janet</t>
  </si>
  <si>
    <t>Budadiri east</t>
  </si>
  <si>
    <t>Bumalimba</t>
  </si>
  <si>
    <t>Namiri</t>
  </si>
  <si>
    <t>UG-EAS-1008-4211</t>
  </si>
  <si>
    <t>Nambafu  Patrick</t>
  </si>
  <si>
    <t>Bulambuli T.C</t>
  </si>
  <si>
    <t>Butta B</t>
  </si>
  <si>
    <t>UG-EAS-1009-07265</t>
  </si>
  <si>
    <t>Wasikye  Samuel</t>
  </si>
  <si>
    <t>Elgon</t>
  </si>
  <si>
    <t>Muyembe</t>
  </si>
  <si>
    <t>Burukuru</t>
  </si>
  <si>
    <t>UG-EAS-1009-1363</t>
  </si>
  <si>
    <t>Wanale  Base Nambieth</t>
  </si>
  <si>
    <t>UG-EAS-1009-1595</t>
  </si>
  <si>
    <t>Wambya  James</t>
  </si>
  <si>
    <t>Namuhonge</t>
  </si>
  <si>
    <t>UG-CEN-2108-017842</t>
  </si>
  <si>
    <t>The farmer constructed a goat house on top of the digester</t>
  </si>
  <si>
    <t xml:space="preserve">Nalongo Annet </t>
  </si>
  <si>
    <t>0750695654</t>
  </si>
  <si>
    <t>0778617975</t>
  </si>
  <si>
    <t>Kawampe division</t>
  </si>
  <si>
    <t>Kyadodo south</t>
  </si>
  <si>
    <t>Upper nsooba</t>
  </si>
  <si>
    <t>UG-EAS-1009-166</t>
  </si>
  <si>
    <t>Julius Balyejjusa</t>
  </si>
  <si>
    <t>kirimira</t>
  </si>
  <si>
    <t>Akome (For The Late Asano Catherine)  Lucy</t>
  </si>
  <si>
    <t>Serere</t>
  </si>
  <si>
    <t>olio</t>
  </si>
  <si>
    <t>okulonyo</t>
  </si>
  <si>
    <t>Wotakyala Samuel Balwana</t>
  </si>
  <si>
    <t>Bugabula south</t>
  </si>
  <si>
    <t>Kitayunjwa</t>
  </si>
  <si>
    <t>Bulindha zone</t>
  </si>
  <si>
    <t>Nagwere  Robert</t>
  </si>
  <si>
    <t>Bumudu A</t>
  </si>
  <si>
    <t>Wambomba Godfrey</t>
  </si>
  <si>
    <t>Nyondo</t>
  </si>
  <si>
    <t>Shitimo</t>
  </si>
  <si>
    <t>Kitimbo Mwami</t>
  </si>
  <si>
    <t>UG-EAS-1009-31</t>
  </si>
  <si>
    <t>Baite Gabudyeri Kalimango</t>
  </si>
  <si>
    <t>Kiwaba</t>
  </si>
  <si>
    <t>UG-EAS-1009-4038</t>
  </si>
  <si>
    <t>Nabola  Pison</t>
  </si>
  <si>
    <t>Budaka</t>
  </si>
  <si>
    <t>Kaderuna</t>
  </si>
  <si>
    <t>Kotia</t>
  </si>
  <si>
    <t>UG-EAS-1010-1366</t>
  </si>
  <si>
    <t>Wanyakala  Stephen Waluhu</t>
  </si>
  <si>
    <t>Wanale Division</t>
  </si>
  <si>
    <t>Dumba Aziz</t>
  </si>
  <si>
    <t>Namatala</t>
  </si>
  <si>
    <t>Chelebei  Bruno</t>
  </si>
  <si>
    <t>Kapchorwa</t>
  </si>
  <si>
    <t>Tingey</t>
  </si>
  <si>
    <t>Tegeres</t>
  </si>
  <si>
    <t>Kapchebut</t>
  </si>
  <si>
    <t>UG-EAS-1010-1590</t>
  </si>
  <si>
    <t>Mwenyi  Kamida</t>
  </si>
  <si>
    <t>Bunekesa</t>
  </si>
  <si>
    <t>Mudebo  Henry</t>
  </si>
  <si>
    <t>UG-EAS-1010-2356</t>
  </si>
  <si>
    <t>Amadu Marium</t>
  </si>
  <si>
    <t>Napulu</t>
  </si>
  <si>
    <t>UG-EAS-1010-2357</t>
  </si>
  <si>
    <t>Mauso   Dorothy</t>
  </si>
  <si>
    <t>Manyonyi  up</t>
  </si>
  <si>
    <t>UG-EAS-1010-4154</t>
  </si>
  <si>
    <t>Makweta  Francis Jeri</t>
  </si>
  <si>
    <t>Bumasifa</t>
  </si>
  <si>
    <t>Kidega</t>
  </si>
  <si>
    <t>UG-EAS-1010-4229</t>
  </si>
  <si>
    <t>Mangusho  Edison</t>
  </si>
  <si>
    <t>Kween</t>
  </si>
  <si>
    <t>Kaptoyoy</t>
  </si>
  <si>
    <t>Sererwo</t>
  </si>
  <si>
    <t>Cherop  Bonny</t>
  </si>
  <si>
    <t>Chema</t>
  </si>
  <si>
    <t>Tulolwo</t>
  </si>
  <si>
    <t>UG-EAS-1011-1373</t>
  </si>
  <si>
    <t>Wehambe  Mutwalibi</t>
  </si>
  <si>
    <t>Mwasa  Charles</t>
  </si>
  <si>
    <t>Mutoto</t>
  </si>
  <si>
    <t>Bugema kija</t>
  </si>
  <si>
    <t>Balayo   Magrete</t>
  </si>
  <si>
    <t>UG-EAS-1011-1577</t>
  </si>
  <si>
    <t>Mwanga   Akim</t>
  </si>
  <si>
    <t>Namuunsi</t>
  </si>
  <si>
    <t>UG-EAS-1011-2280</t>
  </si>
  <si>
    <t>Gidongo  Loyce Paul</t>
  </si>
  <si>
    <t>Bungokho North</t>
  </si>
  <si>
    <t>Aisa teko</t>
  </si>
  <si>
    <t>UG-EAS-1011-2291</t>
  </si>
  <si>
    <t>Mulyanyuma  Aaron</t>
  </si>
  <si>
    <t>Tululu</t>
  </si>
  <si>
    <t>UG-EAS-1011-2292</t>
  </si>
  <si>
    <t>Wanda  David</t>
  </si>
  <si>
    <t>Bunanimi</t>
  </si>
  <si>
    <t>Robinah  Wanda</t>
  </si>
  <si>
    <t>Makhai</t>
  </si>
  <si>
    <t>UG-EAS-1011-2334</t>
  </si>
  <si>
    <t>Ndaula  Catherine</t>
  </si>
  <si>
    <t>Busajabwakuba</t>
  </si>
  <si>
    <t>Wamumi  Binayo</t>
  </si>
  <si>
    <t>Bushilibo</t>
  </si>
  <si>
    <t>Namolo</t>
  </si>
  <si>
    <t>Alinah Sadiki</t>
  </si>
  <si>
    <t>Buyende west</t>
  </si>
  <si>
    <t>Kanampalala</t>
  </si>
  <si>
    <t>Madoi  Keneth</t>
  </si>
  <si>
    <t>Bamalimba</t>
  </si>
  <si>
    <t>Bunandasa</t>
  </si>
  <si>
    <t>UG-EAS-1011-4140</t>
  </si>
  <si>
    <t>Womema  Jackson</t>
  </si>
  <si>
    <t>Bimugimbole</t>
  </si>
  <si>
    <t>Samazi</t>
  </si>
  <si>
    <t>UG-EAS-1011-4143</t>
  </si>
  <si>
    <t>Googo  Peter</t>
  </si>
  <si>
    <t>masira</t>
  </si>
  <si>
    <t>Kifunga</t>
  </si>
  <si>
    <t>UG-EAS-1011-4144</t>
  </si>
  <si>
    <t>Maguje  Zamule</t>
  </si>
  <si>
    <t>Masira</t>
  </si>
  <si>
    <t>Lusoso</t>
  </si>
  <si>
    <t>UG-EAS-1011-4147</t>
  </si>
  <si>
    <t>Kimasa  Thomas</t>
  </si>
  <si>
    <t>Dunga</t>
  </si>
  <si>
    <t>UG-EAS-1011-4228</t>
  </si>
  <si>
    <t>Satya  Daniel</t>
  </si>
  <si>
    <t>UG-EAS-1011-4773</t>
  </si>
  <si>
    <t>Maswa  Francis</t>
  </si>
  <si>
    <t>Manafwa</t>
  </si>
  <si>
    <t>Bubulo west</t>
  </si>
  <si>
    <t>Khabutoola</t>
  </si>
  <si>
    <t>Tserono</t>
  </si>
  <si>
    <t>UG-EAS-1011-4854</t>
  </si>
  <si>
    <t>Opondo  Aluka</t>
  </si>
  <si>
    <t>West Budama South</t>
  </si>
  <si>
    <t>Rubongi</t>
  </si>
  <si>
    <t>Abur</t>
  </si>
  <si>
    <t>UG-EAS-1011-570</t>
  </si>
  <si>
    <t>Joseph  Mulandya</t>
  </si>
  <si>
    <t>Bunya West</t>
  </si>
  <si>
    <t>Wairasa</t>
  </si>
  <si>
    <t>WAIBALE</t>
  </si>
  <si>
    <t>Maima  Stephen</t>
  </si>
  <si>
    <t>Shananda</t>
  </si>
  <si>
    <t>Wanakajje  Mary</t>
  </si>
  <si>
    <t>Bukasakya</t>
  </si>
  <si>
    <t>Kisuja</t>
  </si>
  <si>
    <t>Mwalye  Grace</t>
  </si>
  <si>
    <t>Bugema B</t>
  </si>
  <si>
    <t>Masaba   Sam Rev</t>
  </si>
  <si>
    <t>UG-EAS-1012-1677</t>
  </si>
  <si>
    <t>Buheye  Micheal</t>
  </si>
  <si>
    <t>Bunyole west</t>
  </si>
  <si>
    <t>Busabi</t>
  </si>
  <si>
    <t>Bugangu</t>
  </si>
  <si>
    <t>UG-EAS-1012-1744</t>
  </si>
  <si>
    <t>Wakhata  Musa</t>
  </si>
  <si>
    <t>Khabutola</t>
  </si>
  <si>
    <t>Busyula 1</t>
  </si>
  <si>
    <t>UG-EAS-1012-1747</t>
  </si>
  <si>
    <t>Watikha  Edrisa</t>
  </si>
  <si>
    <t>Bunakami</t>
  </si>
  <si>
    <t>UG-EAS-1012-1748</t>
  </si>
  <si>
    <t>Muyobo   Zaina</t>
  </si>
  <si>
    <t>Bunambale</t>
  </si>
  <si>
    <t>UG-EAS-1012-1951</t>
  </si>
  <si>
    <t>Muyobo Amiri</t>
  </si>
  <si>
    <t>UG-EAS-1012-2192</t>
  </si>
  <si>
    <t>Kaidu  Ketty</t>
  </si>
  <si>
    <t>Kamuge</t>
  </si>
  <si>
    <t>Napetete</t>
  </si>
  <si>
    <t>Mangombe Getrude</t>
  </si>
  <si>
    <t>Budadiri West</t>
  </si>
  <si>
    <t>Bwalasi</t>
  </si>
  <si>
    <t>Buwira</t>
  </si>
  <si>
    <t>Khauka James</t>
  </si>
  <si>
    <t>Namwalo</t>
  </si>
  <si>
    <t>UG-CEN-2110-021677</t>
  </si>
  <si>
    <t>Kahaya Edward Plant 2</t>
  </si>
  <si>
    <t>Bukiika</t>
  </si>
  <si>
    <t>UG-CEN-2110-021678</t>
  </si>
  <si>
    <t>Kahaya Edward Plant 3</t>
  </si>
  <si>
    <t>Luwero</t>
  </si>
  <si>
    <t>Kakoola</t>
  </si>
  <si>
    <t>UG-EAS-1012-2336</t>
  </si>
  <si>
    <t>Kisolo  Michael</t>
  </si>
  <si>
    <t>Nandala</t>
  </si>
  <si>
    <t>Wasikye  John</t>
  </si>
  <si>
    <t>Namatokota</t>
  </si>
  <si>
    <t>UG-CEN-2110-021687</t>
  </si>
  <si>
    <t>Institutional digester</t>
  </si>
  <si>
    <t>Ssenyonga Peter plant 1</t>
  </si>
  <si>
    <t>0740928232</t>
  </si>
  <si>
    <t>0708370148</t>
  </si>
  <si>
    <t>Nakatooke</t>
  </si>
  <si>
    <t>UG-CEN-2110-021688</t>
  </si>
  <si>
    <t>Ssenyonga Peter Plant 2</t>
  </si>
  <si>
    <t>Nakatoke</t>
  </si>
  <si>
    <t>UG-EAS-1012-2348</t>
  </si>
  <si>
    <t>Mungoma  John</t>
  </si>
  <si>
    <t>Nabimali</t>
  </si>
  <si>
    <t>UG-EAS-1012-2369</t>
  </si>
  <si>
    <t>Khapala   Moses</t>
  </si>
  <si>
    <t>Biduda Tc</t>
  </si>
  <si>
    <t>Buneembe</t>
  </si>
  <si>
    <t>UG-EAS-1012-32</t>
  </si>
  <si>
    <t>Bakaki Goerge</t>
  </si>
  <si>
    <t>Buzaaya</t>
  </si>
  <si>
    <t>Bugulumbya</t>
  </si>
  <si>
    <t>Bulawa</t>
  </si>
  <si>
    <t>Mpakibi Jenet</t>
  </si>
  <si>
    <t>Buyimbora</t>
  </si>
  <si>
    <t>Musundi  Enok</t>
  </si>
  <si>
    <t>Bubulo east</t>
  </si>
  <si>
    <t>Butsebeni</t>
  </si>
  <si>
    <t>UG-EAS-1012-3672</t>
  </si>
  <si>
    <t>Wasilwa  Christopher</t>
  </si>
  <si>
    <t>Budadiri west</t>
  </si>
  <si>
    <t>Bukhulo</t>
  </si>
  <si>
    <t>Basiu</t>
  </si>
  <si>
    <t>UG-EAS-1012-4041</t>
  </si>
  <si>
    <t>Emuron  Francis</t>
  </si>
  <si>
    <t>olok</t>
  </si>
  <si>
    <t>osekelo oibokoton</t>
  </si>
  <si>
    <t>UG-EAS-1012-4044</t>
  </si>
  <si>
    <t>Asire  John</t>
  </si>
  <si>
    <t>osonga central</t>
  </si>
  <si>
    <t>UG-EAS-1012-4104</t>
  </si>
  <si>
    <t>Wobibi  Stephen</t>
  </si>
  <si>
    <t>Bubesye c</t>
  </si>
  <si>
    <t>UG-EAS-1012-4146</t>
  </si>
  <si>
    <t>Kissa  Michael</t>
  </si>
  <si>
    <t>UG-EAS-1012-4208</t>
  </si>
  <si>
    <t>Sakwa  Keneth</t>
  </si>
  <si>
    <t>Bukhalu</t>
  </si>
  <si>
    <t>Bungwanyi</t>
  </si>
  <si>
    <t>UG-EAS-1012-4209</t>
  </si>
  <si>
    <t>Shipanga  Michael</t>
  </si>
  <si>
    <t>Bunamala</t>
  </si>
  <si>
    <t>UG-EAS-1012-4221</t>
  </si>
  <si>
    <t>Kamwasir  Stanley</t>
  </si>
  <si>
    <t>Kwoti</t>
  </si>
  <si>
    <t>UG-EAS-1012-4226</t>
  </si>
  <si>
    <t>Chebet  Joel</t>
  </si>
  <si>
    <t>Dr Kamatei  George</t>
  </si>
  <si>
    <t>Kapchorwa Municipality</t>
  </si>
  <si>
    <t>Western Division</t>
  </si>
  <si>
    <t>Arokwa</t>
  </si>
  <si>
    <t>UG-EAS-1012-480</t>
  </si>
  <si>
    <t>Namatovu Christine</t>
  </si>
  <si>
    <t>UG-EAS-1101-1361</t>
  </si>
  <si>
    <t>Wamibi  Francis</t>
  </si>
  <si>
    <t>Namatso</t>
  </si>
  <si>
    <t>UG-EAS-1101-1367</t>
  </si>
  <si>
    <t>Amina  Makoba</t>
  </si>
  <si>
    <t>Kilulu B</t>
  </si>
  <si>
    <t>UG-EAS-1101-1388</t>
  </si>
  <si>
    <t>Ndoboli  Irene</t>
  </si>
  <si>
    <t>Wayange</t>
  </si>
  <si>
    <t>Wasagali Grace</t>
  </si>
  <si>
    <t>Namengo</t>
  </si>
  <si>
    <t>UG-EAS-1101-1495</t>
  </si>
  <si>
    <t>Zainabu  Nambozo</t>
  </si>
  <si>
    <t>NAMAGUMBA Tc</t>
  </si>
  <si>
    <t>Wabwire  Rasto</t>
  </si>
  <si>
    <t xml:space="preserve">Natiko  Fred </t>
  </si>
  <si>
    <t>UG-EAS-1101-1528</t>
  </si>
  <si>
    <t>Guloba  Muhamudu</t>
  </si>
  <si>
    <t>Butaleja</t>
  </si>
  <si>
    <t>Mazi masa</t>
  </si>
  <si>
    <t>Hyabene  Binaya</t>
  </si>
  <si>
    <t>Buwesa</t>
  </si>
  <si>
    <t>UG-EAS-1101-1745</t>
  </si>
  <si>
    <t>Soyi  Stephen</t>
  </si>
  <si>
    <t>UG-EAS-1101-1999</t>
  </si>
  <si>
    <t>Amali  Mary Joyce</t>
  </si>
  <si>
    <t>Ramogi</t>
  </si>
  <si>
    <t>UG-EAS-1101-2251</t>
  </si>
  <si>
    <t>Namarome  Rose</t>
  </si>
  <si>
    <t>Nancing</t>
  </si>
  <si>
    <t>UG-EAS-1101-2276</t>
  </si>
  <si>
    <t>Nakayi  Catherine</t>
  </si>
  <si>
    <t>Aisa teko i</t>
  </si>
  <si>
    <t>UG-EAS-1101-2279</t>
  </si>
  <si>
    <t>Watetena Nathan</t>
  </si>
  <si>
    <t>Asia Tako</t>
  </si>
  <si>
    <t>UG-EAS-1101-2300</t>
  </si>
  <si>
    <t>Khauka  Sam Pad</t>
  </si>
  <si>
    <t>BUSIU</t>
  </si>
  <si>
    <t>Toma</t>
  </si>
  <si>
    <t>UG-EAS-1101-26</t>
  </si>
  <si>
    <t>Ochwo  Isaac</t>
  </si>
  <si>
    <t>West Budama</t>
  </si>
  <si>
    <t>Morwa</t>
  </si>
  <si>
    <t>UG-EAS-1101-3634</t>
  </si>
  <si>
    <t>Hyuha  Peter</t>
  </si>
  <si>
    <t>Bunyole east</t>
  </si>
  <si>
    <t>Kachonga</t>
  </si>
  <si>
    <t>Mazimasa B</t>
  </si>
  <si>
    <t>UG-EAS-1101-3656</t>
  </si>
  <si>
    <t>Wepukhulu  William</t>
  </si>
  <si>
    <t>Sisuni</t>
  </si>
  <si>
    <t>Bumunyifa</t>
  </si>
  <si>
    <t>UG-EAS-1101-3673</t>
  </si>
  <si>
    <t>Rev Gidongo  Wilson</t>
  </si>
  <si>
    <t>Mpogo</t>
  </si>
  <si>
    <t>UG-EAS-1101-3682</t>
  </si>
  <si>
    <t>Lulonde  Michael</t>
  </si>
  <si>
    <t>Simu</t>
  </si>
  <si>
    <t>Nabinyinya</t>
  </si>
  <si>
    <t>Aludi  Ajala</t>
  </si>
  <si>
    <t>UG-EAS-1101-4106</t>
  </si>
  <si>
    <t>Okotel  Olupot</t>
  </si>
  <si>
    <t>Aloet</t>
  </si>
  <si>
    <t>UG-EAS-1101-4108</t>
  </si>
  <si>
    <t>Gimugu  James</t>
  </si>
  <si>
    <t>Busamira</t>
  </si>
  <si>
    <t>Muloni  David</t>
  </si>
  <si>
    <t>Suguta</t>
  </si>
  <si>
    <t>Mugumba</t>
  </si>
  <si>
    <t>Madete  Sam</t>
  </si>
  <si>
    <t>Lisailo</t>
  </si>
  <si>
    <t>UG-EAS-1101-4145</t>
  </si>
  <si>
    <t>Namataka  Lydia</t>
  </si>
  <si>
    <t>Lusaso</t>
  </si>
  <si>
    <t>UG-EAS-1101-4157</t>
  </si>
  <si>
    <t>Wabulo  Silver</t>
  </si>
  <si>
    <t>Bukiyi</t>
  </si>
  <si>
    <t>Kaduwa B</t>
  </si>
  <si>
    <t>UG-EAS-1101-4215</t>
  </si>
  <si>
    <t>Bulalu  Stephen</t>
  </si>
  <si>
    <t>Kapsinda</t>
  </si>
  <si>
    <t>Kapchepangang</t>
  </si>
  <si>
    <t>UG-EAS-1101-436</t>
  </si>
  <si>
    <t>Musota Ricard</t>
  </si>
  <si>
    <t>Budiope West</t>
  </si>
  <si>
    <t>UG-EAS-1101-450</t>
  </si>
  <si>
    <t>Mwami Fred</t>
  </si>
  <si>
    <t>Nakawa Lc1 B</t>
  </si>
  <si>
    <t>UG-EAS-1101-4772</t>
  </si>
  <si>
    <t>Saamali  Stella /Died</t>
  </si>
  <si>
    <t>UG-EAS-1101-4947</t>
  </si>
  <si>
    <t>Wangwe  Yefusa Mulakha</t>
  </si>
  <si>
    <t>Seroni</t>
  </si>
  <si>
    <t>UG-EAS-1101-4948</t>
  </si>
  <si>
    <t>Mukoya  Alix Masette</t>
  </si>
  <si>
    <t>Buwastsosi</t>
  </si>
  <si>
    <t>UG-EAS-1102-114</t>
  </si>
  <si>
    <t>Gaalya  Mwanja</t>
  </si>
  <si>
    <t>Bunya   West</t>
  </si>
  <si>
    <t>Imanyiro</t>
  </si>
  <si>
    <t>Aloysius  Nnyasa</t>
  </si>
  <si>
    <t>UG-EAS-1102-174</t>
  </si>
  <si>
    <t>Kabwama  Martin</t>
  </si>
  <si>
    <t>Baitambogwe</t>
  </si>
  <si>
    <t>musita  B</t>
  </si>
  <si>
    <t>UG-EAS-1102-1957</t>
  </si>
  <si>
    <t>Wataka  Lorna</t>
  </si>
  <si>
    <t>Bubutu</t>
  </si>
  <si>
    <t>Bumandali</t>
  </si>
  <si>
    <t>UG-EAS-1102-1959</t>
  </si>
  <si>
    <t>Opili  John</t>
  </si>
  <si>
    <t>West Budama south</t>
  </si>
  <si>
    <t>Katerema B</t>
  </si>
  <si>
    <t>UG-EAS-1004-1980</t>
  </si>
  <si>
    <t>Guvuyo  Alen</t>
  </si>
  <si>
    <t>Bunyole East</t>
  </si>
  <si>
    <t>Nampologoma Central</t>
  </si>
  <si>
    <t>UG-EAS-1102-2193</t>
  </si>
  <si>
    <t>Mubekete  Fred</t>
  </si>
  <si>
    <t>Kalapata</t>
  </si>
  <si>
    <t>UG-EAS-1004-4049</t>
  </si>
  <si>
    <t>Onyege  Grace</t>
  </si>
  <si>
    <t>Pallisa T/c</t>
  </si>
  <si>
    <t>Kinomu</t>
  </si>
  <si>
    <t>UG-EAS-1102-2235</t>
  </si>
  <si>
    <t>Esabu  Stephen</t>
  </si>
  <si>
    <t>Ngora</t>
  </si>
  <si>
    <t>Akoroi</t>
  </si>
  <si>
    <t>UG-EAS-1102-3334</t>
  </si>
  <si>
    <t xml:space="preserve">Balirwa  Nathan </t>
  </si>
  <si>
    <t>Nawanyago</t>
  </si>
  <si>
    <t>Buwagi bwase</t>
  </si>
  <si>
    <t>UG-EAS-1102-3674</t>
  </si>
  <si>
    <t>Taganya Joshua</t>
  </si>
  <si>
    <t>Mpogo T.C</t>
  </si>
  <si>
    <t>UG-EAS-1006-1360</t>
  </si>
  <si>
    <t>Masaba  Amidu Abudu</t>
  </si>
  <si>
    <t>Tamwenya  Stephen</t>
  </si>
  <si>
    <t>Butandiga</t>
  </si>
  <si>
    <t>Wepukhulu  Frank</t>
  </si>
  <si>
    <t>Busongola</t>
  </si>
  <si>
    <t>UG-EAS-1006-2105</t>
  </si>
  <si>
    <t>Okunya  Oode Charles</t>
  </si>
  <si>
    <t>Kumi</t>
  </si>
  <si>
    <t>Kumi municipality</t>
  </si>
  <si>
    <t>Southern division</t>
  </si>
  <si>
    <t>Akibui aputon</t>
  </si>
  <si>
    <t>UG-EAS-1006-4012</t>
  </si>
  <si>
    <t>Too old to feed biodigester</t>
  </si>
  <si>
    <t>Emuron  Mesulam</t>
  </si>
  <si>
    <t>Agule</t>
  </si>
  <si>
    <t>Apopong</t>
  </si>
  <si>
    <t>Dudi</t>
  </si>
  <si>
    <t>UG-EAS-1006-4013</t>
  </si>
  <si>
    <t>Omedo Sam</t>
  </si>
  <si>
    <t>Mugabi  Faisali</t>
  </si>
  <si>
    <t>Bunya East</t>
  </si>
  <si>
    <t>Bukatube</t>
  </si>
  <si>
    <t>Lukindu B</t>
  </si>
  <si>
    <t>UG-EAS-1102-4040</t>
  </si>
  <si>
    <t>Otukol  Micheal</t>
  </si>
  <si>
    <t>Nyende  David</t>
  </si>
  <si>
    <t>Kameruka</t>
  </si>
  <si>
    <t>Natoto</t>
  </si>
  <si>
    <t>UG-EAS-1102-4212</t>
  </si>
  <si>
    <t>Mayeku John</t>
  </si>
  <si>
    <t>Bukhaloma</t>
  </si>
  <si>
    <t>UG-EAS-1102-4217</t>
  </si>
  <si>
    <t>Ramweg  Shaibu</t>
  </si>
  <si>
    <t>Kawowo</t>
  </si>
  <si>
    <t>Tolosho</t>
  </si>
  <si>
    <t>Cherukut  Nicholas</t>
  </si>
  <si>
    <t>Sukut</t>
  </si>
  <si>
    <t>UG-EAS-1102-444</t>
  </si>
  <si>
    <t>Muyindike John</t>
  </si>
  <si>
    <t>Buwenge</t>
  </si>
  <si>
    <t>Magamaga west</t>
  </si>
  <si>
    <t>UG-EAS-1102-4763</t>
  </si>
  <si>
    <t>Asinde  Agnes Ochwo</t>
  </si>
  <si>
    <t>Tororo Muncipality</t>
  </si>
  <si>
    <t>Bison</t>
  </si>
  <si>
    <t>UG-EAS-1102-536</t>
  </si>
  <si>
    <t>Pr  Charles  Mwesigwe</t>
  </si>
  <si>
    <t>Musita</t>
  </si>
  <si>
    <t>UG-EAS-1102-583</t>
  </si>
  <si>
    <t>Muwema Christine</t>
  </si>
  <si>
    <t>MAFUBIRA</t>
  </si>
  <si>
    <t>UG-EAS-1103-01532</t>
  </si>
  <si>
    <t>Nadudu Oliver</t>
  </si>
  <si>
    <t>Bududa TC</t>
  </si>
  <si>
    <t>Namutego  Patrick</t>
  </si>
  <si>
    <t>Mbikp A</t>
  </si>
  <si>
    <t>UG-EAS-1103-1534</t>
  </si>
  <si>
    <t>Oboth Damali</t>
  </si>
  <si>
    <t>Pakamu</t>
  </si>
  <si>
    <t>Kasakya  Asan</t>
  </si>
  <si>
    <t>Masanda</t>
  </si>
  <si>
    <t>UG-EAS-1103-1714</t>
  </si>
  <si>
    <t>Othieno  William Obbo</t>
  </si>
  <si>
    <t>West Budama north</t>
  </si>
  <si>
    <t>olobai</t>
  </si>
  <si>
    <t>UG-EAS-1103-2108</t>
  </si>
  <si>
    <t>Ikilai  Edward</t>
  </si>
  <si>
    <t>otipe</t>
  </si>
  <si>
    <t>UG-EAS-1103-2160</t>
  </si>
  <si>
    <t>Omagor  John</t>
  </si>
  <si>
    <t>Kobuin</t>
  </si>
  <si>
    <t>omoo</t>
  </si>
  <si>
    <t>UG-EAS-1103-2652</t>
  </si>
  <si>
    <t>Naigaga  Aisha</t>
  </si>
  <si>
    <t>WAIRASA</t>
  </si>
  <si>
    <t>BUSUYI BEACH</t>
  </si>
  <si>
    <t>Gidoi  Sam</t>
  </si>
  <si>
    <t>Bulegeni</t>
  </si>
  <si>
    <t>Samazi T.C. D</t>
  </si>
  <si>
    <t>Munga  Stephen</t>
  </si>
  <si>
    <t>Nasese</t>
  </si>
  <si>
    <t>UG-EAS-1103-4105</t>
  </si>
  <si>
    <t>Osekenye  Ibrahim</t>
  </si>
  <si>
    <t>Malera</t>
  </si>
  <si>
    <t>Kachede</t>
  </si>
  <si>
    <t>UG-EAS-1103-4113</t>
  </si>
  <si>
    <t>Agibo  Elizabeth</t>
  </si>
  <si>
    <t>Kidongole</t>
  </si>
  <si>
    <t>Airogo</t>
  </si>
  <si>
    <t>UG-EAS-1103-4759</t>
  </si>
  <si>
    <t>Opio  Yofisa Jaret</t>
  </si>
  <si>
    <t>Budama south</t>
  </si>
  <si>
    <t>Mulanda</t>
  </si>
  <si>
    <t>Iyopok</t>
  </si>
  <si>
    <t>UG-EAS-1103-4780</t>
  </si>
  <si>
    <t>Rev Wanderema  Andrew</t>
  </si>
  <si>
    <t>Manafwa T.C</t>
  </si>
  <si>
    <t>Nanyontso</t>
  </si>
  <si>
    <t>UG-EAS-1103-4882</t>
  </si>
  <si>
    <t>Wabuko  Aramathan</t>
  </si>
  <si>
    <t>Magale</t>
  </si>
  <si>
    <t>Namunyiri</t>
  </si>
  <si>
    <t>UG-EAS-1104-1358</t>
  </si>
  <si>
    <t>Kisiro  Sam</t>
  </si>
  <si>
    <t>Isable</t>
  </si>
  <si>
    <t>UG-EAS-1009-1380</t>
  </si>
  <si>
    <t>Magosia  Constantine</t>
  </si>
  <si>
    <t>Nabwey top</t>
  </si>
  <si>
    <t>Mwima  Gerld  Aron</t>
  </si>
  <si>
    <t>Nalubale</t>
  </si>
  <si>
    <t>UG-EAS-1104-1639</t>
  </si>
  <si>
    <t>Okado  Jassa</t>
  </si>
  <si>
    <t>Agururu B 1</t>
  </si>
  <si>
    <t>UG-EAS-1104-2294</t>
  </si>
  <si>
    <t>Nambafu  Yefusa</t>
  </si>
  <si>
    <t>UG-EAS-1104-2376</t>
  </si>
  <si>
    <t>Mwima  Erias</t>
  </si>
  <si>
    <t>Bubyangu</t>
  </si>
  <si>
    <t>Bunose</t>
  </si>
  <si>
    <t>UG-EAS-1104-2384</t>
  </si>
  <si>
    <t>Nambozo   Mariam</t>
  </si>
  <si>
    <t>Bulikoso</t>
  </si>
  <si>
    <t>Magomu  Samson</t>
  </si>
  <si>
    <t>Madodo</t>
  </si>
  <si>
    <t>UG-EAS-1104-4036</t>
  </si>
  <si>
    <t>Gonsya  James</t>
  </si>
  <si>
    <t>Kachomo</t>
  </si>
  <si>
    <t>Bubera</t>
  </si>
  <si>
    <t>UG-EAS-1104-4075</t>
  </si>
  <si>
    <t>Kagino  Sarah</t>
  </si>
  <si>
    <t>Kibuku</t>
  </si>
  <si>
    <t>Kabweri</t>
  </si>
  <si>
    <t>Bulangira</t>
  </si>
  <si>
    <t>Kadoto</t>
  </si>
  <si>
    <t>Mugabi Charles</t>
  </si>
  <si>
    <t>Erone  Robert</t>
  </si>
  <si>
    <t>UG-EAS-1104-4138</t>
  </si>
  <si>
    <t>Mashale  Philise</t>
  </si>
  <si>
    <t>Bumugimbale</t>
  </si>
  <si>
    <t>UG-EAS-1104-4232</t>
  </si>
  <si>
    <t>Cherop  Charles</t>
  </si>
  <si>
    <t>Bukwo</t>
  </si>
  <si>
    <t>Kongasis</t>
  </si>
  <si>
    <t>Suam</t>
  </si>
  <si>
    <t>Torokyo</t>
  </si>
  <si>
    <t>Saik  Clement</t>
  </si>
  <si>
    <t>Senendet</t>
  </si>
  <si>
    <t>Kawimbi</t>
  </si>
  <si>
    <t>Osinde  Ponsiano Obai</t>
  </si>
  <si>
    <t>Ayago A</t>
  </si>
  <si>
    <t>UG-EAS-1104-4767</t>
  </si>
  <si>
    <t>Wafula  Peter</t>
  </si>
  <si>
    <t>Bubulo</t>
  </si>
  <si>
    <t>Isunu</t>
  </si>
  <si>
    <t>Nassan   Wanda Wekono</t>
  </si>
  <si>
    <t>UG-EAS-1104-4768</t>
  </si>
  <si>
    <t>Khauka  Apollo</t>
  </si>
  <si>
    <t>Bumufuni</t>
  </si>
  <si>
    <t>UG-EAS-1104-4777</t>
  </si>
  <si>
    <t>Wasike  Samuel</t>
  </si>
  <si>
    <t>UG-EAS-1104-4778</t>
  </si>
  <si>
    <t>Mukhwana  John Chrysostom</t>
  </si>
  <si>
    <t>UG-EAS-1104-4782</t>
  </si>
  <si>
    <t>Wakholowa   Edie</t>
  </si>
  <si>
    <t>Wangutusi</t>
  </si>
  <si>
    <t>Kundhuba Wilson</t>
  </si>
  <si>
    <t>balawoli</t>
  </si>
  <si>
    <t>bugweri</t>
  </si>
  <si>
    <t>Okongo  Vicent</t>
  </si>
  <si>
    <t>Tororo north</t>
  </si>
  <si>
    <t>Mukuju</t>
  </si>
  <si>
    <t>Kayoro A</t>
  </si>
  <si>
    <t>Mai Mudega  Magret</t>
  </si>
  <si>
    <t>Nabweya Top</t>
  </si>
  <si>
    <t>UG-EAS-1105-1593</t>
  </si>
  <si>
    <t>Giribo  Samson</t>
  </si>
  <si>
    <t>Musoto</t>
  </si>
  <si>
    <t>UG-EAS-1105-1647</t>
  </si>
  <si>
    <t>Osia  Christopher</t>
  </si>
  <si>
    <t>Tororo south</t>
  </si>
  <si>
    <t>osukuru</t>
  </si>
  <si>
    <t>Kasipodo A</t>
  </si>
  <si>
    <t>Rev Fred Ssempijja</t>
  </si>
  <si>
    <t>bugabula</t>
  </si>
  <si>
    <t>bukapere</t>
  </si>
  <si>
    <t>UG-EAS-1105-2156</t>
  </si>
  <si>
    <t>Oluka  Peter Simon</t>
  </si>
  <si>
    <t>ojogolo</t>
  </si>
  <si>
    <t>UG-EAS-1105-2188</t>
  </si>
  <si>
    <t>Teko  Kokas</t>
  </si>
  <si>
    <t>Kachumbals</t>
  </si>
  <si>
    <t>UG-EAS-1105-2363</t>
  </si>
  <si>
    <t>Wakwale  Peter</t>
  </si>
  <si>
    <t>Buronya</t>
  </si>
  <si>
    <t>Magona  Darius Nathan</t>
  </si>
  <si>
    <t>UG-EAS-1105-2379</t>
  </si>
  <si>
    <t>Tiwomusayi  Aisat</t>
  </si>
  <si>
    <t>Bukeaga B</t>
  </si>
  <si>
    <t>Mubogi  Lonah</t>
  </si>
  <si>
    <t>Mikhai</t>
  </si>
  <si>
    <t>UG-EAS-1105-3698</t>
  </si>
  <si>
    <t>Wamala  Samuel Mafabi</t>
  </si>
  <si>
    <t>Buhugu</t>
  </si>
  <si>
    <t>Buwesonga</t>
  </si>
  <si>
    <t>Wanasolo  Bisai</t>
  </si>
  <si>
    <t>Bugiyanya</t>
  </si>
  <si>
    <t>Masegese</t>
  </si>
  <si>
    <t>UG-EAS-1105-4148</t>
  </si>
  <si>
    <t>Gidudu  Richard</t>
  </si>
  <si>
    <t>Kisotoni</t>
  </si>
  <si>
    <t>UG-EAS-1105-4770</t>
  </si>
  <si>
    <t>Natifu  Magrete</t>
  </si>
  <si>
    <t>Bunangabo 1</t>
  </si>
  <si>
    <t>Kissa  Betty</t>
  </si>
  <si>
    <t>Mbale municipality</t>
  </si>
  <si>
    <t>northern division</t>
  </si>
  <si>
    <t>Nabijjo cell</t>
  </si>
  <si>
    <t>B M  Naigere</t>
  </si>
  <si>
    <t>UG-EAS-1106-1598</t>
  </si>
  <si>
    <t>Bluys  Jeroeh</t>
  </si>
  <si>
    <t>Kilulu A</t>
  </si>
  <si>
    <t>Opio Martin John</t>
  </si>
  <si>
    <t>Western Divison</t>
  </si>
  <si>
    <t>Chamunula</t>
  </si>
  <si>
    <t>UG-EAS-1106-1962</t>
  </si>
  <si>
    <t>Apoya  Prisca</t>
  </si>
  <si>
    <t>Iyolwa</t>
  </si>
  <si>
    <t>Awuyo B</t>
  </si>
  <si>
    <t>UG-EAS-1106-1995</t>
  </si>
  <si>
    <t>Odongo  Michael</t>
  </si>
  <si>
    <t>Tororo North</t>
  </si>
  <si>
    <t>Mirikit</t>
  </si>
  <si>
    <t>Apokor Central</t>
  </si>
  <si>
    <t>UG-EAS-1106-1997</t>
  </si>
  <si>
    <t>Omitto  Patrick</t>
  </si>
  <si>
    <t>Akadoit A</t>
  </si>
  <si>
    <t>UG-EAS-1106-2153</t>
  </si>
  <si>
    <t>Esiket  Tom</t>
  </si>
  <si>
    <t>Kanyum</t>
  </si>
  <si>
    <t>Mukongoro</t>
  </si>
  <si>
    <t>Acaapa</t>
  </si>
  <si>
    <t>UG-EAS-1106-2159</t>
  </si>
  <si>
    <t>Adoa  Julius</t>
  </si>
  <si>
    <t>ocucuwo</t>
  </si>
  <si>
    <t>Ojangole  Max</t>
  </si>
  <si>
    <t>Kapir</t>
  </si>
  <si>
    <t>Komolo</t>
  </si>
  <si>
    <t>UG-EAS-1106-2189</t>
  </si>
  <si>
    <t>Outa  Daniel</t>
  </si>
  <si>
    <t>Mugoya   Lonah</t>
  </si>
  <si>
    <t>Kijja</t>
  </si>
  <si>
    <t>UG-EAS-1106-2226</t>
  </si>
  <si>
    <t>Ejoku Cornelius</t>
  </si>
  <si>
    <t>ojam</t>
  </si>
  <si>
    <t>UG-EAS-1106-2301</t>
  </si>
  <si>
    <t>Wepukhulu  William George</t>
  </si>
  <si>
    <t>Wapomokha</t>
  </si>
  <si>
    <t>UG-EAS-1106-2382</t>
  </si>
  <si>
    <t>Gizamba  Karim</t>
  </si>
  <si>
    <t>Kyiyenga</t>
  </si>
  <si>
    <t>Ochieng Godfrey</t>
  </si>
  <si>
    <t>Bison A</t>
  </si>
  <si>
    <t>Gizamba  Apollo</t>
  </si>
  <si>
    <t>Bukibolo</t>
  </si>
  <si>
    <t>Wandoba  Julius</t>
  </si>
  <si>
    <t>UG-EAS-1106-3699</t>
  </si>
  <si>
    <t>Wamulugwa  Vincent</t>
  </si>
  <si>
    <t>Bukitemu</t>
  </si>
  <si>
    <t>UG-EAS-1106-4069</t>
  </si>
  <si>
    <t>Mulabi  John</t>
  </si>
  <si>
    <t>Munyani</t>
  </si>
  <si>
    <t>Chesanga  Grace</t>
  </si>
  <si>
    <t>Kapchorwa TC</t>
  </si>
  <si>
    <t>Government lodge</t>
  </si>
  <si>
    <t>Wabusani  Stephen</t>
  </si>
  <si>
    <t>Lusteshe</t>
  </si>
  <si>
    <t>Bukigayi</t>
  </si>
  <si>
    <t>Bubulila</t>
  </si>
  <si>
    <t>UG-EAS-1106-4223</t>
  </si>
  <si>
    <t>Sokuton  Martin</t>
  </si>
  <si>
    <t>Kaptokwoi</t>
  </si>
  <si>
    <t>TUKAKA</t>
  </si>
  <si>
    <t>Wadero  Francis</t>
  </si>
  <si>
    <t>UG-EAS-1106-4248</t>
  </si>
  <si>
    <t>Mwotil   Andrew C</t>
  </si>
  <si>
    <t>Moyok</t>
  </si>
  <si>
    <t>Mantinybei</t>
  </si>
  <si>
    <t>UG-EAS-1106-4249</t>
  </si>
  <si>
    <t>Satya  Ciciriya</t>
  </si>
  <si>
    <t>Kaptum</t>
  </si>
  <si>
    <t>Kwenut</t>
  </si>
  <si>
    <t>UG-EAS-1106-4766</t>
  </si>
  <si>
    <t>Musoba  Mary</t>
  </si>
  <si>
    <t>Busangai 1</t>
  </si>
  <si>
    <t>Mulakha  Perez</t>
  </si>
  <si>
    <t>UG-EAS-1106-741</t>
  </si>
  <si>
    <t>Balazewa Christopher</t>
  </si>
  <si>
    <t>bugabula south</t>
  </si>
  <si>
    <t>kitayunjwa</t>
  </si>
  <si>
    <t>namaira</t>
  </si>
  <si>
    <t>Lugero John</t>
  </si>
  <si>
    <t>kisozi</t>
  </si>
  <si>
    <t>bupina</t>
  </si>
  <si>
    <t>Mutengu Kenneth</t>
  </si>
  <si>
    <t>Mupalya  Michael</t>
  </si>
  <si>
    <t>Shananada</t>
  </si>
  <si>
    <t>UG-EAS-1107-1556</t>
  </si>
  <si>
    <t>Wamusi  Tedy</t>
  </si>
  <si>
    <t>Boma cell</t>
  </si>
  <si>
    <t>Nangobi Rebecca</t>
  </si>
  <si>
    <t>Wankole</t>
  </si>
  <si>
    <t>Nawandyo Bukasa A</t>
  </si>
  <si>
    <t>UG-EAS-1107-1736</t>
  </si>
  <si>
    <t>Otabong  Geofrey</t>
  </si>
  <si>
    <t>Mollo</t>
  </si>
  <si>
    <t>Maga 2</t>
  </si>
  <si>
    <t>UG-EAS-1107-1743</t>
  </si>
  <si>
    <t>Bukeni  Fred</t>
  </si>
  <si>
    <t>Bufumbula B</t>
  </si>
  <si>
    <t>UG-EAS-1107-1984</t>
  </si>
  <si>
    <t>Onyango  Isaac</t>
  </si>
  <si>
    <t>Iyokango</t>
  </si>
  <si>
    <t>UG-EAS-1107-2129</t>
  </si>
  <si>
    <t>Olupot  Joash</t>
  </si>
  <si>
    <t>oosion</t>
  </si>
  <si>
    <t>UG-EAS-1107-2130</t>
  </si>
  <si>
    <t>Akello  Jane</t>
  </si>
  <si>
    <t>UG-EAS-1107-2157</t>
  </si>
  <si>
    <t>Omoding  Simon</t>
  </si>
  <si>
    <t>oceren</t>
  </si>
  <si>
    <t>Areke  Thomas</t>
  </si>
  <si>
    <t>olukangor</t>
  </si>
  <si>
    <t>UG-EAS-1107-2175</t>
  </si>
  <si>
    <t>Odong Geofrey (Late)</t>
  </si>
  <si>
    <t>Kokong</t>
  </si>
  <si>
    <t>UG-EAS-1107-2176</t>
  </si>
  <si>
    <t>Opolot David</t>
  </si>
  <si>
    <t>UG-EAS-1107-2178</t>
  </si>
  <si>
    <t>Eperu  Francis</t>
  </si>
  <si>
    <t>UG-EAS-1107-2227</t>
  </si>
  <si>
    <t>Okurut Vigil</t>
  </si>
  <si>
    <t>UG-EAS-1107-2236</t>
  </si>
  <si>
    <t>Amongin  Grace Anna</t>
  </si>
  <si>
    <t>Ngora town council</t>
  </si>
  <si>
    <t>omodo akoroi</t>
  </si>
  <si>
    <t>UG-EAS-1107-2241</t>
  </si>
  <si>
    <t>Okwii  Robert</t>
  </si>
  <si>
    <t>UG-EAS-1107-2381</t>
  </si>
  <si>
    <t>Wanyenya  Difasi</t>
  </si>
  <si>
    <t>Bunabuloli</t>
  </si>
  <si>
    <t>UG-EAS-1107-2383</t>
  </si>
  <si>
    <t>Magidu  Nakisakala</t>
  </si>
  <si>
    <t>UG-EAS-1107-4011</t>
  </si>
  <si>
    <t>Ecaat  Rose</t>
  </si>
  <si>
    <t>Pallisa T C</t>
  </si>
  <si>
    <t>Kalaki</t>
  </si>
  <si>
    <t>UG-EAS-1107-4093</t>
  </si>
  <si>
    <t>Kagino  Joyce</t>
  </si>
  <si>
    <t>Kamonkoli</t>
  </si>
  <si>
    <t>Akudo  Jilius</t>
  </si>
  <si>
    <t>Katekwan</t>
  </si>
  <si>
    <t>UG-EAS-1107-4233</t>
  </si>
  <si>
    <t>Limo  Nicholas</t>
  </si>
  <si>
    <t>Ngeny</t>
  </si>
  <si>
    <t>UG-EAS-1107-4238</t>
  </si>
  <si>
    <t>Kotti  Francis Sowani</t>
  </si>
  <si>
    <t>Cheboi</t>
  </si>
  <si>
    <t>Odwori Robert</t>
  </si>
  <si>
    <t>Busia</t>
  </si>
  <si>
    <t>Samia Bugwe south</t>
  </si>
  <si>
    <t>Majanji</t>
  </si>
  <si>
    <t>UG-EAS-1107-4821</t>
  </si>
  <si>
    <t>Wandera  Hunphrey</t>
  </si>
  <si>
    <t>Lumino</t>
  </si>
  <si>
    <t>Buwerero A</t>
  </si>
  <si>
    <t>UG-EAS-1107-7262</t>
  </si>
  <si>
    <t>Okumu  James Joachim</t>
  </si>
  <si>
    <t>Nyakesi E</t>
  </si>
  <si>
    <t>Mama  Cheputuker</t>
  </si>
  <si>
    <t>Chemamule</t>
  </si>
  <si>
    <t>Izizinga Aggrey</t>
  </si>
  <si>
    <t>Namasagali</t>
  </si>
  <si>
    <t>kisaikye LC1</t>
  </si>
  <si>
    <t>Mawerere Aminsi</t>
  </si>
  <si>
    <t>Kamuli Municipality</t>
  </si>
  <si>
    <t>Kamuli municipal southern division</t>
  </si>
  <si>
    <t>busota zone</t>
  </si>
  <si>
    <t>Oburu  Martin Luther</t>
  </si>
  <si>
    <t>Nyemera A</t>
  </si>
  <si>
    <t>Oguti  Mirikit</t>
  </si>
  <si>
    <t>Pot. C</t>
  </si>
  <si>
    <t>UG-EAS-1108-2101</t>
  </si>
  <si>
    <t>Atai  Grace Hellen</t>
  </si>
  <si>
    <t>olungia</t>
  </si>
  <si>
    <t>Okalebo Salume</t>
  </si>
  <si>
    <t>Suula</t>
  </si>
  <si>
    <t>UG-EAS-1108-2155</t>
  </si>
  <si>
    <t>Okiror   Robert John1</t>
  </si>
  <si>
    <t>UG-EAS-1108-2180</t>
  </si>
  <si>
    <t>Olupot  Mesulam</t>
  </si>
  <si>
    <t>UG-EAS-1108-2201</t>
  </si>
  <si>
    <t>Okoboi  Joseph</t>
  </si>
  <si>
    <t>Atida cell</t>
  </si>
  <si>
    <t>UG-EAS-1108-2202</t>
  </si>
  <si>
    <t>Emokori Charles</t>
  </si>
  <si>
    <t>UG-EAS-1108-2203</t>
  </si>
  <si>
    <t>Obolo  Robert John</t>
  </si>
  <si>
    <t>UG-EAS-1108-2242</t>
  </si>
  <si>
    <t>Amidiong  Florence</t>
  </si>
  <si>
    <t>UG-EAS-1101-4218</t>
  </si>
  <si>
    <t>Nabyonga  Sowed</t>
  </si>
  <si>
    <t>Mondin</t>
  </si>
  <si>
    <t>Napakol  Peter Simon</t>
  </si>
  <si>
    <t>ongino</t>
  </si>
  <si>
    <t>Totolim</t>
  </si>
  <si>
    <t>UG-EAS-1108-2248</t>
  </si>
  <si>
    <t>Apunyo  Henry</t>
  </si>
  <si>
    <t>Ituba</t>
  </si>
  <si>
    <t>UG-EAS-1108-2250</t>
  </si>
  <si>
    <t>Okia  Francis</t>
  </si>
  <si>
    <t>Natsami  Polycarp</t>
  </si>
  <si>
    <t>Bududa Tc</t>
  </si>
  <si>
    <t>Namatiti</t>
  </si>
  <si>
    <t>UG-EAS-1108-2358</t>
  </si>
  <si>
    <t>Craraig  Pollington</t>
  </si>
  <si>
    <t>Wambewo</t>
  </si>
  <si>
    <t xml:space="preserve">Dhizala  John </t>
  </si>
  <si>
    <t>Bugaya</t>
  </si>
  <si>
    <t>Bulinda</t>
  </si>
  <si>
    <t>UG-EAS-1108-3688</t>
  </si>
  <si>
    <t>Wanzira  Christopher</t>
  </si>
  <si>
    <t>Buyama</t>
  </si>
  <si>
    <t>UG-EAS-1102-1393</t>
  </si>
  <si>
    <t>Kajanbwangu  Rita</t>
  </si>
  <si>
    <t>Kinyol</t>
  </si>
  <si>
    <t>Mutesi  Jaliya</t>
  </si>
  <si>
    <t>Bwuwula</t>
  </si>
  <si>
    <t>UG-EAS-1108-3695</t>
  </si>
  <si>
    <t>Walimbwa Joseph</t>
  </si>
  <si>
    <t>Namulanda</t>
  </si>
  <si>
    <t>UG-EAS-1102-1746</t>
  </si>
  <si>
    <t>Nambafu  Simon</t>
  </si>
  <si>
    <t>UG-EAS-1108-4220</t>
  </si>
  <si>
    <t>Araptai  Fred Aziz</t>
  </si>
  <si>
    <t>Eastern division</t>
  </si>
  <si>
    <t>Kamukunga</t>
  </si>
  <si>
    <t>UG-EAS-1108-693</t>
  </si>
  <si>
    <t>Aliyinza Madina Hakim</t>
  </si>
  <si>
    <t>Nawandyo</t>
  </si>
  <si>
    <t>UG-EAS-1108-917</t>
  </si>
  <si>
    <t>Florence Gwaka Nakibongo</t>
  </si>
  <si>
    <t>mafubira</t>
  </si>
  <si>
    <t>wanyange Hill</t>
  </si>
  <si>
    <t>Kiwanuka Peninah</t>
  </si>
  <si>
    <t>Nakaato</t>
  </si>
  <si>
    <t>UG-EAS-1102-272</t>
  </si>
  <si>
    <t>Kyeyamwa  Peter</t>
  </si>
  <si>
    <t>Musita B</t>
  </si>
  <si>
    <t>UG-EAS-1109-1273</t>
  </si>
  <si>
    <t>Luwangula Naome Mulyagonja</t>
  </si>
  <si>
    <t>kiroba</t>
  </si>
  <si>
    <t>UG-EAS-1109-1381</t>
  </si>
  <si>
    <t>Mr Basooma Moses</t>
  </si>
  <si>
    <t>UG-EAS-1109-1547</t>
  </si>
  <si>
    <t>Nyakecho  Zerida Okech</t>
  </si>
  <si>
    <t>UG-EAS-1109-1548</t>
  </si>
  <si>
    <t>Ochwo Beatrice</t>
  </si>
  <si>
    <t>Nyemera</t>
  </si>
  <si>
    <t>Wamimbi   Damiano</t>
  </si>
  <si>
    <t xml:space="preserve">Bungokho </t>
  </si>
  <si>
    <t>Bunampongo</t>
  </si>
  <si>
    <t>UG-EAS-1109-1807</t>
  </si>
  <si>
    <t>Hellen  Eceru Ebyau</t>
  </si>
  <si>
    <t>Amuria</t>
  </si>
  <si>
    <t>orungo</t>
  </si>
  <si>
    <t>ogolai</t>
  </si>
  <si>
    <t>Ajonai</t>
  </si>
  <si>
    <t>Osuban  Augustine (Emorimor)</t>
  </si>
  <si>
    <t>Abilayep</t>
  </si>
  <si>
    <t>UG-EAS-1102-4214</t>
  </si>
  <si>
    <t>Sorrowon  Hussein</t>
  </si>
  <si>
    <t>Opio  James</t>
  </si>
  <si>
    <t>Serere Town Council</t>
  </si>
  <si>
    <t>UG-EAS-1102-4219</t>
  </si>
  <si>
    <t>QSP visited found digester had never been fed for unclear reasons.. Not feeding</t>
  </si>
  <si>
    <t>Mangusho  Edrisa</t>
  </si>
  <si>
    <t>UG-EAS-1109-1937</t>
  </si>
  <si>
    <t>Okiror  Gilbert</t>
  </si>
  <si>
    <t>UG-EAS-1109-1953</t>
  </si>
  <si>
    <t>Saawa  Jackson</t>
  </si>
  <si>
    <t>Bumulegi</t>
  </si>
  <si>
    <t>UG-EAS-1109-2060</t>
  </si>
  <si>
    <t>Omoding   Simon</t>
  </si>
  <si>
    <t>Soroti</t>
  </si>
  <si>
    <t>Asuret</t>
  </si>
  <si>
    <t>ocur</t>
  </si>
  <si>
    <t>UG-EAS-1102-546</t>
  </si>
  <si>
    <t>Rev  Moses  Mukisa</t>
  </si>
  <si>
    <t>Lugolole B</t>
  </si>
  <si>
    <t>UG-EAS-1109-2061</t>
  </si>
  <si>
    <t>Kedi  Charles</t>
  </si>
  <si>
    <t>UG-EAS-1109-2085</t>
  </si>
  <si>
    <t>Erienyu  Michael John</t>
  </si>
  <si>
    <t>Dakabela</t>
  </si>
  <si>
    <t>Arapai</t>
  </si>
  <si>
    <t>Morungatuny</t>
  </si>
  <si>
    <t>UG-EAS-1109-2136</t>
  </si>
  <si>
    <t>Opio Moses</t>
  </si>
  <si>
    <t>obotia</t>
  </si>
  <si>
    <t>UG-EAS-1109-2166</t>
  </si>
  <si>
    <t>Apolot  Emulai Jane</t>
  </si>
  <si>
    <t>osigiria</t>
  </si>
  <si>
    <t>UG-EAS-1109-2172</t>
  </si>
  <si>
    <t>Ebyau  Leonard</t>
  </si>
  <si>
    <t>olwa</t>
  </si>
  <si>
    <t>Osire  Florence Jesca</t>
  </si>
  <si>
    <t>Kolir</t>
  </si>
  <si>
    <t>Akou etome</t>
  </si>
  <si>
    <t>UG-EAS-1109-2183</t>
  </si>
  <si>
    <t>Osekeny  David</t>
  </si>
  <si>
    <t>Aminit</t>
  </si>
  <si>
    <t>UG-EAS-1109-2187</t>
  </si>
  <si>
    <t>Ekurot  Arnest</t>
  </si>
  <si>
    <t>Atutur</t>
  </si>
  <si>
    <t>Karakata</t>
  </si>
  <si>
    <t>UG-EAS-1109-2225</t>
  </si>
  <si>
    <t>Ekadi  Charles</t>
  </si>
  <si>
    <t>omiito</t>
  </si>
  <si>
    <t>Mangalya  Damascus</t>
  </si>
  <si>
    <t>Highway</t>
  </si>
  <si>
    <t>UG-EAS-1109-2229</t>
  </si>
  <si>
    <t>Opolot  Julius</t>
  </si>
  <si>
    <t>Ajeesa</t>
  </si>
  <si>
    <t>UG-EAS-1109-2240</t>
  </si>
  <si>
    <t>Akol  Francis</t>
  </si>
  <si>
    <t>Kakori</t>
  </si>
  <si>
    <t>Masaba  Peter</t>
  </si>
  <si>
    <t>UG-EAS-1109-2247</t>
  </si>
  <si>
    <t>Angelu  Micheal</t>
  </si>
  <si>
    <t>omerein</t>
  </si>
  <si>
    <t>UG-EAS-1109-2249</t>
  </si>
  <si>
    <t>Olupot  Peter Charles</t>
  </si>
  <si>
    <t>odeidei</t>
  </si>
  <si>
    <t>UG-EAS-1109-2295</t>
  </si>
  <si>
    <t>Musamali  Jackson</t>
  </si>
  <si>
    <t>Busiu</t>
  </si>
  <si>
    <t>Muwanda</t>
  </si>
  <si>
    <t>UG-EAS-1109-2364</t>
  </si>
  <si>
    <t>Nabuloli  Jesca</t>
  </si>
  <si>
    <t>Busholibo</t>
  </si>
  <si>
    <t>Bumanyiri lower</t>
  </si>
  <si>
    <t>Nanyolo Milly Magumba</t>
  </si>
  <si>
    <t>Budhatemwa</t>
  </si>
  <si>
    <t>UG-EAS-1109-3335</t>
  </si>
  <si>
    <t>Menya  Musa</t>
  </si>
  <si>
    <t>Magamaga town council</t>
  </si>
  <si>
    <t>Wanendeya  Michael</t>
  </si>
  <si>
    <t>Bukisse</t>
  </si>
  <si>
    <t>Buwabuyi</t>
  </si>
  <si>
    <t>Gudoi  Abudu</t>
  </si>
  <si>
    <t>Nakifumbuko</t>
  </si>
  <si>
    <t>UG-EAS-1109-4085</t>
  </si>
  <si>
    <t>Mulomi  Samuel</t>
  </si>
  <si>
    <t>Nyanza</t>
  </si>
  <si>
    <t>UG-EAS-1109-4139</t>
  </si>
  <si>
    <t>Nabaya  Frederic</t>
  </si>
  <si>
    <t>Bumugibole</t>
  </si>
  <si>
    <t>Gibendira</t>
  </si>
  <si>
    <t>UG-EAS-1109-4207</t>
  </si>
  <si>
    <t>Napokoli  Michael</t>
  </si>
  <si>
    <t>Bumwalye</t>
  </si>
  <si>
    <t>UG-EAS-1109-4815</t>
  </si>
  <si>
    <t>Mubende Andrew</t>
  </si>
  <si>
    <t>Bumala</t>
  </si>
  <si>
    <t>UG-EAS-1109-744</t>
  </si>
  <si>
    <t>Balizindwire David</t>
  </si>
  <si>
    <t>Basakwa</t>
  </si>
  <si>
    <t>UG-EAS-1110-04141</t>
  </si>
  <si>
    <t>Nangabo  Paul</t>
  </si>
  <si>
    <t>Bumugimbole</t>
  </si>
  <si>
    <t>Gibole</t>
  </si>
  <si>
    <t>UG-EAS-1110-07270</t>
  </si>
  <si>
    <t>Mugilya  William/ Nakale Eriasa</t>
  </si>
  <si>
    <t>Bunabugubo</t>
  </si>
  <si>
    <t>Mududu  Ali</t>
  </si>
  <si>
    <t>Ndega</t>
  </si>
  <si>
    <t>UG-EAS-1104-4152</t>
  </si>
  <si>
    <t>Watuwa  Khuaka Anthony</t>
  </si>
  <si>
    <t>Nashihaso</t>
  </si>
  <si>
    <t>UG-EAS-1110-1527</t>
  </si>
  <si>
    <t>Cheptuger  Michael</t>
  </si>
  <si>
    <t>Kasifa  Wack</t>
  </si>
  <si>
    <t>Bukonde</t>
  </si>
  <si>
    <t>Bumanganga</t>
  </si>
  <si>
    <t>UG-EAS-1110-1641</t>
  </si>
  <si>
    <t>Ngobi Joshua</t>
  </si>
  <si>
    <t>bugabula north</t>
  </si>
  <si>
    <t>Buyomba</t>
  </si>
  <si>
    <t>UG-EAS-1110-1659</t>
  </si>
  <si>
    <t>Muzee Bulanga  Zedekiah</t>
  </si>
  <si>
    <t>Bubada</t>
  </si>
  <si>
    <t>Wabwire  Alupakusadi</t>
  </si>
  <si>
    <t>UG-EAS-1110-1661</t>
  </si>
  <si>
    <t>Higenyi  Wilson</t>
  </si>
  <si>
    <t>Bubbada</t>
  </si>
  <si>
    <t>UG-EAS-1110-1663</t>
  </si>
  <si>
    <t>Mwima  Yosia</t>
  </si>
  <si>
    <t>UG-EAS-1104-4779</t>
  </si>
  <si>
    <t>Wamono  Paul</t>
  </si>
  <si>
    <t>Bubulo West</t>
  </si>
  <si>
    <t>Eremiah  Muhamed</t>
  </si>
  <si>
    <t>Irene Mugweri</t>
  </si>
  <si>
    <t>Hidobo  Zahara</t>
  </si>
  <si>
    <t>UG-EAS-1110-1688</t>
  </si>
  <si>
    <t>Mbere  Yokoyasi</t>
  </si>
  <si>
    <t>Malanga</t>
  </si>
  <si>
    <t>UG-EAS-1110-1938</t>
  </si>
  <si>
    <t>Alito  Silver</t>
  </si>
  <si>
    <t>UG-EAS-1110-2062</t>
  </si>
  <si>
    <t>Obubula  Julius</t>
  </si>
  <si>
    <t>TEDDO</t>
  </si>
  <si>
    <t>UG-EAS-1110-2073</t>
  </si>
  <si>
    <t>Akol  Simon</t>
  </si>
  <si>
    <t>Gweri</t>
  </si>
  <si>
    <t>Agwara</t>
  </si>
  <si>
    <t>UG-EAS-1110-2151</t>
  </si>
  <si>
    <t>Adakun  Cuthebert Oluk</t>
  </si>
  <si>
    <t>Kodokoto</t>
  </si>
  <si>
    <t>UG-EAS-1110-2152</t>
  </si>
  <si>
    <t>Okurut  Edison</t>
  </si>
  <si>
    <t>Kadoa</t>
  </si>
  <si>
    <t>UG-EAS-1110-2154</t>
  </si>
  <si>
    <t>Isudo  Julius</t>
  </si>
  <si>
    <t>oladot</t>
  </si>
  <si>
    <t>UG-EAS-1110-2239</t>
  </si>
  <si>
    <t>Ongerep  Moses</t>
  </si>
  <si>
    <t>UG-EAS-1110-2268</t>
  </si>
  <si>
    <t>Mulongo  Sam Tamiti</t>
  </si>
  <si>
    <t>Nkoma C</t>
  </si>
  <si>
    <t>Kajamiti  Clement Martin</t>
  </si>
  <si>
    <t>Bukalijok</t>
  </si>
  <si>
    <t>UG-EAS-1110-2400</t>
  </si>
  <si>
    <t>Masaba  Rebecca</t>
  </si>
  <si>
    <t>Kifafa</t>
  </si>
  <si>
    <t>UG-EAS-1110-3602</t>
  </si>
  <si>
    <t>Said Asuman</t>
  </si>
  <si>
    <t>Lwakhaka</t>
  </si>
  <si>
    <t>Bukibayi</t>
  </si>
  <si>
    <t>UG-EAS-1110-3604</t>
  </si>
  <si>
    <t>Wabwiyi  Francis</t>
  </si>
  <si>
    <t>Butonge</t>
  </si>
  <si>
    <t>Gudoi  Francis Gidongo</t>
  </si>
  <si>
    <t>Wetongola</t>
  </si>
  <si>
    <t>Waturo  John</t>
  </si>
  <si>
    <t>Shanada</t>
  </si>
  <si>
    <t>Wamanga  Salim</t>
  </si>
  <si>
    <t>Bungokho Mutoto</t>
  </si>
  <si>
    <t>Client turned the system into a septic tank</t>
  </si>
  <si>
    <t>Lutswala  Specioza</t>
  </si>
  <si>
    <t>Bukiende</t>
  </si>
  <si>
    <t>Bumayina</t>
  </si>
  <si>
    <t>UG-EAS-1110-4050</t>
  </si>
  <si>
    <t>Okwalinga  Francis John</t>
  </si>
  <si>
    <t>Akumi</t>
  </si>
  <si>
    <t>UG-EAS-1110-4051</t>
  </si>
  <si>
    <t>Obore  Charles</t>
  </si>
  <si>
    <t>Omaruk  Stephen</t>
  </si>
  <si>
    <t>Yudaya</t>
  </si>
  <si>
    <t>UG-EAS-1110-4201</t>
  </si>
  <si>
    <t>Rev Gimadu  Daniel O W</t>
  </si>
  <si>
    <t>St. Mathews</t>
  </si>
  <si>
    <t>UG-EAS-1110-4764</t>
  </si>
  <si>
    <t>Katamu  Florence Mundu</t>
  </si>
  <si>
    <t>Bumurumu 11</t>
  </si>
  <si>
    <t>UG-EAS-1110-4817</t>
  </si>
  <si>
    <t>Maloba  Kata</t>
  </si>
  <si>
    <t>Doma</t>
  </si>
  <si>
    <t>Sinama  Fred</t>
  </si>
  <si>
    <t>Buwerero B</t>
  </si>
  <si>
    <t>UG-EAS-1110-4847</t>
  </si>
  <si>
    <t>Kyazike  Getrude</t>
  </si>
  <si>
    <t>Amagoro A North</t>
  </si>
  <si>
    <t>Angerep  Immaculate</t>
  </si>
  <si>
    <t>UG-EAS-1110-4868</t>
  </si>
  <si>
    <t>Owino  Bonifence</t>
  </si>
  <si>
    <t>Pot B</t>
  </si>
  <si>
    <t>UG-EAS-1110-578</t>
  </si>
  <si>
    <t>Wamereye  Paul</t>
  </si>
  <si>
    <t>BUNYA</t>
  </si>
  <si>
    <t>WUWAYA</t>
  </si>
  <si>
    <t>NAMAGo</t>
  </si>
  <si>
    <t>UG-EAS-1111-04101</t>
  </si>
  <si>
    <t>Omoding  Vicent</t>
  </si>
  <si>
    <t>Kawizerà  Zachary</t>
  </si>
  <si>
    <t>jinja  municipality</t>
  </si>
  <si>
    <t>mpumudde  kimaka</t>
  </si>
  <si>
    <t>ambakoti</t>
  </si>
  <si>
    <t>UG-EAS-1111-1607</t>
  </si>
  <si>
    <t>Okeke  Bonifence</t>
  </si>
  <si>
    <t>Sop sop</t>
  </si>
  <si>
    <t>Sop sop south</t>
  </si>
  <si>
    <t>Onjie  Henry</t>
  </si>
  <si>
    <t>Sop sop north</t>
  </si>
  <si>
    <t>UG-EAS-1111-1669</t>
  </si>
  <si>
    <t>Mbere  Mulongo Wilson</t>
  </si>
  <si>
    <t>Bugegere</t>
  </si>
  <si>
    <t>UG-EAS-1111-1670</t>
  </si>
  <si>
    <t>Wahatwe  Wilberforce</t>
  </si>
  <si>
    <t>UG-EAS-1111-1674</t>
  </si>
  <si>
    <t>Koliko  Keziron</t>
  </si>
  <si>
    <t>Muhuyu</t>
  </si>
  <si>
    <t>UG-EAS-1111-1675</t>
  </si>
  <si>
    <t>Were  Zipola</t>
  </si>
  <si>
    <t>UG-EAS-1111-1676</t>
  </si>
  <si>
    <t>Hasasha  Bakali</t>
  </si>
  <si>
    <t>UG-EAS-1111-1679</t>
  </si>
  <si>
    <t>Yaduma Nandere  Mary</t>
  </si>
  <si>
    <t>UG-EAS-1111-1681</t>
  </si>
  <si>
    <t>Chomi  Kenani</t>
  </si>
  <si>
    <t>Namake</t>
  </si>
  <si>
    <t>UG-EAS-1111-1683</t>
  </si>
  <si>
    <t>Mulongo  Moses</t>
  </si>
  <si>
    <t>UG-EAS-1111-1684</t>
  </si>
  <si>
    <t>Mbolwa  Ezera</t>
  </si>
  <si>
    <t>UG-EAS-1111-1685</t>
  </si>
  <si>
    <t>Mudusu  Kenani</t>
  </si>
  <si>
    <t>Buleka</t>
  </si>
  <si>
    <t>UG-EAS-1111-1686</t>
  </si>
  <si>
    <t>Mulomi  Noah</t>
  </si>
  <si>
    <t>UG-EAS-1111-1712</t>
  </si>
  <si>
    <t>Manda  Christine Damali</t>
  </si>
  <si>
    <t>UG-EAS-1111-1713</t>
  </si>
  <si>
    <t>Egesa  Desderio</t>
  </si>
  <si>
    <t>Bulega</t>
  </si>
  <si>
    <t>UG-EAS-1111-1860</t>
  </si>
  <si>
    <t>Apedo  Magadelena</t>
  </si>
  <si>
    <t>Abilangiti</t>
  </si>
  <si>
    <t>UG-EAS-1111-1939</t>
  </si>
  <si>
    <t>Opio  Innocent</t>
  </si>
  <si>
    <t>Awojakum</t>
  </si>
  <si>
    <t>Wandera  Benon</t>
  </si>
  <si>
    <t>UG-EAS-1111-2054</t>
  </si>
  <si>
    <t>Emaju  Francis Charles</t>
  </si>
  <si>
    <t>Soroti Municipality</t>
  </si>
  <si>
    <t>Cell. A</t>
  </si>
  <si>
    <t>Ebiacu  Samuel</t>
  </si>
  <si>
    <t>Kangeta</t>
  </si>
  <si>
    <t>UG-EAS-1111-2086</t>
  </si>
  <si>
    <t>Akello  Mary</t>
  </si>
  <si>
    <t>Arusi</t>
  </si>
  <si>
    <t>UG-EAS-1111-2169</t>
  </si>
  <si>
    <t>Okiria  Joseph</t>
  </si>
  <si>
    <t>Apama</t>
  </si>
  <si>
    <t>UG-EAS-1111-2185</t>
  </si>
  <si>
    <t>Ilukor  Simon</t>
  </si>
  <si>
    <t>Amuen</t>
  </si>
  <si>
    <t>Oluka Honrant</t>
  </si>
  <si>
    <t>Mukura</t>
  </si>
  <si>
    <t>orapada</t>
  </si>
  <si>
    <t>UG-EAS-1111-3332</t>
  </si>
  <si>
    <t xml:space="preserve">Kigozi  John </t>
  </si>
  <si>
    <t>Bugulubya</t>
  </si>
  <si>
    <t>Buyimbira</t>
  </si>
  <si>
    <t>UG-EAS-1111-3603</t>
  </si>
  <si>
    <t>Simiyu  George</t>
  </si>
  <si>
    <t>Zakaria</t>
  </si>
  <si>
    <t>Wanda  Nathan</t>
  </si>
  <si>
    <t>Bukusu</t>
  </si>
  <si>
    <t>Bubilumi</t>
  </si>
  <si>
    <t>Nambuya  Jenifer</t>
  </si>
  <si>
    <t>Kato</t>
  </si>
  <si>
    <t>Buwamboka</t>
  </si>
  <si>
    <t>Weyene  Patrick</t>
  </si>
  <si>
    <t>Nandere</t>
  </si>
  <si>
    <t>Sitati  John Amos</t>
  </si>
  <si>
    <t>Lukii</t>
  </si>
  <si>
    <t>UG-EAS-1111-4923</t>
  </si>
  <si>
    <t>Panda  James</t>
  </si>
  <si>
    <t>UG-EAS-1111-4924</t>
  </si>
  <si>
    <t>Were  Stephen</t>
  </si>
  <si>
    <t>UG-EAS-1111-4925</t>
  </si>
  <si>
    <t>Muluko  Yafesi</t>
  </si>
  <si>
    <t>Wamalwa  Samuel</t>
  </si>
  <si>
    <t>UG-EAS-1111-4929</t>
  </si>
  <si>
    <t>Mbuluga  Kusadi Alupa</t>
  </si>
  <si>
    <t>Namage</t>
  </si>
  <si>
    <t>UG-EAS-1111-7263</t>
  </si>
  <si>
    <t>Osinde Zeblon (Late)</t>
  </si>
  <si>
    <t>UG-EAS-1112-00020</t>
  </si>
  <si>
    <t>Odella Monica Filder</t>
  </si>
  <si>
    <t>Kalachai</t>
  </si>
  <si>
    <t>Chelimo  Johnson</t>
  </si>
  <si>
    <t>Kolongei</t>
  </si>
  <si>
    <t>UG-EAS-1112-1586</t>
  </si>
  <si>
    <t>Osinde  Roman</t>
  </si>
  <si>
    <t>Paya</t>
  </si>
  <si>
    <t>Pambedi</t>
  </si>
  <si>
    <t>UG-EAS-1112-1588</t>
  </si>
  <si>
    <t>Okello  Lawrence</t>
  </si>
  <si>
    <t>UG-EAS-1112-1592</t>
  </si>
  <si>
    <t>Obbo  Livingstone Kwaki</t>
  </si>
  <si>
    <t>Padula</t>
  </si>
  <si>
    <t>UG-EAS-1107-4949</t>
  </si>
  <si>
    <t>Mutonyi  Florence</t>
  </si>
  <si>
    <t>UG-EAS-1112-1596</t>
  </si>
  <si>
    <t>Okoth  John Richard</t>
  </si>
  <si>
    <t>Sikwala</t>
  </si>
  <si>
    <t>UG-EAS-1112-1672</t>
  </si>
  <si>
    <t>Hyabene Joel</t>
  </si>
  <si>
    <t>UG-EAS-1112-1673</t>
  </si>
  <si>
    <t>Kudeba  Gideon</t>
  </si>
  <si>
    <t>UG-EAS-1112-1678</t>
  </si>
  <si>
    <t>Nakere  Semu</t>
  </si>
  <si>
    <t>Masolwa</t>
  </si>
  <si>
    <t>UG-EAS-1112-1680</t>
  </si>
  <si>
    <t>Malinga Dan  Zebuloni</t>
  </si>
  <si>
    <t>UG-EAS-1112-1896</t>
  </si>
  <si>
    <t>Egayu  Moses</t>
  </si>
  <si>
    <t>Aloet Central</t>
  </si>
  <si>
    <t>UG-EAS-1112-1897</t>
  </si>
  <si>
    <t>Emaju  Justine</t>
  </si>
  <si>
    <t>Aloet central</t>
  </si>
  <si>
    <t>UG-EAS-1112-1940</t>
  </si>
  <si>
    <t>Oumo  Bernard</t>
  </si>
  <si>
    <t>UG-EAS-1108-2171</t>
  </si>
  <si>
    <t>Okello  Stephen</t>
  </si>
  <si>
    <t>Kokodu</t>
  </si>
  <si>
    <t>UG-EAS-1108-2179</t>
  </si>
  <si>
    <t>Ogalai  Robert</t>
  </si>
  <si>
    <t>UG-EAS-1112-1998</t>
  </si>
  <si>
    <t>Tumwebaze   Dennis</t>
  </si>
  <si>
    <t>Iganga</t>
  </si>
  <si>
    <t>Namungalwe</t>
  </si>
  <si>
    <t>Kawete</t>
  </si>
  <si>
    <t>Ekochu  Joseph</t>
  </si>
  <si>
    <t>Aloet Akum</t>
  </si>
  <si>
    <t>UG-EAS-1112-2102</t>
  </si>
  <si>
    <t>Ijongat  Loy Ekek</t>
  </si>
  <si>
    <t>Municipal council</t>
  </si>
  <si>
    <t>osioda</t>
  </si>
  <si>
    <t>UG-EAS-1112-2107</t>
  </si>
  <si>
    <t>Ongodia Gabriel Mary</t>
  </si>
  <si>
    <t>UG-EAS-1112-2205</t>
  </si>
  <si>
    <t>Atwala  Patrick</t>
  </si>
  <si>
    <t>odokar</t>
  </si>
  <si>
    <t>UG-EAS-1112-2206</t>
  </si>
  <si>
    <t>Itait  Grace</t>
  </si>
  <si>
    <t>Akubui</t>
  </si>
  <si>
    <t>Maselele  Agatha</t>
  </si>
  <si>
    <t>Bumariri</t>
  </si>
  <si>
    <t>UG-EAS-1112-2380</t>
  </si>
  <si>
    <t>Nabende  Amudani</t>
  </si>
  <si>
    <t>Bukwaga</t>
  </si>
  <si>
    <t xml:space="preserve">Lubogo   Isaac </t>
  </si>
  <si>
    <t>Wabulenga</t>
  </si>
  <si>
    <t>Bogere  Richard</t>
  </si>
  <si>
    <t>Agururu B2</t>
  </si>
  <si>
    <t>Napokoli  Joselyn</t>
  </si>
  <si>
    <t>Butiru</t>
  </si>
  <si>
    <t>Buwaya</t>
  </si>
  <si>
    <t>UG-EAS-1112-3679</t>
  </si>
  <si>
    <t>Marout  Asuman</t>
  </si>
  <si>
    <t>Sironko T.C</t>
  </si>
  <si>
    <t>Mujin</t>
  </si>
  <si>
    <t>UG-EAS-1112-4205</t>
  </si>
  <si>
    <t>Gonyit  Robert</t>
  </si>
  <si>
    <t>Bukise</t>
  </si>
  <si>
    <t>Mesemwa</t>
  </si>
  <si>
    <t>UG-EAS-1112-4231</t>
  </si>
  <si>
    <t>Kiprotich Alex Nelson</t>
  </si>
  <si>
    <t>Korosho</t>
  </si>
  <si>
    <t>UG-EAS-1108-4921</t>
  </si>
  <si>
    <t>Rev Onyango  Zakaria Jagire</t>
  </si>
  <si>
    <t>Rubongi A</t>
  </si>
  <si>
    <t>Oketcho  Zakaria Ochieng</t>
  </si>
  <si>
    <t>Maruk Rock</t>
  </si>
  <si>
    <t>Okoth  Gordian</t>
  </si>
  <si>
    <t>UG-EAS-1112-4820</t>
  </si>
  <si>
    <t>Mangeni  Juma</t>
  </si>
  <si>
    <t>Samia Bugwe South</t>
  </si>
  <si>
    <t>Lusisira</t>
  </si>
  <si>
    <t>UG-EAS-1112-4855</t>
  </si>
  <si>
    <t>Wabulakha  Samwiri</t>
  </si>
  <si>
    <t>Manafwa TC</t>
  </si>
  <si>
    <t>Bubirabi</t>
  </si>
  <si>
    <t>UG-EAS-1112-4880</t>
  </si>
  <si>
    <t>Sr Asamo  Hellen plant 1</t>
  </si>
  <si>
    <t>Buwesa 2</t>
  </si>
  <si>
    <t>UG-EAS-1112-4883</t>
  </si>
  <si>
    <t>Masuswa  Stephen</t>
  </si>
  <si>
    <t>Bunewusi</t>
  </si>
  <si>
    <t>Lubale  Abudala</t>
  </si>
  <si>
    <t>Namabw</t>
  </si>
  <si>
    <t>Bwayo John</t>
  </si>
  <si>
    <t>Bud B</t>
  </si>
  <si>
    <t>Owere (Late)  Wilson</t>
  </si>
  <si>
    <t>Nabuyoga</t>
  </si>
  <si>
    <t>Ngota</t>
  </si>
  <si>
    <t>UG-EAS-1201-1615</t>
  </si>
  <si>
    <t>Othieno  Alifunsi Jamugowa</t>
  </si>
  <si>
    <t>Kirewa</t>
  </si>
  <si>
    <t>Nyambulie</t>
  </si>
  <si>
    <t>Obonyo William George</t>
  </si>
  <si>
    <t>Mwenge</t>
  </si>
  <si>
    <t>UG-EAS-1201-1618</t>
  </si>
  <si>
    <t>Onyango (Late)  Lawrence</t>
  </si>
  <si>
    <t>Nyamayiga</t>
  </si>
  <si>
    <t>Okello  Alex</t>
  </si>
  <si>
    <t>UG-EAS-1201-1622</t>
  </si>
  <si>
    <t>Ochwo (Died) Julius</t>
  </si>
  <si>
    <t>UG-EAS-1201-1624</t>
  </si>
  <si>
    <t>Oketch  Emmanuel</t>
  </si>
  <si>
    <t>UG-EAS-1201-1629</t>
  </si>
  <si>
    <t>Omita  Stephen</t>
  </si>
  <si>
    <t>Jiep</t>
  </si>
  <si>
    <t>Ongwen  John</t>
  </si>
  <si>
    <t>UG-EAS-1201-1632</t>
  </si>
  <si>
    <t>Ochwo  Abner</t>
  </si>
  <si>
    <t>Nyamiyemba</t>
  </si>
  <si>
    <t>UG-EAS-1109-2167</t>
  </si>
  <si>
    <t>Kongai  Hellen</t>
  </si>
  <si>
    <t>Ngora. T. C</t>
  </si>
  <si>
    <t>UG-EAS-1201-1780</t>
  </si>
  <si>
    <t>Olepus  Moses</t>
  </si>
  <si>
    <t>Owor  James</t>
  </si>
  <si>
    <t>Akipenet A</t>
  </si>
  <si>
    <t>UG-EAS-1201-1966</t>
  </si>
  <si>
    <t>Obeyo  Donato</t>
  </si>
  <si>
    <t>Akipenet B</t>
  </si>
  <si>
    <t>UG-EAS-1201-2078</t>
  </si>
  <si>
    <t>Enau  Gaudesius</t>
  </si>
  <si>
    <t>Awasi</t>
  </si>
  <si>
    <t>UG-EAS-1201-2087</t>
  </si>
  <si>
    <t>Otim  John</t>
  </si>
  <si>
    <t>UG-EAS-1201-2252</t>
  </si>
  <si>
    <t>Kimanayi  Bosco John</t>
  </si>
  <si>
    <t>Okumu  John</t>
  </si>
  <si>
    <t>Achilet A</t>
  </si>
  <si>
    <t>Situma  John Werikhe</t>
  </si>
  <si>
    <t>Masaba  Fred</t>
  </si>
  <si>
    <t>Bupoto</t>
  </si>
  <si>
    <t>Buyaka</t>
  </si>
  <si>
    <t>UG-EAS-1201-4096</t>
  </si>
  <si>
    <t>Okedi  John Dimitiria</t>
  </si>
  <si>
    <t>Kongoidi</t>
  </si>
  <si>
    <t>UG-EAS-1201-4227</t>
  </si>
  <si>
    <t>Cheptoyek  Johnson</t>
  </si>
  <si>
    <t>Katoyoy</t>
  </si>
  <si>
    <t>UG-EAS-1201-4235</t>
  </si>
  <si>
    <t>Kiprop Lenard</t>
  </si>
  <si>
    <t>kapnero</t>
  </si>
  <si>
    <t>UG-EAS-1201-4239</t>
  </si>
  <si>
    <t>Ngirio  Rogers Chillia</t>
  </si>
  <si>
    <t>Bukwa</t>
  </si>
  <si>
    <t>Kaptolongi</t>
  </si>
  <si>
    <t>UG-EAS-1201-4240</t>
  </si>
  <si>
    <t>Kiplimo  Stephen</t>
  </si>
  <si>
    <t>Sumotwet</t>
  </si>
  <si>
    <t>UG-EAS-1201-4241</t>
  </si>
  <si>
    <t>Kibet  James</t>
  </si>
  <si>
    <t>Bosha</t>
  </si>
  <si>
    <t>UG-EAS-1201-4242</t>
  </si>
  <si>
    <t>Matui  Patrick</t>
  </si>
  <si>
    <t>Bwaya  Isaac</t>
  </si>
  <si>
    <t>Namikyero</t>
  </si>
  <si>
    <t>UG-EAS-1201-4246</t>
  </si>
  <si>
    <t>Kitiyoy Jacob</t>
  </si>
  <si>
    <t>Kapsukwar</t>
  </si>
  <si>
    <t>UG-EAS-1201-4758</t>
  </si>
  <si>
    <t>Oloo  Charles</t>
  </si>
  <si>
    <t>Rubong</t>
  </si>
  <si>
    <t>Nyakesi A</t>
  </si>
  <si>
    <t>UG-EAS-1201-4826</t>
  </si>
  <si>
    <t>Oundo  Anthony</t>
  </si>
  <si>
    <t>Buyodi A</t>
  </si>
  <si>
    <t>UG-EAS-1201-4856</t>
  </si>
  <si>
    <t>Wamukota  Silver</t>
  </si>
  <si>
    <t>Bukibumbi</t>
  </si>
  <si>
    <t>UG-EAS-1201-4873</t>
  </si>
  <si>
    <t>Osilo Cosmas</t>
  </si>
  <si>
    <t>Ngetta C</t>
  </si>
  <si>
    <t>UG-EAS-1201-4875</t>
  </si>
  <si>
    <t>Othieno  Gasta</t>
  </si>
  <si>
    <t>Pot A</t>
  </si>
  <si>
    <t>UG-EAS-1201-4916</t>
  </si>
  <si>
    <t>Maumo  Deogratius</t>
  </si>
  <si>
    <t>Bukiabi</t>
  </si>
  <si>
    <t>Sabino</t>
  </si>
  <si>
    <t>UG-EAS-1201-4934</t>
  </si>
  <si>
    <t>Okongo  Paul</t>
  </si>
  <si>
    <t>Munyinyi</t>
  </si>
  <si>
    <t>Gulimu   David</t>
  </si>
  <si>
    <t>Nabweya</t>
  </si>
  <si>
    <t>UG-EAS-1202-1118</t>
  </si>
  <si>
    <t>Kaswabri  Besweri</t>
  </si>
  <si>
    <t>Imaniro</t>
  </si>
  <si>
    <t>Igunda</t>
  </si>
  <si>
    <t>UG-EAS-1202-1200</t>
  </si>
  <si>
    <t>Kirunda  Gastervus</t>
  </si>
  <si>
    <t>Namalere</t>
  </si>
  <si>
    <t>Matyama  Samuel</t>
  </si>
  <si>
    <t>Buyemba</t>
  </si>
  <si>
    <t>UG-EAS-1202-1364</t>
  </si>
  <si>
    <t>Menya  Nathan  Mawulula</t>
  </si>
  <si>
    <t>Mutesi  Harriet</t>
  </si>
  <si>
    <t>Solimo  Kenneth</t>
  </si>
  <si>
    <t>Nyapendi  Anna Mary</t>
  </si>
  <si>
    <t>Misasa A</t>
  </si>
  <si>
    <t>Murombo  Paul</t>
  </si>
  <si>
    <t>UG-EAS-1110-1682</t>
  </si>
  <si>
    <t>Wahanyenye  Robert</t>
  </si>
  <si>
    <t>Aya  Ballack Ogola</t>
  </si>
  <si>
    <t>Namwanga A</t>
  </si>
  <si>
    <t>UG-EAS-1202-1600</t>
  </si>
  <si>
    <t>Okongo  Jimmy</t>
  </si>
  <si>
    <t>Kabosan</t>
  </si>
  <si>
    <t>Magara  Peter James</t>
  </si>
  <si>
    <t>Okello  David</t>
  </si>
  <si>
    <t>Kayinja</t>
  </si>
  <si>
    <t>UG-EAS-1110-2106</t>
  </si>
  <si>
    <t>Okurut  Albert James</t>
  </si>
  <si>
    <t>Alikodo</t>
  </si>
  <si>
    <t>UG-EAS-1202-1652</t>
  </si>
  <si>
    <t>Ojaso  Alex</t>
  </si>
  <si>
    <t>Nyafumba</t>
  </si>
  <si>
    <t>UG-EAS-1202-1724</t>
  </si>
  <si>
    <t>Ochieng  James</t>
  </si>
  <si>
    <t>Amor</t>
  </si>
  <si>
    <t>UG-EAS-1202-1742</t>
  </si>
  <si>
    <t>Massolo  Rebecca</t>
  </si>
  <si>
    <t>Nasya</t>
  </si>
  <si>
    <t>UG-EAS-1202-1817</t>
  </si>
  <si>
    <t>Pr  Robert  Muhumuza</t>
  </si>
  <si>
    <t>Wakitaka</t>
  </si>
  <si>
    <t>Okurut  Geresom John</t>
  </si>
  <si>
    <t>Kasilo</t>
  </si>
  <si>
    <t>Bugondo</t>
  </si>
  <si>
    <t>obululun</t>
  </si>
  <si>
    <t>UG-EAS-1202-1841</t>
  </si>
  <si>
    <t>Eucu  Francis</t>
  </si>
  <si>
    <t>Kateta</t>
  </si>
  <si>
    <t>omagara/ocupo</t>
  </si>
  <si>
    <t>Opolot  John</t>
  </si>
  <si>
    <t>Aisin</t>
  </si>
  <si>
    <t>UG-EAS-1202-1873</t>
  </si>
  <si>
    <t>Okodu  Robert George</t>
  </si>
  <si>
    <t>Kamuda</t>
  </si>
  <si>
    <t>obar</t>
  </si>
  <si>
    <t>Wafula  John Ojuso</t>
  </si>
  <si>
    <t>Bukoli south</t>
  </si>
  <si>
    <t>Siabona</t>
  </si>
  <si>
    <t>Wangubo  Abdalatif</t>
  </si>
  <si>
    <t>UG-EAS-1202-2066</t>
  </si>
  <si>
    <t>Amongin  Edith Ruth</t>
  </si>
  <si>
    <t>Cell K</t>
  </si>
  <si>
    <t>UG-EAS-1202-2071</t>
  </si>
  <si>
    <t>Akello  Vicky</t>
  </si>
  <si>
    <t>Angaro</t>
  </si>
  <si>
    <t>Ajero  Anastansia</t>
  </si>
  <si>
    <t>UG-EAS-1202-3333</t>
  </si>
  <si>
    <t>Ntende  Woira Daniel</t>
  </si>
  <si>
    <t>UG-EAS-1202-4094</t>
  </si>
  <si>
    <t>Akelem  William</t>
  </si>
  <si>
    <t>UG-EAS-1202-4142</t>
  </si>
  <si>
    <t>Sakwa  Millon</t>
  </si>
  <si>
    <t>Malinyi</t>
  </si>
  <si>
    <t>UG-EAS-1202-4153</t>
  </si>
  <si>
    <t>Wantsala  Godfrey</t>
  </si>
  <si>
    <t>UG-EAS-1202-4213</t>
  </si>
  <si>
    <t>Masengo  Muhammed</t>
  </si>
  <si>
    <t>Kamunda</t>
  </si>
  <si>
    <t>UG-EAS-1202-4216</t>
  </si>
  <si>
    <t>Chepkurui  Jackson</t>
  </si>
  <si>
    <t>Kapsukunyo</t>
  </si>
  <si>
    <t>UG-EAS-1110-4909</t>
  </si>
  <si>
    <t>Fr Buyela  Ricard Paul</t>
  </si>
  <si>
    <t>Bunamakanda</t>
  </si>
  <si>
    <t>UG-EAS-1202-4756</t>
  </si>
  <si>
    <t>Ochwo  Noah</t>
  </si>
  <si>
    <t>Nyakesi B</t>
  </si>
  <si>
    <t>UG-EAS-1111-00017</t>
  </si>
  <si>
    <t>Nalusiba   Kotilda</t>
  </si>
  <si>
    <t>Aputir west</t>
  </si>
  <si>
    <t>Mutuma  Patrick</t>
  </si>
  <si>
    <t>Nanyotso</t>
  </si>
  <si>
    <t>UG-EAS-1202-4781</t>
  </si>
  <si>
    <t>Wasike  Johnson</t>
  </si>
  <si>
    <t>Okello  Charles</t>
  </si>
  <si>
    <t>UG-EAS-1202-4784</t>
  </si>
  <si>
    <t>Mandu  Joel Canon</t>
  </si>
  <si>
    <t>UG-EAS-1202-4786</t>
  </si>
  <si>
    <t>Watuwa  Yusuf Wamukota</t>
  </si>
  <si>
    <t>Buwanderema North</t>
  </si>
  <si>
    <t>UG-EAS-1202-4870</t>
  </si>
  <si>
    <t>Owori  Patrick Oguti</t>
  </si>
  <si>
    <t>Nyamulinde</t>
  </si>
  <si>
    <t>UG-EAS-1202-4945</t>
  </si>
  <si>
    <t>Walyamboga  Mary Peter</t>
  </si>
  <si>
    <t>Bugobero</t>
  </si>
  <si>
    <t>Bukhoso 1</t>
  </si>
  <si>
    <t>UG-EAS-1111-1671</t>
  </si>
  <si>
    <t>Higenyi  Moses</t>
  </si>
  <si>
    <t>UG-EAS-1202-571</t>
  </si>
  <si>
    <t>Tom  Nampogo</t>
  </si>
  <si>
    <t>UG-EAS-1202-580</t>
  </si>
  <si>
    <t>Gubahama  James</t>
  </si>
  <si>
    <t>Luuka</t>
  </si>
  <si>
    <t>LUUKA South</t>
  </si>
  <si>
    <t>NAWAPITI</t>
  </si>
  <si>
    <t>BUYooLA</t>
  </si>
  <si>
    <t>UG-EAS-1202-591</t>
  </si>
  <si>
    <t>Nagaali Yusufu</t>
  </si>
  <si>
    <t>BULAMoGI</t>
  </si>
  <si>
    <t>BUMANYA</t>
  </si>
  <si>
    <t>Kyani TC</t>
  </si>
  <si>
    <t>UG-EAS-1202-592</t>
  </si>
  <si>
    <t>Mwoleka  Godfrey</t>
  </si>
  <si>
    <t>BUBUMBI</t>
  </si>
  <si>
    <t>UG-EAS-1202-593</t>
  </si>
  <si>
    <t>Nagali  Abeli</t>
  </si>
  <si>
    <t>UG-EAS-1202-594</t>
  </si>
  <si>
    <t>Emmanuel Tubuya</t>
  </si>
  <si>
    <t>NAMUNYA</t>
  </si>
  <si>
    <t>UG-EAS-1202-758</t>
  </si>
  <si>
    <t>Batiirwe Moses</t>
  </si>
  <si>
    <t>UG-EAS-1203-0027</t>
  </si>
  <si>
    <t>Mugamba Ally</t>
  </si>
  <si>
    <t>Lukonje</t>
  </si>
  <si>
    <t>Opendi  Richard</t>
  </si>
  <si>
    <t>UG-EAS-1203-1687</t>
  </si>
  <si>
    <t xml:space="preserve">Haire  Bugohe Lameka </t>
  </si>
  <si>
    <t>UG-EAS-1203-1899</t>
  </si>
  <si>
    <t>Orone  Moses</t>
  </si>
  <si>
    <t>Arubela</t>
  </si>
  <si>
    <t>UG-EAS-1111-1859</t>
  </si>
  <si>
    <t>Epau  Cuthbert</t>
  </si>
  <si>
    <t>ogorai</t>
  </si>
  <si>
    <t>UG-EAS-1203-1963</t>
  </si>
  <si>
    <t>Okumu  Bilasio</t>
  </si>
  <si>
    <t>Bunghanga B</t>
  </si>
  <si>
    <t>Opiding  Julius</t>
  </si>
  <si>
    <t>Angai</t>
  </si>
  <si>
    <t>UG-EAS-1203-1964</t>
  </si>
  <si>
    <t>Owere  Christom</t>
  </si>
  <si>
    <t>okwenga</t>
  </si>
  <si>
    <t>UG-EAS-1203-1972</t>
  </si>
  <si>
    <t>Madembe  George</t>
  </si>
  <si>
    <t>Nabiganda B</t>
  </si>
  <si>
    <t>UG-EAS-1203-1973</t>
  </si>
  <si>
    <t>Sheloba  Ahamada</t>
  </si>
  <si>
    <t>Bukairi</t>
  </si>
  <si>
    <t>UG-EAS-1203-1975</t>
  </si>
  <si>
    <t>Ngaale  David</t>
  </si>
  <si>
    <t>Namusita</t>
  </si>
  <si>
    <t>UG-EAS-1203-1990</t>
  </si>
  <si>
    <t>Walwema  Bosco</t>
  </si>
  <si>
    <t>Naweyo</t>
  </si>
  <si>
    <t>Nakabale</t>
  </si>
  <si>
    <t>Apolot  Beatrice</t>
  </si>
  <si>
    <t>Komodo</t>
  </si>
  <si>
    <t>UG-EAS-1203-1991</t>
  </si>
  <si>
    <t>Makabayi  Anthony</t>
  </si>
  <si>
    <t>Angura  Patrick</t>
  </si>
  <si>
    <t>Kodiata</t>
  </si>
  <si>
    <t>UG-EAS-1203-1993</t>
  </si>
  <si>
    <t>Wokomoli  Nathan</t>
  </si>
  <si>
    <t>Nasinyi</t>
  </si>
  <si>
    <t>UG-EAS-1111-2211</t>
  </si>
  <si>
    <t>Otai  Pius</t>
  </si>
  <si>
    <t>Agolitom</t>
  </si>
  <si>
    <t>UG-EAS-1203-3064</t>
  </si>
  <si>
    <t>Baganzi Tulye Samuel</t>
  </si>
  <si>
    <t>UG-EAS-1203-3601</t>
  </si>
  <si>
    <t>Kimono  Kannah</t>
  </si>
  <si>
    <t>Namawanga</t>
  </si>
  <si>
    <t>Oketcho  Wicklyfe</t>
  </si>
  <si>
    <t>Achilet B</t>
  </si>
  <si>
    <t>UG-EAS-1203-3629</t>
  </si>
  <si>
    <t>Gwengere  Yokosani</t>
  </si>
  <si>
    <t>Tahaja Damba</t>
  </si>
  <si>
    <t>UG-EAS-1203-3630</t>
  </si>
  <si>
    <t>Kadubi  Abudala</t>
  </si>
  <si>
    <t>Manganga</t>
  </si>
  <si>
    <t>UG-EAS-1203-3632</t>
  </si>
  <si>
    <t>Muzei  Hamudani</t>
  </si>
  <si>
    <t>Namaji</t>
  </si>
  <si>
    <t>UG-EAS-1203-3641</t>
  </si>
  <si>
    <t>Ninialo  Amos</t>
  </si>
  <si>
    <t>Namawa A</t>
  </si>
  <si>
    <t>UG-EAS-1111-4822</t>
  </si>
  <si>
    <t>Ojera  Alex</t>
  </si>
  <si>
    <t>Syamalede A</t>
  </si>
  <si>
    <t>UG-EAS-1203-3667</t>
  </si>
  <si>
    <t>Wandera  Amos</t>
  </si>
  <si>
    <t>Highland A</t>
  </si>
  <si>
    <t>UG-EAS-1203-4752</t>
  </si>
  <si>
    <t>Ofwono  Sam</t>
  </si>
  <si>
    <t>Parima South</t>
  </si>
  <si>
    <t>UG-EAS-1203-4848</t>
  </si>
  <si>
    <t>Emoit  Salume Canon</t>
  </si>
  <si>
    <t>UG-EAS-1203-4850</t>
  </si>
  <si>
    <t>Otonya  George</t>
  </si>
  <si>
    <t>Amagoro B North</t>
  </si>
  <si>
    <t>UG-EAS-1203-4851</t>
  </si>
  <si>
    <t>Ofwono  Apollo Nola</t>
  </si>
  <si>
    <t>Angorom B</t>
  </si>
  <si>
    <t>UG-EAS-1203-4874</t>
  </si>
  <si>
    <t>Onyango  Patrick Omina</t>
  </si>
  <si>
    <t>Budama South</t>
  </si>
  <si>
    <t>Gule B</t>
  </si>
  <si>
    <t>UG-EAS-1203-4910</t>
  </si>
  <si>
    <t>Nambuya  Joyce Bwayo</t>
  </si>
  <si>
    <t>Bumayeku</t>
  </si>
  <si>
    <t>UG-EAS-1112-013864</t>
  </si>
  <si>
    <t xml:space="preserve">Nabulante Richard </t>
  </si>
  <si>
    <t>0702223309</t>
  </si>
  <si>
    <t>0774440489</t>
  </si>
  <si>
    <t>Bunya east</t>
  </si>
  <si>
    <t>Nakate</t>
  </si>
  <si>
    <t>UG-EAS-1204-1384</t>
  </si>
  <si>
    <t>Kango  Fred</t>
  </si>
  <si>
    <t>Nabweya top</t>
  </si>
  <si>
    <t>Olowo  Stephen</t>
  </si>
  <si>
    <t>Pawanga</t>
  </si>
  <si>
    <t>Mwanga  John</t>
  </si>
  <si>
    <t>Chemi</t>
  </si>
  <si>
    <t>Kaptama</t>
  </si>
  <si>
    <t>UG-EAS-1204-1580</t>
  </si>
  <si>
    <t>Musobo  Joseph</t>
  </si>
  <si>
    <t>Kakeen</t>
  </si>
  <si>
    <t>UG-EAS-1204-1662</t>
  </si>
  <si>
    <t>Mugomi   Moses</t>
  </si>
  <si>
    <t>Simon Peter  Emaru Enotu</t>
  </si>
  <si>
    <t>Wera</t>
  </si>
  <si>
    <t>Asalatap</t>
  </si>
  <si>
    <t>UG-EAS-1204-1944</t>
  </si>
  <si>
    <t>Acanit  Mary</t>
  </si>
  <si>
    <t>orungo Township</t>
  </si>
  <si>
    <t>UG-EAS-1204-1976</t>
  </si>
  <si>
    <t>Kamanya  Lukumani</t>
  </si>
  <si>
    <t>Ecumu  Juventine</t>
  </si>
  <si>
    <t>Kyere</t>
  </si>
  <si>
    <t>okunguro</t>
  </si>
  <si>
    <t>UG-EAS-1204-1979</t>
  </si>
  <si>
    <t>Were  Abu</t>
  </si>
  <si>
    <t>Gombo</t>
  </si>
  <si>
    <t>UG-EAS-1204-1986</t>
  </si>
  <si>
    <t>Haumba  Suswa</t>
  </si>
  <si>
    <t>Namunasa</t>
  </si>
  <si>
    <t>UG-EAS-1204-1992</t>
  </si>
  <si>
    <t>Nakasanga  Damasico</t>
  </si>
  <si>
    <t>Nakasanga</t>
  </si>
  <si>
    <t>UG-EAS-1204-2182</t>
  </si>
  <si>
    <t>Alemura Rose</t>
  </si>
  <si>
    <t>Kalengo</t>
  </si>
  <si>
    <t>UG-EAS-1204-3628</t>
  </si>
  <si>
    <t>Wokoli  Wilson</t>
  </si>
  <si>
    <t>Bumatola</t>
  </si>
  <si>
    <t>UG-EAS-1204-4030</t>
  </si>
  <si>
    <t>Nandege  Medei Esther</t>
  </si>
  <si>
    <t>Bulocho</t>
  </si>
  <si>
    <t>UG-EAS-1204-4055</t>
  </si>
  <si>
    <t>Kedi  Peter</t>
  </si>
  <si>
    <t>Akisim</t>
  </si>
  <si>
    <t>UG-EAS-1204-4137</t>
  </si>
  <si>
    <t>Bareka  William Labu</t>
  </si>
  <si>
    <t>Sugutu</t>
  </si>
  <si>
    <t>UG-EAS-1204-4887</t>
  </si>
  <si>
    <t>Mabonga  Stephen</t>
  </si>
  <si>
    <t>Bukhaweka</t>
  </si>
  <si>
    <t>Buketela</t>
  </si>
  <si>
    <t>UG-EAS-1205-07261</t>
  </si>
  <si>
    <t>Okoth  Raphael Romanos</t>
  </si>
  <si>
    <t>Akworot central</t>
  </si>
  <si>
    <t>UG-EAS-1205-1353</t>
  </si>
  <si>
    <t>Mabonga  Patrick</t>
  </si>
  <si>
    <t>Makambo</t>
  </si>
  <si>
    <t>Owino George Canon</t>
  </si>
  <si>
    <t>Abongit B</t>
  </si>
  <si>
    <t>UG-EAS-1205-1779</t>
  </si>
  <si>
    <t>Okiror Daudi Okakale</t>
  </si>
  <si>
    <t>omalera</t>
  </si>
  <si>
    <t>UG-EAS-1205-1898</t>
  </si>
  <si>
    <t>Okanyum  Gilbert</t>
  </si>
  <si>
    <t>Atogwang</t>
  </si>
  <si>
    <t>UG-EAS-1205-2089</t>
  </si>
  <si>
    <t>Aeko  Martin (Fr)</t>
  </si>
  <si>
    <t>oimai</t>
  </si>
  <si>
    <t>UG-EAS-1205-2120</t>
  </si>
  <si>
    <t>Akabwai  Jane</t>
  </si>
  <si>
    <t>Angopet</t>
  </si>
  <si>
    <t>Nsaano  Amos</t>
  </si>
  <si>
    <t>Bussano</t>
  </si>
  <si>
    <t>Bamwesi  Patrick (Plant 1)</t>
  </si>
  <si>
    <t>Magamaga East</t>
  </si>
  <si>
    <t>Wokoli  Samuel</t>
  </si>
  <si>
    <t>Sibwala</t>
  </si>
  <si>
    <t>UG-EAS-1205-3645</t>
  </si>
  <si>
    <t>Mbogo  Wilson</t>
  </si>
  <si>
    <t>Nasinyi B</t>
  </si>
  <si>
    <t>Gimei  Semei</t>
  </si>
  <si>
    <t>Kiyembe Tc</t>
  </si>
  <si>
    <t>Oceger  Sam</t>
  </si>
  <si>
    <t>Chodong anyanga</t>
  </si>
  <si>
    <t>Amisi  Hossia</t>
  </si>
  <si>
    <t>Kabore</t>
  </si>
  <si>
    <t>Gimeyi  Charles</t>
  </si>
  <si>
    <t>UG-EAS-1205-4853</t>
  </si>
  <si>
    <t>Dr Ikibbo  Apollo</t>
  </si>
  <si>
    <t>UG-EAS-1205-4895</t>
  </si>
  <si>
    <t>Wandende  David</t>
  </si>
  <si>
    <t>Namabya</t>
  </si>
  <si>
    <t>Bukhozo</t>
  </si>
  <si>
    <t>Masaba   Stephen</t>
  </si>
  <si>
    <t>Mabaga</t>
  </si>
  <si>
    <t>Owor  Geofrey</t>
  </si>
  <si>
    <t>Nambagala  Michael</t>
  </si>
  <si>
    <t>Magombe  Edrisa</t>
  </si>
  <si>
    <t>Nangolo</t>
  </si>
  <si>
    <t>Cherukut  Janet</t>
  </si>
  <si>
    <t>Kapchorwa municipality</t>
  </si>
  <si>
    <t>Tegeers</t>
  </si>
  <si>
    <t xml:space="preserve">Chesakit    Stephen </t>
  </si>
  <si>
    <t>Kapchbut</t>
  </si>
  <si>
    <t>UG-EAS-1206-1585</t>
  </si>
  <si>
    <t>Serowen  Alfred</t>
  </si>
  <si>
    <t>Kachebut</t>
  </si>
  <si>
    <t>Aroda  John</t>
  </si>
  <si>
    <t>Pakoi B</t>
  </si>
  <si>
    <t>UG-EAS-1206-1658</t>
  </si>
  <si>
    <t>Mujongola  Nathan</t>
  </si>
  <si>
    <t>UG-EAS-1206-1765</t>
  </si>
  <si>
    <t>Alupo  Cecelia Engole</t>
  </si>
  <si>
    <t>Katakwi</t>
  </si>
  <si>
    <t>Usuk</t>
  </si>
  <si>
    <t>ongongoja</t>
  </si>
  <si>
    <t>Akuworo</t>
  </si>
  <si>
    <t>UG-EAS-1206-1771</t>
  </si>
  <si>
    <t>Emorut  Tom</t>
  </si>
  <si>
    <t>Toroma</t>
  </si>
  <si>
    <t>Magoro</t>
  </si>
  <si>
    <t>oriau. A</t>
  </si>
  <si>
    <t>UG-EAS-1201-1633</t>
  </si>
  <si>
    <t>Obbowere  Charles</t>
  </si>
  <si>
    <t>Kisera</t>
  </si>
  <si>
    <t>UG-EAS-1206-1775</t>
  </si>
  <si>
    <t>Ijuli  Steven</t>
  </si>
  <si>
    <t>Akulet</t>
  </si>
  <si>
    <t>UG-EAS-1206-1958</t>
  </si>
  <si>
    <t>Ofwono  Nelson</t>
  </si>
  <si>
    <t>UG-EAS-1206-1961</t>
  </si>
  <si>
    <t>Oketch  Clement</t>
  </si>
  <si>
    <t>Kiguri</t>
  </si>
  <si>
    <t>UG-EAS-1206-1968</t>
  </si>
  <si>
    <t>Wandera  Pulisi Adam</t>
  </si>
  <si>
    <t>Nabiganda central</t>
  </si>
  <si>
    <t>Higenyi  Hussein</t>
  </si>
  <si>
    <t>Nabiganda Central</t>
  </si>
  <si>
    <t>UG-EAS-1206-2195</t>
  </si>
  <si>
    <t>Mutaka  George</t>
  </si>
  <si>
    <t>Keuka</t>
  </si>
  <si>
    <t>UG-EAS-1201-2255</t>
  </si>
  <si>
    <t>Wabudeya  Muhamad</t>
  </si>
  <si>
    <t>Nansu</t>
  </si>
  <si>
    <t>UG-EAS-1206-2213</t>
  </si>
  <si>
    <t>Ocakara  Nicholas Patrick</t>
  </si>
  <si>
    <t>Nyero</t>
  </si>
  <si>
    <t>onyamadaka</t>
  </si>
  <si>
    <t>UG-EAS-1206-2293</t>
  </si>
  <si>
    <t>Fr Denis</t>
  </si>
  <si>
    <t>nabwigulu</t>
  </si>
  <si>
    <t>bukolobe</t>
  </si>
  <si>
    <t>UG-EAS-1206-4097</t>
  </si>
  <si>
    <t>Okia  James</t>
  </si>
  <si>
    <t>Kwarikwar</t>
  </si>
  <si>
    <t>Hajat  Halima</t>
  </si>
  <si>
    <t>Wakyaya  Stephen</t>
  </si>
  <si>
    <t>Majinya</t>
  </si>
  <si>
    <t>Bukirwe</t>
  </si>
  <si>
    <t>Gidagui  Richard</t>
  </si>
  <si>
    <t>Busulani</t>
  </si>
  <si>
    <t>Nazu</t>
  </si>
  <si>
    <t>UG-EAS-1206-4885</t>
  </si>
  <si>
    <t>Wepukhulu  Jenipher</t>
  </si>
  <si>
    <t>Buwabwala</t>
  </si>
  <si>
    <t>Busambatsa T.C</t>
  </si>
  <si>
    <t>UG-EAS-1206-4894</t>
  </si>
  <si>
    <t>Mungoma  Pius Mwalye</t>
  </si>
  <si>
    <t>Bumungoma</t>
  </si>
  <si>
    <t>Clementina  Khapupu</t>
  </si>
  <si>
    <t>EMULEKE</t>
  </si>
  <si>
    <t>Zaale  David</t>
  </si>
  <si>
    <t>Bubita</t>
  </si>
  <si>
    <t>Saume</t>
  </si>
  <si>
    <t>UG-EAS-1207-1584</t>
  </si>
  <si>
    <t>Mutai  Emmanuel</t>
  </si>
  <si>
    <t>UG-EAS-1207-1587</t>
  </si>
  <si>
    <t>Pukose  Julius</t>
  </si>
  <si>
    <t>UG-EAS-1201-4761</t>
  </si>
  <si>
    <t>Ogola Amos</t>
  </si>
  <si>
    <t>Magoro Bira A</t>
  </si>
  <si>
    <t>Sabila  Willy</t>
  </si>
  <si>
    <t>UG-EAS-1207-1752</t>
  </si>
  <si>
    <t>Joseph  Okipi</t>
  </si>
  <si>
    <t>Katakwi Town Council</t>
  </si>
  <si>
    <t>Dokomer cell</t>
  </si>
  <si>
    <t>UG-EAS-1207-1827</t>
  </si>
  <si>
    <t>Ebou  Johnson</t>
  </si>
  <si>
    <t>Akusi-Igola</t>
  </si>
  <si>
    <t>UG-EAS-1207-1846</t>
  </si>
  <si>
    <t>Oranit  Samuel</t>
  </si>
  <si>
    <t>UG-EAS-1207-2097</t>
  </si>
  <si>
    <t>Ipedu  Grace Anna</t>
  </si>
  <si>
    <t>Asamuk</t>
  </si>
  <si>
    <t>Arukit</t>
  </si>
  <si>
    <t>UG-EAS-1207-2259</t>
  </si>
  <si>
    <t>Nfaki  Nath</t>
  </si>
  <si>
    <t>UG-EAS-1207-2399</t>
  </si>
  <si>
    <t>Madoi   Anthony</t>
  </si>
  <si>
    <t>UG-EAS-1207-2637</t>
  </si>
  <si>
    <t>Marian Kagubiru</t>
  </si>
  <si>
    <t>Busaano</t>
  </si>
  <si>
    <t>UG-EAS-1207-2687</t>
  </si>
  <si>
    <t>Mugangu John S</t>
  </si>
  <si>
    <t>Nawankofu</t>
  </si>
  <si>
    <t>UG-EAS-1207-2739</t>
  </si>
  <si>
    <t>Musa  Kagubiru</t>
  </si>
  <si>
    <t>Busano</t>
  </si>
  <si>
    <t>UG-EAS-1207-3001</t>
  </si>
  <si>
    <t>Opucu David</t>
  </si>
  <si>
    <t>Namisu</t>
  </si>
  <si>
    <t>UG-EAS-1207-4087</t>
  </si>
  <si>
    <t>Wajire  Peter (School 1)</t>
  </si>
  <si>
    <t>Tirinyi</t>
  </si>
  <si>
    <t>Masudi  Wandera</t>
  </si>
  <si>
    <t>Industrial Division</t>
  </si>
  <si>
    <t>Somero</t>
  </si>
  <si>
    <t>UG-EAS-1207-4134</t>
  </si>
  <si>
    <t>Lilla  Abudala</t>
  </si>
  <si>
    <t>Nakapiripirit</t>
  </si>
  <si>
    <t>Pian</t>
  </si>
  <si>
    <t>Nabilatuk</t>
  </si>
  <si>
    <t>Nabilatuk T/ C</t>
  </si>
  <si>
    <t>UG-EAS-1207-4471</t>
  </si>
  <si>
    <t>Nabirye  Monica</t>
  </si>
  <si>
    <t>Muguluka West</t>
  </si>
  <si>
    <t>UG-EAS-1207-4836</t>
  </si>
  <si>
    <t>Nakhosi  Davis</t>
  </si>
  <si>
    <t>Bubulo East</t>
  </si>
  <si>
    <t>Bumwoni</t>
  </si>
  <si>
    <t>Lukhendu</t>
  </si>
  <si>
    <t>UG-EAS-1207-4845</t>
  </si>
  <si>
    <t>Mbanacho  Clement</t>
  </si>
  <si>
    <t>Bukokho</t>
  </si>
  <si>
    <t>Namutokholo 2</t>
  </si>
  <si>
    <t>Okumu  Tito Oyana</t>
  </si>
  <si>
    <t>Magola</t>
  </si>
  <si>
    <t>Papada B</t>
  </si>
  <si>
    <t>Nyafwono  Justine</t>
  </si>
  <si>
    <t>UG-EAS-1207-4943</t>
  </si>
  <si>
    <t>Nyakeno  Staneley Lee</t>
  </si>
  <si>
    <t>Budama north</t>
  </si>
  <si>
    <t>Nagongera</t>
  </si>
  <si>
    <t>Pokongo</t>
  </si>
  <si>
    <t>UG-EAS-1202-1653</t>
  </si>
  <si>
    <t>Onyango  David Midera</t>
  </si>
  <si>
    <t>Nadunga   Meris</t>
  </si>
  <si>
    <t>Kilulu</t>
  </si>
  <si>
    <t>UG-EAS-1208-1564</t>
  </si>
  <si>
    <t>Muloni  Zaituna</t>
  </si>
  <si>
    <t>Namakole</t>
  </si>
  <si>
    <t>UG-EAS-1208-1854</t>
  </si>
  <si>
    <t>Oriokot  Dewitt John</t>
  </si>
  <si>
    <t>Kapelebyong</t>
  </si>
  <si>
    <t>obalanga</t>
  </si>
  <si>
    <t>UG-EAS-1208-2194</t>
  </si>
  <si>
    <t>Kiyaya  John</t>
  </si>
  <si>
    <t>UG-EAS-1208-2230</t>
  </si>
  <si>
    <t>Opedo  Justine John</t>
  </si>
  <si>
    <t>Achilo</t>
  </si>
  <si>
    <t>Client shifted to another location</t>
  </si>
  <si>
    <t>Opio  Samuel</t>
  </si>
  <si>
    <t>Agurur</t>
  </si>
  <si>
    <t>UG-EAS-1208-2275</t>
  </si>
  <si>
    <t>Nabuka  David</t>
  </si>
  <si>
    <t>Aisa Teko</t>
  </si>
  <si>
    <t>UG-EAS-1208-2385</t>
  </si>
  <si>
    <t>Mugati  Issa</t>
  </si>
  <si>
    <t>Bukikoso/Bunakota</t>
  </si>
  <si>
    <t>UG-EAS-1208-3339</t>
  </si>
  <si>
    <t>Erinayo  Kalisa</t>
  </si>
  <si>
    <t>Nakabango</t>
  </si>
  <si>
    <t>UG-EAS-1208-3346</t>
  </si>
  <si>
    <t>Wansimba Patrick John B Primary School</t>
  </si>
  <si>
    <t>Batagaya</t>
  </si>
  <si>
    <t xml:space="preserve">Wansimba </t>
  </si>
  <si>
    <t>Musamali  Lovanance</t>
  </si>
  <si>
    <t>Nasitsapi</t>
  </si>
  <si>
    <t>UG-EAS-1208-3617</t>
  </si>
  <si>
    <t>Okello  George</t>
  </si>
  <si>
    <t>Achilet D</t>
  </si>
  <si>
    <t>UG-EAS-1208-3644</t>
  </si>
  <si>
    <t>Malo  Bornifence</t>
  </si>
  <si>
    <t>Hyuha  Samuel</t>
  </si>
  <si>
    <t>Muhula doho</t>
  </si>
  <si>
    <t>UG-EAS-1208-3666</t>
  </si>
  <si>
    <t>Musuki  Siraji</t>
  </si>
  <si>
    <t>Muhula kagondo</t>
  </si>
  <si>
    <t>Mandu  Wilson</t>
  </si>
  <si>
    <t>Buwagogo</t>
  </si>
  <si>
    <t>Buwanderema</t>
  </si>
  <si>
    <t>UG-EAS-1208-4068</t>
  </si>
  <si>
    <t>Mulwani  Moses</t>
  </si>
  <si>
    <t>Kasasira</t>
  </si>
  <si>
    <t>Moru</t>
  </si>
  <si>
    <t>UG-EAS-1208-4074</t>
  </si>
  <si>
    <t>Nyago  Anthony</t>
  </si>
  <si>
    <t>Nakagwa -nabulanganga</t>
  </si>
  <si>
    <t>Kiyeyi  John</t>
  </si>
  <si>
    <t>Kebeywa</t>
  </si>
  <si>
    <t>Matugutu</t>
  </si>
  <si>
    <t>UG-EAS-1208-4222</t>
  </si>
  <si>
    <t>Mande  Augustine Tuket</t>
  </si>
  <si>
    <t>Western division</t>
  </si>
  <si>
    <t>UG-EAS-1202-4757</t>
  </si>
  <si>
    <t>Obbo Noah</t>
  </si>
  <si>
    <t>Kapchemweny  Joseph</t>
  </si>
  <si>
    <t>Purukoyen</t>
  </si>
  <si>
    <t>UG-EAS-1208-4869</t>
  </si>
  <si>
    <t>Okumu  Keziron Yokoyasi</t>
  </si>
  <si>
    <t>UG-EAS-1208-4890</t>
  </si>
  <si>
    <t>Nambuya  Sauda</t>
  </si>
  <si>
    <t>Siteka</t>
  </si>
  <si>
    <t>UG-EAS-1208-4908</t>
  </si>
  <si>
    <t>Natandula  Israel</t>
  </si>
  <si>
    <t>Nabigingi</t>
  </si>
  <si>
    <t>UG-EAS-1209-1369</t>
  </si>
  <si>
    <t>Mafabi  Deo</t>
  </si>
  <si>
    <t>UG-EAS-1202-4941</t>
  </si>
  <si>
    <t>Opio   Martin John</t>
  </si>
  <si>
    <t>Katandi</t>
  </si>
  <si>
    <t>Sakira  Daniel</t>
  </si>
  <si>
    <t>Bud A</t>
  </si>
  <si>
    <t>UG-EAS-1209-1770</t>
  </si>
  <si>
    <t>Akope  Michael</t>
  </si>
  <si>
    <t>osudio-Aleles</t>
  </si>
  <si>
    <t>UG-EAS-1209-1823</t>
  </si>
  <si>
    <t>Oyata  Sam</t>
  </si>
  <si>
    <t>onyerai</t>
  </si>
  <si>
    <t>Ewidu  Apollo</t>
  </si>
  <si>
    <t>owii</t>
  </si>
  <si>
    <t>Eumu  Silver (Dr)</t>
  </si>
  <si>
    <t>Town council</t>
  </si>
  <si>
    <t>Aduka</t>
  </si>
  <si>
    <t>UG-EAS-1209-2070</t>
  </si>
  <si>
    <t>Erau  Philip</t>
  </si>
  <si>
    <t>Gwei</t>
  </si>
  <si>
    <t>UG-EAS-1209-2168</t>
  </si>
  <si>
    <t>Balidawa  Badru</t>
  </si>
  <si>
    <t>Nakigo</t>
  </si>
  <si>
    <t>Bugabwe</t>
  </si>
  <si>
    <t>UG-EAS-1209-2184</t>
  </si>
  <si>
    <t>Batala John</t>
  </si>
  <si>
    <t>Bugaya zone</t>
  </si>
  <si>
    <t>Dr Ij Batwala</t>
  </si>
  <si>
    <t>Muguluka</t>
  </si>
  <si>
    <t>UG-EAS-1209-2191</t>
  </si>
  <si>
    <t>Otarun John</t>
  </si>
  <si>
    <t>UG-EAS-1203-1355</t>
  </si>
  <si>
    <t>Wahungu  Caleb</t>
  </si>
  <si>
    <t>Napuru</t>
  </si>
  <si>
    <t>UG-EAS-1209-2197</t>
  </si>
  <si>
    <t>Kirya  Geofrey</t>
  </si>
  <si>
    <t>Aseku  Joseph</t>
  </si>
  <si>
    <t>Ngeta B</t>
  </si>
  <si>
    <t>UG-EAS-1203-1668</t>
  </si>
  <si>
    <t>Nanima   Doya Abed</t>
  </si>
  <si>
    <t>UG-EAS-1209-2237</t>
  </si>
  <si>
    <t>David Lyagoba</t>
  </si>
  <si>
    <t>nawangaza</t>
  </si>
  <si>
    <t>Biodigester is not being fed</t>
  </si>
  <si>
    <t>Elayu  Michael</t>
  </si>
  <si>
    <t>omolok B</t>
  </si>
  <si>
    <t>UG-EAS-1209-2270</t>
  </si>
  <si>
    <t>Walubya  Dorothy</t>
  </si>
  <si>
    <t>NAMAGUMBA B</t>
  </si>
  <si>
    <t>UG-EAS-1209-2284</t>
  </si>
  <si>
    <t>Makuma  Francis</t>
  </si>
  <si>
    <t>Namakye</t>
  </si>
  <si>
    <t>Nabude  Afusa</t>
  </si>
  <si>
    <t>UG-EAS-1209-2333</t>
  </si>
  <si>
    <t>Late Mwindu Sliver Sliver</t>
  </si>
  <si>
    <t>UG-EAS-1209-2335</t>
  </si>
  <si>
    <t>Gumigini  John</t>
  </si>
  <si>
    <t>Kills ml 6</t>
  </si>
  <si>
    <t>UG-EAS-1209-2340</t>
  </si>
  <si>
    <t>Wekoya  Henry</t>
  </si>
  <si>
    <t>Bumudu Tc</t>
  </si>
  <si>
    <t>Wamara cell</t>
  </si>
  <si>
    <t>Kitimbo Erieza</t>
  </si>
  <si>
    <t>Butama</t>
  </si>
  <si>
    <t>Nsabagwa Fazir</t>
  </si>
  <si>
    <t>Nabitula</t>
  </si>
  <si>
    <t>UG-EAS-1209-3055</t>
  </si>
  <si>
    <t>Kisakye Ruth</t>
  </si>
  <si>
    <t>Busibe</t>
  </si>
  <si>
    <t>UG-EAS-1209-3657</t>
  </si>
  <si>
    <t>Namulengo  Julius</t>
  </si>
  <si>
    <t>UG-EAS-1203-3325</t>
  </si>
  <si>
    <t>Tibalira  Martin</t>
  </si>
  <si>
    <t>Bugabula North</t>
  </si>
  <si>
    <t>Balawoli</t>
  </si>
  <si>
    <t>Nawantalezi busige zone</t>
  </si>
  <si>
    <t>UG-EAS-1209-4076</t>
  </si>
  <si>
    <t>Wegomba Amos</t>
  </si>
  <si>
    <t>BukomoloK</t>
  </si>
  <si>
    <t>UG-EAS-1209-4115</t>
  </si>
  <si>
    <t>Acam  Anthony</t>
  </si>
  <si>
    <t>Amosingo</t>
  </si>
  <si>
    <t>UG-EAS-1209-4668</t>
  </si>
  <si>
    <t>Norah Bamutaze</t>
  </si>
  <si>
    <t>Namwedwa</t>
  </si>
  <si>
    <t>Mission</t>
  </si>
  <si>
    <t>UG-EAS-1209-4872</t>
  </si>
  <si>
    <t>Okamar  Charles</t>
  </si>
  <si>
    <t>Pabone B</t>
  </si>
  <si>
    <t>UG-EAS-1209-572</t>
  </si>
  <si>
    <t>Moses  Balikowa</t>
  </si>
  <si>
    <t>Kigulu  south</t>
  </si>
  <si>
    <t>Nakiseyi</t>
  </si>
  <si>
    <t>UG-EAS-1209-573</t>
  </si>
  <si>
    <t>Hakimu  Bogere</t>
  </si>
  <si>
    <t>NAKIGo</t>
  </si>
  <si>
    <t>NAKISENYI</t>
  </si>
  <si>
    <t>UG-EAS-1210-00028</t>
  </si>
  <si>
    <t>Nyomera  Mwamini</t>
  </si>
  <si>
    <t>Mugilya  William</t>
  </si>
  <si>
    <t>Nankusi / Busamira</t>
  </si>
  <si>
    <t>Oboth   Charles</t>
  </si>
  <si>
    <t>UG-EAS-1210-1569</t>
  </si>
  <si>
    <t>Balisanyuka  Tabitha</t>
  </si>
  <si>
    <t>Mable municipality</t>
  </si>
  <si>
    <t>Boma Ground</t>
  </si>
  <si>
    <t>UG-EAS-1210-1717</t>
  </si>
  <si>
    <t>Gafa  Nelson</t>
  </si>
  <si>
    <t>Busolwe</t>
  </si>
  <si>
    <t>Mugulu munghumu</t>
  </si>
  <si>
    <t>UG-EAS-1210-1728</t>
  </si>
  <si>
    <t>Goloba  Sauba</t>
  </si>
  <si>
    <t>Bidira</t>
  </si>
  <si>
    <t>UG-EAS-1210-1729</t>
  </si>
  <si>
    <t>Walunyofu  Umaru</t>
  </si>
  <si>
    <t>Kuweit A</t>
  </si>
  <si>
    <t>UG-EAS-1210-1735</t>
  </si>
  <si>
    <t>Wagodo  George</t>
  </si>
  <si>
    <t>Kaiti A</t>
  </si>
  <si>
    <t>UG-EAS-1210-1739</t>
  </si>
  <si>
    <t>Wamuyalo  Aramadhani</t>
  </si>
  <si>
    <t>Sibanga</t>
  </si>
  <si>
    <t>Bumasare</t>
  </si>
  <si>
    <t>UG-EAS-1210-1828</t>
  </si>
  <si>
    <t>Epianu  Francis Enoch</t>
  </si>
  <si>
    <t>odemai</t>
  </si>
  <si>
    <t>UG-EAS-1210-2072</t>
  </si>
  <si>
    <t>Adangan  Magdalene Mary</t>
  </si>
  <si>
    <t>Angaro .A</t>
  </si>
  <si>
    <t>UG-EAS-1210-2083</t>
  </si>
  <si>
    <t>Ekobu  Peter</t>
  </si>
  <si>
    <t>owilai</t>
  </si>
  <si>
    <t>UG-EAS-1210-2164</t>
  </si>
  <si>
    <t>Obado  Dinah</t>
  </si>
  <si>
    <t>Moru aligoi</t>
  </si>
  <si>
    <t>Baligeya Patrick</t>
  </si>
  <si>
    <t>Bukaaya 2Butadiba</t>
  </si>
  <si>
    <t>UG-EAS-1210-2222</t>
  </si>
  <si>
    <t>Bwire  Bosco</t>
  </si>
  <si>
    <t>Wairaka</t>
  </si>
  <si>
    <t>UG-EAS-1210-2267</t>
  </si>
  <si>
    <t>Namugowa  Solomon</t>
  </si>
  <si>
    <t>Mudambo  Mutwalibi</t>
  </si>
  <si>
    <t>Gaba</t>
  </si>
  <si>
    <t>UG-EAS-1204-1983</t>
  </si>
  <si>
    <t>Mudega  Muhamadi</t>
  </si>
  <si>
    <t>Bumyole East</t>
  </si>
  <si>
    <t>Mangali  Issa</t>
  </si>
  <si>
    <t>Kinyoli</t>
  </si>
  <si>
    <t>UG-EAS-1204-1987</t>
  </si>
  <si>
    <t>Naaya   Sam</t>
  </si>
  <si>
    <t>Nampologoma</t>
  </si>
  <si>
    <t>Mbigo  Abasa</t>
  </si>
  <si>
    <t>UG-EAS-1210-2373</t>
  </si>
  <si>
    <t>Nambale   Beth</t>
  </si>
  <si>
    <t>Bunayiri</t>
  </si>
  <si>
    <t>UG-EAS-1210-2651</t>
  </si>
  <si>
    <t>Nabeeta  Chrispus</t>
  </si>
  <si>
    <t>NAMUNGALWE</t>
  </si>
  <si>
    <t>KAWEETE</t>
  </si>
  <si>
    <t>Hasahya  Lukumani</t>
  </si>
  <si>
    <t>Doho hibira A</t>
  </si>
  <si>
    <t>UG-EAS-1204-3642</t>
  </si>
  <si>
    <t>Nabala  Yakobo</t>
  </si>
  <si>
    <t>Kaiti B</t>
  </si>
  <si>
    <t>UG-EAS-1210-3027</t>
  </si>
  <si>
    <t>Proscvia  Manjeri  Waswa</t>
  </si>
  <si>
    <t>UG-EAS-1210-3303</t>
  </si>
  <si>
    <t>Busogas High School</t>
  </si>
  <si>
    <t>Northern division</t>
  </si>
  <si>
    <t>Bukwenge</t>
  </si>
  <si>
    <t>UG-EAS-1210-3608</t>
  </si>
  <si>
    <t>Walyawula  Vicent</t>
  </si>
  <si>
    <t>Bubilami</t>
  </si>
  <si>
    <t>Wokoki  Paul Kitongo Agnes</t>
  </si>
  <si>
    <t>Musoba  Andrew (plant 1)</t>
  </si>
  <si>
    <t>UG-EAS-1210-3669</t>
  </si>
  <si>
    <t>Mubaje  Ayubu</t>
  </si>
  <si>
    <t>Kyikuyu</t>
  </si>
  <si>
    <t>Manana  David</t>
  </si>
  <si>
    <t>Obongut  Wallace</t>
  </si>
  <si>
    <t>Anyalai</t>
  </si>
  <si>
    <t>UG-EAS-1210-4081</t>
  </si>
  <si>
    <t>Okwii  Gaster</t>
  </si>
  <si>
    <t>Nagaiza</t>
  </si>
  <si>
    <t>UG-EAS-1205-1936</t>
  </si>
  <si>
    <t>Francis  Onapito Ekomoloit</t>
  </si>
  <si>
    <t>Ochom  Husein</t>
  </si>
  <si>
    <t>Fungo Grace</t>
  </si>
  <si>
    <t>Namnbi</t>
  </si>
  <si>
    <t>Walumoli  George</t>
  </si>
  <si>
    <t>Bunamono</t>
  </si>
  <si>
    <t>UG-EAS-1210-4871</t>
  </si>
  <si>
    <t>Ragang  Samuel</t>
  </si>
  <si>
    <t>Nyamulinde B</t>
  </si>
  <si>
    <t>UG-EAS-1210-4889</t>
  </si>
  <si>
    <t>Nasambi  Michael</t>
  </si>
  <si>
    <t>Tengeyi</t>
  </si>
  <si>
    <t>UG-EAS-1210-4891</t>
  </si>
  <si>
    <t>Murunga  Nimrod</t>
  </si>
  <si>
    <t>UG-EAS-1210-4892</t>
  </si>
  <si>
    <t>Nasimwe  Rose</t>
  </si>
  <si>
    <t>Kiwatsala</t>
  </si>
  <si>
    <t>Omondi  Athur</t>
  </si>
  <si>
    <t>Bison maguria B</t>
  </si>
  <si>
    <t>UG-EAS-1210-4896</t>
  </si>
  <si>
    <t>Wangota  Michael Frank</t>
  </si>
  <si>
    <t>Buwangota</t>
  </si>
  <si>
    <t>UG-EAS-1210-4906</t>
  </si>
  <si>
    <t>Khainza  Jenipher</t>
  </si>
  <si>
    <t>Namimbo</t>
  </si>
  <si>
    <t>UG-EAS-1210-4911</t>
  </si>
  <si>
    <t>Musila  John</t>
  </si>
  <si>
    <t>Namwenula</t>
  </si>
  <si>
    <t>UG-EAS-1210-4950</t>
  </si>
  <si>
    <t>Wamukota  George</t>
  </si>
  <si>
    <t>UG-EAS-1211-00022</t>
  </si>
  <si>
    <t>Ochai  Paul John</t>
  </si>
  <si>
    <t>Achilet</t>
  </si>
  <si>
    <t>UG-EAS-1211-02244</t>
  </si>
  <si>
    <t>Margaret Kazungu</t>
  </si>
  <si>
    <t>Keki  J J</t>
  </si>
  <si>
    <t>UG-EAS-1211-1450</t>
  </si>
  <si>
    <t>Wanade  Fatina</t>
  </si>
  <si>
    <t>Makudui</t>
  </si>
  <si>
    <t>Walusansa  Kamadi</t>
  </si>
  <si>
    <t>Wadulo  Deo</t>
  </si>
  <si>
    <t>Nachebisho</t>
  </si>
  <si>
    <t>Plant need to be repaired</t>
  </si>
  <si>
    <t>Banan  Margaret</t>
  </si>
  <si>
    <t>Kapsirma</t>
  </si>
  <si>
    <t>Mugoya  Fazal</t>
  </si>
  <si>
    <t xml:space="preserve">Namanyonyi </t>
  </si>
  <si>
    <t>Nkoma</t>
  </si>
  <si>
    <t>Namanyonyi c B</t>
  </si>
  <si>
    <t>UG-EAS-1211-1515</t>
  </si>
  <si>
    <t>Munga  Frida</t>
  </si>
  <si>
    <t>Musisi  Rose</t>
  </si>
  <si>
    <t>UG-EAS-1211-1654</t>
  </si>
  <si>
    <t>Okello  Roman</t>
  </si>
  <si>
    <t>Sugida</t>
  </si>
  <si>
    <t>UG-EAS-1211-2063</t>
  </si>
  <si>
    <t>Alomu  Francis</t>
  </si>
  <si>
    <t>Ilemukorit  Steven</t>
  </si>
  <si>
    <t>Ajokopir</t>
  </si>
  <si>
    <t>UG-EAS-1211-2131</t>
  </si>
  <si>
    <t>Abaal  Alex</t>
  </si>
  <si>
    <t>Adekis</t>
  </si>
  <si>
    <t>UG-EAS-1206-1769</t>
  </si>
  <si>
    <t>Okwaput  Peter Simon</t>
  </si>
  <si>
    <t>osudio</t>
  </si>
  <si>
    <t>UG-EAS-1211-2218</t>
  </si>
  <si>
    <t>Isukuru  Aurut J</t>
  </si>
  <si>
    <t>Ajeluk</t>
  </si>
  <si>
    <t>UG-EAS-1211-2263</t>
  </si>
  <si>
    <t>Musira  Peter</t>
  </si>
  <si>
    <t>UG-EAS-1206-1852</t>
  </si>
  <si>
    <t>Odeke  William</t>
  </si>
  <si>
    <t>Alwenya</t>
  </si>
  <si>
    <t>UG-EAS-1211-2271</t>
  </si>
  <si>
    <t>Nabuka  Getrude</t>
  </si>
  <si>
    <t>NAMAGUMBA N</t>
  </si>
  <si>
    <t>UG-EAS-1211-2296</t>
  </si>
  <si>
    <t>Wakhata  Simon Wekapi</t>
  </si>
  <si>
    <t>Mangiya</t>
  </si>
  <si>
    <t>Tsutsu</t>
  </si>
  <si>
    <t>UG-EAS-1211-2297</t>
  </si>
  <si>
    <t>Bwaya  Lawrence</t>
  </si>
  <si>
    <t>Nashimusi</t>
  </si>
  <si>
    <t>Wabwire  Fred</t>
  </si>
  <si>
    <t>Bunyili Lower</t>
  </si>
  <si>
    <t>Mulepi  Geofrey</t>
  </si>
  <si>
    <t>Bukari</t>
  </si>
  <si>
    <t>UG-EAS-1206-1985</t>
  </si>
  <si>
    <t>Incomplete plant, client relocated to another place</t>
  </si>
  <si>
    <t>Mudaki  Fazali</t>
  </si>
  <si>
    <t xml:space="preserve">Bunyole </t>
  </si>
  <si>
    <t>Nantalu</t>
  </si>
  <si>
    <t>UG-EAS-1211-2377</t>
  </si>
  <si>
    <t>Kimwera  Justine</t>
  </si>
  <si>
    <t>Bunanimi lower</t>
  </si>
  <si>
    <t>Nambuya  Agatha</t>
  </si>
  <si>
    <t>Bumakila</t>
  </si>
  <si>
    <t>UG-EAS-1206-2228</t>
  </si>
  <si>
    <t>Emagu Joseph</t>
  </si>
  <si>
    <t>Dr Oweikanga James Kuunya</t>
  </si>
  <si>
    <t>Nawanyago Block c</t>
  </si>
  <si>
    <t>UG-EAS-1211-3646</t>
  </si>
  <si>
    <t>Gangwengwe  Paulo</t>
  </si>
  <si>
    <t>Highland B</t>
  </si>
  <si>
    <t>Muyobo  David</t>
  </si>
  <si>
    <t>UG-EAS-1211-4828</t>
  </si>
  <si>
    <t>Wakweika  Jackson</t>
  </si>
  <si>
    <t>Bukhaleke</t>
  </si>
  <si>
    <t>Wepukhulu  Josiah</t>
  </si>
  <si>
    <t>Kongoli</t>
  </si>
  <si>
    <t>UG-EAS-1211-4877</t>
  </si>
  <si>
    <t>Khayeki  Oliver</t>
  </si>
  <si>
    <t>Muluba</t>
  </si>
  <si>
    <t>UG-EAS-1211-4886</t>
  </si>
  <si>
    <t>Mukhwana  Peter</t>
  </si>
  <si>
    <t>Sikulu</t>
  </si>
  <si>
    <t>UG-EAS-1211-4888</t>
  </si>
  <si>
    <t>Makutusi  Eriazali Canon</t>
  </si>
  <si>
    <t>UG-EAS-1211-4905</t>
  </si>
  <si>
    <t>Wepukhulu  John</t>
  </si>
  <si>
    <t>Bumula</t>
  </si>
  <si>
    <t>UG-EAS-1211-4927</t>
  </si>
  <si>
    <t>Hyuha  Dauson</t>
  </si>
  <si>
    <t>Namasole</t>
  </si>
  <si>
    <t>UG-EAS-1212-00008</t>
  </si>
  <si>
    <t>Muloin  Jane</t>
  </si>
  <si>
    <t>Chemoges  Patrick</t>
  </si>
  <si>
    <t>UG-EAS-1212-02328</t>
  </si>
  <si>
    <t>Mwambu Christopher</t>
  </si>
  <si>
    <t>Kinyole</t>
  </si>
  <si>
    <t>Isabirye William</t>
  </si>
  <si>
    <t>Bulindi</t>
  </si>
  <si>
    <t>Mukoli  Hasifa</t>
  </si>
  <si>
    <t>Nagwere  Hamuza</t>
  </si>
  <si>
    <t>Nankusi</t>
  </si>
  <si>
    <t>Wamwangu  Rev Jethro</t>
  </si>
  <si>
    <t>Natesho  Beatrice</t>
  </si>
  <si>
    <t>Namagumba Upper</t>
  </si>
  <si>
    <t>Ofwono   Desterio Padde</t>
  </si>
  <si>
    <t>UG-EAS-1212-1589</t>
  </si>
  <si>
    <t>Ochari  Moses Kasero</t>
  </si>
  <si>
    <t>UG-EAS-1212-1594</t>
  </si>
  <si>
    <t>Ouya  Asaph</t>
  </si>
  <si>
    <t>Otako  Antanus</t>
  </si>
  <si>
    <t>UG-EAS-1212-1597</t>
  </si>
  <si>
    <t>Okoth  Borniventure</t>
  </si>
  <si>
    <t>Biranga</t>
  </si>
  <si>
    <t>UG-EAS-1212-1602</t>
  </si>
  <si>
    <t>Oketch  Paul</t>
  </si>
  <si>
    <t>Nawire central</t>
  </si>
  <si>
    <t>UG-EAS-1212-1620</t>
  </si>
  <si>
    <t>Ofwono   George</t>
  </si>
  <si>
    <t>Akoli</t>
  </si>
  <si>
    <t>UG-EAS-1212-1657</t>
  </si>
  <si>
    <t>Olowo  Conard</t>
  </si>
  <si>
    <t>Nyawimbi</t>
  </si>
  <si>
    <t>UG-EAS-1212-2360</t>
  </si>
  <si>
    <t>Anyole  Anony</t>
  </si>
  <si>
    <t>Industrial Div</t>
  </si>
  <si>
    <t>Nyanza call</t>
  </si>
  <si>
    <t>UG-EAS-1212-2375</t>
  </si>
  <si>
    <t>Sylivia  Geofrey Magogo</t>
  </si>
  <si>
    <t>Budhilibo</t>
  </si>
  <si>
    <t>Bunanyami Lower</t>
  </si>
  <si>
    <t>UG-EAS-1212-2378</t>
  </si>
  <si>
    <t>Wanasolo  Augustus</t>
  </si>
  <si>
    <t>Budhililobo</t>
  </si>
  <si>
    <t>Buwuma</t>
  </si>
  <si>
    <t>Mugoowa Charles</t>
  </si>
  <si>
    <t>kamuli Town council</t>
  </si>
  <si>
    <t>Bunangwe</t>
  </si>
  <si>
    <t>UG-EAS-1212-3172</t>
  </si>
  <si>
    <t>Tigawalana John</t>
  </si>
  <si>
    <t>Nalimawa</t>
  </si>
  <si>
    <t>Okoth  Dauson Olaka</t>
  </si>
  <si>
    <t>UG-EAS-1212-3643</t>
  </si>
  <si>
    <t>Kwiri  Antoniyo</t>
  </si>
  <si>
    <t>Nahamia</t>
  </si>
  <si>
    <t xml:space="preserve">Khakhosi Robert </t>
  </si>
  <si>
    <t>Nabugoya B</t>
  </si>
  <si>
    <t>Wakama  Stephen</t>
  </si>
  <si>
    <t>Wesswa</t>
  </si>
  <si>
    <t>Bunamuwenje Central</t>
  </si>
  <si>
    <t>UG-EAS-1212-41451</t>
  </si>
  <si>
    <t>Sakwa  Sam</t>
  </si>
  <si>
    <t>Bumasikye</t>
  </si>
  <si>
    <t>UG-EAS-1212-4150</t>
  </si>
  <si>
    <t>Malikisi  Peter</t>
  </si>
  <si>
    <t>Sirra</t>
  </si>
  <si>
    <t>UG-EAS-1212-4202</t>
  </si>
  <si>
    <t>Nanjera  Misach</t>
  </si>
  <si>
    <t>Sugutta</t>
  </si>
  <si>
    <t>UG-EAS-1212-4206</t>
  </si>
  <si>
    <t>Gidudu  Sarah</t>
  </si>
  <si>
    <t>Store Trading centre</t>
  </si>
  <si>
    <t>Isanga Joseph</t>
  </si>
  <si>
    <t>Bulongo</t>
  </si>
  <si>
    <t>UG-EAS-1212-4224</t>
  </si>
  <si>
    <t>Cherotwo  James</t>
  </si>
  <si>
    <t>Kewarwong</t>
  </si>
  <si>
    <t>UG-EAS-1212-4827</t>
  </si>
  <si>
    <t>Masafu  Michael Sali</t>
  </si>
  <si>
    <t>Bumangasa</t>
  </si>
  <si>
    <t>UG-EAS-1212-4829</t>
  </si>
  <si>
    <t>Mutuuba  John</t>
  </si>
  <si>
    <t>Namashuwu</t>
  </si>
  <si>
    <t>UG-EAS-1212-4839</t>
  </si>
  <si>
    <t>Katami  Batumayo Tabu</t>
  </si>
  <si>
    <t>Busubende</t>
  </si>
  <si>
    <t>Nangwe</t>
  </si>
  <si>
    <t>UG-EAS-1212-4893</t>
  </si>
  <si>
    <t>Bwayo   Samuel</t>
  </si>
  <si>
    <t>UG-EAS-1212-4904</t>
  </si>
  <si>
    <t>Wabuya  Peter Mayeku</t>
  </si>
  <si>
    <t>UG-EAS-1212-4944</t>
  </si>
  <si>
    <t>Sila  Fred Mumia</t>
  </si>
  <si>
    <t>Nabikilu</t>
  </si>
  <si>
    <t>UG-EAS-1212-576</t>
  </si>
  <si>
    <t>Kazibwe  Micheal</t>
  </si>
  <si>
    <t>BUSEDE</t>
  </si>
  <si>
    <t>NAMAZALA</t>
  </si>
  <si>
    <t>Ngoloba   Irine Silver</t>
  </si>
  <si>
    <t>Kanikwa</t>
  </si>
  <si>
    <t>UG-EAS-1301-1546</t>
  </si>
  <si>
    <t>Wairaho  Sarah</t>
  </si>
  <si>
    <t>039943038</t>
  </si>
  <si>
    <t>Kifuluriro</t>
  </si>
  <si>
    <t>Waniale  Christopher</t>
  </si>
  <si>
    <t>UG-EAS-1301-1621</t>
  </si>
  <si>
    <t>Oketcho  Silverio Jarawi</t>
  </si>
  <si>
    <t>Abar</t>
  </si>
  <si>
    <t>Lwanga  Charles</t>
  </si>
  <si>
    <t>Tindo</t>
  </si>
  <si>
    <t>Oboth  Specioza</t>
  </si>
  <si>
    <t>Iyomia</t>
  </si>
  <si>
    <t>UG-EAS-1301-1655</t>
  </si>
  <si>
    <t>Omiel  Follorentus</t>
  </si>
  <si>
    <t>UG-EAS-1301-1740</t>
  </si>
  <si>
    <t>Nalyongo  Pascal Watiti</t>
  </si>
  <si>
    <t>Nabitawa 11</t>
  </si>
  <si>
    <t>UG-EAS-1301-1741</t>
  </si>
  <si>
    <t>Wabule  Maureen</t>
  </si>
  <si>
    <t>Busamari 1</t>
  </si>
  <si>
    <t>UG-EAS-1301-1853</t>
  </si>
  <si>
    <t>Omuge  Charles</t>
  </si>
  <si>
    <t>obedo</t>
  </si>
  <si>
    <t>Watika   Peter</t>
  </si>
  <si>
    <t>Shilongo</t>
  </si>
  <si>
    <t>UG-EAS-1301-2370</t>
  </si>
  <si>
    <t>Muliro Rose</t>
  </si>
  <si>
    <t>Biduda TC</t>
  </si>
  <si>
    <t>Bushinyikwa upper</t>
  </si>
  <si>
    <t>UG-EAS-1301-2372</t>
  </si>
  <si>
    <t>Mulongo  Robert</t>
  </si>
  <si>
    <t>Bumangoya</t>
  </si>
  <si>
    <t>UG-EAS-1301-2398</t>
  </si>
  <si>
    <t>Waniel   Ben</t>
  </si>
  <si>
    <t>Kitata upper</t>
  </si>
  <si>
    <t>Gubutayi  Wilson</t>
  </si>
  <si>
    <t>Buyaga F</t>
  </si>
  <si>
    <t>UG-EAS-1301-4039</t>
  </si>
  <si>
    <t>Ndoboli  Ezra</t>
  </si>
  <si>
    <t>Kakutu</t>
  </si>
  <si>
    <t>Basalirwe  Charles</t>
  </si>
  <si>
    <t>Bundodo</t>
  </si>
  <si>
    <t>Namalemba</t>
  </si>
  <si>
    <t>UG-EAS-1301-4057</t>
  </si>
  <si>
    <t>Otai  Joseph Olupot</t>
  </si>
  <si>
    <t>Apetet</t>
  </si>
  <si>
    <t>UG-EAS-1301-4833</t>
  </si>
  <si>
    <t>Simiyu  John</t>
  </si>
  <si>
    <t>Nambewo</t>
  </si>
  <si>
    <t>UG-EAS-1301-4838</t>
  </si>
  <si>
    <t>Maumo  John Soita</t>
  </si>
  <si>
    <t>Namunyu</t>
  </si>
  <si>
    <t>UG-EAS-1302-1368</t>
  </si>
  <si>
    <t>Sekajja  Apollo</t>
  </si>
  <si>
    <t>UG-EAS-1302-1557</t>
  </si>
  <si>
    <t>Okachi   Godfrey</t>
  </si>
  <si>
    <t>Mawele</t>
  </si>
  <si>
    <t>Nambale  Amisi</t>
  </si>
  <si>
    <t>UG-EAS-1302-1716</t>
  </si>
  <si>
    <t>Hasahya  John</t>
  </si>
  <si>
    <t>Mugulu Bunghumu</t>
  </si>
  <si>
    <t>UG-EAS-1302-1727</t>
  </si>
  <si>
    <t>Guloba  Minisa</t>
  </si>
  <si>
    <t>Busangisa</t>
  </si>
  <si>
    <t>UG-EAS-1302-1762</t>
  </si>
  <si>
    <t>Ecumu  Deo</t>
  </si>
  <si>
    <t>Ameca</t>
  </si>
  <si>
    <t>UG-EAS-1302-1825</t>
  </si>
  <si>
    <t>Alianu  Samuel</t>
  </si>
  <si>
    <t>Atiira</t>
  </si>
  <si>
    <t>omoratok</t>
  </si>
  <si>
    <t>UG-EAS-1302-1847</t>
  </si>
  <si>
    <t>Robert Aubwa</t>
  </si>
  <si>
    <t>Buganza bubabwe zone</t>
  </si>
  <si>
    <t>UG-EAS-1302-1974</t>
  </si>
  <si>
    <t>Dungu  Kamu</t>
  </si>
  <si>
    <t>Mukwano</t>
  </si>
  <si>
    <t>Mrs Orena  Magdalene</t>
  </si>
  <si>
    <t>Amen B</t>
  </si>
  <si>
    <t>UG-EAS-1302-2081</t>
  </si>
  <si>
    <t>Elemu  Denis Obula</t>
  </si>
  <si>
    <t>owolo</t>
  </si>
  <si>
    <t>UG-EAS-1302-2204</t>
  </si>
  <si>
    <t>Orokode Joe Joseph</t>
  </si>
  <si>
    <t>Aduli</t>
  </si>
  <si>
    <t>UG-EAS-1302-2231</t>
  </si>
  <si>
    <t>Okurut  Micheal</t>
  </si>
  <si>
    <t>Ariet</t>
  </si>
  <si>
    <t>UG-EAS-1302-2361</t>
  </si>
  <si>
    <t>Jsabirye  Christopher</t>
  </si>
  <si>
    <t>Busiiki</t>
  </si>
  <si>
    <t>Kasedhere</t>
  </si>
  <si>
    <t>UG-EAS-1302-2747</t>
  </si>
  <si>
    <t>Musene  Gozani</t>
  </si>
  <si>
    <t>Bulange</t>
  </si>
  <si>
    <t>Bogobi</t>
  </si>
  <si>
    <t>UG-EAS-1302-3054</t>
  </si>
  <si>
    <t>Salimu  Muhammed</t>
  </si>
  <si>
    <t>Bundondo</t>
  </si>
  <si>
    <t>UG-EAS-1302-3066</t>
  </si>
  <si>
    <t>Sarah  Bidaga</t>
  </si>
  <si>
    <t>Bugobi</t>
  </si>
  <si>
    <t>UG-EAS-1302-3072</t>
  </si>
  <si>
    <t>Sabakaki  N  P John</t>
  </si>
  <si>
    <t>Nakanyonyi</t>
  </si>
  <si>
    <t>UG-EAS-1302-3240</t>
  </si>
  <si>
    <t>Balita Thomas Wiabi</t>
  </si>
  <si>
    <t>Bunyagwe</t>
  </si>
  <si>
    <t>UG-EAS-1302-4204</t>
  </si>
  <si>
    <t>Wasukira  Francis</t>
  </si>
  <si>
    <t>store trading</t>
  </si>
  <si>
    <t>UG-EAS-1302-4230</t>
  </si>
  <si>
    <t>Rotich  Mathew</t>
  </si>
  <si>
    <t>Chesower</t>
  </si>
  <si>
    <t>Kapchyos</t>
  </si>
  <si>
    <t>UG-EAS-1302-4244</t>
  </si>
  <si>
    <t>Wusha  Asanasiyo</t>
  </si>
  <si>
    <t>Kapsirikwo</t>
  </si>
  <si>
    <t>UG-EAS-1302-4312</t>
  </si>
  <si>
    <t>Dhatemwe  Mutwalibi</t>
  </si>
  <si>
    <t>UG-EAS-1302-4594</t>
  </si>
  <si>
    <t>Namuyonjo  David</t>
  </si>
  <si>
    <t>Butagaya</t>
  </si>
  <si>
    <t>Namagera</t>
  </si>
  <si>
    <t>UG-EAS-1302-4765</t>
  </si>
  <si>
    <t>Mabonga  Sam Tata</t>
  </si>
  <si>
    <t>UG-EAS-1302-4771</t>
  </si>
  <si>
    <t>Wayabira  Bena</t>
  </si>
  <si>
    <t>UG-EAS-1302-4774</t>
  </si>
  <si>
    <t>Bwoya  Perez</t>
  </si>
  <si>
    <t>UG-EAS-1302-4785</t>
  </si>
  <si>
    <t>Wasike  Abison</t>
  </si>
  <si>
    <t>UG-EAS-1302-4819</t>
  </si>
  <si>
    <t>Salama  Farm Fish</t>
  </si>
  <si>
    <t>Samia Bugwe north</t>
  </si>
  <si>
    <t>Buteba</t>
  </si>
  <si>
    <t>okame Amagoro</t>
  </si>
  <si>
    <t>UG-EAS-1302-4897</t>
  </si>
  <si>
    <t>Wangota  John</t>
  </si>
  <si>
    <t>UG-EAS-1302-4898</t>
  </si>
  <si>
    <t>Malomo  Esther</t>
  </si>
  <si>
    <t>Bilaah</t>
  </si>
  <si>
    <t>UG-EAS-1302-4899</t>
  </si>
  <si>
    <t>Walukhuli  Francis Apollo</t>
  </si>
  <si>
    <t>UG-EAS-1302-4900</t>
  </si>
  <si>
    <t>Walukhuli  George</t>
  </si>
  <si>
    <t>UG-EAS-1302-4902</t>
  </si>
  <si>
    <t>Buteme / Died  Alice</t>
  </si>
  <si>
    <t>Buwalukhuli</t>
  </si>
  <si>
    <t>UG-EAS-1302-4903</t>
  </si>
  <si>
    <t>Namwano   Kitumbes</t>
  </si>
  <si>
    <t>Lwakoko</t>
  </si>
  <si>
    <t>UG-EAS-1302-4946</t>
  </si>
  <si>
    <t>Simwende  Andrew</t>
  </si>
  <si>
    <t>Buwebele</t>
  </si>
  <si>
    <t>UG-EAS-1302-577</t>
  </si>
  <si>
    <t>Kanene  Patrick William</t>
  </si>
  <si>
    <t>Irongo</t>
  </si>
  <si>
    <t>UG-EAS-1302-595</t>
  </si>
  <si>
    <t>Bohereku  Fred</t>
  </si>
  <si>
    <t>KIYUGA</t>
  </si>
  <si>
    <t>UG-EAS-1302-597</t>
  </si>
  <si>
    <t>Florence  Odds</t>
  </si>
  <si>
    <t>KAGoMA</t>
  </si>
  <si>
    <t>BUDoNDo</t>
  </si>
  <si>
    <t>BUYALA .A</t>
  </si>
  <si>
    <t>UG-EAS-1303-1777</t>
  </si>
  <si>
    <t>Ojula Charles</t>
  </si>
  <si>
    <t>Adidit</t>
  </si>
  <si>
    <t>Ocura  Boniface</t>
  </si>
  <si>
    <t>Wapatiti  Abasi</t>
  </si>
  <si>
    <t>UG-EAS-1303-1917</t>
  </si>
  <si>
    <t>Ejoku  Leornard</t>
  </si>
  <si>
    <t>Rev Bwayo  George</t>
  </si>
  <si>
    <t>Town board</t>
  </si>
  <si>
    <t>UG-EAS-1303-2055</t>
  </si>
  <si>
    <t>Opesen  Tadeo</t>
  </si>
  <si>
    <t>Cell.F</t>
  </si>
  <si>
    <t>UG-EAS-1303-2123</t>
  </si>
  <si>
    <t>Wanai  Joshua</t>
  </si>
  <si>
    <t>Nyakoi</t>
  </si>
  <si>
    <t>Opio  Bosco John</t>
  </si>
  <si>
    <t>ojeruna</t>
  </si>
  <si>
    <t>UG-EAS-1303-3298</t>
  </si>
  <si>
    <t>Enyaru  Raymond</t>
  </si>
  <si>
    <t>Kaberamaido</t>
  </si>
  <si>
    <t>ochero</t>
  </si>
  <si>
    <t>Awimon</t>
  </si>
  <si>
    <t>UG-EAS-1303-3655</t>
  </si>
  <si>
    <t>Wanyama  Margaret</t>
  </si>
  <si>
    <t>Buswale</t>
  </si>
  <si>
    <t>Nalwigi</t>
  </si>
  <si>
    <t>UG-EAS-1303-4056</t>
  </si>
  <si>
    <t>Ejajuwai  William</t>
  </si>
  <si>
    <t>opadoi central</t>
  </si>
  <si>
    <t>UG-EAS-1303-4084</t>
  </si>
  <si>
    <t>Wajire  Peter (School 2)</t>
  </si>
  <si>
    <t>Kadama</t>
  </si>
  <si>
    <t>Imuyat  Vicent</t>
  </si>
  <si>
    <t>Mwagale   Michael</t>
  </si>
  <si>
    <t>Bungokho mutoto</t>
  </si>
  <si>
    <t>Mukhubu</t>
  </si>
  <si>
    <t>UG-EAS-1303-4123</t>
  </si>
  <si>
    <t>Odeke  Grace Anna</t>
  </si>
  <si>
    <t>Akirir</t>
  </si>
  <si>
    <t>Kundu  Francis</t>
  </si>
  <si>
    <t>Samia Bugwe North</t>
  </si>
  <si>
    <t>omanye</t>
  </si>
  <si>
    <t>UG-EAS-1210-4912</t>
  </si>
  <si>
    <t>Nasaba  Fred Wekalawo</t>
  </si>
  <si>
    <t>UG-EAS-1303-4835</t>
  </si>
  <si>
    <t>Sitelu  Charles</t>
  </si>
  <si>
    <t>Bukisasati</t>
  </si>
  <si>
    <t>Mugerwa  Musa</t>
  </si>
  <si>
    <t>UG-EAS-1304-1757</t>
  </si>
  <si>
    <t>Aleper Moses Andrew</t>
  </si>
  <si>
    <t>Acanga</t>
  </si>
  <si>
    <t>UG-EAS-1304-1776</t>
  </si>
  <si>
    <t>Akileng  David</t>
  </si>
  <si>
    <t>UG-EAS-1304-2067</t>
  </si>
  <si>
    <t>Aloikin  Martin</t>
  </si>
  <si>
    <t>Dokolo</t>
  </si>
  <si>
    <t>UG-EAS-1304-2121</t>
  </si>
  <si>
    <t>Akol  Margrate</t>
  </si>
  <si>
    <t>Ceele</t>
  </si>
  <si>
    <t>UG-EAS-1304-2135</t>
  </si>
  <si>
    <t>Omeri  Joseph</t>
  </si>
  <si>
    <t>Kacaboi</t>
  </si>
  <si>
    <t>Arikodia  David</t>
  </si>
  <si>
    <t>Kanapa</t>
  </si>
  <si>
    <t>UG-EAS-1304-2198</t>
  </si>
  <si>
    <t>Naikesa  Janet</t>
  </si>
  <si>
    <t>Bukunama</t>
  </si>
  <si>
    <t>Amulala Fustino</t>
  </si>
  <si>
    <t>Putu puti</t>
  </si>
  <si>
    <t>UG-EAS-1304-2232</t>
  </si>
  <si>
    <t>Irwata Zachariah</t>
  </si>
  <si>
    <t>okorom</t>
  </si>
  <si>
    <t>UG-EAS-1304-2253</t>
  </si>
  <si>
    <t>Muzai  Florence</t>
  </si>
  <si>
    <t>Wakoto  John</t>
  </si>
  <si>
    <t>West in</t>
  </si>
  <si>
    <t>Dr David Kazungu</t>
  </si>
  <si>
    <t>UG-EAS-1304-4082</t>
  </si>
  <si>
    <t>Kasacha  Muhamed Abudala</t>
  </si>
  <si>
    <t>Buyerya</t>
  </si>
  <si>
    <t>UG-EAS-1304-4861</t>
  </si>
  <si>
    <t>Mulokwa  Robert</t>
  </si>
  <si>
    <t>UG-EAS-1304-4914</t>
  </si>
  <si>
    <t>Malikisi  Martin Joseph</t>
  </si>
  <si>
    <t>Makhola</t>
  </si>
  <si>
    <t>Musonyi  David</t>
  </si>
  <si>
    <t>Wakwaba Upper</t>
  </si>
  <si>
    <t>Nabukwasi  Beatrice</t>
  </si>
  <si>
    <t>UG-EAS-1305-1531</t>
  </si>
  <si>
    <t>Manyali  Abudu</t>
  </si>
  <si>
    <t>UG-EAS-1305-1537</t>
  </si>
  <si>
    <t>Wanale  Michael</t>
  </si>
  <si>
    <t>Lustehe</t>
  </si>
  <si>
    <t>Bunamee</t>
  </si>
  <si>
    <t>Tumwa  Silver</t>
  </si>
  <si>
    <t>Mayenze</t>
  </si>
  <si>
    <t>Watenga  Moses</t>
  </si>
  <si>
    <t>Wakwaba</t>
  </si>
  <si>
    <t>UG-EAS-1305-1720</t>
  </si>
  <si>
    <t>Hasahya  Paul</t>
  </si>
  <si>
    <t>Bunghumu Central</t>
  </si>
  <si>
    <t>Otala  Samson</t>
  </si>
  <si>
    <t>opucet</t>
  </si>
  <si>
    <t>UG-EAS-1305-2104</t>
  </si>
  <si>
    <t>Okoboi  Micheal John</t>
  </si>
  <si>
    <t>Aterai</t>
  </si>
  <si>
    <t>UG-EAS-1305-2109</t>
  </si>
  <si>
    <t>Ajee  Margret Ogugu</t>
  </si>
  <si>
    <t>Kelim cell</t>
  </si>
  <si>
    <t>UG-EAS-1305-2110</t>
  </si>
  <si>
    <t>Ogwang  David</t>
  </si>
  <si>
    <t>Kakerkwam</t>
  </si>
  <si>
    <t>UG-EAS-1305-2119</t>
  </si>
  <si>
    <t>Esugut Dan</t>
  </si>
  <si>
    <t>Kocopo</t>
  </si>
  <si>
    <t>UG-EAS-1305-2233</t>
  </si>
  <si>
    <t>Ongodia  Peter</t>
  </si>
  <si>
    <t>Muyonga  Samuel W</t>
  </si>
  <si>
    <t>Bulucheke</t>
  </si>
  <si>
    <t>Nabukara</t>
  </si>
  <si>
    <t>UG-EAS-1305-2354</t>
  </si>
  <si>
    <t>Nagumba  Jacob Thomas</t>
  </si>
  <si>
    <t>Lwabusano</t>
  </si>
  <si>
    <t>UG-EAS-1305-2371</t>
  </si>
  <si>
    <t>Khabusi  Yefisa</t>
  </si>
  <si>
    <t>Wanyakala  Peter</t>
  </si>
  <si>
    <t>Namboko</t>
  </si>
  <si>
    <t>Nabitsikhi T.C</t>
  </si>
  <si>
    <t>UG-EAS-1305-3661</t>
  </si>
  <si>
    <t>Kamuli  Isaac</t>
  </si>
  <si>
    <t>UG-EAS-1305-4022</t>
  </si>
  <si>
    <t>Mweru  William</t>
  </si>
  <si>
    <t>Nangaiza</t>
  </si>
  <si>
    <t>UG-EAS-1305-4031</t>
  </si>
  <si>
    <t>Mugugwa Gideon</t>
  </si>
  <si>
    <t>Kamolokini</t>
  </si>
  <si>
    <t>UG-EAS-1305-4032</t>
  </si>
  <si>
    <t>Mubala  Esther</t>
  </si>
  <si>
    <t>Nankokoli</t>
  </si>
  <si>
    <t>UG-EAS-1305-4054</t>
  </si>
  <si>
    <t>Onoria  Thomas</t>
  </si>
  <si>
    <t>Kateki</t>
  </si>
  <si>
    <t>UG-EAS-1305-4090</t>
  </si>
  <si>
    <t>Tagoya  Samson</t>
  </si>
  <si>
    <t>Bumiiza</t>
  </si>
  <si>
    <t>Kanyolo</t>
  </si>
  <si>
    <t>Neumbe  Betty</t>
  </si>
  <si>
    <t>UG-EAS-1305-4225</t>
  </si>
  <si>
    <t>Ayeko  Nicholas</t>
  </si>
  <si>
    <t>UG-EAS-1305-4788</t>
  </si>
  <si>
    <t>Lumako Peter</t>
  </si>
  <si>
    <t>Buwangani TC</t>
  </si>
  <si>
    <t>Shikhongo</t>
  </si>
  <si>
    <t>Nabukwasi  Florence</t>
  </si>
  <si>
    <t>Namaleya</t>
  </si>
  <si>
    <t>UG-EAS-1305-4813</t>
  </si>
  <si>
    <t>Odwori  Fred</t>
  </si>
  <si>
    <t>Buhehe</t>
  </si>
  <si>
    <t>Mauko</t>
  </si>
  <si>
    <t>Onyango  William</t>
  </si>
  <si>
    <t>Acom  Immaculate None</t>
  </si>
  <si>
    <t>odudui</t>
  </si>
  <si>
    <t>UG-EAS-1305-4849</t>
  </si>
  <si>
    <t>Benedictine  Nuns</t>
  </si>
  <si>
    <t>Nyangole</t>
  </si>
  <si>
    <t>UG-EAS-1305-4862</t>
  </si>
  <si>
    <t>Khaukha  Edrisa</t>
  </si>
  <si>
    <t>Bukhoma</t>
  </si>
  <si>
    <t>UG-EAS-1306-1354</t>
  </si>
  <si>
    <t>Mukite  Janet</t>
  </si>
  <si>
    <t>Namungongo</t>
  </si>
  <si>
    <t>Wadero   Ketty</t>
  </si>
  <si>
    <t>UG-EAS-1306-1535</t>
  </si>
  <si>
    <t>Osinde  Ernest Odwes</t>
  </si>
  <si>
    <t>Agururu A1</t>
  </si>
  <si>
    <t>UG-EAS-1306-1751</t>
  </si>
  <si>
    <t>Julius  Ochero</t>
  </si>
  <si>
    <t>Pamba cell</t>
  </si>
  <si>
    <t>UG-EAS-1306-1755</t>
  </si>
  <si>
    <t>Ouca  Peter James</t>
  </si>
  <si>
    <t>Igola</t>
  </si>
  <si>
    <t>UG-EAS-1306-1772</t>
  </si>
  <si>
    <t>Okiror  Luthur Martin</t>
  </si>
  <si>
    <t>omagara</t>
  </si>
  <si>
    <t>UG-EAS-1306-1956</t>
  </si>
  <si>
    <t>Tsimwire  Moses</t>
  </si>
  <si>
    <t>Bumatanda</t>
  </si>
  <si>
    <t>UG-EAS-1306-1971</t>
  </si>
  <si>
    <t>Byansi  David</t>
  </si>
  <si>
    <t>Nabiganda Upper</t>
  </si>
  <si>
    <t>UG-EAS-1306-2111</t>
  </si>
  <si>
    <t>Akurut  Jane Etyang</t>
  </si>
  <si>
    <t>Kulume  Jenifer</t>
  </si>
  <si>
    <t>UG-EAS-1306-2221</t>
  </si>
  <si>
    <t>Engole  Christopher</t>
  </si>
  <si>
    <t>UG-EAS-1306-2260</t>
  </si>
  <si>
    <t>Doka  Erisania</t>
  </si>
  <si>
    <t>UG-EAS-1306-2285</t>
  </si>
  <si>
    <t>Kususu  Robina</t>
  </si>
  <si>
    <t>UG-EAS-1306-2329</t>
  </si>
  <si>
    <t>Nadunga  Beatrice</t>
  </si>
  <si>
    <t>Masada</t>
  </si>
  <si>
    <t>UG-EAS-1306-4002</t>
  </si>
  <si>
    <t>Mbulaiteya Eunice</t>
  </si>
  <si>
    <t>ogaramio</t>
  </si>
  <si>
    <t>UG-EAS-1306-4004</t>
  </si>
  <si>
    <t>Kitali  Albert</t>
  </si>
  <si>
    <t>Agurur namudian</t>
  </si>
  <si>
    <t>UG-EAS-1306-4006</t>
  </si>
  <si>
    <t>Otto  Charles</t>
  </si>
  <si>
    <t>Agurur B</t>
  </si>
  <si>
    <t>UG-EAS-1306-4026</t>
  </si>
  <si>
    <t>Okurut  Opio Silvanus</t>
  </si>
  <si>
    <t>Massa  John</t>
  </si>
  <si>
    <t>UG-EAS-1306-4027</t>
  </si>
  <si>
    <t>Pyatu  Christopher</t>
  </si>
  <si>
    <t>Bukinomo</t>
  </si>
  <si>
    <t>UG-EAS-1306-4042</t>
  </si>
  <si>
    <t>Asekenye  Opedun</t>
  </si>
  <si>
    <t>Rarak</t>
  </si>
  <si>
    <t>UG-EAS-1306-4109</t>
  </si>
  <si>
    <t>Wamukota  Stephen Elidadi</t>
  </si>
  <si>
    <t>Budanjabwakuba</t>
  </si>
  <si>
    <t>UG-EAS-1306-4118</t>
  </si>
  <si>
    <t>Wolimbwa  Robert</t>
  </si>
  <si>
    <t>Bujoloto</t>
  </si>
  <si>
    <t>Swillut  Augustine Katenget</t>
  </si>
  <si>
    <t>Kaptanya</t>
  </si>
  <si>
    <t>Chelel</t>
  </si>
  <si>
    <t>UG-EAS-1306-4122</t>
  </si>
  <si>
    <t>Sukuku  Erisa</t>
  </si>
  <si>
    <t>Karasa</t>
  </si>
  <si>
    <t>Okoth Tanga  Martin John</t>
  </si>
  <si>
    <t>Nam</t>
  </si>
  <si>
    <t>UG-EAS-1306-4156</t>
  </si>
  <si>
    <t>Takhuli  Edward</t>
  </si>
  <si>
    <t>Namangasa</t>
  </si>
  <si>
    <t>Ofubo  Esinemu</t>
  </si>
  <si>
    <t>Busitema</t>
  </si>
  <si>
    <t>UG-EAS-1306-582</t>
  </si>
  <si>
    <t>Paul Lubala Robert</t>
  </si>
  <si>
    <t>LUUKA</t>
  </si>
  <si>
    <t>Bukanga</t>
  </si>
  <si>
    <t>Kigulamo</t>
  </si>
  <si>
    <t>UG-EAS-1301-1763</t>
  </si>
  <si>
    <t>Ariko  Peter Simon</t>
  </si>
  <si>
    <t>UG-EAS-1301-1778</t>
  </si>
  <si>
    <t>Client stopped feeding after he shifted his cows. No cows at home apparently.</t>
  </si>
  <si>
    <t>Omoding  John</t>
  </si>
  <si>
    <t>omugenya</t>
  </si>
  <si>
    <t>UG-EAS-1307-00013</t>
  </si>
  <si>
    <t>Epero Micheal</t>
  </si>
  <si>
    <t>Mela</t>
  </si>
  <si>
    <t>Adumai</t>
  </si>
  <si>
    <t>Nabwasa  Stephen</t>
  </si>
  <si>
    <t>Marindiri</t>
  </si>
  <si>
    <t>UG-EAS-1307-1520</t>
  </si>
  <si>
    <t>Wakwale  Paul</t>
  </si>
  <si>
    <t>Soume</t>
  </si>
  <si>
    <t>UG-EAS-1307-1667</t>
  </si>
  <si>
    <t>Wabwire  Elia Muwesa</t>
  </si>
  <si>
    <t>UG-EAS-1307-1719</t>
  </si>
  <si>
    <t>Wangudi  Norah</t>
  </si>
  <si>
    <t>Bubalia</t>
  </si>
  <si>
    <t>Mugulu</t>
  </si>
  <si>
    <t>UG-EAS-1307-1824</t>
  </si>
  <si>
    <t>Eidu  William</t>
  </si>
  <si>
    <t>odokai</t>
  </si>
  <si>
    <t>UG-EAS-1307-1848</t>
  </si>
  <si>
    <t>Willibrord  Onyait</t>
  </si>
  <si>
    <t>Apeero</t>
  </si>
  <si>
    <t>Omoding  Robert John</t>
  </si>
  <si>
    <t>Kikota</t>
  </si>
  <si>
    <t>Kyakwita Umaru</t>
  </si>
  <si>
    <t>Nampologoma Gaba</t>
  </si>
  <si>
    <t>UG-EAS-1307-1988</t>
  </si>
  <si>
    <t>Sabakaki  Rashid</t>
  </si>
  <si>
    <t>Buluba</t>
  </si>
  <si>
    <t>UG-EAS-1307-2080</t>
  </si>
  <si>
    <t>Eruu  Moses</t>
  </si>
  <si>
    <t>omulala</t>
  </si>
  <si>
    <t>UG-EAS-1301-4881</t>
  </si>
  <si>
    <t>Nambuya  Alice Khayeki</t>
  </si>
  <si>
    <t>Busanza</t>
  </si>
  <si>
    <t>UG-EAS-1307-2133</t>
  </si>
  <si>
    <t>Imongit  Alex</t>
  </si>
  <si>
    <t>Moru pedede</t>
  </si>
  <si>
    <t>UG-EAS-1307-2144</t>
  </si>
  <si>
    <t>Ekaal  Valentine James</t>
  </si>
  <si>
    <t>oduka</t>
  </si>
  <si>
    <t>Obeke Robert</t>
  </si>
  <si>
    <t>Ochieng  Simon</t>
  </si>
  <si>
    <t>UG-EAS-1307-2217</t>
  </si>
  <si>
    <t>Ogwel  Peter John</t>
  </si>
  <si>
    <t>UG-EAS-1307-2220</t>
  </si>
  <si>
    <t>Alupo  Margrate</t>
  </si>
  <si>
    <t>Agurut</t>
  </si>
  <si>
    <t>UG-EAS-1302-1750</t>
  </si>
  <si>
    <t>Webisa  Asia</t>
  </si>
  <si>
    <t>UG-EAS-1302-1761</t>
  </si>
  <si>
    <t>Hellen  Oitangor</t>
  </si>
  <si>
    <t>UG-EAS-1307-2223</t>
  </si>
  <si>
    <t>Eritu  Samuel</t>
  </si>
  <si>
    <t>Kakor</t>
  </si>
  <si>
    <t>UG-EAS-1307-2349</t>
  </si>
  <si>
    <t>Wabuyi  Godfrey</t>
  </si>
  <si>
    <t>Bulukhati</t>
  </si>
  <si>
    <t>UG-EAS-1307-2362</t>
  </si>
  <si>
    <t>Wabomba  Paul</t>
  </si>
  <si>
    <t>Nabafu</t>
  </si>
  <si>
    <t>UG-EAS-1307-2395</t>
  </si>
  <si>
    <t>Mukhama Joy</t>
  </si>
  <si>
    <t>Mahaaga</t>
  </si>
  <si>
    <t>Elwau  Janet Ayo</t>
  </si>
  <si>
    <t>Kakure</t>
  </si>
  <si>
    <t>Apokor</t>
  </si>
  <si>
    <t>UG-EAS-1307-3658</t>
  </si>
  <si>
    <t>Wandeka  Sam</t>
  </si>
  <si>
    <t>Tsekululu</t>
  </si>
  <si>
    <t>Matotowa</t>
  </si>
  <si>
    <t>UG-EAS-1307-4001</t>
  </si>
  <si>
    <t>Omuut  Constant</t>
  </si>
  <si>
    <t>Aputon</t>
  </si>
  <si>
    <t>UG-EAS-1307-4005</t>
  </si>
  <si>
    <t>Arikod  Nicholas</t>
  </si>
  <si>
    <t>otadan</t>
  </si>
  <si>
    <t>UG-EAS-1307-4007</t>
  </si>
  <si>
    <t>Olupot  Salomuka</t>
  </si>
  <si>
    <t>odeperio</t>
  </si>
  <si>
    <t>UG-EAS-1307-4008</t>
  </si>
  <si>
    <t>Kato  Pius John</t>
  </si>
  <si>
    <t>Kakaire  Edith Birah</t>
  </si>
  <si>
    <t>Jinja  West</t>
  </si>
  <si>
    <t>Kimaka  Mpumudde</t>
  </si>
  <si>
    <t>Nalufenya</t>
  </si>
  <si>
    <t>UG-EAS-1307-4015</t>
  </si>
  <si>
    <t>Onyango  John</t>
  </si>
  <si>
    <t>Apogot</t>
  </si>
  <si>
    <t>Kamya  Rebecca</t>
  </si>
  <si>
    <t>Kachomo 11</t>
  </si>
  <si>
    <t>UG-EAS-1307-4043</t>
  </si>
  <si>
    <t>Omadang  Leonard</t>
  </si>
  <si>
    <t>UG-EAS-1307-4045</t>
  </si>
  <si>
    <t>Omonuk  Joseph Okurut</t>
  </si>
  <si>
    <t>odwarat</t>
  </si>
  <si>
    <t>UG-EAS-1307-4059</t>
  </si>
  <si>
    <t>Sabadu  Patrick</t>
  </si>
  <si>
    <t>Nanoko</t>
  </si>
  <si>
    <t>UG-EAS-1302-4058</t>
  </si>
  <si>
    <t>Obote  Simon Okia</t>
  </si>
  <si>
    <t>UG-EAS-1307-4060</t>
  </si>
  <si>
    <t>Ochola  Silvester</t>
  </si>
  <si>
    <t>UG-EAS-1307-4063</t>
  </si>
  <si>
    <t>Konyere  David</t>
  </si>
  <si>
    <t>Kataka 1</t>
  </si>
  <si>
    <t>UG-EAS-1307-4077</t>
  </si>
  <si>
    <t>Shaine  Robert</t>
  </si>
  <si>
    <t>Butebo</t>
  </si>
  <si>
    <t>Petete</t>
  </si>
  <si>
    <t>Abelekeke</t>
  </si>
  <si>
    <t>Kalifani  Kasaja</t>
  </si>
  <si>
    <t>Ogwang  Samuel</t>
  </si>
  <si>
    <t>UG-EAS-1302-4760</t>
  </si>
  <si>
    <t>Jawori  Peter Simon</t>
  </si>
  <si>
    <t>UG-EAS-1307-4149</t>
  </si>
  <si>
    <t>Gidudu  Hajati Safina</t>
  </si>
  <si>
    <t>Nabauga cell</t>
  </si>
  <si>
    <t>UG-EAS-1307-4234</t>
  </si>
  <si>
    <t>Satya  Robert</t>
  </si>
  <si>
    <t>Kapnero</t>
  </si>
  <si>
    <t>UG-EAS-1307-4243</t>
  </si>
  <si>
    <t>Sokuton  Fred Twalla</t>
  </si>
  <si>
    <t>Toboswo</t>
  </si>
  <si>
    <t>UG-EAS-1307-4245</t>
  </si>
  <si>
    <t>Solimo  Peter Godfrey</t>
  </si>
  <si>
    <t>Lungwa</t>
  </si>
  <si>
    <t>UG-EAS-1307-4247</t>
  </si>
  <si>
    <t>Chemwapit  Gilbert</t>
  </si>
  <si>
    <t>Kaptererwo</t>
  </si>
  <si>
    <t>Kapnandi central</t>
  </si>
  <si>
    <t>UG-EAS-1307-4801</t>
  </si>
  <si>
    <t>Watyekele  Emmanuel</t>
  </si>
  <si>
    <t>Sitibo</t>
  </si>
  <si>
    <t>UG-EAS-1307-4834</t>
  </si>
  <si>
    <t>Khaita  Robert</t>
  </si>
  <si>
    <t>UG-EAS-1307-4840</t>
  </si>
  <si>
    <t>Manyololi  Moses</t>
  </si>
  <si>
    <t>UG-EAS-1307-4842</t>
  </si>
  <si>
    <t>Wamakhuyu   David</t>
  </si>
  <si>
    <t>Mukhuyu</t>
  </si>
  <si>
    <t>UG-EAS-1307-4843</t>
  </si>
  <si>
    <t>Khamali George</t>
  </si>
  <si>
    <t>Bukyabi</t>
  </si>
  <si>
    <t>UG-EAS-1307-4844</t>
  </si>
  <si>
    <t>Namani  Elkana</t>
  </si>
  <si>
    <t>Nanditi</t>
  </si>
  <si>
    <t>UG-EAS-1302-4917</t>
  </si>
  <si>
    <t>Manyololi  Loyce Mary</t>
  </si>
  <si>
    <t>Namisuni</t>
  </si>
  <si>
    <t>UG-EAS-1307-4901</t>
  </si>
  <si>
    <t>Malomo  Moses</t>
  </si>
  <si>
    <t>UG-EAS-1307-4920</t>
  </si>
  <si>
    <t>Ochieng  Raimond Padde</t>
  </si>
  <si>
    <t>UG-EAS-1307-4930</t>
  </si>
  <si>
    <t>Kaibo  Ivan</t>
  </si>
  <si>
    <t>Bunghumu</t>
  </si>
  <si>
    <t>UG-EAS-1307-4931</t>
  </si>
  <si>
    <t>Were  Wilberforce Ndekera</t>
  </si>
  <si>
    <t>Nebade</t>
  </si>
  <si>
    <t>UG-EAS-1307-4932</t>
  </si>
  <si>
    <t>Witta  Husein</t>
  </si>
  <si>
    <t>Bukabeba</t>
  </si>
  <si>
    <t>Obaikol  Charles (Bishop) Benard</t>
  </si>
  <si>
    <t>Kabola</t>
  </si>
  <si>
    <t>UG-EAS-1307-569</t>
  </si>
  <si>
    <t>Cortilida  Beema</t>
  </si>
  <si>
    <t>Magamaga</t>
  </si>
  <si>
    <t>UG-EAS-1307-579</t>
  </si>
  <si>
    <t>Kiseka  John</t>
  </si>
  <si>
    <t>Kigandalo</t>
  </si>
  <si>
    <t>Bugoto</t>
  </si>
  <si>
    <t>Bugoto beach</t>
  </si>
  <si>
    <t>UG-EAS-1308-01530</t>
  </si>
  <si>
    <t>Kooko  Samali</t>
  </si>
  <si>
    <t>Bushinyikwa</t>
  </si>
  <si>
    <t>Muwanguzi Paul</t>
  </si>
  <si>
    <t>Nambuya  Hajati Hadija</t>
  </si>
  <si>
    <t>Nakonbe</t>
  </si>
  <si>
    <t>Wambilulu Francis</t>
  </si>
  <si>
    <t>Kalogo  Elyasa</t>
  </si>
  <si>
    <t>Namanyonyi C B</t>
  </si>
  <si>
    <t>Ssate  Juma</t>
  </si>
  <si>
    <t>Masuba   Rehema</t>
  </si>
  <si>
    <t>Omunyongor Max</t>
  </si>
  <si>
    <t>Nsajju  Paul</t>
  </si>
  <si>
    <t>Kanyolo 1</t>
  </si>
  <si>
    <t>Echaka  Benard</t>
  </si>
  <si>
    <t>Kwapa</t>
  </si>
  <si>
    <t>Kojim b</t>
  </si>
  <si>
    <t>Auyo  Lekeboamu</t>
  </si>
  <si>
    <t>Amagoro</t>
  </si>
  <si>
    <t>Kwolesya  Felista</t>
  </si>
  <si>
    <t>UG-EAS-1308-1555</t>
  </si>
  <si>
    <t>Awino  Christina</t>
  </si>
  <si>
    <t>UG-EAS-1308-1566</t>
  </si>
  <si>
    <t>Oketch  Wilfred Ongoye</t>
  </si>
  <si>
    <t>ojilai B</t>
  </si>
  <si>
    <t>Odoi  Moses Sande</t>
  </si>
  <si>
    <t>UG-EAS-1308-1578</t>
  </si>
  <si>
    <t>Bablegobya  Beatrice</t>
  </si>
  <si>
    <t>Okoboi  James</t>
  </si>
  <si>
    <t>Masaba  Moses</t>
  </si>
  <si>
    <t>Wanale/ bulusambu</t>
  </si>
  <si>
    <t>UG-EAS-1308-1718</t>
  </si>
  <si>
    <t>Wangudi  Agnes</t>
  </si>
  <si>
    <t>UG-EAS-1304-1954</t>
  </si>
  <si>
    <t>Nabubutu  Veronica</t>
  </si>
  <si>
    <t>Bukikai</t>
  </si>
  <si>
    <t>UG-EAS-1308-1726</t>
  </si>
  <si>
    <t>Mugido  Sarah</t>
  </si>
  <si>
    <t>UG-EAS-1308-1731</t>
  </si>
  <si>
    <t>Kagwoma  Amani</t>
  </si>
  <si>
    <t>Mutongo</t>
  </si>
  <si>
    <t>UG-EAS-1308-1893</t>
  </si>
  <si>
    <t>Dwal   Fazali</t>
  </si>
  <si>
    <t>Dokolo  Steven</t>
  </si>
  <si>
    <t>Ajesa</t>
  </si>
  <si>
    <t>Aliu  Peter Opoi</t>
  </si>
  <si>
    <t>Aperikira</t>
  </si>
  <si>
    <t>okuku</t>
  </si>
  <si>
    <t>UG-EAS-1308-2112</t>
  </si>
  <si>
    <t>Etyang  George</t>
  </si>
  <si>
    <t>UG-EAS-1308-2115</t>
  </si>
  <si>
    <t>Pedun  Rose</t>
  </si>
  <si>
    <t>UG-EAS-1308-2117</t>
  </si>
  <si>
    <t>Odeke  Robert</t>
  </si>
  <si>
    <t>UG-EAS-1304-3297</t>
  </si>
  <si>
    <t>Frokella  Edmond</t>
  </si>
  <si>
    <t>oehero</t>
  </si>
  <si>
    <t>okeroatok</t>
  </si>
  <si>
    <t>UG-EAS-1308-2118</t>
  </si>
  <si>
    <t>Akwii  Anna</t>
  </si>
  <si>
    <t>oduoro</t>
  </si>
  <si>
    <t>UG-EAS-1308-2122</t>
  </si>
  <si>
    <t>Pedun  Stella</t>
  </si>
  <si>
    <t>Oditai  Martin</t>
  </si>
  <si>
    <t>okobwa</t>
  </si>
  <si>
    <t>UG-EAS-1308-2134</t>
  </si>
  <si>
    <t>Ineget  Stephen</t>
  </si>
  <si>
    <t>UG-EAS-1308-2137</t>
  </si>
  <si>
    <t>Aisu  Nespol</t>
  </si>
  <si>
    <t>UG-EAS-1308-2138</t>
  </si>
  <si>
    <t>Acam  Margrate Anna</t>
  </si>
  <si>
    <t>Opus  Christine</t>
  </si>
  <si>
    <t>UG-EAS-1308-2143</t>
  </si>
  <si>
    <t>Okwakol  Micheal John</t>
  </si>
  <si>
    <t>UG-EAS-1308-2145</t>
  </si>
  <si>
    <t>Angois  Aisu Charles</t>
  </si>
  <si>
    <t>Amuria oojadas</t>
  </si>
  <si>
    <t>UG-EAS-1308-2146</t>
  </si>
  <si>
    <t>Amulen  Jenifer</t>
  </si>
  <si>
    <t>UG-EAS-1308-2149</t>
  </si>
  <si>
    <t>Odeke  Darlington</t>
  </si>
  <si>
    <t>Kareu kajamaka</t>
  </si>
  <si>
    <t>UG-EAS-1305-1749</t>
  </si>
  <si>
    <t>Webisa  Hassan Hajji</t>
  </si>
  <si>
    <t>UG-EAS-1305-1760</t>
  </si>
  <si>
    <t>Aleo Stella</t>
  </si>
  <si>
    <t>Aputon okinyany</t>
  </si>
  <si>
    <t>UG-EAS-1308-2161</t>
  </si>
  <si>
    <t>Emakat  Micheal John</t>
  </si>
  <si>
    <t>UG-EAS-1308-2170</t>
  </si>
  <si>
    <t>Oboi  Johnson</t>
  </si>
  <si>
    <t>okoboi</t>
  </si>
  <si>
    <t>Boona Charles</t>
  </si>
  <si>
    <t>Bulopa</t>
  </si>
  <si>
    <t>Bugwala Lc1</t>
  </si>
  <si>
    <t>Asio  Bennah</t>
  </si>
  <si>
    <t>UG-EAS-1308-2238</t>
  </si>
  <si>
    <t>Emokol  Kupuliano</t>
  </si>
  <si>
    <t>omukuna</t>
  </si>
  <si>
    <t>UG-EAS-1305-2224</t>
  </si>
  <si>
    <t>Nantume  Annet</t>
  </si>
  <si>
    <t>Wanda Agnes</t>
  </si>
  <si>
    <t>Gusinja  Samson</t>
  </si>
  <si>
    <t>UG-EAS-1308-2304</t>
  </si>
  <si>
    <t>Shaban  Arajab</t>
  </si>
  <si>
    <t>Namabasa zone 4</t>
  </si>
  <si>
    <t>UG-EAS-1308-2355</t>
  </si>
  <si>
    <t>Gibedye  Mudathir</t>
  </si>
  <si>
    <t>UG-EAS-1308-2393</t>
  </si>
  <si>
    <t>Mutonyi  Consolata</t>
  </si>
  <si>
    <t>Muyehe</t>
  </si>
  <si>
    <t>UG-EAS-1308-2654</t>
  </si>
  <si>
    <t>John Sembera</t>
  </si>
  <si>
    <t>BULAMAGI</t>
  </si>
  <si>
    <t>WALUKUBA</t>
  </si>
  <si>
    <t>UG-EAS-1308-3344</t>
  </si>
  <si>
    <t xml:space="preserve">Waiswa  Bobson </t>
  </si>
  <si>
    <t>Buwenge Rural</t>
  </si>
  <si>
    <t>Isiri</t>
  </si>
  <si>
    <t>Kibeti  Anthony</t>
  </si>
  <si>
    <t>Buwamalelo</t>
  </si>
  <si>
    <t>Mugoda  Julius</t>
  </si>
  <si>
    <t>Opolot  Simon</t>
  </si>
  <si>
    <t>Agurur A</t>
  </si>
  <si>
    <t>UG-EAS-1305-4083</t>
  </si>
  <si>
    <t>Were  Samuel</t>
  </si>
  <si>
    <t>UG-EAS-1308-4016</t>
  </si>
  <si>
    <t>Ojilong  Lawerence</t>
  </si>
  <si>
    <t>opogono</t>
  </si>
  <si>
    <t>UG-EAS-1308-4017</t>
  </si>
  <si>
    <t>Kakuku  Bethuel</t>
  </si>
  <si>
    <t>UG-EAS-1308-4021</t>
  </si>
  <si>
    <t>Menya Joab</t>
  </si>
  <si>
    <t>omawolon/komidi</t>
  </si>
  <si>
    <t>UG-EAS-1308-4048</t>
  </si>
  <si>
    <t>Pakasi  Nalapa Daniel</t>
  </si>
  <si>
    <t>Ngalwe</t>
  </si>
  <si>
    <t>UG-EAS-1308-4065</t>
  </si>
  <si>
    <t>Masuge  Isaac Fred M</t>
  </si>
  <si>
    <t>Kalampete</t>
  </si>
  <si>
    <t>UG-EAS-1308-4078</t>
  </si>
  <si>
    <t>Shaine  Paul</t>
  </si>
  <si>
    <t>Kabelekeke</t>
  </si>
  <si>
    <t>UG-EAS-1308-4102</t>
  </si>
  <si>
    <t xml:space="preserve">Ekoyukim  Wanda </t>
  </si>
  <si>
    <t>Magoma  Simon</t>
  </si>
  <si>
    <t>Bumbobi</t>
  </si>
  <si>
    <t>Masalire</t>
  </si>
  <si>
    <t>Nangonsyah  Clement William</t>
  </si>
  <si>
    <t>UG-EAS-1305-4863</t>
  </si>
  <si>
    <t>Mukoli  Essa</t>
  </si>
  <si>
    <t>UG-EAS-1305-4884</t>
  </si>
  <si>
    <t>Wantsusi  John Mutenyo</t>
  </si>
  <si>
    <t>Nambola</t>
  </si>
  <si>
    <t>Ilemungolet  Florence Jane</t>
  </si>
  <si>
    <t>omolokonyo</t>
  </si>
  <si>
    <t>UG-EAS-1308-4755</t>
  </si>
  <si>
    <t>Otedo  Emmanuel Owori</t>
  </si>
  <si>
    <t>Maguria A</t>
  </si>
  <si>
    <t>UG-EAS-1308-4857</t>
  </si>
  <si>
    <t>Bwayo  Eriya Matere</t>
  </si>
  <si>
    <t>Lwamwani</t>
  </si>
  <si>
    <t>UG-EAS-1308-4859</t>
  </si>
  <si>
    <t>Wakhabenga Lorna</t>
  </si>
  <si>
    <t>Sikundu</t>
  </si>
  <si>
    <t>UG-EAS-1308-4860</t>
  </si>
  <si>
    <t>Katami  Dison</t>
  </si>
  <si>
    <t>Buneseni</t>
  </si>
  <si>
    <t>UG-EAS-1308-4915</t>
  </si>
  <si>
    <t>Wepukhulu Joshua</t>
  </si>
  <si>
    <t>Lulangachi</t>
  </si>
  <si>
    <t>Atipo  Peter</t>
  </si>
  <si>
    <t>Apapai</t>
  </si>
  <si>
    <t>UG-EAS-1308-7260</t>
  </si>
  <si>
    <t>Etyang  Raphael</t>
  </si>
  <si>
    <t>UG-EAS-1309-1356</t>
  </si>
  <si>
    <t>Gibedya  Abdul Aziz</t>
  </si>
  <si>
    <t>UG-EAS-1309-1387</t>
  </si>
  <si>
    <t>Mudambo  Abudalla</t>
  </si>
  <si>
    <t>Nakasala Jesca</t>
  </si>
  <si>
    <t>UG-EAS-1309-1538</t>
  </si>
  <si>
    <t>Musene  Masalu</t>
  </si>
  <si>
    <t>buwamaye</t>
  </si>
  <si>
    <t>Achuu  Peter Simon</t>
  </si>
  <si>
    <t>Kees</t>
  </si>
  <si>
    <t>UG-EAS-1309-1544</t>
  </si>
  <si>
    <t>Obonyo  Aggrey Ochieng</t>
  </si>
  <si>
    <t>Ojwang James</t>
  </si>
  <si>
    <t>Lwala pobona A</t>
  </si>
  <si>
    <t>UG-EAS-1309-1551</t>
  </si>
  <si>
    <t>Ofwono  Victor</t>
  </si>
  <si>
    <t>Wakasiki</t>
  </si>
  <si>
    <t>Simiyu  Rogers Wanyama</t>
  </si>
  <si>
    <t>Buyasere</t>
  </si>
  <si>
    <t>UG-EAS-1309-1553</t>
  </si>
  <si>
    <t>Ochola   Florence</t>
  </si>
  <si>
    <t>Miganja</t>
  </si>
  <si>
    <t>UG-EAS-1309-1554</t>
  </si>
  <si>
    <t>Owere  Max Mondo</t>
  </si>
  <si>
    <t>Wishama</t>
  </si>
  <si>
    <t>Okoth  Onesmas (Rev) Odoi</t>
  </si>
  <si>
    <t>Segero B</t>
  </si>
  <si>
    <t>UG-EAS-1306-4009</t>
  </si>
  <si>
    <t>Akol  Gilbert</t>
  </si>
  <si>
    <t>UG-EAS-1309-1563</t>
  </si>
  <si>
    <t>Owere  Margret</t>
  </si>
  <si>
    <t>Samba</t>
  </si>
  <si>
    <t>Wabomba  Mwajuma</t>
  </si>
  <si>
    <t>Masaba A</t>
  </si>
  <si>
    <t>Owino  Salmon Ochwo</t>
  </si>
  <si>
    <t>Segero A</t>
  </si>
  <si>
    <t>UG-EAS-1309-1568</t>
  </si>
  <si>
    <t>Wegulo (Late)  Zephania</t>
  </si>
  <si>
    <t>Maho A</t>
  </si>
  <si>
    <t>Okello James</t>
  </si>
  <si>
    <t>Namwanga B</t>
  </si>
  <si>
    <t>UG-EAS-1309-1575</t>
  </si>
  <si>
    <t>Ochwo  Patrick Tailor</t>
  </si>
  <si>
    <t>Pombelo</t>
  </si>
  <si>
    <t>UG-EAS-1309-1581</t>
  </si>
  <si>
    <t>Oketch  Rustano</t>
  </si>
  <si>
    <t>UG-EAS-1309-1582</t>
  </si>
  <si>
    <t>Ochieng  Joseph</t>
  </si>
  <si>
    <t>Lwala pobona B</t>
  </si>
  <si>
    <t>Olowo  Lawrence Okuni</t>
  </si>
  <si>
    <t>Pasikula north</t>
  </si>
  <si>
    <t>UG-EAS-1306-4841</t>
  </si>
  <si>
    <t>Wepukhulu  Vicent</t>
  </si>
  <si>
    <t>Othieno  Charles</t>
  </si>
  <si>
    <t>UG-EAS-1309-1725</t>
  </si>
  <si>
    <t>Lyada  Salimati</t>
  </si>
  <si>
    <t>UG-EAS-1309-1732</t>
  </si>
  <si>
    <t>Tegule  John Kisaale</t>
  </si>
  <si>
    <t>UG-EAS-1309-1733</t>
  </si>
  <si>
    <t>Wamateke  James</t>
  </si>
  <si>
    <t>Mpuliabigere B</t>
  </si>
  <si>
    <t>UG-EAS-1309-1767</t>
  </si>
  <si>
    <t>Odee  Francis</t>
  </si>
  <si>
    <t>UG-EAS-1309-2082</t>
  </si>
  <si>
    <t>Olari  James</t>
  </si>
  <si>
    <t>Alaki</t>
  </si>
  <si>
    <t>UG-EAS-1309-2116</t>
  </si>
  <si>
    <t>Ikilai  Peter Simon</t>
  </si>
  <si>
    <t>UG-EAS-1307-1849</t>
  </si>
  <si>
    <t>Charles  Onyait</t>
  </si>
  <si>
    <t>UG-EAS-1309-2142</t>
  </si>
  <si>
    <t>Okwii  Mark John</t>
  </si>
  <si>
    <t>ongino nairobi</t>
  </si>
  <si>
    <t>UG-EAS-1309-2190</t>
  </si>
  <si>
    <t>Omoding  Ismail</t>
  </si>
  <si>
    <t>Aputon 2</t>
  </si>
  <si>
    <t>UG-EAS-1309-2214</t>
  </si>
  <si>
    <t>Odeke  Francis</t>
  </si>
  <si>
    <t>UG-EAS-1309-2245</t>
  </si>
  <si>
    <t>Anyonga  Micheal James</t>
  </si>
  <si>
    <t>UG-EAS-1307-2114</t>
  </si>
  <si>
    <t>Omugen  Moses</t>
  </si>
  <si>
    <t>UG-EAS-1309-2282</t>
  </si>
  <si>
    <t>Wandwasi  Paster Jackson</t>
  </si>
  <si>
    <t>UG-EAS-1309-2283</t>
  </si>
  <si>
    <t>Wamukota Mutwalibu Moses</t>
  </si>
  <si>
    <t>UG-EAS-1309-2302</t>
  </si>
  <si>
    <t>Mugondi  Musa</t>
  </si>
  <si>
    <t>Womoto  Zipoola</t>
  </si>
  <si>
    <t>Shiluku</t>
  </si>
  <si>
    <t>UG-EAS-1309-2394</t>
  </si>
  <si>
    <t>Sakwa  Mary</t>
  </si>
  <si>
    <t>Bumukhama</t>
  </si>
  <si>
    <t>Mwambala Rita</t>
  </si>
  <si>
    <t>Bugembe T/c</t>
  </si>
  <si>
    <t>Budhumbuli commercial zone</t>
  </si>
  <si>
    <t>UG-EAS-1307-2234</t>
  </si>
  <si>
    <t>Adong  Margrate</t>
  </si>
  <si>
    <t>oteten</t>
  </si>
  <si>
    <t>UG-EAS-1309-3405</t>
  </si>
  <si>
    <t>Balikagala  James</t>
  </si>
  <si>
    <t>Bulamagi</t>
  </si>
  <si>
    <t>Bukoyo</t>
  </si>
  <si>
    <t>UG-EAS-1309-3556</t>
  </si>
  <si>
    <t>Dr Mubiru Nasani</t>
  </si>
  <si>
    <t>Bukaaya Itukulu</t>
  </si>
  <si>
    <t>UG-EAS-1309-3620</t>
  </si>
  <si>
    <t>Pr Omit  William</t>
  </si>
  <si>
    <t>Nyakesi D</t>
  </si>
  <si>
    <t>Kiwala  Jairani</t>
  </si>
  <si>
    <t>Namaji A</t>
  </si>
  <si>
    <t>UG-EAS-1307-3659</t>
  </si>
  <si>
    <t>Kutosi  George Nansime</t>
  </si>
  <si>
    <t>UG-EAS-1309-3639</t>
  </si>
  <si>
    <t>Manyasi  Muhamadi</t>
  </si>
  <si>
    <t>Namujugume</t>
  </si>
  <si>
    <t>UG-EAS-1309-3640</t>
  </si>
  <si>
    <t>Wanamu  John</t>
  </si>
  <si>
    <t>UG-EAS-1309-3652</t>
  </si>
  <si>
    <t>Wanambwa  Michael</t>
  </si>
  <si>
    <t>Nalondo butta</t>
  </si>
  <si>
    <t>UG-EAS-1309-4025</t>
  </si>
  <si>
    <t>Sempa  Stephen</t>
  </si>
  <si>
    <t>Buyumbu</t>
  </si>
  <si>
    <t>UG-EAS-1309-4028</t>
  </si>
  <si>
    <t>Nyiro  Julius</t>
  </si>
  <si>
    <t>UG-EAS-1307-4023</t>
  </si>
  <si>
    <t>Piyoto  Clement</t>
  </si>
  <si>
    <t>UG-EAS-1309-4053</t>
  </si>
  <si>
    <t>Irigei  Robert</t>
  </si>
  <si>
    <t>UG-EAS-1309-4062</t>
  </si>
  <si>
    <t>Talwayo  Dauson</t>
  </si>
  <si>
    <t>Namiyonga</t>
  </si>
  <si>
    <t>Kyosi Godfrey (Plant 1)</t>
  </si>
  <si>
    <t>Mbulamuti</t>
  </si>
  <si>
    <t>Bukofu bukumbi</t>
  </si>
  <si>
    <t>Ebiau  Benard</t>
  </si>
  <si>
    <t>Koloin</t>
  </si>
  <si>
    <t>UG-EAS-1309-4155</t>
  </si>
  <si>
    <t>Watenga  Deborah</t>
  </si>
  <si>
    <t>Mukwaya  Paul</t>
  </si>
  <si>
    <t>Betembe</t>
  </si>
  <si>
    <t>Kimaka</t>
  </si>
  <si>
    <t>Ambakoti</t>
  </si>
  <si>
    <t>UG-EAS-1309-4783</t>
  </si>
  <si>
    <t>Kakai  Magret</t>
  </si>
  <si>
    <t>UG-EAS-1309-4831</t>
  </si>
  <si>
    <t>Khisa  Joshua</t>
  </si>
  <si>
    <t>Buwalula</t>
  </si>
  <si>
    <t>UG-EAS-1307-4089</t>
  </si>
  <si>
    <t>Waitolo  George</t>
  </si>
  <si>
    <t>Namale</t>
  </si>
  <si>
    <t>UG-EAS-1309-4858</t>
  </si>
  <si>
    <t>Mangali  George Mutuli</t>
  </si>
  <si>
    <t>UG-EAS-1307-4112</t>
  </si>
  <si>
    <t>Etuket  John</t>
  </si>
  <si>
    <t>Kawo</t>
  </si>
  <si>
    <t>UG-EAS-1309-4922</t>
  </si>
  <si>
    <t>Othieno  John Dan Peter</t>
  </si>
  <si>
    <t>Aturukuku</t>
  </si>
  <si>
    <t>UG-EAS-1309-4928</t>
  </si>
  <si>
    <t>Nalume  Eridadi</t>
  </si>
  <si>
    <t>Busaba</t>
  </si>
  <si>
    <t>Nahagulu</t>
  </si>
  <si>
    <t>UG-EAS-1309-4933</t>
  </si>
  <si>
    <t>Owino  Joseph</t>
  </si>
  <si>
    <t>Mugana</t>
  </si>
  <si>
    <t>UG-EAS-1309-4942</t>
  </si>
  <si>
    <t>Ofwono  Alfred Jachandik</t>
  </si>
  <si>
    <t>Nagokebulalo</t>
  </si>
  <si>
    <t>UG-EAS-1310-01533</t>
  </si>
  <si>
    <t>Watenga  Jannet George</t>
  </si>
  <si>
    <t>Ibaale</t>
  </si>
  <si>
    <t>Nandege  Siraji</t>
  </si>
  <si>
    <t>Namango</t>
  </si>
  <si>
    <t>Kafu  Getu</t>
  </si>
  <si>
    <t>UG-EAS-1307-4837</t>
  </si>
  <si>
    <t>Otong  Jimmy</t>
  </si>
  <si>
    <t>Agururu</t>
  </si>
  <si>
    <t>Olowo  Sabastian</t>
  </si>
  <si>
    <t>Pasikula</t>
  </si>
  <si>
    <t>Okello   Charles</t>
  </si>
  <si>
    <t>UG-EAS-1310-1631</t>
  </si>
  <si>
    <t>Nabwire   Florence</t>
  </si>
  <si>
    <t>UG-EAS-1310-1634</t>
  </si>
  <si>
    <t>Obbo  Simon Esawo</t>
  </si>
  <si>
    <t>Pakitaka kisera</t>
  </si>
  <si>
    <t>UG-EAS-1310-1636</t>
  </si>
  <si>
    <t>Oketcho  Anthony</t>
  </si>
  <si>
    <t>Iyopoki</t>
  </si>
  <si>
    <t>UG-EAS-1310-1637</t>
  </si>
  <si>
    <t>Okello  Benard</t>
  </si>
  <si>
    <t>Kwoyo</t>
  </si>
  <si>
    <t>UG-EAS-1310-1650</t>
  </si>
  <si>
    <t>Ochwo Silvester Ogwang</t>
  </si>
  <si>
    <t>Wagunga</t>
  </si>
  <si>
    <t>UG-EAS-1310-1699</t>
  </si>
  <si>
    <t>Osuna  Yakobo</t>
  </si>
  <si>
    <t>Umbwa</t>
  </si>
  <si>
    <t>UG-EAS-1310-1700</t>
  </si>
  <si>
    <t>Owere  Dorothy</t>
  </si>
  <si>
    <t>Kiyeyi</t>
  </si>
  <si>
    <t>UG-EAS-1310-1734</t>
  </si>
  <si>
    <t>Walyombeka  George</t>
  </si>
  <si>
    <t>UG-EAS-1310-1756</t>
  </si>
  <si>
    <t>Eluji  David</t>
  </si>
  <si>
    <t>UG-EAS-1310-1826</t>
  </si>
  <si>
    <t>Ajulong   Martha Susan</t>
  </si>
  <si>
    <t>omodoi</t>
  </si>
  <si>
    <t>UG-EAS-1310-1989</t>
  </si>
  <si>
    <t>Edube  Eridadi</t>
  </si>
  <si>
    <t>Kachekere</t>
  </si>
  <si>
    <t>Ekadu  Samuel</t>
  </si>
  <si>
    <t>Bululu</t>
  </si>
  <si>
    <t>oyalem. A</t>
  </si>
  <si>
    <t>UG-EAS-1310-2057</t>
  </si>
  <si>
    <t>Wankya  Petet Simon</t>
  </si>
  <si>
    <t>Northern Division</t>
  </si>
  <si>
    <t>Madera</t>
  </si>
  <si>
    <t>UG-EAS-1310-2065</t>
  </si>
  <si>
    <t>Otutu  Nathan</t>
  </si>
  <si>
    <t>opiyai B</t>
  </si>
  <si>
    <t>UG-EAS-1310-2132</t>
  </si>
  <si>
    <t>Aluka  Joyce</t>
  </si>
  <si>
    <t>UG-EAS-1310-2147</t>
  </si>
  <si>
    <t>Okalebo  Samson</t>
  </si>
  <si>
    <t>Akide okunguro</t>
  </si>
  <si>
    <t>UG-EAS-1310-2148</t>
  </si>
  <si>
    <t>Okurut Lawerence</t>
  </si>
  <si>
    <t>Munyal</t>
  </si>
  <si>
    <t>UG-EAS-1310-2150</t>
  </si>
  <si>
    <t>Oumo John</t>
  </si>
  <si>
    <t>UG-EAS-1310-2162</t>
  </si>
  <si>
    <t>Olokojo Rose</t>
  </si>
  <si>
    <t>Nyamongo</t>
  </si>
  <si>
    <t>UG-EAS-1310-2163</t>
  </si>
  <si>
    <t>Olokojo  Clement(late)</t>
  </si>
  <si>
    <t>UG-EAS-1310-2215</t>
  </si>
  <si>
    <t>Epiaka  Lawerence</t>
  </si>
  <si>
    <t>UG-EAS-1310-2303</t>
  </si>
  <si>
    <t>Ntunda  Muzamiru</t>
  </si>
  <si>
    <t>Namabasa zone 3</t>
  </si>
  <si>
    <t>Wamoto  Lonah</t>
  </si>
  <si>
    <t>Buluheke</t>
  </si>
  <si>
    <t>UG-EAS-1310-2352</t>
  </si>
  <si>
    <t>Masaba  Loyce</t>
  </si>
  <si>
    <t>Bugwanyi</t>
  </si>
  <si>
    <t>UG-EAS-1310-2353</t>
  </si>
  <si>
    <t>Wamimbi   Wilson</t>
  </si>
  <si>
    <t>UG-EAS-1310-2396</t>
  </si>
  <si>
    <t>Buyera  Haruna</t>
  </si>
  <si>
    <t>Ututu</t>
  </si>
  <si>
    <t>UG-EAS-1310-3624</t>
  </si>
  <si>
    <t>Balayo  Wilberforce</t>
  </si>
  <si>
    <t>Wafula  Muslim</t>
  </si>
  <si>
    <t>UG-EAS-1310-3638</t>
  </si>
  <si>
    <t>Mugumbu  Karim</t>
  </si>
  <si>
    <t>Dohohibira A</t>
  </si>
  <si>
    <t>UG-EAS-1310-3670</t>
  </si>
  <si>
    <t>Mujasi  Hilary</t>
  </si>
  <si>
    <t>Amagoro B north</t>
  </si>
  <si>
    <t>UG-EAS-1310-3744</t>
  </si>
  <si>
    <t>Isabirye Francis</t>
  </si>
  <si>
    <t>Kamuli municipal</t>
  </si>
  <si>
    <t>Kabukye</t>
  </si>
  <si>
    <t>UG-EAS-1310-4071</t>
  </si>
  <si>
    <t>Magola  Misairi</t>
  </si>
  <si>
    <t>Kirika</t>
  </si>
  <si>
    <t>Buganza</t>
  </si>
  <si>
    <t>UG-EAS-1310-4120</t>
  </si>
  <si>
    <t>Chshari  Amisi</t>
  </si>
  <si>
    <t>Central division</t>
  </si>
  <si>
    <t>Reberon</t>
  </si>
  <si>
    <t>UG-EAS-1310-4791</t>
  </si>
  <si>
    <t>Shilaku  Lukas</t>
  </si>
  <si>
    <t>UG-EAS-1310-4792</t>
  </si>
  <si>
    <t>Bwayo  Davis</t>
  </si>
  <si>
    <t>UG-EAS-1310-4793</t>
  </si>
  <si>
    <t>Mulemo  Vincent Watsemua</t>
  </si>
  <si>
    <t>UG-EAS-1310-4823</t>
  </si>
  <si>
    <t>Oundo  Ricchard Mwoho</t>
  </si>
  <si>
    <t>Butula A</t>
  </si>
  <si>
    <t>UG-EAS-1310-4832</t>
  </si>
  <si>
    <t>Mangeni  Wilson</t>
  </si>
  <si>
    <t>UG-EAS-1310-4876</t>
  </si>
  <si>
    <t>Wabuko  Samuel Mwalye</t>
  </si>
  <si>
    <t>Buwandyambi</t>
  </si>
  <si>
    <t>Omoding  Rogers</t>
  </si>
  <si>
    <t>Atapar oduka</t>
  </si>
  <si>
    <t>UG-EAS-1310-4913</t>
  </si>
  <si>
    <t>Mutuba  Emmanuel</t>
  </si>
  <si>
    <t>Kisekele</t>
  </si>
  <si>
    <t>Suubi  Safina</t>
  </si>
  <si>
    <t>UG-EAS-1311-1565</t>
  </si>
  <si>
    <t>Odongo Lararo</t>
  </si>
  <si>
    <t>Bujwala A</t>
  </si>
  <si>
    <t>Owori  Mark Opala</t>
  </si>
  <si>
    <t>Magembo</t>
  </si>
  <si>
    <t>UG-EAS-1311-1635</t>
  </si>
  <si>
    <t>O Benard O</t>
  </si>
  <si>
    <t>Minjuge</t>
  </si>
  <si>
    <t>UG-EAS-1311-1638</t>
  </si>
  <si>
    <t>Alupo  Harriet</t>
  </si>
  <si>
    <t>Nyakasana</t>
  </si>
  <si>
    <t>UG-EAS-1311-1651</t>
  </si>
  <si>
    <t>Lumumba  Isaac</t>
  </si>
  <si>
    <t>Ataro</t>
  </si>
  <si>
    <t>UG-EAS-1311-1764</t>
  </si>
  <si>
    <t>Icumar  Betty</t>
  </si>
  <si>
    <t>Aparisa</t>
  </si>
  <si>
    <t>UG-EAS-1311-1808</t>
  </si>
  <si>
    <t>Opila  Peter</t>
  </si>
  <si>
    <t>UG-EAS-1308-2246</t>
  </si>
  <si>
    <t>Angwoku  Joyce</t>
  </si>
  <si>
    <t>Kapolin</t>
  </si>
  <si>
    <t>UG-EAS-1311-1809</t>
  </si>
  <si>
    <t>Otim  Levi</t>
  </si>
  <si>
    <t>Acele A</t>
  </si>
  <si>
    <t>UG-EAS-1311-1810</t>
  </si>
  <si>
    <t>Okello Patrick1</t>
  </si>
  <si>
    <t>otoke</t>
  </si>
  <si>
    <t>UG-EAS-1311-1811</t>
  </si>
  <si>
    <t>Okedo  Moses</t>
  </si>
  <si>
    <t>Alonget</t>
  </si>
  <si>
    <t>UG-EAS-1311-1818</t>
  </si>
  <si>
    <t>Okwara  Simon</t>
  </si>
  <si>
    <t>odepai</t>
  </si>
  <si>
    <t>Ekude Daniel</t>
  </si>
  <si>
    <t>Mairomukaga</t>
  </si>
  <si>
    <t>UG-EAS-1311-1855</t>
  </si>
  <si>
    <t>Esanu  Charles</t>
  </si>
  <si>
    <t>UG-EAS-1311-1886</t>
  </si>
  <si>
    <t>Emochu  Geofrey</t>
  </si>
  <si>
    <t>Akumangor</t>
  </si>
  <si>
    <t>UG-EAS-1311-1901</t>
  </si>
  <si>
    <t>Eyabu  Wilson David</t>
  </si>
  <si>
    <t>UG-EAS-1311-1908</t>
  </si>
  <si>
    <t>Erabu  Kokas John</t>
  </si>
  <si>
    <t>Akoboi</t>
  </si>
  <si>
    <t>UG-EAS-1311-1912</t>
  </si>
  <si>
    <t>Ochoer  Robert</t>
  </si>
  <si>
    <t>owoloi</t>
  </si>
  <si>
    <t>Oyuk  Charles</t>
  </si>
  <si>
    <t>Tubur</t>
  </si>
  <si>
    <t>Agonga</t>
  </si>
  <si>
    <t>UG-EAS-1311-1946</t>
  </si>
  <si>
    <t>Aging  Alex</t>
  </si>
  <si>
    <t>orapak</t>
  </si>
  <si>
    <t>UG-EAS-1311-1947</t>
  </si>
  <si>
    <t>Okiror Franco</t>
  </si>
  <si>
    <t>omukuraingei</t>
  </si>
  <si>
    <t>UG-EAS-1311-1948</t>
  </si>
  <si>
    <t>Ocen  Emmanuel</t>
  </si>
  <si>
    <t>Achele B</t>
  </si>
  <si>
    <t>UG-EAS-1311-1977</t>
  </si>
  <si>
    <t>Tongi  Sauba</t>
  </si>
  <si>
    <t>UG-EAS-1311-1978</t>
  </si>
  <si>
    <t>Dongo  Kefa</t>
  </si>
  <si>
    <t>Kyadongo A</t>
  </si>
  <si>
    <t>UG-EAS-1311-2068</t>
  </si>
  <si>
    <t>Oiko  Robert John</t>
  </si>
  <si>
    <t>Abia</t>
  </si>
  <si>
    <t>UG-EAS-1311-2100</t>
  </si>
  <si>
    <t>Emechu  Peter James</t>
  </si>
  <si>
    <t>obalanga T.C</t>
  </si>
  <si>
    <t>UG-EAS-1311-2124</t>
  </si>
  <si>
    <t>Edongot  Sam</t>
  </si>
  <si>
    <t>UG-EAS-1311-2125</t>
  </si>
  <si>
    <t>Kapel Peter John</t>
  </si>
  <si>
    <t>UG-EAS-1311-2126</t>
  </si>
  <si>
    <t>Omongin  Peter James</t>
  </si>
  <si>
    <t>UG-EAS-1311-2165</t>
  </si>
  <si>
    <t>Esadu  Cutheburt</t>
  </si>
  <si>
    <t>Kaderun</t>
  </si>
  <si>
    <t>UG-EAS-1311-2186</t>
  </si>
  <si>
    <t>Ongolinyang  Alex</t>
  </si>
  <si>
    <t>Kajamaka</t>
  </si>
  <si>
    <t>Asio  Genavive</t>
  </si>
  <si>
    <t>otido</t>
  </si>
  <si>
    <t>UG-EAS-1311-2289</t>
  </si>
  <si>
    <t>Wataka  Stephen</t>
  </si>
  <si>
    <t>Blaabh</t>
  </si>
  <si>
    <t>Masika Moses</t>
  </si>
  <si>
    <t>Busereri T.C</t>
  </si>
  <si>
    <t>Mukari  Emmanuel</t>
  </si>
  <si>
    <t>Nabikhenga</t>
  </si>
  <si>
    <t>UG-EAS-1311-3347</t>
  </si>
  <si>
    <t>Baganzi  John Peter Noel</t>
  </si>
  <si>
    <t>Nakanyoni</t>
  </si>
  <si>
    <t>UG-EAS-1311-3607</t>
  </si>
  <si>
    <t>Ongaria  Jenkins</t>
  </si>
  <si>
    <t>Agururu B 2</t>
  </si>
  <si>
    <t>UG-EAS-1311-3625</t>
  </si>
  <si>
    <t>Werishe  John</t>
  </si>
  <si>
    <t>Khakakho</t>
  </si>
  <si>
    <t>Odaaka Nesmo</t>
  </si>
  <si>
    <t>omukulai</t>
  </si>
  <si>
    <t>UG-EAS-1311-4029</t>
  </si>
  <si>
    <t>Muniru  Kere</t>
  </si>
  <si>
    <t>Kagumu 11</t>
  </si>
  <si>
    <t>UG-EAS-1311-4111</t>
  </si>
  <si>
    <t>Nakuya  Magret</t>
  </si>
  <si>
    <t>UG-EAS-1311-4598</t>
  </si>
  <si>
    <t>Nangobi  Jrene  Katende</t>
  </si>
  <si>
    <t>Waraka</t>
  </si>
  <si>
    <t>Ofumbi David</t>
  </si>
  <si>
    <t>Bendo A</t>
  </si>
  <si>
    <t>UG-EAS-1311-4864</t>
  </si>
  <si>
    <t>Okongo  Micheal</t>
  </si>
  <si>
    <t>Agururu B 11</t>
  </si>
  <si>
    <t>UG-EAS-1311-4907</t>
  </si>
  <si>
    <t>Zebtek  Annet</t>
  </si>
  <si>
    <t>Kufu</t>
  </si>
  <si>
    <t>UG-EAS-1312-00014</t>
  </si>
  <si>
    <t>Okombe Sipiriano</t>
  </si>
  <si>
    <t>old mela a</t>
  </si>
  <si>
    <t>UG-EAS-1312-1403</t>
  </si>
  <si>
    <t>Nambagala Muhamad</t>
  </si>
  <si>
    <t>Majeme  Stephen</t>
  </si>
  <si>
    <t>Majiya</t>
  </si>
  <si>
    <t>UG-EAS-1312-1525</t>
  </si>
  <si>
    <t>Otabong   Abuner Ekirapa</t>
  </si>
  <si>
    <t>Atiri central</t>
  </si>
  <si>
    <t>UG-EAS-1312-1550</t>
  </si>
  <si>
    <t>Beatrice  Muyira</t>
  </si>
  <si>
    <t>Manyonyi Upper</t>
  </si>
  <si>
    <t>UG-EAS-1312-1753</t>
  </si>
  <si>
    <t>Emukok  Patrick</t>
  </si>
  <si>
    <t>Aelenyang</t>
  </si>
  <si>
    <t>UG-EAS-1312-1812</t>
  </si>
  <si>
    <t>Ebuka  Basil</t>
  </si>
  <si>
    <t>Awelu Central</t>
  </si>
  <si>
    <t>Akoi  Charles</t>
  </si>
  <si>
    <t>Abakuli</t>
  </si>
  <si>
    <t>UG-EAS-1312-1816</t>
  </si>
  <si>
    <t>Ocen  Peter Simon</t>
  </si>
  <si>
    <t>Agwanjua</t>
  </si>
  <si>
    <t>Wamukota   Samuel</t>
  </si>
  <si>
    <t>Green pasture</t>
  </si>
  <si>
    <t>UG-EAS-1312-1819</t>
  </si>
  <si>
    <t>Esutu  Samuel</t>
  </si>
  <si>
    <t>ojalam</t>
  </si>
  <si>
    <t>UG-EAS-1312-1820</t>
  </si>
  <si>
    <t>Okiror  Faustine</t>
  </si>
  <si>
    <t>ojukot</t>
  </si>
  <si>
    <t>UG-EAS-1312-1861</t>
  </si>
  <si>
    <t>Enyagu  Charles</t>
  </si>
  <si>
    <t>obulei</t>
  </si>
  <si>
    <t>UG-EAS-1312-1862</t>
  </si>
  <si>
    <t>Adiao  Mary</t>
  </si>
  <si>
    <t>Atacia</t>
  </si>
  <si>
    <t>UG-EAS-1312-1863</t>
  </si>
  <si>
    <t>Opiny  Justine</t>
  </si>
  <si>
    <t>Ajaku</t>
  </si>
  <si>
    <t>UG-EAS-1312-1904</t>
  </si>
  <si>
    <t>Eyaku  Peter</t>
  </si>
  <si>
    <t>UG-EAS-1312-1921</t>
  </si>
  <si>
    <t>Okwang  Isaac</t>
  </si>
  <si>
    <t>UG-EAS-1312-1952</t>
  </si>
  <si>
    <t>Muyobo  Kanifa</t>
  </si>
  <si>
    <t>UG-EAS-1312-2099</t>
  </si>
  <si>
    <t>Eselu  Max</t>
  </si>
  <si>
    <t>obaja</t>
  </si>
  <si>
    <t>UG-EAS-1312-2127</t>
  </si>
  <si>
    <t>Omaido  Charles</t>
  </si>
  <si>
    <t>UG-EAS-1312-2210</t>
  </si>
  <si>
    <t>Okedi Joseph</t>
  </si>
  <si>
    <t>oluwa</t>
  </si>
  <si>
    <t>UG-EAS-1312-2287</t>
  </si>
  <si>
    <t>Wamboga  Yasin Hajji Yusuf</t>
  </si>
  <si>
    <t>Bulusambu</t>
  </si>
  <si>
    <t>UG-EAS-1312-2290</t>
  </si>
  <si>
    <t>Mabonga  Shem</t>
  </si>
  <si>
    <t>UG-EAS-1312-2322</t>
  </si>
  <si>
    <t>Neumbe  Hadija</t>
  </si>
  <si>
    <t>Shiluku C</t>
  </si>
  <si>
    <t>Wanasolo  Saidi</t>
  </si>
  <si>
    <t>Nashalo cell</t>
  </si>
  <si>
    <t>Ngati  Namugowa Teddy</t>
  </si>
  <si>
    <t>Bumayoka</t>
  </si>
  <si>
    <t>Bunmee</t>
  </si>
  <si>
    <t>UG-EAS-1312-2351</t>
  </si>
  <si>
    <t>Kuranga  Moses</t>
  </si>
  <si>
    <t>Nabichenga</t>
  </si>
  <si>
    <t>UG-EAS-1312-3745</t>
  </si>
  <si>
    <t>Isabirye Wilson</t>
  </si>
  <si>
    <t>Buduuli</t>
  </si>
  <si>
    <t>UG-EAS-1312-4064</t>
  </si>
  <si>
    <t>Kirya  Samuel</t>
  </si>
  <si>
    <t>Kataka 11</t>
  </si>
  <si>
    <t>Kirya Charles</t>
  </si>
  <si>
    <t>Kobolwa</t>
  </si>
  <si>
    <t>Okoche  Charles</t>
  </si>
  <si>
    <t>UG-EAS-1401-1737</t>
  </si>
  <si>
    <t>Khisa  Mary</t>
  </si>
  <si>
    <t xml:space="preserve">Bubulo </t>
  </si>
  <si>
    <t>Bwasheba</t>
  </si>
  <si>
    <t>UG-EAS-1401-1758</t>
  </si>
  <si>
    <t>Emukok  Joseph</t>
  </si>
  <si>
    <t>Agurgur</t>
  </si>
  <si>
    <t>UG-EAS-1401-1759</t>
  </si>
  <si>
    <t>Amaitum  Aloysius</t>
  </si>
  <si>
    <t>Apolin</t>
  </si>
  <si>
    <t>UG-EAS-1401-1766</t>
  </si>
  <si>
    <t>Eduwan  Charles</t>
  </si>
  <si>
    <t>UG-EAS-1401-1768</t>
  </si>
  <si>
    <t>Ochom  Paul</t>
  </si>
  <si>
    <t>Kanapa. A</t>
  </si>
  <si>
    <t>UG-EAS-1309-4024</t>
  </si>
  <si>
    <t>Mwigo  Samuel</t>
  </si>
  <si>
    <t>UG-EAS-1401-1773</t>
  </si>
  <si>
    <t>Opio  Moses</t>
  </si>
  <si>
    <t>Emalu  Mawa</t>
  </si>
  <si>
    <t>Ajoli</t>
  </si>
  <si>
    <t>UG-EAS-1401-1883</t>
  </si>
  <si>
    <t>Ecodu  Richard</t>
  </si>
  <si>
    <t>olapai</t>
  </si>
  <si>
    <t>UG-EAS-1401-1996</t>
  </si>
  <si>
    <t>Pr Obbo  Nicholas</t>
  </si>
  <si>
    <t>Kamuli Kinomi</t>
  </si>
  <si>
    <t>Kapio  Loy</t>
  </si>
  <si>
    <t>Sidanyi B</t>
  </si>
  <si>
    <t>UG-EAS-1401-2056</t>
  </si>
  <si>
    <t>Ocung  Levi</t>
  </si>
  <si>
    <t>Majengo. B</t>
  </si>
  <si>
    <t>UG-EAS-1401-2196</t>
  </si>
  <si>
    <t>Kabaire Katya Francis Micheal</t>
  </si>
  <si>
    <t>UG-EAS-1401-2286</t>
  </si>
  <si>
    <t>Wandyete  Stephen</t>
  </si>
  <si>
    <t>Shibombi  James</t>
  </si>
  <si>
    <t>UG-EAS-1401-2653</t>
  </si>
  <si>
    <t>Senyengo  Samuel</t>
  </si>
  <si>
    <t>MPUMGWE</t>
  </si>
  <si>
    <t>MAINA</t>
  </si>
  <si>
    <t>UG-EAS-1401-3662</t>
  </si>
  <si>
    <t>Ojambo  Stephen</t>
  </si>
  <si>
    <t>Mella</t>
  </si>
  <si>
    <t>old Mella A</t>
  </si>
  <si>
    <t>UG-EAS-1401-3671</t>
  </si>
  <si>
    <t>Chiloko  Misulum</t>
  </si>
  <si>
    <t>Nalugaya</t>
  </si>
  <si>
    <t>Nyote  Andrew</t>
  </si>
  <si>
    <t>Kwonta</t>
  </si>
  <si>
    <t>UG-EAS-1401-4033</t>
  </si>
  <si>
    <t>Ogwang  Felix</t>
  </si>
  <si>
    <t>Kadumure</t>
  </si>
  <si>
    <t>Jwere  Paul</t>
  </si>
  <si>
    <t>UG-EAS-1401-4086</t>
  </si>
  <si>
    <t>Napete  Hamiri</t>
  </si>
  <si>
    <t>Bugolo</t>
  </si>
  <si>
    <t>UG-EAS-1401-4210</t>
  </si>
  <si>
    <t>Masinde  Juma</t>
  </si>
  <si>
    <t>Busukuya C</t>
  </si>
  <si>
    <t>UG-EAS-1401-4327</t>
  </si>
  <si>
    <t>Mubiru Moses</t>
  </si>
  <si>
    <t>Kagulu</t>
  </si>
  <si>
    <t>Igalaza Kinamayiga</t>
  </si>
  <si>
    <t>UG-EAS-1401-4775</t>
  </si>
  <si>
    <t>Walukhu  Jesca</t>
  </si>
  <si>
    <t>Manafwa T. C</t>
  </si>
  <si>
    <t>Nabwima</t>
  </si>
  <si>
    <t>Khauka  Agatha</t>
  </si>
  <si>
    <t>Nabweyat upper</t>
  </si>
  <si>
    <t>UG-EAS-1401-4787</t>
  </si>
  <si>
    <t>Nabafu  Annet</t>
  </si>
  <si>
    <t>Bunamubi B</t>
  </si>
  <si>
    <t>Oboth  Valantine Jamwa</t>
  </si>
  <si>
    <t>Pasikula south</t>
  </si>
  <si>
    <t>UG-EAS-1401-4789</t>
  </si>
  <si>
    <t>Mangaka  Sam Matanda</t>
  </si>
  <si>
    <t>Bunamalota</t>
  </si>
  <si>
    <t>UG-EAS-1401-4796</t>
  </si>
  <si>
    <t>Kutosi  Benard</t>
  </si>
  <si>
    <t>UG-EAS-1402-04124</t>
  </si>
  <si>
    <t>Alupo  Jane</t>
  </si>
  <si>
    <t>Ajamaka</t>
  </si>
  <si>
    <t>Nandukhu  Swaibu</t>
  </si>
  <si>
    <t>UG-EAS-1402-1583</t>
  </si>
  <si>
    <t>Olwenyi  Robinah</t>
  </si>
  <si>
    <t>Chawolo A</t>
  </si>
  <si>
    <t>Khauka  James</t>
  </si>
  <si>
    <t>UG-EAS-1402-1715</t>
  </si>
  <si>
    <t>Okeya  Fr John Boniventure</t>
  </si>
  <si>
    <t>Sesera</t>
  </si>
  <si>
    <t>UG-EAS-1402-1721</t>
  </si>
  <si>
    <t>Njalira  James</t>
  </si>
  <si>
    <t>Mugulu Central</t>
  </si>
  <si>
    <t>UG-EAS-1402-1722</t>
  </si>
  <si>
    <t>Munyabi  Ezera Hasahya</t>
  </si>
  <si>
    <t>UG-EAS-1402-1723</t>
  </si>
  <si>
    <t>Hirome  Gershom</t>
  </si>
  <si>
    <t>UG-EAS-1402-1730</t>
  </si>
  <si>
    <t>Mwereri   Fred</t>
  </si>
  <si>
    <t>Naweyo A</t>
  </si>
  <si>
    <t>UG-EAS-1402-1801</t>
  </si>
  <si>
    <t>Wanyere  Amza</t>
  </si>
  <si>
    <t>Nabiganda A</t>
  </si>
  <si>
    <t>Ofamba  Agaster</t>
  </si>
  <si>
    <t>Ramogi East</t>
  </si>
  <si>
    <t>UG-EAS-1402-1850</t>
  </si>
  <si>
    <t>Samuel  Okiro</t>
  </si>
  <si>
    <t>Aroba</t>
  </si>
  <si>
    <t>UG-EAS-1402-1943</t>
  </si>
  <si>
    <t>Otekat  Wilson</t>
  </si>
  <si>
    <t>Labor</t>
  </si>
  <si>
    <t>Mulondo</t>
  </si>
  <si>
    <t>Mijasi  Charles</t>
  </si>
  <si>
    <t>Malawa</t>
  </si>
  <si>
    <t>UG-EAS-1402-1994</t>
  </si>
  <si>
    <t>Gamusi  James</t>
  </si>
  <si>
    <t>UG-EAS-1402-2069</t>
  </si>
  <si>
    <t>Oluka  Robert</t>
  </si>
  <si>
    <t>UG-EAS-1402-2088</t>
  </si>
  <si>
    <t>Aporu  Charles (Fr)</t>
  </si>
  <si>
    <t>Alagar</t>
  </si>
  <si>
    <t>Anyang  David</t>
  </si>
  <si>
    <t>UG-EAS-1402-2305</t>
  </si>
  <si>
    <t>Wangaya  Rashid</t>
  </si>
  <si>
    <t>Watenga  Stephen Drs</t>
  </si>
  <si>
    <t>Namabasa Zone 4</t>
  </si>
  <si>
    <t>UG-EAS-1402-3163</t>
  </si>
  <si>
    <t>Tabulwane Kitimbo</t>
  </si>
  <si>
    <t>Buduuli zone</t>
  </si>
  <si>
    <t>UG-EAS-1402-3342</t>
  </si>
  <si>
    <t>Madooba Kategere Peter</t>
  </si>
  <si>
    <t>Budiope East</t>
  </si>
  <si>
    <t>Bukyaza</t>
  </si>
  <si>
    <t>TASKA</t>
  </si>
  <si>
    <t>UG-EAS-1402-3343</t>
  </si>
  <si>
    <t>Otala Emmanuel</t>
  </si>
  <si>
    <t>Kagooho</t>
  </si>
  <si>
    <t>Bagenze Edith</t>
  </si>
  <si>
    <t>Muguluka East</t>
  </si>
  <si>
    <t>Rev  Cyprin  Mugabi</t>
  </si>
  <si>
    <t>Church  zone</t>
  </si>
  <si>
    <t>UG-EAS-1402-3531</t>
  </si>
  <si>
    <t>David  Ouma  Balikowa</t>
  </si>
  <si>
    <t>Mufubira</t>
  </si>
  <si>
    <t>UG-EAS-1402-3536</t>
  </si>
  <si>
    <t>Dhabangi  Mpata  Andrew</t>
  </si>
  <si>
    <t>Magamaga  East</t>
  </si>
  <si>
    <t>UG-EAS-1402-3651</t>
  </si>
  <si>
    <t>Fr Alex Okello</t>
  </si>
  <si>
    <t>Walukuba Masese</t>
  </si>
  <si>
    <t>School village</t>
  </si>
  <si>
    <t>Hirya  Patrick Magambo</t>
  </si>
  <si>
    <t>UG-EAS-1402-3668</t>
  </si>
  <si>
    <t>Fuuwa M Fred</t>
  </si>
  <si>
    <t>UG-EAS-1402-3749</t>
  </si>
  <si>
    <t>Ivaibi  Charles</t>
  </si>
  <si>
    <t>Kizuba</t>
  </si>
  <si>
    <t>UG-EAS-1402-3793</t>
  </si>
  <si>
    <t>Ikaali  Zeridah</t>
  </si>
  <si>
    <t>UG-EAS-1402-3900</t>
  </si>
  <si>
    <t>Kasittara  Amootti</t>
  </si>
  <si>
    <t>Maganda</t>
  </si>
  <si>
    <t>Nabweyo</t>
  </si>
  <si>
    <t>UG-EAS-1310-4098</t>
  </si>
  <si>
    <t>Obwapus Peter</t>
  </si>
  <si>
    <t>omuria akere</t>
  </si>
  <si>
    <t>UG-EAS-1402-4019</t>
  </si>
  <si>
    <t>Egolet  Joseph</t>
  </si>
  <si>
    <t>UG-EAS-1402-4061</t>
  </si>
  <si>
    <t>Namuyangu  Jenifer</t>
  </si>
  <si>
    <t>Nanoko 1</t>
  </si>
  <si>
    <t>UG-EAS-1402-4067</t>
  </si>
  <si>
    <t>Kataike  Jane</t>
  </si>
  <si>
    <t>Kibuku T/ C</t>
  </si>
  <si>
    <t>Bukomolo</t>
  </si>
  <si>
    <t>Kyabanakolanga  Abraham</t>
  </si>
  <si>
    <t>UG-EAS-1402-4107</t>
  </si>
  <si>
    <t>Wamunga Francis</t>
  </si>
  <si>
    <t>UG-EAS-1402-4135</t>
  </si>
  <si>
    <t>Loyan  Titus</t>
  </si>
  <si>
    <t>Namalu</t>
  </si>
  <si>
    <t>Nakatapan</t>
  </si>
  <si>
    <t>UG-EAS-1402-4331</t>
  </si>
  <si>
    <t>Mugabi  Julius</t>
  </si>
  <si>
    <t>Wairaka  B</t>
  </si>
  <si>
    <t>UG-EAS-1402-4422</t>
  </si>
  <si>
    <t>Mutalage Kennth</t>
  </si>
  <si>
    <t>buwenge</t>
  </si>
  <si>
    <t>magamaga east</t>
  </si>
  <si>
    <t>UG-EAS-1402-4549</t>
  </si>
  <si>
    <t>Naluga  Kate</t>
  </si>
  <si>
    <t>Upland</t>
  </si>
  <si>
    <t>Ngobi  Joseph</t>
  </si>
  <si>
    <t>UG-EAS-1402-4657</t>
  </si>
  <si>
    <t>Ngonbi  Ronald</t>
  </si>
  <si>
    <t>Busiya 2</t>
  </si>
  <si>
    <t>Ngonde William</t>
  </si>
  <si>
    <t>Bugonde</t>
  </si>
  <si>
    <t>Owori  Geofrey Suwa</t>
  </si>
  <si>
    <t>Agururu A</t>
  </si>
  <si>
    <t>UG-EAS-1402-4797</t>
  </si>
  <si>
    <t>Wamono  John</t>
  </si>
  <si>
    <t>UG-EAS-1402-4800</t>
  </si>
  <si>
    <t>Mandu  David</t>
  </si>
  <si>
    <t>Namutembi</t>
  </si>
  <si>
    <t>Wanyama  Lawrence</t>
  </si>
  <si>
    <t>Syangu</t>
  </si>
  <si>
    <t>UG-EAS-1402-4824</t>
  </si>
  <si>
    <t>Mangeni  Wiclif</t>
  </si>
  <si>
    <t>UG-EAS-1402-4825</t>
  </si>
  <si>
    <t>Sombi  Samuel Eli</t>
  </si>
  <si>
    <t>Buhenye</t>
  </si>
  <si>
    <t>UG-EAS-1402-4878</t>
  </si>
  <si>
    <t>Walukawa  Dorothy</t>
  </si>
  <si>
    <t>Fr Mubi  Dominic</t>
  </si>
  <si>
    <t>UG-EAS-1402-581</t>
  </si>
  <si>
    <t>Ikanga  Zubuiri</t>
  </si>
  <si>
    <t>Buseete</t>
  </si>
  <si>
    <t>UG-EAS-1402-584</t>
  </si>
  <si>
    <t>Kiveigombe  Kiruda</t>
  </si>
  <si>
    <t>BUWENGE</t>
  </si>
  <si>
    <t>IGOMBE BUSIGE</t>
  </si>
  <si>
    <t>UG-EAS-1402-585</t>
  </si>
  <si>
    <t>Katuntu  Moses</t>
  </si>
  <si>
    <t>BUWERA EAST</t>
  </si>
  <si>
    <t>UG-EAS-1402-586</t>
  </si>
  <si>
    <t>Kiruda  John</t>
  </si>
  <si>
    <t>BUYENGo</t>
  </si>
  <si>
    <t>NAKAJo</t>
  </si>
  <si>
    <t>UG-EAS-1402-587</t>
  </si>
  <si>
    <t>Kezaala  Jsabirye Awpakusadi</t>
  </si>
  <si>
    <t>NALINAIBI</t>
  </si>
  <si>
    <t>UG-EAS-1402-588</t>
  </si>
  <si>
    <t>Kakaire  Rose</t>
  </si>
  <si>
    <t>BISEDE</t>
  </si>
  <si>
    <t>Lukonko</t>
  </si>
  <si>
    <t>Repaired, she is not feeding because her covers were not done.</t>
  </si>
  <si>
    <t>Akello  Stella</t>
  </si>
  <si>
    <t>obur</t>
  </si>
  <si>
    <t>UG-EAS-1402-599</t>
  </si>
  <si>
    <t>Mulondo  Regina</t>
  </si>
  <si>
    <t>BUTAGAYA</t>
  </si>
  <si>
    <t>Bulondo A</t>
  </si>
  <si>
    <t>UG-EAS-1402-600</t>
  </si>
  <si>
    <t>Wakainja  Silvester</t>
  </si>
  <si>
    <t>Bugiri</t>
  </si>
  <si>
    <t>Bukooli</t>
  </si>
  <si>
    <t>BWUNGA</t>
  </si>
  <si>
    <t>BUSoWA</t>
  </si>
  <si>
    <t>UG-EAS-1402-736</t>
  </si>
  <si>
    <t>Baidnye  Isabirye  Livingstone</t>
  </si>
  <si>
    <t>UG-EAS-1403-1942</t>
  </si>
  <si>
    <t>Ogwang  Michael</t>
  </si>
  <si>
    <t>Garama B</t>
  </si>
  <si>
    <t>Ebulu  Augustine</t>
  </si>
  <si>
    <t>omanju</t>
  </si>
  <si>
    <t>UG-EAS-1403-4126</t>
  </si>
  <si>
    <t>Kangogo  Alice</t>
  </si>
  <si>
    <t>Buyonjo</t>
  </si>
  <si>
    <t>Lendos  Busia Farm</t>
  </si>
  <si>
    <t>Dabani</t>
  </si>
  <si>
    <t>Busiwundo</t>
  </si>
  <si>
    <t>UG-EAS-1404-02053</t>
  </si>
  <si>
    <t>Kayaye  Francis (Rev Fr)</t>
  </si>
  <si>
    <t>Cell .K</t>
  </si>
  <si>
    <t>Mudulo  Henery</t>
  </si>
  <si>
    <t>Oluka  Michael</t>
  </si>
  <si>
    <t>odukurun</t>
  </si>
  <si>
    <t>UG-EAS-1404-1857</t>
  </si>
  <si>
    <t>Amoriot Martha</t>
  </si>
  <si>
    <t>onyorai</t>
  </si>
  <si>
    <t>UG-EAS-1404-1858</t>
  </si>
  <si>
    <t>Opwata  Wilbert</t>
  </si>
  <si>
    <t>UG-EAS-1404-3331</t>
  </si>
  <si>
    <t xml:space="preserve">Kayobyo  Racheal </t>
  </si>
  <si>
    <t>Namwendwa</t>
  </si>
  <si>
    <t>Busooko</t>
  </si>
  <si>
    <t>UG-EAS-1405-1396</t>
  </si>
  <si>
    <t>Munialo  Paul</t>
  </si>
  <si>
    <t>UG-EAS-1405-4798</t>
  </si>
  <si>
    <t>Kabuni  Jennifar</t>
  </si>
  <si>
    <t>Bunandutu B</t>
  </si>
  <si>
    <t>UG-EAS-1406-1394</t>
  </si>
  <si>
    <t>Waninga  Abasa</t>
  </si>
  <si>
    <t>UG-EAS-1406-1398</t>
  </si>
  <si>
    <t>Nakhumista  Lorna</t>
  </si>
  <si>
    <t>UG-EAS-1406-1399</t>
  </si>
  <si>
    <t>Dr Wamasebey  Gidion</t>
  </si>
  <si>
    <t>Makwekwe</t>
  </si>
  <si>
    <t>Melembe cell</t>
  </si>
  <si>
    <t>Wamaniala  William George</t>
  </si>
  <si>
    <t>Nakungu  Zula</t>
  </si>
  <si>
    <t>Nabalegwa  Muzamilu</t>
  </si>
  <si>
    <t>UG-EAS-1311-4035</t>
  </si>
  <si>
    <t>Kamya  Pison</t>
  </si>
  <si>
    <t>Iki- iki</t>
  </si>
  <si>
    <t>Nambobi  Saadi</t>
  </si>
  <si>
    <t>Mubaje  Mutwalibu</t>
  </si>
  <si>
    <t>UG-EAS-1406-1432</t>
  </si>
  <si>
    <t>Kai  Sarah</t>
  </si>
  <si>
    <t>Muyonga Suleiman</t>
  </si>
  <si>
    <t>Masanda B</t>
  </si>
  <si>
    <t>Wairawo  Asadi</t>
  </si>
  <si>
    <t>Higenyi  Sarah</t>
  </si>
  <si>
    <t>Bugembe</t>
  </si>
  <si>
    <t>Wabugoya  Callist</t>
  </si>
  <si>
    <t>UG-EAS-1406-1478</t>
  </si>
  <si>
    <t>Webo  Mary</t>
  </si>
  <si>
    <t>Namanyonyi c</t>
  </si>
  <si>
    <t>UG-EAS-1406-1492</t>
  </si>
  <si>
    <t>Kato Sam</t>
  </si>
  <si>
    <t>UG-EAS-1406-1506</t>
  </si>
  <si>
    <t>Namonyi  Perez</t>
  </si>
  <si>
    <t>Bungulya</t>
  </si>
  <si>
    <t>Kamala  David</t>
  </si>
  <si>
    <t>Busamila upper</t>
  </si>
  <si>
    <t>UG-EAS-1406-1571</t>
  </si>
  <si>
    <t>Kabale  Fazali</t>
  </si>
  <si>
    <t>UG-EAS-1406-1892</t>
  </si>
  <si>
    <t>Mafabi  Habibu</t>
  </si>
  <si>
    <t>Masanda A</t>
  </si>
  <si>
    <t>Mudondo  Amina</t>
  </si>
  <si>
    <t>Bungulia</t>
  </si>
  <si>
    <t>UG-EAS-1406-2254</t>
  </si>
  <si>
    <t>Namwilya  Azina</t>
  </si>
  <si>
    <t>Namutamba Jesca</t>
  </si>
  <si>
    <t>Bus amir a</t>
  </si>
  <si>
    <t>UG-EAS-1406-3299</t>
  </si>
  <si>
    <t>Aida  Opio</t>
  </si>
  <si>
    <t>UG-EAS-1406-3626</t>
  </si>
  <si>
    <t>Lumbazi  Difasi Wudu</t>
  </si>
  <si>
    <t>Madanda  Muhamad</t>
  </si>
  <si>
    <t>UG-EAS-1407-1370</t>
  </si>
  <si>
    <t>Atukei  Fatuma Y</t>
  </si>
  <si>
    <t>UG-EAS-1407-1371</t>
  </si>
  <si>
    <t>Mafabi  Jesca</t>
  </si>
  <si>
    <t>UG-EAS-1312-2093</t>
  </si>
  <si>
    <t>Eseru  Peter Simon</t>
  </si>
  <si>
    <t>Atukit</t>
  </si>
  <si>
    <t>UG-EAS-1407-1372</t>
  </si>
  <si>
    <t>Makiika  Ivan</t>
  </si>
  <si>
    <t>UG-EAS-1407-1374</t>
  </si>
  <si>
    <t>Nanyiri  Solomon</t>
  </si>
  <si>
    <t>BUD B</t>
  </si>
  <si>
    <t>UG-EAS-1407-1376</t>
  </si>
  <si>
    <t>Kamara  Nakoma</t>
  </si>
  <si>
    <t>UG-EAS-1407-1378</t>
  </si>
  <si>
    <t>Gimui  Oliva</t>
  </si>
  <si>
    <t>UG-EAS-1407-1379</t>
  </si>
  <si>
    <t>Saikwa  Betty</t>
  </si>
  <si>
    <t>Shabene  Patrick</t>
  </si>
  <si>
    <t>Gidudu  Kanifa</t>
  </si>
  <si>
    <t>Nakonbe/makudui</t>
  </si>
  <si>
    <t>Mudambo  Sarah</t>
  </si>
  <si>
    <t>UG-EAS-1312-3338</t>
  </si>
  <si>
    <t>Ojambo  Justin</t>
  </si>
  <si>
    <t>Budondo</t>
  </si>
  <si>
    <t>Bugali</t>
  </si>
  <si>
    <t>UG-EAS-1407-1386</t>
  </si>
  <si>
    <t>Midyero  Yasin</t>
  </si>
  <si>
    <t>UG-EAS-1312-4018</t>
  </si>
  <si>
    <t>Okudo  Emmanuel</t>
  </si>
  <si>
    <t>UG-EAS-1312-4037</t>
  </si>
  <si>
    <t>Mboga  Solomon</t>
  </si>
  <si>
    <t>Kadenge 1</t>
  </si>
  <si>
    <t>UG-EAS-1407-1389</t>
  </si>
  <si>
    <t>Muyama  Agnes</t>
  </si>
  <si>
    <t>UG-EAS-1407-1390</t>
  </si>
  <si>
    <t>Nagwere  Mutwalibu</t>
  </si>
  <si>
    <t>UG-EAS-1407-1391</t>
  </si>
  <si>
    <t>Wambede  Habibu</t>
  </si>
  <si>
    <t>UG-EAS-1407-1392</t>
  </si>
  <si>
    <t>Namataka  Anet</t>
  </si>
  <si>
    <t>Wanyofu  Sulaiti</t>
  </si>
  <si>
    <t>UG-EAS-1407-1404</t>
  </si>
  <si>
    <t>Nulu  Badiru</t>
  </si>
  <si>
    <t>Namanyonyi A</t>
  </si>
  <si>
    <t>UG-EAS-1407-1405</t>
  </si>
  <si>
    <t>Livori  Kasifa</t>
  </si>
  <si>
    <t>Madoyi   Failosi</t>
  </si>
  <si>
    <t>Nambobi  Irine</t>
  </si>
  <si>
    <t>Ndege</t>
  </si>
  <si>
    <t>Nalulu  Willison</t>
  </si>
  <si>
    <t>Nachigalo</t>
  </si>
  <si>
    <t>Elolu  Martin</t>
  </si>
  <si>
    <t>Gonona  Abdu</t>
  </si>
  <si>
    <t>Namabwa</t>
  </si>
  <si>
    <t>Ndyabigogo  Bumali</t>
  </si>
  <si>
    <t>Kanyonyi  Yacob</t>
  </si>
  <si>
    <t>Foosi  Mutwalibi</t>
  </si>
  <si>
    <t>Nandudu  Fatima</t>
  </si>
  <si>
    <t>Wamwangu  Sulai</t>
  </si>
  <si>
    <t>Nabugoya</t>
  </si>
  <si>
    <t>Wambende  Akisoferi</t>
  </si>
  <si>
    <t>UG-EAS-1401-3477</t>
  </si>
  <si>
    <t>Was repaired, never fed</t>
  </si>
  <si>
    <t>Bufunvu George</t>
  </si>
  <si>
    <t>Busakwa</t>
  </si>
  <si>
    <t>Masuba  Bashiri</t>
  </si>
  <si>
    <t>Nabugonya</t>
  </si>
  <si>
    <t>Mukwaya  Tom</t>
  </si>
  <si>
    <t>Kanikwa B</t>
  </si>
  <si>
    <t>UG-EAS-1407-1462</t>
  </si>
  <si>
    <t>Wanzemba  Ahamid</t>
  </si>
  <si>
    <t>Nagwere  Beatrice</t>
  </si>
  <si>
    <t>Bujje  Charles</t>
  </si>
  <si>
    <t>Bugal</t>
  </si>
  <si>
    <t>Nabigwako  Phoebe</t>
  </si>
  <si>
    <t>Nambobi  Siraj</t>
  </si>
  <si>
    <t>Sendi  Yokosani</t>
  </si>
  <si>
    <t>Kagoya  Alisati</t>
  </si>
  <si>
    <t>Zakaria  Fatina</t>
  </si>
  <si>
    <t>UG-EAS-1407-1477</t>
  </si>
  <si>
    <t>Mugombe  Joseph</t>
  </si>
  <si>
    <t>UG-EAS-1407-1479</t>
  </si>
  <si>
    <t>Kawere  Connie</t>
  </si>
  <si>
    <t>Nkoma c</t>
  </si>
  <si>
    <t>UG-EAS-1401-4795</t>
  </si>
  <si>
    <t>Bwayo  David</t>
  </si>
  <si>
    <t>Nalwaza</t>
  </si>
  <si>
    <t>Nasiki</t>
  </si>
  <si>
    <t>UG-EAS-1407-1482</t>
  </si>
  <si>
    <t>Nakayima  Halima</t>
  </si>
  <si>
    <t>UG-EAS-1401-4799</t>
  </si>
  <si>
    <t>Musungu  Juliet</t>
  </si>
  <si>
    <t>Bwagogo</t>
  </si>
  <si>
    <t>Nandusi</t>
  </si>
  <si>
    <t>UG-EAS-1407-1483</t>
  </si>
  <si>
    <t>Musingire  Moses</t>
  </si>
  <si>
    <t>UG-EAS-1407-1485</t>
  </si>
  <si>
    <t>Ndnga   W Stephen</t>
  </si>
  <si>
    <t>UG-EAS-1407-1486</t>
  </si>
  <si>
    <t>Baligeya Mutwalibi</t>
  </si>
  <si>
    <t>Kalasha  James</t>
  </si>
  <si>
    <t>Mastula  Mazune</t>
  </si>
  <si>
    <t>Wagibi  Michael</t>
  </si>
  <si>
    <t>UG-EAS-1407-1572</t>
  </si>
  <si>
    <t>Kabala   Yahaya Tahata</t>
  </si>
  <si>
    <t>Nagonlo / Nakunsi</t>
  </si>
  <si>
    <t>UG-EAS-1407-1574</t>
  </si>
  <si>
    <t>Mwima  Sulai</t>
  </si>
  <si>
    <t>Mbiko B</t>
  </si>
  <si>
    <t>Wataka  Josephine</t>
  </si>
  <si>
    <t>UG-EAS-1407-1856</t>
  </si>
  <si>
    <t>Ineku  Judith</t>
  </si>
  <si>
    <t>Agirigiroi</t>
  </si>
  <si>
    <t>UG-EAS-1407-1889</t>
  </si>
  <si>
    <t>Hiire   Nekemeya</t>
  </si>
  <si>
    <t>Kinyole A</t>
  </si>
  <si>
    <t>UG-EAS-1407-1890</t>
  </si>
  <si>
    <t>Kulusomu  Kagoya</t>
  </si>
  <si>
    <t>UG-EAS-1407-2257</t>
  </si>
  <si>
    <t xml:space="preserve">Bulangi Zabina </t>
  </si>
  <si>
    <t>UG-EAS-1407-2266</t>
  </si>
  <si>
    <t>Musede  Fatima</t>
  </si>
  <si>
    <t>UG-EAS-1407-2272</t>
  </si>
  <si>
    <t>Wamboga Moses</t>
  </si>
  <si>
    <t xml:space="preserve">Kitata </t>
  </si>
  <si>
    <t>UG-EAS-1402-2084</t>
  </si>
  <si>
    <t>Aben Charles</t>
  </si>
  <si>
    <t>Cell A</t>
  </si>
  <si>
    <t>Guloba  Ali</t>
  </si>
  <si>
    <t>Aisa Teko lower</t>
  </si>
  <si>
    <t>UG-EAS-1402-2098</t>
  </si>
  <si>
    <t>Eragu  Hillary (Fr)</t>
  </si>
  <si>
    <t>Apeduru</t>
  </si>
  <si>
    <t>Amucu</t>
  </si>
  <si>
    <t>UG-EAS-1407-2388</t>
  </si>
  <si>
    <t>Massa  Hussien</t>
  </si>
  <si>
    <t>Asumo  Christine</t>
  </si>
  <si>
    <t>UG-EAS-1402-2219</t>
  </si>
  <si>
    <t>Ouno  John</t>
  </si>
  <si>
    <t>UG-EAS-1407-2397</t>
  </si>
  <si>
    <t>Magona  Asuman</t>
  </si>
  <si>
    <t>Teco</t>
  </si>
  <si>
    <t>UG-EAS-1407-4127</t>
  </si>
  <si>
    <t>Walibwa  Beatrice</t>
  </si>
  <si>
    <t>Bushiyi</t>
  </si>
  <si>
    <t>Matuwa</t>
  </si>
  <si>
    <t>Kamwebaz  Winfred</t>
  </si>
  <si>
    <t>Namabasa Zone4</t>
  </si>
  <si>
    <t>UG-EAS-1407-4802</t>
  </si>
  <si>
    <t>Khauka  Milton</t>
  </si>
  <si>
    <t>Buwesswa</t>
  </si>
  <si>
    <t>Shirobo</t>
  </si>
  <si>
    <t>Kitimbo   Moses Waiswa</t>
  </si>
  <si>
    <t>Kitayunjja</t>
  </si>
  <si>
    <t>Butimba</t>
  </si>
  <si>
    <t>UG-EAS-1402-3336</t>
  </si>
  <si>
    <t>Tusasirwe  Perez</t>
  </si>
  <si>
    <t>Bunya</t>
  </si>
  <si>
    <t>UG-EAS-1402-3337</t>
  </si>
  <si>
    <t xml:space="preserve">Fr Mubiru  Patrick </t>
  </si>
  <si>
    <t>Jinja municipal</t>
  </si>
  <si>
    <t>Rippon</t>
  </si>
  <si>
    <t>Majeme  Samuel</t>
  </si>
  <si>
    <t>Weswa</t>
  </si>
  <si>
    <t>Buteme Shalwa</t>
  </si>
  <si>
    <t>Odoi  Joseph</t>
  </si>
  <si>
    <t>UG-EAS-1408-1351</t>
  </si>
  <si>
    <t>Balike  Kiyingi Lukiya</t>
  </si>
  <si>
    <t>namanyonyi</t>
  </si>
  <si>
    <t>kilulu</t>
  </si>
  <si>
    <t>Christopher  M Mugongo</t>
  </si>
  <si>
    <t>UG-EAS-1408-1397</t>
  </si>
  <si>
    <t>Kwalinga  Yokosani</t>
  </si>
  <si>
    <t>UG-EAS-1408-1400</t>
  </si>
  <si>
    <t>Mutangi  Mary</t>
  </si>
  <si>
    <t>Wanokokha  John</t>
  </si>
  <si>
    <t>Bunembe</t>
  </si>
  <si>
    <t>Kokiko  Bushir</t>
  </si>
  <si>
    <t>Nagudi  Betty</t>
  </si>
  <si>
    <t>UG-EAS-1408-1448</t>
  </si>
  <si>
    <t>Mwajuma  Kadambi</t>
  </si>
  <si>
    <t>Mudde  Peter</t>
  </si>
  <si>
    <t>Nafuna  Stella</t>
  </si>
  <si>
    <t>UG-EAS-1408-1481</t>
  </si>
  <si>
    <t>Gabili Ali</t>
  </si>
  <si>
    <t>Kisubi  Wilson</t>
  </si>
  <si>
    <t>Jinja west</t>
  </si>
  <si>
    <t>UG-EAS-1408-1484</t>
  </si>
  <si>
    <t>Makwata  Simaya</t>
  </si>
  <si>
    <t>Wakaisa  Edirisa</t>
  </si>
  <si>
    <t>Makudui centre</t>
  </si>
  <si>
    <t>UG-EAS-1408-1558</t>
  </si>
  <si>
    <t>Owor  Christopher Osinde</t>
  </si>
  <si>
    <t>Magelo</t>
  </si>
  <si>
    <t>UG-EAS-1408-1560</t>
  </si>
  <si>
    <t>Olowo   Donosio</t>
  </si>
  <si>
    <t>Munyenyi B</t>
  </si>
  <si>
    <t>Ochwo  Augustino Okadwardo</t>
  </si>
  <si>
    <t>Mutanda  Living  Stone</t>
  </si>
  <si>
    <t>Nakalama</t>
  </si>
  <si>
    <t>Nampirika</t>
  </si>
  <si>
    <t>Awor   Mary Opoya</t>
  </si>
  <si>
    <t>Onyango  Charles</t>
  </si>
  <si>
    <t>Naguyo  Nalongo</t>
  </si>
  <si>
    <t>C3 Mpumudde</t>
  </si>
  <si>
    <t>UG-EAS-1408-1599</t>
  </si>
  <si>
    <t>Mwanguzi  Stella</t>
  </si>
  <si>
    <t>Aketch  Getulida Oketcho</t>
  </si>
  <si>
    <t>Kandi</t>
  </si>
  <si>
    <t>UG-EAS-1408-1865</t>
  </si>
  <si>
    <t>Ebulu  Jorem</t>
  </si>
  <si>
    <t>Eliachu  Joseph</t>
  </si>
  <si>
    <t>orieta B</t>
  </si>
  <si>
    <t>Ebaru  Kokas</t>
  </si>
  <si>
    <t>omukura</t>
  </si>
  <si>
    <t>UG-EAS-1402-4790</t>
  </si>
  <si>
    <t>Matanda Jennifar</t>
  </si>
  <si>
    <t>Bunabuzale</t>
  </si>
  <si>
    <t>UG-EAS-1408-1878</t>
  </si>
  <si>
    <t>Ejoku  Washington</t>
  </si>
  <si>
    <t>obak</t>
  </si>
  <si>
    <t>UG-EAS-1408-1879</t>
  </si>
  <si>
    <t>Egonyu  James</t>
  </si>
  <si>
    <t>Agama Agulei</t>
  </si>
  <si>
    <t>UG-EAS-1408-1891</t>
  </si>
  <si>
    <t>Mugabe Bashir</t>
  </si>
  <si>
    <t>UG-EAS-1408-1920</t>
  </si>
  <si>
    <t>Eulu  Bosco John</t>
  </si>
  <si>
    <t>omoche</t>
  </si>
  <si>
    <t>Elungu  Peter</t>
  </si>
  <si>
    <t>Acuna</t>
  </si>
  <si>
    <t>UG-EAS-1408-2262</t>
  </si>
  <si>
    <t>Wagoma Amidu</t>
  </si>
  <si>
    <t>UG-EAS-1408-2265</t>
  </si>
  <si>
    <t>Were  Samson</t>
  </si>
  <si>
    <t>UG-EAS-1402-574</t>
  </si>
  <si>
    <t>Mukunya  Grace Plant 1</t>
  </si>
  <si>
    <t>NTINDA</t>
  </si>
  <si>
    <t>UG-EAS-1408-2273</t>
  </si>
  <si>
    <t>Kabala  James</t>
  </si>
  <si>
    <t>NAMAGUMBA kifafa</t>
  </si>
  <si>
    <t>UG-EAS-1408-2274</t>
  </si>
  <si>
    <t>Masaya  Musilamu</t>
  </si>
  <si>
    <t>UG-EAS-1408-2277</t>
  </si>
  <si>
    <t>Bulobe   Michael</t>
  </si>
  <si>
    <t>Aisa tako</t>
  </si>
  <si>
    <t>UG-EAS-1408-2366</t>
  </si>
  <si>
    <t>Nagumba  Edward Nuru</t>
  </si>
  <si>
    <t>UG-EAS-1408-2389</t>
  </si>
  <si>
    <t>Kuchana  Fred</t>
  </si>
  <si>
    <t>Asia Teco</t>
  </si>
  <si>
    <t>UG-EAS-1408-3654</t>
  </si>
  <si>
    <t>Bwire  Patrick</t>
  </si>
  <si>
    <t>Lutolo A</t>
  </si>
  <si>
    <t>UG-EAS-1402-590</t>
  </si>
  <si>
    <t>Rebecca  Nakasanga</t>
  </si>
  <si>
    <t>KAKIRA</t>
  </si>
  <si>
    <t>WAIRAKA</t>
  </si>
  <si>
    <t>UG-EAS-1408-4162</t>
  </si>
  <si>
    <t>Kitingi Abdu</t>
  </si>
  <si>
    <t>UG-EAS-1408-4803</t>
  </si>
  <si>
    <t>Kutosi  Stephen</t>
  </si>
  <si>
    <t>UG-EAS-1408-853</t>
  </si>
  <si>
    <t>Muliro Betty</t>
  </si>
  <si>
    <t>Mango</t>
  </si>
  <si>
    <t>UG-EAS-1409-01395</t>
  </si>
  <si>
    <t>Khatuwa  Moses</t>
  </si>
  <si>
    <t>Masaba  Mzee Mubakali Mutwalibi</t>
  </si>
  <si>
    <t>Ndega  John</t>
  </si>
  <si>
    <t>UG-EAS-1409-1502</t>
  </si>
  <si>
    <t>Wanga  Yobu</t>
  </si>
  <si>
    <t>UG-EAS-1409-1559</t>
  </si>
  <si>
    <t>Okello  John Martin</t>
  </si>
  <si>
    <t>Namwanga</t>
  </si>
  <si>
    <t>UG-EAS-1409-1562</t>
  </si>
  <si>
    <t>Lamula  Kaiza</t>
  </si>
  <si>
    <t>UG-EAS-1409-1567</t>
  </si>
  <si>
    <t>Wakhabenye  Kenneth</t>
  </si>
  <si>
    <t>UG-EAS-1409-1569</t>
  </si>
  <si>
    <t>Ofwono  Jackson</t>
  </si>
  <si>
    <t>Magoka</t>
  </si>
  <si>
    <t>UG-EAS-1409-1570</t>
  </si>
  <si>
    <t>Odoi  Difasi</t>
  </si>
  <si>
    <t>Olwenyi    Chrispine</t>
  </si>
  <si>
    <t>Odoi   Zephania</t>
  </si>
  <si>
    <t>UG-EAS-1405-1738</t>
  </si>
  <si>
    <t>Watiti  Martin</t>
  </si>
  <si>
    <t>Buwasyeba</t>
  </si>
  <si>
    <t>UG-EAS-1405-1822</t>
  </si>
  <si>
    <t>Oluga  Francis John</t>
  </si>
  <si>
    <t>olwa B</t>
  </si>
  <si>
    <t>UG-EAS-1409-1579</t>
  </si>
  <si>
    <t>Othieno  Jackson</t>
  </si>
  <si>
    <t>Ochari  Geofrey</t>
  </si>
  <si>
    <t>UG-EAS-1409-1601</t>
  </si>
  <si>
    <t>Osinde  Wilberforce Owino</t>
  </si>
  <si>
    <t>Barinyanga</t>
  </si>
  <si>
    <t>UG-EAS-1409-1603</t>
  </si>
  <si>
    <t>Ochari  Lawrence</t>
  </si>
  <si>
    <t>UG-EAS-1409-1604</t>
  </si>
  <si>
    <t>Othieno  Raphael</t>
  </si>
  <si>
    <t>Nawire north</t>
  </si>
  <si>
    <t>Mugabe  Jane</t>
  </si>
  <si>
    <t>Namanyonyi C</t>
  </si>
  <si>
    <t>UG-EAS-1406-1407</t>
  </si>
  <si>
    <t>Musenero  Farida</t>
  </si>
  <si>
    <t>UG-EAS-1409-1606</t>
  </si>
  <si>
    <t>Omollo  Martin Ojambo</t>
  </si>
  <si>
    <t>UG-EAS-1409-1656</t>
  </si>
  <si>
    <t>Owere  Vicent</t>
  </si>
  <si>
    <t>UG-EAS-1409-1689</t>
  </si>
  <si>
    <t>Mugwiri  Richard</t>
  </si>
  <si>
    <t>Mahuyu</t>
  </si>
  <si>
    <t>UG-EAS-1409-1690</t>
  </si>
  <si>
    <t>Wenghe  Besweri</t>
  </si>
  <si>
    <t>Lubangwe</t>
  </si>
  <si>
    <t>UG-EAS-1409-1694</t>
  </si>
  <si>
    <t>Bunyere  Dauson</t>
  </si>
  <si>
    <t>Manyamye East</t>
  </si>
  <si>
    <t>UG-EAS-1409-1695</t>
  </si>
  <si>
    <t>Muhota  Wilberforce</t>
  </si>
  <si>
    <t>Manyamye west</t>
  </si>
  <si>
    <t>UG-EAS-1409-1697</t>
  </si>
  <si>
    <t>Owino  Colonis</t>
  </si>
  <si>
    <t>Namanda</t>
  </si>
  <si>
    <t>Mubale  Gideon</t>
  </si>
  <si>
    <t>Budumba</t>
  </si>
  <si>
    <t>Tambala</t>
  </si>
  <si>
    <t>UG-EAS-1409-1703</t>
  </si>
  <si>
    <t>Mugoya  Hawa</t>
  </si>
  <si>
    <t>Mulabi  Wilson</t>
  </si>
  <si>
    <t>Nanghunga</t>
  </si>
  <si>
    <t>UG-EAS-1409-1706</t>
  </si>
  <si>
    <t>Mukabya  Moses</t>
  </si>
  <si>
    <t>Mukaye  Florence</t>
  </si>
  <si>
    <t>UG-EAS-1406-1494</t>
  </si>
  <si>
    <t>Magomu Margeret</t>
  </si>
  <si>
    <t>UG-EAS-1406-1504</t>
  </si>
  <si>
    <t>Kadondi  Aminati</t>
  </si>
  <si>
    <t>UG-EAS-1409-1707</t>
  </si>
  <si>
    <t>Mulongo  Mesasere</t>
  </si>
  <si>
    <t>UG-EAS-1409-1708</t>
  </si>
  <si>
    <t>Hamoga Robert</t>
  </si>
  <si>
    <t>Nawandagala</t>
  </si>
  <si>
    <t>UG-EAS-1409-1709</t>
  </si>
  <si>
    <t>Nalulu  Zira</t>
  </si>
  <si>
    <t>UG-EAS-1409-1805</t>
  </si>
  <si>
    <t>Eseru  Justine</t>
  </si>
  <si>
    <t>olumot</t>
  </si>
  <si>
    <t>UG-EAS-1409-1806</t>
  </si>
  <si>
    <t>Ibiara  Magaret</t>
  </si>
  <si>
    <t>oderai</t>
  </si>
  <si>
    <t>UG-EAS-1409-1845</t>
  </si>
  <si>
    <t>Nakiria  Winfred</t>
  </si>
  <si>
    <t>olagara</t>
  </si>
  <si>
    <t>Esomu  Emmanuel</t>
  </si>
  <si>
    <t>Tubur central</t>
  </si>
  <si>
    <t>UG-EAS-1409-1869</t>
  </si>
  <si>
    <t>Ekaju  Michael John</t>
  </si>
  <si>
    <t>UG-EAS-1409-1870</t>
  </si>
  <si>
    <t>Emuka  John</t>
  </si>
  <si>
    <t>UG-EAS-1409-1871</t>
  </si>
  <si>
    <t>Eyodu  Juventine</t>
  </si>
  <si>
    <t>Oriokot  Joseph</t>
  </si>
  <si>
    <t>UG-EAS-1409-1882</t>
  </si>
  <si>
    <t>Emaju  William</t>
  </si>
  <si>
    <t>olekai</t>
  </si>
  <si>
    <t>UG-EAS-1409-1894</t>
  </si>
  <si>
    <t>Mugaba  Lona</t>
  </si>
  <si>
    <t>UG-EAS-1409-1910</t>
  </si>
  <si>
    <t>Okiror  Robert John</t>
  </si>
  <si>
    <t>orwadai</t>
  </si>
  <si>
    <t>Elalu  Ben</t>
  </si>
  <si>
    <t>UG-EAS-1409-1924</t>
  </si>
  <si>
    <t>Ejelu   Samuel</t>
  </si>
  <si>
    <t>ongurio</t>
  </si>
  <si>
    <t>Ayalo  Christine</t>
  </si>
  <si>
    <t>Akure.A</t>
  </si>
  <si>
    <t>Nakazi  Grace Annah</t>
  </si>
  <si>
    <t>Cheele</t>
  </si>
  <si>
    <t>UG-EAS-1409-1931</t>
  </si>
  <si>
    <t>Ochen  Simon</t>
  </si>
  <si>
    <t>Cheele C</t>
  </si>
  <si>
    <t>Opio  Vincent</t>
  </si>
  <si>
    <t>UG-EAS-1409-2094</t>
  </si>
  <si>
    <t>Eseet  James</t>
  </si>
  <si>
    <t>Atubakinei</t>
  </si>
  <si>
    <t>UG-EAS-1409-2095</t>
  </si>
  <si>
    <t>Omoding  Julius</t>
  </si>
  <si>
    <t>UG-EAS-1409-2096</t>
  </si>
  <si>
    <t>Emwanu  Simon</t>
  </si>
  <si>
    <t>UG-EAS-1409-2261</t>
  </si>
  <si>
    <t>Makawa  Richard</t>
  </si>
  <si>
    <t>Magala  Rukia</t>
  </si>
  <si>
    <t>UG-EAS-1409-2278</t>
  </si>
  <si>
    <t>Gidongo  Moses</t>
  </si>
  <si>
    <t>Wayengela  Ernest</t>
  </si>
  <si>
    <t>Mukuwa  Grace</t>
  </si>
  <si>
    <t>Shiluku main</t>
  </si>
  <si>
    <t>UG-EAS-1409-2367</t>
  </si>
  <si>
    <t>Shison  Aidah</t>
  </si>
  <si>
    <t>UG-EAS-1409-2390</t>
  </si>
  <si>
    <t>Helambaye  Issa Mzee</t>
  </si>
  <si>
    <t>Aisa mbiko</t>
  </si>
  <si>
    <t>Kubuku  Vincent</t>
  </si>
  <si>
    <t>UG-EAS-1409-2391</t>
  </si>
  <si>
    <t>Nawede  Abudal</t>
  </si>
  <si>
    <t>UG-EAS-1409-2392</t>
  </si>
  <si>
    <t>Mukhwana  Richard</t>
  </si>
  <si>
    <t>UG-EAS-1410-00010</t>
  </si>
  <si>
    <t>Osillo  Sabela</t>
  </si>
  <si>
    <t>Asinge b</t>
  </si>
  <si>
    <t>UG-EAS-1410-00019</t>
  </si>
  <si>
    <t>Elokek Augustine</t>
  </si>
  <si>
    <t>ochegen 1</t>
  </si>
  <si>
    <t>Okurut  Suleiman</t>
  </si>
  <si>
    <t>Wandowo  Samuel</t>
  </si>
  <si>
    <t>UG-EAS-1410-1539</t>
  </si>
  <si>
    <t>Nambeshe  Baptist John</t>
  </si>
  <si>
    <t>Nashula</t>
  </si>
  <si>
    <t>UG-EAS-1410-1573</t>
  </si>
  <si>
    <t>Mukele  Muzamiru</t>
  </si>
  <si>
    <t>Segula  Abdu</t>
  </si>
  <si>
    <t>Simwende  Moses</t>
  </si>
  <si>
    <t>Asinge B</t>
  </si>
  <si>
    <t>Etatai  Daniel Rev</t>
  </si>
  <si>
    <t>Asinge A</t>
  </si>
  <si>
    <t>UG-EAS-1410-1646</t>
  </si>
  <si>
    <t>Okitwi  Cornelius</t>
  </si>
  <si>
    <t>Abwanget</t>
  </si>
  <si>
    <t>UG-EAS-1410-1649</t>
  </si>
  <si>
    <t>Ekoyo  Silvester</t>
  </si>
  <si>
    <t>onyunyur</t>
  </si>
  <si>
    <t>UG-EAS-1410-1691</t>
  </si>
  <si>
    <t>Guloba  Christopher</t>
  </si>
  <si>
    <t>UG-EAS-1410-1692</t>
  </si>
  <si>
    <t>Hyuha  Robert</t>
  </si>
  <si>
    <t>UG-EAS-1410-1696</t>
  </si>
  <si>
    <t>Dhikusoka  John</t>
  </si>
  <si>
    <t>UG-EAS-1410-1698</t>
  </si>
  <si>
    <t>Marilo  Richard</t>
  </si>
  <si>
    <t>Bugegege</t>
  </si>
  <si>
    <t>Namwemo  Swaybu</t>
  </si>
  <si>
    <t>Dumangale</t>
  </si>
  <si>
    <t>UG-EAS-1410-1711</t>
  </si>
  <si>
    <t>Hawoja  Jude</t>
  </si>
  <si>
    <t>Nawonya</t>
  </si>
  <si>
    <t>UG-EAS-1410-1866</t>
  </si>
  <si>
    <t>Edweu  Robinson</t>
  </si>
  <si>
    <t>Tubur Central</t>
  </si>
  <si>
    <t>UG-EAS-1410-1880</t>
  </si>
  <si>
    <t>Ocen  Peter</t>
  </si>
  <si>
    <t>Awojar</t>
  </si>
  <si>
    <t>UG-EAS-1410-1884</t>
  </si>
  <si>
    <t>Omeje  Stephen</t>
  </si>
  <si>
    <t>UG-EAS-1410-1885</t>
  </si>
  <si>
    <t>Opolot  Gerefasio</t>
  </si>
  <si>
    <t>Oreta  Stephen</t>
  </si>
  <si>
    <t>UG-EAS-1410-1888</t>
  </si>
  <si>
    <t>Omioloko  Leoonard</t>
  </si>
  <si>
    <t>Modok</t>
  </si>
  <si>
    <t>UG-EAS-1410-1902</t>
  </si>
  <si>
    <t>Okello  Emmanuel</t>
  </si>
  <si>
    <t>Arengkejei</t>
  </si>
  <si>
    <t>UG-EAS-1410-1903</t>
  </si>
  <si>
    <t>Ewagu  Joseph</t>
  </si>
  <si>
    <t>UG-EAS-1410-1905</t>
  </si>
  <si>
    <t>Okiror  John</t>
  </si>
  <si>
    <t>oukot</t>
  </si>
  <si>
    <t>UG-EAS-1410-1907</t>
  </si>
  <si>
    <t>Esiangu  Francis</t>
  </si>
  <si>
    <t>UG-EAS-1410-1909</t>
  </si>
  <si>
    <t>Odeke  Michael</t>
  </si>
  <si>
    <t>Ecomu  Gabriel</t>
  </si>
  <si>
    <t>UG-EAS-1410-1919</t>
  </si>
  <si>
    <t>Apio  Janet</t>
  </si>
  <si>
    <t>Okiror   Robert John2</t>
  </si>
  <si>
    <t>Akure</t>
  </si>
  <si>
    <t>Ocen  Joseph</t>
  </si>
  <si>
    <t>Palaet A</t>
  </si>
  <si>
    <t>Elonyu  Stephen George</t>
  </si>
  <si>
    <t>Akuya</t>
  </si>
  <si>
    <t>UG-EAS-1410-1950</t>
  </si>
  <si>
    <t>Wakuba  Eriya</t>
  </si>
  <si>
    <t>UG-EAS-1410-2016</t>
  </si>
  <si>
    <t>Nasim Muyinda</t>
  </si>
  <si>
    <t>Bugema C</t>
  </si>
  <si>
    <t>UG-EAS-1410-4121</t>
  </si>
  <si>
    <t>Omongole  Martin</t>
  </si>
  <si>
    <t>Kapasak</t>
  </si>
  <si>
    <t>UG-EAS-1410-42</t>
  </si>
  <si>
    <t>Rev Etatai Daniel</t>
  </si>
  <si>
    <t>Osukuru</t>
  </si>
  <si>
    <t>UG-EAS-1410-4805</t>
  </si>
  <si>
    <t>Nasambi  Domiano</t>
  </si>
  <si>
    <t>Mahonge</t>
  </si>
  <si>
    <t>Ikuwam  Lydia</t>
  </si>
  <si>
    <t>UG-EAS-1410-4936</t>
  </si>
  <si>
    <t>Higenyi Juliet</t>
  </si>
  <si>
    <t>Manyami east</t>
  </si>
  <si>
    <t>UG-EAS-1410-4939</t>
  </si>
  <si>
    <t>Munghaga  Peter</t>
  </si>
  <si>
    <t>Magoje</t>
  </si>
  <si>
    <t>UG-EAS-1410-4940</t>
  </si>
  <si>
    <t>Mugoya  Isaac</t>
  </si>
  <si>
    <t>Njoli</t>
  </si>
  <si>
    <t>QSP visited digester was abandoned and built a house on top of it.</t>
  </si>
  <si>
    <t>Wamandi  Akin</t>
  </si>
  <si>
    <t>Hawaja Jude</t>
  </si>
  <si>
    <t>Hyuha Robert</t>
  </si>
  <si>
    <t>Mugoya Isaac</t>
  </si>
  <si>
    <t>Ntori</t>
  </si>
  <si>
    <t>Oreta Stephen</t>
  </si>
  <si>
    <t>UG-EAS-1411-00011</t>
  </si>
  <si>
    <t>Olupot  Emmanuel</t>
  </si>
  <si>
    <t>UG-EAS-1411-00015</t>
  </si>
  <si>
    <t>Osere  John</t>
  </si>
  <si>
    <t>UG-EAS-1411-00016</t>
  </si>
  <si>
    <t>Okware  Michael</t>
  </si>
  <si>
    <t>Asinge c</t>
  </si>
  <si>
    <t>UG-EAS-1411-00083</t>
  </si>
  <si>
    <t>Nasiti Samuel</t>
  </si>
  <si>
    <t>Buhwaya</t>
  </si>
  <si>
    <t>UG-EAS-1411-01536</t>
  </si>
  <si>
    <t>Olowo  Steven</t>
  </si>
  <si>
    <t>Lugumba  Sulaiman</t>
  </si>
  <si>
    <t>Nabukalu  Sauba</t>
  </si>
  <si>
    <t>Nachegalo</t>
  </si>
  <si>
    <t>UG-EAS-1411-1503</t>
  </si>
  <si>
    <t>Hajebe  Sadiki</t>
  </si>
  <si>
    <t>UG-EAS-1411-1511</t>
  </si>
  <si>
    <t>Emeri  Denis</t>
  </si>
  <si>
    <t>Kangura b</t>
  </si>
  <si>
    <t>Oketch  George</t>
  </si>
  <si>
    <t>Morukatipe west</t>
  </si>
  <si>
    <t>Nakasala   Aida</t>
  </si>
  <si>
    <t>Kanyanya  Dan Magrete</t>
  </si>
  <si>
    <t>Owor  Stanley</t>
  </si>
  <si>
    <t>Papoli A</t>
  </si>
  <si>
    <t>UG-EAS-1408-1834</t>
  </si>
  <si>
    <t>Namuleme  Gertrude</t>
  </si>
  <si>
    <t>Kadungulu</t>
  </si>
  <si>
    <t>Aturia</t>
  </si>
  <si>
    <t>Odoi   Juliet</t>
  </si>
  <si>
    <t>Posuna</t>
  </si>
  <si>
    <t>UG-EAS-1411-1540</t>
  </si>
  <si>
    <t>Nyafwono  Teddy</t>
  </si>
  <si>
    <t>Paloto A</t>
  </si>
  <si>
    <t>UG-EAS-1411-1541</t>
  </si>
  <si>
    <t>Oketcho  Laston</t>
  </si>
  <si>
    <t>Obbo  Peres</t>
  </si>
  <si>
    <t>UG-EAS-1411-1543</t>
  </si>
  <si>
    <t>Opoya  Benard</t>
  </si>
  <si>
    <t>Asinge</t>
  </si>
  <si>
    <t>UG-EAS-1411-1644</t>
  </si>
  <si>
    <t>Angura  Hellen Paul</t>
  </si>
  <si>
    <t>Kayune</t>
  </si>
  <si>
    <t>Amani  Joseph</t>
  </si>
  <si>
    <t>UG-EAS-1411-1648</t>
  </si>
  <si>
    <t>Emojong  Nick</t>
  </si>
  <si>
    <t>Kayoro C</t>
  </si>
  <si>
    <t>Nagwere  Latif None</t>
  </si>
  <si>
    <t>UG-EAS-1411-1693</t>
  </si>
  <si>
    <t>Nasiti  Samuel</t>
  </si>
  <si>
    <t>UG-EAS-1411-1804</t>
  </si>
  <si>
    <t>Atai  Sarah</t>
  </si>
  <si>
    <t>Cheele A</t>
  </si>
  <si>
    <t>UG-EAS-1411-1821</t>
  </si>
  <si>
    <t>Esemu  Tito</t>
  </si>
  <si>
    <t>Aputi</t>
  </si>
  <si>
    <t>UG-EAS-1411-1877</t>
  </si>
  <si>
    <t>Olobo  Peter</t>
  </si>
  <si>
    <t>obua</t>
  </si>
  <si>
    <t>UG-EAS-1411-1911</t>
  </si>
  <si>
    <t>Akutu  Augustine</t>
  </si>
  <si>
    <t>Madyosi  Sulaiman</t>
  </si>
  <si>
    <t>UG-EAS-1411-1922</t>
  </si>
  <si>
    <t>Okello  Basil</t>
  </si>
  <si>
    <t>Ediangu  Julius</t>
  </si>
  <si>
    <t>Achedu  Patrick</t>
  </si>
  <si>
    <t>Pingire</t>
  </si>
  <si>
    <t>ongia</t>
  </si>
  <si>
    <t>UG-EAS-1411-1967</t>
  </si>
  <si>
    <t>Oburu  Godfrey</t>
  </si>
  <si>
    <t>Pajabo B</t>
  </si>
  <si>
    <t>UG-EAS-1411-2</t>
  </si>
  <si>
    <t>Akojo Silvesta</t>
  </si>
  <si>
    <t>Amoni</t>
  </si>
  <si>
    <t>UG-EAS-1411-2090</t>
  </si>
  <si>
    <t>Acelu  Peter Simon</t>
  </si>
  <si>
    <t>Asmuk</t>
  </si>
  <si>
    <t>onguny</t>
  </si>
  <si>
    <t>UG-EAS-1411-2091</t>
  </si>
  <si>
    <t>Onyute Stephen John</t>
  </si>
  <si>
    <t>ojamai</t>
  </si>
  <si>
    <t>Wakwabubi  Charles</t>
  </si>
  <si>
    <t>UG-EAS-1411-2387</t>
  </si>
  <si>
    <t>Sonko  Ssebi</t>
  </si>
  <si>
    <t>UG-EAS-1411-24</t>
  </si>
  <si>
    <t>Onyamat James Philip</t>
  </si>
  <si>
    <t>Obuzi</t>
  </si>
  <si>
    <t>UG-EAS-1411-29</t>
  </si>
  <si>
    <t>Madina Panka Juma</t>
  </si>
  <si>
    <t>UG-EAS-1411-33</t>
  </si>
  <si>
    <t>Onyango Okaya</t>
  </si>
  <si>
    <t>UG-EAS-1411-3636</t>
  </si>
  <si>
    <t>Napala John</t>
  </si>
  <si>
    <t>UG-EAS-1411-39</t>
  </si>
  <si>
    <t>Nanteza Hindu</t>
  </si>
  <si>
    <t>UG-EAS-1411-40</t>
  </si>
  <si>
    <t>Oketch George</t>
  </si>
  <si>
    <t>UG-EAS-1411-41</t>
  </si>
  <si>
    <t>Otingar Tadeo</t>
  </si>
  <si>
    <t>UG-EAS-1411-4806</t>
  </si>
  <si>
    <t>Hagosi  Bosco</t>
  </si>
  <si>
    <t>Nahonje</t>
  </si>
  <si>
    <t>Mayeku   Alex</t>
  </si>
  <si>
    <t>Bunawengi East</t>
  </si>
  <si>
    <t>Ofwono  Charles</t>
  </si>
  <si>
    <t>Emojong  Stephen (Pr)</t>
  </si>
  <si>
    <t>Asinget C</t>
  </si>
  <si>
    <t>UG-EAS-1411-4866</t>
  </si>
  <si>
    <t>Okumu  Abusolom</t>
  </si>
  <si>
    <t>Nambogo Central</t>
  </si>
  <si>
    <t>UG-EAS-1411-4867</t>
  </si>
  <si>
    <t>Onapa  Erukana</t>
  </si>
  <si>
    <t>Nambogo A</t>
  </si>
  <si>
    <t>UG-EAS-1411-4935</t>
  </si>
  <si>
    <t>Obonyo  Philip</t>
  </si>
  <si>
    <t>Magosha Sulai</t>
  </si>
  <si>
    <t>UG-EAS-1411-6</t>
  </si>
  <si>
    <t>Eira Paul</t>
  </si>
  <si>
    <t>Angorom central</t>
  </si>
  <si>
    <t>Atupu Richard (plant 1)</t>
  </si>
  <si>
    <t>Akusi</t>
  </si>
  <si>
    <t>UG-EAS-1411-84</t>
  </si>
  <si>
    <t>Omege Stephen</t>
  </si>
  <si>
    <t>Olapai</t>
  </si>
  <si>
    <t>UG-EAS-1411-86</t>
  </si>
  <si>
    <t>Oryek Micheal</t>
  </si>
  <si>
    <t>Amagaro</t>
  </si>
  <si>
    <t>UG-EAS-1411-905</t>
  </si>
  <si>
    <t>Oketch Simon Kila</t>
  </si>
  <si>
    <t>Poyem B</t>
  </si>
  <si>
    <t>UG-EAS-1411-909</t>
  </si>
  <si>
    <t>Ojambo Abner</t>
  </si>
  <si>
    <t>Bumanda B</t>
  </si>
  <si>
    <t>UG-EAS-1412-00018</t>
  </si>
  <si>
    <t>Ikileng  Simon Peter</t>
  </si>
  <si>
    <t>UG-EAS-1412-12</t>
  </si>
  <si>
    <t>Ikili Abraham</t>
  </si>
  <si>
    <t>Ochoto</t>
  </si>
  <si>
    <t>UG-EAS-1412-1513</t>
  </si>
  <si>
    <t>Okolong  Bisansio</t>
  </si>
  <si>
    <t>Asinge  A</t>
  </si>
  <si>
    <t>UG-EAS-1412-1517</t>
  </si>
  <si>
    <t>Adilun  Stanslaus</t>
  </si>
  <si>
    <t>Aputir central</t>
  </si>
  <si>
    <t>Ochwo Apollo Ayeka</t>
  </si>
  <si>
    <t>UG-EAS-1412-1542</t>
  </si>
  <si>
    <t>Makafu  Simon</t>
  </si>
  <si>
    <t>UG-EAS-1412-1545</t>
  </si>
  <si>
    <t>Odoi  Yona</t>
  </si>
  <si>
    <t>Nambogo central</t>
  </si>
  <si>
    <t>Nabitu  Samuel</t>
  </si>
  <si>
    <t>Napindo</t>
  </si>
  <si>
    <t>UG-EAS-1412-1874</t>
  </si>
  <si>
    <t>Oriekyh  Michael</t>
  </si>
  <si>
    <t>omagaro</t>
  </si>
  <si>
    <t>UG-EAS-1412-1875</t>
  </si>
  <si>
    <t>Eturu   Gilbert John</t>
  </si>
  <si>
    <t>UG-EAS-1412-2092</t>
  </si>
  <si>
    <t>Odeke  Paul Vincent</t>
  </si>
  <si>
    <t>UG-EAS-1412-21</t>
  </si>
  <si>
    <t>Manana Esitia</t>
  </si>
  <si>
    <t>UG-EAS-1412-23</t>
  </si>
  <si>
    <t>Kanyanya Margret Dan</t>
  </si>
  <si>
    <t>Bumwali</t>
  </si>
  <si>
    <t>Ngati  Zaituna</t>
  </si>
  <si>
    <t>Walumoli  Jenifer</t>
  </si>
  <si>
    <t>Bunlucheke</t>
  </si>
  <si>
    <t>Natenza  Hindu</t>
  </si>
  <si>
    <t>UG-EAS-1412-2365</t>
  </si>
  <si>
    <t>Kuloba  Zurah</t>
  </si>
  <si>
    <t>Lutesheh</t>
  </si>
  <si>
    <t>Bunashikwa</t>
  </si>
  <si>
    <t>UG-EAS-1412-36</t>
  </si>
  <si>
    <t>Walumoli Jenepher Davis</t>
  </si>
  <si>
    <t>UG-EAS-1412-43</t>
  </si>
  <si>
    <t>Sagula Abudu</t>
  </si>
  <si>
    <t>UG-EAS-1412-44</t>
  </si>
  <si>
    <t>Sauba Nabukalu</t>
  </si>
  <si>
    <t>namabwa</t>
  </si>
  <si>
    <t>UG-EAS-1412-601</t>
  </si>
  <si>
    <t>Namuli Hadija</t>
  </si>
  <si>
    <t>Kyerinda</t>
  </si>
  <si>
    <t>UG-EAS-1412-819</t>
  </si>
  <si>
    <t>Odoi Vincent</t>
  </si>
  <si>
    <t>Osukur</t>
  </si>
  <si>
    <t>UG-EAS-1412-902</t>
  </si>
  <si>
    <t>Ofwono Yowana</t>
  </si>
  <si>
    <t>UG-EAS-1412-908</t>
  </si>
  <si>
    <t>Asodio Erasmas</t>
  </si>
  <si>
    <t>Poti A</t>
  </si>
  <si>
    <t>UG-EAS-1501-1510</t>
  </si>
  <si>
    <t>Ikili  Abraham</t>
  </si>
  <si>
    <t>UG-EAS-1501-2059</t>
  </si>
  <si>
    <t>Akori  Filbert</t>
  </si>
  <si>
    <t>Madera Central</t>
  </si>
  <si>
    <t>UG-EAS-1501-57</t>
  </si>
  <si>
    <t>Magada Paul</t>
  </si>
  <si>
    <t>Hill zone</t>
  </si>
  <si>
    <t>UG-EAS-1501-802</t>
  </si>
  <si>
    <t>Odoi Geonapa</t>
  </si>
  <si>
    <t>Segere</t>
  </si>
  <si>
    <t>Yoluwa</t>
  </si>
  <si>
    <t>Nambogo C</t>
  </si>
  <si>
    <t>UG-EAS-1501-820</t>
  </si>
  <si>
    <t>Opono Paul</t>
  </si>
  <si>
    <t>Poem</t>
  </si>
  <si>
    <t>UG-EAS-1501-901</t>
  </si>
  <si>
    <t>Khaukha Lillian</t>
  </si>
  <si>
    <t>UG-EAS-1501-906</t>
  </si>
  <si>
    <t>Amoit Sellina</t>
  </si>
  <si>
    <t>Ngalechom</t>
  </si>
  <si>
    <t>UG-EAS-1501-910</t>
  </si>
  <si>
    <t>Okou Charles Engole</t>
  </si>
  <si>
    <t>Omukulai</t>
  </si>
  <si>
    <t>UG-EAS-1502-1001</t>
  </si>
  <si>
    <t>Mugoya Magidu</t>
  </si>
  <si>
    <t>Bunaira</t>
  </si>
  <si>
    <t>Ibulanku</t>
  </si>
  <si>
    <t>Naigumbi</t>
  </si>
  <si>
    <t>Shuwu   Noah Rv</t>
  </si>
  <si>
    <t>Bunakuka</t>
  </si>
  <si>
    <t>UG-EAS-1502-1705</t>
  </si>
  <si>
    <t>Hawigu  Samuel</t>
  </si>
  <si>
    <t>UG-EAS-1502-1864</t>
  </si>
  <si>
    <t>Ecau  Johnson</t>
  </si>
  <si>
    <t>UG-EAS-1502-4852</t>
  </si>
  <si>
    <t>Osire  Yokoyasi</t>
  </si>
  <si>
    <t>Kasipodo C</t>
  </si>
  <si>
    <t>UG-EAS-1502-575</t>
  </si>
  <si>
    <t>Mukunya  Chris</t>
  </si>
  <si>
    <t>UG-EAS-1502-596</t>
  </si>
  <si>
    <t>Nyonyi  Paul</t>
  </si>
  <si>
    <t>NAGAZI</t>
  </si>
  <si>
    <t>UG-EAS-1502-804</t>
  </si>
  <si>
    <t>Otekat Eric</t>
  </si>
  <si>
    <t>Olio</t>
  </si>
  <si>
    <t>Osuguro</t>
  </si>
  <si>
    <t>UG-EAS-1502-911</t>
  </si>
  <si>
    <t>Odomel John Cossy</t>
  </si>
  <si>
    <t>Poti-Poti</t>
  </si>
  <si>
    <t>Karieri</t>
  </si>
  <si>
    <t>UG-EAS-1503-02011</t>
  </si>
  <si>
    <t>Wandyangi Salim Wankamba</t>
  </si>
  <si>
    <t>Nankoma</t>
  </si>
  <si>
    <t>Nawapanda</t>
  </si>
  <si>
    <t>UG-EAS-1503-1014</t>
  </si>
  <si>
    <t>Kamaali Gershom</t>
  </si>
  <si>
    <t>Igombe</t>
  </si>
  <si>
    <t>UG-EAS-1503-1103</t>
  </si>
  <si>
    <t>Ara Mukere</t>
  </si>
  <si>
    <t>Karamoja</t>
  </si>
  <si>
    <t>Nabilatuku</t>
  </si>
  <si>
    <t>UG-EAS-1503-801</t>
  </si>
  <si>
    <t>Otim William</t>
  </si>
  <si>
    <t>Odoo</t>
  </si>
  <si>
    <t>UG-EAS-1503-805</t>
  </si>
  <si>
    <t>Acaloi Phoebe</t>
  </si>
  <si>
    <t>Amoru</t>
  </si>
  <si>
    <t>UG-EAS-1503-807</t>
  </si>
  <si>
    <t>Ogello Michael</t>
  </si>
  <si>
    <t>UG-EAS-1503-809</t>
  </si>
  <si>
    <t>Engoru John</t>
  </si>
  <si>
    <t>UG-EAS-1503-810</t>
  </si>
  <si>
    <t>Oinya Moses</t>
  </si>
  <si>
    <t>Cell "A"</t>
  </si>
  <si>
    <t>UG-EAS-1503-811</t>
  </si>
  <si>
    <t>Otim Erupasi</t>
  </si>
  <si>
    <t>UG-EAS-1503-812</t>
  </si>
  <si>
    <t>Ayobo Kesia</t>
  </si>
  <si>
    <t>UG-EAS-1503-813</t>
  </si>
  <si>
    <t>Obote Alfred</t>
  </si>
  <si>
    <t>Labori</t>
  </si>
  <si>
    <t>Otoba</t>
  </si>
  <si>
    <t>UG-EAS-1503-814</t>
  </si>
  <si>
    <t>Akwaso Rose</t>
  </si>
  <si>
    <t>UG-EAS-1503-815</t>
  </si>
  <si>
    <t>Oima John Michael</t>
  </si>
  <si>
    <t>Okulukulun</t>
  </si>
  <si>
    <t>Etolu  Richard</t>
  </si>
  <si>
    <t>UG-EAS-1503-821</t>
  </si>
  <si>
    <t>Ojok Yakobo</t>
  </si>
  <si>
    <t>Amiem</t>
  </si>
  <si>
    <t>UG-EAS-1503-822</t>
  </si>
  <si>
    <t>Eceku Alexander</t>
  </si>
  <si>
    <t>Adiding</t>
  </si>
  <si>
    <t>UG-EAS-1503-823</t>
  </si>
  <si>
    <t>John Moses Etiu</t>
  </si>
  <si>
    <t>UG-EAS-1503-824</t>
  </si>
  <si>
    <t>Ejibu Andrew</t>
  </si>
  <si>
    <t>Atiragot</t>
  </si>
  <si>
    <t>UG-EAS-1503-914</t>
  </si>
  <si>
    <t>Masha Wiliam</t>
  </si>
  <si>
    <t>Budadiri East</t>
  </si>
  <si>
    <t>Makutana</t>
  </si>
  <si>
    <t>UG-EAS-1504-07268</t>
  </si>
  <si>
    <t>Wanguzi Moses</t>
  </si>
  <si>
    <t>Nakoma</t>
  </si>
  <si>
    <t>Nakasisi</t>
  </si>
  <si>
    <t>UG-EAS-1504-1104</t>
  </si>
  <si>
    <t>Lonyangatur</t>
  </si>
  <si>
    <t>UG-EAS-1504-825</t>
  </si>
  <si>
    <t>Opio Stephen</t>
  </si>
  <si>
    <t>Akwero</t>
  </si>
  <si>
    <t>UG-EAS-1504-826</t>
  </si>
  <si>
    <t>Omale Martine</t>
  </si>
  <si>
    <t>labor</t>
  </si>
  <si>
    <t>Aarapoe</t>
  </si>
  <si>
    <t>UG-EAS-1504-827</t>
  </si>
  <si>
    <t>Apio Modesta</t>
  </si>
  <si>
    <t>Akaramai</t>
  </si>
  <si>
    <t>UG-EAS-1504-828</t>
  </si>
  <si>
    <t>Ogoj Simon</t>
  </si>
  <si>
    <t>Omanju</t>
  </si>
  <si>
    <t>UG-EAS-1504-829</t>
  </si>
  <si>
    <t>Omoding Wasengtone</t>
  </si>
  <si>
    <t>Omaju</t>
  </si>
  <si>
    <t>UG-EAS-1504-831</t>
  </si>
  <si>
    <t>Alacun Steven</t>
  </si>
  <si>
    <t>Asilo</t>
  </si>
  <si>
    <t>UG-EAS-1504-832</t>
  </si>
  <si>
    <t>Enosu Levi Edogu</t>
  </si>
  <si>
    <t>Osamito</t>
  </si>
  <si>
    <t>UG-EAS-1504-835</t>
  </si>
  <si>
    <t>Oumo Simon</t>
  </si>
  <si>
    <t>Akuoro</t>
  </si>
  <si>
    <t>UG-EAS-1504-913</t>
  </si>
  <si>
    <t>Wilson Masha</t>
  </si>
  <si>
    <t>Wolanga</t>
  </si>
  <si>
    <t>UG-EAS-1504-915</t>
  </si>
  <si>
    <t>Washitwaya Stephen</t>
  </si>
  <si>
    <t>Nakutsi</t>
  </si>
  <si>
    <t>Makubiki</t>
  </si>
  <si>
    <t>UG-EAS-1505-1116</t>
  </si>
  <si>
    <t>John Acm Magezi</t>
  </si>
  <si>
    <t>Wakimwayi  Willison</t>
  </si>
  <si>
    <t>Wanamono</t>
  </si>
  <si>
    <t>UG-EAS-1505-630</t>
  </si>
  <si>
    <t>Soft Power Education</t>
  </si>
  <si>
    <t>Bujagali</t>
  </si>
  <si>
    <t>UG-EAS-1505-833</t>
  </si>
  <si>
    <t>Eudu Isaac</t>
  </si>
  <si>
    <t>UG-EAS-1505-836</t>
  </si>
  <si>
    <t>Opolot Sp</t>
  </si>
  <si>
    <t>Akuworo II</t>
  </si>
  <si>
    <t>UG-EAS-1505-838</t>
  </si>
  <si>
    <t>Okalang John Mark</t>
  </si>
  <si>
    <t>UG-EAS-1506-837</t>
  </si>
  <si>
    <t>Agwang Hellen</t>
  </si>
  <si>
    <t>Kasiro</t>
  </si>
  <si>
    <t>UG-EAS-1506-840</t>
  </si>
  <si>
    <t>Olaboro Moses</t>
  </si>
  <si>
    <t>Lobor</t>
  </si>
  <si>
    <t>Obwakol</t>
  </si>
  <si>
    <t>UG-EAS-1506-916</t>
  </si>
  <si>
    <t>Sadiki Satya</t>
  </si>
  <si>
    <t>Benet</t>
  </si>
  <si>
    <t>Tabagon</t>
  </si>
  <si>
    <t>duplicate</t>
  </si>
  <si>
    <t>Esiangu Francis</t>
  </si>
  <si>
    <t>Oukot</t>
  </si>
  <si>
    <t>UG-EAS-1506-918</t>
  </si>
  <si>
    <t>Chelangat Justine</t>
  </si>
  <si>
    <t>Tullowo</t>
  </si>
  <si>
    <t>UG-EAS-1506-919</t>
  </si>
  <si>
    <t>Gidoi Stephen</t>
  </si>
  <si>
    <t>Sisiya</t>
  </si>
  <si>
    <t>Lugute</t>
  </si>
  <si>
    <t>UG-EAS-1506-921</t>
  </si>
  <si>
    <t>Nakitende Anne Asyep</t>
  </si>
  <si>
    <t>Kidera Central</t>
  </si>
  <si>
    <t>UG-EAS-1507-1445</t>
  </si>
  <si>
    <t>Musira Jackson</t>
  </si>
  <si>
    <t>UG-EAS-1507-842</t>
  </si>
  <si>
    <t>Ongada Ibrahim</t>
  </si>
  <si>
    <t>Soroti Municipal</t>
  </si>
  <si>
    <t>Kichinjaji</t>
  </si>
  <si>
    <t>UG-EAS-1507-920</t>
  </si>
  <si>
    <t>Kutosi David</t>
  </si>
  <si>
    <t>UG-EAS-1507-922</t>
  </si>
  <si>
    <t>Isaac Kirya Kichodo</t>
  </si>
  <si>
    <t>kamonkoli</t>
  </si>
  <si>
    <t>UG-EAS-1507-923</t>
  </si>
  <si>
    <t>Moiti David Eridad</t>
  </si>
  <si>
    <t>UG-EAS-1507-924</t>
  </si>
  <si>
    <t>Munialo Tolophosa</t>
  </si>
  <si>
    <t>UG-EAS-1507-925</t>
  </si>
  <si>
    <t>Kutosi Alex Robert</t>
  </si>
  <si>
    <t>Bumwalye TC</t>
  </si>
  <si>
    <t>UG-EAS-1507-926</t>
  </si>
  <si>
    <t>Nambali Sarah</t>
  </si>
  <si>
    <t xml:space="preserve">Bulucheke </t>
  </si>
  <si>
    <t>UG-EAS-1507-927</t>
  </si>
  <si>
    <t>Lydia Wakooba</t>
  </si>
  <si>
    <t>Namasho</t>
  </si>
  <si>
    <t>Kamida Watti</t>
  </si>
  <si>
    <t>Otangar  Tadeo</t>
  </si>
  <si>
    <t>UG-EAS-1507-929</t>
  </si>
  <si>
    <t>Mwambu David</t>
  </si>
  <si>
    <t>UG-EAS-1507-930</t>
  </si>
  <si>
    <t>Machali Nabbwa Paul Mike</t>
  </si>
  <si>
    <t>UG-EAS-1507-931</t>
  </si>
  <si>
    <t>Mukasa Wilber</t>
  </si>
  <si>
    <t>Aish Teko</t>
  </si>
  <si>
    <t>UG-EAS-1507-932</t>
  </si>
  <si>
    <t>Namakongolyo Alsa</t>
  </si>
  <si>
    <t>UG-EAS-1507-934</t>
  </si>
  <si>
    <t>Kidiya Patrick</t>
  </si>
  <si>
    <t>Kifafe Upper</t>
  </si>
  <si>
    <t>UG-EAS-1507-936</t>
  </si>
  <si>
    <t>Nambozo Kasifa</t>
  </si>
  <si>
    <t>UG-EAS-1507-937</t>
  </si>
  <si>
    <t>Masaba Stephen</t>
  </si>
  <si>
    <t>UG-EAS-1507-939</t>
  </si>
  <si>
    <t>Lajja Geresomu</t>
  </si>
  <si>
    <t>Namego</t>
  </si>
  <si>
    <t>UG-EAS-1507-940</t>
  </si>
  <si>
    <t>Hashaya Ziyada</t>
  </si>
  <si>
    <t>UG-EAS-1507-941</t>
  </si>
  <si>
    <t>Munobe Steven</t>
  </si>
  <si>
    <t>UG-EAS-1507-942</t>
  </si>
  <si>
    <t>Were Ahamada</t>
  </si>
  <si>
    <t>UG-EAS-1507-943</t>
  </si>
  <si>
    <t>Mugida Esther</t>
  </si>
  <si>
    <t>UG-EAS-1507-944</t>
  </si>
  <si>
    <t>Wegosasa Annamary</t>
  </si>
  <si>
    <t>UG-EAS-1507-945</t>
  </si>
  <si>
    <t>Hassan Muyeye</t>
  </si>
  <si>
    <t>Nansu Zone</t>
  </si>
  <si>
    <t>UG-EAS-1507-946</t>
  </si>
  <si>
    <t>Magomu Peter</t>
  </si>
  <si>
    <t>UG-EAS-1507-947</t>
  </si>
  <si>
    <t>Kauka Issa</t>
  </si>
  <si>
    <t>UG-EAS-1507-948</t>
  </si>
  <si>
    <t>Hajira Kalifani</t>
  </si>
  <si>
    <t>Namanogon</t>
  </si>
  <si>
    <t>UG-EAS-1507-952</t>
  </si>
  <si>
    <t>Manana Bashir Hadija</t>
  </si>
  <si>
    <t>Namanyonyi Centre B</t>
  </si>
  <si>
    <t>UG-EAS-1507-953</t>
  </si>
  <si>
    <t>Kintu Magidu</t>
  </si>
  <si>
    <t>Ochen  James</t>
  </si>
  <si>
    <t>Anyalai B</t>
  </si>
  <si>
    <t>UG-EAS-1507-954</t>
  </si>
  <si>
    <t>Nabuyobo Rehema</t>
  </si>
  <si>
    <t>UG-EAS-1507-955</t>
  </si>
  <si>
    <t>Mesusera Wegulo</t>
  </si>
  <si>
    <t>Mbiko 'B'</t>
  </si>
  <si>
    <t>UG-EAS-1507-957</t>
  </si>
  <si>
    <t>Nagawa Margret</t>
  </si>
  <si>
    <t>UG-EAS-1508-00964</t>
  </si>
  <si>
    <t>Kalezi Nathan</t>
  </si>
  <si>
    <t>Namanyonyi Centre A</t>
  </si>
  <si>
    <t>Salamusida Namataka</t>
  </si>
  <si>
    <t>UG-EAS-1508-1000</t>
  </si>
  <si>
    <t>Kasanja Tom</t>
  </si>
  <si>
    <t>UG-EAS-1508-1401</t>
  </si>
  <si>
    <t>Wabauyuba Issa</t>
  </si>
  <si>
    <t>UG-EAS-1508-1402</t>
  </si>
  <si>
    <t>Asanansio Kadoli</t>
  </si>
  <si>
    <t>Muwoza</t>
  </si>
  <si>
    <t>Wabulo James</t>
  </si>
  <si>
    <t>UG-EAS-1411-3</t>
  </si>
  <si>
    <t>Angura Paul</t>
  </si>
  <si>
    <t>Wenura Azida</t>
  </si>
  <si>
    <t>Wesonga John</t>
  </si>
  <si>
    <t>Namanyonyi Centre</t>
  </si>
  <si>
    <t>UG-EAS-1508-1408</t>
  </si>
  <si>
    <t>Were James</t>
  </si>
  <si>
    <t>Nakigalo</t>
  </si>
  <si>
    <t>UG-EAS-1508-1409</t>
  </si>
  <si>
    <t>Abdalla Nassar</t>
  </si>
  <si>
    <t>UG-EAS-1508-1410</t>
  </si>
  <si>
    <t>Ramanzani Masonga</t>
  </si>
  <si>
    <t>UG-EAS-1411-45</t>
  </si>
  <si>
    <t>Sulaiman Lugumba</t>
  </si>
  <si>
    <t>UG-EAS-1508-1411</t>
  </si>
  <si>
    <t>Gizamba Twalaha</t>
  </si>
  <si>
    <t>UG-EAS-1508-1414</t>
  </si>
  <si>
    <t>Nagimesi Annet</t>
  </si>
  <si>
    <t>UG-EAS-1411-4808</t>
  </si>
  <si>
    <t>Muyama  Jenipher</t>
  </si>
  <si>
    <t>Mufufu B</t>
  </si>
  <si>
    <t>UG-EAS-1508-1415</t>
  </si>
  <si>
    <t>Wagodo Jackson</t>
  </si>
  <si>
    <t>Nanyulu</t>
  </si>
  <si>
    <t>UG-EAS-1508-1416</t>
  </si>
  <si>
    <t>Ajira Byansi</t>
  </si>
  <si>
    <t>UG-EAS-1508-1417</t>
  </si>
  <si>
    <t>Zura Kasule</t>
  </si>
  <si>
    <t>Kirulu 'B'</t>
  </si>
  <si>
    <t>UG-EAS-1508-1418</t>
  </si>
  <si>
    <t>Mama Sumani</t>
  </si>
  <si>
    <t>UG-EAS-1508-1419</t>
  </si>
  <si>
    <t>Fatuma Negesa</t>
  </si>
  <si>
    <t>Namagumba Centre</t>
  </si>
  <si>
    <t>UG-EAS-1508-1420</t>
  </si>
  <si>
    <t>Natule Juliet</t>
  </si>
  <si>
    <t>UG-EAS-1508-1421</t>
  </si>
  <si>
    <t>Azena Sahra</t>
  </si>
  <si>
    <t>Kinyoli 'B'</t>
  </si>
  <si>
    <t>Muyonga Deborah</t>
  </si>
  <si>
    <t>UG-EAS-1508-1453</t>
  </si>
  <si>
    <t>Mudiru Abdala</t>
  </si>
  <si>
    <t>UG-EAS-1508-1501</t>
  </si>
  <si>
    <t>Alex Wadada</t>
  </si>
  <si>
    <t>UG-EAS-1508-2032</t>
  </si>
  <si>
    <t>Songoni Agath</t>
  </si>
  <si>
    <t>industrial division</t>
  </si>
  <si>
    <t>Busano Cell</t>
  </si>
  <si>
    <t>UG-EAS-1508-845</t>
  </si>
  <si>
    <t>Alimu John</t>
  </si>
  <si>
    <t>Akure B</t>
  </si>
  <si>
    <t>Kiboma Norah</t>
  </si>
  <si>
    <t>UG-EAS-1508-938</t>
  </si>
  <si>
    <t>Munombe David</t>
  </si>
  <si>
    <t>Aisa Tenko</t>
  </si>
  <si>
    <t>UG-EAS-1508-949</t>
  </si>
  <si>
    <t>Jane Mafumala</t>
  </si>
  <si>
    <t>UG-EAS-1508-950</t>
  </si>
  <si>
    <t>Mutiibwa Willson</t>
  </si>
  <si>
    <t>Nandala Fred</t>
  </si>
  <si>
    <t>UG-EAS-1508-956</t>
  </si>
  <si>
    <t>Wavumililya Haruna</t>
  </si>
  <si>
    <t>UG-EAS-1508-958</t>
  </si>
  <si>
    <t>Revdison Mabberi</t>
  </si>
  <si>
    <t>UG-EAS-1508-959</t>
  </si>
  <si>
    <t>Masaba Enosi</t>
  </si>
  <si>
    <t>Aliyi Nambobi</t>
  </si>
  <si>
    <t>Ndiga</t>
  </si>
  <si>
    <t>Sarah Muzaki</t>
  </si>
  <si>
    <t>UG-EAS-1508-963</t>
  </si>
  <si>
    <t>Nabukwasi Contance</t>
  </si>
  <si>
    <t>Kanikina</t>
  </si>
  <si>
    <t>UG-EAS-1508-965</t>
  </si>
  <si>
    <t>Kwiri John</t>
  </si>
  <si>
    <t>Nkoma Centre</t>
  </si>
  <si>
    <t>UG-EAS-1508-966</t>
  </si>
  <si>
    <t>Hinamundi Kassim</t>
  </si>
  <si>
    <t>Mbiko 'A</t>
  </si>
  <si>
    <t>UG-EAS-1508-967</t>
  </si>
  <si>
    <t>Laurance Were`</t>
  </si>
  <si>
    <t>UG-EAS-1508-968</t>
  </si>
  <si>
    <t>Christine Majanga</t>
  </si>
  <si>
    <t>UG-EAS-1508-969</t>
  </si>
  <si>
    <t>Mwehanire Stiven</t>
  </si>
  <si>
    <t>UG-EAS-1508-970</t>
  </si>
  <si>
    <t>Kijabu Mohamad</t>
  </si>
  <si>
    <t>UG-EAS-1508-971</t>
  </si>
  <si>
    <t>Laziya Kijambu</t>
  </si>
  <si>
    <t>Budi B</t>
  </si>
  <si>
    <t>UG-EAS-1508-972</t>
  </si>
  <si>
    <t>Nandala Sinina</t>
  </si>
  <si>
    <t>Nabweta Top</t>
  </si>
  <si>
    <t>Rose Okodu</t>
  </si>
  <si>
    <t>UG-EAS-1508-974</t>
  </si>
  <si>
    <t>Madagi Mutwahiru</t>
  </si>
  <si>
    <t>UG-EAS-1508-975</t>
  </si>
  <si>
    <t>Isabirye Muzamiru</t>
  </si>
  <si>
    <t>UG-EAS-1508-976</t>
  </si>
  <si>
    <t>Joseph Nangoli</t>
  </si>
  <si>
    <t>UG-EAS-1508-977</t>
  </si>
  <si>
    <t>Nagwele Milton</t>
  </si>
  <si>
    <t>UG-EAS-1508-978</t>
  </si>
  <si>
    <t>Waniaye Balamu</t>
  </si>
  <si>
    <t>UG-EAS-1508-979</t>
  </si>
  <si>
    <t>Bisso Kalinaki</t>
  </si>
  <si>
    <t>Nankobe</t>
  </si>
  <si>
    <t>UG-EAS-1508-980</t>
  </si>
  <si>
    <t>Akello Mary</t>
  </si>
  <si>
    <t>UG-EAS-1508-981</t>
  </si>
  <si>
    <t>Among Suzan</t>
  </si>
  <si>
    <t>Nakobe</t>
  </si>
  <si>
    <t>UG-EAS-1508-982</t>
  </si>
  <si>
    <t>Sam Lugoga</t>
  </si>
  <si>
    <t>UG-EAS-1501-907</t>
  </si>
  <si>
    <t>Ochieng Max</t>
  </si>
  <si>
    <t>Pabone C</t>
  </si>
  <si>
    <t>UG-EAS-1508-983</t>
  </si>
  <si>
    <t>Walakira Muhamudu</t>
  </si>
  <si>
    <t>UG-EAS-1508-984</t>
  </si>
  <si>
    <t>Ngede Mubarak</t>
  </si>
  <si>
    <t>UG-EAS-1508-985</t>
  </si>
  <si>
    <t>Gidudu Milton</t>
  </si>
  <si>
    <t>UG-EAS-1508-986</t>
  </si>
  <si>
    <t>Bonyo Miria</t>
  </si>
  <si>
    <t>UG-EAS-1508-987</t>
  </si>
  <si>
    <t>Naigaga Nulu</t>
  </si>
  <si>
    <t>Mukwata  David</t>
  </si>
  <si>
    <t>UG-EAS-1508-989</t>
  </si>
  <si>
    <t>Nambozo Jamira</t>
  </si>
  <si>
    <t>UG-EAS-1508-991</t>
  </si>
  <si>
    <t>Mududu Siliman</t>
  </si>
  <si>
    <t>UG-EAS-1508-992</t>
  </si>
  <si>
    <t>Ziburi Muhamadi</t>
  </si>
  <si>
    <t>UG-EAS-1508-993</t>
  </si>
  <si>
    <t>Abudu Wasukira</t>
  </si>
  <si>
    <t>Kasanvu/Budi A</t>
  </si>
  <si>
    <t>UG-EAS-1508-994</t>
  </si>
  <si>
    <t>Musa Mukole</t>
  </si>
  <si>
    <t>UG-EAS-1508-995</t>
  </si>
  <si>
    <t>Nandudu Zowena</t>
  </si>
  <si>
    <t>UG-EAS-1508-996</t>
  </si>
  <si>
    <t>Kakai Rose</t>
  </si>
  <si>
    <t>UG-EAS-1508-997</t>
  </si>
  <si>
    <t>Farida Siragi</t>
  </si>
  <si>
    <t>Nakusi</t>
  </si>
  <si>
    <t>UG-EAS-1508-998</t>
  </si>
  <si>
    <t>Mubale Sedrac</t>
  </si>
  <si>
    <t>UG-EAS-1509-1072</t>
  </si>
  <si>
    <t>Outeke Patrick</t>
  </si>
  <si>
    <t>Kanyumu</t>
  </si>
  <si>
    <t>Kamaca</t>
  </si>
  <si>
    <t>UG-EAS-1509-1412</t>
  </si>
  <si>
    <t>Ahamada Lule</t>
  </si>
  <si>
    <t>UG-EAS-1509-1413</t>
  </si>
  <si>
    <t>Naigaga Annet</t>
  </si>
  <si>
    <t>UG-EAS-1509-1422</t>
  </si>
  <si>
    <t>Mulanga Willison</t>
  </si>
  <si>
    <t>UG-EAS-1509-1423</t>
  </si>
  <si>
    <t>Iddi Kigenyi</t>
  </si>
  <si>
    <t>UG-EAS-1509-1424</t>
  </si>
  <si>
    <t>Kigona Benard</t>
  </si>
  <si>
    <t>Namawondo</t>
  </si>
  <si>
    <t>UG-EAS-1509-1425</t>
  </si>
  <si>
    <t>Wopala Muhamad</t>
  </si>
  <si>
    <t>UG-EAS-1509-1426</t>
  </si>
  <si>
    <t>Kasolo Musa</t>
  </si>
  <si>
    <t>UG-EAS-1509-1428</t>
  </si>
  <si>
    <t>Nandudu Rehema</t>
  </si>
  <si>
    <t>UG-EAS-1509-1429</t>
  </si>
  <si>
    <t>Mumbuti Ben</t>
  </si>
  <si>
    <t>UG-EAS-1509-1430</t>
  </si>
  <si>
    <t>Wabuna John</t>
  </si>
  <si>
    <t>UG-EAS-1509-1431</t>
  </si>
  <si>
    <t>Nicholas Gesa</t>
  </si>
  <si>
    <t>Mutwalibi Lukhito</t>
  </si>
  <si>
    <t>UG-EAS-1509-1433</t>
  </si>
  <si>
    <t>Chebo Wilson</t>
  </si>
  <si>
    <t>UG-EAS-1509-1435</t>
  </si>
  <si>
    <t>Gesa Jackson</t>
  </si>
  <si>
    <t>Busamira Central</t>
  </si>
  <si>
    <t>UG-EAS-1509-1436</t>
  </si>
  <si>
    <t>Zubairi Muzinzibali</t>
  </si>
  <si>
    <t>UG-EAS-1509-1437</t>
  </si>
  <si>
    <t>Taliba Loyce</t>
  </si>
  <si>
    <t>UG-EAS-1509-1438</t>
  </si>
  <si>
    <t>Sauba Nantabo</t>
  </si>
  <si>
    <t>Budi 'B'</t>
  </si>
  <si>
    <t>UG-EAS-1509-1439</t>
  </si>
  <si>
    <t>Mugide Kasifa</t>
  </si>
  <si>
    <t>UG-EAS-1509-1440</t>
  </si>
  <si>
    <t>Nakeiza Zipola</t>
  </si>
  <si>
    <t>Nkoma Centre B</t>
  </si>
  <si>
    <t>UG-EAS-1509-1441</t>
  </si>
  <si>
    <t>Hawa Namutosi</t>
  </si>
  <si>
    <t>UG-EAS-1509-1442</t>
  </si>
  <si>
    <t>Gidudu Mutwalibi</t>
  </si>
  <si>
    <t>UG-EAS-1509-1446</t>
  </si>
  <si>
    <t>Kataike Hawa</t>
  </si>
  <si>
    <t>UG-EAS-1509-1447</t>
  </si>
  <si>
    <t>Kayagi Ester</t>
  </si>
  <si>
    <t>UG-EAS-1504-912</t>
  </si>
  <si>
    <t>Beatrice Negesa</t>
  </si>
  <si>
    <t>Bufumbo</t>
  </si>
  <si>
    <t>Nagwere Stephen</t>
  </si>
  <si>
    <t>UG-EAS-1509-1451</t>
  </si>
  <si>
    <t>Yokosani Kigenyi</t>
  </si>
  <si>
    <t>UG-EAS-1509-1452</t>
  </si>
  <si>
    <t>Hasenyiri Ibrahim</t>
  </si>
  <si>
    <t>UG-EAS-1509-1454</t>
  </si>
  <si>
    <t>Sabakaki Jacob</t>
  </si>
  <si>
    <t>UG-EAS-1509-1455</t>
  </si>
  <si>
    <t>Mudoma Ismail</t>
  </si>
  <si>
    <t>UG-EAS-1505-834</t>
  </si>
  <si>
    <t>Akello Janet</t>
  </si>
  <si>
    <t>UG-EAS-1509-1456</t>
  </si>
  <si>
    <t>Mulelengi Muzamiru</t>
  </si>
  <si>
    <t>UG-EAS-1509-1457</t>
  </si>
  <si>
    <t>Jamira Namulubi</t>
  </si>
  <si>
    <t>UG-EAS-1509-1459</t>
  </si>
  <si>
    <t>Sofia Mafabi</t>
  </si>
  <si>
    <t>UG-EAS-1506-839</t>
  </si>
  <si>
    <t>Onyara Mike</t>
  </si>
  <si>
    <t>UG-EAS-1509-1463</t>
  </si>
  <si>
    <t>Mwasim Bint Adam</t>
  </si>
  <si>
    <t>Kapamworymwo</t>
  </si>
  <si>
    <t>Stephene Khaukha</t>
  </si>
  <si>
    <t>Maboga Harriet</t>
  </si>
  <si>
    <t>UG-EAS-1509-846</t>
  </si>
  <si>
    <t>Elubu Joseph</t>
  </si>
  <si>
    <t>UG-EAS-1509-847</t>
  </si>
  <si>
    <t>Okiror Johnson</t>
  </si>
  <si>
    <t>Egitu Samuel</t>
  </si>
  <si>
    <t>Kelim B</t>
  </si>
  <si>
    <t>UG-EAS-1509-849</t>
  </si>
  <si>
    <t>Enwaku Charles</t>
  </si>
  <si>
    <t>Abule A</t>
  </si>
  <si>
    <t>UG-EAS-1509-850</t>
  </si>
  <si>
    <t>Edyegu Stephen</t>
  </si>
  <si>
    <t>Central Cell</t>
  </si>
  <si>
    <t>UG-EAS-1509-851</t>
  </si>
  <si>
    <t>Onoria Ambrose</t>
  </si>
  <si>
    <t>Senior Quarters</t>
  </si>
  <si>
    <t>UG-EAS-1510-00858</t>
  </si>
  <si>
    <t>Alibo Josephine</t>
  </si>
  <si>
    <t>Akudam Acala</t>
  </si>
  <si>
    <t>UG-EAS-1510-01458</t>
  </si>
  <si>
    <t>Ochieng Sebastian Alinga</t>
  </si>
  <si>
    <t>West Bunyole</t>
  </si>
  <si>
    <t>Mangundho</t>
  </si>
  <si>
    <t>UG-EAS-1510-01469</t>
  </si>
  <si>
    <t>Muhwana Mick</t>
  </si>
  <si>
    <t>Bunyole West</t>
  </si>
  <si>
    <t>UG-EAS-1510-01470</t>
  </si>
  <si>
    <t>Panya Yokolamu</t>
  </si>
  <si>
    <t>UG-EAS-1510-01473</t>
  </si>
  <si>
    <t>Ngaana Wilson</t>
  </si>
  <si>
    <t>Mongha Rashid</t>
  </si>
  <si>
    <t>Hibombo Sosi</t>
  </si>
  <si>
    <t>Wahwaya Abedi</t>
  </si>
  <si>
    <t>Masanghe</t>
  </si>
  <si>
    <t>UG-EAS-1510-1073</t>
  </si>
  <si>
    <t>Joyce Kisukiro</t>
  </si>
  <si>
    <t>Budumbuli East Zone</t>
  </si>
  <si>
    <t>UG-EAS-1510-1087</t>
  </si>
  <si>
    <t>Budini Catholic Parish</t>
  </si>
  <si>
    <t>33.3333333</t>
  </si>
  <si>
    <t>Kaliro TC</t>
  </si>
  <si>
    <t>Budini Mission</t>
  </si>
  <si>
    <t>UG-EAS-1510-1443</t>
  </si>
  <si>
    <t>Mulegi Perezi</t>
  </si>
  <si>
    <t>Kifafa Upper</t>
  </si>
  <si>
    <t>UG-EAS-1510-1444</t>
  </si>
  <si>
    <t>Mulongo Ahamada</t>
  </si>
  <si>
    <t>Kifafa Lower</t>
  </si>
  <si>
    <t>UG-EAS-1510-1460</t>
  </si>
  <si>
    <t>Magoya Hababu</t>
  </si>
  <si>
    <t>Manghundo</t>
  </si>
  <si>
    <t>UG-EAS-1510-1461</t>
  </si>
  <si>
    <t>Beatrice Nabuzale</t>
  </si>
  <si>
    <t>Budi</t>
  </si>
  <si>
    <t>UG-EAS-1510-1464</t>
  </si>
  <si>
    <t>Wamwanzu Gerald</t>
  </si>
  <si>
    <t>Sisiyi</t>
  </si>
  <si>
    <t>UG-EAS-1510-1467</t>
  </si>
  <si>
    <t>Higenyi Shaban</t>
  </si>
  <si>
    <t>Buliro</t>
  </si>
  <si>
    <t>UG-EAS-1510-1468</t>
  </si>
  <si>
    <t>Kakeje Ahamada</t>
  </si>
  <si>
    <t>Buhanga</t>
  </si>
  <si>
    <t>UG-EAS-1510-1471</t>
  </si>
  <si>
    <t>Difasi Wanjala</t>
  </si>
  <si>
    <t>Wuliro</t>
  </si>
  <si>
    <t>UG-EAS-1510-1472</t>
  </si>
  <si>
    <t>Higenyi Nyende Joshua</t>
  </si>
  <si>
    <t>UG-EAS-1510-1474</t>
  </si>
  <si>
    <t>Mwima Alex</t>
  </si>
  <si>
    <t>UG-EAS-1510-1475</t>
  </si>
  <si>
    <t>Wafula Richard</t>
  </si>
  <si>
    <t>UG-EAS-1510-1476</t>
  </si>
  <si>
    <t>Malinga James</t>
  </si>
  <si>
    <t>Maghundo</t>
  </si>
  <si>
    <t>Mulimba Yefusa</t>
  </si>
  <si>
    <t>Wandera John</t>
  </si>
  <si>
    <t>Hirundu</t>
  </si>
  <si>
    <t>Mudamba Muzamiru</t>
  </si>
  <si>
    <t>Hirunda</t>
  </si>
  <si>
    <t>Malinga Muhamad</t>
  </si>
  <si>
    <t>Budusu</t>
  </si>
  <si>
    <t>Mugoya Enocka</t>
  </si>
  <si>
    <t>UG-EAS-1510-1487</t>
  </si>
  <si>
    <t>Higenyi Eric</t>
  </si>
  <si>
    <t>Bunawale</t>
  </si>
  <si>
    <t>UG-EAS-1510-1488</t>
  </si>
  <si>
    <t>Wamulongo Anthony</t>
  </si>
  <si>
    <t>UG-EAS-1510-1489</t>
  </si>
  <si>
    <t>Wandage Aggrey</t>
  </si>
  <si>
    <t>UG-EAS-1510-1490</t>
  </si>
  <si>
    <t>Himigu John</t>
  </si>
  <si>
    <t>UG-EAS-1510-1491</t>
  </si>
  <si>
    <t>Munyaha Aida</t>
  </si>
  <si>
    <t>Buhandanye</t>
  </si>
  <si>
    <t>UG-EAS-1510-1493</t>
  </si>
  <si>
    <t>Wanyeni Alfred</t>
  </si>
  <si>
    <t>Wanjala Dasani</t>
  </si>
  <si>
    <t>Bubali</t>
  </si>
  <si>
    <t>UG-EAS-1510-1496</t>
  </si>
  <si>
    <t>Wangamba George</t>
  </si>
  <si>
    <t>UG-EAS-1510-1497</t>
  </si>
  <si>
    <t>Hyalo Fredrick</t>
  </si>
  <si>
    <t>UG-EAS-1510-1498</t>
  </si>
  <si>
    <t>Tabo Grace</t>
  </si>
  <si>
    <t>UG-EAS-1510-1499</t>
  </si>
  <si>
    <t>Mutoto Ezera</t>
  </si>
  <si>
    <t>Eriga</t>
  </si>
  <si>
    <t>UG-EAS-1510-1500</t>
  </si>
  <si>
    <t>Ochieng Yokana</t>
  </si>
  <si>
    <t>UG-EAS-1510-2002</t>
  </si>
  <si>
    <t>Muzamilu Khawanga</t>
  </si>
  <si>
    <t>Bukasanya</t>
  </si>
  <si>
    <t>UG-EAS-1510-2003</t>
  </si>
  <si>
    <t>Wandulu Magidu</t>
  </si>
  <si>
    <t>Masaba</t>
  </si>
  <si>
    <t>UG-EAS-1510-2004</t>
  </si>
  <si>
    <t>Natiko Samon</t>
  </si>
  <si>
    <t>Tsabanya</t>
  </si>
  <si>
    <t>Manyati Martin</t>
  </si>
  <si>
    <t>Nashisa</t>
  </si>
  <si>
    <t>UG-EAS-1510-2006</t>
  </si>
  <si>
    <t>Mutuba Patrick</t>
  </si>
  <si>
    <t>UG-EAS-1510-2008</t>
  </si>
  <si>
    <t>Nadutudu Beatrice</t>
  </si>
  <si>
    <t>UG-EAS-1510-2009</t>
  </si>
  <si>
    <t>Wabilya Sam</t>
  </si>
  <si>
    <t>Topister Shibale</t>
  </si>
  <si>
    <t>UG-EAS-1510-2012</t>
  </si>
  <si>
    <t>Egesa Alice</t>
  </si>
  <si>
    <t>Marale</t>
  </si>
  <si>
    <t>UG-EAS-1510-2013</t>
  </si>
  <si>
    <t>Khaukha Sam</t>
  </si>
  <si>
    <t>UG-EAS-1510-2014</t>
  </si>
  <si>
    <t>Mutonyi Lakeli</t>
  </si>
  <si>
    <t>UG-EAS-1510-2017</t>
  </si>
  <si>
    <t>Debola Nambuya</t>
  </si>
  <si>
    <t>UG-EAS-1508-1881</t>
  </si>
  <si>
    <t>Atupu  Richard (plant2)</t>
  </si>
  <si>
    <t>UG-EAS-1510-2018</t>
  </si>
  <si>
    <t>Wekhanya Fred</t>
  </si>
  <si>
    <t>Tsabanyanya</t>
  </si>
  <si>
    <t>Musoba Andrew (plant2)</t>
  </si>
  <si>
    <t>Mabonga Partrick</t>
  </si>
  <si>
    <t>Asenasi Matere</t>
  </si>
  <si>
    <t>Marel</t>
  </si>
  <si>
    <t>Natembeya Ben</t>
  </si>
  <si>
    <t>Swaibu Walimbwa</t>
  </si>
  <si>
    <t>Chebet Satya Francis</t>
  </si>
  <si>
    <t>Kaserem</t>
  </si>
  <si>
    <t>Kaplebete central`</t>
  </si>
  <si>
    <t>UG-EAS-1510-854</t>
  </si>
  <si>
    <t>Edatu Lowrence</t>
  </si>
  <si>
    <t>Abeko</t>
  </si>
  <si>
    <t>Kagoma Catholic Parish</t>
  </si>
  <si>
    <t>UG-EAS-1511-1465</t>
  </si>
  <si>
    <t>Magi Yokosani</t>
  </si>
  <si>
    <t>UG-EAS-1511-1466</t>
  </si>
  <si>
    <t>Hyuka Geresom</t>
  </si>
  <si>
    <t>Namuntu</t>
  </si>
  <si>
    <t>Wandera Yonasan</t>
  </si>
  <si>
    <t>Namwole</t>
  </si>
  <si>
    <t>UG-EAS-1511-2007</t>
  </si>
  <si>
    <t>Masaba James</t>
  </si>
  <si>
    <t>UG-EAS-1511-2015</t>
  </si>
  <si>
    <t>Nadudu Aasha</t>
  </si>
  <si>
    <t>UG-EAS-1511-2019</t>
  </si>
  <si>
    <t>Masa Charles</t>
  </si>
  <si>
    <t>UG-EAS-1511-2020</t>
  </si>
  <si>
    <t>Grace Oburu</t>
  </si>
  <si>
    <t>Nasimyu Dorothy</t>
  </si>
  <si>
    <t>Nabubaya Aburaham</t>
  </si>
  <si>
    <t>UG-EAS-1511-3301</t>
  </si>
  <si>
    <t>Cherotwo Wilson Arapbukole</t>
  </si>
  <si>
    <t>Kapchekwoi</t>
  </si>
  <si>
    <t>Gimei Simon</t>
  </si>
  <si>
    <t>Namajuni</t>
  </si>
  <si>
    <t>Namejji</t>
  </si>
  <si>
    <t>UG-EAS-1511-3304</t>
  </si>
  <si>
    <t>Buzi Stephen</t>
  </si>
  <si>
    <t>Tulel</t>
  </si>
  <si>
    <t>Chepterit</t>
  </si>
  <si>
    <t>UG-EAS-1511-3305</t>
  </si>
  <si>
    <t>Chemonges Shadrak</t>
  </si>
  <si>
    <t>Kapteret</t>
  </si>
  <si>
    <t>Mateny</t>
  </si>
  <si>
    <t>UG-EAS-1511-3306</t>
  </si>
  <si>
    <t>Wobudeya Beatrice</t>
  </si>
  <si>
    <t>Gamogo</t>
  </si>
  <si>
    <t>Jewa East</t>
  </si>
  <si>
    <t>UG-EAS-1511-3307</t>
  </si>
  <si>
    <t>Siwa Rashid</t>
  </si>
  <si>
    <t>Kululu</t>
  </si>
  <si>
    <t>UG-EAS-1511-861</t>
  </si>
  <si>
    <t>Oule Alex</t>
  </si>
  <si>
    <t>kyere</t>
  </si>
  <si>
    <t>Mai Canon Esereda Masereje</t>
  </si>
  <si>
    <t>Buhungu</t>
  </si>
  <si>
    <t>Nasekye</t>
  </si>
  <si>
    <t>UG-EAS-1512-2031</t>
  </si>
  <si>
    <t>Wananda Job</t>
  </si>
  <si>
    <t>Busio</t>
  </si>
  <si>
    <t>Bunanumi</t>
  </si>
  <si>
    <t>UG-EAS-1512-2034</t>
  </si>
  <si>
    <t>Mudesi George M</t>
  </si>
  <si>
    <t>UG-EAS-1512-857</t>
  </si>
  <si>
    <t>Amuret Steven</t>
  </si>
  <si>
    <t>Obia</t>
  </si>
  <si>
    <t>UG-EAS-1512-862</t>
  </si>
  <si>
    <t>Okou Patrick+</t>
  </si>
  <si>
    <t>Angobo</t>
  </si>
  <si>
    <t>UG-EAS-1601-00864</t>
  </si>
  <si>
    <t>Loteni John January</t>
  </si>
  <si>
    <t>Kaabong</t>
  </si>
  <si>
    <t>Dodoth East</t>
  </si>
  <si>
    <t>Kathile</t>
  </si>
  <si>
    <t>Naryamaoi North</t>
  </si>
  <si>
    <t>UG-EAS-1601-1096</t>
  </si>
  <si>
    <t>Kasozi John</t>
  </si>
  <si>
    <t>Nsinda</t>
  </si>
  <si>
    <t>Azizi Madanda</t>
  </si>
  <si>
    <t>Lubumbwa</t>
  </si>
  <si>
    <t>UG-EAS-1601-3312</t>
  </si>
  <si>
    <t>Mzee Stephen</t>
  </si>
  <si>
    <t>Munarya</t>
  </si>
  <si>
    <t>Sosur</t>
  </si>
  <si>
    <t>UG-EAS-1601-3313</t>
  </si>
  <si>
    <t>Subakia Hassau</t>
  </si>
  <si>
    <t>Towo</t>
  </si>
  <si>
    <t>UG-EAS-1601-856</t>
  </si>
  <si>
    <t>Iyanu Pauline</t>
  </si>
  <si>
    <t>Olele</t>
  </si>
  <si>
    <t>UG-EAS-1601-860</t>
  </si>
  <si>
    <t>Achola Leah</t>
  </si>
  <si>
    <t>Olelai</t>
  </si>
  <si>
    <t>UG-EAS-1601-863</t>
  </si>
  <si>
    <t>Joseph Elaku</t>
  </si>
  <si>
    <t>Arapo</t>
  </si>
  <si>
    <t>UG-EAS-1601-865</t>
  </si>
  <si>
    <t>Ajwado Esther</t>
  </si>
  <si>
    <t>UG-EAS-1601-867</t>
  </si>
  <si>
    <t>Ikwap Micheal</t>
  </si>
  <si>
    <t>Kasili</t>
  </si>
  <si>
    <t>Obila</t>
  </si>
  <si>
    <t>UG-EAS-1601-868</t>
  </si>
  <si>
    <t>Anyado Jocy</t>
  </si>
  <si>
    <t>UG-EAS-1601-871</t>
  </si>
  <si>
    <t>Obar Joseph</t>
  </si>
  <si>
    <t>UG-EAS-1601-872</t>
  </si>
  <si>
    <t>Irangolet John Robert</t>
  </si>
  <si>
    <t>Aguritur</t>
  </si>
  <si>
    <t>UG-EAS-1601-874</t>
  </si>
  <si>
    <t>Aluga Sipola</t>
  </si>
  <si>
    <t>UG-EAS-1601-879</t>
  </si>
  <si>
    <t>James Alacu</t>
  </si>
  <si>
    <t>Kamacharikol</t>
  </si>
  <si>
    <t>UG-EAS-1601-886</t>
  </si>
  <si>
    <t>Okiror David Charlise</t>
  </si>
  <si>
    <t>Ajuba Landing site</t>
  </si>
  <si>
    <t>UG-EAS-1508-999</t>
  </si>
  <si>
    <t>Wandera Zubairi</t>
  </si>
  <si>
    <t>UG-EAS-1601-988</t>
  </si>
  <si>
    <t>Busule Musa</t>
  </si>
  <si>
    <t>UG-EAS-1602-00878</t>
  </si>
  <si>
    <t>Lubega Ekodu Charles</t>
  </si>
  <si>
    <t>Aarapoo</t>
  </si>
  <si>
    <t>UG-EAS-1602-2035</t>
  </si>
  <si>
    <t>Makai Miriam</t>
  </si>
  <si>
    <t>Industria Division</t>
  </si>
  <si>
    <t>Muyembe Cell</t>
  </si>
  <si>
    <t>UG-EAS-1602-2036</t>
  </si>
  <si>
    <t>Kibaba Musafu</t>
  </si>
  <si>
    <t>Bukhumeka II</t>
  </si>
  <si>
    <t>UG-EAS-1602-3309</t>
  </si>
  <si>
    <t>Chelangat Rosemary</t>
  </si>
  <si>
    <t>Kapkwitebes</t>
  </si>
  <si>
    <t>Gimei Moses</t>
  </si>
  <si>
    <t>Buzemunwa B</t>
  </si>
  <si>
    <t>Munyo Alfred</t>
  </si>
  <si>
    <t>Kapchemakal</t>
  </si>
  <si>
    <t>UG-EAS-1602-866</t>
  </si>
  <si>
    <t>Opero Willian</t>
  </si>
  <si>
    <t>Amuru</t>
  </si>
  <si>
    <t>UG-EAS-1602-877</t>
  </si>
  <si>
    <t>Omakada Micheal</t>
  </si>
  <si>
    <t>kASILO</t>
  </si>
  <si>
    <t>UG-EAS-1602-882</t>
  </si>
  <si>
    <t>Ekodeu John</t>
  </si>
  <si>
    <t>Akwangalet</t>
  </si>
  <si>
    <t>UG-EAS-1602-887</t>
  </si>
  <si>
    <t>Okisimo David</t>
  </si>
  <si>
    <t>Ajuba</t>
  </si>
  <si>
    <t>UG-EAS-1602-890</t>
  </si>
  <si>
    <t>Yoweri Okurut</t>
  </si>
  <si>
    <t>Mr Weyawo Andrew</t>
  </si>
  <si>
    <t>UG-EAS-1603-869</t>
  </si>
  <si>
    <t>Kedi Augustine</t>
  </si>
  <si>
    <t>UG-EAS-1509-1434</t>
  </si>
  <si>
    <t>Pulis Bumali</t>
  </si>
  <si>
    <t>UG-EAS-1603-883</t>
  </si>
  <si>
    <t>Aojaar Ken</t>
  </si>
  <si>
    <t>UG-EAS-1604-03459</t>
  </si>
  <si>
    <t>Byekwaso Francis</t>
  </si>
  <si>
    <t>Bugodi</t>
  </si>
  <si>
    <t>UG-EAS-1604-04980</t>
  </si>
  <si>
    <t>Esoku Felex</t>
  </si>
  <si>
    <t>Cerero</t>
  </si>
  <si>
    <t>Kanyalam</t>
  </si>
  <si>
    <t>UG-EAS-1604-07463</t>
  </si>
  <si>
    <t>Mr William Naluuma</t>
  </si>
  <si>
    <t>Najjemba</t>
  </si>
  <si>
    <t>UG-EAS-1604-1100</t>
  </si>
  <si>
    <t>Kunya James</t>
  </si>
  <si>
    <t>Budumbula</t>
  </si>
  <si>
    <t>UG-EAS-1604-171</t>
  </si>
  <si>
    <t>Wandela Peter</t>
  </si>
  <si>
    <t>Busia M/c</t>
  </si>
  <si>
    <t>Butangasi</t>
  </si>
  <si>
    <t>Grace Oburu (Hon)</t>
  </si>
  <si>
    <t>Onyango John</t>
  </si>
  <si>
    <t>Bunehe</t>
  </si>
  <si>
    <t>Buhamuwa</t>
  </si>
  <si>
    <t>Jamira Kawesa</t>
  </si>
  <si>
    <t>Mabuyi Fred</t>
  </si>
  <si>
    <t>Fazali Kasacha</t>
  </si>
  <si>
    <t>Hajala Edinani</t>
  </si>
  <si>
    <t>UG-EAS-1604-893</t>
  </si>
  <si>
    <t>Okia Hannington</t>
  </si>
  <si>
    <t>Akangwalet</t>
  </si>
  <si>
    <t>UG-EAS-1605-02029</t>
  </si>
  <si>
    <t>Kamba Micheal</t>
  </si>
  <si>
    <t>Nasinyu B</t>
  </si>
  <si>
    <t>UG-EAS-1605-03451</t>
  </si>
  <si>
    <t>Rwanguha Benon</t>
  </si>
  <si>
    <t>Jinja central division</t>
  </si>
  <si>
    <t>Madhivani</t>
  </si>
  <si>
    <t>UG-EAS-1605-03460</t>
  </si>
  <si>
    <t>Sonshine Christian High School</t>
  </si>
  <si>
    <t>Bugweri</t>
  </si>
  <si>
    <t>Makuutu</t>
  </si>
  <si>
    <t>Bunalwenyi A</t>
  </si>
  <si>
    <t>UG-EAS-1605-05405</t>
  </si>
  <si>
    <t>Namuluta Alice</t>
  </si>
  <si>
    <t>Kamuli Northern Division</t>
  </si>
  <si>
    <t>Busiogo LC1</t>
  </si>
  <si>
    <t>UG-EAS-1605-06211</t>
  </si>
  <si>
    <t xml:space="preserve">Onyango John </t>
  </si>
  <si>
    <t>Buhamuna</t>
  </si>
  <si>
    <t>Hajji Katibu Kiranda</t>
  </si>
  <si>
    <t>Matiki</t>
  </si>
  <si>
    <t>Muzaala Hajji Jamiri</t>
  </si>
  <si>
    <t>UG-EAS-1605-2005</t>
  </si>
  <si>
    <t>Ngiya David</t>
  </si>
  <si>
    <t>Bukoli Central</t>
  </si>
  <si>
    <t>Namakoko</t>
  </si>
  <si>
    <t>Kirabira Hallen</t>
  </si>
  <si>
    <t>Nawansenyo</t>
  </si>
  <si>
    <t>Weggulo Wilberforce</t>
  </si>
  <si>
    <t>UG-EAS-1605-897</t>
  </si>
  <si>
    <t>Mulijjo Steven</t>
  </si>
  <si>
    <t>Sanika</t>
  </si>
  <si>
    <t>UG-EAS-1605-898</t>
  </si>
  <si>
    <t>Mulongo Dawuda</t>
  </si>
  <si>
    <t>Kasongoire B</t>
  </si>
  <si>
    <t>UG-EAS-1605-899</t>
  </si>
  <si>
    <t>Owor Fred</t>
  </si>
  <si>
    <t>UG-EAS-1605-900</t>
  </si>
  <si>
    <t>Bamane Kalem</t>
  </si>
  <si>
    <t>Batubya David</t>
  </si>
  <si>
    <t>Bulabe</t>
  </si>
  <si>
    <t>UG-EAS-1509-855</t>
  </si>
  <si>
    <t>Fr Eilu Joseph</t>
  </si>
  <si>
    <t>Acumet</t>
  </si>
  <si>
    <t>Mukisa Jackson</t>
  </si>
  <si>
    <t>UG-EAS-1606-02025</t>
  </si>
  <si>
    <t>Otai Bernard</t>
  </si>
  <si>
    <t>UG-EAS-1606-02026</t>
  </si>
  <si>
    <t>Orogot Joseph</t>
  </si>
  <si>
    <t>Omirio</t>
  </si>
  <si>
    <t>Wanyawura John</t>
  </si>
  <si>
    <t>Butiru B</t>
  </si>
  <si>
    <t>Semu Robert</t>
  </si>
  <si>
    <t>Kibiniko</t>
  </si>
  <si>
    <t>Wilimba Force Shukilye</t>
  </si>
  <si>
    <t>Bunakinto</t>
  </si>
  <si>
    <t>Nambozo Faridah</t>
  </si>
  <si>
    <t>UG-EAS-1606-07266</t>
  </si>
  <si>
    <t>Khayitsa Frances Jane</t>
  </si>
  <si>
    <t>Bukooli Central</t>
  </si>
  <si>
    <t>Namatanga</t>
  </si>
  <si>
    <t>UG-EAS-1606-1098</t>
  </si>
  <si>
    <t>Mutekanga Richard</t>
  </si>
  <si>
    <t>Nawanyogo</t>
  </si>
  <si>
    <t>Mrs mary Kaitampala</t>
  </si>
  <si>
    <t>Namalenhya</t>
  </si>
  <si>
    <t>Mpambiro Lovisa</t>
  </si>
  <si>
    <t>Bukooli central</t>
  </si>
  <si>
    <t>Bupala</t>
  </si>
  <si>
    <t>Musana Richard</t>
  </si>
  <si>
    <t>Wanyama Deziranta</t>
  </si>
  <si>
    <t>Wakatabula Steven</t>
  </si>
  <si>
    <t>Mugere</t>
  </si>
  <si>
    <t>UG-EAS-1606-2021</t>
  </si>
  <si>
    <t>Naigaga Juliet</t>
  </si>
  <si>
    <t>Nabukwasi Fazira</t>
  </si>
  <si>
    <t>UG-EAS-1607-02022</t>
  </si>
  <si>
    <t>Ngobi Jacob</t>
  </si>
  <si>
    <t>Iwemba</t>
  </si>
  <si>
    <t>Kimira</t>
  </si>
  <si>
    <t>UG-EAS-1607-02023</t>
  </si>
  <si>
    <t>Okiror John Michael</t>
  </si>
  <si>
    <t>kasilo</t>
  </si>
  <si>
    <t>UG-EAS-1607-02024</t>
  </si>
  <si>
    <t>Olupot Micheal</t>
  </si>
  <si>
    <t>UG-EAS-1607-02028</t>
  </si>
  <si>
    <t>Nasaama Sarah</t>
  </si>
  <si>
    <t>Nabiganda</t>
  </si>
  <si>
    <t>Koech Abu</t>
  </si>
  <si>
    <t>Bustema</t>
  </si>
  <si>
    <t>Hubuleke</t>
  </si>
  <si>
    <t>UG-EAS-1607-02038</t>
  </si>
  <si>
    <t>Imeri Bisansio</t>
  </si>
  <si>
    <t>Maiku David</t>
  </si>
  <si>
    <t>Wanafwa</t>
  </si>
  <si>
    <t>Mulongo Julius</t>
  </si>
  <si>
    <t>Muluku</t>
  </si>
  <si>
    <t>Guloba Stephen</t>
  </si>
  <si>
    <t>UG-EAS-1607-04125</t>
  </si>
  <si>
    <t>Nabusaku  Paul</t>
  </si>
  <si>
    <t>Matsantsa</t>
  </si>
  <si>
    <t>UG-EAS-1607-05006</t>
  </si>
  <si>
    <t>Rose Ojiambo</t>
  </si>
  <si>
    <t>Samia Bugwe</t>
  </si>
  <si>
    <t>Busime</t>
  </si>
  <si>
    <t>Mundindi A</t>
  </si>
  <si>
    <t>UG-EAS-1607-05008</t>
  </si>
  <si>
    <t>Wandera Pascal Osenda</t>
  </si>
  <si>
    <t>Samia/Bugwe</t>
  </si>
  <si>
    <t>Mahoma</t>
  </si>
  <si>
    <t>UG-EAS-1607-05015</t>
  </si>
  <si>
    <t>Musana Furasi Fred (Kafu Janet)</t>
  </si>
  <si>
    <t>Habuleke</t>
  </si>
  <si>
    <t>UG-EAS-1607-07304</t>
  </si>
  <si>
    <t>Matende Steven</t>
  </si>
  <si>
    <t>UG-EAS-1607-2030</t>
  </si>
  <si>
    <t>Grace Ogola</t>
  </si>
  <si>
    <t>Bulekei A</t>
  </si>
  <si>
    <t>UG-EAS-1607-2037</t>
  </si>
  <si>
    <t>Barasa Cox Clement Lipua</t>
  </si>
  <si>
    <t>UG-EAS-1607-2039</t>
  </si>
  <si>
    <t>Okuku Moses</t>
  </si>
  <si>
    <t>Lulonda</t>
  </si>
  <si>
    <t>UG-EAS-1607-2042</t>
  </si>
  <si>
    <t>Jesanga Mary</t>
  </si>
  <si>
    <t>Kabuhika</t>
  </si>
  <si>
    <t>UG-EAS-1608-00830</t>
  </si>
  <si>
    <t>Wesonga Disan</t>
  </si>
  <si>
    <t>Busitema Trading center</t>
  </si>
  <si>
    <t>UG-EAS-1608-01781</t>
  </si>
  <si>
    <t>Nekesa Hamidah</t>
  </si>
  <si>
    <t>UG-EAS-1608-01782</t>
  </si>
  <si>
    <t>Nabansa Rose</t>
  </si>
  <si>
    <t>UG-EAS-1608-01783</t>
  </si>
  <si>
    <t>Kadewo Wilson</t>
  </si>
  <si>
    <t>Kyemeire</t>
  </si>
  <si>
    <t>UG-EAS-1608-01787</t>
  </si>
  <si>
    <t>Muwaya Ayubu</t>
  </si>
  <si>
    <t>Kasongoire</t>
  </si>
  <si>
    <t>UG-EAS-1608-02033</t>
  </si>
  <si>
    <t>Opolot Robert</t>
  </si>
  <si>
    <t>UG-EAS-1608-02040</t>
  </si>
  <si>
    <t>Magero Paul</t>
  </si>
  <si>
    <t>Silangirire</t>
  </si>
  <si>
    <t>UG-EAS-1608-02043</t>
  </si>
  <si>
    <t>Merith N Wakinya</t>
  </si>
  <si>
    <t>Kibiisi</t>
  </si>
  <si>
    <t>UG-EAS-1608-02048</t>
  </si>
  <si>
    <t>Wita Micheal</t>
  </si>
  <si>
    <t>Namujonjo Karusma</t>
  </si>
  <si>
    <t>Sam Mutenyo Wekoyera</t>
  </si>
  <si>
    <t>Bukhumeka</t>
  </si>
  <si>
    <t>UG-EAS-1608-05010</t>
  </si>
  <si>
    <t>Masinde Gercsom</t>
  </si>
  <si>
    <t>UG-EAS-1608-05012</t>
  </si>
  <si>
    <t>Isabirye John</t>
  </si>
  <si>
    <t>UG-EAS-1608-05016</t>
  </si>
  <si>
    <t>Amwato Kennedy</t>
  </si>
  <si>
    <t>Namukombe</t>
  </si>
  <si>
    <t>UG-EAS-1608-05017</t>
  </si>
  <si>
    <t>Odinga Patrick</t>
  </si>
  <si>
    <t>Syanyonjo</t>
  </si>
  <si>
    <t>UG-EAS-1608-05018</t>
  </si>
  <si>
    <t>Ogwele Peter</t>
  </si>
  <si>
    <t>UG-EAS-1608-05019</t>
  </si>
  <si>
    <t>Walubanja Jackson</t>
  </si>
  <si>
    <t>Buyole west</t>
  </si>
  <si>
    <t>Habiga</t>
  </si>
  <si>
    <t>UG-EAS-1608-05020</t>
  </si>
  <si>
    <t>Mbuluga John Wilson</t>
  </si>
  <si>
    <t>Dumbu</t>
  </si>
  <si>
    <t>UG-EAS-1608-05022</t>
  </si>
  <si>
    <t>Wanghapi Moses</t>
  </si>
  <si>
    <t>Budamba</t>
  </si>
  <si>
    <t>Nambiri</t>
  </si>
  <si>
    <t>UG-EAS-1608-05024</t>
  </si>
  <si>
    <t>Kisakye Moreen</t>
  </si>
  <si>
    <t>UG-EAS-1608-05032</t>
  </si>
  <si>
    <t>Kungu Wilbert</t>
  </si>
  <si>
    <t>David Etaric Agong</t>
  </si>
  <si>
    <t xml:space="preserve">Samia Bugwe </t>
  </si>
  <si>
    <t>UG-EAS-1608-2044</t>
  </si>
  <si>
    <t>Kutosi Betty</t>
  </si>
  <si>
    <t>Khokhobu</t>
  </si>
  <si>
    <t>Makuma Mary</t>
  </si>
  <si>
    <t>Lulaare</t>
  </si>
  <si>
    <t>UG-EAS-1608-7267</t>
  </si>
  <si>
    <t>Wakambi Habiibu Ssalongo</t>
  </si>
  <si>
    <t>Nawampanda</t>
  </si>
  <si>
    <t>Muhwana Hussein</t>
  </si>
  <si>
    <t>Bugoola</t>
  </si>
  <si>
    <t>Wakoko Nathan</t>
  </si>
  <si>
    <t>Bunabutit</t>
  </si>
  <si>
    <t>UG-EAS-1609-01784</t>
  </si>
  <si>
    <t>Kutosi Samson</t>
  </si>
  <si>
    <t>Bugai</t>
  </si>
  <si>
    <t>UG-EAS-1609-01788</t>
  </si>
  <si>
    <t>Amos Osudu</t>
  </si>
  <si>
    <t>Masafu</t>
  </si>
  <si>
    <t>UG-EAS-1609-02046</t>
  </si>
  <si>
    <t>Kasolo Abdala</t>
  </si>
  <si>
    <t>Bokooli central</t>
  </si>
  <si>
    <t>Namutenga</t>
  </si>
  <si>
    <t>Wetuli Wilson</t>
  </si>
  <si>
    <t>Sukuda</t>
  </si>
  <si>
    <t>Wamboga Rose Eleth</t>
  </si>
  <si>
    <t>Wangoyi</t>
  </si>
  <si>
    <t>UG-EAS-1609-02049</t>
  </si>
  <si>
    <t>Nambale Wilson</t>
  </si>
  <si>
    <t>Bunasasa</t>
  </si>
  <si>
    <t>UG-EAS-1609-02050</t>
  </si>
  <si>
    <t>Wambi Alex</t>
  </si>
  <si>
    <t>Nakatsi</t>
  </si>
  <si>
    <t>Busamo</t>
  </si>
  <si>
    <t>UG-EAS-1609-02051</t>
  </si>
  <si>
    <t>Waneloba Damacus</t>
  </si>
  <si>
    <t>Busamo west upper</t>
  </si>
  <si>
    <t>Mayamba Timothy Fr</t>
  </si>
  <si>
    <t>Nambisi</t>
  </si>
  <si>
    <t>UG-EAS-1609-03314</t>
  </si>
  <si>
    <t>Siwa Cherukut Proffessor</t>
  </si>
  <si>
    <t>Kaborotwo</t>
  </si>
  <si>
    <t>UG-EAS-1609-04951</t>
  </si>
  <si>
    <t>Chuha Patrick</t>
  </si>
  <si>
    <t>33.4156</t>
  </si>
  <si>
    <t>Nankoma A</t>
  </si>
  <si>
    <t>UG-EAS-1609-04953</t>
  </si>
  <si>
    <t>Kisense Subaire</t>
  </si>
  <si>
    <t>UG-EAS-1609-04956</t>
  </si>
  <si>
    <t>Kalifan Gidudu</t>
  </si>
  <si>
    <t>Ayisateko</t>
  </si>
  <si>
    <t>UG-EAS-1609-04957</t>
  </si>
  <si>
    <t>Mabonga Zubaili</t>
  </si>
  <si>
    <t>UG-EAS-1609-05013</t>
  </si>
  <si>
    <t>Aramis Peter</t>
  </si>
  <si>
    <t>Nangudi</t>
  </si>
  <si>
    <t>UG-EAS-1609-05025</t>
  </si>
  <si>
    <t>Johnson Wafula</t>
  </si>
  <si>
    <t>Sikuda</t>
  </si>
  <si>
    <t>Hekaka</t>
  </si>
  <si>
    <t>UG-EAS-1512-1005</t>
  </si>
  <si>
    <t>Tadaaga Nasser</t>
  </si>
  <si>
    <t>Kakira TC</t>
  </si>
  <si>
    <t>Wairaka B</t>
  </si>
  <si>
    <t>UG-EAS-1609-05026</t>
  </si>
  <si>
    <t>Emongasi Micheal</t>
  </si>
  <si>
    <t>Akipenete</t>
  </si>
  <si>
    <t>Fr Dominic Mumbi</t>
  </si>
  <si>
    <t>Nangogera</t>
  </si>
  <si>
    <t>Ngongera TC</t>
  </si>
  <si>
    <t>Sedera</t>
  </si>
  <si>
    <t>UG-EAS-1609-05029</t>
  </si>
  <si>
    <t>Wandera Patrick</t>
  </si>
  <si>
    <t>Nakola B</t>
  </si>
  <si>
    <t>UG-EAS-1609-05034</t>
  </si>
  <si>
    <t>Wangira Fred</t>
  </si>
  <si>
    <t>UG-EAS-1609-05039</t>
  </si>
  <si>
    <t>Kalimu Siraji</t>
  </si>
  <si>
    <t>Namanyonyi central B</t>
  </si>
  <si>
    <t>UG-EAS-1609-05040</t>
  </si>
  <si>
    <t>Madoi Yakubu</t>
  </si>
  <si>
    <t>UG-EAS-1512-876</t>
  </si>
  <si>
    <t>Okanya John Stephen</t>
  </si>
  <si>
    <t>UG-EAS-1609-05041</t>
  </si>
  <si>
    <t>Kabanda Lastone</t>
  </si>
  <si>
    <t>UG-EAS-1609-05043</t>
  </si>
  <si>
    <t>Oyuki Richard</t>
  </si>
  <si>
    <t>Nawambwa</t>
  </si>
  <si>
    <t>Mulobole Maliki</t>
  </si>
  <si>
    <t>UG-EAS-1609-05046</t>
  </si>
  <si>
    <t>Daka Wilson</t>
  </si>
  <si>
    <t xml:space="preserve">Mwambu Safiyu </t>
  </si>
  <si>
    <t>Mutebi Muhamad</t>
  </si>
  <si>
    <t>Budia</t>
  </si>
  <si>
    <t>UG-EAS-1609-05049</t>
  </si>
  <si>
    <t>Dhikusoka Samuel</t>
  </si>
  <si>
    <t>Kasooba</t>
  </si>
  <si>
    <t>UG-EAS-1609-07209</t>
  </si>
  <si>
    <t>Namuwaya Katilina Katilina</t>
  </si>
  <si>
    <t>Kisenyi kitovu</t>
  </si>
  <si>
    <t>Baleese organic</t>
  </si>
  <si>
    <t>UG-EAS-1609-07462</t>
  </si>
  <si>
    <t>Mugerwa Musawo Fred</t>
  </si>
  <si>
    <t>Kyakwise Stephen</t>
  </si>
  <si>
    <t>Itakaibolu B</t>
  </si>
  <si>
    <t>UG-EAS-1609-2047</t>
  </si>
  <si>
    <t>Wamono Moses</t>
  </si>
  <si>
    <t>Nampanga cell</t>
  </si>
  <si>
    <t>UG-EAS-1609-4952</t>
  </si>
  <si>
    <t>Bwire Fred</t>
  </si>
  <si>
    <t>UG-EAS-1609-5014</t>
  </si>
  <si>
    <t>Wabwire Moses</t>
  </si>
  <si>
    <t>UG-EAS-1601-873</t>
  </si>
  <si>
    <t>Okello Cp</t>
  </si>
  <si>
    <t>Opiya</t>
  </si>
  <si>
    <t>UG-EAS-1610- 02052</t>
  </si>
  <si>
    <t>Kamoti Milliton Wasunguyi</t>
  </si>
  <si>
    <t>UG-EAS-1601-875</t>
  </si>
  <si>
    <t>Advised to empty for further inspection, Emptying</t>
  </si>
  <si>
    <t>Bongole Patrick</t>
  </si>
  <si>
    <t>UG-EAS-1610-01785</t>
  </si>
  <si>
    <t>Nambozo Emuna Esther</t>
  </si>
  <si>
    <t>Weswa Julius</t>
  </si>
  <si>
    <t>Lutuwa</t>
  </si>
  <si>
    <t>Natala Faith</t>
  </si>
  <si>
    <t>Bukigai</t>
  </si>
  <si>
    <t>Shamukhama</t>
  </si>
  <si>
    <t>Kutosi Dision George</t>
  </si>
  <si>
    <t>Wameyo Vicent</t>
  </si>
  <si>
    <t>Itaala</t>
  </si>
  <si>
    <t>Wakoko Stephen</t>
  </si>
  <si>
    <t>Bukotita</t>
  </si>
  <si>
    <t>UG-EAS-1610-02128</t>
  </si>
  <si>
    <t>Wobeweni Betty</t>
  </si>
  <si>
    <t>Muhuwa</t>
  </si>
  <si>
    <t>Masolo Mike</t>
  </si>
  <si>
    <t>Buklimebka II</t>
  </si>
  <si>
    <t>Wandera Micheal Buyi</t>
  </si>
  <si>
    <t>Lwasso</t>
  </si>
  <si>
    <t>Nangobongobo</t>
  </si>
  <si>
    <t>Khatundi Damaris Tumwa</t>
  </si>
  <si>
    <t>Bulolelo</t>
  </si>
  <si>
    <t>UG-EAS-1602-870</t>
  </si>
  <si>
    <t>Aluku Simon</t>
  </si>
  <si>
    <t>UG-EAS-1610-04958</t>
  </si>
  <si>
    <t>Muyonga Micheal</t>
  </si>
  <si>
    <t>UG-EAS-1602-880</t>
  </si>
  <si>
    <t>Opale John</t>
  </si>
  <si>
    <t>UG-EAS-1602-881</t>
  </si>
  <si>
    <t>Kulume Anna Grace</t>
  </si>
  <si>
    <t>UG-EAS-1610-04962</t>
  </si>
  <si>
    <t>Masaka Christopher</t>
  </si>
  <si>
    <t>Matovu C</t>
  </si>
  <si>
    <t>UG-EAS-1610-04963</t>
  </si>
  <si>
    <t>Musitwa Amuza</t>
  </si>
  <si>
    <t>33.40.1</t>
  </si>
  <si>
    <t>Matovu B</t>
  </si>
  <si>
    <t>UG-EAS-1610-04978</t>
  </si>
  <si>
    <t>Ongaria Juma David</t>
  </si>
  <si>
    <t>34.252</t>
  </si>
  <si>
    <t>Busittema central</t>
  </si>
  <si>
    <t>UG-EAS-1610-04979</t>
  </si>
  <si>
    <t>Omuse Fred</t>
  </si>
  <si>
    <t>Kawala Othieno Micheal</t>
  </si>
  <si>
    <t>Masita</t>
  </si>
  <si>
    <t>UG-EAS-1610-05027</t>
  </si>
  <si>
    <t>Charles Maganda</t>
  </si>
  <si>
    <t>Itakaibolu</t>
  </si>
  <si>
    <t xml:space="preserve">Wagoli Harriet </t>
  </si>
  <si>
    <t>0755806390</t>
  </si>
  <si>
    <t>0753955680</t>
  </si>
  <si>
    <t>Bunghoko North</t>
  </si>
  <si>
    <t>Sunday Fred</t>
  </si>
  <si>
    <t>33.718192</t>
  </si>
  <si>
    <t>UG-EAS-1610-2010</t>
  </si>
  <si>
    <t>Adikin Christine</t>
  </si>
  <si>
    <t>Lwamunyu</t>
  </si>
  <si>
    <t>UG-EAS-1610-2359</t>
  </si>
  <si>
    <t>Bwayo  Patrick</t>
  </si>
  <si>
    <t>Northern Div</t>
  </si>
  <si>
    <t>Buwalasi cell</t>
  </si>
  <si>
    <t>UG-EAS-1610-5033</t>
  </si>
  <si>
    <t>Wanyama Wilson Bakangwe</t>
  </si>
  <si>
    <t>UG-EAS-1611-01786</t>
  </si>
  <si>
    <t>Mutangi Samson</t>
  </si>
  <si>
    <t>Nkoma Centre C</t>
  </si>
  <si>
    <t>UG-EAS-1611-02041</t>
  </si>
  <si>
    <t>Masinde Tadeo</t>
  </si>
  <si>
    <t>Ndojo Budala</t>
  </si>
  <si>
    <t>Mafabi Aliyi Nadalema</t>
  </si>
  <si>
    <t>Bumusiri</t>
  </si>
  <si>
    <t>Kibembe</t>
  </si>
  <si>
    <t>Nangoli Safiyi</t>
  </si>
  <si>
    <t>Wafula Magidu Dengala</t>
  </si>
  <si>
    <t>UG-EAS-1604-888</t>
  </si>
  <si>
    <t>Tino Beatrice</t>
  </si>
  <si>
    <t>Omoyo</t>
  </si>
  <si>
    <t>Wakhisi Isreal</t>
  </si>
  <si>
    <t>Bukokho East</t>
  </si>
  <si>
    <t>Namanyo</t>
  </si>
  <si>
    <t>Mwirolo Samuel</t>
  </si>
  <si>
    <t>Buwaluka</t>
  </si>
  <si>
    <t>Kibambo Tito</t>
  </si>
  <si>
    <t>Wakwale William</t>
  </si>
  <si>
    <t>Namulilo</t>
  </si>
  <si>
    <t>Wangwe Micheal Wekwanya</t>
  </si>
  <si>
    <t>UG-EAS-1611-04954</t>
  </si>
  <si>
    <t>Kagoya Scovia</t>
  </si>
  <si>
    <t>Kisawi</t>
  </si>
  <si>
    <t>UG-EAS-1611-04961</t>
  </si>
  <si>
    <t>Wilson Nandeje</t>
  </si>
  <si>
    <t>UG-EAS-1611-04965</t>
  </si>
  <si>
    <t>Opio Henry</t>
  </si>
  <si>
    <t>Nakasita</t>
  </si>
  <si>
    <t>Mutoto  Moses</t>
  </si>
  <si>
    <t>Wakhwaba</t>
  </si>
  <si>
    <t>UG-EAS-1605-1851</t>
  </si>
  <si>
    <t>Byantaka James</t>
  </si>
  <si>
    <t>Nanango Village</t>
  </si>
  <si>
    <t>UG-EAS-1611-04966</t>
  </si>
  <si>
    <t>Musakulu Stephen</t>
  </si>
  <si>
    <t>UG-EAS-1611-04968</t>
  </si>
  <si>
    <t>Major Isa Arisai Ecodu</t>
  </si>
  <si>
    <t>UG-EAS-1611-04969</t>
  </si>
  <si>
    <t>Nambale Rosemary</t>
  </si>
  <si>
    <t>UG-EAS-1611-04970</t>
  </si>
  <si>
    <t>Tawuya Simmwiro Nakamya</t>
  </si>
  <si>
    <t>Lumumba</t>
  </si>
  <si>
    <t>UG-EAS-1611-04971</t>
  </si>
  <si>
    <t>Nambale Dan</t>
  </si>
  <si>
    <t>UG-EAS-1605-884</t>
  </si>
  <si>
    <t>Namaganda Harriet</t>
  </si>
  <si>
    <t>UG-EAS-1611-04973</t>
  </si>
  <si>
    <t>Musuya Asha</t>
  </si>
  <si>
    <t>Buneulya</t>
  </si>
  <si>
    <t>UG-EAS-1611-04974</t>
  </si>
  <si>
    <t>Muyama Biskwa Robina</t>
  </si>
  <si>
    <t>UG-EAS-1611-04975</t>
  </si>
  <si>
    <t>Higenyi Andrew</t>
  </si>
  <si>
    <t>Kifafa upper</t>
  </si>
  <si>
    <t>UG-EAS-1611-04976</t>
  </si>
  <si>
    <t>Namuwaya Falida</t>
  </si>
  <si>
    <t>Butegwa</t>
  </si>
  <si>
    <t>UG-EAS-1611-05011</t>
  </si>
  <si>
    <t>Hachwali Dawson</t>
  </si>
  <si>
    <t>UG-EAS-1611-5028</t>
  </si>
  <si>
    <t>Isiko Dalawusi</t>
  </si>
  <si>
    <t>Butegwa A</t>
  </si>
  <si>
    <t>UG-EAS-1612-00806</t>
  </si>
  <si>
    <t>Hajji Saadi Wangubo</t>
  </si>
  <si>
    <t>Mulanga</t>
  </si>
  <si>
    <t>UG-EAS-1612-04981</t>
  </si>
  <si>
    <t>Akoto Obella Pelina</t>
  </si>
  <si>
    <t>Katine</t>
  </si>
  <si>
    <t>Odwogai</t>
  </si>
  <si>
    <t>Abulo Lusy</t>
  </si>
  <si>
    <t>Kagoli</t>
  </si>
  <si>
    <t>UG-EAS-1612-07306</t>
  </si>
  <si>
    <t xml:space="preserve">Vocare Ministries </t>
  </si>
  <si>
    <t>Kyando</t>
  </si>
  <si>
    <t>UG-EAS-1612-2027</t>
  </si>
  <si>
    <t>Waliki Situki</t>
  </si>
  <si>
    <t>Nawewo</t>
  </si>
  <si>
    <t>Nambale</t>
  </si>
  <si>
    <t>Bukawa Hamida</t>
  </si>
  <si>
    <t>Buluckye</t>
  </si>
  <si>
    <t>Manyali</t>
  </si>
  <si>
    <t>Kanyanya Samuel</t>
  </si>
  <si>
    <t>Luchehe</t>
  </si>
  <si>
    <t>Namboyu</t>
  </si>
  <si>
    <t>UG-EAS-1606-06237</t>
  </si>
  <si>
    <t>Wambedde Christine</t>
  </si>
  <si>
    <t>UG-EAS-1701-02139</t>
  </si>
  <si>
    <t>Gidudu George Marsarah</t>
  </si>
  <si>
    <t>UG-EAS-1701-02140</t>
  </si>
  <si>
    <t>Wanditi Wilson Salongo</t>
  </si>
  <si>
    <t>Ntawana Abdallah Sidiiq</t>
  </si>
  <si>
    <t>UG-EAS-1701-02141</t>
  </si>
  <si>
    <t>Watulo Mabonga John</t>
  </si>
  <si>
    <t>Namarome Beatrice</t>
  </si>
  <si>
    <t>Butsogola</t>
  </si>
  <si>
    <t>Mayende Wanda Yefusa</t>
  </si>
  <si>
    <t>Kitindya</t>
  </si>
  <si>
    <t>Magomu Ally</t>
  </si>
  <si>
    <t>Nabini</t>
  </si>
  <si>
    <t>Masaba Muhammad</t>
  </si>
  <si>
    <t>Webuta Township</t>
  </si>
  <si>
    <t>Kaziba Deziranta</t>
  </si>
  <si>
    <t>Mutwalibu Nasobo</t>
  </si>
  <si>
    <t>Nagombongobo</t>
  </si>
  <si>
    <t>Namukowa Joyce Kalisty Shibale</t>
  </si>
  <si>
    <t>Bumaseyoka</t>
  </si>
  <si>
    <t>Kimono Fatima Mukimba</t>
  </si>
  <si>
    <t>Bulyuli</t>
  </si>
  <si>
    <t>Namataka Rebecca</t>
  </si>
  <si>
    <t>Bunambutye</t>
  </si>
  <si>
    <t>Wobyanga Joseph</t>
  </si>
  <si>
    <t>Nakizato</t>
  </si>
  <si>
    <t>UG-EAS-1702-4983</t>
  </si>
  <si>
    <t>Agirim Charles</t>
  </si>
  <si>
    <t>Kadingulu</t>
  </si>
  <si>
    <t>Madenji Godfrey</t>
  </si>
  <si>
    <t>Kamogo</t>
  </si>
  <si>
    <t>Namachele</t>
  </si>
  <si>
    <t>Gidongo Malenje  Keneth</t>
  </si>
  <si>
    <t>Kisali Kideo TC</t>
  </si>
  <si>
    <t>UG-EAS-1703-03320</t>
  </si>
  <si>
    <t>Cheptoris Issa</t>
  </si>
  <si>
    <t>Kapchorwa west</t>
  </si>
  <si>
    <t>Karitokwet</t>
  </si>
  <si>
    <t>Cherop Towet Muhammed</t>
  </si>
  <si>
    <t>Kapchorwa west division</t>
  </si>
  <si>
    <t>Chekwanda</t>
  </si>
  <si>
    <t>UG-EAS-1703-03461</t>
  </si>
  <si>
    <t>Mubiru Stephen</t>
  </si>
  <si>
    <t>Bugabula South</t>
  </si>
  <si>
    <t>Bulyango</t>
  </si>
  <si>
    <t>Masheti David</t>
  </si>
  <si>
    <t>Lunoza</t>
  </si>
  <si>
    <t>Wanzusi George</t>
  </si>
  <si>
    <t>Bubulali</t>
  </si>
  <si>
    <t>UG-EAS-1704-02074</t>
  </si>
  <si>
    <t>Wangusi David Jackson</t>
  </si>
  <si>
    <t>Manafa</t>
  </si>
  <si>
    <t>UG-EAS-1704-02077</t>
  </si>
  <si>
    <t>Wanda Rogers</t>
  </si>
  <si>
    <t>Busiu TC</t>
  </si>
  <si>
    <t>Busui TC</t>
  </si>
  <si>
    <t>UG-EAS-1704-03322</t>
  </si>
  <si>
    <t>Sabila Alfred</t>
  </si>
  <si>
    <t>Kaproron</t>
  </si>
  <si>
    <t>Korosi</t>
  </si>
  <si>
    <t>UG-EAS-1704-04989</t>
  </si>
  <si>
    <t>Kiribaki Micheal</t>
  </si>
  <si>
    <t>UG-EAS-1704-06151</t>
  </si>
  <si>
    <t>Bushendich Fred</t>
  </si>
  <si>
    <t>Chemution</t>
  </si>
  <si>
    <t>UG-EAS-1705-03457</t>
  </si>
  <si>
    <t>Kintu Joseph</t>
  </si>
  <si>
    <t>UG-EAS-1607-5001</t>
  </si>
  <si>
    <t>Sawuya Hasiyo</t>
  </si>
  <si>
    <t>Hagalo</t>
  </si>
  <si>
    <t>UG-EAS-1607-5007</t>
  </si>
  <si>
    <t>Nekesa Margret Oguttu</t>
  </si>
  <si>
    <t>UG-EAS-1705-06153</t>
  </si>
  <si>
    <t>Chemutai Alfred</t>
  </si>
  <si>
    <t>Masasaia</t>
  </si>
  <si>
    <t>UG-EAS-1705-06154</t>
  </si>
  <si>
    <t>Wilfred Cherotwo</t>
  </si>
  <si>
    <t>Kitawoi</t>
  </si>
  <si>
    <t>Tarak</t>
  </si>
  <si>
    <t>UG-EAS-1705-06201</t>
  </si>
  <si>
    <t>Sophia Nabuya Amili</t>
  </si>
  <si>
    <t>Kabutola</t>
  </si>
  <si>
    <t>Bunamale</t>
  </si>
  <si>
    <t>UG-EAS-1705-06301</t>
  </si>
  <si>
    <t>Akurut Grace</t>
  </si>
  <si>
    <t>Ogonyo</t>
  </si>
  <si>
    <t>Aitaritoi</t>
  </si>
  <si>
    <t>UG-EAS-1705-06336</t>
  </si>
  <si>
    <t>Wakabi Patrick</t>
  </si>
  <si>
    <t>Busete</t>
  </si>
  <si>
    <t>UG-EAS-1705-06957</t>
  </si>
  <si>
    <t>Nathan Mununuzi</t>
  </si>
  <si>
    <t>Nabitende</t>
  </si>
  <si>
    <t>Irigei James Richard</t>
  </si>
  <si>
    <t>UG-EAS-1706-06157</t>
  </si>
  <si>
    <t>Chemuruggi Alfred</t>
  </si>
  <si>
    <t>Kirworo</t>
  </si>
  <si>
    <t>UG-EAS-1706-06158</t>
  </si>
  <si>
    <t>Lydia Chemayek</t>
  </si>
  <si>
    <t>Chebany</t>
  </si>
  <si>
    <t>UG-EAS-1706-06159</t>
  </si>
  <si>
    <t>Chemandwa Abdul Karim</t>
  </si>
  <si>
    <t>Cheburbei</t>
  </si>
  <si>
    <t>UG-EAS-1706-06160</t>
  </si>
  <si>
    <t>Labu Bon Yolam</t>
  </si>
  <si>
    <t>Chesimot</t>
  </si>
  <si>
    <t>UG-EAS-1706-06250</t>
  </si>
  <si>
    <t>Manana Lovisa</t>
  </si>
  <si>
    <t>Sheinza</t>
  </si>
  <si>
    <t>UG-EAS-1608-05009</t>
  </si>
  <si>
    <t>Nyeroba Dan</t>
  </si>
  <si>
    <t>Mubali</t>
  </si>
  <si>
    <t>UG-EAS-1706-06251</t>
  </si>
  <si>
    <t>Wandiembe Wilison</t>
  </si>
  <si>
    <t>Bukagai</t>
  </si>
  <si>
    <t>UG-EAS-1706-06307</t>
  </si>
  <si>
    <t>Wafula Enos</t>
  </si>
  <si>
    <t>Sireka</t>
  </si>
  <si>
    <t>UG-EAS-1706-06309</t>
  </si>
  <si>
    <t>Ogada Wabwire Majidu</t>
  </si>
  <si>
    <t>Buchicha B</t>
  </si>
  <si>
    <t>UG-EAS-1706-06310</t>
  </si>
  <si>
    <t>Wafula Josiah</t>
  </si>
  <si>
    <t>Buchicha</t>
  </si>
  <si>
    <t>UG-EAS-1706-06311</t>
  </si>
  <si>
    <t>Baraza Abel</t>
  </si>
  <si>
    <t>Syaule</t>
  </si>
  <si>
    <t>UG-EAS-1707-06161</t>
  </si>
  <si>
    <t>Cheke Grace</t>
  </si>
  <si>
    <t>Kapchesombe</t>
  </si>
  <si>
    <t>Chemuron</t>
  </si>
  <si>
    <t>UG-EAS-1707-06162</t>
  </si>
  <si>
    <t>Cherukut Stephen O</t>
  </si>
  <si>
    <t>UG-EAS-1707-06164</t>
  </si>
  <si>
    <t>Twala Satya Edward</t>
  </si>
  <si>
    <t>34.465433</t>
  </si>
  <si>
    <t>Kapcaesombe</t>
  </si>
  <si>
    <t>Kapsewui</t>
  </si>
  <si>
    <t>UG-EAS-1707-06165</t>
  </si>
  <si>
    <t>Kapsandui Andrew</t>
  </si>
  <si>
    <t>UG-EAS-1707-06192</t>
  </si>
  <si>
    <t>Wopotela David K</t>
  </si>
  <si>
    <t>Masiira</t>
  </si>
  <si>
    <t>Masubi</t>
  </si>
  <si>
    <t>UG-EAS-1707-06202</t>
  </si>
  <si>
    <t>Namugere Getrude</t>
  </si>
  <si>
    <t>NankomaD</t>
  </si>
  <si>
    <t>UG-EAS-1707-06203</t>
  </si>
  <si>
    <t>Okoth James</t>
  </si>
  <si>
    <t>Wazerere</t>
  </si>
  <si>
    <t>Justine Watalunga</t>
  </si>
  <si>
    <t>Itoola</t>
  </si>
  <si>
    <t>UG-EAS-1707-06204</t>
  </si>
  <si>
    <t>Mutekanga Amuza</t>
  </si>
  <si>
    <t>UG-EAS-1707-06207</t>
  </si>
  <si>
    <t>Bogere Wilson</t>
  </si>
  <si>
    <t>Buliwagulu</t>
  </si>
  <si>
    <t>UG-EAS-1707-06208</t>
  </si>
  <si>
    <t>Banda Sowedi</t>
  </si>
  <si>
    <t>Kayandaakato</t>
  </si>
  <si>
    <t>UG-EAS-1707-06209</t>
  </si>
  <si>
    <t>Baliruno Paul</t>
  </si>
  <si>
    <t>Imuli</t>
  </si>
  <si>
    <t>UG-EAS-1707-06300</t>
  </si>
  <si>
    <t>Omodo Ologe Dominic</t>
  </si>
  <si>
    <t>Oriovi A</t>
  </si>
  <si>
    <t>UG-EAS-1707-06303</t>
  </si>
  <si>
    <t>Emokol Joesph Ochula</t>
  </si>
  <si>
    <t>Akobwait</t>
  </si>
  <si>
    <t>UG-EAS-1707-06304</t>
  </si>
  <si>
    <t>Wesonga John Ojambo</t>
  </si>
  <si>
    <t>UG-EAS-1707-06305</t>
  </si>
  <si>
    <t xml:space="preserve">Ouma George </t>
  </si>
  <si>
    <t>Busiabala A</t>
  </si>
  <si>
    <t>UG-EAS-1707-06308</t>
  </si>
  <si>
    <t>Ojambo Simon</t>
  </si>
  <si>
    <t>UG-EAS-1707-06312</t>
  </si>
  <si>
    <t>Kimono Florence</t>
  </si>
  <si>
    <t>Syonga</t>
  </si>
  <si>
    <t>UG-EAS-1707-06318</t>
  </si>
  <si>
    <t xml:space="preserve">Okoyo Hannington Were </t>
  </si>
  <si>
    <t>Siranga</t>
  </si>
  <si>
    <t>UG-EAS-1707-06319</t>
  </si>
  <si>
    <t>Wanyama Robert</t>
  </si>
  <si>
    <t xml:space="preserve">Lunyo B </t>
  </si>
  <si>
    <t>UG-EAS-1708-06166</t>
  </si>
  <si>
    <t>Chemutai Mwanga Aziz</t>
  </si>
  <si>
    <t>Chemweny</t>
  </si>
  <si>
    <t>UG-EAS-1708-06167</t>
  </si>
  <si>
    <t>Grace Mawa O</t>
  </si>
  <si>
    <t>UG-EAS-1708-06168</t>
  </si>
  <si>
    <t>Chekwel Fred Boyo</t>
  </si>
  <si>
    <t>chesse</t>
  </si>
  <si>
    <t>UG-EAS-1708-06169</t>
  </si>
  <si>
    <t>Kusuro Nathan</t>
  </si>
  <si>
    <t>Binyiny</t>
  </si>
  <si>
    <t>kabanweria</t>
  </si>
  <si>
    <t>UG-EAS-1708-06170</t>
  </si>
  <si>
    <t>Chemusto sophy</t>
  </si>
  <si>
    <t>kaptereta</t>
  </si>
  <si>
    <t>kok</t>
  </si>
  <si>
    <t>UG-EAS-1708-06171</t>
  </si>
  <si>
    <t>Soyekwo James O</t>
  </si>
  <si>
    <t>Mokoyo</t>
  </si>
  <si>
    <t>UG-EAS-1708-06173</t>
  </si>
  <si>
    <t>Scovia  Chekwel</t>
  </si>
  <si>
    <t>Tuyobei</t>
  </si>
  <si>
    <t>UG-EAS-1708-06174</t>
  </si>
  <si>
    <t>Musau  Sakit Patrick</t>
  </si>
  <si>
    <t>Matimbei</t>
  </si>
  <si>
    <t>UG-EAS-1708-06175</t>
  </si>
  <si>
    <t>Jesca  Matayo</t>
  </si>
  <si>
    <t>Kwanyi</t>
  </si>
  <si>
    <t>UG-EAS-1708-06176</t>
  </si>
  <si>
    <t>Kiprop  Kamuki Davis</t>
  </si>
  <si>
    <t>Surutoi</t>
  </si>
  <si>
    <t>UG-EAS-1708-06177</t>
  </si>
  <si>
    <t>Chemonges  Alfred Satya</t>
  </si>
  <si>
    <t>Rotin</t>
  </si>
  <si>
    <t>UG-EAS-1708-06189</t>
  </si>
  <si>
    <t>Kibet Morgan</t>
  </si>
  <si>
    <t>Chemuny</t>
  </si>
  <si>
    <t>UG-EAS-1708-06206</t>
  </si>
  <si>
    <t>Tabuza Tairu</t>
  </si>
  <si>
    <t>UG-EAS-1708-06212</t>
  </si>
  <si>
    <t>Sebei Fidat</t>
  </si>
  <si>
    <t>Amukol</t>
  </si>
  <si>
    <t>Kwelkwel</t>
  </si>
  <si>
    <t>UG-EAS-1708-06213</t>
  </si>
  <si>
    <t>Chemutos Charles Charles</t>
  </si>
  <si>
    <t>Sipi</t>
  </si>
  <si>
    <t>Kamarar</t>
  </si>
  <si>
    <t>UG-EAS-1708-06214</t>
  </si>
  <si>
    <t>Chelangat Eunice</t>
  </si>
  <si>
    <t>Chepterech</t>
  </si>
  <si>
    <t>Kapchuik</t>
  </si>
  <si>
    <t>UG-EAS-1708-06215</t>
  </si>
  <si>
    <t>Yesho O Agustin</t>
  </si>
  <si>
    <t>Siron</t>
  </si>
  <si>
    <t>UG-EAS-1708-06216</t>
  </si>
  <si>
    <t>Chebet Manuel Musungu</t>
  </si>
  <si>
    <t>Kapochoron</t>
  </si>
  <si>
    <t>UG-EAS-1708-06217</t>
  </si>
  <si>
    <t>Salim Hamis Umar</t>
  </si>
  <si>
    <t>Taramasiga</t>
  </si>
  <si>
    <t>UG-EAS-1708-06218</t>
  </si>
  <si>
    <t>Shud Tomas</t>
  </si>
  <si>
    <t>Moruikara</t>
  </si>
  <si>
    <t>UG-EAS-1708-06252</t>
  </si>
  <si>
    <t>Watsilomo Hassan</t>
  </si>
  <si>
    <t>Shikoshe</t>
  </si>
  <si>
    <t>UG-EAS-1708-06255</t>
  </si>
  <si>
    <t>Wamoto Stanley</t>
  </si>
  <si>
    <t>UG-EAS-1708-06306</t>
  </si>
  <si>
    <t>Makoha Leo Silivano</t>
  </si>
  <si>
    <t>783913672/0701246787</t>
  </si>
  <si>
    <t>0779411215/0787973934</t>
  </si>
  <si>
    <t>UG-EAS-1708-06314</t>
  </si>
  <si>
    <t>Mulumia Victor Didani</t>
  </si>
  <si>
    <t>Ganjala B</t>
  </si>
  <si>
    <t>UG-EAS-1708-06317</t>
  </si>
  <si>
    <t>Taaka Hellen</t>
  </si>
  <si>
    <t>UG-EAS-1708-07300</t>
  </si>
  <si>
    <t xml:space="preserve">Igadube festo </t>
  </si>
  <si>
    <t>Buwange TC</t>
  </si>
  <si>
    <t>UG-EAS-1708-07308</t>
  </si>
  <si>
    <t xml:space="preserve">Batamye Julius </t>
  </si>
  <si>
    <t>Kitayundwa</t>
  </si>
  <si>
    <t>Bugwampi</t>
  </si>
  <si>
    <t>UG-EAS-1708-07315</t>
  </si>
  <si>
    <t>Aliasa Silver</t>
  </si>
  <si>
    <t>Osawei</t>
  </si>
  <si>
    <t>UG-EAS-1708-843</t>
  </si>
  <si>
    <t>Agori Matias</t>
  </si>
  <si>
    <t>Kelimb</t>
  </si>
  <si>
    <t>UG-EAS-1709-02075</t>
  </si>
  <si>
    <t>Grace Kutosi</t>
  </si>
  <si>
    <t>Malabasi</t>
  </si>
  <si>
    <t>Cheptoek Juliet</t>
  </si>
  <si>
    <t>Masolo Samwiri</t>
  </si>
  <si>
    <t>Wamanga Paul</t>
  </si>
  <si>
    <t>Bunambatsu</t>
  </si>
  <si>
    <t>Bugusegi</t>
  </si>
  <si>
    <t>Chemonges Geofrey</t>
  </si>
  <si>
    <t>Matinybei</t>
  </si>
  <si>
    <t>UG-EAS-1709-06163</t>
  </si>
  <si>
    <t>Kiplangat Martin O</t>
  </si>
  <si>
    <t>UG-EAS-1709-06178</t>
  </si>
  <si>
    <t>Cherotin  Filex O</t>
  </si>
  <si>
    <t>Chesum</t>
  </si>
  <si>
    <t>UG-EAS-1709-06179</t>
  </si>
  <si>
    <t>Rose Mushondo</t>
  </si>
  <si>
    <t>Kaptereta</t>
  </si>
  <si>
    <t>Kapchemakel</t>
  </si>
  <si>
    <t>UG-EAS-1709-06180</t>
  </si>
  <si>
    <t>Makwazi Jackson</t>
  </si>
  <si>
    <t>Kabeywa</t>
  </si>
  <si>
    <t>Gubongoi</t>
  </si>
  <si>
    <t>UG-EAS-1709-06181</t>
  </si>
  <si>
    <t>Allen Hellen  Kayika</t>
  </si>
  <si>
    <t>Bumuzaki</t>
  </si>
  <si>
    <t>UG-EAS-1610-04959</t>
  </si>
  <si>
    <t>Galide Simon</t>
  </si>
  <si>
    <t>UG-EAS-1709-06182</t>
  </si>
  <si>
    <t>Chemonges Leonard</t>
  </si>
  <si>
    <t>Salamu</t>
  </si>
  <si>
    <t>UG-EAS-1709-06183</t>
  </si>
  <si>
    <t>Chelekwek Kadafi</t>
  </si>
  <si>
    <t>Farm</t>
  </si>
  <si>
    <t>UG-EAS-1709-06184</t>
  </si>
  <si>
    <t>Sayekwo Muhamudu</t>
  </si>
  <si>
    <t>Kubonio</t>
  </si>
  <si>
    <t>UG-EAS-1709-06185</t>
  </si>
  <si>
    <t>Mwanga Arafa</t>
  </si>
  <si>
    <t>Kapkwembe</t>
  </si>
  <si>
    <t>UG-EAS-1709-06186</t>
  </si>
  <si>
    <t>Toskin Erisa</t>
  </si>
  <si>
    <t>Chesosurwo</t>
  </si>
  <si>
    <t>UG-EAS-1709-06187</t>
  </si>
  <si>
    <t>Nakakuyu Loyi</t>
  </si>
  <si>
    <t>Kaptobomwo</t>
  </si>
  <si>
    <t>UG-EAS-1709-06188</t>
  </si>
  <si>
    <t>Borit Benson</t>
  </si>
  <si>
    <t>Kamokoyon</t>
  </si>
  <si>
    <t>UG-EAS-1709-06191</t>
  </si>
  <si>
    <t>Wolimbwa Moses</t>
  </si>
  <si>
    <t>Kabanda</t>
  </si>
  <si>
    <t>UG-EAS-1709-06256</t>
  </si>
  <si>
    <t>Khaembe  Henry</t>
  </si>
  <si>
    <t>Mulundu</t>
  </si>
  <si>
    <t>UG-EAS-1709-06257</t>
  </si>
  <si>
    <t>Walibwa  Cyprian</t>
  </si>
  <si>
    <t>Shianza</t>
  </si>
  <si>
    <t>UG-EAS-1709-06258</t>
  </si>
  <si>
    <t>Nanjela Joyce</t>
  </si>
  <si>
    <t>Sisiy</t>
  </si>
  <si>
    <t>Gizanda</t>
  </si>
  <si>
    <t>UG-EAS-1709-06259</t>
  </si>
  <si>
    <t>Mallanga Charles</t>
  </si>
  <si>
    <t>Swesweta</t>
  </si>
  <si>
    <t>UG-EAS-1709-06260</t>
  </si>
  <si>
    <t>Bugema Kestom</t>
  </si>
  <si>
    <t>Matungutu</t>
  </si>
  <si>
    <t>Weboya Naomi</t>
  </si>
  <si>
    <t>Industrial division</t>
  </si>
  <si>
    <t>Somero cell</t>
  </si>
  <si>
    <t>Wakooli Stephen</t>
  </si>
  <si>
    <t>UG-EAS-1709-06261</t>
  </si>
  <si>
    <t>Magolo Patrick</t>
  </si>
  <si>
    <t>Nabigumba</t>
  </si>
  <si>
    <t>UG-EAS-1709-06262</t>
  </si>
  <si>
    <t>Namugi Paul</t>
  </si>
  <si>
    <t>Mayiyi</t>
  </si>
  <si>
    <t>UG-EAS-1709-06320</t>
  </si>
  <si>
    <t>Mandala Samuel</t>
  </si>
  <si>
    <t>Kederema</t>
  </si>
  <si>
    <t>UG-EAS-1709-06321</t>
  </si>
  <si>
    <t>John Woyihi</t>
  </si>
  <si>
    <t>Bulambuli Elgon</t>
  </si>
  <si>
    <t>Lusha</t>
  </si>
  <si>
    <t>UG-EAS-1709-06322</t>
  </si>
  <si>
    <t>Gimei Kikonde</t>
  </si>
  <si>
    <t>Kikombero</t>
  </si>
  <si>
    <t>Kikobero</t>
  </si>
  <si>
    <t>UG-EAS-1709-06323</t>
  </si>
  <si>
    <t>Gimadu Daniel Dan</t>
  </si>
  <si>
    <t>Lukolo</t>
  </si>
  <si>
    <t>UG-EAS-1709-06324</t>
  </si>
  <si>
    <t>Mabinda David</t>
  </si>
  <si>
    <t>Kibigwa</t>
  </si>
  <si>
    <t>UG-EAS-1709-06334</t>
  </si>
  <si>
    <t>Kamuli Skills Development Centre</t>
  </si>
  <si>
    <t>Nakakabala</t>
  </si>
  <si>
    <t>UG-EAS-1709-06335</t>
  </si>
  <si>
    <t>Aula Edith</t>
  </si>
  <si>
    <t>Bugabula</t>
  </si>
  <si>
    <t>UG-EAS-1709-07208</t>
  </si>
  <si>
    <t>Wakabi  Ngonde Peter</t>
  </si>
  <si>
    <t>UG-EAS-1709-07305</t>
  </si>
  <si>
    <t>Esther  Mbayo MP</t>
  </si>
  <si>
    <t>Busalamu</t>
  </si>
  <si>
    <t>UG-EAS-1709-07307</t>
  </si>
  <si>
    <t>Kamila Emmanuel</t>
  </si>
  <si>
    <t>Wanyange lake side</t>
  </si>
  <si>
    <t>UG-EAS-1710-06172</t>
  </si>
  <si>
    <t>Betty  Chekwel</t>
  </si>
  <si>
    <t>Tulul</t>
  </si>
  <si>
    <t>Leketetwo</t>
  </si>
  <si>
    <t>UG-EAS-1710-06190</t>
  </si>
  <si>
    <t>Cherop David</t>
  </si>
  <si>
    <t>Greenvalley</t>
  </si>
  <si>
    <t>UG-EAS-1710-06193</t>
  </si>
  <si>
    <t>Chesang Samuel</t>
  </si>
  <si>
    <t>Kwanyiy</t>
  </si>
  <si>
    <t>Kisangani</t>
  </si>
  <si>
    <t>UG-EAS-1710-06253</t>
  </si>
  <si>
    <t>Wakimwai Dan</t>
  </si>
  <si>
    <t>Shiruku lower</t>
  </si>
  <si>
    <t>UG-EAS-1710-06325</t>
  </si>
  <si>
    <t>Omusolo Bonny Patrick</t>
  </si>
  <si>
    <t>Atiri c</t>
  </si>
  <si>
    <t>UG-EAS-1710-06330</t>
  </si>
  <si>
    <t>Adikinyi Alice Omingo</t>
  </si>
  <si>
    <t>Nambengere</t>
  </si>
  <si>
    <t>UG-EAS-1710-07355</t>
  </si>
  <si>
    <t>Caritas St Companion Ps</t>
  </si>
  <si>
    <t>Kotido</t>
  </si>
  <si>
    <t>UG-EAS-1611-09670</t>
  </si>
  <si>
    <t>Kubona David</t>
  </si>
  <si>
    <t>UG-EAS-1711-06219</t>
  </si>
  <si>
    <t>Byakika Kagoda Timothy</t>
  </si>
  <si>
    <t>Kolonyi 1</t>
  </si>
  <si>
    <t>UG-EAS-1711-06313</t>
  </si>
  <si>
    <t>Abwoga Barnabas</t>
  </si>
  <si>
    <t>Sigumo</t>
  </si>
  <si>
    <t>Nabansa  Rose</t>
  </si>
  <si>
    <t>UG-EAS-1711-06327</t>
  </si>
  <si>
    <t>Wanyama Anthony</t>
  </si>
  <si>
    <t>UG-EAS-1711-06331</t>
  </si>
  <si>
    <t>Wafula Simon Okoyo</t>
  </si>
  <si>
    <t>Lwala B</t>
  </si>
  <si>
    <t>UG-EAS-1711-06332</t>
  </si>
  <si>
    <t>Bwire Charles</t>
  </si>
  <si>
    <t>Bubo B</t>
  </si>
  <si>
    <t>UG-EAS-1711-06333</t>
  </si>
  <si>
    <t>Ojambo Augustine Olima</t>
  </si>
  <si>
    <t>UG-EAS-1711-09689</t>
  </si>
  <si>
    <t>Kawanguzi Penanto John</t>
  </si>
  <si>
    <t>Mukatambala</t>
  </si>
  <si>
    <t>Nabukyabo Betty Werishe</t>
  </si>
  <si>
    <t>UG-EAS-1711-09698</t>
  </si>
  <si>
    <t>Bela Shuttles Ltd</t>
  </si>
  <si>
    <t>UG-EAS-1712-06194</t>
  </si>
  <si>
    <t>Okodan David</t>
  </si>
  <si>
    <t>Kaloko</t>
  </si>
  <si>
    <t>UG-EAS-1712-06220</t>
  </si>
  <si>
    <t>Afusa O Wanyenya</t>
  </si>
  <si>
    <t>UG-EAS-1712-06263</t>
  </si>
  <si>
    <t>Shisa Julius Jean</t>
  </si>
  <si>
    <t>Mabaale</t>
  </si>
  <si>
    <t>UG-EAS-1712-3308</t>
  </si>
  <si>
    <t>Fupa Rogers Muniala</t>
  </si>
  <si>
    <t>Lawei</t>
  </si>
  <si>
    <t>UG-EAS-1801-06329</t>
  </si>
  <si>
    <t>Ngwabe Emmanuel</t>
  </si>
  <si>
    <t>Budibo</t>
  </si>
  <si>
    <t>UG-EAS-1801-07207</t>
  </si>
  <si>
    <t xml:space="preserve">Gunayaka Agnes </t>
  </si>
  <si>
    <t>Bupadhengo bukula</t>
  </si>
  <si>
    <t>UG-EAS-1801-07313</t>
  </si>
  <si>
    <t>Kissitu Habiba</t>
  </si>
  <si>
    <t>Bukooli North</t>
  </si>
  <si>
    <t>Nabukaru</t>
  </si>
  <si>
    <t>Lwanika South</t>
  </si>
  <si>
    <t>UG-EAS-1801-1095</t>
  </si>
  <si>
    <t>Busowa Catholic Parish</t>
  </si>
  <si>
    <t>Bukala</t>
  </si>
  <si>
    <t>Busowa</t>
  </si>
  <si>
    <t>UG-EAS-1801-1427</t>
  </si>
  <si>
    <t>Lunyolo Naume</t>
  </si>
  <si>
    <t>UG-EAS-1803-06195</t>
  </si>
  <si>
    <t>Chemonges Hassan</t>
  </si>
  <si>
    <t>Tongwo</t>
  </si>
  <si>
    <t>Walabukha Watsala Jameson</t>
  </si>
  <si>
    <t>Bumusamali</t>
  </si>
  <si>
    <t>Sabila Jackson</t>
  </si>
  <si>
    <t>Kaptul</t>
  </si>
  <si>
    <t>UG-EAS-1803-06224</t>
  </si>
  <si>
    <t>Owor Masaba Rapheal</t>
  </si>
  <si>
    <t>Butitima</t>
  </si>
  <si>
    <t>UG-EAS-1803-06225</t>
  </si>
  <si>
    <t>Nakawoya Jocye Masalu</t>
  </si>
  <si>
    <t>Bunghokho South</t>
  </si>
  <si>
    <t>Kutosi Jimmy</t>
  </si>
  <si>
    <t>Bubalali main</t>
  </si>
  <si>
    <t>UG-EAS-1804-06150</t>
  </si>
  <si>
    <t>Chelimo Moses</t>
  </si>
  <si>
    <t>KWEEN</t>
  </si>
  <si>
    <t>Binyony</t>
  </si>
  <si>
    <t>Kabai</t>
  </si>
  <si>
    <t>UG-EAS-1804-08400</t>
  </si>
  <si>
    <t>Awinya Asha Sadi</t>
  </si>
  <si>
    <t>Askenua</t>
  </si>
  <si>
    <t>UG-EAS-1804-08401</t>
  </si>
  <si>
    <t>Chemonges Richard</t>
  </si>
  <si>
    <t>Kaptono</t>
  </si>
  <si>
    <t>UG-EAS-1805-012154</t>
  </si>
  <si>
    <t>Masette Alex</t>
  </si>
  <si>
    <t>Busiu T.C</t>
  </si>
  <si>
    <t>UG-EAS-1805-06227</t>
  </si>
  <si>
    <t>Clotilda Kitutu</t>
  </si>
  <si>
    <t>Situmi</t>
  </si>
  <si>
    <t>UG-EAS-1805-08402</t>
  </si>
  <si>
    <t>Chemutai Patrick Duke</t>
  </si>
  <si>
    <t>UG-EAS-1805-08403</t>
  </si>
  <si>
    <t>Yakobo Micheal</t>
  </si>
  <si>
    <t>UG-EAS-1805-08404</t>
  </si>
  <si>
    <t>Mwanga Issa</t>
  </si>
  <si>
    <t>UG-EAS-1704-02076</t>
  </si>
  <si>
    <t>Manyali Ahamed</t>
  </si>
  <si>
    <t>Malaba</t>
  </si>
  <si>
    <t>UG-EAS-1806-012153</t>
  </si>
  <si>
    <t>Wanyina Julius</t>
  </si>
  <si>
    <t>UG-EAS-1704-02158</t>
  </si>
  <si>
    <t>Nakangu Harifa</t>
  </si>
  <si>
    <t>UG-EAS-1806-012157</t>
  </si>
  <si>
    <t>Wasibani Asenausi</t>
  </si>
  <si>
    <t>Kadimonkoley</t>
  </si>
  <si>
    <t>Namuyago</t>
  </si>
  <si>
    <t>UG-EAS-1806-020612</t>
  </si>
  <si>
    <t>Siibi Julius</t>
  </si>
  <si>
    <t>Buneyembe</t>
  </si>
  <si>
    <t>UG-EAS-1806-06228</t>
  </si>
  <si>
    <t>Hajat Amina Nabuduwa kakaire</t>
  </si>
  <si>
    <t>Bujuloto</t>
  </si>
  <si>
    <t>UG-EAS-1704-06152</t>
  </si>
  <si>
    <t>Stephen Yesho</t>
  </si>
  <si>
    <t>Kutowoi</t>
  </si>
  <si>
    <t>Tabagan</t>
  </si>
  <si>
    <t>UG-EAS-1806-06230</t>
  </si>
  <si>
    <t>Kusolo Sam</t>
  </si>
  <si>
    <t xml:space="preserve">1.070930, </t>
  </si>
  <si>
    <t>Namurondolo</t>
  </si>
  <si>
    <t>UG-EAS-1806-06235</t>
  </si>
  <si>
    <t>Wandwasi Robert</t>
  </si>
  <si>
    <t>0.878980,</t>
  </si>
  <si>
    <t>Buwakhanyinywi</t>
  </si>
  <si>
    <t>UG-EAS-1806-06266</t>
  </si>
  <si>
    <t>Balbali  Peter</t>
  </si>
  <si>
    <t>0.929262,</t>
  </si>
  <si>
    <t>Busiu Tc</t>
  </si>
  <si>
    <t>SDA</t>
  </si>
  <si>
    <t>UG-EAS-1705-06155</t>
  </si>
  <si>
    <t>Chekuwrui Patrick</t>
  </si>
  <si>
    <t>Mayinbei</t>
  </si>
  <si>
    <t>UG-EAS-1806-07316</t>
  </si>
  <si>
    <t>Pr.Musasizi Dawson( Plant 1)</t>
  </si>
  <si>
    <t>Nsinze</t>
  </si>
  <si>
    <t>Nambote</t>
  </si>
  <si>
    <t>UG-EAS-1806-07800</t>
  </si>
  <si>
    <t>Ayabu Peter</t>
  </si>
  <si>
    <t>Amidakan</t>
  </si>
  <si>
    <t>UG-EAS-1705-06302</t>
  </si>
  <si>
    <t>Acimu Nicholas</t>
  </si>
  <si>
    <t>Ochero</t>
  </si>
  <si>
    <t>Anyalam</t>
  </si>
  <si>
    <t>UG-EAS-1806-07802</t>
  </si>
  <si>
    <t>Oluga Augustine</t>
  </si>
  <si>
    <t>Otuboi</t>
  </si>
  <si>
    <t>Ogolai</t>
  </si>
  <si>
    <t>UG-EAS-1806-07803</t>
  </si>
  <si>
    <t>Eyika William</t>
  </si>
  <si>
    <t>UG-EAS-1706-06156</t>
  </si>
  <si>
    <t>Chemutai Daniel</t>
  </si>
  <si>
    <t>Kaserom</t>
  </si>
  <si>
    <t>Ngosi</t>
  </si>
  <si>
    <t>UG-EAS-1806-07806</t>
  </si>
  <si>
    <t>Iriamo  Modesta</t>
  </si>
  <si>
    <t>UG-EAS-1806-07820</t>
  </si>
  <si>
    <t>Emeru Omoding George</t>
  </si>
  <si>
    <t>Aliliyoi</t>
  </si>
  <si>
    <t>UG-EAS-1806-08406</t>
  </si>
  <si>
    <t>Cherukut Patrick</t>
  </si>
  <si>
    <t>UG-EAS-1806-08407</t>
  </si>
  <si>
    <t>Chepkurui Isaac</t>
  </si>
  <si>
    <t>Kok</t>
  </si>
  <si>
    <t>UG-EAS-1706-06205</t>
  </si>
  <si>
    <t>Mwesigwa Fred</t>
  </si>
  <si>
    <t>Nankoma C</t>
  </si>
  <si>
    <t>UG-EAS-1706-06210</t>
  </si>
  <si>
    <t>Tabula Ibrahim</t>
  </si>
  <si>
    <t>UG-EAS-1806-08408</t>
  </si>
  <si>
    <t>Susan Batya</t>
  </si>
  <si>
    <t>Kapterot</t>
  </si>
  <si>
    <t>Chelabet</t>
  </si>
  <si>
    <t>UG-EAS-1806-08433</t>
  </si>
  <si>
    <t>Cheptegei Alfred</t>
  </si>
  <si>
    <t>Kapsoko</t>
  </si>
  <si>
    <t>Tapot</t>
  </si>
  <si>
    <t>UG-EAS-1807-012102</t>
  </si>
  <si>
    <t>Eswilu Dornard</t>
  </si>
  <si>
    <t>Asore</t>
  </si>
  <si>
    <t>UG-EAS-1807-012353</t>
  </si>
  <si>
    <t>Elepu Augustine Wood</t>
  </si>
  <si>
    <t>Amotot B</t>
  </si>
  <si>
    <t>UG-EAS-1807-06226</t>
  </si>
  <si>
    <t>Wasike Godfrey Mujungo</t>
  </si>
  <si>
    <t>Butta</t>
  </si>
  <si>
    <t>Bubitumu</t>
  </si>
  <si>
    <t>UG-EAS-1807-06229</t>
  </si>
  <si>
    <t>Gidudu Taibu</t>
  </si>
  <si>
    <t>Bubyango</t>
  </si>
  <si>
    <t>Bukwana Lower</t>
  </si>
  <si>
    <t>UG-EAS-1706-07200</t>
  </si>
  <si>
    <t>St Benedict Health Centre</t>
  </si>
  <si>
    <t>Bafubira</t>
  </si>
  <si>
    <t>UG-EAS-1807-06232</t>
  </si>
  <si>
    <t xml:space="preserve">Dr Frank Weitira </t>
  </si>
  <si>
    <t>Kagumba</t>
  </si>
  <si>
    <t>UG-EAS-1807-07317</t>
  </si>
  <si>
    <t>Nantale Rose Mary</t>
  </si>
  <si>
    <t>773737661/0782515647</t>
  </si>
  <si>
    <t>Bunya South</t>
  </si>
  <si>
    <t>Namadhi B</t>
  </si>
  <si>
    <t>UG-EAS-1807-07320</t>
  </si>
  <si>
    <t>Nsabagwa Sosipatri</t>
  </si>
  <si>
    <t>Bulamogi North</t>
  </si>
  <si>
    <t>Kaliro Town Council</t>
  </si>
  <si>
    <t>Valley Hill</t>
  </si>
  <si>
    <t>UG-EAS-1807-08409</t>
  </si>
  <si>
    <t>Chelangat Edward Sam</t>
  </si>
  <si>
    <t>757979784/0702525090</t>
  </si>
  <si>
    <t>UG-EAS-1807-08410</t>
  </si>
  <si>
    <t>Twoyem Francis</t>
  </si>
  <si>
    <t>Kapchombe</t>
  </si>
  <si>
    <t>Chwekwasta</t>
  </si>
  <si>
    <t>UG-EAS-1807-08412</t>
  </si>
  <si>
    <t>Agnes Kamukwari</t>
  </si>
  <si>
    <t>Kapkurembe</t>
  </si>
  <si>
    <t>UG-EAS-1807-08414</t>
  </si>
  <si>
    <t>Chekwel Micheal</t>
  </si>
  <si>
    <t>Kurumbowo</t>
  </si>
  <si>
    <t>UG-EAS-1807-08415</t>
  </si>
  <si>
    <t>Koreny Jesca Chejambu</t>
  </si>
  <si>
    <t>Chepukat</t>
  </si>
  <si>
    <t>UG-EAS-1807-08416</t>
  </si>
  <si>
    <t>Kulany Jimmy</t>
  </si>
  <si>
    <t>Kashabul</t>
  </si>
  <si>
    <t>UG-EAS-1807-08417</t>
  </si>
  <si>
    <t>Tiken Francis</t>
  </si>
  <si>
    <t>Binyiny Town Council</t>
  </si>
  <si>
    <t>Kapnorongo cell</t>
  </si>
  <si>
    <t>UG-EAS-1807-08418</t>
  </si>
  <si>
    <t>Kichadchad Paul</t>
  </si>
  <si>
    <t>UG-EAS-1807-08419</t>
  </si>
  <si>
    <t>Olive Kishero</t>
  </si>
  <si>
    <t>Makyele</t>
  </si>
  <si>
    <t>UG-EAS-1807-08434</t>
  </si>
  <si>
    <t>Hyeba Alfred Ayeba</t>
  </si>
  <si>
    <t>Busal</t>
  </si>
  <si>
    <t>UG-EAS-1807-6231</t>
  </si>
  <si>
    <t>Mairah Moses Abraham</t>
  </si>
  <si>
    <t>750514944/0772335073</t>
  </si>
  <si>
    <t>Tomalower</t>
  </si>
  <si>
    <t>UG-EAS-1808-012256</t>
  </si>
  <si>
    <t>Malinga John</t>
  </si>
  <si>
    <t>UG-EAS-1808-06234</t>
  </si>
  <si>
    <t>Odwori Mariam</t>
  </si>
  <si>
    <t xml:space="preserve">0.287827, </t>
  </si>
  <si>
    <t>Bukooli south</t>
  </si>
  <si>
    <t>Bulokho</t>
  </si>
  <si>
    <t>UG-EAS-1808-06236</t>
  </si>
  <si>
    <t>Apollo Willis Opoya</t>
  </si>
  <si>
    <t>Kabwagasi</t>
  </si>
  <si>
    <t>Doko</t>
  </si>
  <si>
    <t>UG-EAS-1808-08411</t>
  </si>
  <si>
    <t>Chemutai Isaac</t>
  </si>
  <si>
    <t>UG-EAS-1808-08413</t>
  </si>
  <si>
    <t>Sabila Bosco</t>
  </si>
  <si>
    <t>Kokwomosowe</t>
  </si>
  <si>
    <t>UG-EAS-1808-08423</t>
  </si>
  <si>
    <t>Aselle Subibu</t>
  </si>
  <si>
    <t>kapteret</t>
  </si>
  <si>
    <t>Kamal</t>
  </si>
  <si>
    <t>UG-EAS-1808-08426</t>
  </si>
  <si>
    <t>Karungi Chemonges</t>
  </si>
  <si>
    <t>UG-EAS-1808-08428</t>
  </si>
  <si>
    <t>Sabeta Asumani</t>
  </si>
  <si>
    <t>Kasus</t>
  </si>
  <si>
    <t>UG-EAS-1808-08430</t>
  </si>
  <si>
    <t>Twindai Wilfred</t>
  </si>
  <si>
    <t>Bunyinyi TC</t>
  </si>
  <si>
    <t>Kisongi cell</t>
  </si>
  <si>
    <t>UG-EAS-1808-08431</t>
  </si>
  <si>
    <t>Mwanga John</t>
  </si>
  <si>
    <t>Cusma</t>
  </si>
  <si>
    <t>Ket-Akenke</t>
  </si>
  <si>
    <t>UG-EAS-1808-08439</t>
  </si>
  <si>
    <t>Nabaya Patrick</t>
  </si>
  <si>
    <t>UG-EAS-1808-08440</t>
  </si>
  <si>
    <t>Wojambuka Solomon</t>
  </si>
  <si>
    <t>UG-EAS-1808-08445</t>
  </si>
  <si>
    <t>Musobo Joseline</t>
  </si>
  <si>
    <t>772646056/0756515077</t>
  </si>
  <si>
    <t>Kisisin</t>
  </si>
  <si>
    <t>UG-EAS-1808-08448</t>
  </si>
  <si>
    <t>Walimbwa Charles</t>
  </si>
  <si>
    <t>Butadiri</t>
  </si>
  <si>
    <t>Buriise</t>
  </si>
  <si>
    <t>UG-EAS-1809-012156</t>
  </si>
  <si>
    <t>Mungoma Augustin Kipuru</t>
  </si>
  <si>
    <t>Busumbu cell</t>
  </si>
  <si>
    <t>UG-EAS-1809-012252</t>
  </si>
  <si>
    <t>Cheptegei Sadik</t>
  </si>
  <si>
    <t>Chemutaka</t>
  </si>
  <si>
    <t>UG-EAS-1809-012253</t>
  </si>
  <si>
    <t>Muku Yasin</t>
  </si>
  <si>
    <t>UG-EAS-1809-012254</t>
  </si>
  <si>
    <t>Lojeje William</t>
  </si>
  <si>
    <t>Budidiri</t>
  </si>
  <si>
    <t>Bukiise</t>
  </si>
  <si>
    <t>UG-EAS-1809-012257</t>
  </si>
  <si>
    <t>Chelangat Alfred</t>
  </si>
  <si>
    <t>Kamuchan</t>
  </si>
  <si>
    <t>UG-EAS-1809-06223</t>
  </si>
  <si>
    <t>Dr Godwin Julius</t>
  </si>
  <si>
    <t xml:space="preserve">1.062088, </t>
  </si>
  <si>
    <t>Bumasakya</t>
  </si>
  <si>
    <t>UG-EAS-1809-06233</t>
  </si>
  <si>
    <t>Kali Ronald</t>
  </si>
  <si>
    <t>Nankoli</t>
  </si>
  <si>
    <t>UG-EAS-1809-07808</t>
  </si>
  <si>
    <t>Oluka Lawrence</t>
  </si>
  <si>
    <t>Asamuk  Moru</t>
  </si>
  <si>
    <t>UG-EAS-1809-08421</t>
  </si>
  <si>
    <t>Nakitaki Bosco</t>
  </si>
  <si>
    <t>UG-EAS-1809-08422</t>
  </si>
  <si>
    <t>Cheromit Tom</t>
  </si>
  <si>
    <t>Kwobus</t>
  </si>
  <si>
    <t>UG-EAS-1809-08424</t>
  </si>
  <si>
    <t>Chemonges Issa</t>
  </si>
  <si>
    <t>Malat</t>
  </si>
  <si>
    <t>UG-EAS-1809-08425</t>
  </si>
  <si>
    <t>Mongusho David</t>
  </si>
  <si>
    <t>Cherenet lower</t>
  </si>
  <si>
    <t>UG-EAS-1809-08427</t>
  </si>
  <si>
    <t>Cheptoek Stephen</t>
  </si>
  <si>
    <t>UG-EAS-1809-08429</t>
  </si>
  <si>
    <t>Araputa Franco</t>
  </si>
  <si>
    <t>0785521048/0779100601</t>
  </si>
  <si>
    <t>Binyinyi</t>
  </si>
  <si>
    <t>UG-EAS-1809-08432</t>
  </si>
  <si>
    <t>Wozei Wilson</t>
  </si>
  <si>
    <t>Chekutus</t>
  </si>
  <si>
    <t>UG-EAS-1809-08435</t>
  </si>
  <si>
    <t>Makoba John Bosco</t>
  </si>
  <si>
    <t>Kisubi A</t>
  </si>
  <si>
    <t>UG-EAS-1809-08436</t>
  </si>
  <si>
    <t>Namisi Paul</t>
  </si>
  <si>
    <t>Kikuru</t>
  </si>
  <si>
    <t>UG-EAS-1809-08438</t>
  </si>
  <si>
    <t>Kokop Baraka Hadisa</t>
  </si>
  <si>
    <t>Chekwurongrir</t>
  </si>
  <si>
    <t>UG-EAS-1809-08443</t>
  </si>
  <si>
    <t>Kiboma Agapito</t>
  </si>
  <si>
    <t>Gamadya</t>
  </si>
  <si>
    <t>UG-EAS-1809-08444</t>
  </si>
  <si>
    <t>Mashak David</t>
  </si>
  <si>
    <t>Kapteret West division</t>
  </si>
  <si>
    <t>Kaptorotwo</t>
  </si>
  <si>
    <t>UG-EAS-1809-08446</t>
  </si>
  <si>
    <t>Mwende Martin</t>
  </si>
  <si>
    <t>UG-EAS-1809-08447</t>
  </si>
  <si>
    <t>Mugoya Gubale Martin</t>
  </si>
  <si>
    <t>Nasululu</t>
  </si>
  <si>
    <t>UG-EAS-1809-08449</t>
  </si>
  <si>
    <t>Namadi Bonet</t>
  </si>
  <si>
    <t>Mpikyo</t>
  </si>
  <si>
    <t>UG-EAS-1809-08497</t>
  </si>
  <si>
    <t>Chebet Samuel</t>
  </si>
  <si>
    <t>Kwozir</t>
  </si>
  <si>
    <t>Tololwo</t>
  </si>
  <si>
    <t>UG-EAS-1810-012155</t>
  </si>
  <si>
    <t>Nyende John Wilison</t>
  </si>
  <si>
    <t>Buses</t>
  </si>
  <si>
    <t>UG-EAS-1810-012158</t>
  </si>
  <si>
    <t>Mabonga Nathan</t>
  </si>
  <si>
    <t>Mahanga cell</t>
  </si>
  <si>
    <t>UG-EAS-1810-012159</t>
  </si>
  <si>
    <t>Masaba Joseph</t>
  </si>
  <si>
    <t>Namweya</t>
  </si>
  <si>
    <t>UG-EAS-1810-012255</t>
  </si>
  <si>
    <t>Yetkei David</t>
  </si>
  <si>
    <t>UG-EAS-1810-012258</t>
  </si>
  <si>
    <t>Owori Mary</t>
  </si>
  <si>
    <t>Naboa</t>
  </si>
  <si>
    <t>Nakatendei</t>
  </si>
  <si>
    <t>UG-EAS-1810-013751</t>
  </si>
  <si>
    <t>Alias Muhammad Opong</t>
  </si>
  <si>
    <t>Moroto</t>
  </si>
  <si>
    <t>Nadunget</t>
  </si>
  <si>
    <t>Katanga</t>
  </si>
  <si>
    <t>UG-EAS-1810-013752</t>
  </si>
  <si>
    <t>Locholo Raphail</t>
  </si>
  <si>
    <t>34.392600</t>
  </si>
  <si>
    <t>Loptuk</t>
  </si>
  <si>
    <t>UG-EAS-1810-013753</t>
  </si>
  <si>
    <t>Nashuge Regina</t>
  </si>
  <si>
    <t xml:space="preserve"> 34.633252</t>
  </si>
  <si>
    <t>Naibucat</t>
  </si>
  <si>
    <t>UG-EAS-1810-06337</t>
  </si>
  <si>
    <t>Ewatu Vincent</t>
  </si>
  <si>
    <t>Akelai</t>
  </si>
  <si>
    <t>UG-EAS-1810-07322</t>
  </si>
  <si>
    <t>Kayemba Patrick</t>
  </si>
  <si>
    <t>Buloowoza-Madigandere</t>
  </si>
  <si>
    <t>UG-EAS-1810-07324</t>
  </si>
  <si>
    <t>Kyakulaga Aggrey</t>
  </si>
  <si>
    <t>Bunya south</t>
  </si>
  <si>
    <t>Kityerera</t>
  </si>
  <si>
    <t>Bugade B</t>
  </si>
  <si>
    <t>UG-EAS-1810-08441</t>
  </si>
  <si>
    <t>Cherwaru Peter Chepsikor</t>
  </si>
  <si>
    <t>Kapchesombe East</t>
  </si>
  <si>
    <t>Mutyori C</t>
  </si>
  <si>
    <t>UG-EAS-1810-08442</t>
  </si>
  <si>
    <t>David Kitiyo Kissa</t>
  </si>
  <si>
    <t>0772512729/0755099808</t>
  </si>
  <si>
    <t>Cheptandan</t>
  </si>
  <si>
    <t>UG-EAS-1811-012354</t>
  </si>
  <si>
    <t>Ebanu Julius John</t>
  </si>
  <si>
    <t>Okoona</t>
  </si>
  <si>
    <t>UG-EAS-1811-013611</t>
  </si>
  <si>
    <t>Kasipodo Tanga Philip</t>
  </si>
  <si>
    <t>Amagoro A</t>
  </si>
  <si>
    <t>UG-EAS-1811-013957</t>
  </si>
  <si>
    <t>Wazooba Alice</t>
  </si>
  <si>
    <t>Eastern region</t>
  </si>
  <si>
    <t>Mawumo</t>
  </si>
  <si>
    <t>Busakira</t>
  </si>
  <si>
    <t>UG-EAS-1811-06239</t>
  </si>
  <si>
    <t>Waswaka Arajab</t>
  </si>
  <si>
    <t>34.281330</t>
  </si>
  <si>
    <t>Busangai</t>
  </si>
  <si>
    <t>UG-EAS-1811-07325</t>
  </si>
  <si>
    <t>Pr. Musasizi Dawson (Plant 2)</t>
  </si>
  <si>
    <t>Bubago</t>
  </si>
  <si>
    <t>UG-EAS-1811-07326</t>
  </si>
  <si>
    <t>Wabulembo Mary</t>
  </si>
  <si>
    <t>Bukatabila A</t>
  </si>
  <si>
    <t>UG-EAS-1811-07811</t>
  </si>
  <si>
    <t>Enenu Samuel Eseru</t>
  </si>
  <si>
    <t>Alengo</t>
  </si>
  <si>
    <t>Oriokot Tukei Alex</t>
  </si>
  <si>
    <t>0704888651/0704272229</t>
  </si>
  <si>
    <t>Orwadai</t>
  </si>
  <si>
    <t>UG-EAS-1811-08563</t>
  </si>
  <si>
    <t>Initiative Nile Living water</t>
  </si>
  <si>
    <t>Karabi</t>
  </si>
  <si>
    <t>UG-EAS-1812-012160</t>
  </si>
  <si>
    <t>Wanyenze Plisca</t>
  </si>
  <si>
    <t>UG-EAS-1812-06247</t>
  </si>
  <si>
    <t xml:space="preserve">Akurut JANE </t>
  </si>
  <si>
    <t>Ongino</t>
  </si>
  <si>
    <t>Kakerikwam</t>
  </si>
  <si>
    <t>UG-EAS-1812-07210</t>
  </si>
  <si>
    <t>Kavundira B Dorothy</t>
  </si>
  <si>
    <t>UG-EAS-1812-07327</t>
  </si>
  <si>
    <t>H and J Farm</t>
  </si>
  <si>
    <t>Magada</t>
  </si>
  <si>
    <t>Buyugu</t>
  </si>
  <si>
    <t>UG-EAS-1812-07329</t>
  </si>
  <si>
    <t>Namukobe Monica</t>
  </si>
  <si>
    <t>Kyamagwa</t>
  </si>
  <si>
    <t>UG-EAS-1812-08420</t>
  </si>
  <si>
    <t>Kamaris Alex</t>
  </si>
  <si>
    <t>Kapkweru</t>
  </si>
  <si>
    <t>UG-EAS-1901-012104</t>
  </si>
  <si>
    <t>Okirir Geoffrey</t>
  </si>
  <si>
    <t>Okolinga</t>
  </si>
  <si>
    <t>UG-EAS-1901-012259</t>
  </si>
  <si>
    <t>Salimo Patrick</t>
  </si>
  <si>
    <t>Kakwembe</t>
  </si>
  <si>
    <t>UG-EAS-1901-012260</t>
  </si>
  <si>
    <t>Chelangat Martin</t>
  </si>
  <si>
    <t>Chemomul</t>
  </si>
  <si>
    <t>UG-EAS-1901-012261</t>
  </si>
  <si>
    <t>Musau Patrick</t>
  </si>
  <si>
    <t>UG-EAS-1901-012262</t>
  </si>
  <si>
    <t>Chekwemboi Evelin</t>
  </si>
  <si>
    <t>Tapchor</t>
  </si>
  <si>
    <t>UG-EAS-1901-012263</t>
  </si>
  <si>
    <t>Satya Martin</t>
  </si>
  <si>
    <t>Kamiro</t>
  </si>
  <si>
    <t>UG-EAS-1901-012264</t>
  </si>
  <si>
    <t>Cherotich Milcah</t>
  </si>
  <si>
    <t>Swenya</t>
  </si>
  <si>
    <t>UG-EAS-1901-012265</t>
  </si>
  <si>
    <t>Cherukut Asha</t>
  </si>
  <si>
    <t>UG-EAS-1901-012266</t>
  </si>
  <si>
    <t>Masaba Jonah</t>
  </si>
  <si>
    <t>UG-EAS-1901-012267</t>
  </si>
  <si>
    <t>Cherukut Irene</t>
  </si>
  <si>
    <t>Chekongin</t>
  </si>
  <si>
    <t>UG-EAS-1901-012268</t>
  </si>
  <si>
    <t>Gimadu Cephas</t>
  </si>
  <si>
    <t>UG-EAS-1711-06328</t>
  </si>
  <si>
    <t>Nandera Caana Osinya</t>
  </si>
  <si>
    <t>UG-EAS-1901-012270</t>
  </si>
  <si>
    <t>Bumbu Stephen</t>
  </si>
  <si>
    <t>UG-EAS-1901-012271</t>
  </si>
  <si>
    <t>Chemususu Andrew</t>
  </si>
  <si>
    <t>Chesakwa</t>
  </si>
  <si>
    <t>UG-EAS-1901-012272</t>
  </si>
  <si>
    <t>Nabukonde Irene</t>
  </si>
  <si>
    <t>UG-EAS-1901-012273</t>
  </si>
  <si>
    <t>Solimo Kissa</t>
  </si>
  <si>
    <t>Kamsitarit</t>
  </si>
  <si>
    <t>UG-EAS-1901-012275</t>
  </si>
  <si>
    <t>Chebet Hawa</t>
  </si>
  <si>
    <t>UG-EAS-1901-012276</t>
  </si>
  <si>
    <t>Chemutai Siyama</t>
  </si>
  <si>
    <t>Chesiyo</t>
  </si>
  <si>
    <t>UG-EAS-1901-012277</t>
  </si>
  <si>
    <t>Cherop Mwanaidi</t>
  </si>
  <si>
    <t>Kisito</t>
  </si>
  <si>
    <t>UG-EAS-1901-012278</t>
  </si>
  <si>
    <t>Yeko Martha</t>
  </si>
  <si>
    <t>Sirmityo</t>
  </si>
  <si>
    <t>UG-EAS-1901-012280</t>
  </si>
  <si>
    <t>Mutai Patrick</t>
  </si>
  <si>
    <t>Mutakelet</t>
  </si>
  <si>
    <t>UG-EAS-1801-06264</t>
  </si>
  <si>
    <t>Chebosi BENSON</t>
  </si>
  <si>
    <t>UG-EAS-1901-012281</t>
  </si>
  <si>
    <t>Kusuro Grace</t>
  </si>
  <si>
    <t>UG-EAS-1901-013955</t>
  </si>
  <si>
    <t>Balidawa John</t>
  </si>
  <si>
    <t>Wailasa</t>
  </si>
  <si>
    <t>UG-EAS-1901-013960</t>
  </si>
  <si>
    <t>Kayeyera Bashir</t>
  </si>
  <si>
    <t>Bukatumbe</t>
  </si>
  <si>
    <t>UG-EAS-1901-013962</t>
  </si>
  <si>
    <t>Byanguye Moses</t>
  </si>
  <si>
    <t>Butabala</t>
  </si>
  <si>
    <t>UG-EAS-1901-06241</t>
  </si>
  <si>
    <t>Martha Makoba</t>
  </si>
  <si>
    <t>Mbulambuli</t>
  </si>
  <si>
    <t>BWagogo</t>
  </si>
  <si>
    <t>UG-EAS-1901-06242</t>
  </si>
  <si>
    <t>Nambuya Scolastica</t>
  </si>
  <si>
    <t>Bugema town concill</t>
  </si>
  <si>
    <t>Florida</t>
  </si>
  <si>
    <t>UG-EAS-1901-06243</t>
  </si>
  <si>
    <t>Masiga Aloysius</t>
  </si>
  <si>
    <t>Nalungolo</t>
  </si>
  <si>
    <t>UG-EAS-1901-06244</t>
  </si>
  <si>
    <t>Nasakwa Gabriel</t>
  </si>
  <si>
    <t>Nabisulula</t>
  </si>
  <si>
    <t>UG-EAS-1803-06265</t>
  </si>
  <si>
    <t>QSP visited plant was never filled and it was abandoned. School to make private repairs since it is institutional.</t>
  </si>
  <si>
    <t>Maurile Lukoye</t>
  </si>
  <si>
    <t>Bumusomi</t>
  </si>
  <si>
    <t>UG-EAS-1803-07311</t>
  </si>
  <si>
    <t>Kitanda Fred</t>
  </si>
  <si>
    <t>Kapyanga</t>
  </si>
  <si>
    <t>Ndifakulya</t>
  </si>
  <si>
    <t>UG-EAS-1901-06246</t>
  </si>
  <si>
    <t>Mutenyi Banzirio</t>
  </si>
  <si>
    <t>Bogoya</t>
  </si>
  <si>
    <t>UG-EAS-1901-07330</t>
  </si>
  <si>
    <t>Mukunya Grace Plant 2</t>
  </si>
  <si>
    <t>Iwawu</t>
  </si>
  <si>
    <t>UG-EAS-1901-07331</t>
  </si>
  <si>
    <t>Wabwire Henry (Bibi Shaban)</t>
  </si>
  <si>
    <t>BUPALA</t>
  </si>
  <si>
    <t>UG-EAS-1902- 012285</t>
  </si>
  <si>
    <t>Evalyne Chelogoi</t>
  </si>
  <si>
    <t>Chelalmoi</t>
  </si>
  <si>
    <t>UG-EAS-1902-012105</t>
  </si>
  <si>
    <t>Engwaru John Micheal</t>
  </si>
  <si>
    <t>Amotot A</t>
  </si>
  <si>
    <t>UG-EAS-1902-012283</t>
  </si>
  <si>
    <t>Chemusto Bunise</t>
  </si>
  <si>
    <t>Chaber</t>
  </si>
  <si>
    <t>UG-EAS-1902-012284</t>
  </si>
  <si>
    <t>Cherukut Jane</t>
  </si>
  <si>
    <t>Kabewa</t>
  </si>
  <si>
    <t>UG-EAS-1902-012286</t>
  </si>
  <si>
    <t>Musobo Denis</t>
  </si>
  <si>
    <t>Chelakmoi</t>
  </si>
  <si>
    <t>UG-EAS-1902-012288</t>
  </si>
  <si>
    <t>Cherop Mary</t>
  </si>
  <si>
    <t>Kapkween</t>
  </si>
  <si>
    <t>UG-EAS-1902-012289</t>
  </si>
  <si>
    <t>Chebet Dorcus</t>
  </si>
  <si>
    <t>UG-EAS-1902-012290</t>
  </si>
  <si>
    <t>Cherotich Paul</t>
  </si>
  <si>
    <t>UG-EAS-1902-012291</t>
  </si>
  <si>
    <t>Mudde Richard</t>
  </si>
  <si>
    <t>Kamusha</t>
  </si>
  <si>
    <t>UG-EAS-1902-012292</t>
  </si>
  <si>
    <t>Kapchebei Mwanga Winrose</t>
  </si>
  <si>
    <t>Bunai</t>
  </si>
  <si>
    <t>UG-EAS-1902-012293</t>
  </si>
  <si>
    <t>Chikaptui Esther</t>
  </si>
  <si>
    <t>Sengwer</t>
  </si>
  <si>
    <t>UG-EAS-1902-01359</t>
  </si>
  <si>
    <t>Batwawula George</t>
  </si>
  <si>
    <t>Busiba</t>
  </si>
  <si>
    <t>UG-EAS-1902-013958</t>
  </si>
  <si>
    <t>Tyabu Fider</t>
  </si>
  <si>
    <t>Gabula</t>
  </si>
  <si>
    <t>Southern Division</t>
  </si>
  <si>
    <t>UG-EAS-1902-06245</t>
  </si>
  <si>
    <t>Mukadaya Julius</t>
  </si>
  <si>
    <t>Nalusisi</t>
  </si>
  <si>
    <t>UG-EAS-1902-O12269</t>
  </si>
  <si>
    <t>Nambozo Constance</t>
  </si>
  <si>
    <t>Kortowobel</t>
  </si>
  <si>
    <t>UG-EAS-1903-012106</t>
  </si>
  <si>
    <t>Nyengere Joseph Remi</t>
  </si>
  <si>
    <t>UG-EAS-1806-07804</t>
  </si>
  <si>
    <t>Akurut Jane Rev</t>
  </si>
  <si>
    <t>Otaba</t>
  </si>
  <si>
    <t>UG-EAS-1903-012162</t>
  </si>
  <si>
    <t>Nazeeba Charles</t>
  </si>
  <si>
    <t>Bulaago</t>
  </si>
  <si>
    <t>Dooba</t>
  </si>
  <si>
    <t>UG-EAS-1903-012163</t>
  </si>
  <si>
    <t>Gidudu David</t>
  </si>
  <si>
    <t>UG-EAS-1903-012201</t>
  </si>
  <si>
    <t>Sister Hellen Asamo Plant 2</t>
  </si>
  <si>
    <t>Budadiri Town C</t>
  </si>
  <si>
    <t>Bunyode B</t>
  </si>
  <si>
    <t>UG-EAS-1903-012202</t>
  </si>
  <si>
    <t>Africa Bible Church</t>
  </si>
  <si>
    <t>Manyonyi</t>
  </si>
  <si>
    <t>UG-EAS-1903-012279</t>
  </si>
  <si>
    <t>Oumo Levi</t>
  </si>
  <si>
    <t>Kapokin</t>
  </si>
  <si>
    <t>UG-EAS-1903-012296</t>
  </si>
  <si>
    <t>Kaserep Alex</t>
  </si>
  <si>
    <t>UG-EAS-1903-012298</t>
  </si>
  <si>
    <t>Binais Chekwatat Cheptai</t>
  </si>
  <si>
    <t>Cheboywo</t>
  </si>
  <si>
    <t>UG-EAS-1903-013965</t>
  </si>
  <si>
    <t>Jimmy Sseruwugge</t>
  </si>
  <si>
    <t>Bulowoza</t>
  </si>
  <si>
    <t>UG-EAS-1903-07335</t>
  </si>
  <si>
    <t>Osinde Vincent</t>
  </si>
  <si>
    <t>Buyanga</t>
  </si>
  <si>
    <t>UG-EAS-1903-07336</t>
  </si>
  <si>
    <t>Nawaswa John</t>
  </si>
  <si>
    <t>Busakila</t>
  </si>
  <si>
    <t>UG-EAS-1904-012300</t>
  </si>
  <si>
    <t>Musobo Joel</t>
  </si>
  <si>
    <t>34.291000</t>
  </si>
  <si>
    <t>UG-EAS-1904-012737</t>
  </si>
  <si>
    <t>Frederick Ntende Egonda</t>
  </si>
  <si>
    <t>Bugabula Namwendwa</t>
  </si>
  <si>
    <t>Butinbito</t>
  </si>
  <si>
    <t>UG-EAS-1904-013756</t>
  </si>
  <si>
    <t>Locha James</t>
  </si>
  <si>
    <t>Napak</t>
  </si>
  <si>
    <t>Bohora</t>
  </si>
  <si>
    <t>Lotome</t>
  </si>
  <si>
    <t>Mulongole</t>
  </si>
  <si>
    <t>UG-EAS-1807-07809</t>
  </si>
  <si>
    <t>Opaire Julius</t>
  </si>
  <si>
    <t>Acwiila</t>
  </si>
  <si>
    <t>UG-EAS-1904-014301</t>
  </si>
  <si>
    <t>Bureto Elisha</t>
  </si>
  <si>
    <t>34.2416000</t>
  </si>
  <si>
    <t>Mutyoru</t>
  </si>
  <si>
    <t>UG-EAS-1904-06384</t>
  </si>
  <si>
    <t>Bushika Intergrated Cooperative</t>
  </si>
  <si>
    <t>Nangako</t>
  </si>
  <si>
    <t>UG-EAS-1905-012164</t>
  </si>
  <si>
    <t>Melidah Wabwire</t>
  </si>
  <si>
    <t>Shanyuja</t>
  </si>
  <si>
    <t>UG-EAS-1905-012203</t>
  </si>
  <si>
    <t>Alwenyi Obbo poti Nosiata</t>
  </si>
  <si>
    <t>Western</t>
  </si>
  <si>
    <t>Poti</t>
  </si>
  <si>
    <t>UG-EAS-1905-012204</t>
  </si>
  <si>
    <t>Tabu Poti Obbo</t>
  </si>
  <si>
    <t>Omwonyule</t>
  </si>
  <si>
    <t>Namisano Nabbongo ss Alex</t>
  </si>
  <si>
    <t>Bufukhula</t>
  </si>
  <si>
    <t>Nabbongo</t>
  </si>
  <si>
    <t>Nabbongo ss cell</t>
  </si>
  <si>
    <t>UG-EAS-1905-013757</t>
  </si>
  <si>
    <t>Mudong Philip</t>
  </si>
  <si>
    <t>Bokora</t>
  </si>
  <si>
    <t>Nariamarege</t>
  </si>
  <si>
    <t>UG-EAS-1905-013758</t>
  </si>
  <si>
    <t>Adiaka Alice</t>
  </si>
  <si>
    <t>Lominit</t>
  </si>
  <si>
    <t>UG-EAS-1905-014302</t>
  </si>
  <si>
    <t>Cherop Agnes</t>
  </si>
  <si>
    <t>UG-EAS-1905-06339</t>
  </si>
  <si>
    <t>Eukot Tom</t>
  </si>
  <si>
    <t>Kuju</t>
  </si>
  <si>
    <t>Akular</t>
  </si>
  <si>
    <t>UG-EAS-1905-07338</t>
  </si>
  <si>
    <t>Mugga Isaac</t>
  </si>
  <si>
    <t>Namago</t>
  </si>
  <si>
    <t>UG-EAS-1905-07339</t>
  </si>
  <si>
    <t>Babeku Minsisera (Plant 2)</t>
  </si>
  <si>
    <t>UG-EAS-1905-07340</t>
  </si>
  <si>
    <t>Babeku Minsisera (Plant 1)</t>
  </si>
  <si>
    <t>UG-EAS-1905-07816</t>
  </si>
  <si>
    <t>Esanu Ekellot John</t>
  </si>
  <si>
    <t>Onino</t>
  </si>
  <si>
    <t>UG-EAS-1906- 12345</t>
  </si>
  <si>
    <t>Kam Geog Musa</t>
  </si>
  <si>
    <t>Torongole</t>
  </si>
  <si>
    <t>UG-EAS-1906-012205</t>
  </si>
  <si>
    <t>Mushiyi Erezaphan</t>
  </si>
  <si>
    <t>Iki_iki</t>
  </si>
  <si>
    <t>Kaitagole</t>
  </si>
  <si>
    <t>UG-EAS-1906-012468</t>
  </si>
  <si>
    <t>Irine Muloni</t>
  </si>
  <si>
    <t>Buenos mt</t>
  </si>
  <si>
    <t>UG-EAS-1906-012777</t>
  </si>
  <si>
    <t>Namulondo Tappy</t>
  </si>
  <si>
    <t>Bulubandi</t>
  </si>
  <si>
    <t>UG-EAS-1906-013759</t>
  </si>
  <si>
    <t>Nyangan Terreza</t>
  </si>
  <si>
    <t>Piani</t>
  </si>
  <si>
    <t>Lorengdwat</t>
  </si>
  <si>
    <t>Lukwamor</t>
  </si>
  <si>
    <t>UG-EAS-1906-014303</t>
  </si>
  <si>
    <t>Chebet Sona</t>
  </si>
  <si>
    <t>Kamalany</t>
  </si>
  <si>
    <t>UG-EAS-1906-014305</t>
  </si>
  <si>
    <t>Siwa Ibrahim</t>
  </si>
  <si>
    <t>Sisimwon</t>
  </si>
  <si>
    <t>UG-EAS-1906-014306</t>
  </si>
  <si>
    <t>Kamusokwe Stephen</t>
  </si>
  <si>
    <t>Korokween</t>
  </si>
  <si>
    <t>UG-EAS-1906-014307</t>
  </si>
  <si>
    <t>Chemonges George</t>
  </si>
  <si>
    <t>0751109958/0785770761</t>
  </si>
  <si>
    <t>Sirun ward</t>
  </si>
  <si>
    <t>Chelel cell</t>
  </si>
  <si>
    <t>UG-EAS-1906-014309</t>
  </si>
  <si>
    <t>Chemak Aziz</t>
  </si>
  <si>
    <t>Kapngormwo</t>
  </si>
  <si>
    <t>UG-EAS-1906-014310</t>
  </si>
  <si>
    <t>Chemandan Joselyne</t>
  </si>
  <si>
    <t>Cheptilyal</t>
  </si>
  <si>
    <t>UG-EAS-1906-014311</t>
  </si>
  <si>
    <t>Musobo Moses</t>
  </si>
  <si>
    <t>Kapchemembe</t>
  </si>
  <si>
    <t>UG-EAS-1906-014312</t>
  </si>
  <si>
    <t>Magomu James</t>
  </si>
  <si>
    <t>Kabaywa</t>
  </si>
  <si>
    <t>Namakolo</t>
  </si>
  <si>
    <t>UG-EAS-1906-014313</t>
  </si>
  <si>
    <t>Musani Sam</t>
  </si>
  <si>
    <t>UG-EAS-1906-014314</t>
  </si>
  <si>
    <t>Chepsikor Mamudu</t>
  </si>
  <si>
    <t>Kapchorwa town council</t>
  </si>
  <si>
    <t>Swomu</t>
  </si>
  <si>
    <t>UG-EAS-1906-014316</t>
  </si>
  <si>
    <t>Cherop Wilfred Masai</t>
  </si>
  <si>
    <t>Chebinyinyi</t>
  </si>
  <si>
    <t>UG-EAS-1906-014317</t>
  </si>
  <si>
    <t>Monges Martin</t>
  </si>
  <si>
    <t>Kapto</t>
  </si>
  <si>
    <t>UG-EAS-1906-014319</t>
  </si>
  <si>
    <t>Sabila Simon</t>
  </si>
  <si>
    <t>Kongasisi</t>
  </si>
  <si>
    <t>Cheptenden</t>
  </si>
  <si>
    <t>UG-EAS-1809-07318</t>
  </si>
  <si>
    <t>Balikoowa Monica Nakilanda</t>
  </si>
  <si>
    <t>Malongo B</t>
  </si>
  <si>
    <t>UG-EAS-1906-014320</t>
  </si>
  <si>
    <t>Cherotwo Robert</t>
  </si>
  <si>
    <t>UG-EAS-1906-014321</t>
  </si>
  <si>
    <t>Kissa Moris</t>
  </si>
  <si>
    <t>Chekwatit</t>
  </si>
  <si>
    <t>UG-EAS-1906-014322</t>
  </si>
  <si>
    <t>Cherop Satya Kackson</t>
  </si>
  <si>
    <t>Kamasaren</t>
  </si>
  <si>
    <t>UG-EAS-1906-06340</t>
  </si>
  <si>
    <t xml:space="preserve">Alileng Daniel </t>
  </si>
  <si>
    <t>75342240/ 771936453</t>
  </si>
  <si>
    <t>UG-EAS-1906-07343</t>
  </si>
  <si>
    <t>Maubanya Collin Evlyne</t>
  </si>
  <si>
    <t>UG-EAS-1906-07815</t>
  </si>
  <si>
    <t>Elungat Richard Okiror</t>
  </si>
  <si>
    <t>Ongongoja</t>
  </si>
  <si>
    <t>Acuuru</t>
  </si>
  <si>
    <t>UG-EAS-1907-012165</t>
  </si>
  <si>
    <t>Nakhanmbi Dinah</t>
  </si>
  <si>
    <t>Bustima Tc</t>
  </si>
  <si>
    <t>UG-EAS-1907-012206</t>
  </si>
  <si>
    <t>Angero Alupe</t>
  </si>
  <si>
    <t>Awokot</t>
  </si>
  <si>
    <t>UG-EAS-1907-012207</t>
  </si>
  <si>
    <t>Wanyeze Angatha Bulafu</t>
  </si>
  <si>
    <t>Nagizekwe</t>
  </si>
  <si>
    <t>UG-EAS-1907-012208</t>
  </si>
  <si>
    <t>Masaba Haluna</t>
  </si>
  <si>
    <t>Bunyafa</t>
  </si>
  <si>
    <t>Mawululu</t>
  </si>
  <si>
    <t>UG-EAS-1907-012496</t>
  </si>
  <si>
    <t>Muyingo Mathias</t>
  </si>
  <si>
    <t>UG-EAS-1907-014315</t>
  </si>
  <si>
    <t>Boyo Backson</t>
  </si>
  <si>
    <t>Retin</t>
  </si>
  <si>
    <t>UG-EAS-1907-014318</t>
  </si>
  <si>
    <t>Chesang Claudia</t>
  </si>
  <si>
    <t>Kamwalech</t>
  </si>
  <si>
    <t>UG-EAS-1907-014326</t>
  </si>
  <si>
    <t>Mwanga Benson</t>
  </si>
  <si>
    <t>UG-EAS-1907-014327</t>
  </si>
  <si>
    <t>Chesang Joseph</t>
  </si>
  <si>
    <t>Cheptecho</t>
  </si>
  <si>
    <t>UG-EAS-1907-014329</t>
  </si>
  <si>
    <t>Chebet Scovia</t>
  </si>
  <si>
    <t>Kaptoboswo</t>
  </si>
  <si>
    <t>UG-EAS-1907-014330</t>
  </si>
  <si>
    <t xml:space="preserve">Cheptoek Emmanuel </t>
  </si>
  <si>
    <t>UG-EAS-1907-014332</t>
  </si>
  <si>
    <t>Limo Michael</t>
  </si>
  <si>
    <t>Nyalit</t>
  </si>
  <si>
    <t>UG-EAS-1907-014333</t>
  </si>
  <si>
    <t>Mamina Shaban</t>
  </si>
  <si>
    <t>Kapchorwa mc</t>
  </si>
  <si>
    <t>East diviion</t>
  </si>
  <si>
    <t>Kapchesabul</t>
  </si>
  <si>
    <t>UG-EAS-1907-014334</t>
  </si>
  <si>
    <t>Mangusho Sheme</t>
  </si>
  <si>
    <t>Twerit</t>
  </si>
  <si>
    <t>UG-EAS-1907-014335</t>
  </si>
  <si>
    <t>Mongusho Milton</t>
  </si>
  <si>
    <t>Chesimwa</t>
  </si>
  <si>
    <t>UG-EAS-1907-014336</t>
  </si>
  <si>
    <t>Soyekwo Simon</t>
  </si>
  <si>
    <t>Kapsiywo</t>
  </si>
  <si>
    <t>UG-EAS-1907-014337</t>
  </si>
  <si>
    <t>Chebet Justine</t>
  </si>
  <si>
    <t>UG-EAS-1907-014338</t>
  </si>
  <si>
    <t>Kipsang Eliut</t>
  </si>
  <si>
    <t>UG-EAS-1907-014339</t>
  </si>
  <si>
    <t>Chemusto Joseph</t>
  </si>
  <si>
    <t>UG-EAS-1907-014340</t>
  </si>
  <si>
    <t>Konyi Isaac</t>
  </si>
  <si>
    <t>Kwomo</t>
  </si>
  <si>
    <t>UG-EAS-1907-07346</t>
  </si>
  <si>
    <t>Isabirye Moses</t>
  </si>
  <si>
    <t>UG-EAS-1907-07821</t>
  </si>
  <si>
    <t xml:space="preserve">Alibu Jerome </t>
  </si>
  <si>
    <t>Ogasia/Abermunyo</t>
  </si>
  <si>
    <t>UG-EAS-1907-14323</t>
  </si>
  <si>
    <t>Cheberi Fred</t>
  </si>
  <si>
    <t>Sonkoroch</t>
  </si>
  <si>
    <t>UG-EAS-1907-14324</t>
  </si>
  <si>
    <t>Chemonges Sam</t>
  </si>
  <si>
    <t>UG-EAS-1907-14325</t>
  </si>
  <si>
    <t>Magona Francis</t>
  </si>
  <si>
    <t>Malimbe</t>
  </si>
  <si>
    <t>UG-EAS-1907-14328</t>
  </si>
  <si>
    <t>Mutai Dennis K</t>
  </si>
  <si>
    <t>Kwandet</t>
  </si>
  <si>
    <t>UG-EAS-1907-9889</t>
  </si>
  <si>
    <t>St John's SS Wakitaka (Plant 2)</t>
  </si>
  <si>
    <t>UG-EAS-1811-06238</t>
  </si>
  <si>
    <t>Nambayo Florence Okoit</t>
  </si>
  <si>
    <t>34.201333</t>
  </si>
  <si>
    <t>Asingec</t>
  </si>
  <si>
    <t>UG-EAS-1908-012107</t>
  </si>
  <si>
    <t xml:space="preserve">Okoed Geoffrey </t>
  </si>
  <si>
    <t>Aoja</t>
  </si>
  <si>
    <t>UG-EAS-1908-012216</t>
  </si>
  <si>
    <t>Ingoi James</t>
  </si>
  <si>
    <t>Buyembe</t>
  </si>
  <si>
    <t>Ndembe</t>
  </si>
  <si>
    <t>UG-EAS-1908-012467</t>
  </si>
  <si>
    <t>Mugume Daniel</t>
  </si>
  <si>
    <t>Jinja municipality</t>
  </si>
  <si>
    <t>Mahuta</t>
  </si>
  <si>
    <t>UG-EAS-1908-014051</t>
  </si>
  <si>
    <t>Labu Patrick</t>
  </si>
  <si>
    <t>Songok</t>
  </si>
  <si>
    <t>UG-EAS-1908-014052</t>
  </si>
  <si>
    <t>Kapkwosum John</t>
  </si>
  <si>
    <t>Kitiwoi</t>
  </si>
  <si>
    <t>UG-EAS-1908-014053</t>
  </si>
  <si>
    <t>Kipsang Siya Colins</t>
  </si>
  <si>
    <t>Kakwirwok</t>
  </si>
  <si>
    <t>UG-EAS-1812-01216</t>
  </si>
  <si>
    <t>Kipuru Mungoma Augustine</t>
  </si>
  <si>
    <t>Busubo</t>
  </si>
  <si>
    <t>UG-EAS-1908-014054</t>
  </si>
  <si>
    <t>Mamati Alex</t>
  </si>
  <si>
    <t>Kongelel</t>
  </si>
  <si>
    <t>UG-EAS-1908-014055</t>
  </si>
  <si>
    <t>Labu Fred</t>
  </si>
  <si>
    <t>Chebinyiny</t>
  </si>
  <si>
    <t>UG-EAS-1908-014057</t>
  </si>
  <si>
    <t>Siwa Nakitari Johnson</t>
  </si>
  <si>
    <t>Chebukat</t>
  </si>
  <si>
    <t>UG-EAS-1908-014058</t>
  </si>
  <si>
    <t>Kashar Francis</t>
  </si>
  <si>
    <t>UG-EAS-1908-014059</t>
  </si>
  <si>
    <t>Chemusto Bosco</t>
  </si>
  <si>
    <t>UG-EAS-1908-014308</t>
  </si>
  <si>
    <t>Cherop Mohammed</t>
  </si>
  <si>
    <t>Kaptorek</t>
  </si>
  <si>
    <t>Kortowet</t>
  </si>
  <si>
    <t>UG-EAS-1908-014341</t>
  </si>
  <si>
    <t>Masiga Patrick</t>
  </si>
  <si>
    <t>Nabugasha a</t>
  </si>
  <si>
    <t>UG-EAS-1908-014343</t>
  </si>
  <si>
    <t>Chebet Irene Munyo</t>
  </si>
  <si>
    <t>Bumotoy</t>
  </si>
  <si>
    <t>UG-EAS-1908-014344</t>
  </si>
  <si>
    <t>Magona Butete Robert</t>
  </si>
  <si>
    <t>Nabugusha a</t>
  </si>
  <si>
    <t>UG-EAS-1908-014345</t>
  </si>
  <si>
    <t>Maranga Emma</t>
  </si>
  <si>
    <t>Kikolo</t>
  </si>
  <si>
    <t>UG-EAS-1908-014346</t>
  </si>
  <si>
    <t>Malanga Stephen</t>
  </si>
  <si>
    <t>Nabuya</t>
  </si>
  <si>
    <t>UG-EAS-1908-014347</t>
  </si>
  <si>
    <t>Kapkweyin Joseph</t>
  </si>
  <si>
    <t>UG-EAS-1908-014348</t>
  </si>
  <si>
    <t>Cherop Nelson</t>
  </si>
  <si>
    <t>UG-EAS-1908-014349</t>
  </si>
  <si>
    <t>Chemonges Patrick Abraham</t>
  </si>
  <si>
    <t>UG-EAS-1908-014350</t>
  </si>
  <si>
    <t>Yapsiwa Flora</t>
  </si>
  <si>
    <t>UG-EAS-1908-07824</t>
  </si>
  <si>
    <t>Ewau Isaac Godfry</t>
  </si>
  <si>
    <t>Okulonyo</t>
  </si>
  <si>
    <t>UG-EAS-1908-07826</t>
  </si>
  <si>
    <t xml:space="preserve">St. James Preparetory Sschool Achilet </t>
  </si>
  <si>
    <t>UG-EAS-1908-07827</t>
  </si>
  <si>
    <t>Emojong Elingat Lawrence</t>
  </si>
  <si>
    <t>Angorom</t>
  </si>
  <si>
    <t>UG-EAS-1908-07881</t>
  </si>
  <si>
    <t>Eric Muwaya</t>
  </si>
  <si>
    <t>Budhwege</t>
  </si>
  <si>
    <t>UG-EAS-1908-9852</t>
  </si>
  <si>
    <t xml:space="preserve">Muretwerwe Anatolia </t>
  </si>
  <si>
    <t>Busiki</t>
  </si>
  <si>
    <t>Bulege</t>
  </si>
  <si>
    <t>UG-EAS-1908-9853</t>
  </si>
  <si>
    <t>Ndikyegana Nalongo</t>
  </si>
  <si>
    <t>Kiroba</t>
  </si>
  <si>
    <t>UG-EAS-1901-012274</t>
  </si>
  <si>
    <t>Kapmwendui 2 William( Plant 2)</t>
  </si>
  <si>
    <t>Lodge</t>
  </si>
  <si>
    <t>UG-EAS-1908-9856</t>
  </si>
  <si>
    <t>Mwesigwa Wagaba Samuel Plant 1</t>
  </si>
  <si>
    <t>Pallisa council</t>
  </si>
  <si>
    <t>Pallisa Town</t>
  </si>
  <si>
    <t>Obekai</t>
  </si>
  <si>
    <t>UG-EAS-1908-9859</t>
  </si>
  <si>
    <t>Muwanika Fred</t>
  </si>
  <si>
    <t>Kigulu south</t>
  </si>
  <si>
    <t>Nanpilika</t>
  </si>
  <si>
    <t>UG-EAS-1909-012108</t>
  </si>
  <si>
    <t>Anwar Kubra Sulaima Khamis</t>
  </si>
  <si>
    <t>Buole</t>
  </si>
  <si>
    <t>Mukuba cell</t>
  </si>
  <si>
    <t>UG-EAS-1909-012109</t>
  </si>
  <si>
    <t>Lula Fatuma</t>
  </si>
  <si>
    <t>UG-EAS-1909-012110</t>
  </si>
  <si>
    <t>Ocaage David</t>
  </si>
  <si>
    <t>Soroti municipality</t>
  </si>
  <si>
    <t>Maroon quarters plot 24</t>
  </si>
  <si>
    <t>UG-EAS-1909-012112</t>
  </si>
  <si>
    <t>Akajikaj St. Mary's Mother of God</t>
  </si>
  <si>
    <t>Acoa</t>
  </si>
  <si>
    <t>Angolebwal</t>
  </si>
  <si>
    <t>UG-EAS-1901-012282</t>
  </si>
  <si>
    <t>Kapmwendui 1 William (Plant 1)</t>
  </si>
  <si>
    <t>UG-EAS-1909-012115</t>
  </si>
  <si>
    <t>Amecet Children's Home</t>
  </si>
  <si>
    <t>Senior quarters cell C</t>
  </si>
  <si>
    <t>UG-EAS-1909-012166</t>
  </si>
  <si>
    <t>Kasawa Patrick</t>
  </si>
  <si>
    <t>Bungokho south</t>
  </si>
  <si>
    <t>Tsabayanya</t>
  </si>
  <si>
    <t>UG-EAS-1909-012167</t>
  </si>
  <si>
    <t>Wakwale Wilson</t>
  </si>
  <si>
    <t>Marrale</t>
  </si>
  <si>
    <t>UG-EAS-1909-012209</t>
  </si>
  <si>
    <t>Joseph Mudyadya</t>
  </si>
  <si>
    <t>Buyombo</t>
  </si>
  <si>
    <t>Bumasaje</t>
  </si>
  <si>
    <t>UG-EAS-1909-012210</t>
  </si>
  <si>
    <t>Nsubuga Partrick</t>
  </si>
  <si>
    <t>Kisiki</t>
  </si>
  <si>
    <t>Nawasekele</t>
  </si>
  <si>
    <t>UG-EAS-1909-012211</t>
  </si>
  <si>
    <t>Mushebo Moses</t>
  </si>
  <si>
    <t>UG-EAS-1909-012212</t>
  </si>
  <si>
    <t>Jashau Kwagala</t>
  </si>
  <si>
    <t>Kaite</t>
  </si>
  <si>
    <t>UG-EAS-1909-012213</t>
  </si>
  <si>
    <t>Mukula George</t>
  </si>
  <si>
    <t>Molo</t>
  </si>
  <si>
    <t>Kidokorwe</t>
  </si>
  <si>
    <t>UG-EAS-1901-07328</t>
  </si>
  <si>
    <t>Plant has never been fed ever since it was constructed</t>
  </si>
  <si>
    <t>Kasadha Isa</t>
  </si>
  <si>
    <t>Musiima</t>
  </si>
  <si>
    <t>UG-EAS-1909-012214</t>
  </si>
  <si>
    <t>Obonyo Patrick John</t>
  </si>
  <si>
    <t>Kidoko rock</t>
  </si>
  <si>
    <t>UG-EAS-1909-012215</t>
  </si>
  <si>
    <t>Tata Sam</t>
  </si>
  <si>
    <t>UG-EAS-1909-012486</t>
  </si>
  <si>
    <t>Nakabago Faith</t>
  </si>
  <si>
    <t>Wakita</t>
  </si>
  <si>
    <t>Wairaka central</t>
  </si>
  <si>
    <t>UG-EAS-1909-014056</t>
  </si>
  <si>
    <t>Nakitari Naphtali John</t>
  </si>
  <si>
    <t>Chemosong</t>
  </si>
  <si>
    <t>UG-EAS-1909-014060</t>
  </si>
  <si>
    <t>Cherotin Alfred</t>
  </si>
  <si>
    <t>Chemak</t>
  </si>
  <si>
    <t>UG-EAS-1909-014061</t>
  </si>
  <si>
    <t>Muyeye Patrice</t>
  </si>
  <si>
    <t>Chemwetuny</t>
  </si>
  <si>
    <t>UG-EAS-1909-07342</t>
  </si>
  <si>
    <t>Batabaire James</t>
  </si>
  <si>
    <t>UG-EAS-1902-012287</t>
  </si>
  <si>
    <t>Chelangat Sophy</t>
  </si>
  <si>
    <t>UG-EAS-1909-07757</t>
  </si>
  <si>
    <t>Uganda  Matrys Vocational Institute 1</t>
  </si>
  <si>
    <t>Nothern Division</t>
  </si>
  <si>
    <t>UG-EAS-1909-07814</t>
  </si>
  <si>
    <t>Eyoku Cuthbert</t>
  </si>
  <si>
    <t>Ogasia</t>
  </si>
  <si>
    <t>UG-EAS-1909-07822</t>
  </si>
  <si>
    <t>Ekaru Jeniffer Grace</t>
  </si>
  <si>
    <t>Kakus</t>
  </si>
  <si>
    <t>UG-EAS-1909-07892</t>
  </si>
  <si>
    <t>Ochieng Tonny</t>
  </si>
  <si>
    <t>Amor-Gee</t>
  </si>
  <si>
    <t>UG-EAS-1909-08575</t>
  </si>
  <si>
    <t>Stephen  Mukweli M5 Limited</t>
  </si>
  <si>
    <t>Bunghoko</t>
  </si>
  <si>
    <t>UG-EAS-1909-09864</t>
  </si>
  <si>
    <t>Hardison Iwumbwe Suuda</t>
  </si>
  <si>
    <t>Namuwondo</t>
  </si>
  <si>
    <t>UG-EAS-1909-9851</t>
  </si>
  <si>
    <t>Oundo Ogutti</t>
  </si>
  <si>
    <t>Buhemba</t>
  </si>
  <si>
    <t>Dohwe west</t>
  </si>
  <si>
    <t>UG-EAS-1909-9854</t>
  </si>
  <si>
    <t>Guina Perepetwa</t>
  </si>
  <si>
    <t>UG-EAS-1909-9855</t>
  </si>
  <si>
    <t>Samya Fred</t>
  </si>
  <si>
    <t>UG-EAS-1909-9858</t>
  </si>
  <si>
    <t>Basembera Charles Dhatemwe</t>
  </si>
  <si>
    <t>Bukoyo c m s</t>
  </si>
  <si>
    <t>UG-EAS-1909-9861</t>
  </si>
  <si>
    <t>Twali Julius</t>
  </si>
  <si>
    <t>Mayunge town council</t>
  </si>
  <si>
    <t>Kasugu</t>
  </si>
  <si>
    <t>UG-EAS-1903-012161</t>
  </si>
  <si>
    <t>Wazunulwa Teddy</t>
  </si>
  <si>
    <t>Asureti</t>
  </si>
  <si>
    <t>Aureti</t>
  </si>
  <si>
    <t>Otatai</t>
  </si>
  <si>
    <t>UG-EAS-1909-9862</t>
  </si>
  <si>
    <t>Bajjanga Winnie Peninah</t>
  </si>
  <si>
    <t>Waibuga</t>
  </si>
  <si>
    <t>Maundo</t>
  </si>
  <si>
    <t>UG-EAS-1909-9865</t>
  </si>
  <si>
    <t>Wante Stephen</t>
  </si>
  <si>
    <t>Bugembe town council</t>
  </si>
  <si>
    <t>Nakanyonyi complex</t>
  </si>
  <si>
    <t>UG-EAS-1910-012118</t>
  </si>
  <si>
    <t>Sam Okello Arurut</t>
  </si>
  <si>
    <t>Aboche</t>
  </si>
  <si>
    <t>UG-EAS-1910-012120</t>
  </si>
  <si>
    <t>Eleicho Simon</t>
  </si>
  <si>
    <t>UG-EAS-1910-012169</t>
  </si>
  <si>
    <t>Mukhwana Isaac Stephen</t>
  </si>
  <si>
    <t>754054715/ 773189933</t>
  </si>
  <si>
    <t>Bunghoko south</t>
  </si>
  <si>
    <t>UG-EAS-1910-012170</t>
  </si>
  <si>
    <t>Wamono Jacob</t>
  </si>
  <si>
    <t>Bumasulye</t>
  </si>
  <si>
    <t>UG-EAS-1910-013754</t>
  </si>
  <si>
    <t>Lokawa Abraham Dove</t>
  </si>
  <si>
    <t>Ngoleriyet</t>
  </si>
  <si>
    <t>Naligoyi</t>
  </si>
  <si>
    <t>UG-EAS-1910-014062</t>
  </si>
  <si>
    <t>Salimo Fred</t>
  </si>
  <si>
    <t>Kapseror</t>
  </si>
  <si>
    <t>UG-EAS-1910-014063</t>
  </si>
  <si>
    <t>Busagat Moses</t>
  </si>
  <si>
    <t>Kapseneton</t>
  </si>
  <si>
    <t>UG-EAS-1910-9860</t>
  </si>
  <si>
    <t>Musambi Wambuga Juliet</t>
  </si>
  <si>
    <t>kamuli</t>
  </si>
  <si>
    <t>Buzaya</t>
  </si>
  <si>
    <t>Bubanga</t>
  </si>
  <si>
    <t>UG-EAS-1904-012299</t>
  </si>
  <si>
    <t>Kurong Husein</t>
  </si>
  <si>
    <t>34.232500</t>
  </si>
  <si>
    <t>Tulwo</t>
  </si>
  <si>
    <t>UG-EAS-1910-9868</t>
  </si>
  <si>
    <t>Kalange John Bezaaleri</t>
  </si>
  <si>
    <t>UG-EAS-1910-9869</t>
  </si>
  <si>
    <t>Mutibwa Antony</t>
  </si>
  <si>
    <t>Buyubu</t>
  </si>
  <si>
    <t>UG-EAS-1910-9870</t>
  </si>
  <si>
    <t>St. Benedict's Convent</t>
  </si>
  <si>
    <t>Wanyange lake</t>
  </si>
  <si>
    <t>UG-EAS-1910-9871</t>
  </si>
  <si>
    <t xml:space="preserve"> His care wesley Primary School</t>
  </si>
  <si>
    <t>Wandawa</t>
  </si>
  <si>
    <t>UG-EAS-1911-012111</t>
  </si>
  <si>
    <t>Okojoi Ben</t>
  </si>
  <si>
    <t>Oilotor</t>
  </si>
  <si>
    <t>UG-EAS-1911-012114</t>
  </si>
  <si>
    <t>Asina Amina</t>
  </si>
  <si>
    <t>Cell E</t>
  </si>
  <si>
    <t>UG-EAS-1911-012116</t>
  </si>
  <si>
    <t>Sage Filbert Ben Obalang</t>
  </si>
  <si>
    <t>Acowa</t>
  </si>
  <si>
    <t>Oribabai</t>
  </si>
  <si>
    <t>UG-EAS-1911-012125</t>
  </si>
  <si>
    <t>Abaka Joseph</t>
  </si>
  <si>
    <t>UG-EAS-1911-012127</t>
  </si>
  <si>
    <t>Enacu Moses</t>
  </si>
  <si>
    <t>UG-EAS-1911-012128</t>
  </si>
  <si>
    <t>Eliebu Samuel</t>
  </si>
  <si>
    <t>UG-EAS-1911-012168</t>
  </si>
  <si>
    <t>Bisagaya Edward</t>
  </si>
  <si>
    <t>UG-EAS-1911-012171</t>
  </si>
  <si>
    <t>Nathan Wamushiyi</t>
  </si>
  <si>
    <t>UG-EAS-1911-012219</t>
  </si>
  <si>
    <t>Simon Owere Ilado</t>
  </si>
  <si>
    <t>West budama north</t>
  </si>
  <si>
    <t>Pilado</t>
  </si>
  <si>
    <t>UG-EAS-1911-012221</t>
  </si>
  <si>
    <t>Kaboli Martin</t>
  </si>
  <si>
    <t>Bunabutwe</t>
  </si>
  <si>
    <t>Muchielo</t>
  </si>
  <si>
    <t>UG-EAS-1911-012222</t>
  </si>
  <si>
    <t>Obbo Joseph</t>
  </si>
  <si>
    <t>Meriket</t>
  </si>
  <si>
    <t>Kalugu</t>
  </si>
  <si>
    <t>UG-EAS-1911-013003</t>
  </si>
  <si>
    <t>Muzira Asaad</t>
  </si>
  <si>
    <t>Wambete</t>
  </si>
  <si>
    <t>UG-EAS-1911-013988</t>
  </si>
  <si>
    <t>Haduli Peter</t>
  </si>
  <si>
    <t>UG-EAS-1911-013990</t>
  </si>
  <si>
    <t>Ruhoke Monica</t>
  </si>
  <si>
    <t>Makotta</t>
  </si>
  <si>
    <t>UG-EAS-1911-014064</t>
  </si>
  <si>
    <t>Chebet Fazira Elizabeth</t>
  </si>
  <si>
    <t>Toror</t>
  </si>
  <si>
    <t>UG-EAS-1911-014065</t>
  </si>
  <si>
    <t>Mutai Solomon</t>
  </si>
  <si>
    <t>UG-EAS-1911-07349</t>
  </si>
  <si>
    <t>Mulinde Robbina</t>
  </si>
  <si>
    <t>Bunya west</t>
  </si>
  <si>
    <t>UG-EAS-1911-07823</t>
  </si>
  <si>
    <t>Ruth Nankya Ekaju</t>
  </si>
  <si>
    <t>Odukurun</t>
  </si>
  <si>
    <t>UG-EAS-1906-013760</t>
  </si>
  <si>
    <t>Longok Mariko</t>
  </si>
  <si>
    <t>Lonangata</t>
  </si>
  <si>
    <t>UG-EAS-1912-012126</t>
  </si>
  <si>
    <t>Atima Ruth Stella</t>
  </si>
  <si>
    <t>Ocokcan</t>
  </si>
  <si>
    <t>UG-EAS-1912-012218</t>
  </si>
  <si>
    <t>Silkei Micheal</t>
  </si>
  <si>
    <t>Dinya</t>
  </si>
  <si>
    <t>Rorok</t>
  </si>
  <si>
    <t>UG-EAS-1912-012220</t>
  </si>
  <si>
    <t>Wonyama Godfry</t>
  </si>
  <si>
    <t>Bumasikyi</t>
  </si>
  <si>
    <t>Toma upper</t>
  </si>
  <si>
    <t>UG-EAS-1912-012223</t>
  </si>
  <si>
    <t>Sangilila Farm Dairy</t>
  </si>
  <si>
    <t>Bughokho south</t>
  </si>
  <si>
    <t>Nashikhaso</t>
  </si>
  <si>
    <t>UG-EAS-1912-013996</t>
  </si>
  <si>
    <t xml:space="preserve">Samuel Singe </t>
  </si>
  <si>
    <t>0770612699</t>
  </si>
  <si>
    <t>Busonga</t>
  </si>
  <si>
    <t>UG-EAS-1912-014066</t>
  </si>
  <si>
    <t>Kanus Grace Topista</t>
  </si>
  <si>
    <t>Loch</t>
  </si>
  <si>
    <t>UG-EAS-1912-014067</t>
  </si>
  <si>
    <t>Nangoli Julius</t>
  </si>
  <si>
    <t>Lungoro</t>
  </si>
  <si>
    <t>UG-EAS-1912-014511</t>
  </si>
  <si>
    <t xml:space="preserve">Okware Devid </t>
  </si>
  <si>
    <t>0779469166</t>
  </si>
  <si>
    <t>Tira</t>
  </si>
  <si>
    <t>Aperu</t>
  </si>
  <si>
    <t>UG-EAS-1912-018454</t>
  </si>
  <si>
    <t xml:space="preserve">Ivaibi James </t>
  </si>
  <si>
    <t>0756152357</t>
  </si>
  <si>
    <t>Buwolero-Kizinga</t>
  </si>
  <si>
    <t>Kateu Juliet Brenda</t>
  </si>
  <si>
    <t>0772140228</t>
  </si>
  <si>
    <t>0772409158</t>
  </si>
  <si>
    <t>Butebu</t>
  </si>
  <si>
    <t>Kaberekeke</t>
  </si>
  <si>
    <t>UG-EAS-1912-06395</t>
  </si>
  <si>
    <t>Kateu Kepher</t>
  </si>
  <si>
    <t>UG-EAS-1912-07813</t>
  </si>
  <si>
    <t>Selestine Eyadu</t>
  </si>
  <si>
    <t>UG-EAS-1912-07819</t>
  </si>
  <si>
    <t>Lawerance Etengu</t>
  </si>
  <si>
    <t>Ocukai</t>
  </si>
  <si>
    <t>UG-EAS-1912-07829</t>
  </si>
  <si>
    <t xml:space="preserve">Ekiring Moses </t>
  </si>
  <si>
    <t>Coner</t>
  </si>
  <si>
    <t>UG-EAS-1912-07830</t>
  </si>
  <si>
    <t>Remy Emagalit Emongojel</t>
  </si>
  <si>
    <t>Tororo. S.</t>
  </si>
  <si>
    <t>Kwaapa</t>
  </si>
  <si>
    <t>Ogiroi. A.</t>
  </si>
  <si>
    <t>UG-EAS-1912-09875</t>
  </si>
  <si>
    <t>Bonny Ssengoba</t>
  </si>
  <si>
    <t>Kakira town council</t>
  </si>
  <si>
    <t>UG-EAS-1912-9874</t>
  </si>
  <si>
    <t>Nabona Wilberforce</t>
  </si>
  <si>
    <t>UG-EAS-1912-9877</t>
  </si>
  <si>
    <t xml:space="preserve">Wakulirawa Emmanuel </t>
  </si>
  <si>
    <t>0702531299</t>
  </si>
  <si>
    <t>0776007242</t>
  </si>
  <si>
    <t>UG-EAS-1912-9879</t>
  </si>
  <si>
    <t xml:space="preserve">Lidia Namwebya </t>
  </si>
  <si>
    <t>0776244631</t>
  </si>
  <si>
    <t>0703972490</t>
  </si>
  <si>
    <t>Ivukula</t>
  </si>
  <si>
    <t>Ivukula town</t>
  </si>
  <si>
    <t>UG-EAS-1912-9881</t>
  </si>
  <si>
    <t>Annet Naigaga</t>
  </si>
  <si>
    <t>Jinja Municipality</t>
  </si>
  <si>
    <t>Wariaka</t>
  </si>
  <si>
    <t>UG-EAS-1912-9882</t>
  </si>
  <si>
    <t>Waiswa Paul Kiswiriri</t>
  </si>
  <si>
    <t>07724881011</t>
  </si>
  <si>
    <t>UG-EAS-1912-9883</t>
  </si>
  <si>
    <t xml:space="preserve">Naikoba Lydia </t>
  </si>
  <si>
    <t>0784616664</t>
  </si>
  <si>
    <t>0703862683</t>
  </si>
  <si>
    <t>Kigulu north</t>
  </si>
  <si>
    <t>Kidaago B</t>
  </si>
  <si>
    <t>UG-EAS-1912-9884</t>
  </si>
  <si>
    <t xml:space="preserve">Wilson Bwire </t>
  </si>
  <si>
    <t>Muterere</t>
  </si>
  <si>
    <t>Namuntenga</t>
  </si>
  <si>
    <t>UG-EAS-2001-012130</t>
  </si>
  <si>
    <t xml:space="preserve">Geoffrey Ongera </t>
  </si>
  <si>
    <t>0789762305</t>
  </si>
  <si>
    <t>Oderai</t>
  </si>
  <si>
    <t>UG-EAS-2001-012132</t>
  </si>
  <si>
    <t>Augustin Oluga</t>
  </si>
  <si>
    <t>Amen A</t>
  </si>
  <si>
    <t>UG-EAS-2001-013043</t>
  </si>
  <si>
    <t xml:space="preserve">Mwanje Hakim </t>
  </si>
  <si>
    <t>0703131941</t>
  </si>
  <si>
    <t>Mazuba</t>
  </si>
  <si>
    <t>Mpologoma</t>
  </si>
  <si>
    <t>UG-EAS-2001-013045</t>
  </si>
  <si>
    <t xml:space="preserve">Muzamiru Poya </t>
  </si>
  <si>
    <t>0774842730</t>
  </si>
  <si>
    <t>Magadda</t>
  </si>
  <si>
    <t>UG-EAS-2001-014068</t>
  </si>
  <si>
    <t xml:space="preserve">Musobo Leonard </t>
  </si>
  <si>
    <t>0772812991</t>
  </si>
  <si>
    <t>0757598572</t>
  </si>
  <si>
    <t>UG-EAS-2001-014069</t>
  </si>
  <si>
    <t xml:space="preserve">Namono Margret </t>
  </si>
  <si>
    <t>0703829745</t>
  </si>
  <si>
    <t>0778347806</t>
  </si>
  <si>
    <t>Maluku</t>
  </si>
  <si>
    <t>UG-EAS-2001-014070</t>
  </si>
  <si>
    <t>Yariwo Bukose Juliet</t>
  </si>
  <si>
    <t>Katongo</t>
  </si>
  <si>
    <t>UG-EAS-1907-014331</t>
  </si>
  <si>
    <t>Makabai Hentry</t>
  </si>
  <si>
    <t>Kabeya</t>
  </si>
  <si>
    <t>Tangwen</t>
  </si>
  <si>
    <t>UG-EAS-2001-06248</t>
  </si>
  <si>
    <t>Watiti Masokoyi Jackson</t>
  </si>
  <si>
    <t>0772939684</t>
  </si>
  <si>
    <t>Bumwambu</t>
  </si>
  <si>
    <t>UG-EAS-2002-012133</t>
  </si>
  <si>
    <t>Abraham Otuya Emmanuel</t>
  </si>
  <si>
    <t>Aloet akum</t>
  </si>
  <si>
    <t>UG-EAS-2002-013044</t>
  </si>
  <si>
    <t xml:space="preserve">Timugibwa Esereda </t>
  </si>
  <si>
    <t>0787636658</t>
  </si>
  <si>
    <t>Irwaniro</t>
  </si>
  <si>
    <t>UG-EAS-2002-013046</t>
  </si>
  <si>
    <t xml:space="preserve">Kabweru Peter </t>
  </si>
  <si>
    <t>0752124743</t>
  </si>
  <si>
    <t>Nawansekese</t>
  </si>
  <si>
    <t>UG-EAS-2002-12135</t>
  </si>
  <si>
    <t>William Irotot George</t>
  </si>
  <si>
    <t>0773441650</t>
  </si>
  <si>
    <t>Abelet</t>
  </si>
  <si>
    <t>UG-EAS-2002-9885</t>
  </si>
  <si>
    <t xml:space="preserve">Waiswa Mwanja </t>
  </si>
  <si>
    <t>Budyope east</t>
  </si>
  <si>
    <t>Kinamaiga</t>
  </si>
  <si>
    <t>UG-EAS-2003-012224</t>
  </si>
  <si>
    <t xml:space="preserve">Nagabo Robert </t>
  </si>
  <si>
    <t>0778181403</t>
  </si>
  <si>
    <t>UG-EAS-2003-012226</t>
  </si>
  <si>
    <t xml:space="preserve">Wekanda Fred </t>
  </si>
  <si>
    <t>0773574647</t>
  </si>
  <si>
    <t>Bumugoya</t>
  </si>
  <si>
    <t>UG-EAS-2003-012227</t>
  </si>
  <si>
    <t xml:space="preserve">Wadeya Damasiko </t>
  </si>
  <si>
    <t>0773293211</t>
  </si>
  <si>
    <t>Namayiga</t>
  </si>
  <si>
    <t>UG-EAS-2003-012228</t>
  </si>
  <si>
    <t xml:space="preserve">Nambukonde Teddy </t>
  </si>
  <si>
    <t>0750601164</t>
  </si>
  <si>
    <t>UG-EAS-1907-07818</t>
  </si>
  <si>
    <t>St Theresa Catholic Parish</t>
  </si>
  <si>
    <t>UG-EAS-2003-012230</t>
  </si>
  <si>
    <t>Owere Odumbi Bornfence</t>
  </si>
  <si>
    <t>Chukuluki B</t>
  </si>
  <si>
    <t>UG-EAS-2003-014071</t>
  </si>
  <si>
    <t xml:space="preserve">Bushendich James </t>
  </si>
  <si>
    <t>Kamatenybei</t>
  </si>
  <si>
    <t xml:space="preserve">Namayisi Stephen </t>
  </si>
  <si>
    <t>Bukitti A</t>
  </si>
  <si>
    <t>UG-EAS-2003-08150</t>
  </si>
  <si>
    <t xml:space="preserve">Namulondo Beatrice </t>
  </si>
  <si>
    <t>256702927993</t>
  </si>
  <si>
    <t>Kamuli min.</t>
  </si>
  <si>
    <t>North division</t>
  </si>
  <si>
    <t>Lufulandizi</t>
  </si>
  <si>
    <t>Baleese Organic</t>
  </si>
  <si>
    <t>UG-EAS-2003-9887</t>
  </si>
  <si>
    <t>Nyanzi Ruth Katende</t>
  </si>
  <si>
    <t>Musoli</t>
  </si>
  <si>
    <t>UG-EAS-2003-9888</t>
  </si>
  <si>
    <t xml:space="preserve">Kitabye Isaac </t>
  </si>
  <si>
    <t>Busiti</t>
  </si>
  <si>
    <t>UG-EAS-1907-9890</t>
  </si>
  <si>
    <t>St John's SS Wakitaka (plant 1)</t>
  </si>
  <si>
    <t>UG-EAS-2004-012232</t>
  </si>
  <si>
    <t xml:space="preserve">Asyep David </t>
  </si>
  <si>
    <t>Pojulo</t>
  </si>
  <si>
    <t>UG-EAS-2005-012136</t>
  </si>
  <si>
    <t xml:space="preserve">Fastino Okiro </t>
  </si>
  <si>
    <t>0756334250/0778121160</t>
  </si>
  <si>
    <t>Ajeleik</t>
  </si>
  <si>
    <t>UG-EAS-2005-012172</t>
  </si>
  <si>
    <t xml:space="preserve">Naugimbi Amina </t>
  </si>
  <si>
    <t>Mukanga</t>
  </si>
  <si>
    <t>UG-EAS-2005-012231</t>
  </si>
  <si>
    <t xml:space="preserve">Ingoi Emmanuel </t>
  </si>
  <si>
    <t>0783977326</t>
  </si>
  <si>
    <t>0759348715</t>
  </si>
  <si>
    <t>Budadir west</t>
  </si>
  <si>
    <t>Sironko TC</t>
  </si>
  <si>
    <t>Lubago</t>
  </si>
  <si>
    <t>UG-EAS-2005-012355</t>
  </si>
  <si>
    <t>Ebanu Donath Eduro</t>
  </si>
  <si>
    <t>0753613908</t>
  </si>
  <si>
    <t>Gome/omoru</t>
  </si>
  <si>
    <t>UG-EAS-2005-07753</t>
  </si>
  <si>
    <t xml:space="preserve">Ecwaku Patrick </t>
  </si>
  <si>
    <t>256786566562</t>
  </si>
  <si>
    <t>UG-EAS-2005-07755</t>
  </si>
  <si>
    <t>Acibu Jacob Epwonu</t>
  </si>
  <si>
    <t>256789007337</t>
  </si>
  <si>
    <t>Olimai</t>
  </si>
  <si>
    <t>UG-EAS-2005-07756</t>
  </si>
  <si>
    <t xml:space="preserve">Opejo Joseph </t>
  </si>
  <si>
    <t>25677496204</t>
  </si>
  <si>
    <t>Odukai</t>
  </si>
  <si>
    <t>UG-EAS-2006-012233</t>
  </si>
  <si>
    <t>Negule Namuhoma Suzan</t>
  </si>
  <si>
    <t>0782329960</t>
  </si>
  <si>
    <t>0704612451</t>
  </si>
  <si>
    <t>Mafudu</t>
  </si>
  <si>
    <t>UG-EAS-2006-07752</t>
  </si>
  <si>
    <t>Buuyi Benard Buziba</t>
  </si>
  <si>
    <t>0771832863</t>
  </si>
  <si>
    <t>Elgon North</t>
  </si>
  <si>
    <t>Nalunghoro</t>
  </si>
  <si>
    <t>UG-EAS-2006-9891</t>
  </si>
  <si>
    <t>Nakabango district farm jinja</t>
  </si>
  <si>
    <t>256706519330</t>
  </si>
  <si>
    <t>256776427139</t>
  </si>
  <si>
    <t>UG-EAS-2006-9892</t>
  </si>
  <si>
    <t>Ibanda Henry Richard</t>
  </si>
  <si>
    <t>256782149831</t>
  </si>
  <si>
    <t>256703323414</t>
  </si>
  <si>
    <t>Kakira town cpuncil</t>
  </si>
  <si>
    <t>UG-EAS-2006-9893</t>
  </si>
  <si>
    <t xml:space="preserve">Namukobe Agnes </t>
  </si>
  <si>
    <t>UG-EAS-1908-014342</t>
  </si>
  <si>
    <t>Webisa James</t>
  </si>
  <si>
    <t>UG-EAS-2007-012138</t>
  </si>
  <si>
    <t xml:space="preserve">Samuel Edonyu </t>
  </si>
  <si>
    <t>0771258900</t>
  </si>
  <si>
    <t>Governor</t>
  </si>
  <si>
    <t>UG-EAS-2007-012173</t>
  </si>
  <si>
    <t xml:space="preserve">Kenneth Masaba </t>
  </si>
  <si>
    <t>0789981072</t>
  </si>
  <si>
    <t>UG-EAS-2007-018481</t>
  </si>
  <si>
    <t xml:space="preserve">Kakuta Geofrey </t>
  </si>
  <si>
    <t>0782524060</t>
  </si>
  <si>
    <t>Masese</t>
  </si>
  <si>
    <t>Jinja city</t>
  </si>
  <si>
    <t>Masese Victoria Close</t>
  </si>
  <si>
    <t>UG-EAS-2007-07212</t>
  </si>
  <si>
    <t>Bakama Betty FRED Kafuma</t>
  </si>
  <si>
    <t>0772630127</t>
  </si>
  <si>
    <t>Sabawali</t>
  </si>
  <si>
    <t>Kiwolera</t>
  </si>
  <si>
    <t>UG-EAS-2007-07213</t>
  </si>
  <si>
    <t>Kozala George</t>
  </si>
  <si>
    <t>0705105102</t>
  </si>
  <si>
    <t>Bugwala north</t>
  </si>
  <si>
    <t>UG-EAS-2007-07751</t>
  </si>
  <si>
    <t xml:space="preserve">Woniala Geofrey </t>
  </si>
  <si>
    <t>0701080245</t>
  </si>
  <si>
    <t>Makoba</t>
  </si>
  <si>
    <t>UG-EAS-2007-9894</t>
  </si>
  <si>
    <t xml:space="preserve">Fredrick Kakuuma </t>
  </si>
  <si>
    <t>0702347276</t>
  </si>
  <si>
    <t>Kinampeere</t>
  </si>
  <si>
    <t>UG-EAS-2007-9895</t>
  </si>
  <si>
    <t xml:space="preserve">Byakika Willison </t>
  </si>
  <si>
    <t>Namagela</t>
  </si>
  <si>
    <t>UG-EAS-2007-9897</t>
  </si>
  <si>
    <t>Nadiope Wiliam Goerge</t>
  </si>
  <si>
    <t>Musima</t>
  </si>
  <si>
    <t>UG-EAS-2007-9898</t>
  </si>
  <si>
    <t xml:space="preserve">Dr kasadha Tom </t>
  </si>
  <si>
    <t>Magwa</t>
  </si>
  <si>
    <t>UG-EAS-2007-9899</t>
  </si>
  <si>
    <t>Mrs Okware Annastanzia Namudo</t>
  </si>
  <si>
    <t>0784324432</t>
  </si>
  <si>
    <t>Butiki Kyekidde</t>
  </si>
  <si>
    <t>UG-EAS-2008-012174</t>
  </si>
  <si>
    <t xml:space="preserve">Stuma Jerome </t>
  </si>
  <si>
    <t>Bukuto</t>
  </si>
  <si>
    <t>UG-EAS-2008-013101</t>
  </si>
  <si>
    <t xml:space="preserve">Edipu Judith </t>
  </si>
  <si>
    <t>Komuge</t>
  </si>
  <si>
    <t>kawo kakira</t>
  </si>
  <si>
    <t>UG-EAS-2008-017820</t>
  </si>
  <si>
    <t xml:space="preserve">Magero Stephen </t>
  </si>
  <si>
    <t>0772453699</t>
  </si>
  <si>
    <t>Samiabugwe north</t>
  </si>
  <si>
    <t>Buwolwa East</t>
  </si>
  <si>
    <t>UG-EAS-2008-07214</t>
  </si>
  <si>
    <t xml:space="preserve">Kalulu Enosi </t>
  </si>
  <si>
    <t>0771805056</t>
  </si>
  <si>
    <t>Kagulu mpanga</t>
  </si>
  <si>
    <t>UG-EAS-1908-9857</t>
  </si>
  <si>
    <t>Mwesigwa Samuel Wagaba Plant 2</t>
  </si>
  <si>
    <t>UG-EAS-2009-018482</t>
  </si>
  <si>
    <t xml:space="preserve">Wamukota Moses </t>
  </si>
  <si>
    <t>UG-EAS-1909- 9863</t>
  </si>
  <si>
    <t>Duse Abudallah</t>
  </si>
  <si>
    <t>Mayuge town council</t>
  </si>
  <si>
    <t>Dwaliro</t>
  </si>
  <si>
    <t>UG-EAS-2009-018485</t>
  </si>
  <si>
    <t>Lugwire Godfrey Diego</t>
  </si>
  <si>
    <t>Buwoira</t>
  </si>
  <si>
    <t>UG-EAS-2009-07754</t>
  </si>
  <si>
    <t xml:space="preserve">Adoyo Christine </t>
  </si>
  <si>
    <t>0774933771</t>
  </si>
  <si>
    <t>Omagoro 2</t>
  </si>
  <si>
    <t>UG-EAS-2009-07765</t>
  </si>
  <si>
    <t xml:space="preserve">Nelima Caroline </t>
  </si>
  <si>
    <t>07781120292</t>
  </si>
  <si>
    <t>Nagudi</t>
  </si>
  <si>
    <t>UG-EAS-2009-07766</t>
  </si>
  <si>
    <t xml:space="preserve">Nabubolo Cosmas </t>
  </si>
  <si>
    <t>0705771335</t>
  </si>
  <si>
    <t>UG-EAS-2009-07767</t>
  </si>
  <si>
    <t xml:space="preserve">Musooli John </t>
  </si>
  <si>
    <t>0703134558</t>
  </si>
  <si>
    <t>Suguta B</t>
  </si>
  <si>
    <t>UG-EAS-2010-013851</t>
  </si>
  <si>
    <t xml:space="preserve">Musoke Sharif </t>
  </si>
  <si>
    <t>UG-EAS-2010-013852</t>
  </si>
  <si>
    <t xml:space="preserve">Dr were Christopher </t>
  </si>
  <si>
    <t>Bugiri minicipality</t>
  </si>
  <si>
    <t>Busanzi</t>
  </si>
  <si>
    <t>UG-EAS-2010-07773</t>
  </si>
  <si>
    <t xml:space="preserve">Elomunait David </t>
  </si>
  <si>
    <t>+256789021385</t>
  </si>
  <si>
    <t>0789021385</t>
  </si>
  <si>
    <t>Kaler</t>
  </si>
  <si>
    <t>Apuwai</t>
  </si>
  <si>
    <t>UG-EAS-2011-013853</t>
  </si>
  <si>
    <t>Mugereza Mutwalib Abdu</t>
  </si>
  <si>
    <t>256757822494</t>
  </si>
  <si>
    <t>256782507728</t>
  </si>
  <si>
    <t>UG-EAS-2011-013854</t>
  </si>
  <si>
    <t xml:space="preserve">Kairania Sabastian </t>
  </si>
  <si>
    <t>0701533700</t>
  </si>
  <si>
    <t>0772533700</t>
  </si>
  <si>
    <t>Bugiri Municipality</t>
  </si>
  <si>
    <t>Butambula</t>
  </si>
  <si>
    <t>UG-EAS-2011-013855</t>
  </si>
  <si>
    <t>Mrs Kanseka Florence Kirya</t>
  </si>
  <si>
    <t>256772030095</t>
  </si>
  <si>
    <t>DFI</t>
  </si>
  <si>
    <t>UG-EAS-2011-014072</t>
  </si>
  <si>
    <t xml:space="preserve">Cheshari Collins </t>
  </si>
  <si>
    <t>0777178532</t>
  </si>
  <si>
    <t>UG-EAS-2011-07763</t>
  </si>
  <si>
    <t xml:space="preserve">Aguti Deborah </t>
  </si>
  <si>
    <t>0775149042</t>
  </si>
  <si>
    <t>Atekwa</t>
  </si>
  <si>
    <t>UG-EAS-2012-013103</t>
  </si>
  <si>
    <t>Mzee Togo Joseph</t>
  </si>
  <si>
    <t>0771601776</t>
  </si>
  <si>
    <t>0703697899</t>
  </si>
  <si>
    <t>Budadir West</t>
  </si>
  <si>
    <t>Konta</t>
  </si>
  <si>
    <t>UG-EAS-2012-013856</t>
  </si>
  <si>
    <t xml:space="preserve">Wako Rakibu </t>
  </si>
  <si>
    <t>256758190926</t>
  </si>
  <si>
    <t>256772190926</t>
  </si>
  <si>
    <t>Wairaka b</t>
  </si>
  <si>
    <t>UG-EAS-2012-07768</t>
  </si>
  <si>
    <t xml:space="preserve">Wanzira Samuel </t>
  </si>
  <si>
    <t>0702536724</t>
  </si>
  <si>
    <t>Kitagalu</t>
  </si>
  <si>
    <t>UG-EAS-2101-012140</t>
  </si>
  <si>
    <t xml:space="preserve">Sam Okiror </t>
  </si>
  <si>
    <t>0783714511</t>
  </si>
  <si>
    <t>UG-EAS-2101-012141</t>
  </si>
  <si>
    <t>Luther Anukur Bios</t>
  </si>
  <si>
    <t>0781990152</t>
  </si>
  <si>
    <t>Mairimukanga</t>
  </si>
  <si>
    <t>UG-EAS-2101-013104</t>
  </si>
  <si>
    <t>Happy Kumi Home</t>
  </si>
  <si>
    <t>0776123456</t>
  </si>
  <si>
    <t>0776300122</t>
  </si>
  <si>
    <t>Kumu</t>
  </si>
  <si>
    <t>UG-EAS-2101-013857</t>
  </si>
  <si>
    <t xml:space="preserve">Suuna Franco </t>
  </si>
  <si>
    <t>0755012364</t>
  </si>
  <si>
    <t>0784738484</t>
  </si>
  <si>
    <t>UG-EAS-1909-07758</t>
  </si>
  <si>
    <t>Uganda  Matrys Vocational Institute 2</t>
  </si>
  <si>
    <t>UG-EAS-2101-07769</t>
  </si>
  <si>
    <t xml:space="preserve">Andiki Babara </t>
  </si>
  <si>
    <t>0774191900</t>
  </si>
  <si>
    <t>0775221589</t>
  </si>
  <si>
    <t>Budaka East</t>
  </si>
  <si>
    <t>Migiti</t>
  </si>
  <si>
    <t>Nasenyi</t>
  </si>
  <si>
    <t>UG-EAS-2102-013858</t>
  </si>
  <si>
    <t xml:space="preserve">Migero George </t>
  </si>
  <si>
    <t>+256751161292</t>
  </si>
  <si>
    <t>0785276645</t>
  </si>
  <si>
    <t>Bukooli north</t>
  </si>
  <si>
    <t>Nabukalu town council</t>
  </si>
  <si>
    <t>Buchansiko</t>
  </si>
  <si>
    <t>UG-EAS-2102-017948</t>
  </si>
  <si>
    <t>Esther Kiwala Patience</t>
  </si>
  <si>
    <t>+256782670693</t>
  </si>
  <si>
    <t>0782670693</t>
  </si>
  <si>
    <t>Budatemwa</t>
  </si>
  <si>
    <t>UG-EAS-2102-07774</t>
  </si>
  <si>
    <t xml:space="preserve">Ekukut Yokosofati </t>
  </si>
  <si>
    <t>+256772609425</t>
  </si>
  <si>
    <t>0784567933</t>
  </si>
  <si>
    <t>Kangole</t>
  </si>
  <si>
    <t>Kaleu</t>
  </si>
  <si>
    <t>UG-EAS-2103-013859</t>
  </si>
  <si>
    <t xml:space="preserve">Ibuni hajari primary school </t>
  </si>
  <si>
    <t>0750797415</t>
  </si>
  <si>
    <t>0702407371</t>
  </si>
  <si>
    <t>Idudi town council</t>
  </si>
  <si>
    <t>Kikunyu</t>
  </si>
  <si>
    <t xml:space="preserve">John Ogire </t>
  </si>
  <si>
    <t>Aten</t>
  </si>
  <si>
    <t>UG-EAS-2103-07778</t>
  </si>
  <si>
    <t xml:space="preserve">Makoba James </t>
  </si>
  <si>
    <t>0706418544</t>
  </si>
  <si>
    <t>0788987832</t>
  </si>
  <si>
    <t>Gabutagani</t>
  </si>
  <si>
    <t>UG-EAS-2104-018435</t>
  </si>
  <si>
    <t xml:space="preserve">Bakaki Paul </t>
  </si>
  <si>
    <t>0706619071</t>
  </si>
  <si>
    <t>0783530284</t>
  </si>
  <si>
    <t>Namukooge</t>
  </si>
  <si>
    <t>UG-EAS-2105-012176</t>
  </si>
  <si>
    <t xml:space="preserve">Ahamed Washaki </t>
  </si>
  <si>
    <t>UG-EAS-2105-013105</t>
  </si>
  <si>
    <t>Andrew Othieno Crispine</t>
  </si>
  <si>
    <t>0781597528</t>
  </si>
  <si>
    <t>0704288739</t>
  </si>
  <si>
    <t>UG-EAS-2105-013106</t>
  </si>
  <si>
    <t xml:space="preserve">Neto Augustine </t>
  </si>
  <si>
    <t>0773663516</t>
  </si>
  <si>
    <t>0758083457</t>
  </si>
  <si>
    <t>Idudi</t>
  </si>
  <si>
    <t>Chikuno</t>
  </si>
  <si>
    <t>UG-EAS-2105-07777</t>
  </si>
  <si>
    <t xml:space="preserve">Kusuro Francis </t>
  </si>
  <si>
    <t>0701639486</t>
  </si>
  <si>
    <t>0775973809</t>
  </si>
  <si>
    <t>UG-EAS-2105-07779</t>
  </si>
  <si>
    <t xml:space="preserve">Yeko Patricia </t>
  </si>
  <si>
    <t>0702732567</t>
  </si>
  <si>
    <t>0787509583</t>
  </si>
  <si>
    <t>Sowos</t>
  </si>
  <si>
    <t>UG-EAS-2105-07780</t>
  </si>
  <si>
    <t xml:space="preserve">Soyekwo William </t>
  </si>
  <si>
    <t>0702696090</t>
  </si>
  <si>
    <t>0788169387</t>
  </si>
  <si>
    <t>UG-EAS-2105-07781</t>
  </si>
  <si>
    <t xml:space="preserve">Kiisa Charles </t>
  </si>
  <si>
    <t>0779330537</t>
  </si>
  <si>
    <t>0778537716</t>
  </si>
  <si>
    <t>UG-EAS-1910-012121</t>
  </si>
  <si>
    <t>Otai John Justin</t>
  </si>
  <si>
    <t>Kasilo town council</t>
  </si>
  <si>
    <t>UG-EAS-1910-012122</t>
  </si>
  <si>
    <t>Okoik Tom David</t>
  </si>
  <si>
    <t>UG-EAS-1910-012123</t>
  </si>
  <si>
    <t>Ogire Richard</t>
  </si>
  <si>
    <t>UG-EAS-2105-07782</t>
  </si>
  <si>
    <t xml:space="preserve">Kokop Eramu </t>
  </si>
  <si>
    <t>0782857084</t>
  </si>
  <si>
    <t>Kwabus</t>
  </si>
  <si>
    <t>UG-EAS-2105-07783</t>
  </si>
  <si>
    <t xml:space="preserve">Takwar Eric </t>
  </si>
  <si>
    <t>0785203506</t>
  </si>
  <si>
    <t>Rwandet</t>
  </si>
  <si>
    <t>UG-EAS-2105-07784</t>
  </si>
  <si>
    <t>Mayek Patrick Chebukwo</t>
  </si>
  <si>
    <t>0777226678</t>
  </si>
  <si>
    <t>0759387212</t>
  </si>
  <si>
    <t>Kongasis/T'oo</t>
  </si>
  <si>
    <t>UG-EAS-2105-07785</t>
  </si>
  <si>
    <t xml:space="preserve">Sikoria Alex </t>
  </si>
  <si>
    <t>Mayak</t>
  </si>
  <si>
    <t>UG-EAS-2105-07786</t>
  </si>
  <si>
    <t xml:space="preserve">Chemonges Simon </t>
  </si>
  <si>
    <t>0779826026</t>
  </si>
  <si>
    <t>T'oo</t>
  </si>
  <si>
    <t>UG-EAS-2106-012142</t>
  </si>
  <si>
    <t xml:space="preserve">John Etanu </t>
  </si>
  <si>
    <t>0774995838</t>
  </si>
  <si>
    <t>UG-EAS-2106-012143</t>
  </si>
  <si>
    <t xml:space="preserve">Lukande Allan </t>
  </si>
  <si>
    <t>Bumulisha</t>
  </si>
  <si>
    <t>Lubido</t>
  </si>
  <si>
    <t>UG-EAS-2106-012175</t>
  </si>
  <si>
    <t>Musota Ruth Mulamuzi</t>
  </si>
  <si>
    <t>Nambaale</t>
  </si>
  <si>
    <t>Nambaale/nabutovu</t>
  </si>
  <si>
    <t>UG-EAS-2106-012177</t>
  </si>
  <si>
    <t xml:space="preserve">Simiyu Gidion(Dr) </t>
  </si>
  <si>
    <t>Nothern Divion</t>
  </si>
  <si>
    <t>Northern Divion</t>
  </si>
  <si>
    <t>UG-EAS-2106-018494</t>
  </si>
  <si>
    <t xml:space="preserve">Nabbala Fredrick </t>
  </si>
  <si>
    <t>0758987859</t>
  </si>
  <si>
    <t>Nabilama</t>
  </si>
  <si>
    <t xml:space="preserve">Abiro Joyce </t>
  </si>
  <si>
    <t>Ococia</t>
  </si>
  <si>
    <t>Gwetom</t>
  </si>
  <si>
    <t>UG-EAS-2106-07790</t>
  </si>
  <si>
    <t xml:space="preserve">Labu Sophie </t>
  </si>
  <si>
    <t>UG-EAS-2107-012178</t>
  </si>
  <si>
    <t xml:space="preserve">Kenneth Khatuli </t>
  </si>
  <si>
    <t>0773173197</t>
  </si>
  <si>
    <t>Namini</t>
  </si>
  <si>
    <t>UG-EAS-2108-012144</t>
  </si>
  <si>
    <t>Samuel Odeta Omino</t>
  </si>
  <si>
    <t>0772448588</t>
  </si>
  <si>
    <t>Omiroo</t>
  </si>
  <si>
    <t>UG-EAS-2108-012145</t>
  </si>
  <si>
    <t xml:space="preserve">Joseph Okiror </t>
  </si>
  <si>
    <t>0782112805</t>
  </si>
  <si>
    <t>0777525570</t>
  </si>
  <si>
    <t>Kelim</t>
  </si>
  <si>
    <t>UG-EAS-2108-012179</t>
  </si>
  <si>
    <t>Waniaye Safiyi Nasasa</t>
  </si>
  <si>
    <t>0774015624</t>
  </si>
  <si>
    <t>Bungokho north</t>
  </si>
  <si>
    <t>Mukhuwa</t>
  </si>
  <si>
    <t>UG-EAS-2108-013108</t>
  </si>
  <si>
    <t>Oketcho Stephen John</t>
  </si>
  <si>
    <t>0776168841</t>
  </si>
  <si>
    <t>0752389615</t>
  </si>
  <si>
    <t>Nangongera</t>
  </si>
  <si>
    <t>Okuta central</t>
  </si>
  <si>
    <t>UG-EAS-2108-013863</t>
  </si>
  <si>
    <t xml:space="preserve">Waiswa Amuza </t>
  </si>
  <si>
    <t>0752818939</t>
  </si>
  <si>
    <t>0774328039</t>
  </si>
  <si>
    <t>UG-EAS-2108-021663</t>
  </si>
  <si>
    <t>Kiiza Kaluya Andrew</t>
  </si>
  <si>
    <t>0772418035</t>
  </si>
  <si>
    <t>UG-EAS-2108-07787</t>
  </si>
  <si>
    <t>Okau Mike Jones</t>
  </si>
  <si>
    <t>0785974608</t>
  </si>
  <si>
    <t>Town council - Ongino</t>
  </si>
  <si>
    <t>UG-EAS-2108-07788</t>
  </si>
  <si>
    <t xml:space="preserve">Obware George </t>
  </si>
  <si>
    <t>0782514577</t>
  </si>
  <si>
    <t>Ojeburun</t>
  </si>
  <si>
    <t>UG-EAS-2108-07789</t>
  </si>
  <si>
    <t>Zekatawa Isaac Matui</t>
  </si>
  <si>
    <t>0782600011</t>
  </si>
  <si>
    <t>Kapnarkut</t>
  </si>
  <si>
    <t>Chemwom</t>
  </si>
  <si>
    <t>UG-EAS-2108-08151</t>
  </si>
  <si>
    <t>Achieng Norah Robonah</t>
  </si>
  <si>
    <t>0772871404</t>
  </si>
  <si>
    <t>0702077703</t>
  </si>
  <si>
    <t>Buzika B</t>
  </si>
  <si>
    <t>BALEESE ORGANIC</t>
  </si>
  <si>
    <t>Kadowe John</t>
  </si>
  <si>
    <t>0703032454</t>
  </si>
  <si>
    <t>0781772064</t>
  </si>
  <si>
    <t>UG-EAS-2109-012146</t>
  </si>
  <si>
    <t>Rebecca Buziba Opio</t>
  </si>
  <si>
    <t>0754079777</t>
  </si>
  <si>
    <t>0703923848</t>
  </si>
  <si>
    <t>Acawoi</t>
  </si>
  <si>
    <t>UG-EAS-2109-012180</t>
  </si>
  <si>
    <t xml:space="preserve">Waneloba Loy </t>
  </si>
  <si>
    <t>0788607196</t>
  </si>
  <si>
    <t>Nangalwa/Khabutala</t>
  </si>
  <si>
    <t>Nangalwa/Bunabiro</t>
  </si>
  <si>
    <t>UG-EAS-2109-013765</t>
  </si>
  <si>
    <t xml:space="preserve">Lokong Samuel </t>
  </si>
  <si>
    <t>0774631642</t>
  </si>
  <si>
    <t>UG-EAS-2109-013766</t>
  </si>
  <si>
    <t xml:space="preserve">ODONGO Martin </t>
  </si>
  <si>
    <t>0772926361</t>
  </si>
  <si>
    <t>0777728573</t>
  </si>
  <si>
    <t>Naitakwei</t>
  </si>
  <si>
    <t>UG-EAS-2109-013767</t>
  </si>
  <si>
    <t xml:space="preserve">Ogole Gino </t>
  </si>
  <si>
    <t>0786003464</t>
  </si>
  <si>
    <t>0778209560</t>
  </si>
  <si>
    <t>Loputiput</t>
  </si>
  <si>
    <t>UG-EAS-2109-013768</t>
  </si>
  <si>
    <t xml:space="preserve">Lomonyang Jeremy </t>
  </si>
  <si>
    <t>0778525659</t>
  </si>
  <si>
    <t>Nakapelimen</t>
  </si>
  <si>
    <t>UG-EAS-2109-013769</t>
  </si>
  <si>
    <t xml:space="preserve">Lokoli Anthony </t>
  </si>
  <si>
    <t>0760750902</t>
  </si>
  <si>
    <t>Lotirir</t>
  </si>
  <si>
    <t>UG-EAS-2109-013770</t>
  </si>
  <si>
    <t xml:space="preserve">Lolem Peter </t>
  </si>
  <si>
    <t>0789416165</t>
  </si>
  <si>
    <t>Kambizi</t>
  </si>
  <si>
    <t>UG-EAS-2109-013771</t>
  </si>
  <si>
    <t xml:space="preserve">Lomongin Emmanuel </t>
  </si>
  <si>
    <t>0774432966</t>
  </si>
  <si>
    <t>Loolim</t>
  </si>
  <si>
    <t>UG-EAS-2109-013773</t>
  </si>
  <si>
    <t xml:space="preserve">Logir John </t>
  </si>
  <si>
    <t>0787776362</t>
  </si>
  <si>
    <t>0772164646</t>
  </si>
  <si>
    <t>UG-EAS-2109-013774</t>
  </si>
  <si>
    <t xml:space="preserve">Korobe Peter </t>
  </si>
  <si>
    <t>Noronit</t>
  </si>
  <si>
    <t>UG-EAS-2109-013775</t>
  </si>
  <si>
    <t xml:space="preserve">Ichumar Albine </t>
  </si>
  <si>
    <t>0776928668</t>
  </si>
  <si>
    <t>Kalokengel</t>
  </si>
  <si>
    <t>UG-EAS-2109-013776</t>
  </si>
  <si>
    <t xml:space="preserve">Kodet Simon </t>
  </si>
  <si>
    <t>0775180823</t>
  </si>
  <si>
    <t>Lopuu</t>
  </si>
  <si>
    <t>UG-EAS-2109-013777</t>
  </si>
  <si>
    <t xml:space="preserve">Otita Locholo </t>
  </si>
  <si>
    <t>0760921908</t>
  </si>
  <si>
    <t>UG-EAS-1912-018460</t>
  </si>
  <si>
    <t>Namusobya Betty Sarafinah</t>
  </si>
  <si>
    <t>0755857759</t>
  </si>
  <si>
    <t>Magagama Town council</t>
  </si>
  <si>
    <t>Wabulogo A</t>
  </si>
  <si>
    <t>UG-EAS-2109-013778</t>
  </si>
  <si>
    <t xml:space="preserve">Ndolov Abraham </t>
  </si>
  <si>
    <t>0771751731</t>
  </si>
  <si>
    <t>UG-EAS-2109-013779</t>
  </si>
  <si>
    <t xml:space="preserve">Adero Rose </t>
  </si>
  <si>
    <t>0772821560</t>
  </si>
  <si>
    <t>UG-EAS-2109-07792</t>
  </si>
  <si>
    <t xml:space="preserve">Ecunyu Francis </t>
  </si>
  <si>
    <t>0772627449</t>
  </si>
  <si>
    <t>Agulei - Abatai</t>
  </si>
  <si>
    <t>UG-EAS-2110-012147</t>
  </si>
  <si>
    <t xml:space="preserve">Stella Asio </t>
  </si>
  <si>
    <t>0754327313</t>
  </si>
  <si>
    <t>0758525911</t>
  </si>
  <si>
    <t>UG-EAS-2110-012181</t>
  </si>
  <si>
    <t xml:space="preserve">Wamono Jolly </t>
  </si>
  <si>
    <t>0774453591</t>
  </si>
  <si>
    <t>UG-EAS-2110-013111</t>
  </si>
  <si>
    <t xml:space="preserve">Janat Bugosi </t>
  </si>
  <si>
    <t>0788229226</t>
  </si>
  <si>
    <t>0771757010</t>
  </si>
  <si>
    <t>Moni</t>
  </si>
  <si>
    <t>UG-EAS-2110-013862</t>
  </si>
  <si>
    <t xml:space="preserve">Noah Isanga </t>
  </si>
  <si>
    <t>0772937969</t>
  </si>
  <si>
    <t>0753385899</t>
  </si>
  <si>
    <t>Bubogo</t>
  </si>
  <si>
    <t>UG-EAS-1912-9876</t>
  </si>
  <si>
    <t>James Kitimbo Ibanda</t>
  </si>
  <si>
    <t>Nankandulo t/c</t>
  </si>
  <si>
    <t>UG-EAS-2110-013865</t>
  </si>
  <si>
    <t>Mufumbiro Aziz Kigenyi</t>
  </si>
  <si>
    <t>265787855872</t>
  </si>
  <si>
    <t>Kizuuba</t>
  </si>
  <si>
    <t>Mawungwe</t>
  </si>
  <si>
    <t>UG-EAS-2110-013870</t>
  </si>
  <si>
    <t xml:space="preserve">Mwoyogwamwine Edith </t>
  </si>
  <si>
    <t>256753031500</t>
  </si>
  <si>
    <t>Busiiki north</t>
  </si>
  <si>
    <t>Kiwanyi</t>
  </si>
  <si>
    <t>UG-EAS-2110-013871</t>
  </si>
  <si>
    <t xml:space="preserve">Namugaya Tapenence </t>
  </si>
  <si>
    <t>256755955979</t>
  </si>
  <si>
    <t>UG-EAS-2110-013875</t>
  </si>
  <si>
    <t>Wakiso Bekar Fred</t>
  </si>
  <si>
    <t>0753241400</t>
  </si>
  <si>
    <t>Butaswa</t>
  </si>
  <si>
    <t>UG-EAS-2110-014097</t>
  </si>
  <si>
    <t xml:space="preserve">Nidoi Michael </t>
  </si>
  <si>
    <t>0785249700</t>
  </si>
  <si>
    <t>Nadome</t>
  </si>
  <si>
    <t>UG-EAS-2110-014098</t>
  </si>
  <si>
    <t xml:space="preserve">Magombe William </t>
  </si>
  <si>
    <t>0759366219</t>
  </si>
  <si>
    <t>0757604412</t>
  </si>
  <si>
    <t>Bukigalabo A</t>
  </si>
  <si>
    <t>UG-EAS-2110-021686</t>
  </si>
  <si>
    <t>Ndiko Magino Musa</t>
  </si>
  <si>
    <t>0782409251</t>
  </si>
  <si>
    <t>Solo B</t>
  </si>
  <si>
    <t>UG-EAS-2111-012149</t>
  </si>
  <si>
    <t>Opolot Isaac Newton</t>
  </si>
  <si>
    <t>0772910240</t>
  </si>
  <si>
    <t>Okorom</t>
  </si>
  <si>
    <t>UG-EAS-2111-013866</t>
  </si>
  <si>
    <t xml:space="preserve">Muyida Moses </t>
  </si>
  <si>
    <t>0779350689</t>
  </si>
  <si>
    <t>Busiiki North</t>
  </si>
  <si>
    <t>Nabinyonyi</t>
  </si>
  <si>
    <t>Nabisaka</t>
  </si>
  <si>
    <t>UG-EAS-2111-013867</t>
  </si>
  <si>
    <t xml:space="preserve">Mawerere Goefrey </t>
  </si>
  <si>
    <t>Mbulamiti</t>
  </si>
  <si>
    <t>Bugondha</t>
  </si>
  <si>
    <t>UG-EAS-2111-013872</t>
  </si>
  <si>
    <t xml:space="preserve">Bamukambwire Tom </t>
  </si>
  <si>
    <t>0784047324</t>
  </si>
  <si>
    <t>0750967914</t>
  </si>
  <si>
    <t>Nawabiri</t>
  </si>
  <si>
    <t>UG-EAS-2111-013873</t>
  </si>
  <si>
    <t xml:space="preserve">Muyinda Charles </t>
  </si>
  <si>
    <t>0781895398</t>
  </si>
  <si>
    <t>0702222350</t>
  </si>
  <si>
    <t>Mazuuba</t>
  </si>
  <si>
    <t>Nadwali</t>
  </si>
  <si>
    <t>UG-EAS-2111-013874</t>
  </si>
  <si>
    <t xml:space="preserve">Mugonero Wilson </t>
  </si>
  <si>
    <t>0755878629</t>
  </si>
  <si>
    <t>Busiki North</t>
  </si>
  <si>
    <t>UG-EAS-2001-018459</t>
  </si>
  <si>
    <t>Mukyala Musana</t>
  </si>
  <si>
    <t>BUWAYERO</t>
  </si>
  <si>
    <t>JINJA</t>
  </si>
  <si>
    <t>UG-EAS-2111-013878</t>
  </si>
  <si>
    <t>Kazungu David Tenywa</t>
  </si>
  <si>
    <t>0772866781</t>
  </si>
  <si>
    <t>Matovu</t>
  </si>
  <si>
    <t>UG-EAS-2111-014089</t>
  </si>
  <si>
    <t xml:space="preserve">Twoyem Nelson </t>
  </si>
  <si>
    <t>0782037154</t>
  </si>
  <si>
    <t>Bonio</t>
  </si>
  <si>
    <t>UG-EAS-2002-012134</t>
  </si>
  <si>
    <t>Opwata Eramu Joseph</t>
  </si>
  <si>
    <t>0772515187</t>
  </si>
  <si>
    <t>Agonyo A</t>
  </si>
  <si>
    <t>UG-EAS-2111-014090</t>
  </si>
  <si>
    <t>George Kitiyo Benard</t>
  </si>
  <si>
    <t>0782849166</t>
  </si>
  <si>
    <t>0754849166</t>
  </si>
  <si>
    <t>Kapchorwa Municipal</t>
  </si>
  <si>
    <t>Kapchorwa East Division</t>
  </si>
  <si>
    <t>UG-EAS-2111-014091</t>
  </si>
  <si>
    <t xml:space="preserve">Cherotic Dan </t>
  </si>
  <si>
    <t>0783329354</t>
  </si>
  <si>
    <t>0774111061</t>
  </si>
  <si>
    <t>Kaiybemet</t>
  </si>
  <si>
    <t>UG-EAS-2111-021902</t>
  </si>
  <si>
    <t>Chebet Isaac Albert</t>
  </si>
  <si>
    <t>0775694694</t>
  </si>
  <si>
    <t>0782049788</t>
  </si>
  <si>
    <t>UG-EAS-2111-021903</t>
  </si>
  <si>
    <t xml:space="preserve">Chesang Eunice </t>
  </si>
  <si>
    <t>0771647378</t>
  </si>
  <si>
    <t>UG-EAS-2002-9886</t>
  </si>
  <si>
    <t>Luwangula Paul Micheal</t>
  </si>
  <si>
    <t>UG-EAS-2111-021904</t>
  </si>
  <si>
    <t xml:space="preserve">Munerya Joseph </t>
  </si>
  <si>
    <t>0782903007</t>
  </si>
  <si>
    <t>Mutyoru C</t>
  </si>
  <si>
    <t>UG-EAS-2003-012225</t>
  </si>
  <si>
    <t xml:space="preserve">Namukhono David </t>
  </si>
  <si>
    <t>0789728852</t>
  </si>
  <si>
    <t>Simu valley</t>
  </si>
  <si>
    <t>UG-EAS-2111-021909</t>
  </si>
  <si>
    <t xml:space="preserve">Malinga Dick </t>
  </si>
  <si>
    <t>0773881000</t>
  </si>
  <si>
    <t>0788157646</t>
  </si>
  <si>
    <t>UG-EAS-2111-021951</t>
  </si>
  <si>
    <t>Chepkurui George Wonge</t>
  </si>
  <si>
    <t>0779468610</t>
  </si>
  <si>
    <t>0758468610</t>
  </si>
  <si>
    <t>Chekwasta</t>
  </si>
  <si>
    <t>UG-EAS-2111-07796</t>
  </si>
  <si>
    <t xml:space="preserve">Chemonges Watson </t>
  </si>
  <si>
    <t>0772655847</t>
  </si>
  <si>
    <t>Binyiny Town council</t>
  </si>
  <si>
    <t>UG-EAS-2111-07797</t>
  </si>
  <si>
    <t xml:space="preserve">Arapkabu Peter </t>
  </si>
  <si>
    <t>0776037446</t>
  </si>
  <si>
    <t>0772853734</t>
  </si>
  <si>
    <t>Kapchesombe East Division</t>
  </si>
  <si>
    <t>UG-EAS-2111-07799</t>
  </si>
  <si>
    <t xml:space="preserve">Chebet Sophy </t>
  </si>
  <si>
    <t>0784793310</t>
  </si>
  <si>
    <t>0786603426</t>
  </si>
  <si>
    <t>Cheminy</t>
  </si>
  <si>
    <t>UG-EAS-2112-012150</t>
  </si>
  <si>
    <t xml:space="preserve">James Etengu </t>
  </si>
  <si>
    <t>0772677864</t>
  </si>
  <si>
    <t>Abiya</t>
  </si>
  <si>
    <t>Atiida</t>
  </si>
  <si>
    <t>UG-EAS-2112-014076</t>
  </si>
  <si>
    <t>Chebet Angeline</t>
  </si>
  <si>
    <t>Loch cell</t>
  </si>
  <si>
    <t>UG-EAS-2112-014078</t>
  </si>
  <si>
    <t xml:space="preserve">Romoi Peter </t>
  </si>
  <si>
    <t>0774094560</t>
  </si>
  <si>
    <t>0771830409</t>
  </si>
  <si>
    <t>Kapchesiy</t>
  </si>
  <si>
    <t>UG-EAS-2112-017862</t>
  </si>
  <si>
    <t>Turyahebwa Nelly</t>
  </si>
  <si>
    <t>Tororo Municipality</t>
  </si>
  <si>
    <t>Osia</t>
  </si>
  <si>
    <t>UG-EAS-2112-021901</t>
  </si>
  <si>
    <t xml:space="preserve">Kusuro John </t>
  </si>
  <si>
    <t>0782506906</t>
  </si>
  <si>
    <t>0784773707</t>
  </si>
  <si>
    <t>UG-EAS-2112-021905</t>
  </si>
  <si>
    <t xml:space="preserve">CHEBET TONNY </t>
  </si>
  <si>
    <t>0773864965</t>
  </si>
  <si>
    <t>0787596777</t>
  </si>
  <si>
    <t>UG-EAS-2112-07798</t>
  </si>
  <si>
    <t xml:space="preserve">Kiprotich Joseph </t>
  </si>
  <si>
    <t>0782660062</t>
  </si>
  <si>
    <t>0707139604</t>
  </si>
  <si>
    <t>UG-EAS-2201-013882</t>
  </si>
  <si>
    <t xml:space="preserve">Kintu Erisa </t>
  </si>
  <si>
    <t>0752028526</t>
  </si>
  <si>
    <t>Buwagi</t>
  </si>
  <si>
    <t>UG-EAS-2201-014075</t>
  </si>
  <si>
    <t xml:space="preserve">Chekwurkat Rasak </t>
  </si>
  <si>
    <t>0772808753</t>
  </si>
  <si>
    <t>UG-EAS-2201-014081</t>
  </si>
  <si>
    <t xml:space="preserve">Chelangat Betty </t>
  </si>
  <si>
    <t>0775163403</t>
  </si>
  <si>
    <t>0772670798</t>
  </si>
  <si>
    <t>West Division</t>
  </si>
  <si>
    <t>Kaporotwo</t>
  </si>
  <si>
    <t>UG-EAS-2201-021803</t>
  </si>
  <si>
    <t>Mugoya Ogonzaaki Awali</t>
  </si>
  <si>
    <t>0752140698</t>
  </si>
  <si>
    <t>UG-EAS-2201-021956</t>
  </si>
  <si>
    <t>Nakalet Opolot Henry</t>
  </si>
  <si>
    <t>0772585140</t>
  </si>
  <si>
    <t>Kadoki</t>
  </si>
  <si>
    <t>UG-EAS-2202-021911</t>
  </si>
  <si>
    <t xml:space="preserve">Chelangat Raymond </t>
  </si>
  <si>
    <t>0784409480</t>
  </si>
  <si>
    <t>0757800779</t>
  </si>
  <si>
    <t>Siipi</t>
  </si>
  <si>
    <t>Gamatui</t>
  </si>
  <si>
    <t>UG-EAS-2202-021912</t>
  </si>
  <si>
    <t>Malinga David Soyekwo</t>
  </si>
  <si>
    <t>0779467445</t>
  </si>
  <si>
    <t>UG-EAS-2202-021953</t>
  </si>
  <si>
    <t>Chelengat Sarah Muzungyo</t>
  </si>
  <si>
    <t>0776585352</t>
  </si>
  <si>
    <t>0752585352</t>
  </si>
  <si>
    <t>Mutyoro</t>
  </si>
  <si>
    <t>UG-EAS-2202-021954</t>
  </si>
  <si>
    <t>Aliwa Julius Rev.</t>
  </si>
  <si>
    <t>0783450688</t>
  </si>
  <si>
    <t>0756668643</t>
  </si>
  <si>
    <t>Kapchorwa municipal</t>
  </si>
  <si>
    <t>UG-EAS-2202-021955</t>
  </si>
  <si>
    <t xml:space="preserve">Soek Patrick </t>
  </si>
  <si>
    <t>0776201214</t>
  </si>
  <si>
    <t>0755519680</t>
  </si>
  <si>
    <t>Sep</t>
  </si>
  <si>
    <t>UG-EAS-2202-022301</t>
  </si>
  <si>
    <t xml:space="preserve">Chesakit Bashir </t>
  </si>
  <si>
    <t>0772541238</t>
  </si>
  <si>
    <t>0704173384</t>
  </si>
  <si>
    <t>UG-EAS-2203-021906</t>
  </si>
  <si>
    <t xml:space="preserve">Chepkrui Francis </t>
  </si>
  <si>
    <t>0787314730</t>
  </si>
  <si>
    <t>0703948354</t>
  </si>
  <si>
    <t>UG-EAS-2203-021915</t>
  </si>
  <si>
    <t xml:space="preserve">Woniala Alex </t>
  </si>
  <si>
    <t>0761283001</t>
  </si>
  <si>
    <t>0788084422</t>
  </si>
  <si>
    <t>Swam</t>
  </si>
  <si>
    <t>Rikwo</t>
  </si>
  <si>
    <t>UG-EAS-2203-022306</t>
  </si>
  <si>
    <t xml:space="preserve">Woniala Lemengi </t>
  </si>
  <si>
    <t>0773049526</t>
  </si>
  <si>
    <t>0774049984</t>
  </si>
  <si>
    <t>Bukumwaga</t>
  </si>
  <si>
    <t>UG-EAS-2205-011146</t>
  </si>
  <si>
    <t>Muzaki Lovina Mafabi</t>
  </si>
  <si>
    <t>0778618908</t>
  </si>
  <si>
    <t>Bukyambi</t>
  </si>
  <si>
    <t>Bumba</t>
  </si>
  <si>
    <t>Bunawodya</t>
  </si>
  <si>
    <t>Biogas Gurus and Contractors Ltd</t>
  </si>
  <si>
    <t>UG-EAS-2205-011147</t>
  </si>
  <si>
    <t>Buhule Rose Mafabi</t>
  </si>
  <si>
    <t>UG-EAS-2209-010407</t>
  </si>
  <si>
    <t xml:space="preserve">Benedictine Father's </t>
  </si>
  <si>
    <t>0781623207</t>
  </si>
  <si>
    <t>Tororo municipality</t>
  </si>
  <si>
    <t>UG-EAS-2210-010401</t>
  </si>
  <si>
    <t xml:space="preserve">Betwereci Musurube </t>
  </si>
  <si>
    <t>0773371215</t>
  </si>
  <si>
    <t>Kigulu South</t>
  </si>
  <si>
    <t>Bulamangi</t>
  </si>
  <si>
    <t>UG-EAS-2210-011112</t>
  </si>
  <si>
    <t xml:space="preserve">Nagudi Annet </t>
  </si>
  <si>
    <t>0741236534</t>
  </si>
  <si>
    <t>Namaguli</t>
  </si>
  <si>
    <t>Nakindye</t>
  </si>
  <si>
    <t>UG-EAS-2210-011115</t>
  </si>
  <si>
    <t xml:space="preserve">Manana Godfrey </t>
  </si>
  <si>
    <t>0789745100</t>
  </si>
  <si>
    <t>Lugoli</t>
  </si>
  <si>
    <t>UG-EAS-2210-011118</t>
  </si>
  <si>
    <t xml:space="preserve">Abudulai Shire </t>
  </si>
  <si>
    <t>0777900969</t>
  </si>
  <si>
    <t>bulasudi</t>
  </si>
  <si>
    <t>Bikonge</t>
  </si>
  <si>
    <t>Buta</t>
  </si>
  <si>
    <t>UG-EAS-2210-011133</t>
  </si>
  <si>
    <t xml:space="preserve">Mudaga Laurence </t>
  </si>
  <si>
    <t>0774847307</t>
  </si>
  <si>
    <t>Bulugona</t>
  </si>
  <si>
    <t>UG-EAS-2211-010404</t>
  </si>
  <si>
    <t xml:space="preserve">Biryeri Margaret </t>
  </si>
  <si>
    <t>0773810433</t>
  </si>
  <si>
    <t>Kisaikye</t>
  </si>
  <si>
    <t>UG-EAS-2211-010405</t>
  </si>
  <si>
    <t xml:space="preserve">Akoyo Charles </t>
  </si>
  <si>
    <t>0772634978</t>
  </si>
  <si>
    <t>Buwanya B</t>
  </si>
  <si>
    <t>UG-EAS-2211-011101</t>
  </si>
  <si>
    <t xml:space="preserve">Wamaniala Perezi </t>
  </si>
  <si>
    <t>0782787647</t>
  </si>
  <si>
    <t>Bukiiti Town Council</t>
  </si>
  <si>
    <t>Mahululu cell</t>
  </si>
  <si>
    <t>UG-EAS-2211-011105</t>
  </si>
  <si>
    <t>Abubu Betty Mugoya</t>
  </si>
  <si>
    <t>0758588492</t>
  </si>
  <si>
    <t>Bukiiti Town council</t>
  </si>
  <si>
    <t>Bukiiti A ward</t>
  </si>
  <si>
    <t>Bukiiti A cell</t>
  </si>
  <si>
    <t>UG-EAS-2211-011106</t>
  </si>
  <si>
    <t xml:space="preserve">Walimbwa Paul </t>
  </si>
  <si>
    <t>0776130007</t>
  </si>
  <si>
    <t>Store</t>
  </si>
  <si>
    <t>UG-EAS-2211-011108</t>
  </si>
  <si>
    <t xml:space="preserve">Mugoya John </t>
  </si>
  <si>
    <t>0774240238</t>
  </si>
  <si>
    <t>Namukuyu A cell</t>
  </si>
  <si>
    <t>UG-EAS-2211-011116</t>
  </si>
  <si>
    <t xml:space="preserve">Osukira Micheal </t>
  </si>
  <si>
    <t>0705484872</t>
  </si>
  <si>
    <t>Zesui</t>
  </si>
  <si>
    <t>Lugooli</t>
  </si>
  <si>
    <t>UG-EAS-2212-010402</t>
  </si>
  <si>
    <t>Kawaguzi Hassani Hajji</t>
  </si>
  <si>
    <t>0701200679</t>
  </si>
  <si>
    <t>Municipality</t>
  </si>
  <si>
    <t>UG-EAS-2212-010403</t>
  </si>
  <si>
    <t>Franciscan Sister of St joseph</t>
  </si>
  <si>
    <t>0754103926</t>
  </si>
  <si>
    <t>Kyabadho</t>
  </si>
  <si>
    <t>UG-EAS-2009-9900</t>
  </si>
  <si>
    <t>Namukobe Monica plant 2</t>
  </si>
  <si>
    <t>Bukoli</t>
  </si>
  <si>
    <t>UG-EAS-2212-011102</t>
  </si>
  <si>
    <t>Gidudu Majidu Abdu</t>
  </si>
  <si>
    <t>0776405234</t>
  </si>
  <si>
    <t>Majenga</t>
  </si>
  <si>
    <t>UG-EAS-2212-011104</t>
  </si>
  <si>
    <t xml:space="preserve">Mafabi Victor </t>
  </si>
  <si>
    <t>0772582814</t>
  </si>
  <si>
    <t>Maduwa</t>
  </si>
  <si>
    <t>UG-EAS-2010-07772</t>
  </si>
  <si>
    <t>its an institutional biogas plant</t>
  </si>
  <si>
    <t xml:space="preserve">St. Paul's College Mbale </t>
  </si>
  <si>
    <t>0773904858</t>
  </si>
  <si>
    <t>Mbale North</t>
  </si>
  <si>
    <t>Ndangama - Mission cell</t>
  </si>
  <si>
    <t>UG-EAS-2212-011107</t>
  </si>
  <si>
    <t xml:space="preserve">Nabudere Sammy </t>
  </si>
  <si>
    <t>0774014500</t>
  </si>
  <si>
    <t>budadiri</t>
  </si>
  <si>
    <t>Bugusege Town council</t>
  </si>
  <si>
    <t>Bwikasa</t>
  </si>
  <si>
    <t>UG-EAS-2212-011109</t>
  </si>
  <si>
    <t xml:space="preserve">Namonye Alex </t>
  </si>
  <si>
    <t>0772862214</t>
  </si>
  <si>
    <t>Buyobo</t>
  </si>
  <si>
    <t>UG-EAS-2212-011110</t>
  </si>
  <si>
    <t xml:space="preserve">Mugoya Alex </t>
  </si>
  <si>
    <t>0772613643</t>
  </si>
  <si>
    <t>Buwasa</t>
  </si>
  <si>
    <t>Bukawanga</t>
  </si>
  <si>
    <t>UG-EAS-2212-011111</t>
  </si>
  <si>
    <t xml:space="preserve">Wanyenze Sarah </t>
  </si>
  <si>
    <t>0775546408</t>
  </si>
  <si>
    <t>Mangobe</t>
  </si>
  <si>
    <t>UG-EAS-2212-011114</t>
  </si>
  <si>
    <t xml:space="preserve">Wamono Silagye </t>
  </si>
  <si>
    <t>0789642036</t>
  </si>
  <si>
    <t>Bumuniasi "B"</t>
  </si>
  <si>
    <t>UG-EAS-2212-011117</t>
  </si>
  <si>
    <t xml:space="preserve">Nambafu Sauda </t>
  </si>
  <si>
    <t>0704695316</t>
  </si>
  <si>
    <t>Bumaniasi A</t>
  </si>
  <si>
    <t>UG-EAS-2212-011123</t>
  </si>
  <si>
    <t xml:space="preserve">Nabulwala Barbra </t>
  </si>
  <si>
    <t>0773472447</t>
  </si>
  <si>
    <t>UG-EAS-2212-011125</t>
  </si>
  <si>
    <t xml:space="preserve">Mutome Stephen </t>
  </si>
  <si>
    <t>0774916621</t>
  </si>
  <si>
    <t>Buwoluba</t>
  </si>
  <si>
    <t>UG-EAS-2212-011126</t>
  </si>
  <si>
    <t xml:space="preserve">Wogabana Micheal </t>
  </si>
  <si>
    <t>0700290739</t>
  </si>
  <si>
    <t>Bumuniasi</t>
  </si>
  <si>
    <t>UG-EAS-2101-012139</t>
  </si>
  <si>
    <t>Edonyu Samuel  kaberamaido</t>
  </si>
  <si>
    <t>0788387967</t>
  </si>
  <si>
    <t>Agaa</t>
  </si>
  <si>
    <t>Awelu village</t>
  </si>
  <si>
    <t>UG-EAS-2212-011127</t>
  </si>
  <si>
    <t xml:space="preserve">Ndekye Ismail </t>
  </si>
  <si>
    <t>0751291289</t>
  </si>
  <si>
    <t>Masiyopo</t>
  </si>
  <si>
    <t>UG-EAS-2212-011128</t>
  </si>
  <si>
    <t xml:space="preserve">Madanda Stephen </t>
  </si>
  <si>
    <t>0750901307</t>
  </si>
  <si>
    <t>Bumuniasi A</t>
  </si>
  <si>
    <t>UG-EAS-2212-011130</t>
  </si>
  <si>
    <t xml:space="preserve">Wosheba Alex </t>
  </si>
  <si>
    <t>0774662242</t>
  </si>
  <si>
    <t>Namaiga</t>
  </si>
  <si>
    <t>UG-EAS-2212-011131</t>
  </si>
  <si>
    <t xml:space="preserve">Wakale Matin </t>
  </si>
  <si>
    <t>0758558748</t>
  </si>
  <si>
    <t>Buschao</t>
  </si>
  <si>
    <t>UG-EAS-2212-011132</t>
  </si>
  <si>
    <t xml:space="preserve">Wogamara Agustus </t>
  </si>
  <si>
    <t>0754427071</t>
  </si>
  <si>
    <t>Bugobiro B</t>
  </si>
  <si>
    <t>UG-EAS-2212-011134</t>
  </si>
  <si>
    <t xml:space="preserve">Woniala Francis </t>
  </si>
  <si>
    <t>0772322302</t>
  </si>
  <si>
    <t>Lugulu</t>
  </si>
  <si>
    <t>UG-EAS-2212-011135</t>
  </si>
  <si>
    <t xml:space="preserve">Womayi Joseph </t>
  </si>
  <si>
    <t>0772334062</t>
  </si>
  <si>
    <t>Mushembe</t>
  </si>
  <si>
    <t>UG-EAS-2212-011136</t>
  </si>
  <si>
    <t>Nakomo James Kyambi</t>
  </si>
  <si>
    <t>0789660311</t>
  </si>
  <si>
    <t>UG-EAS-2212-011145</t>
  </si>
  <si>
    <t xml:space="preserve">Masede Amuza </t>
  </si>
  <si>
    <t>0787188156</t>
  </si>
  <si>
    <t>Bukiiti</t>
  </si>
  <si>
    <t>Bukiiti A</t>
  </si>
  <si>
    <t>UG-EAS-2212-011151</t>
  </si>
  <si>
    <t>Wabwire Benjamin Ongweno</t>
  </si>
  <si>
    <t>0772608302</t>
  </si>
  <si>
    <t>Syanyonja</t>
  </si>
  <si>
    <t>UG-EAS-2212-011154</t>
  </si>
  <si>
    <t>Siango Richard Ricado</t>
  </si>
  <si>
    <t>0782860532</t>
  </si>
  <si>
    <t>Bunghakoko</t>
  </si>
  <si>
    <t>UG-EAS-2301-010409</t>
  </si>
  <si>
    <t xml:space="preserve">Kayanga Charles </t>
  </si>
  <si>
    <t>0752995837</t>
  </si>
  <si>
    <t>Bwanalira</t>
  </si>
  <si>
    <t>UG-EAS-2301-011015</t>
  </si>
  <si>
    <t xml:space="preserve">Akot Mary </t>
  </si>
  <si>
    <t>0789977789</t>
  </si>
  <si>
    <t>Katikekile</t>
  </si>
  <si>
    <t>Lia</t>
  </si>
  <si>
    <t>Singila</t>
  </si>
  <si>
    <t>UG-EAS-2301-011016</t>
  </si>
  <si>
    <t xml:space="preserve">Chegem Lokale </t>
  </si>
  <si>
    <t>0783848651</t>
  </si>
  <si>
    <t>Tepeth</t>
  </si>
  <si>
    <t>UG-EAS-2301-011017</t>
  </si>
  <si>
    <t xml:space="preserve">Kodet Lotee </t>
  </si>
  <si>
    <t>0762177853</t>
  </si>
  <si>
    <t>Nabuin</t>
  </si>
  <si>
    <t>UG-EAS-2301-011018</t>
  </si>
  <si>
    <t xml:space="preserve">Monica Adonga </t>
  </si>
  <si>
    <t>0785071689</t>
  </si>
  <si>
    <t>Tapac</t>
  </si>
  <si>
    <t>Akariwon</t>
  </si>
  <si>
    <t>UG-EAS-2301-011019</t>
  </si>
  <si>
    <t>Aleper Lokoru Cornelius</t>
  </si>
  <si>
    <t>0782594770</t>
  </si>
  <si>
    <t>Kakomongolo</t>
  </si>
  <si>
    <t>Akuyam</t>
  </si>
  <si>
    <t>Looi</t>
  </si>
  <si>
    <t>UG-EAS-2301-011020</t>
  </si>
  <si>
    <t xml:space="preserve">Loyan Margret </t>
  </si>
  <si>
    <t>0778174351</t>
  </si>
  <si>
    <t>Kakomongole</t>
  </si>
  <si>
    <t>UG-EAS-2301-011021</t>
  </si>
  <si>
    <t>Apuun Francis John</t>
  </si>
  <si>
    <t>0772848541</t>
  </si>
  <si>
    <t>Loregae</t>
  </si>
  <si>
    <t>Naturum</t>
  </si>
  <si>
    <t>Nawalangor</t>
  </si>
  <si>
    <t>UG-EAS-2301-011022</t>
  </si>
  <si>
    <t xml:space="preserve">Nyangan Domenic </t>
  </si>
  <si>
    <t>0772253691</t>
  </si>
  <si>
    <t>Lorengae</t>
  </si>
  <si>
    <t>Alamacar</t>
  </si>
  <si>
    <t>Akwakuron</t>
  </si>
  <si>
    <t>UG-EAS-2301-011023</t>
  </si>
  <si>
    <t xml:space="preserve">Natuk Maria </t>
  </si>
  <si>
    <t>0789688832</t>
  </si>
  <si>
    <t>Loei</t>
  </si>
  <si>
    <t>Lokudumo</t>
  </si>
  <si>
    <t>Kalesa</t>
  </si>
  <si>
    <t>UG-EAS-2301-011024</t>
  </si>
  <si>
    <t xml:space="preserve">Anyu Susan </t>
  </si>
  <si>
    <t>0762336305</t>
  </si>
  <si>
    <t>Lopei</t>
  </si>
  <si>
    <t>UG-EAS-2301-011025</t>
  </si>
  <si>
    <t xml:space="preserve">Loumo Jimmy </t>
  </si>
  <si>
    <t>0786105252</t>
  </si>
  <si>
    <t>Lopeei</t>
  </si>
  <si>
    <t>Nakwamoru</t>
  </si>
  <si>
    <t>Naoi</t>
  </si>
  <si>
    <t>UG-EAS-2301-011026</t>
  </si>
  <si>
    <t xml:space="preserve">Ethin Agata </t>
  </si>
  <si>
    <t>0780607684</t>
  </si>
  <si>
    <t>Nakwamuru</t>
  </si>
  <si>
    <t>UG-EAS-2301-011120</t>
  </si>
  <si>
    <t xml:space="preserve">Maoboni Nicholas </t>
  </si>
  <si>
    <t>0779960971</t>
  </si>
  <si>
    <t>Bugitima</t>
  </si>
  <si>
    <t>Buwodenyele</t>
  </si>
  <si>
    <t>UG-EAS-2301-011122</t>
  </si>
  <si>
    <t xml:space="preserve">Masaba Daniel </t>
  </si>
  <si>
    <t>0773975270</t>
  </si>
  <si>
    <t>Mutufu T/c</t>
  </si>
  <si>
    <t>Bumuniasa A</t>
  </si>
  <si>
    <t>UG-EAS-2301-011124</t>
  </si>
  <si>
    <t xml:space="preserve">Butoga Yusuf </t>
  </si>
  <si>
    <t>0753407035</t>
  </si>
  <si>
    <t>UG-EAS-912-46</t>
  </si>
  <si>
    <t>Bateganya Henry</t>
  </si>
  <si>
    <t>32.948405</t>
  </si>
  <si>
    <t>Apenyo Anna</t>
  </si>
  <si>
    <t>Lira</t>
  </si>
  <si>
    <t>Lira municipality</t>
  </si>
  <si>
    <t>Boke agali</t>
  </si>
  <si>
    <t>Tusk Engineers</t>
  </si>
  <si>
    <t>Awany Bosco</t>
  </si>
  <si>
    <t>Ireda agali</t>
  </si>
  <si>
    <t>Okello  Francis Ogaba Christine</t>
  </si>
  <si>
    <t>omoro</t>
  </si>
  <si>
    <t>ongako</t>
  </si>
  <si>
    <t>Abuga</t>
  </si>
  <si>
    <t>UG-NOR-1106-5290</t>
  </si>
  <si>
    <t>Lamunu  Melanie</t>
  </si>
  <si>
    <t>Gulu Municipality</t>
  </si>
  <si>
    <t>Layibi</t>
  </si>
  <si>
    <t>Te-gwaana</t>
  </si>
  <si>
    <t>Lidyia Aceng Bua</t>
  </si>
  <si>
    <t>Lira  Municipality</t>
  </si>
  <si>
    <t>Nek Martin</t>
  </si>
  <si>
    <t>Erute North</t>
  </si>
  <si>
    <t>Adekokwok</t>
  </si>
  <si>
    <t>Baropu B</t>
  </si>
  <si>
    <t>UG-NOR-1112-1981</t>
  </si>
  <si>
    <t>Susan Awana Akor</t>
  </si>
  <si>
    <t>Ireda Agali</t>
  </si>
  <si>
    <t>UG-NOR-1112-3275</t>
  </si>
  <si>
    <t>Opio  Wilson</t>
  </si>
  <si>
    <t>Barr</t>
  </si>
  <si>
    <t>Atingtwo B</t>
  </si>
  <si>
    <t>UG-NOR-1112-5270</t>
  </si>
  <si>
    <t>Florence  Buwa</t>
  </si>
  <si>
    <t>Lmc</t>
  </si>
  <si>
    <t>ojwina</t>
  </si>
  <si>
    <t>Kakoge B</t>
  </si>
  <si>
    <t>UG-NOR-1201-1754</t>
  </si>
  <si>
    <t>Olwa Tom</t>
  </si>
  <si>
    <t>Owera  Bisantina</t>
  </si>
  <si>
    <t>Dokolo north</t>
  </si>
  <si>
    <t>Agwata</t>
  </si>
  <si>
    <t>Agwataatidi</t>
  </si>
  <si>
    <t>UG-NOR-1201-5269</t>
  </si>
  <si>
    <t>Concy  Anna Mwolo</t>
  </si>
  <si>
    <t>Lira Municipal center</t>
  </si>
  <si>
    <t>UG-NOR-1201-5288</t>
  </si>
  <si>
    <t>Bicenytina  Odoki</t>
  </si>
  <si>
    <t>Pece</t>
  </si>
  <si>
    <t>Aywe</t>
  </si>
  <si>
    <t>Francis  Acuma</t>
  </si>
  <si>
    <t xml:space="preserve">Erute </t>
  </si>
  <si>
    <t>obitolyi</t>
  </si>
  <si>
    <t>UG-NOR-1203-5254</t>
  </si>
  <si>
    <t>Epongu  Simon</t>
  </si>
  <si>
    <t>Gorogoro</t>
  </si>
  <si>
    <t>UG-NOR-1203-5263</t>
  </si>
  <si>
    <t>Otim  Odoch</t>
  </si>
  <si>
    <t>Kole</t>
  </si>
  <si>
    <t>Kole south</t>
  </si>
  <si>
    <t>Bala</t>
  </si>
  <si>
    <t>Angic A</t>
  </si>
  <si>
    <t>UG-NOR-1204-05257</t>
  </si>
  <si>
    <t>Oyuru Julius</t>
  </si>
  <si>
    <t>Dokolo North</t>
  </si>
  <si>
    <t>Bata</t>
  </si>
  <si>
    <t>Bargweng</t>
  </si>
  <si>
    <t>Opio  Lorence</t>
  </si>
  <si>
    <t>Dokolo south</t>
  </si>
  <si>
    <t>Adeknino</t>
  </si>
  <si>
    <t>owor</t>
  </si>
  <si>
    <t>Ekwang  Felix</t>
  </si>
  <si>
    <t>Kwania</t>
  </si>
  <si>
    <t>Chawente</t>
  </si>
  <si>
    <t>Engoro</t>
  </si>
  <si>
    <t>UG-NOR-1205-161</t>
  </si>
  <si>
    <t>Aloyisiac  Kiaze</t>
  </si>
  <si>
    <t>Koro</t>
  </si>
  <si>
    <t>onang</t>
  </si>
  <si>
    <t>UG-NOR-1205-5271</t>
  </si>
  <si>
    <t>Watmon  Perecy</t>
  </si>
  <si>
    <t>Tochi</t>
  </si>
  <si>
    <t>Kal</t>
  </si>
  <si>
    <t>UG-NOR-1206-156</t>
  </si>
  <si>
    <t>Akello  Beatres</t>
  </si>
  <si>
    <t>Cuda</t>
  </si>
  <si>
    <t>UG-NOR-1206-2264</t>
  </si>
  <si>
    <t>Elizabeth Rose</t>
  </si>
  <si>
    <t>ojwina Division</t>
  </si>
  <si>
    <t>Angwalonino</t>
  </si>
  <si>
    <t>Opon Ricky</t>
  </si>
  <si>
    <t>UG-NOR-1206-5292</t>
  </si>
  <si>
    <t>Okwera  Sam</t>
  </si>
  <si>
    <t>Kilak south</t>
  </si>
  <si>
    <t>Lamogi</t>
  </si>
  <si>
    <t>Amilobo</t>
  </si>
  <si>
    <t>UG-NOR-1206-5293</t>
  </si>
  <si>
    <t>Arac  Grace</t>
  </si>
  <si>
    <t>Kilak</t>
  </si>
  <si>
    <t>UG-NOR-1206-5295</t>
  </si>
  <si>
    <t>Okello  Issac</t>
  </si>
  <si>
    <t>UG-NOR-1206-5297</t>
  </si>
  <si>
    <t>Okwera  Coxson Amos</t>
  </si>
  <si>
    <t>UG-NOR-1207-159</t>
  </si>
  <si>
    <t>Okongo  Solomon</t>
  </si>
  <si>
    <t>Aswa</t>
  </si>
  <si>
    <t>onyama</t>
  </si>
  <si>
    <t>oding</t>
  </si>
  <si>
    <t>UG-NOR-1207-2991</t>
  </si>
  <si>
    <t>Ongora Emmanuel</t>
  </si>
  <si>
    <t>Gwengabara</t>
  </si>
  <si>
    <t>UG-NOR-1207-5264</t>
  </si>
  <si>
    <t>Otim  James</t>
  </si>
  <si>
    <t>Akwo</t>
  </si>
  <si>
    <t>UG-NOR-1207-5287</t>
  </si>
  <si>
    <t>Omony  Stella</t>
  </si>
  <si>
    <t>Cubuacoyo</t>
  </si>
  <si>
    <t>UG-NOR-1208-157</t>
  </si>
  <si>
    <t>Okwera  Paul</t>
  </si>
  <si>
    <t>Omoro</t>
  </si>
  <si>
    <t>Abwoch</t>
  </si>
  <si>
    <t>UG-NOR-1208-160</t>
  </si>
  <si>
    <t>Oketayot  Joseph</t>
  </si>
  <si>
    <t>onyama B</t>
  </si>
  <si>
    <t>UG-NOR-1208-2258</t>
  </si>
  <si>
    <t>Eckohu Hellen</t>
  </si>
  <si>
    <t>Angwetangwet A</t>
  </si>
  <si>
    <t>Adoko  Peter</t>
  </si>
  <si>
    <t>Akwongodul</t>
  </si>
  <si>
    <t>Adyang A</t>
  </si>
  <si>
    <t>UG-NOR-1208-3288</t>
  </si>
  <si>
    <t>Ray  Ogwal Ezong</t>
  </si>
  <si>
    <t>okwongodul</t>
  </si>
  <si>
    <t>Acandyang B</t>
  </si>
  <si>
    <t>UG-NOR-1208-5294</t>
  </si>
  <si>
    <t>Kagwa  Patrick</t>
  </si>
  <si>
    <t>UG-NOR-1208-96</t>
  </si>
  <si>
    <t>Ongom Peter</t>
  </si>
  <si>
    <t>Oyam</t>
  </si>
  <si>
    <t>oyam south</t>
  </si>
  <si>
    <t>Loro</t>
  </si>
  <si>
    <t>Amitomot</t>
  </si>
  <si>
    <t>UG-NOR-1209-2113</t>
  </si>
  <si>
    <t>Akidi Betty</t>
  </si>
  <si>
    <t>Teobia</t>
  </si>
  <si>
    <t>Okwir  Christopter</t>
  </si>
  <si>
    <t>Alebtong</t>
  </si>
  <si>
    <t>Apala</t>
  </si>
  <si>
    <t>Apala koner</t>
  </si>
  <si>
    <t>UG-NOR-1211-1027</t>
  </si>
  <si>
    <t>Emuna Tom</t>
  </si>
  <si>
    <t>Ireda East</t>
  </si>
  <si>
    <t>UG-NOR-1211-3272</t>
  </si>
  <si>
    <t>Acuma Tonny</t>
  </si>
  <si>
    <t>Teobwolo</t>
  </si>
  <si>
    <t>UG-NOR-1211-69</t>
  </si>
  <si>
    <t xml:space="preserve">Ali  Julius </t>
  </si>
  <si>
    <t>Abongomola</t>
  </si>
  <si>
    <t>Abedober</t>
  </si>
  <si>
    <t>UG-NOR-1212-2281</t>
  </si>
  <si>
    <t>Ewany John Walker</t>
  </si>
  <si>
    <t>Adyel Division</t>
  </si>
  <si>
    <t>Teso C</t>
  </si>
  <si>
    <t>UG-NOR-1212-3268</t>
  </si>
  <si>
    <t>Ocwer  Franco Elit</t>
  </si>
  <si>
    <t>Akura</t>
  </si>
  <si>
    <t>Teyao</t>
  </si>
  <si>
    <t>UG-NOR-1212-5300</t>
  </si>
  <si>
    <t>Obua  Peter</t>
  </si>
  <si>
    <t>okudongole</t>
  </si>
  <si>
    <t>UG-NOR-1301-2975</t>
  </si>
  <si>
    <t>Olili Alfred</t>
  </si>
  <si>
    <t>Ireda  Lumumba</t>
  </si>
  <si>
    <t>UG-NOR-1301-3239</t>
  </si>
  <si>
    <t>Witong Dick</t>
  </si>
  <si>
    <t>Baridike</t>
  </si>
  <si>
    <t>UG-NOR-1301-91</t>
  </si>
  <si>
    <t>Ocuna  James</t>
  </si>
  <si>
    <t xml:space="preserve">Lira </t>
  </si>
  <si>
    <t>Telela A</t>
  </si>
  <si>
    <t>UG-NOR-1301-97</t>
  </si>
  <si>
    <t>Obol  Jomo</t>
  </si>
  <si>
    <t>Apala kona</t>
  </si>
  <si>
    <t>UG-NOR-1301-99</t>
  </si>
  <si>
    <t>Agoo  Michol</t>
  </si>
  <si>
    <t>Amolatar</t>
  </si>
  <si>
    <t>Awelo</t>
  </si>
  <si>
    <t>odongoyere</t>
  </si>
  <si>
    <t>UG-NOR-1302-04237</t>
  </si>
  <si>
    <t>Mary Pule</t>
  </si>
  <si>
    <t>Railways Division</t>
  </si>
  <si>
    <t>Ayago village</t>
  </si>
  <si>
    <t>UG-NOR-1302-2103</t>
  </si>
  <si>
    <t>Agom Sam</t>
  </si>
  <si>
    <t>Awialem</t>
  </si>
  <si>
    <t>UG-NOR-1302-3263</t>
  </si>
  <si>
    <t>Obua  Dick</t>
  </si>
  <si>
    <t>Tetugu</t>
  </si>
  <si>
    <t>UG-NOR-1302-3264</t>
  </si>
  <si>
    <t>Ayoo  Ambrose</t>
  </si>
  <si>
    <t>UG-NOR-1302-4724</t>
  </si>
  <si>
    <t>Ocen Syprian</t>
  </si>
  <si>
    <t>okecoyere</t>
  </si>
  <si>
    <t>Okol Charles</t>
  </si>
  <si>
    <t>Teobwolo A</t>
  </si>
  <si>
    <t>UG-NOR-1302-72</t>
  </si>
  <si>
    <t>Arapa  Constantine</t>
  </si>
  <si>
    <t>ober</t>
  </si>
  <si>
    <t>UG-NOR-1302-76</t>
  </si>
  <si>
    <t>Ebong  Ongom Tom</t>
  </si>
  <si>
    <t>Maruji</t>
  </si>
  <si>
    <t>Ibuje</t>
  </si>
  <si>
    <t>Apaliodong</t>
  </si>
  <si>
    <t>UG-NOR-1302-82</t>
  </si>
  <si>
    <t>Ebong  Patrick</t>
  </si>
  <si>
    <t>Akokoro</t>
  </si>
  <si>
    <t>Atek</t>
  </si>
  <si>
    <t>UG-NOR-1303-165</t>
  </si>
  <si>
    <t>Obua  Jimmy</t>
  </si>
  <si>
    <t>okwalomoko</t>
  </si>
  <si>
    <t>UG-NOR-1303-3255</t>
  </si>
  <si>
    <t>Josephine  Okello</t>
  </si>
  <si>
    <t>Akalo</t>
  </si>
  <si>
    <t>Acungapenyi</t>
  </si>
  <si>
    <t>Bua Fred</t>
  </si>
  <si>
    <t>UG-NOR-1303-3270</t>
  </si>
  <si>
    <t>Ocak  Emmanuel</t>
  </si>
  <si>
    <t>UG-NOR-1303-3354</t>
  </si>
  <si>
    <t>Apenyo Martin</t>
  </si>
  <si>
    <t>Ayago</t>
  </si>
  <si>
    <t>Doawan  Otim</t>
  </si>
  <si>
    <t>UG-NOR-1303-4128</t>
  </si>
  <si>
    <t>Lobuche  Mario</t>
  </si>
  <si>
    <t>UG-NOR-1303-4129</t>
  </si>
  <si>
    <t>Loke  Paul</t>
  </si>
  <si>
    <t>Ngoleriet</t>
  </si>
  <si>
    <t>Lopida</t>
  </si>
  <si>
    <t>UG-NOR-1303-4130</t>
  </si>
  <si>
    <t>Lokut  Phillip</t>
  </si>
  <si>
    <t>Lopiida</t>
  </si>
  <si>
    <t>UG-NOR-1303-4131</t>
  </si>
  <si>
    <t>Lokut  Peter</t>
  </si>
  <si>
    <t>Nawojaminti / longaroi</t>
  </si>
  <si>
    <t>UG-NOR-1303-4132</t>
  </si>
  <si>
    <t>Lobong  Abraham</t>
  </si>
  <si>
    <t>Lolim</t>
  </si>
  <si>
    <t>UG-NOR-1303-5261</t>
  </si>
  <si>
    <t>Akaki  Francis Nancy</t>
  </si>
  <si>
    <t>Adidikgweno</t>
  </si>
  <si>
    <t>UG-NOR-1303-5265</t>
  </si>
  <si>
    <t>Middy Apio Esther</t>
  </si>
  <si>
    <t>Kole north</t>
  </si>
  <si>
    <t>Alito</t>
  </si>
  <si>
    <t>Tekworo</t>
  </si>
  <si>
    <t>UG-NOR-1303-79</t>
  </si>
  <si>
    <t>Odongo  Emmanuel</t>
  </si>
  <si>
    <t>Baracut</t>
  </si>
  <si>
    <t>Okwera  Erotakio</t>
  </si>
  <si>
    <t>kilak</t>
  </si>
  <si>
    <t>lamogi</t>
  </si>
  <si>
    <t>Palema</t>
  </si>
  <si>
    <t>UG-NOR-1304-3257</t>
  </si>
  <si>
    <t>Pulkeria  Omola</t>
  </si>
  <si>
    <t>Agwata atidi</t>
  </si>
  <si>
    <t>Ogwang  Richard Robinson</t>
  </si>
  <si>
    <t>Apewotneki</t>
  </si>
  <si>
    <t>Sagali  Doan</t>
  </si>
  <si>
    <t>Sagali  Paulina</t>
  </si>
  <si>
    <t>UG-NOR-1304-4133</t>
  </si>
  <si>
    <t>Arukol  Samuel</t>
  </si>
  <si>
    <t>Naitakosowan</t>
  </si>
  <si>
    <t>UG-NOR-1103-5276</t>
  </si>
  <si>
    <t>Margaret  Odwar</t>
  </si>
  <si>
    <t>Bardege</t>
  </si>
  <si>
    <t>Kashmir central</t>
  </si>
  <si>
    <t>UG-NOR-1104-489</t>
  </si>
  <si>
    <t>Okwir  Wilson</t>
  </si>
  <si>
    <t>Abonyotingere</t>
  </si>
  <si>
    <t>Ogwal Richard</t>
  </si>
  <si>
    <t>UG-NOR-1304-4918</t>
  </si>
  <si>
    <t>Oyang George</t>
  </si>
  <si>
    <t>Boke Agali</t>
  </si>
  <si>
    <t>UG-NOR-1104-859</t>
  </si>
  <si>
    <t>Drekwan Richard</t>
  </si>
  <si>
    <t>UG-NOR-1304-4919</t>
  </si>
  <si>
    <t>Oyom Geoffrey</t>
  </si>
  <si>
    <t>Awita</t>
  </si>
  <si>
    <t xml:space="preserve">Engin Morish </t>
  </si>
  <si>
    <t>Ayel</t>
  </si>
  <si>
    <t>Ojok  Martin</t>
  </si>
  <si>
    <t>Kwera</t>
  </si>
  <si>
    <t>Akuriluba</t>
  </si>
  <si>
    <t>UG-NOR-1304-5252</t>
  </si>
  <si>
    <t>Akopa  Silvario</t>
  </si>
  <si>
    <t>Agwingiri</t>
  </si>
  <si>
    <t>Acotedo</t>
  </si>
  <si>
    <t>UG-NOR-1304-5259</t>
  </si>
  <si>
    <t>Ocen  Dilson</t>
  </si>
  <si>
    <t>Adok</t>
  </si>
  <si>
    <t>Acamoayom</t>
  </si>
  <si>
    <t>UG-NOR-1304-5275</t>
  </si>
  <si>
    <t>Beatrice Akera</t>
  </si>
  <si>
    <t>Kasbubi central</t>
  </si>
  <si>
    <t>UG-NOR-1304-5291</t>
  </si>
  <si>
    <t>Opira  Kibalo Thomas</t>
  </si>
  <si>
    <t>wii Layibi Orubu</t>
  </si>
  <si>
    <t>UG-NOR-1304-78</t>
  </si>
  <si>
    <t>Wandira  Alfred</t>
  </si>
  <si>
    <t>Teacoda</t>
  </si>
  <si>
    <t>Alex  Odyek</t>
  </si>
  <si>
    <t>Atingtwo</t>
  </si>
  <si>
    <t>UG-NOR-1304-80</t>
  </si>
  <si>
    <t>Jokene  Jovan</t>
  </si>
  <si>
    <t>UG-NOR-1304-87</t>
  </si>
  <si>
    <t>Angweri  Lilly</t>
  </si>
  <si>
    <t>Adyel</t>
  </si>
  <si>
    <t>Telela B</t>
  </si>
  <si>
    <t>UG-NOR-1305-163</t>
  </si>
  <si>
    <t>Egwete  Marky</t>
  </si>
  <si>
    <t>Abenyonya</t>
  </si>
  <si>
    <t xml:space="preserve">Imat  Ketty Ogwang </t>
  </si>
  <si>
    <t>odeye</t>
  </si>
  <si>
    <t>Owiny  Martin Rose</t>
  </si>
  <si>
    <t>okwor</t>
  </si>
  <si>
    <t>Moses  Sambade</t>
  </si>
  <si>
    <t>Tegweng</t>
  </si>
  <si>
    <t>UG-NOR-1305-3274</t>
  </si>
  <si>
    <t>Atim  Lameck</t>
  </si>
  <si>
    <t>Abulubulu</t>
  </si>
  <si>
    <t>Ogwang  Tonny</t>
  </si>
  <si>
    <t xml:space="preserve">Dokolo </t>
  </si>
  <si>
    <t>otolepeoleo</t>
  </si>
  <si>
    <t>UG-NOR-1305-3371</t>
  </si>
  <si>
    <t>Atai Patrick</t>
  </si>
  <si>
    <t>Agali</t>
  </si>
  <si>
    <t>Abwong B</t>
  </si>
  <si>
    <t>UG-NOR-1305-4776</t>
  </si>
  <si>
    <t>Ogwel Martin</t>
  </si>
  <si>
    <t>UG-NOR-1305-5272</t>
  </si>
  <si>
    <t>Rose  Oola</t>
  </si>
  <si>
    <t>UG-NOR-1305-5281</t>
  </si>
  <si>
    <t>Aceng  Lucy</t>
  </si>
  <si>
    <t>Acwa</t>
  </si>
  <si>
    <t>Bungatira</t>
  </si>
  <si>
    <t>owoo</t>
  </si>
  <si>
    <t>UG-NOR-1305-5286</t>
  </si>
  <si>
    <t>Joska  Otoo</t>
  </si>
  <si>
    <t>Pudyek</t>
  </si>
  <si>
    <t>UG-NOR-1305-68</t>
  </si>
  <si>
    <t>Anna  Ogwang</t>
  </si>
  <si>
    <t>Aduku</t>
  </si>
  <si>
    <t>Akwodong B</t>
  </si>
  <si>
    <t>Atyang Denish</t>
  </si>
  <si>
    <t>Baropuu</t>
  </si>
  <si>
    <t>UG-NOR-1306-3254</t>
  </si>
  <si>
    <t>Waca  Levei</t>
  </si>
  <si>
    <t>Kole South</t>
  </si>
  <si>
    <t>Okwir  Geoffrey Ketty</t>
  </si>
  <si>
    <t>Agwatta</t>
  </si>
  <si>
    <t>Adakogik</t>
  </si>
  <si>
    <t>Omara  Leo</t>
  </si>
  <si>
    <t>Atwako B</t>
  </si>
  <si>
    <t>UG-NOR-1206-5289</t>
  </si>
  <si>
    <t>Lubwa  Samuel</t>
  </si>
  <si>
    <t>Layibi Division</t>
  </si>
  <si>
    <t>Pablo quatre</t>
  </si>
  <si>
    <t>UG-NOR-1306-3294</t>
  </si>
  <si>
    <t>Akullo Christine</t>
  </si>
  <si>
    <t>Eunice  Oluge</t>
  </si>
  <si>
    <t>Adyel division</t>
  </si>
  <si>
    <t>akitenino</t>
  </si>
  <si>
    <t>Geoffrey Ojuka Oluge</t>
  </si>
  <si>
    <t>Akitenino</t>
  </si>
  <si>
    <t>UG-NOR-1306-5253</t>
  </si>
  <si>
    <t>Emenyu  Emmanuel</t>
  </si>
  <si>
    <t>Dokolo TC</t>
  </si>
  <si>
    <t>Angwecibangi</t>
  </si>
  <si>
    <t>UG-NOR-1306-73</t>
  </si>
  <si>
    <t>Okello  James</t>
  </si>
  <si>
    <t>UG-NOR-1306-77</t>
  </si>
  <si>
    <t>Okello  Ambrose Ebong</t>
  </si>
  <si>
    <t>Adak A</t>
  </si>
  <si>
    <t>Okwany  Peterson</t>
  </si>
  <si>
    <t>Akwon</t>
  </si>
  <si>
    <t>Awinyidwon</t>
  </si>
  <si>
    <t>Willie  Odwongo Odwongo</t>
  </si>
  <si>
    <t>Acilkom</t>
  </si>
  <si>
    <t>UG-NOR-1307-151</t>
  </si>
  <si>
    <t>Okwir  Moris</t>
  </si>
  <si>
    <t>oyam North</t>
  </si>
  <si>
    <t>Aleka</t>
  </si>
  <si>
    <t>apitolwak</t>
  </si>
  <si>
    <t>Eriaku  Gelasio</t>
  </si>
  <si>
    <t>Abim</t>
  </si>
  <si>
    <t>Labwor</t>
  </si>
  <si>
    <t xml:space="preserve">Morulem </t>
  </si>
  <si>
    <t>Nyarikidi</t>
  </si>
  <si>
    <t>Ecil  Francis Milly</t>
  </si>
  <si>
    <t>Lwala</t>
  </si>
  <si>
    <t>Shidy Adonyo</t>
  </si>
  <si>
    <t>ogengo</t>
  </si>
  <si>
    <t>Amaso  Caroline</t>
  </si>
  <si>
    <t>Amwoma</t>
  </si>
  <si>
    <t>Adagoani</t>
  </si>
  <si>
    <t>UG-NOR-1307-3282</t>
  </si>
  <si>
    <t xml:space="preserve">Apenyo  Denis </t>
  </si>
  <si>
    <t>Awiri</t>
  </si>
  <si>
    <t>UG-NOR-1208-5296</t>
  </si>
  <si>
    <t>Oryem  Christopher Acil</t>
  </si>
  <si>
    <t>Elyetu  Joseph</t>
  </si>
  <si>
    <t>Dokolo tc</t>
  </si>
  <si>
    <t>Arwotnyap</t>
  </si>
  <si>
    <t>UG-NOR-1307-3287</t>
  </si>
  <si>
    <t>Obice  Sam</t>
  </si>
  <si>
    <t>okwongdul</t>
  </si>
  <si>
    <t>Acandyang</t>
  </si>
  <si>
    <t>Akello Susan</t>
  </si>
  <si>
    <t>olengobir</t>
  </si>
  <si>
    <t>UG-NOR-1210-158</t>
  </si>
  <si>
    <t>Komakech  Julius</t>
  </si>
  <si>
    <t>Cubu</t>
  </si>
  <si>
    <t>UG-NOR-1210-70</t>
  </si>
  <si>
    <t>Muge  Patrick Vincent</t>
  </si>
  <si>
    <t>UG-NOR-1307-3761</t>
  </si>
  <si>
    <t>Jasinter Adongo</t>
  </si>
  <si>
    <t>municipality</t>
  </si>
  <si>
    <t>Jacinta Bua</t>
  </si>
  <si>
    <t>Judith Otyek</t>
  </si>
  <si>
    <t>Adyel. Division</t>
  </si>
  <si>
    <t>Konakamdini</t>
  </si>
  <si>
    <t>Okello Fred</t>
  </si>
  <si>
    <t>Omach David</t>
  </si>
  <si>
    <t>Omunu Simon</t>
  </si>
  <si>
    <t>Angwetangwet</t>
  </si>
  <si>
    <t>UG-NOR-1307-4926</t>
  </si>
  <si>
    <t>Paska Grace Ogwang</t>
  </si>
  <si>
    <t>UG-NOR-1307-5050</t>
  </si>
  <si>
    <t>Epungu  Benson</t>
  </si>
  <si>
    <t>Morulem</t>
  </si>
  <si>
    <t>Jerusalem</t>
  </si>
  <si>
    <t>UG-NOR-1307-5273</t>
  </si>
  <si>
    <t>Oloya  Lucy</t>
  </si>
  <si>
    <t>UG-NOR-1307-5274</t>
  </si>
  <si>
    <t>Topista  Akullo</t>
  </si>
  <si>
    <t>Bardege div</t>
  </si>
  <si>
    <t>Kasubi central</t>
  </si>
  <si>
    <t>UG-NOR-1307-5283</t>
  </si>
  <si>
    <t>Otema  Fred</t>
  </si>
  <si>
    <t>Lagwiny</t>
  </si>
  <si>
    <t>UG-NOR-1307-62</t>
  </si>
  <si>
    <t>Olugu  James</t>
  </si>
  <si>
    <t>Aboke</t>
  </si>
  <si>
    <t>Teoryang</t>
  </si>
  <si>
    <t>UG-NOR-1308-1305</t>
  </si>
  <si>
    <t>Ongom  Namson</t>
  </si>
  <si>
    <t>Kole North</t>
  </si>
  <si>
    <t>Inubi</t>
  </si>
  <si>
    <t>UG-NOR-1308-3252</t>
  </si>
  <si>
    <t xml:space="preserve">Atyam  Concy </t>
  </si>
  <si>
    <t>Anjulina  George Atyam</t>
  </si>
  <si>
    <t>Abura Jaspher</t>
  </si>
  <si>
    <t>Adyangopiro</t>
  </si>
  <si>
    <t>UG-NOR-1308-3279</t>
  </si>
  <si>
    <t>Alice  Atikoro Judith</t>
  </si>
  <si>
    <t>Abuki</t>
  </si>
  <si>
    <t>UG-NOR-1308-3300</t>
  </si>
  <si>
    <t>Omara  Joe</t>
  </si>
  <si>
    <t>Kiyoga</t>
  </si>
  <si>
    <t>obalowat</t>
  </si>
  <si>
    <t>UG-NOR-1308-3351</t>
  </si>
  <si>
    <t>Anyes Okullo</t>
  </si>
  <si>
    <t>Erute</t>
  </si>
  <si>
    <t>UG-NOR-1308-3786</t>
  </si>
  <si>
    <t>Judith Ongura</t>
  </si>
  <si>
    <t>UG-NOR-1308-4187</t>
  </si>
  <si>
    <t>Madolena Moro</t>
  </si>
  <si>
    <t>Margaret Adupa</t>
  </si>
  <si>
    <t>camp David Telela A</t>
  </si>
  <si>
    <t>Rose Otim</t>
  </si>
  <si>
    <t>UG-NOR-1308-5280</t>
  </si>
  <si>
    <t>Rackara  Philip</t>
  </si>
  <si>
    <t>Keyi B</t>
  </si>
  <si>
    <t>UG-NOR-1308-5284</t>
  </si>
  <si>
    <t>Opio  David</t>
  </si>
  <si>
    <t>Ngetta</t>
  </si>
  <si>
    <t>UG-NOR-1308-65</t>
  </si>
  <si>
    <t>Olugu  Sophia</t>
  </si>
  <si>
    <t>Aculbanya</t>
  </si>
  <si>
    <t>UG-NOR-1308-75</t>
  </si>
  <si>
    <t>Ogwang  Omwa Ceasar</t>
  </si>
  <si>
    <t>Amwonyocao A</t>
  </si>
  <si>
    <t>Constantine  Okure</t>
  </si>
  <si>
    <t>obuma</t>
  </si>
  <si>
    <t>UG-NOR-1309-3597</t>
  </si>
  <si>
    <t>Omach Arioakoma Caeasr</t>
  </si>
  <si>
    <t>Lilly Odero</t>
  </si>
  <si>
    <t>UG-NOR-1309-4865</t>
  </si>
  <si>
    <t>Ongu Joel</t>
  </si>
  <si>
    <t>UG-NOR-1309-5256</t>
  </si>
  <si>
    <t>Opena  Calvin</t>
  </si>
  <si>
    <t>Aningo</t>
  </si>
  <si>
    <t>UG-NOR-1309-64</t>
  </si>
  <si>
    <t>Otyang  Nixson</t>
  </si>
  <si>
    <t>Barowak B</t>
  </si>
  <si>
    <t>UG-NOR-1303-5277</t>
  </si>
  <si>
    <t>Ochola  Juliet</t>
  </si>
  <si>
    <t>Laro div.</t>
  </si>
  <si>
    <t>Ariaga</t>
  </si>
  <si>
    <t>UG-NOR-1303-5278</t>
  </si>
  <si>
    <t>Susan  Onen</t>
  </si>
  <si>
    <t>Laro</t>
  </si>
  <si>
    <t>UG-NOR-1303-5285</t>
  </si>
  <si>
    <t>Orach  Alice</t>
  </si>
  <si>
    <t>Pabala</t>
  </si>
  <si>
    <t>UG-NOR-1309-66</t>
  </si>
  <si>
    <t>Evaline  Man Long</t>
  </si>
  <si>
    <t>UG-NOR-1309-67</t>
  </si>
  <si>
    <t>Egwel  Stephen</t>
  </si>
  <si>
    <t>Aduku T/c</t>
  </si>
  <si>
    <t>Loani B</t>
  </si>
  <si>
    <t>UG-NOR-1309-74</t>
  </si>
  <si>
    <t>Amoka  Tonny</t>
  </si>
  <si>
    <t>Lira sub county</t>
  </si>
  <si>
    <t>Anai</t>
  </si>
  <si>
    <t>UG-NOR-1310-1033</t>
  </si>
  <si>
    <t>Christine Alul</t>
  </si>
  <si>
    <t>UG-NOR-1310-2978</t>
  </si>
  <si>
    <t>Omara Geoffrey</t>
  </si>
  <si>
    <t>Agali A</t>
  </si>
  <si>
    <t>UG-NOR-1310-3283</t>
  </si>
  <si>
    <t xml:space="preserve">Okwir  Tonny </t>
  </si>
  <si>
    <t>Aringoading</t>
  </si>
  <si>
    <t>UG-NOR-1310-3374</t>
  </si>
  <si>
    <t>Atim Loy Rebbeca</t>
  </si>
  <si>
    <t>UG-NOR-1310-3530</t>
  </si>
  <si>
    <t>David Omuka</t>
  </si>
  <si>
    <t>kirombe</t>
  </si>
  <si>
    <t>UG-NOR-1310-4236</t>
  </si>
  <si>
    <t>Mary Otobo</t>
  </si>
  <si>
    <t>Starch Factory A</t>
  </si>
  <si>
    <t>UG-NOR-1310-4830</t>
  </si>
  <si>
    <t>Okwir Alfred</t>
  </si>
  <si>
    <t>UG-NOR-1310-61</t>
  </si>
  <si>
    <t>Owidi  Patrick</t>
  </si>
  <si>
    <t>Tom  Opio</t>
  </si>
  <si>
    <t>Agnes Okello</t>
  </si>
  <si>
    <t>UG-NOR-1304-5282</t>
  </si>
  <si>
    <t>Okot  Jimmy</t>
  </si>
  <si>
    <t>owak</t>
  </si>
  <si>
    <t>UG-NOR-1311-3515</t>
  </si>
  <si>
    <t>Caroline Agetta</t>
  </si>
  <si>
    <t>UG-NOR-1311-3972</t>
  </si>
  <si>
    <t>Ketty Amen</t>
  </si>
  <si>
    <t>UG-NOR-1311-60</t>
  </si>
  <si>
    <t>Aroko  Scovia</t>
  </si>
  <si>
    <t>UG-NOR-1304-81</t>
  </si>
  <si>
    <t>Akello  Ebong Agness</t>
  </si>
  <si>
    <t>UG-NOR-1311-63</t>
  </si>
  <si>
    <t>Constatine  Coda</t>
  </si>
  <si>
    <t>Acwalgira</t>
  </si>
  <si>
    <t>Akaki  Jovino</t>
  </si>
  <si>
    <t>Ocwer  James</t>
  </si>
  <si>
    <t>Amolatar tc</t>
  </si>
  <si>
    <t>Epyel</t>
  </si>
  <si>
    <t>UG-NOR-1312-3261</t>
  </si>
  <si>
    <t>Bua  Alex</t>
  </si>
  <si>
    <t>UG-NOR-1312-3262</t>
  </si>
  <si>
    <t>Cons  Omara</t>
  </si>
  <si>
    <t>Aagwata</t>
  </si>
  <si>
    <t>UG-NOR-1312-3539</t>
  </si>
  <si>
    <t>Dorcus Area</t>
  </si>
  <si>
    <t>Kisembo Harriet</t>
  </si>
  <si>
    <t>UG-NOR-1312-4119</t>
  </si>
  <si>
    <t>Lilian Opio</t>
  </si>
  <si>
    <t>UG-NOR-1312-4652</t>
  </si>
  <si>
    <t>Nekolina Ogwang</t>
  </si>
  <si>
    <t>UG-NOR-1312-4753</t>
  </si>
  <si>
    <t>Odongo Thomas</t>
  </si>
  <si>
    <t>Municipality lira</t>
  </si>
  <si>
    <t>UG-NOR-1312-4794</t>
  </si>
  <si>
    <t>Okello Patrick2</t>
  </si>
  <si>
    <t>Oming Agastine</t>
  </si>
  <si>
    <t>UG-NOR-1312-4967</t>
  </si>
  <si>
    <t>Rose Okello</t>
  </si>
  <si>
    <t>UG-NOR-1312-5021</t>
  </si>
  <si>
    <t>Sarah Okello Molamega</t>
  </si>
  <si>
    <t>Telela</t>
  </si>
  <si>
    <t>Pere  Nelson</t>
  </si>
  <si>
    <t>Tegweng A</t>
  </si>
  <si>
    <t>UG-NOR-1312-5268</t>
  </si>
  <si>
    <t>Omara  Joseph</t>
  </si>
  <si>
    <t xml:space="preserve">Otuke </t>
  </si>
  <si>
    <t>otuke</t>
  </si>
  <si>
    <t>Adwari</t>
  </si>
  <si>
    <t>Apur</t>
  </si>
  <si>
    <t>Opori  Geoffrey Okello</t>
  </si>
  <si>
    <t>UG-NOR-1312-59</t>
  </si>
  <si>
    <t>Apunyo Peter William</t>
  </si>
  <si>
    <t>UG-NOR-1312-90</t>
  </si>
  <si>
    <t>Atim  Obua Margaret</t>
  </si>
  <si>
    <t>Kirombe north A</t>
  </si>
  <si>
    <t>Mary Obia</t>
  </si>
  <si>
    <t>onyaboyere</t>
  </si>
  <si>
    <t>UG-NOR-1306-5251</t>
  </si>
  <si>
    <t>Okello Paul Peter</t>
  </si>
  <si>
    <t>Kizimba A</t>
  </si>
  <si>
    <t>UG-NOR-1401-152</t>
  </si>
  <si>
    <t>Okello  Peter</t>
  </si>
  <si>
    <t>oyam north</t>
  </si>
  <si>
    <t>Otwal</t>
  </si>
  <si>
    <t>Trading center A</t>
  </si>
  <si>
    <t>Arwenyo  Kevin</t>
  </si>
  <si>
    <t>Adero Latigo Filda</t>
  </si>
  <si>
    <t>omito Telela</t>
  </si>
  <si>
    <t>Alele Moses</t>
  </si>
  <si>
    <t>Otim  Aquinas Thomas</t>
  </si>
  <si>
    <t>Ambrose Epila</t>
  </si>
  <si>
    <t>Angwetangwet B</t>
  </si>
  <si>
    <t>UG-NOR-1401-3529</t>
  </si>
  <si>
    <t>David Omia</t>
  </si>
  <si>
    <t>obanga Pe Wany</t>
  </si>
  <si>
    <t>UG-NOR-1401-3606</t>
  </si>
  <si>
    <t>Emor Benson</t>
  </si>
  <si>
    <t>Mpangire Simon</t>
  </si>
  <si>
    <t>UG-NOR-1401-4769</t>
  </si>
  <si>
    <t>Ogwang Moses</t>
  </si>
  <si>
    <t>Cukibange</t>
  </si>
  <si>
    <t>Okello Rashid</t>
  </si>
  <si>
    <t>UG-NOR-1401-4816</t>
  </si>
  <si>
    <t>Okot Livingstone Oloch</t>
  </si>
  <si>
    <t>Barlwala</t>
  </si>
  <si>
    <t>UG-NOR-1401-4818</t>
  </si>
  <si>
    <t>Okuku Thompson Frank</t>
  </si>
  <si>
    <t>ogengo,</t>
  </si>
  <si>
    <t>UG-NOR-1401-4879</t>
  </si>
  <si>
    <t>Opio Nelson</t>
  </si>
  <si>
    <t>alengobir</t>
  </si>
  <si>
    <t>Opio Martin</t>
  </si>
  <si>
    <t>Todo Victor</t>
  </si>
  <si>
    <t>UG-NOR-1401-5266</t>
  </si>
  <si>
    <t>Okwir  Lawrence</t>
  </si>
  <si>
    <t>Ilera</t>
  </si>
  <si>
    <t>UG-NOR-1401-5267</t>
  </si>
  <si>
    <t>Okabo  Pius</t>
  </si>
  <si>
    <t>Ayeki</t>
  </si>
  <si>
    <t>UG-NOR-1401-71</t>
  </si>
  <si>
    <t>Owac  Salva</t>
  </si>
  <si>
    <t>Ngeta</t>
  </si>
  <si>
    <t>Barobogo</t>
  </si>
  <si>
    <t>UG-NOR-1402-3284</t>
  </si>
  <si>
    <t>Ago Michael</t>
  </si>
  <si>
    <t>UG-NOR-1402-3352</t>
  </si>
  <si>
    <t>Apenyo Daniel</t>
  </si>
  <si>
    <t>UG-NOR-1402-3503</t>
  </si>
  <si>
    <t>Apio Janet Oyee (Plant2)</t>
  </si>
  <si>
    <t>Lango college</t>
  </si>
  <si>
    <t>UG-NOR-1402-3564</t>
  </si>
  <si>
    <t>Duka Peter</t>
  </si>
  <si>
    <t>UG-NOR-1402-3760</t>
  </si>
  <si>
    <t>Janet Odongo Bongonyinge</t>
  </si>
  <si>
    <t>UG-NOR-1402-4751</t>
  </si>
  <si>
    <t>Odongo J Hilary</t>
  </si>
  <si>
    <t>UG-NOR-1402-4754</t>
  </si>
  <si>
    <t>Odwar George Tonny</t>
  </si>
  <si>
    <t>Ayago Vilage</t>
  </si>
  <si>
    <t>Owino James</t>
  </si>
  <si>
    <t>omito Bung</t>
  </si>
  <si>
    <t>UG-NOR-1307-5299</t>
  </si>
  <si>
    <t>Betty  Akoli</t>
  </si>
  <si>
    <t>UG-NOR-1404-3292</t>
  </si>
  <si>
    <t>Oceka  Bonny</t>
  </si>
  <si>
    <t>Atwako</t>
  </si>
  <si>
    <t>UG-NOR-1408-5298</t>
  </si>
  <si>
    <t>Stanthony Farm Comboni Saritans Of Gulu</t>
  </si>
  <si>
    <t>oluba</t>
  </si>
  <si>
    <t>Okello  Angela Ateso</t>
  </si>
  <si>
    <t>omit telela B</t>
  </si>
  <si>
    <t>Okello Ateso</t>
  </si>
  <si>
    <t>Omito</t>
  </si>
  <si>
    <t>UG-NOR-1411-50</t>
  </si>
  <si>
    <t>Dr Awanyo James</t>
  </si>
  <si>
    <t>Opio Jimmy</t>
  </si>
  <si>
    <t>Wiro</t>
  </si>
  <si>
    <t>UG-NOR-1502-1018</t>
  </si>
  <si>
    <t>Okello Stephen</t>
  </si>
  <si>
    <t>Akitenimo</t>
  </si>
  <si>
    <t>UG-NOR-1503-00088</t>
  </si>
  <si>
    <t>Apio Janet Oyee (Plant1)</t>
  </si>
  <si>
    <t>Teabia</t>
  </si>
  <si>
    <t>FAOBIL</t>
  </si>
  <si>
    <t>UG-NOR-1503-1020</t>
  </si>
  <si>
    <t>Rose Dokolinga</t>
  </si>
  <si>
    <t>Gweng Abara</t>
  </si>
  <si>
    <t>UG-NOR-1504-03507</t>
  </si>
  <si>
    <t>Aweri Christine</t>
  </si>
  <si>
    <t>Kwani</t>
  </si>
  <si>
    <t>Abapiri A</t>
  </si>
  <si>
    <t>UG-NOR-1504-1028</t>
  </si>
  <si>
    <t>Omara Joseph</t>
  </si>
  <si>
    <t>Otuke</t>
  </si>
  <si>
    <t>UG-NOR-1506-1019</t>
  </si>
  <si>
    <t>Comboni Samaritans Of Gulu</t>
  </si>
  <si>
    <t>Omoro county</t>
  </si>
  <si>
    <t>Ongako</t>
  </si>
  <si>
    <t>Akomo</t>
  </si>
  <si>
    <t>UG-NOR-1308-5262</t>
  </si>
  <si>
    <t>Hamza  Okello</t>
  </si>
  <si>
    <t>Anai ober</t>
  </si>
  <si>
    <t>UG-NOR-1506-1030</t>
  </si>
  <si>
    <t>Ojok Ben</t>
  </si>
  <si>
    <t>LMC</t>
  </si>
  <si>
    <t>Adyeli Kasubi B</t>
  </si>
  <si>
    <t>UG-NOR-1506-642</t>
  </si>
  <si>
    <t>Asen Lodu</t>
  </si>
  <si>
    <t>Adjumani</t>
  </si>
  <si>
    <t>Pasara</t>
  </si>
  <si>
    <t>Oligi Refugee Settlement Camp`</t>
  </si>
  <si>
    <t>UG-NOR-1506-95</t>
  </si>
  <si>
    <t>Ochen Hannington</t>
  </si>
  <si>
    <t>Akanyoaol</t>
  </si>
  <si>
    <t>UG-NOR-1507-1032</t>
  </si>
  <si>
    <t>Olet Charles</t>
  </si>
  <si>
    <t>Ogengo</t>
  </si>
  <si>
    <t>UG-NOR-1508-648</t>
  </si>
  <si>
    <t>Okwir Gray</t>
  </si>
  <si>
    <t>Pader</t>
  </si>
  <si>
    <t>UG-NOR-1508-94</t>
  </si>
  <si>
    <t>Cosmas Abila</t>
  </si>
  <si>
    <t>kole north</t>
  </si>
  <si>
    <t>Patrick Ogwang</t>
  </si>
  <si>
    <t>Aloi</t>
  </si>
  <si>
    <t>UG-NOR-1604-00085</t>
  </si>
  <si>
    <t>Achope  Richard</t>
  </si>
  <si>
    <t>Angwetanget B</t>
  </si>
  <si>
    <t>UG-NOR-1605-03502</t>
  </si>
  <si>
    <t>Martin Owera</t>
  </si>
  <si>
    <t>UG-NOR-1606-03509</t>
  </si>
  <si>
    <t>Olimo Wilfred</t>
  </si>
  <si>
    <t>Maruni</t>
  </si>
  <si>
    <t>Akere</t>
  </si>
  <si>
    <t>Biashara</t>
  </si>
  <si>
    <t>UG-NOR-1608-03512</t>
  </si>
  <si>
    <t>Oryem Vinancio</t>
  </si>
  <si>
    <t>Obwola</t>
  </si>
  <si>
    <t>Eng Otim S O</t>
  </si>
  <si>
    <t>Aswaa</t>
  </si>
  <si>
    <t>Unyama</t>
  </si>
  <si>
    <t>Awici</t>
  </si>
  <si>
    <t>UG-NOR-1608-3513</t>
  </si>
  <si>
    <t>Odongo Geoffrey</t>
  </si>
  <si>
    <t>Onang</t>
  </si>
  <si>
    <t>UG-NOR-1608-93</t>
  </si>
  <si>
    <t>Obong Emmy</t>
  </si>
  <si>
    <t>Aromo</t>
  </si>
  <si>
    <t>Owene</t>
  </si>
  <si>
    <t>UG-NOR-1609-03514</t>
  </si>
  <si>
    <t>Stjude Home Children'S</t>
  </si>
  <si>
    <t>Bardege division</t>
  </si>
  <si>
    <t>Kayi C</t>
  </si>
  <si>
    <t>UG-NOR-1609-3510</t>
  </si>
  <si>
    <t>Auma Terisa Omach</t>
  </si>
  <si>
    <t>Bobi</t>
  </si>
  <si>
    <t>Awimon B</t>
  </si>
  <si>
    <t>Ojok Denis</t>
  </si>
  <si>
    <t>Junior quarters</t>
  </si>
  <si>
    <t>Energia</t>
  </si>
  <si>
    <t>UG-NOR-1610-4719</t>
  </si>
  <si>
    <t>Obua Joseph</t>
  </si>
  <si>
    <t>ongica A</t>
  </si>
  <si>
    <t>UG-NOR-1611-03519</t>
  </si>
  <si>
    <t>Acayo Grace</t>
  </si>
  <si>
    <t>Ongica</t>
  </si>
  <si>
    <t>UG-NOR-1611-1630</t>
  </si>
  <si>
    <t>Mrs Stella Auma</t>
  </si>
  <si>
    <t>Barlonyo Div</t>
  </si>
  <si>
    <t>Barlongo</t>
  </si>
  <si>
    <t>UG-NOR-1612-6861</t>
  </si>
  <si>
    <t>Grace Klacha</t>
  </si>
  <si>
    <t>Boroboro</t>
  </si>
  <si>
    <t>Just Connect</t>
  </si>
  <si>
    <t>UG-NOR-1703-03520</t>
  </si>
  <si>
    <t>Ojuka Edward</t>
  </si>
  <si>
    <t>Akwoyo</t>
  </si>
  <si>
    <t>UG-NOR-1705-06100</t>
  </si>
  <si>
    <t>Jenifer Opio Ekong</t>
  </si>
  <si>
    <t>Agebo B</t>
  </si>
  <si>
    <t>UG-NOR-1801-06222</t>
  </si>
  <si>
    <t>Abwola Hellen</t>
  </si>
  <si>
    <t>Kitgum</t>
  </si>
  <si>
    <t>Kitgum Municipality</t>
  </si>
  <si>
    <t>Awochi</t>
  </si>
  <si>
    <t>UG-NOR-1801-641</t>
  </si>
  <si>
    <t>Paban James</t>
  </si>
  <si>
    <t>UG-NOR-1802-07397</t>
  </si>
  <si>
    <t>Evergreen Organic</t>
  </si>
  <si>
    <t>Arua</t>
  </si>
  <si>
    <t>Ajia</t>
  </si>
  <si>
    <t>Biadudu</t>
  </si>
  <si>
    <t>UG-NOR-1808-08051</t>
  </si>
  <si>
    <t>Alya Obua Joseph</t>
  </si>
  <si>
    <t>Oyam North</t>
  </si>
  <si>
    <t>Iceme</t>
  </si>
  <si>
    <t>Agwenta B</t>
  </si>
  <si>
    <t>UG-NOR-1811-08053</t>
  </si>
  <si>
    <t>Boniface Odyek</t>
  </si>
  <si>
    <t>Baryao B</t>
  </si>
  <si>
    <t>UG-NOR-1811-08058</t>
  </si>
  <si>
    <t>Victor Andrew Otoo</t>
  </si>
  <si>
    <t>35.235624</t>
  </si>
  <si>
    <t>Asulbanya</t>
  </si>
  <si>
    <t>UG-NOR-1811-08354</t>
  </si>
  <si>
    <t>Akera Erick Bosco</t>
  </si>
  <si>
    <t>Unyama B</t>
  </si>
  <si>
    <t>UG-NOR-1811-08355</t>
  </si>
  <si>
    <t>Bonifes Ochan Bonifes</t>
  </si>
  <si>
    <t>Bob1</t>
  </si>
  <si>
    <t>Pato</t>
  </si>
  <si>
    <t>UG-NOR-1812-08054</t>
  </si>
  <si>
    <t>Apio Oyee Jenet (Plant 3)</t>
  </si>
  <si>
    <t>Okecoyere</t>
  </si>
  <si>
    <t>Bompwo</t>
  </si>
  <si>
    <t>UG-NOR-1812-08055</t>
  </si>
  <si>
    <t>Onyanga Moses</t>
  </si>
  <si>
    <t>Ojwina Division</t>
  </si>
  <si>
    <t>Ober Kampala</t>
  </si>
  <si>
    <t>Kiss A Denis</t>
  </si>
  <si>
    <t>Adyel Div</t>
  </si>
  <si>
    <t>UG-NOR-1812-08565</t>
  </si>
  <si>
    <t>Refugee council Danish</t>
  </si>
  <si>
    <t>East moyo</t>
  </si>
  <si>
    <t>Itirikwa</t>
  </si>
  <si>
    <t>Orungwa</t>
  </si>
  <si>
    <t>UG-NOR-1904-07873</t>
  </si>
  <si>
    <t>Pario Lawrance</t>
  </si>
  <si>
    <t>Vurra</t>
  </si>
  <si>
    <t>Alio</t>
  </si>
  <si>
    <t>UG-NOR-1905-07341</t>
  </si>
  <si>
    <t>Lalobo Clement</t>
  </si>
  <si>
    <t>Nwoya</t>
  </si>
  <si>
    <t>Anaka</t>
  </si>
  <si>
    <t>Agung</t>
  </si>
  <si>
    <t>UG-NOR-1908-08078</t>
  </si>
  <si>
    <t>Joy Ocero Sam</t>
  </si>
  <si>
    <t>Aroca</t>
  </si>
  <si>
    <t>Owang cell</t>
  </si>
  <si>
    <t>UG-NOR-1909-014102</t>
  </si>
  <si>
    <t>Mary Ongom</t>
  </si>
  <si>
    <t>Agweny</t>
  </si>
  <si>
    <t>Widam</t>
  </si>
  <si>
    <t>UG-NOR-1910-013780</t>
  </si>
  <si>
    <t>Omona Joseph</t>
  </si>
  <si>
    <t>Yima</t>
  </si>
  <si>
    <t>Koch</t>
  </si>
  <si>
    <t>UG-NOR-1910-08084</t>
  </si>
  <si>
    <t>Gutui Jane Opio</t>
  </si>
  <si>
    <t>UG-NOR-1912-014103</t>
  </si>
  <si>
    <t>Kevin Akello</t>
  </si>
  <si>
    <t>Erute south</t>
  </si>
  <si>
    <t>Adekokwoko</t>
  </si>
  <si>
    <t>Epok Maxwell</t>
  </si>
  <si>
    <t>UG-NOR-1912-014104</t>
  </si>
  <si>
    <t xml:space="preserve">Eunice Okemgara Ricard </t>
  </si>
  <si>
    <t>0778473894</t>
  </si>
  <si>
    <t>Erute South</t>
  </si>
  <si>
    <t>Bare</t>
  </si>
  <si>
    <t>Woro mite</t>
  </si>
  <si>
    <t>UG-NOR-1912-014105</t>
  </si>
  <si>
    <t>Odongo Moses</t>
  </si>
  <si>
    <t>0778980183</t>
  </si>
  <si>
    <t>UG-NOR-2001-012129</t>
  </si>
  <si>
    <t xml:space="preserve">Justine Oriema </t>
  </si>
  <si>
    <t>0782765322</t>
  </si>
  <si>
    <t>Gulu municipality</t>
  </si>
  <si>
    <t>Gulu  municipality</t>
  </si>
  <si>
    <t>Tegwena</t>
  </si>
  <si>
    <t>UG-NOR-2001-012131</t>
  </si>
  <si>
    <t xml:space="preserve">Benedict Labeja </t>
  </si>
  <si>
    <t>0777363517</t>
  </si>
  <si>
    <t>Aswai</t>
  </si>
  <si>
    <t>Paicho</t>
  </si>
  <si>
    <t>Lapuda</t>
  </si>
  <si>
    <t>Achola Hellenic Ramsay</t>
  </si>
  <si>
    <t>UG-NOR-2001-013023</t>
  </si>
  <si>
    <t>Erach Denis</t>
  </si>
  <si>
    <t>0785614573</t>
  </si>
  <si>
    <t>Arocha</t>
  </si>
  <si>
    <t>Owang</t>
  </si>
  <si>
    <t>Oryee  Denis</t>
  </si>
  <si>
    <t>Aneralibi</t>
  </si>
  <si>
    <t>UG-NOR-2002-07750</t>
  </si>
  <si>
    <t xml:space="preserve">Odonga Mustafa </t>
  </si>
  <si>
    <t>25677822792</t>
  </si>
  <si>
    <t>Kochongako</t>
  </si>
  <si>
    <t>Ongaro</t>
  </si>
  <si>
    <t>Abilnino</t>
  </si>
  <si>
    <t>UG-NOR-2006-07761</t>
  </si>
  <si>
    <t>Icaya Alex Ogwal</t>
  </si>
  <si>
    <t>Pele</t>
  </si>
  <si>
    <t>Cubu A&amp;B</t>
  </si>
  <si>
    <t>UG-NOR-2008-07762</t>
  </si>
  <si>
    <t xml:space="preserve">Andima Emmanuel </t>
  </si>
  <si>
    <t>Yumbe</t>
  </si>
  <si>
    <t>Aringa central</t>
  </si>
  <si>
    <t>Yumbe town coucil</t>
  </si>
  <si>
    <t>Morodo</t>
  </si>
  <si>
    <t>Dr Opudo Moses</t>
  </si>
  <si>
    <t>UG-NOR-2008-07764</t>
  </si>
  <si>
    <t xml:space="preserve">Angoziga Adinan </t>
  </si>
  <si>
    <t>Aringa West</t>
  </si>
  <si>
    <t>Senior quarters</t>
  </si>
  <si>
    <t>Joan Okite</t>
  </si>
  <si>
    <t>UG-NOR-2102-013620</t>
  </si>
  <si>
    <t xml:space="preserve">Adubango Norbert </t>
  </si>
  <si>
    <t>+256782882460</t>
  </si>
  <si>
    <t>Nebbi</t>
  </si>
  <si>
    <t>Padyere</t>
  </si>
  <si>
    <t>Parombo</t>
  </si>
  <si>
    <t>Acana</t>
  </si>
  <si>
    <t>Ngole Lucy</t>
  </si>
  <si>
    <t>UG-NOR-2102-013621</t>
  </si>
  <si>
    <t xml:space="preserve">Okurmu Kennedy </t>
  </si>
  <si>
    <t>+256787227257</t>
  </si>
  <si>
    <t>Pthetho B</t>
  </si>
  <si>
    <t>UG-NOR-2102-013623</t>
  </si>
  <si>
    <t xml:space="preserve">Oruycan Vincent </t>
  </si>
  <si>
    <t>+256777250633</t>
  </si>
  <si>
    <t>Pangere</t>
  </si>
  <si>
    <t>Porombo</t>
  </si>
  <si>
    <t>Gwi West</t>
  </si>
  <si>
    <t>UG-NOR-2102-013626</t>
  </si>
  <si>
    <t xml:space="preserve">Alo Jockson </t>
  </si>
  <si>
    <t>+256772168059</t>
  </si>
  <si>
    <t>Alivu</t>
  </si>
  <si>
    <t>Aroi</t>
  </si>
  <si>
    <t>Alarava</t>
  </si>
  <si>
    <t>UG-NOR-2102-013627</t>
  </si>
  <si>
    <t xml:space="preserve">Lema Mathew </t>
  </si>
  <si>
    <t>0781576288</t>
  </si>
  <si>
    <t>Ayivu</t>
  </si>
  <si>
    <t>Lufe</t>
  </si>
  <si>
    <t>UG-NOR-2102-013628</t>
  </si>
  <si>
    <t xml:space="preserve">Endraru Safia </t>
  </si>
  <si>
    <t>0787331067</t>
  </si>
  <si>
    <t>Bura B</t>
  </si>
  <si>
    <t>UG-NOR-2102-013629</t>
  </si>
  <si>
    <t xml:space="preserve">AGIYo Mophat </t>
  </si>
  <si>
    <t>+256788216407</t>
  </si>
  <si>
    <t>Alivu West</t>
  </si>
  <si>
    <t>UG-NOR-2102-013630</t>
  </si>
  <si>
    <t xml:space="preserve">Agotre Innocent </t>
  </si>
  <si>
    <t>0787149325</t>
  </si>
  <si>
    <t>Madiokole</t>
  </si>
  <si>
    <t>UG-NOR-1401-5260</t>
  </si>
  <si>
    <t>Akello  Gloria Anna</t>
  </si>
  <si>
    <t>St Katherine</t>
  </si>
  <si>
    <t>UG-NOR-2102-013631</t>
  </si>
  <si>
    <t xml:space="preserve">Dalili Adbdu </t>
  </si>
  <si>
    <t>+2560773365156</t>
  </si>
  <si>
    <t>Rhino camp</t>
  </si>
  <si>
    <t>Madi okollo</t>
  </si>
  <si>
    <t>Abario</t>
  </si>
  <si>
    <t>UG-NOR-2102-013632</t>
  </si>
  <si>
    <t xml:space="preserve">Dramadri John </t>
  </si>
  <si>
    <t>+256770843904</t>
  </si>
  <si>
    <t>Madi-Okollo</t>
  </si>
  <si>
    <t>OYOA</t>
  </si>
  <si>
    <t>UG-NOR-2102-013633</t>
  </si>
  <si>
    <t xml:space="preserve">EZAMA Albert </t>
  </si>
  <si>
    <t>0782679374</t>
  </si>
  <si>
    <t>Madi Okollo</t>
  </si>
  <si>
    <t>UG-NOR-2102-013640</t>
  </si>
  <si>
    <t xml:space="preserve">Amasendi Amos </t>
  </si>
  <si>
    <t>+256785550263</t>
  </si>
  <si>
    <t>0785550263</t>
  </si>
  <si>
    <t>Oweko okio</t>
  </si>
  <si>
    <t>Payere</t>
  </si>
  <si>
    <t>UG-NOR-2102-013641</t>
  </si>
  <si>
    <t xml:space="preserve">Okello Patrick </t>
  </si>
  <si>
    <t>+256773141603</t>
  </si>
  <si>
    <t>Abar West</t>
  </si>
  <si>
    <t>Palyech</t>
  </si>
  <si>
    <t>UG-NOR-2102-013642</t>
  </si>
  <si>
    <t xml:space="preserve">Awekonimungu Collins </t>
  </si>
  <si>
    <t>+256773871666</t>
  </si>
  <si>
    <t>Messi</t>
  </si>
  <si>
    <t>Messi lower</t>
  </si>
  <si>
    <t>UG-NOR-2102-013643</t>
  </si>
  <si>
    <t xml:space="preserve">Ojiki Jerry </t>
  </si>
  <si>
    <t>+256789292687</t>
  </si>
  <si>
    <t>Paley west</t>
  </si>
  <si>
    <t>UG-NOR-2102-013644</t>
  </si>
  <si>
    <t xml:space="preserve">Bedijo Gerald </t>
  </si>
  <si>
    <t>0782493298</t>
  </si>
  <si>
    <t>Ogwal</t>
  </si>
  <si>
    <t>UG-NOR-2103-021333</t>
  </si>
  <si>
    <t>Acres of Hope</t>
  </si>
  <si>
    <t>0702644417</t>
  </si>
  <si>
    <t>Abindu</t>
  </si>
  <si>
    <t>Nebbi municipality</t>
  </si>
  <si>
    <t>Okeyo</t>
  </si>
  <si>
    <t>UG-NOR-2106-018419</t>
  </si>
  <si>
    <t xml:space="preserve">Ekel Margraet </t>
  </si>
  <si>
    <t>Nighingale</t>
  </si>
  <si>
    <t>Atik</t>
  </si>
  <si>
    <t>UG-NOR-2107-014116</t>
  </si>
  <si>
    <t xml:space="preserve">Nyeko Micheal </t>
  </si>
  <si>
    <t>0771752933</t>
  </si>
  <si>
    <t>Gulu city</t>
  </si>
  <si>
    <t>Agwe</t>
  </si>
  <si>
    <t>UG-NOR-2107-014119</t>
  </si>
  <si>
    <t>HOPE ATIM RACHEL</t>
  </si>
  <si>
    <t>Lira City</t>
  </si>
  <si>
    <t>Akia</t>
  </si>
  <si>
    <t>UG-NOR-2108-014117</t>
  </si>
  <si>
    <t xml:space="preserve">Acenge Bitresh </t>
  </si>
  <si>
    <t>Bugatira</t>
  </si>
  <si>
    <t>Lawiadul</t>
  </si>
  <si>
    <t>UG-NOR-2108-014120</t>
  </si>
  <si>
    <t xml:space="preserve">Lakony Micheal </t>
  </si>
  <si>
    <t>0778295564</t>
  </si>
  <si>
    <t>0773170673</t>
  </si>
  <si>
    <t>Akwang</t>
  </si>
  <si>
    <t>Bolbom</t>
  </si>
  <si>
    <t>UG-NOR-2108-014121</t>
  </si>
  <si>
    <t xml:space="preserve">Komagum Francis </t>
  </si>
  <si>
    <t>0784307602</t>
  </si>
  <si>
    <t>Labogo akwang</t>
  </si>
  <si>
    <t>UG-NOR-2108-014122</t>
  </si>
  <si>
    <t>Ayela Onach Benjamin</t>
  </si>
  <si>
    <t>0784938209</t>
  </si>
  <si>
    <t>0776934441</t>
  </si>
  <si>
    <t>Cwa west</t>
  </si>
  <si>
    <t>Labong akwang</t>
  </si>
  <si>
    <t>UG-NOR-2108-014123</t>
  </si>
  <si>
    <t xml:space="preserve">Michael Idha </t>
  </si>
  <si>
    <t>0772371454</t>
  </si>
  <si>
    <t>Korogankal</t>
  </si>
  <si>
    <t>Bulyech</t>
  </si>
  <si>
    <t>UG-NOR-2109-017846</t>
  </si>
  <si>
    <t xml:space="preserve">Richard Apangu </t>
  </si>
  <si>
    <t>0786743372</t>
  </si>
  <si>
    <t>Koboko</t>
  </si>
  <si>
    <t>Dranya</t>
  </si>
  <si>
    <t>Korobolu</t>
  </si>
  <si>
    <t>UG-NOR-2109-017847</t>
  </si>
  <si>
    <t xml:space="preserve">Alezoyo Annet </t>
  </si>
  <si>
    <t>0777530889</t>
  </si>
  <si>
    <t>0773894945</t>
  </si>
  <si>
    <t>Opevu</t>
  </si>
  <si>
    <t>UG-NOR-2109-017848</t>
  </si>
  <si>
    <t xml:space="preserve">Oddo Esther </t>
  </si>
  <si>
    <t>0775634116</t>
  </si>
  <si>
    <t>0774600714</t>
  </si>
  <si>
    <t>Arua city</t>
  </si>
  <si>
    <t>Arua central</t>
  </si>
  <si>
    <t>Nsyambia south</t>
  </si>
  <si>
    <t>UG-NOR-2109-017849</t>
  </si>
  <si>
    <t xml:space="preserve">Joseph Muki </t>
  </si>
  <si>
    <t>0773126734</t>
  </si>
  <si>
    <t>0790989898</t>
  </si>
  <si>
    <t>Kingaba</t>
  </si>
  <si>
    <t>Bura</t>
  </si>
  <si>
    <t>UG-NOR-2109-017850</t>
  </si>
  <si>
    <t xml:space="preserve">Tiko Winny </t>
  </si>
  <si>
    <t>0760164129</t>
  </si>
  <si>
    <t>0774811295</t>
  </si>
  <si>
    <t>Arivu</t>
  </si>
  <si>
    <t>Egara</t>
  </si>
  <si>
    <t>UG-NOR-1506-00640</t>
  </si>
  <si>
    <t>Gama Ben</t>
  </si>
  <si>
    <t>UG-NOR-2109-017851</t>
  </si>
  <si>
    <t xml:space="preserve">Ayukuru Salome </t>
  </si>
  <si>
    <t>0772520486</t>
  </si>
  <si>
    <t>0392700987</t>
  </si>
  <si>
    <t>Arua rural</t>
  </si>
  <si>
    <t>Anyafio west</t>
  </si>
  <si>
    <t>UG-NOR-2109-021353</t>
  </si>
  <si>
    <t xml:space="preserve">Tobius Ambayo </t>
  </si>
  <si>
    <t>0777123872</t>
  </si>
  <si>
    <t>0784463437</t>
  </si>
  <si>
    <t>East Moyo</t>
  </si>
  <si>
    <t>Ciforo</t>
  </si>
  <si>
    <t>Okangali</t>
  </si>
  <si>
    <t>UG-NOR-2109-021354</t>
  </si>
  <si>
    <t>Iranya Dipio Beatrice</t>
  </si>
  <si>
    <t>0775893120</t>
  </si>
  <si>
    <t>Panyawe</t>
  </si>
  <si>
    <t>UG-NOR-1506-92</t>
  </si>
  <si>
    <t>Eddie Okello</t>
  </si>
  <si>
    <t>Oyam south</t>
  </si>
  <si>
    <t>Aweingwec</t>
  </si>
  <si>
    <t>UG-NOR-2109-021355</t>
  </si>
  <si>
    <t xml:space="preserve">Lucy Adrupio </t>
  </si>
  <si>
    <t>0779567262</t>
  </si>
  <si>
    <t>Loa</t>
  </si>
  <si>
    <t>UG-NOR-2109-021356</t>
  </si>
  <si>
    <t>Opio John Bosco</t>
  </si>
  <si>
    <t>0773430973</t>
  </si>
  <si>
    <t>0773131873</t>
  </si>
  <si>
    <t>Pekele</t>
  </si>
  <si>
    <t>Fuda Central</t>
  </si>
  <si>
    <t>UG-NOR-2109-021357</t>
  </si>
  <si>
    <t xml:space="preserve">Margret Ayia </t>
  </si>
  <si>
    <t>0774817233</t>
  </si>
  <si>
    <t>0774299678</t>
  </si>
  <si>
    <t>Boroli Central</t>
  </si>
  <si>
    <t>UG-NOR-2109-021358</t>
  </si>
  <si>
    <t xml:space="preserve">John Atabuga </t>
  </si>
  <si>
    <t>0777913881</t>
  </si>
  <si>
    <t>0783835902</t>
  </si>
  <si>
    <t>Pakele</t>
  </si>
  <si>
    <t>Melijo</t>
  </si>
  <si>
    <t>UG-NOR-2109-021359</t>
  </si>
  <si>
    <t xml:space="preserve">Tazia Eimani </t>
  </si>
  <si>
    <t>0772370062</t>
  </si>
  <si>
    <t>0772885472</t>
  </si>
  <si>
    <t>Ukutulu</t>
  </si>
  <si>
    <t>Bua George</t>
  </si>
  <si>
    <t>UG-NOR-2110-021360</t>
  </si>
  <si>
    <t xml:space="preserve">Sabina Tandroyo </t>
  </si>
  <si>
    <t>0773528534</t>
  </si>
  <si>
    <t>0787197941</t>
  </si>
  <si>
    <t>Moyo</t>
  </si>
  <si>
    <t>West Moyo</t>
  </si>
  <si>
    <t>Laropi</t>
  </si>
  <si>
    <t>Ubbi South</t>
  </si>
  <si>
    <t>UG-NOR-2110-021361</t>
  </si>
  <si>
    <t>Madea Igga Virginia</t>
  </si>
  <si>
    <t>0773811342</t>
  </si>
  <si>
    <t>07773795102</t>
  </si>
  <si>
    <t>Pakoma West</t>
  </si>
  <si>
    <t>UG-NOR-2110-021362</t>
  </si>
  <si>
    <t xml:space="preserve">Asienzo Beatrice </t>
  </si>
  <si>
    <t>0788073252</t>
  </si>
  <si>
    <t>0788757913</t>
  </si>
  <si>
    <t>Gbalala East</t>
  </si>
  <si>
    <t>UG-NOR-2110-021363</t>
  </si>
  <si>
    <t xml:space="preserve">Umiza Zura </t>
  </si>
  <si>
    <t>0777157264</t>
  </si>
  <si>
    <t>0785211245</t>
  </si>
  <si>
    <t>Obongi</t>
  </si>
  <si>
    <t>Gimara</t>
  </si>
  <si>
    <t>Aringa</t>
  </si>
  <si>
    <t>UG-NOR-2110-021364</t>
  </si>
  <si>
    <t>Iranya John Baptist</t>
  </si>
  <si>
    <t>0787704404</t>
  </si>
  <si>
    <t>0760839045</t>
  </si>
  <si>
    <t>Maduga South</t>
  </si>
  <si>
    <t>UG-NOR-1608-3511</t>
  </si>
  <si>
    <t>Okwana Alfonse</t>
  </si>
  <si>
    <t>Awimon A</t>
  </si>
  <si>
    <t>UG-NOR-2110-021365</t>
  </si>
  <si>
    <t xml:space="preserve">Asiku Rashul </t>
  </si>
  <si>
    <t>0772507995</t>
  </si>
  <si>
    <t>0783550033</t>
  </si>
  <si>
    <t>Kenya</t>
  </si>
  <si>
    <t>UG-NOR-2110-021366</t>
  </si>
  <si>
    <t>Idrifua Alumai Moses</t>
  </si>
  <si>
    <t>0781996423</t>
  </si>
  <si>
    <t>0770473380</t>
  </si>
  <si>
    <t>Moyo Town Council</t>
  </si>
  <si>
    <t>Celecelea East</t>
  </si>
  <si>
    <t>UG-NOR-2202-021351</t>
  </si>
  <si>
    <t xml:space="preserve">Maliamungu Basiri </t>
  </si>
  <si>
    <t>0782371688</t>
  </si>
  <si>
    <t>0706668840</t>
  </si>
  <si>
    <t>Koboko North</t>
  </si>
  <si>
    <t>Ludara</t>
  </si>
  <si>
    <t>Madiyo</t>
  </si>
  <si>
    <t>UG-NOR-2202-021352</t>
  </si>
  <si>
    <t xml:space="preserve">Atayi Margaret </t>
  </si>
  <si>
    <t>0775424250</t>
  </si>
  <si>
    <t>0783176289</t>
  </si>
  <si>
    <t>Lobule</t>
  </si>
  <si>
    <t>Longira</t>
  </si>
  <si>
    <t>UG-NOR-2202-021383</t>
  </si>
  <si>
    <t xml:space="preserve">Abeteru Christine </t>
  </si>
  <si>
    <t>0784647925</t>
  </si>
  <si>
    <t>Maracha</t>
  </si>
  <si>
    <t>Kijomoro</t>
  </si>
  <si>
    <t>Nyadiri</t>
  </si>
  <si>
    <t>Avundiri</t>
  </si>
  <si>
    <t>UG-NOR-2202-021384</t>
  </si>
  <si>
    <t xml:space="preserve">Atriru Yemima </t>
  </si>
  <si>
    <t>0772707227</t>
  </si>
  <si>
    <t>0788979164</t>
  </si>
  <si>
    <t>Yagule</t>
  </si>
  <si>
    <t>UG-NOR-2202-021385</t>
  </si>
  <si>
    <t xml:space="preserve">Bavule Lameki </t>
  </si>
  <si>
    <t>0774808760</t>
  </si>
  <si>
    <t>0788692193</t>
  </si>
  <si>
    <t>Lujenyori</t>
  </si>
  <si>
    <t>UG-NOR-2202-021386</t>
  </si>
  <si>
    <t xml:space="preserve">Baci Martin </t>
  </si>
  <si>
    <t>0782360970</t>
  </si>
  <si>
    <t>0779740333</t>
  </si>
  <si>
    <t>Nyadiri South</t>
  </si>
  <si>
    <t>Motomoro</t>
  </si>
  <si>
    <t>UG-NOR-2202-021387</t>
  </si>
  <si>
    <t xml:space="preserve">Feru Fibi </t>
  </si>
  <si>
    <t>0775036454</t>
  </si>
  <si>
    <t>0785871497</t>
  </si>
  <si>
    <t>Olevu</t>
  </si>
  <si>
    <t>UG-NOR-1703-03518</t>
  </si>
  <si>
    <t>Alwodo Ben</t>
  </si>
  <si>
    <t>Akuriwo</t>
  </si>
  <si>
    <t>UG-NOR-2202-021388</t>
  </si>
  <si>
    <t xml:space="preserve">Aguta Martin </t>
  </si>
  <si>
    <t>0784477109</t>
  </si>
  <si>
    <t>Azoko</t>
  </si>
  <si>
    <t>UG-NOR-2202-021389</t>
  </si>
  <si>
    <t xml:space="preserve">Ropani Christine </t>
  </si>
  <si>
    <t>0770306025</t>
  </si>
  <si>
    <t>0786745022</t>
  </si>
  <si>
    <t>Gbingbinga</t>
  </si>
  <si>
    <t>UG-NOR-1712-07155</t>
  </si>
  <si>
    <t>Oyet Silver</t>
  </si>
  <si>
    <t>Munurach</t>
  </si>
  <si>
    <t>UG-NOR-2202-021390</t>
  </si>
  <si>
    <t xml:space="preserve">Obideru Christine </t>
  </si>
  <si>
    <t>0770958218</t>
  </si>
  <si>
    <t>0772860387</t>
  </si>
  <si>
    <t>Ario</t>
  </si>
  <si>
    <t>UG-NOR-2202-021391</t>
  </si>
  <si>
    <t>Wole Patrick Inaku</t>
  </si>
  <si>
    <t>0782106423</t>
  </si>
  <si>
    <t>0788646432</t>
  </si>
  <si>
    <t>Abinyu</t>
  </si>
  <si>
    <t>UG-NOR-2202-021392</t>
  </si>
  <si>
    <t xml:space="preserve">Afoyorwoth Siara </t>
  </si>
  <si>
    <t>0773424231</t>
  </si>
  <si>
    <t>Zombo</t>
  </si>
  <si>
    <t>Okoro</t>
  </si>
  <si>
    <t>Athum</t>
  </si>
  <si>
    <t>Aluda</t>
  </si>
  <si>
    <t>UG-NOR-1803-08050</t>
  </si>
  <si>
    <t>Sistema system damaged beyond repairs</t>
  </si>
  <si>
    <t>Omara Agany Richard</t>
  </si>
  <si>
    <t>UG-NOR-2202-021393</t>
  </si>
  <si>
    <t xml:space="preserve">Owinjinyingu Jerose </t>
  </si>
  <si>
    <t>0777137570</t>
  </si>
  <si>
    <t>0775482478</t>
  </si>
  <si>
    <t>Athuma</t>
  </si>
  <si>
    <t>Rabu</t>
  </si>
  <si>
    <t>UG-NOR-1809-08052</t>
  </si>
  <si>
    <t>Ekonga Vincent</t>
  </si>
  <si>
    <t>34.823657</t>
  </si>
  <si>
    <t>Agomi</t>
  </si>
  <si>
    <t>UG-NOR-2202-021394</t>
  </si>
  <si>
    <t>Owinyaai Alex Okura</t>
  </si>
  <si>
    <t>0772163972</t>
  </si>
  <si>
    <t>0774963669</t>
  </si>
  <si>
    <t>Mawa</t>
  </si>
  <si>
    <t>UG-NOR-2202-021395</t>
  </si>
  <si>
    <t xml:space="preserve">Openjtho Celsio </t>
  </si>
  <si>
    <t>0775543637</t>
  </si>
  <si>
    <t>0761207517</t>
  </si>
  <si>
    <t>Jangokoro</t>
  </si>
  <si>
    <t>Nyagak</t>
  </si>
  <si>
    <t>UG-NOR-2202-021396</t>
  </si>
  <si>
    <t xml:space="preserve">Wathum Narsis </t>
  </si>
  <si>
    <t>0778613997</t>
  </si>
  <si>
    <t>0775946615</t>
  </si>
  <si>
    <t>Lelo</t>
  </si>
  <si>
    <t>UG-NOR-2202-021397</t>
  </si>
  <si>
    <t xml:space="preserve">Yath-Tho Apothina </t>
  </si>
  <si>
    <t>0786977923</t>
  </si>
  <si>
    <t>0778579521</t>
  </si>
  <si>
    <t>Golosi</t>
  </si>
  <si>
    <t>UG-NOR-2202-021398</t>
  </si>
  <si>
    <t xml:space="preserve">Ngabirombu Gilbert </t>
  </si>
  <si>
    <t>0787116548</t>
  </si>
  <si>
    <t>Obayo</t>
  </si>
  <si>
    <t>UG-NOR-2202-021399</t>
  </si>
  <si>
    <t xml:space="preserve">Okellowenge Philip </t>
  </si>
  <si>
    <t>0777270613</t>
  </si>
  <si>
    <t>0771481897</t>
  </si>
  <si>
    <t>Bilimiti</t>
  </si>
  <si>
    <t>UG-NOR-2202-021400</t>
  </si>
  <si>
    <t xml:space="preserve">Sanya Ratibu </t>
  </si>
  <si>
    <t>0782254340</t>
  </si>
  <si>
    <t>0778565569</t>
  </si>
  <si>
    <t>Manabu B</t>
  </si>
  <si>
    <t>UG-NOR-2202-021601</t>
  </si>
  <si>
    <t xml:space="preserve">Serifa Maliamungu </t>
  </si>
  <si>
    <t>0772515617</t>
  </si>
  <si>
    <t>Ariwa</t>
  </si>
  <si>
    <t>Kangude</t>
  </si>
  <si>
    <t>UG-NOR-2202-021602</t>
  </si>
  <si>
    <t xml:space="preserve">Papa Samsa </t>
  </si>
  <si>
    <t>0706559273</t>
  </si>
  <si>
    <t>0773371479</t>
  </si>
  <si>
    <t>UG-NOR-2202-021603</t>
  </si>
  <si>
    <t xml:space="preserve">Onzima Amiza </t>
  </si>
  <si>
    <t>0787148809</t>
  </si>
  <si>
    <t>Odanga</t>
  </si>
  <si>
    <t>UG-NOR-2202-021604</t>
  </si>
  <si>
    <t xml:space="preserve">Bako Fatuma </t>
  </si>
  <si>
    <t>0781276731</t>
  </si>
  <si>
    <t>0783627193</t>
  </si>
  <si>
    <t>Kei</t>
  </si>
  <si>
    <t>Udrubi</t>
  </si>
  <si>
    <t>UG-NOR-2202-021605</t>
  </si>
  <si>
    <t>Aluma Mohamad Nubi</t>
  </si>
  <si>
    <t>0782376429</t>
  </si>
  <si>
    <t>Kitoli</t>
  </si>
  <si>
    <t>UG-NOR-1910-013928</t>
  </si>
  <si>
    <t>Opio Emmanuel</t>
  </si>
  <si>
    <t>UG-NOR-2202-021606</t>
  </si>
  <si>
    <t>Bako Nelly Beatric</t>
  </si>
  <si>
    <t>+2560776140684</t>
  </si>
  <si>
    <t>0756140684</t>
  </si>
  <si>
    <t>UG-NOR-2202-021607</t>
  </si>
  <si>
    <t xml:space="preserve">Obiga Asirafu </t>
  </si>
  <si>
    <t>0783180835</t>
  </si>
  <si>
    <t>0772484887</t>
  </si>
  <si>
    <t>Koya</t>
  </si>
  <si>
    <t>UG-NOR-2202-021608</t>
  </si>
  <si>
    <t xml:space="preserve">Aninga Habiba </t>
  </si>
  <si>
    <t>0777174941</t>
  </si>
  <si>
    <t>0780883324</t>
  </si>
  <si>
    <t>Gbogbu</t>
  </si>
  <si>
    <t>UG-NOR-2202-021609</t>
  </si>
  <si>
    <t xml:space="preserve">Jurua Robert </t>
  </si>
  <si>
    <t>0788070189</t>
  </si>
  <si>
    <t>0750478439</t>
  </si>
  <si>
    <t>Belo</t>
  </si>
  <si>
    <t>UG-NOR-2202-021610</t>
  </si>
  <si>
    <t xml:space="preserve">Atayi Doris </t>
  </si>
  <si>
    <t>0771998604</t>
  </si>
  <si>
    <t>0778464095</t>
  </si>
  <si>
    <t>Indiga central</t>
  </si>
  <si>
    <t>UG-NOR-2202-021612</t>
  </si>
  <si>
    <t xml:space="preserve">Onzima Jackson </t>
  </si>
  <si>
    <t>0771835595</t>
  </si>
  <si>
    <t>0754897422</t>
  </si>
  <si>
    <t>Balume</t>
  </si>
  <si>
    <t>UG-NOR-2202-021613</t>
  </si>
  <si>
    <t xml:space="preserve">Aluluke Fatuma </t>
  </si>
  <si>
    <t>0775316612</t>
  </si>
  <si>
    <t>0706546444</t>
  </si>
  <si>
    <t>Kagiri</t>
  </si>
  <si>
    <t>UG-NOR-2210-010807</t>
  </si>
  <si>
    <t xml:space="preserve">Yana ATAMA </t>
  </si>
  <si>
    <t>Dranzipi</t>
  </si>
  <si>
    <t>UG-NOR-2210-010811</t>
  </si>
  <si>
    <t xml:space="preserve">Taban AHUMAD </t>
  </si>
  <si>
    <t>Ponyara</t>
  </si>
  <si>
    <t>UG-NOR-2210-010816</t>
  </si>
  <si>
    <t xml:space="preserve">Bashiri Muzamiru </t>
  </si>
  <si>
    <t>Podo</t>
  </si>
  <si>
    <t>UG-NOR-2210-010818</t>
  </si>
  <si>
    <t xml:space="preserve">ARUMA Muhammed </t>
  </si>
  <si>
    <t>Awinga</t>
  </si>
  <si>
    <t>Okobani</t>
  </si>
  <si>
    <t>UG-NOR-2008-07771</t>
  </si>
  <si>
    <t>Abele Lino</t>
  </si>
  <si>
    <t>Aringa south</t>
  </si>
  <si>
    <t>Dragiini</t>
  </si>
  <si>
    <t>Katrini</t>
  </si>
  <si>
    <t>UG-NOR-2211-010001</t>
  </si>
  <si>
    <t>Aol Okech Florence</t>
  </si>
  <si>
    <t>0782312484</t>
  </si>
  <si>
    <t>Bardege layibi</t>
  </si>
  <si>
    <t>Techo</t>
  </si>
  <si>
    <t>Wii layibi cell</t>
  </si>
  <si>
    <t>Ombiki (U) Ltd</t>
  </si>
  <si>
    <t>UG-NOR-2212-010802</t>
  </si>
  <si>
    <t xml:space="preserve">Bako Hellen </t>
  </si>
  <si>
    <t>Nyadrri</t>
  </si>
  <si>
    <t>BAria</t>
  </si>
  <si>
    <t>UG-NOR-2301-00188</t>
  </si>
  <si>
    <t xml:space="preserve">Tusubi Hellen </t>
  </si>
  <si>
    <t>0702747177</t>
  </si>
  <si>
    <t>Kajara</t>
  </si>
  <si>
    <t>Kitondo</t>
  </si>
  <si>
    <t>Kinya</t>
  </si>
  <si>
    <t>Augustine Barakuraha</t>
  </si>
  <si>
    <t>Masindi</t>
  </si>
  <si>
    <t>Buruli</t>
  </si>
  <si>
    <t>Pakanyi</t>
  </si>
  <si>
    <t>Kiruli</t>
  </si>
  <si>
    <t>UG-WES-1004-3215</t>
  </si>
  <si>
    <t>Enock  Tuwangye</t>
  </si>
  <si>
    <t>Mbarara</t>
  </si>
  <si>
    <t>Kashari</t>
  </si>
  <si>
    <t>Rubaya</t>
  </si>
  <si>
    <t>Rushozi</t>
  </si>
  <si>
    <t>Rwekitsigazi  Justus</t>
  </si>
  <si>
    <t>Rukungiri</t>
  </si>
  <si>
    <t>Rubabo</t>
  </si>
  <si>
    <t>Kibombo</t>
  </si>
  <si>
    <t>KATS Energy System Limited</t>
  </si>
  <si>
    <t>UG-WES-1005-1328</t>
  </si>
  <si>
    <t>Achileo Kiwanuka</t>
  </si>
  <si>
    <t>Bushenyi</t>
  </si>
  <si>
    <t>Ishaka Bushenyi municipality</t>
  </si>
  <si>
    <t>Central dividion</t>
  </si>
  <si>
    <t>bunyarigyi</t>
  </si>
  <si>
    <t>Mahirane  Sabiti Canon</t>
  </si>
  <si>
    <t>Nyabitete</t>
  </si>
  <si>
    <t>UG-WES-1005-3675</t>
  </si>
  <si>
    <t>Rwabugaire  Justus Canon</t>
  </si>
  <si>
    <t>Katerero</t>
  </si>
  <si>
    <t>Katuriiba  Paul</t>
  </si>
  <si>
    <t>Kebisoni</t>
  </si>
  <si>
    <t>Rubumba</t>
  </si>
  <si>
    <t>Tarasio  Kavindi</t>
  </si>
  <si>
    <t>lgara</t>
  </si>
  <si>
    <t>Nyabubare</t>
  </si>
  <si>
    <t>Rwakaringura</t>
  </si>
  <si>
    <t>Vicent  Muhamya</t>
  </si>
  <si>
    <t>Igara</t>
  </si>
  <si>
    <t>Veririano Tibategyeza Lale</t>
  </si>
  <si>
    <t>UG-WES-1006-1312</t>
  </si>
  <si>
    <t>Zobia  Bagambana</t>
  </si>
  <si>
    <t>nyabubard</t>
  </si>
  <si>
    <t>Rushoroza</t>
  </si>
  <si>
    <t>UG-WES-1006-3225</t>
  </si>
  <si>
    <t>Joseph Ruhoza</t>
  </si>
  <si>
    <t>Rwanyamahembe</t>
  </si>
  <si>
    <t>omurubare</t>
  </si>
  <si>
    <t>UG-WES-1006-3237</t>
  </si>
  <si>
    <t>Ephraim  Katemba</t>
  </si>
  <si>
    <t>Rwampala</t>
  </si>
  <si>
    <t>Ndaija</t>
  </si>
  <si>
    <t>Karunyonyozi</t>
  </si>
  <si>
    <t>UG-WES-1006-3551</t>
  </si>
  <si>
    <t>Turyaguma  Swaibu</t>
  </si>
  <si>
    <t>Ntungamo</t>
  </si>
  <si>
    <t>Bwongyera</t>
  </si>
  <si>
    <t>Nyakizinga</t>
  </si>
  <si>
    <t>UG-WES-1006-3558</t>
  </si>
  <si>
    <t>Turyahikayo  Coleb</t>
  </si>
  <si>
    <t>Ruhaama</t>
  </si>
  <si>
    <t>Rubimbiri</t>
  </si>
  <si>
    <t>UG-WES-1006-3565</t>
  </si>
  <si>
    <t>Late Kakaba  Vincent</t>
  </si>
  <si>
    <t>Nyakagando</t>
  </si>
  <si>
    <t>UG-WES-1006-3569</t>
  </si>
  <si>
    <t>Kalema  Christopher</t>
  </si>
  <si>
    <t>Kahungye</t>
  </si>
  <si>
    <t>UG-WES-1006-3598</t>
  </si>
  <si>
    <t>Igusha  Mathius</t>
  </si>
  <si>
    <t>Rwabwoya</t>
  </si>
  <si>
    <t>UG-WES-1006-3631</t>
  </si>
  <si>
    <t>Mwebesa  Charles Rushooma</t>
  </si>
  <si>
    <t>Rushenyi</t>
  </si>
  <si>
    <t>Ruhara</t>
  </si>
  <si>
    <t>UG-WES-1006-3737</t>
  </si>
  <si>
    <t>Binyerere  Emmanuel</t>
  </si>
  <si>
    <t>Ntungamo municipality</t>
  </si>
  <si>
    <t>UG-WES-1006-3738</t>
  </si>
  <si>
    <t>Katongore Sowed</t>
  </si>
  <si>
    <t>Kabagyenda</t>
  </si>
  <si>
    <t>UG-WES-1006-3741</t>
  </si>
  <si>
    <t>Karabarinde  Charles</t>
  </si>
  <si>
    <t>Kyabahinda</t>
  </si>
  <si>
    <t>UG-NOR-2108-014125</t>
  </si>
  <si>
    <t>Never worked</t>
  </si>
  <si>
    <t xml:space="preserve">Ongam Christopher </t>
  </si>
  <si>
    <t>0784136982</t>
  </si>
  <si>
    <t>Omiyanaima</t>
  </si>
  <si>
    <t>Katop lokogili</t>
  </si>
  <si>
    <t>UG-NOR-2108-018442</t>
  </si>
  <si>
    <t>Pawrihner School Primary</t>
  </si>
  <si>
    <t>Agago</t>
  </si>
  <si>
    <t>Patong</t>
  </si>
  <si>
    <t>Oculomoi</t>
  </si>
  <si>
    <t>UG-WES-1007-2406</t>
  </si>
  <si>
    <t>Byandusya  Annaniah</t>
  </si>
  <si>
    <t>Nyakyera</t>
  </si>
  <si>
    <t>Muhukye</t>
  </si>
  <si>
    <t>UG-WES-1007-2766</t>
  </si>
  <si>
    <t>Burundi  Nathan</t>
  </si>
  <si>
    <t>Kiruhura</t>
  </si>
  <si>
    <t>Nyabushozi</t>
  </si>
  <si>
    <t>Kenshunga</t>
  </si>
  <si>
    <t>Mitoma II</t>
  </si>
  <si>
    <t>UG-WES-1007-2768</t>
  </si>
  <si>
    <t>Kamungyenyi  Hilder</t>
  </si>
  <si>
    <t xml:space="preserve">Nyamambo </t>
  </si>
  <si>
    <t>UG-WES-1007-2803</t>
  </si>
  <si>
    <t>Muhanguzi  John Kashaka</t>
  </si>
  <si>
    <t>kenshunga</t>
  </si>
  <si>
    <t>Nshwerempango</t>
  </si>
  <si>
    <t>UG-WES-1007-3217</t>
  </si>
  <si>
    <t>Godfrey  Katebarirwe</t>
  </si>
  <si>
    <t>UG-WES-1007-5054</t>
  </si>
  <si>
    <t>Moses Tumuhirwe</t>
  </si>
  <si>
    <t>Kamwenge</t>
  </si>
  <si>
    <t>Kibbale</t>
  </si>
  <si>
    <t>Bihanga</t>
  </si>
  <si>
    <t>UG-WES-1008-1229</t>
  </si>
  <si>
    <t>Milton  Mpairwe</t>
  </si>
  <si>
    <t>Sheema</t>
  </si>
  <si>
    <t>Rugarama</t>
  </si>
  <si>
    <t>Ntungamo1</t>
  </si>
  <si>
    <t>UG-WES-1009-2757</t>
  </si>
  <si>
    <t>Kahere  Wilson</t>
  </si>
  <si>
    <t>Kacumbiro</t>
  </si>
  <si>
    <t>UG-WES-1009-2763</t>
  </si>
  <si>
    <t>Hon Shillah  Mwine Kabeijje</t>
  </si>
  <si>
    <t>Migamba</t>
  </si>
  <si>
    <t>UG-WES-1009-2765</t>
  </si>
  <si>
    <t>Katsimbura  Nathan</t>
  </si>
  <si>
    <t>Rugongi</t>
  </si>
  <si>
    <t>Mitoma</t>
  </si>
  <si>
    <t>UG-WES-1009-2804</t>
  </si>
  <si>
    <t>Rujoki  Vellina</t>
  </si>
  <si>
    <t>kacumbiro</t>
  </si>
  <si>
    <t>UG-WES-1009-352</t>
  </si>
  <si>
    <t>Bigira  Davide</t>
  </si>
  <si>
    <t>Bufunda</t>
  </si>
  <si>
    <t>Ruyonza 1</t>
  </si>
  <si>
    <t>Kashereka  George</t>
  </si>
  <si>
    <t>Kangarame</t>
  </si>
  <si>
    <t>UG-WES-1009-3731</t>
  </si>
  <si>
    <t>Muhereza  Arthur</t>
  </si>
  <si>
    <t>Nyakibigi</t>
  </si>
  <si>
    <t>Rusia  Rwabutwagu</t>
  </si>
  <si>
    <t>central division</t>
  </si>
  <si>
    <t>Ruharo</t>
  </si>
  <si>
    <t>UG-WES-1010-353</t>
  </si>
  <si>
    <t>Rutehenda  Robert</t>
  </si>
  <si>
    <t>Ibanda municipality</t>
  </si>
  <si>
    <t>Nyabuhikye</t>
  </si>
  <si>
    <t>UG-WES-1011-1324</t>
  </si>
  <si>
    <t>Gregory  Mutabazi</t>
  </si>
  <si>
    <t>katokye</t>
  </si>
  <si>
    <t>UG-WES-1011-170</t>
  </si>
  <si>
    <t>Kabalimu Cosolata</t>
  </si>
  <si>
    <t>Masindi Municipality</t>
  </si>
  <si>
    <t>Katama</t>
  </si>
  <si>
    <t>Rutaremwa  Maude</t>
  </si>
  <si>
    <t>Rukungiri municipality</t>
  </si>
  <si>
    <t>Estern ward</t>
  </si>
  <si>
    <t>Nyamayenje</t>
  </si>
  <si>
    <t>Kagambo  Henry</t>
  </si>
  <si>
    <t>Kitojo</t>
  </si>
  <si>
    <t>UG-NOR-2112-014129</t>
  </si>
  <si>
    <t>Oding Daniel</t>
  </si>
  <si>
    <t>0781941440</t>
  </si>
  <si>
    <t>Apac municipal</t>
  </si>
  <si>
    <t>Apac municipality</t>
  </si>
  <si>
    <t>Upper center</t>
  </si>
  <si>
    <t>UG-WES-1012-03660</t>
  </si>
  <si>
    <t>Turyomurugyendo  Matayo</t>
  </si>
  <si>
    <t>Kagando</t>
  </si>
  <si>
    <t>Rubambwa Rosemary</t>
  </si>
  <si>
    <t>Nyangahya</t>
  </si>
  <si>
    <t>Kalyango</t>
  </si>
  <si>
    <t>Atagwirwaho Harriet</t>
  </si>
  <si>
    <t>Masindi municipality</t>
  </si>
  <si>
    <t>Karujubu</t>
  </si>
  <si>
    <t>Kisarabwire</t>
  </si>
  <si>
    <t>Wamadwa Augustine</t>
  </si>
  <si>
    <t>Kijune</t>
  </si>
  <si>
    <t>UG-WES-1012-364</t>
  </si>
  <si>
    <t>Ibabaza  Churchhill</t>
  </si>
  <si>
    <t>Igorora town council</t>
  </si>
  <si>
    <t>UG-WES-1012-3706</t>
  </si>
  <si>
    <t>Ngabirano  Francis</t>
  </si>
  <si>
    <t>Rujumbura</t>
  </si>
  <si>
    <t>Nyakagyeme</t>
  </si>
  <si>
    <t>Rwembogo</t>
  </si>
  <si>
    <t>Charles  Kirita</t>
  </si>
  <si>
    <t>Kashozi</t>
  </si>
  <si>
    <t>Karera</t>
  </si>
  <si>
    <t>Laurence  Kinyonyi</t>
  </si>
  <si>
    <t>Ibare</t>
  </si>
  <si>
    <t>Karubuga</t>
  </si>
  <si>
    <t>UG-WES-1101-1350</t>
  </si>
  <si>
    <t>Angelica  Nsimenta</t>
  </si>
  <si>
    <t>Mushanga</t>
  </si>
  <si>
    <t>UG-WES-1101-1383</t>
  </si>
  <si>
    <t>Mrbyabasaija Charles</t>
  </si>
  <si>
    <t>Masindi Town Council</t>
  </si>
  <si>
    <t>Kijura</t>
  </si>
  <si>
    <t>UG-WES-1101-202</t>
  </si>
  <si>
    <t>Baguma Edward</t>
  </si>
  <si>
    <t>M.T.C</t>
  </si>
  <si>
    <t>UG-WES-1101-2199</t>
  </si>
  <si>
    <t>Bikundi Sarah</t>
  </si>
  <si>
    <t>Bamuhata  Godfrey</t>
  </si>
  <si>
    <t>Nyarutoma</t>
  </si>
  <si>
    <t>Kabusasi  Jonathan B</t>
  </si>
  <si>
    <t>Kiborogota</t>
  </si>
  <si>
    <t>UG-WES-1101-555</t>
  </si>
  <si>
    <t>Rukurato Laddy</t>
  </si>
  <si>
    <t>UG-WES-1102-2401</t>
  </si>
  <si>
    <t>Ndyabagyeruka  Elisa Rev Canon</t>
  </si>
  <si>
    <t>Nyabihoko</t>
  </si>
  <si>
    <t>Nyabushenyi</t>
  </si>
  <si>
    <t>UG-WES-1102-2402</t>
  </si>
  <si>
    <t>Late Rwaboona  Robert</t>
  </si>
  <si>
    <t>Ihunga</t>
  </si>
  <si>
    <t>Nyamiyaga</t>
  </si>
  <si>
    <t>UG-WES-1102-2404</t>
  </si>
  <si>
    <t>Byaruhanga  George</t>
  </si>
  <si>
    <t>Rwenyonyozi</t>
  </si>
  <si>
    <t>UG-WES-1102-2413</t>
  </si>
  <si>
    <t>Twinomwe  Robert</t>
  </si>
  <si>
    <t>Kagyera cell</t>
  </si>
  <si>
    <t>UG-WES-1102-2415</t>
  </si>
  <si>
    <t>Twineamatsiko  Eudea</t>
  </si>
  <si>
    <t>Kyondo2</t>
  </si>
  <si>
    <t>UG-WES-1102-267</t>
  </si>
  <si>
    <t>Kyamanywa Stephen</t>
  </si>
  <si>
    <t>UG-WES-1102-2789</t>
  </si>
  <si>
    <t>Hon Kiboijana  Magrete</t>
  </si>
  <si>
    <t>Ibanda south</t>
  </si>
  <si>
    <t>Kikyenkye</t>
  </si>
  <si>
    <t>Kontonhole I</t>
  </si>
  <si>
    <t>UG-WES-1102-3238</t>
  </si>
  <si>
    <t>Stanly  Mukongo</t>
  </si>
  <si>
    <t>UG-WES-1102-3678</t>
  </si>
  <si>
    <t>Tinkasimire  Eldad</t>
  </si>
  <si>
    <t>Kishonga L</t>
  </si>
  <si>
    <t>UG-WES-1102-3680</t>
  </si>
  <si>
    <t>Begumanya  George</t>
  </si>
  <si>
    <t>Nyarutare</t>
  </si>
  <si>
    <t>UG-WES-1102-3683</t>
  </si>
  <si>
    <t>Barungi  Alex</t>
  </si>
  <si>
    <t>Kagarama</t>
  </si>
  <si>
    <t>UG-WES-1102-3684</t>
  </si>
  <si>
    <t>Munabi  Vasita</t>
  </si>
  <si>
    <t>Matebe</t>
  </si>
  <si>
    <t>UG-WES-1102-3685</t>
  </si>
  <si>
    <t>Karahukayo  Eriab</t>
  </si>
  <si>
    <t>Rugyendwa</t>
  </si>
  <si>
    <t>UG-WES-1102-3687</t>
  </si>
  <si>
    <t>Rwamugata  Geresim Late</t>
  </si>
  <si>
    <t>UG-WES-1102-3726</t>
  </si>
  <si>
    <t>Kanyunya  Criderious</t>
  </si>
  <si>
    <t>Nyakasa</t>
  </si>
  <si>
    <t>UG-WES-1102-3732</t>
  </si>
  <si>
    <t>Mushabe  William</t>
  </si>
  <si>
    <t>UG-WES-1102-3742</t>
  </si>
  <si>
    <t>Namara  James</t>
  </si>
  <si>
    <t>Hamanya  Stanley John</t>
  </si>
  <si>
    <t>Ruguma</t>
  </si>
  <si>
    <t>Lydia  Mugisha</t>
  </si>
  <si>
    <t>Mbarara Municipality</t>
  </si>
  <si>
    <t>Nyakayozo division</t>
  </si>
  <si>
    <t>Karama</t>
  </si>
  <si>
    <t>UG-WES-1004-1308</t>
  </si>
  <si>
    <t>Daniel Katehangwa</t>
  </si>
  <si>
    <t>Nyabubar</t>
  </si>
  <si>
    <t>Bishop  Kamusiime Rwigyema</t>
  </si>
  <si>
    <t>Bugahya</t>
  </si>
  <si>
    <t>Kyabigambire</t>
  </si>
  <si>
    <t>Kibaali/ngangi</t>
  </si>
  <si>
    <t>UG-WES-1102-3747</t>
  </si>
  <si>
    <t>Turyamureba Ezra</t>
  </si>
  <si>
    <t>Musana</t>
  </si>
  <si>
    <t>Balikagira Harriet Molly (Plant 1)</t>
  </si>
  <si>
    <t>Kigalagala</t>
  </si>
  <si>
    <t>UG-WES-1102-4635</t>
  </si>
  <si>
    <t>Loyce  Rwolekya</t>
  </si>
  <si>
    <t>Jeeja 1</t>
  </si>
  <si>
    <t>UG-WES-1103-1265</t>
  </si>
  <si>
    <t>Stock Farm  Naro</t>
  </si>
  <si>
    <t>Kamukuzi</t>
  </si>
  <si>
    <t>Naro</t>
  </si>
  <si>
    <t>Kashabe  Gashom</t>
  </si>
  <si>
    <t>KizingaB</t>
  </si>
  <si>
    <t>UG-WES-1103-2762</t>
  </si>
  <si>
    <t>Mushabe  Lazaro</t>
  </si>
  <si>
    <t>Kyetagi</t>
  </si>
  <si>
    <t>Gakyaro  Allan</t>
  </si>
  <si>
    <t>Ruhazo</t>
  </si>
  <si>
    <t>St Joseph S Nyamitanga  Ndugwa</t>
  </si>
  <si>
    <t>Nyamitanga division</t>
  </si>
  <si>
    <t>Nsikye</t>
  </si>
  <si>
    <t>UG-WES-1103-3635</t>
  </si>
  <si>
    <t>Kabandize  Eric</t>
  </si>
  <si>
    <t>Mukoni</t>
  </si>
  <si>
    <t>Kalenzi Eric</t>
  </si>
  <si>
    <t>Kijweka</t>
  </si>
  <si>
    <t>John  Kabegambire</t>
  </si>
  <si>
    <t>Nyakayojo</t>
  </si>
  <si>
    <t>Nsungyezi</t>
  </si>
  <si>
    <t>Ireta  Wilson Hanington</t>
  </si>
  <si>
    <t>Nyakayozo</t>
  </si>
  <si>
    <t>Nyakabungo</t>
  </si>
  <si>
    <t>UG-WES-1006-1307</t>
  </si>
  <si>
    <t>Gaudance  Kyomuhangi</t>
  </si>
  <si>
    <t>kiziinda</t>
  </si>
  <si>
    <t>Machumirwa Margret</t>
  </si>
  <si>
    <t>masindi Municipality</t>
  </si>
  <si>
    <t>Kijweka 1</t>
  </si>
  <si>
    <t>Peace  Namanya</t>
  </si>
  <si>
    <t>Nyamabare</t>
  </si>
  <si>
    <t>UG-WES-1104-369</t>
  </si>
  <si>
    <t>Dafie  Ephraim</t>
  </si>
  <si>
    <t>Rubirizi</t>
  </si>
  <si>
    <t>Bunyaruguru</t>
  </si>
  <si>
    <t>Ryeru</t>
  </si>
  <si>
    <t>Kizirugo</t>
  </si>
  <si>
    <t>Tindiwensi  Hillary</t>
  </si>
  <si>
    <t>Kyeshoro</t>
  </si>
  <si>
    <t>UG-WES-1006-3555</t>
  </si>
  <si>
    <t>Ndyabahweje  Joseph plant 1</t>
  </si>
  <si>
    <t>Kyamate</t>
  </si>
  <si>
    <t>UG-WES-1006-3557</t>
  </si>
  <si>
    <t>Rev Baribuganda  Esau Canon</t>
  </si>
  <si>
    <t>Fenehasi Mpunu</t>
  </si>
  <si>
    <t>Kigarama</t>
  </si>
  <si>
    <t>Rwenkaira</t>
  </si>
  <si>
    <t>UG-WES-1006-3560</t>
  </si>
  <si>
    <t>Rwengabo  Nathan</t>
  </si>
  <si>
    <t>Enos  Kahurubuka</t>
  </si>
  <si>
    <t>masheruka</t>
  </si>
  <si>
    <t>mabare</t>
  </si>
  <si>
    <t>UG-WES-1006-3566</t>
  </si>
  <si>
    <t>Bitwababo  Aloysias</t>
  </si>
  <si>
    <t>UG-WES-1104-4649</t>
  </si>
  <si>
    <t>Eng Erisa Bagarikayo</t>
  </si>
  <si>
    <t>Ishaka munisparity</t>
  </si>
  <si>
    <t>Nyakabirizi</t>
  </si>
  <si>
    <t>UG-WES-1006-3571</t>
  </si>
  <si>
    <t>Gava  Eliazare</t>
  </si>
  <si>
    <t>Kyarubare</t>
  </si>
  <si>
    <t>UG-WES-1006-3588</t>
  </si>
  <si>
    <t>Mushana  Nathan</t>
  </si>
  <si>
    <t>Kaziko</t>
  </si>
  <si>
    <t>UG-WES-1006-3596</t>
  </si>
  <si>
    <t>Turyahikayo  Kezironi</t>
  </si>
  <si>
    <t>Nyakabale</t>
  </si>
  <si>
    <t>Maguru  William</t>
  </si>
  <si>
    <t>Kiiza Banage Joseph</t>
  </si>
  <si>
    <t>Kitanyata</t>
  </si>
  <si>
    <t>UG-WES-1105-1219</t>
  </si>
  <si>
    <t>Benard  Baryamushanga</t>
  </si>
  <si>
    <t>Bugongi</t>
  </si>
  <si>
    <t>UG-WES-1006-3721</t>
  </si>
  <si>
    <t>Bakyengana Ephraim</t>
  </si>
  <si>
    <t>Ruhama</t>
  </si>
  <si>
    <t>Itojo</t>
  </si>
  <si>
    <t>Rwemihanga</t>
  </si>
  <si>
    <t>Edith  Makwate</t>
  </si>
  <si>
    <t>UG-WES-1105-1263</t>
  </si>
  <si>
    <t>Mary  Mbabazi</t>
  </si>
  <si>
    <t>Kakoba</t>
  </si>
  <si>
    <t>Alliance</t>
  </si>
  <si>
    <t>UG-WES-1105-1311</t>
  </si>
  <si>
    <t>Stephen  Bariira Matsiko</t>
  </si>
  <si>
    <t>Bushenyi  Municipality</t>
  </si>
  <si>
    <t>Ishaka</t>
  </si>
  <si>
    <t>Ryashana 1</t>
  </si>
  <si>
    <t>Rwamafa  Jackson</t>
  </si>
  <si>
    <t>Kyangara</t>
  </si>
  <si>
    <t>UG-WES-1006-3748</t>
  </si>
  <si>
    <t>Plant was abandoned</t>
  </si>
  <si>
    <t>Byamugisha  Francis James</t>
  </si>
  <si>
    <t>Karegyeya</t>
  </si>
  <si>
    <t>UG-WES-1105-1320</t>
  </si>
  <si>
    <t>Magret  Mujuni</t>
  </si>
  <si>
    <t>Nkanga</t>
  </si>
  <si>
    <t>UG-WES-1105-1349</t>
  </si>
  <si>
    <t>Eliesafu  Mwami</t>
  </si>
  <si>
    <t>Masheruka</t>
  </si>
  <si>
    <t>UG-WES-1105-3231</t>
  </si>
  <si>
    <t>John  Muganga</t>
  </si>
  <si>
    <t>Bugamba</t>
  </si>
  <si>
    <t>katinda</t>
  </si>
  <si>
    <t>UG-WES-1105-3236</t>
  </si>
  <si>
    <t>Rwamugirimbi  Narongo</t>
  </si>
  <si>
    <t>UG-WES-1105-3281</t>
  </si>
  <si>
    <t>Bakashaba   Gracious</t>
  </si>
  <si>
    <t>Ruhunga</t>
  </si>
  <si>
    <t>UG-WES-1105-348</t>
  </si>
  <si>
    <t>Mucunguzi  Hannington</t>
  </si>
  <si>
    <t>Ibanda Town council</t>
  </si>
  <si>
    <t>Ruvuza  Mary Winnie</t>
  </si>
  <si>
    <t>Kakiragye</t>
  </si>
  <si>
    <t>Babihugu  Ephraim</t>
  </si>
  <si>
    <t>Rushoroza nyakinengo</t>
  </si>
  <si>
    <t>UG-WES-1105-3704</t>
  </si>
  <si>
    <t>Kaginda  Johnson</t>
  </si>
  <si>
    <t>Rushoroza A</t>
  </si>
  <si>
    <t>Silverio  Katwire</t>
  </si>
  <si>
    <t>Kitagata</t>
  </si>
  <si>
    <t>Cosia  Namurebire</t>
  </si>
  <si>
    <t>Rugando</t>
  </si>
  <si>
    <t>Nyakaronko</t>
  </si>
  <si>
    <t>UG-WES-1106-1270</t>
  </si>
  <si>
    <t>Keredonia  Baguma</t>
  </si>
  <si>
    <t>isingiro</t>
  </si>
  <si>
    <t>Nyamuyanja</t>
  </si>
  <si>
    <t>Kamutumo</t>
  </si>
  <si>
    <t>Aisha  Batunga</t>
  </si>
  <si>
    <t>Isingiro south</t>
  </si>
  <si>
    <t>Kabuyanda</t>
  </si>
  <si>
    <t>Bugarama</t>
  </si>
  <si>
    <t>Mathew W Byabazaire</t>
  </si>
  <si>
    <t>Kibwona</t>
  </si>
  <si>
    <t>UG-WES-1106-1329</t>
  </si>
  <si>
    <t>Monic Rwemijumbi</t>
  </si>
  <si>
    <t>UG-WES-1106-1339</t>
  </si>
  <si>
    <t>Leo  Bikandema</t>
  </si>
  <si>
    <t>Mitooma</t>
  </si>
  <si>
    <t>Ruhinda</t>
  </si>
  <si>
    <t>katenga</t>
  </si>
  <si>
    <t>kinoga</t>
  </si>
  <si>
    <t>Davide  Mwaije</t>
  </si>
  <si>
    <t>rwakaringura</t>
  </si>
  <si>
    <t>UG-WES-1106-3201</t>
  </si>
  <si>
    <t>Nshangano  Kemijumbi Philimona</t>
  </si>
  <si>
    <t>UG-WES-1106-3234</t>
  </si>
  <si>
    <t>Eliab  Kamahega</t>
  </si>
  <si>
    <t>Ruzinga</t>
  </si>
  <si>
    <t>UG-WES-1106-3278</t>
  </si>
  <si>
    <t>Rwakairu  Gidion</t>
  </si>
  <si>
    <t>Kisunju</t>
  </si>
  <si>
    <t>UG-WES-1106-3563</t>
  </si>
  <si>
    <t>Ashabahebwa   Africano</t>
  </si>
  <si>
    <t>Rukooni East</t>
  </si>
  <si>
    <t>Kikungu</t>
  </si>
  <si>
    <t>UG-WES-1106-3567</t>
  </si>
  <si>
    <t>Kato  Hilda</t>
  </si>
  <si>
    <t>UG-WES-1106-3570</t>
  </si>
  <si>
    <t>Nsimeki  Francis</t>
  </si>
  <si>
    <t>Nyakahita</t>
  </si>
  <si>
    <t>UG-WES-1106-3579</t>
  </si>
  <si>
    <t>Tumwesigye  William</t>
  </si>
  <si>
    <t>Kyakashambara</t>
  </si>
  <si>
    <t>UG-WES-1106-3580</t>
  </si>
  <si>
    <t>Bashishana  Benon</t>
  </si>
  <si>
    <t>Nyakyere</t>
  </si>
  <si>
    <t>Kashoro</t>
  </si>
  <si>
    <t>Rwego  Francis</t>
  </si>
  <si>
    <t>Bubare</t>
  </si>
  <si>
    <t>Kashaka</t>
  </si>
  <si>
    <t>UG-WES-1106-3587</t>
  </si>
  <si>
    <t>Rev Kakiga  Ananiah</t>
  </si>
  <si>
    <t>Kyenkuku</t>
  </si>
  <si>
    <t>UG-WES-1106-3590</t>
  </si>
  <si>
    <t>Tiwangye  Simon</t>
  </si>
  <si>
    <t>Kisoro</t>
  </si>
  <si>
    <t>Bufumbira</t>
  </si>
  <si>
    <t>Kirundo</t>
  </si>
  <si>
    <t>Nyabaremura</t>
  </si>
  <si>
    <t>UG-WES-1106-3591</t>
  </si>
  <si>
    <t>Byibeshyo  Magret</t>
  </si>
  <si>
    <t>Bufumbira North</t>
  </si>
  <si>
    <t>Nombe</t>
  </si>
  <si>
    <t>UG-WES-1106-3592</t>
  </si>
  <si>
    <t>Bazirakye  Louis</t>
  </si>
  <si>
    <t>Kabale Municipality</t>
  </si>
  <si>
    <t>Rugyendeira</t>
  </si>
  <si>
    <t>UG-WES-1106-3595</t>
  </si>
  <si>
    <t>Kanizo  Eldad</t>
  </si>
  <si>
    <t>Ruhita</t>
  </si>
  <si>
    <t>Davide  Mujasi</t>
  </si>
  <si>
    <t>Igara East</t>
  </si>
  <si>
    <t>kyabugimbi</t>
  </si>
  <si>
    <t>bubare</t>
  </si>
  <si>
    <t>UG-WES-1106-756</t>
  </si>
  <si>
    <t>Basigara Peter</t>
  </si>
  <si>
    <t>Hioma municipality</t>
  </si>
  <si>
    <t>Bujumbura Division</t>
  </si>
  <si>
    <t>Bujumbura West</t>
  </si>
  <si>
    <t>UG-WES-1106-775</t>
  </si>
  <si>
    <t>Bintu Wamara</t>
  </si>
  <si>
    <t>UG-WES-1106-777</t>
  </si>
  <si>
    <t>Birinaiwe Bigibwa Valerio</t>
  </si>
  <si>
    <t>Mparo</t>
  </si>
  <si>
    <t>Baryakumanya</t>
  </si>
  <si>
    <t>Ephraim  Katorobo</t>
  </si>
  <si>
    <t>Mutara</t>
  </si>
  <si>
    <t>Ryakitanga</t>
  </si>
  <si>
    <t>Serezio  Bihandiko</t>
  </si>
  <si>
    <t>Nyakayojo Division</t>
  </si>
  <si>
    <t>Katukuru</t>
  </si>
  <si>
    <t>UG-WES-1107-3206</t>
  </si>
  <si>
    <t>Lauben Baceeta</t>
  </si>
  <si>
    <t>Kagongi</t>
  </si>
  <si>
    <t>Karuri</t>
  </si>
  <si>
    <t>UG-WES-1107-3214</t>
  </si>
  <si>
    <t>Francis  Nuwagira</t>
  </si>
  <si>
    <t>Rubindi</t>
  </si>
  <si>
    <t>kyatoko</t>
  </si>
  <si>
    <t>UG-WES-1107-349</t>
  </si>
  <si>
    <t>Kaboona  Silver</t>
  </si>
  <si>
    <t>Kagongo division</t>
  </si>
  <si>
    <t>Rukokoma 2</t>
  </si>
  <si>
    <t>Rukirande  Bishop</t>
  </si>
  <si>
    <t>Ndorwa East</t>
  </si>
  <si>
    <t>Kyanamira</t>
  </si>
  <si>
    <t>omwinoni</t>
  </si>
  <si>
    <t>UG-WES-1107-3703</t>
  </si>
  <si>
    <t>Rubagasira  Frazia</t>
  </si>
  <si>
    <t>Rubaire  Professor</t>
  </si>
  <si>
    <t>Kabarole</t>
  </si>
  <si>
    <t>Burahya</t>
  </si>
  <si>
    <t>Hakibare</t>
  </si>
  <si>
    <t>Kisongi</t>
  </si>
  <si>
    <t>UG-WES-1107-4610</t>
  </si>
  <si>
    <t>Joy  Tumuhairwe</t>
  </si>
  <si>
    <t>kigarama</t>
  </si>
  <si>
    <t>Katooma</t>
  </si>
  <si>
    <t>Fundi  Nyakato</t>
  </si>
  <si>
    <t>Katehangwa  Samuel</t>
  </si>
  <si>
    <t>Rutete</t>
  </si>
  <si>
    <t>Rurama</t>
  </si>
  <si>
    <t>Davide  Taremwa</t>
  </si>
  <si>
    <t>Nyakayozo Division</t>
  </si>
  <si>
    <t>Rwakishakizi</t>
  </si>
  <si>
    <t>Didas  Ndyanabo</t>
  </si>
  <si>
    <t>John Ndazorore</t>
  </si>
  <si>
    <t>Karutanga</t>
  </si>
  <si>
    <t>UG-WES-1108-1278</t>
  </si>
  <si>
    <t>Eryeza  Rwakisoso</t>
  </si>
  <si>
    <t>Nyakitunda</t>
  </si>
  <si>
    <t>Ruhiira 2</t>
  </si>
  <si>
    <t>UG-WES-1108-1286</t>
  </si>
  <si>
    <t>Charles Baraba</t>
  </si>
  <si>
    <t>muhanga</t>
  </si>
  <si>
    <t>UG-WES-1108-1287</t>
  </si>
  <si>
    <t>Jenina  Basimaki</t>
  </si>
  <si>
    <t>UG-WES-1108-1294</t>
  </si>
  <si>
    <t>Patrick  Tugaine</t>
  </si>
  <si>
    <t>Bubaare</t>
  </si>
  <si>
    <t>Rubingo</t>
  </si>
  <si>
    <t>UG-WES-1102-3727</t>
  </si>
  <si>
    <t>Kazoora  Gerald Salongo</t>
  </si>
  <si>
    <t>Annet  Begumya</t>
  </si>
  <si>
    <t>UG-WES-1102-3734</t>
  </si>
  <si>
    <t>Banegura  Annaniah Jovia</t>
  </si>
  <si>
    <t>Kikoni</t>
  </si>
  <si>
    <t>UG-WES-1108-2784</t>
  </si>
  <si>
    <t>Mpumwire  Zedekia</t>
  </si>
  <si>
    <t>Ntambazi</t>
  </si>
  <si>
    <t>UG-WES-1102-3746</t>
  </si>
  <si>
    <t>Happy  Charles</t>
  </si>
  <si>
    <t>UG-WES-1108-3213</t>
  </si>
  <si>
    <t>Moses  Kamabati</t>
  </si>
  <si>
    <t>Katete</t>
  </si>
  <si>
    <t>Kyatumba  William</t>
  </si>
  <si>
    <t>Kishengye</t>
  </si>
  <si>
    <t>Gad  Byakatonda</t>
  </si>
  <si>
    <t>Katongo2</t>
  </si>
  <si>
    <t>UG-WES-1108-3246</t>
  </si>
  <si>
    <t>Elisafu  Ssajabbi</t>
  </si>
  <si>
    <t>Ngarama</t>
  </si>
  <si>
    <t>Kabaare</t>
  </si>
  <si>
    <t>UG-WES-1108-3258</t>
  </si>
  <si>
    <t>Ruhesi  Hildah</t>
  </si>
  <si>
    <t>Kakoba Division</t>
  </si>
  <si>
    <t>Kyapotani</t>
  </si>
  <si>
    <t>Byamukama  Fred</t>
  </si>
  <si>
    <t>mutara</t>
  </si>
  <si>
    <t>orubira</t>
  </si>
  <si>
    <t>Kwataotyo  Joy</t>
  </si>
  <si>
    <t>katojo</t>
  </si>
  <si>
    <t>Julius  Mwesigwa</t>
  </si>
  <si>
    <t>Bukiro</t>
  </si>
  <si>
    <t>UG-WES-1103-3720</t>
  </si>
  <si>
    <t>Muhangi  Patrick</t>
  </si>
  <si>
    <t>UG-WES-1108-356</t>
  </si>
  <si>
    <t>Nuwamanya  Davide</t>
  </si>
  <si>
    <t>Ibanda north</t>
  </si>
  <si>
    <t>Kyeizongo</t>
  </si>
  <si>
    <t>Rwenshama</t>
  </si>
  <si>
    <t>Nagasha  Mariam</t>
  </si>
  <si>
    <t>UG-WES-1108-3697</t>
  </si>
  <si>
    <t>Bakironda  Stephen</t>
  </si>
  <si>
    <t>Kitazigurikwa</t>
  </si>
  <si>
    <t>UG-WES-1108-3711</t>
  </si>
  <si>
    <t>Mugyenyi Chris</t>
  </si>
  <si>
    <t>Kagashe</t>
  </si>
  <si>
    <t>Elly  Nsekanabo</t>
  </si>
  <si>
    <t>kakango</t>
  </si>
  <si>
    <t>bwotsya</t>
  </si>
  <si>
    <t>Kagaju  Joy</t>
  </si>
  <si>
    <t>Rubaare</t>
  </si>
  <si>
    <t>Rukiri</t>
  </si>
  <si>
    <t>Kyoheire  Enid</t>
  </si>
  <si>
    <t>UG-WES-1108-4609</t>
  </si>
  <si>
    <t>Beda  Tumwebaze</t>
  </si>
  <si>
    <t>Rwenkarabo</t>
  </si>
  <si>
    <t>UG-WES-1108-734</t>
  </si>
  <si>
    <t>Bagonza Badru</t>
  </si>
  <si>
    <t>Kiswata</t>
  </si>
  <si>
    <t>UG-WES-1108-803</t>
  </si>
  <si>
    <t>Byabakama James</t>
  </si>
  <si>
    <t>Bujenje</t>
  </si>
  <si>
    <t>Bwijanga</t>
  </si>
  <si>
    <t>Kityedo</t>
  </si>
  <si>
    <t>Tom  Karuhanga</t>
  </si>
  <si>
    <t>UG-WES-1109-1272</t>
  </si>
  <si>
    <t>James  Amutwororere</t>
  </si>
  <si>
    <t>UG-WES-1109-1290</t>
  </si>
  <si>
    <t>Wilbrod  Bekiza</t>
  </si>
  <si>
    <t>Ruborogota</t>
  </si>
  <si>
    <t>Kabumba</t>
  </si>
  <si>
    <t>UG-WES-1109-1295</t>
  </si>
  <si>
    <t>Frida  Kobusingye</t>
  </si>
  <si>
    <t>Kashari South</t>
  </si>
  <si>
    <t>UG-WES-1109-1357</t>
  </si>
  <si>
    <t>Mbabazi Twesige Tadeo</t>
  </si>
  <si>
    <t>Nyamigisa</t>
  </si>
  <si>
    <t>UG-WES-1109-1867</t>
  </si>
  <si>
    <t>Sabiiti Jesika</t>
  </si>
  <si>
    <t>UG-WES-1105-1310</t>
  </si>
  <si>
    <t>Birungi Steven</t>
  </si>
  <si>
    <t>kanyambare</t>
  </si>
  <si>
    <t>UG-WES-1109-3205</t>
  </si>
  <si>
    <t>Steven  Mwesigye</t>
  </si>
  <si>
    <t>Nyabugando</t>
  </si>
  <si>
    <t>UG-WES-1109-3211</t>
  </si>
  <si>
    <t>Francis Businge</t>
  </si>
  <si>
    <t>masindi municipality</t>
  </si>
  <si>
    <t>central divison</t>
  </si>
  <si>
    <t>kisiita</t>
  </si>
  <si>
    <t>UG-WES-1105-1335</t>
  </si>
  <si>
    <t>Felex  Magyezi</t>
  </si>
  <si>
    <t>central</t>
  </si>
  <si>
    <t>Tankhill</t>
  </si>
  <si>
    <t>UG-WES-1109-3222</t>
  </si>
  <si>
    <t>Diana  Kajugira</t>
  </si>
  <si>
    <t>Biharwe</t>
  </si>
  <si>
    <t>Rwenjeru</t>
  </si>
  <si>
    <t>UG-WES-1109-3227</t>
  </si>
  <si>
    <t>Richard  Asiimwe</t>
  </si>
  <si>
    <t>Rubzaya</t>
  </si>
  <si>
    <t>Gitemba</t>
  </si>
  <si>
    <t>UG-WES-1109-3247</t>
  </si>
  <si>
    <t>Kyaka  Vicky</t>
  </si>
  <si>
    <t>Rugorogoro</t>
  </si>
  <si>
    <t>Tumwebaze  Yoweri</t>
  </si>
  <si>
    <t>Kibatsi</t>
  </si>
  <si>
    <t>Kakanaga</t>
  </si>
  <si>
    <t>UG-WES-1109-3696</t>
  </si>
  <si>
    <t>Tumusiime  Fred</t>
  </si>
  <si>
    <t>Kitazigurika</t>
  </si>
  <si>
    <t>UG-WES-1109-4614</t>
  </si>
  <si>
    <t>Olive  Kahanuzi</t>
  </si>
  <si>
    <t>kanyeganyegye</t>
  </si>
  <si>
    <t>Tibindebaw David</t>
  </si>
  <si>
    <t>Kanombe</t>
  </si>
  <si>
    <t>UG-WES-1109-4648</t>
  </si>
  <si>
    <t>Richard  Nduhura</t>
  </si>
  <si>
    <t>Kyeizooba</t>
  </si>
  <si>
    <t>Kyabasenene</t>
  </si>
  <si>
    <t>UG-WES-1110-021409</t>
  </si>
  <si>
    <t xml:space="preserve">Karamu James </t>
  </si>
  <si>
    <t>0756563879</t>
  </si>
  <si>
    <t>Kirihura</t>
  </si>
  <si>
    <t>Bijubwe</t>
  </si>
  <si>
    <t>UG-WES-1110-1279</t>
  </si>
  <si>
    <t>Wilson  Rwabwiso</t>
  </si>
  <si>
    <t>Kasharara</t>
  </si>
  <si>
    <t>UG-WES-1110-1296</t>
  </si>
  <si>
    <t>Yunia  Mutabazi</t>
  </si>
  <si>
    <t>UG-WES-1110-206</t>
  </si>
  <si>
    <t>Mugisha Godfrey</t>
  </si>
  <si>
    <t>Masindi Town council</t>
  </si>
  <si>
    <t>UG-WES-1110-3232</t>
  </si>
  <si>
    <t>Wilson  Mugabi</t>
  </si>
  <si>
    <t>UG-WES-1110-3729</t>
  </si>
  <si>
    <t>Bijurize  Beatrice</t>
  </si>
  <si>
    <t>Kahunga</t>
  </si>
  <si>
    <t>UG-WES-1110-374</t>
  </si>
  <si>
    <t>Kahangire  Sophia</t>
  </si>
  <si>
    <t>Kitagewenda</t>
  </si>
  <si>
    <t>Bwera</t>
  </si>
  <si>
    <t>kinyungu</t>
  </si>
  <si>
    <t>Kugonza Erivaida</t>
  </si>
  <si>
    <t>Kyarubeya</t>
  </si>
  <si>
    <t>UG-WES-1111-1282</t>
  </si>
  <si>
    <t>Nichoras  Kabagambe</t>
  </si>
  <si>
    <t>Birara</t>
  </si>
  <si>
    <t>UG-WES-1111-1283</t>
  </si>
  <si>
    <t>Zephania Barugahare</t>
  </si>
  <si>
    <t>UG-WES-1111-2688</t>
  </si>
  <si>
    <t>Muganzi Yosam</t>
  </si>
  <si>
    <t>Bujumbura Div</t>
  </si>
  <si>
    <t>UG-WES-1111-2807</t>
  </si>
  <si>
    <t>Rwamuringi  Alice</t>
  </si>
  <si>
    <t>Nshwerenkye</t>
  </si>
  <si>
    <t>UG-WES-1111-3276</t>
  </si>
  <si>
    <t>Kangwamu  Frolence</t>
  </si>
  <si>
    <t>kyabinunga</t>
  </si>
  <si>
    <t>Katwire  Nathan</t>
  </si>
  <si>
    <t>Kibazi</t>
  </si>
  <si>
    <t>UG-WES-1112-1243</t>
  </si>
  <si>
    <t>Lbrahim  Kisomose</t>
  </si>
  <si>
    <t>Rukiindo</t>
  </si>
  <si>
    <t>UG-WES-1112-1281</t>
  </si>
  <si>
    <t>Fred  Bateyo</t>
  </si>
  <si>
    <t>UG-WES-1112-1306</t>
  </si>
  <si>
    <t>Scolla  Sunday</t>
  </si>
  <si>
    <t>UG-WES-1112-1338</t>
  </si>
  <si>
    <t>George  Muhanguzi Tumwebaze</t>
  </si>
  <si>
    <t>katenga1</t>
  </si>
  <si>
    <t>UG-WES-1112-3233</t>
  </si>
  <si>
    <t>Apulinali  Njunwoha</t>
  </si>
  <si>
    <t>kamishate</t>
  </si>
  <si>
    <t>UG-WES-1112-3578</t>
  </si>
  <si>
    <t>Tumwesigye  Ben</t>
  </si>
  <si>
    <t>Kibanga 2</t>
  </si>
  <si>
    <t>Kiryomunda  Jomo</t>
  </si>
  <si>
    <t>Late Kamugisha  Jemes</t>
  </si>
  <si>
    <t>UG-WES-1112-372</t>
  </si>
  <si>
    <t>Nyamitanga  Diosis</t>
  </si>
  <si>
    <t>Nyamitanga Division</t>
  </si>
  <si>
    <t>UG-WES-1112-4629</t>
  </si>
  <si>
    <t>Katera  Mugisha</t>
  </si>
  <si>
    <t>John  Batondaine</t>
  </si>
  <si>
    <t>Igara west</t>
  </si>
  <si>
    <t>kakanju</t>
  </si>
  <si>
    <t>kigondo B</t>
  </si>
  <si>
    <t>UG-WES-1112-4644</t>
  </si>
  <si>
    <t>Levis  Kansiime John</t>
  </si>
  <si>
    <t>Byenkya Christine</t>
  </si>
  <si>
    <t>UG-WES-1201-1209</t>
  </si>
  <si>
    <t>Katagu  Kamugisha</t>
  </si>
  <si>
    <t>Kainamo</t>
  </si>
  <si>
    <t>UG-WES-1107-1262</t>
  </si>
  <si>
    <t>Joseph  Mwesigye</t>
  </si>
  <si>
    <t>Rugazi</t>
  </si>
  <si>
    <t>UG-WES-1201-1276</t>
  </si>
  <si>
    <t>Paul  Mugisha</t>
  </si>
  <si>
    <t>Nyakamuri</t>
  </si>
  <si>
    <t>UG-WES-1201-1280</t>
  </si>
  <si>
    <t>Babu  Bamusherekana</t>
  </si>
  <si>
    <t>Manju</t>
  </si>
  <si>
    <t>UG-WES-1201-3204</t>
  </si>
  <si>
    <t>Robinah  Kyomugisha</t>
  </si>
  <si>
    <t>omukatooma</t>
  </si>
  <si>
    <t>Gumisiriza  Stephen</t>
  </si>
  <si>
    <t>Rukarango</t>
  </si>
  <si>
    <t>UG-WES-1202-03649</t>
  </si>
  <si>
    <t>Kimpigima  Wilson</t>
  </si>
  <si>
    <t>Mukinga</t>
  </si>
  <si>
    <t>UG-WES-1202-1345</t>
  </si>
  <si>
    <t>Noah  Bitanako</t>
  </si>
  <si>
    <t>Nyakanoni 1</t>
  </si>
  <si>
    <t>UG-WES-1202-1347</t>
  </si>
  <si>
    <t>Yorokamu  Tihwayo Nontwire</t>
  </si>
  <si>
    <t>Rwenkuba</t>
  </si>
  <si>
    <t>UG-WES-1202-2407</t>
  </si>
  <si>
    <t>Muhumuza  Justus</t>
  </si>
  <si>
    <t>Kyarukonjo</t>
  </si>
  <si>
    <t>UG-WES-1202-2778</t>
  </si>
  <si>
    <t>Bashaija  George Sabiti</t>
  </si>
  <si>
    <t>Mbaba</t>
  </si>
  <si>
    <t>UG-WES-1202-2791</t>
  </si>
  <si>
    <t>Turirukwa  Justine</t>
  </si>
  <si>
    <t>Ibanda South</t>
  </si>
  <si>
    <t>Ibanda T/c</t>
  </si>
  <si>
    <t>Kyarutanga</t>
  </si>
  <si>
    <t>UG-WES-1202-2792</t>
  </si>
  <si>
    <t>Katunguru  Alice</t>
  </si>
  <si>
    <t>Kashangura</t>
  </si>
  <si>
    <t>Kyabyahurwa</t>
  </si>
  <si>
    <t>UG-WES-1202-2794</t>
  </si>
  <si>
    <t>Dr Kabera  Johnbosco</t>
  </si>
  <si>
    <t xml:space="preserve">Ibanda </t>
  </si>
  <si>
    <t>Kagorogoro</t>
  </si>
  <si>
    <t>Kawawa  David Co Non</t>
  </si>
  <si>
    <t>Nyaruzinga</t>
  </si>
  <si>
    <t>Tibabarira  Margaret</t>
  </si>
  <si>
    <t>Kagyera</t>
  </si>
  <si>
    <t>UG-WES-1108-1289</t>
  </si>
  <si>
    <t>Jesca Kyomugisha</t>
  </si>
  <si>
    <t>Kyamusoni</t>
  </si>
  <si>
    <t>UG-WES-1202-3681</t>
  </si>
  <si>
    <t>Muhwezi  Gabriel</t>
  </si>
  <si>
    <t>Kyamabare</t>
  </si>
  <si>
    <t>UG-WES-1202-3692</t>
  </si>
  <si>
    <t>Muhairwe  Enock</t>
  </si>
  <si>
    <t>Nyamambo B</t>
  </si>
  <si>
    <t>UG-WES-1202-3705</t>
  </si>
  <si>
    <t>Bagujuna  Solo Bejura</t>
  </si>
  <si>
    <t>Kanyamunyu  Gad</t>
  </si>
  <si>
    <t>Muyumbo</t>
  </si>
  <si>
    <t>UG-WES-1203-1218</t>
  </si>
  <si>
    <t xml:space="preserve">Vicent  Twikirize </t>
  </si>
  <si>
    <t>UG-WES-1203-2586</t>
  </si>
  <si>
    <t>Birusha  Pastor James</t>
  </si>
  <si>
    <t>kabambiro</t>
  </si>
  <si>
    <t>kitashenya</t>
  </si>
  <si>
    <t>Fravior  Besigye</t>
  </si>
  <si>
    <t>Rukindo</t>
  </si>
  <si>
    <t>UG-WES-1204-3209</t>
  </si>
  <si>
    <t>Agaba Patrick Ruhanga</t>
  </si>
  <si>
    <t>Kabare</t>
  </si>
  <si>
    <t>UG-WES-1204-3228</t>
  </si>
  <si>
    <t>Jucenta Mayondo</t>
  </si>
  <si>
    <t>Ngugo</t>
  </si>
  <si>
    <t>UG-WES-1204-3289</t>
  </si>
  <si>
    <t>Rwankwenge  Steven</t>
  </si>
  <si>
    <t>Kyenjojo</t>
  </si>
  <si>
    <t>Mwenge north</t>
  </si>
  <si>
    <t>Lyamugumba</t>
  </si>
  <si>
    <t>Lauben  Katambara</t>
  </si>
  <si>
    <t>nyabubare</t>
  </si>
  <si>
    <t>kankinga</t>
  </si>
  <si>
    <t>UG-WES-1205-1322</t>
  </si>
  <si>
    <t>Boaz  Tumwiine</t>
  </si>
  <si>
    <t>Birimbi</t>
  </si>
  <si>
    <t>UG-WES-1205-2587</t>
  </si>
  <si>
    <t xml:space="preserve">Jonus  Mpozaya </t>
  </si>
  <si>
    <t>Kabingo</t>
  </si>
  <si>
    <t>David  Rurihoose No</t>
  </si>
  <si>
    <t>Nyabani</t>
  </si>
  <si>
    <t>Rwenjaza central</t>
  </si>
  <si>
    <t>UG-WES-1205-2767</t>
  </si>
  <si>
    <t>Kashaija  Yonasan</t>
  </si>
  <si>
    <t>Kyeju</t>
  </si>
  <si>
    <t>UG-WES-1205-2797</t>
  </si>
  <si>
    <t>Nalongo  Patience Tugume</t>
  </si>
  <si>
    <t>Ishongororo T/C</t>
  </si>
  <si>
    <t>Kemihoko</t>
  </si>
  <si>
    <t>UG-WES-1205-3170</t>
  </si>
  <si>
    <t>Tibeita Titus</t>
  </si>
  <si>
    <t>Buhaguzi</t>
  </si>
  <si>
    <t>Buhimba</t>
  </si>
  <si>
    <t>Kikoboza</t>
  </si>
  <si>
    <t>Dr kibalyecwa Sam</t>
  </si>
  <si>
    <t>Kisenjya</t>
  </si>
  <si>
    <t>Karahukayo James</t>
  </si>
  <si>
    <t>Kit oso central</t>
  </si>
  <si>
    <t>Mugarura  Andrew</t>
  </si>
  <si>
    <t>Rugongo</t>
  </si>
  <si>
    <t>UG-WES-1109-1275</t>
  </si>
  <si>
    <t>Jedrina  Bagira</t>
  </si>
  <si>
    <t>Ntungu west</t>
  </si>
  <si>
    <t>UG-WES-1205-3677</t>
  </si>
  <si>
    <t>Mufunguro  Nathan</t>
  </si>
  <si>
    <t>Rwere</t>
  </si>
  <si>
    <t>Bintariho  Fred</t>
  </si>
  <si>
    <t>UG-WES-1205-3689</t>
  </si>
  <si>
    <t>Tibyahati Justus</t>
  </si>
  <si>
    <t>Samson  Kahiima</t>
  </si>
  <si>
    <t>Kyambuba</t>
  </si>
  <si>
    <t>UG-WES-1206-02588</t>
  </si>
  <si>
    <t>Elias  Nzabalinda No</t>
  </si>
  <si>
    <t>Kabbiro</t>
  </si>
  <si>
    <t>Kebisingo4</t>
  </si>
  <si>
    <t>UG-WES-1206-1300</t>
  </si>
  <si>
    <t>Elizabeth  Ndyabagye</t>
  </si>
  <si>
    <t>Kabogonza Kassim</t>
  </si>
  <si>
    <t>Kibanja</t>
  </si>
  <si>
    <t>Kimengo</t>
  </si>
  <si>
    <t>Kayera</t>
  </si>
  <si>
    <t>Edry  Kamarembo</t>
  </si>
  <si>
    <t>Rushasha</t>
  </si>
  <si>
    <t>Bafunzaki  Ahamed</t>
  </si>
  <si>
    <t>Kikagati</t>
  </si>
  <si>
    <t>Kazaho</t>
  </si>
  <si>
    <t>UG-WES-1109-355</t>
  </si>
  <si>
    <t xml:space="preserve">Francis   Natwijuka </t>
  </si>
  <si>
    <t>Ishongorero</t>
  </si>
  <si>
    <t>Omukatojo</t>
  </si>
  <si>
    <t>UG-WES-1206-3599</t>
  </si>
  <si>
    <t>Twine  Paul</t>
  </si>
  <si>
    <t>Izinga</t>
  </si>
  <si>
    <t>Nalongo  Justine Mukadisi</t>
  </si>
  <si>
    <t>Makanga</t>
  </si>
  <si>
    <t>Barugahare  Mellania</t>
  </si>
  <si>
    <t>Kamatojo</t>
  </si>
  <si>
    <t>Musekura  Charles</t>
  </si>
  <si>
    <t>Central cell</t>
  </si>
  <si>
    <t>Byaruhanga  Alfred</t>
  </si>
  <si>
    <t>Rubanda East</t>
  </si>
  <si>
    <t>Hamurwa</t>
  </si>
  <si>
    <t>UG-WES-1206-3637</t>
  </si>
  <si>
    <t>Kiiza   Godfrey</t>
  </si>
  <si>
    <t>omunshenyi</t>
  </si>
  <si>
    <t>UG-WES-1207-1271</t>
  </si>
  <si>
    <t>Grace  Mugume</t>
  </si>
  <si>
    <t>Efraim  Kekomo</t>
  </si>
  <si>
    <t xml:space="preserve">Dr Banabars  Ntume </t>
  </si>
  <si>
    <t>Kitoba</t>
  </si>
  <si>
    <t>Wagasa kiizi</t>
  </si>
  <si>
    <t>UG-WES-1207-2216</t>
  </si>
  <si>
    <t>Busobozi Dickson</t>
  </si>
  <si>
    <t>Busiisi Division</t>
  </si>
  <si>
    <t>Mpaija cell</t>
  </si>
  <si>
    <t>UG-WES-1207-254</t>
  </si>
  <si>
    <t>Bwambata  Jovanice</t>
  </si>
  <si>
    <t>Kiruhura Town Council</t>
  </si>
  <si>
    <t xml:space="preserve">Mwaka </t>
  </si>
  <si>
    <t>UG-WES-1207-2752</t>
  </si>
  <si>
    <t>Katemba  Joshau</t>
  </si>
  <si>
    <t>Keshunga</t>
  </si>
  <si>
    <t>Kyabagyenyi I</t>
  </si>
  <si>
    <t>UG-WES-1207-2753</t>
  </si>
  <si>
    <t>Bamusiima  Justinah</t>
  </si>
  <si>
    <t>UG-WES-1207-3203</t>
  </si>
  <si>
    <t>Josline  Kemirembe</t>
  </si>
  <si>
    <t>Kaguhanzya</t>
  </si>
  <si>
    <t>UG-WES-1207-3216</t>
  </si>
  <si>
    <t>James  Bajuna</t>
  </si>
  <si>
    <t>UG-WES-1207-3260</t>
  </si>
  <si>
    <t>Kahangirwe  Elisa</t>
  </si>
  <si>
    <t>Buyojo</t>
  </si>
  <si>
    <t>Muhenda  Richard</t>
  </si>
  <si>
    <t>butiti</t>
  </si>
  <si>
    <t>rwamatundu</t>
  </si>
  <si>
    <t>UG-WES-1207-331</t>
  </si>
  <si>
    <t>Kunihira  Faith</t>
  </si>
  <si>
    <t>Butiti</t>
  </si>
  <si>
    <t>Kaihura</t>
  </si>
  <si>
    <t>UG-WES-1207-346</t>
  </si>
  <si>
    <t>Paul  Kasoke Mwesige</t>
  </si>
  <si>
    <t>Butunduzi town council</t>
  </si>
  <si>
    <t>Kyanyamugabo</t>
  </si>
  <si>
    <t>UG-WES-1111-3723</t>
  </si>
  <si>
    <t>Baregye  Constance Mauda</t>
  </si>
  <si>
    <t>Kahunga2</t>
  </si>
  <si>
    <t>UG-WES-1207-3581</t>
  </si>
  <si>
    <t>Nyakasheija  Bosco</t>
  </si>
  <si>
    <t>Rubare</t>
  </si>
  <si>
    <t>Ekinoni</t>
  </si>
  <si>
    <t>Kwizera  David</t>
  </si>
  <si>
    <t>Kwirwa</t>
  </si>
  <si>
    <t>UG-WES-1207-3610</t>
  </si>
  <si>
    <t>Musinga  Diamond</t>
  </si>
  <si>
    <t>Bubale</t>
  </si>
  <si>
    <t>Rubale</t>
  </si>
  <si>
    <t>UG-WES-1207-363</t>
  </si>
  <si>
    <t>Kadiima  Bosco John</t>
  </si>
  <si>
    <t>UG-WES-1112-2805</t>
  </si>
  <si>
    <t>Mwesgwa  Christopher</t>
  </si>
  <si>
    <t>Nyanga</t>
  </si>
  <si>
    <t>Xavier  Bangirana</t>
  </si>
  <si>
    <t>Nyamukidi Mary</t>
  </si>
  <si>
    <t>Otto Ann Joyce</t>
  </si>
  <si>
    <t>Kyamugenyi</t>
  </si>
  <si>
    <t>Semu Rwakishaya</t>
  </si>
  <si>
    <t>shuku</t>
  </si>
  <si>
    <t>kyembugu</t>
  </si>
  <si>
    <t>UG-WES-1208-1221</t>
  </si>
  <si>
    <t>Joram  Beingana Man</t>
  </si>
  <si>
    <t>Kigaba2</t>
  </si>
  <si>
    <t>Denis  Kuraigye</t>
  </si>
  <si>
    <t>Rucence</t>
  </si>
  <si>
    <t>Yason  Kasujja</t>
  </si>
  <si>
    <t>Posiano Magambe</t>
  </si>
  <si>
    <t>Lilian  Besigye</t>
  </si>
  <si>
    <t>UG-WES-1208-1293</t>
  </si>
  <si>
    <t>Benon  Muyambi</t>
  </si>
  <si>
    <t>UG-WES-1208-1330</t>
  </si>
  <si>
    <t>Nyansio  Katahwire</t>
  </si>
  <si>
    <t>Twengoma</t>
  </si>
  <si>
    <t>Motoka  Mable</t>
  </si>
  <si>
    <t>Rwashamire Town Council</t>
  </si>
  <si>
    <t>Nyampikye</t>
  </si>
  <si>
    <t>Murangira  Charles</t>
  </si>
  <si>
    <t>Harugongo</t>
  </si>
  <si>
    <t>Nyantaboma</t>
  </si>
  <si>
    <t>UG-WES-1201-3750</t>
  </si>
  <si>
    <t>Boreka  Judith Alfred</t>
  </si>
  <si>
    <t>Nyakihanga</t>
  </si>
  <si>
    <t>UG-WES-1208-2772</t>
  </si>
  <si>
    <t>Kentuha  Annah</t>
  </si>
  <si>
    <t>Kyampangara I</t>
  </si>
  <si>
    <t>UG-WES-1208-3242</t>
  </si>
  <si>
    <t>Jackson Nturanabo</t>
  </si>
  <si>
    <t>Buranga</t>
  </si>
  <si>
    <t>UG-WES-1208-3259</t>
  </si>
  <si>
    <t>Silvia Kyogabirwe</t>
  </si>
  <si>
    <t>Isingiro municipality</t>
  </si>
  <si>
    <t>UG-WES-1208-3266</t>
  </si>
  <si>
    <t>Rubaromba  Francis</t>
  </si>
  <si>
    <t>Kashenshero</t>
  </si>
  <si>
    <t>Karehe</t>
  </si>
  <si>
    <t>UG-WES-1208-3286</t>
  </si>
  <si>
    <t>Baguma  Timothy</t>
  </si>
  <si>
    <t>Kyenjojo T.Council</t>
  </si>
  <si>
    <t>katoosa</t>
  </si>
  <si>
    <t>UG-WES-1208-368</t>
  </si>
  <si>
    <t>Muhwezi  Godon</t>
  </si>
  <si>
    <t>kyeizooba</t>
  </si>
  <si>
    <t>Miryeri  Muganzi</t>
  </si>
  <si>
    <t>Kagango</t>
  </si>
  <si>
    <t>Nyamirima</t>
  </si>
  <si>
    <t>UG-WES-1202-2793</t>
  </si>
  <si>
    <t>Rwandekye  Steven Micheal</t>
  </si>
  <si>
    <t>Ibanda T/C</t>
  </si>
  <si>
    <t>Nyakatete</t>
  </si>
  <si>
    <t>UG-WES-1209-1264</t>
  </si>
  <si>
    <t>William  Tukwasibwe</t>
  </si>
  <si>
    <t>Kakiika</t>
  </si>
  <si>
    <t>UG-WES-1209-1292</t>
  </si>
  <si>
    <t>Erick  Kubbo</t>
  </si>
  <si>
    <t>Kafunjo</t>
  </si>
  <si>
    <t>Zita  Bananukire</t>
  </si>
  <si>
    <t>Bunyarigyi</t>
  </si>
  <si>
    <t>Nyakahuma  Solomon</t>
  </si>
  <si>
    <t>UG-WES-1209-2751</t>
  </si>
  <si>
    <t>Murinda  Sam</t>
  </si>
  <si>
    <t>Kiruhura town council</t>
  </si>
  <si>
    <t>Mwaka II</t>
  </si>
  <si>
    <t>UG-WES-1202-3702</t>
  </si>
  <si>
    <t>Mukunda  Grace</t>
  </si>
  <si>
    <t>Hiport  Twineokwesiga</t>
  </si>
  <si>
    <t>Karuhama</t>
  </si>
  <si>
    <t>UG-WES-1209-3267</t>
  </si>
  <si>
    <t>Turinawe  Kate</t>
  </si>
  <si>
    <t>Kyamuyanga</t>
  </si>
  <si>
    <t>UG-WES-1209-332</t>
  </si>
  <si>
    <t>Kagaba Edith</t>
  </si>
  <si>
    <t>kaihura</t>
  </si>
  <si>
    <t>Biryomuriwe Ezrah</t>
  </si>
  <si>
    <t>Nyakabingo</t>
  </si>
  <si>
    <t>Tumusiime  John</t>
  </si>
  <si>
    <t>Bunura</t>
  </si>
  <si>
    <t>Jonathan  Mpwirebuha</t>
  </si>
  <si>
    <t>Itendero town council</t>
  </si>
  <si>
    <t>UG-WES-1209-4624</t>
  </si>
  <si>
    <t>Omuse  Peter</t>
  </si>
  <si>
    <t>Kirwala</t>
  </si>
  <si>
    <t>UG-WES-1209-4631</t>
  </si>
  <si>
    <t>Karubanga  Jacob</t>
  </si>
  <si>
    <t>UG-WES-1204-3577</t>
  </si>
  <si>
    <t>Kamugisha  Amos</t>
  </si>
  <si>
    <t>UG-WES-1210-1315</t>
  </si>
  <si>
    <t>Kedress  Nsiime</t>
  </si>
  <si>
    <t>Dr Kajura Charles</t>
  </si>
  <si>
    <t>Businsi division</t>
  </si>
  <si>
    <t>Ibambara</t>
  </si>
  <si>
    <t>UG-WES-1210-2299</t>
  </si>
  <si>
    <t>Batalimwanya Gaetano</t>
  </si>
  <si>
    <t>Byaryeijukira</t>
  </si>
  <si>
    <t>UG-WES-1210-2590</t>
  </si>
  <si>
    <t>Emmanuel  Katabazi No</t>
  </si>
  <si>
    <t>Kabambiro</t>
  </si>
  <si>
    <t>Kebisingo1</t>
  </si>
  <si>
    <t>Kisho  Justus</t>
  </si>
  <si>
    <t>Nyakashongora  Fred</t>
  </si>
  <si>
    <t>Buyaga</t>
  </si>
  <si>
    <t>UG-WES-1210-3245</t>
  </si>
  <si>
    <t>Elia  Mujungu</t>
  </si>
  <si>
    <t>UG-WES-1210-3248</t>
  </si>
  <si>
    <t>Francis  Rukwitsebona</t>
  </si>
  <si>
    <t>UG-WES-1210-3273</t>
  </si>
  <si>
    <t>Oramyeomwe  Silver</t>
  </si>
  <si>
    <t>UG-WES-1210-3573</t>
  </si>
  <si>
    <t>Rukubire  Deogratious</t>
  </si>
  <si>
    <t>Rwikinuro</t>
  </si>
  <si>
    <t>UG-WES-1210-365</t>
  </si>
  <si>
    <t>Musinguzi  Medard</t>
  </si>
  <si>
    <t>Igorofa T/c</t>
  </si>
  <si>
    <t>UG-WES-1210-3653</t>
  </si>
  <si>
    <t>Mubangizi  Nelson</t>
  </si>
  <si>
    <t>Enock  Nkunda</t>
  </si>
  <si>
    <t>Kiyagara</t>
  </si>
  <si>
    <t>UG-WES-1211-1274</t>
  </si>
  <si>
    <t>Joy  Katongore</t>
  </si>
  <si>
    <t>Kayonja</t>
  </si>
  <si>
    <t>Maria Gorroti  Kyomukama</t>
  </si>
  <si>
    <t>UG-WES-1211-2756</t>
  </si>
  <si>
    <t>Kaberegye  Yosam</t>
  </si>
  <si>
    <t>UG-WES-1211-326</t>
  </si>
  <si>
    <t>Kusima  Paul</t>
  </si>
  <si>
    <t>mwenge</t>
  </si>
  <si>
    <t>kisekera</t>
  </si>
  <si>
    <t>UG-WES-1206-3208</t>
  </si>
  <si>
    <t>William  Gananfa</t>
  </si>
  <si>
    <t>Kahihi</t>
  </si>
  <si>
    <t>UG-WES-1211-327</t>
  </si>
  <si>
    <t>Kagaba  Gidion</t>
  </si>
  <si>
    <t>UG-WES-1211-328</t>
  </si>
  <si>
    <t>Rwatoro  Edson</t>
  </si>
  <si>
    <t>kyamusegu</t>
  </si>
  <si>
    <t>UG-WES-1206-3576</t>
  </si>
  <si>
    <t>Musimenta  Nazarius</t>
  </si>
  <si>
    <t>Bikonoka</t>
  </si>
  <si>
    <t>Kabahenda  Beatrece</t>
  </si>
  <si>
    <t>Kihika  George</t>
  </si>
  <si>
    <t>bwenzi</t>
  </si>
  <si>
    <t>UG-WES-1211-3582</t>
  </si>
  <si>
    <t>Rubadde  James</t>
  </si>
  <si>
    <t>UG-WES-1211-4621</t>
  </si>
  <si>
    <t>Amoti  Karyabashaisha</t>
  </si>
  <si>
    <t>Nyakiborera</t>
  </si>
  <si>
    <t>Murangira  Pascal</t>
  </si>
  <si>
    <t>Bushundwe</t>
  </si>
  <si>
    <t>John  Nayebare</t>
  </si>
  <si>
    <t>Shuuku</t>
  </si>
  <si>
    <t>Rwabuza</t>
  </si>
  <si>
    <t>Joy  Katuura</t>
  </si>
  <si>
    <t>Edson  Mwesigwa</t>
  </si>
  <si>
    <t>Kishabya</t>
  </si>
  <si>
    <t>UG-WES-1207-02589</t>
  </si>
  <si>
    <t>Goreti  Nyantabire No</t>
  </si>
  <si>
    <t>Kebisingo</t>
  </si>
  <si>
    <t>UG-WES-1212-1291</t>
  </si>
  <si>
    <t>Fred Bamwiine</t>
  </si>
  <si>
    <t>Nyakisharara</t>
  </si>
  <si>
    <t>UG-WES-1212-1321</t>
  </si>
  <si>
    <t>Akiiki  Matigi</t>
  </si>
  <si>
    <t>Nyatugunda</t>
  </si>
  <si>
    <t>UG-WES-1212-2755</t>
  </si>
  <si>
    <t>Kansime  Coleb</t>
  </si>
  <si>
    <t>Mushabe  George</t>
  </si>
  <si>
    <t>Ibaare I</t>
  </si>
  <si>
    <t>UG-WES-1212-325</t>
  </si>
  <si>
    <t>Magambo  Anthony</t>
  </si>
  <si>
    <t>Light  Mbazira</t>
  </si>
  <si>
    <t>Birere</t>
  </si>
  <si>
    <t>Rukoma</t>
  </si>
  <si>
    <t>UG-WES-1212-3285</t>
  </si>
  <si>
    <t>Rwabyoma  Fred</t>
  </si>
  <si>
    <t>UG-WES-1212-3290</t>
  </si>
  <si>
    <t>Kaija  Samu</t>
  </si>
  <si>
    <t>Mwenge South</t>
  </si>
  <si>
    <t>Nyantungo</t>
  </si>
  <si>
    <t>Kasiina</t>
  </si>
  <si>
    <t>UG-WES-1212-337</t>
  </si>
  <si>
    <t>Karugaba  Valentine</t>
  </si>
  <si>
    <t>Kyarusozi</t>
  </si>
  <si>
    <t>Mugisha  Joram</t>
  </si>
  <si>
    <t>Kigina</t>
  </si>
  <si>
    <t>UG-WES-1212-3700</t>
  </si>
  <si>
    <t>Kamutera  Eric Revcanon</t>
  </si>
  <si>
    <t>Kagunga</t>
  </si>
  <si>
    <t>Kitimba</t>
  </si>
  <si>
    <t>UG-WES-1212-373</t>
  </si>
  <si>
    <t>Kakooko  Elphazi</t>
  </si>
  <si>
    <t>Kyegegwa</t>
  </si>
  <si>
    <t>Kyakka</t>
  </si>
  <si>
    <t>Ruyonza</t>
  </si>
  <si>
    <t>Kiremba</t>
  </si>
  <si>
    <t>UG-WES-1301-1220</t>
  </si>
  <si>
    <t>Elly  Ntahanabo</t>
  </si>
  <si>
    <t>Rutooma</t>
  </si>
  <si>
    <t>UG-WES-1301-1346</t>
  </si>
  <si>
    <t>Patrick  Byakatonda</t>
  </si>
  <si>
    <t>UG-WES-1301-205</t>
  </si>
  <si>
    <t>Hangi Sarah</t>
  </si>
  <si>
    <t>Kijura South</t>
  </si>
  <si>
    <t>UG-WES-1301-2174</t>
  </si>
  <si>
    <t>Barungi Patrick</t>
  </si>
  <si>
    <t>Kyomuhendo  Edson</t>
  </si>
  <si>
    <t>Fortportal Municipality</t>
  </si>
  <si>
    <t>Kibimba B</t>
  </si>
  <si>
    <t>JESE</t>
  </si>
  <si>
    <t>UG-WES-1301-2777</t>
  </si>
  <si>
    <t>Mugisha  John Forest</t>
  </si>
  <si>
    <t>UG-WES-1301-3062</t>
  </si>
  <si>
    <t>Katuramu Samuel</t>
  </si>
  <si>
    <t>Kahoora Div</t>
  </si>
  <si>
    <t>Rusembe 2</t>
  </si>
  <si>
    <t>UG-WES-1301-339</t>
  </si>
  <si>
    <t>Rwampunda  Jane</t>
  </si>
  <si>
    <t>bugaki</t>
  </si>
  <si>
    <t>Rwakazooba</t>
  </si>
  <si>
    <t>Kakiga  Consolanta</t>
  </si>
  <si>
    <t>omungyenyi</t>
  </si>
  <si>
    <t>Wilson  Sekukuru</t>
  </si>
  <si>
    <t>Kabutsye</t>
  </si>
  <si>
    <t>Geofry  Tinyebwa</t>
  </si>
  <si>
    <t>Bitereko</t>
  </si>
  <si>
    <t>David  Gumisiriza</t>
  </si>
  <si>
    <t>Kyangyenyi</t>
  </si>
  <si>
    <t>Ryamasha</t>
  </si>
  <si>
    <t>George  Tumwebaze</t>
  </si>
  <si>
    <t>kabwohe town council</t>
  </si>
  <si>
    <t>kabwohe</t>
  </si>
  <si>
    <t>George  Nuwamanya</t>
  </si>
  <si>
    <t>Mbaguta</t>
  </si>
  <si>
    <t>UG-WES-1208-1297</t>
  </si>
  <si>
    <t>Charles  Tayebwa</t>
  </si>
  <si>
    <t>UG-WES-1302-1929</t>
  </si>
  <si>
    <t>George  Katalihwa</t>
  </si>
  <si>
    <t>Kigadi</t>
  </si>
  <si>
    <t>Buyaga East</t>
  </si>
  <si>
    <t>Rwehururu Chris</t>
  </si>
  <si>
    <t>Karaganwa</t>
  </si>
  <si>
    <t>Katarikawe  Charles</t>
  </si>
  <si>
    <t>Kanungu</t>
  </si>
  <si>
    <t>Kinkiizi East</t>
  </si>
  <si>
    <t>Kirima</t>
  </si>
  <si>
    <t>Kiiza  Tindituuza Lukiya</t>
  </si>
  <si>
    <t>Kagarama B</t>
  </si>
  <si>
    <t>UG-WES-1302-2419</t>
  </si>
  <si>
    <t>Tusiime  Richard Kaija</t>
  </si>
  <si>
    <t>Mukubo</t>
  </si>
  <si>
    <t>UG-WES-1302-2420</t>
  </si>
  <si>
    <t>Luyimbazi  Grace</t>
  </si>
  <si>
    <t>Gungumika  Godfrey</t>
  </si>
  <si>
    <t>UG-WES-1302-2423</t>
  </si>
  <si>
    <t>Kassaija  Stephen</t>
  </si>
  <si>
    <t>Isekahungu</t>
  </si>
  <si>
    <t>Mugyenyi   Christopher</t>
  </si>
  <si>
    <t>Karambi</t>
  </si>
  <si>
    <t>Kyaruboga</t>
  </si>
  <si>
    <t>UG-WES-1302-2426</t>
  </si>
  <si>
    <t>Kasami  Getrude</t>
  </si>
  <si>
    <t>Kasusu</t>
  </si>
  <si>
    <t>UG-WES-1302-2427</t>
  </si>
  <si>
    <t>Kagoro  Emmanuel</t>
  </si>
  <si>
    <t>Kyaligonza Solomon</t>
  </si>
  <si>
    <t>Kitonozi</t>
  </si>
  <si>
    <t>UG-WES-1302-2435</t>
  </si>
  <si>
    <t>Late Balinda  Yason</t>
  </si>
  <si>
    <t>Kiiko Town council</t>
  </si>
  <si>
    <t>UG-WES-1302-2436</t>
  </si>
  <si>
    <t>Nyakwera  Mary</t>
  </si>
  <si>
    <t>Kiko Town Council</t>
  </si>
  <si>
    <t>UG-WES-1302-2437</t>
  </si>
  <si>
    <t>Agaba  Rose</t>
  </si>
  <si>
    <t>Kiko Town council</t>
  </si>
  <si>
    <t>Kiko</t>
  </si>
  <si>
    <t>Prorugumayo  Edward</t>
  </si>
  <si>
    <t>Rwobusoro</t>
  </si>
  <si>
    <t>Baguma  Holymisdus</t>
  </si>
  <si>
    <t>Kiko town council</t>
  </si>
  <si>
    <t>Kimuhunde</t>
  </si>
  <si>
    <t>UG-WES-1302-2443</t>
  </si>
  <si>
    <t>Kagaba  Joshua</t>
  </si>
  <si>
    <t>Rutete zone</t>
  </si>
  <si>
    <t>Mugamba  Paul Justice</t>
  </si>
  <si>
    <t>UG-WES-1302-2447</t>
  </si>
  <si>
    <t>Bwerere  John Akiiki</t>
  </si>
  <si>
    <t>Busoro</t>
  </si>
  <si>
    <t>Kaswa A</t>
  </si>
  <si>
    <t>UG-WES-1302-2451</t>
  </si>
  <si>
    <t>Busingye  Grace</t>
  </si>
  <si>
    <t>Kijura town council</t>
  </si>
  <si>
    <t>Professor Semana  Arsen</t>
  </si>
  <si>
    <t>Katumba</t>
  </si>
  <si>
    <t>Rwakahangi  Stefano</t>
  </si>
  <si>
    <t>Kuku  Enid</t>
  </si>
  <si>
    <t>Hakibale</t>
  </si>
  <si>
    <t>Kijenge</t>
  </si>
  <si>
    <t>Habert  Tibekiikana</t>
  </si>
  <si>
    <t>Katsigazi  James</t>
  </si>
  <si>
    <t>Bunyangabo</t>
  </si>
  <si>
    <t>Rwimi Town council</t>
  </si>
  <si>
    <t>Rwimi</t>
  </si>
  <si>
    <t>UG-WES-1302-2463</t>
  </si>
  <si>
    <t>Bazirirwaki  Andereya Byombi</t>
  </si>
  <si>
    <t>Rugaga</t>
  </si>
  <si>
    <t>UG-WES-1302-2464</t>
  </si>
  <si>
    <t>Isingoma  Sulaiman</t>
  </si>
  <si>
    <t>UG-WES-1302-2585</t>
  </si>
  <si>
    <t>Bariyo  Militon No</t>
  </si>
  <si>
    <t>Bwitankanja 2</t>
  </si>
  <si>
    <t>UG-WES-1210-2773</t>
  </si>
  <si>
    <t>Karuhanga  Charles</t>
  </si>
  <si>
    <t>Ryakahabwa</t>
  </si>
  <si>
    <t>UG-WES-1302-3265</t>
  </si>
  <si>
    <t>Natumanya Amos</t>
  </si>
  <si>
    <t>Kyarwabuganda</t>
  </si>
  <si>
    <t>UG-WES-1302-3280</t>
  </si>
  <si>
    <t>Agaba Enock</t>
  </si>
  <si>
    <t>Kisalizi</t>
  </si>
  <si>
    <t>UG-WES-1302-3294</t>
  </si>
  <si>
    <t>Byarugaba Victor</t>
  </si>
  <si>
    <t>mutonga</t>
  </si>
  <si>
    <t>UG-WES-1302-330</t>
  </si>
  <si>
    <t>Bakiiza  Fred</t>
  </si>
  <si>
    <t>Nyantungu</t>
  </si>
  <si>
    <t>kisinga</t>
  </si>
  <si>
    <t>UG-WES-1302-3676</t>
  </si>
  <si>
    <t>Katunguka  Wilber</t>
  </si>
  <si>
    <t>UG-WES-1210-333</t>
  </si>
  <si>
    <t>Ruharuza  George</t>
  </si>
  <si>
    <t>UG-WES-1302-3686</t>
  </si>
  <si>
    <t>Katungwensi  Jack Kamugisha</t>
  </si>
  <si>
    <t>UG-WES-1302-3690</t>
  </si>
  <si>
    <t>Ruhija Edisa</t>
  </si>
  <si>
    <t>Kabushagi</t>
  </si>
  <si>
    <t>UG-WES-1302-3691</t>
  </si>
  <si>
    <t>Mugisha  Kyanjara Mustaf</t>
  </si>
  <si>
    <t>Kanonko</t>
  </si>
  <si>
    <t>UG-WES-1302-3693</t>
  </si>
  <si>
    <t>Bagambana  David</t>
  </si>
  <si>
    <t>Kanyamutwe</t>
  </si>
  <si>
    <t>UG-WES-1302-3694</t>
  </si>
  <si>
    <t>Katesigwa  Norah William</t>
  </si>
  <si>
    <t>Karire</t>
  </si>
  <si>
    <t>UG-WES-1302-3707</t>
  </si>
  <si>
    <t>Kainamura  Alice</t>
  </si>
  <si>
    <t>Kyatoko</t>
  </si>
  <si>
    <t>UG-WES-1302-3728</t>
  </si>
  <si>
    <t>Kagyenza  Erikanah</t>
  </si>
  <si>
    <t>UG-WES-1302-3730</t>
  </si>
  <si>
    <t>Muhereza  Banard</t>
  </si>
  <si>
    <t>Kibogota</t>
  </si>
  <si>
    <t>Kagundu  John</t>
  </si>
  <si>
    <t>Ruteete</t>
  </si>
  <si>
    <t>UG-WES-1302-4625</t>
  </si>
  <si>
    <t>Kiryaisoke  William</t>
  </si>
  <si>
    <t>Nyakataama</t>
  </si>
  <si>
    <t>Kaheru  Severino Nyakoojo</t>
  </si>
  <si>
    <t>Kitaleeba</t>
  </si>
  <si>
    <t>Byakagaba  Steven</t>
  </si>
  <si>
    <t>UG-WES-1302-4633</t>
  </si>
  <si>
    <t>Omony  Arec</t>
  </si>
  <si>
    <t>UG-WES-1302-5621</t>
  </si>
  <si>
    <t>Musunga K Pascal</t>
  </si>
  <si>
    <t>Kiziranfumbi</t>
  </si>
  <si>
    <t>Kicaaya</t>
  </si>
  <si>
    <t>UG-WES-1303-1323</t>
  </si>
  <si>
    <t>Dankan Mwesigve</t>
  </si>
  <si>
    <t>Bukumbya</t>
  </si>
  <si>
    <t>Yosam  Bashaija</t>
  </si>
  <si>
    <t>Kyabugimbi</t>
  </si>
  <si>
    <t>Kigombe</t>
  </si>
  <si>
    <t>UG-WES-1303-1327</t>
  </si>
  <si>
    <t>Florence  Mugarura</t>
  </si>
  <si>
    <t>Nyakinengo</t>
  </si>
  <si>
    <t>UG-WES-1303-1925</t>
  </si>
  <si>
    <t>William  Kunihira</t>
  </si>
  <si>
    <t>Kiweza</t>
  </si>
  <si>
    <t>Nyamuguri  Ester</t>
  </si>
  <si>
    <t>rwobusisi</t>
  </si>
  <si>
    <t>Asiimwe  Robert</t>
  </si>
  <si>
    <t>Kashojwa</t>
  </si>
  <si>
    <t>UG-WES-1303-3714</t>
  </si>
  <si>
    <t>Nsima  Charity</t>
  </si>
  <si>
    <t>Kakindo</t>
  </si>
  <si>
    <t>Nabulagala Faith</t>
  </si>
  <si>
    <t>Miirya</t>
  </si>
  <si>
    <t>Nyambindo</t>
  </si>
  <si>
    <t>UG-WES-1303-4611</t>
  </si>
  <si>
    <t>Rwabuyaga  Absolom</t>
  </si>
  <si>
    <t>mburamaizi</t>
  </si>
  <si>
    <t>E  Kabazeyo</t>
  </si>
  <si>
    <t>kemikyera</t>
  </si>
  <si>
    <t>Benard  Muzahura</t>
  </si>
  <si>
    <t>kimondo</t>
  </si>
  <si>
    <t>Peter  Bibangamba</t>
  </si>
  <si>
    <t>Bugashe</t>
  </si>
  <si>
    <t>Butera Sam</t>
  </si>
  <si>
    <t>Rusoke  Charles</t>
  </si>
  <si>
    <t>Buheesi</t>
  </si>
  <si>
    <t>UG-WES-1304-2594</t>
  </si>
  <si>
    <t>Victor  Fr Mwekwasize</t>
  </si>
  <si>
    <t>Rwenjaza</t>
  </si>
  <si>
    <t>UG-WES-1304-2810</t>
  </si>
  <si>
    <t>Mansi  Godfrey</t>
  </si>
  <si>
    <t>UG-WES-1304-341</t>
  </si>
  <si>
    <t>Bamanyisa  William George</t>
  </si>
  <si>
    <t>kirongo</t>
  </si>
  <si>
    <t>UG-WES-1304-3552</t>
  </si>
  <si>
    <t>Musiime  Peace</t>
  </si>
  <si>
    <t>Nyakibogo</t>
  </si>
  <si>
    <t>UG-WES-1304-358</t>
  </si>
  <si>
    <t>Herba  Simon</t>
  </si>
  <si>
    <t>lbanda North</t>
  </si>
  <si>
    <t>Kagango 2</t>
  </si>
  <si>
    <t>Twesigye  James</t>
  </si>
  <si>
    <t>Mugisa   Christopher</t>
  </si>
  <si>
    <t>Katyabi</t>
  </si>
  <si>
    <t>Mwesigye  Yosiya</t>
  </si>
  <si>
    <t>UG-WES-1304-3757</t>
  </si>
  <si>
    <t>Jane Bulya</t>
  </si>
  <si>
    <t>UG-WES-1304-4612</t>
  </si>
  <si>
    <t>Kyomukama  Herbert</t>
  </si>
  <si>
    <t>mabaale</t>
  </si>
  <si>
    <t>Nyabwire</t>
  </si>
  <si>
    <t>UG-WES-1304-4613</t>
  </si>
  <si>
    <t>Kiiza  Livingstone</t>
  </si>
  <si>
    <t>Kyabahita</t>
  </si>
  <si>
    <t>UG-WES-1305-1214</t>
  </si>
  <si>
    <t>Francis  Kangwamu</t>
  </si>
  <si>
    <t>Kanyegyesa</t>
  </si>
  <si>
    <t>UG-WES-1305-1319</t>
  </si>
  <si>
    <t>John Njoki</t>
  </si>
  <si>
    <t>kahaiza</t>
  </si>
  <si>
    <t>UG-WES-1305-2450</t>
  </si>
  <si>
    <t>Epafura  Mugasa M</t>
  </si>
  <si>
    <t>Bwabya</t>
  </si>
  <si>
    <t>UG-WES-1305-2770</t>
  </si>
  <si>
    <t>Katugunda  Samuel</t>
  </si>
  <si>
    <t>Kazo t.c</t>
  </si>
  <si>
    <t>Rwengara</t>
  </si>
  <si>
    <t>UG-WES-1305-2786</t>
  </si>
  <si>
    <t>Nkoreki  Mary</t>
  </si>
  <si>
    <t>Kabatanagi</t>
  </si>
  <si>
    <t>UG-WES-1305-2790</t>
  </si>
  <si>
    <t>Kasande  Magrete</t>
  </si>
  <si>
    <t>Nsasi</t>
  </si>
  <si>
    <t>Nyakabugo</t>
  </si>
  <si>
    <t>UG-WES-1305-2798</t>
  </si>
  <si>
    <t>Kyomuhendo  Justinah</t>
  </si>
  <si>
    <t xml:space="preserve">Ishongororo </t>
  </si>
  <si>
    <t>Bagada John</t>
  </si>
  <si>
    <t>Biizi</t>
  </si>
  <si>
    <t>UG-WES-1305-2800</t>
  </si>
  <si>
    <t xml:space="preserve">Kadia  Kendaba </t>
  </si>
  <si>
    <t>Ishongororo</t>
  </si>
  <si>
    <t>Kyembogo I</t>
  </si>
  <si>
    <t>James  Tumuhimbise</t>
  </si>
  <si>
    <t>Rwenshekye east</t>
  </si>
  <si>
    <t>UG-WES-1305-3271</t>
  </si>
  <si>
    <t>Kwatampora  Anna</t>
  </si>
  <si>
    <t>Kabagambe  Julius</t>
  </si>
  <si>
    <t>Bukuro</t>
  </si>
  <si>
    <t>Kabazi</t>
  </si>
  <si>
    <t>UG-WES-1305-3293</t>
  </si>
  <si>
    <t>Sunday  Paul Mbeta</t>
  </si>
  <si>
    <t>Mwenge south</t>
  </si>
  <si>
    <t>isandara</t>
  </si>
  <si>
    <t>Ngasirwa  Tom</t>
  </si>
  <si>
    <t>Kyakaigo</t>
  </si>
  <si>
    <t>UG-WES-1305-3295</t>
  </si>
  <si>
    <t>Karyeibara  Steven</t>
  </si>
  <si>
    <t>mutonya</t>
  </si>
  <si>
    <t>UG-WES-1305-357</t>
  </si>
  <si>
    <t>Bangaomuzare  Paul</t>
  </si>
  <si>
    <t>Kihiro</t>
  </si>
  <si>
    <t>Rutabingwa  Charles Canon</t>
  </si>
  <si>
    <t>UG-WES-1305-3647</t>
  </si>
  <si>
    <t>Ndyabahika  Lawrence</t>
  </si>
  <si>
    <t>Kacuragyenyi</t>
  </si>
  <si>
    <t>Kambenawe  Topher</t>
  </si>
  <si>
    <t>UG-WES-1305-3701</t>
  </si>
  <si>
    <t>Tumwesigye  David</t>
  </si>
  <si>
    <t>Keitumura</t>
  </si>
  <si>
    <t>UG-WES-1305-4615</t>
  </si>
  <si>
    <t>Kwesiga  Elisha</t>
  </si>
  <si>
    <t>Kyejumikire</t>
  </si>
  <si>
    <t>Mugisa  Peter</t>
  </si>
  <si>
    <t>Mabaale town council</t>
  </si>
  <si>
    <t>UG-WES-1302-2439</t>
  </si>
  <si>
    <t>Kaihura  Isaac</t>
  </si>
  <si>
    <t>Kamakune</t>
  </si>
  <si>
    <t>Loving  Bihandiiko</t>
  </si>
  <si>
    <t>Nyarugote</t>
  </si>
  <si>
    <t>UG-WES-1305-4628</t>
  </si>
  <si>
    <t>Daniel  Nyehangane</t>
  </si>
  <si>
    <t xml:space="preserve">Tugume  Enid </t>
  </si>
  <si>
    <t>Kyeitembe</t>
  </si>
  <si>
    <t>Nyamwiza Betesi Mbahi</t>
  </si>
  <si>
    <t>Nshungyezi</t>
  </si>
  <si>
    <t>UG-WES-1306-1284</t>
  </si>
  <si>
    <t>Robert  Tusingwire</t>
  </si>
  <si>
    <t>Isingiro South</t>
  </si>
  <si>
    <t>UG-WES-1306-1285</t>
  </si>
  <si>
    <t>Benard  Tumwesigye</t>
  </si>
  <si>
    <t>Rwabyemera</t>
  </si>
  <si>
    <t>UG-WES-1306-1326</t>
  </si>
  <si>
    <t>Yoramu  Tuwangye</t>
  </si>
  <si>
    <t>kagwa</t>
  </si>
  <si>
    <t>Nyabikyerere</t>
  </si>
  <si>
    <t>UG-WES-1306-1926</t>
  </si>
  <si>
    <t>Sajjabi  Sajjabi William</t>
  </si>
  <si>
    <t>Kigorobya</t>
  </si>
  <si>
    <t>Hanga</t>
  </si>
  <si>
    <t>Twinoweitu  David</t>
  </si>
  <si>
    <t>Kibiito</t>
  </si>
  <si>
    <t>Nyakarambi</t>
  </si>
  <si>
    <t>Repaired,Feeding though not daily because he has no one to do the daily feeding.</t>
  </si>
  <si>
    <t>Karwani  Daniel</t>
  </si>
  <si>
    <t>Bwambare  Bamusede</t>
  </si>
  <si>
    <t>Kasese</t>
  </si>
  <si>
    <t>Busongora North</t>
  </si>
  <si>
    <t>Bugoyi</t>
  </si>
  <si>
    <t>Rwakingi</t>
  </si>
  <si>
    <t>UG-WES-1306-3218</t>
  </si>
  <si>
    <t>Enock  Rutamureka</t>
  </si>
  <si>
    <t>Rubanya</t>
  </si>
  <si>
    <t>Kakono</t>
  </si>
  <si>
    <t>UG-WES-1306-3224</t>
  </si>
  <si>
    <t>Mable  Gwera</t>
  </si>
  <si>
    <t>Biharwe division</t>
  </si>
  <si>
    <t>Kakukuru</t>
  </si>
  <si>
    <t>UG-WES-1306-3249</t>
  </si>
  <si>
    <t>James  Kato</t>
  </si>
  <si>
    <t>Rwensheke west</t>
  </si>
  <si>
    <t>Nuwagira  Joseph</t>
  </si>
  <si>
    <t>Nshugyezi</t>
  </si>
  <si>
    <t>Seruwada  Meadres</t>
  </si>
  <si>
    <t>Nkaka</t>
  </si>
  <si>
    <t>Kyarimpa Paul</t>
  </si>
  <si>
    <t>Rwamukora</t>
  </si>
  <si>
    <t>Kibuja</t>
  </si>
  <si>
    <t>UG-WES-1306-336</t>
  </si>
  <si>
    <t>Jonathan  Bamuhaiga</t>
  </si>
  <si>
    <t>Barahaija</t>
  </si>
  <si>
    <t>UG-WES-1306-338</t>
  </si>
  <si>
    <t>Bazirake  Charles Ntawera</t>
  </si>
  <si>
    <t>UG-WES-1306-344</t>
  </si>
  <si>
    <t>Mugabirwe  Eli</t>
  </si>
  <si>
    <t>Rweibaale</t>
  </si>
  <si>
    <t>UG-WES-1306-3554</t>
  </si>
  <si>
    <t>Katurebe Jenipher</t>
  </si>
  <si>
    <t>Nyaruhaama</t>
  </si>
  <si>
    <t>UG-WES-1306-3561</t>
  </si>
  <si>
    <t>Mugyenyi  Mary</t>
  </si>
  <si>
    <t>Rukooni</t>
  </si>
  <si>
    <t>Nshenyi</t>
  </si>
  <si>
    <t>UG-WES-1306-3574</t>
  </si>
  <si>
    <t>Tindimwebwa  Mary</t>
  </si>
  <si>
    <t>Mutoojo</t>
  </si>
  <si>
    <t>UG-WES-1306-3586</t>
  </si>
  <si>
    <t>Byarugaba Benjamin</t>
  </si>
  <si>
    <t>Rujumo</t>
  </si>
  <si>
    <t>Rwefurika  Fred</t>
  </si>
  <si>
    <t>Kirama</t>
  </si>
  <si>
    <t>UG-WES-1306-3605</t>
  </si>
  <si>
    <t>Nsaba  Peter</t>
  </si>
  <si>
    <t>Kirigime Central</t>
  </si>
  <si>
    <t>UG-WES-1306-361</t>
  </si>
  <si>
    <t>Kyarikunda  Hope</t>
  </si>
  <si>
    <t>UG-WES-1306-3633</t>
  </si>
  <si>
    <t>Ruranyenza  Aggrey</t>
  </si>
  <si>
    <t>Nyakabaka</t>
  </si>
  <si>
    <t>UG-WES-1306-3709</t>
  </si>
  <si>
    <t>Byabakama  Charles</t>
  </si>
  <si>
    <t>Nyamambo</t>
  </si>
  <si>
    <t>UG-WES-1306-3715</t>
  </si>
  <si>
    <t>Ndyamureba  Eric</t>
  </si>
  <si>
    <t>Rwenyerere</t>
  </si>
  <si>
    <t>UG-WES-1306-3718</t>
  </si>
  <si>
    <t>Nkore  Jeryminah</t>
  </si>
  <si>
    <t>Ryengerero</t>
  </si>
  <si>
    <t>UG-WES-1306-3739</t>
  </si>
  <si>
    <t>Turyaija  Simei Kisiribombo</t>
  </si>
  <si>
    <t>UG-WES-1306-3743</t>
  </si>
  <si>
    <t>Kiiza  Godfrey</t>
  </si>
  <si>
    <t>UG-WES-1306-4616</t>
  </si>
  <si>
    <t>Kunihira  Ezekiel</t>
  </si>
  <si>
    <t>Moses  Mbahone</t>
  </si>
  <si>
    <t>central Ward</t>
  </si>
  <si>
    <t>Rweibare</t>
  </si>
  <si>
    <t>George Tibaijuka</t>
  </si>
  <si>
    <t>Beijegye</t>
  </si>
  <si>
    <t>UG-WES-1306-4646</t>
  </si>
  <si>
    <t>Alex  Mukundane</t>
  </si>
  <si>
    <t>Kyizooba</t>
  </si>
  <si>
    <t>Steven  Natebekanisa</t>
  </si>
  <si>
    <t>Kyama</t>
  </si>
  <si>
    <t>Muziira</t>
  </si>
  <si>
    <t>UG-WES-1307-1208</t>
  </si>
  <si>
    <t>Sederas  Kazoora</t>
  </si>
  <si>
    <t>ibare</t>
  </si>
  <si>
    <t>Kagari</t>
  </si>
  <si>
    <t>Sam  Mugarura</t>
  </si>
  <si>
    <t>UG-WES-1307-1224</t>
  </si>
  <si>
    <t>George  Tuwangye</t>
  </si>
  <si>
    <t>UG-WES-1307-1288</t>
  </si>
  <si>
    <t>Moses  Lule</t>
  </si>
  <si>
    <t>UG-WES-1307-1325</t>
  </si>
  <si>
    <t>Robinah  Kekurudo</t>
  </si>
  <si>
    <t>UG-WES-1307-1927</t>
  </si>
  <si>
    <t>Mpabaiti  Bonifence</t>
  </si>
  <si>
    <t>Nyansororo</t>
  </si>
  <si>
    <t>KDC</t>
  </si>
  <si>
    <t>Byaruhanga  Dorothy</t>
  </si>
  <si>
    <t>Kidukuru</t>
  </si>
  <si>
    <t>Habiyakare  James</t>
  </si>
  <si>
    <t>Bagonza  James</t>
  </si>
  <si>
    <t>Rwabaganda</t>
  </si>
  <si>
    <t>Cripton Engineering Limited</t>
  </si>
  <si>
    <t>UG-WES-1307-2438</t>
  </si>
  <si>
    <t>Katushabe  Dickson Lubega</t>
  </si>
  <si>
    <t>UG-WES-1304-3221</t>
  </si>
  <si>
    <t>Mable  Kaita</t>
  </si>
  <si>
    <t>Nshemerirwe  Asaph</t>
  </si>
  <si>
    <t>Bwizibwera</t>
  </si>
  <si>
    <t>Tukamusherura  George</t>
  </si>
  <si>
    <t>Kasese municipality</t>
  </si>
  <si>
    <t>Rukoki Division</t>
  </si>
  <si>
    <t>Kogere</t>
  </si>
  <si>
    <t>UG-WES-1307-2806</t>
  </si>
  <si>
    <t>Kavuma  Steven</t>
  </si>
  <si>
    <t>UG-WES-1307-3210</t>
  </si>
  <si>
    <t>Moses   Babiiha</t>
  </si>
  <si>
    <t>nyangaya</t>
  </si>
  <si>
    <t>rwijeere</t>
  </si>
  <si>
    <t>UG-WES-1304-3600</t>
  </si>
  <si>
    <t>Bahwiremu  Adrine</t>
  </si>
  <si>
    <t>Kitunga 1</t>
  </si>
  <si>
    <t>UG-WES-1307-3250</t>
  </si>
  <si>
    <t>Edward  Kibooga</t>
  </si>
  <si>
    <t>Rwenshekye 2</t>
  </si>
  <si>
    <t>Frank  Mirengye</t>
  </si>
  <si>
    <t>Isingiro Town council</t>
  </si>
  <si>
    <t>Ishozi</t>
  </si>
  <si>
    <t>UG-WES-1307-329</t>
  </si>
  <si>
    <t>Baguma  Yahaya</t>
  </si>
  <si>
    <t>Kyenjojo town council</t>
  </si>
  <si>
    <t>Ntooma</t>
  </si>
  <si>
    <t>UG-WES-1307-3584</t>
  </si>
  <si>
    <t>Mugarura  Dan</t>
  </si>
  <si>
    <t>Kagyeyo</t>
  </si>
  <si>
    <t>UG-WES-1307-3609</t>
  </si>
  <si>
    <t>Kagemera  Benidicto</t>
  </si>
  <si>
    <t>Mwiguriro</t>
  </si>
  <si>
    <t>UG-WES-1307-3611</t>
  </si>
  <si>
    <t>Mpamizo  Matia</t>
  </si>
  <si>
    <t>Mukyahi</t>
  </si>
  <si>
    <t>UG-WES-1307-3612</t>
  </si>
  <si>
    <t>Bakeine  David</t>
  </si>
  <si>
    <t>Hamurara</t>
  </si>
  <si>
    <t>UG-WES-1307-3613</t>
  </si>
  <si>
    <t>Dr Arinaitwe  Julius</t>
  </si>
  <si>
    <t>Murambo 1</t>
  </si>
  <si>
    <t>UG-WES-1307-3614</t>
  </si>
  <si>
    <t>Kaboroga  Lorand</t>
  </si>
  <si>
    <t>UG-WES-1305-2785</t>
  </si>
  <si>
    <t>Rwankuyegye  Edward</t>
  </si>
  <si>
    <t>Kemizo</t>
  </si>
  <si>
    <t>UG-WES-1307-3615</t>
  </si>
  <si>
    <t>Mutyabire  Booker</t>
  </si>
  <si>
    <t>Butengo</t>
  </si>
  <si>
    <t>Bushanza</t>
  </si>
  <si>
    <t>UG-WES-1307-3616</t>
  </si>
  <si>
    <t>Ndemere  Adriano</t>
  </si>
  <si>
    <t>Kirigime</t>
  </si>
  <si>
    <t>UG-WES-1307-3618</t>
  </si>
  <si>
    <t>Bitarabeho  Jonathan</t>
  </si>
  <si>
    <t>Ihimbi</t>
  </si>
  <si>
    <t>UG-WES-1305-2799</t>
  </si>
  <si>
    <t>Tumusime  Esua</t>
  </si>
  <si>
    <t>Ncwano</t>
  </si>
  <si>
    <t>Twine  Protazi</t>
  </si>
  <si>
    <t>Kitibya</t>
  </si>
  <si>
    <t>UG-WES-1307-3621</t>
  </si>
  <si>
    <t>Twayaga  Beatrace</t>
  </si>
  <si>
    <t>Nyabikoni</t>
  </si>
  <si>
    <t>UG-WES-1307-3623</t>
  </si>
  <si>
    <t>Manday  Gedeon</t>
  </si>
  <si>
    <t>Ndorwa West</t>
  </si>
  <si>
    <t>Kamuganguzi</t>
  </si>
  <si>
    <t>omururinda</t>
  </si>
  <si>
    <t>Tushungirwe  Stephen</t>
  </si>
  <si>
    <t>Kyasimire  Fabias</t>
  </si>
  <si>
    <t>Katuna Town Council</t>
  </si>
  <si>
    <t>Kyasimire  Lucky</t>
  </si>
  <si>
    <t>Butobere</t>
  </si>
  <si>
    <t>UG-WES-1307-3627</t>
  </si>
  <si>
    <t>Turyabanza  Cleophas</t>
  </si>
  <si>
    <t>Rukiiga</t>
  </si>
  <si>
    <t>Rwamucucu</t>
  </si>
  <si>
    <t>UG-WES-1307-3716</t>
  </si>
  <si>
    <t>Bitarikwata  Alice</t>
  </si>
  <si>
    <t>UG-WES-1307-4622</t>
  </si>
  <si>
    <t>Julius  Ahimbisibwe</t>
  </si>
  <si>
    <t>Kakombe</t>
  </si>
  <si>
    <t>Paul  Atubeho</t>
  </si>
  <si>
    <t>Ibanga</t>
  </si>
  <si>
    <t>Sam  Rwakabitemba</t>
  </si>
  <si>
    <t>Kashoozi</t>
  </si>
  <si>
    <t>kiyuya</t>
  </si>
  <si>
    <t>Mwesigwa  Elinayo</t>
  </si>
  <si>
    <t>Kyeteera A</t>
  </si>
  <si>
    <t>Beatreace  Tumwebaze</t>
  </si>
  <si>
    <t>omukabare</t>
  </si>
  <si>
    <t>Sam  Tumuhairwe</t>
  </si>
  <si>
    <t>Muhanuzi  John</t>
  </si>
  <si>
    <t>Kibiito Town Council</t>
  </si>
  <si>
    <t>Karungi</t>
  </si>
  <si>
    <t>UG-WES-1308-2433</t>
  </si>
  <si>
    <t>Tinkasiimire  Joy</t>
  </si>
  <si>
    <t>Kasari</t>
  </si>
  <si>
    <t>UG-WES-1308-2758</t>
  </si>
  <si>
    <t>Rwanyakashara   Monecah Moses</t>
  </si>
  <si>
    <t>Kikatsi</t>
  </si>
  <si>
    <t>Keikoti central</t>
  </si>
  <si>
    <t>Mwesigye  Emanuel</t>
  </si>
  <si>
    <t>kinon</t>
  </si>
  <si>
    <t>Rwomugina</t>
  </si>
  <si>
    <t>Cornel  Katureka</t>
  </si>
  <si>
    <t>Kashari north</t>
  </si>
  <si>
    <t>Rukanja</t>
  </si>
  <si>
    <t>UG-WES-1308-3251</t>
  </si>
  <si>
    <t>Yonasan  Bambona</t>
  </si>
  <si>
    <t>UG-WES-1308-3253</t>
  </si>
  <si>
    <t>Elinola  Kyohirwe</t>
  </si>
  <si>
    <t>Kantungamo</t>
  </si>
  <si>
    <t>Butamanya  Paskazia</t>
  </si>
  <si>
    <t>Rwentondo</t>
  </si>
  <si>
    <t>Mbabazi Hellen</t>
  </si>
  <si>
    <t>UG-WES-1308-335</t>
  </si>
  <si>
    <t>Karya  Joice</t>
  </si>
  <si>
    <t>Kyangabukama</t>
  </si>
  <si>
    <t>UG-WES-1306-3202</t>
  </si>
  <si>
    <t>Kaguta  Tumusiime P</t>
  </si>
  <si>
    <t>UG-WES-1308-342</t>
  </si>
  <si>
    <t>Bamanyisa  Stera</t>
  </si>
  <si>
    <t>kirongo B</t>
  </si>
  <si>
    <t>UG-WES-1308-343</t>
  </si>
  <si>
    <t>Mugisha Vicent</t>
  </si>
  <si>
    <t>Kihura</t>
  </si>
  <si>
    <t>kanyinayo</t>
  </si>
  <si>
    <t>UG-WES-1308-3575</t>
  </si>
  <si>
    <t>Kato  Geoffrey</t>
  </si>
  <si>
    <t>UG-WES-1308-3589</t>
  </si>
  <si>
    <t>Rwabutururuma  Yoram</t>
  </si>
  <si>
    <t>Rwashamire Town Concil</t>
  </si>
  <si>
    <t>Nyakihanga1</t>
  </si>
  <si>
    <t>Katetegirwe  Bosco John</t>
  </si>
  <si>
    <t>Kabingo TC</t>
  </si>
  <si>
    <t>Katembe</t>
  </si>
  <si>
    <t>UG-WES-1308-3594</t>
  </si>
  <si>
    <t>Kakwara Abdu Hajji</t>
  </si>
  <si>
    <t>Rwenshekashekye</t>
  </si>
  <si>
    <t>Faibi Kobukaire</t>
  </si>
  <si>
    <t>Endinzi</t>
  </si>
  <si>
    <t>Bijura</t>
  </si>
  <si>
    <t>UG-WES-1308-360</t>
  </si>
  <si>
    <t>Alfa &amp; Sss Omega</t>
  </si>
  <si>
    <t>Kiburara</t>
  </si>
  <si>
    <t>UG-WES-1308-3619</t>
  </si>
  <si>
    <t>Kakulu  Collins</t>
  </si>
  <si>
    <t>Ruzanzara</t>
  </si>
  <si>
    <t>UG-WES-1308-362</t>
  </si>
  <si>
    <t>Turyahabwe Robert</t>
  </si>
  <si>
    <t>UG-WES-1308-366</t>
  </si>
  <si>
    <t>Tweshengyerize  Abert</t>
  </si>
  <si>
    <t>Igorora</t>
  </si>
  <si>
    <t>Kanyeganyegye</t>
  </si>
  <si>
    <t>Rubunda  Monica</t>
  </si>
  <si>
    <t>Kibunda</t>
  </si>
  <si>
    <t>UG-WES-1308-371</t>
  </si>
  <si>
    <t>Mugume  Silver</t>
  </si>
  <si>
    <t>Kashumba</t>
  </si>
  <si>
    <t>Kiyenje</t>
  </si>
  <si>
    <t>Tusanyuke  Benon</t>
  </si>
  <si>
    <t>Kitwe TC</t>
  </si>
  <si>
    <t>Rwamabare</t>
  </si>
  <si>
    <t>Client is still feeding</t>
  </si>
  <si>
    <t>Rwaburikwire  Rose</t>
  </si>
  <si>
    <t>RuhaamaT/C</t>
  </si>
  <si>
    <t>UG-WES-1308-51</t>
  </si>
  <si>
    <t>Bikuru Herman</t>
  </si>
  <si>
    <t>kihuuba</t>
  </si>
  <si>
    <t>UG-WES-1309-1261</t>
  </si>
  <si>
    <t>Shafio  Kamoga</t>
  </si>
  <si>
    <t>Kaberebere Town council</t>
  </si>
  <si>
    <t>Rweiziringiro Town council</t>
  </si>
  <si>
    <t>UG-WES-1306-3593</t>
  </si>
  <si>
    <t>Kiiza  James</t>
  </si>
  <si>
    <t>Kikungiri</t>
  </si>
  <si>
    <t>Karugarama  Patrick</t>
  </si>
  <si>
    <t>Karago Town council</t>
  </si>
  <si>
    <t>Kitesweka</t>
  </si>
  <si>
    <t>UG-WES-1309-2445</t>
  </si>
  <si>
    <t>Isoke  Arthur</t>
  </si>
  <si>
    <t>Kanyambeho B</t>
  </si>
  <si>
    <t>UG-WES-1309-2764</t>
  </si>
  <si>
    <t>Rujundura  Wiliam</t>
  </si>
  <si>
    <t>Kashwa</t>
  </si>
  <si>
    <t>UG-WES-1309-3212</t>
  </si>
  <si>
    <t>Nasterio  Rukokota</t>
  </si>
  <si>
    <t>Rwabashegu</t>
  </si>
  <si>
    <t>UG-WES-1309-3244</t>
  </si>
  <si>
    <t>Asaph  Byabairu</t>
  </si>
  <si>
    <t>Kashenyi</t>
  </si>
  <si>
    <t>UG-WES-1309-3291</t>
  </si>
  <si>
    <t>Kasoro  Silver</t>
  </si>
  <si>
    <t>Mwenge Central</t>
  </si>
  <si>
    <t>Bugaki</t>
  </si>
  <si>
    <t>Nyakatoke</t>
  </si>
  <si>
    <t>UG-WES-1309-345</t>
  </si>
  <si>
    <t>Ruhweza  Abu</t>
  </si>
  <si>
    <t>UG-WES-1309-347</t>
  </si>
  <si>
    <t>Isingoma  Deo</t>
  </si>
  <si>
    <t>Kyarujongo</t>
  </si>
  <si>
    <t>Kweyamba  Rauben</t>
  </si>
  <si>
    <t>Ruth  Sunday</t>
  </si>
  <si>
    <t>Cyril  Kamagara</t>
  </si>
  <si>
    <t>UG-WES-1310-1923</t>
  </si>
  <si>
    <t>Majugo  Loy plant 1</t>
  </si>
  <si>
    <t>Kyomukama</t>
  </si>
  <si>
    <t>UG-WES-1310-201</t>
  </si>
  <si>
    <t>Mr Bitaroho Francis</t>
  </si>
  <si>
    <t>UG-WES-1310-2774</t>
  </si>
  <si>
    <t>Muzora  Andrew</t>
  </si>
  <si>
    <t>Isingoma  Wiison</t>
  </si>
  <si>
    <t>buruli</t>
  </si>
  <si>
    <t>mirya</t>
  </si>
  <si>
    <t>kinuuma</t>
  </si>
  <si>
    <t>UG-WES-1310-340</t>
  </si>
  <si>
    <t>Barinda  Paul</t>
  </si>
  <si>
    <t>kisojo</t>
  </si>
  <si>
    <t>UG-WES-1310-354</t>
  </si>
  <si>
    <t>Nuwagira  Musoke Lovincer</t>
  </si>
  <si>
    <t>Igorora t/c</t>
  </si>
  <si>
    <t xml:space="preserve">Igorora </t>
  </si>
  <si>
    <t>UG-WES-1310-359</t>
  </si>
  <si>
    <t>Muteganda  Everist</t>
  </si>
  <si>
    <t>UG-WES-1310-367</t>
  </si>
  <si>
    <t>Byaruhanga  Andrew</t>
  </si>
  <si>
    <t>kaihangara</t>
  </si>
  <si>
    <t>Rugaga 1</t>
  </si>
  <si>
    <t>UG-WES-1310-4630</t>
  </si>
  <si>
    <t>Denes  Ndyanabo</t>
  </si>
  <si>
    <t>Kaziiko</t>
  </si>
  <si>
    <t>Musa  Karukiiko</t>
  </si>
  <si>
    <t>UG-WES-1311-3229</t>
  </si>
  <si>
    <t>Bonfence  Bagarukayo (Plant 1)</t>
  </si>
  <si>
    <t>UG-WES-1312-1348</t>
  </si>
  <si>
    <t>James  Mbabazi</t>
  </si>
  <si>
    <t>Siima   Salome</t>
  </si>
  <si>
    <t>Binanata</t>
  </si>
  <si>
    <t>UG-WES-1312-2783</t>
  </si>
  <si>
    <t>Epiyo  Velerian Edward</t>
  </si>
  <si>
    <t>Kazo T/C</t>
  </si>
  <si>
    <t>Byeshembe</t>
  </si>
  <si>
    <t>UG-WES-1312-2787</t>
  </si>
  <si>
    <t>Kahonda  Ernest</t>
  </si>
  <si>
    <t>Engari</t>
  </si>
  <si>
    <t>Nyabubare II</t>
  </si>
  <si>
    <t>UG-WES-1312-3241</t>
  </si>
  <si>
    <t>Edward  Buhinja</t>
  </si>
  <si>
    <t>Ihena</t>
  </si>
  <si>
    <t>Twinomurinzi  Yerimiah</t>
  </si>
  <si>
    <t>Nyakatoma</t>
  </si>
  <si>
    <t>UG-WES-1312-3648</t>
  </si>
  <si>
    <t>Nduhukire  Edward</t>
  </si>
  <si>
    <t>Kyarihuga</t>
  </si>
  <si>
    <t>Galimaka Florence</t>
  </si>
  <si>
    <t>Bisiiisi Div</t>
  </si>
  <si>
    <t>UG-WES-1307-3572</t>
  </si>
  <si>
    <t>Byangumaho  Didas</t>
  </si>
  <si>
    <t>Mugisa Emmanuel</t>
  </si>
  <si>
    <t>Kabalye 2</t>
  </si>
  <si>
    <t>UG-WES-1401-1930</t>
  </si>
  <si>
    <t>Kadoma  Magezi Fred</t>
  </si>
  <si>
    <t>kigadi</t>
  </si>
  <si>
    <t>UG-WES-1401-2781</t>
  </si>
  <si>
    <t>Karumaguza  Charles</t>
  </si>
  <si>
    <t>UG-WES-1401-2782</t>
  </si>
  <si>
    <t>Karuhanga  Safra</t>
  </si>
  <si>
    <t>Kentaganya</t>
  </si>
  <si>
    <t>Kenturegye</t>
  </si>
  <si>
    <t>UG-WES-1401-3207</t>
  </si>
  <si>
    <t>Baceeta2  Peninah</t>
  </si>
  <si>
    <t>Tibenderana  Matayo</t>
  </si>
  <si>
    <t>Katungu</t>
  </si>
  <si>
    <t>UG-WES-1401-3650</t>
  </si>
  <si>
    <t>Katirimba  Bright</t>
  </si>
  <si>
    <t>Butare</t>
  </si>
  <si>
    <t>UG-WES-1401-3663</t>
  </si>
  <si>
    <t>Kakiza  Sam</t>
  </si>
  <si>
    <t>Mbunda</t>
  </si>
  <si>
    <t>UG-WES-1401-3719</t>
  </si>
  <si>
    <t>Tumwine  Nassan</t>
  </si>
  <si>
    <t>Kahunga1</t>
  </si>
  <si>
    <t>UG-WES-1402-1309</t>
  </si>
  <si>
    <t>Baziir  Begumisa</t>
  </si>
  <si>
    <t>kigoma</t>
  </si>
  <si>
    <t>UG-WES-1402-207</t>
  </si>
  <si>
    <t>Muyenze Jimmy</t>
  </si>
  <si>
    <t>Ntoma</t>
  </si>
  <si>
    <t>UG-WES-1402-2403</t>
  </si>
  <si>
    <t>Katatubuka  Kenneth</t>
  </si>
  <si>
    <t>Enkondo</t>
  </si>
  <si>
    <t>UG-WES-1402-2405</t>
  </si>
  <si>
    <t>Kangumemu  Alice</t>
  </si>
  <si>
    <t>UG-WES-1402-2408</t>
  </si>
  <si>
    <t>Ssenya  Oliver</t>
  </si>
  <si>
    <t>Kigaaga</t>
  </si>
  <si>
    <t>Katungye  Charles</t>
  </si>
  <si>
    <t>Kambuga</t>
  </si>
  <si>
    <t>Bushombe</t>
  </si>
  <si>
    <t>Tumusiime  Gerald</t>
  </si>
  <si>
    <t>Nyakishenyi</t>
  </si>
  <si>
    <t>Namikonkye para para</t>
  </si>
  <si>
    <t>Kasoro  Fred</t>
  </si>
  <si>
    <t>Karago Town Council</t>
  </si>
  <si>
    <t>Kaija Catherine</t>
  </si>
  <si>
    <t>Bujumbura</t>
  </si>
  <si>
    <t>Makuru  Margret</t>
  </si>
  <si>
    <t>Katebwa</t>
  </si>
  <si>
    <t>Kaahwa Jacob</t>
  </si>
  <si>
    <t>UG-WES-1402-2431</t>
  </si>
  <si>
    <t>Rwabogo  Mable</t>
  </si>
  <si>
    <t>Kibiito town council</t>
  </si>
  <si>
    <t>Nkimbiri</t>
  </si>
  <si>
    <t>UG-WES-1402-2446</t>
  </si>
  <si>
    <t>Senteza  Thedius</t>
  </si>
  <si>
    <t>Kyamake</t>
  </si>
  <si>
    <t>Murekyezi  Joseph</t>
  </si>
  <si>
    <t>Kanyankukuru</t>
  </si>
  <si>
    <t>UG-WES-1402-2462</t>
  </si>
  <si>
    <t>Twinemugisha  Joab</t>
  </si>
  <si>
    <t>Kadindima</t>
  </si>
  <si>
    <t>UG-WES-1402-2472</t>
  </si>
  <si>
    <t>Kamari  Bernarda</t>
  </si>
  <si>
    <t>Busongora South</t>
  </si>
  <si>
    <t>Kemihoko 1</t>
  </si>
  <si>
    <t>UG-WES-1402-2473</t>
  </si>
  <si>
    <t>Bwàmbale  William</t>
  </si>
  <si>
    <t>Rukoki</t>
  </si>
  <si>
    <t>Mwaro</t>
  </si>
  <si>
    <t>UG-WES-1402-2475</t>
  </si>
  <si>
    <t>Baluku  Simey</t>
  </si>
  <si>
    <t>Bukonzo</t>
  </si>
  <si>
    <t>Kangwenge</t>
  </si>
  <si>
    <t>Isanga</t>
  </si>
  <si>
    <t>UG-WES-1402-2760</t>
  </si>
  <si>
    <t>Ahimbisibwe  Topisi</t>
  </si>
  <si>
    <t>UG-WES-1402-2779</t>
  </si>
  <si>
    <t>Tibeingana  Fugus</t>
  </si>
  <si>
    <t>UG-WES-1402-2780</t>
  </si>
  <si>
    <t>Kiconco  Mujuni Fauster</t>
  </si>
  <si>
    <t>Ketunturegye</t>
  </si>
  <si>
    <t>UG-WES-1402-2801</t>
  </si>
  <si>
    <t>Bintabara  Danis</t>
  </si>
  <si>
    <t>Karututsi</t>
  </si>
  <si>
    <t>UG-WES-1402-2802</t>
  </si>
  <si>
    <t>Besiga  Abel</t>
  </si>
  <si>
    <t>Akati</t>
  </si>
  <si>
    <t>UG-WES-1402-3243</t>
  </si>
  <si>
    <t>William  Rwanga</t>
  </si>
  <si>
    <t>Rwenkwanzi</t>
  </si>
  <si>
    <t>Fura  Bernard</t>
  </si>
  <si>
    <t>Sabiti Joseph</t>
  </si>
  <si>
    <t>Kakwese</t>
  </si>
  <si>
    <t>UG-WES-1402-3712</t>
  </si>
  <si>
    <t>Katamigwa  Wilson Waden (Plant 1)</t>
  </si>
  <si>
    <t>Bwambara</t>
  </si>
  <si>
    <t>Mugume  Eliasaf</t>
  </si>
  <si>
    <t>UG-WES-1402-4617</t>
  </si>
  <si>
    <t>Nathan  Tuhweziine</t>
  </si>
  <si>
    <t>Mabaare</t>
  </si>
  <si>
    <t>UG-WES-1403-1215</t>
  </si>
  <si>
    <t>Richard  Mujuni</t>
  </si>
  <si>
    <t>sheema</t>
  </si>
  <si>
    <t>James  Murangira</t>
  </si>
  <si>
    <t>Humphrey  Byabakama</t>
  </si>
  <si>
    <t>Rwengiri</t>
  </si>
  <si>
    <t>Karoli  Kilimansi</t>
  </si>
  <si>
    <t>Abert  Kamuntu</t>
  </si>
  <si>
    <t>Rwigaga 2</t>
  </si>
  <si>
    <t>Mary  Isingoma</t>
  </si>
  <si>
    <t>Isingoma</t>
  </si>
  <si>
    <t>omukare</t>
  </si>
  <si>
    <t>George  Tumwiine</t>
  </si>
  <si>
    <t>Ruhiinda</t>
  </si>
  <si>
    <t>Nyabwiina</t>
  </si>
  <si>
    <t>UG-WES-1404-1342</t>
  </si>
  <si>
    <t>Alfred  Batumo</t>
  </si>
  <si>
    <t>Katenga</t>
  </si>
  <si>
    <t>Rukararwe</t>
  </si>
  <si>
    <t>Kaahwa Yakobo</t>
  </si>
  <si>
    <t>0777213830/784461221</t>
  </si>
  <si>
    <t>kibugubya</t>
  </si>
  <si>
    <t>Mparangasi</t>
  </si>
  <si>
    <t>UG-WES-1404-1928</t>
  </si>
  <si>
    <t>Mugisa  Raphael Edward</t>
  </si>
  <si>
    <t>Kabwoya</t>
  </si>
  <si>
    <t>Kihooko</t>
  </si>
  <si>
    <t>UG-WES-1404-2566</t>
  </si>
  <si>
    <t>Charles  Bitungwa No</t>
  </si>
  <si>
    <t>Rukinga 2</t>
  </si>
  <si>
    <t>UG-WES-1404-2571</t>
  </si>
  <si>
    <t xml:space="preserve">Lameck  Kayira </t>
  </si>
  <si>
    <t>Mpanga Cell</t>
  </si>
  <si>
    <t>UG-WES-1404-2578</t>
  </si>
  <si>
    <t>John   Nyenda No</t>
  </si>
  <si>
    <t>Kahunje</t>
  </si>
  <si>
    <t>UG-WES-1404-3559</t>
  </si>
  <si>
    <t>Mwesigye John Alia</t>
  </si>
  <si>
    <t>orubare</t>
  </si>
  <si>
    <t>UG-WES-1404-3665</t>
  </si>
  <si>
    <t>Bahemuka  Barnard</t>
  </si>
  <si>
    <t>UG-WES-1404-3722</t>
  </si>
  <si>
    <t>Karakire Joveline</t>
  </si>
  <si>
    <t>UG-WES-1404-3725</t>
  </si>
  <si>
    <t>Kigandire  Jorome</t>
  </si>
  <si>
    <t>Kikongoro</t>
  </si>
  <si>
    <t>Kumpa  Nantongo</t>
  </si>
  <si>
    <t>lsingiro North</t>
  </si>
  <si>
    <t>omukabaare</t>
  </si>
  <si>
    <t>UG-WES-1405-204</t>
  </si>
  <si>
    <t>Binji Muhhamed</t>
  </si>
  <si>
    <t>UG-WES-1405-2557</t>
  </si>
  <si>
    <t>Richard  Nabikunda No</t>
  </si>
  <si>
    <t>Nganiko</t>
  </si>
  <si>
    <t>UG-WES-1405-2562</t>
  </si>
  <si>
    <t>Busingye  Night  Janet</t>
  </si>
  <si>
    <t>Kalikalunji</t>
  </si>
  <si>
    <t>UG-WES-1405-2564</t>
  </si>
  <si>
    <t>George  Museene No</t>
  </si>
  <si>
    <t>UG-WES-1405-2582</t>
  </si>
  <si>
    <t>Charles  Tereraho No</t>
  </si>
  <si>
    <t>Kajunje</t>
  </si>
  <si>
    <t>Kinoni 1</t>
  </si>
  <si>
    <t>UG-WES-1405-351</t>
  </si>
  <si>
    <t>Agaba  Stanly</t>
  </si>
  <si>
    <t>UG-WES-1405-3664</t>
  </si>
  <si>
    <t>Karibwende  Stella</t>
  </si>
  <si>
    <t>UG-WES-1310-3219</t>
  </si>
  <si>
    <t>Sheillah  Rwancwende</t>
  </si>
  <si>
    <t>Francis  Mugizi</t>
  </si>
  <si>
    <t>Kihumuro</t>
  </si>
  <si>
    <t>UG-WES-1406-02577</t>
  </si>
  <si>
    <t>John  Zaari No</t>
  </si>
  <si>
    <t>kahunje</t>
  </si>
  <si>
    <t>kijjujuma</t>
  </si>
  <si>
    <t>Tanazio  Begumisa</t>
  </si>
  <si>
    <t>Ryensibo</t>
  </si>
  <si>
    <t>UG-WES-1406-1267</t>
  </si>
  <si>
    <t>Kyera Agricultural Training College  Kyera</t>
  </si>
  <si>
    <t>UG-WES-1406-1269</t>
  </si>
  <si>
    <t>Erick  Biragiro</t>
  </si>
  <si>
    <t>UG-WES-1406-1340</t>
  </si>
  <si>
    <t>Bruno  Bikanya</t>
  </si>
  <si>
    <t>kabarore</t>
  </si>
  <si>
    <t>UG-WES-1406-2559</t>
  </si>
  <si>
    <t>Juma  Lubega No</t>
  </si>
  <si>
    <t>UG-WES-1406-2560</t>
  </si>
  <si>
    <t xml:space="preserve">Elijah  Byalisiima </t>
  </si>
  <si>
    <t>Kalokalunji</t>
  </si>
  <si>
    <t>UG-WES-1406-2563</t>
  </si>
  <si>
    <t xml:space="preserve">Imaamu  Bussaasi </t>
  </si>
  <si>
    <t>Nganiko 2</t>
  </si>
  <si>
    <t>UG-WES-1406-2579</t>
  </si>
  <si>
    <t>Enock  Nyaruye No</t>
  </si>
  <si>
    <t>Nyamishekye</t>
  </si>
  <si>
    <t>UG-WES-1406-2580</t>
  </si>
  <si>
    <t>Kemirembe Conslate</t>
  </si>
  <si>
    <t>kinoni2</t>
  </si>
  <si>
    <t>UG-WES-1312-3562</t>
  </si>
  <si>
    <t>Tibamwenda   Baptist John</t>
  </si>
  <si>
    <t>Mikonigana</t>
  </si>
  <si>
    <t>UG-WES-1406-2592</t>
  </si>
  <si>
    <t>Phaibe  Katama No</t>
  </si>
  <si>
    <t>Kanwenge Tc</t>
  </si>
  <si>
    <t>Kyabyoma</t>
  </si>
  <si>
    <t>UG-WES-1406-334</t>
  </si>
  <si>
    <t>Kasaija  Philp</t>
  </si>
  <si>
    <t>Kyanjubu</t>
  </si>
  <si>
    <t>Mugyenyi  Onesmus</t>
  </si>
  <si>
    <t>Rwesasi</t>
  </si>
  <si>
    <t>UG-WES-1406-3553</t>
  </si>
  <si>
    <t>Kabaterine  Joseph</t>
  </si>
  <si>
    <t>Kihambo</t>
  </si>
  <si>
    <t>Enock  Kariyo</t>
  </si>
  <si>
    <t>UG-WES-1406-3583</t>
  </si>
  <si>
    <t>Rutatundama  Sapio</t>
  </si>
  <si>
    <t>Rwemifuna</t>
  </si>
  <si>
    <t>UG-WES-1406-3585</t>
  </si>
  <si>
    <t>Tukahirwa  Grace</t>
  </si>
  <si>
    <t>Rubare Town council</t>
  </si>
  <si>
    <t>Kyabakuju</t>
  </si>
  <si>
    <t>UG-WES-1401-2761</t>
  </si>
  <si>
    <t>Badid  Ruth</t>
  </si>
  <si>
    <t>Kashongi</t>
  </si>
  <si>
    <t>Mbuga II</t>
  </si>
  <si>
    <t>Laurence  Ntungura</t>
  </si>
  <si>
    <t>UG-WES-1407-02569</t>
  </si>
  <si>
    <t>Willy  Ngamba No</t>
  </si>
  <si>
    <t>Rukinga A</t>
  </si>
  <si>
    <t>UG-WES-1407-02575</t>
  </si>
  <si>
    <t xml:space="preserve">Keneth  Kururagire </t>
  </si>
  <si>
    <t>Miyola 2</t>
  </si>
  <si>
    <t>Ephraim  Kamuntu</t>
  </si>
  <si>
    <t>kashozi</t>
  </si>
  <si>
    <t>Rwigaga</t>
  </si>
  <si>
    <t>Sarah  Natukunda</t>
  </si>
  <si>
    <t>Saada  Nazuwa</t>
  </si>
  <si>
    <t>Miria  Atuhaire</t>
  </si>
  <si>
    <t>UG-WES-1407-1343</t>
  </si>
  <si>
    <t>Jackson  Baguma</t>
  </si>
  <si>
    <t>Kinyemi</t>
  </si>
  <si>
    <t>UG-WES-1407-2561</t>
  </si>
  <si>
    <t>Silvester  Muhwezi No</t>
  </si>
  <si>
    <t>UG-WES-1407-2574</t>
  </si>
  <si>
    <t xml:space="preserve">James  Arinaitwe </t>
  </si>
  <si>
    <t>kahunge</t>
  </si>
  <si>
    <t>miyola 1</t>
  </si>
  <si>
    <t>UG-WES-1407-2584</t>
  </si>
  <si>
    <t>Nathan  Ahimbisibwe No</t>
  </si>
  <si>
    <t>kyakanune 2</t>
  </si>
  <si>
    <t>UG-WES-1407-2591</t>
  </si>
  <si>
    <t xml:space="preserve">Eva  Tumwebaze </t>
  </si>
  <si>
    <t>Rukunyu</t>
  </si>
  <si>
    <t>UG-WES-1407-2595</t>
  </si>
  <si>
    <t>Fred  Karyeiza No</t>
  </si>
  <si>
    <t>Kahunge Tc</t>
  </si>
  <si>
    <t>Rugonjo</t>
  </si>
  <si>
    <t>UG-WES-1407-2598</t>
  </si>
  <si>
    <t>David  Mwesigye Bruce</t>
  </si>
  <si>
    <t>kibale</t>
  </si>
  <si>
    <t>Busiliba</t>
  </si>
  <si>
    <t>Nyabubale</t>
  </si>
  <si>
    <t>UG-WES-1407-2599</t>
  </si>
  <si>
    <t>Balyakaleba  Muhumule Alex</t>
  </si>
  <si>
    <t>UG-WES-1407-2600</t>
  </si>
  <si>
    <t>Edward  Baturine No</t>
  </si>
  <si>
    <t>mabonwa.</t>
  </si>
  <si>
    <t>UG-WES-1407-2811</t>
  </si>
  <si>
    <t>Tumuheirwe  Samuel Rumari</t>
  </si>
  <si>
    <t>kazo</t>
  </si>
  <si>
    <t>burunga</t>
  </si>
  <si>
    <t>kiguma</t>
  </si>
  <si>
    <t>Kanani  Eryesafu</t>
  </si>
  <si>
    <t>Nyakigando</t>
  </si>
  <si>
    <t>Musa  Badru</t>
  </si>
  <si>
    <t>Kasina</t>
  </si>
  <si>
    <t>UG-WES-1407-5062</t>
  </si>
  <si>
    <t xml:space="preserve">Alice Bampalana </t>
  </si>
  <si>
    <t>Fatma  Nsamba</t>
  </si>
  <si>
    <t>UG-WES-1408-1268</t>
  </si>
  <si>
    <t>Kaaki  Hommy</t>
  </si>
  <si>
    <t>Rubeho</t>
  </si>
  <si>
    <t>Nyakairu  Jackson</t>
  </si>
  <si>
    <t>Hima town Council</t>
  </si>
  <si>
    <t>UG-WES-1402-2759</t>
  </si>
  <si>
    <t>Mag  Kabarungi</t>
  </si>
  <si>
    <t>Keikoto central</t>
  </si>
  <si>
    <t>UG-WES-1408-2597</t>
  </si>
  <si>
    <t xml:space="preserve">Amos  Tulyikayo </t>
  </si>
  <si>
    <t>UG-WES-1408-3269</t>
  </si>
  <si>
    <t>Murangira  Rogers</t>
  </si>
  <si>
    <t>Kyatamba</t>
  </si>
  <si>
    <t>UG-WES-1408-4605</t>
  </si>
  <si>
    <t>Rossette Ninsiima</t>
  </si>
  <si>
    <t>kanyaina</t>
  </si>
  <si>
    <t>Rubanju  William</t>
  </si>
  <si>
    <t>Bisheshe Central</t>
  </si>
  <si>
    <t>Laurence  Tumusiime</t>
  </si>
  <si>
    <t>Rwamukoto</t>
  </si>
  <si>
    <t>UG-WES-1408-5055</t>
  </si>
  <si>
    <t>Bishagazi  Faith</t>
  </si>
  <si>
    <t>Kanjonza2</t>
  </si>
  <si>
    <t>UG-WES-1409-05951</t>
  </si>
  <si>
    <t xml:space="preserve">Sundy  Bahisha </t>
  </si>
  <si>
    <t>Begumisa  Angelo Raphael</t>
  </si>
  <si>
    <t>Nyakayojo division</t>
  </si>
  <si>
    <t>UG-WES-1409-1253</t>
  </si>
  <si>
    <t>Isa  Igga</t>
  </si>
  <si>
    <t>UG-WES-1409-1341</t>
  </si>
  <si>
    <t>Celestine  Rubarema</t>
  </si>
  <si>
    <t>ruhinda</t>
  </si>
  <si>
    <t>kazira</t>
  </si>
  <si>
    <t>UG-WES-1409-1344</t>
  </si>
  <si>
    <t>Eliabu  Ngambe</t>
  </si>
  <si>
    <t>Rwenkuri</t>
  </si>
  <si>
    <t>UG-WES-1402-3713</t>
  </si>
  <si>
    <t>More than 1 plant at household</t>
  </si>
  <si>
    <t>Katamigwa  Wilson Waden (Plant 2)</t>
  </si>
  <si>
    <t>UG-WES-1409-2568</t>
  </si>
  <si>
    <t>Silvano  Kiruhe No</t>
  </si>
  <si>
    <t>Rukinga</t>
  </si>
  <si>
    <t>UG-WES-1402-3740</t>
  </si>
  <si>
    <t>Kantaganya  Keith Reverand Canon</t>
  </si>
  <si>
    <t>UG-WES-1410-1260</t>
  </si>
  <si>
    <t>Joy  Kitakure</t>
  </si>
  <si>
    <t>Gittam Godfrey</t>
  </si>
  <si>
    <t>Hima town council</t>
  </si>
  <si>
    <t>UG-WES-1410-2596</t>
  </si>
  <si>
    <t xml:space="preserve">Wilson  Mugisha </t>
  </si>
  <si>
    <t>Bigodi</t>
  </si>
  <si>
    <t>UG-WES-1410-3432</t>
  </si>
  <si>
    <t>Busingye Swaib</t>
  </si>
  <si>
    <t>Rwenkobebe</t>
  </si>
  <si>
    <t>UG-WES-1410-3622</t>
  </si>
  <si>
    <t>Sanyu  Soph Mbeeta</t>
  </si>
  <si>
    <t>Nyamweru</t>
  </si>
  <si>
    <t>Kihorogwa</t>
  </si>
  <si>
    <t>UG-WES-1410-4604</t>
  </si>
  <si>
    <t>Keneth  Murangira Kiiza</t>
  </si>
  <si>
    <t>Kanyaina</t>
  </si>
  <si>
    <t>UG-WES-1410-4804</t>
  </si>
  <si>
    <t>Kweronda Ruhemba Plant (1)</t>
  </si>
  <si>
    <t>UG-WES-1410-5052</t>
  </si>
  <si>
    <t>Swaib  Busingye No</t>
  </si>
  <si>
    <t>Rwenkoubebe2</t>
  </si>
  <si>
    <t>UG-WES-1410-5553</t>
  </si>
  <si>
    <t>Mbabazi K Lawrence</t>
  </si>
  <si>
    <t>kiziranfumbi</t>
  </si>
  <si>
    <t>Mukabara</t>
  </si>
  <si>
    <t>Kabahinda Fredrick</t>
  </si>
  <si>
    <t>Ketra  Kyosimire</t>
  </si>
  <si>
    <t>UG-WES-1412-100</t>
  </si>
  <si>
    <t>Ntungura Lawrencio</t>
  </si>
  <si>
    <t>UG-WES-1412-4809</t>
  </si>
  <si>
    <t>Kankiriho Mugizi</t>
  </si>
  <si>
    <t>UG-WES-1412-4811</t>
  </si>
  <si>
    <t>Katirima George</t>
  </si>
  <si>
    <t>Katenga T/c</t>
  </si>
  <si>
    <t>UG-WES-1412-4812</t>
  </si>
  <si>
    <t>Besigye Bekunda Silus</t>
  </si>
  <si>
    <t>UG-WES-1412-4814</t>
  </si>
  <si>
    <t>Byarugaba David</t>
  </si>
  <si>
    <t>Bujojwa</t>
  </si>
  <si>
    <t>UG-WES-1404-3724</t>
  </si>
  <si>
    <t>I am too old to feed the digester</t>
  </si>
  <si>
    <t>Bweme  Margret</t>
  </si>
  <si>
    <t>UG-WES-1412-89</t>
  </si>
  <si>
    <t>Kabugumira Davide</t>
  </si>
  <si>
    <t>Harriet  Mutungi</t>
  </si>
  <si>
    <t>Bihihi</t>
  </si>
  <si>
    <t>UG-WES-1412-98</t>
  </si>
  <si>
    <t>Kyosiimire Ketrati</t>
  </si>
  <si>
    <t>Rubirirzi</t>
  </si>
  <si>
    <t>UG-WES-1405-1337</t>
  </si>
  <si>
    <t>Loy  Kakumu</t>
  </si>
  <si>
    <t>kirembe</t>
  </si>
  <si>
    <t>UG-WES-1501-1024</t>
  </si>
  <si>
    <t>Scovia Mbabazi</t>
  </si>
  <si>
    <t>Nkaija Jolly (Plant 1)</t>
  </si>
  <si>
    <t>Nkungu</t>
  </si>
  <si>
    <t>UG-WES-1501-507</t>
  </si>
  <si>
    <t>Kalisya Steven</t>
  </si>
  <si>
    <t>Base Camp</t>
  </si>
  <si>
    <t>UG-WES-1501-508</t>
  </si>
  <si>
    <t>Modesto Kanathe</t>
  </si>
  <si>
    <t>Bulembia Division</t>
  </si>
  <si>
    <t>Kibenge</t>
  </si>
  <si>
    <t>UG-WES-1501-509</t>
  </si>
  <si>
    <t>Muhindo Jackson</t>
  </si>
  <si>
    <t>Hatiima Jafari</t>
  </si>
  <si>
    <t>UG-WES-1501-511</t>
  </si>
  <si>
    <t>Kasoke Henry</t>
  </si>
  <si>
    <t>Nyakasojo</t>
  </si>
  <si>
    <t>Didas  Rugyereza</t>
  </si>
  <si>
    <t>UG-WES-1501-513</t>
  </si>
  <si>
    <t>Thabugha Bwambale Ernest</t>
  </si>
  <si>
    <t>Road Barrier cell</t>
  </si>
  <si>
    <t>Kasereka Pimako</t>
  </si>
  <si>
    <t>Nyamwamba Division</t>
  </si>
  <si>
    <t>Kigoro 2</t>
  </si>
  <si>
    <t>UG-WES-1406-1201</t>
  </si>
  <si>
    <t>Francis  Tinkarugizire</t>
  </si>
  <si>
    <t>katooma 1</t>
  </si>
  <si>
    <t>UG-WES-1502-01521</t>
  </si>
  <si>
    <t>Bikwatsizehi John</t>
  </si>
  <si>
    <t>Kyanju I</t>
  </si>
  <si>
    <t>UG-WES-1502-1093</t>
  </si>
  <si>
    <t>Kiiza Peter</t>
  </si>
  <si>
    <t>Birungu</t>
  </si>
  <si>
    <t>Ahabwe Samuel</t>
  </si>
  <si>
    <t>Kabwire</t>
  </si>
  <si>
    <t>UG-WES-1502-2465</t>
  </si>
  <si>
    <t>Ngarambe   Felex</t>
  </si>
  <si>
    <t>Hima Town Council</t>
  </si>
  <si>
    <t>Nyangyereka</t>
  </si>
  <si>
    <t>UG-WES-1502-2474</t>
  </si>
  <si>
    <t>Kainamura  James</t>
  </si>
  <si>
    <t>Lake Katwe</t>
  </si>
  <si>
    <t>Busunga</t>
  </si>
  <si>
    <t>UG-WES-1502-2477</t>
  </si>
  <si>
    <t>Muhindo  Richard</t>
  </si>
  <si>
    <t>Bukonzo East</t>
  </si>
  <si>
    <t>Kinyabisiki</t>
  </si>
  <si>
    <t>UG-WES-1502-2478</t>
  </si>
  <si>
    <t>Baluku  Yonasani</t>
  </si>
  <si>
    <t>Kisinga town council</t>
  </si>
  <si>
    <t>Rwesororo</t>
  </si>
  <si>
    <t>UG-WES-1406-2567</t>
  </si>
  <si>
    <t>Qsp advised them to feed since they have never fed but also they don’t stay at home</t>
  </si>
  <si>
    <t xml:space="preserve">Moses  Basheija </t>
  </si>
  <si>
    <t>UG-WES-1502-2788</t>
  </si>
  <si>
    <t>Miramira  George</t>
  </si>
  <si>
    <t>Bihembe</t>
  </si>
  <si>
    <t>UG-WES-1502-301</t>
  </si>
  <si>
    <t>Mugisha Yusuf</t>
  </si>
  <si>
    <t>Sheema north</t>
  </si>
  <si>
    <t>Kashanjure</t>
  </si>
  <si>
    <t>UG-WES-1502-302</t>
  </si>
  <si>
    <t>Ndengyeyo Samson</t>
  </si>
  <si>
    <t>Karushandara</t>
  </si>
  <si>
    <t>UG-WES-1502-307</t>
  </si>
  <si>
    <t>Byamukama Edward</t>
  </si>
  <si>
    <t>UG-WES-1502-308</t>
  </si>
  <si>
    <t>Mwebaze Moses Kabunduguza</t>
  </si>
  <si>
    <t>Bucuro</t>
  </si>
  <si>
    <t>Omukashanda</t>
  </si>
  <si>
    <t>UG-WES-1502-3733</t>
  </si>
  <si>
    <t>Kyamarungi  Justine</t>
  </si>
  <si>
    <t>UG-WES-1502-514</t>
  </si>
  <si>
    <t>Agaba Alex Tukamusherura</t>
  </si>
  <si>
    <t>Kasese Municipality</t>
  </si>
  <si>
    <t>Kamaiba</t>
  </si>
  <si>
    <t>Lack of workers to feed the bio digester</t>
  </si>
  <si>
    <t>Richard  Kaijuka</t>
  </si>
  <si>
    <t>Kyankokora</t>
  </si>
  <si>
    <t>UG-WES-1502-515</t>
  </si>
  <si>
    <t>Eunice M Sunday</t>
  </si>
  <si>
    <t>Nyakasojo Lower</t>
  </si>
  <si>
    <t>UG-WES-1502-519</t>
  </si>
  <si>
    <t>Rubabaza William</t>
  </si>
  <si>
    <t>UG-WES-1502-5830</t>
  </si>
  <si>
    <t>Zakaliya Norman Lujja</t>
  </si>
  <si>
    <t>kyakatabuka</t>
  </si>
  <si>
    <t>UG-WES-1503-123</t>
  </si>
  <si>
    <t>Nyakahuma Daisy</t>
  </si>
  <si>
    <t>Fort Portal</t>
  </si>
  <si>
    <t>Fortportal</t>
  </si>
  <si>
    <t>UG-WES-1503-130</t>
  </si>
  <si>
    <t>Aine Rose</t>
  </si>
  <si>
    <t>Mutaale</t>
  </si>
  <si>
    <t>UG-WES-1503-1802</t>
  </si>
  <si>
    <t>Mr Rwebihigi David</t>
  </si>
  <si>
    <t>UG-WES-1503-303</t>
  </si>
  <si>
    <t>Kegirasi Musinguzi</t>
  </si>
  <si>
    <t>Hima Town Coucil</t>
  </si>
  <si>
    <t>Hima</t>
  </si>
  <si>
    <t>UG-WES-1503-304</t>
  </si>
  <si>
    <t>Mukwiine Juliet</t>
  </si>
  <si>
    <t>UG-WES-1503-305</t>
  </si>
  <si>
    <t>Kafuda Erick</t>
  </si>
  <si>
    <t>Rwentutu</t>
  </si>
  <si>
    <t>Kabirizi</t>
  </si>
  <si>
    <t>UG-WES-1407-2570</t>
  </si>
  <si>
    <t>Kellen   Turyahumura No</t>
  </si>
  <si>
    <t>Kibbale West</t>
  </si>
  <si>
    <t>Katibani</t>
  </si>
  <si>
    <t>UG-WES-1407-2572</t>
  </si>
  <si>
    <t xml:space="preserve">Wilber  Kikwindi </t>
  </si>
  <si>
    <t>Kahunge</t>
  </si>
  <si>
    <t>miyora</t>
  </si>
  <si>
    <t>UG-WES-1503-309</t>
  </si>
  <si>
    <t>Dora Kibende</t>
  </si>
  <si>
    <t>Kyabagyenyi ii</t>
  </si>
  <si>
    <t>UG-WES-1503-3420</t>
  </si>
  <si>
    <t>Gahenga Innocent</t>
  </si>
  <si>
    <t>Rubuguri</t>
  </si>
  <si>
    <t>UG-WES-1503-521</t>
  </si>
  <si>
    <t>Bimenya Francis</t>
  </si>
  <si>
    <t>Karusandara</t>
  </si>
  <si>
    <t>UG-WES-1504-139</t>
  </si>
  <si>
    <t>Ahimbisibwe Nathan</t>
  </si>
  <si>
    <t>kamwenge</t>
  </si>
  <si>
    <t>Mr Mwebesa Patrick Kizito</t>
  </si>
  <si>
    <t>Bumbeire</t>
  </si>
  <si>
    <t>Kiyaga</t>
  </si>
  <si>
    <t>UG-WES-1504-2556</t>
  </si>
  <si>
    <t xml:space="preserve">Geofrey  Katarahwire </t>
  </si>
  <si>
    <t>Kalokalungi</t>
  </si>
  <si>
    <t>UG-WES-1504-2706</t>
  </si>
  <si>
    <t>Bagamuhunda Rajab</t>
  </si>
  <si>
    <t>Kanaara 1</t>
  </si>
  <si>
    <t>Hategyeka Francis</t>
  </si>
  <si>
    <t>Kasaki</t>
  </si>
  <si>
    <t>UG-WES-1504-313</t>
  </si>
  <si>
    <t>Gapandasi James</t>
  </si>
  <si>
    <t>Rugendabara</t>
  </si>
  <si>
    <t>UG-WES-1504-314</t>
  </si>
  <si>
    <t>Wani Isaac</t>
  </si>
  <si>
    <t>UG-WES-1504-3408</t>
  </si>
  <si>
    <t>Tereraho Charles</t>
  </si>
  <si>
    <t>kahungye B</t>
  </si>
  <si>
    <t>Kabwiga Patrick Babigumira</t>
  </si>
  <si>
    <t>Kanshenshero</t>
  </si>
  <si>
    <t>Masya I</t>
  </si>
  <si>
    <t>UG-WES-1505-05059</t>
  </si>
  <si>
    <t>Johnson  Kappipa No</t>
  </si>
  <si>
    <t>UG-WES-1505-131</t>
  </si>
  <si>
    <t>Nabikunda Richard</t>
  </si>
  <si>
    <t>Mutabazi Paul (Plant 1)</t>
  </si>
  <si>
    <t>Kijunjubwa</t>
  </si>
  <si>
    <t>Mr Rugumayo Godiyano Mafari</t>
  </si>
  <si>
    <t>Hajjati Kaganda</t>
  </si>
  <si>
    <t>UG-WES-1505-2558</t>
  </si>
  <si>
    <t>Jackson  Tumukunde Caleb</t>
  </si>
  <si>
    <t>Nganiko 1</t>
  </si>
  <si>
    <t>UG-WES-1505-2583</t>
  </si>
  <si>
    <t xml:space="preserve">David  Mugenyi </t>
  </si>
  <si>
    <t>kyakanyemera</t>
  </si>
  <si>
    <t>Magambo Nolis</t>
  </si>
  <si>
    <t>Busiriba</t>
  </si>
  <si>
    <t>UG-WES-1505-2704</t>
  </si>
  <si>
    <t>Katugunda Edward</t>
  </si>
  <si>
    <t>Nyaban</t>
  </si>
  <si>
    <t>Rwenkubebe</t>
  </si>
  <si>
    <t>UG-WES-1505-5053</t>
  </si>
  <si>
    <t xml:space="preserve">Julius  Ziriheihi </t>
  </si>
  <si>
    <t>Kamugisha Banabas</t>
  </si>
  <si>
    <t>NKoma</t>
  </si>
  <si>
    <t>Kakuhikire  Zephania</t>
  </si>
  <si>
    <t>Mubuku 2</t>
  </si>
  <si>
    <t>UG-WES-1506-01505</t>
  </si>
  <si>
    <t>Elija Bidyabarema</t>
  </si>
  <si>
    <t>UG-WES-1506-1301</t>
  </si>
  <si>
    <t>Mrs Annet Bwebare</t>
  </si>
  <si>
    <t>UG-WES-1506-1302</t>
  </si>
  <si>
    <t>Mr Karifani Kanyeke</t>
  </si>
  <si>
    <t>Kaberembere</t>
  </si>
  <si>
    <t>Kirikuba</t>
  </si>
  <si>
    <t>Mr Aisha Faruku</t>
  </si>
  <si>
    <t>Omukabare</t>
  </si>
  <si>
    <t>UG-WES-1410-2769</t>
  </si>
  <si>
    <t>Natukunda  Phionah</t>
  </si>
  <si>
    <t>UG-WES-1506-208</t>
  </si>
  <si>
    <t>Asiimwe Paddy/Asiimwe Francis</t>
  </si>
  <si>
    <t>Igara West</t>
  </si>
  <si>
    <t>Bitooma</t>
  </si>
  <si>
    <t>Bugomora</t>
  </si>
  <si>
    <t>UG-WES-1506-209</t>
  </si>
  <si>
    <t>Mr Kampikaho Benard Sarapio</t>
  </si>
  <si>
    <t>UG-WES-1410-370</t>
  </si>
  <si>
    <t>Maago  Christopher</t>
  </si>
  <si>
    <t>Nyaihanga</t>
  </si>
  <si>
    <t>UG-WES-1506-3417</t>
  </si>
  <si>
    <t>Masika Standard College Ntungamo</t>
  </si>
  <si>
    <t>UG-WES-1506-6021</t>
  </si>
  <si>
    <t>Kibamukonya Nicolas</t>
  </si>
  <si>
    <t>UG-WES-1507-01507</t>
  </si>
  <si>
    <t>Mwebaze Charles</t>
  </si>
  <si>
    <t>0. 138</t>
  </si>
  <si>
    <t>30. 3539</t>
  </si>
  <si>
    <t>Kibare</t>
  </si>
  <si>
    <t>Kanara</t>
  </si>
  <si>
    <t>UG-WES-1507-01509</t>
  </si>
  <si>
    <t>Ariho Jemmy</t>
  </si>
  <si>
    <t>Nyarubungo</t>
  </si>
  <si>
    <t>Kyenyarigi</t>
  </si>
  <si>
    <t>Ndyomugyenyi Tarasis</t>
  </si>
  <si>
    <t>St Francis Pastrol Centre</t>
  </si>
  <si>
    <t>Burura</t>
  </si>
  <si>
    <t>Burora</t>
  </si>
  <si>
    <t>UG-WES-1507-217</t>
  </si>
  <si>
    <t>Bamwoya Moses</t>
  </si>
  <si>
    <t>Kyamuhunga</t>
  </si>
  <si>
    <t>Byamarembo 2</t>
  </si>
  <si>
    <t>UG-WES-1412-4807</t>
  </si>
  <si>
    <t>Nyakira Eldard</t>
  </si>
  <si>
    <t>Nsozi</t>
  </si>
  <si>
    <t>UG-WES-1507-218</t>
  </si>
  <si>
    <t>Rutembana Charles</t>
  </si>
  <si>
    <t>UG-WES-1412-4810</t>
  </si>
  <si>
    <t>Katetegirwe Ignicius</t>
  </si>
  <si>
    <t>Kabingo Town council</t>
  </si>
  <si>
    <t>UG-WES-1507-3445</t>
  </si>
  <si>
    <t>Ndundi Aaron</t>
  </si>
  <si>
    <t>Nyambani</t>
  </si>
  <si>
    <t>Rwemirama</t>
  </si>
  <si>
    <t>UG-WES-1507-3446</t>
  </si>
  <si>
    <t>Tibihendekwa Divion</t>
  </si>
  <si>
    <t>Kasuga</t>
  </si>
  <si>
    <t>Kemerwa Coleb</t>
  </si>
  <si>
    <t>Kamarere</t>
  </si>
  <si>
    <t>UG-WES-1507-5056</t>
  </si>
  <si>
    <t>Lilian Kyomuhendo No</t>
  </si>
  <si>
    <t>Lwomulilo</t>
  </si>
  <si>
    <t>UG-WES-1507-6016</t>
  </si>
  <si>
    <t>Kasimon Spiki</t>
  </si>
  <si>
    <t>Bushogye</t>
  </si>
  <si>
    <t>UG-WES-1507-6018</t>
  </si>
  <si>
    <t>Bishagenda Robert</t>
  </si>
  <si>
    <t>Rujujumbura</t>
  </si>
  <si>
    <t>Kabuba 11</t>
  </si>
  <si>
    <t>UG-WES-1501-1025</t>
  </si>
  <si>
    <t>Mbuubi Thomas</t>
  </si>
  <si>
    <t>UG-WES-1501-1203</t>
  </si>
  <si>
    <t>John  Betungura</t>
  </si>
  <si>
    <t>Rwaibare</t>
  </si>
  <si>
    <t>UG-WES-1507-650</t>
  </si>
  <si>
    <t>Bakhinda Julius</t>
  </si>
  <si>
    <t>Kabwohe</t>
  </si>
  <si>
    <t>Mary Bigirimana</t>
  </si>
  <si>
    <t>UG-WES-1508-01512</t>
  </si>
  <si>
    <t>Tugume Kantungamo Stephen</t>
  </si>
  <si>
    <t>Butamuha</t>
  </si>
  <si>
    <t>UG-WES-1508-01516</t>
  </si>
  <si>
    <t>Muyombani Foustine</t>
  </si>
  <si>
    <t>Kamwenge TC</t>
  </si>
  <si>
    <t>Mushita</t>
  </si>
  <si>
    <t>Isaac Donnat</t>
  </si>
  <si>
    <t>Butogota</t>
  </si>
  <si>
    <t>Kyeshero</t>
  </si>
  <si>
    <t>Kyamanywa Francis Kasoro</t>
  </si>
  <si>
    <t>Hoima Town</t>
  </si>
  <si>
    <t>Kyaruwabuyamba</t>
  </si>
  <si>
    <t>UG-WES-1508-219</t>
  </si>
  <si>
    <t>Tumusiime Lawrence</t>
  </si>
  <si>
    <t>Kyeizoba</t>
  </si>
  <si>
    <t>UG-WES-1501-512</t>
  </si>
  <si>
    <t>Baluku Julius</t>
  </si>
  <si>
    <t>Kilembe Central Div</t>
  </si>
  <si>
    <t>Kilembe</t>
  </si>
  <si>
    <t>UG-WES-1508-220</t>
  </si>
  <si>
    <t>Rwashema Enos</t>
  </si>
  <si>
    <t>Bumbaire</t>
  </si>
  <si>
    <t>Rwenkyekye</t>
  </si>
  <si>
    <t>UG-WES-1508-221</t>
  </si>
  <si>
    <t>Kibiira Constance</t>
  </si>
  <si>
    <t>Rwamiyaga</t>
  </si>
  <si>
    <t>Ntusti</t>
  </si>
  <si>
    <t>UG-WES-1508-3404</t>
  </si>
  <si>
    <t>Muhimbazi Deus</t>
  </si>
  <si>
    <t>Edivine  Kasangwe No</t>
  </si>
  <si>
    <t>UG-WES-1508-5060</t>
  </si>
  <si>
    <t>Hariet  Mwujjuka No</t>
  </si>
  <si>
    <t>Kitonzi</t>
  </si>
  <si>
    <t>UG-WES-1508-5061</t>
  </si>
  <si>
    <t>Charles  Mugarula No</t>
  </si>
  <si>
    <t>UG-WES-1508-6022</t>
  </si>
  <si>
    <t>Bahaati Fidel</t>
  </si>
  <si>
    <t>Rwamarengye</t>
  </si>
  <si>
    <t>UG-WES-1508-6024</t>
  </si>
  <si>
    <t>Kanyabuganda John</t>
  </si>
  <si>
    <t>Rwakagajera</t>
  </si>
  <si>
    <t>UG-WES-1509-1085</t>
  </si>
  <si>
    <t>Baguma Richard</t>
  </si>
  <si>
    <t>Buhanika</t>
  </si>
  <si>
    <t>Kihule</t>
  </si>
  <si>
    <t>UG-WES-1509-1303</t>
  </si>
  <si>
    <t>Asiimwe Bernard</t>
  </si>
  <si>
    <t>Sheema North</t>
  </si>
  <si>
    <t>Ryakahungu</t>
  </si>
  <si>
    <t>UG-WES-1509-1514</t>
  </si>
  <si>
    <t>Bangirana Alfred</t>
  </si>
  <si>
    <t>Rwenyena II</t>
  </si>
  <si>
    <t>Mrs Specioza Kamugisha</t>
  </si>
  <si>
    <t>Rwoya</t>
  </si>
  <si>
    <t>UG-WES-1509-1605</t>
  </si>
  <si>
    <t>Namugenyi Aidah</t>
  </si>
  <si>
    <t>Rwakabale</t>
  </si>
  <si>
    <t>UG-WES-1509-1609</t>
  </si>
  <si>
    <t>Mr lamanzan</t>
  </si>
  <si>
    <t>UG-WES-1509-1623</t>
  </si>
  <si>
    <t>Sabiti Betty</t>
  </si>
  <si>
    <t>Ndozereho Edward</t>
  </si>
  <si>
    <t>Katamba Henry</t>
  </si>
  <si>
    <t>Kizifumbi</t>
  </si>
  <si>
    <t>Kidoma</t>
  </si>
  <si>
    <t>Kisembo Charles Godfrey</t>
  </si>
  <si>
    <t>Mugalike</t>
  </si>
  <si>
    <t>Kitema</t>
  </si>
  <si>
    <t>UG-WES-1502-520</t>
  </si>
  <si>
    <t>Kaganda John</t>
  </si>
  <si>
    <t>UG-WES-1509-1906</t>
  </si>
  <si>
    <t>Topisita Nabunje Besisira</t>
  </si>
  <si>
    <t>Buyaga east</t>
  </si>
  <si>
    <t>Pachwa</t>
  </si>
  <si>
    <t>Kamata</t>
  </si>
  <si>
    <t>UG-WES-1503-00306</t>
  </si>
  <si>
    <t>Rafairi Byarugaba</t>
  </si>
  <si>
    <t>Kaiho</t>
  </si>
  <si>
    <t>UG-WES-1503-122</t>
  </si>
  <si>
    <t>Kalungi Connie</t>
  </si>
  <si>
    <t>UG-WES-1509-5063</t>
  </si>
  <si>
    <t xml:space="preserve">Lauben  Bigirwa </t>
  </si>
  <si>
    <t>UG-WES-1510-1304</t>
  </si>
  <si>
    <t>Ntungura Beneth</t>
  </si>
  <si>
    <t>Nyakabirizi Div</t>
  </si>
  <si>
    <t>Nyamiko</t>
  </si>
  <si>
    <t>Mr Kasapuri Leonuis</t>
  </si>
  <si>
    <t>Bugarama II</t>
  </si>
  <si>
    <t>Tumwebaze Kosia</t>
  </si>
  <si>
    <t>Bwongera</t>
  </si>
  <si>
    <t>Kifunjo</t>
  </si>
  <si>
    <t>UG-WES-1510-1803</t>
  </si>
  <si>
    <t>Ainomugisha Nicholas Senkubuye</t>
  </si>
  <si>
    <t>Karebo II</t>
  </si>
  <si>
    <t>Byaruhanga Rashid</t>
  </si>
  <si>
    <t>Kikuuba 'B'</t>
  </si>
  <si>
    <t>Namwanja Besisira Amooti</t>
  </si>
  <si>
    <t>UG-WES-1510-2812</t>
  </si>
  <si>
    <t>Tumuheirwe  Kelen Kukunda</t>
  </si>
  <si>
    <t>UG-WES-1503-518</t>
  </si>
  <si>
    <t>Bakenga John</t>
  </si>
  <si>
    <t>UG-WES-1510-318</t>
  </si>
  <si>
    <t>Jesca Katuda</t>
  </si>
  <si>
    <t>UG-WES-1503-522</t>
  </si>
  <si>
    <t>Nyansio Kamuntu</t>
  </si>
  <si>
    <t>Nyamwamba</t>
  </si>
  <si>
    <t>Mwaro gate</t>
  </si>
  <si>
    <t>UG-WES-1503-523</t>
  </si>
  <si>
    <t>Muserero M Augustine</t>
  </si>
  <si>
    <t>Bulembya</t>
  </si>
  <si>
    <t>Kyanjuki</t>
  </si>
  <si>
    <t>UG-WES-1511-01518</t>
  </si>
  <si>
    <t>Elly Tumwine</t>
  </si>
  <si>
    <t>Rukoni West</t>
  </si>
  <si>
    <t>Kaberebere</t>
  </si>
  <si>
    <t>UG-WES-1511-01519</t>
  </si>
  <si>
    <t>Kabagyema Eldard</t>
  </si>
  <si>
    <t>30.412613</t>
  </si>
  <si>
    <t>Namanya Wilberforce</t>
  </si>
  <si>
    <t>Ncucumo</t>
  </si>
  <si>
    <t>UG-WES-1504-2573</t>
  </si>
  <si>
    <t>Robina  Bonabona</t>
  </si>
  <si>
    <t>Miyola</t>
  </si>
  <si>
    <t>Mugisha Morphie</t>
  </si>
  <si>
    <t>Nyakanyara 1</t>
  </si>
  <si>
    <t>Kamya Wilison</t>
  </si>
  <si>
    <t>Kasokero</t>
  </si>
  <si>
    <t>Abigaba Crezestom</t>
  </si>
  <si>
    <t>Katikara</t>
  </si>
  <si>
    <t>UG-WES-1511-222</t>
  </si>
  <si>
    <t>Mugume Donald</t>
  </si>
  <si>
    <t>Sanga TC</t>
  </si>
  <si>
    <t>UG-WES-1511-320</t>
  </si>
  <si>
    <t>Kaguma William</t>
  </si>
  <si>
    <t>Rwentobo</t>
  </si>
  <si>
    <t>UG-WES-1512-01086</t>
  </si>
  <si>
    <t>Bagonza Cleophas</t>
  </si>
  <si>
    <t>Bikonzi 2</t>
  </si>
  <si>
    <t>UG-WES-1512-1077</t>
  </si>
  <si>
    <t>Turyasima Levi</t>
  </si>
  <si>
    <t>Busanga</t>
  </si>
  <si>
    <t>UG-WES-1512-1078</t>
  </si>
  <si>
    <t>Binagwa John</t>
  </si>
  <si>
    <t>Busunga LC 1</t>
  </si>
  <si>
    <t>UG-WES-1505-135</t>
  </si>
  <si>
    <t>Muhwezi Dofroza</t>
  </si>
  <si>
    <t>Mr kajuga Gordon</t>
  </si>
  <si>
    <t>Kiyuya</t>
  </si>
  <si>
    <t>Monday Grace</t>
  </si>
  <si>
    <t>Rwakiruru</t>
  </si>
  <si>
    <t>Mr Taremwa Patrick</t>
  </si>
  <si>
    <t>Biterero</t>
  </si>
  <si>
    <t>Kimuri II</t>
  </si>
  <si>
    <t>Mutungi Lawrence</t>
  </si>
  <si>
    <t>Kahiihi II</t>
  </si>
  <si>
    <t>UG-WES-1505-2565</t>
  </si>
  <si>
    <t xml:space="preserve">Charles  Besigye </t>
  </si>
  <si>
    <t>Rwenjanza</t>
  </si>
  <si>
    <t>Rwenjanza A</t>
  </si>
  <si>
    <t>UG-WES-1505-2576</t>
  </si>
  <si>
    <t xml:space="preserve">David  Zaali </t>
  </si>
  <si>
    <t>Rwebikwaato</t>
  </si>
  <si>
    <t>Panga</t>
  </si>
  <si>
    <t>UG-WES-1512-1813</t>
  </si>
  <si>
    <t>Anita Mugyenyi</t>
  </si>
  <si>
    <t>Bireere</t>
  </si>
  <si>
    <t>Rwakiruri</t>
  </si>
  <si>
    <t>UG-WES-1512-1814</t>
  </si>
  <si>
    <t>Florence Matovu</t>
  </si>
  <si>
    <t>Kabaare II</t>
  </si>
  <si>
    <t>UG-WES-1512-1815</t>
  </si>
  <si>
    <t>Hope Mugisha</t>
  </si>
  <si>
    <t>Mwesigye Longino Kambirizi</t>
  </si>
  <si>
    <t>Mukuru Azaliya</t>
  </si>
  <si>
    <t>Kasunga</t>
  </si>
  <si>
    <t>UG-WES-1512-324</t>
  </si>
  <si>
    <t>Rev Yowas Kabigurika</t>
  </si>
  <si>
    <t>Faith Day And Boarding P/S</t>
  </si>
  <si>
    <t>karera</t>
  </si>
  <si>
    <t>UG-WES-1512-674</t>
  </si>
  <si>
    <t>Tumusiime Eric</t>
  </si>
  <si>
    <t>Akapeera</t>
  </si>
  <si>
    <t>UG-WES-1601-01084</t>
  </si>
  <si>
    <t>Asaba Juliet Amooti</t>
  </si>
  <si>
    <t>Buhomoozi</t>
  </si>
  <si>
    <t>Gumisiriza Annet</t>
  </si>
  <si>
    <t>UG-WES-1601-1075</t>
  </si>
  <si>
    <t>Bagada Rugaju Philemon</t>
  </si>
  <si>
    <t>Kanyamunya</t>
  </si>
  <si>
    <t>UG-WES-1601-1076</t>
  </si>
  <si>
    <t>Tinkamanyire Mathew</t>
  </si>
  <si>
    <t>Nyakabaale</t>
  </si>
  <si>
    <t>UG-WES-1601-1313</t>
  </si>
  <si>
    <t>Gensi Mirabu</t>
  </si>
  <si>
    <t>UG-WES-1601-1314</t>
  </si>
  <si>
    <t>Alice Kabango</t>
  </si>
  <si>
    <t>Kinkokwa</t>
  </si>
  <si>
    <t>Omukabaare</t>
  </si>
  <si>
    <t>Ahiise Songono</t>
  </si>
  <si>
    <t>Nyakahanga</t>
  </si>
  <si>
    <t>Leho Baryabanoha</t>
  </si>
  <si>
    <t>Nyankoro</t>
  </si>
  <si>
    <t>Rwakitwe Katoko Lawrence</t>
  </si>
  <si>
    <t>Kicence</t>
  </si>
  <si>
    <t>Katushabe Alice</t>
  </si>
  <si>
    <t>Rwanyamashembe</t>
  </si>
  <si>
    <t>Victoria Bindeba</t>
  </si>
  <si>
    <t>Nyakageme</t>
  </si>
  <si>
    <t>Bincence</t>
  </si>
  <si>
    <t>UG-WES-1601-321</t>
  </si>
  <si>
    <t>Bijuju Francis</t>
  </si>
  <si>
    <t>Rushoga</t>
  </si>
  <si>
    <t>UG-WES-1601-322</t>
  </si>
  <si>
    <t>Rev Can Bashoberwa</t>
  </si>
  <si>
    <t>Sheema South</t>
  </si>
  <si>
    <t>UG-WES-1602-00951</t>
  </si>
  <si>
    <t>Kabwishwa George</t>
  </si>
  <si>
    <t>30.9.36</t>
  </si>
  <si>
    <t>UG-WES-1602-03407</t>
  </si>
  <si>
    <t>Kamuningi John</t>
  </si>
  <si>
    <t>Kinoni I</t>
  </si>
  <si>
    <t>UG-WES-1602-1316</t>
  </si>
  <si>
    <t>Bashasha Yorokamu</t>
  </si>
  <si>
    <t>Nyakabirizi division</t>
  </si>
  <si>
    <t>Mr Mugisha Silver</t>
  </si>
  <si>
    <t>Asiimwe Stella</t>
  </si>
  <si>
    <t>Ruhandagazi</t>
  </si>
  <si>
    <t>Tibihwa Mary Lutgard</t>
  </si>
  <si>
    <t>Rwenkobe</t>
  </si>
  <si>
    <t>UG-WES-1602-1913</t>
  </si>
  <si>
    <t>Bahemuka Keti</t>
  </si>
  <si>
    <t>Kakoge</t>
  </si>
  <si>
    <t>UG-WES-1602-224</t>
  </si>
  <si>
    <t>Kavuma Ruth (Plant 1)</t>
  </si>
  <si>
    <t>Nshwere I</t>
  </si>
  <si>
    <t>Bisima Christopher</t>
  </si>
  <si>
    <t>Kinenebuhere</t>
  </si>
  <si>
    <t>Ainabyona Godfrey</t>
  </si>
  <si>
    <t>UG-WES-1603-1914</t>
  </si>
  <si>
    <t>Nyamugisha Scolastca</t>
  </si>
  <si>
    <t>Kibanda  South</t>
  </si>
  <si>
    <t>Kididima</t>
  </si>
  <si>
    <t>UG-WES-1603-225</t>
  </si>
  <si>
    <t>Asiimwe Jacob</t>
  </si>
  <si>
    <t>Nyakashashara</t>
  </si>
  <si>
    <t>Akageti</t>
  </si>
  <si>
    <t>UG-WES-1603-3412</t>
  </si>
  <si>
    <t>Rubaza Peter</t>
  </si>
  <si>
    <t>UG-WES-1603-3413</t>
  </si>
  <si>
    <t>Mugisha Jenipher Florence</t>
  </si>
  <si>
    <t>Rutoma</t>
  </si>
  <si>
    <t>Nyarugyendo Sophia</t>
  </si>
  <si>
    <t>UG-WES-1603-3433</t>
  </si>
  <si>
    <t>Ndyabahika Denis</t>
  </si>
  <si>
    <t>UG-WES-1603-3434</t>
  </si>
  <si>
    <t>Kachukuzi Joshua</t>
  </si>
  <si>
    <t>UG-WES-1603-3435</t>
  </si>
  <si>
    <t>Ruchemura David</t>
  </si>
  <si>
    <t>Kanara 1</t>
  </si>
  <si>
    <t>UG-WES-1603-3436</t>
  </si>
  <si>
    <t>Magaba Nathan</t>
  </si>
  <si>
    <t>UG-WES-1603-3440</t>
  </si>
  <si>
    <t>Habyarimana Gidieon</t>
  </si>
  <si>
    <t>Kibale East</t>
  </si>
  <si>
    <t>Kyamuhumira</t>
  </si>
  <si>
    <t>UG-WES-1603-3441</t>
  </si>
  <si>
    <t>Rwahanzire Richard</t>
  </si>
  <si>
    <t>Busimba</t>
  </si>
  <si>
    <t>UG-WES-1603-3444</t>
  </si>
  <si>
    <t>Rwendere Jackson</t>
  </si>
  <si>
    <t>Kabuga 1</t>
  </si>
  <si>
    <t>UG-WES-1603-3448</t>
  </si>
  <si>
    <t>Mubangyizi Henry</t>
  </si>
  <si>
    <t>Nyarurambi</t>
  </si>
  <si>
    <t>UG-WES-1603-4737</t>
  </si>
  <si>
    <t>Kahima Didas</t>
  </si>
  <si>
    <t>Ntara</t>
  </si>
  <si>
    <t>UG-WES-1603-6028</t>
  </si>
  <si>
    <t>Harriet (Statelite Farmers)</t>
  </si>
  <si>
    <t>Rwaahi</t>
  </si>
  <si>
    <t>UG-WES-1604-00197</t>
  </si>
  <si>
    <t>Haji Bruhan Kigozi</t>
  </si>
  <si>
    <t>UG-WES-1604-01522</t>
  </si>
  <si>
    <t>Dr Muranga Benoni</t>
  </si>
  <si>
    <t>Nyamatongo</t>
  </si>
  <si>
    <t>Byarugaba George</t>
  </si>
  <si>
    <t>Byolima</t>
  </si>
  <si>
    <t>UG-WES-1604-3438</t>
  </si>
  <si>
    <t>Maniragaba Silvano</t>
  </si>
  <si>
    <t>Kihunga</t>
  </si>
  <si>
    <t>UG-WES-1604-3447</t>
  </si>
  <si>
    <t>Kasoro Edridah</t>
  </si>
  <si>
    <t>Kaburaisoke</t>
  </si>
  <si>
    <t>UG-WES-1604-3449</t>
  </si>
  <si>
    <t>Bakiina Danel</t>
  </si>
  <si>
    <t>UG-WES-1604-4651</t>
  </si>
  <si>
    <t>Kairuki John</t>
  </si>
  <si>
    <t>Bihanga I</t>
  </si>
  <si>
    <t>Mujuni Emmanuel</t>
  </si>
  <si>
    <t>Bishozi/Nkoma</t>
  </si>
  <si>
    <t>Bishozi</t>
  </si>
  <si>
    <t>Mwesigye Freeman</t>
  </si>
  <si>
    <t>Nyabubare LC I A</t>
  </si>
  <si>
    <t>Kibamukonya Ndikora</t>
  </si>
  <si>
    <t>Mabale I</t>
  </si>
  <si>
    <t>Mwijuka Yowasi</t>
  </si>
  <si>
    <t>0. 1437</t>
  </si>
  <si>
    <t>Kijungu</t>
  </si>
  <si>
    <t>Mpagi Emmanuel</t>
  </si>
  <si>
    <t>0787591113/0781913278</t>
  </si>
  <si>
    <t>Kibogo</t>
  </si>
  <si>
    <t>UG-WES-1604-4676</t>
  </si>
  <si>
    <t>Mugarura Charles</t>
  </si>
  <si>
    <t>UG-WES-1510-5064</t>
  </si>
  <si>
    <t>Binobweshigye  Teopista</t>
  </si>
  <si>
    <t>Rwomulo</t>
  </si>
  <si>
    <t>UG-WES-1604-4683</t>
  </si>
  <si>
    <t>Susan Baisha</t>
  </si>
  <si>
    <t>UG-WES-1604-4684</t>
  </si>
  <si>
    <t>Ngayabarezi Everesto</t>
  </si>
  <si>
    <t>Businge</t>
  </si>
  <si>
    <t>Bikorwamuhangi Darius</t>
  </si>
  <si>
    <t>Kayonza/Nkoma</t>
  </si>
  <si>
    <t>Monday Pafura Kato</t>
  </si>
  <si>
    <t>Lyamugyenyi</t>
  </si>
  <si>
    <t>UG-WES-1604-4687</t>
  </si>
  <si>
    <t>Bwesigye Didas</t>
  </si>
  <si>
    <t>kyakarafa</t>
  </si>
  <si>
    <t>UG-WES-1604-4694</t>
  </si>
  <si>
    <t>Rutabunzibwa Jovia</t>
  </si>
  <si>
    <t>Kigoro</t>
  </si>
  <si>
    <t>UG-WES-1604-4695</t>
  </si>
  <si>
    <t>Bagambe Augustine</t>
  </si>
  <si>
    <t>Rwembirizi</t>
  </si>
  <si>
    <t>Tumwesigye Shabani</t>
  </si>
  <si>
    <t>Rugonjo TC</t>
  </si>
  <si>
    <t>Twijukye Balam</t>
  </si>
  <si>
    <t>Nsorora</t>
  </si>
  <si>
    <t>Bakihwahwenki Charles</t>
  </si>
  <si>
    <t>Kibale EAST</t>
  </si>
  <si>
    <t>Damasko</t>
  </si>
  <si>
    <t>UG-WES-1604-4709</t>
  </si>
  <si>
    <t>Bakihwahwenki Geofrey</t>
  </si>
  <si>
    <t>Nyabbani</t>
  </si>
  <si>
    <t>Rwamirama</t>
  </si>
  <si>
    <t>Jacqueline Wanjuka Kamau</t>
  </si>
  <si>
    <t>Byiringiro Geofrey</t>
  </si>
  <si>
    <t>UG-WES-1604-52</t>
  </si>
  <si>
    <t>Adinin Felex</t>
  </si>
  <si>
    <t>Kitagata 1</t>
  </si>
  <si>
    <t>UG-WES-1605-01523</t>
  </si>
  <si>
    <t>Kiiza Henry</t>
  </si>
  <si>
    <t>Nyakatuntu</t>
  </si>
  <si>
    <t>UG-WES-1605-04680</t>
  </si>
  <si>
    <t>Ndagize Charles</t>
  </si>
  <si>
    <t>0. 1020</t>
  </si>
  <si>
    <t>Kaburaisoke I</t>
  </si>
  <si>
    <t>Engrubahamya Marisiano</t>
  </si>
  <si>
    <t>Rukoko/Busingye</t>
  </si>
  <si>
    <t>Mr Mwesigye Charles</t>
  </si>
  <si>
    <t>Kasheshero</t>
  </si>
  <si>
    <t>Mr Kigango Fred</t>
  </si>
  <si>
    <t>UG-WES-1605-1915</t>
  </si>
  <si>
    <t>Dr Scola Bwali</t>
  </si>
  <si>
    <t>Asiimwe Sarah</t>
  </si>
  <si>
    <t>Kyenzige</t>
  </si>
  <si>
    <t>Kyangamwoyo</t>
  </si>
  <si>
    <t>Twinomujuni Fred</t>
  </si>
  <si>
    <t>Rwakagyera</t>
  </si>
  <si>
    <t>Kapipa Johnson</t>
  </si>
  <si>
    <t>Kijungu I</t>
  </si>
  <si>
    <t>UG-WES-1605-4658</t>
  </si>
  <si>
    <t>Bataringaya John Bosco</t>
  </si>
  <si>
    <t>Kahara</t>
  </si>
  <si>
    <t>UG-WES-1605-4670</t>
  </si>
  <si>
    <t>Bagambagye Edrinah</t>
  </si>
  <si>
    <t>UG-WES-1605-4671</t>
  </si>
  <si>
    <t>Bahati Metodius</t>
  </si>
  <si>
    <t>UG-WES-1605-4672</t>
  </si>
  <si>
    <t>Ssebijumba Rajab</t>
  </si>
  <si>
    <t>UG-WES-1605-4673</t>
  </si>
  <si>
    <t>Kaboore Peter</t>
  </si>
  <si>
    <t>UG-WES-1605-4677</t>
  </si>
  <si>
    <t>Banyenzaki Magret</t>
  </si>
  <si>
    <t>Kitehurizi</t>
  </si>
  <si>
    <t>Biraro Sam</t>
  </si>
  <si>
    <t>UG-WES-1605-4679</t>
  </si>
  <si>
    <t>Karuhije Pastori</t>
  </si>
  <si>
    <t>Nsonosa</t>
  </si>
  <si>
    <t>Rwamihigo Hadija</t>
  </si>
  <si>
    <t>Omubushenyi II</t>
  </si>
  <si>
    <t>UG-WES-1605-4690</t>
  </si>
  <si>
    <t>Byaruhanga Habert Biloko</t>
  </si>
  <si>
    <t>Ryamugonera</t>
  </si>
  <si>
    <t>UG-WES-1605-4691</t>
  </si>
  <si>
    <t>Babrah Katembwe</t>
  </si>
  <si>
    <t>UG-WES-1605-4692</t>
  </si>
  <si>
    <t>Akorinako Julius</t>
  </si>
  <si>
    <t>Kiiza David Amooti</t>
  </si>
  <si>
    <t>Kisiita</t>
  </si>
  <si>
    <t>UG-WES-1605-4696</t>
  </si>
  <si>
    <t>Lillian Karanzi</t>
  </si>
  <si>
    <t>Rwomuriro</t>
  </si>
  <si>
    <t>UG-WES-1605-4697</t>
  </si>
  <si>
    <t>Ainobwengye Topista</t>
  </si>
  <si>
    <t>UG-WES-1605-4698</t>
  </si>
  <si>
    <t>Hoderia Bigombe</t>
  </si>
  <si>
    <t>Kanara II</t>
  </si>
  <si>
    <t>UG-WES-1605-4699</t>
  </si>
  <si>
    <t>Tunanukye George</t>
  </si>
  <si>
    <t>UG-WES-1602-1099</t>
  </si>
  <si>
    <t>Mwijakubi Sedrack</t>
  </si>
  <si>
    <t>Kigomba</t>
  </si>
  <si>
    <t>UG-WES-1605-4700</t>
  </si>
  <si>
    <t>Ngabirano Bashiru</t>
  </si>
  <si>
    <t>Nyanchwamba</t>
  </si>
  <si>
    <t>UG-WES-1602-1318</t>
  </si>
  <si>
    <t>Mr Mugisha Rogers</t>
  </si>
  <si>
    <t>Ishaka Bushenyi</t>
  </si>
  <si>
    <t>Bweranyangi</t>
  </si>
  <si>
    <t>Mwesigwa Peace</t>
  </si>
  <si>
    <t>Nkingo</t>
  </si>
  <si>
    <t>Mugisha Deus</t>
  </si>
  <si>
    <t>Ndengabaganizi Bonifance</t>
  </si>
  <si>
    <t>Biryomumisho Marria Gorret</t>
  </si>
  <si>
    <t>Bagambana David</t>
  </si>
  <si>
    <t>UG-WES-1605-4715</t>
  </si>
  <si>
    <t>Koburunga Federensi</t>
  </si>
  <si>
    <t>Biguri</t>
  </si>
  <si>
    <t>Benga B</t>
  </si>
  <si>
    <t>UG-WES-1603-03439</t>
  </si>
  <si>
    <t>Mugume Ronald</t>
  </si>
  <si>
    <t>UG-WES-1605-4717</t>
  </si>
  <si>
    <t>Turyamureba Naboth</t>
  </si>
  <si>
    <t>Butamba</t>
  </si>
  <si>
    <t>Morning Ambrose</t>
  </si>
  <si>
    <t>Kagorora B</t>
  </si>
  <si>
    <t>Musinguzi Jackson</t>
  </si>
  <si>
    <t>Kemirembe Conslanta</t>
  </si>
  <si>
    <t>Kinoni 2</t>
  </si>
  <si>
    <t>Kabagambe Appolo</t>
  </si>
  <si>
    <t>UG-WES-1605-4727</t>
  </si>
  <si>
    <t>Tusiime Jackson</t>
  </si>
  <si>
    <t>UG-WES-1605-656</t>
  </si>
  <si>
    <t>Kabarisa Lillian</t>
  </si>
  <si>
    <t>Rwenkubebe I</t>
  </si>
  <si>
    <t>Ruzinde Alari</t>
  </si>
  <si>
    <t>Mushija</t>
  </si>
  <si>
    <t>Turyabashaniti John</t>
  </si>
  <si>
    <t>Kibaale East</t>
  </si>
  <si>
    <t>Bubarebwera</t>
  </si>
  <si>
    <t>Nkurikyiye Francis</t>
  </si>
  <si>
    <t>Ngoma II</t>
  </si>
  <si>
    <t>UG-WES-1606-02313</t>
  </si>
  <si>
    <t>Byarugaba Stephen</t>
  </si>
  <si>
    <t>Kanara III</t>
  </si>
  <si>
    <t>UG-WES-1606-02314</t>
  </si>
  <si>
    <t>Kworekwa Gonzaga Gonza</t>
  </si>
  <si>
    <t>Kyotamusana</t>
  </si>
  <si>
    <t>UG-WES-1606-02318</t>
  </si>
  <si>
    <t>Muhangi Victor</t>
  </si>
  <si>
    <t>Kihura II</t>
  </si>
  <si>
    <t>Mugume Frank</t>
  </si>
  <si>
    <t>Kampala Bigyere</t>
  </si>
  <si>
    <t>UG-WES-1606-02324</t>
  </si>
  <si>
    <t>Kwesiga Moses</t>
  </si>
  <si>
    <t>Biguri Tc</t>
  </si>
  <si>
    <t>UG-WES-1606-04732</t>
  </si>
  <si>
    <t>Muhumuza Stephen</t>
  </si>
  <si>
    <t>Kanyegaramire</t>
  </si>
  <si>
    <t>UG-WES-1606-04735</t>
  </si>
  <si>
    <t>Asaaba Desmas</t>
  </si>
  <si>
    <t>UG-WES-1606-04738</t>
  </si>
  <si>
    <t>Bishongo Nathan</t>
  </si>
  <si>
    <t>UG-WES-1606-1238</t>
  </si>
  <si>
    <t>Tinkamalirwe Florence</t>
  </si>
  <si>
    <t>Nyantongo</t>
  </si>
  <si>
    <t>Mpunda</t>
  </si>
  <si>
    <t>Mrs Betty Matsiko</t>
  </si>
  <si>
    <t>Kyabugambi</t>
  </si>
  <si>
    <t>Tusiime Regan</t>
  </si>
  <si>
    <t>Nyakayonjo</t>
  </si>
  <si>
    <t>UG-WES-1604-3442</t>
  </si>
  <si>
    <t>Client Sold the land</t>
  </si>
  <si>
    <t>Mugizi Emmanuel</t>
  </si>
  <si>
    <t>UG-WES-1604-3443</t>
  </si>
  <si>
    <t>Byoruganda John</t>
  </si>
  <si>
    <t>Mabale 1</t>
  </si>
  <si>
    <t>Natukunda Eva Ntwirenabo</t>
  </si>
  <si>
    <t>Nangooba Sauda</t>
  </si>
  <si>
    <t>Ntirenganya Moses</t>
  </si>
  <si>
    <t>Muroro</t>
  </si>
  <si>
    <t>Nyabitare</t>
  </si>
  <si>
    <t>UG-WES-1606-1829</t>
  </si>
  <si>
    <t>Joy Bimbona</t>
  </si>
  <si>
    <t>Rwenshaka</t>
  </si>
  <si>
    <t>Nyinamahoro Joseline</t>
  </si>
  <si>
    <t>Karokarungi</t>
  </si>
  <si>
    <t>Kabucunda Nyenzi</t>
  </si>
  <si>
    <t>Pacwa</t>
  </si>
  <si>
    <t>UG-WES-1606-2321</t>
  </si>
  <si>
    <t>Bigogo Asitoni</t>
  </si>
  <si>
    <t>Rwamwanja T/c</t>
  </si>
  <si>
    <t>UG-WES-1606-4716</t>
  </si>
  <si>
    <t>Petience Kaziire</t>
  </si>
  <si>
    <t>Mukankutsi Domitera</t>
  </si>
  <si>
    <t>Kaitamba</t>
  </si>
  <si>
    <t>Turyamureba Willison</t>
  </si>
  <si>
    <t>Rwanjare</t>
  </si>
  <si>
    <t>Binobwengye Eriabu</t>
  </si>
  <si>
    <t>Kyakasasira</t>
  </si>
  <si>
    <t>UG-WES-1606-4725</t>
  </si>
  <si>
    <t>Agaba Keneth</t>
  </si>
  <si>
    <t>Mupenzi Yosam</t>
  </si>
  <si>
    <t>Kataryeba</t>
  </si>
  <si>
    <t>Barugahare Fred</t>
  </si>
  <si>
    <t>Mugisha Paul Alex</t>
  </si>
  <si>
    <t>Ryabasita</t>
  </si>
  <si>
    <t>UG-WES-1606-4731</t>
  </si>
  <si>
    <t>Mbareba Gard</t>
  </si>
  <si>
    <t>Mikindo</t>
  </si>
  <si>
    <t>UG-WES-1606-4733</t>
  </si>
  <si>
    <t>Beragira John</t>
  </si>
  <si>
    <t>Makukuru</t>
  </si>
  <si>
    <t>UG-WES-1606-4734</t>
  </si>
  <si>
    <t>Turinawe Amos</t>
  </si>
  <si>
    <t>UG-WES-1606-4736</t>
  </si>
  <si>
    <t>Barigye Ambrose</t>
  </si>
  <si>
    <t>UG-WES-1606-4740</t>
  </si>
  <si>
    <t>Karyabakiza Erias</t>
  </si>
  <si>
    <t>UG-WES-1606-4741</t>
  </si>
  <si>
    <t>Namara Robert</t>
  </si>
  <si>
    <t>Busingye</t>
  </si>
  <si>
    <t>UG-WES-1606-4742</t>
  </si>
  <si>
    <t>Buryahika Gidion</t>
  </si>
  <si>
    <t>UG-WES-1607-01524</t>
  </si>
  <si>
    <t>Kiirabo Jenifer</t>
  </si>
  <si>
    <t>Rwemondo</t>
  </si>
  <si>
    <t>Mikeri Nzeirwekurungi</t>
  </si>
  <si>
    <t>Nyamiribako</t>
  </si>
  <si>
    <t>UG-WES-1607-02306</t>
  </si>
  <si>
    <t>Nsubuga Julius</t>
  </si>
  <si>
    <t>Kyakagyeyo</t>
  </si>
  <si>
    <t>UG-WES-1607-02307</t>
  </si>
  <si>
    <t>Turyatemba Odomaro</t>
  </si>
  <si>
    <t>UG-WES-1607-02308</t>
  </si>
  <si>
    <t>Matwire Florance</t>
  </si>
  <si>
    <t>Rwenjobe</t>
  </si>
  <si>
    <t>Nampijja Maria</t>
  </si>
  <si>
    <t>Muhokya</t>
  </si>
  <si>
    <t>UG-WES-1607-02309</t>
  </si>
  <si>
    <t>Sunday Manuel</t>
  </si>
  <si>
    <t>Katunguru-Kibwera</t>
  </si>
  <si>
    <t>UG-WES-1607-02310</t>
  </si>
  <si>
    <t>Ndyanabo Olivia</t>
  </si>
  <si>
    <t>Kiceece</t>
  </si>
  <si>
    <t>Kantozi</t>
  </si>
  <si>
    <t>UG-WES-1607-02311</t>
  </si>
  <si>
    <t>Musaana Nathan</t>
  </si>
  <si>
    <t>Ruhiga</t>
  </si>
  <si>
    <t>Kyamanwya John</t>
  </si>
  <si>
    <t>UG-WES-1607-02312</t>
  </si>
  <si>
    <t>Baziriyo Kobwemi</t>
  </si>
  <si>
    <t>Kiceece/ Ntara</t>
  </si>
  <si>
    <t>Buryansungwe</t>
  </si>
  <si>
    <t>UG-WES-1607-02319</t>
  </si>
  <si>
    <t>Tusingwire Keneth</t>
  </si>
  <si>
    <t>UG-WES-1607-02320</t>
  </si>
  <si>
    <t>Ndyabawe Beni</t>
  </si>
  <si>
    <t>UG-WES-1607-02325</t>
  </si>
  <si>
    <t>Rukeire James</t>
  </si>
  <si>
    <t>Kicheche</t>
  </si>
  <si>
    <t>Kagazi</t>
  </si>
  <si>
    <t>Tigeita Lillian</t>
  </si>
  <si>
    <t>Rwenshama I</t>
  </si>
  <si>
    <t>Rwaboona Steven</t>
  </si>
  <si>
    <t>Bututsi</t>
  </si>
  <si>
    <t>UG-WES-1607-02326</t>
  </si>
  <si>
    <t>Kulibanza Charles</t>
  </si>
  <si>
    <t>UG-WES-1607-02327</t>
  </si>
  <si>
    <t>Gumisiriza Burasiga</t>
  </si>
  <si>
    <t>Nyakanyoga</t>
  </si>
  <si>
    <t>UG-WES-1607-07464</t>
  </si>
  <si>
    <t>Musoka Paul</t>
  </si>
  <si>
    <t>31.409771</t>
  </si>
  <si>
    <t>Kyamaba</t>
  </si>
  <si>
    <t>Rwoma</t>
  </si>
  <si>
    <t>UG-WES-1607-1239</t>
  </si>
  <si>
    <t>Agaba Favio</t>
  </si>
  <si>
    <t>Butiiti</t>
  </si>
  <si>
    <t>Maj Musinguzi Sam</t>
  </si>
  <si>
    <t>Kijura Central</t>
  </si>
  <si>
    <t>Baryebuza Tarasisio</t>
  </si>
  <si>
    <t>Busiriba/Kibale</t>
  </si>
  <si>
    <t>UG-WES-1605-4681</t>
  </si>
  <si>
    <t>Muhumuza Nathan</t>
  </si>
  <si>
    <t>Ryamugyenyi</t>
  </si>
  <si>
    <t>Murangira Joseph</t>
  </si>
  <si>
    <t>Ntaza 1</t>
  </si>
  <si>
    <t>UG-WES-1605-4689</t>
  </si>
  <si>
    <t>Tumwine Anold</t>
  </si>
  <si>
    <t>Rukiinga A</t>
  </si>
  <si>
    <t>UG-WES-1608-02855</t>
  </si>
  <si>
    <t>Dr Mukwaya John Bapist</t>
  </si>
  <si>
    <t xml:space="preserve">Isingiro </t>
  </si>
  <si>
    <t>Kaberebere Town Council</t>
  </si>
  <si>
    <t>Kyenyangyi</t>
  </si>
  <si>
    <t>UG-WES-1609-00961</t>
  </si>
  <si>
    <t xml:space="preserve">Tumusime John Nazario </t>
  </si>
  <si>
    <t xml:space="preserve">Ntungamo </t>
  </si>
  <si>
    <t>Ntungamo town</t>
  </si>
  <si>
    <t>Kalyegira Raymond</t>
  </si>
  <si>
    <t>Kaswa B</t>
  </si>
  <si>
    <t>UG-WES-1609-01508</t>
  </si>
  <si>
    <t>Kateera Christopher</t>
  </si>
  <si>
    <t>Kinoni central</t>
  </si>
  <si>
    <t>Bikiriyo Nazario</t>
  </si>
  <si>
    <t>Biambi</t>
  </si>
  <si>
    <t>Kamugabirwe Micheal</t>
  </si>
  <si>
    <t>Rwanyampazi</t>
  </si>
  <si>
    <t>UG-WES-1610-01830</t>
  </si>
  <si>
    <t>Mr Byaruhanga Jackson</t>
  </si>
  <si>
    <t>Roreire</t>
  </si>
  <si>
    <t>Buhasha</t>
  </si>
  <si>
    <t>UG-WES-1610-02332</t>
  </si>
  <si>
    <t>Katehangwa Serevano</t>
  </si>
  <si>
    <t>Rwamisaambo</t>
  </si>
  <si>
    <t>UG-WES-1610-1244</t>
  </si>
  <si>
    <t>Tom Bright</t>
  </si>
  <si>
    <t>Kyaaka</t>
  </si>
  <si>
    <t>UG-WES-1611- 01831</t>
  </si>
  <si>
    <t>Tumwine Godfrey</t>
  </si>
  <si>
    <t>Ruhinda North</t>
  </si>
  <si>
    <t>Kabiito David</t>
  </si>
  <si>
    <t>Rubaba</t>
  </si>
  <si>
    <t>Bindeeba Phoebe</t>
  </si>
  <si>
    <t>kakyenke</t>
  </si>
  <si>
    <t>Musinguzi Johnson Dan</t>
  </si>
  <si>
    <t>Kigagama</t>
  </si>
  <si>
    <t>Rwegira</t>
  </si>
  <si>
    <t>Begumisa Aaron</t>
  </si>
  <si>
    <t>UG-WES-1611-01331</t>
  </si>
  <si>
    <t>Kandyomendi Francis Xavier</t>
  </si>
  <si>
    <t>Ntaza</t>
  </si>
  <si>
    <t>UG-WES-1611-01332</t>
  </si>
  <si>
    <t>Bantwababo Gregory</t>
  </si>
  <si>
    <t>0.632270 </t>
  </si>
  <si>
    <t>Rwagashani</t>
  </si>
  <si>
    <t>UG-WES-1611-01832</t>
  </si>
  <si>
    <t>Byamugisha Samuel</t>
  </si>
  <si>
    <t>Kyaka</t>
  </si>
  <si>
    <t>Mpara</t>
  </si>
  <si>
    <t>Kyabulikuya</t>
  </si>
  <si>
    <t>Byarugaba Alfonse</t>
  </si>
  <si>
    <t>Nyakalange</t>
  </si>
  <si>
    <t>UG-WES-1611-02330</t>
  </si>
  <si>
    <t>Byabagambi Joseph</t>
  </si>
  <si>
    <t>Nsunga</t>
  </si>
  <si>
    <t>UG-WES-1611-02331</t>
  </si>
  <si>
    <t>Tumwine David</t>
  </si>
  <si>
    <t>Kiiza Dick</t>
  </si>
  <si>
    <t>Mwijuka Hannington</t>
  </si>
  <si>
    <t>Kaswara Keresanjo Amooti</t>
  </si>
  <si>
    <t>Buhanda</t>
  </si>
  <si>
    <t>Muzira</t>
  </si>
  <si>
    <t>Ahimbisibwe Petero</t>
  </si>
  <si>
    <t>Ndoko Joseph</t>
  </si>
  <si>
    <t>UG-WES-1611-02337</t>
  </si>
  <si>
    <t>Komushanju Furijensia Kabarebe</t>
  </si>
  <si>
    <t>UG-WES-1606-02317</t>
  </si>
  <si>
    <t>Bikangaga Yosam</t>
  </si>
  <si>
    <t>Byabasita</t>
  </si>
  <si>
    <t>UG-WES-1611-02338</t>
  </si>
  <si>
    <t>Dr fredrick Tumwine</t>
  </si>
  <si>
    <t>Muzahura Naboth</t>
  </si>
  <si>
    <t>Byontumo</t>
  </si>
  <si>
    <t>UG-WES-1611-02339</t>
  </si>
  <si>
    <t>Tumusime Augustus</t>
  </si>
  <si>
    <t>UG-WES-1611-02350</t>
  </si>
  <si>
    <t>Bagambe Vicent</t>
  </si>
  <si>
    <t>Kyakarenzi</t>
  </si>
  <si>
    <t>Muheru Enock</t>
  </si>
  <si>
    <t>Kyeijuba</t>
  </si>
  <si>
    <t>Rwamukotori/Ruyonja</t>
  </si>
  <si>
    <t>UG-WES-1606-04718</t>
  </si>
  <si>
    <t>Byensi Christopher</t>
  </si>
  <si>
    <t>Kyotamusawa</t>
  </si>
  <si>
    <t>UG-WES-1611-02703</t>
  </si>
  <si>
    <t>Muhabi Dirisa</t>
  </si>
  <si>
    <t>Buyondo C</t>
  </si>
  <si>
    <t>Birabwa Margret</t>
  </si>
  <si>
    <t>Katuusa Leontina</t>
  </si>
  <si>
    <t>UG-WES-1606-1236</t>
  </si>
  <si>
    <t>Mugenyi Sam</t>
  </si>
  <si>
    <t>Kirimba</t>
  </si>
  <si>
    <t>UG-WES-1611-02856</t>
  </si>
  <si>
    <t>Christian Nihupi</t>
  </si>
  <si>
    <t>Kihihi</t>
  </si>
  <si>
    <t>UG-WES-1611-06005</t>
  </si>
  <si>
    <t>Irumba Atwooki Patrick</t>
  </si>
  <si>
    <t>Busiisi</t>
  </si>
  <si>
    <t>Kirubika</t>
  </si>
  <si>
    <t>Joel Bagambi</t>
  </si>
  <si>
    <t>UG-WES-1611-06006</t>
  </si>
  <si>
    <t>Prisca Amooti Kiiza</t>
  </si>
  <si>
    <t>Bisiisi Division</t>
  </si>
  <si>
    <t>Kiriisa</t>
  </si>
  <si>
    <t>UG-WES-1611-07274</t>
  </si>
  <si>
    <t>Kyomuhendo Adyeri Christine</t>
  </si>
  <si>
    <t>Central Div.</t>
  </si>
  <si>
    <t>Kihande II</t>
  </si>
  <si>
    <t>Ariho Julius</t>
  </si>
  <si>
    <t>Kanyamuhe</t>
  </si>
  <si>
    <t>UG-WES-1611-3450</t>
  </si>
  <si>
    <t>Muhumure Alex</t>
  </si>
  <si>
    <t>Nyamabale</t>
  </si>
  <si>
    <t>UG-WES-1611-6002</t>
  </si>
  <si>
    <t>Barongo Amooti Andrew</t>
  </si>
  <si>
    <t>Wakyoya</t>
  </si>
  <si>
    <t>UG-WES-1612- 01839</t>
  </si>
  <si>
    <t>Ntono Geoffrey</t>
  </si>
  <si>
    <t>Kyawanyena</t>
  </si>
  <si>
    <t>Aryeija George Wilson</t>
  </si>
  <si>
    <t>Nyamutozola</t>
  </si>
  <si>
    <t>UG-WES-1612-01934</t>
  </si>
  <si>
    <t>Byarugaba Anet</t>
  </si>
  <si>
    <t>Kalisa Division</t>
  </si>
  <si>
    <t>Kibati</t>
  </si>
  <si>
    <t>UG-WES-1612-02341</t>
  </si>
  <si>
    <t>Rev Katambira Bemard</t>
  </si>
  <si>
    <t>Biguri TC</t>
  </si>
  <si>
    <t>UG-WES-1612-02342</t>
  </si>
  <si>
    <t>Komugisha Ruthira</t>
  </si>
  <si>
    <t>Keisunga</t>
  </si>
  <si>
    <t>UG-WES-1612-02343</t>
  </si>
  <si>
    <t>Kaijuka Francis</t>
  </si>
  <si>
    <t>Bwizi</t>
  </si>
  <si>
    <t>Rutabo</t>
  </si>
  <si>
    <t>UG-WES-1612-02344</t>
  </si>
  <si>
    <t>Kwebiha James</t>
  </si>
  <si>
    <t>Rwengobe</t>
  </si>
  <si>
    <t>UG-WES-1606-4726</t>
  </si>
  <si>
    <t>Musingunzi Ivaan</t>
  </si>
  <si>
    <t>Kasojo</t>
  </si>
  <si>
    <t>UG-WES-1612-02345</t>
  </si>
  <si>
    <t>Asiimwe Zakayo</t>
  </si>
  <si>
    <t>UG-WES-1612-02346</t>
  </si>
  <si>
    <t>Twesigye Anatori</t>
  </si>
  <si>
    <t>UG-WES-1606-4730</t>
  </si>
  <si>
    <t>Byaba Patrick</t>
  </si>
  <si>
    <t>Ntara B</t>
  </si>
  <si>
    <t>UG-WES-1612-02347</t>
  </si>
  <si>
    <t>Mr Tumuranye Juliana</t>
  </si>
  <si>
    <t>Nyabitusi</t>
  </si>
  <si>
    <t>UG-WES-1612-02709</t>
  </si>
  <si>
    <t>Tumusiime Scovia</t>
  </si>
  <si>
    <t>Kantwamahuri</t>
  </si>
  <si>
    <t>UG-WES-1612-02852</t>
  </si>
  <si>
    <t>Kiiza Nathan</t>
  </si>
  <si>
    <t>Buhembe</t>
  </si>
  <si>
    <t>UG-WES-1612-1932</t>
  </si>
  <si>
    <t>Harriet Kiberu</t>
  </si>
  <si>
    <t>Katigo</t>
  </si>
  <si>
    <t>UG-WES-1606-4739</t>
  </si>
  <si>
    <t>Bakumpe Joseph</t>
  </si>
  <si>
    <t>Bitojo</t>
  </si>
  <si>
    <t>Mwemera  Grace</t>
  </si>
  <si>
    <t>Rwekyende</t>
  </si>
  <si>
    <t>UG-WES-1701- 01833</t>
  </si>
  <si>
    <t>Tweyongyere Sidi</t>
  </si>
  <si>
    <t>UG-WES-1701- 01838</t>
  </si>
  <si>
    <t>Katamba Nathan</t>
  </si>
  <si>
    <t>Bwengara</t>
  </si>
  <si>
    <t>UG-WES-1701-01526</t>
  </si>
  <si>
    <t>Zakaria Kazarwa</t>
  </si>
  <si>
    <t>UG-WES-1701-01835</t>
  </si>
  <si>
    <t>Turyamushanga Martin</t>
  </si>
  <si>
    <t>Plant is not being fed</t>
  </si>
  <si>
    <t>Ruzigye Zefania</t>
  </si>
  <si>
    <t>UG-WES-1701-01836</t>
  </si>
  <si>
    <t>Bwengye Fred</t>
  </si>
  <si>
    <t>UG-WES-1701-02854</t>
  </si>
  <si>
    <t>Musinguzi Levi</t>
  </si>
  <si>
    <t>UG-WES-1701-02859</t>
  </si>
  <si>
    <t>Ntarwete Fabiono</t>
  </si>
  <si>
    <t>Karwanyi</t>
  </si>
  <si>
    <t>UG-WES-1701-02900</t>
  </si>
  <si>
    <t>Nduhura Denis</t>
  </si>
  <si>
    <t>Ruranyamumbe</t>
  </si>
  <si>
    <t>UG-WES-1701-28853</t>
  </si>
  <si>
    <t>Karangizi Steven</t>
  </si>
  <si>
    <t>katebe</t>
  </si>
  <si>
    <t>UG-WES-1702- 01840</t>
  </si>
  <si>
    <t>Mpamizo Vereliano</t>
  </si>
  <si>
    <t>Kahensarot</t>
  </si>
  <si>
    <t>Nyakagongo</t>
  </si>
  <si>
    <t>UG-WES-1702-01336</t>
  </si>
  <si>
    <t>Mugume B Robert</t>
  </si>
  <si>
    <t>Koitta</t>
  </si>
  <si>
    <t>UG-WES-1607-02316</t>
  </si>
  <si>
    <t>Agaba Javice</t>
  </si>
  <si>
    <t>Rwaheru  Jamson</t>
  </si>
  <si>
    <t>Nyakatugunda</t>
  </si>
  <si>
    <t>Mwebaze Dickson</t>
  </si>
  <si>
    <t>Rwentoba</t>
  </si>
  <si>
    <t>UG-WES-1702-01842</t>
  </si>
  <si>
    <t>Zimurinda Joseph</t>
  </si>
  <si>
    <t>Kabasoni</t>
  </si>
  <si>
    <t>UG-WES-1702-01843</t>
  </si>
  <si>
    <t>Bagonzya Posiano</t>
  </si>
  <si>
    <t>Kyamuhinga</t>
  </si>
  <si>
    <t>Rwamarembo</t>
  </si>
  <si>
    <t>UG-WES-1702-01844</t>
  </si>
  <si>
    <t>Kareerangabo Akiim Deus</t>
  </si>
  <si>
    <t>Nyonkoro</t>
  </si>
  <si>
    <t>UG-WES-1702-06686</t>
  </si>
  <si>
    <t>Binimba Godfrey</t>
  </si>
  <si>
    <t>Rushere</t>
  </si>
  <si>
    <t>UG-WES-1702-06697</t>
  </si>
  <si>
    <t xml:space="preserve">Eve Tabaaro </t>
  </si>
  <si>
    <t>Akooma A</t>
  </si>
  <si>
    <t>UG-WES-1702-07258</t>
  </si>
  <si>
    <t>Barigye Elly Salango</t>
  </si>
  <si>
    <t>Ihungo</t>
  </si>
  <si>
    <t>Rugyendya</t>
  </si>
  <si>
    <t>UG-WES-1702-07259</t>
  </si>
  <si>
    <t>Dr Nuwagaba Banard</t>
  </si>
  <si>
    <t>Ntungamo Mun</t>
  </si>
  <si>
    <t>Kabagyenja</t>
  </si>
  <si>
    <t>UG-WES-1702-7257</t>
  </si>
  <si>
    <t>Kashaija George Wilson</t>
  </si>
  <si>
    <t>Nyabikiri</t>
  </si>
  <si>
    <t>UG-WES-1703-01333</t>
  </si>
  <si>
    <t>Ahimbisibwe Johnson</t>
  </si>
  <si>
    <t>Kitagaya</t>
  </si>
  <si>
    <t>Kyibanga</t>
  </si>
  <si>
    <t>UG-WES-1703-01334</t>
  </si>
  <si>
    <t>Kasapuli Matsiko Kariira</t>
  </si>
  <si>
    <t>Kyabugyimbi</t>
  </si>
  <si>
    <t xml:space="preserve">Katwesige Issa </t>
  </si>
  <si>
    <t>kifumuga</t>
  </si>
  <si>
    <t>UG-WES-1703-02712</t>
  </si>
  <si>
    <t>Muwonge Peter</t>
  </si>
  <si>
    <t>Kisugwa</t>
  </si>
  <si>
    <t>Mugo Jordan</t>
  </si>
  <si>
    <t>Njeru Cell</t>
  </si>
  <si>
    <t>UG-WES-1703-06505</t>
  </si>
  <si>
    <t>Siliverio Omuhereza</t>
  </si>
  <si>
    <t>Ibunga</t>
  </si>
  <si>
    <t>UG-WES-1703-06509</t>
  </si>
  <si>
    <t>Bagarikayo Lovence  Yowas</t>
  </si>
  <si>
    <t>Muragi B</t>
  </si>
  <si>
    <t>UG-WES-1703-06552</t>
  </si>
  <si>
    <t>Musinguzi Tusiime Susan  Justus</t>
  </si>
  <si>
    <t>Kebison</t>
  </si>
  <si>
    <t>UG-WES-1703-06750</t>
  </si>
  <si>
    <t>Timbigamba Sarah</t>
  </si>
  <si>
    <t>UG-WES-1703-06751</t>
  </si>
  <si>
    <t>Hajji Yasin Mugisa</t>
  </si>
  <si>
    <t>Mparo Division</t>
  </si>
  <si>
    <t>Butanjwa</t>
  </si>
  <si>
    <t>UG-WES-1703-06800</t>
  </si>
  <si>
    <t>Kahuma Solomon Apuuli</t>
  </si>
  <si>
    <t>Rwemigali</t>
  </si>
  <si>
    <t>UG-WES-1703-1666</t>
  </si>
  <si>
    <t>Ssekabira Isa</t>
  </si>
  <si>
    <t>Bilele</t>
  </si>
  <si>
    <t>Butenya</t>
  </si>
  <si>
    <t>Muhangi Richard</t>
  </si>
  <si>
    <t>Kwempoga</t>
  </si>
  <si>
    <t>UG-WES-1704-06500</t>
  </si>
  <si>
    <t>Nicholas Rugumayo</t>
  </si>
  <si>
    <t>Nyakateramire</t>
  </si>
  <si>
    <t>UG-WES-1704-06501</t>
  </si>
  <si>
    <t>Savino Tibehika</t>
  </si>
  <si>
    <t>Nsindo I</t>
  </si>
  <si>
    <t>UG-WES-1704-06502</t>
  </si>
  <si>
    <t>Robert Mugisha</t>
  </si>
  <si>
    <t>UG-WES-1704-06503</t>
  </si>
  <si>
    <t>Julius Akugizibwe</t>
  </si>
  <si>
    <t>Rubaba 1</t>
  </si>
  <si>
    <t>UG-WES-1704-06504</t>
  </si>
  <si>
    <t>Evasto Jolly Kakunyule</t>
  </si>
  <si>
    <t>Kataryeho</t>
  </si>
  <si>
    <t>UG-WES-1704-06506</t>
  </si>
  <si>
    <t>Benoni Kikooko</t>
  </si>
  <si>
    <t>UG-WES-1704-06508</t>
  </si>
  <si>
    <t>Charles Byaruhanga</t>
  </si>
  <si>
    <t>UG-WES-1704-06510</t>
  </si>
  <si>
    <t>Cliako Katsigiireho</t>
  </si>
  <si>
    <t>Bisozi</t>
  </si>
  <si>
    <t>UG-WES-1704-06512</t>
  </si>
  <si>
    <t>John Kafuruka</t>
  </si>
  <si>
    <t>UG-WES-1704-06550</t>
  </si>
  <si>
    <t>Kangabe Eliab</t>
  </si>
  <si>
    <t>Kyanyanzira</t>
  </si>
  <si>
    <t>UG-WES-1704-06555</t>
  </si>
  <si>
    <t>Ndyamuba Amoni</t>
  </si>
  <si>
    <t>Omunshenji</t>
  </si>
  <si>
    <t>UG-WES-1704-06556</t>
  </si>
  <si>
    <t>Kajuri John</t>
  </si>
  <si>
    <t>UG-WES-1704-06558</t>
  </si>
  <si>
    <t>Ndyomugabi Peter</t>
  </si>
  <si>
    <t>rushari</t>
  </si>
  <si>
    <t>UG-WES-1704-06599</t>
  </si>
  <si>
    <t>Derrick Kwizera Ndeze</t>
  </si>
  <si>
    <t>UG-WES-1704-06801</t>
  </si>
  <si>
    <t>Kirungi Kiribahika Amon Ateenyi</t>
  </si>
  <si>
    <t>Buluuli</t>
  </si>
  <si>
    <t>Mirya</t>
  </si>
  <si>
    <t>Kinumi</t>
  </si>
  <si>
    <t>UG-WES-1704-07051</t>
  </si>
  <si>
    <t>Ntabirwa Benon</t>
  </si>
  <si>
    <t>Lugaaga</t>
  </si>
  <si>
    <t>UG-WES-1704-07150</t>
  </si>
  <si>
    <t>Thomas Friday</t>
  </si>
  <si>
    <t>Bomaway</t>
  </si>
  <si>
    <t>UG-WES-1705-06118</t>
  </si>
  <si>
    <t>Kabuzi Daniel</t>
  </si>
  <si>
    <t>Kisheshe</t>
  </si>
  <si>
    <t>Kingozi</t>
  </si>
  <si>
    <t>UG-WES-1705-06451</t>
  </si>
  <si>
    <t xml:space="preserve">Rev Karamuzi Enock </t>
  </si>
  <si>
    <t>UG-WES-1611-06000</t>
  </si>
  <si>
    <t>Byenkya Michael Akiiki</t>
  </si>
  <si>
    <t>Morrine Amooti Businge</t>
  </si>
  <si>
    <t>Buswekera</t>
  </si>
  <si>
    <t>UG-WES-1705-06452</t>
  </si>
  <si>
    <t>Tibamanya  Francis</t>
  </si>
  <si>
    <t>Rwencwera</t>
  </si>
  <si>
    <t>UG-WES-1705-06453</t>
  </si>
  <si>
    <t>Mwesigye Elivaida</t>
  </si>
  <si>
    <t>UG-WES-1705-06454</t>
  </si>
  <si>
    <t>Florence Kemisha</t>
  </si>
  <si>
    <t>Rukuuba</t>
  </si>
  <si>
    <t>UG-WES-1705-06513</t>
  </si>
  <si>
    <t>Mugisha John Charles</t>
  </si>
  <si>
    <t>Kichwamba</t>
  </si>
  <si>
    <t>UG-WES-1705-06515</t>
  </si>
  <si>
    <t>Byaba Kairu samuel</t>
  </si>
  <si>
    <t>Njara</t>
  </si>
  <si>
    <t>Njara Tc</t>
  </si>
  <si>
    <t>UG-WES-1705-06517</t>
  </si>
  <si>
    <t>Kenyangi Anifah</t>
  </si>
  <si>
    <t>Muhyero</t>
  </si>
  <si>
    <t>Rugindo</t>
  </si>
  <si>
    <t>UG-WES-1705-06519</t>
  </si>
  <si>
    <t>Mutesasira Abbas</t>
  </si>
  <si>
    <t>Bukenderiwa</t>
  </si>
  <si>
    <t>UG-WES-1705-06520</t>
  </si>
  <si>
    <t>Baguma Julius</t>
  </si>
  <si>
    <t>Kahunge TC</t>
  </si>
  <si>
    <t>UG-WES-1612-01933</t>
  </si>
  <si>
    <t>Kato Yolamu</t>
  </si>
  <si>
    <t>Kipawali</t>
  </si>
  <si>
    <t>UG-WES-1705-06554</t>
  </si>
  <si>
    <t>Baingana Nyarabaha Samson</t>
  </si>
  <si>
    <t>kashana</t>
  </si>
  <si>
    <t>kashana west</t>
  </si>
  <si>
    <t>Bubare1</t>
  </si>
  <si>
    <t>Kyoshabire Rose</t>
  </si>
  <si>
    <t>Byantumo</t>
  </si>
  <si>
    <t>UG-WES-1705-06600</t>
  </si>
  <si>
    <t>Mrs Barbara Ben  (Kavuuya)</t>
  </si>
  <si>
    <t>Lwamayongo 2</t>
  </si>
  <si>
    <t>UG-WES-1705-06652</t>
  </si>
  <si>
    <t>Byafokwisha Edward</t>
  </si>
  <si>
    <t>Omukagashe</t>
  </si>
  <si>
    <t>UG-WES-1705-06653</t>
  </si>
  <si>
    <t>Korugendo Muhire Mauda</t>
  </si>
  <si>
    <t>Burombe</t>
  </si>
  <si>
    <t>Rwateeka</t>
  </si>
  <si>
    <t>UG-WES-1705-06654</t>
  </si>
  <si>
    <t>Bashasha Dinah</t>
  </si>
  <si>
    <t>50.42.17</t>
  </si>
  <si>
    <t>UG-WES-1705-06655</t>
  </si>
  <si>
    <t>Nuwagaba Timothy</t>
  </si>
  <si>
    <t>Kitswamba</t>
  </si>
  <si>
    <t>Block B</t>
  </si>
  <si>
    <t>UG-WES-1705-06752</t>
  </si>
  <si>
    <t>Monday Joseph</t>
  </si>
  <si>
    <t>UG-WES-1705-06950</t>
  </si>
  <si>
    <t>Rwabutara Paul</t>
  </si>
  <si>
    <t>Rugombe</t>
  </si>
  <si>
    <t>UG-WES-1705-07050</t>
  </si>
  <si>
    <t>Asasira Bwende Ivan</t>
  </si>
  <si>
    <t>UG-WES-1706-06403</t>
  </si>
  <si>
    <t>Bamparana John</t>
  </si>
  <si>
    <t>Nyandozo</t>
  </si>
  <si>
    <t>UG-WES-1706-06404</t>
  </si>
  <si>
    <t>Tuhwerirwe Victor</t>
  </si>
  <si>
    <t>UG-WES-1706-06456</t>
  </si>
  <si>
    <t>Mugyema Abert</t>
  </si>
  <si>
    <t>UG-WES-1706-06457</t>
  </si>
  <si>
    <t>Bamureeba John`Mark</t>
  </si>
  <si>
    <t>Burenga 2</t>
  </si>
  <si>
    <t>UG-WES-1701- 01837</t>
  </si>
  <si>
    <t>Bamanya Francis</t>
  </si>
  <si>
    <t>UG-WES-1706-06458</t>
  </si>
  <si>
    <t>Kebiita Lovina</t>
  </si>
  <si>
    <t>Rwembugo</t>
  </si>
  <si>
    <t>Ndyabahinduka Deo</t>
  </si>
  <si>
    <t>Bigyengye A</t>
  </si>
  <si>
    <t>UG-WES-1706-06459</t>
  </si>
  <si>
    <t>Asimwe Patrick Godorn</t>
  </si>
  <si>
    <t>Nyarubungo2</t>
  </si>
  <si>
    <t>Kamagangara Mirery</t>
  </si>
  <si>
    <t>Kibaisi</t>
  </si>
  <si>
    <t>Kamoshe</t>
  </si>
  <si>
    <t>UG-WES-1706-06460</t>
  </si>
  <si>
    <t>Mwebaze Jovia</t>
  </si>
  <si>
    <t>UG-WES-1706-06462</t>
  </si>
  <si>
    <t>Ganyena Getrude</t>
  </si>
  <si>
    <t>kabungo</t>
  </si>
  <si>
    <t>Burara 1</t>
  </si>
  <si>
    <t>Unreachable</t>
  </si>
  <si>
    <t>Balinda Dalico</t>
  </si>
  <si>
    <t>Buyesi</t>
  </si>
  <si>
    <t>Naguya</t>
  </si>
  <si>
    <t>UG-WES-1706-06463</t>
  </si>
  <si>
    <t>Katambuka Eliabu</t>
  </si>
  <si>
    <t>Rwambaga</t>
  </si>
  <si>
    <t>UG-WES-1706-06465</t>
  </si>
  <si>
    <t>Mwebaze George</t>
  </si>
  <si>
    <t>Endiizi TC</t>
  </si>
  <si>
    <t>Endiizi</t>
  </si>
  <si>
    <t>UG-WES-1706-06467</t>
  </si>
  <si>
    <t>Munungu Charles</t>
  </si>
  <si>
    <t>UG-WES-1706-06514</t>
  </si>
  <si>
    <t>Byarugaba Charles</t>
  </si>
  <si>
    <t>UG-WES-1706-06516</t>
  </si>
  <si>
    <t>Kalinda Eugine</t>
  </si>
  <si>
    <t>UG-WES-1706-06522</t>
  </si>
  <si>
    <t>Mujuunji Benon</t>
  </si>
  <si>
    <t>Kakunze</t>
  </si>
  <si>
    <t>Kigeyigeyi</t>
  </si>
  <si>
    <t>UG-WES-1706-06523</t>
  </si>
  <si>
    <t>Twenyerwe Provia</t>
  </si>
  <si>
    <t>Burwengyeya II</t>
  </si>
  <si>
    <t>Mrs Jane Rutaro</t>
  </si>
  <si>
    <t>Nyarwanya</t>
  </si>
  <si>
    <t>UG-WES-1706-06535</t>
  </si>
  <si>
    <t>Mebo Kamozndera</t>
  </si>
  <si>
    <t>Kicwamba north</t>
  </si>
  <si>
    <t>UG-WES-1706-06537</t>
  </si>
  <si>
    <t>Kanifa  Male</t>
  </si>
  <si>
    <t>Machoro</t>
  </si>
  <si>
    <t>Kyentanda</t>
  </si>
  <si>
    <t>UG-WES-1706-06538</t>
  </si>
  <si>
    <t>Charles Kamugisha</t>
  </si>
  <si>
    <t>SidaDecemba</t>
  </si>
  <si>
    <t>UG-WES-1706-06557</t>
  </si>
  <si>
    <t>Twinomugisha Julius</t>
  </si>
  <si>
    <t xml:space="preserve">0.573480, </t>
  </si>
  <si>
    <t>Lwakati</t>
  </si>
  <si>
    <t>UG-WES-1706-06601</t>
  </si>
  <si>
    <t>Muhwezi Robin</t>
  </si>
  <si>
    <t>UG-WES-1706-06656</t>
  </si>
  <si>
    <t>Kayebire George</t>
  </si>
  <si>
    <t>Rwakiriba</t>
  </si>
  <si>
    <t>UG-WES-1706-06696</t>
  </si>
  <si>
    <t>Bagonza Nathan</t>
  </si>
  <si>
    <t>Ijugangoma</t>
  </si>
  <si>
    <t>UG-WES-1707-06405</t>
  </si>
  <si>
    <t>Mugume Tabaro</t>
  </si>
  <si>
    <t>Kabwiiko</t>
  </si>
  <si>
    <t>UG-WES-1707-06466</t>
  </si>
  <si>
    <t>Higiro Charity</t>
  </si>
  <si>
    <t>Endiinzi</t>
  </si>
  <si>
    <t>UG-WES-1707-06469</t>
  </si>
  <si>
    <t>Mpairwe Moses</t>
  </si>
  <si>
    <t>Endiizi tc</t>
  </si>
  <si>
    <t>UG-WES-1707-06471</t>
  </si>
  <si>
    <t>Namumpa Benon Benson</t>
  </si>
  <si>
    <t>UG-WES-1707-06473</t>
  </si>
  <si>
    <t>Merabu Katuramu</t>
  </si>
  <si>
    <t>Omubaare</t>
  </si>
  <si>
    <t>UG-WES-1707-06474</t>
  </si>
  <si>
    <t>Bahirayo Hope</t>
  </si>
  <si>
    <t>Nyakambu</t>
  </si>
  <si>
    <t>UG-WES-1703-06400</t>
  </si>
  <si>
    <t>Muhwezi David</t>
  </si>
  <si>
    <t>Kikamba</t>
  </si>
  <si>
    <t>Ntozi</t>
  </si>
  <si>
    <t>UG-WES-1707-06475</t>
  </si>
  <si>
    <t>Natamba Robert</t>
  </si>
  <si>
    <t>Baijura</t>
  </si>
  <si>
    <t>UG-WES-1707-06476</t>
  </si>
  <si>
    <t>Muhoozi Apophia</t>
  </si>
  <si>
    <t>Kamwema</t>
  </si>
  <si>
    <t>UG-WES-1707-06479</t>
  </si>
  <si>
    <t>Hamenya Amos</t>
  </si>
  <si>
    <t>UG-WES-1707-06521</t>
  </si>
  <si>
    <t>Muhwezi Charles</t>
  </si>
  <si>
    <t>Kabunahdesi</t>
  </si>
  <si>
    <t>UG-WES-1707-06524</t>
  </si>
  <si>
    <t>Rev Gatsinzi Stephen Elesi</t>
  </si>
  <si>
    <t>UG-WES-1707-06525</t>
  </si>
  <si>
    <t>Rukakazi Eric</t>
  </si>
  <si>
    <t>Kibale east</t>
  </si>
  <si>
    <t>Biguli</t>
  </si>
  <si>
    <t>Kagasha</t>
  </si>
  <si>
    <t>UG-WES-1707-06526</t>
  </si>
  <si>
    <t>Nzeera Mununura</t>
  </si>
  <si>
    <t>Muragi</t>
  </si>
  <si>
    <t>UG-WES-1707-06527</t>
  </si>
  <si>
    <t>Byamukama Christopher</t>
  </si>
  <si>
    <t>UG-WES-1704-06401</t>
  </si>
  <si>
    <t>Murita Placy</t>
  </si>
  <si>
    <t>UG-WES-1707-06528</t>
  </si>
  <si>
    <t>Kagundu Fred</t>
  </si>
  <si>
    <t>UG-WES-1707-06529</t>
  </si>
  <si>
    <t>Tibitungwa Wyclieffe</t>
  </si>
  <si>
    <t>UG-WES-1707-06532</t>
  </si>
  <si>
    <t>Murokole Efriam</t>
  </si>
  <si>
    <t>UG-WES-1707-06533</t>
  </si>
  <si>
    <t>Bununura Wilson</t>
  </si>
  <si>
    <t>UG-WES-1707-06562</t>
  </si>
  <si>
    <t>Blitin Frank</t>
  </si>
  <si>
    <t>Ndeija</t>
  </si>
  <si>
    <t>Kirunyonyozi</t>
  </si>
  <si>
    <t>UG-WES-1707-06563</t>
  </si>
  <si>
    <t>Rutasimbira Sam</t>
  </si>
  <si>
    <t>Nkonkonjeru</t>
  </si>
  <si>
    <t>UG-WES-1704-06507</t>
  </si>
  <si>
    <t>Alex Ninshaba</t>
  </si>
  <si>
    <t>UG-WES-1707-06564</t>
  </si>
  <si>
    <t>Karanganwa John Wayne Henry</t>
  </si>
  <si>
    <t>Kyagaju</t>
  </si>
  <si>
    <t>Kateete</t>
  </si>
  <si>
    <t>UG-WES-1707-06565</t>
  </si>
  <si>
    <t>Kyoheirwa Fulgye</t>
  </si>
  <si>
    <t>Nyandizo</t>
  </si>
  <si>
    <t>UG-WES-1707-06602</t>
  </si>
  <si>
    <t>Andrew Ndahiriwe</t>
  </si>
  <si>
    <t>Ibanda Municipality</t>
  </si>
  <si>
    <t>Ryakatumba</t>
  </si>
  <si>
    <t>UG-WES-1707-06603</t>
  </si>
  <si>
    <t>Mwebaze Joseph</t>
  </si>
  <si>
    <t>Rwanyangwe</t>
  </si>
  <si>
    <t>UG-WES-1704-06551</t>
  </si>
  <si>
    <t>Fr Byabashaija Mary Zedeki</t>
  </si>
  <si>
    <t>Bubangizi</t>
  </si>
  <si>
    <t>UG-WES-1707-06604</t>
  </si>
  <si>
    <t>Mugisha Moses</t>
  </si>
  <si>
    <t>Kiikon</t>
  </si>
  <si>
    <t>UG-WES-1708-06406</t>
  </si>
  <si>
    <t>Mwesigye Bartaruha John</t>
  </si>
  <si>
    <t>UG-WES-1708-06409</t>
  </si>
  <si>
    <t>Katwiremu Costance</t>
  </si>
  <si>
    <t>Kimondo 1</t>
  </si>
  <si>
    <t>UG-WES-1708-06477</t>
  </si>
  <si>
    <t>Nankunda Jane</t>
  </si>
  <si>
    <t>UG-WES-1708-06480</t>
  </si>
  <si>
    <t>Tabaro Nathan</t>
  </si>
  <si>
    <t>UG-WES-1708-06482</t>
  </si>
  <si>
    <t>William  Wamala</t>
  </si>
  <si>
    <t>Kashari North</t>
  </si>
  <si>
    <t>UG-WES-1708-06484</t>
  </si>
  <si>
    <t>Mugisha  Fred</t>
  </si>
  <si>
    <t>ISINGIRO</t>
  </si>
  <si>
    <t>Kabuyanda cell</t>
  </si>
  <si>
    <t>UG-WES-1708-06486</t>
  </si>
  <si>
    <t>Kakiiza  Charles</t>
  </si>
  <si>
    <t>UG-WES-1708-06487</t>
  </si>
  <si>
    <t>Ruhamire  John</t>
  </si>
  <si>
    <t>UG-WES-1708-06488</t>
  </si>
  <si>
    <t>Tumubwiine  Jane</t>
  </si>
  <si>
    <t>Kyandaro</t>
  </si>
  <si>
    <t>UG-WES-1708-06536</t>
  </si>
  <si>
    <t>Byabagambi Boniface</t>
  </si>
  <si>
    <t>Kanyenda 1</t>
  </si>
  <si>
    <t>UG-WES-1708-06540</t>
  </si>
  <si>
    <t>Valentine Rwamingho</t>
  </si>
  <si>
    <t>Ntara tc</t>
  </si>
  <si>
    <t>UG-WES-1708-06541</t>
  </si>
  <si>
    <t>Batungwake Gaston</t>
  </si>
  <si>
    <t>UG-WES-1708-06542</t>
  </si>
  <si>
    <t>Yamara Henry</t>
  </si>
  <si>
    <t>UG-WES-1708-06543</t>
  </si>
  <si>
    <t>Tushabomwe Thomas</t>
  </si>
  <si>
    <t>Kahunge tc</t>
  </si>
  <si>
    <t>UG-WES-1708-06544</t>
  </si>
  <si>
    <t>Kyomukama Jesca</t>
  </si>
  <si>
    <t>UG-WES-1708-06566</t>
  </si>
  <si>
    <t>Njunwoha John</t>
  </si>
  <si>
    <t>Ibaare</t>
  </si>
  <si>
    <t>Ishunga</t>
  </si>
  <si>
    <t>UG-WES-1708-06567</t>
  </si>
  <si>
    <t>Buhenga Patrick</t>
  </si>
  <si>
    <t>Ruborongota</t>
  </si>
  <si>
    <t>UG-WES-1708-06568</t>
  </si>
  <si>
    <t>Kimunyu Kafureka</t>
  </si>
  <si>
    <t>Nshungenzi</t>
  </si>
  <si>
    <t>UG-WES-1708-06569</t>
  </si>
  <si>
    <t>Rutafuridwa Henry</t>
  </si>
  <si>
    <t xml:space="preserve"> Nyakageme</t>
  </si>
  <si>
    <t>Burera</t>
  </si>
  <si>
    <t>UG-WES-1708-06574</t>
  </si>
  <si>
    <t>Fr.Ndema Alosious</t>
  </si>
  <si>
    <t>Nyamirama</t>
  </si>
  <si>
    <t>Kinkizi  West</t>
  </si>
  <si>
    <t>UG-WES-1708-06605</t>
  </si>
  <si>
    <t>Rwamugizi Samuele</t>
  </si>
  <si>
    <t>Kachangobe</t>
  </si>
  <si>
    <t>UG-WES-1708-06607</t>
  </si>
  <si>
    <t>Tendo  Andrew Andrew</t>
  </si>
  <si>
    <t>UG-WES-1708-06657</t>
  </si>
  <si>
    <t>Engmerynah Bagira</t>
  </si>
  <si>
    <t>UG-WES-1708-06660</t>
  </si>
  <si>
    <t>Namara Naomi</t>
  </si>
  <si>
    <t>Mutanoga</t>
  </si>
  <si>
    <t>UG-WES-1708-06661</t>
  </si>
  <si>
    <t>Kagwisagye Emmanuel</t>
  </si>
  <si>
    <t>UG-WES-1708-06753</t>
  </si>
  <si>
    <t>Basaija Charles</t>
  </si>
  <si>
    <t>Bugangaizi west</t>
  </si>
  <si>
    <t>Bwanswa</t>
  </si>
  <si>
    <t>Kihumuro LC 1</t>
  </si>
  <si>
    <t>UG-WES-1708-06754</t>
  </si>
  <si>
    <t>Joachim Kiiza Amooti</t>
  </si>
  <si>
    <t>Bwamuramira</t>
  </si>
  <si>
    <t>UG-WES-1708-06755</t>
  </si>
  <si>
    <t>Katunzi Kamugasa Theresa</t>
  </si>
  <si>
    <t>Kibaale town council</t>
  </si>
  <si>
    <t>Kikonge A</t>
  </si>
  <si>
    <t>UG-WES-1708-06758</t>
  </si>
  <si>
    <t>Baguma Moses</t>
  </si>
  <si>
    <t>UG-WES-1708-06759</t>
  </si>
  <si>
    <t>Kusiima Juliet</t>
  </si>
  <si>
    <t>Biiso</t>
  </si>
  <si>
    <t>Udukuru</t>
  </si>
  <si>
    <t>UG-WES-1708-07151</t>
  </si>
  <si>
    <t>Geene Onizi Babuba</t>
  </si>
  <si>
    <t>Kisinge</t>
  </si>
  <si>
    <t>Kamughobe</t>
  </si>
  <si>
    <t>UG-WES-1708-07404</t>
  </si>
  <si>
    <t>Nuwamanya Yeko</t>
  </si>
  <si>
    <t>UG-WES-1709-00180</t>
  </si>
  <si>
    <t>Tumwesigye Robert</t>
  </si>
  <si>
    <t xml:space="preserve">Hima </t>
  </si>
  <si>
    <t>UG-WES-1709-05676</t>
  </si>
  <si>
    <t>Muriisa Edson</t>
  </si>
  <si>
    <t>Rugyeyo</t>
  </si>
  <si>
    <t>UG-WES-1709-06106</t>
  </si>
  <si>
    <t>Sayunt Johnson</t>
  </si>
  <si>
    <t xml:space="preserve">Kamwenge </t>
  </si>
  <si>
    <t>UG-WES-1709-06108</t>
  </si>
  <si>
    <t>Mpirirwe Annah</t>
  </si>
  <si>
    <t>Ganyenda 2</t>
  </si>
  <si>
    <t>UG-WES-1706-06472</t>
  </si>
  <si>
    <t>Kimbia Elinest</t>
  </si>
  <si>
    <t>UG-WES-1709-06109</t>
  </si>
  <si>
    <t>Namayangi Rose Mary Mary</t>
  </si>
  <si>
    <t>UG-WES-1709-06110</t>
  </si>
  <si>
    <t>Tumwesigye John Musitafa</t>
  </si>
  <si>
    <t>Kyakanuni 2</t>
  </si>
  <si>
    <t>UG-WES-1709-06111</t>
  </si>
  <si>
    <t>Mucunguzi Silva</t>
  </si>
  <si>
    <t>Kahungye 1</t>
  </si>
  <si>
    <t>UG-WES-1709-06112</t>
  </si>
  <si>
    <t>Batura Musitafa Monday</t>
  </si>
  <si>
    <t>Bujongobe</t>
  </si>
  <si>
    <t>UG-WES-1709-06125</t>
  </si>
  <si>
    <t>Kyabenda SS</t>
  </si>
  <si>
    <t>UG-WES-1709-06407</t>
  </si>
  <si>
    <t>Rugaju Fred</t>
  </si>
  <si>
    <t>Sheema municipality</t>
  </si>
  <si>
    <t>Sheema central division</t>
  </si>
  <si>
    <t>Rwemijunju cell</t>
  </si>
  <si>
    <t>UG-WES-1709-06408</t>
  </si>
  <si>
    <t>Tindyebwa Perezi</t>
  </si>
  <si>
    <t>30.38.12</t>
  </si>
  <si>
    <t>Kakika</t>
  </si>
  <si>
    <t>UG-WES-1709-06468</t>
  </si>
  <si>
    <t>Kamani Rossetti</t>
  </si>
  <si>
    <t>UG-WES-1709-06483</t>
  </si>
  <si>
    <t>Mwesigwa  Misearch</t>
  </si>
  <si>
    <t>UG-WES-1709-06489</t>
  </si>
  <si>
    <t>Batwaza Ronald</t>
  </si>
  <si>
    <t>Rweibogo1</t>
  </si>
  <si>
    <t>UG-WES-1709-06492</t>
  </si>
  <si>
    <t>Katwekire John</t>
  </si>
  <si>
    <t>UG-WES-1709-06531</t>
  </si>
  <si>
    <t>Musimenta Evelyn</t>
  </si>
  <si>
    <t>Kamwenge tc</t>
  </si>
  <si>
    <t>Nyacwamba</t>
  </si>
  <si>
    <t>UG-WES-1709-06545</t>
  </si>
  <si>
    <t>Ssebasaza Said</t>
  </si>
  <si>
    <t>Mahyoro</t>
  </si>
  <si>
    <t>kyendangara</t>
  </si>
  <si>
    <t>UG-WES-1709-06546</t>
  </si>
  <si>
    <t>Rwigi Elson</t>
  </si>
  <si>
    <t>Bujumiro</t>
  </si>
  <si>
    <t>UG-WES-1709-06553</t>
  </si>
  <si>
    <t>Kamuhanda Jaduress</t>
  </si>
  <si>
    <t>Kasheshero town council</t>
  </si>
  <si>
    <t>Buhugiro</t>
  </si>
  <si>
    <t>UG-WES-1707-06470</t>
  </si>
  <si>
    <t>Matsiko Napoleon</t>
  </si>
  <si>
    <t>UG-WES-1709-06570</t>
  </si>
  <si>
    <t>Busiire Sylivester</t>
  </si>
  <si>
    <t>Kinkizi West</t>
  </si>
  <si>
    <t>irenga</t>
  </si>
  <si>
    <t>UG-WES-1709-06571</t>
  </si>
  <si>
    <t>Kakuru Atwine  Justine</t>
  </si>
  <si>
    <t>Kanungu TC</t>
  </si>
  <si>
    <t>Kinkizi East</t>
  </si>
  <si>
    <t>Bushanja</t>
  </si>
  <si>
    <t>UG-WES-1709-06572</t>
  </si>
  <si>
    <t>Fr. Begumisa  Narissio</t>
  </si>
  <si>
    <t>Nyakihiira</t>
  </si>
  <si>
    <t>UG-WES-1709-06606</t>
  </si>
  <si>
    <t>Ruzigana Ruzigana John patric</t>
  </si>
  <si>
    <t>Kachwangobe</t>
  </si>
  <si>
    <t>UG-WES-1709-06662</t>
  </si>
  <si>
    <t>Ahimbisibwe  Martin</t>
  </si>
  <si>
    <t>Mirambi 1</t>
  </si>
  <si>
    <t>UG-WES-1709-06687</t>
  </si>
  <si>
    <t>Rutasigazi James</t>
  </si>
  <si>
    <t>Akakoma</t>
  </si>
  <si>
    <t>UG-WES-1709-06691</t>
  </si>
  <si>
    <t>Muyambi Elias</t>
  </si>
  <si>
    <t>Kitura</t>
  </si>
  <si>
    <t>Murambi</t>
  </si>
  <si>
    <t>UG-WES-1709-06693</t>
  </si>
  <si>
    <t>Mwesigwa Hanginton</t>
  </si>
  <si>
    <t>Omukabare1</t>
  </si>
  <si>
    <t>UG-WES-1709-06760</t>
  </si>
  <si>
    <t>Birigwa Florence</t>
  </si>
  <si>
    <t>Kihwera</t>
  </si>
  <si>
    <t>UG-WES-1709-06762</t>
  </si>
  <si>
    <t>Night Patience Lydia</t>
  </si>
  <si>
    <t>Kagadi town council</t>
  </si>
  <si>
    <t>UG-WES-1709-06764</t>
  </si>
  <si>
    <t>Byamukama  Leonard</t>
  </si>
  <si>
    <t>Kyanaisone</t>
  </si>
  <si>
    <t>Kichope</t>
  </si>
  <si>
    <t>UG-WES-1709-06765</t>
  </si>
  <si>
    <t>Birungi Pascal</t>
  </si>
  <si>
    <t>Nyamarunda</t>
  </si>
  <si>
    <t>UG-WES-1709-06766</t>
  </si>
  <si>
    <t>Kusumwa Emmanuel Amooti</t>
  </si>
  <si>
    <t>Buganga Izi W</t>
  </si>
  <si>
    <t>Birembo</t>
  </si>
  <si>
    <t>Birembo LC 1</t>
  </si>
  <si>
    <t>Kizza Vicent</t>
  </si>
  <si>
    <t>Nyaruziba</t>
  </si>
  <si>
    <t>UG-WES-1709-07065</t>
  </si>
  <si>
    <t>Mukaggo Dan</t>
  </si>
  <si>
    <t>Kekamba</t>
  </si>
  <si>
    <t>UG-WES-1707-06560</t>
  </si>
  <si>
    <t>Kweronda Ruhemba Plant (2)</t>
  </si>
  <si>
    <t>UG-WES-1707-06561</t>
  </si>
  <si>
    <t>Kizaji Beni</t>
  </si>
  <si>
    <t>Maaya</t>
  </si>
  <si>
    <t>UG-WES-1709-07153</t>
  </si>
  <si>
    <t>Rwabooma Rowrance Jacky Kanyanyuzi</t>
  </si>
  <si>
    <t>Bulasa</t>
  </si>
  <si>
    <t>Butagwa</t>
  </si>
  <si>
    <t>UG-WES-1709-07157</t>
  </si>
  <si>
    <t xml:space="preserve">Kakuru Francis </t>
  </si>
  <si>
    <t>Bureeba</t>
  </si>
  <si>
    <t>Maruba</t>
  </si>
  <si>
    <t>UG-WES-1709-07272</t>
  </si>
  <si>
    <t>Balikagira Harriet Molly (Plant 2)</t>
  </si>
  <si>
    <t>UG-WES-1709-07402</t>
  </si>
  <si>
    <t>Dr.Mwekombe Justus</t>
  </si>
  <si>
    <t>Kaburisoke 2</t>
  </si>
  <si>
    <t>UG-WES-1709-07407</t>
  </si>
  <si>
    <t>Kahembwe Nathan</t>
  </si>
  <si>
    <t>Nyakitoma</t>
  </si>
  <si>
    <t>UG-WES-1709-07408</t>
  </si>
  <si>
    <t>Benjamin Muhairwe</t>
  </si>
  <si>
    <t>Kigoto</t>
  </si>
  <si>
    <t>UG-WES-1709-07409</t>
  </si>
  <si>
    <t>Tumwesigye  Robert</t>
  </si>
  <si>
    <t>UG-WES-1707-6464</t>
  </si>
  <si>
    <t>Bashaija James</t>
  </si>
  <si>
    <t>UG-WES-1709-07410</t>
  </si>
  <si>
    <t>Joseph Kasabunga</t>
  </si>
  <si>
    <t>UG-WES-1709-07411</t>
  </si>
  <si>
    <t>Asaaba Venance</t>
  </si>
  <si>
    <t>UG-WES-1710-01935</t>
  </si>
  <si>
    <t>Bishop Nathan Kyamanywa</t>
  </si>
  <si>
    <t>UG-WES-1708-06478</t>
  </si>
  <si>
    <t>Nnisiima Living</t>
  </si>
  <si>
    <t>Endiinzi Rwambaga</t>
  </si>
  <si>
    <t>UG-WES-1710-06126</t>
  </si>
  <si>
    <t>Ninsiima Caroline</t>
  </si>
  <si>
    <t>Rubona</t>
  </si>
  <si>
    <t>UG-WES-1710-06129</t>
  </si>
  <si>
    <t>Mugabe Javan</t>
  </si>
  <si>
    <t>UG-WES-1710-06130</t>
  </si>
  <si>
    <t>Milton Twebaze</t>
  </si>
  <si>
    <t>Kabulasoke 2</t>
  </si>
  <si>
    <t>UG-WES-1710-06412</t>
  </si>
  <si>
    <t>Kobuyonjo Winfred</t>
  </si>
  <si>
    <t>Kitaturengye</t>
  </si>
  <si>
    <t>UG-WES-1710-06455</t>
  </si>
  <si>
    <t>Rutara John</t>
  </si>
  <si>
    <t>UG-WES-1710-06490</t>
  </si>
  <si>
    <t>Mirembe Charles</t>
  </si>
  <si>
    <t>UG-WES-1710-06491</t>
  </si>
  <si>
    <t>Mutebi Prosper</t>
  </si>
  <si>
    <t>UG-WES-1710-06578</t>
  </si>
  <si>
    <t>Martha Mugarura</t>
  </si>
  <si>
    <t>Kinkiizi west</t>
  </si>
  <si>
    <t>Kihihi Town council</t>
  </si>
  <si>
    <t>Kinyashohera</t>
  </si>
  <si>
    <t>UG-WES-1710-06579</t>
  </si>
  <si>
    <t xml:space="preserve">Rev Can.Tibenderana Charles </t>
  </si>
  <si>
    <t>Kanungu Town council</t>
  </si>
  <si>
    <t>UG-WES-1710-06580</t>
  </si>
  <si>
    <t>Muhima  John</t>
  </si>
  <si>
    <t>Kirehe</t>
  </si>
  <si>
    <t>UG-WES-1710-06608</t>
  </si>
  <si>
    <t>Bogere Joseph</t>
  </si>
  <si>
    <t>UG-WES-1710-06663</t>
  </si>
  <si>
    <t>Turyamureba Ramanzani</t>
  </si>
  <si>
    <t>bwongyera</t>
  </si>
  <si>
    <t>Muko</t>
  </si>
  <si>
    <t>UG-WES-1710-06664</t>
  </si>
  <si>
    <t>Nturanabo Joy</t>
  </si>
  <si>
    <t>Rwashamire town council</t>
  </si>
  <si>
    <t>Nyarutuntu</t>
  </si>
  <si>
    <t>UG-WES-1710-06665</t>
  </si>
  <si>
    <t>Mugarama Dickson</t>
  </si>
  <si>
    <t>Bikurungu Town council</t>
  </si>
  <si>
    <t>Kanshekye</t>
  </si>
  <si>
    <t>UG-WES-1710-07152</t>
  </si>
  <si>
    <t>Bakasara Kariza Rose</t>
  </si>
  <si>
    <t>Kitumba</t>
  </si>
  <si>
    <t>UG-WES-1710-07400</t>
  </si>
  <si>
    <t>James Kakondo</t>
  </si>
  <si>
    <t>Kyotmusaana</t>
  </si>
  <si>
    <t>UG-WES-1710-07401</t>
  </si>
  <si>
    <t>Mwesigye Edmon</t>
  </si>
  <si>
    <t>Katandura</t>
  </si>
  <si>
    <t>UG-WES-1710-07413</t>
  </si>
  <si>
    <t>Nzitanira Joseph</t>
  </si>
  <si>
    <t>Kidunduma</t>
  </si>
  <si>
    <t>UG-WES-1710-07414</t>
  </si>
  <si>
    <t>Rutaya Saidat Yunus</t>
  </si>
  <si>
    <t>Mahyoro TC</t>
  </si>
  <si>
    <t>UG-WES-1710-07417</t>
  </si>
  <si>
    <t>Rehema Namirimo</t>
  </si>
  <si>
    <t>UG-WES-1711-06127</t>
  </si>
  <si>
    <t>Masanyu Thomson</t>
  </si>
  <si>
    <t>UG-WES-1711-06128</t>
  </si>
  <si>
    <t>John Kashejia</t>
  </si>
  <si>
    <t>UG-WES-1708-06684</t>
  </si>
  <si>
    <t>Turyamureba Kosia</t>
  </si>
  <si>
    <t>Nyankumba</t>
  </si>
  <si>
    <t>UG-WES-1711-06410</t>
  </si>
  <si>
    <t>Haji Serisuba Abdu</t>
  </si>
  <si>
    <t>Rutooma cell</t>
  </si>
  <si>
    <t>UG-WES-1711-06411</t>
  </si>
  <si>
    <t>Muramuzi Zerb</t>
  </si>
  <si>
    <t>UG-WES-1711-06493</t>
  </si>
  <si>
    <t>Annet Kitengye  Natukunda</t>
  </si>
  <si>
    <t>Nyabuziba</t>
  </si>
  <si>
    <t>UG-WES-1708-06756</t>
  </si>
  <si>
    <t>Majugo Loy (Plant2)</t>
  </si>
  <si>
    <t>UG-WES-1711-06495</t>
  </si>
  <si>
    <t>Kwesigaabo Luke</t>
  </si>
  <si>
    <t>Ruhimbo</t>
  </si>
  <si>
    <t>UG-WES-1711-06498</t>
  </si>
  <si>
    <t>Gawa Yusufu</t>
  </si>
  <si>
    <t>Rwiziringiro</t>
  </si>
  <si>
    <t>UG-WES-1711-06577</t>
  </si>
  <si>
    <t>Musana Kalebu  Mugabe</t>
  </si>
  <si>
    <t>Kinkiizi</t>
  </si>
  <si>
    <t>Katungo</t>
  </si>
  <si>
    <t>UG-WES-1711-06582</t>
  </si>
  <si>
    <t>Muhimbo Kyengoro Nazarious</t>
  </si>
  <si>
    <t>Kanungu T/c</t>
  </si>
  <si>
    <t>UG-WES-1708-6757</t>
  </si>
  <si>
    <t>Karuhanga Moses</t>
  </si>
  <si>
    <t>UG-WES-1711-06583</t>
  </si>
  <si>
    <t xml:space="preserve">Kakuru Baseton </t>
  </si>
  <si>
    <t>Katooma III</t>
  </si>
  <si>
    <t>UG-WES-1711-06584</t>
  </si>
  <si>
    <t>Mwamba Boniface</t>
  </si>
  <si>
    <t>Rwakashanga</t>
  </si>
  <si>
    <t>UG-WES-1711-06585</t>
  </si>
  <si>
    <t xml:space="preserve">Bamwine Vincent </t>
  </si>
  <si>
    <t>Kanyoga</t>
  </si>
  <si>
    <t>UG-WES-1711-06586</t>
  </si>
  <si>
    <t>Yesiga James</t>
  </si>
  <si>
    <t>Ruahana</t>
  </si>
  <si>
    <t>UG-WES-1711-06670</t>
  </si>
  <si>
    <t>Kagimba Wilberforce</t>
  </si>
  <si>
    <t>UG-WES-1711-06671</t>
  </si>
  <si>
    <t>Biryomunsi Godfrey</t>
  </si>
  <si>
    <t>Nyarubunga</t>
  </si>
  <si>
    <t>UG-WES-1711-06672</t>
  </si>
  <si>
    <t>Baija Jennifer</t>
  </si>
  <si>
    <t>Keigoshora</t>
  </si>
  <si>
    <t>UG-WES-1711-06673</t>
  </si>
  <si>
    <t>Balegire Vicent</t>
  </si>
  <si>
    <t>Kyandahi</t>
  </si>
  <si>
    <t>UG-WES-1711-06694</t>
  </si>
  <si>
    <t>Bishanga John (plant 1)</t>
  </si>
  <si>
    <t>UG-WES-1709-06402</t>
  </si>
  <si>
    <t>Baturaine Yoramu</t>
  </si>
  <si>
    <t>Muraro</t>
  </si>
  <si>
    <t>UG-WES-1711-07104</t>
  </si>
  <si>
    <t>Muhangazi Abel</t>
  </si>
  <si>
    <t>Nteera</t>
  </si>
  <si>
    <t>UG-WES-1711-07403</t>
  </si>
  <si>
    <t>Rev.Alex Arinaitwe</t>
  </si>
  <si>
    <t>UG-WES-1711-07405</t>
  </si>
  <si>
    <t>Mbabazi Caleb</t>
  </si>
  <si>
    <t>UG-WES-1711-07406</t>
  </si>
  <si>
    <t>Ninsima Patience</t>
  </si>
  <si>
    <t>UG-WES-1711-07412</t>
  </si>
  <si>
    <t>Byamugisha Leogracious</t>
  </si>
  <si>
    <t>Bwiize</t>
  </si>
  <si>
    <t>Ntonwa</t>
  </si>
  <si>
    <t>UG-WES-1711-07415</t>
  </si>
  <si>
    <t>Mbabazi Nuwagaba Esther</t>
  </si>
  <si>
    <t>Kamwenge Tc</t>
  </si>
  <si>
    <t>UG-WES-1711-07416</t>
  </si>
  <si>
    <t>Furugensi Kakuhikire</t>
  </si>
  <si>
    <t>Ntura</t>
  </si>
  <si>
    <t>Nyakachwamba</t>
  </si>
  <si>
    <t>UG-WES-1712-06413</t>
  </si>
  <si>
    <t>Tushabe Kitengye David</t>
  </si>
  <si>
    <t>UG-WES-1712-06414</t>
  </si>
  <si>
    <t>Ngabirano John Patrick</t>
  </si>
  <si>
    <t>Akanango</t>
  </si>
  <si>
    <t>UG-WES-1712-06415</t>
  </si>
  <si>
    <t>Namara Flavia</t>
  </si>
  <si>
    <t>Rashaari</t>
  </si>
  <si>
    <t>UG-WES-1712-06417</t>
  </si>
  <si>
    <t>Baketunga Fred</t>
  </si>
  <si>
    <t>UG-WES-1712-06418</t>
  </si>
  <si>
    <t>Kabigumira Evadius Vad</t>
  </si>
  <si>
    <t>UG-WES-1712-06419</t>
  </si>
  <si>
    <t>Amanya Philip Karusya</t>
  </si>
  <si>
    <t>Mbarara municipality</t>
  </si>
  <si>
    <t>Rwariire II</t>
  </si>
  <si>
    <t>UG-WES-1712-06420</t>
  </si>
  <si>
    <t>Bangambaki Rwamuriro</t>
  </si>
  <si>
    <t>Mayanga</t>
  </si>
  <si>
    <t>UG-WES-1712-06421</t>
  </si>
  <si>
    <t>Bigirwa Mary</t>
  </si>
  <si>
    <t>Ruhimba</t>
  </si>
  <si>
    <t>UG-WES-1712-06573</t>
  </si>
  <si>
    <t>Ndiho Jerome</t>
  </si>
  <si>
    <t>Kasoroza TC</t>
  </si>
  <si>
    <t>UG-WES-1712-06587</t>
  </si>
  <si>
    <t>Can Agaba Maguru Benoni</t>
  </si>
  <si>
    <t>Buhanmuriro</t>
  </si>
  <si>
    <t>UG-WES-1712-06588</t>
  </si>
  <si>
    <t>Maguru Julia</t>
  </si>
  <si>
    <t>UG-WES-1712-06593</t>
  </si>
  <si>
    <t>Kadunguri Debra</t>
  </si>
  <si>
    <t>Orwiina</t>
  </si>
  <si>
    <t>Kamanda George</t>
  </si>
  <si>
    <t>Kashenyi II</t>
  </si>
  <si>
    <t>UG-WES-1712-06595</t>
  </si>
  <si>
    <t>Tusasirwe Samuel</t>
  </si>
  <si>
    <t>UG-WES-1712-06612</t>
  </si>
  <si>
    <t>Muhwezi Fedric</t>
  </si>
  <si>
    <t>Rubare t/c</t>
  </si>
  <si>
    <t>Kyabukuju</t>
  </si>
  <si>
    <t>UG-WES-1712-06613</t>
  </si>
  <si>
    <t>Muhereza Wyclif</t>
  </si>
  <si>
    <t>Ryentunda</t>
  </si>
  <si>
    <t>UG-WES-1712-06614</t>
  </si>
  <si>
    <t xml:space="preserve">Kanyima Izidoro </t>
  </si>
  <si>
    <t xml:space="preserve">Rukungiri </t>
  </si>
  <si>
    <t>Runyamunyu 1</t>
  </si>
  <si>
    <t>UG-WES-1712-06615</t>
  </si>
  <si>
    <t>Muhumuza Bright</t>
  </si>
  <si>
    <t>Kanyamizi 4</t>
  </si>
  <si>
    <t>UG-WES-1712-06616</t>
  </si>
  <si>
    <t xml:space="preserve">Muyambi Eriaus </t>
  </si>
  <si>
    <t>Literally l</t>
  </si>
  <si>
    <t>UG-WES-1712-06617</t>
  </si>
  <si>
    <t>Samuel Rwamugizi (plant no. 2)</t>
  </si>
  <si>
    <t>UG-WES-1712-06618</t>
  </si>
  <si>
    <t>Turyatunguka Fredric salongo</t>
  </si>
  <si>
    <t>Nyamugengi</t>
  </si>
  <si>
    <t>UG-WES-1712-06619</t>
  </si>
  <si>
    <t>Mutabazi Garshom</t>
  </si>
  <si>
    <t>Kafarero</t>
  </si>
  <si>
    <t>UG-WES-1712-06624</t>
  </si>
  <si>
    <t>Karisa Anthony</t>
  </si>
  <si>
    <t>Rweikiniro</t>
  </si>
  <si>
    <t>Rwenanura</t>
  </si>
  <si>
    <t>UG-WES-1712-06628</t>
  </si>
  <si>
    <t>Ndibiika Gerimani</t>
  </si>
  <si>
    <t>Ndami</t>
  </si>
  <si>
    <t>UG-WES-1712-06669</t>
  </si>
  <si>
    <t>Magambo Festus</t>
  </si>
  <si>
    <t>Rubareti TC</t>
  </si>
  <si>
    <t>UG-WES-1712-06676</t>
  </si>
  <si>
    <t>Joselyn Bwerere</t>
  </si>
  <si>
    <t>Nyarubanga</t>
  </si>
  <si>
    <t>UG-WES-1712-06677</t>
  </si>
  <si>
    <t>Karibita Pio</t>
  </si>
  <si>
    <t>UG-WES-1712-06678</t>
  </si>
  <si>
    <t>Molly Kyepaka</t>
  </si>
  <si>
    <t>UG-WES-1712-06690</t>
  </si>
  <si>
    <t>Sam Kiroha Tweheyo (Dr)</t>
  </si>
  <si>
    <t>Kitabo central</t>
  </si>
  <si>
    <t>UG-WES-1712-06695</t>
  </si>
  <si>
    <t>Bishanga John (plant 2)</t>
  </si>
  <si>
    <t>UG-WES-1712-07156</t>
  </si>
  <si>
    <t>Kabango Kiiza John</t>
  </si>
  <si>
    <t>Busiro Division</t>
  </si>
  <si>
    <t>Burage</t>
  </si>
  <si>
    <t>Bwegatu</t>
  </si>
  <si>
    <t>UG-WES-1712-07159</t>
  </si>
  <si>
    <t>Kalisa Joab</t>
  </si>
  <si>
    <t>Kyentale</t>
  </si>
  <si>
    <t>UG-WES-1712-07419</t>
  </si>
  <si>
    <t>Tadeo Kamaara</t>
  </si>
  <si>
    <t>UG-WES-1712-07420</t>
  </si>
  <si>
    <t>Caleb  Mugume</t>
  </si>
  <si>
    <t>UG-WES-1712-07605</t>
  </si>
  <si>
    <t>Eliab Nkore</t>
  </si>
  <si>
    <t>UG-WES-1712-07607</t>
  </si>
  <si>
    <t>Agaba Godfrey</t>
  </si>
  <si>
    <t>UG-WES-1712-312</t>
  </si>
  <si>
    <t>Baryaruha Lawrence</t>
  </si>
  <si>
    <t>UG-WES-1712-7158</t>
  </si>
  <si>
    <t>Asiimwe Justine</t>
  </si>
  <si>
    <t>Kagadi TC</t>
  </si>
  <si>
    <t>Kyeguju</t>
  </si>
  <si>
    <t>UG-WES-1710-06581</t>
  </si>
  <si>
    <t>Tuhirirwe Bazare Bruno</t>
  </si>
  <si>
    <t>Kanjara</t>
  </si>
  <si>
    <t>UG-WES-1801-06416</t>
  </si>
  <si>
    <t>Namara Lillian</t>
  </si>
  <si>
    <t>702407813/0751792574</t>
  </si>
  <si>
    <t>UG-WES-1801-06422</t>
  </si>
  <si>
    <t>Byamukama Alfred Bangizi</t>
  </si>
  <si>
    <t>Kabariisa</t>
  </si>
  <si>
    <t>UG-WES-1801-06423</t>
  </si>
  <si>
    <t>Rwakino Margaret</t>
  </si>
  <si>
    <t>Rwekoma A</t>
  </si>
  <si>
    <t>UG-WES-1801-06424</t>
  </si>
  <si>
    <t>Mishereko Wycliffe</t>
  </si>
  <si>
    <t>Rukurinjo</t>
  </si>
  <si>
    <t>UG-WES-1801-06425</t>
  </si>
  <si>
    <t>Nuwamanya Andrew</t>
  </si>
  <si>
    <t>Rugorogo</t>
  </si>
  <si>
    <t>UG-WES-1801-06431</t>
  </si>
  <si>
    <t>Joy Kagaaju</t>
  </si>
  <si>
    <t>Rubaare Tc</t>
  </si>
  <si>
    <t>Rukiiri 2</t>
  </si>
  <si>
    <t>UG-WES-1801-06438</t>
  </si>
  <si>
    <t>Namanya Baram</t>
  </si>
  <si>
    <t>Nyakasha</t>
  </si>
  <si>
    <t>UG-WES-1801-06590</t>
  </si>
  <si>
    <t>Karyongo Francis Asiimwe</t>
  </si>
  <si>
    <t>Ryeru II</t>
  </si>
  <si>
    <t>UG-WES-1801-06597</t>
  </si>
  <si>
    <t>Tishekwa Alphonse</t>
  </si>
  <si>
    <t>Kakirago II</t>
  </si>
  <si>
    <t>UG-WES-1801-06620</t>
  </si>
  <si>
    <t>Katwaza Wilson</t>
  </si>
  <si>
    <t>Kitabo Kashongi</t>
  </si>
  <si>
    <t>Kitabo</t>
  </si>
  <si>
    <t>UG-WES-1801-06621</t>
  </si>
  <si>
    <t>Namanya Grace</t>
  </si>
  <si>
    <t>UG-WES-1801-06622</t>
  </si>
  <si>
    <t>Tweheyo Sam</t>
  </si>
  <si>
    <t>UG-WES-1711-06357</t>
  </si>
  <si>
    <t>Kobwemi Astone</t>
  </si>
  <si>
    <t>Kihuura</t>
  </si>
  <si>
    <t>Kisakara</t>
  </si>
  <si>
    <t>UG-WES-1801-06626</t>
  </si>
  <si>
    <t>Mubangizi Dorothy Emmanuel</t>
  </si>
  <si>
    <t>Burumba</t>
  </si>
  <si>
    <t>UG-WES-1801-06627</t>
  </si>
  <si>
    <t>Marembo Tom</t>
  </si>
  <si>
    <t>Kamatarisi</t>
  </si>
  <si>
    <t>UG-WES-1801-06634</t>
  </si>
  <si>
    <t>Kwesiga salongo Naboth</t>
  </si>
  <si>
    <t>Vitengo 11</t>
  </si>
  <si>
    <t>UG-WES-1711-06494</t>
  </si>
  <si>
    <t>Byaruhanga Ignatius</t>
  </si>
  <si>
    <t>UG-WES-1801-06675</t>
  </si>
  <si>
    <t>Ndyajunwoha Perezi</t>
  </si>
  <si>
    <t>UG-WES-1801-06679</t>
  </si>
  <si>
    <t>Tushabe Praxeda</t>
  </si>
  <si>
    <t>UG-WES-1801-06680</t>
  </si>
  <si>
    <t>Enid Rwankaragi</t>
  </si>
  <si>
    <t>30.313900</t>
  </si>
  <si>
    <t>Kyabamuhiga</t>
  </si>
  <si>
    <t>UG-WES-1801-06688</t>
  </si>
  <si>
    <t>Rwakojo Robert</t>
  </si>
  <si>
    <t>Orubare</t>
  </si>
  <si>
    <t>UG-WES-1801-07550</t>
  </si>
  <si>
    <t>Katureebe Maagunda Bart</t>
  </si>
  <si>
    <t>Kakuka division</t>
  </si>
  <si>
    <t>UG-WES-1801-07552</t>
  </si>
  <si>
    <t>Garintambira Philip</t>
  </si>
  <si>
    <t>Kigargara</t>
  </si>
  <si>
    <t>UG-WES-1801-07554</t>
  </si>
  <si>
    <t>Haji Twaha Bakawonga</t>
  </si>
  <si>
    <t>Rwemikunyu</t>
  </si>
  <si>
    <t>UG-WES-1801-07556</t>
  </si>
  <si>
    <t>Kananura George</t>
  </si>
  <si>
    <t>Rwenanura 1</t>
  </si>
  <si>
    <t>UG-WES-1801-07562</t>
  </si>
  <si>
    <t>Agaba Edison</t>
  </si>
  <si>
    <t>Buyanja Town Council</t>
  </si>
  <si>
    <t>UG-WES-1801-07604</t>
  </si>
  <si>
    <t>Byarugaba Pernelop</t>
  </si>
  <si>
    <t>Kikagate</t>
  </si>
  <si>
    <t>UG-WES-1801-07606</t>
  </si>
  <si>
    <t>Aine Geofrey</t>
  </si>
  <si>
    <t>Kyamburara</t>
  </si>
  <si>
    <t>UG-WES-1801-07608</t>
  </si>
  <si>
    <t>Kibwetere Beyongera</t>
  </si>
  <si>
    <t>Kabugu</t>
  </si>
  <si>
    <t>UG-WES-1801-07609</t>
  </si>
  <si>
    <t>Mwijukye Saverino</t>
  </si>
  <si>
    <t>Nyakabwera</t>
  </si>
  <si>
    <t>UG-WES-1711-06767</t>
  </si>
  <si>
    <t>Businge  Deborah</t>
  </si>
  <si>
    <t>Kisiita Cell</t>
  </si>
  <si>
    <t>UG-WES-1801-07850</t>
  </si>
  <si>
    <t>Lwabulebwa Loy Fred</t>
  </si>
  <si>
    <t>Kyankwanzi East</t>
  </si>
  <si>
    <t>Kiduumi</t>
  </si>
  <si>
    <t>Hafisa Bukenya</t>
  </si>
  <si>
    <t>Nyamitanga</t>
  </si>
  <si>
    <t>UG-WES-1801-323</t>
  </si>
  <si>
    <t>Major Edward Rurangaranga</t>
  </si>
  <si>
    <t>UG-WES-1802-012424</t>
  </si>
  <si>
    <t>Kamugisha Ronald</t>
  </si>
  <si>
    <t>Kitembe</t>
  </si>
  <si>
    <t>UG-WES-1802-06629</t>
  </si>
  <si>
    <t xml:space="preserve">Alifunsi Butamanya </t>
  </si>
  <si>
    <t>Bumbire</t>
  </si>
  <si>
    <t>UG-WES-1802-06631</t>
  </si>
  <si>
    <t>Turyasingura Zaburoni</t>
  </si>
  <si>
    <t>Humura</t>
  </si>
  <si>
    <t>UG-WES-1802-06633</t>
  </si>
  <si>
    <t>Twinamatsiko Edith</t>
  </si>
  <si>
    <t>UG-WES-1802-06681</t>
  </si>
  <si>
    <t>Santurina Akankunda Tumusiime</t>
  </si>
  <si>
    <t>Nyabikyence</t>
  </si>
  <si>
    <t>UG-WES-1802-06683</t>
  </si>
  <si>
    <t>Karyongo Erasmus</t>
  </si>
  <si>
    <t>Rwikiniro</t>
  </si>
  <si>
    <t>Rwabarata</t>
  </si>
  <si>
    <t>UG-WES-1802-06685</t>
  </si>
  <si>
    <t>Karugaba Abel</t>
  </si>
  <si>
    <t>Kyabagyenyi</t>
  </si>
  <si>
    <t>UG-WES-1802-06769</t>
  </si>
  <si>
    <t>Mariam Tauba</t>
  </si>
  <si>
    <t>Nyinezara Mugongo</t>
  </si>
  <si>
    <t>UG-WES-1802-06770</t>
  </si>
  <si>
    <t>Farming Farm estate Komugenjeru</t>
  </si>
  <si>
    <t>Nyakasasara</t>
  </si>
  <si>
    <t>UG-WES-1802-07098</t>
  </si>
  <si>
    <t>Aruho Keith</t>
  </si>
  <si>
    <t>Kikanyi</t>
  </si>
  <si>
    <t>Rwensande</t>
  </si>
  <si>
    <t>UG-WES-1802-07551</t>
  </si>
  <si>
    <t>Mugiri Frank</t>
  </si>
  <si>
    <t>Rwenkurijo</t>
  </si>
  <si>
    <t>UG-WES-1802-07557</t>
  </si>
  <si>
    <t>Kyosimire Isaya</t>
  </si>
  <si>
    <t>Butogota TC</t>
  </si>
  <si>
    <t>Bikuto</t>
  </si>
  <si>
    <t>UG-WES-1802-07558</t>
  </si>
  <si>
    <t>Kakuhikire Jackson</t>
  </si>
  <si>
    <t>Nyaanga</t>
  </si>
  <si>
    <t>Jerusaremu</t>
  </si>
  <si>
    <t>UG-WES-1802-07610</t>
  </si>
  <si>
    <t>Turyaheebwa Maureen</t>
  </si>
  <si>
    <t>Kyamugorani</t>
  </si>
  <si>
    <t>Ruharo Ward</t>
  </si>
  <si>
    <t>UG-WES-1803-06635</t>
  </si>
  <si>
    <t>Byabakama Moses</t>
  </si>
  <si>
    <t>UG-WES-1712-06589</t>
  </si>
  <si>
    <t>Rwamunahe Charles</t>
  </si>
  <si>
    <t xml:space="preserve"> 29.742422000000</t>
  </si>
  <si>
    <t>Nyakinoni</t>
  </si>
  <si>
    <t>Kamushwa</t>
  </si>
  <si>
    <t>UG-WES-1803-06636</t>
  </si>
  <si>
    <t>Benjamen  Muntu Muteruzi</t>
  </si>
  <si>
    <t>UG-WES-1803-06637</t>
  </si>
  <si>
    <t>Musika George</t>
  </si>
  <si>
    <t>Ruhega</t>
  </si>
  <si>
    <t>UG-WES-1803-06773</t>
  </si>
  <si>
    <t>Sekyanzi Stephen</t>
  </si>
  <si>
    <t>Bugangaizi East</t>
  </si>
  <si>
    <t>Nkonko</t>
  </si>
  <si>
    <t>Mwengeya</t>
  </si>
  <si>
    <t>UG-WES-1803-07563</t>
  </si>
  <si>
    <t>Beyongera Julius</t>
  </si>
  <si>
    <t>Mbare</t>
  </si>
  <si>
    <t>UG-WES-1803-07564</t>
  </si>
  <si>
    <t>Tusiime Wilson</t>
  </si>
  <si>
    <t>Rukanda</t>
  </si>
  <si>
    <t>UG-WES-1803-07565</t>
  </si>
  <si>
    <t>BRIG SABITI Mutebire</t>
  </si>
  <si>
    <t>Bufundi</t>
  </si>
  <si>
    <t>Burumba ISLAND</t>
  </si>
  <si>
    <t>UG-WES-1803-07566</t>
  </si>
  <si>
    <t>Tumwebaze Prossy</t>
  </si>
  <si>
    <t>Rwobuzani</t>
  </si>
  <si>
    <t>UG-WES-1803-07567</t>
  </si>
  <si>
    <t>Mary Birondwa</t>
  </si>
  <si>
    <t>UG-WES-1803-07573</t>
  </si>
  <si>
    <t>Bekunda Stephen</t>
  </si>
  <si>
    <t>Buhara</t>
  </si>
  <si>
    <t>UG-WES-1803-07611</t>
  </si>
  <si>
    <t>Mrs. Rubahayo Miriam</t>
  </si>
  <si>
    <t>Rwensaku</t>
  </si>
  <si>
    <t>UG-WES-1803-07612</t>
  </si>
  <si>
    <t>Juliet Mushende</t>
  </si>
  <si>
    <t>UG-WES-1803-07614</t>
  </si>
  <si>
    <t>Karongo Sam</t>
  </si>
  <si>
    <t>Nyarubannga</t>
  </si>
  <si>
    <t>UG-WES-1804-06428</t>
  </si>
  <si>
    <t>Katushabe Agatha</t>
  </si>
  <si>
    <t>Rwabashaki</t>
  </si>
  <si>
    <t>UG-WES-1804-06429</t>
  </si>
  <si>
    <t>Arinaitwe Banabas</t>
  </si>
  <si>
    <t>Rwemiriro</t>
  </si>
  <si>
    <t>Rwemiriro 1</t>
  </si>
  <si>
    <t>UG-WES-1804-06430</t>
  </si>
  <si>
    <t>Kamugisha Silvano</t>
  </si>
  <si>
    <t>Twegoma</t>
  </si>
  <si>
    <t>UG-WES-1804-06432</t>
  </si>
  <si>
    <t>Karugaba Ronald</t>
  </si>
  <si>
    <t>Omubuyora</t>
  </si>
  <si>
    <t>UG-WES-1804-06435</t>
  </si>
  <si>
    <t>Turyakira Annet</t>
  </si>
  <si>
    <t>Mwizi</t>
  </si>
  <si>
    <t>Kabatanangi 2</t>
  </si>
  <si>
    <t>UG-WES-1804-06437</t>
  </si>
  <si>
    <t>Katushabe Mary</t>
  </si>
  <si>
    <t>Kanyenganyegye</t>
  </si>
  <si>
    <t>UG-WES-1804-06439</t>
  </si>
  <si>
    <t>Tibayungwa Frank</t>
  </si>
  <si>
    <t>Rwencence</t>
  </si>
  <si>
    <t>UG-WES-1804-06638</t>
  </si>
  <si>
    <t>Rutahwire Plaxeda</t>
  </si>
  <si>
    <t>Muhunga</t>
  </si>
  <si>
    <t>UG-WES-1804-06668</t>
  </si>
  <si>
    <t>Mukabajungu Joyce</t>
  </si>
  <si>
    <t>UG-WES-1804-06682</t>
  </si>
  <si>
    <t>Rutaro Frank</t>
  </si>
  <si>
    <t>Kakanena 2</t>
  </si>
  <si>
    <t>UG-WES-1804-06774</t>
  </si>
  <si>
    <t>Kato Adyeeri Augustine</t>
  </si>
  <si>
    <t>Rubasengura</t>
  </si>
  <si>
    <t>UG-WES-1804-06775</t>
  </si>
  <si>
    <t>Irumba Gabulyeri Ateenyi</t>
  </si>
  <si>
    <t>Bugambe</t>
  </si>
  <si>
    <t>Muhwiju</t>
  </si>
  <si>
    <t>UG-WES-1804-07561</t>
  </si>
  <si>
    <t>Twikirize Banard</t>
  </si>
  <si>
    <t>Nyarushanje</t>
  </si>
  <si>
    <t>Nyakisha shenga</t>
  </si>
  <si>
    <t>UG-WES-1804-07568</t>
  </si>
  <si>
    <t>Buriku Patrick</t>
  </si>
  <si>
    <t>UG-WES-1804-07569</t>
  </si>
  <si>
    <t>Tudyawheza James</t>
  </si>
  <si>
    <t>Rwibaare</t>
  </si>
  <si>
    <t>UG-WES-1804-07570</t>
  </si>
  <si>
    <t>Mrs Consoranta Amose</t>
  </si>
  <si>
    <t xml:space="preserve">Kanungu </t>
  </si>
  <si>
    <t>Rugyendo</t>
  </si>
  <si>
    <t>Ishungu</t>
  </si>
  <si>
    <t>UG-WES-1804-07571</t>
  </si>
  <si>
    <t>Rukanyangira Matayo</t>
  </si>
  <si>
    <t>Kanungu town council</t>
  </si>
  <si>
    <t>Karuhinda</t>
  </si>
  <si>
    <t>UG-WES-1804-07576</t>
  </si>
  <si>
    <t>Kaawa Deogratias Mugisha</t>
  </si>
  <si>
    <t>Rukono</t>
  </si>
  <si>
    <t>UG-WES-1804-07577</t>
  </si>
  <si>
    <t>Kamiru David</t>
  </si>
  <si>
    <t>Mbaare</t>
  </si>
  <si>
    <t>Kihanda Central</t>
  </si>
  <si>
    <t>UG-WES-1804-07578</t>
  </si>
  <si>
    <t>Hon.Beatrace Bakunda</t>
  </si>
  <si>
    <t>UG-WES-1804-07584</t>
  </si>
  <si>
    <t xml:space="preserve">Rukundo Martin </t>
  </si>
  <si>
    <t>Kakabada</t>
  </si>
  <si>
    <t>UG-WES-1804-07618</t>
  </si>
  <si>
    <t>Nuwabine Kellen</t>
  </si>
  <si>
    <t>Endizi</t>
  </si>
  <si>
    <t>Endizi B</t>
  </si>
  <si>
    <t>UG-WES-1804-07619</t>
  </si>
  <si>
    <t>Rutainama Robert</t>
  </si>
  <si>
    <t>Rwenwera</t>
  </si>
  <si>
    <t>UG-WES-1804-07913</t>
  </si>
  <si>
    <t>Ndebesa Paul</t>
  </si>
  <si>
    <t>Nshozi</t>
  </si>
  <si>
    <t>UG-WES-1804-08000</t>
  </si>
  <si>
    <t>Gumisiriza Gumisiriza Mebble</t>
  </si>
  <si>
    <t>Kamwenge town council</t>
  </si>
  <si>
    <t>KAREC</t>
  </si>
  <si>
    <t>UG-WES-1804-7574</t>
  </si>
  <si>
    <t>Nyamwegabira Catholic Parish</t>
  </si>
  <si>
    <t>Nyamwegabira</t>
  </si>
  <si>
    <t>UG-WES-1804-7575</t>
  </si>
  <si>
    <t xml:space="preserve">Turyahabwa Onesmus </t>
  </si>
  <si>
    <t>Kanyantorogo</t>
  </si>
  <si>
    <t>UG-WES-1805-012651</t>
  </si>
  <si>
    <t>Barekye Archangel</t>
  </si>
  <si>
    <t>UG-WES-1805-012652</t>
  </si>
  <si>
    <t>Bitakwise Crenerio</t>
  </si>
  <si>
    <t>UG-WES-1805-012653</t>
  </si>
  <si>
    <t>Dirisa Waliga</t>
  </si>
  <si>
    <t>Kashuro</t>
  </si>
  <si>
    <t>UG-WES-1805-012656</t>
  </si>
  <si>
    <t>Nalwadda Mellon</t>
  </si>
  <si>
    <t>Nyanza B</t>
  </si>
  <si>
    <t>UG-WES-1805-013351</t>
  </si>
  <si>
    <t>Tumwebaze Banard</t>
  </si>
  <si>
    <t>Kyanyamugira</t>
  </si>
  <si>
    <t>UG-WES-1805-013502</t>
  </si>
  <si>
    <t>Pastor Khaawa Robert</t>
  </si>
  <si>
    <t>Kirasa Cell</t>
  </si>
  <si>
    <t>UG-WES-1805-06440</t>
  </si>
  <si>
    <t>Rwabukye Stanley</t>
  </si>
  <si>
    <t>Ishaka division</t>
  </si>
  <si>
    <t>Ntaza ll</t>
  </si>
  <si>
    <t>UG-WES-1801-07160</t>
  </si>
  <si>
    <t>Mugabe Robert</t>
  </si>
  <si>
    <t>Ngombe</t>
  </si>
  <si>
    <t>UG-WES-1805-06441</t>
  </si>
  <si>
    <t>Kamushana Getrude</t>
  </si>
  <si>
    <t>UG-WES-1805-06443</t>
  </si>
  <si>
    <t>Byaruhanga Pretaz</t>
  </si>
  <si>
    <t>UG-WES-1805-06444</t>
  </si>
  <si>
    <t>Bagampangire Selestino</t>
  </si>
  <si>
    <t>Nyabiziri</t>
  </si>
  <si>
    <t>UG-WES-1805-06446</t>
  </si>
  <si>
    <t>Bagambaki Rwamuriiro Teddy</t>
  </si>
  <si>
    <t>0779927013/0752461744</t>
  </si>
  <si>
    <t>Ruhinda north</t>
  </si>
  <si>
    <t>Biteereko</t>
  </si>
  <si>
    <t>Rutookye2</t>
  </si>
  <si>
    <t>UG-WES-1805-06639</t>
  </si>
  <si>
    <t>Ainomugisha Immelda</t>
  </si>
  <si>
    <t>Kikungi</t>
  </si>
  <si>
    <t>UG-WES-1801-07602</t>
  </si>
  <si>
    <t>Birungi Constance</t>
  </si>
  <si>
    <t>Rweiziringiri</t>
  </si>
  <si>
    <t>UG-WES-1801-07603</t>
  </si>
  <si>
    <t>Ahimbisibwe Robert</t>
  </si>
  <si>
    <t>Kiboona</t>
  </si>
  <si>
    <t>UG-WES-1805-06640</t>
  </si>
  <si>
    <t>Bagambe David</t>
  </si>
  <si>
    <t>Ndinzi</t>
  </si>
  <si>
    <t>Ruterana</t>
  </si>
  <si>
    <t>UG-WES-1805-06641</t>
  </si>
  <si>
    <t>Mary Mbabazi</t>
  </si>
  <si>
    <t>Nyakangongo</t>
  </si>
  <si>
    <t>UG-WES-1805-06642</t>
  </si>
  <si>
    <t>Rwambibi Festo</t>
  </si>
  <si>
    <t>Nyamupikye</t>
  </si>
  <si>
    <t>UG-WES-1805-06644</t>
  </si>
  <si>
    <t>Turinawe Simeo</t>
  </si>
  <si>
    <t>Bweza</t>
  </si>
  <si>
    <t>UG-WES-1805-06778</t>
  </si>
  <si>
    <t>Byenkya B Philip</t>
  </si>
  <si>
    <t>Kyanaisoke</t>
  </si>
  <si>
    <t>Kachundwa</t>
  </si>
  <si>
    <t>UG-WES-1805-07572</t>
  </si>
  <si>
    <t>Katarikawe Constanti</t>
  </si>
  <si>
    <t>Kabale municipality</t>
  </si>
  <si>
    <t>Northern ward</t>
  </si>
  <si>
    <t>UG-WES-1801-319</t>
  </si>
  <si>
    <t>Emanuel Tindikahwa</t>
  </si>
  <si>
    <t>masha</t>
  </si>
  <si>
    <t>UG-WES-1805-07579</t>
  </si>
  <si>
    <t>Nankunda Apollo</t>
  </si>
  <si>
    <t>Rwakanyonyi</t>
  </si>
  <si>
    <t>UG-WES-1801-6623</t>
  </si>
  <si>
    <t>Client turned digester into a septic tank</t>
  </si>
  <si>
    <t>Tindimwebwa Valley</t>
  </si>
  <si>
    <t>Kabingo Tc</t>
  </si>
  <si>
    <t>Kaharo</t>
  </si>
  <si>
    <t>UG-WES-1801-7555</t>
  </si>
  <si>
    <t>Kahinda Misearch mishaka</t>
  </si>
  <si>
    <t>UG-WES-1805-07581</t>
  </si>
  <si>
    <t>Katarimpika Arthur</t>
  </si>
  <si>
    <t>Ryamarembo</t>
  </si>
  <si>
    <t>UG-WES-1805-07582</t>
  </si>
  <si>
    <t xml:space="preserve">Mangalita Abealah </t>
  </si>
  <si>
    <t>UG-WES-1805-07620</t>
  </si>
  <si>
    <t>Basikana Katubeho</t>
  </si>
  <si>
    <t>Kashenshero ward</t>
  </si>
  <si>
    <t>Ruti 1</t>
  </si>
  <si>
    <t>UG-WES-1805-07621</t>
  </si>
  <si>
    <t>Ryantonde Marius</t>
  </si>
  <si>
    <t>Rurehe</t>
  </si>
  <si>
    <t>Kigimbi</t>
  </si>
  <si>
    <t>UG-WES-1805-07622</t>
  </si>
  <si>
    <t>Kabarangira Leticia</t>
  </si>
  <si>
    <t>Kashensero</t>
  </si>
  <si>
    <t>UG-WES-1805-07911</t>
  </si>
  <si>
    <t>Jovia Kabacukuya</t>
  </si>
  <si>
    <t>Keiba</t>
  </si>
  <si>
    <t>UG-WES-1805-07912</t>
  </si>
  <si>
    <t>Rwakabingo Herbert</t>
  </si>
  <si>
    <t>UG-WES-1802-06692</t>
  </si>
  <si>
    <t>Myongo Yosam</t>
  </si>
  <si>
    <t>UG-WES-1805-07914</t>
  </si>
  <si>
    <t>Basikana Eliasaph (Rev)</t>
  </si>
  <si>
    <t>Kitabo IIII</t>
  </si>
  <si>
    <t>UG-WES-1805-08250</t>
  </si>
  <si>
    <t>Mrs.Nkuranga Florence</t>
  </si>
  <si>
    <t xml:space="preserve">1.281240, </t>
  </si>
  <si>
    <t>Nyakabande</t>
  </si>
  <si>
    <t>Shozi</t>
  </si>
  <si>
    <t>ANAM CONTRACTORS COMPANY LTD</t>
  </si>
  <si>
    <t>UG-WES-1805-08251</t>
  </si>
  <si>
    <t>Mrs.Mihanda Aureriya</t>
  </si>
  <si>
    <t xml:space="preserve">1.067958, </t>
  </si>
  <si>
    <t>Nyabwishenya</t>
  </si>
  <si>
    <t>Kikomo</t>
  </si>
  <si>
    <t>UG-WES-1805-08252</t>
  </si>
  <si>
    <t>Kobusheshe Vallance</t>
  </si>
  <si>
    <t>1.111655,</t>
  </si>
  <si>
    <t>Rubuguri Town council</t>
  </si>
  <si>
    <t>UG-WES-1805-08253</t>
  </si>
  <si>
    <t>Turinomuhangi Silver</t>
  </si>
  <si>
    <t>Rutaka</t>
  </si>
  <si>
    <t>Gisharu</t>
  </si>
  <si>
    <t>UG-WES-1806-012556</t>
  </si>
  <si>
    <t>Rev.Can Ephraim Bamugbumura</t>
  </si>
  <si>
    <t>Kirembe LC</t>
  </si>
  <si>
    <t>UG-WES-1802-07559</t>
  </si>
  <si>
    <t>Matsiko Peter</t>
  </si>
  <si>
    <t>Nyakibande</t>
  </si>
  <si>
    <t>UG-WES-1806-012657</t>
  </si>
  <si>
    <t>Kubiriba Asaph</t>
  </si>
  <si>
    <t>Rwashamire</t>
  </si>
  <si>
    <t>Kyebishali</t>
  </si>
  <si>
    <t>UG-WES-1806-012752</t>
  </si>
  <si>
    <t>Bampata Jadress</t>
  </si>
  <si>
    <t>0781798999/787413001</t>
  </si>
  <si>
    <t xml:space="preserve">0.569272, </t>
  </si>
  <si>
    <t>UG-WES-1806-013353</t>
  </si>
  <si>
    <t>Baguma John</t>
  </si>
  <si>
    <t>Ruhumuro</t>
  </si>
  <si>
    <t>UG-WES-1806-013354</t>
  </si>
  <si>
    <t>Mugarura Lauben</t>
  </si>
  <si>
    <t>Igara east</t>
  </si>
  <si>
    <t>Kyabugyibi</t>
  </si>
  <si>
    <t>UG-WES-1806-013357</t>
  </si>
  <si>
    <t>Mugizi Jane Ephrahim</t>
  </si>
  <si>
    <t>0.549453,</t>
  </si>
  <si>
    <t>Rwetuha</t>
  </si>
  <si>
    <t>Rwekuba</t>
  </si>
  <si>
    <t>UG-WES-1806-013501</t>
  </si>
  <si>
    <t>Ochard ranchers</t>
  </si>
  <si>
    <t>Businsi</t>
  </si>
  <si>
    <t xml:space="preserve">Kihukya </t>
  </si>
  <si>
    <t>UG-WES-1806-06427</t>
  </si>
  <si>
    <t>Rubarita Francis</t>
  </si>
  <si>
    <t>Rubangano</t>
  </si>
  <si>
    <t>UG-WES-1806-06436</t>
  </si>
  <si>
    <t>Mbeine George</t>
  </si>
  <si>
    <t xml:space="preserve">0.588468, </t>
  </si>
  <si>
    <t>UG-WES-1806-06447</t>
  </si>
  <si>
    <t>Hakiiza John</t>
  </si>
  <si>
    <t>Western region</t>
  </si>
  <si>
    <t>Kanyabwanga</t>
  </si>
  <si>
    <t>Nyandago B</t>
  </si>
  <si>
    <t>UG-WES-1806-06645</t>
  </si>
  <si>
    <t>Akatukwasa Edmund</t>
  </si>
  <si>
    <t>, 30.218988</t>
  </si>
  <si>
    <t>UG-WES-1806-06646</t>
  </si>
  <si>
    <t>Elly Muhwezi Elly</t>
  </si>
  <si>
    <t xml:space="preserve">0.545390, </t>
  </si>
  <si>
    <t>Ewemiyonga</t>
  </si>
  <si>
    <t>Rwemiyonga</t>
  </si>
  <si>
    <t>UG-WES-1806-06648</t>
  </si>
  <si>
    <t>Kankiriiho Deogratius</t>
  </si>
  <si>
    <t>Nyakabiriizi Division</t>
  </si>
  <si>
    <t>igorora LC1</t>
  </si>
  <si>
    <t>UG-WES-1806-06649</t>
  </si>
  <si>
    <t>Atwine Rossette</t>
  </si>
  <si>
    <t>Nyandago A</t>
  </si>
  <si>
    <t>Kyabazigye A</t>
  </si>
  <si>
    <t>UG-WES-1806-06776</t>
  </si>
  <si>
    <t>Kansiime K Bosco</t>
  </si>
  <si>
    <t>Kaboijana</t>
  </si>
  <si>
    <t>UG-WES-1806-06777</t>
  </si>
  <si>
    <t>Wamara Yusufu Atwooki</t>
  </si>
  <si>
    <t>Kihenda</t>
  </si>
  <si>
    <t>UG-WES-1806-07163</t>
  </si>
  <si>
    <t>Margach Willis C</t>
  </si>
  <si>
    <t>Bunjeje</t>
  </si>
  <si>
    <t>Budongi</t>
  </si>
  <si>
    <t>Kinyara estate</t>
  </si>
  <si>
    <t>UG-WES-1806-07586</t>
  </si>
  <si>
    <t>Buhumi Mirembe Melabu</t>
  </si>
  <si>
    <t xml:space="preserve">1.079578, </t>
  </si>
  <si>
    <t>UG-WES-1806-07588</t>
  </si>
  <si>
    <t>Tumwekase Moses</t>
  </si>
  <si>
    <t>Nchwera 1</t>
  </si>
  <si>
    <t>UG-WES-1806-07590</t>
  </si>
  <si>
    <t>Hajj Abbasi Igga</t>
  </si>
  <si>
    <t xml:space="preserve">0.856943, </t>
  </si>
  <si>
    <t>Kabarungi</t>
  </si>
  <si>
    <t>UG-WES-1806-07591</t>
  </si>
  <si>
    <t>Kabahukye Robinah Kabahukye</t>
  </si>
  <si>
    <t>UG-WES-1806-07593</t>
  </si>
  <si>
    <t>Poster Monday Edward</t>
  </si>
  <si>
    <t>Byanderema</t>
  </si>
  <si>
    <t>UG-WES-1806-07624</t>
  </si>
  <si>
    <t>Banturaki Lawrence</t>
  </si>
  <si>
    <t>Bukuba 11</t>
  </si>
  <si>
    <t>Bukuba 13</t>
  </si>
  <si>
    <t>UG-WES-1806-07631</t>
  </si>
  <si>
    <t>Rev. Namanya John</t>
  </si>
  <si>
    <t>UG-WES-1806-07633</t>
  </si>
  <si>
    <t>Muhwezi  Wilberforce</t>
  </si>
  <si>
    <t xml:space="preserve">0.616073, </t>
  </si>
  <si>
    <t>Kyabizigye b</t>
  </si>
  <si>
    <t>UG-WES-1806-07916</t>
  </si>
  <si>
    <t>Betimbira Francis</t>
  </si>
  <si>
    <t>Rwemikoma</t>
  </si>
  <si>
    <t>Kijuma</t>
  </si>
  <si>
    <t>UG-WES-1806-07917</t>
  </si>
  <si>
    <t>Biraro Nathan</t>
  </si>
  <si>
    <t>Akayanja</t>
  </si>
  <si>
    <t>UG-WES-1806-13356</t>
  </si>
  <si>
    <t>Pastori  Byaruhanga</t>
  </si>
  <si>
    <t xml:space="preserve">0.442255, </t>
  </si>
  <si>
    <t>Nyeibingo</t>
  </si>
  <si>
    <t>UG-WES-1806-7915</t>
  </si>
  <si>
    <t>Muganzi Geofrey</t>
  </si>
  <si>
    <t>Katagyengeru</t>
  </si>
  <si>
    <t>UG-WES-1807-012552</t>
  </si>
  <si>
    <t>Canon Kampororo Night</t>
  </si>
  <si>
    <t>Nsisa</t>
  </si>
  <si>
    <t>UG-WES-1807-012557</t>
  </si>
  <si>
    <t>Mwesigye Annette</t>
  </si>
  <si>
    <t>Karoza</t>
  </si>
  <si>
    <t>UG-WES-1807-012558</t>
  </si>
  <si>
    <t>Nyerwanine Grace</t>
  </si>
  <si>
    <t>Kirera II</t>
  </si>
  <si>
    <t>UG-WES-1807-012655</t>
  </si>
  <si>
    <t>Kagyenda  Moses</t>
  </si>
  <si>
    <t>UG-WES-1807-012661</t>
  </si>
  <si>
    <t>Naturinda  Caroline</t>
  </si>
  <si>
    <t>0.633063,</t>
  </si>
  <si>
    <t>UG-WES-1807-012662</t>
  </si>
  <si>
    <t>Rukongwa  Jovia</t>
  </si>
  <si>
    <t xml:space="preserve">0.598082, </t>
  </si>
  <si>
    <t>UG-WES-1807-012663</t>
  </si>
  <si>
    <t>Ntundubaire Salongo Jackson</t>
  </si>
  <si>
    <t>0.639455,</t>
  </si>
  <si>
    <t>Rwamasha</t>
  </si>
  <si>
    <t>UG-WES-1807-012665</t>
  </si>
  <si>
    <t>Bangwagye Isreal</t>
  </si>
  <si>
    <t xml:space="preserve">0.567727, </t>
  </si>
  <si>
    <t>UG-WES-1807-012756</t>
  </si>
  <si>
    <t>Tayebwa Godfrey</t>
  </si>
  <si>
    <t xml:space="preserve">0.253668, </t>
  </si>
  <si>
    <t>Magambo</t>
  </si>
  <si>
    <t>Rukiizi</t>
  </si>
  <si>
    <t>UG-WES-1804-07910</t>
  </si>
  <si>
    <t>Byayesu John</t>
  </si>
  <si>
    <t>Kyaka south</t>
  </si>
  <si>
    <t>mirembe</t>
  </si>
  <si>
    <t>UG-WES-1807-012758</t>
  </si>
  <si>
    <t>Gumisiriza  francis</t>
  </si>
  <si>
    <t>Katuba 1</t>
  </si>
  <si>
    <t>UG-WES-1807-012760</t>
  </si>
  <si>
    <t>Nduhura  george</t>
  </si>
  <si>
    <t xml:space="preserve">0.656845, </t>
  </si>
  <si>
    <t>UG-WES-1807-012802</t>
  </si>
  <si>
    <t>Gumisiriza Asaph</t>
  </si>
  <si>
    <t xml:space="preserve">0.571132, </t>
  </si>
  <si>
    <t>Kagati</t>
  </si>
  <si>
    <t>UG-WES-1807-012809</t>
  </si>
  <si>
    <t>Bindeeba Eliphaz</t>
  </si>
  <si>
    <t>Nyarubare</t>
  </si>
  <si>
    <t>UG-WES-1807-013505</t>
  </si>
  <si>
    <t>Tumuheki  wilbrod Bashil</t>
  </si>
  <si>
    <t xml:space="preserve">0.971442, </t>
  </si>
  <si>
    <t>Bwikara</t>
  </si>
  <si>
    <t>UG-WES-1807-013506</t>
  </si>
  <si>
    <t>Agaba Leonard</t>
  </si>
  <si>
    <t xml:space="preserve">1.074118, </t>
  </si>
  <si>
    <t>Kasenda</t>
  </si>
  <si>
    <t>UG-WES-1807-06448</t>
  </si>
  <si>
    <t>Bamwehe Adriano</t>
  </si>
  <si>
    <t>Rwibare 2</t>
  </si>
  <si>
    <t>UG-WES-1807-06647</t>
  </si>
  <si>
    <t>Hope Byabagambi</t>
  </si>
  <si>
    <t>Omuruhita</t>
  </si>
  <si>
    <t>UG-WES-1807-06971</t>
  </si>
  <si>
    <t>Ntegakarija Chris</t>
  </si>
  <si>
    <t>0.383772,</t>
  </si>
  <si>
    <t>IGARA WEST</t>
  </si>
  <si>
    <t>KYAMUHUNGA</t>
  </si>
  <si>
    <t>KIBAZI</t>
  </si>
  <si>
    <t>UG-WES-1807-07162</t>
  </si>
  <si>
    <t>Mugenyizi Joseph</t>
  </si>
  <si>
    <t>Busese</t>
  </si>
  <si>
    <t>Kiryatole</t>
  </si>
  <si>
    <t>UG-WES-1805-06434</t>
  </si>
  <si>
    <t>Busingye Kellen</t>
  </si>
  <si>
    <t>Bumbaire 2</t>
  </si>
  <si>
    <t>UG-WES-1807-07585</t>
  </si>
  <si>
    <t>Arinaitwe  allen</t>
  </si>
  <si>
    <t>Kitakuka</t>
  </si>
  <si>
    <t>UG-WES-1807-07587</t>
  </si>
  <si>
    <t>Kagubaara Manasi</t>
  </si>
  <si>
    <t xml:space="preserve">1.036405, </t>
  </si>
  <si>
    <t>Nyakariro</t>
  </si>
  <si>
    <t>UG-WES-1805-06442</t>
  </si>
  <si>
    <t>Plant needs high category repairs</t>
  </si>
  <si>
    <t>Kikune Saudah</t>
  </si>
  <si>
    <t>Kanyarugiri</t>
  </si>
  <si>
    <t>UG-WES-1807-07589</t>
  </si>
  <si>
    <t>Can  Kagyendo Stephen</t>
  </si>
  <si>
    <t>Shenga</t>
  </si>
  <si>
    <t>UG-WES-1807-07592</t>
  </si>
  <si>
    <t>Twinomujuni Christopher Lydia</t>
  </si>
  <si>
    <t xml:space="preserve">1.228125, </t>
  </si>
  <si>
    <t>Rujanjara</t>
  </si>
  <si>
    <t>UG-WES-1807-07594</t>
  </si>
  <si>
    <t>Berutsya Frank</t>
  </si>
  <si>
    <t>UG-WES-1807-07595</t>
  </si>
  <si>
    <t>Rev Can Bitakweitse Eric</t>
  </si>
  <si>
    <t xml:space="preserve">0.576352, </t>
  </si>
  <si>
    <t>UG-WES-1807-07597</t>
  </si>
  <si>
    <t xml:space="preserve">Isingoma Zadoki </t>
  </si>
  <si>
    <t>RUTOTO</t>
  </si>
  <si>
    <t>Kanyambiiriri 2</t>
  </si>
  <si>
    <t>UG-WES-1807-07598</t>
  </si>
  <si>
    <t>Bihango William</t>
  </si>
  <si>
    <t>Rutoto</t>
  </si>
  <si>
    <t>Kijuzugo</t>
  </si>
  <si>
    <t>UG-WES-1807-07599</t>
  </si>
  <si>
    <t>Kabaireho Josephat</t>
  </si>
  <si>
    <t xml:space="preserve">0.706683, </t>
  </si>
  <si>
    <t>Nyakanengo</t>
  </si>
  <si>
    <t>UG-WES-1807-07617</t>
  </si>
  <si>
    <t>Nanyanzi Amulati</t>
  </si>
  <si>
    <t xml:space="preserve">0.700618, </t>
  </si>
  <si>
    <t>UG-WES-1805-06771</t>
  </si>
  <si>
    <t>Byoona Justus Byoona</t>
  </si>
  <si>
    <t>Mpefu</t>
  </si>
  <si>
    <t>UG-WES-1805-06772</t>
  </si>
  <si>
    <t>Patricia G Gahwera</t>
  </si>
  <si>
    <t>Kikwanana cell</t>
  </si>
  <si>
    <t>UG-WES-1807-07625</t>
  </si>
  <si>
    <t>Kobwema Adonia Kabareema</t>
  </si>
  <si>
    <t>Rwenshanku 3</t>
  </si>
  <si>
    <t>UG-WES-1807-07628</t>
  </si>
  <si>
    <t>Tibehiika Deo</t>
  </si>
  <si>
    <t xml:space="preserve">0.312607, </t>
  </si>
  <si>
    <t>Bururuma</t>
  </si>
  <si>
    <t>UG-WES-1807-07629</t>
  </si>
  <si>
    <t>Kankiriho Julius</t>
  </si>
  <si>
    <t>Katerera</t>
  </si>
  <si>
    <t>UG-WES-1807-07918</t>
  </si>
  <si>
    <t>Magyezi George</t>
  </si>
  <si>
    <t>UG-WES-1807-08254</t>
  </si>
  <si>
    <t>Kajubwami Atanansi</t>
  </si>
  <si>
    <t>Nteko</t>
  </si>
  <si>
    <t>UG-WES-1807-08553</t>
  </si>
  <si>
    <t>Mwesigye Emmanuel (Plant 2 )</t>
  </si>
  <si>
    <t>Kiruhura TC</t>
  </si>
  <si>
    <t>Karengyezo</t>
  </si>
  <si>
    <t>UG-WES-1807-12551</t>
  </si>
  <si>
    <t>Kamara Innocent Kamara</t>
  </si>
  <si>
    <t>UG-WES-1807-12554</t>
  </si>
  <si>
    <t xml:space="preserve">Ruhingwa perez </t>
  </si>
  <si>
    <t xml:space="preserve">0.690367, </t>
  </si>
  <si>
    <t>Mitara</t>
  </si>
  <si>
    <t>UG-WES-1807-12555</t>
  </si>
  <si>
    <t>Karuhanga  Eliab</t>
  </si>
  <si>
    <t>UG-WES-1807-12660</t>
  </si>
  <si>
    <t>Ahimbisibwe  Herbert</t>
  </si>
  <si>
    <t xml:space="preserve">0.628418, </t>
  </si>
  <si>
    <t>Kashenshero T. C</t>
  </si>
  <si>
    <t>Bureera</t>
  </si>
  <si>
    <t>UG-WES-1807-12803</t>
  </si>
  <si>
    <t>Tweheyo Edison</t>
  </si>
  <si>
    <t xml:space="preserve">0.578508, </t>
  </si>
  <si>
    <t>UG-WES-1807-12804</t>
  </si>
  <si>
    <t xml:space="preserve">Ndazarwe  Ndazarwe Martin </t>
  </si>
  <si>
    <t xml:space="preserve">0.578483, </t>
  </si>
  <si>
    <t>Kitsibo</t>
  </si>
  <si>
    <t>UG-WES-1807-13352</t>
  </si>
  <si>
    <t>Muzare Edison Edison</t>
  </si>
  <si>
    <t xml:space="preserve">0.429557, </t>
  </si>
  <si>
    <t>Kimuri</t>
  </si>
  <si>
    <t>UG-WES-1807-13358</t>
  </si>
  <si>
    <t>Deus Dedit Tumusiime</t>
  </si>
  <si>
    <t xml:space="preserve">0.786723, </t>
  </si>
  <si>
    <t>UG-WES-1807-7580</t>
  </si>
  <si>
    <t>Bangirana Annet</t>
  </si>
  <si>
    <t>, 30.202695</t>
  </si>
  <si>
    <t>Kakanju</t>
  </si>
  <si>
    <t>UG-WES-1807-7596</t>
  </si>
  <si>
    <t>Ziinee Prudance</t>
  </si>
  <si>
    <t>0.349967,</t>
  </si>
  <si>
    <t>Kanyambiriri</t>
  </si>
  <si>
    <t>UG-WES-1807-7627</t>
  </si>
  <si>
    <t>Kemirere Grace</t>
  </si>
  <si>
    <t xml:space="preserve">0.176307, </t>
  </si>
  <si>
    <t>Kyabakara</t>
  </si>
  <si>
    <t>UG-WES-1807-7632</t>
  </si>
  <si>
    <t>Kemirembe Mary</t>
  </si>
  <si>
    <t>Rushoroza B</t>
  </si>
  <si>
    <t>Katunda</t>
  </si>
  <si>
    <t>UG-WES-1807-7634</t>
  </si>
  <si>
    <t>Mwebaze Andrew</t>
  </si>
  <si>
    <t>UG-WES-1808-012453</t>
  </si>
  <si>
    <t>Matsiko Benjamin</t>
  </si>
  <si>
    <t>Butembererwa</t>
  </si>
  <si>
    <t>UG-WES-1806-013355</t>
  </si>
  <si>
    <t>Lydia Rwakishaya</t>
  </si>
  <si>
    <t>704554267/0772637282</t>
  </si>
  <si>
    <t>Bwatogo</t>
  </si>
  <si>
    <t>UG-WES-1808-012664</t>
  </si>
  <si>
    <t>KIAGA (U) Ltd</t>
  </si>
  <si>
    <t>0.569618,</t>
  </si>
  <si>
    <t>Ryanshanga</t>
  </si>
  <si>
    <t>UG-WES-1808-012668</t>
  </si>
  <si>
    <t>Biryaho Silver</t>
  </si>
  <si>
    <t>Ruhinda South</t>
  </si>
  <si>
    <t>Omumwino</t>
  </si>
  <si>
    <t>UG-WES-1808-012669</t>
  </si>
  <si>
    <t xml:space="preserve">Kabireho Moses </t>
  </si>
  <si>
    <t xml:space="preserve">0.692603, </t>
  </si>
  <si>
    <t>Irangara</t>
  </si>
  <si>
    <t>UG-WES-1808-012670</t>
  </si>
  <si>
    <t>Mugabe Denis</t>
  </si>
  <si>
    <t>0.706557,</t>
  </si>
  <si>
    <t>Omukacence</t>
  </si>
  <si>
    <t>UG-WES-1808-012671</t>
  </si>
  <si>
    <t>Ndyabarema Banard</t>
  </si>
  <si>
    <t xml:space="preserve">0.751790, </t>
  </si>
  <si>
    <t>Rutugunda</t>
  </si>
  <si>
    <t>UG-WES-1808-012672</t>
  </si>
  <si>
    <t>Munyabwera Alfred</t>
  </si>
  <si>
    <t xml:space="preserve">0.674467, </t>
  </si>
  <si>
    <t>Shuuku town council</t>
  </si>
  <si>
    <t>Kamweru</t>
  </si>
  <si>
    <t>UG-WES-1808-012753</t>
  </si>
  <si>
    <t>Begumisa Juma</t>
  </si>
  <si>
    <t xml:space="preserve">0.332927, </t>
  </si>
  <si>
    <t>Kyaniika</t>
  </si>
  <si>
    <t>UG-WES-1808-012754</t>
  </si>
  <si>
    <t>Mwesigye Bruno</t>
  </si>
  <si>
    <t xml:space="preserve">0.334580, </t>
  </si>
  <si>
    <t>Kyaniika 1</t>
  </si>
  <si>
    <t>UG-WES-1808-012755</t>
  </si>
  <si>
    <t>Guma Richard</t>
  </si>
  <si>
    <t xml:space="preserve">0.279490, </t>
  </si>
  <si>
    <t>Nyakiyanja B</t>
  </si>
  <si>
    <t>UG-WES-1808-012757</t>
  </si>
  <si>
    <t>Ndyanabo Patience</t>
  </si>
  <si>
    <t>Kirungu</t>
  </si>
  <si>
    <t>Mirarichi</t>
  </si>
  <si>
    <t>UG-WES-1808-012762</t>
  </si>
  <si>
    <t>BWISHO JACKSON</t>
  </si>
  <si>
    <t xml:space="preserve">0.568595, </t>
  </si>
  <si>
    <t>Bumbare</t>
  </si>
  <si>
    <t>Bumbare 2</t>
  </si>
  <si>
    <t>UG-WES-1808-012765</t>
  </si>
  <si>
    <t>Tabaro Eliasafu</t>
  </si>
  <si>
    <t>0704119415/0703605574</t>
  </si>
  <si>
    <t>Rwamukonto</t>
  </si>
  <si>
    <t>UG-WES-1808-012801</t>
  </si>
  <si>
    <t>Arinaitwe Sam Kajojo</t>
  </si>
  <si>
    <t>UG-WES-1808-012805</t>
  </si>
  <si>
    <t>Ngambagye Fredrick</t>
  </si>
  <si>
    <t>UG-WES-1808-012806</t>
  </si>
  <si>
    <t>Namanya Ishanga Juliet</t>
  </si>
  <si>
    <t>UG-WES-1808-012807</t>
  </si>
  <si>
    <t>Tukashaba Brian</t>
  </si>
  <si>
    <t xml:space="preserve">0.537665, </t>
  </si>
  <si>
    <t>UG-WES-1808-012810</t>
  </si>
  <si>
    <t>Atuhiire Inocent</t>
  </si>
  <si>
    <t>Bukoora</t>
  </si>
  <si>
    <t>UG-WES-1808-012811</t>
  </si>
  <si>
    <t>Ainomugisha Dickson</t>
  </si>
  <si>
    <t>UG-WES-1808-013651</t>
  </si>
  <si>
    <t>Byaruhanga Alfunsi Karambuzi</t>
  </si>
  <si>
    <t>Kicwamba LC1</t>
  </si>
  <si>
    <t>UG-WES-1808-013652</t>
  </si>
  <si>
    <t>Rev. Tumwine Fred Barira</t>
  </si>
  <si>
    <t>Rwanshana</t>
  </si>
  <si>
    <t>UG-WES-1808-013657</t>
  </si>
  <si>
    <t xml:space="preserve">Nkubito Saverino </t>
  </si>
  <si>
    <t>Buhweju</t>
  </si>
  <si>
    <t>Karingoma</t>
  </si>
  <si>
    <t>UG-WES-1808-013658</t>
  </si>
  <si>
    <t>Tumusiime Paul</t>
  </si>
  <si>
    <t>Bishanga</t>
  </si>
  <si>
    <t>UG-WES-1808-013660</t>
  </si>
  <si>
    <t>Musinguzi Melex</t>
  </si>
  <si>
    <t>Ndurumo</t>
  </si>
  <si>
    <t>UG-WES-1808-013661</t>
  </si>
  <si>
    <t>Turyamuhebwa Abias</t>
  </si>
  <si>
    <t>Kibanya C</t>
  </si>
  <si>
    <t>UG-WES-1808-07626</t>
  </si>
  <si>
    <t>Rwakasinde Charles</t>
  </si>
  <si>
    <t>30.122668</t>
  </si>
  <si>
    <t>UG-WES-1807-012553</t>
  </si>
  <si>
    <t>QSP visited and advised the client to empty before resuming feeding…Emptying</t>
  </si>
  <si>
    <t>Bantariza Denis</t>
  </si>
  <si>
    <t>rweyambe</t>
  </si>
  <si>
    <t>UG-WES-1808-07635</t>
  </si>
  <si>
    <t>Tugaineyo Anne</t>
  </si>
  <si>
    <t>Ruhere</t>
  </si>
  <si>
    <t>UG-WES-1808-07648</t>
  </si>
  <si>
    <t>Mutahunga Melda</t>
  </si>
  <si>
    <t>Rweicumu</t>
  </si>
  <si>
    <t>UG-WES-1808-12808</t>
  </si>
  <si>
    <t>Kataba Jacinta</t>
  </si>
  <si>
    <t>Nyarutojo</t>
  </si>
  <si>
    <t>UG-WES-1808-7616</t>
  </si>
  <si>
    <t>Kabarega Bartholomew</t>
  </si>
  <si>
    <t xml:space="preserve">0.695710, </t>
  </si>
  <si>
    <t>Rukuba</t>
  </si>
  <si>
    <t>UG-WES-1808-7639</t>
  </si>
  <si>
    <t>Mbaga Allan</t>
  </si>
  <si>
    <t>0772367422/0701400317</t>
  </si>
  <si>
    <t>Kuyamurari</t>
  </si>
  <si>
    <t>UG-WES-1808-7645</t>
  </si>
  <si>
    <t>Byarimpa Boaz</t>
  </si>
  <si>
    <t>UG-WES-1809-012403</t>
  </si>
  <si>
    <t>Makyene Marion</t>
  </si>
  <si>
    <t>0704555071/0775193014</t>
  </si>
  <si>
    <t>UG-WES-1807-012751</t>
  </si>
  <si>
    <t>Bamuhimbise Benon</t>
  </si>
  <si>
    <t xml:space="preserve">0.570422, </t>
  </si>
  <si>
    <t>UG-WES-1809-012451</t>
  </si>
  <si>
    <t>Kobugonza Akagumaho Kosiya</t>
  </si>
  <si>
    <t>kiruhura</t>
  </si>
  <si>
    <t>nshwere</t>
  </si>
  <si>
    <t>UG-WES-1809-012673</t>
  </si>
  <si>
    <t>Barigye Archangel</t>
  </si>
  <si>
    <t>UG-WES-1809-012675</t>
  </si>
  <si>
    <t>Mwesigye Eldard</t>
  </si>
  <si>
    <t>Kigaba</t>
  </si>
  <si>
    <t>UG-WES-1809-012759</t>
  </si>
  <si>
    <t>Beyendeza Severino</t>
  </si>
  <si>
    <t>UG-WES-1809-012764</t>
  </si>
  <si>
    <t>Katagire Norah</t>
  </si>
  <si>
    <t>UG-WES-1807-013504</t>
  </si>
  <si>
    <t>Bizimana V Viyan</t>
  </si>
  <si>
    <t>western region</t>
  </si>
  <si>
    <t>Buyaga West</t>
  </si>
  <si>
    <t>UG-WES-1809-012766</t>
  </si>
  <si>
    <t>Col Namanya Johnson</t>
  </si>
  <si>
    <t>Obwengara</t>
  </si>
  <si>
    <t>UG-WES-1809-012767</t>
  </si>
  <si>
    <t>Tumuramye Emmanuel</t>
  </si>
  <si>
    <t>Burere</t>
  </si>
  <si>
    <t>Kikamba A</t>
  </si>
  <si>
    <t>UG-WES-1809-012769</t>
  </si>
  <si>
    <t>Tumuhairwe Patrick</t>
  </si>
  <si>
    <t>Nyakishana</t>
  </si>
  <si>
    <t>Kyenkaka</t>
  </si>
  <si>
    <t>UG-WES-1809-012812</t>
  </si>
  <si>
    <t>Muhumuza Robert</t>
  </si>
  <si>
    <t>UG-WES-1809-012813</t>
  </si>
  <si>
    <t>Muhangi Caroline Naturinda</t>
  </si>
  <si>
    <t>Majanga</t>
  </si>
  <si>
    <t>Buyajob</t>
  </si>
  <si>
    <t>UG-WES-1809-012814</t>
  </si>
  <si>
    <t>Muhabwa Laban</t>
  </si>
  <si>
    <t xml:space="preserve">0.685525, </t>
  </si>
  <si>
    <t>Kitagata town council</t>
  </si>
  <si>
    <t>UG-WES-1807-07583</t>
  </si>
  <si>
    <t>Rwakuburya Mwesigye Emmanuel</t>
  </si>
  <si>
    <t>Ntuura</t>
  </si>
  <si>
    <t>UG-WES-1809-012815</t>
  </si>
  <si>
    <t>Twinorusa Abdinego</t>
  </si>
  <si>
    <t>Nyakihita</t>
  </si>
  <si>
    <t>UG-WES-1809-013359</t>
  </si>
  <si>
    <t>Turiho Julius</t>
  </si>
  <si>
    <t>0.787985,</t>
  </si>
  <si>
    <t>Western  division</t>
  </si>
  <si>
    <t>UG-WES-1809-013507</t>
  </si>
  <si>
    <t>Kasumba K Ronald</t>
  </si>
  <si>
    <t>Karongo</t>
  </si>
  <si>
    <t>Nalubobya</t>
  </si>
  <si>
    <t>UG-WES-1809-013653</t>
  </si>
  <si>
    <t>Agumenaitwe Pascal</t>
  </si>
  <si>
    <t>Kitagata TC</t>
  </si>
  <si>
    <t>Nyamiyaga LC1</t>
  </si>
  <si>
    <t>UG-WES-1809-013654</t>
  </si>
  <si>
    <t>Kagaba Andrew</t>
  </si>
  <si>
    <t>Kyaka North</t>
  </si>
  <si>
    <t>Kyegegwa sub county</t>
  </si>
  <si>
    <t>Hairwe</t>
  </si>
  <si>
    <t>UG-WES-1809-013656</t>
  </si>
  <si>
    <t xml:space="preserve">Musominari Micheal </t>
  </si>
  <si>
    <t>Ruti</t>
  </si>
  <si>
    <t>UG-WES-1809-013659</t>
  </si>
  <si>
    <t>Tumwine Venacias</t>
  </si>
  <si>
    <t>Nyaniashaju</t>
  </si>
  <si>
    <t>UG-WES-1809-013662</t>
  </si>
  <si>
    <t>Esther Were</t>
  </si>
  <si>
    <t>Kyampango</t>
  </si>
  <si>
    <t>UG-WES-1809-07630</t>
  </si>
  <si>
    <t>Tucungwire Fred</t>
  </si>
  <si>
    <t>Katerera T.C</t>
  </si>
  <si>
    <t>UG-WES-1809-07637</t>
  </si>
  <si>
    <t xml:space="preserve">Tusiime Joseph </t>
  </si>
  <si>
    <t>UG-WES-1809-07641</t>
  </si>
  <si>
    <t>Nyakatare Charles</t>
  </si>
  <si>
    <t xml:space="preserve">0.791145, </t>
  </si>
  <si>
    <t>Rwakasasira</t>
  </si>
  <si>
    <t>UG-WES-1809-07643</t>
  </si>
  <si>
    <t>Mbabazi Leodinodius</t>
  </si>
  <si>
    <t xml:space="preserve">0.294482, </t>
  </si>
  <si>
    <t>Buhunga</t>
  </si>
  <si>
    <t>Mushasha</t>
  </si>
  <si>
    <t>UG-WES-1809-07646</t>
  </si>
  <si>
    <t>Ahimbisibwe David</t>
  </si>
  <si>
    <t>705258579/0705258579</t>
  </si>
  <si>
    <t>Nshongi</t>
  </si>
  <si>
    <t>UG-WES-1809-12402</t>
  </si>
  <si>
    <t>Bansigaraho Enid</t>
  </si>
  <si>
    <t xml:space="preserve">Kyangyenyi </t>
  </si>
  <si>
    <t>UG-WES-1809-12405</t>
  </si>
  <si>
    <t>Namanya Kasimburura</t>
  </si>
  <si>
    <t>Nyakabirizi Division</t>
  </si>
  <si>
    <t>Katunga</t>
  </si>
  <si>
    <t>UG-WES-1809-7636</t>
  </si>
  <si>
    <t>Kateibano Leonard</t>
  </si>
  <si>
    <t xml:space="preserve">0.439533, </t>
  </si>
  <si>
    <t>UG-WES-1810-012404</t>
  </si>
  <si>
    <t>Kyabirukwa Sisters Farm</t>
  </si>
  <si>
    <t>Kabingo Town Council</t>
  </si>
  <si>
    <t>Kyabirikwa</t>
  </si>
  <si>
    <t>UG-WES-1810-012502</t>
  </si>
  <si>
    <t>Mugizi Herbert Bamanya</t>
  </si>
  <si>
    <t>Kicece</t>
  </si>
  <si>
    <t>Nyaruhanda</t>
  </si>
  <si>
    <t>UG-WES-1810-012676</t>
  </si>
  <si>
    <t>Kagandika Joshua</t>
  </si>
  <si>
    <t>UG-WES-1810-012677</t>
  </si>
  <si>
    <t>Ruteitsya Enos</t>
  </si>
  <si>
    <t>UG-WES-1810-012768</t>
  </si>
  <si>
    <t>Turinawe Isreal</t>
  </si>
  <si>
    <t>Kikamba-A</t>
  </si>
  <si>
    <t>UG-WES-1810-012770</t>
  </si>
  <si>
    <t>Kembabazi Annan</t>
  </si>
  <si>
    <t>700764881 / 782449060</t>
  </si>
  <si>
    <t>UG-WES-1810-012771</t>
  </si>
  <si>
    <t>Bushweta Robert</t>
  </si>
  <si>
    <t>782683621/ 701279897</t>
  </si>
  <si>
    <t>UG-WES-1810-012772</t>
  </si>
  <si>
    <t>Bekunda Diisi Asaph</t>
  </si>
  <si>
    <t>0706943161/0778749557</t>
  </si>
  <si>
    <t>Kakyerere</t>
  </si>
  <si>
    <t>UG-WES-1810-012773</t>
  </si>
  <si>
    <t>Tugume Julius</t>
  </si>
  <si>
    <t>Rubenje</t>
  </si>
  <si>
    <t>UG-WES-1810-012816</t>
  </si>
  <si>
    <t>Nakabugo Jenifer</t>
  </si>
  <si>
    <t>Kyeibaare</t>
  </si>
  <si>
    <t>UG-WES-1810-012817</t>
  </si>
  <si>
    <t>Rutasheka Isaac</t>
  </si>
  <si>
    <t>UG-WES-1810-012820</t>
  </si>
  <si>
    <t>Tibijuka David</t>
  </si>
  <si>
    <t>Kirundwe</t>
  </si>
  <si>
    <t>UG-WES-1810-012821</t>
  </si>
  <si>
    <t>Zinkuratire Henry</t>
  </si>
  <si>
    <t>Mutojo Rwenanura</t>
  </si>
  <si>
    <t>UG-WES-1808-012452</t>
  </si>
  <si>
    <t>Muhoozi Alfred</t>
  </si>
  <si>
    <t>kyabagyenyi</t>
  </si>
  <si>
    <t>UG-WES-1810-013360</t>
  </si>
  <si>
    <t>Boaz Turyatemba</t>
  </si>
  <si>
    <t>Kakamba2</t>
  </si>
  <si>
    <t>UG-WES-1810-013361</t>
  </si>
  <si>
    <t>Orishaba Vanis</t>
  </si>
  <si>
    <t>Munoni</t>
  </si>
  <si>
    <t>UG-WES-1810-013666</t>
  </si>
  <si>
    <t>Kabaganda Stella</t>
  </si>
  <si>
    <t>Bwasha</t>
  </si>
  <si>
    <t>Nyango</t>
  </si>
  <si>
    <t>UG-WES-1810-06643</t>
  </si>
  <si>
    <t>Mpairwe Benard Benard</t>
  </si>
  <si>
    <t>Ruhind</t>
  </si>
  <si>
    <t>Mitooma t c</t>
  </si>
  <si>
    <t>Nyakahandagazi</t>
  </si>
  <si>
    <t>UG-WES-1810-07166</t>
  </si>
  <si>
    <t>Stephen Nsibambi</t>
  </si>
  <si>
    <t>30.1562295</t>
  </si>
  <si>
    <t>Murembye dividion</t>
  </si>
  <si>
    <t>Kibege</t>
  </si>
  <si>
    <t>UG-WES-1810-07638</t>
  </si>
  <si>
    <t>Mukundane Jackson</t>
  </si>
  <si>
    <t>Nyakanyinya</t>
  </si>
  <si>
    <t>UG-WES-1810-07642</t>
  </si>
  <si>
    <t>Byaruhanga Stanley</t>
  </si>
  <si>
    <t>Rwankakiri</t>
  </si>
  <si>
    <t>UG-WES-1810-07647</t>
  </si>
  <si>
    <t>Byaruhanga Asaph</t>
  </si>
  <si>
    <t>UG-WES-1810-08256</t>
  </si>
  <si>
    <t xml:space="preserve">TumwesigyeLawrence </t>
  </si>
  <si>
    <t>UG-WES-1810-12409</t>
  </si>
  <si>
    <t>Rwamafa Alfred</t>
  </si>
  <si>
    <t>UG-WES-1811-012415</t>
  </si>
  <si>
    <t>Nduwimana Martin</t>
  </si>
  <si>
    <t>30.122292</t>
  </si>
  <si>
    <t>western Region</t>
  </si>
  <si>
    <t>UG-WES-1811-012417</t>
  </si>
  <si>
    <t>Batarigaya Abert</t>
  </si>
  <si>
    <t>kyakahunga</t>
  </si>
  <si>
    <t>UG-WES-1808-012763</t>
  </si>
  <si>
    <t>Tumusiime Godfrey</t>
  </si>
  <si>
    <t>0773090809/0703000984</t>
  </si>
  <si>
    <t>UG-WES-1811-012454</t>
  </si>
  <si>
    <t>Rwehoda Ephraim</t>
  </si>
  <si>
    <t>Nkongoro</t>
  </si>
  <si>
    <t>UG-WES-1811-012679</t>
  </si>
  <si>
    <t>Arinaitwe John</t>
  </si>
  <si>
    <t>UG-WES-1811-012818</t>
  </si>
  <si>
    <t>Mukasa Hasan</t>
  </si>
  <si>
    <t>774314539/0705507357</t>
  </si>
  <si>
    <t>Ntoroko</t>
  </si>
  <si>
    <t>Rwebisengo</t>
  </si>
  <si>
    <t>Mukiimba 1</t>
  </si>
  <si>
    <t>UG-WES-1811-012822</t>
  </si>
  <si>
    <t>Mrs. Jenifer Mushabe</t>
  </si>
  <si>
    <t>UG-WES-1811-012823</t>
  </si>
  <si>
    <t>Eng. Katwiremu Jorokamu</t>
  </si>
  <si>
    <t>Kitagata Town council</t>
  </si>
  <si>
    <t>UG-WES-1811-012825</t>
  </si>
  <si>
    <t>Niini Everist</t>
  </si>
  <si>
    <t>Bizibibi</t>
  </si>
  <si>
    <t>UG-WES-1811-012826</t>
  </si>
  <si>
    <t>Karamagi Elisa</t>
  </si>
  <si>
    <t>Bunyangabu</t>
  </si>
  <si>
    <t>Rubona TC</t>
  </si>
  <si>
    <t>Burinda</t>
  </si>
  <si>
    <t>UG-WES-1811-012827</t>
  </si>
  <si>
    <t>Kemigisa Harriet</t>
  </si>
  <si>
    <t>Kabonero</t>
  </si>
  <si>
    <t>Kabonero. A</t>
  </si>
  <si>
    <t>UG-WES-1811-012828</t>
  </si>
  <si>
    <t>Banga John</t>
  </si>
  <si>
    <t>Busamba 1</t>
  </si>
  <si>
    <t>UG-WES-1811-012831</t>
  </si>
  <si>
    <t>Bamwenda Enock</t>
  </si>
  <si>
    <t>UG-WES-1811-012832</t>
  </si>
  <si>
    <t>Mutungwanda Elisa</t>
  </si>
  <si>
    <t>Karangura</t>
  </si>
  <si>
    <t>Kabango</t>
  </si>
  <si>
    <t>UG-WES-1811-013509</t>
  </si>
  <si>
    <t>Byaruhanga Amooti John</t>
  </si>
  <si>
    <t>Kyarabuyamba</t>
  </si>
  <si>
    <t>UG-WES-1811-07640</t>
  </si>
  <si>
    <t>Komweru Zenobia</t>
  </si>
  <si>
    <t>Rukondo</t>
  </si>
  <si>
    <t>UG-WES-1808-013663</t>
  </si>
  <si>
    <t>Were Charles</t>
  </si>
  <si>
    <t>UG-WES-1808-07384</t>
  </si>
  <si>
    <t>Musasira Kware Efrance ( Plant 1)</t>
  </si>
  <si>
    <t>0750681418/0776888001</t>
  </si>
  <si>
    <t>Rwakabugu</t>
  </si>
  <si>
    <t>UG-WES-1811-07644</t>
  </si>
  <si>
    <t>Bishanga Rodgers</t>
  </si>
  <si>
    <t>Rwengwe</t>
  </si>
  <si>
    <t>Kyankuba</t>
  </si>
  <si>
    <t>UG-WES-1811-08566</t>
  </si>
  <si>
    <t>John kawa Dr Binta Amoti</t>
  </si>
  <si>
    <t>Kanani Wilson</t>
  </si>
  <si>
    <t>30.703135</t>
  </si>
  <si>
    <t>UG-WES-1808-07677</t>
  </si>
  <si>
    <t>Client failed to feed the digester</t>
  </si>
  <si>
    <t>Mugisha Steven</t>
  </si>
  <si>
    <t>Nabubaare</t>
  </si>
  <si>
    <t>UG-WES-1808-103655</t>
  </si>
  <si>
    <t>Yorokamu  Kagwa (Plant 2)</t>
  </si>
  <si>
    <t>UG-WES-1811-12408</t>
  </si>
  <si>
    <t>Nyaishokye Jane</t>
  </si>
  <si>
    <t>30.704435</t>
  </si>
  <si>
    <t>Ekikoni</t>
  </si>
  <si>
    <t>UG-WES-1811-12414</t>
  </si>
  <si>
    <t>Kabandize Jackson</t>
  </si>
  <si>
    <t>30.720530</t>
  </si>
  <si>
    <t>Kashonga</t>
  </si>
  <si>
    <t>UG-WES-1812-012411</t>
  </si>
  <si>
    <t xml:space="preserve">Ndokeriire Patrick </t>
  </si>
  <si>
    <t>Kisambu</t>
  </si>
  <si>
    <t>UG-WES-1812-012418</t>
  </si>
  <si>
    <t>Kayebe Abert Makomba</t>
  </si>
  <si>
    <t>30.640443</t>
  </si>
  <si>
    <t>UG-WES-1808-7649</t>
  </si>
  <si>
    <t>Bagangye Davide</t>
  </si>
  <si>
    <t>UG-WES-1812-012419</t>
  </si>
  <si>
    <t>Lyamutsyomo Edith</t>
  </si>
  <si>
    <t> 30.494</t>
  </si>
  <si>
    <t>Rwetamu</t>
  </si>
  <si>
    <t>UG-WES-1812-012420</t>
  </si>
  <si>
    <t>Kato Ronald</t>
  </si>
  <si>
    <t> 0.9171</t>
  </si>
  <si>
    <t>Nyanongo</t>
  </si>
  <si>
    <t>UG-WES-1812-012824</t>
  </si>
  <si>
    <t>Mujuni Miria</t>
  </si>
  <si>
    <t>Kahama</t>
  </si>
  <si>
    <t>UG-WES-1812-012829</t>
  </si>
  <si>
    <t>Manume Jane</t>
  </si>
  <si>
    <t>UG-WES-1812-012830</t>
  </si>
  <si>
    <t>Kyalire Sulaiman</t>
  </si>
  <si>
    <t>UG-WES-1812-012833</t>
  </si>
  <si>
    <t>Baseka Boniface</t>
  </si>
  <si>
    <t>Buhikira</t>
  </si>
  <si>
    <t>UG-WES-1812-012834</t>
  </si>
  <si>
    <t>Twine Mujojo Louis</t>
  </si>
  <si>
    <t>Kanungu T/C</t>
  </si>
  <si>
    <t>Kishojwa</t>
  </si>
  <si>
    <t>UG-WES-1812-012836</t>
  </si>
  <si>
    <t>Mujuni Hilary</t>
  </si>
  <si>
    <t>UG-WES-1812-012839</t>
  </si>
  <si>
    <t>Tagga Frank</t>
  </si>
  <si>
    <t>UG-WES-1812-012840</t>
  </si>
  <si>
    <t>Ayebazibwe Moses</t>
  </si>
  <si>
    <t>Rwano</t>
  </si>
  <si>
    <t>UG-WES-1812-013665</t>
  </si>
  <si>
    <t xml:space="preserve">Nzanana Karamuzi John </t>
  </si>
  <si>
    <t>0755567115/0704043748</t>
  </si>
  <si>
    <t>Birunga LCI</t>
  </si>
  <si>
    <t>UG-WES-1812-013667</t>
  </si>
  <si>
    <t>Deogratious Enos Muhindo</t>
  </si>
  <si>
    <t>77322029028/0773907934</t>
  </si>
  <si>
    <t>UG-WES-1812-013668</t>
  </si>
  <si>
    <t xml:space="preserve">Muyongo Gidion </t>
  </si>
  <si>
    <t>Kyamukabe</t>
  </si>
  <si>
    <t>Nyamahwa</t>
  </si>
  <si>
    <t>UG-WES-1812-013669</t>
  </si>
  <si>
    <t>Barihabuka Stephen</t>
  </si>
  <si>
    <t>Kyamukube T/C</t>
  </si>
  <si>
    <t>Nyamahwa cell</t>
  </si>
  <si>
    <t>UG-WES-1812-013670</t>
  </si>
  <si>
    <t>Katuku Katuku Fenehansi</t>
  </si>
  <si>
    <t>Kinyampanika</t>
  </si>
  <si>
    <t>UG-WES-1812-013671</t>
  </si>
  <si>
    <t>Byaruhanga Ivan</t>
  </si>
  <si>
    <t>Burahi</t>
  </si>
  <si>
    <t>Karango Tc</t>
  </si>
  <si>
    <t>Burere B</t>
  </si>
  <si>
    <t>UG-WES-1812-013672</t>
  </si>
  <si>
    <t>Kyoshabire Angelica Kapere</t>
  </si>
  <si>
    <t>Kibitto</t>
  </si>
  <si>
    <t>Kabale/Kibitto</t>
  </si>
  <si>
    <t>Kanyalango B</t>
  </si>
  <si>
    <t>UG-WES-1812-013673</t>
  </si>
  <si>
    <t>Nzundu John</t>
  </si>
  <si>
    <t>Karugaya</t>
  </si>
  <si>
    <t>UG-WES-1812-013674</t>
  </si>
  <si>
    <t>Malesaba Enock</t>
  </si>
  <si>
    <t>Kinyampanika B</t>
  </si>
  <si>
    <t>UG-WES-1812-013801</t>
  </si>
  <si>
    <t>Kasimbazi Mirembe Hope</t>
  </si>
  <si>
    <t>Kalagama</t>
  </si>
  <si>
    <t>Bushamba</t>
  </si>
  <si>
    <t>Turyagyenda  Asigario</t>
  </si>
  <si>
    <t>Kahurire</t>
  </si>
  <si>
    <t>UG-WES-1812-08560</t>
  </si>
  <si>
    <t>Dr. Binta-kahwa John</t>
  </si>
  <si>
    <t>0772408375/0705312492</t>
  </si>
  <si>
    <t>Burasha</t>
  </si>
  <si>
    <t>Rwekumba</t>
  </si>
  <si>
    <t>UG-WES-1812-12406</t>
  </si>
  <si>
    <t>Turyatemba Kaurence</t>
  </si>
  <si>
    <t>Kakooba division</t>
  </si>
  <si>
    <t>Buremba</t>
  </si>
  <si>
    <t>UG-WES-1901- 012683</t>
  </si>
  <si>
    <t>Basabose Hope Ichimpaye</t>
  </si>
  <si>
    <t>Mwenge North</t>
  </si>
  <si>
    <t>Nyarushozi</t>
  </si>
  <si>
    <t>Kitoma</t>
  </si>
  <si>
    <t>UG-WES-1901-012416</t>
  </si>
  <si>
    <t>Jakiiga Bonfence</t>
  </si>
  <si>
    <t>Kibumba</t>
  </si>
  <si>
    <t>UG-WES-1901-012422</t>
  </si>
  <si>
    <t>Karenzi Steven</t>
  </si>
  <si>
    <t>Ruboona</t>
  </si>
  <si>
    <t>Buhuuna</t>
  </si>
  <si>
    <t>UG-WES-1901-012425</t>
  </si>
  <si>
    <t>Kubiriba Kensi</t>
  </si>
  <si>
    <t>772697656/751205480</t>
  </si>
  <si>
    <t>Biharare</t>
  </si>
  <si>
    <t>UG-WES-1901-012681</t>
  </si>
  <si>
    <t>John Patrick Byaruhanga</t>
  </si>
  <si>
    <t>Rwenshanku</t>
  </si>
  <si>
    <t>UG-WES-1901-012835</t>
  </si>
  <si>
    <t>Rwesiba Jackline</t>
  </si>
  <si>
    <t>UG-WES-1901-012837</t>
  </si>
  <si>
    <t>Buturo Nyiransabuwera Magret</t>
  </si>
  <si>
    <t>Kihihi T/C</t>
  </si>
  <si>
    <t>Rwemisisi</t>
  </si>
  <si>
    <t>UG-WES-1901-012844</t>
  </si>
  <si>
    <t>Masumbuku William</t>
  </si>
  <si>
    <t>Kunkizi town council</t>
  </si>
  <si>
    <t>UG-WES-1901-013676</t>
  </si>
  <si>
    <t>Twinamatsiko Robert</t>
  </si>
  <si>
    <t>Demolished</t>
  </si>
  <si>
    <t>Mary Basaja</t>
  </si>
  <si>
    <t>UG-WES-1901-013678</t>
  </si>
  <si>
    <t>Bagonza Nathan (plant 2)</t>
  </si>
  <si>
    <t>Mwesigye Mauda</t>
  </si>
  <si>
    <t>Ryampal</t>
  </si>
  <si>
    <t>Kibingo</t>
  </si>
  <si>
    <t>UG-WES-1901-12423</t>
  </si>
  <si>
    <t>Kafero Grace</t>
  </si>
  <si>
    <t>Buringo</t>
  </si>
  <si>
    <t>UG-WES-1902- 012682</t>
  </si>
  <si>
    <t>Rubyerwa Farm ( Plant 2)</t>
  </si>
  <si>
    <t>UG-WES-1902- 012684</t>
  </si>
  <si>
    <t>Aruho Eliezar</t>
  </si>
  <si>
    <t>Rwambabana</t>
  </si>
  <si>
    <t>UG-WES-1902- 012845</t>
  </si>
  <si>
    <t>Tumuramye James Sande</t>
  </si>
  <si>
    <t>UG-WES-1902-012455</t>
  </si>
  <si>
    <t>Turyahikayo Nobert</t>
  </si>
  <si>
    <t>UG-WES-1902-012680</t>
  </si>
  <si>
    <t>Kamukama Annex</t>
  </si>
  <si>
    <t>UG-WES-1902-012774</t>
  </si>
  <si>
    <t>Karangira Hope</t>
  </si>
  <si>
    <t>Nyatungu</t>
  </si>
  <si>
    <t>UG-WES-1810-012919</t>
  </si>
  <si>
    <t>Mrs Tukamwesiga Kakuhikire Jane (Plant 2)</t>
  </si>
  <si>
    <t>Nkunda</t>
  </si>
  <si>
    <t>UG-WES-1902-012819</t>
  </si>
  <si>
    <t>Tukamwesiga Jane Kakwihikire</t>
  </si>
  <si>
    <t>UG-WES-1902-012842</t>
  </si>
  <si>
    <t>Orishaba Enid</t>
  </si>
  <si>
    <t>Butogota town council</t>
  </si>
  <si>
    <t>Botogota Upper</t>
  </si>
  <si>
    <t>UG-WES-1902-012846</t>
  </si>
  <si>
    <t>Mbangirwoha Fred</t>
  </si>
  <si>
    <t>UG-WES-1902-013675</t>
  </si>
  <si>
    <t>Ayorekyire Jimu</t>
  </si>
  <si>
    <t>Rurengye</t>
  </si>
  <si>
    <t>UG-WES-1902-013679</t>
  </si>
  <si>
    <t>Bangirana Kakuba Franka</t>
  </si>
  <si>
    <t>UG-WES-1902-08359</t>
  </si>
  <si>
    <t>Mugenyizi Joseph (Plant 2)</t>
  </si>
  <si>
    <t>31.332540000000</t>
  </si>
  <si>
    <t xml:space="preserve">Kikuube </t>
  </si>
  <si>
    <t>Bulimba</t>
  </si>
  <si>
    <t>UG-WES-1903- 012849</t>
  </si>
  <si>
    <t>kyarimpa Henry</t>
  </si>
  <si>
    <t>Mwanjari</t>
  </si>
  <si>
    <t>UG-WES-1903-012427</t>
  </si>
  <si>
    <t>Dr. Bitariho Steven</t>
  </si>
  <si>
    <t>Rwendezi</t>
  </si>
  <si>
    <t>Bazirake Stephen</t>
  </si>
  <si>
    <t>Nshungye 1</t>
  </si>
  <si>
    <t>UG-WES-1903-013683</t>
  </si>
  <si>
    <t>Bashwekana Exavier Francis exavier</t>
  </si>
  <si>
    <t>UG-WES-1810-12678</t>
  </si>
  <si>
    <t>Basaja Mary</t>
  </si>
  <si>
    <t>UG-WES-1810-7428</t>
  </si>
  <si>
    <t>Dr mugasira Efrance Kware (Plant 2)</t>
  </si>
  <si>
    <t>UG-WES-1903-013684</t>
  </si>
  <si>
    <t xml:space="preserve">Muhairwe Mary </t>
  </si>
  <si>
    <t>Minicipality</t>
  </si>
  <si>
    <t>Rqendama</t>
  </si>
  <si>
    <t>UG-WES-1903-013685</t>
  </si>
  <si>
    <t xml:space="preserve">Begumamu Rauben </t>
  </si>
  <si>
    <t>Rwabaranga</t>
  </si>
  <si>
    <t>UG-WES-1903-08360</t>
  </si>
  <si>
    <t>Mutashwera Apollo</t>
  </si>
  <si>
    <t>Isanyu</t>
  </si>
  <si>
    <t>UG-WES-1903-12685</t>
  </si>
  <si>
    <t>Nantongo Nuliat</t>
  </si>
  <si>
    <t>UG-WES-1811-012761</t>
  </si>
  <si>
    <t>ARIHO PAUSON</t>
  </si>
  <si>
    <t>Engaju</t>
  </si>
  <si>
    <t>Marinde</t>
  </si>
  <si>
    <t>UG-WES-1904-012584</t>
  </si>
  <si>
    <t>Twikirize Stephen Akiiki</t>
  </si>
  <si>
    <t>Mpinga</t>
  </si>
  <si>
    <t>UG-WES-1904-012687</t>
  </si>
  <si>
    <t>Kabwekyere Flavia</t>
  </si>
  <si>
    <t>Masheruka Division</t>
  </si>
  <si>
    <t>Kabusye</t>
  </si>
  <si>
    <t>UG-WES-1904-013686</t>
  </si>
  <si>
    <t>Turyasingura Stephen</t>
  </si>
  <si>
    <t>Itema</t>
  </si>
  <si>
    <t>UG-WES-1904-013687</t>
  </si>
  <si>
    <t xml:space="preserve"> Tumushabe David</t>
  </si>
  <si>
    <t>Akatongole</t>
  </si>
  <si>
    <t>UG-WES-1904-014001</t>
  </si>
  <si>
    <t>Basinyora Posiano</t>
  </si>
  <si>
    <t>Rutoky TC</t>
  </si>
  <si>
    <t>UG-WES-1904-014002</t>
  </si>
  <si>
    <t>Mrs. Turinawe Charity</t>
  </si>
  <si>
    <t>Rutokye TC</t>
  </si>
  <si>
    <t>Baogomora !</t>
  </si>
  <si>
    <t>UG-WES-1904-08059</t>
  </si>
  <si>
    <t>Karisa Stanly</t>
  </si>
  <si>
    <t>Kakoni B</t>
  </si>
  <si>
    <t>UG-WES-1904-08061</t>
  </si>
  <si>
    <t>Tindarwesire William</t>
  </si>
  <si>
    <t>Kyakarizi</t>
  </si>
  <si>
    <t>UG-WES-1904-08063</t>
  </si>
  <si>
    <t>Morning Charles</t>
  </si>
  <si>
    <t>Kisambya</t>
  </si>
  <si>
    <t>UG-WES-1904-08066</t>
  </si>
  <si>
    <t>Alichamu Robert</t>
  </si>
  <si>
    <t>Ijugagoma</t>
  </si>
  <si>
    <t>UG-WES-1904-08067</t>
  </si>
  <si>
    <t>Mugisha George</t>
  </si>
  <si>
    <t>UG-WES-1904-08069</t>
  </si>
  <si>
    <t>Margret Tumuhairwe</t>
  </si>
  <si>
    <t>UG-WES-1905- 012688</t>
  </si>
  <si>
    <t>Nampwera Moses Katufu</t>
  </si>
  <si>
    <t>Kaguugu</t>
  </si>
  <si>
    <t>UG-WES-1905- 012847</t>
  </si>
  <si>
    <t>Bitwa Maria</t>
  </si>
  <si>
    <t>Rukoni</t>
  </si>
  <si>
    <t>UG-WES-1905-012456</t>
  </si>
  <si>
    <t>Kyaguranyi Feresta</t>
  </si>
  <si>
    <t>UG-WES-1905-012457</t>
  </si>
  <si>
    <t>Katana Emmanuel</t>
  </si>
  <si>
    <t>Nyabushozi I</t>
  </si>
  <si>
    <t>UG-WES-1812-012410</t>
  </si>
  <si>
    <t>Mujwara Monday</t>
  </si>
  <si>
    <t>Ruboona TC</t>
  </si>
  <si>
    <t>UG-WES-1905-012458</t>
  </si>
  <si>
    <t>Kellen Kayonga</t>
  </si>
  <si>
    <t>Akashenshero</t>
  </si>
  <si>
    <t>UG-WES-1905-012459</t>
  </si>
  <si>
    <t>Karuhanga Elly</t>
  </si>
  <si>
    <t>Kyakabunga</t>
  </si>
  <si>
    <t>UG-WES-1905-012463</t>
  </si>
  <si>
    <t>Dr. Hillary Arinaitwe</t>
  </si>
  <si>
    <t>Kangongo ward</t>
  </si>
  <si>
    <t>Kikucu II</t>
  </si>
  <si>
    <t>UG-WES-1905-013688</t>
  </si>
  <si>
    <t>Nkunya Simon</t>
  </si>
  <si>
    <t>Shema municipality</t>
  </si>
  <si>
    <t>Kihanga</t>
  </si>
  <si>
    <t>UG-WES-1905-013689</t>
  </si>
  <si>
    <t>Mucunguzi Geofrey Geofrey</t>
  </si>
  <si>
    <t>Shema</t>
  </si>
  <si>
    <t>Kabwohe Division</t>
  </si>
  <si>
    <t>Kibutamu 11</t>
  </si>
  <si>
    <t>UG-WES-1905-014005</t>
  </si>
  <si>
    <t>Kwesiga Oneck Pius</t>
  </si>
  <si>
    <t>Nyakajeme</t>
  </si>
  <si>
    <t>UG-WES-1905-014006</t>
  </si>
  <si>
    <t xml:space="preserve">Baruku Henry </t>
  </si>
  <si>
    <t>Busongola south</t>
  </si>
  <si>
    <t>UG-WES-1905-014007</t>
  </si>
  <si>
    <t>Muderevu John</t>
  </si>
  <si>
    <t>UG-WES-1905-014008</t>
  </si>
  <si>
    <t>Ntungwa Samwel</t>
  </si>
  <si>
    <t>Vincent Twahirwa</t>
  </si>
  <si>
    <t>Bujubuli west</t>
  </si>
  <si>
    <t>UG-WES-1905-06872</t>
  </si>
  <si>
    <t>Kabogoza Sadic Hajji</t>
  </si>
  <si>
    <t>Nyalubungo</t>
  </si>
  <si>
    <t>Kabukondolo</t>
  </si>
  <si>
    <t>UG-WES-1905-08068</t>
  </si>
  <si>
    <t>Friday Gerald Rusoke</t>
  </si>
  <si>
    <t xml:space="preserve">Fred Mbangirwoha </t>
  </si>
  <si>
    <t xml:space="preserve">kitojo </t>
  </si>
  <si>
    <t>UG-WES-1905-08070</t>
  </si>
  <si>
    <t>Baguma Patrick</t>
  </si>
  <si>
    <t>UG-WES-1905-08071</t>
  </si>
  <si>
    <t>Rev. Twesigye Elijah</t>
  </si>
  <si>
    <t>Nkanja B</t>
  </si>
  <si>
    <t>UG-WES-1905-08072</t>
  </si>
  <si>
    <t>Kasozi Juma</t>
  </si>
  <si>
    <t>UG-WES-1905-08258</t>
  </si>
  <si>
    <t>Nshekanabo Angero</t>
  </si>
  <si>
    <t>Bufumbira south</t>
  </si>
  <si>
    <t>Chahi</t>
  </si>
  <si>
    <t>Rutare</t>
  </si>
  <si>
    <t>UG-WES-1906-012429</t>
  </si>
  <si>
    <t>Arinaitwe Did Johnson</t>
  </si>
  <si>
    <t>UG-WES-1906-012462</t>
  </si>
  <si>
    <t>Katwire Nathan</t>
  </si>
  <si>
    <t>Rwamabondo town council</t>
  </si>
  <si>
    <t>Kakananga</t>
  </si>
  <si>
    <t>UG-WES-1906-012590</t>
  </si>
  <si>
    <t>Byarugaba Medard</t>
  </si>
  <si>
    <t>Katobotobo</t>
  </si>
  <si>
    <t>UG-WES-1906-012591</t>
  </si>
  <si>
    <t>Mwiine Joshua Abiine</t>
  </si>
  <si>
    <t>Bukonjo East</t>
  </si>
  <si>
    <t>Nyakatonzi</t>
  </si>
  <si>
    <t>Ishizi</t>
  </si>
  <si>
    <t>UG-WES-1906-012696</t>
  </si>
  <si>
    <t>Ikarato Glades</t>
  </si>
  <si>
    <t>Ishazi</t>
  </si>
  <si>
    <t>UG-WES-1906-013692</t>
  </si>
  <si>
    <t>Teopista Kyomuhangi</t>
  </si>
  <si>
    <t>Nyakasharara</t>
  </si>
  <si>
    <t>UG-WES-1906-014011</t>
  </si>
  <si>
    <t>Rwanyarare William</t>
  </si>
  <si>
    <t>Rukiga</t>
  </si>
  <si>
    <t>Kanywero</t>
  </si>
  <si>
    <t>UG-WES-1906-014012</t>
  </si>
  <si>
    <t>Wamala Raimondi</t>
  </si>
  <si>
    <t>UG-WES-1906-08075</t>
  </si>
  <si>
    <t>IDD Asiimwe</t>
  </si>
  <si>
    <t>UG-WES-1906-12431</t>
  </si>
  <si>
    <t>Ntobotobo Elizabeth</t>
  </si>
  <si>
    <t>UG-WES-1901-012412</t>
  </si>
  <si>
    <t>Kabagambe Richard</t>
  </si>
  <si>
    <t>Burongo s</t>
  </si>
  <si>
    <t>UG-WES-1907- 014028</t>
  </si>
  <si>
    <t xml:space="preserve">Mrs Kamanzi Ansila Muderevu </t>
  </si>
  <si>
    <t>Kinkizi west</t>
  </si>
  <si>
    <t>Kihihi town council</t>
  </si>
  <si>
    <t>Rukutwa street</t>
  </si>
  <si>
    <t>UG-WES-1907-012430</t>
  </si>
  <si>
    <t>Sunday Steven</t>
  </si>
  <si>
    <t>Bushenyi municipal</t>
  </si>
  <si>
    <t>UG-WES-1907-012433</t>
  </si>
  <si>
    <t>Kashaija Laban</t>
  </si>
  <si>
    <t>Kyashema</t>
  </si>
  <si>
    <t>Kyashama</t>
  </si>
  <si>
    <t>UG-WES-1907-012434</t>
  </si>
  <si>
    <t>Col Ndyanabo Martin</t>
  </si>
  <si>
    <t>Mbarara Muncipality</t>
  </si>
  <si>
    <t>Nyakayoyojo Division</t>
  </si>
  <si>
    <t>UG-WES-1907-012435</t>
  </si>
  <si>
    <t>Muhairwe Jackson</t>
  </si>
  <si>
    <t>Rweibogo !</t>
  </si>
  <si>
    <t>UG-WES-1907-012574</t>
  </si>
  <si>
    <t>Nyakana Richard</t>
  </si>
  <si>
    <t>Rwengaju</t>
  </si>
  <si>
    <t>UG-WES-1907-012689</t>
  </si>
  <si>
    <t>Rwabugarame David</t>
  </si>
  <si>
    <t>UG-WES-1907-012775</t>
  </si>
  <si>
    <t>Muhumuza Enos</t>
  </si>
  <si>
    <t>Kakindo T/C</t>
  </si>
  <si>
    <t>Kyabahiiza 3</t>
  </si>
  <si>
    <t>UG-WES-1907-013695</t>
  </si>
  <si>
    <t xml:space="preserve">Sr. Evangelista Batengire </t>
  </si>
  <si>
    <t>Fortpatal municipality</t>
  </si>
  <si>
    <t>Villica hill</t>
  </si>
  <si>
    <t>UG-WES-1907-013696</t>
  </si>
  <si>
    <t>Mwesigye Kajumba Magrete</t>
  </si>
  <si>
    <t>Kyarutera</t>
  </si>
  <si>
    <t>Asigario Turyagyenda</t>
  </si>
  <si>
    <t>UG-WES-1907-014015</t>
  </si>
  <si>
    <t>Kaganda Robert</t>
  </si>
  <si>
    <t>702242714/ 0702325328</t>
  </si>
  <si>
    <t>Kicwamba</t>
  </si>
  <si>
    <t>Nyankwanzi</t>
  </si>
  <si>
    <t>UG-WES-1901-13680</t>
  </si>
  <si>
    <t>Mwesigye  Mauda</t>
  </si>
  <si>
    <t>UG-WES-1907-014016</t>
  </si>
  <si>
    <t>Sande Patrick</t>
  </si>
  <si>
    <t>Kicuna</t>
  </si>
  <si>
    <t>UG-WES-1907-014017</t>
  </si>
  <si>
    <t>Nyabongo Godfrey</t>
  </si>
  <si>
    <t>Kisasa</t>
  </si>
  <si>
    <t>UG-WES-1907-014018</t>
  </si>
  <si>
    <t>Tumuhirwe Frank</t>
  </si>
  <si>
    <t>mbarara</t>
  </si>
  <si>
    <t>nyarasa</t>
  </si>
  <si>
    <t>UG-WES-1907-014020</t>
  </si>
  <si>
    <t>Can.Mirika Zine</t>
  </si>
  <si>
    <t>Nyakatare</t>
  </si>
  <si>
    <t>UG-WES-1907-014021</t>
  </si>
  <si>
    <t>Owomugisha Anet Rumumba</t>
  </si>
  <si>
    <t>Burema</t>
  </si>
  <si>
    <t>UG-WES-1907-014023</t>
  </si>
  <si>
    <t>Birungi Lydia</t>
  </si>
  <si>
    <t>Nyaruharo</t>
  </si>
  <si>
    <t>UG-WES-1907-014024</t>
  </si>
  <si>
    <t>Tayebwa Joan</t>
  </si>
  <si>
    <t>Kinkizi</t>
  </si>
  <si>
    <t>UG-WES-1907-014025</t>
  </si>
  <si>
    <t>Mugisha Vastine</t>
  </si>
  <si>
    <t>Kihihi Town Council</t>
  </si>
  <si>
    <t>UG-WES-1902-012843</t>
  </si>
  <si>
    <t>Turiyo Johnson</t>
  </si>
  <si>
    <t>Kiragiro</t>
  </si>
  <si>
    <t>UG-WES-1907-014026</t>
  </si>
  <si>
    <t>Nahamya Ishmeal</t>
  </si>
  <si>
    <t>buhamba</t>
  </si>
  <si>
    <t>UG-WES-1907-014027</t>
  </si>
  <si>
    <t>KDC Stock Farm</t>
  </si>
  <si>
    <t>Nyaruhanga</t>
  </si>
  <si>
    <t>UG-WES-1907-014030</t>
  </si>
  <si>
    <t>Aulea Muhumuza</t>
  </si>
  <si>
    <t>UG-WES-1902-08358</t>
  </si>
  <si>
    <t>NO GPS</t>
  </si>
  <si>
    <t>Muzungu Geofrey</t>
  </si>
  <si>
    <t>Bweyale</t>
  </si>
  <si>
    <t>UG-WES-1907-014032</t>
  </si>
  <si>
    <t>Niwagaba Francis</t>
  </si>
  <si>
    <t>Nyakagyezi</t>
  </si>
  <si>
    <t>UG-WES-1907-06391</t>
  </si>
  <si>
    <t>Agid Dairy farm</t>
  </si>
  <si>
    <t>UG-WES-1907-07170</t>
  </si>
  <si>
    <t>Katenta Obbo</t>
  </si>
  <si>
    <t>Harukooto</t>
  </si>
  <si>
    <t>UG-WES-1903-012848</t>
  </si>
  <si>
    <t>Rev Polly Matsiko Baitwa</t>
  </si>
  <si>
    <t>Kitwe I</t>
  </si>
  <si>
    <t>UG-WES-1903-013681</t>
  </si>
  <si>
    <t>Plant requires medium category repairs</t>
  </si>
  <si>
    <t>Fred Mugizi Nkombe</t>
  </si>
  <si>
    <t>Nyakaguruka</t>
  </si>
  <si>
    <t>UG-WES-1907-08259</t>
  </si>
  <si>
    <t>Fr. Niwagaba Nestorio</t>
  </si>
  <si>
    <t>Rubuguri Town Council</t>
  </si>
  <si>
    <t>Kashija</t>
  </si>
  <si>
    <t>UG-WES-1908- 014039</t>
  </si>
  <si>
    <t xml:space="preserve">Magezi Abatt </t>
  </si>
  <si>
    <t>Bushuura</t>
  </si>
  <si>
    <t>UG-WES-1908-012436</t>
  </si>
  <si>
    <t>Byensi Tadeo</t>
  </si>
  <si>
    <t>Nyakasharu</t>
  </si>
  <si>
    <t>Buhera</t>
  </si>
  <si>
    <t>UG-WES-1908-012470</t>
  </si>
  <si>
    <t>Rutooma Secondary school (Plant 1)</t>
  </si>
  <si>
    <t>chinese plastic</t>
  </si>
  <si>
    <t>UG-WES-1908-012471</t>
  </si>
  <si>
    <t>Mutabazi Conny</t>
  </si>
  <si>
    <t>Mile 5</t>
  </si>
  <si>
    <t>UG-WES-1908-012472</t>
  </si>
  <si>
    <t>Holy Dove Vocational secondary school (plant 1)</t>
  </si>
  <si>
    <t>Bukonzo West</t>
  </si>
  <si>
    <t>Kinyamaseke</t>
  </si>
  <si>
    <t>UG-WES-1908-012474</t>
  </si>
  <si>
    <t>Kiyonga Chrispus</t>
  </si>
  <si>
    <t>UG-WES-1908-012475</t>
  </si>
  <si>
    <t>Bukenya Swizin</t>
  </si>
  <si>
    <t>Rwentuha</t>
  </si>
  <si>
    <t>UG-WES-1908-012476</t>
  </si>
  <si>
    <t>Kacwanisa Michael</t>
  </si>
  <si>
    <t>Muhumure</t>
  </si>
  <si>
    <t>UG-WES-1908-012477</t>
  </si>
  <si>
    <t>Muyonjo Charles</t>
  </si>
  <si>
    <t>Kyamukube town council</t>
  </si>
  <si>
    <t>UG-WES-1908-013693</t>
  </si>
  <si>
    <t xml:space="preserve">Mugisha Moris </t>
  </si>
  <si>
    <t>uhokya</t>
  </si>
  <si>
    <t>Ruteke</t>
  </si>
  <si>
    <t>UG-WES-1908-013697</t>
  </si>
  <si>
    <t>Mutatina Justas Afande Masasi</t>
  </si>
  <si>
    <t>Nyabusghozi</t>
  </si>
  <si>
    <t>Kacumburo</t>
  </si>
  <si>
    <t>UG-WES-1904-014004</t>
  </si>
  <si>
    <t>Ali Rugomwa</t>
  </si>
  <si>
    <t>Kihihi T/council</t>
  </si>
  <si>
    <t>UG-WES-1908-013698</t>
  </si>
  <si>
    <t>Daniel Mwebesa Muhereza</t>
  </si>
  <si>
    <t>Kyenshama</t>
  </si>
  <si>
    <t>UG-WES-1908-013699</t>
  </si>
  <si>
    <t xml:space="preserve">Isac Katondoro </t>
  </si>
  <si>
    <t>Kizoba</t>
  </si>
  <si>
    <t>UG-WES-1908-013700</t>
  </si>
  <si>
    <t>Rwabukyonyo Amon</t>
  </si>
  <si>
    <t>Rwamabondo</t>
  </si>
  <si>
    <t>Kakamanga</t>
  </si>
  <si>
    <t>UG-WES-1908-013912</t>
  </si>
  <si>
    <t>Josoli Green world</t>
  </si>
  <si>
    <t>Masindi tc</t>
  </si>
  <si>
    <t>Kabalwana</t>
  </si>
  <si>
    <t>UG-WES-1908-014019</t>
  </si>
  <si>
    <t>Rev. Tibamwenda George</t>
  </si>
  <si>
    <t>Kyampungu</t>
  </si>
  <si>
    <t>UG-WES-1908-014029</t>
  </si>
  <si>
    <t>Rev. can Tibemanya Elifazi</t>
  </si>
  <si>
    <t>UG-WES-1908-014031</t>
  </si>
  <si>
    <t>Tukamushaba Aggrey</t>
  </si>
  <si>
    <t>Buhoro</t>
  </si>
  <si>
    <t>UG-WES-1908-014033</t>
  </si>
  <si>
    <t xml:space="preserve">Tumwesigye Ediwin </t>
  </si>
  <si>
    <t>Rumba</t>
  </si>
  <si>
    <t>UG-WES-1908-014035</t>
  </si>
  <si>
    <t>Byamukama Dismas</t>
  </si>
  <si>
    <t>UG-WES-1908-014048</t>
  </si>
  <si>
    <t>Orirama Osica</t>
  </si>
  <si>
    <t>Burebane</t>
  </si>
  <si>
    <t>UG-WES-1908-014049</t>
  </si>
  <si>
    <t>Mrs Tuwangye Rose</t>
  </si>
  <si>
    <t>UG-WES-1908-014050</t>
  </si>
  <si>
    <t>Mubangizi Appolo Hakiza</t>
  </si>
  <si>
    <t>Kyakagezi</t>
  </si>
  <si>
    <t>UG-WES-1908-014451</t>
  </si>
  <si>
    <t xml:space="preserve">Ishanga Francis </t>
  </si>
  <si>
    <t>UG-WES-1908-014452</t>
  </si>
  <si>
    <t xml:space="preserve">Turyazayo Elidard </t>
  </si>
  <si>
    <t>Nyakatokye</t>
  </si>
  <si>
    <t>UG-WES-1908-04034</t>
  </si>
  <si>
    <t>Oryeteisa John</t>
  </si>
  <si>
    <t>Rwendahi</t>
  </si>
  <si>
    <t>UG-WES-1905-013690</t>
  </si>
  <si>
    <t xml:space="preserve">Ninsiima Damalie </t>
  </si>
  <si>
    <t>Kigarama farmers</t>
  </si>
  <si>
    <t>Nyakasharira</t>
  </si>
  <si>
    <t>UG-WES-1908-07421</t>
  </si>
  <si>
    <t>Manyindo John Charles Amooti</t>
  </si>
  <si>
    <t>Nyakogongo</t>
  </si>
  <si>
    <t>UG-WES-1908-07422</t>
  </si>
  <si>
    <t>Siima Rodgers Amooti</t>
  </si>
  <si>
    <t>UG-WES-1908-12437</t>
  </si>
  <si>
    <t>Kacuruza Enock</t>
  </si>
  <si>
    <t>Kyamutsyoka</t>
  </si>
  <si>
    <t>UG-WES-1908-12690</t>
  </si>
  <si>
    <t>Tugume Eric</t>
  </si>
  <si>
    <t>Municipality/Eastern</t>
  </si>
  <si>
    <t>Eastern</t>
  </si>
  <si>
    <t>Kamuri</t>
  </si>
  <si>
    <t>UG-WES-1909- 014037</t>
  </si>
  <si>
    <t>Mrs Gava Mauda</t>
  </si>
  <si>
    <t>Rutokye</t>
  </si>
  <si>
    <t>Rutokye 2</t>
  </si>
  <si>
    <t>UG-WES-1909- 014045</t>
  </si>
  <si>
    <t>Kashunju Geofry</t>
  </si>
  <si>
    <t>kanungu</t>
  </si>
  <si>
    <t>Busherere I</t>
  </si>
  <si>
    <t>UG-WES-1909- 014153</t>
  </si>
  <si>
    <t>Kamacunda Apofia</t>
  </si>
  <si>
    <t>Kataruka</t>
  </si>
  <si>
    <t>UG-WES-1909- 014159</t>
  </si>
  <si>
    <t>Mugabirwe Robert</t>
  </si>
  <si>
    <t>Karimbiro</t>
  </si>
  <si>
    <t>UG-WES-1909- 014161</t>
  </si>
  <si>
    <t>Bidyensi Abel</t>
  </si>
  <si>
    <t>Kyeijanga</t>
  </si>
  <si>
    <t>UG-WES-1909- 014163</t>
  </si>
  <si>
    <t>Sebukanga Ndazigaruye Ally</t>
  </si>
  <si>
    <t>Kihihi T,/c</t>
  </si>
  <si>
    <t>Ruyayo</t>
  </si>
  <si>
    <t>UG-WES-1909- 014167</t>
  </si>
  <si>
    <t>Mugisha Stephen</t>
  </si>
  <si>
    <t>UG-WES-1909-012438</t>
  </si>
  <si>
    <t>Turumu John</t>
  </si>
  <si>
    <t>Rwebokona</t>
  </si>
  <si>
    <t>UG-WES-1909-012439</t>
  </si>
  <si>
    <t>Kamugisha Innocent</t>
  </si>
  <si>
    <t>Kyakabindi</t>
  </si>
  <si>
    <t>UG-WES-1909-012440</t>
  </si>
  <si>
    <t>Betungura Milton</t>
  </si>
  <si>
    <t>Rwenzeru</t>
  </si>
  <si>
    <t>UG-WES-1909-012441</t>
  </si>
  <si>
    <t>Tumusiime Bosco John</t>
  </si>
  <si>
    <t>UG-WES-1909-012442</t>
  </si>
  <si>
    <t>Asiimwe Edida</t>
  </si>
  <si>
    <t>Kyakanrkye</t>
  </si>
  <si>
    <t>UG-WES-1909-012484</t>
  </si>
  <si>
    <t>Rweishaka Enos Asiimwe</t>
  </si>
  <si>
    <t>Sanga town council</t>
  </si>
  <si>
    <t>UG-WES-1909-012485</t>
  </si>
  <si>
    <t>Rosemary Kiconco</t>
  </si>
  <si>
    <t>Kashare</t>
  </si>
  <si>
    <t>Rweishamiro</t>
  </si>
  <si>
    <t>Ndabahweje Kaita Joseph plant 2</t>
  </si>
  <si>
    <t>Ntungamo Municipality</t>
  </si>
  <si>
    <t>UG-WES-1909-013694</t>
  </si>
  <si>
    <t>Bataringaya Dan Dan</t>
  </si>
  <si>
    <t>Mujunju 11</t>
  </si>
  <si>
    <t>UG-WES-1909-014036</t>
  </si>
  <si>
    <t>Twesigye Allen</t>
  </si>
  <si>
    <t>UG-WES-1909-014038</t>
  </si>
  <si>
    <t>Magunja Adonia</t>
  </si>
  <si>
    <t>Nyakatooma</t>
  </si>
  <si>
    <t>UG-WES-1909-014040</t>
  </si>
  <si>
    <t>Gabosya Oliva</t>
  </si>
  <si>
    <t>Nyamakamba</t>
  </si>
  <si>
    <t>UG-WES-1909-014041</t>
  </si>
  <si>
    <t>Kwihuuma Jack</t>
  </si>
  <si>
    <t>UG-WES-1909-014042</t>
  </si>
  <si>
    <t>Asiimwe Simoni</t>
  </si>
  <si>
    <t>Nyakibuga</t>
  </si>
  <si>
    <t>UG-WES-1909-014043</t>
  </si>
  <si>
    <t>Behemwire Elidad</t>
  </si>
  <si>
    <t>Rugarambiro</t>
  </si>
  <si>
    <t>UG-WES-1909-014046</t>
  </si>
  <si>
    <t xml:space="preserve">Uwera Peninnah </t>
  </si>
  <si>
    <t>Kihihi TC</t>
  </si>
  <si>
    <t>Nyakiyaga</t>
  </si>
  <si>
    <t>UG-WES-1909-014152</t>
  </si>
  <si>
    <t>Adyatunga Wilison Banard</t>
  </si>
  <si>
    <t>UG-WES-1909-014154</t>
  </si>
  <si>
    <t>KikoniEmmanuel</t>
  </si>
  <si>
    <t>Rubanga</t>
  </si>
  <si>
    <t>Kihengamo</t>
  </si>
  <si>
    <t>UG-WES-1909-014155</t>
  </si>
  <si>
    <t>Kibamucwera Kedress</t>
  </si>
  <si>
    <t>UG-WES-1909-014156</t>
  </si>
  <si>
    <t>Akankwasa Judith</t>
  </si>
  <si>
    <t>Kiyanja</t>
  </si>
  <si>
    <t>UG-WES-1907-014014</t>
  </si>
  <si>
    <t>Mbabazi Norah</t>
  </si>
  <si>
    <t>L. Katwe</t>
  </si>
  <si>
    <t>UG-WES-1909-014158</t>
  </si>
  <si>
    <t>Mrs Kahuuta Zerida</t>
  </si>
  <si>
    <t>Rwashamaire T/c</t>
  </si>
  <si>
    <t>Rwashamaire south</t>
  </si>
  <si>
    <t>UG-WES-1909-014160</t>
  </si>
  <si>
    <t>Can.Tumushabe Peace Kelen</t>
  </si>
  <si>
    <t>UG-WES-1909-014162</t>
  </si>
  <si>
    <t>Musinguzi George</t>
  </si>
  <si>
    <t>UG-WES-1909-014165</t>
  </si>
  <si>
    <t>Bahangara Alfred</t>
  </si>
  <si>
    <t>Ibambiro</t>
  </si>
  <si>
    <t>UG-WES-1909-014166</t>
  </si>
  <si>
    <t>Nuwamanya Kelen</t>
  </si>
  <si>
    <t>UG-WES-1909-014168</t>
  </si>
  <si>
    <t>Owomugisha Juliet</t>
  </si>
  <si>
    <t>Mashenga</t>
  </si>
  <si>
    <t>UG-WES-1909-014169</t>
  </si>
  <si>
    <t>Mugarura Topher</t>
  </si>
  <si>
    <t>UG-WES-1909-014170</t>
  </si>
  <si>
    <t>Kikabarema Vasta</t>
  </si>
  <si>
    <t>Nrugunda</t>
  </si>
  <si>
    <t>UG-WES-1909-014171</t>
  </si>
  <si>
    <t>Korugyegye Costance</t>
  </si>
  <si>
    <t>UG-WES-1909-014172</t>
  </si>
  <si>
    <t>Ijuka Nicolus Kifurembe</t>
  </si>
  <si>
    <t>Nyarugunda</t>
  </si>
  <si>
    <t>UG-WES-1909-014174</t>
  </si>
  <si>
    <t>Korutokye Patirisia</t>
  </si>
  <si>
    <t>UG-WES-1909-014178</t>
  </si>
  <si>
    <t>Can.Ndyahika Jocelyn</t>
  </si>
  <si>
    <t>Omukibungo</t>
  </si>
  <si>
    <t>UG-WES-1909-014179</t>
  </si>
  <si>
    <t>Bishop Dan Zoreka</t>
  </si>
  <si>
    <t>UG-WES-1909-014184</t>
  </si>
  <si>
    <t>Rev. Rubarema David</t>
  </si>
  <si>
    <t>Kambunga</t>
  </si>
  <si>
    <t>Rushebeya</t>
  </si>
  <si>
    <t>UG-WES-1909-014454</t>
  </si>
  <si>
    <t>James Wamala</t>
  </si>
  <si>
    <t>Ndyeru</t>
  </si>
  <si>
    <t>UG-WES-1909-014455</t>
  </si>
  <si>
    <t>Oweyesigyire James James</t>
  </si>
  <si>
    <t>UG-WES-1909-014456</t>
  </si>
  <si>
    <t>Topher Aryatuhwera Topher</t>
  </si>
  <si>
    <t>Ndija</t>
  </si>
  <si>
    <t>Bungyereza</t>
  </si>
  <si>
    <t>UG-WES-1909-014457</t>
  </si>
  <si>
    <t>Byaruhanga Elia Elias</t>
  </si>
  <si>
    <t>Kanyarweru</t>
  </si>
  <si>
    <t>UG-WES-1908-012469</t>
  </si>
  <si>
    <t>Rutooma Secondary school (Plant 2)</t>
  </si>
  <si>
    <t>UG-WES-1909-014458</t>
  </si>
  <si>
    <t>Asaph Nuwabine</t>
  </si>
  <si>
    <t>Matimba</t>
  </si>
  <si>
    <t>UG-WES-1909-014459</t>
  </si>
  <si>
    <t>Selestino Selestino Twinomugisha</t>
  </si>
  <si>
    <t>St kagwa</t>
  </si>
  <si>
    <t>UG-WES-1909-07423</t>
  </si>
  <si>
    <t>Kyomuhendo Patrick Amooti</t>
  </si>
  <si>
    <t>UG-WES-1908-012473</t>
  </si>
  <si>
    <t>Holy Dove Vocational secondary school (Plant 2)</t>
  </si>
  <si>
    <t>UG-WES-1909-07424</t>
  </si>
  <si>
    <t>Agaba George</t>
  </si>
  <si>
    <t>Fortportal M C</t>
  </si>
  <si>
    <t>Nsorro</t>
  </si>
  <si>
    <t>UG-WES-1909-07425</t>
  </si>
  <si>
    <t>Bukyanagandi Alozius</t>
  </si>
  <si>
    <t>Hoima municipality</t>
  </si>
  <si>
    <t>Busisi Division</t>
  </si>
  <si>
    <t>UG-WES-1909-07426</t>
  </si>
  <si>
    <t>Magret Kagaba Adyeeri</t>
  </si>
  <si>
    <t>UG-WES-1909-08261</t>
  </si>
  <si>
    <t>Mucunguzi Wilberforce</t>
  </si>
  <si>
    <t>Rubuguri Twon council</t>
  </si>
  <si>
    <t>UG-WES-1909-08263</t>
  </si>
  <si>
    <t>Monday Francis</t>
  </si>
  <si>
    <t>UG-WES-1909-14460</t>
  </si>
  <si>
    <t>Muguruka  Hirally</t>
  </si>
  <si>
    <t>UG-WES-1910- 014022</t>
  </si>
  <si>
    <t>Atuhaire Verinah</t>
  </si>
  <si>
    <t>Kunkizi East</t>
  </si>
  <si>
    <t>UG-WES-1910- 014151</t>
  </si>
  <si>
    <t>Rev. Can. Asiimwe Joel</t>
  </si>
  <si>
    <t>UG-WES-1910- 014157</t>
  </si>
  <si>
    <t>Tudyahikayo Kamashaka Coleb</t>
  </si>
  <si>
    <t xml:space="preserve">Kinkizi East </t>
  </si>
  <si>
    <t>Katwa</t>
  </si>
  <si>
    <t>UG-WES-1910- 014180</t>
  </si>
  <si>
    <t>Mutungirehi David</t>
  </si>
  <si>
    <t>Omukitembe</t>
  </si>
  <si>
    <t>UG-WES-1910- 014580</t>
  </si>
  <si>
    <t>Butamanya Vicent</t>
  </si>
  <si>
    <t>Mpungu</t>
  </si>
  <si>
    <t>Bushegyenyi</t>
  </si>
  <si>
    <t>UG-WES-1910-012443</t>
  </si>
  <si>
    <t>Mutembahi John</t>
  </si>
  <si>
    <t>Kanyankole</t>
  </si>
  <si>
    <t>UG-WES-1910-012444</t>
  </si>
  <si>
    <t>Ssebakala Nalongo</t>
  </si>
  <si>
    <t>UG-WES-1910-012483</t>
  </si>
  <si>
    <t>Mugizi AGrace</t>
  </si>
  <si>
    <t>Kihiro I</t>
  </si>
  <si>
    <t>UG-WES-1910-014044</t>
  </si>
  <si>
    <t>Ahimbisibwe Hope</t>
  </si>
  <si>
    <t>Kambuga T/C</t>
  </si>
  <si>
    <t>UG-WES-1910-014173</t>
  </si>
  <si>
    <t>Muhingishi Nyensi</t>
  </si>
  <si>
    <t>Nyakasozi</t>
  </si>
  <si>
    <t>UG-WES-1910-014175</t>
  </si>
  <si>
    <t>Twinamatsiko Isreal</t>
  </si>
  <si>
    <t>Kihihi T/c</t>
  </si>
  <si>
    <t>Nkubagara</t>
  </si>
  <si>
    <t>UG-WES-1910-014177</t>
  </si>
  <si>
    <t>Iribagiza Buregyeya Julia</t>
  </si>
  <si>
    <t>Kinkizi wests</t>
  </si>
  <si>
    <t>Kishanda</t>
  </si>
  <si>
    <t>UG-WES-1910-014181</t>
  </si>
  <si>
    <t>Turinawe Medard</t>
  </si>
  <si>
    <t>UG-WES-1910-014183</t>
  </si>
  <si>
    <t>Muhumuza Sam</t>
  </si>
  <si>
    <t>Kinjizi East</t>
  </si>
  <si>
    <t>Bukora</t>
  </si>
  <si>
    <t>UG-WES-1910-014185</t>
  </si>
  <si>
    <t>Bahati Alex</t>
  </si>
  <si>
    <t>Karoni</t>
  </si>
  <si>
    <t>UG-WES-1910-014189</t>
  </si>
  <si>
    <t>Kyomuhendo Lukia</t>
  </si>
  <si>
    <t>UG-WES-1910-014462</t>
  </si>
  <si>
    <t>Nduhura Moses</t>
  </si>
  <si>
    <t>Igra north</t>
  </si>
  <si>
    <t>Nykizinga</t>
  </si>
  <si>
    <t>UG-WES-1910-014463</t>
  </si>
  <si>
    <t>Tumusiime Pankrasio</t>
  </si>
  <si>
    <t>Akasanyarazi</t>
  </si>
  <si>
    <t>UG-WES-1910-014464</t>
  </si>
  <si>
    <t>Nyakato Immaculate Mpamiza</t>
  </si>
  <si>
    <t>Nyakibere</t>
  </si>
  <si>
    <t>UG-WES-1910-014466</t>
  </si>
  <si>
    <t>Wangai Abdunulu</t>
  </si>
  <si>
    <t>Busongora</t>
  </si>
  <si>
    <t>UG-WES-1910-018052</t>
  </si>
  <si>
    <t>Betambira John</t>
  </si>
  <si>
    <t>Rubindi ward</t>
  </si>
  <si>
    <t>UG-WES-1910-07172</t>
  </si>
  <si>
    <t>Kyokushaba Adrine</t>
  </si>
  <si>
    <t>Kasoba</t>
  </si>
  <si>
    <t>Ribirizi</t>
  </si>
  <si>
    <t>UG-WES-1910-07427</t>
  </si>
  <si>
    <t xml:space="preserve">Herbert Mwiine </t>
  </si>
  <si>
    <t>0772525552</t>
  </si>
  <si>
    <t>Kitagwenda</t>
  </si>
  <si>
    <t>Bunena</t>
  </si>
  <si>
    <t>UG-WES-1910-08262</t>
  </si>
  <si>
    <t>Baseme Nicolas</t>
  </si>
  <si>
    <t>UG-WES-1911- 014556</t>
  </si>
  <si>
    <t>Tumwesigire Jesca</t>
  </si>
  <si>
    <t xml:space="preserve">nyarugunda </t>
  </si>
  <si>
    <t>Kashuri</t>
  </si>
  <si>
    <t>UG-WES-1911- 014558</t>
  </si>
  <si>
    <t>Byereeta Joseph</t>
  </si>
  <si>
    <t>UG-WES-1911-012445</t>
  </si>
  <si>
    <t>Rukamushanga Daniel</t>
  </si>
  <si>
    <t>UG-WES-1911-012446</t>
  </si>
  <si>
    <t xml:space="preserve">Mutabazi </t>
  </si>
  <si>
    <t>Kyamazinga</t>
  </si>
  <si>
    <t>UG-WES-1911-012692</t>
  </si>
  <si>
    <t>Eng. Besigiroha Nickemia</t>
  </si>
  <si>
    <t>Nyambirizi</t>
  </si>
  <si>
    <t>UG-WES-1911-013009</t>
  </si>
  <si>
    <t>Kategaya John</t>
  </si>
  <si>
    <t>Kazo ntambazi</t>
  </si>
  <si>
    <t>UG-WES-1911-013362</t>
  </si>
  <si>
    <t>Brig. Kanyarutokye Frank</t>
  </si>
  <si>
    <t>Kambuga Town council</t>
  </si>
  <si>
    <t>Nyakatonguru</t>
  </si>
  <si>
    <t>UG-WES-1911-013510</t>
  </si>
  <si>
    <t>Bufaco Food Value Chain Project</t>
  </si>
  <si>
    <t>Musindi municipality</t>
  </si>
  <si>
    <t>Kigulya division</t>
  </si>
  <si>
    <t>Kyakasozi</t>
  </si>
  <si>
    <t>UG-WES-1911-014182</t>
  </si>
  <si>
    <t>Tukahebwa Dianah</t>
  </si>
  <si>
    <t>Rwakirungura</t>
  </si>
  <si>
    <t>UG-WES-1911-014187</t>
  </si>
  <si>
    <t xml:space="preserve">Dr. Kagame Keneth </t>
  </si>
  <si>
    <t>Kishura</t>
  </si>
  <si>
    <t>UG-WES-1911-014188</t>
  </si>
  <si>
    <t>Tumwesigye Izara Edward</t>
  </si>
  <si>
    <t>kinkizi west</t>
  </si>
  <si>
    <t>Karonde</t>
  </si>
  <si>
    <t>UG-WES-1911-014190</t>
  </si>
  <si>
    <t>Eng. Januali Sulagi</t>
  </si>
  <si>
    <t>UG-WES-1911-014191</t>
  </si>
  <si>
    <t>Tabaro Pias</t>
  </si>
  <si>
    <t>Mishenyi</t>
  </si>
  <si>
    <t>UG-WES-1911-014192</t>
  </si>
  <si>
    <t>Asiimwe Moses</t>
  </si>
  <si>
    <t>Rukarara</t>
  </si>
  <si>
    <t>UG-WES-1911-014193</t>
  </si>
  <si>
    <t>Kyarikunda Patience</t>
  </si>
  <si>
    <t>Kirembe</t>
  </si>
  <si>
    <t>UG-WES-1911-014194</t>
  </si>
  <si>
    <t>Tukamushaba Miria Annet</t>
  </si>
  <si>
    <t>UG-WES-1911-014195</t>
  </si>
  <si>
    <t>Musinguzi Bosco</t>
  </si>
  <si>
    <t>Lumba</t>
  </si>
  <si>
    <t>UG-WES-1911-014196</t>
  </si>
  <si>
    <t>Atukunda Jackline</t>
  </si>
  <si>
    <t>UG-WES-1911-014197</t>
  </si>
  <si>
    <t>Ayebare Frank</t>
  </si>
  <si>
    <t>Kayembe</t>
  </si>
  <si>
    <t>UG-WES-1911-014198</t>
  </si>
  <si>
    <t>Musiime Godfry</t>
  </si>
  <si>
    <t>UG-WES-1911-014200</t>
  </si>
  <si>
    <t>Tweheyo Francis</t>
  </si>
  <si>
    <t>Kinkizi  East</t>
  </si>
  <si>
    <t>Nyamizo</t>
  </si>
  <si>
    <t>UG-WES-1911-014467</t>
  </si>
  <si>
    <t>Mrs.  Bimbwine Edison</t>
  </si>
  <si>
    <t>Mihito</t>
  </si>
  <si>
    <t>UG-WES-1911-014468</t>
  </si>
  <si>
    <t xml:space="preserve">Atwine David </t>
  </si>
  <si>
    <t>Shema north</t>
  </si>
  <si>
    <t>Katuba 11</t>
  </si>
  <si>
    <t>UG-WES-1911-014469</t>
  </si>
  <si>
    <t xml:space="preserve">Byanyima Labani </t>
  </si>
  <si>
    <t>UG-WES-1911-014470</t>
  </si>
  <si>
    <t xml:space="preserve">Bwemale Mwijuka  Frank </t>
  </si>
  <si>
    <t>Nyakasa 1</t>
  </si>
  <si>
    <t>UG-WES-1909-014164</t>
  </si>
  <si>
    <t>Ahimbisibwe Dickens</t>
  </si>
  <si>
    <t>UG-WES-1911-014552</t>
  </si>
  <si>
    <t>Tumuhirwe Micheal</t>
  </si>
  <si>
    <t>Rukungwe</t>
  </si>
  <si>
    <t>UG-WES-1911-014553</t>
  </si>
  <si>
    <t xml:space="preserve">Kasimoni Fred </t>
  </si>
  <si>
    <t xml:space="preserve">Kashenshero </t>
  </si>
  <si>
    <t>Kanyabwino</t>
  </si>
  <si>
    <t>UG-WES-1911-014555</t>
  </si>
  <si>
    <t>Can.Tabisa Kikafunda</t>
  </si>
  <si>
    <t>Kanyamomo</t>
  </si>
  <si>
    <t>UG-WES-1911-014557</t>
  </si>
  <si>
    <t>Beshetsya Charles</t>
  </si>
  <si>
    <t>Nyakatoma B</t>
  </si>
  <si>
    <t>UG-WES-1911-014559</t>
  </si>
  <si>
    <t>Kihihi community Polytechnic</t>
  </si>
  <si>
    <t>Bugongo</t>
  </si>
  <si>
    <t>UG-WES-1911-014560</t>
  </si>
  <si>
    <t>Twinomugisha Jonhson</t>
  </si>
  <si>
    <t>Mushunga</t>
  </si>
  <si>
    <t>UG-WES-1911-014561</t>
  </si>
  <si>
    <t>Bizimana Emmanuel</t>
  </si>
  <si>
    <t>UG-WES-1911-014564</t>
  </si>
  <si>
    <t xml:space="preserve">Rev. Tudyabagyenyi Coleb </t>
  </si>
  <si>
    <t>UG-WES-1911-014565</t>
  </si>
  <si>
    <t>Orishaba Emmanuel</t>
  </si>
  <si>
    <t>Nkamba</t>
  </si>
  <si>
    <t>UG-WES-1911-014566</t>
  </si>
  <si>
    <t>Tiyeitu Hamuleti</t>
  </si>
  <si>
    <t>UG-WES-1911-014567</t>
  </si>
  <si>
    <t>Tweyongyere Jackson Sema</t>
  </si>
  <si>
    <t>UG-WES-1911-014568</t>
  </si>
  <si>
    <t>Kiro Winee</t>
  </si>
  <si>
    <t>Kiruruma</t>
  </si>
  <si>
    <t>UG-WES-1911-014569</t>
  </si>
  <si>
    <t>Sinzagayimana Medard</t>
  </si>
  <si>
    <t>Kiruruma (A)</t>
  </si>
  <si>
    <t>UG-WES-1911-014570</t>
  </si>
  <si>
    <t>Tumuramye Charles Sebudondori</t>
  </si>
  <si>
    <t>UG-WES-1911-014575</t>
  </si>
  <si>
    <t>Tumushabe Zephrino</t>
  </si>
  <si>
    <t>Kinkizi east</t>
  </si>
  <si>
    <t>Kinaba</t>
  </si>
  <si>
    <t>Murugyeyo</t>
  </si>
  <si>
    <t>UG-WES-1911-014576</t>
  </si>
  <si>
    <t>Muhumuza Clevestone</t>
  </si>
  <si>
    <t>Nyabirehe</t>
  </si>
  <si>
    <t>UG-WES-1911-014577</t>
  </si>
  <si>
    <t>Twesigomwe Livingstone</t>
  </si>
  <si>
    <t>UG-WES-1909-014461</t>
  </si>
  <si>
    <t>Nasazi Mwajumu</t>
  </si>
  <si>
    <t>UG-WES-1911-014578</t>
  </si>
  <si>
    <t>Tukwatsibwe John</t>
  </si>
  <si>
    <t>UG-WES-1911-018251</t>
  </si>
  <si>
    <t>Eric Turyaharurwe Sezi</t>
  </si>
  <si>
    <t>Budwe</t>
  </si>
  <si>
    <t>UG-WES-1911-06394</t>
  </si>
  <si>
    <t>Joseph Kahumuza</t>
  </si>
  <si>
    <t>Bunyagabo</t>
  </si>
  <si>
    <t>UG-WES-1912- 012693</t>
  </si>
  <si>
    <t>Tiwange Vincent</t>
  </si>
  <si>
    <t>Rwampara</t>
  </si>
  <si>
    <t>Rwensinga</t>
  </si>
  <si>
    <t>UG-WES-1912- 014554</t>
  </si>
  <si>
    <t>Hon. Asiimwe Evalyne</t>
  </si>
  <si>
    <t>omukakyeka</t>
  </si>
  <si>
    <t>UG-WES-1912- 014571</t>
  </si>
  <si>
    <t xml:space="preserve">Mwebehaire Joan </t>
  </si>
  <si>
    <t>0774440336</t>
  </si>
  <si>
    <t>UG-WES-1909-14453</t>
  </si>
  <si>
    <t xml:space="preserve">Twinamastko Airet </t>
  </si>
  <si>
    <t>UG-WES-1912- 014582</t>
  </si>
  <si>
    <t>Byamukama Robert</t>
  </si>
  <si>
    <t>UG-WES-1912- 014583</t>
  </si>
  <si>
    <t>Wise Johnson</t>
  </si>
  <si>
    <t>UG-WES-1912-012447</t>
  </si>
  <si>
    <t>Kahangire Justus</t>
  </si>
  <si>
    <t>UG-WES-1912-012448</t>
  </si>
  <si>
    <t>Bariyo Rodgers</t>
  </si>
  <si>
    <t>UG-WES-1912-012450</t>
  </si>
  <si>
    <t>Rutebuka Charles</t>
  </si>
  <si>
    <t>Rwamburara</t>
  </si>
  <si>
    <t>UG-WES-1912-013039</t>
  </si>
  <si>
    <t xml:space="preserve">Muhumuza Daniel </t>
  </si>
  <si>
    <t>0783841878</t>
  </si>
  <si>
    <t>Rweihamba</t>
  </si>
  <si>
    <t>UG-WES-1912-014186</t>
  </si>
  <si>
    <t>Rubongoya Ronald</t>
  </si>
  <si>
    <t>Rukuukuuru</t>
  </si>
  <si>
    <t>UG-WES-1912-014472</t>
  </si>
  <si>
    <t>Twine Daniel (plant 1)</t>
  </si>
  <si>
    <t>Kamwezi</t>
  </si>
  <si>
    <t>Rwamatunguru</t>
  </si>
  <si>
    <t>UG-WES-1912-014572</t>
  </si>
  <si>
    <t>Busingye Alfred</t>
  </si>
  <si>
    <t>Kambuga T/c</t>
  </si>
  <si>
    <t>UG-WES-1910-013919</t>
  </si>
  <si>
    <t>Tibamwenda Assumpta</t>
  </si>
  <si>
    <t>Rwensule</t>
  </si>
  <si>
    <t>UG-WES-1912-014573</t>
  </si>
  <si>
    <t>Kansiime Grolia</t>
  </si>
  <si>
    <t>Sheena south</t>
  </si>
  <si>
    <t>Bugongi T/c</t>
  </si>
  <si>
    <t>Bisharara</t>
  </si>
  <si>
    <t>UG-WES-1912-014581</t>
  </si>
  <si>
    <t>Karambi Catholic parish Fr. Gerald K</t>
  </si>
  <si>
    <t>UG-WES-1912-014584</t>
  </si>
  <si>
    <t>Zabandola Asman</t>
  </si>
  <si>
    <t>UG-WES-1910-014176</t>
  </si>
  <si>
    <t>Byamungu Elias</t>
  </si>
  <si>
    <t>UG-WES-1912-014585</t>
  </si>
  <si>
    <t xml:space="preserve">Kwesiga Johnson </t>
  </si>
  <si>
    <t>0774851161</t>
  </si>
  <si>
    <t>0785947189</t>
  </si>
  <si>
    <t>UG-WES-1912-014586</t>
  </si>
  <si>
    <t xml:space="preserve">Mubangizi Cristine </t>
  </si>
  <si>
    <t>0779096787</t>
  </si>
  <si>
    <t>UG-WES-1912-014587</t>
  </si>
  <si>
    <t xml:space="preserve">Kwizera James </t>
  </si>
  <si>
    <t>0772633313</t>
  </si>
  <si>
    <t>UG-WES-1912-014588</t>
  </si>
  <si>
    <t xml:space="preserve">Agaba Monic </t>
  </si>
  <si>
    <t>0775670584</t>
  </si>
  <si>
    <t>UG-WES-1912-014589</t>
  </si>
  <si>
    <t>Byamugisha Betty Kyomukama</t>
  </si>
  <si>
    <t>0772658501</t>
  </si>
  <si>
    <t>UG-WES-1912-018051</t>
  </si>
  <si>
    <t>Sunday Justus</t>
  </si>
  <si>
    <t>UG-WES-1912-018451</t>
  </si>
  <si>
    <t>Nalunkuuma Haliima</t>
  </si>
  <si>
    <t>Kigumba TC</t>
  </si>
  <si>
    <t>Kigaragara</t>
  </si>
  <si>
    <t>UG-WES-1912-07171</t>
  </si>
  <si>
    <t>Asiimwe David</t>
  </si>
  <si>
    <t>Omukatunda</t>
  </si>
  <si>
    <t>UG-WES-1912-07429</t>
  </si>
  <si>
    <t>Amos Manyiraho</t>
  </si>
  <si>
    <t>Kichwamba1</t>
  </si>
  <si>
    <t>UG-WES-1912-08260</t>
  </si>
  <si>
    <t>Tumuheki Peter</t>
  </si>
  <si>
    <t>UG-WES-1912-08264</t>
  </si>
  <si>
    <t>Mrs Mariya Bangye</t>
  </si>
  <si>
    <t>UG-WES-1912-08265</t>
  </si>
  <si>
    <t xml:space="preserve">Festo Kamanzi </t>
  </si>
  <si>
    <t>0782306973</t>
  </si>
  <si>
    <t>Bufumbira. South</t>
  </si>
  <si>
    <t>Nyakinama</t>
  </si>
  <si>
    <t>Kanyamegeri</t>
  </si>
  <si>
    <t>UG-WES-2001- 012694</t>
  </si>
  <si>
    <t>Kyasimire Kellen</t>
  </si>
  <si>
    <t>Lubabo</t>
  </si>
  <si>
    <t>Kedosoni</t>
  </si>
  <si>
    <t>UG-WES-2001-013511</t>
  </si>
  <si>
    <t>Bagada Amooti Grace</t>
  </si>
  <si>
    <t>0774462133</t>
  </si>
  <si>
    <t>Buraru</t>
  </si>
  <si>
    <t>Rwobunyonyi</t>
  </si>
  <si>
    <t>UG-WES-2001-014592</t>
  </si>
  <si>
    <t xml:space="preserve">Kateera Justus </t>
  </si>
  <si>
    <t>0753323049</t>
  </si>
  <si>
    <t>Ahakikomi</t>
  </si>
  <si>
    <t>UG-WES-2001-014593</t>
  </si>
  <si>
    <t xml:space="preserve">Tudyatemba Moses </t>
  </si>
  <si>
    <t>0772411715</t>
  </si>
  <si>
    <t>Nyamifura</t>
  </si>
  <si>
    <t>UG-WES-2001-014594</t>
  </si>
  <si>
    <t xml:space="preserve">Atuyamba Alexander </t>
  </si>
  <si>
    <t>0774111459</t>
  </si>
  <si>
    <t>Rwabatungu</t>
  </si>
  <si>
    <t>UG-WES-2001-014596</t>
  </si>
  <si>
    <t xml:space="preserve">Katembeya William </t>
  </si>
  <si>
    <t>0778953409</t>
  </si>
  <si>
    <t>UG-WES-2001-07173</t>
  </si>
  <si>
    <t>Debra Karamura</t>
  </si>
  <si>
    <t>Bubare 1</t>
  </si>
  <si>
    <t>UG-WES-2002-014599</t>
  </si>
  <si>
    <t>Kashaba Edson Mugarura</t>
  </si>
  <si>
    <t>0789402023</t>
  </si>
  <si>
    <t>Kinkiz  east</t>
  </si>
  <si>
    <t>Mirindi</t>
  </si>
  <si>
    <t>UG-WES-2002-07812</t>
  </si>
  <si>
    <t xml:space="preserve">KOI KOI </t>
  </si>
  <si>
    <t>Fort Portal municipality</t>
  </si>
  <si>
    <t>Kachwamba</t>
  </si>
  <si>
    <t>UG-WES-2002-08266</t>
  </si>
  <si>
    <t xml:space="preserve">Fr. Vicent Ankunda </t>
  </si>
  <si>
    <t>0785300373</t>
  </si>
  <si>
    <t>Bufumbira north</t>
  </si>
  <si>
    <t>Rubuguri town council</t>
  </si>
  <si>
    <t>UG-WES-2002-08267</t>
  </si>
  <si>
    <t xml:space="preserve">Sheba Hanyugwa </t>
  </si>
  <si>
    <t>Muramba</t>
  </si>
  <si>
    <t>Gishondori</t>
  </si>
  <si>
    <t>UG-WES-2002-08584</t>
  </si>
  <si>
    <t>Enterprise Bony</t>
  </si>
  <si>
    <t>UG-WES-2003-014600</t>
  </si>
  <si>
    <t>Busasi Jonathan K</t>
  </si>
  <si>
    <t>0777374447</t>
  </si>
  <si>
    <t>Kebison T/C</t>
  </si>
  <si>
    <t>UG-WES-2003-018001</t>
  </si>
  <si>
    <t>Kyarikunda Edivina. Africano</t>
  </si>
  <si>
    <t>KinkiZi East</t>
  </si>
  <si>
    <t>Mukorogyer</t>
  </si>
  <si>
    <t>UG-WES-2003-018002</t>
  </si>
  <si>
    <t xml:space="preserve">Kamugisha Milton </t>
  </si>
  <si>
    <t>0772365525</t>
  </si>
  <si>
    <t>UG-WES-2003-018003</t>
  </si>
  <si>
    <t xml:space="preserve">Kwikiriza Henry </t>
  </si>
  <si>
    <t>0782877067</t>
  </si>
  <si>
    <t>kinkizi East</t>
  </si>
  <si>
    <t>UG-WES-2003-018004</t>
  </si>
  <si>
    <t xml:space="preserve">Can katureebe Fabith </t>
  </si>
  <si>
    <t>0772855055</t>
  </si>
  <si>
    <t>UG-WES-2003-018005</t>
  </si>
  <si>
    <t xml:space="preserve">Twinomuhangi Efraim </t>
  </si>
  <si>
    <t>0781351391</t>
  </si>
  <si>
    <t>Buhoma</t>
  </si>
  <si>
    <t>UG-WES-2003-018006</t>
  </si>
  <si>
    <t xml:space="preserve">Twongirwe Moreen </t>
  </si>
  <si>
    <t>0778793600</t>
  </si>
  <si>
    <t>KinkiZi West</t>
  </si>
  <si>
    <t>Buhoma central</t>
  </si>
  <si>
    <t>UG-WES-2003-018007</t>
  </si>
  <si>
    <t xml:space="preserve">Rwamunahe Charles </t>
  </si>
  <si>
    <t>0772886044</t>
  </si>
  <si>
    <t>UG-WES-2003-018008</t>
  </si>
  <si>
    <t>Mugyenyi Hannis</t>
  </si>
  <si>
    <t>0786078746</t>
  </si>
  <si>
    <t>Karubizi</t>
  </si>
  <si>
    <t>UG-WES-2003-018009</t>
  </si>
  <si>
    <t xml:space="preserve">Twinobusingye Barnard </t>
  </si>
  <si>
    <t>0774156458</t>
  </si>
  <si>
    <t>Mashoko</t>
  </si>
  <si>
    <t>UG-WES-2003-07430</t>
  </si>
  <si>
    <t>Mbogo Nebet Rukiidi</t>
  </si>
  <si>
    <t>0772468753</t>
  </si>
  <si>
    <t>Karagwe T/C</t>
  </si>
  <si>
    <t>Ibonde ll</t>
  </si>
  <si>
    <t>UG-WES-2004-012499</t>
  </si>
  <si>
    <t xml:space="preserve">Ntungire Stephen </t>
  </si>
  <si>
    <t>Rufuka</t>
  </si>
  <si>
    <t>UG-WES-2004-07431</t>
  </si>
  <si>
    <t>Kule Birengeso Eria</t>
  </si>
  <si>
    <t>Kihondo</t>
  </si>
  <si>
    <t>UG-WES-2004-07432</t>
  </si>
  <si>
    <t>Alinda Wilson Mabiho</t>
  </si>
  <si>
    <t>Kyanyamutare</t>
  </si>
  <si>
    <t>UG-WES-2005-013512</t>
  </si>
  <si>
    <t>Kiiza Abwooli Monica</t>
  </si>
  <si>
    <t>Masindi  municipality</t>
  </si>
  <si>
    <t>Karujubu division</t>
  </si>
  <si>
    <t>Zebra</t>
  </si>
  <si>
    <t>UG-WES-2005-013513</t>
  </si>
  <si>
    <t>Kahigwa Amooti</t>
  </si>
  <si>
    <t>Nyangahya division</t>
  </si>
  <si>
    <t>By an gang</t>
  </si>
  <si>
    <t>UG-WES-2005-017815</t>
  </si>
  <si>
    <t xml:space="preserve">MWESIGWA LEONARD </t>
  </si>
  <si>
    <t>0773095039</t>
  </si>
  <si>
    <t>UG-WES-2005-018013</t>
  </si>
  <si>
    <t xml:space="preserve">Mugume Andrew </t>
  </si>
  <si>
    <t>0701095521</t>
  </si>
  <si>
    <t>Rwempogo</t>
  </si>
  <si>
    <t>UG-WES-2005-018014</t>
  </si>
  <si>
    <t xml:space="preserve">Nkurunungi Petter </t>
  </si>
  <si>
    <t>0772396320</t>
  </si>
  <si>
    <t>Kihihi T/ council</t>
  </si>
  <si>
    <t>UG-WES-2005-08270</t>
  </si>
  <si>
    <t xml:space="preserve">Twesime Silver </t>
  </si>
  <si>
    <t>Rushaga</t>
  </si>
  <si>
    <t>UG-WES-2005-08271</t>
  </si>
  <si>
    <t xml:space="preserve">Kabarebe Moses </t>
  </si>
  <si>
    <t>Kinkizi.East</t>
  </si>
  <si>
    <t>Bugandaro</t>
  </si>
  <si>
    <t>UG-WES-2005-08272</t>
  </si>
  <si>
    <t xml:space="preserve">Ngoto. Resort Safaris </t>
  </si>
  <si>
    <t>UG-WES-2006-012697</t>
  </si>
  <si>
    <t>Byamugisha Moses Mugaiga</t>
  </si>
  <si>
    <t>Kaaese Municipality</t>
  </si>
  <si>
    <t>UG-WES-2006-014475</t>
  </si>
  <si>
    <t>Mantine Mugabe</t>
  </si>
  <si>
    <t>0772560549</t>
  </si>
  <si>
    <t>Kizooba</t>
  </si>
  <si>
    <t>Kyanyamutunga</t>
  </si>
  <si>
    <t>UG-WES-2006-018015</t>
  </si>
  <si>
    <t xml:space="preserve">Muhairwe Efraim </t>
  </si>
  <si>
    <t>0774216757</t>
  </si>
  <si>
    <t>Mutojo</t>
  </si>
  <si>
    <t>UG-WES-2006-018016</t>
  </si>
  <si>
    <t xml:space="preserve">Kamugisha Charles </t>
  </si>
  <si>
    <t>0775063055</t>
  </si>
  <si>
    <t>0784848354</t>
  </si>
  <si>
    <t>Omwitaba</t>
  </si>
  <si>
    <t>UG-WES-2006-018154</t>
  </si>
  <si>
    <t xml:space="preserve">Naturinda Benedict </t>
  </si>
  <si>
    <t>UG-WES-2006-08273</t>
  </si>
  <si>
    <t xml:space="preserve">Annonciata Nkuriye </t>
  </si>
  <si>
    <t>Bufumbira.East</t>
  </si>
  <si>
    <t>Bihuru</t>
  </si>
  <si>
    <t>UG-WES-2007-014476</t>
  </si>
  <si>
    <t>Jafari Karubanga</t>
  </si>
  <si>
    <t>0708110180</t>
  </si>
  <si>
    <t>UG-WES-2007-014477</t>
  </si>
  <si>
    <t xml:space="preserve">Kagaba Angellar  </t>
  </si>
  <si>
    <t>0785620447</t>
  </si>
  <si>
    <t>Kyegegwa t/c</t>
  </si>
  <si>
    <t>UG-WES-2007-014479</t>
  </si>
  <si>
    <t>Ndahendekire Margret Sanyu</t>
  </si>
  <si>
    <t>Rwibogo</t>
  </si>
  <si>
    <t>UG-WES-2007-017914</t>
  </si>
  <si>
    <t xml:space="preserve">Didan Grace </t>
  </si>
  <si>
    <t>UG-WES-2007-018020</t>
  </si>
  <si>
    <t>Kabagambe Hope Nalongo</t>
  </si>
  <si>
    <t>0782331884</t>
  </si>
  <si>
    <t>UG-WES-2007-018021</t>
  </si>
  <si>
    <t>Nkole Jane</t>
  </si>
  <si>
    <t>Nyomigoye</t>
  </si>
  <si>
    <t>UG-WES-2007-018022</t>
  </si>
  <si>
    <t>Baryamwihaho Jackson Kifaka</t>
  </si>
  <si>
    <t>0788726766</t>
  </si>
  <si>
    <t>UG-WES-2007-018025</t>
  </si>
  <si>
    <t xml:space="preserve">Kashambuuzi Peace </t>
  </si>
  <si>
    <t>UG-WES-2007-018152</t>
  </si>
  <si>
    <t xml:space="preserve">Kyomugisha Catherine </t>
  </si>
  <si>
    <t>UG-WES-2007-018477</t>
  </si>
  <si>
    <t>Kakurugusi Sande Apuuli</t>
  </si>
  <si>
    <t>UG-WES-2008-012698</t>
  </si>
  <si>
    <t xml:space="preserve">Tibamanya Enid </t>
  </si>
  <si>
    <t>0773556195</t>
  </si>
  <si>
    <t>Kancence</t>
  </si>
  <si>
    <t>UG-WES-1912- 014590</t>
  </si>
  <si>
    <t>Repaired feeding</t>
  </si>
  <si>
    <t>Badyomunsi Ketty Akiki</t>
  </si>
  <si>
    <t>0782955468</t>
  </si>
  <si>
    <t>0750041804</t>
  </si>
  <si>
    <t>Bushura</t>
  </si>
  <si>
    <t>UG-WES-2008-013514</t>
  </si>
  <si>
    <t xml:space="preserve">SABIITI Joseph </t>
  </si>
  <si>
    <t>+256777912166</t>
  </si>
  <si>
    <t>0777912166</t>
  </si>
  <si>
    <t>UG-WES-2008-014480</t>
  </si>
  <si>
    <t>Mugira James General</t>
  </si>
  <si>
    <t>UG-WES-2008-018017</t>
  </si>
  <si>
    <t>Oritatsya Marious</t>
  </si>
  <si>
    <t>Kyomuringa</t>
  </si>
  <si>
    <t>UG-WES-2008-018019</t>
  </si>
  <si>
    <t xml:space="preserve">Kishaija Livingstone </t>
  </si>
  <si>
    <t>0783907863</t>
  </si>
  <si>
    <t>UG-WES-2008-018023</t>
  </si>
  <si>
    <t xml:space="preserve">Muhwezi Edson </t>
  </si>
  <si>
    <t>Sheema south</t>
  </si>
  <si>
    <t>Kitagata T/C</t>
  </si>
  <si>
    <t>Kimondo (1)</t>
  </si>
  <si>
    <t>UG-WES-2008-018026</t>
  </si>
  <si>
    <t xml:space="preserve">Tumushabe Kasimu </t>
  </si>
  <si>
    <t>00788136834</t>
  </si>
  <si>
    <t>Kinkiz West</t>
  </si>
  <si>
    <t>Kihiihi</t>
  </si>
  <si>
    <t>Group farm (A)</t>
  </si>
  <si>
    <t>UG-WES-1912-014562</t>
  </si>
  <si>
    <t>Ngabirano Emmy</t>
  </si>
  <si>
    <t>UG-WES-2008-018027</t>
  </si>
  <si>
    <t xml:space="preserve">Kareeba John </t>
  </si>
  <si>
    <t>0754181137</t>
  </si>
  <si>
    <t>Kakyera</t>
  </si>
  <si>
    <t>UG-WES-2008-018028</t>
  </si>
  <si>
    <t xml:space="preserve">Rev.Agaba Andrew </t>
  </si>
  <si>
    <t>UG-WES-1912-014574</t>
  </si>
  <si>
    <t>Rutenga cathoric Parish</t>
  </si>
  <si>
    <t>Rutenga</t>
  </si>
  <si>
    <t>Rwomuhurura</t>
  </si>
  <si>
    <t>UG-WES-2008-018486</t>
  </si>
  <si>
    <t xml:space="preserve">Atuhairwe Gerald </t>
  </si>
  <si>
    <t>Kikube</t>
  </si>
  <si>
    <t>Kitalia</t>
  </si>
  <si>
    <t>Kahoro</t>
  </si>
  <si>
    <t>UG-WES-2008-07436</t>
  </si>
  <si>
    <t xml:space="preserve">Katama Arthur </t>
  </si>
  <si>
    <t>Kijenga</t>
  </si>
  <si>
    <t>Bitoma</t>
  </si>
  <si>
    <t>UG-WES-2008-07437</t>
  </si>
  <si>
    <t>Karuhaga Christopher B</t>
  </si>
  <si>
    <t>0775109159</t>
  </si>
  <si>
    <t>0774108289</t>
  </si>
  <si>
    <t>Kabegira</t>
  </si>
  <si>
    <t>UG-WES-2008-08274</t>
  </si>
  <si>
    <t xml:space="preserve">Mbabazi Stephen </t>
  </si>
  <si>
    <t>0789119072</t>
  </si>
  <si>
    <t>Kisoro Municipality Northern division</t>
  </si>
  <si>
    <t>Kamonyi</t>
  </si>
  <si>
    <t>UG-WES-2008-08278</t>
  </si>
  <si>
    <t>Dr.Nsekuye Pasiko Plant 1</t>
  </si>
  <si>
    <t>Butuga</t>
  </si>
  <si>
    <t>UG-WES-2009-014485</t>
  </si>
  <si>
    <t xml:space="preserve">Turyahabwe Airet </t>
  </si>
  <si>
    <t>0777679110</t>
  </si>
  <si>
    <t>UG-WES-2009-017931</t>
  </si>
  <si>
    <t xml:space="preserve">Nasseremba Reginah </t>
  </si>
  <si>
    <t>UG-WES-2009-018029</t>
  </si>
  <si>
    <t xml:space="preserve">Gumaoshabe Julius </t>
  </si>
  <si>
    <t>Kashenshero T/C</t>
  </si>
  <si>
    <t>Kashenshero (1)</t>
  </si>
  <si>
    <t>UG-WES-2009-018030</t>
  </si>
  <si>
    <t xml:space="preserve">Byaruhanga Emmanuel </t>
  </si>
  <si>
    <t>0701521044</t>
  </si>
  <si>
    <t>Isingiro north</t>
  </si>
  <si>
    <t>UG-WES-2009-018031</t>
  </si>
  <si>
    <t xml:space="preserve">Mrs muhwezi Jesca </t>
  </si>
  <si>
    <t>0706979337</t>
  </si>
  <si>
    <t>Mbarara city</t>
  </si>
  <si>
    <t>UG-WES-2009-07441</t>
  </si>
  <si>
    <t>Rumbuye Raphael Amooti</t>
  </si>
  <si>
    <t>0754463393</t>
  </si>
  <si>
    <t>0786316758</t>
  </si>
  <si>
    <t>Bwamiramira</t>
  </si>
  <si>
    <t>Kirusura</t>
  </si>
  <si>
    <t>UG-WES-2009-08275</t>
  </si>
  <si>
    <t xml:space="preserve">Mugyisha Vittorino </t>
  </si>
  <si>
    <t>Ruburankono</t>
  </si>
  <si>
    <t>UG-WES-2009-08276</t>
  </si>
  <si>
    <t xml:space="preserve">Eng.Nteziryayo Benon </t>
  </si>
  <si>
    <t>0772368930</t>
  </si>
  <si>
    <t>0701529451</t>
  </si>
  <si>
    <t>Southern</t>
  </si>
  <si>
    <t>Kisoro.Manicipality</t>
  </si>
  <si>
    <t>Bikoro.B.</t>
  </si>
  <si>
    <t>UG-WES-2010-014481</t>
  </si>
  <si>
    <t xml:space="preserve">Mwesigye Sonia </t>
  </si>
  <si>
    <t>0701425165</t>
  </si>
  <si>
    <t>Mawogola Norh</t>
  </si>
  <si>
    <t>Mijwera</t>
  </si>
  <si>
    <t>Kyorora</t>
  </si>
  <si>
    <t>UG-WES-2010-014483</t>
  </si>
  <si>
    <t xml:space="preserve">Twine Denis </t>
  </si>
  <si>
    <t>0782545489</t>
  </si>
  <si>
    <t>Kafuba 2</t>
  </si>
  <si>
    <t>UG-WES-2010-014484</t>
  </si>
  <si>
    <t xml:space="preserve">Urban Mushemeza </t>
  </si>
  <si>
    <t>0776542373</t>
  </si>
  <si>
    <t>Andrews</t>
  </si>
  <si>
    <t>UG-WES-2001-014473</t>
  </si>
  <si>
    <t>TwineDaniel (Plant2)</t>
  </si>
  <si>
    <t>0772628313</t>
  </si>
  <si>
    <t>UG-WES-2001-014591</t>
  </si>
  <si>
    <t xml:space="preserve">Rwamatungu Jubilee </t>
  </si>
  <si>
    <t>UG-WES-2010-017929</t>
  </si>
  <si>
    <t xml:space="preserve">Nabimanya Herbert </t>
  </si>
  <si>
    <t>+256752530697</t>
  </si>
  <si>
    <t>0752530697</t>
  </si>
  <si>
    <t>Sambabule</t>
  </si>
  <si>
    <t>UG-WES-2010-018032</t>
  </si>
  <si>
    <t xml:space="preserve">Rwabukwene Sam </t>
  </si>
  <si>
    <t>0700112180</t>
  </si>
  <si>
    <t>0772446419</t>
  </si>
  <si>
    <t>Rushere T/c</t>
  </si>
  <si>
    <t>Akatongore</t>
  </si>
  <si>
    <t>UG-WES-2010-018033</t>
  </si>
  <si>
    <t xml:space="preserve">Kukundakwe Edward </t>
  </si>
  <si>
    <t>0777106144</t>
  </si>
  <si>
    <t>0706442010</t>
  </si>
  <si>
    <t>Kabwohe municipality</t>
  </si>
  <si>
    <t>Ndeebo</t>
  </si>
  <si>
    <t>UG-WES-2010-018034</t>
  </si>
  <si>
    <t xml:space="preserve">Katomize Edward </t>
  </si>
  <si>
    <t>0772479902</t>
  </si>
  <si>
    <t>Bushoje A</t>
  </si>
  <si>
    <t>UG-WES-2010-018035</t>
  </si>
  <si>
    <t xml:space="preserve">Kashiringi Hassan </t>
  </si>
  <si>
    <t>0758771177</t>
  </si>
  <si>
    <t>Kakibaya</t>
  </si>
  <si>
    <t>UG-WES-2010-018036</t>
  </si>
  <si>
    <t xml:space="preserve">Byamugisha Christopher </t>
  </si>
  <si>
    <t>0775666616</t>
  </si>
  <si>
    <t>0784613462</t>
  </si>
  <si>
    <t>UG-WES-2002-06396</t>
  </si>
  <si>
    <t>Rwamunahe Charles (plant 2)</t>
  </si>
  <si>
    <t>UG-WES-2010-018155</t>
  </si>
  <si>
    <t>Kyampaire Jacklin Munyarugero</t>
  </si>
  <si>
    <t>0705363523</t>
  </si>
  <si>
    <t>0782962006</t>
  </si>
  <si>
    <t>UG-WES-2010-018156</t>
  </si>
  <si>
    <t xml:space="preserve">Kemigisha Justine </t>
  </si>
  <si>
    <t>+256701456663</t>
  </si>
  <si>
    <t>0701456663</t>
  </si>
  <si>
    <t>Rwencwera 2</t>
  </si>
  <si>
    <t>UG-WES-2010-018484</t>
  </si>
  <si>
    <t xml:space="preserve">Amara Israel </t>
  </si>
  <si>
    <t>0778964548/0702752094</t>
  </si>
  <si>
    <t>0782209056/0773261991</t>
  </si>
  <si>
    <t>UG-WES-2010-018487</t>
  </si>
  <si>
    <t xml:space="preserve">Sabiti Richard </t>
  </si>
  <si>
    <t>0772691479</t>
  </si>
  <si>
    <t>Bunyagabu</t>
  </si>
  <si>
    <t>Kyamatanga</t>
  </si>
  <si>
    <t>UG-WES-2010-08279</t>
  </si>
  <si>
    <t xml:space="preserve">Rushaga Gorilla campsite Plant 1 </t>
  </si>
  <si>
    <t>0774231913</t>
  </si>
  <si>
    <t>0770867520</t>
  </si>
  <si>
    <t>Bukimbiri</t>
  </si>
  <si>
    <t>UG-WES-2011-013515</t>
  </si>
  <si>
    <t>kaija Amooti Christopher</t>
  </si>
  <si>
    <t>+256782594137</t>
  </si>
  <si>
    <t>0782594137</t>
  </si>
  <si>
    <t>Bineneza</t>
  </si>
  <si>
    <t>UG-WES-2011-013517</t>
  </si>
  <si>
    <t>Byakagaba Amooti Fred</t>
  </si>
  <si>
    <t>+256772818627</t>
  </si>
  <si>
    <t>0772818627</t>
  </si>
  <si>
    <t>MASINDI</t>
  </si>
  <si>
    <t>Kisiita cel</t>
  </si>
  <si>
    <t>UG-WES-2011-018489</t>
  </si>
  <si>
    <t xml:space="preserve">Rutabisa Jack </t>
  </si>
  <si>
    <t>0755252473</t>
  </si>
  <si>
    <t>UG-WES-2011-018490</t>
  </si>
  <si>
    <t xml:space="preserve">Nyakahuma Juliet </t>
  </si>
  <si>
    <t>0776050723</t>
  </si>
  <si>
    <t>Kiyombya</t>
  </si>
  <si>
    <t>Kyawehige</t>
  </si>
  <si>
    <t>UG-WES-2011-02516</t>
  </si>
  <si>
    <t xml:space="preserve">Muhumuza Solomon </t>
  </si>
  <si>
    <t>0781474438</t>
  </si>
  <si>
    <t>Kabarore</t>
  </si>
  <si>
    <t>Mugusho</t>
  </si>
  <si>
    <t>UG-WES-2011-08283</t>
  </si>
  <si>
    <t>Ntungamo. School Primary</t>
  </si>
  <si>
    <t>+256782456618</t>
  </si>
  <si>
    <t>0782456618</t>
  </si>
  <si>
    <t>UG-WES-2012-014486</t>
  </si>
  <si>
    <t>Ankunda Agnes</t>
  </si>
  <si>
    <t>0754252553</t>
  </si>
  <si>
    <t>0779515539</t>
  </si>
  <si>
    <t>Karugangama</t>
  </si>
  <si>
    <t>UG-WES-2012-014487</t>
  </si>
  <si>
    <t>Akatukunda Asiati</t>
  </si>
  <si>
    <t>0753514560</t>
  </si>
  <si>
    <t>Kyaka 11</t>
  </si>
  <si>
    <t>Omukigando</t>
  </si>
  <si>
    <t>UG-WES-2012-08281</t>
  </si>
  <si>
    <t xml:space="preserve">Mrs.Jovia Musiime </t>
  </si>
  <si>
    <t>0785680017</t>
  </si>
  <si>
    <t>0783241006</t>
  </si>
  <si>
    <t>Kisoro.Bukimbiri</t>
  </si>
  <si>
    <t>UG-WES-2012-08284</t>
  </si>
  <si>
    <t xml:space="preserve">Nkurikiyimana Alubrose </t>
  </si>
  <si>
    <t>+256782307745</t>
  </si>
  <si>
    <t>UG-WES-2012-08285</t>
  </si>
  <si>
    <t xml:space="preserve">Dr.Karumiya Charles </t>
  </si>
  <si>
    <t>0782930062</t>
  </si>
  <si>
    <t>Gahinga</t>
  </si>
  <si>
    <t>UG-WES-2101-018037</t>
  </si>
  <si>
    <t xml:space="preserve">Bikosa Charles </t>
  </si>
  <si>
    <t>0772645838</t>
  </si>
  <si>
    <t>0772543414</t>
  </si>
  <si>
    <t>Nyakaraire</t>
  </si>
  <si>
    <t>UG-WES-2101-018038</t>
  </si>
  <si>
    <t xml:space="preserve">Tugume Nelson </t>
  </si>
  <si>
    <t>0776304747</t>
  </si>
  <si>
    <t>0709929096</t>
  </si>
  <si>
    <t>Rwashamaire T/C</t>
  </si>
  <si>
    <t>nkuunzi</t>
  </si>
  <si>
    <t>UG-WES-2102-012700</t>
  </si>
  <si>
    <t xml:space="preserve">Mutabazi Isaac </t>
  </si>
  <si>
    <t>+256775599020</t>
  </si>
  <si>
    <t>0775599020</t>
  </si>
  <si>
    <t>Karangara</t>
  </si>
  <si>
    <t>UG-WES-2102-013201</t>
  </si>
  <si>
    <t xml:space="preserve">Tumwesigye Jadress </t>
  </si>
  <si>
    <t>0771412224</t>
  </si>
  <si>
    <t>0706308598</t>
  </si>
  <si>
    <t>Mbarara South</t>
  </si>
  <si>
    <t>Nyamatojo</t>
  </si>
  <si>
    <t>UG-WES-2102-014519</t>
  </si>
  <si>
    <t xml:space="preserve">Mugisha George </t>
  </si>
  <si>
    <t>0783920662</t>
  </si>
  <si>
    <t>0782834116</t>
  </si>
  <si>
    <t>UG-WES-2102-018039</t>
  </si>
  <si>
    <t xml:space="preserve">Rwamagaya Catholic Parish </t>
  </si>
  <si>
    <t>+256778072272</t>
  </si>
  <si>
    <t>UG-WES-2102-018040</t>
  </si>
  <si>
    <t xml:space="preserve">Mrs Sinzagayi Med </t>
  </si>
  <si>
    <t>+256788554536</t>
  </si>
  <si>
    <t>UG-WES-2102-018041</t>
  </si>
  <si>
    <t xml:space="preserve">Kyamate Diocese Bishop Nathan </t>
  </si>
  <si>
    <t>+256773490650</t>
  </si>
  <si>
    <t>UG-WES-2102-018410</t>
  </si>
  <si>
    <t xml:space="preserve">Baguma Wilton </t>
  </si>
  <si>
    <t>+256772499571</t>
  </si>
  <si>
    <t>Fort portal</t>
  </si>
  <si>
    <t>Karago</t>
  </si>
  <si>
    <t>Nyakasura</t>
  </si>
  <si>
    <t>UG-WES-2102-018413</t>
  </si>
  <si>
    <t xml:space="preserve">Mwesigwa Patrick </t>
  </si>
  <si>
    <t>+256789532167</t>
  </si>
  <si>
    <t>Kiteere</t>
  </si>
  <si>
    <t>UG-WES-2102-018414</t>
  </si>
  <si>
    <t>Kasim Murillo Sulite</t>
  </si>
  <si>
    <t>0785158985</t>
  </si>
  <si>
    <t>0776861090</t>
  </si>
  <si>
    <t xml:space="preserve">NARO Mbarara </t>
  </si>
  <si>
    <t>+256772472173</t>
  </si>
  <si>
    <t>Kakeka</t>
  </si>
  <si>
    <t>UG-WES-2102-07175</t>
  </si>
  <si>
    <t xml:space="preserve">Jane Matara </t>
  </si>
  <si>
    <t>+256774079662</t>
  </si>
  <si>
    <t>Kyabutoto</t>
  </si>
  <si>
    <t>UG-WES-2102-07443</t>
  </si>
  <si>
    <t xml:space="preserve">Uwera Rosemary </t>
  </si>
  <si>
    <t>+256777297022</t>
  </si>
  <si>
    <t>0703923614</t>
  </si>
  <si>
    <t>Kamwenge T-C</t>
  </si>
  <si>
    <t>UG-WES-2102-07444</t>
  </si>
  <si>
    <t xml:space="preserve">Katambara Samuel </t>
  </si>
  <si>
    <t>+256777642185</t>
  </si>
  <si>
    <t>0784632715</t>
  </si>
  <si>
    <t>UG-WES-2102-07445</t>
  </si>
  <si>
    <t xml:space="preserve">Kasaija Samuel </t>
  </si>
  <si>
    <t>+256750555232</t>
  </si>
  <si>
    <t>0777772166</t>
  </si>
  <si>
    <t>Nyabani Central</t>
  </si>
  <si>
    <t>UG-WES-2102-07448</t>
  </si>
  <si>
    <t xml:space="preserve">Kakuru Gordon </t>
  </si>
  <si>
    <t>+256777133333</t>
  </si>
  <si>
    <t>0753600001</t>
  </si>
  <si>
    <t>Byanamira</t>
  </si>
  <si>
    <t>UG-WES-2102-08286</t>
  </si>
  <si>
    <t xml:space="preserve">Nkurikiyimana Gerald </t>
  </si>
  <si>
    <t>+256772658654</t>
  </si>
  <si>
    <t>Bufumbira South</t>
  </si>
  <si>
    <t>Kisoro Municipality</t>
  </si>
  <si>
    <t>Kisoro hill</t>
  </si>
  <si>
    <t>UG-WES-2102-08287</t>
  </si>
  <si>
    <t xml:space="preserve">Mubangizi Pakarasio </t>
  </si>
  <si>
    <t>+256775364011</t>
  </si>
  <si>
    <t>UG-WES-2103-014488</t>
  </si>
  <si>
    <t>Rubareta Sallongo Godfrey</t>
  </si>
  <si>
    <t>0772662611</t>
  </si>
  <si>
    <t>0778439523</t>
  </si>
  <si>
    <t>UG-WES-2103-014492</t>
  </si>
  <si>
    <t xml:space="preserve">Tumwebaze Alfred </t>
  </si>
  <si>
    <t>0774320523</t>
  </si>
  <si>
    <t>0705254118</t>
  </si>
  <si>
    <t>Kirambi</t>
  </si>
  <si>
    <t xml:space="preserve">Tumwesigye Lorence </t>
  </si>
  <si>
    <t>0789005276</t>
  </si>
  <si>
    <t>0701116363</t>
  </si>
  <si>
    <t>UG-WES-2103-014496</t>
  </si>
  <si>
    <t xml:space="preserve">Kyobuguzi Beatrice </t>
  </si>
  <si>
    <t>0775579530</t>
  </si>
  <si>
    <t>Bwizbwera upper ward</t>
  </si>
  <si>
    <t>UG-WES-2103-018042</t>
  </si>
  <si>
    <t xml:space="preserve">Tudyabagyenyi Emmanuel (Emmy) </t>
  </si>
  <si>
    <t>0772659387</t>
  </si>
  <si>
    <t>Rukungiri  municipality</t>
  </si>
  <si>
    <t>Kibaare</t>
  </si>
  <si>
    <t>UG-WES-2103-018043</t>
  </si>
  <si>
    <t xml:space="preserve">Katunguka Henry </t>
  </si>
  <si>
    <t>0776948508</t>
  </si>
  <si>
    <t>0704448508</t>
  </si>
  <si>
    <t>Rwembongo</t>
  </si>
  <si>
    <t>UG-WES-2007-018153</t>
  </si>
  <si>
    <t xml:space="preserve">Kyomugisha Cathrine 2 </t>
  </si>
  <si>
    <t>UG-WES-2103-018158</t>
  </si>
  <si>
    <t xml:space="preserve">Dr Barigye John </t>
  </si>
  <si>
    <t>0702554994</t>
  </si>
  <si>
    <t>UG-WES-2007-07433</t>
  </si>
  <si>
    <t xml:space="preserve">Nkurunungi John Bosco </t>
  </si>
  <si>
    <t>UG-WES-2103-021304</t>
  </si>
  <si>
    <t xml:space="preserve">Buhanga Joseph </t>
  </si>
  <si>
    <t>0772925205</t>
  </si>
  <si>
    <t>Kyaka Central</t>
  </si>
  <si>
    <t>Kabweeza</t>
  </si>
  <si>
    <t>Bulingo</t>
  </si>
  <si>
    <t>UG-WES-2103-07177</t>
  </si>
  <si>
    <t>Ninsiima Masee Herbert</t>
  </si>
  <si>
    <t>0702649205</t>
  </si>
  <si>
    <t>0779148337</t>
  </si>
  <si>
    <t>Bukanga north</t>
  </si>
  <si>
    <t>Rumbobo</t>
  </si>
  <si>
    <t>UG-WES-2103-07447</t>
  </si>
  <si>
    <t>Masheruka Girls Secondary school plant 2</t>
  </si>
  <si>
    <t>+256782324292</t>
  </si>
  <si>
    <t>Shema North</t>
  </si>
  <si>
    <t>UG-WES-2103-07919</t>
  </si>
  <si>
    <t>Baratha David Doctor</t>
  </si>
  <si>
    <t>0758662018</t>
  </si>
  <si>
    <t>0753156048</t>
  </si>
  <si>
    <t>Kitobero</t>
  </si>
  <si>
    <t>UG-WES-2104-014497</t>
  </si>
  <si>
    <t xml:space="preserve">Tumushabe Spiriano </t>
  </si>
  <si>
    <t>0782466104</t>
  </si>
  <si>
    <t>0787351792</t>
  </si>
  <si>
    <t>UG-WES-2104-018044</t>
  </si>
  <si>
    <t>Naturinda Shariff Mordern</t>
  </si>
  <si>
    <t>0771228188</t>
  </si>
  <si>
    <t>Kitoha</t>
  </si>
  <si>
    <t>UG-WES-2104-018431</t>
  </si>
  <si>
    <t xml:space="preserve">Kimbugwe Fred </t>
  </si>
  <si>
    <t>0785292392</t>
  </si>
  <si>
    <t>Kyarushasha</t>
  </si>
  <si>
    <t>UG-WES-2104-018433</t>
  </si>
  <si>
    <t xml:space="preserve">Muhereza Kwezi </t>
  </si>
  <si>
    <t>0776572078</t>
  </si>
  <si>
    <t>Katikala</t>
  </si>
  <si>
    <t>UG-WES-2104-018436</t>
  </si>
  <si>
    <t xml:space="preserve">Kabagambe Steven </t>
  </si>
  <si>
    <t>0392840086</t>
  </si>
  <si>
    <t>Kanyegalamire</t>
  </si>
  <si>
    <t>UG-WES-2104-018437</t>
  </si>
  <si>
    <t xml:space="preserve">Tumwesigye Edward </t>
  </si>
  <si>
    <t>0772544505</t>
  </si>
  <si>
    <t>UG-WES-2104-021301</t>
  </si>
  <si>
    <t xml:space="preserve">Nyakwebara Henry </t>
  </si>
  <si>
    <t>0782227963</t>
  </si>
  <si>
    <t>0706833404</t>
  </si>
  <si>
    <t>Kasule</t>
  </si>
  <si>
    <t>UG-WES-2104-021305</t>
  </si>
  <si>
    <t xml:space="preserve">Tugume Miliya </t>
  </si>
  <si>
    <t>0773352300</t>
  </si>
  <si>
    <t>0778534202</t>
  </si>
  <si>
    <t>Hapuyo T.C</t>
  </si>
  <si>
    <t>Kyamasiyare</t>
  </si>
  <si>
    <t>UG-WES-2104-021306</t>
  </si>
  <si>
    <t xml:space="preserve">Mbabazi Madinah </t>
  </si>
  <si>
    <t>0783277619</t>
  </si>
  <si>
    <t>0706418747</t>
  </si>
  <si>
    <t>Kakabara</t>
  </si>
  <si>
    <t>Kyakaterabwire</t>
  </si>
  <si>
    <t>UG-WES-2104-021307</t>
  </si>
  <si>
    <t xml:space="preserve">Basariza Emmanuel </t>
  </si>
  <si>
    <t>0752811469</t>
  </si>
  <si>
    <t>UG-WES-2009-012699</t>
  </si>
  <si>
    <t xml:space="preserve">Mrs Tibarokoka Lillian </t>
  </si>
  <si>
    <t>0772873936</t>
  </si>
  <si>
    <t>Kakihondwe</t>
  </si>
  <si>
    <t>UG-WES-2104-021401</t>
  </si>
  <si>
    <t>Basemeza Boniface Kabo</t>
  </si>
  <si>
    <t>0771815460</t>
  </si>
  <si>
    <t>0753471602</t>
  </si>
  <si>
    <t>Kyangwari</t>
  </si>
  <si>
    <t>Rwemishekye</t>
  </si>
  <si>
    <t>UG-WES-2104-021402</t>
  </si>
  <si>
    <t xml:space="preserve">Kuyunga Jason </t>
  </si>
  <si>
    <t>0772617492</t>
  </si>
  <si>
    <t>0753796137</t>
  </si>
  <si>
    <t>UG-WES-2104-021403</t>
  </si>
  <si>
    <t xml:space="preserve">Muhwezi David </t>
  </si>
  <si>
    <t>0774068176</t>
  </si>
  <si>
    <t>0787819812</t>
  </si>
  <si>
    <t>UG-WES-2104-021404</t>
  </si>
  <si>
    <t>Bakyondoza James Salongo</t>
  </si>
  <si>
    <t>0788625132</t>
  </si>
  <si>
    <t>0772939531</t>
  </si>
  <si>
    <t>Kikube T/C</t>
  </si>
  <si>
    <t>UG-WES-2104-07442</t>
  </si>
  <si>
    <t xml:space="preserve">Rwakairu Gideon </t>
  </si>
  <si>
    <t>0772641675</t>
  </si>
  <si>
    <t>UG-WES-2104-07920</t>
  </si>
  <si>
    <t xml:space="preserve">Barigye Fred </t>
  </si>
  <si>
    <t>0754880707</t>
  </si>
  <si>
    <t>Kyampangaza</t>
  </si>
  <si>
    <t>Ibale 1</t>
  </si>
  <si>
    <t>UG-WES-2104-07921</t>
  </si>
  <si>
    <t>Baguma James Doctor</t>
  </si>
  <si>
    <t>0789007642</t>
  </si>
  <si>
    <t>Akashayi</t>
  </si>
  <si>
    <t>UG-WES-2104-07922</t>
  </si>
  <si>
    <t xml:space="preserve">Kyoheirwe Jessica </t>
  </si>
  <si>
    <t>Nyubushozi</t>
  </si>
  <si>
    <t>Keitanturegye</t>
  </si>
  <si>
    <t>UG-WES-2105-013204</t>
  </si>
  <si>
    <t xml:space="preserve">Tugume William </t>
  </si>
  <si>
    <t>0786085189</t>
  </si>
  <si>
    <t>0753929464</t>
  </si>
  <si>
    <t>Katunguru</t>
  </si>
  <si>
    <t>UG-WES-2105-014498</t>
  </si>
  <si>
    <t xml:space="preserve">Ninsiima Midred </t>
  </si>
  <si>
    <t>0778884656</t>
  </si>
  <si>
    <t>Kyabanyoro</t>
  </si>
  <si>
    <t>UG-WES-2105-018159</t>
  </si>
  <si>
    <t xml:space="preserve">Bamwiine George </t>
  </si>
  <si>
    <t>0700623200</t>
  </si>
  <si>
    <t>Kakooba</t>
  </si>
  <si>
    <t>Kyampotani</t>
  </si>
  <si>
    <t>UG-WES-2105-018440</t>
  </si>
  <si>
    <t>Mugenyi Ephraim Chairman</t>
  </si>
  <si>
    <t>0777593219</t>
  </si>
  <si>
    <t>UG-WES-2105-018441</t>
  </si>
  <si>
    <t xml:space="preserve">Mbabazi Joyce </t>
  </si>
  <si>
    <t>0779787160</t>
  </si>
  <si>
    <t>0775596095</t>
  </si>
  <si>
    <t>UG-WES-2105-07923</t>
  </si>
  <si>
    <t xml:space="preserve">Nuwamanya John </t>
  </si>
  <si>
    <t>0783858773</t>
  </si>
  <si>
    <t>Kisha II</t>
  </si>
  <si>
    <t>UG-WES-2105-08288</t>
  </si>
  <si>
    <t xml:space="preserve">Tukasingura Kefa </t>
  </si>
  <si>
    <t>0774677116</t>
  </si>
  <si>
    <t>Kisoro.Municipality</t>
  </si>
  <si>
    <t>Karumena</t>
  </si>
  <si>
    <t>UG-WES-2105-08290</t>
  </si>
  <si>
    <t xml:space="preserve">Muhawe Richard </t>
  </si>
  <si>
    <t>0772421120</t>
  </si>
  <si>
    <t>0702421120</t>
  </si>
  <si>
    <t>UG-WES-2106-013205</t>
  </si>
  <si>
    <t>Agaba Johnmary Mberengye</t>
  </si>
  <si>
    <t>0704911409</t>
  </si>
  <si>
    <t>Kamukondo</t>
  </si>
  <si>
    <t>UG-WES-2106-014500</t>
  </si>
  <si>
    <t xml:space="preserve">Abaho Seth </t>
  </si>
  <si>
    <t>Nyakasharira ward</t>
  </si>
  <si>
    <t>UG-WES-2106-018160</t>
  </si>
  <si>
    <t xml:space="preserve">Tusiimire Steven </t>
  </si>
  <si>
    <t>0704138248</t>
  </si>
  <si>
    <t>UG-WES-2106-018161</t>
  </si>
  <si>
    <t xml:space="preserve">Kananura Martin </t>
  </si>
  <si>
    <t>0701490258</t>
  </si>
  <si>
    <t>UG-WES-2106-07927</t>
  </si>
  <si>
    <t>Rwitsa David Canon</t>
  </si>
  <si>
    <t>0752388786</t>
  </si>
  <si>
    <t>UG-WES-2010-08277</t>
  </si>
  <si>
    <t>Dr.Nsekuye Pasiko Plant 2</t>
  </si>
  <si>
    <t>0772475737</t>
  </si>
  <si>
    <t>0701909524</t>
  </si>
  <si>
    <t>Kisoro.Bufumbira.East</t>
  </si>
  <si>
    <t>Mburara</t>
  </si>
  <si>
    <t>UG-WES-2106-08291</t>
  </si>
  <si>
    <t xml:space="preserve">Nicolas Hakizimana </t>
  </si>
  <si>
    <t>0777838879</t>
  </si>
  <si>
    <t>0770842212</t>
  </si>
  <si>
    <t>UG-WES-2010-08280</t>
  </si>
  <si>
    <t xml:space="preserve">Rushaga.Gorilla campsite plant 2 </t>
  </si>
  <si>
    <t>UG-WES-2106-O7939</t>
  </si>
  <si>
    <t xml:space="preserve">Ruvuma James </t>
  </si>
  <si>
    <t>0706161506</t>
  </si>
  <si>
    <t>Lugushulu</t>
  </si>
  <si>
    <t>Kyabarezi</t>
  </si>
  <si>
    <t>UG-WES-2011-013516</t>
  </si>
  <si>
    <t>Nyangabyaki Perez Atwooki</t>
  </si>
  <si>
    <t>+256781006981</t>
  </si>
  <si>
    <t>0777308531</t>
  </si>
  <si>
    <t>UG-WES-2107-013520</t>
  </si>
  <si>
    <t xml:space="preserve">Okwi David </t>
  </si>
  <si>
    <t>0772166492</t>
  </si>
  <si>
    <t>Kigulya</t>
  </si>
  <si>
    <t>Kabalya</t>
  </si>
  <si>
    <t>UG-WES-2011-013518</t>
  </si>
  <si>
    <t xml:space="preserve">Wanichan Franco </t>
  </si>
  <si>
    <t>0777319229</t>
  </si>
  <si>
    <t>Kabango town council</t>
  </si>
  <si>
    <t>UG-WES-2107-018046</t>
  </si>
  <si>
    <t xml:space="preserve">Hon Rwakakoko Elley </t>
  </si>
  <si>
    <t>Ruhaama west</t>
  </si>
  <si>
    <t>Omunkondo</t>
  </si>
  <si>
    <t>UG-WES-2107-021310</t>
  </si>
  <si>
    <t xml:space="preserve">Donah Lydia </t>
  </si>
  <si>
    <t>0753776017</t>
  </si>
  <si>
    <t>Rweshande</t>
  </si>
  <si>
    <t>Ranch 30</t>
  </si>
  <si>
    <t>UG-WES-2107-021451</t>
  </si>
  <si>
    <t xml:space="preserve">Kiiza Victor </t>
  </si>
  <si>
    <t>Lushenyi</t>
  </si>
  <si>
    <t>Rubale tc</t>
  </si>
  <si>
    <t>Omukidebe</t>
  </si>
  <si>
    <t>UG-WES-2011-08282</t>
  </si>
  <si>
    <t xml:space="preserve">Dr.Nsekuye Pasiko Plant 3 </t>
  </si>
  <si>
    <t>+256772475737</t>
  </si>
  <si>
    <t>UG-WES-2107-021653</t>
  </si>
  <si>
    <t>Muhumuza Solomon Achaali</t>
  </si>
  <si>
    <t>Mugusu</t>
  </si>
  <si>
    <t>Iboroga</t>
  </si>
  <si>
    <t>UG-WES-2107-021657</t>
  </si>
  <si>
    <t>Rwabunoha Adam Kahwa</t>
  </si>
  <si>
    <t>Karugutu</t>
  </si>
  <si>
    <t>Nyaburo</t>
  </si>
  <si>
    <t>UG-WES-2107-021665</t>
  </si>
  <si>
    <t xml:space="preserve">Tihabwitu Auther </t>
  </si>
  <si>
    <t>0701384772</t>
  </si>
  <si>
    <t>UG-WES-2107-08289</t>
  </si>
  <si>
    <t xml:space="preserve">Gorilla.Tree Tops Lodge </t>
  </si>
  <si>
    <t>0787386470</t>
  </si>
  <si>
    <t>0754542696</t>
  </si>
  <si>
    <t>Rubuguri.T.council</t>
  </si>
  <si>
    <t>UG-WES-2108-013363</t>
  </si>
  <si>
    <t>Nyinakiiza Franciska Nalongo</t>
  </si>
  <si>
    <t>0782904877</t>
  </si>
  <si>
    <t>UG-WES-2108-021323</t>
  </si>
  <si>
    <t xml:space="preserve">Swebuufu Swaibu </t>
  </si>
  <si>
    <t>0782588711</t>
  </si>
  <si>
    <t>Southern ward</t>
  </si>
  <si>
    <t>Kirasa</t>
  </si>
  <si>
    <t>UG-WES-2108-021453</t>
  </si>
  <si>
    <t xml:space="preserve">Nalugendo Shamimu </t>
  </si>
  <si>
    <t>0773426547</t>
  </si>
  <si>
    <t>UG-WES-2108-08292</t>
  </si>
  <si>
    <t xml:space="preserve">Twesigye Posiano </t>
  </si>
  <si>
    <t>0785299322</t>
  </si>
  <si>
    <t>0785419955</t>
  </si>
  <si>
    <t>UG-WES-2108-08293</t>
  </si>
  <si>
    <t xml:space="preserve">Niyonzima Barnabas </t>
  </si>
  <si>
    <t>0782840426</t>
  </si>
  <si>
    <t>0701695553</t>
  </si>
  <si>
    <t>UG-WES-2108-08294</t>
  </si>
  <si>
    <t xml:space="preserve">Habumugisha Martin </t>
  </si>
  <si>
    <t>0776878630</t>
  </si>
  <si>
    <t>0785876074</t>
  </si>
  <si>
    <t>UG-WES-2102-013202</t>
  </si>
  <si>
    <t>Kyera ATC Plant 2</t>
  </si>
  <si>
    <t>0771162221</t>
  </si>
  <si>
    <t>0757807108</t>
  </si>
  <si>
    <t>UG-WES-2109-018048</t>
  </si>
  <si>
    <t xml:space="preserve">Mama Gladeth Magezi </t>
  </si>
  <si>
    <t>0773085611</t>
  </si>
  <si>
    <t>0786188627</t>
  </si>
  <si>
    <t>UG-WES-2109-021406</t>
  </si>
  <si>
    <t xml:space="preserve">Khomain Saad </t>
  </si>
  <si>
    <t>0702877728</t>
  </si>
  <si>
    <t>0703777740</t>
  </si>
  <si>
    <t>UG-WES-2109-021672</t>
  </si>
  <si>
    <t xml:space="preserve">Tibayungwa Gabriel </t>
  </si>
  <si>
    <t>0703676688</t>
  </si>
  <si>
    <t>0704543765</t>
  </si>
  <si>
    <t>Rwemengo</t>
  </si>
  <si>
    <t>UG-WES-2109-021676</t>
  </si>
  <si>
    <t>Byaruhanga Birungi Ritah</t>
  </si>
  <si>
    <t>0785306887</t>
  </si>
  <si>
    <t>0772320752</t>
  </si>
  <si>
    <t>Migongwe</t>
  </si>
  <si>
    <t>UG-WES-2109-07924</t>
  </si>
  <si>
    <t xml:space="preserve">Kakye Fred </t>
  </si>
  <si>
    <t>0772334580</t>
  </si>
  <si>
    <t>UG-WES-2110-013521</t>
  </si>
  <si>
    <t>Ruth Kutesa K</t>
  </si>
  <si>
    <t>0772642275</t>
  </si>
  <si>
    <t>0774315951</t>
  </si>
  <si>
    <t>Ntuma</t>
  </si>
  <si>
    <t>UG-WES-2110-018049</t>
  </si>
  <si>
    <t xml:space="preserve">Tukamushaba Julius </t>
  </si>
  <si>
    <t>0789568119</t>
  </si>
  <si>
    <t>UG-WES-2102-02519</t>
  </si>
  <si>
    <t>Masheruka Girls Secondary school Plant 1</t>
  </si>
  <si>
    <t>UG-WES-2110-018351</t>
  </si>
  <si>
    <t xml:space="preserve">Mbangira Osta </t>
  </si>
  <si>
    <t>0782488902</t>
  </si>
  <si>
    <t>0784263450</t>
  </si>
  <si>
    <t>Nyakabungo T/council</t>
  </si>
  <si>
    <t xml:space="preserve">Mbarara university of science and Technology Plant 3 </t>
  </si>
  <si>
    <t>+256772892953</t>
  </si>
  <si>
    <t>Mbarara south</t>
  </si>
  <si>
    <t>UG-WES-2110-018352</t>
  </si>
  <si>
    <t>Mugisha Emmanuel Masesan</t>
  </si>
  <si>
    <t>0770249226</t>
  </si>
  <si>
    <t>Kinkizi. East</t>
  </si>
  <si>
    <t>Kambuga  T/C</t>
  </si>
  <si>
    <t>Rugali</t>
  </si>
  <si>
    <t>UG-WES-2110-021408</t>
  </si>
  <si>
    <t>Kafuda Jesca Akiiki</t>
  </si>
  <si>
    <t>0777025869</t>
  </si>
  <si>
    <t>UG-WES-2110-021410</t>
  </si>
  <si>
    <t xml:space="preserve">Mbabazi Annet </t>
  </si>
  <si>
    <t>0787597491</t>
  </si>
  <si>
    <t>Kamwenge T/C</t>
  </si>
  <si>
    <t>Rwemirama ll</t>
  </si>
  <si>
    <t>UG-WES-2110-021411</t>
  </si>
  <si>
    <t xml:space="preserve">Ahmed Senungi </t>
  </si>
  <si>
    <t>0783971035</t>
  </si>
  <si>
    <t>0772427006</t>
  </si>
  <si>
    <t>Kyaka South</t>
  </si>
  <si>
    <t>UG-WES-2110-021454</t>
  </si>
  <si>
    <t xml:space="preserve">Kadugu Joseph </t>
  </si>
  <si>
    <t>0751791681</t>
  </si>
  <si>
    <t>UG-WES-2110-021685</t>
  </si>
  <si>
    <t xml:space="preserve">Taremwa Jonnah </t>
  </si>
  <si>
    <t>0777840183</t>
  </si>
  <si>
    <t>Rwandama</t>
  </si>
  <si>
    <t>UG-WES-2110-021689</t>
  </si>
  <si>
    <t>Rubaire Christopher Akiiki</t>
  </si>
  <si>
    <t>0776791888</t>
  </si>
  <si>
    <t>0772220009</t>
  </si>
  <si>
    <t>Kaninga</t>
  </si>
  <si>
    <t>UG-WES-2103-013203</t>
  </si>
  <si>
    <t>Bishop Stuat University Plant 2 (Agribusiness incubation Hub)-Natumanya Hillary</t>
  </si>
  <si>
    <t>0705424750</t>
  </si>
  <si>
    <t>0786478738</t>
  </si>
  <si>
    <t>NTC cell</t>
  </si>
  <si>
    <t>UG-WES-2110-08295</t>
  </si>
  <si>
    <t xml:space="preserve">Bahungyirehe Vanansio </t>
  </si>
  <si>
    <t>0773796567</t>
  </si>
  <si>
    <t>UG-WES-2103-014490</t>
  </si>
  <si>
    <t xml:space="preserve">Annet Kyomuhendo </t>
  </si>
  <si>
    <t>0782954192</t>
  </si>
  <si>
    <t>UG-WES-2110-08296</t>
  </si>
  <si>
    <t xml:space="preserve">Muhangyi Augustine </t>
  </si>
  <si>
    <t>0785897672</t>
  </si>
  <si>
    <t>0784162660</t>
  </si>
  <si>
    <t>UG-WES-2110-7926</t>
  </si>
  <si>
    <t xml:space="preserve">Rutahembya Noel </t>
  </si>
  <si>
    <t>0782372106</t>
  </si>
  <si>
    <t>Kazo town council</t>
  </si>
  <si>
    <t>Gabarungi</t>
  </si>
  <si>
    <t>UG-WES-2111-014127</t>
  </si>
  <si>
    <t>Peter Babu Kabanga</t>
  </si>
  <si>
    <t>0700994367</t>
  </si>
  <si>
    <t>Butambor</t>
  </si>
  <si>
    <t>Rwamadongo</t>
  </si>
  <si>
    <t>UG-WES-2111-021412</t>
  </si>
  <si>
    <t xml:space="preserve">Kanyamatono Steven </t>
  </si>
  <si>
    <t>0772481832</t>
  </si>
  <si>
    <t>North Division</t>
  </si>
  <si>
    <t>UG-WES-2201-018353</t>
  </si>
  <si>
    <t xml:space="preserve">Obedi Collins </t>
  </si>
  <si>
    <t>0784159952</t>
  </si>
  <si>
    <t>0771170247</t>
  </si>
  <si>
    <t>UG-WES-2201-018354</t>
  </si>
  <si>
    <t xml:space="preserve">Ahimbisibwe Joan </t>
  </si>
  <si>
    <t>0777691309</t>
  </si>
  <si>
    <t>Kambuga T /c</t>
  </si>
  <si>
    <t>Nyakatunguru</t>
  </si>
  <si>
    <t>UG-WES-2103-018417</t>
  </si>
  <si>
    <t>Mbarara University of Science and Technology Plant 1 (Amwikirize Annah)</t>
  </si>
  <si>
    <t>0706148014</t>
  </si>
  <si>
    <t>0775888001</t>
  </si>
  <si>
    <t>UG-WES-2103-018418</t>
  </si>
  <si>
    <t>Mbarara University of Science and Technology Plant 2 (Amwikirize Annah)</t>
  </si>
  <si>
    <t>UG-WES-2103-018420</t>
  </si>
  <si>
    <t>Bishop Stuat University Plant 1 Agaba Julius (Farm manager)</t>
  </si>
  <si>
    <t>0778769033</t>
  </si>
  <si>
    <t>0750528144</t>
  </si>
  <si>
    <t>NTC</t>
  </si>
  <si>
    <t>UG-WES-2201-018355</t>
  </si>
  <si>
    <t xml:space="preserve">Tumusiime Ketty </t>
  </si>
  <si>
    <t>0784548829</t>
  </si>
  <si>
    <t>UG-WES-2201-018356</t>
  </si>
  <si>
    <t xml:space="preserve">Mwesigye Charlese </t>
  </si>
  <si>
    <t>0772999482</t>
  </si>
  <si>
    <t>UG-WES-2201-018357</t>
  </si>
  <si>
    <t xml:space="preserve">Bishop combone  college Kambuga </t>
  </si>
  <si>
    <t>0392961035</t>
  </si>
  <si>
    <t>0772409058</t>
  </si>
  <si>
    <t>Nyakatungu</t>
  </si>
  <si>
    <t>UG-WES-2201-018358</t>
  </si>
  <si>
    <t>Mbabazi Medius Asiimwe</t>
  </si>
  <si>
    <t>0772544065</t>
  </si>
  <si>
    <t>0780831976</t>
  </si>
  <si>
    <t>Rwamanyonyi</t>
  </si>
  <si>
    <t>UG-WES-2201-021802</t>
  </si>
  <si>
    <t xml:space="preserve">Bakurumpagi Michael </t>
  </si>
  <si>
    <t>0774790405</t>
  </si>
  <si>
    <t>Kafunzo</t>
  </si>
  <si>
    <t>UG-WES-2201-021807</t>
  </si>
  <si>
    <t>Tibamanya David Plant 2</t>
  </si>
  <si>
    <t>0702490948</t>
  </si>
  <si>
    <t>0772652599</t>
  </si>
  <si>
    <t>Kanyalyeru</t>
  </si>
  <si>
    <t>Mpangamushanju</t>
  </si>
  <si>
    <t>UG-WES-2104-018432</t>
  </si>
  <si>
    <t xml:space="preserve">Kaijuka Rashid </t>
  </si>
  <si>
    <t>0785363900</t>
  </si>
  <si>
    <t>0789066910</t>
  </si>
  <si>
    <t>Nyamulimirwa</t>
  </si>
  <si>
    <t>UG-WES-2202-013523</t>
  </si>
  <si>
    <t>Kakuru K Livingston</t>
  </si>
  <si>
    <t>0779024719</t>
  </si>
  <si>
    <t>Rusa</t>
  </si>
  <si>
    <t>UG-WES-2202-013524</t>
  </si>
  <si>
    <t xml:space="preserve">Mbabazi Magret </t>
  </si>
  <si>
    <t>0782441875</t>
  </si>
  <si>
    <t>Masindi minicipality</t>
  </si>
  <si>
    <t>Kisiita cell</t>
  </si>
  <si>
    <t>UG-WES-2202-018359</t>
  </si>
  <si>
    <t xml:space="preserve">Dr Arinaitwe Sylivia </t>
  </si>
  <si>
    <t>0784279811</t>
  </si>
  <si>
    <t>UG-WES-2202-021413</t>
  </si>
  <si>
    <t>Basemera Kirisi Adyeri</t>
  </si>
  <si>
    <t>0780272012</t>
  </si>
  <si>
    <t>0703526451</t>
  </si>
  <si>
    <t>Omwibare</t>
  </si>
  <si>
    <t>UG-WES-2202-021414</t>
  </si>
  <si>
    <t xml:space="preserve">Namanya Naboth </t>
  </si>
  <si>
    <t>0772687479</t>
  </si>
  <si>
    <t>0701687479</t>
  </si>
  <si>
    <t>Kabungo ward</t>
  </si>
  <si>
    <t>UG-WES-2202-021806</t>
  </si>
  <si>
    <t>Tibamanya David Plant 1</t>
  </si>
  <si>
    <t>Akayanza</t>
  </si>
  <si>
    <t>Lwakobo</t>
  </si>
  <si>
    <t>UG-WES-2210-010152</t>
  </si>
  <si>
    <t xml:space="preserve">Karanzi Reuben </t>
  </si>
  <si>
    <t>0772952978</t>
  </si>
  <si>
    <t>Buhandagazi</t>
  </si>
  <si>
    <t>Tume's Engineering Company Ltd</t>
  </si>
  <si>
    <t>UG-WES-2210-010201</t>
  </si>
  <si>
    <t xml:space="preserve">Bariyo Jucenta </t>
  </si>
  <si>
    <t>0754624473</t>
  </si>
  <si>
    <t>Butare ward</t>
  </si>
  <si>
    <t>UG-WES-2210-010203</t>
  </si>
  <si>
    <t xml:space="preserve">Baguma Deus </t>
  </si>
  <si>
    <t>0778425073</t>
  </si>
  <si>
    <t>Nyamitooma</t>
  </si>
  <si>
    <t>UG-WES-2210-010204</t>
  </si>
  <si>
    <t xml:space="preserve">Kyomu Doreen </t>
  </si>
  <si>
    <t>0776302050</t>
  </si>
  <si>
    <t>Nyabukye</t>
  </si>
  <si>
    <t>Kabagoma</t>
  </si>
  <si>
    <t>UG-WES-2210-010351</t>
  </si>
  <si>
    <t>Kwijuka Moses Black</t>
  </si>
  <si>
    <t>0788461007</t>
  </si>
  <si>
    <t>Kabwoma</t>
  </si>
  <si>
    <t>UG-WES-2210-010354</t>
  </si>
  <si>
    <t>Atwooki Kamba John</t>
  </si>
  <si>
    <t>0789569546</t>
  </si>
  <si>
    <t>Burashya</t>
  </si>
  <si>
    <t>Mugusu town council</t>
  </si>
  <si>
    <t>Detra Energy &amp; Environmental Contractors</t>
  </si>
  <si>
    <t>UG-WES-2210-010751</t>
  </si>
  <si>
    <t xml:space="preserve">Jacquiline Bantu </t>
  </si>
  <si>
    <t>0772492597</t>
  </si>
  <si>
    <t>Kihombooza</t>
  </si>
  <si>
    <t>UG-WES-2210-010752</t>
  </si>
  <si>
    <t xml:space="preserve">Fred Mpora </t>
  </si>
  <si>
    <t>0702477549</t>
  </si>
  <si>
    <t>0785194349</t>
  </si>
  <si>
    <t>Lwamata</t>
  </si>
  <si>
    <t>Buninga</t>
  </si>
  <si>
    <t>Kigattansi</t>
  </si>
  <si>
    <t>UG-WES-2210-010835</t>
  </si>
  <si>
    <t xml:space="preserve">Kabanda Joseph </t>
  </si>
  <si>
    <t>0782848284</t>
  </si>
  <si>
    <t>UG-WES-2210-010836</t>
  </si>
  <si>
    <t xml:space="preserve">Dubotho Moris </t>
  </si>
  <si>
    <t>0773677390</t>
  </si>
  <si>
    <t>Kyantamba</t>
  </si>
  <si>
    <t>UG-WES-2210-010837</t>
  </si>
  <si>
    <t xml:space="preserve">Nalubega Hanifa </t>
  </si>
  <si>
    <t>0782487834</t>
  </si>
  <si>
    <t>Kyakikooti</t>
  </si>
  <si>
    <t>UG-WES-2210-010838</t>
  </si>
  <si>
    <t xml:space="preserve">Matovu Wilson </t>
  </si>
  <si>
    <t>0771572925</t>
  </si>
  <si>
    <t>Kapeke</t>
  </si>
  <si>
    <t>Maggi</t>
  </si>
  <si>
    <t>UG-WES-2210-010839</t>
  </si>
  <si>
    <t xml:space="preserve">Nakyomu Magrate </t>
  </si>
  <si>
    <t>0780564358</t>
  </si>
  <si>
    <t>Kabamba</t>
  </si>
  <si>
    <t>UG-WES-2210-010843</t>
  </si>
  <si>
    <t xml:space="preserve">Nakitto Recheal </t>
  </si>
  <si>
    <t>0773594519</t>
  </si>
  <si>
    <t>Lwamirindo</t>
  </si>
  <si>
    <t>UG-WES-2210-011001</t>
  </si>
  <si>
    <t xml:space="preserve">Tarasira Kemari </t>
  </si>
  <si>
    <t>0759149309</t>
  </si>
  <si>
    <t>UG-WES-2210-011002</t>
  </si>
  <si>
    <t xml:space="preserve">Prisca Nuwasasira </t>
  </si>
  <si>
    <t>0753034086</t>
  </si>
  <si>
    <t>UG-WES-2210-011004</t>
  </si>
  <si>
    <t xml:space="preserve">Dickson Ntare </t>
  </si>
  <si>
    <t>0755130087</t>
  </si>
  <si>
    <t>Nsiika</t>
  </si>
  <si>
    <t>Kilebbe. A</t>
  </si>
  <si>
    <t>UG-WES-2106-014499</t>
  </si>
  <si>
    <t>Owner is not comfortable with us having his plant in our dbase</t>
  </si>
  <si>
    <t xml:space="preserve">James Nyakiisa </t>
  </si>
  <si>
    <t>UG-WES-2210-011005</t>
  </si>
  <si>
    <t xml:space="preserve">Tadeo Masanso </t>
  </si>
  <si>
    <t>0758385777</t>
  </si>
  <si>
    <t>Kigaga</t>
  </si>
  <si>
    <t>UG-WES-2210-011007</t>
  </si>
  <si>
    <t xml:space="preserve">Kaburahoona Milton </t>
  </si>
  <si>
    <t>0785446879</t>
  </si>
  <si>
    <t>Kaliiro</t>
  </si>
  <si>
    <t>Kabateema</t>
  </si>
  <si>
    <t>UG-WES-2210-011009</t>
  </si>
  <si>
    <t xml:space="preserve">Caleb Kafiriyoko </t>
  </si>
  <si>
    <t>0754990043</t>
  </si>
  <si>
    <t>Mijwaala</t>
  </si>
  <si>
    <t>Nsoga</t>
  </si>
  <si>
    <t>Nambirizi</t>
  </si>
  <si>
    <t>UG-WES-2210-011010</t>
  </si>
  <si>
    <t xml:space="preserve">Jackson Banyenzaki </t>
  </si>
  <si>
    <t>0753370085</t>
  </si>
  <si>
    <t>Kikima</t>
  </si>
  <si>
    <t>UG-WES-2211-010102</t>
  </si>
  <si>
    <t xml:space="preserve">Ennid Mwebaze </t>
  </si>
  <si>
    <t>0702413962</t>
  </si>
  <si>
    <t>UG-WES-2211-010202</t>
  </si>
  <si>
    <t xml:space="preserve">Mwebaze Geofrey </t>
  </si>
  <si>
    <t>0774395335</t>
  </si>
  <si>
    <t>Kahaiza2</t>
  </si>
  <si>
    <t>UG-WES-2211-010353</t>
  </si>
  <si>
    <t xml:space="preserve">Tugume Eva </t>
  </si>
  <si>
    <t>0754558395</t>
  </si>
  <si>
    <t>Kebesoni</t>
  </si>
  <si>
    <t>Rwankoma</t>
  </si>
  <si>
    <t>UG-WES-2211-010357</t>
  </si>
  <si>
    <t xml:space="preserve">Namara Kellen </t>
  </si>
  <si>
    <t>0773784755</t>
  </si>
  <si>
    <t>UG-WES-2211-010360</t>
  </si>
  <si>
    <t xml:space="preserve">Kabyojo Lauben </t>
  </si>
  <si>
    <t>0774612690</t>
  </si>
  <si>
    <t>Migina</t>
  </si>
  <si>
    <t>UG-WES-2211-010367</t>
  </si>
  <si>
    <t xml:space="preserve">Nabasa Mary </t>
  </si>
  <si>
    <t>0773775340</t>
  </si>
  <si>
    <t>Kemizi</t>
  </si>
  <si>
    <t>UG-WES-2211-010371</t>
  </si>
  <si>
    <t xml:space="preserve">Kebiragiro Jane </t>
  </si>
  <si>
    <t>0773003872</t>
  </si>
  <si>
    <t>Bwengure</t>
  </si>
  <si>
    <t>UG-WES-2211-011003</t>
  </si>
  <si>
    <t xml:space="preserve">Annet Twinomujuni </t>
  </si>
  <si>
    <t>0783444520</t>
  </si>
  <si>
    <t>Rwenzaza</t>
  </si>
  <si>
    <t xml:space="preserve">Vito Bisaaso </t>
  </si>
  <si>
    <t>0753997440</t>
  </si>
  <si>
    <t>UG-WES-2211-011008</t>
  </si>
  <si>
    <t xml:space="preserve">Odile Maria </t>
  </si>
  <si>
    <t>0773542392</t>
  </si>
  <si>
    <t>UG-WES-2211-011011</t>
  </si>
  <si>
    <t xml:space="preserve">Nakawooya Florence </t>
  </si>
  <si>
    <t>0753512195</t>
  </si>
  <si>
    <t>Mabindo</t>
  </si>
  <si>
    <t>Kasaalu</t>
  </si>
  <si>
    <t>UG-WES-2211-011012</t>
  </si>
  <si>
    <t xml:space="preserve">Florence Nagingo </t>
  </si>
  <si>
    <t>0703664492</t>
  </si>
  <si>
    <t>Nakasagazi</t>
  </si>
  <si>
    <t>Lwentale</t>
  </si>
  <si>
    <t>UG-WES-2211-011013</t>
  </si>
  <si>
    <t xml:space="preserve">Patrick Kabuluku </t>
  </si>
  <si>
    <t>0703214043</t>
  </si>
  <si>
    <t>Kawandq</t>
  </si>
  <si>
    <t>Kasongi</t>
  </si>
  <si>
    <t>UG-WES-2211-011213</t>
  </si>
  <si>
    <t xml:space="preserve">Basaliza Edward </t>
  </si>
  <si>
    <t>0772394266</t>
  </si>
  <si>
    <t>UG-WES-2211-011215</t>
  </si>
  <si>
    <t xml:space="preserve">Keneth Kyamulesire </t>
  </si>
  <si>
    <t>0702470569</t>
  </si>
  <si>
    <t>Kyekumburwa</t>
  </si>
  <si>
    <t>UG-WES-2211-011216</t>
  </si>
  <si>
    <t xml:space="preserve">William Mugisha </t>
  </si>
  <si>
    <t>0783109393</t>
  </si>
  <si>
    <t>Ntambi</t>
  </si>
  <si>
    <t>UG-WES-2211-011217</t>
  </si>
  <si>
    <t xml:space="preserve">Elias Nsamba </t>
  </si>
  <si>
    <t>0701303406</t>
  </si>
  <si>
    <t>Njarayabana</t>
  </si>
  <si>
    <t>UG-WES-2211-011220</t>
  </si>
  <si>
    <t xml:space="preserve">Achaali Lucy </t>
  </si>
  <si>
    <t>0779661427</t>
  </si>
  <si>
    <t>UG-WES-2211-011222</t>
  </si>
  <si>
    <t xml:space="preserve">Joseph Mwebesa </t>
  </si>
  <si>
    <t>0701302050</t>
  </si>
  <si>
    <t>Nyabuharwa</t>
  </si>
  <si>
    <t>Mirongo 2</t>
  </si>
  <si>
    <t>UG-WES-2211-011223</t>
  </si>
  <si>
    <t xml:space="preserve">Marklin Ruhweza </t>
  </si>
  <si>
    <t>0776858231</t>
  </si>
  <si>
    <t>Kasamba</t>
  </si>
  <si>
    <t>UG-WES-2212-010101</t>
  </si>
  <si>
    <t xml:space="preserve">Barugahare Pius </t>
  </si>
  <si>
    <t>0772391748</t>
  </si>
  <si>
    <t>kashari</t>
  </si>
  <si>
    <t>Kibega</t>
  </si>
  <si>
    <t>UG-WES-2212-010352</t>
  </si>
  <si>
    <t>Mugisha Lawrence Busesire</t>
  </si>
  <si>
    <t>0772390604</t>
  </si>
  <si>
    <t>UG-WES-2110-017855</t>
  </si>
  <si>
    <t xml:space="preserve">Client stopped qsp from reaching his premises </t>
  </si>
  <si>
    <t xml:space="preserve">Oyo Samuel </t>
  </si>
  <si>
    <t>0778345676</t>
  </si>
  <si>
    <t>Nyabuharwe</t>
  </si>
  <si>
    <t>Kabilizi</t>
  </si>
  <si>
    <t>UG-WES-2212-010356</t>
  </si>
  <si>
    <t xml:space="preserve">Kajungu Paskari </t>
  </si>
  <si>
    <t>0773611825</t>
  </si>
  <si>
    <t>Mirongo</t>
  </si>
  <si>
    <t>Rwibare 1</t>
  </si>
  <si>
    <t>UG-WES-2212-010358</t>
  </si>
  <si>
    <t xml:space="preserve">Tumwine Peninah </t>
  </si>
  <si>
    <t>0772307736</t>
  </si>
  <si>
    <t>Nshere</t>
  </si>
  <si>
    <t>UG-WES-2212-010362</t>
  </si>
  <si>
    <t xml:space="preserve">Mrs mansi Annet </t>
  </si>
  <si>
    <t>0782903894</t>
  </si>
  <si>
    <t>UG-WES-2212-010365</t>
  </si>
  <si>
    <t xml:space="preserve">Burindwa Phaeb </t>
  </si>
  <si>
    <t>0758208931</t>
  </si>
  <si>
    <t>Kishunju</t>
  </si>
  <si>
    <t>Kishungu</t>
  </si>
  <si>
    <t>UG-WES-2212-010368</t>
  </si>
  <si>
    <t xml:space="preserve">Karubindi Kellen </t>
  </si>
  <si>
    <t>0781177090</t>
  </si>
  <si>
    <t>UG-WES-2212-010369</t>
  </si>
  <si>
    <t xml:space="preserve">Kaboine Kellen </t>
  </si>
  <si>
    <t>0772534346</t>
  </si>
  <si>
    <t>Ntungama</t>
  </si>
  <si>
    <t>UG-WES-2212-010372</t>
  </si>
  <si>
    <t xml:space="preserve">Tumwine Lauben </t>
  </si>
  <si>
    <t>UG-WES-2212-011014</t>
  </si>
  <si>
    <t xml:space="preserve">Ben Lubega </t>
  </si>
  <si>
    <t>0757394478</t>
  </si>
  <si>
    <t>UG-WES-2212-011218</t>
  </si>
  <si>
    <t xml:space="preserve">George Nkojo </t>
  </si>
  <si>
    <t>0774920293</t>
  </si>
  <si>
    <t>Bweramule</t>
  </si>
  <si>
    <t>Rwamabale</t>
  </si>
  <si>
    <t>Nyakabira</t>
  </si>
  <si>
    <t>UG-WES-2212-011219</t>
  </si>
  <si>
    <t xml:space="preserve">George Mayombo </t>
  </si>
  <si>
    <t>0772686549</t>
  </si>
  <si>
    <t>Buhiisi</t>
  </si>
  <si>
    <t>UG-WES-2212-011221</t>
  </si>
  <si>
    <t xml:space="preserve">Kahuma Edward </t>
  </si>
  <si>
    <t>0784923612</t>
  </si>
  <si>
    <t>Nyakasenyi</t>
  </si>
  <si>
    <t>Butungama</t>
  </si>
  <si>
    <t>UG-WES-2301-010103</t>
  </si>
  <si>
    <t xml:space="preserve">Nyangoma Abwori </t>
  </si>
  <si>
    <t>0776875728</t>
  </si>
  <si>
    <t>Nyakatonje</t>
  </si>
  <si>
    <t>Isazi</t>
  </si>
  <si>
    <t>UG-WES-2301-010153</t>
  </si>
  <si>
    <t xml:space="preserve">Kyariima Ambrose </t>
  </si>
  <si>
    <t>0782942563</t>
  </si>
  <si>
    <t>UG-WES-2301-010359</t>
  </si>
  <si>
    <t xml:space="preserve">Mwesiga David </t>
  </si>
  <si>
    <t>0740597858</t>
  </si>
  <si>
    <t>Kariba</t>
  </si>
  <si>
    <t>UG-WES-2301-010361</t>
  </si>
  <si>
    <t xml:space="preserve">Ntabo Isreal </t>
  </si>
  <si>
    <t>0772383846</t>
  </si>
  <si>
    <t>Kiguma</t>
  </si>
  <si>
    <t>Kyenzoki</t>
  </si>
  <si>
    <t>UG-WES-2301-010364</t>
  </si>
  <si>
    <t xml:space="preserve">Kamanzi Isaac </t>
  </si>
  <si>
    <t>0753337676</t>
  </si>
  <si>
    <t>UG-WES-2301-010370</t>
  </si>
  <si>
    <t xml:space="preserve">Kyarimpa Jackline </t>
  </si>
  <si>
    <t>0773977711</t>
  </si>
  <si>
    <t>Ekikagate 1</t>
  </si>
  <si>
    <t xml:space="preserve">Nalugo Magrete </t>
  </si>
  <si>
    <t>0775421243</t>
  </si>
  <si>
    <t>UG-WES-2301-011214</t>
  </si>
  <si>
    <t xml:space="preserve">Kimome Samuel </t>
  </si>
  <si>
    <t>0772407271</t>
  </si>
  <si>
    <t>Kanyatete</t>
  </si>
  <si>
    <t>UG-WES-2302-010753</t>
  </si>
  <si>
    <t xml:space="preserve">Mirembe Joseph </t>
  </si>
  <si>
    <t>0779134007</t>
  </si>
  <si>
    <t>Bamusuta Ward</t>
  </si>
  <si>
    <t>UG-WES-2302-010754</t>
  </si>
  <si>
    <t xml:space="preserve">Mutungi Patrick </t>
  </si>
  <si>
    <t>0772353162</t>
  </si>
  <si>
    <t>Kyayimba</t>
  </si>
  <si>
    <t>Sesa</t>
  </si>
  <si>
    <t>UG-WES-2302-010758</t>
  </si>
  <si>
    <t xml:space="preserve">Gumisiriza Ben </t>
  </si>
  <si>
    <t>0774222357</t>
  </si>
  <si>
    <t>Kinyogoga</t>
  </si>
  <si>
    <t>Kateera</t>
  </si>
  <si>
    <t>UG-WES-2302-010759</t>
  </si>
  <si>
    <t xml:space="preserve">Kwemalamalala Eliphazi </t>
  </si>
  <si>
    <t>0701800029</t>
  </si>
  <si>
    <t>UG-WES-2302-010760</t>
  </si>
  <si>
    <t xml:space="preserve">Mazima Peter </t>
  </si>
  <si>
    <t>0752407379</t>
  </si>
  <si>
    <t>Kagusyo</t>
  </si>
  <si>
    <t>UG-WES-2302-010761</t>
  </si>
  <si>
    <t xml:space="preserve">Wadimba Patrick </t>
  </si>
  <si>
    <t>0782716652</t>
  </si>
  <si>
    <t>Kyanuna</t>
  </si>
  <si>
    <t>Kitula</t>
  </si>
  <si>
    <t>UG-WES-2302-010762</t>
  </si>
  <si>
    <t xml:space="preserve">Kwesigabo Johnson </t>
  </si>
  <si>
    <t>0787277073</t>
  </si>
  <si>
    <t>Kikoobe</t>
  </si>
  <si>
    <t>Mugyina</t>
  </si>
  <si>
    <t>UG-WES-2302-010763</t>
  </si>
  <si>
    <t xml:space="preserve">Muzungu Gilson </t>
  </si>
  <si>
    <t>0775006551</t>
  </si>
  <si>
    <t>Katarama</t>
  </si>
  <si>
    <t>Kurungu</t>
  </si>
  <si>
    <t>UG-WES-2302-010764</t>
  </si>
  <si>
    <t xml:space="preserve">Luzzi Jesca </t>
  </si>
  <si>
    <t>0776749041</t>
  </si>
  <si>
    <t>days in month</t>
  </si>
  <si>
    <t>usage rate</t>
  </si>
  <si>
    <t>cumulative units</t>
  </si>
  <si>
    <t>technology days of units in operation</t>
  </si>
  <si>
    <t>Comparison of emission reductions or net anthropogenic removals achieved with estimates in the included VPA-DDs</t>
  </si>
  <si>
    <t>period both dates inclusvive</t>
  </si>
  <si>
    <t>Amount achieved during this monitoring period</t>
  </si>
  <si>
    <t>Amount estimated ex-ante</t>
  </si>
  <si>
    <t>from</t>
  </si>
  <si>
    <t>to</t>
  </si>
  <si>
    <t>days</t>
  </si>
  <si>
    <r>
      <t>(t CO</t>
    </r>
    <r>
      <rPr>
        <b/>
        <vertAlign val="subscript"/>
        <sz val="10"/>
        <rFont val="Calibri"/>
        <family val="2"/>
        <scheme val="minor"/>
      </rPr>
      <t>2</t>
    </r>
    <r>
      <rPr>
        <b/>
        <sz val="10"/>
        <rFont val="Calibri"/>
        <family val="2"/>
        <scheme val="minor"/>
      </rPr>
      <t>e)</t>
    </r>
  </si>
  <si>
    <t>Total</t>
  </si>
  <si>
    <t>Vintages</t>
  </si>
  <si>
    <t>PE</t>
  </si>
  <si>
    <t>ER</t>
  </si>
  <si>
    <t>size (m3)</t>
  </si>
  <si>
    <t>&gt;13</t>
  </si>
  <si>
    <r>
      <t>BGTA 10a,VS</t>
    </r>
    <r>
      <rPr>
        <vertAlign val="subscript"/>
        <sz val="10"/>
        <color indexed="8"/>
        <rFont val="Calibri"/>
        <family val="2"/>
        <scheme val="minor"/>
      </rPr>
      <t>T</t>
    </r>
  </si>
  <si>
    <t>BGTA 7:CH4</t>
  </si>
  <si>
    <t>Baseline emissions /animal</t>
  </si>
  <si>
    <r>
      <t>BE</t>
    </r>
    <r>
      <rPr>
        <vertAlign val="subscript"/>
        <sz val="10"/>
        <color theme="1"/>
        <rFont val="Calibri"/>
        <family val="2"/>
        <scheme val="minor"/>
      </rPr>
      <t>LT,y</t>
    </r>
  </si>
  <si>
    <r>
      <t>BGTA 30: N</t>
    </r>
    <r>
      <rPr>
        <vertAlign val="subscript"/>
        <sz val="10"/>
        <color rgb="FF000000"/>
        <rFont val="Calibri"/>
        <family val="2"/>
        <scheme val="minor"/>
      </rPr>
      <t>p,y</t>
    </r>
  </si>
  <si>
    <r>
      <t>BGTA 31: MS</t>
    </r>
    <r>
      <rPr>
        <vertAlign val="subscript"/>
        <sz val="8"/>
        <color theme="1"/>
        <rFont val="Calibri"/>
        <family val="2"/>
        <scheme val="minor"/>
      </rPr>
      <t>biodigester</t>
    </r>
  </si>
  <si>
    <r>
      <t>BGTA 42 P</t>
    </r>
    <r>
      <rPr>
        <vertAlign val="subscript"/>
        <sz val="9"/>
        <color theme="1"/>
        <rFont val="Calibri"/>
        <family val="2"/>
        <scheme val="minor"/>
      </rPr>
      <t>p,i,y</t>
    </r>
  </si>
  <si>
    <t>Mason Name</t>
  </si>
  <si>
    <t>Ouma Keneth</t>
  </si>
  <si>
    <t>Katongole Francis</t>
  </si>
  <si>
    <t>Lubega Moses</t>
  </si>
  <si>
    <t>Abbey Nsubuga</t>
  </si>
  <si>
    <t>Samuel Luvunia</t>
  </si>
  <si>
    <t>Bukenya Samuel</t>
  </si>
  <si>
    <t>Clare Obbo</t>
  </si>
  <si>
    <t>Ojambo Henry  Sikara</t>
  </si>
  <si>
    <t>Luutu David</t>
  </si>
  <si>
    <t>Obbo Clare</t>
  </si>
  <si>
    <t>Kabogoza Simon</t>
  </si>
  <si>
    <t>Lukwago Richard</t>
  </si>
  <si>
    <t>Kisembo Wilfred</t>
  </si>
  <si>
    <t>Kagolo Gerald</t>
  </si>
  <si>
    <t>Ssebaale Denis</t>
  </si>
  <si>
    <t>Mitala Disan</t>
  </si>
  <si>
    <t>Byekwaso Steven</t>
  </si>
  <si>
    <t xml:space="preserve"> Rubahamya Denis</t>
  </si>
  <si>
    <t>Kalejja Charles</t>
  </si>
  <si>
    <t>Male Fulugensio</t>
  </si>
  <si>
    <t>Mukwalu  Andrew</t>
  </si>
  <si>
    <t>Muhindo Gideon</t>
  </si>
  <si>
    <t>Ateka Moses</t>
  </si>
  <si>
    <t>Moses Ateeka</t>
  </si>
  <si>
    <t>LUKWAGO RICHARD</t>
  </si>
  <si>
    <t>Kityo Peter</t>
  </si>
  <si>
    <t>Ndyasiima Adrian</t>
  </si>
  <si>
    <t>Ojambo Richard</t>
  </si>
  <si>
    <t>Kisembo Kenneth</t>
  </si>
  <si>
    <t>Sebaganda Emmanuel</t>
  </si>
  <si>
    <t>Isaya  George</t>
  </si>
  <si>
    <t>Kyolimpa Dennis</t>
  </si>
  <si>
    <t>Sembatya Tadeo</t>
  </si>
  <si>
    <t>Owere Simon</t>
  </si>
  <si>
    <t>KENNETH KISEENYU</t>
  </si>
  <si>
    <t>KISEENYU KENNETH</t>
  </si>
  <si>
    <t>Ayebale Joseph</t>
  </si>
  <si>
    <t>Kaliisa Mark</t>
  </si>
  <si>
    <t>Obukongor Francis</t>
  </si>
  <si>
    <t>Oloo Laston</t>
  </si>
  <si>
    <t>Wambi Geoffrey</t>
  </si>
  <si>
    <t>Walimbwa Martin</t>
  </si>
  <si>
    <t>Siwa moses</t>
  </si>
  <si>
    <t>Bukhalilira Godfrey</t>
  </si>
  <si>
    <t>Namisi Sirikye willson</t>
  </si>
  <si>
    <t>Mukhama Julius</t>
  </si>
  <si>
    <t>Matege Richard</t>
  </si>
  <si>
    <t>Andrian Nakomo</t>
  </si>
  <si>
    <t>Nakoko Akisoferi</t>
  </si>
  <si>
    <t>Magungu Amos</t>
  </si>
  <si>
    <t>Chemutai Enos</t>
  </si>
  <si>
    <t>Mudyadya Joseph</t>
  </si>
  <si>
    <t>Masya Titus</t>
  </si>
  <si>
    <t>Edilu Robert</t>
  </si>
  <si>
    <t>Edward bisagaya</t>
  </si>
  <si>
    <t>Ronald Luzinda</t>
  </si>
  <si>
    <t>George William</t>
  </si>
  <si>
    <t>Allan Naturinda</t>
  </si>
  <si>
    <t>Walimbwa martin</t>
  </si>
  <si>
    <t>Komakech Andrew Sunday</t>
  </si>
  <si>
    <t>Naturinda Allan</t>
  </si>
  <si>
    <t>Mbabazi  Innocent</t>
  </si>
  <si>
    <t>Asiimwe Bonaventure</t>
  </si>
  <si>
    <t>Twinemukama Boses</t>
  </si>
  <si>
    <t>Twinomujuni Ephraim</t>
  </si>
  <si>
    <t>Nyakojo peter</t>
  </si>
  <si>
    <t>Bakenga Jeofrey</t>
  </si>
  <si>
    <t>Nuwamanya Isaac</t>
  </si>
  <si>
    <t>Musinguzi keneth</t>
  </si>
  <si>
    <t>Nuwamanya isaac</t>
  </si>
  <si>
    <t>Niwamanya Andrew</t>
  </si>
  <si>
    <t>Mark Kaliisa</t>
  </si>
  <si>
    <t>Byansi Hudson</t>
  </si>
  <si>
    <t>Wambi Ronald</t>
  </si>
  <si>
    <t>Kitata Peter</t>
  </si>
  <si>
    <t>Twesige Moses</t>
  </si>
  <si>
    <t>Kasirivu Emmanuel</t>
  </si>
  <si>
    <t>Kiwanuka Charles</t>
  </si>
  <si>
    <t>Ssekindi Abdul Latif</t>
  </si>
  <si>
    <t>Bogere Herbert</t>
  </si>
  <si>
    <t>Kamya Emmanuel</t>
  </si>
  <si>
    <t>Were Sande</t>
  </si>
  <si>
    <t>Behangana Stanley</t>
  </si>
  <si>
    <t>Kabogoza Vicent</t>
  </si>
  <si>
    <t>Baleese Moses</t>
  </si>
  <si>
    <t>Birimumaso Siri</t>
  </si>
  <si>
    <t>Ojambo  Julius</t>
  </si>
  <si>
    <t>Wamala Moses</t>
  </si>
  <si>
    <t>Mpiima Christopher</t>
  </si>
  <si>
    <t>Kato Richard</t>
  </si>
  <si>
    <t>Kayongo K Khasim</t>
  </si>
  <si>
    <t>Obukesa John</t>
  </si>
  <si>
    <t>Bagambi Joel</t>
  </si>
  <si>
    <t>Training Plant</t>
  </si>
  <si>
    <t>Tinkamanyire Edison</t>
  </si>
  <si>
    <t>Selukwaya James</t>
  </si>
  <si>
    <t>Lukuye Sam</t>
  </si>
  <si>
    <t>Mwaka David</t>
  </si>
  <si>
    <t>Kyama  Innocent</t>
  </si>
  <si>
    <t>Mutumba Mike</t>
  </si>
  <si>
    <t>Kivumbi Richard</t>
  </si>
  <si>
    <t>Mukembo Yakub</t>
  </si>
  <si>
    <t>Ssesanga Shafik</t>
  </si>
  <si>
    <t>Nkurunungi Judio</t>
  </si>
  <si>
    <t>Mayugwe Paul</t>
  </si>
  <si>
    <t>Muyimba Moses</t>
  </si>
  <si>
    <t>Dumba Edward</t>
  </si>
  <si>
    <t>Kiyonga Stephen</t>
  </si>
  <si>
    <t>Mukyendi Moses</t>
  </si>
  <si>
    <t>Mukundane Dick</t>
  </si>
  <si>
    <t>Muyanja Jude</t>
  </si>
  <si>
    <t>Mugabi  Emmanuel</t>
  </si>
  <si>
    <t>Tilutya George</t>
  </si>
  <si>
    <t>Nakonde Martha</t>
  </si>
  <si>
    <t>Bigabwa Sam</t>
  </si>
  <si>
    <t>Eremye Fred Brian</t>
  </si>
  <si>
    <t>Kalema Charles</t>
  </si>
  <si>
    <t>Musisi Sam</t>
  </si>
  <si>
    <t>Maseruka David</t>
  </si>
  <si>
    <t>Muwonge Edward</t>
  </si>
  <si>
    <t>Mbeine Peter</t>
  </si>
  <si>
    <t>Byomuhangi Silver</t>
  </si>
  <si>
    <t>Bagenda Isaiah</t>
  </si>
  <si>
    <t>Sserunkuma Livingston</t>
  </si>
  <si>
    <t>Mugabi Everest</t>
  </si>
  <si>
    <t>Kiyingi Peter</t>
  </si>
  <si>
    <t>Kweyamba Lauben</t>
  </si>
  <si>
    <t xml:space="preserve">Tusingwire Livingstone </t>
  </si>
  <si>
    <t>Mugerwa David</t>
  </si>
  <si>
    <t>Mwesigwa Herbert</t>
  </si>
  <si>
    <t xml:space="preserve"> Bukenya David </t>
  </si>
  <si>
    <t>Kyambadde Sam</t>
  </si>
  <si>
    <t>Rugasira Banabas</t>
  </si>
  <si>
    <t>Kiryoowa Rashid</t>
  </si>
  <si>
    <t>Wanyama Andrew</t>
  </si>
  <si>
    <t>Chebita Harriet</t>
  </si>
  <si>
    <t>Kayiza Daniel</t>
  </si>
  <si>
    <t>Bogere Cosmas</t>
  </si>
  <si>
    <t>Byaruhanga Deus</t>
  </si>
  <si>
    <t>Bekunda Alex</t>
  </si>
  <si>
    <t>Wambi Ezra</t>
  </si>
  <si>
    <t>Musanje Ian</t>
  </si>
  <si>
    <t>Kavuma Edward</t>
  </si>
  <si>
    <t>Tamale Musisi sam</t>
  </si>
  <si>
    <t>Kiwanuka Joseph</t>
  </si>
  <si>
    <t>Okech Wilfred</t>
  </si>
  <si>
    <t>Kalyango Kintu</t>
  </si>
  <si>
    <t>Katamba George</t>
  </si>
  <si>
    <t>Oloja Emmanuel</t>
  </si>
  <si>
    <t>Turinawe Frank</t>
  </si>
  <si>
    <t>Kanyere Aaron</t>
  </si>
  <si>
    <t>Semaganda Angel</t>
  </si>
  <si>
    <t>Ssempebwa Geoffrey</t>
  </si>
  <si>
    <t>Moses Lubega</t>
  </si>
  <si>
    <t>Wangi  Bonny</t>
  </si>
  <si>
    <t>Jjemba Dirisa</t>
  </si>
  <si>
    <t>Makombe Nicholas</t>
  </si>
  <si>
    <t>Kiye Stephen</t>
  </si>
  <si>
    <t>Mayiga And Seba</t>
  </si>
  <si>
    <t>Olwa Mark</t>
  </si>
  <si>
    <t xml:space="preserve"> Bogere Herbert</t>
  </si>
  <si>
    <t>Balodha Grace</t>
  </si>
  <si>
    <t>Kizito Godfrey</t>
  </si>
  <si>
    <t>Watti Moses</t>
  </si>
  <si>
    <t>Namugga Cissy</t>
  </si>
  <si>
    <t>Sebunya And Kityo</t>
  </si>
  <si>
    <t>Satala Justine</t>
  </si>
  <si>
    <t>Kayima  Livingstone</t>
  </si>
  <si>
    <t>Wapatiti Bosco</t>
  </si>
  <si>
    <t>Kimwera Peter</t>
  </si>
  <si>
    <t>Othieno John</t>
  </si>
  <si>
    <t>Kiconco Adrinah</t>
  </si>
  <si>
    <t>Kintu  Henry.</t>
  </si>
  <si>
    <t>Mulindwa Gilbert</t>
  </si>
  <si>
    <t>Kibalama Segawa</t>
  </si>
  <si>
    <t>Sabunya Sande</t>
  </si>
  <si>
    <t>Busulwa George</t>
  </si>
  <si>
    <t>Kasirye Brian</t>
  </si>
  <si>
    <t>Njauzi Robert</t>
  </si>
  <si>
    <t>Kiryowa john Bosco</t>
  </si>
  <si>
    <t>Kikaya Mustapha</t>
  </si>
  <si>
    <t>Mugasha Elias</t>
  </si>
  <si>
    <t>Bunjako Ponsiano</t>
  </si>
  <si>
    <t>Mugabi Damiano</t>
  </si>
  <si>
    <t>Ssekyewa George Wiliam</t>
  </si>
  <si>
    <t>Kawooya Savio</t>
  </si>
  <si>
    <t>Kamwesigye Alex</t>
  </si>
  <si>
    <t>Okunyu Leo</t>
  </si>
  <si>
    <t>Lsaya George</t>
  </si>
  <si>
    <t>Katende Julius</t>
  </si>
  <si>
    <t>Kazibwe Joseph.</t>
  </si>
  <si>
    <t>Kiyaga Mustapha</t>
  </si>
  <si>
    <t>Ssemambo Sammuel</t>
  </si>
  <si>
    <t>Mweteise Levi</t>
  </si>
  <si>
    <t>Serunjogi Henry</t>
  </si>
  <si>
    <t>Adriku Emma</t>
  </si>
  <si>
    <t>Mafombe Nicholas</t>
  </si>
  <si>
    <t>Ndozereho Richard</t>
  </si>
  <si>
    <t>Mustapha Kiyaga</t>
  </si>
  <si>
    <t>Mukisa Livingston</t>
  </si>
  <si>
    <t>Kalinzi Gerald</t>
  </si>
  <si>
    <t>Kaweesi Andrew</t>
  </si>
  <si>
    <t>Sekyewa Vicent</t>
  </si>
  <si>
    <t>Kibalama Richard</t>
  </si>
  <si>
    <t>Lubega Samuel</t>
  </si>
  <si>
    <t>Ssekyewa Charles</t>
  </si>
  <si>
    <t>Tumwesigye Benson</t>
  </si>
  <si>
    <t>Magoba Richard</t>
  </si>
  <si>
    <t>Rukutana Ramazan</t>
  </si>
  <si>
    <t>Ocen Francis</t>
  </si>
  <si>
    <t>Kiyemba Peter</t>
  </si>
  <si>
    <t>Semakula Robert</t>
  </si>
  <si>
    <t xml:space="preserve"> Lutakome Alamanzani</t>
  </si>
  <si>
    <t>Mugabi Edward</t>
  </si>
  <si>
    <t>Walulya George</t>
  </si>
  <si>
    <t>Ansiinguza Barnet</t>
  </si>
  <si>
    <t>Otim Simon Peter</t>
  </si>
  <si>
    <t>Yiga Jude</t>
  </si>
  <si>
    <t>Nionkulu Deo</t>
  </si>
  <si>
    <t>Ssenyabuki Emmanuel</t>
  </si>
  <si>
    <t>Lubaga David</t>
  </si>
  <si>
    <t>David Egila</t>
  </si>
  <si>
    <t>Mutyaba Paul</t>
  </si>
  <si>
    <t>Mashaija Chris</t>
  </si>
  <si>
    <t>Lutakome Aramathan</t>
  </si>
  <si>
    <t>Owane Martin</t>
  </si>
  <si>
    <t>Ssekindi Lubanja</t>
  </si>
  <si>
    <t>Seremba Patrick</t>
  </si>
  <si>
    <t>Mitala disan</t>
  </si>
  <si>
    <t>Mugisha Zephania</t>
  </si>
  <si>
    <t>Epok Maxwel</t>
  </si>
  <si>
    <t>Kalejja charles</t>
  </si>
  <si>
    <t>Kiseenyu Kenneth</t>
  </si>
  <si>
    <t>Robert Wangihi</t>
  </si>
  <si>
    <t>Gerald kagolo</t>
  </si>
  <si>
    <t>Samuel bukenya</t>
  </si>
  <si>
    <t>Lubega moses</t>
  </si>
  <si>
    <t>Tugume Sam</t>
  </si>
  <si>
    <t>Kikomeko Idd</t>
  </si>
  <si>
    <t>Maxwel Epok</t>
  </si>
  <si>
    <t>Gombya Henry</t>
  </si>
  <si>
    <t>Aine John Bosco</t>
  </si>
  <si>
    <t>Wanume Akim</t>
  </si>
  <si>
    <t>Kaseenyi Kenneth</t>
  </si>
  <si>
    <t>Muhumuza Daniel</t>
  </si>
  <si>
    <t>Yiga Vicor</t>
  </si>
  <si>
    <t>Gumoshabe  Gilvaz</t>
  </si>
  <si>
    <t>Kenneth Kiseenyu</t>
  </si>
  <si>
    <t>Flugensio Male</t>
  </si>
  <si>
    <t>Khamalwa Richard</t>
  </si>
  <si>
    <t>Kisenyu Kenneth</t>
  </si>
  <si>
    <t>MUHINDO GIDEON</t>
  </si>
  <si>
    <t>Bakisuula james</t>
  </si>
  <si>
    <t>Kiviiri Gideon</t>
  </si>
  <si>
    <t>Gidion Kiviri</t>
  </si>
  <si>
    <t>Opio Richard</t>
  </si>
  <si>
    <t>Kiseenyu kenneth</t>
  </si>
  <si>
    <t>Lukyamuzi Ambrose</t>
  </si>
  <si>
    <t>Sande Ware</t>
  </si>
  <si>
    <t>Kenneth kiseenyu</t>
  </si>
  <si>
    <t>Namakola John</t>
  </si>
  <si>
    <t>Muzabili Kabala</t>
  </si>
  <si>
    <t>Olenum Ben John</t>
  </si>
  <si>
    <t>Maleza Francis</t>
  </si>
  <si>
    <t>Elel Sam Emmanuel</t>
  </si>
  <si>
    <t>Wamimbi Rogers</t>
  </si>
  <si>
    <t>Wegoye Ronald</t>
  </si>
  <si>
    <t>Byabashaja Silvester</t>
  </si>
  <si>
    <t>Wambi Abraham</t>
  </si>
  <si>
    <t>Mahana Leo</t>
  </si>
  <si>
    <t>Soita  Robert</t>
  </si>
  <si>
    <t>Wataka Justin</t>
  </si>
  <si>
    <t>Mukhwana Isaac</t>
  </si>
  <si>
    <t>Muhammad Julius</t>
  </si>
  <si>
    <t>Tavuga Richard</t>
  </si>
  <si>
    <t>Ofwono Martin</t>
  </si>
  <si>
    <t>Olowo Richard Michael</t>
  </si>
  <si>
    <t>Khapala Moses</t>
  </si>
  <si>
    <t>Lubayo Geofrey</t>
  </si>
  <si>
    <t>Naumbe Zurah</t>
  </si>
  <si>
    <t>Nyole Ricard</t>
  </si>
  <si>
    <t>Nanyala Patrck</t>
  </si>
  <si>
    <t>Kabala Muzamiru</t>
  </si>
  <si>
    <t>Medei James</t>
  </si>
  <si>
    <t>Cheptoek Harriet</t>
  </si>
  <si>
    <t>Makes Zurah</t>
  </si>
  <si>
    <t>Adoli Simon Richard</t>
  </si>
  <si>
    <t>Ejiet Felix</t>
  </si>
  <si>
    <t>Okwii David</t>
  </si>
  <si>
    <t>Elayu Charles</t>
  </si>
  <si>
    <t>Atol Esther</t>
  </si>
  <si>
    <t>Ewidu John</t>
  </si>
  <si>
    <t>Opolot Moses</t>
  </si>
  <si>
    <t>Oluka George</t>
  </si>
  <si>
    <t>Gidoi Edward</t>
  </si>
  <si>
    <t>Ogwang Joshua</t>
  </si>
  <si>
    <t>Ewidu John &amp; Atol Esther</t>
  </si>
  <si>
    <t>Ebware John Bosco</t>
  </si>
  <si>
    <t>Cherotich Alex</t>
  </si>
  <si>
    <t>Owino Julius</t>
  </si>
  <si>
    <t>Erone Gabriel</t>
  </si>
  <si>
    <t>Chemutai Topista</t>
  </si>
  <si>
    <t>Alibo Jenifer</t>
  </si>
  <si>
    <t>Omongin Richard</t>
  </si>
  <si>
    <t>Welisehe Simon</t>
  </si>
  <si>
    <t>Sodyo John</t>
  </si>
  <si>
    <t>Emorut Richard</t>
  </si>
  <si>
    <t>Akello Monica</t>
  </si>
  <si>
    <t>Anyone Richard</t>
  </si>
  <si>
    <t>Obice Sam</t>
  </si>
  <si>
    <t>Mukada Richard</t>
  </si>
  <si>
    <t>Edelu Joseph</t>
  </si>
  <si>
    <t>Elango Joseph</t>
  </si>
  <si>
    <t>Waswaka Robert</t>
  </si>
  <si>
    <t>Wamono Samuel</t>
  </si>
  <si>
    <t>Wabende Emma</t>
  </si>
  <si>
    <t>Hanyere Haron</t>
  </si>
  <si>
    <t>Adengo David</t>
  </si>
  <si>
    <t>Okwii David, Masya Titus, Olowo Richard</t>
  </si>
  <si>
    <t>Ogwang Philip</t>
  </si>
  <si>
    <t>Edyegu Enterprises</t>
  </si>
  <si>
    <t>Odeng John</t>
  </si>
  <si>
    <t>Odeng Tom</t>
  </si>
  <si>
    <t xml:space="preserve"> Okoik David</t>
  </si>
  <si>
    <t>Bwayo Patrick</t>
  </si>
  <si>
    <t>Ojok Martin</t>
  </si>
  <si>
    <t>Wambo Henry</t>
  </si>
  <si>
    <t>David Adengo</t>
  </si>
  <si>
    <t>Olado Simon</t>
  </si>
  <si>
    <t>Chebita harriet</t>
  </si>
  <si>
    <t>Ofwono martin</t>
  </si>
  <si>
    <t>Siwa Martin</t>
  </si>
  <si>
    <t>Ebiru Patrick</t>
  </si>
  <si>
    <t>Odoi Joseph</t>
  </si>
  <si>
    <t>Mukamba Martin</t>
  </si>
  <si>
    <t>Oriokot Patrick</t>
  </si>
  <si>
    <t>Mudyadya joseph</t>
  </si>
  <si>
    <t>Bisagaya edward</t>
  </si>
  <si>
    <t>Ssendiwala Frank</t>
  </si>
  <si>
    <t>Robert Ebilu</t>
  </si>
  <si>
    <t>Chabo Robert N</t>
  </si>
  <si>
    <t>Otto Francis</t>
  </si>
  <si>
    <t>Ogwal Rolex</t>
  </si>
  <si>
    <t>Apuke Geoffrey</t>
  </si>
  <si>
    <t>Bukesa John</t>
  </si>
  <si>
    <t>Ogwang Patrick</t>
  </si>
  <si>
    <t>Ocen Francis/Olwa Mark</t>
  </si>
  <si>
    <t>Erimu Paul</t>
  </si>
  <si>
    <t>Onyunyu James</t>
  </si>
  <si>
    <t>Ogwal Emmanuel</t>
  </si>
  <si>
    <t>Kim And Joel</t>
  </si>
  <si>
    <t>Ezama stephen</t>
  </si>
  <si>
    <t>Oloya Geoffrey</t>
  </si>
  <si>
    <t>Akello prosi</t>
  </si>
  <si>
    <t>Kidega Geoffrey</t>
  </si>
  <si>
    <t>Odida Ricard</t>
  </si>
  <si>
    <t>Nyekorach Ambrose</t>
  </si>
  <si>
    <t>Akello Prosi</t>
  </si>
  <si>
    <t>Okema John kelly</t>
  </si>
  <si>
    <t>Kazoora Gerald</t>
  </si>
  <si>
    <t>Tumureebe Mathias</t>
  </si>
  <si>
    <t>Evalyne Nsiimenta</t>
  </si>
  <si>
    <t>Tumuhimbise Manuel</t>
  </si>
  <si>
    <t xml:space="preserve">Nukwarija Jonard </t>
  </si>
  <si>
    <t>Akankunda Scovia</t>
  </si>
  <si>
    <t>Boreka Alfred</t>
  </si>
  <si>
    <t>Twineomujuni Herbert</t>
  </si>
  <si>
    <t>Muhangazi  Deus</t>
  </si>
  <si>
    <t>Aliganyira Anantori</t>
  </si>
  <si>
    <t>Boaz Nsereko</t>
  </si>
  <si>
    <t>Baryamureba Pathias</t>
  </si>
  <si>
    <t>Ssebaganda Emanuel</t>
  </si>
  <si>
    <t>Sam&amp;Andrew</t>
  </si>
  <si>
    <t>Kalema Abdul</t>
  </si>
  <si>
    <t>Twinomujuni Timothy</t>
  </si>
  <si>
    <t>Mukasa Casper</t>
  </si>
  <si>
    <t>Twineokushaba Benard</t>
  </si>
  <si>
    <t>Angonza Adolf</t>
  </si>
  <si>
    <t>Mutegeki Deo</t>
  </si>
  <si>
    <t>Kanyesigye Lauben</t>
  </si>
  <si>
    <t>Kashaija David</t>
  </si>
  <si>
    <t>Ntwirenabo Vianey</t>
  </si>
  <si>
    <t>Bidyabareema Elijah</t>
  </si>
  <si>
    <t xml:space="preserve">Wandera Godfrey </t>
  </si>
  <si>
    <t>Kasoke Philp</t>
  </si>
  <si>
    <t>Bamukugize David</t>
  </si>
  <si>
    <t>Ainembabazi Felix</t>
  </si>
  <si>
    <t>Aliguma Fred</t>
  </si>
  <si>
    <t>Kisembo Deus</t>
  </si>
  <si>
    <t>Ahebwa Remon</t>
  </si>
  <si>
    <t>Kasembo Deus</t>
  </si>
  <si>
    <t>Kwesigye George</t>
  </si>
  <si>
    <t>Opola John</t>
  </si>
  <si>
    <t>Ezama Stephen</t>
  </si>
  <si>
    <t>Gumisiriza Dominic</t>
  </si>
  <si>
    <t>Byaruhanga deus</t>
  </si>
  <si>
    <t>Twine Jimmy</t>
  </si>
  <si>
    <t>Wadriku Emmanuel</t>
  </si>
  <si>
    <t>Tumureebe mathias</t>
  </si>
  <si>
    <t>Twinomujuni Ephraim /Epok Maxwell</t>
  </si>
  <si>
    <t>Judio Nkurunungi</t>
  </si>
  <si>
    <t>Agaba Innocent</t>
  </si>
  <si>
    <t>Mathias Tumureebe</t>
  </si>
  <si>
    <t>Turinnawe Frank</t>
  </si>
  <si>
    <t>Wednesday Richard</t>
  </si>
  <si>
    <t>Turahe Ivan</t>
  </si>
  <si>
    <t>Munyaneza Moses</t>
  </si>
  <si>
    <t>Kasangaki Peter</t>
  </si>
  <si>
    <t>Atuheirwe Justus</t>
  </si>
  <si>
    <t>Ahibisibwe Deusdent</t>
  </si>
  <si>
    <t>Kakuru Gordon</t>
  </si>
  <si>
    <t>Basaija Simon</t>
  </si>
  <si>
    <t>Katoroogo Karujwenge David</t>
  </si>
  <si>
    <t>Mujuni  Ananiaus</t>
  </si>
  <si>
    <t>Twesige Julius</t>
  </si>
  <si>
    <t>Nakuru Gordon</t>
  </si>
  <si>
    <t>Owen Mugumya</t>
  </si>
  <si>
    <t>Tuhirirwe  Justus</t>
  </si>
  <si>
    <t>Turinayezu Gerald</t>
  </si>
  <si>
    <t>Deusededit Ahimbisibwe</t>
  </si>
  <si>
    <t>Twinamasiko Richard</t>
  </si>
  <si>
    <t>digester/BCE</t>
  </si>
  <si>
    <t>digesters/mason</t>
  </si>
  <si>
    <t>fNRB Uganda spreadhseet cel B18 of sheet fNRB calculation</t>
  </si>
  <si>
    <t>equation 2 used for animal population and 3 for VS</t>
  </si>
  <si>
    <t>using euqation 14</t>
  </si>
  <si>
    <t>NCV wood</t>
  </si>
  <si>
    <t>NCV charcoal</t>
  </si>
  <si>
    <t>NCV LPG</t>
  </si>
  <si>
    <t>CO2 emisson factor of LPG</t>
  </si>
  <si>
    <t>Specific CO2 emissions</t>
  </si>
  <si>
    <t xml:space="preserve">Specific non-CO2 emissions </t>
  </si>
  <si>
    <t>LE</t>
  </si>
  <si>
    <t>2022 PFT for CPI MRV</t>
  </si>
  <si>
    <t>UG-CEN-1105-5931</t>
  </si>
  <si>
    <t>UG-CEN-1308-6060</t>
  </si>
  <si>
    <t>UG-WES-1404-479</t>
  </si>
  <si>
    <t>UG-WES-1511-4020</t>
  </si>
  <si>
    <t>UG-EAS-2106-5585</t>
  </si>
  <si>
    <t>UG-CEN-1112-5630</t>
  </si>
  <si>
    <t>UG-EAS-1606-4986</t>
  </si>
  <si>
    <t>UG-NOR-1308-5683</t>
  </si>
  <si>
    <t>UG-EAS-1411-4190</t>
  </si>
  <si>
    <t>UG-NOR-1401-5690</t>
  </si>
  <si>
    <t>UG-EAS-1306-5409</t>
  </si>
  <si>
    <t>UG-EAS-1212-5023</t>
  </si>
  <si>
    <t>UG-NOR-1401-5696</t>
  </si>
  <si>
    <t>UG-NOR-1208-5712</t>
  </si>
  <si>
    <t>UG-CEN-1206-5113</t>
  </si>
  <si>
    <t>UG-CEN-1110-5773</t>
  </si>
  <si>
    <t>UG-NOR-1311-5707</t>
  </si>
  <si>
    <t>UG-CEN-1303-6821</t>
  </si>
  <si>
    <t>UG-WES-1502-3456</t>
  </si>
  <si>
    <t>UG-CEN-1105-5768</t>
  </si>
  <si>
    <t>UG-WES-1601-3426</t>
  </si>
  <si>
    <t>UG-WES-1611-5461</t>
  </si>
  <si>
    <t>UG-WES-1603-3036</t>
  </si>
  <si>
    <t>UG-WES-1106-547</t>
  </si>
  <si>
    <t>UG-EAS-1202-5105</t>
  </si>
  <si>
    <t>UG-NOR-1311-140</t>
  </si>
  <si>
    <t>UG-EAS-1311-4160</t>
  </si>
  <si>
    <t>UG-NOR-1307-5725</t>
  </si>
  <si>
    <t>UG-EAS-1408-3002</t>
  </si>
  <si>
    <t>UG-EAS-1002-5985</t>
  </si>
  <si>
    <t>UG-EAS-1312-3423</t>
  </si>
  <si>
    <t>UG-EAS-1009-3487</t>
  </si>
  <si>
    <t>UG-EAS-1107-5982</t>
  </si>
  <si>
    <t>UG-NOR-1401-5734</t>
  </si>
  <si>
    <t>UG-NOR-1112-5698</t>
  </si>
  <si>
    <t>UG-EAS-1011-236</t>
  </si>
  <si>
    <t>UG-EAS-1308-4994</t>
  </si>
  <si>
    <t>UG-EAS-1508-285</t>
  </si>
  <si>
    <t>UG-CEN-1105-5633</t>
  </si>
  <si>
    <t>UG-EAS-1102-4</t>
  </si>
  <si>
    <t>UG-EAS-1101-5888</t>
  </si>
  <si>
    <t>UG-EAS-1411-3032</t>
  </si>
  <si>
    <t>UG-NOR-1307-5704</t>
  </si>
  <si>
    <t>UG-NOR-1401-5750</t>
  </si>
  <si>
    <t>UG-EAS-1205-6012</t>
  </si>
  <si>
    <t>UG-EAS-1304-5376</t>
  </si>
  <si>
    <t>UG-CEN-1901-6792</t>
  </si>
  <si>
    <t>UG-EAS-1106-5322</t>
  </si>
  <si>
    <t>UG-EAS-1111-5346</t>
  </si>
  <si>
    <t>UG-NOR-1308-5668</t>
  </si>
  <si>
    <t>UG-WES-1108-589</t>
  </si>
  <si>
    <t>UG-CEN-1104-252</t>
  </si>
  <si>
    <t>UG-CEN-1108-253</t>
  </si>
  <si>
    <t>UG-CEN-1009-5745</t>
  </si>
  <si>
    <t>UG-EAS-1402-5114</t>
  </si>
  <si>
    <t>UG-NOR-1104-255</t>
  </si>
  <si>
    <t>UG-EAS-1111-5258</t>
  </si>
  <si>
    <t>UG-CEN-2010-5577</t>
  </si>
  <si>
    <t>UG-EAS-1107-6819</t>
  </si>
  <si>
    <t>UG-WES-1611-3406</t>
  </si>
  <si>
    <t>UG-EAS-1304-5143</t>
  </si>
  <si>
    <t>UG-EAS-1206-3006</t>
  </si>
  <si>
    <t>UG-WES-1612-635</t>
  </si>
  <si>
    <t>UG-CEN-1402-5616</t>
  </si>
  <si>
    <t>UG-EAS-1203-2727</t>
  </si>
  <si>
    <t>UG-EAS-1510-4749</t>
  </si>
  <si>
    <t>UG-WES-1901-6783</t>
  </si>
  <si>
    <t>UG-WES-1303-5849</t>
  </si>
  <si>
    <t>UG-WES-1605-4167</t>
  </si>
  <si>
    <t>UG-WES-1602-3455</t>
  </si>
  <si>
    <t>UG-EAS-1308-5408</t>
  </si>
  <si>
    <t>UG-EAS-1311-5413</t>
  </si>
  <si>
    <t>UG-WES-1012-7</t>
  </si>
  <si>
    <t>UG-EAS-1306-3484</t>
  </si>
  <si>
    <t>UG-EAS-1411-125</t>
  </si>
  <si>
    <t>UG-NOR-1206-5235</t>
  </si>
  <si>
    <t>UG-WES-1004-9</t>
  </si>
  <si>
    <t>UG-EAS-1308-1137</t>
  </si>
  <si>
    <t>UG-NOR-1104-258</t>
  </si>
  <si>
    <t>UG-EAS-1408-2700</t>
  </si>
  <si>
    <t>UG-EAS-1202-2717</t>
  </si>
  <si>
    <t>UG-EAS-1409-4176</t>
  </si>
  <si>
    <t>UG-EAS-1601-4987</t>
  </si>
  <si>
    <t>UG-WES-1105-5867</t>
  </si>
  <si>
    <t>UG-CEN-1302-5615</t>
  </si>
  <si>
    <t>UG-WES-1206-5692</t>
  </si>
  <si>
    <t>UG-WES-1302-5238</t>
  </si>
  <si>
    <t>UG-WES-1605-6496</t>
  </si>
  <si>
    <t>UG-EAS-1402-5751</t>
  </si>
  <si>
    <t>UG-WES-1307-5514</t>
  </si>
  <si>
    <t>UG-WES-1302-5523</t>
  </si>
  <si>
    <t>UG-WES-1604-6461</t>
  </si>
  <si>
    <t>UG-CEN-1901-6793</t>
  </si>
  <si>
    <t>UG-EAS-1011-789</t>
  </si>
  <si>
    <t>UG-EAS-1210-5321</t>
  </si>
  <si>
    <t>UG-WES-1102-6267</t>
  </si>
  <si>
    <t>UG-WES-1701-4181</t>
  </si>
  <si>
    <t>UG-CEN-1601-470</t>
  </si>
  <si>
    <t>UG-CEN-1102-34</t>
  </si>
  <si>
    <t>UG-WES-1101-5869</t>
  </si>
  <si>
    <t>UG-EAS-1205-5754</t>
  </si>
  <si>
    <t>UG-EAS-1206-2722</t>
  </si>
  <si>
    <t>UG-CEN-1606-226</t>
  </si>
  <si>
    <t>UG-WES-1206-5795</t>
  </si>
  <si>
    <t>UG-WES-1607-5441</t>
  </si>
  <si>
    <t>UG-EAS-1209-5338</t>
  </si>
  <si>
    <t>UG-EAS-1606-3043</t>
  </si>
  <si>
    <t>UG-CEN-2010-5575</t>
  </si>
  <si>
    <t>UG-CEN-1206-5570</t>
  </si>
  <si>
    <t>UG-CEN-1205-5648</t>
  </si>
  <si>
    <t>UG-CEN-1310-5372</t>
  </si>
  <si>
    <t>UG-CEN-1309-6740</t>
  </si>
  <si>
    <t>UG-CEN-1308-5737</t>
  </si>
  <si>
    <t>UG-WES-1308-540</t>
  </si>
  <si>
    <t>UG-WES-1402-5670</t>
  </si>
  <si>
    <t>UG-WES-1611-637</t>
  </si>
  <si>
    <t>UG-WES-1304-462</t>
  </si>
  <si>
    <t>UG-CEN-1010-6066</t>
  </si>
  <si>
    <t>UG-WES-1610-627</t>
  </si>
  <si>
    <t>UG-WES-1604-6349</t>
  </si>
  <si>
    <t>UG-WES-1611-634</t>
  </si>
  <si>
    <t>UG-WES-1606-6576</t>
  </si>
  <si>
    <t>UG-WES-1205-5880</t>
  </si>
  <si>
    <t>UG-WES-1611-5604</t>
  </si>
  <si>
    <t>UG-WES-1601-567</t>
  </si>
  <si>
    <t>UG-CEN-1005-47</t>
  </si>
  <si>
    <t>UG-WES-1605-6445</t>
  </si>
  <si>
    <t>UG-WES-1209-5831</t>
  </si>
  <si>
    <t>UG-WES-1004-4169</t>
  </si>
  <si>
    <t>UG-WES-1603-3035</t>
  </si>
  <si>
    <t>UG-CEN-1105-6057</t>
  </si>
  <si>
    <t>UG-EAS-1112-5814</t>
  </si>
  <si>
    <t>UG-CEN-1401-5755</t>
  </si>
  <si>
    <t>UG-EAS-1308-5404</t>
  </si>
  <si>
    <t>UG-NOR-1303-5678</t>
  </si>
  <si>
    <t>UG-NOR-1601-5759</t>
  </si>
  <si>
    <t>UG-CEN-1111-437</t>
  </si>
  <si>
    <t>UG-EAS-1401-5976</t>
  </si>
  <si>
    <t>UG-EAS-1701-5097</t>
  </si>
  <si>
    <t>UG-CEN-1310-5756</t>
  </si>
  <si>
    <t>UG-EAS-1006-103</t>
  </si>
  <si>
    <t>UG-CEN-1102-5632</t>
  </si>
  <si>
    <t>UG-CEN-1604-196</t>
  </si>
  <si>
    <t>UG-WES-1308-5674</t>
  </si>
  <si>
    <t>UG-EAS-1408-768</t>
  </si>
  <si>
    <t>UG-WES-1304-231</t>
  </si>
  <si>
    <t>UG-CEN-1511-458</t>
  </si>
  <si>
    <t>UG-CEN-1305-5530</t>
  </si>
  <si>
    <t>UG-WES-1306-5552</t>
  </si>
  <si>
    <t>UG-CEN-1006-108</t>
  </si>
  <si>
    <t>UG-EAS-1109-6001</t>
  </si>
  <si>
    <t>UG-EAS-1201-1799</t>
  </si>
  <si>
    <t>UG-CEN-1509-2754</t>
  </si>
  <si>
    <t>UG-WES-1211-5723</t>
  </si>
  <si>
    <t>UG-WES-1108-5682</t>
  </si>
  <si>
    <t>UG-CEN-1310-6288</t>
  </si>
  <si>
    <t>UG-WES-1611-3483</t>
  </si>
  <si>
    <t>UG-WES-1302-5719</t>
  </si>
  <si>
    <t>UG-WES-1304-5503</t>
  </si>
  <si>
    <t>UG-CEN-1212-5410</t>
  </si>
  <si>
    <t>UG-WES-1510-3797</t>
  </si>
  <si>
    <t>UG-CEN-1309-6099</t>
  </si>
  <si>
    <t>UG-CEN-1307-5762</t>
  </si>
  <si>
    <t>UG-WES-1112-262</t>
  </si>
  <si>
    <t>UG-WES-1604-6485</t>
  </si>
  <si>
    <t>UG-CEN-1505-379</t>
  </si>
  <si>
    <t>UG-CEN-1303-5770</t>
  </si>
  <si>
    <t>UG-WES-1012-6826</t>
  </si>
  <si>
    <t>UG-CEN-1305-5959</t>
  </si>
  <si>
    <t>UG-CEN-1510-192</t>
  </si>
  <si>
    <t>UG-EAS-1510-5727</t>
  </si>
  <si>
    <t>UG-EAS-1010-1167</t>
  </si>
  <si>
    <t>UG-EAS-1107-6044</t>
  </si>
  <si>
    <t>UG-EAS-1207-2728</t>
  </si>
  <si>
    <t>UG-EAS-1709-5749</t>
  </si>
  <si>
    <t>UG-EAS-1709-5741</t>
  </si>
  <si>
    <t>UG-EAS-1011-6013</t>
  </si>
  <si>
    <t>UG-EAS-1703-5747</t>
  </si>
  <si>
    <t>UG-EAS-1206-2723</t>
  </si>
  <si>
    <t>UG-EAS-1102-6046</t>
  </si>
  <si>
    <t>UG-EAS-1206-2725</t>
  </si>
  <si>
    <t>UG-EAS-1106-6008</t>
  </si>
  <si>
    <t>UG-CEN-2003-5573</t>
  </si>
  <si>
    <t>UG-CEN-1311-5775</t>
  </si>
  <si>
    <t>UG-CEN-1306-5919</t>
  </si>
  <si>
    <t>UG-EAS-1402-5776</t>
  </si>
  <si>
    <t>UG-CEN-1102-6079</t>
  </si>
  <si>
    <t>UG-CEN-1311-5612</t>
  </si>
  <si>
    <t>UG-NOR-1309-5705</t>
  </si>
  <si>
    <t>UG-WES-1308-5661</t>
  </si>
  <si>
    <t>UG-WES-1106-482</t>
  </si>
  <si>
    <t>UG-WES-1310-639</t>
  </si>
  <si>
    <t>UG-CEN-1212-5412</t>
  </si>
  <si>
    <t>UG-WES-1302-455</t>
  </si>
  <si>
    <t>UG-EAS-1608-6726</t>
  </si>
  <si>
    <t>UG-WES-1106-6276</t>
  </si>
  <si>
    <t>UG-WES-1011-559</t>
  </si>
  <si>
    <t>UG-WES-1108-490</t>
  </si>
  <si>
    <t>UG-CEN-1310-5780</t>
  </si>
  <si>
    <t>UG-CEN-1105-274</t>
  </si>
  <si>
    <t>UG-CEN-1302-5784</t>
  </si>
  <si>
    <t>UG-WES-1208-483</t>
  </si>
  <si>
    <t>UG-CEN-1003-5651</t>
  </si>
  <si>
    <t>UG-EAS-1108-5731</t>
  </si>
  <si>
    <t>UG-WES-1108-531</t>
  </si>
  <si>
    <t>UG-WES-1405-6149</t>
  </si>
  <si>
    <t>UG-CEN-1202-5414</t>
  </si>
  <si>
    <t>UG-NOR-1303-6014</t>
  </si>
  <si>
    <t>UG-EAS-1308-4164</t>
  </si>
  <si>
    <t>UG-WES-1207-4170</t>
  </si>
  <si>
    <t>UG-EAS-1211-5416</t>
  </si>
  <si>
    <t>UG-EAS-1202-269</t>
  </si>
  <si>
    <t>UG-WES-1210-4173</t>
  </si>
  <si>
    <t>UG-EAS-1012-6047</t>
  </si>
  <si>
    <t>UG-CEN-1501-35</t>
  </si>
  <si>
    <t>UG-WES-1205-5787</t>
  </si>
  <si>
    <t>UG-CEN-1404-6298</t>
  </si>
  <si>
    <t>UG-CEN-1505-377</t>
  </si>
  <si>
    <t>UG-NOR-1401-5789</t>
  </si>
  <si>
    <t>UG-EAS-1206-5418</t>
  </si>
  <si>
    <t>UG-CEN-1311-6748</t>
  </si>
  <si>
    <t>UG-EAS-1010-797</t>
  </si>
  <si>
    <t>UG-WES-1303-6144</t>
  </si>
  <si>
    <t>UG-EAS-1408-3499</t>
  </si>
  <si>
    <t>UG-EAS-1111-5107</t>
  </si>
  <si>
    <t>UG-EAS-1309-6004</t>
  </si>
  <si>
    <t>UG-EAS-1403-4193</t>
  </si>
  <si>
    <t>UG-EAS-1308-1134</t>
  </si>
  <si>
    <t>UG-NOR-1307-5685</t>
  </si>
  <si>
    <t>UG-EAS-1410-4161</t>
  </si>
  <si>
    <t>UG-EAS-1112-3493</t>
  </si>
  <si>
    <t>UG-EAS-1411-4172</t>
  </si>
  <si>
    <t>UG-WES-1105-481</t>
  </si>
  <si>
    <t>UG-CEN-1202-6067</t>
  </si>
  <si>
    <t>UG-WES-1508-6730</t>
  </si>
  <si>
    <t>UG-WES-1206-5664</t>
  </si>
  <si>
    <t>UG-WES-1206-6269</t>
  </si>
  <si>
    <t>UG-CEN-1103-5766</t>
  </si>
  <si>
    <t>UG-CEN-1302-6076</t>
  </si>
  <si>
    <t>UG-CEN-1107-270</t>
  </si>
  <si>
    <t>UG-WES-1110-647</t>
  </si>
  <si>
    <t>UG-EAS-1509-265</t>
  </si>
  <si>
    <t>UG-EAS-1310-4996</t>
  </si>
  <si>
    <t>UG-EAS-1112-5106</t>
  </si>
  <si>
    <t>UG-EAS-1311-3476</t>
  </si>
  <si>
    <t>UG-NOR-1205-186</t>
  </si>
  <si>
    <t>UG-EAS-1203-3486</t>
  </si>
  <si>
    <t>UG-CEN-1209-5921</t>
  </si>
  <si>
    <t>UG-WES-1108-6134</t>
  </si>
  <si>
    <t>UG-EAS-1401-3422</t>
  </si>
  <si>
    <t>UG-EAS-1410-4179</t>
  </si>
  <si>
    <t>UG-EAS-1408-4177</t>
  </si>
  <si>
    <t>UG-EAS-1302-4997</t>
  </si>
  <si>
    <t>UG-NOR-1307-5711</t>
  </si>
  <si>
    <t>UG-CEN-1108-271</t>
  </si>
  <si>
    <t>UG-EAS-1401-3421</t>
  </si>
  <si>
    <t>UG-CEN-1502-6063</t>
  </si>
  <si>
    <t>UG-EAS-1411-6714</t>
  </si>
  <si>
    <t>UG-NOR-1608-3040</t>
  </si>
  <si>
    <t>UG-CEN-1102-147</t>
  </si>
  <si>
    <t>UG-NOR-1105-5691</t>
  </si>
  <si>
    <t>UG-WES-1605-6499</t>
  </si>
  <si>
    <t>UG-WES-1312-6275</t>
  </si>
  <si>
    <t>UG-WES-1210-6199</t>
  </si>
  <si>
    <t>UG-WES-1104-6143</t>
  </si>
  <si>
    <t>UG-WES-1407-477</t>
  </si>
  <si>
    <t>UG-WES-1107-464</t>
  </si>
  <si>
    <t>UG-EAS-1110-3046</t>
  </si>
  <si>
    <t>UG-NOR-1307-5004</t>
  </si>
  <si>
    <t>UG-EAS-1104-5983</t>
  </si>
  <si>
    <t>UG-EAS-1410-132</t>
  </si>
  <si>
    <t>UG-EAS-1409-3497</t>
  </si>
  <si>
    <t>UG-EAS-1410-3030</t>
  </si>
  <si>
    <t>UG-EAS-1410-3389</t>
  </si>
  <si>
    <t>UG-EAS-1209-4194</t>
  </si>
  <si>
    <t>UG-NOR-1306-5832</t>
  </si>
  <si>
    <t>UG-EAS-1209-3475</t>
  </si>
  <si>
    <t>UG-WES-1306-5708</t>
  </si>
  <si>
    <t>UG-WES-1512-6240</t>
  </si>
  <si>
    <t>UG-CEN-1005-6803</t>
  </si>
  <si>
    <t>UG-CEN-1302-5625</t>
  </si>
  <si>
    <t>UG-CEN-1402-5840</t>
  </si>
  <si>
    <t>UG-WES-1408-535</t>
  </si>
  <si>
    <t>UG-EAS-1509-773</t>
  </si>
  <si>
    <t>UG-WES-1104-6139</t>
  </si>
  <si>
    <t>UG-EAS-1407-763</t>
  </si>
  <si>
    <t>UG-EAS-1512-4964</t>
  </si>
  <si>
    <t>UG-CEN-1506-448</t>
  </si>
  <si>
    <t>UG-CEN-1204-6346</t>
  </si>
  <si>
    <t>UG-EAS-1402-6715</t>
  </si>
  <si>
    <t>UG-NOR-1203-5688</t>
  </si>
  <si>
    <t>UG-WES-1307-5695</t>
  </si>
  <si>
    <t>UG-WES-1204-498</t>
  </si>
  <si>
    <t>UG-CEN-1105-5760</t>
  </si>
  <si>
    <t>UG-CEN-1307-5949</t>
  </si>
  <si>
    <t>UG-CEN-1302-5635</t>
  </si>
  <si>
    <t>UG-WES-1812-6790</t>
  </si>
  <si>
    <t>UG-CEN-1309-5857</t>
  </si>
  <si>
    <t>UG-WES-1107-6138</t>
  </si>
  <si>
    <t>UG-EAS-1210-6026</t>
  </si>
  <si>
    <t>UG-WES-1402-5822</t>
  </si>
  <si>
    <t>UG-CEN-1308-6058</t>
  </si>
  <si>
    <t>UG-WES-1005-5868</t>
  </si>
  <si>
    <t>UG-WES-1312-5870</t>
  </si>
  <si>
    <t>UG-CEN-1212-6293</t>
  </si>
  <si>
    <t>UG-CEN-1307-5872</t>
  </si>
  <si>
    <t>UG-CEN-1110-275</t>
  </si>
  <si>
    <t>UG-NOR-1306-5877</t>
  </si>
  <si>
    <t>UG-WES-1301-6198</t>
  </si>
  <si>
    <t>UG-CEN-1308-5913</t>
  </si>
  <si>
    <t>UG-WES-1302-473</t>
  </si>
  <si>
    <t>UG-WES-1404-660</t>
  </si>
  <si>
    <t>UG-CEN-1208-6820</t>
  </si>
  <si>
    <t>UG-WES-1306-6279</t>
  </si>
  <si>
    <t>UG-EAS-1206-6025</t>
  </si>
  <si>
    <t>UG-EAS-1103-5885</t>
  </si>
  <si>
    <t>UG-EAS-1703-5744</t>
  </si>
  <si>
    <t>UG-EAS-1407-679</t>
  </si>
  <si>
    <t>UG-EAS-1205-5895</t>
  </si>
  <si>
    <t>UG-EAS-1602-5735</t>
  </si>
  <si>
    <t>UG-EAS-1511-5726</t>
  </si>
  <si>
    <t>UG-EAS-1205-6027</t>
  </si>
  <si>
    <t>UG-WES-1410-5551</t>
  </si>
  <si>
    <t>UG-EAS-1106-5897</t>
  </si>
  <si>
    <t>UG-CEN-1104-281</t>
  </si>
  <si>
    <t>UG-EAS-1407-735</t>
  </si>
  <si>
    <t>UG-CEN-1012-5935</t>
  </si>
  <si>
    <t>UG-EAS-1604-5118</t>
  </si>
  <si>
    <t>UG-EAS-1301-5882</t>
  </si>
  <si>
    <t>UG-EAS-1109-5884</t>
  </si>
  <si>
    <t>UG-EAS-1110-5886</t>
  </si>
  <si>
    <t>UG-EAS-1110-1789</t>
  </si>
  <si>
    <t>UG-EAS-1407-5481</t>
  </si>
  <si>
    <t>UG-EAS-1510-904</t>
  </si>
  <si>
    <t>UG-WES-1201-5841</t>
  </si>
  <si>
    <t>UG-WES-1601-608</t>
  </si>
  <si>
    <t>UG-WES-1208-5679</t>
  </si>
  <si>
    <t>UG-EAS-1308-5425</t>
  </si>
  <si>
    <t>UG-CEN-1112-772</t>
  </si>
  <si>
    <t>UG-WES-1210-492</t>
  </si>
  <si>
    <t>UG-WES-1307-5499</t>
  </si>
  <si>
    <t>UG-WES-1801-3425</t>
  </si>
  <si>
    <t>UG-EAS-1604-5124</t>
  </si>
  <si>
    <t>UG-EAS-1206-5987</t>
  </si>
  <si>
    <t>UG-CEN-1202-286</t>
  </si>
  <si>
    <t>UG-CEN-1105-287</t>
  </si>
  <si>
    <t>UG-CEN-1312-5899</t>
  </si>
  <si>
    <t>UG-CEN-1306-5902</t>
  </si>
  <si>
    <t>UG-CEN-1206-412</t>
  </si>
  <si>
    <t>UG-WES-1505-230</t>
  </si>
  <si>
    <t>UG-CEN-1201-288</t>
  </si>
  <si>
    <t>UG-CEN-1011-289</t>
  </si>
  <si>
    <t>UG-EAS-1605-4345</t>
  </si>
  <si>
    <t>UG-WES-1003-5839</t>
  </si>
  <si>
    <t>UG-WES-1405-451</t>
  </si>
  <si>
    <t>UG-CEN-1011-6062</t>
  </si>
  <si>
    <t>UG-CEN-1109-292</t>
  </si>
  <si>
    <t>UG-CEN-1104-5765</t>
  </si>
  <si>
    <t>UG-EAS-1204-5833</t>
  </si>
  <si>
    <t>UG-WES-1504-5607</t>
  </si>
  <si>
    <t>UG-WES-1501-245</t>
  </si>
  <si>
    <t>UG-EAS-1410-134</t>
  </si>
  <si>
    <t>UG-CEN-1303-6064</t>
  </si>
  <si>
    <t>UG-CEN-1008-5937</t>
  </si>
  <si>
    <t>UG-CEN-1402-6739</t>
  </si>
  <si>
    <t>UG-CEN-1309-5934</t>
  </si>
  <si>
    <t>UG-CEN-1109-461</t>
  </si>
  <si>
    <t>UG-EAS-1510-1004</t>
  </si>
  <si>
    <t>UG-EAS-1110-3047</t>
  </si>
  <si>
    <t>UG-EAS-1206-4198</t>
  </si>
  <si>
    <t>UG-EAS-1406-761</t>
  </si>
  <si>
    <t>UG-WES-1209-5662</t>
  </si>
  <si>
    <t>UG-EAS-1310-5829</t>
  </si>
  <si>
    <t>UG-WES-1403-533</t>
  </si>
  <si>
    <t>UG-EAS-1101-3048</t>
  </si>
  <si>
    <t>UG-EAS-1208-5863</t>
  </si>
  <si>
    <t>UG-EAS-1410-136</t>
  </si>
  <si>
    <t>UG-EAS-1206-3375</t>
  </si>
  <si>
    <t>UG-EAS-1308-6009</t>
  </si>
  <si>
    <t>UG-NOR-1305-5671</t>
  </si>
  <si>
    <t>UG-EAS-1303-5991</t>
  </si>
  <si>
    <t>UG-EAS-1104-293</t>
  </si>
  <si>
    <t>UG-WES-1104-524</t>
  </si>
  <si>
    <t>UG-EAS-1608-4985</t>
  </si>
  <si>
    <t>UG-WES-1508-2750</t>
  </si>
  <si>
    <t>UG-EAS-1212-294</t>
  </si>
  <si>
    <t>UG-EAS-1208-5476</t>
  </si>
  <si>
    <t>UG-WES-1310-5660</t>
  </si>
  <si>
    <t>UG-EAS-1108-295</t>
  </si>
  <si>
    <t>UG-NOR-1307-5915</t>
  </si>
  <si>
    <t>UG-CEN-1010-6080</t>
  </si>
  <si>
    <t>UG-WES-1604-6481</t>
  </si>
  <si>
    <t>UG-CEN-1401-6742</t>
  </si>
  <si>
    <t>UG-CEN-1411-5956</t>
  </si>
  <si>
    <t>UG-WES-1403-466</t>
  </si>
  <si>
    <t>UG-WES-1305-5667</t>
  </si>
  <si>
    <t>UG-EAS-1604-5120</t>
  </si>
  <si>
    <t>UG-CEN-1311-5912</t>
  </si>
  <si>
    <t>UG-CEN-1212-5478</t>
  </si>
  <si>
    <t>UG-CEN-1605-6497</t>
  </si>
  <si>
    <t>UG-NOR-1401-5916</t>
  </si>
  <si>
    <t>UG-CEN-1210-5479</t>
  </si>
  <si>
    <t>UG-CEN-1102-6081</t>
  </si>
  <si>
    <t>UG-WES-1112-6272</t>
  </si>
  <si>
    <t>UG-WES-1104-495</t>
  </si>
  <si>
    <t>UG-WES-1212-478</t>
  </si>
  <si>
    <t>UG-CEN-1102-194</t>
  </si>
  <si>
    <t>UG-WES-1108-545</t>
  </si>
  <si>
    <t>UG-EAS-1909-6786</t>
  </si>
  <si>
    <t>UG-WES-1209-6132</t>
  </si>
  <si>
    <t>UG-CEN-1304-5764</t>
  </si>
  <si>
    <t>UG-CEN-1508-387</t>
  </si>
  <si>
    <t>UG-CEN-1402-5637</t>
  </si>
  <si>
    <t>UG-CEN-1305-5786</t>
  </si>
  <si>
    <t>UG-CEN-1604-198</t>
  </si>
  <si>
    <t>UG-CEN-1603-211</t>
  </si>
  <si>
    <t>UG-WES-1212-500</t>
  </si>
  <si>
    <t>UG-CEN-1105-297</t>
  </si>
  <si>
    <t>UG-CEN-1501-37</t>
  </si>
  <si>
    <t>UG-CEN-1108-5936</t>
  </si>
  <si>
    <t>UG-NOR-1307-5920</t>
  </si>
  <si>
    <t>UG-WES-1108-5703</t>
  </si>
  <si>
    <t>UG-CEN-1308-5918</t>
  </si>
  <si>
    <t>UG-CEN-1103-5774</t>
  </si>
  <si>
    <t>UG-EAS-1608-4998</t>
  </si>
  <si>
    <t>UG-WES-1308-6746</t>
  </si>
  <si>
    <t>UG-WES-1308-6747</t>
  </si>
  <si>
    <t>UG-CEN-1301-5482</t>
  </si>
  <si>
    <t>UG-WES-1305-5702</t>
  </si>
  <si>
    <t>UG-WES-1605-6596</t>
  </si>
  <si>
    <t>UG-WES-1211-5717</t>
  </si>
  <si>
    <t>UG-WES-1410-144</t>
  </si>
  <si>
    <t>UG-CEN-1211-5484</t>
  </si>
  <si>
    <t>UG-WES-1605-6426</t>
  </si>
  <si>
    <t>UG-CEN-1302-5922</t>
  </si>
  <si>
    <t>UG-CEN-1104-316</t>
  </si>
  <si>
    <t>UG-WES-1206-5483</t>
  </si>
  <si>
    <t>UG-WES-1606-4166</t>
  </si>
  <si>
    <t>UG-WES-1101-5905</t>
  </si>
  <si>
    <t>UG-WES-1505-3403</t>
  </si>
  <si>
    <t>UG-CEN-1506-376</t>
  </si>
  <si>
    <t>UG-EAS-1310-1165</t>
  </si>
  <si>
    <t>UG-WES-1104-5834</t>
  </si>
  <si>
    <t>UG-WES-1011-5871</t>
  </si>
  <si>
    <t>UG-CEN-1312-5926</t>
  </si>
  <si>
    <t>UG-EAS-1511-385</t>
  </si>
  <si>
    <t>UG-EAS-1407-799</t>
  </si>
  <si>
    <t>UG-WES-1302-5909</t>
  </si>
  <si>
    <t>UG-WES-1807-6788</t>
  </si>
  <si>
    <t>UG-CEN-1006-296</t>
  </si>
  <si>
    <t>UG-WES-1302-6254</t>
  </si>
  <si>
    <t>UG-WES-1302-5520</t>
  </si>
  <si>
    <t>UG-CEN-1010-138</t>
  </si>
  <si>
    <t>UG-WES-1307-5927</t>
  </si>
  <si>
    <t>UG-EAS-1302-5501</t>
  </si>
  <si>
    <t>UG-CEN-1202-427</t>
  </si>
  <si>
    <t>UG-WES-1301-5835</t>
  </si>
  <si>
    <t>UG-WES-1409-5554</t>
  </si>
  <si>
    <t>UG-EAS-1407-1023</t>
  </si>
  <si>
    <t>UG-CEN-1511-3367</t>
  </si>
  <si>
    <t>UG-CEN-1307-5929</t>
  </si>
  <si>
    <t>UG-CEN-1210-5930</t>
  </si>
  <si>
    <t>UG-WES-1104-415</t>
  </si>
  <si>
    <t>UG-CEN-1205-6120</t>
  </si>
  <si>
    <t>UG-CEN-1401-5955</t>
  </si>
  <si>
    <t>UG-EAS-1308-800</t>
  </si>
  <si>
    <t>UG-CEN-1309-425</t>
  </si>
  <si>
    <t>UG-WES-1609-625</t>
  </si>
  <si>
    <t>UG-CEN-1202-5557</t>
  </si>
  <si>
    <t>UG-WES-1701-1188</t>
  </si>
  <si>
    <t>UG-EAS-1406-1133</t>
  </si>
  <si>
    <t>UG-CEN-1012-5748</t>
  </si>
  <si>
    <t>UG-WES-1305-5865</t>
  </si>
  <si>
    <t>UG-WES-1610-682</t>
  </si>
  <si>
    <t>UG-CEN-1106-5771</t>
  </si>
  <si>
    <t>UG-EAS-1402-5432</t>
  </si>
  <si>
    <t>UG-EAS-1307-6825</t>
  </si>
  <si>
    <t>UG-CEN-1205-5528</t>
  </si>
  <si>
    <t>UG-WES-1511-3999</t>
  </si>
  <si>
    <t>UG-WES-1407-5710</t>
  </si>
  <si>
    <t>UG-WES-1202-5907</t>
  </si>
  <si>
    <t>UG-EAS-1411-1193</t>
  </si>
  <si>
    <t>UG-EAS-1701-5098</t>
  </si>
  <si>
    <t>UG-CEN-1307-6102</t>
  </si>
  <si>
    <t>UG-EAS-1407-762</t>
  </si>
  <si>
    <t>UG-EAS-1208-6048</t>
  </si>
  <si>
    <t>UG-EAS-1309-5978</t>
  </si>
  <si>
    <t>UG-WES-1605-6296</t>
  </si>
  <si>
    <t>UG-WES-1205-5873</t>
  </si>
  <si>
    <t>UG-WES-1403-554</t>
  </si>
  <si>
    <t>UG-WES-1309-5496</t>
  </si>
  <si>
    <t>UG-WES-1302-5542</t>
  </si>
  <si>
    <t>UG-CEN-1604-3037</t>
  </si>
  <si>
    <t>UG-EAS-1103-2679</t>
  </si>
  <si>
    <t>UG-CEN-1301-5545</t>
  </si>
  <si>
    <t>UG-CEN-1106-268</t>
  </si>
  <si>
    <t>UG-WES-1501-247</t>
  </si>
  <si>
    <t>UG-WES-1005-5855</t>
  </si>
  <si>
    <t>UG-WES-1009-5837</t>
  </si>
  <si>
    <t>UG-EAS-1110-1794</t>
  </si>
  <si>
    <t>UG-CEN-1305-5518</t>
  </si>
  <si>
    <t>UG-CEN-1210-409</t>
  </si>
  <si>
    <t>UG-CEN-1402-5622</t>
  </si>
  <si>
    <t>UG-WES-1402-5495</t>
  </si>
  <si>
    <t>UG-CEN-1108-442</t>
  </si>
  <si>
    <t>UG-EAS-1008-232</t>
  </si>
  <si>
    <t>UG-CEN-1307-6625</t>
  </si>
  <si>
    <t>UG-CEN-1401-424</t>
  </si>
  <si>
    <t>UG-CEN-1108-440</t>
  </si>
  <si>
    <t>UG-CEN-1108-428</t>
  </si>
  <si>
    <t>UG-CEN-1306-5939</t>
  </si>
  <si>
    <t>UG-CEN-1306-5940</t>
  </si>
  <si>
    <t>UG-CEN-1306-5938</t>
  </si>
  <si>
    <t>UG-WES-1611-5460</t>
  </si>
  <si>
    <t>UG-CEN-1306-5782</t>
  </si>
  <si>
    <t>UG-WES-1509-3912</t>
  </si>
  <si>
    <t>UG-CEN-1601-472</t>
  </si>
  <si>
    <t>UG-WES-1302-5490</t>
  </si>
  <si>
    <t>UG-WES-1108-5522</t>
  </si>
  <si>
    <t>UG-CEN-1205-5562</t>
  </si>
  <si>
    <t>UG-CEN-1401-5941</t>
  </si>
  <si>
    <t>UG-WES-1306-5697</t>
  </si>
  <si>
    <t>UG-CEN-1310-6534</t>
  </si>
  <si>
    <t>UG-CEN-1402-5942</t>
  </si>
  <si>
    <t>UG-CEN-1102-5556</t>
  </si>
  <si>
    <t>UG-CEN-1306-5502</t>
  </si>
  <si>
    <t>UG-WES-1302-5544</t>
  </si>
  <si>
    <t>UG-CEN-1312-5763</t>
  </si>
  <si>
    <t>UG-CEN-1304-5943</t>
  </si>
  <si>
    <t>UG-CEN-1508-405</t>
  </si>
  <si>
    <t>UG-CEN-1310-5944</t>
  </si>
  <si>
    <t>UG-WES-1402-5489</t>
  </si>
  <si>
    <t>UG-WES-1005-5889</t>
  </si>
  <si>
    <t>UG-WES-1601-3453</t>
  </si>
  <si>
    <t>UG-WES-1611-5605</t>
  </si>
  <si>
    <t>UG-WES-1703-4189</t>
  </si>
  <si>
    <t>UG-WES-1111-5843</t>
  </si>
  <si>
    <t>UG-CEN-1312-5945</t>
  </si>
  <si>
    <t>UG-CEN-1311-5946</t>
  </si>
  <si>
    <t>UG-CEN-1312-5947</t>
  </si>
  <si>
    <t>UG-EAS-1603-4348</t>
  </si>
  <si>
    <t>UG-WES-1202-5851</t>
  </si>
  <si>
    <t>UG-CEN-1008-6802</t>
  </si>
  <si>
    <t>UG-EAS-1111-491</t>
  </si>
  <si>
    <t>UG-CEN-1102-233</t>
  </si>
  <si>
    <t>UG-CEN-1401-6197</t>
  </si>
  <si>
    <t>UG-CEN-1306-5953</t>
  </si>
  <si>
    <t>UG-CEN-2101-6791</t>
  </si>
  <si>
    <t>UG-CEN-1604-195</t>
  </si>
  <si>
    <t>UG-CEN-1006-234</t>
  </si>
  <si>
    <t>UG-CEN-1109-432</t>
  </si>
  <si>
    <t>UG-CEN-1402-5952</t>
  </si>
  <si>
    <t>UG-EAS-1606-4745</t>
  </si>
  <si>
    <t>UG-CEN-1312-5954</t>
  </si>
  <si>
    <t>UG-CEN-1901-6794</t>
  </si>
  <si>
    <t>UG-EAS-1211-746</t>
  </si>
  <si>
    <t>UG-CEN-1308-5565</t>
  </si>
  <si>
    <t>UG-WES-1507-6343</t>
  </si>
  <si>
    <t>UG-WES-1603-5752</t>
  </si>
  <si>
    <t>UG-WES-1411-6283</t>
  </si>
  <si>
    <t>UG-EAS-1208-774</t>
  </si>
  <si>
    <t>UG-EAS-1610-5140</t>
  </si>
  <si>
    <t>UG-EAS-1310-2737</t>
  </si>
  <si>
    <t>UG-EAS-1402-2740</t>
  </si>
  <si>
    <t>UG-EAS-1012-5443</t>
  </si>
  <si>
    <t>UG-EAS-1605-4455</t>
  </si>
  <si>
    <t>UG-WES-1604-6338</t>
  </si>
  <si>
    <t>UG-CEN-1306-5546</t>
  </si>
  <si>
    <t>UG-EAS-1308-5798</t>
  </si>
  <si>
    <t>UG-CEN-1306-5958</t>
  </si>
  <si>
    <t>UG-CEN-1012-6609</t>
  </si>
  <si>
    <t>UG-CEN-1301-5572</t>
  </si>
  <si>
    <t>UG-EAS-1508-266</t>
  </si>
  <si>
    <t>UG-CEN-1309-5960</t>
  </si>
  <si>
    <t>UG-CEN-1601-3025</t>
  </si>
  <si>
    <t>UG-CEN-1107-5559</t>
  </si>
  <si>
    <t>UG-CEN-1402-5961</t>
  </si>
  <si>
    <t>UG-CEN-1206-421</t>
  </si>
  <si>
    <t>UG-CEN-1112-298</t>
  </si>
  <si>
    <t>UG-WES-1211-5724</t>
  </si>
  <si>
    <t>UG-WES-1302-5492</t>
  </si>
  <si>
    <t>UG-WES-1105-443</t>
  </si>
  <si>
    <t>UG-WES-1601-4151</t>
  </si>
  <si>
    <t>UG-EAS-1210-5458</t>
  </si>
  <si>
    <t>UG-CEN-1310-5962</t>
  </si>
  <si>
    <t>UG-CEN-1510-5549</t>
  </si>
  <si>
    <t>UG-CEN-1209-418</t>
  </si>
  <si>
    <t>UG-CEN-1310-5964</t>
  </si>
  <si>
    <t>UG-EAS-1702-5209</t>
  </si>
  <si>
    <t>UG-CEN-1002-5498</t>
  </si>
  <si>
    <t>UG-EAS-1605-4419</t>
  </si>
  <si>
    <t>UG-CEN-1308-5778</t>
  </si>
  <si>
    <t>UG-WES-1112-5842</t>
  </si>
  <si>
    <t>UG-CEN-1103-446</t>
  </si>
  <si>
    <t>UG-CEN-1309-5967</t>
  </si>
  <si>
    <t>UG-CEN-2002-5574</t>
  </si>
  <si>
    <t>UG-WES-1509-3920</t>
  </si>
  <si>
    <t>UG-NOR-1312-5968</t>
  </si>
  <si>
    <t>UG-WES-1210-5609</t>
  </si>
  <si>
    <t>UG-CEN-1111-452</t>
  </si>
  <si>
    <t>UG-CEN-1308-5969</t>
  </si>
  <si>
    <t>UG-NOR-1312-5974</t>
  </si>
  <si>
    <t>UG-EAS-1011-5997</t>
  </si>
  <si>
    <t>UG-CEN-1308-5739</t>
  </si>
  <si>
    <t>UG-EAS-1402-5970</t>
  </si>
  <si>
    <t>UG-EAS-1402-5728</t>
  </si>
  <si>
    <t>UG-EAS-1209-5592</t>
  </si>
  <si>
    <t>UG-EAS-1009-235</t>
  </si>
  <si>
    <t>UG-CEN-1108-457</t>
  </si>
  <si>
    <t>UG-EAS-1309-5827</t>
  </si>
  <si>
    <t>UG-EAS-1109-468</t>
  </si>
  <si>
    <t>UG-CEN-1105-6804</t>
  </si>
  <si>
    <t>UG-CEN-1606-199</t>
  </si>
  <si>
    <t>UG-CEN-1110-675</t>
  </si>
  <si>
    <t>UG-EAS-1202-6049</t>
  </si>
  <si>
    <t>UG-CEN-1306-5973</t>
  </si>
  <si>
    <t>UG-CEN-1305-5972</t>
  </si>
  <si>
    <t>UG-CEN-1402-5547</t>
  </si>
  <si>
    <t>UG-CEN-1303-5519</t>
  </si>
  <si>
    <t>UG-CEN-1212-5594</t>
  </si>
  <si>
    <t>UG-WES-1709-6763</t>
  </si>
  <si>
    <t>UG-EAS-1607-4977</t>
  </si>
  <si>
    <t>UG-EAS-1408-695</t>
  </si>
  <si>
    <t>UG-CEN-1003-6073</t>
  </si>
  <si>
    <t>UG-EAS-1407-730</t>
  </si>
  <si>
    <t>UG-WES-1110-273</t>
  </si>
  <si>
    <t>UG-WES-1302-5541</t>
  </si>
  <si>
    <t>UG-EAS-1306-5116</t>
  </si>
  <si>
    <t>UG-CEN-1302-6115</t>
  </si>
  <si>
    <t>UG-WES-1405-537</t>
  </si>
  <si>
    <t>UG-EAS-1105-488</t>
  </si>
  <si>
    <t>UG-EAS-1303-6702</t>
  </si>
  <si>
    <t>UG-EAS-1610-5042</t>
  </si>
  <si>
    <t>UG-EAS-1703-5099</t>
  </si>
  <si>
    <t>UG-WES-1108-5689</t>
  </si>
  <si>
    <t>UG-WES-1309-5856</t>
  </si>
  <si>
    <t>UG-WES-1207-6822</t>
  </si>
  <si>
    <t>UG-EAS-1308-1798</t>
  </si>
  <si>
    <t>UG-EAS-1402-5979</t>
  </si>
  <si>
    <t>UG-EAS-1609-4368</t>
  </si>
  <si>
    <t>UG-EAS-1307-4302</t>
  </si>
  <si>
    <t>UG-WES-1302-5511</t>
  </si>
  <si>
    <t>UG-WES-1605-4165</t>
  </si>
  <si>
    <t>UG-WES-1508-3918</t>
  </si>
  <si>
    <t>UG-WES-1306-5714</t>
  </si>
  <si>
    <t>UG-CEN-2108-5586</t>
  </si>
  <si>
    <t>UG-WES-1307-5818</t>
  </si>
  <si>
    <t>UG-WES-1307-5819</t>
  </si>
  <si>
    <t>UG-WES-1102-5910</t>
  </si>
  <si>
    <t>UG-CEN-1112-5524</t>
  </si>
  <si>
    <t>UG-CEN-1302-5561</t>
  </si>
  <si>
    <t>UG-CEN-1301-5596</t>
  </si>
  <si>
    <t>UG-WES-1104-5860</t>
  </si>
  <si>
    <t>UG-WES-1301-5538</t>
  </si>
  <si>
    <t>UG-WES-1612-5466</t>
  </si>
  <si>
    <t>UG-EAS-1309-5993</t>
  </si>
  <si>
    <t>UG-WES-1106-5904</t>
  </si>
  <si>
    <t>UG-WES-1204-6121</t>
  </si>
  <si>
    <t>UG-WES-1101-456</t>
  </si>
  <si>
    <t>UG-WES-1406-6282</t>
  </si>
  <si>
    <t>UG-WES-1408-6286</t>
  </si>
  <si>
    <t>UG-CEN-1303-6075</t>
  </si>
  <si>
    <t>UG-WES-1601-3428</t>
  </si>
  <si>
    <t>UG-EAS-1403-6703</t>
  </si>
  <si>
    <t>UG-NOR-1107-549</t>
  </si>
  <si>
    <t>UG-WES-1212-5669</t>
  </si>
  <si>
    <t>UG-WES-1208-499</t>
  </si>
  <si>
    <t>UG-NOR-1309-6011</t>
  </si>
  <si>
    <t>UG-WES-1305-6200</t>
  </si>
  <si>
    <t>UG-EAS-1201-745</t>
  </si>
  <si>
    <t>UG-CEN-1402-5512</t>
  </si>
  <si>
    <t>UG-CEN-1104-277</t>
  </si>
  <si>
    <t>UG-EAS-1112-5729</t>
  </si>
  <si>
    <t>UG-EAS-1107-542</t>
  </si>
  <si>
    <t>UG-CEN-1302-6054</t>
  </si>
  <si>
    <t>UG-CEN-1308-5733</t>
  </si>
  <si>
    <t>UG-CEN-1302-5611</t>
  </si>
  <si>
    <t>UG-EAS-1411-726</t>
  </si>
  <si>
    <t>UG-CEN-1303-6137</t>
  </si>
  <si>
    <t>UG-CEN-1312-5948</t>
  </si>
  <si>
    <t>UG-CEN-1310-315</t>
  </si>
  <si>
    <t>UG-CEN-1311-6036</t>
  </si>
  <si>
    <t>UG-CEN-1402-6035</t>
  </si>
  <si>
    <t>UG-CEN-1310-6037</t>
  </si>
  <si>
    <t>UG-CEN-1105-543</t>
  </si>
  <si>
    <t>UG-CEN-1305-5923</t>
  </si>
  <si>
    <t>UG-EAS-1106-2730</t>
  </si>
  <si>
    <t>UG-CEN-1302-5515</t>
  </si>
  <si>
    <t>UG-CEN-1309-6285</t>
  </si>
  <si>
    <t>UG-CEN-1206-406</t>
  </si>
  <si>
    <t>UG-EAS-1301-3016</t>
  </si>
  <si>
    <t>UG-CEN-1110-548</t>
  </si>
  <si>
    <t>UG-CEN-1211-5654</t>
  </si>
  <si>
    <t>UG-WES-1004-487</t>
  </si>
  <si>
    <t>UG-CEN-1202-5597</t>
  </si>
  <si>
    <t>UG-CEN-1212-5598</t>
  </si>
  <si>
    <t>UG-CEN-1112-5497</t>
  </si>
  <si>
    <t>UG-EAS-1509-4955</t>
  </si>
  <si>
    <t>UG-EAS-1510-4748</t>
  </si>
  <si>
    <t>UG-EAS-1604-5121</t>
  </si>
  <si>
    <t>UG-WES-1104-552</t>
  </si>
  <si>
    <t>UG-EAS-1406-6038</t>
  </si>
  <si>
    <t>UG-EAS-1703-5742</t>
  </si>
  <si>
    <t>UG-EAS-1101-6032</t>
  </si>
  <si>
    <t>UG-EAS-1011-5890</t>
  </si>
  <si>
    <t>UG-EAS-1407-700</t>
  </si>
  <si>
    <t>UG-EAS-1408-5433</t>
  </si>
  <si>
    <t>UG-EAS-1611-5134</t>
  </si>
  <si>
    <t>UG-CEN-1109-433</t>
  </si>
  <si>
    <t>UG-EAS-1409-5420</t>
  </si>
  <si>
    <t>UG-WES-1505-5601</t>
  </si>
  <si>
    <t>UG-EAS-1202-3015</t>
  </si>
  <si>
    <t>UG-CEN-1511-459</t>
  </si>
  <si>
    <t>UG-CEN-1002-553</t>
  </si>
  <si>
    <t>UG-CEN-1402-6136</t>
  </si>
  <si>
    <t>UG-EAS-1308-5988</t>
  </si>
  <si>
    <t>UG-EAS-1206-747</t>
  </si>
  <si>
    <t>UG-EAS-1104-5894</t>
  </si>
  <si>
    <t>UG-EAS-1701-5148</t>
  </si>
  <si>
    <t>UG-EAS-1011-5434</t>
  </si>
  <si>
    <t>UG-EAS-1411-1</t>
  </si>
  <si>
    <t>UG-WES-1006-5792</t>
  </si>
  <si>
    <t>UG-CEN-1307-419</t>
  </si>
  <si>
    <t>UG-WES-1005-6824</t>
  </si>
  <si>
    <t>UG-EAS-1512-4960</t>
  </si>
  <si>
    <t>UG-EAS-1011-779</t>
  </si>
  <si>
    <t>UG-EAS-1607-4993</t>
  </si>
  <si>
    <t>UG-EAS-1012-668</t>
  </si>
  <si>
    <t>UG-WES-1607-4168</t>
  </si>
  <si>
    <t>UG-EAS-1407-6699</t>
  </si>
  <si>
    <t>UG-EAS-1312-1153</t>
  </si>
  <si>
    <t>UG-EAS-1608-5303</t>
  </si>
  <si>
    <t>UG-CEN-1204-6119</t>
  </si>
  <si>
    <t>UG-EAS-1510-1015</t>
  </si>
  <si>
    <t>UG-EAS-1108-1169</t>
  </si>
  <si>
    <t>UG-EAS-1210-5903</t>
  </si>
  <si>
    <t>UG-EAS-1208-5866</t>
  </si>
  <si>
    <t>UG-EAS-1210-5421</t>
  </si>
  <si>
    <t>UG-EAS-1103-5875</t>
  </si>
  <si>
    <t>UG-EAS-1012-5435</t>
  </si>
  <si>
    <t>UG-CEN-1205-384</t>
  </si>
  <si>
    <t>UG-EAS-1510-4371</t>
  </si>
  <si>
    <t>UG-NOR-1308-6040</t>
  </si>
  <si>
    <t>UG-CEN-1305-6039</t>
  </si>
  <si>
    <t>UG-CEN-1401-6041</t>
  </si>
  <si>
    <t>UG-WES-1211-568</t>
  </si>
  <si>
    <t>UG-CEN-1108-564</t>
  </si>
  <si>
    <t>UG-WES-1404-534</t>
  </si>
  <si>
    <t>UG-CEN-1110-5627</t>
  </si>
  <si>
    <t>UG-WES-1810-6789</t>
  </si>
  <si>
    <t>UG-WES-1501-5600</t>
  </si>
  <si>
    <t>UG-CEN-1202-6805</t>
  </si>
  <si>
    <t>UG-NOR-1306-6042</t>
  </si>
  <si>
    <t>UG-EAS-1007-2673</t>
  </si>
  <si>
    <t>UG-EAS-1012-2669</t>
  </si>
  <si>
    <t>UG-EAS-1206-5424</t>
  </si>
  <si>
    <t>UG-EAS-1201-5846</t>
  </si>
  <si>
    <t>UG-EAS-1308-2741</t>
  </si>
  <si>
    <t>UG-EAS-1409-760</t>
  </si>
  <si>
    <t>UG-EAS-1103-5892</t>
  </si>
  <si>
    <t>UG-EAS-1701-5150</t>
  </si>
  <si>
    <t>UG-EAS-1112-5469</t>
  </si>
  <si>
    <t>UG-CEN-2112-6797</t>
  </si>
  <si>
    <t>UG-EAS-1704-5101</t>
  </si>
  <si>
    <t>UG-EAS-1308-6718</t>
  </si>
  <si>
    <t>UG-CEN-1105-6598</t>
  </si>
  <si>
    <t>UG-EAS-1610-5130</t>
  </si>
  <si>
    <t>UG-EAS-1610-5083</t>
  </si>
  <si>
    <t>UG-EAS-1301-691</t>
  </si>
  <si>
    <t>UG-EAS-1407-1101</t>
  </si>
  <si>
    <t>UG-EAS-1308-818</t>
  </si>
  <si>
    <t>UG-EAS-1407-771</t>
  </si>
  <si>
    <t>UG-EAS-1207-5996</t>
  </si>
  <si>
    <t>UG-WES-1106-550</t>
  </si>
  <si>
    <t>UG-CEN-1111-6806</t>
  </si>
  <si>
    <t>UG-CEN-1102-6072</t>
  </si>
  <si>
    <t>UG-CEN-1211-6326</t>
  </si>
  <si>
    <t>UG-CEN-1105-6107</t>
  </si>
  <si>
    <t>UG-CEN-1105-661</t>
  </si>
  <si>
    <t>UG-EAS-1202-662</t>
  </si>
  <si>
    <t>UG-CEN-1601-3369</t>
  </si>
  <si>
    <t>UG-CEN-1402-6124</t>
  </si>
  <si>
    <t>UG-EAS-1108-663</t>
  </si>
  <si>
    <t>UG-EAS-1609-5030</t>
  </si>
  <si>
    <t>UG-CEN-1205-401</t>
  </si>
  <si>
    <t>UG-CEN-1508-2838</t>
  </si>
  <si>
    <t>UG-CEN-1305-6053</t>
  </si>
  <si>
    <t>UG-CEN-1006-5582</t>
  </si>
  <si>
    <t>UG-EAS-1411-6700</t>
  </si>
  <si>
    <t>UG-EAS-1701-5147</t>
  </si>
  <si>
    <t>UG-WES-1308-5680</t>
  </si>
  <si>
    <t>UG-CEN-1601-3024</t>
  </si>
  <si>
    <t>UG-WES-2102-5584</t>
  </si>
  <si>
    <t>UG-CEN-1205-417</t>
  </si>
  <si>
    <t>UG-EAS-1210-5457</t>
  </si>
  <si>
    <t>UG-CEN-1108-6059</t>
  </si>
  <si>
    <t>UG-WES-1607-5429</t>
  </si>
  <si>
    <t>UG-WES-1407-541</t>
  </si>
  <si>
    <t>UG-WES-1208-6133</t>
  </si>
  <si>
    <t>UG-CEN-1310-6344</t>
  </si>
  <si>
    <t>UG-WES-1512-566</t>
  </si>
  <si>
    <t>UG-WES-1604-6354</t>
  </si>
  <si>
    <t>UG-EAS-1510-935</t>
  </si>
  <si>
    <t>UG-WES-1605-6548</t>
  </si>
  <si>
    <t>UG-WES-1611-6749</t>
  </si>
  <si>
    <t>UG-CEN-1005-6077</t>
  </si>
  <si>
    <t>UG-CEN-1102-5652</t>
  </si>
  <si>
    <t>UG-WES-1306-6274</t>
  </si>
  <si>
    <t>UG-NOR-1305-5693</t>
  </si>
  <si>
    <t>UG-CEN-1104-5933</t>
  </si>
  <si>
    <t>UG-WES-1208-5488</t>
  </si>
  <si>
    <t>UG-WES-1604-6348</t>
  </si>
  <si>
    <t>UG-EAS-1012-237</t>
  </si>
  <si>
    <t>UG-EAS-1606-4675</t>
  </si>
  <si>
    <t>UG-NOR-1401-6055</t>
  </si>
  <si>
    <t>UG-CEN-1509-403</t>
  </si>
  <si>
    <t>UG-WES-1506-3414</t>
  </si>
  <si>
    <t>UG-CEN-1508-3003</t>
  </si>
  <si>
    <t>UG-WES-1512-565</t>
  </si>
  <si>
    <t>UG-CEN-1801-3004</t>
  </si>
  <si>
    <t>UG-WES-1510-560</t>
  </si>
  <si>
    <t>UG-WES-1605-3468</t>
  </si>
  <si>
    <t>UG-CEN-1512-3430</t>
  </si>
  <si>
    <t>UG-WES-1602-609</t>
  </si>
  <si>
    <t>UG-WES-1504-228</t>
  </si>
  <si>
    <t>UG-WES-1605-3410</t>
  </si>
  <si>
    <t>UG-WES-1505-229</t>
  </si>
  <si>
    <t>UG-WES-1512-3409</t>
  </si>
  <si>
    <t>UG-EAS-1603-4988</t>
  </si>
  <si>
    <t>UG-CEN-1210-5595</t>
  </si>
  <si>
    <t>UG-WES-1606-614</t>
  </si>
  <si>
    <t>UG-WES-1702-1187</t>
  </si>
  <si>
    <t>UG-CEN-1101-6807</t>
  </si>
  <si>
    <t>UG-CEN-1107-686</t>
  </si>
  <si>
    <t>UG-EAS-1606-4488</t>
  </si>
  <si>
    <t>UG-CEN-1105-6808</t>
  </si>
  <si>
    <t>UG-WES-1509-2775</t>
  </si>
  <si>
    <t>UG-CEN-1701-5566</t>
  </si>
  <si>
    <t>UG-CEN-1511-182</t>
  </si>
  <si>
    <t>UG-EAS-1406-748</t>
  </si>
  <si>
    <t>UG-EAS-1409-3049</t>
  </si>
  <si>
    <t>UG-CEN-2010-5576</t>
  </si>
  <si>
    <t>UG-CEN-1305-5510</t>
  </si>
  <si>
    <t>UG-CEN-1111-276</t>
  </si>
  <si>
    <t>UG-EAS-1011-5442</t>
  </si>
  <si>
    <t>UG-EAS-1510-1012</t>
  </si>
  <si>
    <t>UG-EAS-1204-4316</t>
  </si>
  <si>
    <t>UG-EAS-1407-680</t>
  </si>
  <si>
    <t>UG-EAS-1408-785</t>
  </si>
  <si>
    <t>UG-CEN-1110-299</t>
  </si>
  <si>
    <t>UG-EAS-1010-5437</t>
  </si>
  <si>
    <t>UG-CEN-1307-6592</t>
  </si>
  <si>
    <t>UG-EAS-1406-3543</t>
  </si>
  <si>
    <t>UG-EAS-1110-796</t>
  </si>
  <si>
    <t>UG-EAS-1404-681</t>
  </si>
  <si>
    <t>UG-EAS-1406-689</t>
  </si>
  <si>
    <t>UG-CEN-1106-6611</t>
  </si>
  <si>
    <t>UG-EAS-1102-240</t>
  </si>
  <si>
    <t>UG-EAS-1009-239</t>
  </si>
  <si>
    <t>UG-CEN-1703-5603</t>
  </si>
  <si>
    <t>UG-CEN-1602-3031</t>
  </si>
  <si>
    <t>UG-CEN-1103-733</t>
  </si>
  <si>
    <t>UG-CEN-1201-426</t>
  </si>
  <si>
    <t>UG-WES-1302-5525</t>
  </si>
  <si>
    <t>UG-CEN-1111-6103</t>
  </si>
  <si>
    <t>UG-WES-1205-5874</t>
  </si>
  <si>
    <t>UG-CEN-1101-6050</t>
  </si>
  <si>
    <t>UG-EAS-1304-1385</t>
  </si>
  <si>
    <t>UG-CEN-1107-750</t>
  </si>
  <si>
    <t>UG-CEN-1106-751</t>
  </si>
  <si>
    <t>UG-CEN-1107-752</t>
  </si>
  <si>
    <t>UG-EAS-1210-1135</t>
  </si>
  <si>
    <t>UG-WES-1301-5506</t>
  </si>
  <si>
    <t>UG-WES-1305-6145</t>
  </si>
  <si>
    <t>UG-WES-1401-754</t>
  </si>
  <si>
    <t>UG-WES-1212-5901</t>
  </si>
  <si>
    <t>UG-CEN-1309-6547</t>
  </si>
  <si>
    <t>UG-WES-1605-6399</t>
  </si>
  <si>
    <t>UG-WES-1511-563</t>
  </si>
  <si>
    <t>UG-WES-1604-6397</t>
  </si>
  <si>
    <t>UG-WES-1703-5757</t>
  </si>
  <si>
    <t>UG-EAS-1007-241</t>
  </si>
  <si>
    <t>UG-EAS-1308-5963</t>
  </si>
  <si>
    <t>UG-EAS-1212-5602</t>
  </si>
  <si>
    <t>UG-EAS-1012-1121</t>
  </si>
  <si>
    <t>UG-EAS-1211-816</t>
  </si>
  <si>
    <t>UG-EAS-1510-1016</t>
  </si>
  <si>
    <t>UG-EAS-1410-137</t>
  </si>
  <si>
    <t>UG-WES-1606-5449</t>
  </si>
  <si>
    <t>UG-WES-1302-5504</t>
  </si>
  <si>
    <t>UG-WES-1312-5858</t>
  </si>
  <si>
    <t>UG-CEN-1402-6738</t>
  </si>
  <si>
    <t>UG-WES-1704-5639</t>
  </si>
  <si>
    <t>UG-WES-1207-5721</t>
  </si>
  <si>
    <t>UG-WES-1606-5638</t>
  </si>
  <si>
    <t>UG-CEN-1208-5533</t>
  </si>
  <si>
    <t>UG-EAS-1511-1115</t>
  </si>
  <si>
    <t>UG-CEN-1304-6092</t>
  </si>
  <si>
    <t>UG-WES-1604-6294</t>
  </si>
  <si>
    <t>UG-WES-1606-6549</t>
  </si>
  <si>
    <t>UG-EAS-1311-5474</t>
  </si>
  <si>
    <t>UG-CEN-1309-5738</t>
  </si>
  <si>
    <t>UG-CEN-1701-5567</t>
  </si>
  <si>
    <t>UG-CEN-1109-5746</t>
  </si>
  <si>
    <t>UG-EAS-1406-1111</t>
  </si>
  <si>
    <t>UG-CEN-1103-780</t>
  </si>
  <si>
    <t>UG-EAS-1606-4428</t>
  </si>
  <si>
    <t>UG-EAS-1212-696</t>
  </si>
  <si>
    <t>UG-CEN-1302-5534</t>
  </si>
  <si>
    <t>UG-WES-1512-4073</t>
  </si>
  <si>
    <t>UG-EAS-1409-5445</t>
  </si>
  <si>
    <t>UG-CEN-1312-6122</t>
  </si>
  <si>
    <t>UG-EAS-1502-5989</t>
  </si>
  <si>
    <t>UG-EAS-1309-6068</t>
  </si>
  <si>
    <t>UG-EAS-1407-783</t>
  </si>
  <si>
    <t>UG-CEN-1511-3356</t>
  </si>
  <si>
    <t>UG-EAS-1409-3341</t>
  </si>
  <si>
    <t>UG-EAS-1106-6659</t>
  </si>
  <si>
    <t>UG-CEN-1304-6069</t>
  </si>
  <si>
    <t>UG-EAS-1206-4200</t>
  </si>
  <si>
    <t>UG-CEN-1402-5977</t>
  </si>
  <si>
    <t>UG-EAS-1510-895</t>
  </si>
  <si>
    <t>UG-EAS-1609-6727</t>
  </si>
  <si>
    <t>UG-EAS-1607-5127</t>
  </si>
  <si>
    <t>UG-EAS-1101-6031</t>
  </si>
  <si>
    <t>UG-EAS-1006-6030</t>
  </si>
  <si>
    <t>UG-CEN-1207-6630</t>
  </si>
  <si>
    <t>UG-CEN-1103-793</t>
  </si>
  <si>
    <t>UG-EAS-1103-5891</t>
  </si>
  <si>
    <t>UG-CEN-1308-6070</t>
  </si>
  <si>
    <t>UG-EAS-1602-5736</t>
  </si>
  <si>
    <t>UG-EAS-1107-1796</t>
  </si>
  <si>
    <t>UG-WES-1208-5540</t>
  </si>
  <si>
    <t>UG-WES-1206-5799</t>
  </si>
  <si>
    <t>UG-WES-1608-626</t>
  </si>
  <si>
    <t>UG-WES-1402-5531</t>
  </si>
  <si>
    <t>UG-EAS-1202-2672</t>
  </si>
  <si>
    <t>UG-WES-1407-5713</t>
  </si>
  <si>
    <t>UG-WES-1311-474</t>
  </si>
  <si>
    <t>UG-EAS-1208-5808</t>
  </si>
  <si>
    <t>UG-EAS-1606-4678</t>
  </si>
  <si>
    <t>UG-WES-1206-5796</t>
  </si>
  <si>
    <t>UG-WES-1212-5608</t>
  </si>
  <si>
    <t>UG-WES-1605-6559</t>
  </si>
  <si>
    <t>UG-WES-1611-636</t>
  </si>
  <si>
    <t>UG-EAS-1211-2001</t>
  </si>
  <si>
    <t>UG-CEN-1104-694</t>
  </si>
  <si>
    <t>UG-CEN-1111-894</t>
  </si>
  <si>
    <t>UG-CEN-1301-5666</t>
  </si>
  <si>
    <t>UG-EAS-1210-5807</t>
  </si>
  <si>
    <t>UG-EAS-1508-4984</t>
  </si>
  <si>
    <t>UG-CEN-1306-5779</t>
  </si>
  <si>
    <t>UG-CEN-1307-6074</t>
  </si>
  <si>
    <t>UG-CEN-1501-104</t>
  </si>
  <si>
    <t>UG-EAS-1305-1140</t>
  </si>
  <si>
    <t>UG-CEN-1302-5613</t>
  </si>
  <si>
    <t>UG-CEN-1409-105</t>
  </si>
  <si>
    <t>UG-CEN-1105-1013</t>
  </si>
  <si>
    <t>UG-EAS-1012-5845</t>
  </si>
  <si>
    <t>UG-WES-1505-3039</t>
  </si>
  <si>
    <t>UG-WES-2210-6784</t>
  </si>
  <si>
    <t>UG-EAS-1402-6045</t>
  </si>
  <si>
    <t>UG-CEN-1111-290</t>
  </si>
  <si>
    <t>UG-EAS-1609-6729</t>
  </si>
  <si>
    <t>UG-EAS-1107-1102</t>
  </si>
  <si>
    <t>UG-CEN-1105-1113</t>
  </si>
  <si>
    <t>UG-EAS-1202-1106</t>
  </si>
  <si>
    <t>UG-EAS-1102-190</t>
  </si>
  <si>
    <t>UG-EAS-1605-1197</t>
  </si>
  <si>
    <t>UG-EAS-1202-6666</t>
  </si>
  <si>
    <t>UG-CEN-1107-1120</t>
  </si>
  <si>
    <t>UG-WES-1512-3419</t>
  </si>
  <si>
    <t>UG-EAS-1509-753</t>
  </si>
  <si>
    <t>UG-EAS-1701-5204</t>
  </si>
  <si>
    <t>UG-EAS-1308-6809</t>
  </si>
  <si>
    <t>UG-CEN-1307-5636</t>
  </si>
  <si>
    <t>UG-CEN-1402-6078</t>
  </si>
  <si>
    <t>UG-EAS-1211-6003</t>
  </si>
  <si>
    <t>UG-EAS-1305-5447</t>
  </si>
  <si>
    <t>UG-EAS-1508-778</t>
  </si>
  <si>
    <t>UG-EAS-1406-755</t>
  </si>
  <si>
    <t>UG-EAS-1605-4349</t>
  </si>
  <si>
    <t>UG-WES-1606-5448</t>
  </si>
  <si>
    <t>UG-EAS-1303-5999</t>
  </si>
  <si>
    <t>UG-EAS-1012-1122</t>
  </si>
  <si>
    <t>UG-EAS-1309-5730</t>
  </si>
  <si>
    <t>UG-EAS-1609-6728</t>
  </si>
  <si>
    <t>UG-EAS-1204-2718</t>
  </si>
  <si>
    <t>UG-EAS-1011-788</t>
  </si>
  <si>
    <t>UG-CEN-1507-350</t>
  </si>
  <si>
    <t>UG-WES-1702-1189</t>
  </si>
  <si>
    <t>UG-WES-1701- 633</t>
  </si>
  <si>
    <t>UG-WES-1305-6142</t>
  </si>
  <si>
    <t>UG-WES-1605-6398</t>
  </si>
  <si>
    <t>UG-WES-1308-5619</t>
  </si>
  <si>
    <t>UG-WES-1304-5906</t>
  </si>
  <si>
    <t>UG-WES-1510-3402</t>
  </si>
  <si>
    <t>UG-WES-1512-3437</t>
  </si>
  <si>
    <t>UG-WES-1901-6796</t>
  </si>
  <si>
    <t>UG-WES-1611-5459</t>
  </si>
  <si>
    <t>UG-WES-1604-6341</t>
  </si>
  <si>
    <t>UG-EAS-1104-1146</t>
  </si>
  <si>
    <t>UG-EAS-1605-3042</t>
  </si>
  <si>
    <t>UG-CEN-1303-6101</t>
  </si>
  <si>
    <t>UG-EAS-1406-697</t>
  </si>
  <si>
    <t>UG-CEN-1502-177</t>
  </si>
  <si>
    <t>UG-EAS-1612-3376</t>
  </si>
  <si>
    <t>UG-CEN-1305-5486</t>
  </si>
  <si>
    <t>UG-EAS-1407-792</t>
  </si>
  <si>
    <t>UG-EAS-1409-3368</t>
  </si>
  <si>
    <t>UG-CEN-1701-6781</t>
  </si>
  <si>
    <t>UG-EAS-1511-4747</t>
  </si>
  <si>
    <t>UG-EAS-1209-5455</t>
  </si>
  <si>
    <t>UG-EAS-1411-732</t>
  </si>
  <si>
    <t>UG-CEN-1908-5957</t>
  </si>
  <si>
    <t>UG-EAS-1305-1149</t>
  </si>
  <si>
    <t>UG-EAS-1305-6674</t>
  </si>
  <si>
    <t>UG-EAS-1606-5123</t>
  </si>
  <si>
    <t>UG-EAS-1701-5141</t>
  </si>
  <si>
    <t>UG-WES-1303-6082</t>
  </si>
  <si>
    <t>UG-CEN-1207-6083</t>
  </si>
  <si>
    <t>UG-CEN-1201-6518</t>
  </si>
  <si>
    <t>UG-CEN-1108-1192</t>
  </si>
  <si>
    <t>UG-EAS-1301-5467</t>
  </si>
  <si>
    <t>UG-EAS-1208-769</t>
  </si>
  <si>
    <t>UG-EAS-1408-786</t>
  </si>
  <si>
    <t>UG-WES-1108-5838</t>
  </si>
  <si>
    <t>UG-CEN-1105-5646</t>
  </si>
  <si>
    <t>UG-EAS-1408-770</t>
  </si>
  <si>
    <t>UG-CEN-1306-6530</t>
  </si>
  <si>
    <t>UG-EAS-1402-6085</t>
  </si>
  <si>
    <t>UG-EAS-1407-791</t>
  </si>
  <si>
    <t>UG-EAS-1212-759</t>
  </si>
  <si>
    <t>UG-EAS-1408-5005</t>
  </si>
  <si>
    <t>UG-EAS-1009-5436</t>
  </si>
  <si>
    <t>UG-EAS-1509-776</t>
  </si>
  <si>
    <t>UG-CEN-1012-1198</t>
  </si>
  <si>
    <t>UG-CEN-1109-5578</t>
  </si>
  <si>
    <t>UG-CEN-1211-5617</t>
  </si>
  <si>
    <t>UG-CEN-1209-5623</t>
  </si>
  <si>
    <t>UG-EAS-1411-1191</t>
  </si>
  <si>
    <t>UG-EAS-1309-1190</t>
  </si>
  <si>
    <t>UG-CEN-1309-6087</t>
  </si>
  <si>
    <t>UG-CEN-1112-1790</t>
  </si>
  <si>
    <t>UG-CEN-1511-3021</t>
  </si>
  <si>
    <t>UG-CEN-1201-5628</t>
  </si>
  <si>
    <t>UG-CEN-1503-181</t>
  </si>
  <si>
    <t>UG-CEN-1901-6795</t>
  </si>
  <si>
    <t>UG-CEN-1402-1793</t>
  </si>
  <si>
    <t>UG-CEN-1105-6811</t>
  </si>
  <si>
    <t>UG-EAS-1409-4180</t>
  </si>
  <si>
    <t>UG-CEN-1704-5102</t>
  </si>
  <si>
    <t>UG-CEN-1109-5649</t>
  </si>
  <si>
    <t>UG-CEN-1307-5917</t>
  </si>
  <si>
    <t>UG-CEN-1309-6089</t>
  </si>
  <si>
    <t>UG-CEN-1105-5645</t>
  </si>
  <si>
    <t>UG-CEN-1402-6090</t>
  </si>
  <si>
    <t>UG-CEN-1208-5629</t>
  </si>
  <si>
    <t>UG-CEN-1109-6812</t>
  </si>
  <si>
    <t>UG-CEN-1209-6093</t>
  </si>
  <si>
    <t>UG-CEN-1211-6094</t>
  </si>
  <si>
    <t>UG-CEN-1305-6284</t>
  </si>
  <si>
    <t>UG-CEN-1008-2666</t>
  </si>
  <si>
    <t>UG-EAS-1406-692</t>
  </si>
  <si>
    <t>UG-CEN-1209-5590</t>
  </si>
  <si>
    <t>UG-CEN-1202-6096</t>
  </si>
  <si>
    <t>UG-WES-1206-5794</t>
  </si>
  <si>
    <t>UG-CEN-1202-5614</t>
  </si>
  <si>
    <t>UG-CEN-2111-5587</t>
  </si>
  <si>
    <t>UG-CEN-1106-6813</t>
  </si>
  <si>
    <t>UG-CEN-1112-2713</t>
  </si>
  <si>
    <t>UG-CEN-1309-5975</t>
  </si>
  <si>
    <t>UG-CEN-1412-106</t>
  </si>
  <si>
    <t>UG-CEN-1304-6097</t>
  </si>
  <si>
    <t>UG-CEN-1002-5580</t>
  </si>
  <si>
    <t>UG-CEN-1112-2689</t>
  </si>
  <si>
    <t>UG-CEN-1211-6095</t>
  </si>
  <si>
    <t>UG-CEN-1208-300</t>
  </si>
  <si>
    <t>UG-CEN-1108-431</t>
  </si>
  <si>
    <t>UG-EAS-1407-731</t>
  </si>
  <si>
    <t>UG-CEN-1105-2721</t>
  </si>
  <si>
    <t>UG-WES-1511-562</t>
  </si>
  <si>
    <t>UG-EAS-1701-5145</t>
  </si>
  <si>
    <t>UG-CEN-1603-212</t>
  </si>
  <si>
    <t>UG-EAS-1702-5226</t>
  </si>
  <si>
    <t>UG-CEN-1206-6117</t>
  </si>
  <si>
    <t>UG-CEN-1712-3355</t>
  </si>
  <si>
    <t>UG-CEN-1402-5509</t>
  </si>
  <si>
    <t>UG-EAS-2003-5411</t>
  </si>
  <si>
    <t>UG-EAS-1206-716</t>
  </si>
  <si>
    <t>UG-EAS-1302-2676</t>
  </si>
  <si>
    <t>UG-EAS-1407-712</t>
  </si>
  <si>
    <t>UG-EAS-1406-698</t>
  </si>
  <si>
    <t>UG-EAS-1407-794</t>
  </si>
  <si>
    <t>UG-EAS-1606-5125</t>
  </si>
  <si>
    <t>UG-EAS-1211-5805</t>
  </si>
  <si>
    <t>UG-EAS-1308-767</t>
  </si>
  <si>
    <t>UG-EAS-1111-5847</t>
  </si>
  <si>
    <t>UG-CEN-1212-6113</t>
  </si>
  <si>
    <t>UG-EAS-1905-6787</t>
  </si>
  <si>
    <t>UG-CEN-1310-6098</t>
  </si>
  <si>
    <t>UG-WES-1605-200</t>
  </si>
  <si>
    <t>UG-EAS-1608-5003</t>
  </si>
  <si>
    <t>UG-CEN-1304-5517</t>
  </si>
  <si>
    <t>UG-CEN-1106-2742</t>
  </si>
  <si>
    <t>UG-EAS-1702-5100</t>
  </si>
  <si>
    <t>UG-CEN-1303-6088</t>
  </si>
  <si>
    <t>UG-CEN-1102-2746</t>
  </si>
  <si>
    <t>UG-CEN-1307-5505</t>
  </si>
  <si>
    <t>UG-EAS-1406-5419</t>
  </si>
  <si>
    <t>UG-CEN-1109-2850</t>
  </si>
  <si>
    <t>UG-EAS-1103-749</t>
  </si>
  <si>
    <t>UG-CEN-1006-6065</t>
  </si>
  <si>
    <t>UG-WES-1510-3974</t>
  </si>
  <si>
    <t>UG-EAS-1410-3340</t>
  </si>
  <si>
    <t>UG-EAS-1508-280</t>
  </si>
  <si>
    <t>UG-CEN-1209-6051</t>
  </si>
  <si>
    <t>UG-EAS-1310-903</t>
  </si>
  <si>
    <t>UG-EAS-1407-764</t>
  </si>
  <si>
    <t>UG-EAS-1402-1131</t>
  </si>
  <si>
    <t>UG-EAS-1107-6814</t>
  </si>
  <si>
    <t>UG-EAS-1611-5135</t>
  </si>
  <si>
    <t>UG-WES-1606-3416</t>
  </si>
  <si>
    <t>UG-CEN-1312-6148</t>
  </si>
  <si>
    <t>UG-CEN-1306-5558</t>
  </si>
  <si>
    <t>UG-CEN-1307-6091</t>
  </si>
  <si>
    <t>UG-CEN-1309-6135</t>
  </si>
  <si>
    <t>UG-CEN-1305-5508</t>
  </si>
  <si>
    <t>UG-CEN-1310-6141</t>
  </si>
  <si>
    <t>UG-CEN-1201-3012</t>
  </si>
  <si>
    <t>UG-CEN-1301-5640</t>
  </si>
  <si>
    <t>UG-EAS-1109-5641</t>
  </si>
  <si>
    <t>UG-CEN-1206-420</t>
  </si>
  <si>
    <t>UG-EAS-1108-5415</t>
  </si>
  <si>
    <t>UG-EAS-1112-5816</t>
  </si>
  <si>
    <t>UG-WES-2102-5583</t>
  </si>
  <si>
    <t>UG-CEN-1201-386</t>
  </si>
  <si>
    <t>UG-EAS-1511-4746</t>
  </si>
  <si>
    <t>UG-CEN-1602-3372</t>
  </si>
  <si>
    <t>UG-EAS-1010-5438</t>
  </si>
  <si>
    <t>UG-CEN-1107-438</t>
  </si>
  <si>
    <t>UG-EAS-1610-5038</t>
  </si>
  <si>
    <t>UG-EAS-1510-4750</t>
  </si>
  <si>
    <t>UG-EAS-1412-5456</t>
  </si>
  <si>
    <t>UG-EAS-1212-1109</t>
  </si>
  <si>
    <t>UG-EAS-1101-1125</t>
  </si>
  <si>
    <t>UG-EAS-1108-5468</t>
  </si>
  <si>
    <t>UG-WES-1606-3411</t>
  </si>
  <si>
    <t>UG-CEN-1401-6271</t>
  </si>
  <si>
    <t>UG-CEN-1602-5377</t>
  </si>
  <si>
    <t>UG-CEN-1402-6277</t>
  </si>
  <si>
    <t>UG-CEN-1305-5579</t>
  </si>
  <si>
    <t>UG-EAS-1409-1130</t>
  </si>
  <si>
    <t>UG-WES-1605-6433</t>
  </si>
  <si>
    <t>UG-EAS-1611-4999</t>
  </si>
  <si>
    <t>UG-WES-1611-5462</t>
  </si>
  <si>
    <t>UG-WES-1509-3819</t>
  </si>
  <si>
    <t>UG-CEN-1006-5581</t>
  </si>
  <si>
    <t>UG-WES-1701-632</t>
  </si>
  <si>
    <t>UG-EAS-1407-740</t>
  </si>
  <si>
    <t>UG-WES-1507-6731</t>
  </si>
  <si>
    <t>UG-NOR-1108-6827</t>
  </si>
  <si>
    <t>UG-EAS-1305-6034</t>
  </si>
  <si>
    <t>UG-CEN-1111-407</t>
  </si>
  <si>
    <t>UG-WES-1302-5500</t>
  </si>
  <si>
    <t>UG-EAS-1309-5451</t>
  </si>
  <si>
    <t>UG-EAS-1412-5452</t>
  </si>
  <si>
    <t>UG-EAS-1402-6297</t>
  </si>
  <si>
    <t>UG-NOR-1401-6299</t>
  </si>
  <si>
    <t>UG-EAS-1301-1151</t>
  </si>
  <si>
    <t>UG-EAS-1402-6315</t>
  </si>
  <si>
    <t>UG-CEN-1310-5769</t>
  </si>
  <si>
    <t>UG-CEN-1510-5753</t>
  </si>
  <si>
    <t>UG-CEN-1301-5563</t>
  </si>
  <si>
    <t>UG-CEN-1008-242</t>
  </si>
  <si>
    <t>UG-CEN-1106-5647</t>
  </si>
  <si>
    <t>UG-WES-1501-227</t>
  </si>
  <si>
    <t>UG-CEN-1112-6815</t>
  </si>
  <si>
    <t>UG-CEN-1105-3033</t>
  </si>
  <si>
    <t>UG-CEN-1302-410</t>
  </si>
  <si>
    <t>UG-CEN-1108-6105</t>
  </si>
  <si>
    <t>UG-WES-1606-5428</t>
  </si>
  <si>
    <t>UG-CEN-1607-256</t>
  </si>
  <si>
    <t>UG-CEN-1011-243</t>
  </si>
  <si>
    <t>UG-EAS-1205-5642</t>
  </si>
  <si>
    <t>UG-EAS-1209-5643</t>
  </si>
  <si>
    <t>UG-EAS-1303-5980</t>
  </si>
  <si>
    <t>UG-CEN-1303-6114</t>
  </si>
  <si>
    <t>UG-CEN-1003-244</t>
  </si>
  <si>
    <t>UG-WES-1304-5706</t>
  </si>
  <si>
    <t>UG-CEN-1311-6347</t>
  </si>
  <si>
    <t>UG-CEN-1108-5644</t>
  </si>
  <si>
    <t>UG-CEN-1106-3045</t>
  </si>
  <si>
    <t>UG-CEN-1004-246</t>
  </si>
  <si>
    <t>UG-EAS-1606-4463</t>
  </si>
  <si>
    <t>UG-CEN-1005-6844</t>
  </si>
  <si>
    <t>UG-WES-1606-3469</t>
  </si>
  <si>
    <t>UG-WES-1306-5672</t>
  </si>
  <si>
    <t>UG-CEN-1106-441</t>
  </si>
  <si>
    <t>UG-CEN-1306-5593</t>
  </si>
  <si>
    <t>UG-EAS-1202-3026</t>
  </si>
  <si>
    <t>UG-WES-1209-5539</t>
  </si>
  <si>
    <t>UG-WES-1408-5550</t>
  </si>
  <si>
    <t>UG-WES-1210-5626</t>
  </si>
  <si>
    <t>UG-WES-1303-5620</t>
  </si>
  <si>
    <t>UG-WES-1207-6249</t>
  </si>
  <si>
    <t>UG-WES-1306-476</t>
  </si>
  <si>
    <t>UG-EAS-1202-2667</t>
  </si>
  <si>
    <t>UG-EAS-1102-5981</t>
  </si>
  <si>
    <t>UG-WES-1604-6316</t>
  </si>
  <si>
    <t>UG-EAS-1401-5878</t>
  </si>
  <si>
    <t>UG-EAS-1303-3479</t>
  </si>
  <si>
    <t>UG-EAS-1411-1259</t>
  </si>
  <si>
    <t>UG-EAS-1307-5406</t>
  </si>
  <si>
    <t>UG-EAS-1205-3474</t>
  </si>
  <si>
    <t>UG-EAS-1201-3013</t>
  </si>
  <si>
    <t>UG-EAS-1301-3017</t>
  </si>
  <si>
    <t>UG-EAS-1310-3009</t>
  </si>
  <si>
    <t>UG-EAS-1108-1792</t>
  </si>
  <si>
    <t>UG-EAS-1205-5998</t>
  </si>
  <si>
    <t>UG-EAS-1410-4178</t>
  </si>
  <si>
    <t>UG-EAS-1409-2736</t>
  </si>
  <si>
    <t>UG-EAS-1411-4184</t>
  </si>
  <si>
    <t>UG-EAS-1302-2732</t>
  </si>
  <si>
    <t>UG-EAS-1106-5862</t>
  </si>
  <si>
    <t>UG-CEN-1703-5571</t>
  </si>
  <si>
    <t>UG-EAS-1210-5986</t>
  </si>
  <si>
    <t>UG-EAS-1408-2674</t>
  </si>
  <si>
    <t>UG-EAS-1412-1196</t>
  </si>
  <si>
    <t>UG-EAS-1303-3752</t>
  </si>
  <si>
    <t>UG-NOR-1312-150</t>
  </si>
  <si>
    <t>UG-EAS-1311-5966</t>
  </si>
  <si>
    <t>UG-EAS-1304-5992</t>
  </si>
  <si>
    <t>UG-EAS-1411-1195</t>
  </si>
  <si>
    <t>UG-EAS-1409-2716</t>
  </si>
  <si>
    <t>UG-EAS-1408-2744</t>
  </si>
  <si>
    <t>UG-EAS-1304-1180</t>
  </si>
  <si>
    <t>UG-EAS-1107-6707</t>
  </si>
  <si>
    <t>UG-EAS-1310-4343</t>
  </si>
  <si>
    <t>UG-EAS-1306-6701</t>
  </si>
  <si>
    <t>UG-EAS-1309-1800</t>
  </si>
  <si>
    <t>UG-EAS-1212-1182</t>
  </si>
  <si>
    <t>UG-EAS-1409-2734</t>
  </si>
  <si>
    <t>UG-EAS-1108-2726</t>
  </si>
  <si>
    <t>UG-NOR-1304-6658</t>
  </si>
  <si>
    <t>UG-NOR-1304-5722</t>
  </si>
  <si>
    <t>UG-EAS-1307-5995</t>
  </si>
  <si>
    <t>UG-NOR-1305-5709</t>
  </si>
  <si>
    <t>UG-NOR-1105-5718</t>
  </si>
  <si>
    <t>UG-NOR-1610-5781</t>
  </si>
  <si>
    <t>UG-EAS-1309-1797</t>
  </si>
  <si>
    <t>UG-EAS-1101-5990</t>
  </si>
  <si>
    <t>UG-EAS-1310-3010</t>
  </si>
  <si>
    <t>UG-EAS-1201-3014</t>
  </si>
  <si>
    <t>UG-NOR-1409-54</t>
  </si>
  <si>
    <t>UG-EAS-1111-2729</t>
  </si>
  <si>
    <t>UG-EAS-1202-3019</t>
  </si>
  <si>
    <t>UG-NOR-1105-189</t>
  </si>
  <si>
    <t>UG-NOR-1410-110</t>
  </si>
  <si>
    <t>UG-NOR-1307-6689</t>
  </si>
  <si>
    <t>UG-EAS-1309-2686</t>
  </si>
  <si>
    <t>UG-NOR-1401-6698</t>
  </si>
  <si>
    <t>UG-EAS-1411-1150</t>
  </si>
  <si>
    <t>UG-EAS-1203-5812</t>
  </si>
  <si>
    <t>UG-EAS-1112-6650</t>
  </si>
  <si>
    <t>UG-EAS-1410-4175</t>
  </si>
  <si>
    <t>UG-EAS-1304-2683</t>
  </si>
  <si>
    <t>UG-EAS-1312-5994</t>
  </si>
  <si>
    <t>UG-NOR-1302-6705</t>
  </si>
  <si>
    <t>UG-EAS-1105-1184</t>
  </si>
  <si>
    <t>UG-EAS-1212-5809</t>
  </si>
  <si>
    <t>UG-EAS-1112-6651</t>
  </si>
  <si>
    <t>UG-EAS-1309-2675</t>
  </si>
  <si>
    <t>UG-EAS-1301-3018</t>
  </si>
  <si>
    <t>UG-EAS-1201-5811</t>
  </si>
  <si>
    <t>UG-EAS-1207-6719</t>
  </si>
  <si>
    <t>UG-EAS-1202-3485</t>
  </si>
  <si>
    <t>UG-EAS-1410-728</t>
  </si>
  <si>
    <t>UG-NOR-1306-146</t>
  </si>
  <si>
    <t>UG-NOR-1304-187</t>
  </si>
  <si>
    <t>UG-NOR-1209-5686</t>
  </si>
  <si>
    <t>UG-NOR-1306-5699</t>
  </si>
  <si>
    <t>UG-CEN-1008-248</t>
  </si>
  <si>
    <t>UG-CEN-1401-6710</t>
  </si>
  <si>
    <t>UG-EAS-1309-3011</t>
  </si>
  <si>
    <t>UG-EAS-1310-3008</t>
  </si>
  <si>
    <t>UG-EAS-1204-2677</t>
  </si>
  <si>
    <t>UG-EAS-1404-3401</t>
  </si>
  <si>
    <t>UG-EAS-1111-5407</t>
  </si>
  <si>
    <t>UG-EAS-1409-2715</t>
  </si>
  <si>
    <t>UG-NOR-1307-6711</t>
  </si>
  <si>
    <t>UG-NOR-1206-5716</t>
  </si>
  <si>
    <t>UG-EAS-1110-6007</t>
  </si>
  <si>
    <t>UG-NOR-1312-6712</t>
  </si>
  <si>
    <t>UG-EAS-1307-4163</t>
  </si>
  <si>
    <t>UG-EAS-1308-5144</t>
  </si>
  <si>
    <t>UG-EAS-1205-5861</t>
  </si>
  <si>
    <t>UG-NOR-1307-6713</t>
  </si>
  <si>
    <t>UG-EAS-1308-1132</t>
  </si>
  <si>
    <t>UG-EAS-1201-3020</t>
  </si>
  <si>
    <t>UG-EAS-1111-3005</t>
  </si>
  <si>
    <t>UG-EAS-1408-2743</t>
  </si>
  <si>
    <t>UG-EAS-1305-6706</t>
  </si>
  <si>
    <t>UG-EAS-1604-5119</t>
  </si>
  <si>
    <t>UG-EAS-1203-2685</t>
  </si>
  <si>
    <t>UG-EAS-1111-4188</t>
  </si>
  <si>
    <t>UG-EAS-1303-5417</t>
  </si>
  <si>
    <t>UG-EAS-1109-3490</t>
  </si>
  <si>
    <t>UG-NOR-1204-5720</t>
  </si>
  <si>
    <t>UG-EAS-1202-3491</t>
  </si>
  <si>
    <t>UG-EAS-1409-4182</t>
  </si>
  <si>
    <t>UG-NOR-1411-111</t>
  </si>
  <si>
    <t>UG-NOR-1401-6716</t>
  </si>
  <si>
    <t>UG-EAS-1106-3028</t>
  </si>
  <si>
    <t>UG-EAS-1202-3492</t>
  </si>
  <si>
    <t>UG-EAS-1308-5965</t>
  </si>
  <si>
    <t>UG-NOR-1206-5650</t>
  </si>
  <si>
    <t>UG-NOR-1312-101</t>
  </si>
  <si>
    <t>UG-EAS-1308-5142</t>
  </si>
  <si>
    <t>UG-EAS-1410-3500</t>
  </si>
  <si>
    <t>UG-EAS-1410-143</t>
  </si>
  <si>
    <t>UG-EAS-1409-3498</t>
  </si>
  <si>
    <t>UG-EAS-1811-6780</t>
  </si>
  <si>
    <t>UG-NOR-1401-5715</t>
  </si>
  <si>
    <t>UG-EAS-1104-6632</t>
  </si>
  <si>
    <t>UG-EAS-1109-5323</t>
  </si>
  <si>
    <t>UG-EAS-1109-3488</t>
  </si>
  <si>
    <t>UG-CEN-1401-6511</t>
  </si>
  <si>
    <t>UG-EAS-1212-2738</t>
  </si>
  <si>
    <t>UG-EAS-1305-3481</t>
  </si>
  <si>
    <t>UG-EAS-1411-1144</t>
  </si>
  <si>
    <t>UG-NOR-1306-145</t>
  </si>
  <si>
    <t>UG-WES-1207-6268</t>
  </si>
  <si>
    <t>UG-NOR-1201-5675</t>
  </si>
  <si>
    <t>UG-EAS-1201-2684</t>
  </si>
  <si>
    <t>UG-EAS-1309-2680</t>
  </si>
  <si>
    <t>UG-NOR-1402-6717</t>
  </si>
  <si>
    <t>UG-NOR-1305-5677</t>
  </si>
  <si>
    <t>UG-EAS-1201-2719</t>
  </si>
  <si>
    <t>UG-EAS-1201-4197</t>
  </si>
  <si>
    <t>UG-EAS-1411-1194</t>
  </si>
  <si>
    <t>UG-EAS-1311-3007</t>
  </si>
  <si>
    <t>UG-EAS-1311-4183</t>
  </si>
  <si>
    <t>UG-CEN-1202-5932</t>
  </si>
  <si>
    <t>UG-CEN-1610-5569</t>
  </si>
  <si>
    <t>UG-NOR-1512-3023</t>
  </si>
  <si>
    <t>UG-WES-1308-463</t>
  </si>
  <si>
    <t>UG-CEN-1307-5928</t>
  </si>
  <si>
    <t>UG-CEN-1106-5761</t>
  </si>
  <si>
    <t>UG-WES-1104-5665</t>
  </si>
  <si>
    <t>UG-NOR-1306-5694</t>
  </si>
  <si>
    <t>UG-WES-1304-496</t>
  </si>
  <si>
    <t>UG-WES-1208-485</t>
  </si>
  <si>
    <t>UG-CEN-1104-3424</t>
  </si>
  <si>
    <t>UG-WES-1302-5536</t>
  </si>
  <si>
    <t>UG-CEN-1106-5589</t>
  </si>
  <si>
    <t>UG-CEN-1208-5914</t>
  </si>
  <si>
    <t>UG-EAS-1402-5758</t>
  </si>
  <si>
    <t>UG-EAS-1303-4195</t>
  </si>
  <si>
    <t>UG-CEN-1109-3482</t>
  </si>
  <si>
    <t>UG-CEN-1003-6071</t>
  </si>
  <si>
    <t>UG-EAS-1105-4448</t>
  </si>
  <si>
    <t>UG-CEN-1208-414</t>
  </si>
  <si>
    <t>UG-WES-1406-6123</t>
  </si>
  <si>
    <t>UG-CEN-1309-5911</t>
  </si>
  <si>
    <t>UG-EAS-1011-5439</t>
  </si>
  <si>
    <t>UG-NOR-1308-6721</t>
  </si>
  <si>
    <t>UG-CEN-1312-3496</t>
  </si>
  <si>
    <t>UG-WES-1102-5535</t>
  </si>
  <si>
    <t>UG-WES-1012-3495</t>
  </si>
  <si>
    <t>UG-WES-1402-5610</t>
  </si>
  <si>
    <t>UG-WES-1308-5883</t>
  </si>
  <si>
    <t>UG-WES-1107-5810</t>
  </si>
  <si>
    <t>UG-CEN-2110-5588</t>
  </si>
  <si>
    <t>UG-WES-1010-643</t>
  </si>
  <si>
    <t>UG-WES-1304-5507</t>
  </si>
  <si>
    <t>UG-CEN-1109-544</t>
  </si>
  <si>
    <t>UG-WES-1305-5828</t>
  </si>
  <si>
    <t>UG-WES-1011-5854</t>
  </si>
  <si>
    <t>UG-WES-1309-6290</t>
  </si>
  <si>
    <t>UG-WES-1105-5788</t>
  </si>
  <si>
    <t>UG-WES-1607-5430</t>
  </si>
  <si>
    <t>UG-WES-1606-5426</t>
  </si>
  <si>
    <t>UG-WES-1605-6345</t>
  </si>
  <si>
    <t>UG-WES-1306-5791</t>
  </si>
  <si>
    <t>UG-WES-1702-1185</t>
  </si>
  <si>
    <t>UG-WES-1302-5537</t>
  </si>
  <si>
    <t>UG-WES-1601-3431</t>
  </si>
  <si>
    <t>UG-WES-1006-5908</t>
  </si>
  <si>
    <t>UG-WES-1605-6387</t>
  </si>
  <si>
    <t>UG-WES-1306-5793</t>
  </si>
  <si>
    <t>UG-WES-1012-5687</t>
  </si>
  <si>
    <t>UG-WES-1302-5487</t>
  </si>
  <si>
    <t>UG-WES-1004-6823</t>
  </si>
  <si>
    <t>UG-WES-1407-539</t>
  </si>
  <si>
    <t>UG-EAS-1207-2731</t>
  </si>
  <si>
    <t>UG-EAS-1702-5740</t>
  </si>
  <si>
    <t>UG-WES-1402-5887</t>
  </si>
  <si>
    <t>UG-NOR-1304-6015</t>
  </si>
  <si>
    <t>UG-NOR-1304-6017</t>
  </si>
  <si>
    <t>UG-CEN-1104-5599</t>
  </si>
  <si>
    <t>UG-EAS-1104-6043</t>
  </si>
  <si>
    <t>UG-EAS-1209-782</t>
  </si>
  <si>
    <t>UG-EAS-1508-282</t>
  </si>
  <si>
    <t>UG-WES-1307-465</t>
  </si>
  <si>
    <t>UG-WES-1308-475</t>
  </si>
  <si>
    <t>UG-EAS-1608-5128</t>
  </si>
  <si>
    <t>UG-WES-1205-6147</t>
  </si>
  <si>
    <t>UG-CEN-1004-249</t>
  </si>
  <si>
    <t>UG-CEN-1206-6828</t>
  </si>
  <si>
    <t>UG-WES-1407-538</t>
  </si>
  <si>
    <t>UG-CEN-1301-561</t>
  </si>
  <si>
    <t>UG-CEN-1311-6723</t>
  </si>
  <si>
    <t>UG-CEN-1210-5655</t>
  </si>
  <si>
    <t>UG-CEN-1209-6724</t>
  </si>
  <si>
    <t>UG-EAS-1410-2745</t>
  </si>
  <si>
    <t>UG-CEN-1306-6280</t>
  </si>
  <si>
    <t>UG-CEN-1601-3370</t>
  </si>
  <si>
    <t>UG-CEN-1302-5624</t>
  </si>
  <si>
    <t>UG-CEN-1212-6292</t>
  </si>
  <si>
    <t>UG-CEN-1201-3548</t>
  </si>
  <si>
    <t>UG-CEN-1202-5631</t>
  </si>
  <si>
    <t>UG-CEN-1309-6287</t>
  </si>
  <si>
    <t>UG-CEN-1601-471</t>
  </si>
  <si>
    <t>UG-EAS-1606-4991</t>
  </si>
  <si>
    <t>UG-WES-1207-6270</t>
  </si>
  <si>
    <t>UG-CEN-1308-5732</t>
  </si>
  <si>
    <t>UG-CEN-1207-5526</t>
  </si>
  <si>
    <t>UG-CEN-1010-250</t>
  </si>
  <si>
    <t>UG-CEN-1204-5658</t>
  </si>
  <si>
    <t>UG-EAS-1407-798</t>
  </si>
  <si>
    <t>UG-CEN-1212-5491</t>
  </si>
  <si>
    <t>UG-CEN-1306-6281</t>
  </si>
  <si>
    <t>UG-CEN-1512-469</t>
  </si>
  <si>
    <t>UG-CEN-1005-5924</t>
  </si>
  <si>
    <t>UG-CEN-1402-6733</t>
  </si>
  <si>
    <t>UG-WES-1107-530</t>
  </si>
  <si>
    <t>UG-CEN-1210-6116</t>
  </si>
  <si>
    <t>UG-CEN-1009-251</t>
  </si>
  <si>
    <t>UG-EAS-1407-678</t>
  </si>
  <si>
    <t>UG-EAS-1401-5423</t>
  </si>
  <si>
    <t>UG-NOR-1307-5701</t>
  </si>
  <si>
    <t>UG-EAS-1502-2714</t>
  </si>
  <si>
    <t>UG-WES-1307-5532</t>
  </si>
  <si>
    <t>UG-CEN-1108-5925</t>
  </si>
  <si>
    <t>UG-WES-1106-467</t>
  </si>
  <si>
    <t>UG-EAS-1306-5848</t>
  </si>
  <si>
    <t>UG-CEN-1010-5653</t>
  </si>
  <si>
    <t>UG-CEN-1112-6084</t>
  </si>
  <si>
    <t>UG-CEN-1603-3034</t>
  </si>
  <si>
    <t>UG-CEN-2007-3373</t>
  </si>
  <si>
    <t>UG-EAS-1204-3494</t>
  </si>
  <si>
    <t>UG-EAS-1410-3029</t>
  </si>
  <si>
    <t>UG-EAS-1110-6708</t>
  </si>
  <si>
    <t>UG-CEN-1311-6734</t>
  </si>
  <si>
    <t>UG-EAS-1111-5984</t>
  </si>
  <si>
    <t>UG-EAS-1201-5815</t>
  </si>
  <si>
    <t>UG-EAS-1202-1166</t>
  </si>
  <si>
    <t>UG-CEN-1311-6289</t>
  </si>
  <si>
    <t>UG-CEN-1112-4171</t>
  </si>
  <si>
    <t>UG-CEN-1107-4174</t>
  </si>
  <si>
    <t>UG-CEN-1301-5480</t>
  </si>
  <si>
    <t>UG-CEN-1305-6722</t>
  </si>
  <si>
    <t>UG-CEN-1108-5108</t>
  </si>
  <si>
    <t>UG-EAS-1308-817</t>
  </si>
  <si>
    <t>UG-CEN-1402-423</t>
  </si>
  <si>
    <t>UG-CEN-1110-435</t>
  </si>
  <si>
    <t>UG-CEN-1106-6798</t>
  </si>
  <si>
    <t>UG-CEN-1108-278</t>
  </si>
  <si>
    <t>UG-CEN-1611-5568</t>
  </si>
  <si>
    <t>UG-CEN-1108-430</t>
  </si>
  <si>
    <t>UG-CEN-1108-677</t>
  </si>
  <si>
    <t>UG-CEN-1312-6196</t>
  </si>
  <si>
    <t>UG-CEN-1104-4196</t>
  </si>
  <si>
    <t>UG-CEN-1304-422</t>
  </si>
  <si>
    <t>UG-CEN-1507-3345</t>
  </si>
  <si>
    <t>UG-CEN-1309-6725</t>
  </si>
  <si>
    <t>UG-CEN-1005-5591</t>
  </si>
  <si>
    <t>UG-CEN-1308-6131</t>
  </si>
  <si>
    <t>UG-CEN-1106-5560</t>
  </si>
  <si>
    <t>UG-CEN-1305-5493</t>
  </si>
  <si>
    <t>UG-CEN-1303-6736</t>
  </si>
  <si>
    <t>UG-CEN-1308-310</t>
  </si>
  <si>
    <t>UG-CEN-1312-6737</t>
  </si>
  <si>
    <t>UG-CEN-1006-238</t>
  </si>
  <si>
    <t>UG-CEN-1601-183</t>
  </si>
  <si>
    <t>UG-CEN-1603-402</t>
  </si>
  <si>
    <t>UG-CEN-1308-6052</t>
  </si>
  <si>
    <t>UG-CEN-1309-5950</t>
  </si>
  <si>
    <t>UG-WES-1507-382</t>
  </si>
  <si>
    <t>UG-WES-1103-5681</t>
  </si>
  <si>
    <t>UG-CEN-1505-378</t>
  </si>
  <si>
    <t>UG-EAS-1509-4938</t>
  </si>
  <si>
    <t>UG-WES-1307-454</t>
  </si>
  <si>
    <t>UG-EAS-1610-4420</t>
  </si>
  <si>
    <t>UG-EAS-1311-685</t>
  </si>
  <si>
    <t>UG-EAS-1510-4937</t>
  </si>
  <si>
    <t>UG-EAS-1306-6010</t>
  </si>
  <si>
    <t>UG-CEN-1601-3022</t>
  </si>
  <si>
    <t>UG-EAS-1006-669</t>
  </si>
  <si>
    <t>UG-WES-1406-453</t>
  </si>
  <si>
    <t>UG-WES-1006-556</t>
  </si>
  <si>
    <t>UG-CEN-1102-5657</t>
  </si>
  <si>
    <t>UG-WES-1202-5853</t>
  </si>
  <si>
    <t>UG-WES-1401-5821</t>
  </si>
  <si>
    <t>UG-WES-1602-4159</t>
  </si>
  <si>
    <t>UG-WES-1105-5864</t>
  </si>
  <si>
    <t>UG-WES-1605-6342</t>
  </si>
  <si>
    <t>UG-CEN-1610-257</t>
  </si>
  <si>
    <t>UG-WES-1104-5896</t>
  </si>
  <si>
    <t>UG-NOR-1401-6741</t>
  </si>
  <si>
    <t>UG-WES-1109-494</t>
  </si>
  <si>
    <t>UG-NOR-1311-5684</t>
  </si>
  <si>
    <t>UG-CEN-1110-263</t>
  </si>
  <si>
    <t>UG-EAS-1510-4451</t>
  </si>
  <si>
    <t>UG-CEN-1111-4340</t>
  </si>
  <si>
    <t>UG-WES-1305-6273</t>
  </si>
  <si>
    <t>UG-CEN-1603-203</t>
  </si>
  <si>
    <t>UG-WES-1307-5555</t>
  </si>
  <si>
    <t>UG-WES-1402-5494</t>
  </si>
  <si>
    <t>UG-WES-1209-5900</t>
  </si>
  <si>
    <t>UG-EAS-1211-5820</t>
  </si>
  <si>
    <t>UG-WES-1109-5844</t>
  </si>
  <si>
    <t>UG-WES-1510-3383</t>
  </si>
  <si>
    <t>UG-WES-1604-6449</t>
  </si>
  <si>
    <t>UG-CEN-1301-5564</t>
  </si>
  <si>
    <t>UG-WES-1606-5427</t>
  </si>
  <si>
    <t>UG-WES-1812-6782</t>
  </si>
  <si>
    <t>UG-WES-1606-6575</t>
  </si>
  <si>
    <t>UG-CEN-1008-4418</t>
  </si>
  <si>
    <t>UG-WES-1306-5790</t>
  </si>
  <si>
    <t>UG-WES-1307-5817</t>
  </si>
  <si>
    <t>UG-WES-1606-623</t>
  </si>
  <si>
    <t>UG-WES-1304-5826</t>
  </si>
  <si>
    <t>UG-WES-1604-6450</t>
  </si>
  <si>
    <t>UG-WES-1307-5813</t>
  </si>
  <si>
    <t>UG-WES-1605-6295</t>
  </si>
  <si>
    <t>UG-WES-1312-5823</t>
  </si>
  <si>
    <t>UG-WES-1306-5543</t>
  </si>
  <si>
    <t>UG-WES-1006-558</t>
  </si>
  <si>
    <t>UG-CEN-1312-5785</t>
  </si>
  <si>
    <t>UG-CEN-1105-5767</t>
  </si>
  <si>
    <t>UG-WES-1006-557</t>
  </si>
  <si>
    <t>UG-CEN-1308-6061</t>
  </si>
  <si>
    <t>UG-WES-1601-3454</t>
  </si>
  <si>
    <t>UG-WES-1905-6732</t>
  </si>
  <si>
    <t>UG-CEN-1203-5777</t>
  </si>
  <si>
    <t>UG-WES-2211-011006</t>
  </si>
  <si>
    <t>UG-EAS-1309-2678</t>
  </si>
  <si>
    <t>UG-EAS-1406-784</t>
  </si>
  <si>
    <t>UG-EAS-1508-687</t>
  </si>
  <si>
    <t>UG-EAS-1106-6020</t>
  </si>
  <si>
    <t>UG-EAS-1110-3044</t>
  </si>
  <si>
    <t>UG-EAS-1211-5477</t>
  </si>
  <si>
    <t>UG-EAS-1101-1123</t>
  </si>
  <si>
    <t>UG-EAS-1306-1142</t>
  </si>
  <si>
    <t>UG-EAS-1012-5463</t>
  </si>
  <si>
    <t>UG-EAS-1008-2368</t>
  </si>
  <si>
    <t>UG-EAS-1206-2209</t>
  </si>
  <si>
    <t>UG-EAS-1110-5852</t>
  </si>
  <si>
    <t>UG-EAS-1310-5824</t>
  </si>
  <si>
    <t>UG-EAS-1611-5136</t>
  </si>
  <si>
    <t>UG-EAS-1407-1105</t>
  </si>
  <si>
    <t>UG-CEN-1212-5450</t>
  </si>
  <si>
    <t>UG-EAS-1510-5115</t>
  </si>
  <si>
    <t>UG-EAS-1406-757</t>
  </si>
  <si>
    <t>UG-EAS-1408-1791</t>
  </si>
  <si>
    <t>UG-EAS-1212-5859</t>
  </si>
  <si>
    <t>UG-EAS-1606-4744</t>
  </si>
  <si>
    <t>UG-EAS-1611-5137</t>
  </si>
  <si>
    <t>UG-EAS-1410-5464</t>
  </si>
  <si>
    <t>UG-CEN-1310-6743</t>
  </si>
  <si>
    <t>UG-EAS-1609- 5037</t>
  </si>
  <si>
    <t>UG-EAS-1610-5093</t>
  </si>
  <si>
    <t>UG-EAS-1611-5095</t>
  </si>
  <si>
    <t>UG-EAS-1304-5879</t>
  </si>
  <si>
    <t>UG-EAS-1411-5446</t>
  </si>
  <si>
    <t>UG-EAS-1611-5138</t>
  </si>
  <si>
    <t>UG-EAS-1206-6023</t>
  </si>
  <si>
    <t>UG-EAS-1702-5234</t>
  </si>
  <si>
    <t>UG-CEN-1307-6104</t>
  </si>
  <si>
    <t>UG-CEN-1311-6744</t>
  </si>
  <si>
    <t>UG-CEN-1104-4972</t>
  </si>
  <si>
    <t>UG-EAS-1205-5465</t>
  </si>
  <si>
    <t>UG-EAS-1412-5453</t>
  </si>
  <si>
    <t>UG-EAS-1211-808</t>
  </si>
  <si>
    <t>UG-CEN-1212-5659</t>
  </si>
  <si>
    <t>UG-WES-1012-30</t>
  </si>
  <si>
    <t>UG-CEN-1105-6816</t>
  </si>
  <si>
    <t>UG-EAS-1111-6720</t>
  </si>
  <si>
    <t>UG-EAS-1408-676</t>
  </si>
  <si>
    <t>UG-EAS-1106-2668</t>
  </si>
  <si>
    <t>UG-EAS-1610-5092</t>
  </si>
  <si>
    <t>UG-EAS-1406-684</t>
  </si>
  <si>
    <t>UG-EAS-1407-766</t>
  </si>
  <si>
    <t>UG-EAS-1308-781</t>
  </si>
  <si>
    <t>UG-EAS-1609-5002</t>
  </si>
  <si>
    <t>UG-EAS-1009-5470</t>
  </si>
  <si>
    <t>UG-EAS-1610-5051</t>
  </si>
  <si>
    <t>UG-EAS-1109-2670</t>
  </si>
  <si>
    <t>UG-EAS-1309-2735</t>
  </si>
  <si>
    <t>UG-EAS-1011-5475</t>
  </si>
  <si>
    <t>UG-EAS-1212-790</t>
  </si>
  <si>
    <t>UG-EAS-1407-765</t>
  </si>
  <si>
    <t>UG-EAS-1012-6810</t>
  </si>
  <si>
    <t>UG-CEN-1509-193</t>
  </si>
  <si>
    <t>UG-EAS-1105-6029</t>
  </si>
  <si>
    <t>UG-EAS-1312-5471</t>
  </si>
  <si>
    <t>UG-EAS-1006-5971</t>
  </si>
  <si>
    <t>UG-EAS-1111-5803</t>
  </si>
  <si>
    <t>UG-EAS-1308-5422</t>
  </si>
  <si>
    <t>UG-EAS-1111-4995</t>
  </si>
  <si>
    <t>UG-EAS-1510-896</t>
  </si>
  <si>
    <t>UG-EAS-1610-5131</t>
  </si>
  <si>
    <t>UG-EAS-1511-1010</t>
  </si>
  <si>
    <t>UG-EAS-1106-5898</t>
  </si>
  <si>
    <t>UG-EAS-1410-787</t>
  </si>
  <si>
    <t>UG-EAS-1109-5881</t>
  </si>
  <si>
    <t>UG-EAS-1202-6817</t>
  </si>
  <si>
    <t>UG-EAS-1611-5139</t>
  </si>
  <si>
    <t>UG-EAS-1301-2681</t>
  </si>
  <si>
    <t>UG-EAS-1510-1119</t>
  </si>
  <si>
    <t>UG-EAS-1402-5797</t>
  </si>
  <si>
    <t>UG-EAS-1305-5850</t>
  </si>
  <si>
    <t>UG-EAS-1402-6704</t>
  </si>
  <si>
    <t>UG-EAS-1606-4743</t>
  </si>
  <si>
    <t>UG-CEN-1608-497</t>
  </si>
  <si>
    <t>UG-EAS-1606-4990</t>
  </si>
  <si>
    <t>UG-EAS-1407-683</t>
  </si>
  <si>
    <t>UG-EAS-1704-5103</t>
  </si>
  <si>
    <t>UG-EAS-1210-5804</t>
  </si>
  <si>
    <t>UG-EAS-1101-891</t>
  </si>
  <si>
    <t>UG-EAS-1012-5472</t>
  </si>
  <si>
    <t>UG-CEN-1211-5663</t>
  </si>
  <si>
    <t>UG-CEN-1402-6745</t>
  </si>
  <si>
    <t>UG-EAS-1407-2733</t>
  </si>
  <si>
    <t>UG-EAS-1305-1199</t>
  </si>
  <si>
    <t>UG-EAS-1402-5431</t>
  </si>
  <si>
    <t>UG-EAS-1301-5473</t>
  </si>
  <si>
    <t>UG-EAS-1106-1795</t>
  </si>
  <si>
    <t>UG-EAS-1409-5444</t>
  </si>
  <si>
    <t>UG-CEN-1506-380</t>
  </si>
  <si>
    <t>UG-EAS-1611-5094</t>
  </si>
  <si>
    <t>UG-EAS-1605-4982</t>
  </si>
  <si>
    <t>UG-EAS-1508-688</t>
  </si>
  <si>
    <t>UG-EAS-1102-5876</t>
  </si>
  <si>
    <t>UG-EAS-1211-6709</t>
  </si>
  <si>
    <t>UG-EAS-1508-690</t>
  </si>
  <si>
    <t>UG-EAS-1610-5031</t>
  </si>
  <si>
    <t>UG-EAS-1609-5000</t>
  </si>
  <si>
    <t>UG-EAS-1111-5893</t>
  </si>
  <si>
    <t>UG-CEN-1506-375</t>
  </si>
  <si>
    <t>UG-EAS-1606-4992</t>
  </si>
  <si>
    <t>UG-CEN-1301-5634</t>
  </si>
  <si>
    <t>UG-NOR-1307-5700</t>
  </si>
  <si>
    <t>UG-CEN-1402-6086</t>
  </si>
  <si>
    <t>UG-CEN-1312-6735</t>
  </si>
  <si>
    <t>UG-WES-1301-6146</t>
  </si>
  <si>
    <t>UG-EAS-1702-5743</t>
  </si>
  <si>
    <t>UG-EAS-1210-5802</t>
  </si>
  <si>
    <t>UG-EAS-1205-5806</t>
  </si>
  <si>
    <t>UG-EAS-1309-5454</t>
  </si>
  <si>
    <t>UG-EAS-1009-6818</t>
  </si>
  <si>
    <t>UG-WES-1207-6140</t>
  </si>
  <si>
    <t>UG-WES-1208-484</t>
  </si>
  <si>
    <t>UG-CEN-1507-383</t>
  </si>
  <si>
    <t>UG-WES-1211-6278</t>
  </si>
  <si>
    <t>UG-CEN-1208-6056</t>
  </si>
  <si>
    <t>UG-EAS-1207-1152</t>
  </si>
  <si>
    <t>UG-EAS-1407-892</t>
  </si>
  <si>
    <t>UG-WES-1209-638</t>
  </si>
  <si>
    <t>UG-CEN-1303-5673</t>
  </si>
  <si>
    <t>UG-CEN-1107-5110</t>
  </si>
  <si>
    <t>UG-CEN-1108-5112</t>
  </si>
  <si>
    <t>Formula applied</t>
  </si>
  <si>
    <t>Ex-ante calculation</t>
  </si>
  <si>
    <t>n</t>
  </si>
  <si>
    <t>n (round up)</t>
  </si>
  <si>
    <t>minimum sample size</t>
  </si>
  <si>
    <t>parameter of interest</t>
  </si>
  <si>
    <t>level of prevision</t>
  </si>
  <si>
    <t>Confidence interval</t>
  </si>
  <si>
    <t>=95% of the normal distrubtion</t>
  </si>
  <si>
    <t>Ex-post calculation</t>
  </si>
  <si>
    <t>p</t>
  </si>
  <si>
    <t>ex-post usage rate</t>
  </si>
  <si>
    <t>Actual sample size</t>
  </si>
  <si>
    <t>smaller than ex-post estimate?</t>
  </si>
  <si>
    <t>Conclusion</t>
  </si>
  <si>
    <t>projected usage rate</t>
  </si>
  <si>
    <t>actual sample size, survey consultant randomly selected 400 with the aim to get 180</t>
  </si>
  <si>
    <t>Number of households</t>
  </si>
  <si>
    <t>ton NRB saved</t>
  </si>
  <si>
    <t>Plant Code</t>
  </si>
  <si>
    <t>Survey Date &amp; Start Time</t>
  </si>
  <si>
    <t>Name of Enumerator</t>
  </si>
  <si>
    <t>Are you willing to be interviwed?</t>
  </si>
  <si>
    <t>GPS Coordinates latitude and longitude</t>
  </si>
  <si>
    <t>GPS Coordinates altitude</t>
  </si>
  <si>
    <t>GPS Coordinates accuracy</t>
  </si>
  <si>
    <t>Position in household</t>
  </si>
  <si>
    <t>Other position in the house, describe(ensure that person is using biogas and is acquainted with feeding)</t>
  </si>
  <si>
    <t>Name of Respondent</t>
  </si>
  <si>
    <t>Phone number of respondent</t>
  </si>
  <si>
    <t>Respondent Gender (record without asking)</t>
  </si>
  <si>
    <t>Do you have a biodigester?</t>
  </si>
  <si>
    <t>Is your biodigester working?</t>
  </si>
  <si>
    <t>What are the main uses of biogas? (Circle all that apply)</t>
  </si>
  <si>
    <t>Domestic use of Biogas</t>
  </si>
  <si>
    <t>Productive use of Biogas</t>
  </si>
  <si>
    <t>Specify other main uses of Biogas</t>
  </si>
  <si>
    <t>Since purchasing the biodigester, how has your expenditure on fuel for cooking changed? It has: (circle one)</t>
  </si>
  <si>
    <t>If your expenditure has increased, what is the reason for the increase?</t>
  </si>
  <si>
    <t>Compared to before having a biodigester, how much do you now save on fuel for cooking and boiling water per month(Local currency/day).</t>
  </si>
  <si>
    <t>Amount saved on fuel for cooking and boiling water per month(Local currency/day) Compared to before having a biodigester</t>
  </si>
  <si>
    <t>What do you do with the slurry from your biogas plant and what percentage is involved? (select all that apply. The percentages should all total up to 100%)</t>
  </si>
  <si>
    <t>% Use directly for various purposes</t>
  </si>
  <si>
    <t>If you used it directly, what do you do with it? (Select all options that apply)</t>
  </si>
  <si>
    <t>% Fertilizer</t>
  </si>
  <si>
    <t>% bioslurry used as Insecticide/Pesticide</t>
  </si>
  <si>
    <t>% of Bioslurry used as animal feed</t>
  </si>
  <si>
    <t>% of Bioslurry sold</t>
  </si>
  <si>
    <t>% used other way(if used directly)</t>
  </si>
  <si>
    <t>% Store it first</t>
  </si>
  <si>
    <t>If Bioslurry is stored, how do you store it and what percentage do you store? (Select all that apply) The percentages must total up to 100%)</t>
  </si>
  <si>
    <t>% Uncovered lagoon greater than 1 meter</t>
  </si>
  <si>
    <t>Uncovered lagoon (black watery mass) &lt;1 meter</t>
  </si>
  <si>
    <t>% Liquid slurry (brown porridge type)</t>
  </si>
  <si>
    <t>% Solid storage</t>
  </si>
  <si>
    <t>% Sun drying</t>
  </si>
  <si>
    <t>% Composting with a roof</t>
  </si>
  <si>
    <t>% Composting without a roof</t>
  </si>
  <si>
    <t>How long do you store bio-slurry in that storage system before using it?(days)</t>
  </si>
  <si>
    <t>% I donâ€™t use it / discarded</t>
  </si>
  <si>
    <t>% Other use of bioslurry(What do you do with the slurry from your biodigester )</t>
  </si>
  <si>
    <t>% Other (specify)(If you use bioslurry directly)</t>
  </si>
  <si>
    <t>After storage,what do you do with it?</t>
  </si>
  <si>
    <t>% used as fertilizer after storage</t>
  </si>
  <si>
    <t>% used as as an insecticide/pesticide after storage</t>
  </si>
  <si>
    <t>% used as animal feed after storage</t>
  </si>
  <si>
    <t>% Bioslurry sold after storage</t>
  </si>
  <si>
    <t>% used in other way after storage</t>
  </si>
  <si>
    <t>How much land do you own?(If respondent is not hesitating to answer write No of hectare/if hesitant to answer write no answer)</t>
  </si>
  <si>
    <t>Do you use bio-slurry as fertilizer on your land</t>
  </si>
  <si>
    <t>If yes, on what proportion of the land do you use bio-slurry(% of all land in use)</t>
  </si>
  <si>
    <t>If you use Bio-slurry for fertiliser what type of crop(s) do you mainly apply it to?</t>
  </si>
  <si>
    <t>If you use bioslurry as fertilizer, how do you feel the yields of your main crops have changed since you started applying slurry?</t>
  </si>
  <si>
    <t>If you use Bio-slurry for fertiliser, how long have you applied it (months).</t>
  </si>
  <si>
    <t>Were you using any other type of fertilizer before bio-slurry?</t>
  </si>
  <si>
    <t>If yes, what kind of fertilizer were you using before bio-slurry? (Tick all that apply)</t>
  </si>
  <si>
    <t>If yes,other kind of fertilizer were you using before bio-slurry?</t>
  </si>
  <si>
    <t>Apart from Bioslurry do you currently use any other fertiliser?</t>
  </si>
  <si>
    <t>(Currently)If Yes, what kind of fertilizer do you use in addition to bioslurry?</t>
  </si>
  <si>
    <t>Currently.Other type of fertilizer you are using</t>
  </si>
  <si>
    <t>If yes, what is the reason for using other fertilizer?</t>
  </si>
  <si>
    <t>If yes, what is the other reason for using the other fertilizer?</t>
  </si>
  <si>
    <t>Since purchasing the biodigester, how has your expenditure on chemical fertiliser changed? It has: (pick one)</t>
  </si>
  <si>
    <t>How much did you save on average per year on chemical fertilizers in monetary value? (=after-before scenarios)Local currency/year</t>
  </si>
  <si>
    <t>Amount saved on average per year on chemical fertilizers in monetary value? (=after-before scenarios)Local currency/year</t>
  </si>
  <si>
    <t>Reason for increase in chemical fertilizer expenditure</t>
  </si>
  <si>
    <t>Before using biogas, did you experience any eye problem or respiratory illness? (Circle one)</t>
  </si>
  <si>
    <t>As a result of getting a biogas digester, how do you feel your incidence of eye problems ,headaches and respiratory illness has changed?</t>
  </si>
  <si>
    <t>If it has increased or not changed what is the reason?</t>
  </si>
  <si>
    <t>Do you observe an improvement in household air quality since using biogas (in technical terms, less PM 2.5 and CO emissions)</t>
  </si>
  <si>
    <t>Did you receive training on using bio-slurry?</t>
  </si>
  <si>
    <t>If Yes, do you feel that this training has enabled you to improve your agricultural productivity?</t>
  </si>
  <si>
    <t>If yes,who trained you?(Name and company/entity of trainer/I don't remember)</t>
  </si>
  <si>
    <t>Has your time availability changed from other activities compared to the situation before you had a biodigester? Asked to the female member of household</t>
  </si>
  <si>
    <t>How much time did you save on collecting wood or buying fuels, starting and tendering the fire, cleaning the pots from soot?(Hours/day on cooking)</t>
  </si>
  <si>
    <t>If the time saved for other activities is longer, what activities do you now have more time for that you did not prior to having the biogas digester? (Asked to the Female member of household)</t>
  </si>
  <si>
    <t>Specific Productive time use(Female)</t>
  </si>
  <si>
    <t>Specific Social activities(Female)</t>
  </si>
  <si>
    <t>Specific Family activities(Female)</t>
  </si>
  <si>
    <t>Specific Education activities(Female)</t>
  </si>
  <si>
    <t>Specific Leisure activities(Female)</t>
  </si>
  <si>
    <t>Specific other leisure activities(Female)</t>
  </si>
  <si>
    <t>Other.If the time saved for other activities is longer, what activities do you now have more time for that you did not prior to having the biogas digester?</t>
  </si>
  <si>
    <t>If time is not saved at all, please explain why (asked to the Female member of household)</t>
  </si>
  <si>
    <t>other.If time is not saved at all, please explain why (asked to the Female member of household)</t>
  </si>
  <si>
    <t>Has your time availability changed for other activities compared to the situation before you had a biodigester? (Asked to the male member of household)</t>
  </si>
  <si>
    <t>If the time saved for other activities is longer, what activities do you now have more time for that you did not prior to having the biogas digester? (Asked to the Male member of household)</t>
  </si>
  <si>
    <t>Specific Productive time use (Male)</t>
  </si>
  <si>
    <t>Specific Social activities (Male)</t>
  </si>
  <si>
    <t>Specific Family activities(Male)</t>
  </si>
  <si>
    <t>Specific Education activities (Male)</t>
  </si>
  <si>
    <t>Specific Leisure activities (Male)</t>
  </si>
  <si>
    <t>Specific other leisure activities (Male)</t>
  </si>
  <si>
    <t>Other.If the time saved for other activities is longer, what activities do you now have more time for that you did not prior to having the biogas digester?2</t>
  </si>
  <si>
    <t>If time is not saved at all, please explain why (asked to the Male member of household)</t>
  </si>
  <si>
    <t>other.If time is not saved at all, please explain why (asked to the Male member of household)</t>
  </si>
  <si>
    <t>How did you learn/know about biodigesters?</t>
  </si>
  <si>
    <t>Other way that you learnt about Biodigesters</t>
  </si>
  <si>
    <t>How far away is the source of water that is used in your biodigester? (in metres)</t>
  </si>
  <si>
    <t>Since the digester was installed,have you received a household form or ownership certificate? (Interviewer can ask to see the householdform or certificate to verify it's existence)</t>
  </si>
  <si>
    <t>After receiving a biodigester what did you do with your old stove?</t>
  </si>
  <si>
    <t>In case gave it away: to who did you give the stove aways</t>
  </si>
  <si>
    <t>Is the person who received your stove,using more/less/same quantity of firewood,charcoal or other fuel,than before because of your stove?</t>
  </si>
  <si>
    <t>Change of Charcoal usage Kg/day</t>
  </si>
  <si>
    <t>Change of firewood usage Kg/day</t>
  </si>
  <si>
    <t>Change of other fuel usage Kg/day</t>
  </si>
  <si>
    <t>Amount difference of Charcoal usage local currency/day</t>
  </si>
  <si>
    <t>Amount difference of firewood usage local currency/day</t>
  </si>
  <si>
    <t>Amount difference of other fuel usage local currency/day</t>
  </si>
  <si>
    <t>Before you received biogas, did you use any fuel for space heating?</t>
  </si>
  <si>
    <t>If Yes, which fuel did you mainly use for space heating?</t>
  </si>
  <si>
    <t>Specify the other fuel you used mainly for space heating?</t>
  </si>
  <si>
    <t>Because of having biogas how has the quantity of fuel used for space heating changed?</t>
  </si>
  <si>
    <t>"If it has changed, how much of the fuel do you now use per year for space heating(kg increased/day or kg decreased/day)"</t>
  </si>
  <si>
    <t>Any other additional comments or remarks from the household?</t>
  </si>
  <si>
    <t>Does the household require intervention of the program</t>
  </si>
  <si>
    <t>What kind of intervention does the household require from the program?</t>
  </si>
  <si>
    <t>Notes and Observation</t>
  </si>
  <si>
    <t>Take a picture of the Digester</t>
  </si>
  <si>
    <t>Take a picture of bioslurry stored or in use</t>
  </si>
  <si>
    <t>Take a picture of the biogas stove</t>
  </si>
  <si>
    <t>Take a picture of the old stove (baseline stove)(this is the primary stove used before biogas)</t>
  </si>
  <si>
    <t>Survey End Time</t>
  </si>
  <si>
    <t>2023-07-09 13:22:00.000+03</t>
  </si>
  <si>
    <t>Achaitum Alexander - 775484080</t>
  </si>
  <si>
    <t>1.338498, 34.389464</t>
  </si>
  <si>
    <t>Mother</t>
  </si>
  <si>
    <t>Yeko Patricia</t>
  </si>
  <si>
    <t>Domestic use</t>
  </si>
  <si>
    <t>Cooking for the family;Water Heating</t>
  </si>
  <si>
    <t>Decreased</t>
  </si>
  <si>
    <t>Local currency/month</t>
  </si>
  <si>
    <t>I am not sure/I donâ€™t remember</t>
  </si>
  <si>
    <t>Use directly for various purposes</t>
  </si>
  <si>
    <t>Used as fertilizer</t>
  </si>
  <si>
    <t>Coffee,maize,beans,banana plantation</t>
  </si>
  <si>
    <t>Crop yields have improved</t>
  </si>
  <si>
    <t>Compost manure</t>
  </si>
  <si>
    <t>Bio-slurry is insufficient</t>
  </si>
  <si>
    <t>Reduced</t>
  </si>
  <si>
    <t>Yes, and this has improved my agricultural productivity significantly</t>
  </si>
  <si>
    <t>Aid environment kapchorwa office</t>
  </si>
  <si>
    <t>Yes,more time available than before having biogas</t>
  </si>
  <si>
    <t>Productive time use</t>
  </si>
  <si>
    <t>I am spending more time farming</t>
  </si>
  <si>
    <t>Other (Specify)</t>
  </si>
  <si>
    <t>Aid environment kapchorwa,</t>
  </si>
  <si>
    <t>Still using it</t>
  </si>
  <si>
    <t>System is working well</t>
  </si>
  <si>
    <t>Continuous education about the system</t>
  </si>
  <si>
    <t>The system needs pipe repair</t>
  </si>
  <si>
    <t>https://hivos.my.salesforce.com/sfc/servlet.shepherd/version/renditionDownload?rendition=ORIGINAL_Jpg&amp;versionId=0689N000001AZLOQA4</t>
  </si>
  <si>
    <t>https://hivos.my.salesforce.com/sfc/servlet.shepherd/version/renditionDownload?rendition=ORIGINAL_Jpg&amp;versionId=0689N000001AZLTQA4</t>
  </si>
  <si>
    <t>https://hivos.my.salesforce.com/sfc/servlet.shepherd/version/renditionDownload?rendition=ORIGINAL_Jpg&amp;versionId=0689N000001AZLYQA4</t>
  </si>
  <si>
    <t>https://hivos.my.salesforce.com/sfc/servlet.shepherd/version/renditionDownload?rendition=ORIGINAL_Jpg&amp;versionId=0689N000001BgdWQAS</t>
  </si>
  <si>
    <t>2023-07-09 15:43:00.000+03</t>
  </si>
  <si>
    <t>1.397047, 34.456389</t>
  </si>
  <si>
    <t>Father</t>
  </si>
  <si>
    <t>Bushendich fred</t>
  </si>
  <si>
    <t>Coffee,banana,</t>
  </si>
  <si>
    <t>Cowacom</t>
  </si>
  <si>
    <t>I am spending more time farming;I have started a business</t>
  </si>
  <si>
    <t>Biogas Contractor/Mason;Other (Specify)</t>
  </si>
  <si>
    <t>Not sure (i.e. long time ago )</t>
  </si>
  <si>
    <t>The system got blocked but they got help from the masons</t>
  </si>
  <si>
    <t>Sensitization</t>
  </si>
  <si>
    <t>The system is in good condition</t>
  </si>
  <si>
    <t>https://hivos.my.salesforce.com/sfc/servlet.shepherd/version/renditionDownload?rendition=ORIGINAL_Jpg&amp;versionId=0689N000001AZKzQAO</t>
  </si>
  <si>
    <t>https://hivos.my.salesforce.com/sfc/servlet.shepherd/version/renditionDownload?rendition=ORIGINAL_Jpg&amp;versionId=0689N000001AZL4QAO</t>
  </si>
  <si>
    <t>https://hivos.my.salesforce.com/sfc/servlet.shepherd/version/renditionDownload?rendition=ORIGINAL_Jpg&amp;versionId=0689N000001AZL9QAO</t>
  </si>
  <si>
    <t>https://hivos.my.salesforce.com/sfc/servlet.shepherd/version/renditionDownload?rendition=ORIGINAL_Jpg&amp;versionId=0689N000001BgctQAC</t>
  </si>
  <si>
    <t>2023-07-10 13:57:00.000+03</t>
  </si>
  <si>
    <t>1.361113, 34.387509</t>
  </si>
  <si>
    <t>Chelengat justine</t>
  </si>
  <si>
    <t>Used as fertilizer;Used as animal feed</t>
  </si>
  <si>
    <t>Coffee,banana</t>
  </si>
  <si>
    <t>The contractor and SNV people</t>
  </si>
  <si>
    <t>I have started a business</t>
  </si>
  <si>
    <t>Mason who was building at her neighbors</t>
  </si>
  <si>
    <t>The rate of wood use has greatly reduced</t>
  </si>
  <si>
    <t>SNV has been sensitizing the beneficiary's on the importance of the system</t>
  </si>
  <si>
    <t>https://hivos.my.salesforce.com/sfc/servlet.shepherd/version/renditionDownload?rendition=ORIGINAL_Jpg&amp;versionId=0689N000001AnFoQAK</t>
  </si>
  <si>
    <t>https://hivos.my.salesforce.com/sfc/servlet.shepherd/version/renditionDownload?rendition=ORIGINAL_Jpg&amp;versionId=0689N000001AnHqQAK</t>
  </si>
  <si>
    <t>https://hivos.my.salesforce.com/sfc/servlet.shepherd/version/renditionDownload?rendition=ORIGINAL_Jpg&amp;versionId=0689N000001AnQUQA0</t>
  </si>
  <si>
    <t>https://hivos.my.salesforce.com/sfc/servlet.shepherd/version/renditionDownload?rendition=ORIGINAL_Jpg&amp;versionId=0689N000001BhjHQAS</t>
  </si>
  <si>
    <t>2023-07-10 13:27:00.000+03</t>
  </si>
  <si>
    <t>1.360469, 34.387905</t>
  </si>
  <si>
    <t>Child -above 18 years</t>
  </si>
  <si>
    <t>Cherop ronny</t>
  </si>
  <si>
    <t>Bananas,coffee,elephant grass</t>
  </si>
  <si>
    <t>Taking care of the business</t>
  </si>
  <si>
    <t>I am busier due to more family members now (i.e. new-born)</t>
  </si>
  <si>
    <t>Family Member/Friend</t>
  </si>
  <si>
    <t>Need help from technician to help open the system</t>
  </si>
  <si>
    <t>Opening up the blocked system</t>
  </si>
  <si>
    <t>The system is working though no more dug is added due to blockage</t>
  </si>
  <si>
    <t>https://hivos.my.salesforce.com/sfc/servlet.shepherd/version/renditionDownload?rendition=ORIGINAL_Jpg&amp;versionId=0689N000001AnQtQAK</t>
  </si>
  <si>
    <t>https://hivos.my.salesforce.com/sfc/servlet.shepherd/version/renditionDownload?rendition=ORIGINAL_Jpg&amp;versionId=0689N000001AnHuQAK</t>
  </si>
  <si>
    <t>https://hivos.my.salesforce.com/sfc/servlet.shepherd/version/renditionDownload?rendition=ORIGINAL_Jpg&amp;versionId=0689N000001AnQyQAK</t>
  </si>
  <si>
    <t>https://hivos.my.salesforce.com/sfc/servlet.shepherd/version/renditionDownload?rendition=ORIGINAL_Jpg&amp;versionId=0689N000001BhJ5QAK</t>
  </si>
  <si>
    <t>2023-07-10 16:04:00.000+03</t>
  </si>
  <si>
    <t>1.378155, 34.425600</t>
  </si>
  <si>
    <t>Cherotic violent</t>
  </si>
  <si>
    <t>The  concerned didn't come to his rescue ever since the system stopped work( mason)</t>
  </si>
  <si>
    <t>Repair of the system as they are now suffering looking for scarce wood</t>
  </si>
  <si>
    <t>HH needs their system repaired</t>
  </si>
  <si>
    <t>https://hivos.my.salesforce.com/sfc/servlet.shepherd/version/renditionDownload?rendition=ORIGINAL_Jpg&amp;versionId=0689N000001AnQKQA0</t>
  </si>
  <si>
    <t>https://hivos.my.salesforce.com/sfc/servlet.shepherd/version/renditionDownload?rendition=ORIGINAL_Jpg&amp;versionId=0689N000001AnMEQA0</t>
  </si>
  <si>
    <t>https://hivos.my.salesforce.com/sfc/servlet.shepherd/version/renditionDownload?rendition=ORIGINAL_Jpg&amp;versionId=0689N000001AnKtQAK</t>
  </si>
  <si>
    <t>https://hivos.my.salesforce.com/sfc/servlet.shepherd/version/renditionDownload?rendition=ORIGINAL_Jpg&amp;versionId=0689N000001BhVkQAK</t>
  </si>
  <si>
    <t>2023-07-10 08:48:00.000+03</t>
  </si>
  <si>
    <t>1.400091, 34.438432</t>
  </si>
  <si>
    <t>Dr kametei george</t>
  </si>
  <si>
    <t>Stayed the same</t>
  </si>
  <si>
    <t>Other fertilizer</t>
  </si>
  <si>
    <t>Organic</t>
  </si>
  <si>
    <t>No,less time available than before having biogas</t>
  </si>
  <si>
    <t>Agriculture Extension Officer;Biogas Program</t>
  </si>
  <si>
    <t>The system has been on and off</t>
  </si>
  <si>
    <t>They need complete repair of the system</t>
  </si>
  <si>
    <t>The system works for short time and on light cooking</t>
  </si>
  <si>
    <t>https://hivos.my.salesforce.com/sfc/servlet.shepherd/version/renditionDownload?rendition=ORIGINAL_Jpg&amp;versionId=0689N000001AnRXQA0</t>
  </si>
  <si>
    <t>https://hivos.my.salesforce.com/sfc/servlet.shepherd/version/renditionDownload?rendition=ORIGINAL_Jpg&amp;versionId=0689N000001AnPIQA0</t>
  </si>
  <si>
    <t>https://hivos.my.salesforce.com/sfc/servlet.shepherd/version/renditionDownload?rendition=ORIGINAL_Jpg&amp;versionId=0689N000001AnLXQA0</t>
  </si>
  <si>
    <t>https://hivos.my.salesforce.com/sfc/servlet.shepherd/version/renditionDownload?rendition=ORIGINAL_Jpg&amp;versionId=0689N000001BhjMQAS</t>
  </si>
  <si>
    <t>2023-07-12 09:49:00.000+03</t>
  </si>
  <si>
    <t>1.392648, 34.450334</t>
  </si>
  <si>
    <t>Other position in the house</t>
  </si>
  <si>
    <t>Worker (cook)</t>
  </si>
  <si>
    <t>Kayegi mariam</t>
  </si>
  <si>
    <t>Coffee bananas</t>
  </si>
  <si>
    <t>Farm yard manure</t>
  </si>
  <si>
    <t>Chicken pupu</t>
  </si>
  <si>
    <t>Can't remember</t>
  </si>
  <si>
    <t>Family activities</t>
  </si>
  <si>
    <t>I am spending more time raising my children</t>
  </si>
  <si>
    <t>The system is ok</t>
  </si>
  <si>
    <t>If they can help them with loan for more cows so that they produce much gas</t>
  </si>
  <si>
    <t>https://hivos.my.salesforce.com/sfc/servlet.shepherd/version/renditionDownload?rendition=ORIGINAL_Jpg&amp;versionId=0689N000001BCMhQAO</t>
  </si>
  <si>
    <t>https://hivos.my.salesforce.com/sfc/servlet.shepherd/version/renditionDownload?rendition=ORIGINAL_Jpg&amp;versionId=0689N000001BC0YQAW</t>
  </si>
  <si>
    <t>https://hivos.my.salesforce.com/sfc/servlet.shepherd/version/renditionDownload?rendition=ORIGINAL_Jpg&amp;versionId=0689N000001BBxkQAG</t>
  </si>
  <si>
    <t>https://hivos.my.salesforce.com/sfc/servlet.shepherd/version/renditionDownload?rendition=ORIGINAL_Jpg&amp;versionId=0689N000001Bh4CQAS</t>
  </si>
  <si>
    <t>2023-07-10 11:48:00.000+03</t>
  </si>
  <si>
    <t>1.385555, 34.468505</t>
  </si>
  <si>
    <t>Malinga dickson</t>
  </si>
  <si>
    <t>Coffee, banana plantation</t>
  </si>
  <si>
    <t>GFF</t>
  </si>
  <si>
    <t>I have taken up a small job;I have started a business</t>
  </si>
  <si>
    <t>Radio</t>
  </si>
  <si>
    <t>There is need for a bigger system which can even give lights</t>
  </si>
  <si>
    <t>More bigger system to cater for other needs</t>
  </si>
  <si>
    <t>The HH needs bigger system</t>
  </si>
  <si>
    <t>https://hivos.my.salesforce.com/sfc/servlet.shepherd/version/renditionDownload?rendition=ORIGINAL_Jpg&amp;versionId=0689N000001AnR8QAK</t>
  </si>
  <si>
    <t>https://hivos.my.salesforce.com/sfc/servlet.shepherd/version/renditionDownload?rendition=ORIGINAL_Jpg&amp;versionId=0689N000001AnRDQA0</t>
  </si>
  <si>
    <t>https://hivos.my.salesforce.com/sfc/servlet.shepherd/version/renditionDownload?rendition=ORIGINAL_Jpg&amp;versionId=0689N000001AnRIQA0</t>
  </si>
  <si>
    <t>https://hivos.my.salesforce.com/sfc/servlet.shepherd/version/renditionDownload?rendition=ORIGINAL_Jpg&amp;versionId=0689N000001BhfFQAS</t>
  </si>
  <si>
    <t>2023-07-09 12:12:00.000+03</t>
  </si>
  <si>
    <t>1.387908, 34.464968</t>
  </si>
  <si>
    <t>Tweyen irene</t>
  </si>
  <si>
    <t>They need help to restore the system since the person's contacted didn't help</t>
  </si>
  <si>
    <t>Help on how to address the systems breakdowns</t>
  </si>
  <si>
    <t>The system is not working though the client still needs and the consultant has not responded</t>
  </si>
  <si>
    <t>https://hivos.my.salesforce.com/sfc/servlet.shepherd/version/renditionDownload?rendition=ORIGINAL_Jpg&amp;versionId=0689N000001AZLdQAO</t>
  </si>
  <si>
    <t>https://hivos.my.salesforce.com/sfc/servlet.shepherd/version/renditionDownload?rendition=ORIGINAL_Jpg&amp;versionId=0689N000001AZLiQAO</t>
  </si>
  <si>
    <t>https://hivos.my.salesforce.com/sfc/servlet.shepherd/version/renditionDownload?rendition=ORIGINAL_Jpg&amp;versionId=0689N000001AZLnQAO</t>
  </si>
  <si>
    <t>https://hivos.my.salesforce.com/sfc/servlet.shepherd/version/renditionDownload?rendition=ORIGINAL_Jpg&amp;versionId=0689N000001BhhkQAC</t>
  </si>
  <si>
    <t>2023-07-10 11:58:00.000+03</t>
  </si>
  <si>
    <t>-0.631630, 30.075287</t>
  </si>
  <si>
    <t>Ainembabazi Shilar</t>
  </si>
  <si>
    <t>Matooke</t>
  </si>
  <si>
    <t>Some manure can't be used in bio digester</t>
  </si>
  <si>
    <t>Just the same as before (between before and after having biodigester)</t>
  </si>
  <si>
    <t>https://hivos.my.salesforce.com/sfc/servlet.shepherd/version/renditionDownload?rendition=ORIGINAL_Jpg&amp;versionId=0689N000001AmBAQA0</t>
  </si>
  <si>
    <t>https://hivos.my.salesforce.com/sfc/servlet.shepherd/version/renditionDownload?rendition=ORIGINAL_Jpg&amp;versionId=0689N000001BiCKQA0</t>
  </si>
  <si>
    <t>https://hivos.my.salesforce.com/sfc/servlet.shepherd/version/renditionDownload?rendition=ORIGINAL_Jpg&amp;versionId=0689N000001AmBEQA0</t>
  </si>
  <si>
    <t>https://hivos.my.salesforce.com/sfc/servlet.shepherd/version/renditionDownload?rendition=ORIGINAL_Jpg&amp;versionId=0689N000001Alx0QAC</t>
  </si>
  <si>
    <t>2023-07-10 12:35:00.000+03</t>
  </si>
  <si>
    <t>2023-07-09 12:03:00.000+03</t>
  </si>
  <si>
    <t>-0.642890, 29.997168</t>
  </si>
  <si>
    <t>Ainomugisha Nicholas</t>
  </si>
  <si>
    <t>Use directly for various purposes;Store it first</t>
  </si>
  <si>
    <t>Composting without roof</t>
  </si>
  <si>
    <t>Coffee, Banana</t>
  </si>
  <si>
    <t>Chemical fertilizer;Farm yard manure</t>
  </si>
  <si>
    <t>Increased</t>
  </si>
  <si>
    <t>They are planting new crops like coffee which requires different fertilizers</t>
  </si>
  <si>
    <t>Maxim from Rukungiri Kawacom company</t>
  </si>
  <si>
    <t>Productive time use;Leisure</t>
  </si>
  <si>
    <t>I am spending more time farming;I have taken up a small job</t>
  </si>
  <si>
    <t>I use the time to relax myself and reduce stress and worries</t>
  </si>
  <si>
    <t>Biogas Program</t>
  </si>
  <si>
    <t>They don't have enough manure since they have few cows</t>
  </si>
  <si>
    <t>They want to know why their bio slurry is so watery. And they should send technical people to always check their plants.  They should keep teaching them how to use bio slurry</t>
  </si>
  <si>
    <t>One of their stove is upside down and it links the gas</t>
  </si>
  <si>
    <t>https://hivos.my.salesforce.com/sfc/servlet.shepherd/version/renditionDownload?rendition=ORIGINAL_Jpg&amp;versionId=0689N000001AZ0cQAG</t>
  </si>
  <si>
    <t>https://hivos.my.salesforce.com/sfc/servlet.shepherd/version/renditionDownload?rendition=ORIGINAL_Jpg&amp;versionId=0689N000001AZ16QAG</t>
  </si>
  <si>
    <t>https://hivos.my.salesforce.com/sfc/servlet.shepherd/version/renditionDownload?rendition=ORIGINAL_Jpg&amp;versionId=0689N000001AYzgQAG</t>
  </si>
  <si>
    <t>https://hivos.my.salesforce.com/sfc/servlet.shepherd/version/renditionDownload?rendition=ORIGINAL_Jpg&amp;versionId=0689N000001BixvQAC</t>
  </si>
  <si>
    <t>2023-07-09 15:10:00.000+03</t>
  </si>
  <si>
    <t>-0.685150, 30.054507</t>
  </si>
  <si>
    <t>Cooking for the family;Water Heating;Lighting</t>
  </si>
  <si>
    <t>Matooke, coffee</t>
  </si>
  <si>
    <t>Don't remember</t>
  </si>
  <si>
    <t>Social activities;Leisure</t>
  </si>
  <si>
    <t>Visiting the church</t>
  </si>
  <si>
    <t>TV Programmes</t>
  </si>
  <si>
    <t>They don't normally used slurry in dry season since they don't mix it most of the time because of lack of enough water</t>
  </si>
  <si>
    <t>https://hivos.my.salesforce.com/sfc/servlet.shepherd/version/renditionDownload?rendition=ORIGINAL_Jpg&amp;versionId=0689N000001AZ0dQAG</t>
  </si>
  <si>
    <t>https://hivos.my.salesforce.com/sfc/servlet.shepherd/version/renditionDownload?rendition=ORIGINAL_Jpg&amp;versionId=0689N000001AZ2JQAW</t>
  </si>
  <si>
    <t>https://hivos.my.salesforce.com/sfc/servlet.shepherd/version/renditionDownload?rendition=ORIGINAL_Jpg&amp;versionId=0689N000001AZ2OQAW</t>
  </si>
  <si>
    <t>https://hivos.my.salesforce.com/sfc/servlet.shepherd/version/renditionDownload?rendition=ORIGINAL_Jpg&amp;versionId=0689N000001BiQTQA0</t>
  </si>
  <si>
    <t>2023-07-12 10:40:00.000+03</t>
  </si>
  <si>
    <t>-0.647153, 30.172598</t>
  </si>
  <si>
    <t>Dalton Nuwabine</t>
  </si>
  <si>
    <t>Matooke, Coffee, beans</t>
  </si>
  <si>
    <t>Different plants need different fertilizers/nutrients</t>
  </si>
  <si>
    <t>Productive time use;Social activities</t>
  </si>
  <si>
    <t>Chatting with neighbours, friends etc</t>
  </si>
  <si>
    <t>Demolished it</t>
  </si>
  <si>
    <t>The metre gauge got spoilt</t>
  </si>
  <si>
    <t>https://hivos.my.salesforce.com/sfc/servlet.shepherd/version/renditionDownload?rendition=ORIGINAL_Jpg&amp;versionId=0689N000001BM56QAG</t>
  </si>
  <si>
    <t>https://hivos.my.salesforce.com/sfc/servlet.shepherd/version/renditionDownload?rendition=ORIGINAL_Jpg&amp;versionId=0689N000001BV8VQAW</t>
  </si>
  <si>
    <t>https://hivos.my.salesforce.com/sfc/servlet.shepherd/version/renditionDownload?rendition=ORIGINAL_Jpg&amp;versionId=0689N000001BiP4QAK</t>
  </si>
  <si>
    <t>2023-07-12 11:19:00.000+03</t>
  </si>
  <si>
    <t>2023-07-09 07:56:00.000+03</t>
  </si>
  <si>
    <t>-0.548958, 30.109402</t>
  </si>
  <si>
    <t>Florence Mugarura</t>
  </si>
  <si>
    <t>Domestic use;Productive use</t>
  </si>
  <si>
    <t>Commercial products (cakes, food for sale etc.)</t>
  </si>
  <si>
    <t>Coffee, Banana, elephant grass</t>
  </si>
  <si>
    <t>Chemical fertilizer</t>
  </si>
  <si>
    <t>Different plants need different fertilizers/nutrients;Other</t>
  </si>
  <si>
    <t>Hard to transport bio slurry</t>
  </si>
  <si>
    <t>They are planting new crops like coffee which needs different fertilizers</t>
  </si>
  <si>
    <t>Kizinda farmers</t>
  </si>
  <si>
    <t>Productive time use;Family activities;Leisure</t>
  </si>
  <si>
    <t>I am spending more time with my partner</t>
  </si>
  <si>
    <t>The stoves knobs can't accommodate small saucepans</t>
  </si>
  <si>
    <t>The program should provide her biogas mixer and bigger system</t>
  </si>
  <si>
    <t>The client is grateful for the biogas system</t>
  </si>
  <si>
    <t>https://hivos.my.salesforce.com/sfc/servlet.shepherd/version/renditionDownload?rendition=ORIGINAL_Jpg&amp;versionId=0689N000001Aa4FQAS</t>
  </si>
  <si>
    <t>https://hivos.my.salesforce.com/sfc/servlet.shepherd/version/renditionDownload?rendition=ORIGINAL_Jpg&amp;versionId=0689N000001Aa9nQAC</t>
  </si>
  <si>
    <t>https://hivos.my.salesforce.com/sfc/servlet.shepherd/version/renditionDownload?rendition=ORIGINAL_Jpg&amp;versionId=0689N000001BigwQAC</t>
  </si>
  <si>
    <t>2023-07-10 09:55:00.000+03</t>
  </si>
  <si>
    <t>-0.570232, 30.135588</t>
  </si>
  <si>
    <t>Kemigisha Immaculate</t>
  </si>
  <si>
    <t>Store it first</t>
  </si>
  <si>
    <t>Uncovered lagoon &gt; 1 meter</t>
  </si>
  <si>
    <t>Matooke, grapes, vegetables</t>
  </si>
  <si>
    <t>The responded started staying in the household when biogas plant was already there</t>
  </si>
  <si>
    <t>https://hivos.my.salesforce.com/sfc/servlet.shepherd/version/renditionDownload?rendition=ORIGINAL_Jpg&amp;versionId=0689N000001AfQlQAK</t>
  </si>
  <si>
    <t>https://hivos.my.salesforce.com/sfc/servlet.shepherd/version/renditionDownload?rendition=ORIGINAL_Jpg&amp;versionId=0689N000001AfTMQA0</t>
  </si>
  <si>
    <t>https://hivos.my.salesforce.com/sfc/servlet.shepherd/version/renditionDownload?rendition=ORIGINAL_Jpg&amp;versionId=0689N000001BiyKQAS</t>
  </si>
  <si>
    <t>2023-07-11 10:23:00.000+03</t>
  </si>
  <si>
    <t>-0.573713, 30.191423</t>
  </si>
  <si>
    <t>The household still needs to fix their biogas</t>
  </si>
  <si>
    <t>The program should work on their bio digester</t>
  </si>
  <si>
    <t>https://hivos.my.salesforce.com/sfc/servlet.shepherd/version/renditionDownload?rendition=ORIGINAL_Jpg&amp;versionId=0689N000001Bi8MQAS</t>
  </si>
  <si>
    <t>https://hivos.my.salesforce.com/sfc/servlet.shepherd/version/renditionDownload?rendition=ORIGINAL_Jpg&amp;versionId=0689N000001BiuTQAS</t>
  </si>
  <si>
    <t>2023-08-11 10:40:00.000+03</t>
  </si>
  <si>
    <t>2023-07-09 13:20:00.000+03</t>
  </si>
  <si>
    <t>-0.639248, 29.982800</t>
  </si>
  <si>
    <t>Mbabazi Mary</t>
  </si>
  <si>
    <t>Matooke, greens and coffee</t>
  </si>
  <si>
    <t>Not changed</t>
  </si>
  <si>
    <t>She still uses firewood since the biogas produces less gas</t>
  </si>
  <si>
    <t>She doesn't remember</t>
  </si>
  <si>
    <t>Leisure</t>
  </si>
  <si>
    <t>Her stove produces less gas</t>
  </si>
  <si>
    <t>To repair her biogas system</t>
  </si>
  <si>
    <t>Her biogas doesn't work well</t>
  </si>
  <si>
    <t>https://hivos.my.salesforce.com/sfc/servlet.shepherd/version/renditionDownload?rendition=ORIGINAL_Jpg&amp;versionId=0689N000001AZ1fQAG</t>
  </si>
  <si>
    <t>https://hivos.my.salesforce.com/sfc/servlet.shepherd/version/renditionDownload?rendition=ORIGINAL_Jpg&amp;versionId=0689N000001Biy5QAC</t>
  </si>
  <si>
    <t>https://hivos.my.salesforce.com/sfc/servlet.shepherd/version/renditionDownload?rendition=ORIGINAL_Jpg&amp;versionId=0689N000001AYygQAG</t>
  </si>
  <si>
    <t>https://hivos.my.salesforce.com/sfc/servlet.shepherd/version/renditionDownload?rendition=ORIGINAL_Jpg&amp;versionId=0689N000001AZ1lQAG</t>
  </si>
  <si>
    <t>2023-07-10 15:03:00.000+03</t>
  </si>
  <si>
    <t>-0.568910, 30.096395</t>
  </si>
  <si>
    <t>Mrs Bikiriyo</t>
  </si>
  <si>
    <t>Water Heating</t>
  </si>
  <si>
    <t>Matooke, Coffee</t>
  </si>
  <si>
    <t>The biogas isn't properly working so they use firewood most of the time</t>
  </si>
  <si>
    <t>They don't use biogas all the time</t>
  </si>
  <si>
    <t>Their biogas doesn't produce enough gas</t>
  </si>
  <si>
    <t>They program should renovate for them to work well</t>
  </si>
  <si>
    <t>https://hivos.my.salesforce.com/sfc/servlet.shepherd/version/renditionDownload?rendition=ORIGINAL_Jpg&amp;versionId=0689N000001AmAuQAK</t>
  </si>
  <si>
    <t>https://hivos.my.salesforce.com/sfc/servlet.shepherd/version/renditionDownload?rendition=ORIGINAL_Jpg&amp;versionId=0689N000001Am1KQAS</t>
  </si>
  <si>
    <t>https://hivos.my.salesforce.com/sfc/servlet.shepherd/version/renditionDownload?rendition=ORIGINAL_Jpg&amp;versionId=0689N000001AluJQAS</t>
  </si>
  <si>
    <t>https://hivos.my.salesforce.com/sfc/servlet.shepherd/version/renditionDownload?rendition=ORIGINAL_Jpg&amp;versionId=0689N000001BihJQAS</t>
  </si>
  <si>
    <t>2023-07-10 15:34:00.000+03</t>
  </si>
  <si>
    <t>2023-07-11 11:18:00.000+03</t>
  </si>
  <si>
    <t>-0.605125, 30.182063</t>
  </si>
  <si>
    <t>Muhumuza David</t>
  </si>
  <si>
    <t>Coffee, Banana, Maize and beans</t>
  </si>
  <si>
    <t>Compost manure;Farm yard manure</t>
  </si>
  <si>
    <t>Social activity (voluntary work, etc)</t>
  </si>
  <si>
    <t>https://hivos.my.salesforce.com/sfc/servlet.shepherd/version/renditionDownload?rendition=ORIGINAL_Jpg&amp;versionId=0689N000001AsFsQAK</t>
  </si>
  <si>
    <t>https://hivos.my.salesforce.com/sfc/servlet.shepherd/version/renditionDownload?rendition=ORIGINAL_Jpg&amp;versionId=0689N000001BiyoQAC</t>
  </si>
  <si>
    <t>https://hivos.my.salesforce.com/sfc/servlet.shepherd/version/renditionDownload?rendition=ORIGINAL_Jpg&amp;versionId=0689N000001AsLRQA0</t>
  </si>
  <si>
    <t>https://hivos.my.salesforce.com/sfc/servlet.shepherd/version/renditionDownload?rendition=ORIGINAL_Jpg&amp;versionId=0689N000001As09QAC</t>
  </si>
  <si>
    <t>2023-07-11 11:47:00.000+03</t>
  </si>
  <si>
    <t>2023-07-12 14:15:00.000+03</t>
  </si>
  <si>
    <t>Akello Janet - 776820567</t>
  </si>
  <si>
    <t>1.769700, 33.671995</t>
  </si>
  <si>
    <t>Adangan Mary Magdalene</t>
  </si>
  <si>
    <t>Oranges, vegetables</t>
  </si>
  <si>
    <t>There is a leakage that needs to be fixed</t>
  </si>
  <si>
    <t>There is a leakage that needs fixing</t>
  </si>
  <si>
    <t>The slab cover is broken.  The are writings on the digester but not clear.</t>
  </si>
  <si>
    <t>https://hivos.my.salesforce.com/sfc/servlet.shepherd/version/renditionDownload?rendition=ORIGINAL_Jpg&amp;versionId=0689N000001B9H6QAK</t>
  </si>
  <si>
    <t>https://hivos.my.salesforce.com/sfc/servlet.shepherd/version/renditionDownload?rendition=ORIGINAL_Jpg&amp;versionId=0689N000001B9K0QAK</t>
  </si>
  <si>
    <t>https://hivos.my.salesforce.com/sfc/servlet.shepherd/version/renditionDownload?rendition=ORIGINAL_Jpg&amp;versionId=0689N000001Bj62QAC</t>
  </si>
  <si>
    <t>https://hivos.my.salesforce.com/sfc/servlet.shepherd/version/renditionDownload?rendition=ORIGINAL_Jpg&amp;versionId=0689N000001B9OvQAK</t>
  </si>
  <si>
    <t>2023-07-12 15:00:00.000+03</t>
  </si>
  <si>
    <t>2023-07-10 14:27:00.000+03</t>
  </si>
  <si>
    <t>1.668628, 33.678682</t>
  </si>
  <si>
    <t>Ajuwa Emma</t>
  </si>
  <si>
    <t>Cassava</t>
  </si>
  <si>
    <t>Mason</t>
  </si>
  <si>
    <t>The red switch is very hard to turn.  The gas gets over very fast before a simple meal is fully cooked  The two stoves can't burn at the same time</t>
  </si>
  <si>
    <t>The respondent did not seem comfortable answering some questions especially land related</t>
  </si>
  <si>
    <t>https://hivos.my.salesforce.com/sfc/servlet.shepherd/version/renditionDownload?rendition=ORIGINAL_Jpg&amp;versionId=0689N000001AqPhQAK</t>
  </si>
  <si>
    <t>https://hivos.my.salesforce.com/sfc/servlet.shepherd/version/renditionDownload?rendition=ORIGINAL_Jpg&amp;versionId=0689N000001Aq49QAC</t>
  </si>
  <si>
    <t>https://hivos.my.salesforce.com/sfc/servlet.shepherd/version/renditionDownload?rendition=ORIGINAL_Jpg&amp;versionId=0689N000001AqFLQA0</t>
  </si>
  <si>
    <t>https://hivos.my.salesforce.com/sfc/servlet.shepherd/version/renditionDownload?rendition=ORIGINAL_Jpg&amp;versionId=0689N000001Bj1YQAS</t>
  </si>
  <si>
    <t>2023-07-10 15:06:00.000+03</t>
  </si>
  <si>
    <t>2023-07-11 14:32:00.000+03</t>
  </si>
  <si>
    <t>1.721962, 33.640208</t>
  </si>
  <si>
    <t>School Instructor</t>
  </si>
  <si>
    <t>Akwanget Emmanuel</t>
  </si>
  <si>
    <t>777700937/ 707964144</t>
  </si>
  <si>
    <t>The digester was not construct well, the work was sub standard because the constructors did it in a hurry.  The digester covers were small in size but also got broken.  There needs to be routine and regular visits by the technician.</t>
  </si>
  <si>
    <t>The pipe looks to have a blockage.  One of the stove burners produces a lot of gas.  All the stove knobs for broken.  There is need to make covers that fit well to cover the digester to prevent rain water from entering.</t>
  </si>
  <si>
    <t>The institute has a challenge with getting enough cow dung because the cows are few.</t>
  </si>
  <si>
    <t>https://hivos.my.salesforce.com/sfc/servlet.shepherd/version/renditionDownload?rendition=ORIGINAL_Jpg&amp;versionId=0689N000001AyXpQAK</t>
  </si>
  <si>
    <t>https://hivos.my.salesforce.com/sfc/servlet.shepherd/version/renditionDownload?rendition=ORIGINAL_Jpg&amp;versionId=0689N000001AyY4QAK</t>
  </si>
  <si>
    <t>https://hivos.my.salesforce.com/sfc/servlet.shepherd/version/renditionDownload?rendition=ORIGINAL_Jpg&amp;versionId=0689N000001AyY9QAK</t>
  </si>
  <si>
    <t>https://hivos.my.salesforce.com/sfc/servlet.shepherd/version/renditionDownload?rendition=ORIGINAL_Jpg&amp;versionId=0689N000001BimWQAS</t>
  </si>
  <si>
    <t>2023-07-11 14:58:00.000+03</t>
  </si>
  <si>
    <t>2023-07-09 15:56:00.000+03</t>
  </si>
  <si>
    <t>1.940977, 33.561633</t>
  </si>
  <si>
    <t>Ayango Christine</t>
  </si>
  <si>
    <t>HH needs system fixed as soon as possible</t>
  </si>
  <si>
    <t>Needs stove and lights fixed as soon as possible</t>
  </si>
  <si>
    <t>The respondent suspects the system has a leakage</t>
  </si>
  <si>
    <t>https://hivos.my.salesforce.com/sfc/servlet.shepherd/version/renditionDownload?rendition=ORIGINAL_Jpg&amp;versionId=0689N000001AahZQAS</t>
  </si>
  <si>
    <t>https://hivos.my.salesforce.com/sfc/servlet.shepherd/version/renditionDownload?rendition=ORIGINAL_Jpg&amp;versionId=0689N000001AanZQAS</t>
  </si>
  <si>
    <t>https://hivos.my.salesforce.com/sfc/servlet.shepherd/version/renditionDownload?rendition=ORIGINAL_Jpg&amp;versionId=0689N000001AaLhQAK</t>
  </si>
  <si>
    <t>https://hivos.my.salesforce.com/sfc/servlet.shepherd/version/renditionDownload?rendition=ORIGINAL_Jpg&amp;versionId=0689N000001BifOQAS</t>
  </si>
  <si>
    <t>2023-07-10 11:59:00.000+03</t>
  </si>
  <si>
    <t>1.712772, 33.680917</t>
  </si>
  <si>
    <t>Ecuman Mathew</t>
  </si>
  <si>
    <t>Oranges</t>
  </si>
  <si>
    <t>The system has helped to save time and money</t>
  </si>
  <si>
    <t>Happy with the system</t>
  </si>
  <si>
    <t>https://hivos.my.salesforce.com/sfc/servlet.shepherd/version/renditionDownload?rendition=ORIGINAL_Jpg&amp;versionId=0689N000001AqOoQAK</t>
  </si>
  <si>
    <t>https://hivos.my.salesforce.com/sfc/servlet.shepherd/version/renditionDownload?rendition=ORIGINAL_Jpg&amp;versionId=0689N000001AqCJQA0</t>
  </si>
  <si>
    <t>https://hivos.my.salesforce.com/sfc/servlet.shepherd/version/renditionDownload?rendition=ORIGINAL_Jpg&amp;versionId=0689N000001AqOGQA0</t>
  </si>
  <si>
    <t>https://hivos.my.salesforce.com/sfc/servlet.shepherd/version/renditionDownload?rendition=ORIGINAL_Jpg&amp;versionId=0689N000001BivrQAC</t>
  </si>
  <si>
    <t>2023-07-10 11:28:00.000+03</t>
  </si>
  <si>
    <t>2023-07-09 16:35:00.000+03</t>
  </si>
  <si>
    <t>1.957028, 33.521305</t>
  </si>
  <si>
    <t>Edweu Robinson</t>
  </si>
  <si>
    <t>The house where the stove was installed was demolished.  The cows were sold off so getting cow dung became a challenge.</t>
  </si>
  <si>
    <t>HH needs the system reinstalled.  He now has only 2 bulls and requests for help with any other options to get feedstock for the system</t>
  </si>
  <si>
    <t>Could not take photo of the biogas stove because it was dismantled and kept away.  The baseline stove was demolished</t>
  </si>
  <si>
    <t>https://hivos.my.salesforce.com/sfc/servlet.shepherd/version/renditionDownload?rendition=ORIGINAL_Jpg&amp;versionId=0689N000001AalJQAS</t>
  </si>
  <si>
    <t>https://hivos.my.salesforce.com/sfc/servlet.shepherd/version/renditionDownload?rendition=ORIGINAL_Jpg&amp;versionId=0689N000001AaREQA0</t>
  </si>
  <si>
    <t>https://hivos.my.salesforce.com/sfc/servlet.shepherd/version/renditionDownload?rendition=ORIGINAL_Jpg&amp;versionId=0689N000001AaacQAC</t>
  </si>
  <si>
    <t>https://hivos.my.salesforce.com/sfc/servlet.shepherd/version/renditionDownload?rendition=ORIGINAL_Jpg&amp;versionId=0689N000001BinJQAS</t>
  </si>
  <si>
    <t>2023-07-11 15:52:00.000+03</t>
  </si>
  <si>
    <t>1.789475, 33.653865</t>
  </si>
  <si>
    <t>Epedu John</t>
  </si>
  <si>
    <t>There seems to be a blockage in the pipe</t>
  </si>
  <si>
    <t>They need the technician to assess the problem which seems to be in the pipe.  The broken light needs replacement.  The pressure gauge was not installed.</t>
  </si>
  <si>
    <t>The concrete that covers the digester does not fit very well, rain water flows into the digester.</t>
  </si>
  <si>
    <t>https://hivos.my.salesforce.com/sfc/servlet.shepherd/version/renditionDownload?rendition=ORIGINAL_Jpg&amp;versionId=0689N000001Ay2RQAS</t>
  </si>
  <si>
    <t>https://hivos.my.salesforce.com/sfc/servlet.shepherd/version/renditionDownload?rendition=ORIGINAL_Jpg&amp;versionId=0689N000001AyXGQA0</t>
  </si>
  <si>
    <t>https://hivos.my.salesforce.com/sfc/servlet.shepherd/version/renditionDownload?rendition=ORIGINAL_Jpg&amp;versionId=0689N000001AyTcQAK</t>
  </si>
  <si>
    <t>https://hivos.my.salesforce.com/sfc/servlet.shepherd/version/renditionDownload?rendition=ORIGINAL_Jpg&amp;versionId=0689N000001Bj5sQAC</t>
  </si>
  <si>
    <t>2023-07-11 16:10:00.000+03</t>
  </si>
  <si>
    <t>UG-EAS-1905-BSU/07813</t>
  </si>
  <si>
    <t>2023-07-09 18:13:00.000+03</t>
  </si>
  <si>
    <t>1.933158, 33.322452</t>
  </si>
  <si>
    <t>Eyadu Celestine</t>
  </si>
  <si>
    <t>The respondent is happy with the system</t>
  </si>
  <si>
    <t>https://hivos.my.salesforce.com/sfc/servlet.shepherd/version/renditionDownload?rendition=ORIGINAL_Jpg&amp;versionId=0689N000001AaocQAC</t>
  </si>
  <si>
    <t>https://hivos.my.salesforce.com/sfc/servlet.shepherd/version/renditionDownload?rendition=ORIGINAL_Jpg&amp;versionId=0689N000001AaohQAC</t>
  </si>
  <si>
    <t>https://hivos.my.salesforce.com/sfc/servlet.shepherd/version/renditionDownload?rendition=ORIGINAL_Jpg&amp;versionId=0689N000001AaoFQAS</t>
  </si>
  <si>
    <t>https://hivos.my.salesforce.com/sfc/servlet.shepherd/version/renditionDownload?rendition=ORIGINAL_Jpg&amp;versionId=0689N000001BivUQAS</t>
  </si>
  <si>
    <t>2023-07-09 17:06:00.000+03</t>
  </si>
  <si>
    <t>1.954198, 33.519657</t>
  </si>
  <si>
    <t>Eyoga Abraham</t>
  </si>
  <si>
    <t>Could not take photo of the biogas stove because it was dismantled and kept.  The baseline stove was demolished</t>
  </si>
  <si>
    <t>Broken pipe needs to be fixed.</t>
  </si>
  <si>
    <t>The HH head lost the contact which is recorded on the database, the new working phone contact is 0753106726 The system has a technical problem. The scarcity of cow dung especially during dry season discouraged feeding of the system</t>
  </si>
  <si>
    <t>https://hivos.my.salesforce.com/sfc/servlet.shepherd/version/renditionDownload?rendition=ORIGINAL_Jpg&amp;versionId=0689N000001Aao3QAC</t>
  </si>
  <si>
    <t>https://hivos.my.salesforce.com/sfc/servlet.shepherd/version/renditionDownload?rendition=ORIGINAL_Jpg&amp;versionId=0689N000001AafaQAC</t>
  </si>
  <si>
    <t>https://hivos.my.salesforce.com/sfc/servlet.shepherd/version/renditionDownload?rendition=ORIGINAL_Jpg&amp;versionId=0689N000001AahLQAS</t>
  </si>
  <si>
    <t>https://hivos.my.salesforce.com/sfc/servlet.shepherd/version/renditionDownload?rendition=ORIGINAL_Jpg&amp;versionId=0689N000001BieOQAS</t>
  </si>
  <si>
    <t>2023-07-09 13:39:00.000+03</t>
  </si>
  <si>
    <t>1.719138, 33.604422</t>
  </si>
  <si>
    <t>Mrs Opesen</t>
  </si>
  <si>
    <t>The HH lacked cow dung to feed in to the system because the cows where relocated to the village.  Stove was not producing gas.</t>
  </si>
  <si>
    <t>They want to construct another system in the village where they have cows and dung is easily accessible</t>
  </si>
  <si>
    <t>The photo of the stove could not be taken because the stove was dismantled and kept away.  The HH has no hope of reinstalling the current system but they are thinking of constructing another one in the village where the cows were relocated to.</t>
  </si>
  <si>
    <t>https://hivos.my.salesforce.com/sfc/servlet.shepherd/version/renditionDownload?rendition=ORIGINAL_Jpg&amp;versionId=0689N000001Aam8QAC</t>
  </si>
  <si>
    <t>https://hivos.my.salesforce.com/sfc/servlet.shepherd/version/renditionDownload?rendition=ORIGINAL_Jpg&amp;versionId=0689N000001AaQiQAK</t>
  </si>
  <si>
    <t>https://hivos.my.salesforce.com/sfc/servlet.shepherd/version/renditionDownload?rendition=ORIGINAL_Jpg&amp;versionId=0689N000001AanPQAS</t>
  </si>
  <si>
    <t>https://hivos.my.salesforce.com/sfc/servlet.shepherd/version/renditionDownload?rendition=ORIGINAL_Jpg&amp;versionId=0689N000001BircQAC</t>
  </si>
  <si>
    <t>2023-07-11 16:52:00.000+03</t>
  </si>
  <si>
    <t>1.743533, 33.597785</t>
  </si>
  <si>
    <t>Mrs Orena Magdalene</t>
  </si>
  <si>
    <t>She needs new light to replace the broken one</t>
  </si>
  <si>
    <t>The respondent is still interested in reinstalling the system.  The baseline stove was demolished.</t>
  </si>
  <si>
    <t>https://hivos.my.salesforce.com/sfc/servlet.shepherd/version/renditionDownload?rendition=ORIGINAL_Jpg&amp;versionId=0689N000001AyWcQAK</t>
  </si>
  <si>
    <t>https://hivos.my.salesforce.com/sfc/servlet.shepherd/version/renditionDownload?rendition=ORIGINAL_Jpg&amp;versionId=0689N000001AyWrQAK</t>
  </si>
  <si>
    <t>https://hivos.my.salesforce.com/sfc/servlet.shepherd/version/renditionDownload?rendition=ORIGINAL_Jpg&amp;versionId=0689N000001Ay08QAC</t>
  </si>
  <si>
    <t>https://hivos.my.salesforce.com/sfc/servlet.shepherd/version/renditionDownload?rendition=ORIGINAL_Jpg&amp;versionId=0689N000001BipDQAS</t>
  </si>
  <si>
    <t>2023-07-11 17:05:00.000+03</t>
  </si>
  <si>
    <t>2023-07-10 19:09:00.000+03</t>
  </si>
  <si>
    <t>1.818948, 33.716835</t>
  </si>
  <si>
    <t>Orone Moses</t>
  </si>
  <si>
    <t>Lacks cow dung</t>
  </si>
  <si>
    <t>https://hivos.my.salesforce.com/sfc/servlet.shepherd/version/renditionDownload?rendition=ORIGINAL_Jpg&amp;versionId=0689N000001Aq4CQAS</t>
  </si>
  <si>
    <t>https://hivos.my.salesforce.com/sfc/servlet.shepherd/version/renditionDownload?rendition=ORIGINAL_Jpg&amp;versionId=0689N000001AqQpQAK</t>
  </si>
  <si>
    <t>https://hivos.my.salesforce.com/sfc/servlet.shepherd/version/renditionDownload?rendition=ORIGINAL_Jpg&amp;versionId=0689N000001AqR9QAK</t>
  </si>
  <si>
    <t>https://hivos.my.salesforce.com/sfc/servlet.shepherd/version/renditionDownload?rendition=ORIGINAL_Jpg&amp;versionId=0689N000001Bj5dQAC</t>
  </si>
  <si>
    <t>2023-07-10 19:21:00.000+03</t>
  </si>
  <si>
    <t>2023-07-10 09:28:00.000+03</t>
  </si>
  <si>
    <t>Amanya Isaac - 701221096</t>
  </si>
  <si>
    <t>1.156688, 34.160862</t>
  </si>
  <si>
    <t>Gumijini John</t>
  </si>
  <si>
    <t>Cooking for the family</t>
  </si>
  <si>
    <t>Used as fertilizer;Bio slurry is sold</t>
  </si>
  <si>
    <t>Matooke , rice, grass for cattle</t>
  </si>
  <si>
    <t>it's not signficant</t>
  </si>
  <si>
    <t>Agriculture Extension Officer</t>
  </si>
  <si>
    <t>The gauge no longer gets to 10, it only goes to 8and he says it needs mataince</t>
  </si>
  <si>
    <t>Improving the lighting system</t>
  </si>
  <si>
    <t>The lights are nolonger working</t>
  </si>
  <si>
    <t>https://hivos.my.salesforce.com/sfc/servlet.shepherd/version/renditionDownload?rendition=ORIGINAL_Jpg&amp;versionId=0689N000001BOZMQA4</t>
  </si>
  <si>
    <t>https://hivos.my.salesforce.com/sfc/servlet.shepherd/version/renditionDownload?rendition=ORIGINAL_Jpg&amp;versionId=0689N000001BOZWQA4</t>
  </si>
  <si>
    <t>https://hivos.my.salesforce.com/sfc/servlet.shepherd/version/renditionDownload?rendition=ORIGINAL_Jpg&amp;versionId=0689N000001BOIPQA4</t>
  </si>
  <si>
    <t>https://hivos.my.salesforce.com/sfc/servlet.shepherd/version/renditionDownload?rendition=ORIGINAL_Jpg&amp;versionId=0689N000001BijxQAC</t>
  </si>
  <si>
    <t>2023-07-11 14:29:00.000+03</t>
  </si>
  <si>
    <t>1.092925, 34.190948</t>
  </si>
  <si>
    <t>Hawa Mafabi</t>
  </si>
  <si>
    <t>Needs to repair it but does not have cows</t>
  </si>
  <si>
    <t>Emptying the digester and getting a cow</t>
  </si>
  <si>
    <t>The biogas no longer works</t>
  </si>
  <si>
    <t>https://hivos.my.salesforce.com/sfc/servlet.shepherd/version/renditionDownload?rendition=ORIGINAL_Jpg&amp;versionId=0689N000001BOclQAG</t>
  </si>
  <si>
    <t>https://hivos.my.salesforce.com/sfc/servlet.shepherd/version/renditionDownload?rendition=ORIGINAL_Jpg&amp;versionId=0689N000001BOcqQAG</t>
  </si>
  <si>
    <t>https://hivos.my.salesforce.com/sfc/servlet.shepherd/version/renditionDownload?rendition=ORIGINAL_Jpg&amp;versionId=0689N000001BOcvQAG</t>
  </si>
  <si>
    <t>https://hivos.my.salesforce.com/sfc/servlet.shepherd/version/renditionDownload?rendition=ORIGINAL_Jpg&amp;versionId=0689N000001Bif4QAC</t>
  </si>
  <si>
    <t>2023-07-12 12:44:00.000+03</t>
  </si>
  <si>
    <t>1.110218, 34.201960</t>
  </si>
  <si>
    <t>Hazaik Were</t>
  </si>
  <si>
    <t>Sun drying</t>
  </si>
  <si>
    <t>Bean, matooke, maize,</t>
  </si>
  <si>
    <t>World Vision</t>
  </si>
  <si>
    <t>She still uses the 3 stone fire because the number of family members can not be cooked for on bio ga s,</t>
  </si>
  <si>
    <t>She uses biogas for cooking tea for school going children faster, and cooking sauce</t>
  </si>
  <si>
    <t>She needs a technical Person to come and check the digester because the amount of gas has reduced</t>
  </si>
  <si>
    <t>The biogas works and she's greatful</t>
  </si>
  <si>
    <t>https://hivos.my.salesforce.com/sfc/servlet.shepherd/version/renditionDownload?rendition=ORIGINAL_Jpg&amp;versionId=0689N000001BOdPQAW</t>
  </si>
  <si>
    <t>https://hivos.my.salesforce.com/sfc/servlet.shepherd/version/renditionDownload?rendition=ORIGINAL_Jpg&amp;versionId=0689N000001BOUNQA4</t>
  </si>
  <si>
    <t>https://hivos.my.salesforce.com/sfc/servlet.shepherd/version/renditionDownload?rendition=ORIGINAL_Jpg&amp;versionId=0689N000001BOdUQAW</t>
  </si>
  <si>
    <t>https://hivos.my.salesforce.com/sfc/servlet.shepherd/version/renditionDownload?rendition=ORIGINAL_Jpg&amp;versionId=0689N000001BiitQAC</t>
  </si>
  <si>
    <t>2023-07-10 17:24:00.000+03</t>
  </si>
  <si>
    <t>1.114928, 34.206117</t>
  </si>
  <si>
    <t>Kiviri Mwasiti</t>
  </si>
  <si>
    <t>Biogas used to work properly but got broken</t>
  </si>
  <si>
    <t>Repair for her broken pipes</t>
  </si>
  <si>
    <t>The biogas taken more than 5years without working</t>
  </si>
  <si>
    <t>https://hivos.my.salesforce.com/sfc/servlet.shepherd/version/renditionDownload?rendition=ORIGINAL_Jpg&amp;versionId=0689N000001BObTQAW</t>
  </si>
  <si>
    <t>https://hivos.my.salesforce.com/sfc/servlet.shepherd/version/renditionDownload?rendition=ORIGINAL_Jpg&amp;versionId=0689N000001BOHBQA4</t>
  </si>
  <si>
    <t>https://hivos.my.salesforce.com/sfc/servlet.shepherd/version/renditionDownload?rendition=ORIGINAL_Jpg&amp;versionId=0689N000001BOGcQAO</t>
  </si>
  <si>
    <t>https://hivos.my.salesforce.com/sfc/servlet.shepherd/version/renditionDownload?rendition=ORIGINAL_Jpg&amp;versionId=0689N000001BieVQAS</t>
  </si>
  <si>
    <t>2023-07-11 13:23:00.000+03</t>
  </si>
  <si>
    <t>1.102630, 34.195558</t>
  </si>
  <si>
    <t>Mugerwa Musa</t>
  </si>
  <si>
    <t>The animals and later the stove was stolen</t>
  </si>
  <si>
    <t>Give him a cow and a new stove since he is now available</t>
  </si>
  <si>
    <t>The stove was not there an digester has taken some time without working</t>
  </si>
  <si>
    <t>https://hivos.my.salesforce.com/sfc/servlet.shepherd/version/renditionDownload?rendition=ORIGINAL_Jpg&amp;versionId=0689N000001BOcHQAW</t>
  </si>
  <si>
    <t>https://hivos.my.salesforce.com/sfc/servlet.shepherd/version/renditionDownload?rendition=ORIGINAL_Jpg&amp;versionId=0689N000001BOYEQA4</t>
  </si>
  <si>
    <t>https://hivos.my.salesforce.com/sfc/servlet.shepherd/version/renditionDownload?rendition=ORIGINAL_Jpg&amp;versionId=0689N000001BOXBQA4</t>
  </si>
  <si>
    <t>https://hivos.my.salesforce.com/sfc/servlet.shepherd/version/renditionDownload?rendition=ORIGINAL_Jpg&amp;versionId=0689N000001BilUQAS</t>
  </si>
  <si>
    <t>2023-07-12 13:58:00.000+03</t>
  </si>
  <si>
    <t>1.103352, 34.199933</t>
  </si>
  <si>
    <t>Tomatoes, egg plants, sukuma, matooke, maize</t>
  </si>
  <si>
    <t>Feeding cows</t>
  </si>
  <si>
    <t>The pipes and joints need to be repaired so that the biogas can function fully like before</t>
  </si>
  <si>
    <t>Technical support like new joints and values</t>
  </si>
  <si>
    <t>The gas produced on the burner is less and it escapes</t>
  </si>
  <si>
    <t>https://hivos.my.salesforce.com/sfc/servlet.shepherd/version/renditionDownload?rendition=ORIGINAL_Jpg&amp;versionId=0689N000001BOETQA4</t>
  </si>
  <si>
    <t>https://hivos.my.salesforce.com/sfc/servlet.shepherd/version/renditionDownload?rendition=ORIGINAL_Jpg&amp;versionId=0689N000001BOPUQA4</t>
  </si>
  <si>
    <t>https://hivos.my.salesforce.com/sfc/servlet.shepherd/version/renditionDownload?rendition=ORIGINAL_Jpg&amp;versionId=0689N000001BOdjQAG</t>
  </si>
  <si>
    <t>https://hivos.my.salesforce.com/sfc/servlet.shepherd/version/renditionDownload?rendition=ORIGINAL_Jpg&amp;versionId=0689N000001BimcQAC</t>
  </si>
  <si>
    <t>2023-07-10 17:53:00.000+03</t>
  </si>
  <si>
    <t>1.113642, 34.207975</t>
  </si>
  <si>
    <t>No longer has energy to feed the digester</t>
  </si>
  <si>
    <t>She does not have animals and does not have energy to go collecting cow dung</t>
  </si>
  <si>
    <t>https://hivos.my.salesforce.com/sfc/servlet.shepherd/version/renditionDownload?rendition=ORIGINAL_Jpg&amp;versionId=0689N000001BOXVQA4</t>
  </si>
  <si>
    <t>https://hivos.my.salesforce.com/sfc/servlet.shepherd/version/renditionDownload?rendition=ORIGINAL_Jpg&amp;versionId=0689N000001BObdQAG</t>
  </si>
  <si>
    <t>https://hivos.my.salesforce.com/sfc/servlet.shepherd/version/renditionDownload?rendition=ORIGINAL_Jpg&amp;versionId=0689N000001BhyvQAC</t>
  </si>
  <si>
    <t>https://hivos.my.salesforce.com/sfc/servlet.shepherd/version/renditionDownload?rendition=ORIGINAL_Jpg&amp;versionId=0689N000001BObiQAG</t>
  </si>
  <si>
    <t>2023-07-11 10:55:00.000+03</t>
  </si>
  <si>
    <t>1.114410, 34.169310</t>
  </si>
  <si>
    <t>Ndaula Catherine</t>
  </si>
  <si>
    <t>She says the cost of repairing is high but she would love it fixed because it would help her cook faster</t>
  </si>
  <si>
    <t>Repair the whole system but it ha taken over 8 years minus working</t>
  </si>
  <si>
    <t>The digester no longer has pipes to the kitchen and no stove. She has improved cook stove uses a lot of firewood than three stone.</t>
  </si>
  <si>
    <t>https://hivos.my.salesforce.com/sfc/servlet.shepherd/version/renditionDownload?rendition=ORIGINAL_Jpg&amp;versionId=0689N000001BOc2QAG</t>
  </si>
  <si>
    <t>https://hivos.my.salesforce.com/sfc/servlet.shepherd/version/renditionDownload?rendition=ORIGINAL_Jpg&amp;versionId=0689N000001BOc7QAG</t>
  </si>
  <si>
    <t>https://hivos.my.salesforce.com/sfc/servlet.shepherd/version/renditionDownload?rendition=ORIGINAL_Jpg&amp;versionId=0689N000001BOaQQAW</t>
  </si>
  <si>
    <t>https://hivos.my.salesforce.com/sfc/servlet.shepherd/version/renditionDownload?rendition=ORIGINAL_Jpg&amp;versionId=0689N000001BiXeQAK</t>
  </si>
  <si>
    <t>2023-07-10 16:19:33.245+03</t>
  </si>
  <si>
    <t>1.127378, 34.228013</t>
  </si>
  <si>
    <t>Shadia Kayegi</t>
  </si>
  <si>
    <t>She hopes to get money in December to repair it because it was helping her to cook quikly</t>
  </si>
  <si>
    <t>Repair the joints of the pipe</t>
  </si>
  <si>
    <t>She says that the joints were spoilt and could not let the gas move to the burner</t>
  </si>
  <si>
    <t>https://hivos.my.salesforce.com/sfc/servlet.shepherd/version/renditionDownload?rendition=ORIGINAL_Jpg&amp;versionId=0689N000001BOajQAG</t>
  </si>
  <si>
    <t>https://hivos.my.salesforce.com/sfc/servlet.shepherd/version/renditionDownload?rendition=ORIGINAL_Jpg&amp;versionId=0689N000001BOWhQAO</t>
  </si>
  <si>
    <t>https://hivos.my.salesforce.com/sfc/servlet.shepherd/version/renditionDownload?rendition=ORIGINAL_Jpg&amp;versionId=0689N000001BOUmQAO</t>
  </si>
  <si>
    <t>https://hivos.my.salesforce.com/sfc/servlet.shepherd/version/renditionDownload?rendition=ORIGINAL_Jpg&amp;versionId=0689N000001BhylQAC</t>
  </si>
  <si>
    <t>2023-07-10 16:19:00.000+03</t>
  </si>
  <si>
    <t>2023-07-10 14:58:00.000+03</t>
  </si>
  <si>
    <t>1.134557, 34.222672</t>
  </si>
  <si>
    <t>The digester would be working but he bought another calf to resume using it</t>
  </si>
  <si>
    <t>He needs new pipes and technicians to empty the digester.</t>
  </si>
  <si>
    <t>The pipes have rust due to none usage and he says he loved it so much and that's why he bought a new heifer to resume using it</t>
  </si>
  <si>
    <t>https://hivos.my.salesforce.com/sfc/servlet.shepherd/version/renditionDownload?rendition=ORIGINAL_Jpg&amp;versionId=0689N000001BikVQAS</t>
  </si>
  <si>
    <t>https://hivos.my.salesforce.com/sfc/servlet.shepherd/version/renditionDownload?rendition=ORIGINAL_Jpg&amp;versionId=0689N000001BOUYQA4</t>
  </si>
  <si>
    <t>https://hivos.my.salesforce.com/sfc/servlet.shepherd/version/renditionDownload?rendition=ORIGINAL_Jpg&amp;versionId=0689N000001BOaFQAW</t>
  </si>
  <si>
    <t>https://hivos.my.salesforce.com/sfc/servlet.shepherd/version/renditionDownload?rendition=ORIGINAL_Jpg&amp;versionId=0689N000001BOUlQAO</t>
  </si>
  <si>
    <t>Ankwasa Benadine - 772660461</t>
  </si>
  <si>
    <t>-0.848151, 29.972744</t>
  </si>
  <si>
    <t>Everest Ainomujuni</t>
  </si>
  <si>
    <t>Yes;No3: I just let it run over my fields</t>
  </si>
  <si>
    <t>Bananas and coffee</t>
  </si>
  <si>
    <t>I relax and rest</t>
  </si>
  <si>
    <t>Biogas Contractor/Mason;Family Member/Friend</t>
  </si>
  <si>
    <t>These people don't  records so the estimations are hard</t>
  </si>
  <si>
    <t>There is less gas produced than the capacity expected so they would wish to hv tht addressed We need more training on bioslurry use</t>
  </si>
  <si>
    <t>They take good care of the system though their bioslurry is currently overflowing since neighbours are not aware about it</t>
  </si>
  <si>
    <t>https://hivos.my.salesforce.com/sfc/servlet.shepherd/version/renditionDownload?rendition=ORIGINAL_Jpg&amp;versionId=0689N000001BBwSQAW</t>
  </si>
  <si>
    <t>https://hivos.my.salesforce.com/sfc/servlet.shepherd/version/renditionDownload?rendition=ORIGINAL_Jpg&amp;versionId=0689N000001BBzkQAG</t>
  </si>
  <si>
    <t>https://hivos.my.salesforce.com/sfc/servlet.shepherd/version/renditionDownload?rendition=ORIGINAL_Jpg&amp;versionId=0689N000001BBugQAG</t>
  </si>
  <si>
    <t>https://hivos.my.salesforce.com/sfc/servlet.shepherd/version/renditionDownload?rendition=ORIGINAL_Jpg&amp;versionId=0689N000001BhX1QAK</t>
  </si>
  <si>
    <t>-0.718102, 29.856012</t>
  </si>
  <si>
    <t>Kigango Fred</t>
  </si>
  <si>
    <t>Bananas  and coffee</t>
  </si>
  <si>
    <t>Somewhat â€“ I observe a modest yield increase</t>
  </si>
  <si>
    <t>I don't remember</t>
  </si>
  <si>
    <t>They are older, and the biogas is helping them to easily cook food conveniently</t>
  </si>
  <si>
    <t>https://hivos.my.salesforce.com/sfc/servlet.shepherd/version/renditionDownload?rendition=ORIGINAL_Jpg&amp;versionId=0689N000001BZVzQAO</t>
  </si>
  <si>
    <t>https://hivos.my.salesforce.com/sfc/servlet.shepherd/version/renditionDownload?rendition=ORIGINAL_Jpg&amp;versionId=0689N000001BZRZQA4</t>
  </si>
  <si>
    <t>https://hivos.my.salesforce.com/sfc/servlet.shepherd/version/renditionDownload?rendition=ORIGINAL_Jpg&amp;versionId=0689N000001BZW4QAO</t>
  </si>
  <si>
    <t>https://hivos.my.salesforce.com/sfc/servlet.shepherd/version/renditionDownload?rendition=ORIGINAL_Jpg&amp;versionId=0689N000001BglyQAC</t>
  </si>
  <si>
    <t>2023-07-10 11:01:00.000+03</t>
  </si>
  <si>
    <t>-0.844928, 29.972136</t>
  </si>
  <si>
    <t>MAUDA KAMUGISHA</t>
  </si>
  <si>
    <t>The owner fell sick was away for a while and the biogas was mismanaged by the workers so he had to sell all the cows.though some times gas collects and they can boil aater</t>
  </si>
  <si>
    <t>They love using biogas because it is convenient The system has little gas resides tht are still used form from time  to time though they nolonger feed the digester</t>
  </si>
  <si>
    <t>https://hivos.my.salesforce.com/sfc/servlet.shepherd/version/renditionDownload?rendition=ORIGINAL_Jpg&amp;versionId=0689N000001BC2BQAW</t>
  </si>
  <si>
    <t>https://hivos.my.salesforce.com/sfc/servlet.shepherd/version/renditionDownload?rendition=ORIGINAL_Jpg&amp;versionId=0689N000001BC2tQAG</t>
  </si>
  <si>
    <t>https://hivos.my.salesforce.com/sfc/servlet.shepherd/version/renditionDownload?rendition=ORIGINAL_Jpg&amp;versionId=0689N000001BhE5QAK</t>
  </si>
  <si>
    <t>https://hivos.my.salesforce.com/sfc/servlet.shepherd/version/renditionDownload?rendition=ORIGINAL_Jpg&amp;versionId=0689N000001BC2yQAG</t>
  </si>
  <si>
    <t>2023-07-11 09:23:00.000+03</t>
  </si>
  <si>
    <t>-0.628074, 29.850107</t>
  </si>
  <si>
    <t>Coffee</t>
  </si>
  <si>
    <t>The company that installed. They used my home as the meeting place.i don't remember the company name</t>
  </si>
  <si>
    <t>Time to rest</t>
  </si>
  <si>
    <t>Keep it as back up stove</t>
  </si>
  <si>
    <t>His pressure gauge was faulty at the start and was still installed. He requested for a  new pressure gauge</t>
  </si>
  <si>
    <t>His digester has no cover.</t>
  </si>
  <si>
    <t>https://hivos.my.salesforce.com/sfc/servlet.shepherd/version/renditionDownload?rendition=ORIGINAL_Jpg&amp;versionId=0689N000001BYpxQAG</t>
  </si>
  <si>
    <t>https://hivos.my.salesforce.com/sfc/servlet.shepherd/version/renditionDownload?rendition=ORIGINAL_Jpg&amp;versionId=0689N000001BYpGQAW</t>
  </si>
  <si>
    <t>https://hivos.my.salesforce.com/sfc/servlet.shepherd/version/renditionDownload?rendition=ORIGINAL_Jpg&amp;versionId=0689N000001BYq6QAG</t>
  </si>
  <si>
    <t>https://hivos.my.salesforce.com/sfc/servlet.shepherd/version/renditionDownload?rendition=ORIGINAL_Jpg&amp;versionId=0689N000001BgOhQAK</t>
  </si>
  <si>
    <t>2023-07-11 11:46:00.000+03</t>
  </si>
  <si>
    <t>-0.720853, 29.855892</t>
  </si>
  <si>
    <t>Nkore Jeryminah</t>
  </si>
  <si>
    <t>Biogas Contractor/Mason</t>
  </si>
  <si>
    <t>https://hivos.my.salesforce.com/sfc/servlet.shepherd/version/renditionDownload?rendition=ORIGINAL_Jpg&amp;versionId=0689N000001BZWEQA4</t>
  </si>
  <si>
    <t>https://hivos.my.salesforce.com/sfc/servlet.shepherd/version/renditionDownload?rendition=ORIGINAL_Jpg&amp;versionId=0689N000001BZWJQA4</t>
  </si>
  <si>
    <t>https://hivos.my.salesforce.com/sfc/servlet.shepherd/version/renditionDownload?rendition=ORIGINAL_Jpg&amp;versionId=0689N000001BZWOQA4</t>
  </si>
  <si>
    <t>https://hivos.my.salesforce.com/sfc/servlet.shepherd/version/renditionDownload?rendition=ORIGINAL_Jpg&amp;versionId=0689N000001BhnsQAC</t>
  </si>
  <si>
    <t>2023-07-11 10:21:00.000+03</t>
  </si>
  <si>
    <t>-0.712774, 29.849561</t>
  </si>
  <si>
    <t>Nsima Charity</t>
  </si>
  <si>
    <t>She liked the lights but when her bulb became faulty she tried in vain to have it replaced and failed</t>
  </si>
  <si>
    <t>She needs biogas lamps and has never got them</t>
  </si>
  <si>
    <t>https://hivos.my.salesforce.com/sfc/servlet.shepherd/version/renditionDownload?rendition=ORIGINAL_Jpg&amp;versionId=0689N000001BZVfQAO</t>
  </si>
  <si>
    <t>https://hivos.my.salesforce.com/sfc/servlet.shepherd/version/renditionDownload?rendition=ORIGINAL_Jpg&amp;versionId=0689N000001BZVkQAO</t>
  </si>
  <si>
    <t>https://hivos.my.salesforce.com/sfc/servlet.shepherd/version/renditionDownload?rendition=ORIGINAL_Jpg&amp;versionId=0689N000001BZRfQAO</t>
  </si>
  <si>
    <t>https://hivos.my.salesforce.com/sfc/servlet.shepherd/version/renditionDownload?rendition=ORIGINAL_Jpg&amp;versionId=0689N000001BhndQAC</t>
  </si>
  <si>
    <t>-0.760813, 29.921892</t>
  </si>
  <si>
    <t>Tudyabagyenyi Sofia</t>
  </si>
  <si>
    <t>Matooke, grass for cows</t>
  </si>
  <si>
    <t>To get more lessons on hw to handle bioslury</t>
  </si>
  <si>
    <t>There should be regular meetings and training for the usrd to learn. From each other  Spare parts should be easily available on the market Young people should be trained on building biogas and using bio slurry to improve yields in farming</t>
  </si>
  <si>
    <t>https://hivos.my.salesforce.com/sfc/servlet.shepherd/version/renditionDownload?rendition=ORIGINAL_Jpg&amp;versionId=0689N000001BByLQAW</t>
  </si>
  <si>
    <t>https://hivos.my.salesforce.com/sfc/servlet.shepherd/version/renditionDownload?rendition=ORIGINAL_Jpg&amp;versionId=0689N000001BCJmQAO</t>
  </si>
  <si>
    <t>https://hivos.my.salesforce.com/sfc/servlet.shepherd/version/renditionDownload?rendition=ORIGINAL_Jpg&amp;versionId=0689N000001BCDhQAO</t>
  </si>
  <si>
    <t>https://hivos.my.salesforce.com/sfc/servlet.shepherd/version/renditionDownload?rendition=ORIGINAL_Jpg&amp;versionId=0689N000001BgzhQAC</t>
  </si>
  <si>
    <t>2023-07-10 09:30:00.000+03</t>
  </si>
  <si>
    <t>-0.884882, 30.023472</t>
  </si>
  <si>
    <t>Tugume Eva</t>
  </si>
  <si>
    <t>Biogas is good though we find challenges in using it because the gas is always quickly depleted</t>
  </si>
  <si>
    <t>To be helped and educated more</t>
  </si>
  <si>
    <t>https://hivos.my.salesforce.com/sfc/servlet.shepherd/version/renditionDownload?rendition=ORIGINAL_Jpg&amp;versionId=0689N000001BC2ZQAW</t>
  </si>
  <si>
    <t>https://hivos.my.salesforce.com/sfc/servlet.shepherd/version/renditionDownload?rendition=ORIGINAL_Jpg&amp;versionId=0689N000001BC2eQAG</t>
  </si>
  <si>
    <t>https://hivos.my.salesforce.com/sfc/servlet.shepherd/version/renditionDownload?rendition=ORIGINAL_Jpg&amp;versionId=0689N000001BgvOQAS</t>
  </si>
  <si>
    <t>2023-07-10 13:45:00.000+03</t>
  </si>
  <si>
    <t>-0.784692, 29.933757</t>
  </si>
  <si>
    <t>Tumwesigye Penninah</t>
  </si>
  <si>
    <t>Bio gas solutions</t>
  </si>
  <si>
    <t>Productive time use;Social activities;Family activities</t>
  </si>
  <si>
    <t>Visiting the church;Chatting with neighbours, friends etc</t>
  </si>
  <si>
    <t>Biogas has eased work and cooking of food is fast</t>
  </si>
  <si>
    <t>They are generally happy with the constant check up and the services offered. Her bio gas was repaired for free</t>
  </si>
  <si>
    <t>https://hivos.my.salesforce.com/sfc/servlet.shepherd/version/renditionDownload?rendition=ORIGINAL_Jpg&amp;versionId=0689N000001BC1ZQAW</t>
  </si>
  <si>
    <t>https://hivos.my.salesforce.com/sfc/servlet.shepherd/version/renditionDownload?rendition=ORIGINAL_Jpg&amp;versionId=0689N000001BC25QAG</t>
  </si>
  <si>
    <t>https://hivos.my.salesforce.com/sfc/servlet.shepherd/version/renditionDownload?rendition=ORIGINAL_Jpg&amp;versionId=0689N000001BC2AQAW</t>
  </si>
  <si>
    <t>https://hivos.my.salesforce.com/sfc/servlet.shepherd/version/renditionDownload?rendition=ORIGINAL_Jpg&amp;versionId=0689N000001BhH8QAK</t>
  </si>
  <si>
    <t>2023-07-10 14:03:00.000+03</t>
  </si>
  <si>
    <t>2023-07-10 08:18:00.000+03</t>
  </si>
  <si>
    <t>-0.950122, 30.040578</t>
  </si>
  <si>
    <t>We would require an expert to advise how to revive our biodigester</t>
  </si>
  <si>
    <t>Support to repair the system</t>
  </si>
  <si>
    <t>They are passionate about this technology</t>
  </si>
  <si>
    <t>https://hivos.my.salesforce.com/sfc/servlet.shepherd/version/renditionDownload?rendition=ORIGINAL_Jpg&amp;versionId=0689N000001BBzuQAG</t>
  </si>
  <si>
    <t>https://hivos.my.salesforce.com/sfc/servlet.shepherd/version/renditionDownload?rendition=ORIGINAL_Jpg&amp;versionId=0689N000001BC2KQAW</t>
  </si>
  <si>
    <t>https://hivos.my.salesforce.com/sfc/servlet.shepherd/version/renditionDownload?rendition=ORIGINAL_Jpg&amp;versionId=0689N000001BgrJQAS</t>
  </si>
  <si>
    <t>2023-07-11 13:18:00.000+03</t>
  </si>
  <si>
    <t>0.383002, 32.841765</t>
  </si>
  <si>
    <t>Aida Galanju</t>
  </si>
  <si>
    <t>The household feels that it will be costly for them to work on the digester so that it works again since it stops long time ago</t>
  </si>
  <si>
    <t>Biogas to help them fix their digesters freely</t>
  </si>
  <si>
    <t>Some of the  pipes on the digester were cut. The digester has really been disserted</t>
  </si>
  <si>
    <t>https://hivos.my.salesforce.com/sfc/servlet.shepherd/version/renditionDownload?rendition=ORIGINAL_Jpg&amp;versionId=0689N000001B0RHQA0</t>
  </si>
  <si>
    <t>https://hivos.my.salesforce.com/sfc/servlet.shepherd/version/renditionDownload?rendition=ORIGINAL_Jpg&amp;versionId=0689N000001B0PHQA0</t>
  </si>
  <si>
    <t>https://hivos.my.salesforce.com/sfc/servlet.shepherd/version/renditionDownload?rendition=ORIGINAL_Jpg&amp;versionId=0689N000001BiRqQAK</t>
  </si>
  <si>
    <t>2023-07-11 13:30:00.000+03</t>
  </si>
  <si>
    <t>2023-07-11 16:26:00.000+03</t>
  </si>
  <si>
    <t>0.365003, 32.715432</t>
  </si>
  <si>
    <t>Anne Bagatya</t>
  </si>
  <si>
    <t>They need it to work again but emptying has become very hard for them especially on the cost</t>
  </si>
  <si>
    <t>The digester is very new and looks to have been used of recent as the slurry is fresh</t>
  </si>
  <si>
    <t>https://hivos.my.salesforce.com/sfc/servlet.shepherd/version/renditionDownload?rendition=ORIGINAL_Jpg&amp;versionId=0689N000001B0RgQAK</t>
  </si>
  <si>
    <t>https://hivos.my.salesforce.com/sfc/servlet.shepherd/version/renditionDownload?rendition=ORIGINAL_Jpg&amp;versionId=0689N000001B0LbQAK</t>
  </si>
  <si>
    <t>https://hivos.my.salesforce.com/sfc/servlet.shepherd/version/renditionDownload?rendition=ORIGINAL_Jpg&amp;versionId=0689N000001B0RlQAK</t>
  </si>
  <si>
    <t>https://hivos.my.salesforce.com/sfc/servlet.shepherd/version/renditionDownload?rendition=ORIGINAL_Jpg&amp;versionId=0689N000001BijCQAS</t>
  </si>
  <si>
    <t>2023-07-11 16:43:00.000+03</t>
  </si>
  <si>
    <t>0.362768, 32.764767</t>
  </si>
  <si>
    <t>Bamugye Cissy</t>
  </si>
  <si>
    <t>Banana, tomatoes</t>
  </si>
  <si>
    <t>Masons</t>
  </si>
  <si>
    <t>To include a technology of Refrigerators that use biogas</t>
  </si>
  <si>
    <t>The system is still in good state and cared for</t>
  </si>
  <si>
    <t>https://hivos.my.salesforce.com/sfc/servlet.shepherd/version/renditionDownload?rendition=ORIGINAL_Jpg&amp;versionId=0689N000001An8EQAS</t>
  </si>
  <si>
    <t>https://hivos.my.salesforce.com/sfc/servlet.shepherd/version/renditionDownload?rendition=ORIGINAL_Jpg&amp;versionId=0689N000001An4hQAC</t>
  </si>
  <si>
    <t>https://hivos.my.salesforce.com/sfc/servlet.shepherd/version/renditionDownload?rendition=ORIGINAL_Jpg&amp;versionId=0689N000001An6qQAC</t>
  </si>
  <si>
    <t>https://hivos.my.salesforce.com/sfc/servlet.shepherd/version/renditionDownload?rendition=ORIGINAL_Jpg&amp;versionId=0689N000001BiAvQAK</t>
  </si>
  <si>
    <t>2023-07-11 14:42:00.000+03</t>
  </si>
  <si>
    <t>0.423622, 32.755905</t>
  </si>
  <si>
    <t>Maama Abdu</t>
  </si>
  <si>
    <t>The household disconnected the pipes since they lost hope in the usage of the digester</t>
  </si>
  <si>
    <t>The digester is disserted and no hopes of being used again</t>
  </si>
  <si>
    <t>https://hivos.my.salesforce.com/sfc/servlet.shepherd/version/renditionDownload?rendition=ORIGINAL_Jpg&amp;versionId=0689N000001B0RRQA0</t>
  </si>
  <si>
    <t>https://hivos.my.salesforce.com/sfc/servlet.shepherd/version/renditionDownload?rendition=ORIGINAL_Jpg&amp;versionId=0689N000001BibmQAC</t>
  </si>
  <si>
    <t>2023-07-11 14:47:00.000+03</t>
  </si>
  <si>
    <t>2023-07-10 12:32:00.000+03</t>
  </si>
  <si>
    <t>0.366102, 32.737933</t>
  </si>
  <si>
    <t>Banana, pineapples</t>
  </si>
  <si>
    <t>Social activities</t>
  </si>
  <si>
    <t>Watching TV/social media</t>
  </si>
  <si>
    <t>Production of good equipment to help in mixing dung and water</t>
  </si>
  <si>
    <t>The household would like to acquire an equipment for mixing dung and water since the mason promised and never brought it</t>
  </si>
  <si>
    <t>https://hivos.my.salesforce.com/sfc/servlet.shepherd/version/renditionDownload?rendition=ORIGINAL_Jpg&amp;versionId=0689N000001An8LQAS</t>
  </si>
  <si>
    <t>https://hivos.my.salesforce.com/sfc/servlet.shepherd/version/renditionDownload?rendition=ORIGINAL_Jpg&amp;versionId=0689N000001An55QAC</t>
  </si>
  <si>
    <t>https://hivos.my.salesforce.com/sfc/servlet.shepherd/version/renditionDownload?rendition=ORIGINAL_Jpg&amp;versionId=0689N000001An9SQAS</t>
  </si>
  <si>
    <t>https://hivos.my.salesforce.com/sfc/servlet.shepherd/version/renditionDownload?rendition=ORIGINAL_Jpg&amp;versionId=0689N000001BibxQAC</t>
  </si>
  <si>
    <t>2023-07-10 13:02:00.000+03</t>
  </si>
  <si>
    <t>2023-07-12 11:07:00.000+03</t>
  </si>
  <si>
    <t>0.708938, 32.906127</t>
  </si>
  <si>
    <t>Michael Semussu</t>
  </si>
  <si>
    <t>Banana plantation</t>
  </si>
  <si>
    <t>The household requested that Biogas as a company should do again the training sessions they used to do in villages</t>
  </si>
  <si>
    <t>Training sessions to resume again</t>
  </si>
  <si>
    <t>The household is still using biogas and caring for it except they said that gas is nolonger stronger like it used to be</t>
  </si>
  <si>
    <t>https://hivos.my.salesforce.com/sfc/servlet.shepherd/version/renditionDownload?rendition=ORIGINAL_Jpg&amp;versionId=0689N000001BBQxQAO</t>
  </si>
  <si>
    <t>https://hivos.my.salesforce.com/sfc/servlet.shepherd/version/renditionDownload?rendition=ORIGINAL_Jpg&amp;versionId=0689N000001BBR2QAO</t>
  </si>
  <si>
    <t>https://hivos.my.salesforce.com/sfc/servlet.shepherd/version/renditionDownload?rendition=ORIGINAL_Jpg&amp;versionId=0689N000001BBR7QAO</t>
  </si>
  <si>
    <t>https://hivos.my.salesforce.com/sfc/servlet.shepherd/version/renditionDownload?rendition=ORIGINAL_Jpg&amp;versionId=0689N000001Bim8QAC</t>
  </si>
  <si>
    <t>2023-07-12 11:32:00.000+03</t>
  </si>
  <si>
    <t>0.344377, 32.759760</t>
  </si>
  <si>
    <t>Banana, green papers, egg plants</t>
  </si>
  <si>
    <t>The biogas is used for cooking and is connected to both the household and farm</t>
  </si>
  <si>
    <t>https://hivos.my.salesforce.com/sfc/servlet.shepherd/version/renditionDownload?rendition=ORIGINAL_Jpg&amp;versionId=0689N000001An5pQAC</t>
  </si>
  <si>
    <t>https://hivos.my.salesforce.com/sfc/servlet.shepherd/version/renditionDownload?rendition=ORIGINAL_Jpg&amp;versionId=0689N000001An6CQAS</t>
  </si>
  <si>
    <t>https://hivos.my.salesforce.com/sfc/servlet.shepherd/version/renditionDownload?rendition=ORIGINAL_Jpg&amp;versionId=0689N000001AmvcQAC</t>
  </si>
  <si>
    <t>https://hivos.my.salesforce.com/sfc/servlet.shepherd/version/renditionDownload?rendition=ORIGINAL_Jpg&amp;versionId=0689N000001BikBQAS</t>
  </si>
  <si>
    <t>2023-07-11 11:42:00.000+03</t>
  </si>
  <si>
    <t>0.352178, 32.773662</t>
  </si>
  <si>
    <t>Nakiwala Margaret</t>
  </si>
  <si>
    <t>Banana, Cassava, Sweet potatoes</t>
  </si>
  <si>
    <t>The cowdung collected is too much, so the remainder is taken direct to the garden</t>
  </si>
  <si>
    <t>Biogas company should make spare parts available just in case clients need them</t>
  </si>
  <si>
    <t>Spare parts to be brought on market and also strong lighting connections</t>
  </si>
  <si>
    <t>The household got a double burner (rectangular locall made) but one burner stopped working since the mason broke it accidentally. And it was never replaced so they bought a single burner</t>
  </si>
  <si>
    <t>https://hivos.my.salesforce.com/sfc/servlet.shepherd/version/renditionDownload?rendition=ORIGINAL_Jpg&amp;versionId=0689N000001B0QnQAK</t>
  </si>
  <si>
    <t>https://hivos.my.salesforce.com/sfc/servlet.shepherd/version/renditionDownload?rendition=ORIGINAL_Jpg&amp;versionId=0689N000001B0QsQAK</t>
  </si>
  <si>
    <t>https://hivos.my.salesforce.com/sfc/servlet.shepherd/version/renditionDownload?rendition=ORIGINAL_Jpg&amp;versionId=0689N000001B0JxQAK</t>
  </si>
  <si>
    <t>https://hivos.my.salesforce.com/sfc/servlet.shepherd/version/renditionDownload?rendition=ORIGINAL_Jpg&amp;versionId=0689N000001Bil0QAC</t>
  </si>
  <si>
    <t>2023-07-11 12:13:00.000+03</t>
  </si>
  <si>
    <t>2023-07-12 11:46:00.000+03</t>
  </si>
  <si>
    <t>0.710755, 32.908368</t>
  </si>
  <si>
    <t>Secretary at the Catholic parish</t>
  </si>
  <si>
    <t>Our Lady of Fatima Catholic parish Kayunga</t>
  </si>
  <si>
    <t>The respondent said that the ones who used to mix went to school and no one is available to feed it.</t>
  </si>
  <si>
    <t>The digester looked to have been disserted for some long time</t>
  </si>
  <si>
    <t>https://hivos.my.salesforce.com/sfc/servlet.shepherd/version/renditionDownload?rendition=ORIGINAL_Jpg&amp;versionId=0689N000001BBRMQA4</t>
  </si>
  <si>
    <t>https://hivos.my.salesforce.com/sfc/servlet.shepherd/version/renditionDownload?rendition=ORIGINAL_Jpg&amp;versionId=0689N000001BimIQAS</t>
  </si>
  <si>
    <t>2023-07-12 11:59:00.000+03</t>
  </si>
  <si>
    <t>2023-07-11 12:42:00.000+03</t>
  </si>
  <si>
    <t>0.351248, 32.777018</t>
  </si>
  <si>
    <t>Security guard</t>
  </si>
  <si>
    <t>Sulaiman Tenywa</t>
  </si>
  <si>
    <t>They requested to be removed from the database. Because even the digester structure was removed permanently</t>
  </si>
  <si>
    <t>The digester is not in existence. And only the security guard stays there</t>
  </si>
  <si>
    <t>https://hivos.my.salesforce.com/sfc/servlet.shepherd/version/renditionDownload?rendition=ORIGINAL_Jpg&amp;versionId=0689N000001B0EiQAK</t>
  </si>
  <si>
    <t>https://hivos.my.salesforce.com/sfc/servlet.shepherd/version/renditionDownload?rendition=ORIGINAL_Jpg&amp;versionId=0689N000001B0R2QAK</t>
  </si>
  <si>
    <t>https://hivos.my.salesforce.com/sfc/servlet.shepherd/version/renditionDownload?rendition=ORIGINAL_Jpg&amp;versionId=0689N000001B0PvQAK</t>
  </si>
  <si>
    <t>https://hivos.my.salesforce.com/sfc/servlet.shepherd/version/renditionDownload?rendition=ORIGINAL_Jpg&amp;versionId=0689N000001Bhu2QAC</t>
  </si>
  <si>
    <t>2023-07-11 12:47:00.000+03</t>
  </si>
  <si>
    <t>2023-07-11 16:58:00.000+03</t>
  </si>
  <si>
    <t>Ayebare Sharon - 701298000</t>
  </si>
  <si>
    <t>0.113712, 32.497693</t>
  </si>
  <si>
    <t>Dambya Patric</t>
  </si>
  <si>
    <t>Maize, sweet pepper,oranges,matoke,flowers.</t>
  </si>
  <si>
    <t>The mansons,and read on books,internate</t>
  </si>
  <si>
    <t>Weeding my gardens</t>
  </si>
  <si>
    <t>Farming</t>
  </si>
  <si>
    <t>TV Programmes;Newspaper/Magazines</t>
  </si>
  <si>
    <t>They want are gerator for biogas which can be used for lighting too as well.</t>
  </si>
  <si>
    <t>Too much gas is produced .</t>
  </si>
  <si>
    <t>https://hivos.my.salesforce.com/sfc/servlet.shepherd/version/renditionDownload?rendition=ORIGINAL_Jpg&amp;versionId=0689N000001AypqQAC</t>
  </si>
  <si>
    <t>https://hivos.my.salesforce.com/sfc/servlet.shepherd/version/renditionDownload?rendition=ORIGINAL_Jpg&amp;versionId=0689N000001AywsQAC</t>
  </si>
  <si>
    <t>https://hivos.my.salesforce.com/sfc/servlet.shepherd/version/renditionDownload?rendition=ORIGINAL_Jpg&amp;versionId=0689N000001AyuEQAS</t>
  </si>
  <si>
    <t>https://hivos.my.salesforce.com/sfc/servlet.shepherd/version/renditionDownload?rendition=ORIGINAL_Jpg&amp;versionId=0689N000001Bi13QAC</t>
  </si>
  <si>
    <t>2023-07-11 16:29:00.000+03</t>
  </si>
  <si>
    <t>2023-07-12 14:13:00.000+03</t>
  </si>
  <si>
    <t>0.397570, 32.436580</t>
  </si>
  <si>
    <t>Elizabeth Ewingu</t>
  </si>
  <si>
    <t>Bananas , vegetable's ,</t>
  </si>
  <si>
    <t>The masos</t>
  </si>
  <si>
    <t>The one of the stove burners brings little fire.</t>
  </si>
  <si>
    <t>https://hivos.my.salesforce.com/sfc/servlet.shepherd/version/renditionDownload?rendition=ORIGINAL_Jpg&amp;versionId=0689N000001BCASQA4</t>
  </si>
  <si>
    <t>https://hivos.my.salesforce.com/sfc/servlet.shepherd/version/renditionDownload?rendition=ORIGINAL_Jpg&amp;versionId=0689N000001BCMAQA4</t>
  </si>
  <si>
    <t>https://hivos.my.salesforce.com/sfc/servlet.shepherd/version/renditionDownload?rendition=ORIGINAL_Jpg&amp;versionId=0689N000001BCBUQA4</t>
  </si>
  <si>
    <t>https://hivos.my.salesforce.com/sfc/servlet.shepherd/version/renditionDownload?rendition=ORIGINAL_Jpg&amp;versionId=0689N000001Bj1NQAS</t>
  </si>
  <si>
    <t>2023-07-12 14:35:00.000+03</t>
  </si>
  <si>
    <t>2023-07-11 18:57:00.000+03</t>
  </si>
  <si>
    <t>0.213372, 32.556188</t>
  </si>
  <si>
    <t>Immaculate kijjagugwe</t>
  </si>
  <si>
    <t>It's already fixed and worked on just waiting for gas to start being produced.</t>
  </si>
  <si>
    <t>It's size 13 big size so refilling it is delayed but now it would be working</t>
  </si>
  <si>
    <t>https://hivos.my.salesforce.com/sfc/servlet.shepherd/version/renditionDownload?rendition=ORIGINAL_Jpg&amp;versionId=0689N000001AyhUQAS</t>
  </si>
  <si>
    <t>https://hivos.my.salesforce.com/sfc/servlet.shepherd/version/renditionDownload?rendition=ORIGINAL_Jpg&amp;versionId=0689N000001AyQgQAK</t>
  </si>
  <si>
    <t>https://hivos.my.salesforce.com/sfc/servlet.shepherd/version/renditionDownload?rendition=ORIGINAL_Jpg&amp;versionId=0689N000001AywjQAC</t>
  </si>
  <si>
    <t>https://hivos.my.salesforce.com/sfc/servlet.shepherd/version/renditionDownload?rendition=ORIGINAL_Jpg&amp;versionId=0689N000001BiUjQAK</t>
  </si>
  <si>
    <t>2023-07-11 19:10:00.000+03</t>
  </si>
  <si>
    <t>0.210852, 32.548542</t>
  </si>
  <si>
    <t>Kiwumoro Namatovu Norah</t>
  </si>
  <si>
    <t>The system is still very knew if fixed can work very well</t>
  </si>
  <si>
    <t>We need atectnician</t>
  </si>
  <si>
    <t>They need help for they even have feeding materials</t>
  </si>
  <si>
    <t>https://hivos.my.salesforce.com/sfc/servlet.shepherd/version/renditionDownload?rendition=ORIGINAL_Jpg&amp;versionId=0689N000001AyhTQAS</t>
  </si>
  <si>
    <t>https://hivos.my.salesforce.com/sfc/servlet.shepherd/version/renditionDownload?rendition=ORIGINAL_Jpg&amp;versionId=0689N000001AyQoQAK</t>
  </si>
  <si>
    <t>https://hivos.my.salesforce.com/sfc/servlet.shepherd/version/renditionDownload?rendition=ORIGINAL_Jpg&amp;versionId=0689N000001AywYQAS</t>
  </si>
  <si>
    <t>https://hivos.my.salesforce.com/sfc/servlet.shepherd/version/renditionDownload?rendition=ORIGINAL_Jpg&amp;versionId=0689N000001BikHQAS</t>
  </si>
  <si>
    <t>2023-07-10 09:16:00.000+03</t>
  </si>
  <si>
    <t>0.331325, 32.675353</t>
  </si>
  <si>
    <t>Loy lule</t>
  </si>
  <si>
    <t>Tomatoes,Bananas,egg plants,greens</t>
  </si>
  <si>
    <t>Heifa company</t>
  </si>
  <si>
    <t>Productive time use;Family activities</t>
  </si>
  <si>
    <t>Biogas Program;Biogas Contractor/Mason</t>
  </si>
  <si>
    <t>We would like to have a double burner</t>
  </si>
  <si>
    <t>If you can support us with acow</t>
  </si>
  <si>
    <t>https://hivos.my.salesforce.com/sfc/servlet.shepherd/version/renditionDownload?rendition=ORIGINAL_Jpg&amp;versionId=0689N000001AymZQAS</t>
  </si>
  <si>
    <t>https://hivos.my.salesforce.com/sfc/servlet.shepherd/version/renditionDownload?rendition=ORIGINAL_Jpg&amp;versionId=0689N000001AyxMQAS</t>
  </si>
  <si>
    <t>https://hivos.my.salesforce.com/sfc/servlet.shepherd/version/renditionDownload?rendition=ORIGINAL_Jpg&amp;versionId=0689N000001Ayk8QAC</t>
  </si>
  <si>
    <t>https://hivos.my.salesforce.com/sfc/servlet.shepherd/version/renditionDownload?rendition=ORIGINAL_Jpg&amp;versionId=0689N000001BiBIQA0</t>
  </si>
  <si>
    <t>2023-07-10 09:40:00.000+03</t>
  </si>
  <si>
    <t>2023-07-10 11:40:00.000+03</t>
  </si>
  <si>
    <t>0.359027, 32.643193</t>
  </si>
  <si>
    <t>Used as fertilizer;Bioslurry is sold</t>
  </si>
  <si>
    <t>Fruits</t>
  </si>
  <si>
    <t>Tending to cows</t>
  </si>
  <si>
    <t>My cows only</t>
  </si>
  <si>
    <t>Get me customers for the bio slury</t>
  </si>
  <si>
    <t>https://hivos.my.salesforce.com/sfc/servlet.shepherd/version/renditionDownload?rendition=ORIGINAL_Jpg&amp;versionId=0689N000001AystQAC</t>
  </si>
  <si>
    <t>https://hivos.my.salesforce.com/sfc/servlet.shepherd/version/renditionDownload?rendition=ORIGINAL_Jpg&amp;versionId=0689N000001AyvuQAC</t>
  </si>
  <si>
    <t>https://hivos.my.salesforce.com/sfc/servlet.shepherd/version/renditionDownload?rendition=ORIGINAL_Jpg&amp;versionId=0689N000001AyvvQAC</t>
  </si>
  <si>
    <t>https://hivos.my.salesforce.com/sfc/servlet.shepherd/version/renditionDownload?rendition=ORIGINAL_Jpg&amp;versionId=0689N000001BizIQAS</t>
  </si>
  <si>
    <t>2023-07-10 12:02:00.000+03</t>
  </si>
  <si>
    <t>2023-07-10 16:00:00.000+03</t>
  </si>
  <si>
    <t>0.215175, 32.511313</t>
  </si>
  <si>
    <t>Magarura Martin</t>
  </si>
  <si>
    <t>Bio slurry is sold</t>
  </si>
  <si>
    <t>Bananas,beans and maize, elephant grass</t>
  </si>
  <si>
    <t>Manson</t>
  </si>
  <si>
    <t>My cows</t>
  </si>
  <si>
    <t>Only cows</t>
  </si>
  <si>
    <t>I would like to have another one in lwengo</t>
  </si>
  <si>
    <t>Another biogas plant and if they can give me buyers of slury</t>
  </si>
  <si>
    <t>It's Avery good working system at most water was a big problem so I started using cow uren to mix biodegester.</t>
  </si>
  <si>
    <t>https://hivos.my.salesforce.com/sfc/servlet.shepherd/version/renditionDownload?rendition=ORIGINAL_Jpg&amp;versionId=0689N000001AyhVQAS</t>
  </si>
  <si>
    <t>https://hivos.my.salesforce.com/sfc/servlet.shepherd/version/renditionDownload?rendition=ORIGINAL_Jpg&amp;versionId=0689N000001AywyQAC</t>
  </si>
  <si>
    <t>https://hivos.my.salesforce.com/sfc/servlet.shepherd/version/renditionDownload?rendition=ORIGINAL_Jpg&amp;versionId=0689N000001AyxWQAS</t>
  </si>
  <si>
    <t>https://hivos.my.salesforce.com/sfc/servlet.shepherd/version/renditionDownload?rendition=ORIGINAL_Jpg&amp;versionId=0689N000001BibcQAC</t>
  </si>
  <si>
    <t>2023-07-10 16:41:00.000+03</t>
  </si>
  <si>
    <t>2023-07-12 15:48:00.000+03</t>
  </si>
  <si>
    <t>0.409135, 32.467527</t>
  </si>
  <si>
    <t>Marry lukwago Nalongo</t>
  </si>
  <si>
    <t>Bananas,greens,</t>
  </si>
  <si>
    <t>Higher yields</t>
  </si>
  <si>
    <t>Biogas solutions uganda</t>
  </si>
  <si>
    <t>I want some one who can buy my slurry</t>
  </si>
  <si>
    <t>The slurry is just getting wasted</t>
  </si>
  <si>
    <t>https://hivos.my.salesforce.com/sfc/servlet.shepherd/version/renditionDownload?rendition=ORIGINAL_Jpg&amp;versionId=0689N000001BCNGQA4</t>
  </si>
  <si>
    <t>https://hivos.my.salesforce.com/sfc/servlet.shepherd/version/renditionDownload?rendition=ORIGINAL_Jpg&amp;versionId=0689N000001BBtxQAG</t>
  </si>
  <si>
    <t>https://hivos.my.salesforce.com/sfc/servlet.shepherd/version/renditionDownload?rendition=ORIGINAL_Jpg&amp;versionId=0689N000001BCNLQA4</t>
  </si>
  <si>
    <t>https://hivos.my.salesforce.com/sfc/servlet.shepherd/version/renditionDownload?rendition=ORIGINAL_Jpg&amp;versionId=0689N000001Bj18QAC</t>
  </si>
  <si>
    <t>2023-07-12 16:19:00.000+03</t>
  </si>
  <si>
    <t>2023-07-11 12:34:00.000+03</t>
  </si>
  <si>
    <t>0.250625, 32.558702</t>
  </si>
  <si>
    <t>Mrs Magret Ntege</t>
  </si>
  <si>
    <t>I have no energy I can't manage it now.</t>
  </si>
  <si>
    <t>It was difficult to mentain when our animals got finished.</t>
  </si>
  <si>
    <t>https://hivos.my.salesforce.com/sfc/servlet.shepherd/version/renditionDownload?rendition=ORIGINAL_Jpg&amp;versionId=0689N000001AywOQAS</t>
  </si>
  <si>
    <t>https://hivos.my.salesforce.com/sfc/servlet.shepherd/version/renditionDownload?rendition=ORIGINAL_Jpg&amp;versionId=0689N000001Ayi2QAC</t>
  </si>
  <si>
    <t>https://hivos.my.salesforce.com/sfc/servlet.shepherd/version/renditionDownload?rendition=ORIGINAL_Jpg&amp;versionId=0689N000001Ayu4QAC</t>
  </si>
  <si>
    <t>https://hivos.my.salesforce.com/sfc/servlet.shepherd/version/renditionDownload?rendition=ORIGINAL_Jpg&amp;versionId=0689N000001BignQAC</t>
  </si>
  <si>
    <t>2023-07-11 12:41:00.000+03</t>
  </si>
  <si>
    <t>2023-07-10 13:59:00.000+03</t>
  </si>
  <si>
    <t>0.203625, 32.612517</t>
  </si>
  <si>
    <t>Mukasa Medard</t>
  </si>
  <si>
    <t>I decided to even reduce on my animals.but also I want to connect to the toilet</t>
  </si>
  <si>
    <t>To come and see because gas was not getting produced.</t>
  </si>
  <si>
    <t>https://hivos.my.salesforce.com/sfc/servlet.shepherd/version/renditionDownload?rendition=ORIGINAL_Jpg&amp;versionId=0689N000001AyoBQAS</t>
  </si>
  <si>
    <t>https://hivos.my.salesforce.com/sfc/servlet.shepherd/version/renditionDownload?rendition=ORIGINAL_Jpg&amp;versionId=0689N000001AyqiQAC</t>
  </si>
  <si>
    <t>https://hivos.my.salesforce.com/sfc/servlet.shepherd/version/renditionDownload?rendition=ORIGINAL_Jpg&amp;versionId=0689N000001AywEQAS</t>
  </si>
  <si>
    <t>https://hivos.my.salesforce.com/sfc/servlet.shepherd/version/renditionDownload?rendition=ORIGINAL_Jpg&amp;versionId=0689N000001BiMQQA0</t>
  </si>
  <si>
    <t>2023-07-10 14:12:00.000+03</t>
  </si>
  <si>
    <t>2023-07-11 15:20:00.000+03</t>
  </si>
  <si>
    <t>0.189515, 32.519525</t>
  </si>
  <si>
    <t>Murungi k Doreen</t>
  </si>
  <si>
    <t>But the slurry is still coming out but no gas</t>
  </si>
  <si>
    <t>We shall need atectnician at time when we restock our birds</t>
  </si>
  <si>
    <t>They used poultry droppings as a major feeding materials</t>
  </si>
  <si>
    <t>https://hivos.my.salesforce.com/sfc/servlet.shepherd/version/renditionDownload?rendition=ORIGINAL_Jpg&amp;versionId=0689N000001AyWJQA0</t>
  </si>
  <si>
    <t>https://hivos.my.salesforce.com/sfc/servlet.shepherd/version/renditionDownload?rendition=ORIGINAL_Jpg&amp;versionId=0689N000001AytLQAS</t>
  </si>
  <si>
    <t>https://hivos.my.salesforce.com/sfc/servlet.shepherd/version/renditionDownload?rendition=ORIGINAL_Jpg&amp;versionId=0689N000001AywiQAC</t>
  </si>
  <si>
    <t>https://hivos.my.salesforce.com/sfc/servlet.shepherd/version/renditionDownload?rendition=ORIGINAL_Jpg&amp;versionId=0689N000001Bii1QAC</t>
  </si>
  <si>
    <t>2023-07-11 15:33:00.000+03</t>
  </si>
  <si>
    <t>2023-07-12 10:33:00.000+03</t>
  </si>
  <si>
    <t>0.987348, 34.330170</t>
  </si>
  <si>
    <t>Kabuni Jenifer</t>
  </si>
  <si>
    <t>Bananas</t>
  </si>
  <si>
    <t>She mad the biogas system without any assistance from the group yet they  had promised to assist her during contractions like how they had  helped other neighbors.</t>
  </si>
  <si>
    <t>How to use biagas</t>
  </si>
  <si>
    <t>She mad the biogas system without any assistance from the group yet they  had promised to assist her during contractions like how they had  helped other neighbors.so shis not happy and not willing to visited next time  unless theris support.</t>
  </si>
  <si>
    <t>https://hivos.my.salesforce.com/sfc/servlet.shepherd/version/renditionDownload?rendition=ORIGINAL_Jpg&amp;versionId=0689N000001BBJWQA4</t>
  </si>
  <si>
    <t>https://hivos.my.salesforce.com/sfc/servlet.shepherd/version/renditionDownload?rendition=ORIGINAL_Jpg&amp;versionId=0689N000001BBKAQA4</t>
  </si>
  <si>
    <t>https://hivos.my.salesforce.com/sfc/servlet.shepherd/version/renditionDownload?rendition=ORIGINAL_Jpg&amp;versionId=0689N000001BGL1QAO</t>
  </si>
  <si>
    <t>https://hivos.my.salesforce.com/sfc/servlet.shepherd/version/renditionDownload?rendition=ORIGINAL_Jpg&amp;versionId=0689N000001BidPQAS</t>
  </si>
  <si>
    <t>2023-07-11 09:55:00.000+03</t>
  </si>
  <si>
    <t>0.917965, 34.305507</t>
  </si>
  <si>
    <t>Musamali khaukha</t>
  </si>
  <si>
    <t>Respondent is need of assistance such that his digester works again.</t>
  </si>
  <si>
    <t>Training on biogas usage</t>
  </si>
  <si>
    <t>https://hivos.my.salesforce.com/sfc/servlet.shepherd/version/renditionDownload?rendition=ORIGINAL_Jpg&amp;versionId=0689N000001BBADQA4</t>
  </si>
  <si>
    <t>https://hivos.my.salesforce.com/sfc/servlet.shepherd/version/renditionDownload?rendition=ORIGINAL_Jpg&amp;versionId=0689N000001BBIxQAO</t>
  </si>
  <si>
    <t>https://hivos.my.salesforce.com/sfc/servlet.shepherd/version/renditionDownload?rendition=ORIGINAL_Jpg&amp;versionId=0689N000001BB9LQAW</t>
  </si>
  <si>
    <t>https://hivos.my.salesforce.com/sfc/servlet.shepherd/version/renditionDownload?rendition=ORIGINAL_Jpg&amp;versionId=0689N000001BjRBQA0</t>
  </si>
  <si>
    <t>2023-07-11 12:16:00.000+03</t>
  </si>
  <si>
    <t>0.919258, 34.294330</t>
  </si>
  <si>
    <t>Musoba Andrew</t>
  </si>
  <si>
    <t>He disconnected the system during house  contraction but going to connect it next month,has even contacted the Manson.</t>
  </si>
  <si>
    <t>https://hivos.my.salesforce.com/sfc/servlet.shepherd/version/renditionDownload?rendition=ORIGINAL_Jpg&amp;versionId=0689N000001BBJ7QAO</t>
  </si>
  <si>
    <t>https://hivos.my.salesforce.com/sfc/servlet.shepherd/version/renditionDownload?rendition=ORIGINAL_Jpg&amp;versionId=0689N000001BBFBQA4</t>
  </si>
  <si>
    <t>https://hivos.my.salesforce.com/sfc/servlet.shepherd/version/renditionDownload?rendition=ORIGINAL_Jpg&amp;versionId=0689N000001BAkqQAG</t>
  </si>
  <si>
    <t>https://hivos.my.salesforce.com/sfc/servlet.shepherd/version/renditionDownload?rendition=ORIGINAL_Jpg&amp;versionId=0689N000001BjQRQA0</t>
  </si>
  <si>
    <t>2023-07-10 11:41:00.000+03</t>
  </si>
  <si>
    <t>0.960708, 34.295323</t>
  </si>
  <si>
    <t>Mutuma Patrick</t>
  </si>
  <si>
    <t>The respondent is need of some one to come and repair his digester</t>
  </si>
  <si>
    <t>He needs his system to get repaired</t>
  </si>
  <si>
    <t>https://hivos.my.salesforce.com/sfc/servlet.shepherd/version/renditionDownload?rendition=ORIGINAL_Jpg&amp;versionId=0689N000001AlyHQAS</t>
  </si>
  <si>
    <t>https://hivos.my.salesforce.com/sfc/servlet.shepherd/version/renditionDownload?rendition=ORIGINAL_Jpg&amp;versionId=0689N000001Aly8QAC</t>
  </si>
  <si>
    <t>https://hivos.my.salesforce.com/sfc/servlet.shepherd/version/renditionDownload?rendition=ORIGINAL_Jpg&amp;versionId=0689N000001AlxeQAC</t>
  </si>
  <si>
    <t>https://hivos.my.salesforce.com/sfc/servlet.shepherd/version/renditionDownload?rendition=ORIGINAL_Jpg&amp;versionId=0689N000001BjQvQAK</t>
  </si>
  <si>
    <t>2023-07-09 13:41:00.000+03</t>
  </si>
  <si>
    <t>0.912232, 34.274618</t>
  </si>
  <si>
    <t>Muyobo kanifa</t>
  </si>
  <si>
    <t>Coffee, banana,</t>
  </si>
  <si>
    <t>KIFANGO</t>
  </si>
  <si>
    <t>https://hivos.my.salesforce.com/sfc/servlet.shepherd/version/renditionDownload?rendition=ORIGINAL_Jpg&amp;versionId=0689N000001AZV2QAO</t>
  </si>
  <si>
    <t>https://hivos.my.salesforce.com/sfc/servlet.shepherd/version/renditionDownload?rendition=ORIGINAL_Jpg&amp;versionId=0689N000001AZXCQA4</t>
  </si>
  <si>
    <t>https://hivos.my.salesforce.com/sfc/servlet.shepherd/version/renditionDownload?rendition=ORIGINAL_Jpg&amp;versionId=0689N000001AZfTQAW</t>
  </si>
  <si>
    <t>https://hivos.my.salesforce.com/sfc/servlet.shepherd/version/renditionDownload?rendition=ORIGINAL_Jpg&amp;versionId=0689N000001BjQGQA0</t>
  </si>
  <si>
    <t>2023-07-09 12:49:00.000+03</t>
  </si>
  <si>
    <t>0.912352, 34.274947</t>
  </si>
  <si>
    <t>Nabunya Sophia Amili</t>
  </si>
  <si>
    <t>Maize,matooke,greens.</t>
  </si>
  <si>
    <t>More training on biogas usage</t>
  </si>
  <si>
    <t>https://hivos.my.salesforce.com/sfc/servlet.shepherd/version/renditionDownload?rendition=ORIGINAL_Jpg&amp;versionId=0689N000001AZepQAG</t>
  </si>
  <si>
    <t>https://hivos.my.salesforce.com/sfc/servlet.shepherd/version/renditionDownload?rendition=ORIGINAL_Jpg&amp;versionId=0689N000001AZeuQAG</t>
  </si>
  <si>
    <t>https://hivos.my.salesforce.com/sfc/servlet.shepherd/version/renditionDownload?rendition=ORIGINAL_Jpg&amp;versionId=0689N000001AZezQAG</t>
  </si>
  <si>
    <t>https://hivos.my.salesforce.com/sfc/servlet.shepherd/version/renditionDownload?rendition=ORIGINAL_Jpg&amp;versionId=0689N000001BjQ6QAK</t>
  </si>
  <si>
    <t>2023-07-09 17:10:00.000+03</t>
  </si>
  <si>
    <t>0.963743, 34.298367</t>
  </si>
  <si>
    <t>Rev Wanderema Andrew</t>
  </si>
  <si>
    <t>Bananas, coffee, Elephant grass,Maize</t>
  </si>
  <si>
    <t>SNV program</t>
  </si>
  <si>
    <t>His system produces insufficient gas unlike before,so he needs help</t>
  </si>
  <si>
    <t>https://hivos.my.salesforce.com/sfc/servlet.shepherd/version/renditionDownload?rendition=ORIGINAL_Jpg&amp;versionId=0689N000001AZbnQAG</t>
  </si>
  <si>
    <t>https://hivos.my.salesforce.com/sfc/servlet.shepherd/version/renditionDownload?rendition=ORIGINAL_Jpg&amp;versionId=0689N000001AZboQAG</t>
  </si>
  <si>
    <t>https://hivos.my.salesforce.com/sfc/servlet.shepherd/version/renditionDownload?rendition=ORIGINAL_Jpg&amp;versionId=0689N000001AZX2QAO</t>
  </si>
  <si>
    <t>https://hivos.my.salesforce.com/sfc/servlet.shepherd/version/renditionDownload?rendition=ORIGINAL_Jpg&amp;versionId=0689N000001Bj3CQAS</t>
  </si>
  <si>
    <t>2023-07-11 12:46:00.000+03</t>
  </si>
  <si>
    <t>0.927067, 34.289755</t>
  </si>
  <si>
    <t>Grandparent</t>
  </si>
  <si>
    <t>Sam Maweri</t>
  </si>
  <si>
    <t>https://hivos.my.salesforce.com/sfc/servlet.shepherd/version/renditionDownload?rendition=ORIGINAL_Jpg&amp;versionId=0689N000001BBJHQA4</t>
  </si>
  <si>
    <t>https://hivos.my.salesforce.com/sfc/servlet.shepherd/version/renditionDownload?rendition=ORIGINAL_Jpg&amp;versionId=0689N000001BBJMQA4</t>
  </si>
  <si>
    <t>https://hivos.my.salesforce.com/sfc/servlet.shepherd/version/renditionDownload?rendition=ORIGINAL_Jpg&amp;versionId=0689N000001BBJRQA4</t>
  </si>
  <si>
    <t>https://hivos.my.salesforce.com/sfc/servlet.shepherd/version/renditionDownload?rendition=ORIGINAL_Jpg&amp;versionId=0689N000001BjRVQA0</t>
  </si>
  <si>
    <t>2023-07-12 09:40:00.000+03</t>
  </si>
  <si>
    <t>Gabeya Carol - 782716131</t>
  </si>
  <si>
    <t>0.808320, 34.189348</t>
  </si>
  <si>
    <t>Matooke, vegetables</t>
  </si>
  <si>
    <t>Watching TV/social media;Visiting the church;Chatting with neighbours, friends etc</t>
  </si>
  <si>
    <t>Biogas Program;Family Member/Friend</t>
  </si>
  <si>
    <t>They feed about 1 wheelbarrow of cow dung and 2 wheelbarrows of pig dung.</t>
  </si>
  <si>
    <t>Training on how to use slurry for feeding pigs.  Need a replacement of the plate in cowdung mixer.</t>
  </si>
  <si>
    <t>The household solely depends on the use of biogas for cooking, they stopped using firewood because gas produced is just enough.</t>
  </si>
  <si>
    <t>https://hivos.my.salesforce.com/sfc/servlet.shepherd/version/renditionDownload?rendition=ORIGINAL_Jpg&amp;versionId=0689N000001BKkaQAG</t>
  </si>
  <si>
    <t>https://hivos.my.salesforce.com/sfc/servlet.shepherd/version/renditionDownload?rendition=ORIGINAL_Jpg&amp;versionId=0689N000001BKxeQAG</t>
  </si>
  <si>
    <t>https://hivos.my.salesforce.com/sfc/servlet.shepherd/version/renditionDownload?rendition=ORIGINAL_Jpg&amp;versionId=0689N000001BKxUQAW</t>
  </si>
  <si>
    <t>https://hivos.my.salesforce.com/sfc/servlet.shepherd/version/renditionDownload?rendition=ORIGINAL_Jpg&amp;versionId=0689N000001BhTaQAK</t>
  </si>
  <si>
    <t>2023-07-10 12:43:00.000+03</t>
  </si>
  <si>
    <t>0.730663, 34.114743</t>
  </si>
  <si>
    <t>Isaac ochwo</t>
  </si>
  <si>
    <t>The plant was not producing gas. But they didn't know who to reach out to</t>
  </si>
  <si>
    <t>https://hivos.my.salesforce.com/sfc/servlet.shepherd/version/renditionDownload?rendition=ORIGINAL_Jpg&amp;versionId=0689N000001AyZfQAK</t>
  </si>
  <si>
    <t>https://hivos.my.salesforce.com/sfc/servlet.shepherd/version/renditionDownload?rendition=ORIGINAL_Jpg&amp;versionId=0689N000001AyceQAC</t>
  </si>
  <si>
    <t>https://hivos.my.salesforce.com/sfc/servlet.shepherd/version/renditionDownload?rendition=ORIGINAL_Jpg&amp;versionId=0689N000001AycjQAC</t>
  </si>
  <si>
    <t>https://hivos.my.salesforce.com/sfc/servlet.shepherd/version/renditionDownload?rendition=ORIGINAL_Jpg&amp;versionId=0689N000001BhSrQAK</t>
  </si>
  <si>
    <t>2023-07-10 12:58:00.000+03</t>
  </si>
  <si>
    <t>2023-07-11 14:10:00.000+03</t>
  </si>
  <si>
    <t>0.667845, 34.172383</t>
  </si>
  <si>
    <t>Jason William</t>
  </si>
  <si>
    <t>https://hivos.my.salesforce.com/sfc/servlet.shepherd/version/renditionDownload?rendition=ORIGINAL_Jpg&amp;versionId=0689N000001AyV7QAK</t>
  </si>
  <si>
    <t>https://hivos.my.salesforce.com/sfc/servlet.shepherd/version/renditionDownload?rendition=ORIGINAL_Jpg&amp;versionId=0689N000001BhT6QAK</t>
  </si>
  <si>
    <t>2023-07-11 14:20:00.000+03</t>
  </si>
  <si>
    <t>2023-07-11 15:38:00.000+03</t>
  </si>
  <si>
    <t>0.742218, 34.264202</t>
  </si>
  <si>
    <t>Kaana Auyo</t>
  </si>
  <si>
    <t>Maize, beans, ground nuts, millet</t>
  </si>
  <si>
    <t>The cows give very little cowdung which sometimes is not enough hence they collect and feed the digester once a week</t>
  </si>
  <si>
    <t>They need a spare glass for the light because it got broken</t>
  </si>
  <si>
    <t>The stove used to take them about 4 hours but now it just goes for 30 minutes</t>
  </si>
  <si>
    <t>https://hivos.my.salesforce.com/sfc/servlet.shepherd/version/renditionDownload?rendition=ORIGINAL_Jpg&amp;versionId=0689N000001Ayc6QAC</t>
  </si>
  <si>
    <t>https://hivos.my.salesforce.com/sfc/servlet.shepherd/version/renditionDownload?rendition=ORIGINAL_Jpg&amp;versionId=0689N000001AyXOQA0</t>
  </si>
  <si>
    <t>https://hivos.my.salesforce.com/sfc/servlet.shepherd/version/renditionDownload?rendition=ORIGINAL_Jpg&amp;versionId=0689N000001BhHZQA0</t>
  </si>
  <si>
    <t>2023-07-11 16:24:00.000+03</t>
  </si>
  <si>
    <t>2023-07-10 10:52:00.000+03</t>
  </si>
  <si>
    <t>0.688573, 34.102898</t>
  </si>
  <si>
    <t>Nakitende Anne</t>
  </si>
  <si>
    <t>Vegetables, maize</t>
  </si>
  <si>
    <t>She uses the biogas once in a while hence she still goes about her activities of collecting firewood like before</t>
  </si>
  <si>
    <t>She is sickly hence only feeds the digester when she has the energy to.</t>
  </si>
  <si>
    <t>Her gardens are about 2 Kms away and she cannot carry the slurry. Therefore she only applys it to crops which are nearby home</t>
  </si>
  <si>
    <t>https://hivos.my.salesforce.com/sfc/servlet.shepherd/version/renditionDownload?rendition=ORIGINAL_Jpg&amp;versionId=0689N000001AydrQAC</t>
  </si>
  <si>
    <t>https://hivos.my.salesforce.com/sfc/servlet.shepherd/version/renditionDownload?rendition=ORIGINAL_Jpg&amp;versionId=0689N000001AydwQAC</t>
  </si>
  <si>
    <t>https://hivos.my.salesforce.com/sfc/servlet.shepherd/version/renditionDownload?rendition=ORIGINAL_Jpg&amp;versionId=0689N000001AyWQQA0</t>
  </si>
  <si>
    <t>https://hivos.my.salesforce.com/sfc/servlet.shepherd/version/renditionDownload?rendition=ORIGINAL_Jpg&amp;versionId=0689N000001BhDzQAK</t>
  </si>
  <si>
    <t>2023-07-10 11:46:00.000+03</t>
  </si>
  <si>
    <t>2023-07-10 15:38:00.000+03</t>
  </si>
  <si>
    <t>0.790518, 34.084833</t>
  </si>
  <si>
    <t>Ofwono Sam</t>
  </si>
  <si>
    <t>The pipe was vandalized hence they would nolonger get gas</t>
  </si>
  <si>
    <t>Fixing the broken pipe</t>
  </si>
  <si>
    <t>https://hivos.my.salesforce.com/sfc/servlet.shepherd/version/renditionDownload?rendition=ORIGINAL_Jpg&amp;versionId=0689N000001AyapQAC</t>
  </si>
  <si>
    <t>https://hivos.my.salesforce.com/sfc/servlet.shepherd/version/renditionDownload?rendition=ORIGINAL_Jpg&amp;versionId=0689N000001AyHAQA0</t>
  </si>
  <si>
    <t>https://hivos.my.salesforce.com/sfc/servlet.shepherd/version/renditionDownload?rendition=ORIGINAL_Jpg&amp;versionId=0689N000001AyW1QAK</t>
  </si>
  <si>
    <t>https://hivos.my.salesforce.com/sfc/servlet.shepherd/version/renditionDownload?rendition=ORIGINAL_Jpg&amp;versionId=0689N000001BhSwQAK</t>
  </si>
  <si>
    <t>2023-07-10 15:56:00.000+03</t>
  </si>
  <si>
    <t>2023-07-09 17:18:00.000+03</t>
  </si>
  <si>
    <t>0.623670, 34.178798</t>
  </si>
  <si>
    <t>Okitwi Cornelius</t>
  </si>
  <si>
    <t>Yes;No2: give it away</t>
  </si>
  <si>
    <t>Maize, matooke, coffee, vegetables</t>
  </si>
  <si>
    <t>Productive time use;Social activities;Family activities;Leisure</t>
  </si>
  <si>
    <t>I am assisting my kids with studies</t>
  </si>
  <si>
    <t>Biogas is working well, but there is a leakage so stove isn't working well. He needs this to be fixed. He also gives out slurry to hi neighbors in need.</t>
  </si>
  <si>
    <t>Fixing the leakage problem</t>
  </si>
  <si>
    <t>The use of biogas has enabled them reduce on amount of firewood used hence they do sell some of the wood collected and earn some income</t>
  </si>
  <si>
    <t>https://hivos.my.salesforce.com/sfc/servlet.shepherd/version/renditionDownload?rendition=ORIGINAL_Jpg&amp;versionId=0689N000001AZZaQAO</t>
  </si>
  <si>
    <t>https://hivos.my.salesforce.com/sfc/servlet.shepherd/version/renditionDownload?rendition=ORIGINAL_Jpg&amp;versionId=0689N000001AZTtQAO</t>
  </si>
  <si>
    <t>https://hivos.my.salesforce.com/sfc/servlet.shepherd/version/renditionDownload?rendition=ORIGINAL_Jpg&amp;versionId=0689N000001AZZkQAO</t>
  </si>
  <si>
    <t>https://hivos.my.salesforce.com/sfc/servlet.shepherd/version/renditionDownload?rendition=ORIGINAL_Jpg&amp;versionId=0689N000001BhSIQA0</t>
  </si>
  <si>
    <t>2023-07-09 18:05:00.000+03</t>
  </si>
  <si>
    <t>2023-07-09 13:49:00.000+03</t>
  </si>
  <si>
    <t>0.627830, 33.961700</t>
  </si>
  <si>
    <t>Okumu Bilasio</t>
  </si>
  <si>
    <t>When they got a new house structure there's need to change the pipes</t>
  </si>
  <si>
    <t>Needs a technician to reconnect the biogas plant</t>
  </si>
  <si>
    <t>They demolished the house and now they need their biogas reconnected</t>
  </si>
  <si>
    <t>https://hivos.my.salesforce.com/sfc/servlet.shepherd/version/renditionDownload?rendition=ORIGINAL_Jpg&amp;versionId=0689N000001AZZLQA4</t>
  </si>
  <si>
    <t>https://hivos.my.salesforce.com/sfc/servlet.shepherd/version/renditionDownload?rendition=ORIGINAL_Jpg&amp;versionId=0689N000001BhGyQAK</t>
  </si>
  <si>
    <t>2023-07-09 14:22:00.000+03</t>
  </si>
  <si>
    <t>2023-07-10 12:05:00.000+03</t>
  </si>
  <si>
    <t>0.720530, 34.123527</t>
  </si>
  <si>
    <t>Oloo Charles</t>
  </si>
  <si>
    <t>The plant was working well and they hope to resume using it</t>
  </si>
  <si>
    <t>They need a mixing machine for the cowdung</t>
  </si>
  <si>
    <t>https://hivos.my.salesforce.com/sfc/servlet.shepherd/version/renditionDownload?rendition=ORIGINAL_Jpg&amp;versionId=0689N000001AyO6QAK</t>
  </si>
  <si>
    <t>https://hivos.my.salesforce.com/sfc/servlet.shepherd/version/renditionDownload?rendition=ORIGINAL_Jpg&amp;versionId=0689N000001Bgr6QAC</t>
  </si>
  <si>
    <t>https://hivos.my.salesforce.com/sfc/servlet.shepherd/version/renditionDownload?rendition=ORIGINAL_Jpg&amp;versionId=0689N000001AyNsQAK</t>
  </si>
  <si>
    <t>2023-07-10 12:15:00.000+03</t>
  </si>
  <si>
    <t>2023-07-09 15:32:00.000+03</t>
  </si>
  <si>
    <t>0.638370, 34.179852</t>
  </si>
  <si>
    <t>Sold animals, but also became sick and could nolonger feed the digester</t>
  </si>
  <si>
    <t>Needs works on the bio-latrine such that it can work</t>
  </si>
  <si>
    <t>The plant was working well but they sold the cows. They also constructed a bio-latrine but it didn't work well.  Phone number is 0783746748</t>
  </si>
  <si>
    <t>https://hivos.my.salesforce.com/sfc/servlet.shepherd/version/renditionDownload?rendition=ORIGINAL_Jpg&amp;versionId=0689N000001AZWwQAO</t>
  </si>
  <si>
    <t>https://hivos.my.salesforce.com/sfc/servlet.shepherd/version/renditionDownload?rendition=ORIGINAL_Jpg&amp;versionId=0689N000001BhRfQAK</t>
  </si>
  <si>
    <t>2023-07-09 15:50:00.000+03</t>
  </si>
  <si>
    <t>2023-07-11 14:34:00.000+03</t>
  </si>
  <si>
    <t>Gumoshabe Godline - 785428418</t>
  </si>
  <si>
    <t>0.531647, 32.471793</t>
  </si>
  <si>
    <t>Rev. Fr</t>
  </si>
  <si>
    <t>Fr. Matovu James</t>
  </si>
  <si>
    <t>Banana  Coffee</t>
  </si>
  <si>
    <t>Social activity (voluntary work, etc);Visiting the church</t>
  </si>
  <si>
    <t>Back in high school class</t>
  </si>
  <si>
    <t>He appreciates the follow up of the Bsul. The biogas produces much gas and he needs away of packing it for future use.</t>
  </si>
  <si>
    <t>Come up with a project to help people who have animals to access biogas  Training the community on use of biogas and bioslurry</t>
  </si>
  <si>
    <t>Biogas well maintained</t>
  </si>
  <si>
    <t>https://hivos.my.salesforce.com/sfc/servlet.shepherd/version/renditionDownload?rendition=ORIGINAL_Jpg&amp;versionId=0689N000001BGfSQAW</t>
  </si>
  <si>
    <t>https://hivos.my.salesforce.com/sfc/servlet.shepherd/version/renditionDownload?rendition=ORIGINAL_Jpg&amp;versionId=0689N000001BI58QAG</t>
  </si>
  <si>
    <t>https://hivos.my.salesforce.com/sfc/servlet.shepherd/version/renditionDownload?rendition=ORIGINAL_Jpg&amp;versionId=0689N000001BHXbQAO</t>
  </si>
  <si>
    <t>https://hivos.my.salesforce.com/sfc/servlet.shepherd/version/renditionDownload?rendition=ORIGINAL_Jpg&amp;versionId=0689N000001Bi8gQAC</t>
  </si>
  <si>
    <t>2023-07-09 12:19:00.000+03</t>
  </si>
  <si>
    <t>0.456187, 32.513270</t>
  </si>
  <si>
    <t>Godfrey sentongo</t>
  </si>
  <si>
    <t>Greens Matooke</t>
  </si>
  <si>
    <t>Biogas is old.He wishes to construct a new one</t>
  </si>
  <si>
    <t>Senstize people on how to use slurry</t>
  </si>
  <si>
    <t>Lights got destroyed long time ago. The feeds from the pigs not enough</t>
  </si>
  <si>
    <t>https://hivos.my.salesforce.com/sfc/servlet.shepherd/version/renditionDownload?rendition=ORIGINAL_Jpg&amp;versionId=0689N000001AlBtQAK</t>
  </si>
  <si>
    <t>https://hivos.my.salesforce.com/sfc/servlet.shepherd/version/renditionDownload?rendition=ORIGINAL_Jpg&amp;versionId=0689N000001AlByQAK</t>
  </si>
  <si>
    <t>https://hivos.my.salesforce.com/sfc/servlet.shepherd/version/renditionDownload?rendition=ORIGINAL_Jpg&amp;versionId=0689N000001Bi7dQAC</t>
  </si>
  <si>
    <t>0.415375, 32.538285</t>
  </si>
  <si>
    <t>Kaddu joyce</t>
  </si>
  <si>
    <t>Banana Maize Beans</t>
  </si>
  <si>
    <t>Harvest money vision group</t>
  </si>
  <si>
    <t>Social activity (voluntary work, etc);Visiting the church;Chatting with neighbours, friends etc</t>
  </si>
  <si>
    <t>I am spending more time raising my children;I am spending more time with my partner</t>
  </si>
  <si>
    <t>Training on use of bioslurry</t>
  </si>
  <si>
    <t>Good maintenance of biodigester</t>
  </si>
  <si>
    <t>https://hivos.my.salesforce.com/sfc/servlet.shepherd/version/renditionDownload?rendition=ORIGINAL_Jpg&amp;versionId=0689N000001AlANQA0</t>
  </si>
  <si>
    <t>https://hivos.my.salesforce.com/sfc/servlet.shepherd/version/renditionDownload?rendition=ORIGINAL_Jpg&amp;versionId=0689N000001AkrNQAS</t>
  </si>
  <si>
    <t>https://hivos.my.salesforce.com/sfc/servlet.shepherd/version/renditionDownload?rendition=ORIGINAL_Jpg&amp;versionId=0689N000001Bi7UQAS</t>
  </si>
  <si>
    <t>2023-07-10 14:02:00.000+03</t>
  </si>
  <si>
    <t>0.466350, 32.519658</t>
  </si>
  <si>
    <t>https://hivos.my.salesforce.com/sfc/servlet.shepherd/version/renditionDownload?rendition=ORIGINAL_Jpg&amp;versionId=0689N000001AlBFQA0</t>
  </si>
  <si>
    <t>https://hivos.my.salesforce.com/sfc/servlet.shepherd/version/renditionDownload?rendition=ORIGINAL_Jpg&amp;versionId=0689N000001AlBKQA0</t>
  </si>
  <si>
    <t>https://hivos.my.salesforce.com/sfc/servlet.shepherd/version/renditionDownload?rendition=ORIGINAL_Jpg&amp;versionId=0689N000001Al7EQAS</t>
  </si>
  <si>
    <t>https://hivos.my.salesforce.com/sfc/servlet.shepherd/version/renditionDownload?rendition=ORIGINAL_Jpg&amp;versionId=0689N000001Bi5VQAS</t>
  </si>
  <si>
    <t>2023-07-09 09:30:00.000+03</t>
  </si>
  <si>
    <t>0.470033, 32.529418</t>
  </si>
  <si>
    <t>Greens Maize</t>
  </si>
  <si>
    <t>Biogas digester is blocked. Very little gas produced. Slurry is blocked doesn't come out. He needs immediate help</t>
  </si>
  <si>
    <t>Training and sensitizing people on biogas and use of slurry</t>
  </si>
  <si>
    <t>He needs feedback on what to do about his biogas</t>
  </si>
  <si>
    <t>https://hivos.my.salesforce.com/sfc/servlet.shepherd/version/renditionDownload?rendition=ORIGINAL_Jpg&amp;versionId=0689N000001AlA7QAK</t>
  </si>
  <si>
    <t>https://hivos.my.salesforce.com/sfc/servlet.shepherd/version/renditionDownload?rendition=ORIGINAL_Jpg&amp;versionId=0689N000001AlACQA0</t>
  </si>
  <si>
    <t>https://hivos.my.salesforce.com/sfc/servlet.shepherd/version/renditionDownload?rendition=ORIGINAL_Jpg&amp;versionId=0689N000001AlAMQA0</t>
  </si>
  <si>
    <t>https://hivos.my.salesforce.com/sfc/servlet.shepherd/version/renditionDownload?rendition=ORIGINAL_Jpg&amp;versionId=0689N000001Bi6vQAC</t>
  </si>
  <si>
    <t>2023-07-09 09:50:00.000+03</t>
  </si>
  <si>
    <t>2023-07-09 15:15:00.000+03</t>
  </si>
  <si>
    <t>0.455307, 32.538172</t>
  </si>
  <si>
    <t>Luyima Florence</t>
  </si>
  <si>
    <t>Banana</t>
  </si>
  <si>
    <t>Gas still there but they don't feed the biogas</t>
  </si>
  <si>
    <t>Her problem is cow dung because she doesn't have cows</t>
  </si>
  <si>
    <t>https://hivos.my.salesforce.com/sfc/servlet.shepherd/version/renditionDownload?rendition=ORIGINAL_Jpg&amp;versionId=0689N000001Al60QAC</t>
  </si>
  <si>
    <t>https://hivos.my.salesforce.com/sfc/servlet.shepherd/version/renditionDownload?rendition=ORIGINAL_Jpg&amp;versionId=0689N000001AkruQAC</t>
  </si>
  <si>
    <t>https://hivos.my.salesforce.com/sfc/servlet.shepherd/version/renditionDownload?rendition=ORIGINAL_Jpg&amp;versionId=0689N000001AlAqQAK</t>
  </si>
  <si>
    <t>https://hivos.my.salesforce.com/sfc/servlet.shepherd/version/renditionDownload?rendition=ORIGINAL_Jpg&amp;versionId=0689N000001BhZMQA0</t>
  </si>
  <si>
    <t>2023-07-12 13:50:00.000+03</t>
  </si>
  <si>
    <t>0.425338, 32.570042</t>
  </si>
  <si>
    <t>Nalongo lwanga clement</t>
  </si>
  <si>
    <t>She needs repair for lighting system and pressure gauge</t>
  </si>
  <si>
    <t>To give clients gifts for maintaining the biogas</t>
  </si>
  <si>
    <t>Biogas well maintenance</t>
  </si>
  <si>
    <t>https://hivos.my.salesforce.com/sfc/servlet.shepherd/version/renditionDownload?rendition=ORIGINAL_Jpg&amp;versionId=0689N000001BHyhQAG</t>
  </si>
  <si>
    <t>https://hivos.my.salesforce.com/sfc/servlet.shepherd/version/renditionDownload?rendition=ORIGINAL_Jpg&amp;versionId=0689N000001BHydQAG</t>
  </si>
  <si>
    <t>https://hivos.my.salesforce.com/sfc/servlet.shepherd/version/renditionDownload?rendition=ORIGINAL_Jpg&amp;versionId=0689N000001BHrlQAG</t>
  </si>
  <si>
    <t>https://hivos.my.salesforce.com/sfc/servlet.shepherd/version/renditionDownload?rendition=ORIGINAL_Jpg&amp;versionId=0689N000001BgvfQAC</t>
  </si>
  <si>
    <t>2023-07-11 13:45:00.000+03</t>
  </si>
  <si>
    <t>0.529932, 32.454960</t>
  </si>
  <si>
    <t>Swaliki kyobe kaliga</t>
  </si>
  <si>
    <t>He sold animals because cattle raiders were many in the village</t>
  </si>
  <si>
    <t>Training on use of biogas and bioslurry</t>
  </si>
  <si>
    <t>He loved using biogas because it used to give good manure</t>
  </si>
  <si>
    <t>https://hivos.my.salesforce.com/sfc/servlet.shepherd/version/renditionDownload?rendition=ORIGINAL_Jpg&amp;versionId=0689N000001BHpXQAW</t>
  </si>
  <si>
    <t>https://hivos.my.salesforce.com/sfc/servlet.shepherd/version/renditionDownload?rendition=ORIGINAL_Jpg&amp;versionId=0689N000001BHsmQAG</t>
  </si>
  <si>
    <t>https://hivos.my.salesforce.com/sfc/servlet.shepherd/version/renditionDownload?rendition=ORIGINAL_Jpg&amp;versionId=0689N000001BI4FQAW</t>
  </si>
  <si>
    <t>https://hivos.my.salesforce.com/sfc/servlet.shepherd/version/renditionDownload?rendition=ORIGINAL_Jpg&amp;versionId=0689N000001Bi8RQAS</t>
  </si>
  <si>
    <t>2023-07-10 11:51:00.000+03</t>
  </si>
  <si>
    <t>Katwesigye Jordan - 706080990</t>
  </si>
  <si>
    <t>0.768912, 32.477283</t>
  </si>
  <si>
    <t>Eleanor Kambungu</t>
  </si>
  <si>
    <t>The household is willing to renovate bio gas</t>
  </si>
  <si>
    <t>Renovation and repairing</t>
  </si>
  <si>
    <t>The house holds bio gas is not working due to technical issues</t>
  </si>
  <si>
    <t>https://hivos.my.salesforce.com/sfc/servlet.shepherd/version/renditionDownload?rendition=ORIGINAL_Jpg&amp;versionId=0689N000001Ae40QAC</t>
  </si>
  <si>
    <t>https://hivos.my.salesforce.com/sfc/servlet.shepherd/version/renditionDownload?rendition=ORIGINAL_Jpg&amp;versionId=0689N000001AeEdQAK</t>
  </si>
  <si>
    <t>https://hivos.my.salesforce.com/sfc/servlet.shepherd/version/renditionDownload?rendition=ORIGINAL_Jpg&amp;versionId=0689N000001Ae8NQAS</t>
  </si>
  <si>
    <t>https://hivos.my.salesforce.com/sfc/servlet.shepherd/version/renditionDownload?rendition=ORIGINAL_Jpg&amp;versionId=0689N000001BhJBQA0</t>
  </si>
  <si>
    <t>2023-07-11 11:10:00.000+03</t>
  </si>
  <si>
    <t>0.808667, 32.505286</t>
  </si>
  <si>
    <t>Faith kafunenda</t>
  </si>
  <si>
    <t>Not using bio gas because animals where sold</t>
  </si>
  <si>
    <t>Installation of a new bio gas</t>
  </si>
  <si>
    <t>The house hold is interested in the using of bio gas . Would like to get a new plant</t>
  </si>
  <si>
    <t>https://hivos.my.salesforce.com/sfc/servlet.shepherd/version/renditionDownload?rendition=ORIGINAL_Jpg&amp;versionId=0689N000001Ap9EQAS</t>
  </si>
  <si>
    <t>https://hivos.my.salesforce.com/sfc/servlet.shepherd/version/renditionDownload?rendition=ORIGINAL_Jpg&amp;versionId=0689N000001AplSQAS</t>
  </si>
  <si>
    <t>https://hivos.my.salesforce.com/sfc/servlet.shepherd/version/renditionDownload?rendition=ORIGINAL_Jpg&amp;versionId=0689N000001AplqQAC</t>
  </si>
  <si>
    <t>https://hivos.my.salesforce.com/sfc/servlet.shepherd/version/renditionDownload?rendition=ORIGINAL_Jpg&amp;versionId=0689N000001Bi1HQAS</t>
  </si>
  <si>
    <t>2023-07-10 10:02:00.000+03</t>
  </si>
  <si>
    <t>0.725021, 32.544152</t>
  </si>
  <si>
    <t>Jjunju Beatrice</t>
  </si>
  <si>
    <t>Household has bio gas but not functioning</t>
  </si>
  <si>
    <t>The house hold doesn't need intervations on the program due to old age which cannot manage rearing animals</t>
  </si>
  <si>
    <t>https://hivos.my.salesforce.com/sfc/servlet.shepherd/version/renditionDownload?rendition=ORIGINAL_Jpg&amp;versionId=0689N000001Ae6bQAC</t>
  </si>
  <si>
    <t>https://hivos.my.salesforce.com/sfc/servlet.shepherd/version/renditionDownload?rendition=ORIGINAL_Jpg&amp;versionId=0689N000001AdK8QAK</t>
  </si>
  <si>
    <t>https://hivos.my.salesforce.com/sfc/servlet.shepherd/version/renditionDownload?rendition=ORIGINAL_Jpg&amp;versionId=0689N000001AcHgQAK</t>
  </si>
  <si>
    <t>https://hivos.my.salesforce.com/sfc/servlet.shepherd/version/renditionDownload?rendition=ORIGINAL_Jpg&amp;versionId=0689N000001BgeQQAS</t>
  </si>
  <si>
    <t>2023-07-12 15:55:00.000+03</t>
  </si>
  <si>
    <t>0.465891, 32.520479</t>
  </si>
  <si>
    <t>Sister</t>
  </si>
  <si>
    <t>John yiga</t>
  </si>
  <si>
    <t>maize, banana plantations</t>
  </si>
  <si>
    <t>Household uses biogas and is more comfortable with it than firewood</t>
  </si>
  <si>
    <t>https://hivos.my.salesforce.com/sfc/servlet.shepherd/version/renditionDownload?rendition=ORIGINAL_Jpg&amp;versionId=0689N000001B7uKQAS</t>
  </si>
  <si>
    <t>https://hivos.my.salesforce.com/sfc/servlet.shepherd/version/renditionDownload?rendition=ORIGINAL_Jpg&amp;versionId=0689N000001B7sMQAS</t>
  </si>
  <si>
    <t>https://hivos.my.salesforce.com/sfc/servlet.shepherd/version/renditionDownload?rendition=ORIGINAL_Jpg&amp;versionId=0689N000001B7rdQAC</t>
  </si>
  <si>
    <t>https://hivos.my.salesforce.com/sfc/servlet.shepherd/version/renditionDownload?rendition=ORIGINAL_Jpg&amp;versionId=0689N000001Bh4aQAC</t>
  </si>
  <si>
    <t>2023-07-12 16:24:00.000+03</t>
  </si>
  <si>
    <t>2023-07-11 11:55:00.000+03</t>
  </si>
  <si>
    <t>0.805941, 32.505090</t>
  </si>
  <si>
    <t>Lwanga Ruth</t>
  </si>
  <si>
    <t>Willing to use bio gas back</t>
  </si>
  <si>
    <t>Provision of cows to get dung to feed the bio digester</t>
  </si>
  <si>
    <t>The house hold has bio gas with all futures but  not functioning</t>
  </si>
  <si>
    <t>https://hivos.my.salesforce.com/sfc/servlet.shepherd/version/renditionDownload?rendition=ORIGINAL_Jpg&amp;versionId=0689N000001AqFFQA0</t>
  </si>
  <si>
    <t>https://hivos.my.salesforce.com/sfc/servlet.shepherd/version/renditionDownload?rendition=ORIGINAL_Jpg&amp;versionId=0689N000001AqGXQA0</t>
  </si>
  <si>
    <t>https://hivos.my.salesforce.com/sfc/servlet.shepherd/version/renditionDownload?rendition=ORIGINAL_Jpg&amp;versionId=0689N000001ApjpQAC</t>
  </si>
  <si>
    <t>https://hivos.my.salesforce.com/sfc/servlet.shepherd/version/renditionDownload?rendition=ORIGINAL_Jpg&amp;versionId=0689N000001BhdIQAS</t>
  </si>
  <si>
    <t>2023-07-11 09:15:00.000+03</t>
  </si>
  <si>
    <t>0.833757, 32.477765</t>
  </si>
  <si>
    <t>Nakasuja k Josephine</t>
  </si>
  <si>
    <t>Food crops, banana plantations</t>
  </si>
  <si>
    <t>Higher yields;Different plants need different fertilizers/nutrients</t>
  </si>
  <si>
    <t>The people who installed it</t>
  </si>
  <si>
    <t>Biogas Program;Biogas Contractor/Mason;Family Member/Friend</t>
  </si>
  <si>
    <t>The moment I turn on the bio gas stove I smell  something like dung, is it normal!!.</t>
  </si>
  <si>
    <t>The pipe is in a longer distance to the cooking stove. Atleast if it could be extended nearer</t>
  </si>
  <si>
    <t>The house hold is using bio gas and is well functioning.</t>
  </si>
  <si>
    <t>https://hivos.my.salesforce.com/sfc/servlet.shepherd/version/renditionDownload?rendition=ORIGINAL_Jpg&amp;versionId=0689N000001Aog8QAC</t>
  </si>
  <si>
    <t>https://hivos.my.salesforce.com/sfc/servlet.shepherd/version/renditionDownload?rendition=ORIGINAL_Jpg&amp;versionId=0689N000001AntAQAS</t>
  </si>
  <si>
    <t>https://hivos.my.salesforce.com/sfc/servlet.shepherd/version/renditionDownload?rendition=ORIGINAL_Jpg&amp;versionId=0689N000001AoMdQAK</t>
  </si>
  <si>
    <t>https://hivos.my.salesforce.com/sfc/servlet.shepherd/version/renditionDownload?rendition=ORIGINAL_Jpg&amp;versionId=0689N000001Bi0IQAS</t>
  </si>
  <si>
    <t>2023-07-09 16:16:00.000+03</t>
  </si>
  <si>
    <t>0.664820, 32.409017</t>
  </si>
  <si>
    <t>Nsibambi paius</t>
  </si>
  <si>
    <t>Use directly for various purposes;Other (specify)</t>
  </si>
  <si>
    <t>Used as fertilizer;Used as an insecticide/pesticide</t>
  </si>
  <si>
    <t>Applied in garden</t>
  </si>
  <si>
    <t>Banana Plantations, food crops</t>
  </si>
  <si>
    <t>Watching television</t>
  </si>
  <si>
    <t>The house hold uses bio gas to prepare meals</t>
  </si>
  <si>
    <t>https://hivos.my.salesforce.com/sfc/servlet.shepherd/version/renditionDownload?rendition=ORIGINAL_Jpg&amp;versionId=0689N000001AZS5QAO</t>
  </si>
  <si>
    <t>https://hivos.my.salesforce.com/sfc/servlet.shepherd/version/renditionDownload?rendition=ORIGINAL_Jpg&amp;versionId=0689N000001AZSAQA4</t>
  </si>
  <si>
    <t>https://hivos.my.salesforce.com/sfc/servlet.shepherd/version/renditionDownload?rendition=ORIGINAL_Jpg&amp;versionId=0689N000001BhlfQAC</t>
  </si>
  <si>
    <t>https://hivos.my.salesforce.com/sfc/servlet.shepherd/version/renditionDownload?rendition=ORIGINAL_Jpg&amp;versionId=0689N000001AZQIQA4</t>
  </si>
  <si>
    <t>2023-07-10 13:01:00.000+03</t>
  </si>
  <si>
    <t>0.835632, 32.475943</t>
  </si>
  <si>
    <t>Sseruwagi kenzironi</t>
  </si>
  <si>
    <t>All food crops, banana plantation</t>
  </si>
  <si>
    <t>It's a good program and more interested in it</t>
  </si>
  <si>
    <t>The house hold requires to upper grade the biogas and it even starts lighting</t>
  </si>
  <si>
    <t>The house hold has a bio digester and it is still working</t>
  </si>
  <si>
    <t>https://hivos.my.salesforce.com/sfc/servlet.shepherd/version/renditionDownload?rendition=ORIGINAL_Jpg&amp;versionId=0689N000001AeG3QAK</t>
  </si>
  <si>
    <t>https://hivos.my.salesforce.com/sfc/servlet.shepherd/version/renditionDownload?rendition=ORIGINAL_Jpg&amp;versionId=0689N000001AeysQAC</t>
  </si>
  <si>
    <t>https://hivos.my.salesforce.com/sfc/servlet.shepherd/version/renditionDownload?rendition=ORIGINAL_Jpg&amp;versionId=0689N000001AfRZQA0</t>
  </si>
  <si>
    <t>https://hivos.my.salesforce.com/sfc/servlet.shepherd/version/renditionDownload?rendition=ORIGINAL_Jpg&amp;versionId=0689N000001BhT0QAK</t>
  </si>
  <si>
    <t>2023-07-09 15:19:00.000+03</t>
  </si>
  <si>
    <t>0.661030, 32.406856</t>
  </si>
  <si>
    <t>Farm manager</t>
  </si>
  <si>
    <t>Twese Derrick</t>
  </si>
  <si>
    <t>The house hold is still interested in the using of biogas.</t>
  </si>
  <si>
    <t>Renovation</t>
  </si>
  <si>
    <t>The house hold is not using the bio digester due to technical issues but willing to use it back</t>
  </si>
  <si>
    <t>https://hivos.my.salesforce.com/sfc/servlet.shepherd/version/renditionDownload?rendition=ORIGINAL_Jpg&amp;versionId=0689N000001AZRgQAO</t>
  </si>
  <si>
    <t>https://hivos.my.salesforce.com/sfc/servlet.shepherd/version/renditionDownload?rendition=ORIGINAL_Jpg&amp;versionId=0689N000001AZRlQAO</t>
  </si>
  <si>
    <t>https://hivos.my.salesforce.com/sfc/servlet.shepherd/version/renditionDownload?rendition=ORIGINAL_Jpg&amp;versionId=0689N000001AZRqQAO</t>
  </si>
  <si>
    <t>https://hivos.my.salesforce.com/sfc/servlet.shepherd/version/renditionDownload?rendition=ORIGINAL_Jpg&amp;versionId=0689N000001BgtaQAC</t>
  </si>
  <si>
    <t>0.723562, 32.542142</t>
  </si>
  <si>
    <t>Yusuf sambwa</t>
  </si>
  <si>
    <t>The house hold no longer uses bio.Due they sold cows</t>
  </si>
  <si>
    <t>The provision of cows and renovation of the bio gas</t>
  </si>
  <si>
    <t>The house hold is willing to you back the bio gas</t>
  </si>
  <si>
    <t>https://hivos.my.salesforce.com/sfc/servlet.shepherd/version/renditionDownload?rendition=ORIGINAL_Jpg&amp;versionId=0689N000001Ab19QAC</t>
  </si>
  <si>
    <t>https://hivos.my.salesforce.com/sfc/servlet.shepherd/version/renditionDownload?rendition=ORIGINAL_Jpg&amp;versionId=0689N000001AarXQAS</t>
  </si>
  <si>
    <t>https://hivos.my.salesforce.com/sfc/servlet.shepherd/version/renditionDownload?rendition=ORIGINAL_Jpg&amp;versionId=0689N000001AbCEQA0</t>
  </si>
  <si>
    <t>https://hivos.my.salesforce.com/sfc/servlet.shepherd/version/renditionDownload?rendition=ORIGINAL_Jpg&amp;versionId=0689N000001Bi7nQAC</t>
  </si>
  <si>
    <t>2023-07-08 15:53:00.000+03</t>
  </si>
  <si>
    <t>0.377876, 32.407409</t>
  </si>
  <si>
    <t>Nganda Rebecca</t>
  </si>
  <si>
    <t>Banana, maize, tomatoes</t>
  </si>
  <si>
    <t>David</t>
  </si>
  <si>
    <t>https://hivos.my.salesforce.com/sfc/servlet.shepherd/version/renditionDownload?rendition=ORIGINAL_Jpg&amp;versionId=0689N000001BjG2QAK</t>
  </si>
  <si>
    <t>https://hivos.my.salesforce.com/sfc/servlet.shepherd/version/renditionDownload?rendition=ORIGINAL_Jpg&amp;versionId=0689N000001BjnwQAC</t>
  </si>
  <si>
    <t>https://hivos.my.salesforce.com/sfc/servlet.shepherd/version/renditionDownload?rendition=ORIGINAL_Jpg&amp;versionId=0689N000001BjgDQAS</t>
  </si>
  <si>
    <t>https://hivos.my.salesforce.com/sfc/servlet.shepherd/version/renditionDownload?rendition=ORIGINAL_Jpg&amp;versionId=0689N000001BkH6QAK</t>
  </si>
  <si>
    <t>2023-07-08 16:53:00.000+03</t>
  </si>
  <si>
    <t>2023-07-10 10:43:00.000+03</t>
  </si>
  <si>
    <t>Kilwa Livingstone - 706901771</t>
  </si>
  <si>
    <t>-0.754179, 30.322410</t>
  </si>
  <si>
    <t>Mary Praise</t>
  </si>
  <si>
    <t>Don't know</t>
  </si>
  <si>
    <t>House hold work remained the same</t>
  </si>
  <si>
    <t>Radio;Agriculture Extension Officer;Biogas Program</t>
  </si>
  <si>
    <t xml:space="preserve">None </t>
  </si>
  <si>
    <t>https://hivos.my.salesforce.com/sfc/servlet.shepherd/version/renditionDownload?rendition=ORIGINAL_Jpg&amp;versionId=0689N000001BUSHQA4</t>
  </si>
  <si>
    <t>https://hivos.my.salesforce.com/sfc/servlet.shepherd/version/renditionDownload?rendition=ORIGINAL_Jpg&amp;versionId=0689N000001BUtoQAG</t>
  </si>
  <si>
    <t>https://hivos.my.salesforce.com/sfc/servlet.shepherd/version/renditionDownload?rendition=ORIGINAL_Jpg&amp;versionId=0689N000001BURJQA4</t>
  </si>
  <si>
    <t>https://hivos.my.salesforce.com/sfc/servlet.shepherd/version/renditionDownload?rendition=ORIGINAL_Jpg&amp;versionId=0689N000001BhedQAC</t>
  </si>
  <si>
    <t>2023-07-11 13:33:00.000+03</t>
  </si>
  <si>
    <t>-0.780079, 30.807210</t>
  </si>
  <si>
    <t>Namara rose</t>
  </si>
  <si>
    <t>They were visited but no one helped them to rectify the problem of blockage</t>
  </si>
  <si>
    <t>Needs help to revamp the system</t>
  </si>
  <si>
    <t>The system was neglected and got blocked</t>
  </si>
  <si>
    <t>https://hivos.my.salesforce.com/sfc/servlet.shepherd/version/renditionDownload?rendition=ORIGINAL_Jpg&amp;versionId=0689N000001BUufQAG</t>
  </si>
  <si>
    <t>https://hivos.my.salesforce.com/sfc/servlet.shepherd/version/renditionDownload?rendition=ORIGINAL_Jpg&amp;versionId=0689N000001BUY9QAO</t>
  </si>
  <si>
    <t>https://hivos.my.salesforce.com/sfc/servlet.shepherd/version/renditionDownload?rendition=ORIGINAL_Jpg&amp;versionId=0689N000001BUuuQAG</t>
  </si>
  <si>
    <t>https://hivos.my.salesforce.com/sfc/servlet.shepherd/version/renditionDownload?rendition=ORIGINAL_Jpg&amp;versionId=0689N000001Bhd8QAC</t>
  </si>
  <si>
    <t>2023-07-12 13:47:00.000+03</t>
  </si>
  <si>
    <t>2023-07-12 13:10:00.000+03</t>
  </si>
  <si>
    <t>Kintu Davis - 772466792</t>
  </si>
  <si>
    <t>1.844434, 33.098768</t>
  </si>
  <si>
    <t>Adoko Peter</t>
  </si>
  <si>
    <t>I donâ€™t use it / discarded</t>
  </si>
  <si>
    <t>Not really â€“ no changes</t>
  </si>
  <si>
    <t>Biogas light stopped working</t>
  </si>
  <si>
    <t>Get a replacement light and working on his bio digester which is a bad state and lacking a cover and replacing the tap of the biodister</t>
  </si>
  <si>
    <t>Tap of the biogas digester got broken</t>
  </si>
  <si>
    <t>https://hivos.my.salesforce.com/sfc/servlet.shepherd/version/renditionDownload?rendition=ORIGINAL_Jpg&amp;versionId=0689N000001BLxNQAW</t>
  </si>
  <si>
    <t>https://hivos.my.salesforce.com/sfc/servlet.shepherd/version/renditionDownload?rendition=ORIGINAL_Jpg&amp;versionId=0689N000001BMIBQA4</t>
  </si>
  <si>
    <t>https://hivos.my.salesforce.com/sfc/servlet.shepherd/version/renditionDownload?rendition=ORIGINAL_Jpg&amp;versionId=0689N000001BLoAQAW</t>
  </si>
  <si>
    <t>https://hivos.my.salesforce.com/sfc/servlet.shepherd/version/renditionDownload?rendition=ORIGINAL_Jpg&amp;versionId=0689N000001BfiYQAS</t>
  </si>
  <si>
    <t>2023-07-09 09:13:00.000+03</t>
  </si>
  <si>
    <t>2.245904, 32.961197</t>
  </si>
  <si>
    <t>Agetta Caroline</t>
  </si>
  <si>
    <t>Domestic use;Other (specify)</t>
  </si>
  <si>
    <t>Ironing</t>
  </si>
  <si>
    <t xml:space="preserve">Uncovered lagoon (black watery mass)&lt;1 meter </t>
  </si>
  <si>
    <t>Maize, mangada, mango and guava trees</t>
  </si>
  <si>
    <t>Light of her biogas got broken and the connection of the biogas switch to the light isn't working. Has never bathered to call cleint to work on it</t>
  </si>
  <si>
    <t>Need to work on her connection of switch to light, knob near the stove needs to replaced and replacing the lights of the biogas</t>
  </si>
  <si>
    <t>Top of the doom pipe, slurry pit and drainage channel was missing</t>
  </si>
  <si>
    <t>https://hivos.my.salesforce.com/sfc/servlet.shepherd/version/renditionDownload?rendition=ORIGINAL_Jpg&amp;versionId=0689N000001AlG9QAK</t>
  </si>
  <si>
    <t>https://hivos.my.salesforce.com/sfc/servlet.shepherd/version/renditionDownload?rendition=ORIGINAL_Jpg&amp;versionId=0689N000001AlMYQA0</t>
  </si>
  <si>
    <t>https://hivos.my.salesforce.com/sfc/servlet.shepherd/version/renditionDownload?rendition=ORIGINAL_Jpg&amp;versionId=0689N000001Al2UQAS</t>
  </si>
  <si>
    <t>https://hivos.my.salesforce.com/sfc/servlet.shepherd/version/renditionDownload?rendition=ORIGINAL_Jpg&amp;versionId=0689N000001Bg7qQAC</t>
  </si>
  <si>
    <t>2.285592, 32.865777</t>
  </si>
  <si>
    <t>Anette Owino</t>
  </si>
  <si>
    <t>Now interested in calling for technical help since I have given them anew contact number</t>
  </si>
  <si>
    <t>Need their biogas to be worked on to be fully utilised</t>
  </si>
  <si>
    <t>Home never even tried to call a technical expert, house hold was encouraged by the interviewer to call expert after giving them new contact persons working with biogas solutions currently</t>
  </si>
  <si>
    <t>https://hivos.my.salesforce.com/sfc/servlet.shepherd/version/renditionDownload?rendition=ORIGINAL_Jpg&amp;versionId=0689N000001AlHAQA0</t>
  </si>
  <si>
    <t>https://hivos.my.salesforce.com/sfc/servlet.shepherd/version/renditionDownload?rendition=ORIGINAL_Jpg&amp;versionId=0689N000001AlN2QAK</t>
  </si>
  <si>
    <t>https://hivos.my.salesforce.com/sfc/servlet.shepherd/version/renditionDownload?rendition=ORIGINAL_Jpg&amp;versionId=0689N000001Al0WQAS</t>
  </si>
  <si>
    <t>https://hivos.my.salesforce.com/sfc/servlet.shepherd/version/renditionDownload?rendition=ORIGINAL_Jpg&amp;versionId=0689N000001BffkQAC</t>
  </si>
  <si>
    <t>2023-07-10 08:26:00.000+03</t>
  </si>
  <si>
    <t>2.242516, 32.919994</t>
  </si>
  <si>
    <t>Anyes Agnes</t>
  </si>
  <si>
    <t>The company which constructed their biogas it seems there contract was terminated. Household misplaced their biogas stove and couldn't be tracked at time of the visit</t>
  </si>
  <si>
    <t>Says  if they can work on her biogas and it  gives her light for about 12 hours and and also use like for 40 minutes of cooking that can make her gain interest</t>
  </si>
  <si>
    <t>The responded got tired and gave up on mixing feeds into the biogas which was underperforming to her expections since it was giving light for only 5hours of lighting and 30 minutes of cooking.  Misplaced has biogas stove</t>
  </si>
  <si>
    <t>https://hivos.my.salesforce.com/sfc/servlet.shepherd/version/renditionDownload?rendition=ORIGINAL_Jpg&amp;versionId=0689N000001AlO4QAK</t>
  </si>
  <si>
    <t>https://hivos.my.salesforce.com/sfc/servlet.shepherd/version/renditionDownload?rendition=ORIGINAL_Jpg&amp;versionId=0689N000001AlN3QAK</t>
  </si>
  <si>
    <t>https://hivos.my.salesforce.com/sfc/servlet.shepherd/version/renditionDownload?rendition=ORIGINAL_Jpg&amp;versionId=0689N000001AlBqQAK</t>
  </si>
  <si>
    <t>https://hivos.my.salesforce.com/sfc/servlet.shepherd/version/renditionDownload?rendition=ORIGINAL_Jpg&amp;versionId=0689N000001BgSMQA0</t>
  </si>
  <si>
    <t>2023-07-09 15:36:00.000+03</t>
  </si>
  <si>
    <t>2.269117, 32.867912</t>
  </si>
  <si>
    <t>Elizabeth Rose Akello</t>
  </si>
  <si>
    <t>Wants biogas stove to be transferred to the kitchen of the new house they constructed</t>
  </si>
  <si>
    <t>Transferring biogas stove to a new kitchen of the house they constructed</t>
  </si>
  <si>
    <t>The main user who used to put feeds into the biogas fell sick and those carrently at home are all working thus can't feed the biogas. Now feeling well and wants to come back home and resume feeding the biogas with feeds</t>
  </si>
  <si>
    <t>https://hivos.my.salesforce.com/sfc/servlet.shepherd/version/renditionDownload?rendition=ORIGINAL_Jpg&amp;versionId=0689N000001AlNCQA0</t>
  </si>
  <si>
    <t>https://hivos.my.salesforce.com/sfc/servlet.shepherd/version/renditionDownload?rendition=ORIGINAL_Jpg&amp;versionId=0689N000001Al4pQAC</t>
  </si>
  <si>
    <t>https://hivos.my.salesforce.com/sfc/servlet.shepherd/version/renditionDownload?rendition=ORIGINAL_Jpg&amp;versionId=0689N000001AlNHQA0</t>
  </si>
  <si>
    <t>https://hivos.my.salesforce.com/sfc/servlet.shepherd/version/renditionDownload?rendition=ORIGINAL_Jpg&amp;versionId=0689N000001BfdQQAS</t>
  </si>
  <si>
    <t>2023-07-09 12:11:00.000+03</t>
  </si>
  <si>
    <t>2.265093, 32.879088</t>
  </si>
  <si>
    <t>Jasinter adongo</t>
  </si>
  <si>
    <t>Says called the technical experts and worked on her biogas but now lacking enough cattle wastes</t>
  </si>
  <si>
    <t>Repairing the biogas stove and replacing the pressure guage</t>
  </si>
  <si>
    <t>Household buys cattle wastes and fills her biogas, they repaired her biogas but she hasn't yet refilled it again. Planning to resume towards end of this month</t>
  </si>
  <si>
    <t>https://hivos.my.salesforce.com/sfc/servlet.shepherd/version/renditionDownload?rendition=ORIGINAL_Jpg&amp;versionId=0689N000001AlJzQAK</t>
  </si>
  <si>
    <t>https://hivos.my.salesforce.com/sfc/servlet.shepherd/version/renditionDownload?rendition=ORIGINAL_Jpg&amp;versionId=0689N000001AlHRQA0</t>
  </si>
  <si>
    <t>https://hivos.my.salesforce.com/sfc/servlet.shepherd/version/renditionDownload?rendition=ORIGINAL_Jpg&amp;versionId=0689N000001AlJfQAK</t>
  </si>
  <si>
    <t>https://hivos.my.salesforce.com/sfc/servlet.shepherd/version/renditionDownload?rendition=ORIGINAL_Jpg&amp;versionId=0689N000001BfhEQAS</t>
  </si>
  <si>
    <t>2023-07-09 11:00:00.000+03</t>
  </si>
  <si>
    <t>2.221561, 32.903085</t>
  </si>
  <si>
    <t>Joyce Ogwel</t>
  </si>
  <si>
    <t>Her husband died and she gave away all the cattle, now has no waste to feed the biogas</t>
  </si>
  <si>
    <t>No longer have any cattle, pigs or goats and biogas stove was stolen by thieves</t>
  </si>
  <si>
    <t>https://hivos.my.salesforce.com/sfc/servlet.shepherd/version/renditionDownload?rendition=ORIGINAL_Jpg&amp;versionId=0689N000001Al76QAC</t>
  </si>
  <si>
    <t>https://hivos.my.salesforce.com/sfc/servlet.shepherd/version/renditionDownload?rendition=ORIGINAL_Jpg&amp;versionId=0689N000001AlMnQAK</t>
  </si>
  <si>
    <t>https://hivos.my.salesforce.com/sfc/servlet.shepherd/version/renditionDownload?rendition=ORIGINAL_Jpg&amp;versionId=0689N000001AlBSQA0</t>
  </si>
  <si>
    <t>https://hivos.my.salesforce.com/sfc/servlet.shepherd/version/renditionDownload?rendition=ORIGINAL_Jpg&amp;versionId=0689N000001BgLkQAK</t>
  </si>
  <si>
    <t>2023-07-09 17:34:00.000+03</t>
  </si>
  <si>
    <t>2.208728, 32.866637</t>
  </si>
  <si>
    <t>Molly Atim Amako</t>
  </si>
  <si>
    <t>They connected toilet to the biogas and will continue using human wastes for the biogas</t>
  </si>
  <si>
    <t>Need to get a contact to come on work on their broken channel</t>
  </si>
  <si>
    <t>They sold off all there cattle and now will use human wastes, sheep and chicken wastes  Misplaced their biogas stove and couldn't be tracked at time of the visit</t>
  </si>
  <si>
    <t>https://hivos.my.salesforce.com/sfc/servlet.shepherd/version/renditionDownload?rendition=ORIGINAL_Jpg&amp;versionId=0689N000001AlLbQAK</t>
  </si>
  <si>
    <t>https://hivos.my.salesforce.com/sfc/servlet.shepherd/version/renditionDownload?rendition=ORIGINAL_Jpg&amp;versionId=0689N000001Al5NQAS</t>
  </si>
  <si>
    <t>https://hivos.my.salesforce.com/sfc/servlet.shepherd/version/renditionDownload?rendition=ORIGINAL_Jpg&amp;versionId=0689N000001AlNaQAK</t>
  </si>
  <si>
    <t>https://hivos.my.salesforce.com/sfc/servlet.shepherd/version/renditionDownload?rendition=ORIGINAL_Jpg&amp;versionId=0689N000001BgIlQAK</t>
  </si>
  <si>
    <t>2023-07-09 16:25:00.000+03</t>
  </si>
  <si>
    <t>2.283958, 32.850813</t>
  </si>
  <si>
    <t>Okoko Silvester kisembo</t>
  </si>
  <si>
    <t>Planning to buy exotic cattle and do zero graze them and reconnect the biogas stove connection to the new kitchen the replaced with the old one after damaging the pipe of the old kitchen connection pipes during construction.</t>
  </si>
  <si>
    <t>After buying cattle they will need biogas solutions to reconnect their biogas stove pipe connection to the new kitchen they built and also work on the slurry part which is now blocked by soil</t>
  </si>
  <si>
    <t>Panning to buy cattle to feed the biogas by September 2023. Home misplaced the biogas stove and by the time of the visit couldn't locate exactly where they put it</t>
  </si>
  <si>
    <t>https://hivos.my.salesforce.com/sfc/servlet.shepherd/version/renditionDownload?rendition=ORIGINAL_Jpg&amp;versionId=0689N000001AlKJQA0</t>
  </si>
  <si>
    <t>https://hivos.my.salesforce.com/sfc/servlet.shepherd/version/renditionDownload?rendition=ORIGINAL_Jpg&amp;versionId=0689N000001AlLHQA0</t>
  </si>
  <si>
    <t>https://hivos.my.salesforce.com/sfc/servlet.shepherd/version/renditionDownload?rendition=ORIGINAL_Jpg&amp;versionId=0689N000001AlA9QAK</t>
  </si>
  <si>
    <t>https://hivos.my.salesforce.com/sfc/servlet.shepherd/version/renditionDownload?rendition=ORIGINAL_Jpg&amp;versionId=0689N000001BgW4QAK</t>
  </si>
  <si>
    <t>2023-07-10 07:46:00.000+03</t>
  </si>
  <si>
    <t>2.221305, 32.913301</t>
  </si>
  <si>
    <t>The user paid for the biogas lamp and stove but upto now has never received them</t>
  </si>
  <si>
    <t>Needs bio slurry plant constructed, biogas light and stove to be worked on and provided to him.   Whenever the employees of the company checked on the home and forward their complaint, they never reached out to them again</t>
  </si>
  <si>
    <t>It seems there are employees of the company who are corrupt, they are paid money but don't deliver full services to clients  The bio slurry space was not completed, stove and lamp of the biogas was not delivered</t>
  </si>
  <si>
    <t>https://hivos.my.salesforce.com/sfc/servlet.shepherd/version/renditionDownload?rendition=ORIGINAL_Jpg&amp;versionId=0689N000001AlLcQAK</t>
  </si>
  <si>
    <t>https://hivos.my.salesforce.com/sfc/servlet.shepherd/version/renditionDownload?rendition=ORIGINAL_Jpg&amp;versionId=0689N000001AlK5QAK</t>
  </si>
  <si>
    <t>https://hivos.my.salesforce.com/sfc/servlet.shepherd/version/renditionDownload?rendition=ORIGINAL_Jpg&amp;versionId=0689N000001AlNDQA0</t>
  </si>
  <si>
    <t>https://hivos.my.salesforce.com/sfc/servlet.shepherd/version/renditionDownload?rendition=ORIGINAL_Jpg&amp;versionId=0689N000001BgVAQA0</t>
  </si>
  <si>
    <t>2023-07-10 15:21:00.000+03</t>
  </si>
  <si>
    <t>Mukembo Micheal - 772517816</t>
  </si>
  <si>
    <t>0.455087, 33.659533</t>
  </si>
  <si>
    <t>Tomatoes Banana plants  Coffee plants</t>
  </si>
  <si>
    <t>Biogas</t>
  </si>
  <si>
    <t>I have taken up a small job</t>
  </si>
  <si>
    <t>Local herberlist</t>
  </si>
  <si>
    <t>Radio;Family Member/Friend</t>
  </si>
  <si>
    <t>His just grateful to bio gas solutions for the free gift he got</t>
  </si>
  <si>
    <t>He also uses pit latrine to add on the manure he uses in the digester</t>
  </si>
  <si>
    <t>https://hivos.my.salesforce.com/sfc/servlet.shepherd/version/renditionDownload?rendition=ORIGINAL_Jpg&amp;versionId=0689N000001BJh1QAG</t>
  </si>
  <si>
    <t>https://hivos.my.salesforce.com/sfc/servlet.shepherd/version/renditionDownload?rendition=ORIGINAL_Jpg&amp;versionId=0689N000001BJxHQAW</t>
  </si>
  <si>
    <t>https://hivos.my.salesforce.com/sfc/servlet.shepherd/version/renditionDownload?rendition=ORIGINAL_Jpg&amp;versionId=0689N000001BJvwQAG</t>
  </si>
  <si>
    <t>https://hivos.my.salesforce.com/sfc/servlet.shepherd/version/renditionDownload?rendition=ORIGINAL_Jpg&amp;versionId=0689N000001BigdQAC</t>
  </si>
  <si>
    <t>UG-EAS-1609-1788</t>
  </si>
  <si>
    <t>2023-07-09 10:40:00.000+03</t>
  </si>
  <si>
    <t>0.552588, 34.039693</t>
  </si>
  <si>
    <t>AMOS OSUDU</t>
  </si>
  <si>
    <t>2023-07-09 11:35:00.000+03</t>
  </si>
  <si>
    <t>0.534516, 34.032910</t>
  </si>
  <si>
    <t>BARASA ABEL</t>
  </si>
  <si>
    <t>2023-07-09 12:37:00.000+03</t>
  </si>
  <si>
    <t>0.567657, 33.984647</t>
  </si>
  <si>
    <t>MUSANA FURASI FRED</t>
  </si>
  <si>
    <t>2023-07-09 13:35:00.000+03</t>
  </si>
  <si>
    <t>0.488608, 34.065856</t>
  </si>
  <si>
    <t>OGADA WABWIRE MAJIDU</t>
  </si>
  <si>
    <t>2023-07-09 16:03:00.000+03</t>
  </si>
  <si>
    <t>0.324250, 33.959810</t>
  </si>
  <si>
    <t>OKOYO HANINGTON WERE</t>
  </si>
  <si>
    <t>Liquid slurry (brown porridge type)</t>
  </si>
  <si>
    <t>No3: I just let it run over my fields</t>
  </si>
  <si>
    <t>It's very good and he requests to continue giving pipo an opportunity to have bio gas</t>
  </si>
  <si>
    <t>The plant is fully functional but he reduced on the quantity of manure he feeds in so as to produce more gas but less of the manure</t>
  </si>
  <si>
    <t>https://hivos.my.salesforce.com/sfc/servlet.shepherd/version/renditionDownload?rendition=ORIGINAL_Jpg&amp;versionId=0689N000001AskjQAC</t>
  </si>
  <si>
    <t>https://hivos.my.salesforce.com/sfc/servlet.shepherd/version/renditionDownload?rendition=ORIGINAL_Jpg&amp;versionId=0689N000001AqUUQA0</t>
  </si>
  <si>
    <t>https://hivos.my.salesforce.com/sfc/servlet.shepherd/version/renditionDownload?rendition=ORIGINAL_Jpg&amp;versionId=0689N000001AtQjQAK</t>
  </si>
  <si>
    <t>https://hivos.my.salesforce.com/sfc/servlet.shepherd/version/renditionDownload?rendition=ORIGINAL_Jpg&amp;versionId=0689N000001AtGkQAK</t>
  </si>
  <si>
    <t>0.544597, 33.696013</t>
  </si>
  <si>
    <t>naigaga julie</t>
  </si>
  <si>
    <t>Tomatoes  Banana plants Egg plants</t>
  </si>
  <si>
    <t>World vision</t>
  </si>
  <si>
    <t>Graze animals</t>
  </si>
  <si>
    <t>Look for income generating activities</t>
  </si>
  <si>
    <t>Radio;Biogas Program;Family Member/Friend</t>
  </si>
  <si>
    <t>Bio gas is functional</t>
  </si>
  <si>
    <t>https://hivos.my.salesforce.com/sfc/servlet.shepherd/version/renditionDownload?rendition=ORIGINAL_Jpg&amp;versionId=0689N000001At30QAC</t>
  </si>
  <si>
    <t>https://hivos.my.salesforce.com/sfc/servlet.shepherd/version/renditionDownload?rendition=ORIGINAL_Jpg&amp;versionId=0689N000001AtC6QAK</t>
  </si>
  <si>
    <t>https://hivos.my.salesforce.com/sfc/servlet.shepherd/version/renditionDownload?rendition=ORIGINAL_Jpg&amp;versionId=0689N000001AtDdQAK</t>
  </si>
  <si>
    <t>https://hivos.my.salesforce.com/sfc/servlet.shepherd/version/renditionDownload?rendition=ORIGINAL_Jpg&amp;versionId=0689N000001AtAgQAK</t>
  </si>
  <si>
    <t>2023-07-10 12:48:00.000+03</t>
  </si>
  <si>
    <t>0.544663, 33.695519</t>
  </si>
  <si>
    <t>MARY KAITAMPALA</t>
  </si>
  <si>
    <t>Used as fertilizer;Other (specify)</t>
  </si>
  <si>
    <t>Banana plants Greens, Egg plants Tomatoes</t>
  </si>
  <si>
    <t>Heifer International</t>
  </si>
  <si>
    <t>Had never heard about biogas</t>
  </si>
  <si>
    <t>https://hivos.my.salesforce.com/sfc/servlet.shepherd/version/renditionDownload?rendition=ORIGINAL_Jpg&amp;versionId=0689N000001AtRNQA0</t>
  </si>
  <si>
    <t>https://hivos.my.salesforce.com/sfc/servlet.shepherd/version/renditionDownload?rendition=ORIGINAL_Jpg&amp;versionId=0689N000001AshhQAC</t>
  </si>
  <si>
    <t>https://hivos.my.salesforce.com/sfc/servlet.shepherd/version/renditionDownload?rendition=ORIGINAL_Jpg&amp;versionId=0689N000001AsrkQAC</t>
  </si>
  <si>
    <t>https://hivos.my.salesforce.com/sfc/servlet.shepherd/version/renditionDownload?rendition=ORIGINAL_Jpg&amp;versionId=0689N000001AtRIQA0</t>
  </si>
  <si>
    <t>2023-07-09 11:09:00.000+03</t>
  </si>
  <si>
    <t>Mumbere Anorld - 781563022</t>
  </si>
  <si>
    <t>1.143748, 34.220118</t>
  </si>
  <si>
    <t>Ssenko Ssebi</t>
  </si>
  <si>
    <t>Used as fertilizer;Other</t>
  </si>
  <si>
    <t>Maize,coffee,bananas and beans</t>
  </si>
  <si>
    <t>Request for a service of the system because it has taken long. Now fire comes slowly which means also gas comes slowly</t>
  </si>
  <si>
    <t>The system is working well</t>
  </si>
  <si>
    <t>https://hivos.my.salesforce.com/sfc/servlet.shepherd/version/renditionDownload?rendition=ORIGINAL_Jpg&amp;versionId=0689N000001AZ79QAG</t>
  </si>
  <si>
    <t>https://hivos.my.salesforce.com/sfc/servlet.shepherd/version/renditionDownload?rendition=ORIGINAL_Jpg&amp;versionId=0689N000001AZ6SQAW</t>
  </si>
  <si>
    <t>https://hivos.my.salesforce.com/sfc/servlet.shepherd/version/renditionDownload?rendition=ORIGINAL_Jpg&amp;versionId=0689N000001AZ7EQAW</t>
  </si>
  <si>
    <t>https://hivos.my.salesforce.com/sfc/servlet.shepherd/version/renditionDownload?rendition=ORIGINAL_Jpg&amp;versionId=0689N000001AZ6TQAW</t>
  </si>
  <si>
    <t>2023-07-09 13:09:00.000+03</t>
  </si>
  <si>
    <t>1.103430, 34.194500</t>
  </si>
  <si>
    <t>jamira namulubi</t>
  </si>
  <si>
    <t>Stoped using the system</t>
  </si>
  <si>
    <t>2023-07-09 13:40:00.000+03</t>
  </si>
  <si>
    <t>1.103757, 34.193700</t>
  </si>
  <si>
    <t>kijambu laziya</t>
  </si>
  <si>
    <t>Coffee and bananas</t>
  </si>
  <si>
    <t>Requested for a pipe that leads gas to the stove and the stands on her stoves got broken.</t>
  </si>
  <si>
    <t>Requested for a pipe that leads gas to the stove and the stands on her stove gotten broken.</t>
  </si>
  <si>
    <t>The stove is working only there is need to repair the stands of her stove and also fix the pipe that leads gas to the stove because it started leaking gas</t>
  </si>
  <si>
    <t>https://hivos.my.salesforce.com/sfc/servlet.shepherd/version/renditionDownload?rendition=ORIGINAL_Jpg&amp;versionId=0689N000001AZ7JQAW</t>
  </si>
  <si>
    <t>https://hivos.my.salesforce.com/sfc/servlet.shepherd/version/renditionDownload?rendition=ORIGINAL_Jpg&amp;versionId=0689N000001AZ7OQAW</t>
  </si>
  <si>
    <t>https://hivos.my.salesforce.com/sfc/servlet.shepherd/version/renditionDownload?rendition=ORIGINAL_Jpg&amp;versionId=0689N000001AYxyQAG</t>
  </si>
  <si>
    <t>https://hivos.my.salesforce.com/sfc/servlet.shepherd/version/renditionDownload?rendition=ORIGINAL_Jpg&amp;versionId=0689N000001AZ1bQAG</t>
  </si>
  <si>
    <t>2023-07-10 09:58:00.000+03</t>
  </si>
  <si>
    <t>1.142217, 34.221228</t>
  </si>
  <si>
    <t>Kuchana Fred</t>
  </si>
  <si>
    <t>The cows that were giving him dug were donated to him by world vision. They got sick and died. Likewise the biogas was donated by world vision</t>
  </si>
  <si>
    <t>The system was abandoned because no animals to supply him with dug</t>
  </si>
  <si>
    <t>https://hivos.my.salesforce.com/sfc/servlet.shepherd/version/renditionDownload?rendition=ORIGINAL_Jpg&amp;versionId=0689N000001BN3aQAG</t>
  </si>
  <si>
    <t>https://hivos.my.salesforce.com/sfc/servlet.shepherd/version/renditionDownload?rendition=ORIGINAL_Jpg&amp;versionId=0689N000001BNBDQA4</t>
  </si>
  <si>
    <t>https://hivos.my.salesforce.com/sfc/servlet.shepherd/version/renditionDownload?rendition=ORIGINAL_Jpg&amp;versionId=0689N000001BN0AQAW</t>
  </si>
  <si>
    <t>https://hivos.my.salesforce.com/sfc/servlet.shepherd/version/renditionDownload?rendition=ORIGINAL_Jpg&amp;versionId=0689N000001BNApQAO</t>
  </si>
  <si>
    <t>2023-07-10 16:10:00.000+03</t>
  </si>
  <si>
    <t>1.115297, 34.215898</t>
  </si>
  <si>
    <t>Mabonga Zubairi</t>
  </si>
  <si>
    <t>The pipes got blocked and would love that it be worked on</t>
  </si>
  <si>
    <t>Fixing the blocked pipes</t>
  </si>
  <si>
    <t>The system stopped working.</t>
  </si>
  <si>
    <t>https://hivos.my.salesforce.com/sfc/servlet.shepherd/version/renditionDownload?rendition=ORIGINAL_Jpg&amp;versionId=0689N000001BNCVQA4</t>
  </si>
  <si>
    <t>https://hivos.my.salesforce.com/sfc/servlet.shepherd/version/renditionDownload?rendition=ORIGINAL_Jpg&amp;versionId=0689N000001BNCaQAO</t>
  </si>
  <si>
    <t>https://hivos.my.salesforce.com/sfc/servlet.shepherd/version/renditionDownload?rendition=ORIGINAL_Jpg&amp;versionId=0689N000001BNCfQAO</t>
  </si>
  <si>
    <t>https://hivos.my.salesforce.com/sfc/servlet.shepherd/version/renditionDownload?rendition=ORIGINAL_Jpg&amp;versionId=0689N000001BjXvQAK</t>
  </si>
  <si>
    <t>2023-07-10 14:19:00.000+03</t>
  </si>
  <si>
    <t>1.113878, 34.215885</t>
  </si>
  <si>
    <t>Mukoli Hasifa</t>
  </si>
  <si>
    <t>Uncovered lagoon (black watery mass)&lt;1 meter</t>
  </si>
  <si>
    <t>Bananas, coffee, maize and beans</t>
  </si>
  <si>
    <t>Biogas Program;Other (Specify)</t>
  </si>
  <si>
    <t>Request for repair especially where she feed her biogas digester from</t>
  </si>
  <si>
    <t>General repair because it has taken long especially where the digester feeds from.</t>
  </si>
  <si>
    <t>The slurry tank got broken and needs repair on it</t>
  </si>
  <si>
    <t>https://hivos.my.salesforce.com/sfc/servlet.shepherd/version/renditionDownload?rendition=ORIGINAL_Jpg&amp;versionId=0689N000001BNCGQA4</t>
  </si>
  <si>
    <t>https://hivos.my.salesforce.com/sfc/servlet.shepherd/version/renditionDownload?rendition=ORIGINAL_Jpg&amp;versionId=0689N000001BN8RQAW</t>
  </si>
  <si>
    <t>https://hivos.my.salesforce.com/sfc/servlet.shepherd/version/renditionDownload?rendition=ORIGINAL_Jpg&amp;versionId=0689N000001BNCLQA4</t>
  </si>
  <si>
    <t>https://hivos.my.salesforce.com/sfc/servlet.shepherd/version/renditionDownload?rendition=ORIGINAL_Jpg&amp;versionId=0689N000001Bj2JQAS</t>
  </si>
  <si>
    <t>2023-07-10 10:16:00.000+03</t>
  </si>
  <si>
    <t>1.141182, 34.222377</t>
  </si>
  <si>
    <t>Mwechanire Stiven</t>
  </si>
  <si>
    <t>The cow that was giving him dug a donation from world vision got sick and was advised by world vision to sell it off instead of getting total loss</t>
  </si>
  <si>
    <t>The family has completely abandoned the system because there is no dug to feed the system.</t>
  </si>
  <si>
    <t>https://hivos.my.salesforce.com/sfc/servlet.shepherd/version/renditionDownload?rendition=ORIGINAL_Jpg&amp;versionId=0689N000001BNA1QAO</t>
  </si>
  <si>
    <t>https://hivos.my.salesforce.com/sfc/servlet.shepherd/version/renditionDownload?rendition=ORIGINAL_Jpg&amp;versionId=0689N000001BNBNQA4</t>
  </si>
  <si>
    <t>https://hivos.my.salesforce.com/sfc/servlet.shepherd/version/renditionDownload?rendition=ORIGINAL_Jpg&amp;versionId=0689N000001BNBXQA4</t>
  </si>
  <si>
    <t>https://hivos.my.salesforce.com/sfc/servlet.shepherd/version/renditionDownload?rendition=ORIGINAL_Jpg&amp;versionId=0689N000001BipVQAS</t>
  </si>
  <si>
    <t>2023-07-10 11:49:00.000+03</t>
  </si>
  <si>
    <t>1.151037, 34.218038</t>
  </si>
  <si>
    <t>Nakayi Catherine</t>
  </si>
  <si>
    <t>Just needs her system digester fixed and the pipe that leads gas to the stove from the digester</t>
  </si>
  <si>
    <t>Fixing her switch and the pipe</t>
  </si>
  <si>
    <t>The system is still intact but just needs fixing of the switch and the pipe that leads the gas to the stove from the digester</t>
  </si>
  <si>
    <t>https://hivos.my.salesforce.com/sfc/servlet.shepherd/version/renditionDownload?rendition=ORIGINAL_Jpg&amp;versionId=0689N000001BNCpQAO</t>
  </si>
  <si>
    <t>https://hivos.my.salesforce.com/sfc/servlet.shepherd/version/renditionDownload?rendition=ORIGINAL_Jpg&amp;versionId=0689N000001BNCuQAO</t>
  </si>
  <si>
    <t>https://hivos.my.salesforce.com/sfc/servlet.shepherd/version/renditionDownload?rendition=ORIGINAL_Jpg&amp;versionId=0689N000001BMxnQAG</t>
  </si>
  <si>
    <t>https://hivos.my.salesforce.com/sfc/servlet.shepherd/version/renditionDownload?rendition=ORIGINAL_Jpg&amp;versionId=0689N000001Bj9dQAC</t>
  </si>
  <si>
    <t>2023-07-10 12:14:00.000+03</t>
  </si>
  <si>
    <t>1.141368, 34.214890</t>
  </si>
  <si>
    <t>Watetema Nathan</t>
  </si>
  <si>
    <t>They are nolonger interested because even animals that were giving them dug got stolen</t>
  </si>
  <si>
    <t>The system got abandoned. Even the animals were stolen after the system got blocked</t>
  </si>
  <si>
    <t>https://hivos.my.salesforce.com/sfc/servlet.shepherd/version/renditionDownload?rendition=ORIGINAL_Jpg&amp;versionId=0689N000001BNBwQAO</t>
  </si>
  <si>
    <t>https://hivos.my.salesforce.com/sfc/servlet.shepherd/version/renditionDownload?rendition=ORIGINAL_Jpg&amp;versionId=0689N000001BMyYQAW</t>
  </si>
  <si>
    <t>https://hivos.my.salesforce.com/sfc/servlet.shepherd/version/renditionDownload?rendition=ORIGINAL_Jpg&amp;versionId=0689N000001BNC1QAO</t>
  </si>
  <si>
    <t>https://hivos.my.salesforce.com/sfc/servlet.shepherd/version/renditionDownload?rendition=ORIGINAL_Jpg&amp;versionId=0689N000001BjiRQAS</t>
  </si>
  <si>
    <t>2023-07-11 12:06:00.000+03</t>
  </si>
  <si>
    <t>Muzinge Lawrence - 775737916</t>
  </si>
  <si>
    <t>1.069677, 34.206175</t>
  </si>
  <si>
    <t>https://hivos.my.salesforce.com/sfc/servlet.shepherd/version/renditionDownload?rendition=ORIGINAL_Jpg&amp;versionId=0689N000001BL12QAG</t>
  </si>
  <si>
    <t>https://hivos.my.salesforce.com/sfc/servlet.shepherd/version/renditionDownload?rendition=ORIGINAL_Jpg&amp;versionId=0689N000001BLOcQAO</t>
  </si>
  <si>
    <t>https://hivos.my.salesforce.com/sfc/servlet.shepherd/version/renditionDownload?rendition=ORIGINAL_Jpg&amp;versionId=0689N000001BLQgQAO</t>
  </si>
  <si>
    <t>https://hivos.my.salesforce.com/sfc/servlet.shepherd/version/renditionDownload?rendition=ORIGINAL_Jpg&amp;versionId=0689N000001BhMgQAK</t>
  </si>
  <si>
    <t>2023-07-12 10:55:00.000+03</t>
  </si>
  <si>
    <t>1.043937, 34.165272</t>
  </si>
  <si>
    <t>Natiko Fred</t>
  </si>
  <si>
    <t>Matooke,Vanilla</t>
  </si>
  <si>
    <t>Watching TV/social media;Social activity (voluntary work, etc);Visiting the church</t>
  </si>
  <si>
    <t>https://hivos.my.salesforce.com/sfc/servlet.shepherd/version/renditionDownload?rendition=ORIGINAL_Jpg&amp;versionId=0689N000001BL74QAG</t>
  </si>
  <si>
    <t>https://hivos.my.salesforce.com/sfc/servlet.shepherd/version/renditionDownload?rendition=ORIGINAL_Jpg&amp;versionId=0689N000001BLB2QAO</t>
  </si>
  <si>
    <t>https://hivos.my.salesforce.com/sfc/servlet.shepherd/version/renditionDownload?rendition=ORIGINAL_Jpg&amp;versionId=0689N000001BLOIQA4</t>
  </si>
  <si>
    <t>https://hivos.my.salesforce.com/sfc/servlet.shepherd/version/renditionDownload?rendition=ORIGINAL_Jpg&amp;versionId=0689N000001BgyYQAS</t>
  </si>
  <si>
    <t>2023-07-10 12:12:00.000+03</t>
  </si>
  <si>
    <t>1.055000, 34.193888</t>
  </si>
  <si>
    <t>Siango Richard</t>
  </si>
  <si>
    <t>Matooke, Tomatoes</t>
  </si>
  <si>
    <t>Productive time use;Social activities;Family activities;Education;Leisure</t>
  </si>
  <si>
    <t>I am taking an educational course;I am assisting my kids with studies</t>
  </si>
  <si>
    <t>Radio;Social Media</t>
  </si>
  <si>
    <t>It doesn't serve him well according to his expectations.It needs fine tuning.</t>
  </si>
  <si>
    <t>Making the plant more effective and user friendly.</t>
  </si>
  <si>
    <t>No plant code written on.</t>
  </si>
  <si>
    <t>https://hivos.my.salesforce.com/sfc/servlet.shepherd/version/renditionDownload?rendition=ORIGINAL_Jpg&amp;versionId=0689N000001BLNsQAO</t>
  </si>
  <si>
    <t>https://hivos.my.salesforce.com/sfc/servlet.shepherd/version/renditionDownload?rendition=ORIGINAL_Jpg&amp;versionId=0689N000001BLJsQAO</t>
  </si>
  <si>
    <t>https://hivos.my.salesforce.com/sfc/servlet.shepherd/version/renditionDownload?rendition=ORIGINAL_Jpg&amp;versionId=0689N000001BLObQAO</t>
  </si>
  <si>
    <t>https://hivos.my.salesforce.com/sfc/servlet.shepherd/version/renditionDownload?rendition=ORIGINAL_Jpg&amp;versionId=0689N000001Bh7RQAS</t>
  </si>
  <si>
    <t>2023-07-10 11:10:00.000+03</t>
  </si>
  <si>
    <t>1.019780, 34.179912</t>
  </si>
  <si>
    <t>Sinukhule Joshua</t>
  </si>
  <si>
    <t>Maize,Matooke</t>
  </si>
  <si>
    <t>Chemical fertilizer;Compost manure</t>
  </si>
  <si>
    <t>Watching TV/social media;Social activity (voluntary work, etc);Chatting with neighbours, friends etc</t>
  </si>
  <si>
    <t>I am reading books</t>
  </si>
  <si>
    <t>Radio;TV Programmes</t>
  </si>
  <si>
    <t>https://hivos.my.salesforce.com/sfc/servlet.shepherd/version/renditionDownload?rendition=ORIGINAL_Jpg&amp;versionId=0689N000001BL70QAG</t>
  </si>
  <si>
    <t>https://hivos.my.salesforce.com/sfc/servlet.shepherd/version/renditionDownload?rendition=ORIGINAL_Jpg&amp;versionId=0689N000001BLISQA4</t>
  </si>
  <si>
    <t>https://hivos.my.salesforce.com/sfc/servlet.shepherd/version/renditionDownload?rendition=ORIGINAL_Jpg&amp;versionId=0689N000001BLM1QAO</t>
  </si>
  <si>
    <t>https://hivos.my.salesforce.com/sfc/servlet.shepherd/version/renditionDownload?rendition=ORIGINAL_Jpg&amp;versionId=0689N000001BhApQAK</t>
  </si>
  <si>
    <t>2023-07-10 09:26:00.000+03</t>
  </si>
  <si>
    <t>1.008597, 34.164005</t>
  </si>
  <si>
    <t>Wakholi Catherine</t>
  </si>
  <si>
    <t>Matooke,Greens,Napier grass</t>
  </si>
  <si>
    <t>Mbale Renewable energy centre</t>
  </si>
  <si>
    <t>Social activities;Family activities;Leisure</t>
  </si>
  <si>
    <t>Radio;Agriculture Extension Officer;TV Programmes</t>
  </si>
  <si>
    <t>Kindly teach us how to process bio slurry for sale as a product.</t>
  </si>
  <si>
    <t>Marketing our bio slurry and how package it for sale.</t>
  </si>
  <si>
    <t>https://hivos.my.salesforce.com/sfc/servlet.shepherd/version/renditionDownload?rendition=ORIGINAL_Jpg&amp;versionId=0689N000001BLJdQAO</t>
  </si>
  <si>
    <t>https://hivos.my.salesforce.com/sfc/servlet.shepherd/version/renditionDownload?rendition=ORIGINAL_Jpg&amp;versionId=0689N000001BLP0QAO</t>
  </si>
  <si>
    <t>https://hivos.my.salesforce.com/sfc/servlet.shepherd/version/renditionDownload?rendition=ORIGINAL_Jpg&amp;versionId=0689N000001BLJOQA4</t>
  </si>
  <si>
    <t>https://hivos.my.salesforce.com/sfc/servlet.shepherd/version/renditionDownload?rendition=ORIGINAL_Jpg&amp;versionId=0689N000001BhMMQA0</t>
  </si>
  <si>
    <t>2023-07-11 11:07:00.000+03</t>
  </si>
  <si>
    <t>1.098595, 34.205215</t>
  </si>
  <si>
    <t>Wanade Fatima</t>
  </si>
  <si>
    <t>https://hivos.my.salesforce.com/sfc/servlet.shepherd/version/renditionDownload?rendition=ORIGINAL_Jpg&amp;versionId=0689N000001BLPGQA4</t>
  </si>
  <si>
    <t>https://hivos.my.salesforce.com/sfc/servlet.shepherd/version/renditionDownload?rendition=ORIGINAL_Jpg&amp;versionId=0689N000001BLPyQAO</t>
  </si>
  <si>
    <t>https://hivos.my.salesforce.com/sfc/servlet.shepherd/version/renditionDownload?rendition=ORIGINAL_Jpg&amp;versionId=0689N000001BLDvQAO</t>
  </si>
  <si>
    <t>https://hivos.my.salesforce.com/sfc/servlet.shepherd/version/renditionDownload?rendition=ORIGINAL_Jpg&amp;versionId=0689N000001BhMbQAK</t>
  </si>
  <si>
    <t>2023-07-11 14:19:00.000+03</t>
  </si>
  <si>
    <t>0.916217, 34.164653</t>
  </si>
  <si>
    <t>Wataka Tabitha</t>
  </si>
  <si>
    <t>We need support to have our biogas working.</t>
  </si>
  <si>
    <t>Sending the technician to fix their biogas.</t>
  </si>
  <si>
    <t>The plant is damaged.</t>
  </si>
  <si>
    <t>https://hivos.my.salesforce.com/sfc/servlet.shepherd/version/renditionDownload?rendition=ORIGINAL_Jpg&amp;versionId=0689N000001BLSDQA4</t>
  </si>
  <si>
    <t>https://hivos.my.salesforce.com/sfc/servlet.shepherd/version/renditionDownload?rendition=ORIGINAL_Jpg&amp;versionId=0689N000001BL5SQAW</t>
  </si>
  <si>
    <t>https://hivos.my.salesforce.com/sfc/servlet.shepherd/version/renditionDownload?rendition=ORIGINAL_Jpg&amp;versionId=0689N000001BLSIQA4</t>
  </si>
  <si>
    <t>https://hivos.my.salesforce.com/sfc/servlet.shepherd/version/renditionDownload?rendition=ORIGINAL_Jpg&amp;versionId=0689N000001BglFQAS</t>
  </si>
  <si>
    <t>2023-07-11 13:09:00.000+03</t>
  </si>
  <si>
    <t>0.979950, 34.253352</t>
  </si>
  <si>
    <t>Watiti Masokhoyi Jackson</t>
  </si>
  <si>
    <t>Coffee,Matooke</t>
  </si>
  <si>
    <t>Attending to my Garden</t>
  </si>
  <si>
    <t>https://hivos.my.salesforce.com/sfc/servlet.shepherd/version/renditionDownload?rendition=ORIGINAL_Jpg&amp;versionId=0689N000001BLRAQA4</t>
  </si>
  <si>
    <t>https://hivos.my.salesforce.com/sfc/servlet.shepherd/version/renditionDownload?rendition=ORIGINAL_Jpg&amp;versionId=0689N000001BLRFQA4</t>
  </si>
  <si>
    <t>https://hivos.my.salesforce.com/sfc/servlet.shepherd/version/renditionDownload?rendition=ORIGINAL_Jpg&amp;versionId=0689N000001BLMMQA4</t>
  </si>
  <si>
    <t>https://hivos.my.salesforce.com/sfc/servlet.shepherd/version/renditionDownload?rendition=ORIGINAL_Jpg&amp;versionId=0689N000001BhMqQAK</t>
  </si>
  <si>
    <t>Nankunda Drake - 787459801</t>
  </si>
  <si>
    <t>0.277735, 30.493018</t>
  </si>
  <si>
    <t>He is promising to start using it soon ,he has just bought cows.</t>
  </si>
  <si>
    <t>He would like to be helped to construct a toilet which can use biogas.</t>
  </si>
  <si>
    <t>https://hivos.my.salesforce.com/sfc/servlet.shepherd/version/renditionDownload?rendition=ORIGINAL_Jpg&amp;versionId=0689N000001AaPyQAK</t>
  </si>
  <si>
    <t>https://hivos.my.salesforce.com/sfc/servlet.shepherd/version/renditionDownload?rendition=ORIGINAL_Jpg&amp;versionId=0689N000001AZXMQA4</t>
  </si>
  <si>
    <t>https://hivos.my.salesforce.com/sfc/servlet.shepherd/version/renditionDownload?rendition=ORIGINAL_Jpg&amp;versionId=0689N000001AaOHQA0</t>
  </si>
  <si>
    <t>https://hivos.my.salesforce.com/sfc/servlet.shepherd/version/renditionDownload?rendition=ORIGINAL_Jpg&amp;versionId=0689N000001BixsQAC</t>
  </si>
  <si>
    <t>2023-07-09 05:13:00.000+03</t>
  </si>
  <si>
    <t>2023-07-10 14:44:00.000+03</t>
  </si>
  <si>
    <t>0.673712, 30.509740</t>
  </si>
  <si>
    <t>Asio Betty Kasoro</t>
  </si>
  <si>
    <t>Banana plantation,fish ponds</t>
  </si>
  <si>
    <t>NPK fertilizer for Tea plantation.</t>
  </si>
  <si>
    <t>It's what is good for tea plantation</t>
  </si>
  <si>
    <t>She only appreciates the work done by biogas but would like her system to be checked if there is leakage in the pipe</t>
  </si>
  <si>
    <t>To send someone check on the pipes she suspects there is leakge</t>
  </si>
  <si>
    <t>NONE</t>
  </si>
  <si>
    <t>https://hivos.my.salesforce.com/sfc/servlet.shepherd/version/renditionDownload?rendition=ORIGINAL_Jpg&amp;versionId=0689N000001BDKlQAO</t>
  </si>
  <si>
    <t>https://hivos.my.salesforce.com/sfc/servlet.shepherd/version/renditionDownload?rendition=ORIGINAL_Jpg&amp;versionId=0689N000001BDWkQAO</t>
  </si>
  <si>
    <t>https://hivos.my.salesforce.com/sfc/servlet.shepherd/version/renditionDownload?rendition=ORIGINAL_Jpg&amp;versionId=0689N000001BDiXQAW</t>
  </si>
  <si>
    <t>https://hivos.my.salesforce.com/sfc/servlet.shepherd/version/renditionDownload?rendition=ORIGINAL_Jpg&amp;versionId=0689N000001BjGfQAK</t>
  </si>
  <si>
    <t>2023-07-10 15:40:00.000+03</t>
  </si>
  <si>
    <t>2023-07-11 09:57:00.000+03</t>
  </si>
  <si>
    <t>0.649672, 30.302902</t>
  </si>
  <si>
    <t>She is planning to buy cows soon</t>
  </si>
  <si>
    <t>The pipes also will need some repairs because it would bring some smoke after mixing</t>
  </si>
  <si>
    <t>https://hivos.my.salesforce.com/sfc/servlet.shepherd/version/renditionDownload?rendition=ORIGINAL_Jpg&amp;versionId=0689N000001BjHnQAK</t>
  </si>
  <si>
    <t>https://hivos.my.salesforce.com/sfc/servlet.shepherd/version/renditionDownload?rendition=ORIGINAL_Jpg&amp;versionId=0689N000001BDjHQAW</t>
  </si>
  <si>
    <t>https://hivos.my.salesforce.com/sfc/servlet.shepherd/version/renditionDownload?rendition=ORIGINAL_Jpg&amp;versionId=0689N000001BDjuQAG</t>
  </si>
  <si>
    <t>https://hivos.my.salesforce.com/sfc/servlet.shepherd/version/renditionDownload?rendition=ORIGINAL_Jpg&amp;versionId=0689N000001BDk4QAG</t>
  </si>
  <si>
    <t>2023-07-11 10:43:00.000+03</t>
  </si>
  <si>
    <t>2023-07-10 11:35:00.000+03</t>
  </si>
  <si>
    <t>0.667975, 30.437525</t>
  </si>
  <si>
    <t>Jane Rwampunda</t>
  </si>
  <si>
    <t>Yes;No1: I sell it</t>
  </si>
  <si>
    <t>Coffee, Banana plantation, vegetables.</t>
  </si>
  <si>
    <t>Liquid from Rabbits</t>
  </si>
  <si>
    <t>She has it available and it's productive</t>
  </si>
  <si>
    <t>Charitable Trust Uganda</t>
  </si>
  <si>
    <t>She is requesting for a certificate and Biogas intervention on water distance challenges.</t>
  </si>
  <si>
    <t>She has a challenge of water being dar a way from her home.</t>
  </si>
  <si>
    <t>https://hivos.my.salesforce.com/sfc/servlet.shepherd/version/renditionDownload?rendition=ORIGINAL_Jpg&amp;versionId=0689N000001BDarQAG</t>
  </si>
  <si>
    <t>https://hivos.my.salesforce.com/sfc/servlet.shepherd/version/renditionDownload?rendition=ORIGINAL_Jpg&amp;versionId=0689N000001BDcaQAG</t>
  </si>
  <si>
    <t>https://hivos.my.salesforce.com/sfc/servlet.shepherd/version/renditionDownload?rendition=ORIGINAL_Jpg&amp;versionId=0689N000001BDi8QAG</t>
  </si>
  <si>
    <t>https://hivos.my.salesforce.com/sfc/servlet.shepherd/version/renditionDownload?rendition=ORIGINAL_Jpg&amp;versionId=0689N000001BkV8QAK</t>
  </si>
  <si>
    <t>2023-07-10 12:30:00.000+03</t>
  </si>
  <si>
    <t>2023-07-10 10:04:00.000+03</t>
  </si>
  <si>
    <t>0.649742, 30.300844</t>
  </si>
  <si>
    <t>Kagaba David</t>
  </si>
  <si>
    <t>At my shop working</t>
  </si>
  <si>
    <t>Agriculture Extension Officer;Other (Specify)</t>
  </si>
  <si>
    <t>At work</t>
  </si>
  <si>
    <t>It is working well,no challenges with the system.</t>
  </si>
  <si>
    <t>The house hold doesn't know how to use goats dung ,it needs more training</t>
  </si>
  <si>
    <t>https://hivos.my.salesforce.com/sfc/servlet.shepherd/version/renditionDownload?rendition=ORIGINAL_Jpg&amp;versionId=0689N000001Ap0yQAC</t>
  </si>
  <si>
    <t>https://hivos.my.salesforce.com/sfc/servlet.shepherd/version/renditionDownload?rendition=ORIGINAL_Jpg&amp;versionId=0689N000001BDfXQAW</t>
  </si>
  <si>
    <t>https://hivos.my.salesforce.com/sfc/servlet.shepherd/version/renditionDownload?rendition=ORIGINAL_Jpg&amp;versionId=0689N000001BDhoQAG</t>
  </si>
  <si>
    <t>https://hivos.my.salesforce.com/sfc/servlet.shepherd/version/renditionDownload?rendition=ORIGINAL_Jpg&amp;versionId=0689N000001BisSQAS</t>
  </si>
  <si>
    <t>2023-07-10 10:48:00.000+03</t>
  </si>
  <si>
    <t>2023-07-12 09:05:00.000+03</t>
  </si>
  <si>
    <t>0.652904, 30.326794</t>
  </si>
  <si>
    <t>Kyomuhendo Patrick</t>
  </si>
  <si>
    <t>He still uses firewood,so there still a problem of smoke.</t>
  </si>
  <si>
    <t>Take care of the cows especially preparing their feeds (zero grazing)</t>
  </si>
  <si>
    <t>Time is saved</t>
  </si>
  <si>
    <t>He needs someone to repair on the system especially with the stove</t>
  </si>
  <si>
    <t>Training on uses of bio- slurry and  more other benefits</t>
  </si>
  <si>
    <t>https://hivos.my.salesforce.com/sfc/servlet.shepherd/version/renditionDownload?rendition=ORIGINAL_Jpg&amp;versionId=0689N000001BDbcQAG</t>
  </si>
  <si>
    <t>https://hivos.my.salesforce.com/sfc/servlet.shepherd/version/renditionDownload?rendition=ORIGINAL_Jpg&amp;versionId=0689N000001BDjQQAW</t>
  </si>
  <si>
    <t>https://hivos.my.salesforce.com/sfc/servlet.shepherd/version/renditionDownload?rendition=ORIGINAL_Jpg&amp;versionId=0689N000001BDWlQAO</t>
  </si>
  <si>
    <t>https://hivos.my.salesforce.com/sfc/servlet.shepherd/version/renditionDownload?rendition=ORIGINAL_Jpg&amp;versionId=0689N000001BjA0QAK</t>
  </si>
  <si>
    <t>2023-07-12 09:54:00.000+03</t>
  </si>
  <si>
    <t>2023-07-09 12:21:00.000+03</t>
  </si>
  <si>
    <t>0.344338, 30.495930</t>
  </si>
  <si>
    <t>Lucky Mucunguzi</t>
  </si>
  <si>
    <t>He is requesting biogas office to give him a hand in repairing it.</t>
  </si>
  <si>
    <t>Repair of the whole system.</t>
  </si>
  <si>
    <t>He would love to have the biogas system work again by helping him repair it.</t>
  </si>
  <si>
    <t>https://hivos.my.salesforce.com/sfc/servlet.shepherd/version/renditionDownload?rendition=ORIGINAL_Jpg&amp;versionId=0689N000001AaPiQAK</t>
  </si>
  <si>
    <t>https://hivos.my.salesforce.com/sfc/servlet.shepherd/version/renditionDownload?rendition=ORIGINAL_Jpg&amp;versionId=0689N000001AaPnQAK</t>
  </si>
  <si>
    <t>https://hivos.my.salesforce.com/sfc/servlet.shepherd/version/renditionDownload?rendition=ORIGINAL_Jpg&amp;versionId=0689N000001BiadQAC</t>
  </si>
  <si>
    <t>2023-07-09 13:10:00.000+03</t>
  </si>
  <si>
    <t>2023-07-09 11:06:00.000+03</t>
  </si>
  <si>
    <t>0.305546, 30.519454</t>
  </si>
  <si>
    <t>He has plans of using it when he gets a worker because he likes it's manure.</t>
  </si>
  <si>
    <t>The digester works well only that they don't have someone to mix the cowdung.</t>
  </si>
  <si>
    <t>https://hivos.my.salesforce.com/sfc/servlet.shepherd/version/renditionDownload?rendition=ORIGINAL_Jpg&amp;versionId=0689N000001AaPJQA0</t>
  </si>
  <si>
    <t>https://hivos.my.salesforce.com/sfc/servlet.shepherd/version/renditionDownload?rendition=ORIGINAL_Jpg&amp;versionId=0689N000001AaPOQA0</t>
  </si>
  <si>
    <t>https://hivos.my.salesforce.com/sfc/servlet.shepherd/version/renditionDownload?rendition=ORIGINAL_Jpg&amp;versionId=0689N000001AaMnQAK</t>
  </si>
  <si>
    <t>https://hivos.my.salesforce.com/sfc/servlet.shepherd/version/renditionDownload?rendition=ORIGINAL_Jpg&amp;versionId=0689N000001BhoBQAS</t>
  </si>
  <si>
    <t>2023-07-09 11:55:00.000+03</t>
  </si>
  <si>
    <t>2023-07-09 15:04:00.000+03</t>
  </si>
  <si>
    <t>0.382432, 30.513347</t>
  </si>
  <si>
    <t>Turyamureba William</t>
  </si>
  <si>
    <t>He is requesting to be helped by biogas office in the repairs.</t>
  </si>
  <si>
    <t>Repairs to be assisted.</t>
  </si>
  <si>
    <t>Most of his tools used were stolen and he loves using biogas Soo much.</t>
  </si>
  <si>
    <t>https://hivos.my.salesforce.com/sfc/servlet.shepherd/version/renditionDownload?rendition=ORIGINAL_Jpg&amp;versionId=0689N000001AZzPQAW</t>
  </si>
  <si>
    <t>https://hivos.my.salesforce.com/sfc/servlet.shepherd/version/renditionDownload?rendition=ORIGINAL_Jpg&amp;versionId=0689N000001AaPxQAK</t>
  </si>
  <si>
    <t>https://hivos.my.salesforce.com/sfc/servlet.shepherd/version/renditionDownload?rendition=ORIGINAL_Jpg&amp;versionId=0689N000001AaH4QAK</t>
  </si>
  <si>
    <t>https://hivos.my.salesforce.com/sfc/servlet.shepherd/version/renditionDownload?rendition=ORIGINAL_Jpg&amp;versionId=0689N000001BiQ3QAK</t>
  </si>
  <si>
    <t>2023-07-09 16:01:00.000+03</t>
  </si>
  <si>
    <t>2023-07-11 10:47:00.000+03</t>
  </si>
  <si>
    <t>0.406517, 32.604707</t>
  </si>
  <si>
    <t>Its applied in the banana plantation,maize and coffee</t>
  </si>
  <si>
    <t>The respondent does not remember</t>
  </si>
  <si>
    <t>Looking after his animals and birds</t>
  </si>
  <si>
    <t>The pressure is low compared to when they had just started using it</t>
  </si>
  <si>
    <t>About how biogas can be used for lighting</t>
  </si>
  <si>
    <t>They have too much bioslurry and looking for people to buy it</t>
  </si>
  <si>
    <t>https://hivos.my.salesforce.com/sfc/servlet.shepherd/version/renditionDownload?rendition=ORIGINAL_Jpg&amp;versionId=0689N000001Az4iQAC</t>
  </si>
  <si>
    <t>https://hivos.my.salesforce.com/sfc/servlet.shepherd/version/renditionDownload?rendition=ORIGINAL_Jpg&amp;versionId=0689N000001Az45QAC</t>
  </si>
  <si>
    <t>https://hivos.my.salesforce.com/sfc/servlet.shepherd/version/renditionDownload?rendition=ORIGINAL_Jpg&amp;versionId=0689N000001Az4nQAC</t>
  </si>
  <si>
    <t>https://hivos.my.salesforce.com/sfc/servlet.shepherd/version/renditionDownload?rendition=ORIGINAL_Jpg&amp;versionId=0689N000001BhsYQAS</t>
  </si>
  <si>
    <t>0.397490, 32.646655</t>
  </si>
  <si>
    <t>Gloria Lwamafa</t>
  </si>
  <si>
    <t>Its applied in the banana plantation,flowers,vegetables</t>
  </si>
  <si>
    <t>The tighing knots rust easily</t>
  </si>
  <si>
    <t>They like tge biogas</t>
  </si>
  <si>
    <t>https://hivos.my.salesforce.com/sfc/servlet.shepherd/version/renditionDownload?rendition=ORIGINAL_Jpg&amp;versionId=0689N000001Az4xQAC</t>
  </si>
  <si>
    <t>https://hivos.my.salesforce.com/sfc/servlet.shepherd/version/renditionDownload?rendition=ORIGINAL_Jpg&amp;versionId=0689N000001Az3HQAS</t>
  </si>
  <si>
    <t>https://hivos.my.salesforce.com/sfc/servlet.shepherd/version/renditionDownload?rendition=ORIGINAL_Jpg&amp;versionId=0689N000001Az1VQAS</t>
  </si>
  <si>
    <t>https://hivos.my.salesforce.com/sfc/servlet.shepherd/version/renditionDownload?rendition=ORIGINAL_Jpg&amp;versionId=0689N000001BhsiQAC</t>
  </si>
  <si>
    <t>2023-07-09 16:02:00.000+03</t>
  </si>
  <si>
    <t>0.415168, 32.556450</t>
  </si>
  <si>
    <t>Male;Female</t>
  </si>
  <si>
    <t>Of late the pressure is very low and they don't cook all meals they used to cook on biogas like before</t>
  </si>
  <si>
    <t>They like the biogas and need atechnician to come and check it and find out why the pressure is low</t>
  </si>
  <si>
    <t>https://hivos.my.salesforce.com/sfc/servlet.shepherd/version/renditionDownload?rendition=ORIGINAL_Jpg&amp;versionId=0689N000001AZXeQAO</t>
  </si>
  <si>
    <t>https://hivos.my.salesforce.com/sfc/servlet.shepherd/version/renditionDownload?rendition=ORIGINAL_Jpg&amp;versionId=0689N000001AZXoQAO</t>
  </si>
  <si>
    <t>https://hivos.my.salesforce.com/sfc/servlet.shepherd/version/renditionDownload?rendition=ORIGINAL_Jpg&amp;versionId=0689N000001AZVWQA4</t>
  </si>
  <si>
    <t>https://hivos.my.salesforce.com/sfc/servlet.shepherd/version/renditionDownload?rendition=ORIGINAL_Jpg&amp;versionId=0689N000001BhayQAC</t>
  </si>
  <si>
    <t>2023-07-11 13:13:00.000+03</t>
  </si>
  <si>
    <t>0.425892, 32.639937</t>
  </si>
  <si>
    <t>Lyzi Sam</t>
  </si>
  <si>
    <t>Banana plantation,maize and vegetables</t>
  </si>
  <si>
    <t>I don'tremember</t>
  </si>
  <si>
    <t>The biogas needs servicing.</t>
  </si>
  <si>
    <t>They wish to have abetter biogas stove</t>
  </si>
  <si>
    <t>https://hivos.my.salesforce.com/sfc/servlet.shepherd/version/renditionDownload?rendition=ORIGINAL_Jpg&amp;versionId=0689N000001AyeUQAS</t>
  </si>
  <si>
    <t>https://hivos.my.salesforce.com/sfc/servlet.shepherd/version/renditionDownload?rendition=ORIGINAL_Jpg&amp;versionId=0689N000001AytVQAS</t>
  </si>
  <si>
    <t>https://hivos.my.salesforce.com/sfc/servlet.shepherd/version/renditionDownload?rendition=ORIGINAL_Jpg&amp;versionId=0689N000001AyqZQAS</t>
  </si>
  <si>
    <t>https://hivos.my.salesforce.com/sfc/servlet.shepherd/version/renditionDownload?rendition=ORIGINAL_Jpg&amp;versionId=0689N000001Bh9jQAC</t>
  </si>
  <si>
    <t>0.434427, 32.607565</t>
  </si>
  <si>
    <t>Marjorie K Musisi</t>
  </si>
  <si>
    <t>Composting with roof</t>
  </si>
  <si>
    <t>It is used in the banana plantation</t>
  </si>
  <si>
    <t>The heifer team</t>
  </si>
  <si>
    <t>They like the biogas system</t>
  </si>
  <si>
    <t>They like bigas</t>
  </si>
  <si>
    <t>https://hivos.my.salesforce.com/sfc/servlet.shepherd/version/renditionDownload?rendition=ORIGINAL_Jpg&amp;versionId=0689N000001Az1UQAS</t>
  </si>
  <si>
    <t>https://hivos.my.salesforce.com/sfc/servlet.shepherd/version/renditionDownload?rendition=ORIGINAL_Jpg&amp;versionId=0689N000001BhrkQAC</t>
  </si>
  <si>
    <t>https://hivos.my.salesforce.com/sfc/servlet.shepherd/version/renditionDownload?rendition=ORIGINAL_Jpg&amp;versionId=0689N000001AyeTQAS</t>
  </si>
  <si>
    <t>https://hivos.my.salesforce.com/sfc/servlet.shepherd/version/renditionDownload?rendition=ORIGINAL_Jpg&amp;versionId=0689N000001Aye5QAC</t>
  </si>
  <si>
    <t>2023-07-09 12:48:00.000+03</t>
  </si>
  <si>
    <t>0.540197, 32.594808</t>
  </si>
  <si>
    <t>Nakyazzi Dorah</t>
  </si>
  <si>
    <t>She wants to buy another cow so that her biogas starts working</t>
  </si>
  <si>
    <t>She likes the biogas</t>
  </si>
  <si>
    <t>https://hivos.my.salesforce.com/sfc/servlet.shepherd/version/renditionDownload?rendition=ORIGINAL_Jpg&amp;versionId=0689N000001AZXAQA4</t>
  </si>
  <si>
    <t>https://hivos.my.salesforce.com/sfc/servlet.shepherd/version/renditionDownload?rendition=ORIGINAL_Jpg&amp;versionId=0689N000001AZXFQA4</t>
  </si>
  <si>
    <t>https://hivos.my.salesforce.com/sfc/servlet.shepherd/version/renditionDownload?rendition=ORIGINAL_Jpg&amp;versionId=0689N000001AZXKQA4</t>
  </si>
  <si>
    <t>https://hivos.my.salesforce.com/sfc/servlet.shepherd/version/renditionDownload?rendition=ORIGINAL_Jpg&amp;versionId=0689N000001BhZHQA0</t>
  </si>
  <si>
    <t>2023-07-12 12:27:00.000+03</t>
  </si>
  <si>
    <t>0.523647, 32.617452</t>
  </si>
  <si>
    <t>Nakyazzi Gorretti</t>
  </si>
  <si>
    <t>Its taken to the banana plantation and vegetables</t>
  </si>
  <si>
    <t>They need amodified plate for cooking.</t>
  </si>
  <si>
    <t>They need modified cooking plates and bigger biodigester</t>
  </si>
  <si>
    <t>The biogas saves on fuel</t>
  </si>
  <si>
    <t>https://hivos.my.salesforce.com/sfc/servlet.shepherd/version/renditionDownload?rendition=ORIGINAL_Jpg&amp;versionId=0689N000001BMLsQAO</t>
  </si>
  <si>
    <t>https://hivos.my.salesforce.com/sfc/servlet.shepherd/version/renditionDownload?rendition=ORIGINAL_Jpg&amp;versionId=0689N000001BMPGQA4</t>
  </si>
  <si>
    <t>https://hivos.my.salesforce.com/sfc/servlet.shepherd/version/renditionDownload?rendition=ORIGINAL_Jpg&amp;versionId=0689N000001BMDcQAO</t>
  </si>
  <si>
    <t>https://hivos.my.salesforce.com/sfc/servlet.shepherd/version/renditionDownload?rendition=ORIGINAL_Jpg&amp;versionId=0689N000001BgofQAC</t>
  </si>
  <si>
    <t>2023-07-09 09:53:00.000+03</t>
  </si>
  <si>
    <t>0.465918, 32.633103</t>
  </si>
  <si>
    <t>Peter Kasirivu Lugolobi</t>
  </si>
  <si>
    <t>Its used in the banana plantation</t>
  </si>
  <si>
    <t>Team from Heifer</t>
  </si>
  <si>
    <t>Attending to business</t>
  </si>
  <si>
    <t>He is very okay with the biogas sytem</t>
  </si>
  <si>
    <t>They need better bulbs for lighting</t>
  </si>
  <si>
    <t>https://hivos.my.salesforce.com/sfc/servlet.shepherd/version/renditionDownload?rendition=ORIGINAL_Jpg&amp;versionId=0689N000001AZWbQAO</t>
  </si>
  <si>
    <t>https://hivos.my.salesforce.com/sfc/servlet.shepherd/version/renditionDownload?rendition=ORIGINAL_Jpg&amp;versionId=0689N000001AZUCQA4</t>
  </si>
  <si>
    <t>https://hivos.my.salesforce.com/sfc/servlet.shepherd/version/renditionDownload?rendition=ORIGINAL_Jpg&amp;versionId=0689N000001AZVVQA4</t>
  </si>
  <si>
    <t>https://hivos.my.salesforce.com/sfc/servlet.shepherd/version/renditionDownload?rendition=ORIGINAL_Jpg&amp;versionId=0689N000001BhqeQAC</t>
  </si>
  <si>
    <t>2023-07-10 08:53:00.000+03</t>
  </si>
  <si>
    <t>0.460378, 32.607137</t>
  </si>
  <si>
    <t>Rita Nsamba</t>
  </si>
  <si>
    <t>Its applied in the banana plantation  and greens</t>
  </si>
  <si>
    <t>The Heifer team</t>
  </si>
  <si>
    <t>While cooking there is funny sound in the pipe like running water.it needs the technician to find out why</t>
  </si>
  <si>
    <t>https://hivos.my.salesforce.com/sfc/servlet.shepherd/version/renditionDownload?rendition=ORIGINAL_Jpg&amp;versionId=0689N000001AcxGQAS</t>
  </si>
  <si>
    <t>https://hivos.my.salesforce.com/sfc/servlet.shepherd/version/renditionDownload?rendition=ORIGINAL_Jpg&amp;versionId=0689N000001AcwYQAS</t>
  </si>
  <si>
    <t>https://hivos.my.salesforce.com/sfc/servlet.shepherd/version/renditionDownload?rendition=ORIGINAL_Jpg&amp;versionId=0689N000001AciPQAS</t>
  </si>
  <si>
    <t>https://hivos.my.salesforce.com/sfc/servlet.shepherd/version/renditionDownload?rendition=ORIGINAL_Jpg&amp;versionId=0689N000001BjzOQAS</t>
  </si>
  <si>
    <t>2023-07-09 11:43:00.000+03</t>
  </si>
  <si>
    <t>0.526790, 32.576318</t>
  </si>
  <si>
    <t>He wants the biogas fixed if possible in August 2023</t>
  </si>
  <si>
    <t>The pipes are blocked</t>
  </si>
  <si>
    <t>https://hivos.my.salesforce.com/sfc/servlet.shepherd/version/renditionDownload?rendition=ORIGINAL_Jpg&amp;versionId=0689N000001AZWlQAO</t>
  </si>
  <si>
    <t>https://hivos.my.salesforce.com/sfc/servlet.shepherd/version/renditionDownload?rendition=ORIGINAL_Jpg&amp;versionId=0689N000001AZWqQAO</t>
  </si>
  <si>
    <t>https://hivos.my.salesforce.com/sfc/servlet.shepherd/version/renditionDownload?rendition=ORIGINAL_Jpg&amp;versionId=0689N000001BhHTQA0</t>
  </si>
  <si>
    <t>https://hivos.my.salesforce.com/sfc/servlet.shepherd/version/renditionDownload?rendition=ORIGINAL_Jpg&amp;versionId=0689N000001AZWvQAO</t>
  </si>
  <si>
    <t>2023-07-11 08:52:00.000+03</t>
  </si>
  <si>
    <t>0.427137, 32.581650</t>
  </si>
  <si>
    <t>When her cow died in May 2023 thats when she stopped using biogas</t>
  </si>
  <si>
    <t>To do thorough training on biogas maintenance</t>
  </si>
  <si>
    <t>Her biogas is not working</t>
  </si>
  <si>
    <t>https://hivos.my.salesforce.com/sfc/servlet.shepherd/version/renditionDownload?rendition=ORIGINAL_Jpg&amp;versionId=0689N000001Az1yQAC</t>
  </si>
  <si>
    <t>https://hivos.my.salesforce.com/sfc/servlet.shepherd/version/renditionDownload?rendition=ORIGINAL_Jpg&amp;versionId=0689N000001AyqeQAC</t>
  </si>
  <si>
    <t>https://hivos.my.salesforce.com/sfc/servlet.shepherd/version/renditionDownload?rendition=ORIGINAL_Jpg&amp;versionId=0689N000001Az2tQAC</t>
  </si>
  <si>
    <t>https://hivos.my.salesforce.com/sfc/servlet.shepherd/version/renditionDownload?rendition=ORIGINAL_Jpg&amp;versionId=0689N000001BhCDQA0</t>
  </si>
  <si>
    <t>2023-07-10 17:58:00.000+03</t>
  </si>
  <si>
    <t>0.406357, 32.543413</t>
  </si>
  <si>
    <t>Walugembe</t>
  </si>
  <si>
    <t>The biogas is nolonger working .The owner Mr Nakibinge died and no one would maintain it</t>
  </si>
  <si>
    <t>The biogas is nolonger working</t>
  </si>
  <si>
    <t>https://hivos.my.salesforce.com/sfc/servlet.shepherd/version/renditionDownload?rendition=ORIGINAL_Jpg&amp;versionId=0689N000001Az1BQAS</t>
  </si>
  <si>
    <t>https://hivos.my.salesforce.com/sfc/servlet.shepherd/version/renditionDownload?rendition=ORIGINAL_Jpg&amp;versionId=0689N000001Az1ZQAS</t>
  </si>
  <si>
    <t>https://hivos.my.salesforce.com/sfc/servlet.shepherd/version/renditionDownload?rendition=ORIGINAL_Jpg&amp;versionId=0689N000001Az1eQAC</t>
  </si>
  <si>
    <t>https://hivos.my.salesforce.com/sfc/servlet.shepherd/version/renditionDownload?rendition=ORIGINAL_Jpg&amp;versionId=0689N000001BgcOQAS</t>
  </si>
  <si>
    <t>2023-07-10 16:39:00.000+03</t>
  </si>
  <si>
    <t>Ninsiima Sylvia - 774180335</t>
  </si>
  <si>
    <t>-0.228898, 31.003478</t>
  </si>
  <si>
    <t>Alice Katamba</t>
  </si>
  <si>
    <t>They got tired of feeding the digester while paying the worker much money yet the gas produced could not even cook tea. There is need for improvement in order to make digesters which can produce enough  gas to cater for house hold cooking</t>
  </si>
  <si>
    <t>They were so disappointed after using so much money to construct it and it failed to cook anything. They  use three stone stove but I could not go the kitcken to take photos</t>
  </si>
  <si>
    <t>https://hivos.my.salesforce.com/sfc/servlet.shepherd/version/renditionDownload?rendition=ORIGINAL_Jpg&amp;versionId=0689N000001AlWgQAK</t>
  </si>
  <si>
    <t>https://hivos.my.salesforce.com/sfc/servlet.shepherd/version/renditionDownload?rendition=ORIGINAL_Jpg&amp;versionId=0689N000001Alh5QAC</t>
  </si>
  <si>
    <t>https://hivos.my.salesforce.com/sfc/servlet.shepherd/version/renditionDownload?rendition=ORIGINAL_Jpg&amp;versionId=0689N000001AlhAQAS</t>
  </si>
  <si>
    <t>https://hivos.my.salesforce.com/sfc/servlet.shepherd/version/renditionDownload?rendition=ORIGINAL_Jpg&amp;versionId=0689N000001BjENQA0</t>
  </si>
  <si>
    <t>2023-07-10 16:58:00.000+03</t>
  </si>
  <si>
    <t>2023-07-12 12:28:00.000+03</t>
  </si>
  <si>
    <t>-0.118632, 30.934582</t>
  </si>
  <si>
    <t>Alice Rwamuringi</t>
  </si>
  <si>
    <t>To get constant supply of water</t>
  </si>
  <si>
    <t>https://hivos.my.salesforce.com/sfc/servlet.shepherd/version/renditionDownload?rendition=ORIGINAL_Jpg&amp;versionId=0689N000001B6oPQAS</t>
  </si>
  <si>
    <t>https://hivos.my.salesforce.com/sfc/servlet.shepherd/version/renditionDownload?rendition=ORIGINAL_Jpg&amp;versionId=0689N000001Bj0hQAC</t>
  </si>
  <si>
    <t>https://hivos.my.salesforce.com/sfc/servlet.shepherd/version/renditionDownload?rendition=ORIGINAL_Jpg&amp;versionId=0689N000001B7YzQAK</t>
  </si>
  <si>
    <t>https://hivos.my.salesforce.com/sfc/servlet.shepherd/version/renditionDownload?rendition=ORIGINAL_Jpg&amp;versionId=0689N000001B7afQAC</t>
  </si>
  <si>
    <t>2023-07-12 12:46:00.000+03</t>
  </si>
  <si>
    <t>2023-07-09 18:38:00.000+03</t>
  </si>
  <si>
    <t>-0.192348, 30.863913</t>
  </si>
  <si>
    <t>Bwambata William</t>
  </si>
  <si>
    <t>Coffee, Cabbage, Tomatoes, Bananas</t>
  </si>
  <si>
    <t>Still using firewood as the main fuel for cooking and it profuces alot of smoke</t>
  </si>
  <si>
    <t>Doesnt feel any difference since he is not responsible for cooking activities</t>
  </si>
  <si>
    <t>https://hivos.my.salesforce.com/sfc/servlet.shepherd/version/renditionDownload?rendition=ORIGINAL_Jpg&amp;versionId=0689N000001AaAgQAK</t>
  </si>
  <si>
    <t>https://hivos.my.salesforce.com/sfc/servlet.shepherd/version/renditionDownload?rendition=ORIGINAL_Jpg&amp;versionId=0689N000001AaAlQAK</t>
  </si>
  <si>
    <t>https://hivos.my.salesforce.com/sfc/servlet.shepherd/version/renditionDownload?rendition=ORIGINAL_Jpg&amp;versionId=0689N000001AaAvQAK</t>
  </si>
  <si>
    <t>https://hivos.my.salesforce.com/sfc/servlet.shepherd/version/renditionDownload?rendition=ORIGINAL_Jpg&amp;versionId=0689N000001BjAmQAK</t>
  </si>
  <si>
    <t>2023-07-09 18:54:00.000+03</t>
  </si>
  <si>
    <t>2023-07-09 15:24:00.000+03</t>
  </si>
  <si>
    <t>-0.138889, 30.928704</t>
  </si>
  <si>
    <t>If there is an engineer who can do it at a reasonable cost he is interested in fixing the digester as soon as posible</t>
  </si>
  <si>
    <t>Repair of the digester</t>
  </si>
  <si>
    <t>https://hivos.my.salesforce.com/sfc/servlet.shepherd/version/renditionDownload?rendition=ORIGINAL_Jpg&amp;versionId=0689N000001Aa7ZQAS</t>
  </si>
  <si>
    <t>https://hivos.my.salesforce.com/sfc/servlet.shepherd/version/renditionDownload?rendition=ORIGINAL_Jpg&amp;versionId=0689N000001Aa7jQAC</t>
  </si>
  <si>
    <t>https://hivos.my.salesforce.com/sfc/servlet.shepherd/version/renditionDownload?rendition=ORIGINAL_Jpg&amp;versionId=0689N000001Bi8aQAC</t>
  </si>
  <si>
    <t>2023-07-09 15:51:00.000+03</t>
  </si>
  <si>
    <t>-0.053277, 31.088724</t>
  </si>
  <si>
    <t>Mansi Godfrey</t>
  </si>
  <si>
    <t>No2: give it away;No3: I just let it run over my fields</t>
  </si>
  <si>
    <t>Still uses firewood to cook mainly which produces alot of smoke</t>
  </si>
  <si>
    <t>Not involved in cooking activities</t>
  </si>
  <si>
    <t>https://hivos.my.salesforce.com/sfc/servlet.shepherd/version/renditionDownload?rendition=ORIGINAL_Jpg&amp;versionId=0689N000001AlhKQAS</t>
  </si>
  <si>
    <t>https://hivos.my.salesforce.com/sfc/servlet.shepherd/version/renditionDownload?rendition=ORIGINAL_Jpg&amp;versionId=0689N000001AlapQAC</t>
  </si>
  <si>
    <t>https://hivos.my.salesforce.com/sfc/servlet.shepherd/version/renditionDownload?rendition=ORIGINAL_Jpg&amp;versionId=0689N000001AlUOQA0</t>
  </si>
  <si>
    <t>https://hivos.my.salesforce.com/sfc/servlet.shepherd/version/renditionDownload?rendition=ORIGINAL_Jpg&amp;versionId=0689N000001BjACQA0</t>
  </si>
  <si>
    <t>2023-07-10 12:55:00.000+03</t>
  </si>
  <si>
    <t>2023-07-09 10:55:00.000+03</t>
  </si>
  <si>
    <t>-0.089130, 31.036721</t>
  </si>
  <si>
    <t>Stella Kakye</t>
  </si>
  <si>
    <t>Bananas, Coffee</t>
  </si>
  <si>
    <t>Most of the food is still cooked on firewood because they cook for many people</t>
  </si>
  <si>
    <t>Use of bio slurry</t>
  </si>
  <si>
    <t>https://hivos.my.salesforce.com/sfc/servlet.shepherd/version/renditionDownload?rendition=ORIGINAL_Jpg&amp;versionId=0689N000001Aa9xQAC</t>
  </si>
  <si>
    <t>https://hivos.my.salesforce.com/sfc/servlet.shepherd/version/renditionDownload?rendition=ORIGINAL_Jpg&amp;versionId=0689N000001AaA2QAK</t>
  </si>
  <si>
    <t>https://hivos.my.salesforce.com/sfc/servlet.shepherd/version/renditionDownload?rendition=ORIGINAL_Jpg&amp;versionId=0689N000001Bj5BQAS</t>
  </si>
  <si>
    <t>2023-07-09 12:20:00.000+03</t>
  </si>
  <si>
    <t>-0.834160, 30.135002</t>
  </si>
  <si>
    <t>Akankwasa Bob</t>
  </si>
  <si>
    <t>Balance of the cowdung not fed in digester</t>
  </si>
  <si>
    <t>The digester was also connected to the toilet so they use both cowdung and human waste</t>
  </si>
  <si>
    <t>https://hivos.my.salesforce.com/sfc/servlet.shepherd/version/renditionDownload?rendition=ORIGINAL_Jpg&amp;versionId=0689N000001BN38QAG</t>
  </si>
  <si>
    <t>https://hivos.my.salesforce.com/sfc/servlet.shepherd/version/renditionDownload?rendition=ORIGINAL_Jpg&amp;versionId=0689N000001BMu6QAG</t>
  </si>
  <si>
    <t>https://hivos.my.salesforce.com/sfc/servlet.shepherd/version/renditionDownload?rendition=ORIGINAL_Jpg&amp;versionId=0689N000001BjXsQAK</t>
  </si>
  <si>
    <t>2023-07-12 13:30:00.000+03</t>
  </si>
  <si>
    <t>-0.837778, 30.078917</t>
  </si>
  <si>
    <t>Igusha Mathias</t>
  </si>
  <si>
    <t>The remaining cowdung</t>
  </si>
  <si>
    <t>To always make supervision because biogas equipments are Scarce in their area</t>
  </si>
  <si>
    <t>He needs a second stove</t>
  </si>
  <si>
    <t>https://hivos.my.salesforce.com/sfc/servlet.shepherd/version/renditionDownload?rendition=ORIGINAL_Jpg&amp;versionId=0689N000001BMvOQAW</t>
  </si>
  <si>
    <t>https://hivos.my.salesforce.com/sfc/servlet.shepherd/version/renditionDownload?rendition=ORIGINAL_Jpg&amp;versionId=0689N000001BMsYQAW</t>
  </si>
  <si>
    <t>https://hivos.my.salesforce.com/sfc/servlet.shepherd/version/renditionDownload?rendition=ORIGINAL_Jpg&amp;versionId=0689N000001BjHoQAK</t>
  </si>
  <si>
    <t>2023-07-10 10:24:00.000+03</t>
  </si>
  <si>
    <t>-0.868242, 30.228473</t>
  </si>
  <si>
    <t>Isaac Atwebembire</t>
  </si>
  <si>
    <t>Had a lot of farm yard manure and didn't want to be wasted</t>
  </si>
  <si>
    <t>They are requesting for the new pressure guage</t>
  </si>
  <si>
    <t>https://hivos.my.salesforce.com/sfc/servlet.shepherd/version/renditionDownload?rendition=ORIGINAL_Jpg&amp;versionId=0689N000001BjYaQAK</t>
  </si>
  <si>
    <t>https://hivos.my.salesforce.com/sfc/servlet.shepherd/version/renditionDownload?rendition=ORIGINAL_Jpg&amp;versionId=0689N000001AmxZQAS</t>
  </si>
  <si>
    <t>https://hivos.my.salesforce.com/sfc/servlet.shepherd/version/renditionDownload?rendition=ORIGINAL_Jpg&amp;versionId=0689N000001An5bQAC</t>
  </si>
  <si>
    <t>https://hivos.my.salesforce.com/sfc/servlet.shepherd/version/renditionDownload?rendition=ORIGINAL_Jpg&amp;versionId=0689N000001An5dQAC</t>
  </si>
  <si>
    <t>2023-07-10 13:09:00.000+03</t>
  </si>
  <si>
    <t>-1.070352, 30.174405</t>
  </si>
  <si>
    <t>Jonath Twinomuhwezi</t>
  </si>
  <si>
    <t>Matoke, maize, coffee</t>
  </si>
  <si>
    <t>Farmyard from cows is alot and cannot all be fed in biodigester so it's used also as frrtilizer</t>
  </si>
  <si>
    <t>Their pressure gauge doesn't show the amount of gas. It strictly move to zero when you switch on</t>
  </si>
  <si>
    <t>https://hivos.my.salesforce.com/sfc/servlet.shepherd/version/renditionDownload?rendition=ORIGINAL_Jpg&amp;versionId=0689N000001An2nQAC</t>
  </si>
  <si>
    <t>https://hivos.my.salesforce.com/sfc/servlet.shepherd/version/renditionDownload?rendition=ORIGINAL_Jpg&amp;versionId=0689N000001An2xQAC</t>
  </si>
  <si>
    <t>https://hivos.my.salesforce.com/sfc/servlet.shepherd/version/renditionDownload?rendition=ORIGINAL_Jpg&amp;versionId=0689N000001BicrQAC</t>
  </si>
  <si>
    <t>2023-07-11 12:35:00.000+03</t>
  </si>
  <si>
    <t>-0.884153, 30.244187</t>
  </si>
  <si>
    <t>Marion mugisha</t>
  </si>
  <si>
    <t>They need help from BSUL to fix their biodigester</t>
  </si>
  <si>
    <t>They still need biogas</t>
  </si>
  <si>
    <t>https://hivos.my.salesforce.com/sfc/servlet.shepherd/version/renditionDownload?rendition=ORIGINAL_Jpg&amp;versionId=0689N000001BN2yQAG</t>
  </si>
  <si>
    <t>https://hivos.my.salesforce.com/sfc/servlet.shepherd/version/renditionDownload?rendition=ORIGINAL_Jpg&amp;versionId=0689N000001BjR8QAK</t>
  </si>
  <si>
    <t>2023-07-10 17:30:00.000+03</t>
  </si>
  <si>
    <t>-0.898273, 30.243760</t>
  </si>
  <si>
    <t>Nahason Niwarinda</t>
  </si>
  <si>
    <t>Coffee, matoke,pinneples and passion</t>
  </si>
  <si>
    <t>They mix bioslurry with weeds and store them for 45 days. They no longer have the old stove</t>
  </si>
  <si>
    <t>https://hivos.my.salesforce.com/sfc/servlet.shepherd/version/renditionDownload?rendition=ORIGINAL_Jpg&amp;versionId=0689N000001AmzPQAS</t>
  </si>
  <si>
    <t>https://hivos.my.salesforce.com/sfc/servlet.shepherd/version/renditionDownload?rendition=ORIGINAL_Jpg&amp;versionId=0689N000001An5EQAS</t>
  </si>
  <si>
    <t>https://hivos.my.salesforce.com/sfc/servlet.shepherd/version/renditionDownload?rendition=ORIGINAL_Jpg&amp;versionId=0689N000001An3RQAS</t>
  </si>
  <si>
    <t>https://hivos.my.salesforce.com/sfc/servlet.shepherd/version/renditionDownload?rendition=ORIGINAL_Jpg&amp;versionId=0689N000001BjYkQAK</t>
  </si>
  <si>
    <t>2023-07-11 10:26:00.000+03</t>
  </si>
  <si>
    <t>-0.909302, 30.340070</t>
  </si>
  <si>
    <t>Tumwesigye Ben</t>
  </si>
  <si>
    <t>Requesting for the support to fix his digester  again because the cows are near and he is okey</t>
  </si>
  <si>
    <t>His digester is still okey</t>
  </si>
  <si>
    <t>https://hivos.my.salesforce.com/sfc/servlet.shepherd/version/renditionDownload?rendition=ORIGINAL_Jpg&amp;versionId=0689N000001BN2vQAG</t>
  </si>
  <si>
    <t>https://hivos.my.salesforce.com/sfc/servlet.shepherd/version/renditionDownload?rendition=ORIGINAL_Jpg&amp;versionId=0689N000001BMtMQAW</t>
  </si>
  <si>
    <t>https://hivos.my.salesforce.com/sfc/servlet.shepherd/version/renditionDownload?rendition=ORIGINAL_Jpg&amp;versionId=0689N000001BN3IQAW</t>
  </si>
  <si>
    <t>https://hivos.my.salesforce.com/sfc/servlet.shepherd/version/renditionDownload?rendition=ORIGINAL_Jpg&amp;versionId=0689N000001Bj1kQAC</t>
  </si>
  <si>
    <t>2023-07-09 15:37:00.000+03</t>
  </si>
  <si>
    <t>-0.515298, 30.602812</t>
  </si>
  <si>
    <t>Amanyire Bruce</t>
  </si>
  <si>
    <t>Tending to cattle</t>
  </si>
  <si>
    <t>The biogas pipe is having aleankage because the gas that's coming these days is less so the family needs the pipe to be fixed.</t>
  </si>
  <si>
    <t>https://hivos.my.salesforce.com/sfc/servlet.shepherd/version/renditionDownload?rendition=ORIGINAL_Jpg&amp;versionId=0689N000001AZgHQAW</t>
  </si>
  <si>
    <t>https://hivos.my.salesforce.com/sfc/servlet.shepherd/version/renditionDownload?rendition=ORIGINAL_Jpg&amp;versionId=0689N000001AZgMQAW</t>
  </si>
  <si>
    <t>https://hivos.my.salesforce.com/sfc/servlet.shepherd/version/renditionDownload?rendition=ORIGINAL_Jpg&amp;versionId=0689N000001AZdAQAW</t>
  </si>
  <si>
    <t>https://hivos.my.salesforce.com/sfc/servlet.shepherd/version/renditionDownload?rendition=ORIGINAL_Jpg&amp;versionId=0689N000001BpHyQAK</t>
  </si>
  <si>
    <t>2023-07-09 16:13:00.000+03</t>
  </si>
  <si>
    <t>2023-07-11 11:13:00.000+03</t>
  </si>
  <si>
    <t>-0.583803, 30.598718</t>
  </si>
  <si>
    <t>Conny mutabazi</t>
  </si>
  <si>
    <t>She said she needs a technician to come and see what's wrong with her digester urgently because firewood is a problem in their area</t>
  </si>
  <si>
    <t>She needs the engineer to fix her system</t>
  </si>
  <si>
    <t>https://hivos.my.salesforce.com/sfc/servlet.shepherd/version/renditionDownload?rendition=ORIGINAL_Jpg&amp;versionId=0689N000001AywuQAC</t>
  </si>
  <si>
    <t>https://hivos.my.salesforce.com/sfc/servlet.shepherd/version/renditionDownload?rendition=ORIGINAL_Jpg&amp;versionId=0689N000001Az5XQAS</t>
  </si>
  <si>
    <t>https://hivos.my.salesforce.com/sfc/servlet.shepherd/version/renditionDownload?rendition=ORIGINAL_Jpg&amp;versionId=0689N000001AzB1QAK</t>
  </si>
  <si>
    <t>https://hivos.my.salesforce.com/sfc/servlet.shepherd/version/renditionDownload?rendition=ORIGINAL_Jpg&amp;versionId=0689N000001BpRGQA0</t>
  </si>
  <si>
    <t>2023-07-09 11:22:00.000+03</t>
  </si>
  <si>
    <t>-0.585862, 30.511910</t>
  </si>
  <si>
    <t>She has other fertilizer in excess</t>
  </si>
  <si>
    <t>Watching TV/social media;Social activity (voluntary work, etc)</t>
  </si>
  <si>
    <t>The system is small for the size of the house hold so she installed other  two biogas system and the company is called Bold energy</t>
  </si>
  <si>
    <t>https://hivos.my.salesforce.com/sfc/servlet.shepherd/version/renditionDownload?rendition=ORIGINAL_Jpg&amp;versionId=0689N000001AZgvQAG</t>
  </si>
  <si>
    <t>https://hivos.my.salesforce.com/sfc/servlet.shepherd/version/renditionDownload?rendition=ORIGINAL_Jpg&amp;versionId=0689N000001BpJgQAK</t>
  </si>
  <si>
    <t>https://hivos.my.salesforce.com/sfc/servlet.shepherd/version/renditionDownload?rendition=ORIGINAL_Jpg&amp;versionId=0689N000001AZe7QAG</t>
  </si>
  <si>
    <t>https://hivos.my.salesforce.com/sfc/servlet.shepherd/version/renditionDownload?rendition=ORIGINAL_Jpg&amp;versionId=0689N000001AZgrQAG</t>
  </si>
  <si>
    <t>2023-07-09 13:06:00.000+03</t>
  </si>
  <si>
    <t>-0.575142, 30.632442</t>
  </si>
  <si>
    <t>Juliet mushende</t>
  </si>
  <si>
    <t>Her workers all left during COVID-19 and no one is there to feed the digester and she's too old to feed the digester she is 80 years</t>
  </si>
  <si>
    <t>She's planning to get workers to help her start feeding it again.</t>
  </si>
  <si>
    <t>https://hivos.my.salesforce.com/sfc/servlet.shepherd/version/renditionDownload?rendition=ORIGINAL_Jpg&amp;versionId=0689N000001AyuMQAS</t>
  </si>
  <si>
    <t>https://hivos.my.salesforce.com/sfc/servlet.shepherd/version/renditionDownload?rendition=ORIGINAL_Jpg&amp;versionId=0689N000001AzAhQAK</t>
  </si>
  <si>
    <t>https://hivos.my.salesforce.com/sfc/servlet.shepherd/version/renditionDownload?rendition=ORIGINAL_Jpg&amp;versionId=0689N000001AzArQAK</t>
  </si>
  <si>
    <t>https://hivos.my.salesforce.com/sfc/servlet.shepherd/version/renditionDownload?rendition=ORIGINAL_Jpg&amp;versionId=0689N000001BpRBQA0</t>
  </si>
  <si>
    <t>2023-07-11 12:20:00.000+03</t>
  </si>
  <si>
    <t>2023-07-09 09:32:00.000+03</t>
  </si>
  <si>
    <t>-0.585928, 30.575842</t>
  </si>
  <si>
    <t>Margret kubbo</t>
  </si>
  <si>
    <t>I  don't remember the group but by then they had an office in nyamityobora mbarara</t>
  </si>
  <si>
    <t>https://hivos.my.salesforce.com/sfc/servlet.shepherd/version/renditionDownload?rendition=ORIGINAL_Jpg&amp;versionId=0689N000001AZd2QAG</t>
  </si>
  <si>
    <t>https://hivos.my.salesforce.com/sfc/servlet.shepherd/version/renditionDownload?rendition=ORIGINAL_Jpg&amp;versionId=0689N000001AZgbQAG</t>
  </si>
  <si>
    <t>https://hivos.my.salesforce.com/sfc/servlet.shepherd/version/renditionDownload?rendition=ORIGINAL_Jpg&amp;versionId=0689N000001AZggQAG</t>
  </si>
  <si>
    <t>https://hivos.my.salesforce.com/sfc/servlet.shepherd/version/renditionDownload?rendition=ORIGINAL_Jpg&amp;versionId=0689N000001BpQhQAK</t>
  </si>
  <si>
    <t>2025-07-09 10:19:00.000+03</t>
  </si>
  <si>
    <t>2023-07-10 18:11:00.000+03</t>
  </si>
  <si>
    <t>-0.588060, 30.659723</t>
  </si>
  <si>
    <t>Monica Inshanga</t>
  </si>
  <si>
    <t>Banana plantation and Grapes plantation</t>
  </si>
  <si>
    <t>Mbazade stoke farm in mbarara along ibanda road</t>
  </si>
  <si>
    <t>https://hivos.my.salesforce.com/sfc/servlet.shepherd/version/renditionDownload?rendition=ORIGINAL_Jpg&amp;versionId=0689N000001AlvFQAS</t>
  </si>
  <si>
    <t>https://hivos.my.salesforce.com/sfc/servlet.shepherd/version/renditionDownload?rendition=ORIGINAL_Jpg&amp;versionId=0689N000001Am4DQAS</t>
  </si>
  <si>
    <t>https://hivos.my.salesforce.com/sfc/servlet.shepherd/version/renditionDownload?rendition=ORIGINAL_Jpg&amp;versionId=0689N000001Am4IQAS</t>
  </si>
  <si>
    <t>https://hivos.my.salesforce.com/sfc/servlet.shepherd/version/renditionDownload?rendition=ORIGINAL_Jpg&amp;versionId=0689N000001BpR1QAK</t>
  </si>
  <si>
    <t>2023-07-12 11:39:00.000+03</t>
  </si>
  <si>
    <t>-0.660248, 30.607825</t>
  </si>
  <si>
    <t>Mrs Bishanga</t>
  </si>
  <si>
    <t>Crest tank company</t>
  </si>
  <si>
    <t>Her second biogas stove produces less gas so she needs the technician to find out where the problem is</t>
  </si>
  <si>
    <t>https://hivos.my.salesforce.com/sfc/servlet.shepherd/version/renditionDownload?rendition=ORIGINAL_Jpg&amp;versionId=0689N000001BAOHQA4</t>
  </si>
  <si>
    <t>https://hivos.my.salesforce.com/sfc/servlet.shepherd/version/renditionDownload?rendition=ORIGINAL_Jpg&amp;versionId=0689N000001BARvQAO</t>
  </si>
  <si>
    <t>https://hivos.my.salesforce.com/sfc/servlet.shepherd/version/renditionDownload?rendition=ORIGINAL_Jpg&amp;versionId=0689N000001B9szQAC</t>
  </si>
  <si>
    <t>https://hivos.my.salesforce.com/sfc/servlet.shepherd/version/renditionDownload?rendition=ORIGINAL_Jpg&amp;versionId=0689N000001BpRQQA0</t>
  </si>
  <si>
    <t>2023-07-10 11:03:00.000+03</t>
  </si>
  <si>
    <t>-0.649720, 30.556310</t>
  </si>
  <si>
    <t>Niwagira Joseph</t>
  </si>
  <si>
    <t>Banana plantation and coffee plantation</t>
  </si>
  <si>
    <t>Tending to the cow</t>
  </si>
  <si>
    <t>They use manure from one cow and two donkeys to feed the digester</t>
  </si>
  <si>
    <t>https://hivos.my.salesforce.com/sfc/servlet.shepherd/version/renditionDownload?rendition=ORIGINAL_Jpg&amp;versionId=0689N000001BpQrQAK</t>
  </si>
  <si>
    <t>https://hivos.my.salesforce.com/sfc/servlet.shepherd/version/renditionDownload?rendition=ORIGINAL_Jpg&amp;versionId=0689N000001Am3oQAC</t>
  </si>
  <si>
    <t>https://hivos.my.salesforce.com/sfc/servlet.shepherd/version/renditionDownload?rendition=ORIGINAL_Jpg&amp;versionId=0689N000001Am0gQAC</t>
  </si>
  <si>
    <t>https://hivos.my.salesforce.com/sfc/servlet.shepherd/version/renditionDownload?rendition=ORIGINAL_Jpg&amp;versionId=0689N000001Am3cQAC</t>
  </si>
  <si>
    <t>2023-07-10 10:22:00.000+03</t>
  </si>
  <si>
    <t>-0.652888, 30.595493</t>
  </si>
  <si>
    <t>Rwakino margeret</t>
  </si>
  <si>
    <t>She feeds the digester everyday but it doesn't bring gas so she doesn't know where the problem is</t>
  </si>
  <si>
    <t>She needs the technician to find out the problem but I gave her viola's telephone number</t>
  </si>
  <si>
    <t>https://hivos.my.salesforce.com/sfc/servlet.shepherd/version/renditionDownload?rendition=ORIGINAL_Jpg&amp;versionId=0689N000001Am3JQAS</t>
  </si>
  <si>
    <t>https://hivos.my.salesforce.com/sfc/servlet.shepherd/version/renditionDownload?rendition=ORIGINAL_Jpg&amp;versionId=0689N000001Am15QAC</t>
  </si>
  <si>
    <t>https://hivos.my.salesforce.com/sfc/servlet.shepherd/version/renditionDownload?rendition=ORIGINAL_Jpg&amp;versionId=0689N000001Am43QAC</t>
  </si>
  <si>
    <t>https://hivos.my.salesforce.com/sfc/servlet.shepherd/version/renditionDownload?rendition=ORIGINAL_Jpg&amp;versionId=0689N000001BpQwQAK</t>
  </si>
  <si>
    <t>2023-07-09 16:37:00.000+03</t>
  </si>
  <si>
    <t>-0.508638, 30.590688</t>
  </si>
  <si>
    <t>Seruwada meadres</t>
  </si>
  <si>
    <t>Cooking for the family;Lighting</t>
  </si>
  <si>
    <t>Needs a belt for the biogas bulb</t>
  </si>
  <si>
    <t>https://hivos.my.salesforce.com/sfc/servlet.shepherd/version/renditionDownload?rendition=ORIGINAL_Jpg&amp;versionId=0689N000001AZfxQAG</t>
  </si>
  <si>
    <t>https://hivos.my.salesforce.com/sfc/servlet.shepherd/version/renditionDownload?rendition=ORIGINAL_Jpg&amp;versionId=0689N000001AZg2QAG</t>
  </si>
  <si>
    <t>https://hivos.my.salesforce.com/sfc/servlet.shepherd/version/renditionDownload?rendition=ORIGINAL_Jpg&amp;versionId=0689N000001AZg7QAG</t>
  </si>
  <si>
    <t>https://hivos.my.salesforce.com/sfc/servlet.shepherd/version/renditionDownload?rendition=ORIGINAL_Jpg&amp;versionId=0689N000001BpQXQA0</t>
  </si>
  <si>
    <t>2023-07-09 17:25:00.000+03</t>
  </si>
  <si>
    <t>2023-07-10 12:50:00.000+03</t>
  </si>
  <si>
    <t>-0.536357, 30.546882</t>
  </si>
  <si>
    <t>Wilberforce Barekye</t>
  </si>
  <si>
    <t>Tending to the cattle in time</t>
  </si>
  <si>
    <t>Able financial sacco</t>
  </si>
  <si>
    <t>https://hivos.my.salesforce.com/sfc/servlet.shepherd/version/renditionDownload?rendition=ORIGINAL_Jpg&amp;versionId=0689N000001AlnrQAC</t>
  </si>
  <si>
    <t>https://hivos.my.salesforce.com/sfc/servlet.shepherd/version/renditionDownload?rendition=ORIGINAL_Jpg&amp;versionId=0689N000001Am4XQAS</t>
  </si>
  <si>
    <t>https://hivos.my.salesforce.com/sfc/servlet.shepherd/version/renditionDownload?rendition=ORIGINAL_Jpg&amp;versionId=0689N000001Am4cQAC</t>
  </si>
  <si>
    <t>https://hivos.my.salesforce.com/sfc/servlet.shepherd/version/renditionDownload?rendition=ORIGINAL_Jpg&amp;versionId=0689N000001BpR6QAK</t>
  </si>
  <si>
    <t>2023-07-10 13:21:00.000+03</t>
  </si>
  <si>
    <t>2023-07-09 09:58:00.000+03</t>
  </si>
  <si>
    <t>Tukahirwa Irene - 705689829</t>
  </si>
  <si>
    <t>0.314787, 32.457455</t>
  </si>
  <si>
    <t>Mary Mutesasira</t>
  </si>
  <si>
    <t>Biogas is really so good.. everyone with what is required to have it should go ahead and get One</t>
  </si>
  <si>
    <t>Functioning well</t>
  </si>
  <si>
    <t>https://hivos.my.salesforce.com/sfc/servlet.shepherd/version/renditionDownload?rendition=ORIGINAL_Jpg&amp;versionId=0689N000001BOX0QAO</t>
  </si>
  <si>
    <t>https://hivos.my.salesforce.com/sfc/servlet.shepherd/version/renditionDownload?rendition=ORIGINAL_Jpg&amp;versionId=0689N000001BOOOQA4</t>
  </si>
  <si>
    <t>https://hivos.my.salesforce.com/sfc/servlet.shepherd/version/renditionDownload?rendition=ORIGINAL_Jpg&amp;versionId=0689N000001BODOQA4</t>
  </si>
  <si>
    <t>https://hivos.my.salesforce.com/sfc/servlet.shepherd/version/renditionDownload?rendition=ORIGINAL_Jpg&amp;versionId=0689N000001BitiQAC</t>
  </si>
  <si>
    <t>2023-07-09 08:56:00.000+03</t>
  </si>
  <si>
    <t>0.318628, 32.446868</t>
  </si>
  <si>
    <t>Muhammad sebugenyi</t>
  </si>
  <si>
    <t>Needs a technical person to come in and check the blocked pipe</t>
  </si>
  <si>
    <t>Blocked pipe to be checked</t>
  </si>
  <si>
    <t>Biogas not functioning at the moment. Pipe got blocked and they didn't contact anyone for help</t>
  </si>
  <si>
    <t>https://hivos.my.salesforce.com/sfc/servlet.shepherd/version/renditionDownload?rendition=ORIGINAL_Jpg&amp;versionId=0689N000001BOXZQA4</t>
  </si>
  <si>
    <t>https://hivos.my.salesforce.com/sfc/servlet.shepherd/version/renditionDownload?rendition=ORIGINAL_Jpg&amp;versionId=0689N000001BOBIQA4</t>
  </si>
  <si>
    <t>https://hivos.my.salesforce.com/sfc/servlet.shepherd/version/renditionDownload?rendition=ORIGINAL_Jpg&amp;versionId=0689N000001BOT1QAO</t>
  </si>
  <si>
    <t>https://hivos.my.salesforce.com/sfc/servlet.shepherd/version/renditionDownload?rendition=ORIGINAL_Jpg&amp;versionId=0689N000001BingQAC</t>
  </si>
  <si>
    <t>2023-07-09 15:39:00.000+03</t>
  </si>
  <si>
    <t>0.364615, 32.512265</t>
  </si>
  <si>
    <t>Nalongo Semiganda</t>
  </si>
  <si>
    <t>Matooke, maize</t>
  </si>
  <si>
    <t>I don't remember. They were White men</t>
  </si>
  <si>
    <t>Would love to have a double stove since there's enough cow dung</t>
  </si>
  <si>
    <t>Having a double stove if possible</t>
  </si>
  <si>
    <t>Doing farming all around the biodigester</t>
  </si>
  <si>
    <t>https://hivos.my.salesforce.com/sfc/servlet.shepherd/version/renditionDownload?rendition=ORIGINAL_Jpg&amp;versionId=0689N000001BOWbQAO</t>
  </si>
  <si>
    <t>https://hivos.my.salesforce.com/sfc/servlet.shepherd/version/renditionDownload?rendition=ORIGINAL_Jpg&amp;versionId=0689N000001BOWgQAO</t>
  </si>
  <si>
    <t>https://hivos.my.salesforce.com/sfc/servlet.shepherd/version/renditionDownload?rendition=ORIGINAL_Jpg&amp;versionId=0689N000001BOTLQA4</t>
  </si>
  <si>
    <t>https://hivos.my.salesforce.com/sfc/servlet.shepherd/version/renditionDownload?rendition=ORIGINAL_Jpg&amp;versionId=0689N000001BiPoQAK</t>
  </si>
  <si>
    <t>2023-07-09 14:57:00.000+03</t>
  </si>
  <si>
    <t>Twebaze Victor - 782535458</t>
  </si>
  <si>
    <t>0.340557, 32.749633</t>
  </si>
  <si>
    <t>Byamukama David</t>
  </si>
  <si>
    <t>Not sure</t>
  </si>
  <si>
    <t>Farm activities to handle</t>
  </si>
  <si>
    <t>Client wants us to do some repair</t>
  </si>
  <si>
    <t>Repair or mebtainance</t>
  </si>
  <si>
    <t>Farm &amp; house hold in one</t>
  </si>
  <si>
    <t>https://hivos.my.salesforce.com/sfc/servlet.shepherd/version/renditionDownload?rendition=ORIGINAL_Jpg&amp;versionId=0689N000001AaYcQAK</t>
  </si>
  <si>
    <t>https://hivos.my.salesforce.com/sfc/servlet.shepherd/version/renditionDownload?rendition=ORIGINAL_Jpg&amp;versionId=0689N000001Aaa7QAC</t>
  </si>
  <si>
    <t>https://hivos.my.salesforce.com/sfc/servlet.shepherd/version/renditionDownload?rendition=ORIGINAL_Jpg&amp;versionId=0689N000001AaTcQAK</t>
  </si>
  <si>
    <t>https://hivos.my.salesforce.com/sfc/servlet.shepherd/version/renditionDownload?rendition=ORIGINAL_Jpg&amp;versionId=0689N000001BiXiQAK</t>
  </si>
  <si>
    <t>2023-07-10 16:57:00.000+03</t>
  </si>
  <si>
    <t>0.330108, 32.776201</t>
  </si>
  <si>
    <t>Nampewo Faith</t>
  </si>
  <si>
    <t>Matoke</t>
  </si>
  <si>
    <t>https://hivos.my.salesforce.com/sfc/servlet.shepherd/version/renditionDownload?rendition=ORIGINAL_Jpg&amp;versionId=0689N000001AnYjQAK</t>
  </si>
  <si>
    <t>https://hivos.my.salesforce.com/sfc/servlet.shepherd/version/renditionDownload?rendition=ORIGINAL_Jpg&amp;versionId=0689N000001AnYoQAK</t>
  </si>
  <si>
    <t>https://hivos.my.salesforce.com/sfc/servlet.shepherd/version/renditionDownload?rendition=ORIGINAL_Jpg&amp;versionId=0689N000001AnYkQAK</t>
  </si>
  <si>
    <t>https://hivos.my.salesforce.com/sfc/servlet.shepherd/version/renditionDownload?rendition=ORIGINAL_Jpg&amp;versionId=0689N000001Bj1DQAS</t>
  </si>
  <si>
    <t>2023-07-11 14:56:00.000+03</t>
  </si>
  <si>
    <t>0.272552, 32.811060</t>
  </si>
  <si>
    <t>Mashemererwa William</t>
  </si>
  <si>
    <t>Want us to repair the Digester</t>
  </si>
  <si>
    <t>Stopped working last month</t>
  </si>
  <si>
    <t>https://hivos.my.salesforce.com/sfc/servlet.shepherd/version/renditionDownload?rendition=ORIGINAL_Jpg&amp;versionId=0689N000001BCaOQAW</t>
  </si>
  <si>
    <t>https://hivos.my.salesforce.com/sfc/servlet.shepherd/version/renditionDownload?rendition=ORIGINAL_Jpg&amp;versionId=0689N000001BCwYQAW</t>
  </si>
  <si>
    <t>https://hivos.my.salesforce.com/sfc/servlet.shepherd/version/renditionDownload?rendition=ORIGINAL_Jpg&amp;versionId=0689N000001BCvcQAG</t>
  </si>
  <si>
    <t>https://hivos.my.salesforce.com/sfc/servlet.shepherd/version/renditionDownload?rendition=ORIGINAL_Jpg&amp;versionId=0689N000001Bj1SQAS</t>
  </si>
  <si>
    <t>2023-07-10 12:03:00.000+03</t>
  </si>
  <si>
    <t>0.368300, 32.725024</t>
  </si>
  <si>
    <t>Musiime edith Jenniffer</t>
  </si>
  <si>
    <t>Matoke, cassava, vegetables</t>
  </si>
  <si>
    <t>Contact person by late husband</t>
  </si>
  <si>
    <t>No lights were installed</t>
  </si>
  <si>
    <t>Installation of light from biogas</t>
  </si>
  <si>
    <t>https://hivos.my.salesforce.com/sfc/servlet.shepherd/version/renditionDownload?rendition=ORIGINAL_Jpg&amp;versionId=0689N000001AnYUQA0</t>
  </si>
  <si>
    <t>https://hivos.my.salesforce.com/sfc/servlet.shepherd/version/renditionDownload?rendition=ORIGINAL_Jpg&amp;versionId=0689N000001AnRiQAK</t>
  </si>
  <si>
    <t>https://hivos.my.salesforce.com/sfc/servlet.shepherd/version/renditionDownload?rendition=ORIGINAL_Jpg&amp;versionId=0689N000001AnQVQA0</t>
  </si>
  <si>
    <t>https://hivos.my.salesforce.com/sfc/servlet.shepherd/version/renditionDownload?rendition=ORIGINAL_Jpg&amp;versionId=0689N000001Bj0TQAS</t>
  </si>
  <si>
    <t>2023-07-09 12:55:00.000+03</t>
  </si>
  <si>
    <t>0.372483, 32.743757</t>
  </si>
  <si>
    <t>Nalumu Maria Anna</t>
  </si>
  <si>
    <t>Maize</t>
  </si>
  <si>
    <t>Social Media</t>
  </si>
  <si>
    <t>The biogas is good but it spoils anything metalic</t>
  </si>
  <si>
    <t>Wants BSUL installed at her jajas place.</t>
  </si>
  <si>
    <t>https://hivos.my.salesforce.com/sfc/servlet.shepherd/version/renditionDownload?rendition=ORIGINAL_Jpg&amp;versionId=0689N000001AaM4QAK</t>
  </si>
  <si>
    <t>https://hivos.my.salesforce.com/sfc/servlet.shepherd/version/renditionDownload?rendition=ORIGINAL_Jpg&amp;versionId=0689N000001AaKnQAK</t>
  </si>
  <si>
    <t>https://hivos.my.salesforce.com/sfc/servlet.shepherd/version/renditionDownload?rendition=ORIGINAL_Jpg&amp;versionId=0689N000001AaWJQA0</t>
  </si>
  <si>
    <t>https://hivos.my.salesforce.com/sfc/servlet.shepherd/version/renditionDownload?rendition=ORIGINAL_Jpg&amp;versionId=0689N000001BiJ3QAK</t>
  </si>
  <si>
    <t>2023-07-09 16:27:00.000+03</t>
  </si>
  <si>
    <t>0.322034, 32.768778</t>
  </si>
  <si>
    <t>Namatovu Milly</t>
  </si>
  <si>
    <t>Cooking for the family;Water Heating;Home heating</t>
  </si>
  <si>
    <t>Banana, Matoke, Casava</t>
  </si>
  <si>
    <t>Mukwali (BSUL)</t>
  </si>
  <si>
    <t>Trade show in Jinja</t>
  </si>
  <si>
    <t>It's good and saves fuel</t>
  </si>
  <si>
    <t>The noodles get lust.You need a helper to operate it.</t>
  </si>
  <si>
    <t>https://hivos.my.salesforce.com/sfc/servlet.shepherd/version/renditionDownload?rendition=ORIGINAL_Jpg&amp;versionId=0689N000001AaVZQA0</t>
  </si>
  <si>
    <t>https://hivos.my.salesforce.com/sfc/servlet.shepherd/version/renditionDownload?rendition=ORIGINAL_Jpg&amp;versionId=0689N000001AabNQAS</t>
  </si>
  <si>
    <t>https://hivos.my.salesforce.com/sfc/servlet.shepherd/version/renditionDownload?rendition=ORIGINAL_Jpg&amp;versionId=0689N000001AaHcQAK</t>
  </si>
  <si>
    <t>https://hivos.my.salesforce.com/sfc/servlet.shepherd/version/renditionDownload?rendition=ORIGINAL_Jpg&amp;versionId=0689N000001Bj0AQAS</t>
  </si>
  <si>
    <t>2023-07-12 12:14:00.000+03</t>
  </si>
  <si>
    <t>0.181780, 32.794712</t>
  </si>
  <si>
    <t>Matoke, coffee &amp; beans</t>
  </si>
  <si>
    <t>Church</t>
  </si>
  <si>
    <t>Women association</t>
  </si>
  <si>
    <t>Water is a problem</t>
  </si>
  <si>
    <t>Wants a water source</t>
  </si>
  <si>
    <t>https://hivos.my.salesforce.com/sfc/servlet.shepherd/version/renditionDownload?rendition=ORIGINAL_Jpg&amp;versionId=0689N000001BCWtQAO</t>
  </si>
  <si>
    <t>https://hivos.my.salesforce.com/sfc/servlet.shepherd/version/renditionDownload?rendition=ORIGINAL_Jpg&amp;versionId=0689N000001BCwnQAG</t>
  </si>
  <si>
    <t>https://hivos.my.salesforce.com/sfc/servlet.shepherd/version/renditionDownload?rendition=ORIGINAL_Jpg&amp;versionId=0689N000001BCwsQAG</t>
  </si>
  <si>
    <t>https://hivos.my.salesforce.com/sfc/servlet.shepherd/version/renditionDownload?rendition=ORIGINAL_Jpg&amp;versionId=0689N000001Bj1XQAS</t>
  </si>
  <si>
    <t>USD</t>
  </si>
  <si>
    <t>Heap (Kg)</t>
  </si>
  <si>
    <t>Flat (Kg)</t>
  </si>
  <si>
    <t>Note:</t>
  </si>
  <si>
    <t>NA - Not Applicable</t>
  </si>
  <si>
    <t>Foreword vehicle</t>
  </si>
  <si>
    <t>Number of times per day (1 to 3)</t>
  </si>
  <si>
    <t>Number of Buckets</t>
  </si>
  <si>
    <t>DNA - Did Not Answer</t>
  </si>
  <si>
    <t>Human wastes</t>
  </si>
  <si>
    <t>Number of times per week (1 to 6)</t>
  </si>
  <si>
    <t>Number of Kgs</t>
  </si>
  <si>
    <t>Jerrycans</t>
  </si>
  <si>
    <t>Number of times per Month (1 to 3)</t>
  </si>
  <si>
    <t>Number of spades</t>
  </si>
  <si>
    <t>Number of Basins</t>
  </si>
  <si>
    <t>Number of wheelbarrows</t>
  </si>
  <si>
    <t>Serial Number</t>
  </si>
  <si>
    <t>Respondent Age range</t>
  </si>
  <si>
    <t>Exact Age</t>
  </si>
  <si>
    <t>Number of people eating daily at your household?</t>
  </si>
  <si>
    <t>Plant Code verification</t>
  </si>
  <si>
    <t>Code on the plant</t>
  </si>
  <si>
    <t>Did your digester work continuously in the period in 19/04/2022 to 31/March/2023?</t>
  </si>
  <si>
    <t>If no, how many days did the digester not work continuously in that period?</t>
  </si>
  <si>
    <t>Are you currently using your biodigester for cooking food for human consumption?</t>
  </si>
  <si>
    <t>Explain Why you are not using your biodigester for cooking food for human consumption.</t>
  </si>
  <si>
    <t>If no,since when has it not been working?(month &amp; year values have to be filled in)</t>
  </si>
  <si>
    <t>Why is the digester not working?</t>
  </si>
  <si>
    <t>Other reason why digester is not working</t>
  </si>
  <si>
    <t>If the reason is technical e.g. broken,pipe blockage,gas leakage etc, did you contact any mason/company/KBP for help?</t>
  </si>
  <si>
    <t>If yes,what response did you receive from the source of help you contacted?</t>
  </si>
  <si>
    <t>If no,why didn't you contact Mason/BSUL/Company or anyone else for help?</t>
  </si>
  <si>
    <t>Are you still interested in having the biodigester fixed?</t>
  </si>
  <si>
    <t>If yes,when do you plan to fix your digester?</t>
  </si>
  <si>
    <t>Stove Brand: (Observed from the Kitchen stove)</t>
  </si>
  <si>
    <t>Other Stove Brand</t>
  </si>
  <si>
    <t>Number of Burners on the stove: (Observed from the Kitchen stove)</t>
  </si>
  <si>
    <t>Other Number of Burners on the stove: (Observed from the Kitchen stove)</t>
  </si>
  <si>
    <t>What the Status of the biogas kitchen stove?</t>
  </si>
  <si>
    <t>Other Status of the biogas kitchen stove</t>
  </si>
  <si>
    <t>Is a pressure gauge installed</t>
  </si>
  <si>
    <t>If No, why is the pressure gauge missing</t>
  </si>
  <si>
    <t>Other reason why the pressure gauge missing</t>
  </si>
  <si>
    <t>Before you received biogas, which fuel did you use mainly to meet your daily cooking needs for human consumption?</t>
  </si>
  <si>
    <t>B4:If Other fuels, please specify</t>
  </si>
  <si>
    <t>If Other fuels,specify</t>
  </si>
  <si>
    <t>In addition to the main source of fuel you used before you installed the digester, did you use any other fuel for cooking?</t>
  </si>
  <si>
    <t>If yes, which one?(other fuel you used before you installed biogas)</t>
  </si>
  <si>
    <t>(Other fuel)In addition to the main source of fuel you used before you installed the digester, did you use any other fuel for cooking</t>
  </si>
  <si>
    <t>If you indicated use of fire wood, did you collect or buy firewood?</t>
  </si>
  <si>
    <t>If you indicated use of firewood, who was solely responsible for firewood collection? (Pick One)</t>
  </si>
  <si>
    <t>Other person who was solely responsible for firewood collection</t>
  </si>
  <si>
    <t>If more than one person was responsible for firewood collection, circle all those who shared the responsibility</t>
  </si>
  <si>
    <t>Other.If more than one person was responsible for firewood collection, circle all those who shared the responsibility</t>
  </si>
  <si>
    <t>How does the work load for feeding a bio digester compare to your baseline situation where you would need to either collect fire wood, and/or collect the manure from the stable for composting</t>
  </si>
  <si>
    <t>For whatever reason given above , why do you think this is so?</t>
  </si>
  <si>
    <t>How often did you collect firewood before you got the biodigester?</t>
  </si>
  <si>
    <t>Number of times used to collect firewood.</t>
  </si>
  <si>
    <t>How much time were you spending on fetching firewood before you got the biodigester (per collection event)?(in Minutes)</t>
  </si>
  <si>
    <t>Apart from biogas, do you CURRENTLY use any other fuel for cooking food for human consumption</t>
  </si>
  <si>
    <t>Which fuel do you mostly use for cooking food in addition to biogas? (Pick only one main fuel)</t>
  </si>
  <si>
    <t>Other Fuel used other than Biogas for cooking currently</t>
  </si>
  <si>
    <t>How often do you feed the biodigester</t>
  </si>
  <si>
    <t>Number of times used to feed biodigester</t>
  </si>
  <si>
    <t>How much time do you take to feed the biodigester during each feeding?(Minute(s)/feeding event</t>
  </si>
  <si>
    <t>How much feed is fed into the Biodigester per feeding event? Interviewer shall pick one metric that is relevant to the household</t>
  </si>
  <si>
    <t>If other Specify</t>
  </si>
  <si>
    <t>Number of metric Selected from previous question</t>
  </si>
  <si>
    <t>Calculation: Conversion of metric to Kg manure feeding (Columns: BP, BQ, BR)</t>
  </si>
  <si>
    <t>Calculation: Total Kg manure feeding (Basing on number of times and Calculation: Conversion of metric to Kg)(Columns: BN, BS)</t>
  </si>
  <si>
    <t>Calculation: Total Kg manure feeding/Day</t>
  </si>
  <si>
    <t>Who in the home feeds the digester at least 80% of the times it is fed, (Select one)</t>
  </si>
  <si>
    <t>Other person who feeds the biodigester at least 80% of the times</t>
  </si>
  <si>
    <t>Did you receive a loan for purchasing the Biodigester?</t>
  </si>
  <si>
    <t>From whom did you receive the loan for purchasing the biogas digester? (circle one, or several)</t>
  </si>
  <si>
    <t>Other source of loan</t>
  </si>
  <si>
    <t>If you received a loan,how long is the loan tenure/period</t>
  </si>
  <si>
    <t>Would you recommend biogas to other people?</t>
  </si>
  <si>
    <t>Why would you recommend biogas to other people?</t>
  </si>
  <si>
    <t>Why would you not recommend biogas to other people?</t>
  </si>
  <si>
    <t>Which of the following animals do you own (pick all that apply)</t>
  </si>
  <si>
    <t>Average number of dairy cattle in this MP(13th June 2022 to 31st March 2023))</t>
  </si>
  <si>
    <t>Average number of other (non-lactating) cattle in this MP(13th June 2022 to 31st March 2023)</t>
  </si>
  <si>
    <t>Average number of Breeding swine in this MP(13th June 2022 to 31st March 2023)</t>
  </si>
  <si>
    <t>Average number of Goats in this MP(13th June 2022 to 31st March 2023)</t>
  </si>
  <si>
    <t>Average number of poultry in this MP(13th June 2022 to 31st March 2023)</t>
  </si>
  <si>
    <t>Average number of Market swine (fattening pigs) in this MP(13th June 2022 to 31st March 2023)</t>
  </si>
  <si>
    <t>Length of production round (days) of Market swine (fattening pigs)(13th June 2022 to 31st March 2023)</t>
  </si>
  <si>
    <t>Number of production rounds per year of Market swine (fattening pigs)(13th June 2022 to 31st March 2023)</t>
  </si>
  <si>
    <t>Number of pigs per production round of Market swine (fattening pigs)(13th June 2022 to 31st March 2023)</t>
  </si>
  <si>
    <t>Dairy cattle manure Fed into the bio digester? (%)</t>
  </si>
  <si>
    <t>Dairy Cattle manure Not Fed into the bio digester? (%)</t>
  </si>
  <si>
    <t>Reason if 100% of manure is not fed for Dairy Cows</t>
  </si>
  <si>
    <t>Other (non-lactating) cattle manure Fed into the bio digester? (%)</t>
  </si>
  <si>
    <t>Other (non-lactating) cattle manure Not Fed into the bio digester? (%)</t>
  </si>
  <si>
    <t>Other (non-lactating) cattle reason if 100% of manure is not fed</t>
  </si>
  <si>
    <t>Market swine (Pigs) (for market) manure Fed into the bio digester? (%)</t>
  </si>
  <si>
    <t>Market swine (Pigs) (for market) manure Not Fed into the bio digester? (%)</t>
  </si>
  <si>
    <t>Market swine (Pigs) (for market) Reason if 100% of manure is not fed</t>
  </si>
  <si>
    <t>Breeding swine (Sows and boars) (for breeding) manure Fed into the bio digester? (%)</t>
  </si>
  <si>
    <t>Breeding swine (Sows &amp; boars) (for breeding) manure Not Fed into the bio digester? (%)</t>
  </si>
  <si>
    <t>Breeding swine(Sows and boars) (for breeding) Reason if 100% of manure is not fed</t>
  </si>
  <si>
    <t>Poultry manure Fed into the bio digester? (%)</t>
  </si>
  <si>
    <t>Poultry manure Not Fed into the bio digester? (%)</t>
  </si>
  <si>
    <t>Poultry Reason if 100% of manure is not fed</t>
  </si>
  <si>
    <t>Sheep manure Fed into the bio digester? (%)</t>
  </si>
  <si>
    <t>Sheep manure Not Fed into the bio digester? (%)</t>
  </si>
  <si>
    <t>Sheep Reason if 100% of manure is not fed</t>
  </si>
  <si>
    <t>Goats manure Fed into the bio digester? (%)</t>
  </si>
  <si>
    <t>Goats manure Not Fed into the bio digester? (%)</t>
  </si>
  <si>
    <t>Goats Reason if 100% of manure is not fed</t>
  </si>
  <si>
    <t>How many hours per day on average do you cook food on biogas for human consumption in your home generally</t>
  </si>
  <si>
    <t>Were you informed of the cooking hours your size of biodigester would give before construction?</t>
  </si>
  <si>
    <t>How much did you spend on digester maintenance during this monitoring period(13/06/2022 to 31/03/2023)?(Local currency/year)</t>
  </si>
  <si>
    <t>Amount spent on digester maintenance during this monitoring period (13/06/2022 to 31/03/2023)?(Local currency/year)</t>
  </si>
  <si>
    <t>Plant code on the plant matches the database</t>
  </si>
  <si>
    <t>Lotus stove (round stove)</t>
  </si>
  <si>
    <t>Single Burner Stove</t>
  </si>
  <si>
    <t>Stove is fully functional with all parts working</t>
  </si>
  <si>
    <t>B1: Firewood used to meet (more than 50%) of my cooking needs</t>
  </si>
  <si>
    <t>Mostly collect firewood</t>
  </si>
  <si>
    <t>Wife</t>
  </si>
  <si>
    <t>Less work load</t>
  </si>
  <si>
    <t>Fire wood is less used</t>
  </si>
  <si>
    <t>Number of times per week</t>
  </si>
  <si>
    <t>Healthy cooking</t>
  </si>
  <si>
    <t>Other (non-lactating) cattle;Market swine (fattening pigs);Poultry;Goats</t>
  </si>
  <si>
    <t>One of cattle is enough</t>
  </si>
  <si>
    <t>No idea that it's also used</t>
  </si>
  <si>
    <t>Plant code is marked on the plant but is not clear</t>
  </si>
  <si>
    <t>B2: Charcoal used to meet (more than 50%) of my cooking needs</t>
  </si>
  <si>
    <t xml:space="preserve">less wood is used </t>
  </si>
  <si>
    <t>Husband</t>
  </si>
  <si>
    <t>It's cost effective and advantages of the silurry</t>
  </si>
  <si>
    <t>Dairy cattle;Breeding swine;Poultry;Goats</t>
  </si>
  <si>
    <t xml:space="preserve">Not aware of it </t>
  </si>
  <si>
    <t>Not aware that it works</t>
  </si>
  <si>
    <t>Mostly buy firewood</t>
  </si>
  <si>
    <t>Faster in cooking,gets bio slurry  which has improved crop yield</t>
  </si>
  <si>
    <t>Dairy cattle;Breeding swine;Poultry</t>
  </si>
  <si>
    <t>Didn't know it  also works</t>
  </si>
  <si>
    <t>Didn't know it also works</t>
  </si>
  <si>
    <t>Plant code is marked on the plant and is clear</t>
  </si>
  <si>
    <t>Only collect firewood</t>
  </si>
  <si>
    <t>No Other Person</t>
  </si>
  <si>
    <t>Less wood is used</t>
  </si>
  <si>
    <t>Number of times per day</t>
  </si>
  <si>
    <t>Smoke free,cooks faster</t>
  </si>
  <si>
    <t>Dairy cattle;Poultry;Sheep;Goats</t>
  </si>
  <si>
    <t>Not aware that it's also used</t>
  </si>
  <si>
    <t>No idea that it can be used</t>
  </si>
  <si>
    <t>No idea that it can also work</t>
  </si>
  <si>
    <t>Technical issue (broken,pipe blockage,gas leakage etc)</t>
  </si>
  <si>
    <t>Promised to come to check up to date no help was rendered</t>
  </si>
  <si>
    <t>Broken Burner knobs;Burners breaking down frequently</t>
  </si>
  <si>
    <t>Wife;Husband</t>
  </si>
  <si>
    <t>There is more time saved since the system has reduced the times of wood search</t>
  </si>
  <si>
    <t>His has brought him problems so he fears as it keeps breaking down and ends giving little pressure regardless of the numerous repairs</t>
  </si>
  <si>
    <t>Dairy cattle;Poultry</t>
  </si>
  <si>
    <t>Not aware</t>
  </si>
  <si>
    <t>Not aware of it</t>
  </si>
  <si>
    <t>Was not installed</t>
  </si>
  <si>
    <t>Child;Wife</t>
  </si>
  <si>
    <t>Wood is rarely used</t>
  </si>
  <si>
    <t>The advantages gained</t>
  </si>
  <si>
    <t>Dairy cattle;Poultry;Goats</t>
  </si>
  <si>
    <t>Cattle dug is enough</t>
  </si>
  <si>
    <t>No idea that it can also be used</t>
  </si>
  <si>
    <t>Plant code not marked on the plant</t>
  </si>
  <si>
    <t>Told to check the dug if it's still soft</t>
  </si>
  <si>
    <t>&lt;35</t>
  </si>
  <si>
    <t>More work load</t>
  </si>
  <si>
    <t>Mixing manure needs a lot of time and energy</t>
  </si>
  <si>
    <t>Cooks quickly and you can multitask when cooking</t>
  </si>
  <si>
    <t>Dairy cattle;Breeding swine;Goats</t>
  </si>
  <si>
    <t>It is alot of manure</t>
  </si>
  <si>
    <t>It is always dirty to use in biogas system</t>
  </si>
  <si>
    <t>Hard to mix</t>
  </si>
  <si>
    <t>â‰¥35</t>
  </si>
  <si>
    <t>Biogas stove</t>
  </si>
  <si>
    <t>Double Burner Stove</t>
  </si>
  <si>
    <t>One of the stove burners is not producing gas</t>
  </si>
  <si>
    <t>Firewood needs a lot of labour and energy</t>
  </si>
  <si>
    <t>It saves time since you can cook while doing other things, It is clean and provides fertilizer</t>
  </si>
  <si>
    <t>Dairy cattle</t>
  </si>
  <si>
    <t>LPG Modified Stove</t>
  </si>
  <si>
    <t>It requires less manual labour</t>
  </si>
  <si>
    <t>It cooks quickly, safe and clean to use</t>
  </si>
  <si>
    <t>Dairy cattle;Breeding swine;Poultry;Sheep;Goats</t>
  </si>
  <si>
    <t>The bio digester is small to accommodate all the manure</t>
  </si>
  <si>
    <t>They have enough cow manure</t>
  </si>
  <si>
    <t>Hard to collect</t>
  </si>
  <si>
    <t>Manure for sheep is hard to mix</t>
  </si>
  <si>
    <t>Goats manure is hard to mix</t>
  </si>
  <si>
    <t>It was faulty</t>
  </si>
  <si>
    <t>It uses less time to mix it</t>
  </si>
  <si>
    <t>Number of times per Month</t>
  </si>
  <si>
    <t>It cooks quickly even in rainy season you can lit quickly</t>
  </si>
  <si>
    <t>It is always dirty since there Hasks where they sleep</t>
  </si>
  <si>
    <t>Only bought firewood</t>
  </si>
  <si>
    <t>It cooks quickly, requires less time of monitoring and has no smoke</t>
  </si>
  <si>
    <t>Manure is too much</t>
  </si>
  <si>
    <t>Plant code on the plant does not match the database.If so specify code on the plant</t>
  </si>
  <si>
    <t>UNIDO/BSU 012560</t>
  </si>
  <si>
    <t>You use less energy and time</t>
  </si>
  <si>
    <t>It is clean and cooks quickly You can multi task while using biogas</t>
  </si>
  <si>
    <t>Dairy cattle;Poultry;Sheep;Goats;Other Animals (specify)</t>
  </si>
  <si>
    <t>Hard to collect them</t>
  </si>
  <si>
    <t>Hard to mix the manure</t>
  </si>
  <si>
    <t>Hard to mix goats manure</t>
  </si>
  <si>
    <t>They worked on it but failed</t>
  </si>
  <si>
    <t>It cooks quickly, it is smart</t>
  </si>
  <si>
    <t>Number of times per year</t>
  </si>
  <si>
    <t>It is clean, saves time and it has good manure</t>
  </si>
  <si>
    <t>Dairy cattle;Goats</t>
  </si>
  <si>
    <t>They don't use hard manure</t>
  </si>
  <si>
    <t>Hard to use</t>
  </si>
  <si>
    <t>Bsul-01324</t>
  </si>
  <si>
    <t>The manure is near to use in biogas and it doesn't require a lot of energy to mix</t>
  </si>
  <si>
    <t>Because it cooks faster</t>
  </si>
  <si>
    <t>The same work load</t>
  </si>
  <si>
    <t>Not sure since they cut and bring firewood at home</t>
  </si>
  <si>
    <t>It cooks quickly and clean</t>
  </si>
  <si>
    <t>The bio digester is small to accommodate a lot of manure</t>
  </si>
  <si>
    <t>Not clean to use</t>
  </si>
  <si>
    <t>Hard to pick</t>
  </si>
  <si>
    <t>Goats manure is hard</t>
  </si>
  <si>
    <t>Stove is fully functional with all parts working;Burners leaking gas</t>
  </si>
  <si>
    <t>Child;Worker</t>
  </si>
  <si>
    <t>Easy to feed the system because the dung collection point is within home</t>
  </si>
  <si>
    <t>Son</t>
  </si>
  <si>
    <t>Cooperative</t>
  </si>
  <si>
    <t>6 months</t>
  </si>
  <si>
    <t>Cooks faster and saves time</t>
  </si>
  <si>
    <t>Other (non-lactating) cattle;Breeding swine;Poultry;Sheep</t>
  </si>
  <si>
    <t>Plant code on the plant matches the database;Plant code is marked on the plant and is clear</t>
  </si>
  <si>
    <t>The stoves can't burn for more than 20 minutes, they go off very quickly.  The red switch is also stuck, very hard to turn.  The meter Guage is faulty.</t>
  </si>
  <si>
    <t>Easy to pick, mix the dung and power into the system. Cutting and ferrying wood is heavy work</t>
  </si>
  <si>
    <t>Other (non-lactating) cattle;Poultry;Sheep;Goats</t>
  </si>
  <si>
    <t>Was not told to feed it</t>
  </si>
  <si>
    <t>Report was made to the Principal of the Institution but not sure if at all he contacted the technician</t>
  </si>
  <si>
    <t>Called the technician who promised to come but has never come up to now</t>
  </si>
  <si>
    <t>Mixing dung is much easier and light work compared to gathering and ferrying wood</t>
  </si>
  <si>
    <t>Easy to use and cooks faster</t>
  </si>
  <si>
    <t>Other (non-lactating) cattle;Breeding swine;Poultry;Goats</t>
  </si>
  <si>
    <t>It is more than recommend</t>
  </si>
  <si>
    <t>Not knowledgeable about</t>
  </si>
  <si>
    <t>The technician's  number was not going through</t>
  </si>
  <si>
    <t>Looking for firewood is hard and tiresome as compared</t>
  </si>
  <si>
    <t>It's easy to operate and feed. It cooks faster and saves time</t>
  </si>
  <si>
    <t>Other (non-lactating) cattle;Sheep;Goats</t>
  </si>
  <si>
    <t>Not knowledgeable about it</t>
  </si>
  <si>
    <t>Never tried because not knowledgeable about it</t>
  </si>
  <si>
    <t>The phone number of the Technician did not going through</t>
  </si>
  <si>
    <t>No one to feed the digester</t>
  </si>
  <si>
    <t>Lack of cow dung to feed the system</t>
  </si>
  <si>
    <t>You save on using charcoal, bioslury has helped the banana  plantion</t>
  </si>
  <si>
    <t>Dairy cattle;Other (non-lactating) cattle;Poultry;Goats</t>
  </si>
  <si>
    <t>He had not thought of it that he can put droppings</t>
  </si>
  <si>
    <t>Put in the garden directly</t>
  </si>
  <si>
    <t>Mafabi Jesca passed on and is the one who was using it.but now she needs to restore it</t>
  </si>
  <si>
    <t>She takes less time because she uses less firewood</t>
  </si>
  <si>
    <t>It cooks well and portrays a modern kitchen</t>
  </si>
  <si>
    <t>Dairy cattle;Other (non-lactating) cattle</t>
  </si>
  <si>
    <t>Does not know because she was not around</t>
  </si>
  <si>
    <t>Animals died</t>
  </si>
  <si>
    <t>Gas produced is less due to blockage of the pipes, they only use it to prepare tea</t>
  </si>
  <si>
    <t>They had cut off on the time for going to buy kerosen for lighting</t>
  </si>
  <si>
    <t>It cooks well because it saves firewood</t>
  </si>
  <si>
    <t>The mason came to repair it but he was not sucessful</t>
  </si>
  <si>
    <t>Did not have money for the mantaince</t>
  </si>
  <si>
    <t>It takes shorter time to feed the biodigester than to cut the tree</t>
  </si>
  <si>
    <t>It produces ready to use manure It cooks easily  It is smokeless</t>
  </si>
  <si>
    <t>The manure produced is a lot than the biodigester can take The manure is sold like that</t>
  </si>
  <si>
    <t>The manure is sold like that</t>
  </si>
  <si>
    <t>Child;Wife;Husband</t>
  </si>
  <si>
    <t>The firewood collected takes longer than usual</t>
  </si>
  <si>
    <t>It cooks fast It is easy to use and smoke free  It is convenient</t>
  </si>
  <si>
    <t>Other Animals (specify)</t>
  </si>
  <si>
    <t>I sold my animals</t>
  </si>
  <si>
    <t>The animal dung is easily collected and near the digester, easier than cutting a tree</t>
  </si>
  <si>
    <t>It is convenient  It is smoke free  Shows a better living standard It is clean for cooking</t>
  </si>
  <si>
    <t>Has two single stoves connected</t>
  </si>
  <si>
    <t>Mixing cowdung is the only activity compared to cutting down a tree for firewood</t>
  </si>
  <si>
    <t>It makes cooking food easy</t>
  </si>
  <si>
    <t>Other (non-lactating) cattle</t>
  </si>
  <si>
    <t>The manure produced is shared for the digester and for the gardens</t>
  </si>
  <si>
    <t>She cut her self and couldn't feed the digester  The family size reduced and she lost interest</t>
  </si>
  <si>
    <t>It takes less time to feed a biodigester than to cut a tree</t>
  </si>
  <si>
    <t>It reduces costs of firewood It is faster to use It saves time</t>
  </si>
  <si>
    <t>Some of the manure is fed like that The manure produced cannot all be consumed since weook for fresh animal dropping</t>
  </si>
  <si>
    <t>They said the pipes were blocked and they were replaced but since then has not been able to mix for the digester</t>
  </si>
  <si>
    <t>Child;Husband</t>
  </si>
  <si>
    <t>When the biodigester is fed,cooking is easier for meals like breakfast or warming food.</t>
  </si>
  <si>
    <t>It is convenient to use It give ready to use manure The cooking is smoke free</t>
  </si>
  <si>
    <t>He gave some support but didn't help He suggested the pipes might be blocked tht we first pour water to clear it up but there was no change</t>
  </si>
  <si>
    <t>People came from biogas company and removed some metals from the connection and took them and never came back</t>
  </si>
  <si>
    <t>That the biodegester should first be emptied and then they come back to work on it</t>
  </si>
  <si>
    <t>Rectangular local made stove</t>
  </si>
  <si>
    <t>It a good thing to have at home and it's clean no smoke .</t>
  </si>
  <si>
    <t>Animals were stolen</t>
  </si>
  <si>
    <t>Micro finance Institution</t>
  </si>
  <si>
    <t>2 years</t>
  </si>
  <si>
    <t>It easy to use</t>
  </si>
  <si>
    <t>Other (non-lactating) cattle;Poultry</t>
  </si>
  <si>
    <t>Not easy to collect</t>
  </si>
  <si>
    <t>Feeding the biogas takes short time compared to collecting firewood</t>
  </si>
  <si>
    <t>It cooks fast and saves fuel</t>
  </si>
  <si>
    <t>Other (non-lactating) cattle;Breeding swine</t>
  </si>
  <si>
    <t>They have enough cowdung</t>
  </si>
  <si>
    <t>Saves charcoal</t>
  </si>
  <si>
    <t>Plant code is marked on the plant but is not clear;Plant code on the plant matches the database;Plant code not marked on the plant;Plant code is marked on the plant and is clear</t>
  </si>
  <si>
    <t>It's so convinient</t>
  </si>
  <si>
    <t>Wasn't aware</t>
  </si>
  <si>
    <t>Little droppings</t>
  </si>
  <si>
    <t>No one available to feed the digester</t>
  </si>
  <si>
    <t>The owners died. And no one stays home except the security guard who keeps there</t>
  </si>
  <si>
    <t>There is less workload involved in feeding the digester that collecting firewood</t>
  </si>
  <si>
    <t>It saves It gives manure, it's smart and clean</t>
  </si>
  <si>
    <t>Clean Cooking , fuel savings</t>
  </si>
  <si>
    <t>Doesn't look good</t>
  </si>
  <si>
    <t>That some pipes replaced and checked down found a lot of soil and stones advised emptying which was done and we are still refilling.</t>
  </si>
  <si>
    <t>The husband who knew who to call died.</t>
  </si>
  <si>
    <t>Four-burner stove</t>
  </si>
  <si>
    <t>It's cheap, environmental friendly and more safe to use.</t>
  </si>
  <si>
    <t>It's easy to use</t>
  </si>
  <si>
    <t>It's fast and convenient</t>
  </si>
  <si>
    <t>Dairy cattle;Breeding swine</t>
  </si>
  <si>
    <t>Bio digester is home but fire wood there is a abig distance to the collection field</t>
  </si>
  <si>
    <t>It's cheap and Friendly to use</t>
  </si>
  <si>
    <t>It saves fuel and cooks faster</t>
  </si>
  <si>
    <t>Dairy cattle;Other (non-lactating) cattle;Breeding swine</t>
  </si>
  <si>
    <t>The cowdung is too much and all cannot be put in the biodigester</t>
  </si>
  <si>
    <t>The cowdung is alot</t>
  </si>
  <si>
    <t>They have enough cow dung</t>
  </si>
  <si>
    <t>Manson asked money for transport that I didn't have.</t>
  </si>
  <si>
    <t>06/08/21 mosed</t>
  </si>
  <si>
    <t>It's easier to feed the digester than collecting firewood</t>
  </si>
  <si>
    <t>It's hard to collect</t>
  </si>
  <si>
    <t>They came and didn't finish the repairing</t>
  </si>
  <si>
    <t>Was disconnected during house  construction</t>
  </si>
  <si>
    <t>He came and  checked on it then promised to come back and repair it but he has never seen him.</t>
  </si>
  <si>
    <t>Worker;Wife</t>
  </si>
  <si>
    <t>It's easier to feed the biodigester than collecting wood</t>
  </si>
  <si>
    <t>It's easier to feed the biodigester than fetching firewood</t>
  </si>
  <si>
    <t>The stove is not producing enough gas ,needs assistance</t>
  </si>
  <si>
    <t>Because it's easy to feed the biodigester and it convenient</t>
  </si>
  <si>
    <t>No response</t>
  </si>
  <si>
    <t>Collecting wood was tiresome but now they use only biogas to cook,</t>
  </si>
  <si>
    <t>It is clean and makes cooking faster</t>
  </si>
  <si>
    <t>The 70 is just enough for the feeding interval</t>
  </si>
  <si>
    <t>It is mixed in the feeds(food)for the pigs</t>
  </si>
  <si>
    <t>Did not have any contact</t>
  </si>
  <si>
    <t>Collecting wood would take a long time</t>
  </si>
  <si>
    <t>It produces good fertilizer and it's clean energy</t>
  </si>
  <si>
    <t>She is sickly so mixing the dung is very tidious for her</t>
  </si>
  <si>
    <t>It is clean and makes cooking easier</t>
  </si>
  <si>
    <t>Sometimes it is mixed with grass and stones. So she picks out only what is needed</t>
  </si>
  <si>
    <t>Had no contact</t>
  </si>
  <si>
    <t>Burners leaking gas</t>
  </si>
  <si>
    <t>Collecting wood was hectic because it takes more time, to cut the tree branches</t>
  </si>
  <si>
    <t>It is clean energy and saves them time of collecting firewood</t>
  </si>
  <si>
    <t>Was not aware that poultry manure can be fed</t>
  </si>
  <si>
    <t>Was not aware that sheep manure can be fed</t>
  </si>
  <si>
    <t>It is hard to mix</t>
  </si>
  <si>
    <t>The house was demolished, and they constructed a new house. So they stopped feeding the digester</t>
  </si>
  <si>
    <t>Workers reduced in number hence there was limited man power to feed the plant</t>
  </si>
  <si>
    <t>Feeding the biodigester takes few minutes compared to collecting firewood</t>
  </si>
  <si>
    <t>Its very good and cooks fast</t>
  </si>
  <si>
    <t>They have enough cowwdung</t>
  </si>
  <si>
    <t>Only prefers using cowdung as its easy to manage than other dung/ waste</t>
  </si>
  <si>
    <t>Modified 4 stand</t>
  </si>
  <si>
    <t>It's safe</t>
  </si>
  <si>
    <t>No much time put in collecting</t>
  </si>
  <si>
    <t>Fuel savings</t>
  </si>
  <si>
    <t>Dairy cattle;Breeding swine;Sheep;Goats</t>
  </si>
  <si>
    <t>Not good for Moslem workers</t>
  </si>
  <si>
    <t>Not good</t>
  </si>
  <si>
    <t>It with in no distance involved</t>
  </si>
  <si>
    <t>It saves time and cooks easily.</t>
  </si>
  <si>
    <t>Their are coffee husks so collection is not easy.</t>
  </si>
  <si>
    <t>No distance involved</t>
  </si>
  <si>
    <t>Because of it's manure</t>
  </si>
  <si>
    <t>We have enough of cow dung</t>
  </si>
  <si>
    <t>Didn't know the responsible people. People who constructed the biogas don't know where they came from. They didn't construct it well and didn't like them</t>
  </si>
  <si>
    <t>It's cheaper to use biogas than charcoal or firewood</t>
  </si>
  <si>
    <t>The biogas digester is blocked.It doesn't release slurry and so the gas is less</t>
  </si>
  <si>
    <t>Cattle manure is adequate</t>
  </si>
  <si>
    <t>Cooks quickly and does not smoke</t>
  </si>
  <si>
    <t>Other (non-lactating) cattle;Breeding swine;Poultry</t>
  </si>
  <si>
    <t>50 percentage is enough to feed the Bio digester</t>
  </si>
  <si>
    <t>Manure for cattle is enough</t>
  </si>
  <si>
    <t>Cattles produce dung from home while fire wood needs to go in the field to collect</t>
  </si>
  <si>
    <t>Other (non-lactating) cattle;Goats</t>
  </si>
  <si>
    <t>Manure produced by the cattles is much to feed all in the bio digester</t>
  </si>
  <si>
    <t>Manure produced by cattle is enough to feed the Bio digester</t>
  </si>
  <si>
    <t>Saves time, smart cooking, fuel saving</t>
  </si>
  <si>
    <t>Not comfortable using it as looks like human dung</t>
  </si>
  <si>
    <t>The people response for maintaining the biogas relaxed</t>
  </si>
  <si>
    <t>NO</t>
  </si>
  <si>
    <t>Fuel savings, cooks quickly and good manure</t>
  </si>
  <si>
    <t>Is not aware about their usage</t>
  </si>
  <si>
    <t>Bio gas reduces time for tendering to stove</t>
  </si>
  <si>
    <t>Less tiresome and convenient</t>
  </si>
  <si>
    <t>Used directly as fertilizer</t>
  </si>
  <si>
    <t>Didn't have the contacts of the mason</t>
  </si>
  <si>
    <t>Doesn't feed it daily, it's connected to human waste toilet</t>
  </si>
  <si>
    <t>All feed since they use human wastes</t>
  </si>
  <si>
    <t>Quick to cook, good lighting with out smoke</t>
  </si>
  <si>
    <t>Other (non-lactating) cattle;Market swine (fattening pigs);Breeding swine;Poultry;Goats</t>
  </si>
  <si>
    <t>Now uses human wastes</t>
  </si>
  <si>
    <t>Uses human wastes</t>
  </si>
  <si>
    <t>It's easier to cook at any time, energy saving and has no smoke</t>
  </si>
  <si>
    <t>Other (non-lactating) cattle;Market swine (fattening pigs);Breeding swine;Goats</t>
  </si>
  <si>
    <t>Goats wastes doesn't have gass that produces energy in the biogas</t>
  </si>
  <si>
    <t>Ignored calling the technical people because they knew that they would just keep on tossing them around</t>
  </si>
  <si>
    <t>Technical experts visited her home and said that   the biogas was not constructed properly yet the same company are the one who constructed it. Says the biogas was not performing to her expections. Lighting for 5 hours and cooking for only 30 minutes</t>
  </si>
  <si>
    <t>Left home after getting sick and other people who stay at home are all working</t>
  </si>
  <si>
    <t>The pipe of the biogas got damaged, the doom of the biogas had a leakage and the stove is not connected to the biogas</t>
  </si>
  <si>
    <t>The technical team failed to work on the blocked channel</t>
  </si>
  <si>
    <t>They didn't have any contact person</t>
  </si>
  <si>
    <t>Constructed when having pigs. The pigs feed couldn't support the biogas upto now the biogas plant is not filled</t>
  </si>
  <si>
    <t>Incomplete construction</t>
  </si>
  <si>
    <t>Manson was paid but never returned to funish construction</t>
  </si>
  <si>
    <t>&gt;35</t>
  </si>
  <si>
    <t>Only use firewood for cooking things that take long to cook like beans</t>
  </si>
  <si>
    <t>Convenient  Fast in cooking</t>
  </si>
  <si>
    <t>He was told to pay for the repairs which seemed expensive for him.</t>
  </si>
  <si>
    <t>Now days he uses less wood coz he prepares more things on bio gas</t>
  </si>
  <si>
    <t>Saves time Convenient  Cheap to use Cooks faster Clean cooking</t>
  </si>
  <si>
    <t>Other (non-lactating) cattle;Sheep</t>
  </si>
  <si>
    <t>He doesn't need to you all of the dung in the digester</t>
  </si>
  <si>
    <t>He was not aware that he can use it</t>
  </si>
  <si>
    <t>Nolonger uses alot of firewood so he gets less and takes a short time to collect the wood</t>
  </si>
  <si>
    <t>Save time Fast in cooking Clean cooking  Healthier</t>
  </si>
  <si>
    <t>20% is left coz it's always dirty with stones</t>
  </si>
  <si>
    <t>She needs less of the firewood</t>
  </si>
  <si>
    <t>Cooks faster, Clean cooking Easy to light Convenient</t>
  </si>
  <si>
    <t>One moves long distances</t>
  </si>
  <si>
    <t>Cooks fast and improves the air quality in the home. The Slurry can be used as manure</t>
  </si>
  <si>
    <t xml:space="preserve">Burners leaking gas </t>
  </si>
  <si>
    <t>Cooks fast and does not produce smoke</t>
  </si>
  <si>
    <t>They said would come to fix them but have never come and still waiting for them</t>
  </si>
  <si>
    <t>It does not require movements like it is in looking for firewood.</t>
  </si>
  <si>
    <t>Cooks fast and easy to light</t>
  </si>
  <si>
    <t>Switch on the digester was stolen and the pipe was broken by children from the neighbour hood. They promised they will come to fix then but have been not seen.</t>
  </si>
  <si>
    <t>Pipe blockage</t>
  </si>
  <si>
    <t>It saves on fuel expenses.</t>
  </si>
  <si>
    <t>It saves fuel. Cheaper interns of fuel usage</t>
  </si>
  <si>
    <t>Collecting firewood involved moving away from home using transport.</t>
  </si>
  <si>
    <t>It saves fuel and quick at cooking.</t>
  </si>
  <si>
    <t>Because it is saving on household income</t>
  </si>
  <si>
    <t>No help was received.</t>
  </si>
  <si>
    <t>Use biogas which simplifies cooking</t>
  </si>
  <si>
    <t>It economical in terms of household fuel needs</t>
  </si>
  <si>
    <t>It takes lesser time than collecting fire wood.</t>
  </si>
  <si>
    <t>It cooks fast.,clean,no smoke.</t>
  </si>
  <si>
    <t>All family members</t>
  </si>
  <si>
    <t>Child;Worker;Wife;Husband</t>
  </si>
  <si>
    <t>They take some time than before to fetch firewood, where they would use more firewood.</t>
  </si>
  <si>
    <t>She is even biogas promoter,it's clean energy ,no smoke cooks fast and saves fuel.</t>
  </si>
  <si>
    <t>Its too much to all be fed in the digester</t>
  </si>
  <si>
    <t>she does not know that its also fed in the biodigester</t>
  </si>
  <si>
    <t>Reliable and fast in cooking.</t>
  </si>
  <si>
    <t>he does not even know that its fed also.</t>
  </si>
  <si>
    <t>he does not know that its fedin the biodigester..</t>
  </si>
  <si>
    <t>Easy to use,free from smoke ,quick at cooking,and manure is good.</t>
  </si>
  <si>
    <t>he has few hens .</t>
  </si>
  <si>
    <t>He called the Manson who constructed it and  told him he nolonger works in Kamwengye district,he was transferred .</t>
  </si>
  <si>
    <t>It saves energy and money It's clean It's safe</t>
  </si>
  <si>
    <t>Dairy cattle;Market swine (fattening pigs);Breeding swine</t>
  </si>
  <si>
    <t>Pig manure produces more gas than cow dung</t>
  </si>
  <si>
    <t>It's adequate</t>
  </si>
  <si>
    <t>Adequate</t>
  </si>
  <si>
    <t>It's cost effective</t>
  </si>
  <si>
    <t>He didn't know they can produce gas</t>
  </si>
  <si>
    <t>They collect less so it's always little</t>
  </si>
  <si>
    <t>They don't form gas</t>
  </si>
  <si>
    <t>Doesn't involve heavy work of spliting</t>
  </si>
  <si>
    <t>He doesn't quantify</t>
  </si>
  <si>
    <t>Cooks quickly, very convenient</t>
  </si>
  <si>
    <t>It reduces on fuel expenditure and cooks very fast</t>
  </si>
  <si>
    <t>Daughter</t>
  </si>
  <si>
    <t>It saves on fuel and cooks fast</t>
  </si>
  <si>
    <t>The cow dung collected is too much and all cannot be fed in the biodigester</t>
  </si>
  <si>
    <t>It cooks fast and provides manure</t>
  </si>
  <si>
    <t>The cowdung is too much</t>
  </si>
  <si>
    <t>They have never tried it</t>
  </si>
  <si>
    <t>He came and worked on it and later still got spoilt</t>
  </si>
  <si>
    <t>They had no money to work on it and the animals died</t>
  </si>
  <si>
    <t>The Mason said they were not feeding it properly</t>
  </si>
  <si>
    <t>There was a problem of lack of water</t>
  </si>
  <si>
    <t>Mixing the cow dung is equally tiresome</t>
  </si>
  <si>
    <t>Family</t>
  </si>
  <si>
    <t>It cooks quickly, It is safe to use, it doesnt produce smoke</t>
  </si>
  <si>
    <t>More than enough</t>
  </si>
  <si>
    <t>There digester got cracks and gas started leaking which needed repair and he was told to get 800000 shs which became costly</t>
  </si>
  <si>
    <t>Easier to feed the digester because the source of water and cow dung is near</t>
  </si>
  <si>
    <t>It cooks quickly, It is safe to cook, it doesnt produce smoke, its cheaper to mantain</t>
  </si>
  <si>
    <t>Dairy cattle;Other (non-lactating) cattle;Goats</t>
  </si>
  <si>
    <t>They only use manure for non- lactating cows</t>
  </si>
  <si>
    <t>It is more than enough</t>
  </si>
  <si>
    <t>Have enough from cattle</t>
  </si>
  <si>
    <t>They have water in the compound which makes feeding the digester easier</t>
  </si>
  <si>
    <t>It helps in cooking quickly, provides slurry for fertilizer</t>
  </si>
  <si>
    <t>They have enough feed from cattle</t>
  </si>
  <si>
    <t>Collecting fuel takes a lot of time and it's tiresome compared with feeding  digester</t>
  </si>
  <si>
    <t>It's more effective, it provides bioslurry</t>
  </si>
  <si>
    <t>Cowdung is much</t>
  </si>
  <si>
    <t>collecting firewood takes a lot of time</t>
  </si>
  <si>
    <t>It is clean, it saves time, confortability</t>
  </si>
  <si>
    <t>Cowdung is too much to be fed on biodigester</t>
  </si>
  <si>
    <t>Provides bioslurry and cooks faster</t>
  </si>
  <si>
    <t>Cowdug is much and cannot all be fed in biodigester</t>
  </si>
  <si>
    <t>Feeding biodigester doesn't take slot of time</t>
  </si>
  <si>
    <t>Biogas cooks faster and it is clean</t>
  </si>
  <si>
    <t>Cowdung from 30 cows is too much to be fed in biodigester</t>
  </si>
  <si>
    <t>There was no response</t>
  </si>
  <si>
    <t>It takes short time to feed the digester</t>
  </si>
  <si>
    <t>Feeding digester has a limit due to the size so all cowdung cannot fit in the digester</t>
  </si>
  <si>
    <t>He shifted cows to a distant farm so it was hard for them to carry cowdung to feed the digester.  -He also became sick and went to India so workers didn't take care of it well.</t>
  </si>
  <si>
    <t>Easy to get manure than fire wood that's collected from far</t>
  </si>
  <si>
    <t>Because it's clean ,cooks quickly , uses less work and has no smoke</t>
  </si>
  <si>
    <t>The whole day cows got to the farm and their come home to sleep in the evening so the dug of evening is the one that's collected to be feed in the diigester.</t>
  </si>
  <si>
    <t>They never came to help her they would promise to come but never appeared</t>
  </si>
  <si>
    <t>Easy to get cow dug than getting fire wood</t>
  </si>
  <si>
    <t>Because bioslurry is good for agriculture</t>
  </si>
  <si>
    <t>70  is left in farm to dry and she sells it</t>
  </si>
  <si>
    <t>The hens are free range not easy to collect manure</t>
  </si>
  <si>
    <t>It's easy to get cow dug than getting fire since having many cows</t>
  </si>
  <si>
    <t>They stay in adistant place away from home</t>
  </si>
  <si>
    <t>It cooks quickly,very clean ,it doesn't cost much as buying charcoal</t>
  </si>
  <si>
    <t>Dairy cattle;Poultry;Other Animals (specify)</t>
  </si>
  <si>
    <t>She has enough cow dug to feed the digester</t>
  </si>
  <si>
    <t>It's very clean, cooks quickly and it doesn't produce smoke</t>
  </si>
  <si>
    <t>The manure is alot</t>
  </si>
  <si>
    <t>Manure is easy to collect than the fire. Wood</t>
  </si>
  <si>
    <t>It's very clean and the bioslurry is good manure</t>
  </si>
  <si>
    <t>Dairy cattle;Other Animals (specify)</t>
  </si>
  <si>
    <t>Bsul 2017</t>
  </si>
  <si>
    <t>She doesn't have any contact of any one who can offer her help</t>
  </si>
  <si>
    <t>Easy to collect manure than fire wood</t>
  </si>
  <si>
    <t>It cooks quickly and doesn't smoke</t>
  </si>
  <si>
    <t>Easy to feed biodigester because manure is available than collecting firewood that's so scarce</t>
  </si>
  <si>
    <t>It cooks quickly and very clean and safe to use because it doesn't have smoke</t>
  </si>
  <si>
    <t>The manure is too much to be used all at once</t>
  </si>
  <si>
    <t>Cooks quickly, smart cooking, fuel savings</t>
  </si>
  <si>
    <t>Too much dung</t>
  </si>
  <si>
    <t>Cow dung is enough</t>
  </si>
  <si>
    <t>It's my fault.. I was just relactant</t>
  </si>
  <si>
    <t>Worker;No Other Person</t>
  </si>
  <si>
    <t>I nolonger use much fire wood.Biogas is much easier no distance involved</t>
  </si>
  <si>
    <t>1 year</t>
  </si>
  <si>
    <t>Cooks easily, reduced cost</t>
  </si>
  <si>
    <t>Very clean and convenient Produces good manure</t>
  </si>
  <si>
    <t>It saves fuel</t>
  </si>
  <si>
    <t>She wanted to repair it her self</t>
  </si>
  <si>
    <t>Less work load with biogas</t>
  </si>
  <si>
    <t>No smoke</t>
  </si>
  <si>
    <t>Bio gas is near compared to to collect fire wood which needs to go in the bushes to collect</t>
  </si>
  <si>
    <t>Bio gas has a low maintenance and is efficient</t>
  </si>
  <si>
    <t>Cattles produce alot of dung</t>
  </si>
  <si>
    <t>Dung for cattle is enough to feed the Bio digester</t>
  </si>
  <si>
    <t>Only Collect firewood</t>
  </si>
  <si>
    <t>I take less time to feed the digestor</t>
  </si>
  <si>
    <t>average number of swine</t>
  </si>
  <si>
    <t>CPII MPI sms survey</t>
  </si>
  <si>
    <t>SDG 2</t>
  </si>
  <si>
    <t>SDG3</t>
  </si>
  <si>
    <t>SDG impact</t>
  </si>
  <si>
    <t>hec with bio-slurry</t>
  </si>
  <si>
    <t>SDG4</t>
  </si>
  <si>
    <t>SDG5</t>
  </si>
  <si>
    <t>SDG7</t>
  </si>
  <si>
    <t>number of individuals</t>
  </si>
  <si>
    <t>SDG8</t>
  </si>
  <si>
    <t>number of BCE</t>
  </si>
  <si>
    <t>SDG9</t>
  </si>
  <si>
    <t>SDG12</t>
  </si>
  <si>
    <t>ton bioslurry</t>
  </si>
  <si>
    <t>MP #days</t>
  </si>
  <si>
    <t>#SDG</t>
  </si>
  <si>
    <t>SDG13</t>
  </si>
  <si>
    <t>VER</t>
  </si>
  <si>
    <t>SDG 5</t>
  </si>
  <si>
    <t>usage of time</t>
  </si>
  <si>
    <t>education activities</t>
  </si>
  <si>
    <t>Count answers</t>
  </si>
  <si>
    <t>Status old stove</t>
  </si>
  <si>
    <t>Gave it away</t>
  </si>
  <si>
    <t>Space heating</t>
  </si>
  <si>
    <t>Space heating before biogas</t>
  </si>
  <si>
    <t>Total Leakage</t>
  </si>
  <si>
    <t>Total extra fuel because of giving it away</t>
  </si>
  <si>
    <t>Total increase in fuel use</t>
  </si>
  <si>
    <t>Is this is net increase?</t>
  </si>
  <si>
    <t>fuel/year</t>
  </si>
  <si>
    <t>cases</t>
  </si>
  <si>
    <t>zero as nobody gave their stove away</t>
  </si>
  <si>
    <t>linked to sheet VS, calculated using eq 3 of the methodology</t>
  </si>
  <si>
    <t>static population, annual average taken from survey data</t>
  </si>
  <si>
    <t xml:space="preserve">Non-static population, calculated using eq.2 of the methodology </t>
  </si>
  <si>
    <t xml:space="preserve">Calculated with eq7 of the applied methodology </t>
  </si>
  <si>
    <t>Source: Project Database</t>
  </si>
  <si>
    <t xml:space="preserve">fraction used directly </t>
  </si>
  <si>
    <t>fraction stored</t>
  </si>
  <si>
    <t>Dotes to the neibours</t>
  </si>
  <si>
    <t>Total values</t>
  </si>
  <si>
    <t>fraction anaerobic</t>
  </si>
  <si>
    <t>fraction aerobic</t>
  </si>
  <si>
    <t>fraction discarded</t>
  </si>
  <si>
    <t>B1</t>
  </si>
  <si>
    <t>B2</t>
  </si>
  <si>
    <t>BFTwoood result</t>
  </si>
  <si>
    <t>BFTcharcoal result</t>
  </si>
  <si>
    <t>B3</t>
  </si>
  <si>
    <t>B3 LPG used to meet (more than 50%) of my cooking needs</t>
  </si>
  <si>
    <t>No LPG scenario in the baseline</t>
  </si>
  <si>
    <t>na</t>
  </si>
  <si>
    <t>BE, PE, LE and ER by month</t>
  </si>
  <si>
    <t>Units prior to MP</t>
  </si>
  <si>
    <t>total % to fertlizer</t>
  </si>
  <si>
    <t>% bioslurry used as Insecticide/Pesticide2</t>
  </si>
  <si>
    <t>% of Bioslurry used as animal feed3</t>
  </si>
  <si>
    <t>% of Bioslurry sold4</t>
  </si>
  <si>
    <t>% used other way(if used directly)5</t>
  </si>
  <si>
    <t>total % to fertlizer2</t>
  </si>
  <si>
    <t>% bioslurry used as Insecticide/Pesticide23</t>
  </si>
  <si>
    <t>% of Bioslurry used as animal feed34</t>
  </si>
  <si>
    <t>% of Bioslurry sold45</t>
  </si>
  <si>
    <t>% used other way(if used directly)56</t>
  </si>
  <si>
    <t>donate to neighbour and apply to garden</t>
  </si>
  <si>
    <t>Fraction to appropriate systems not leading to emissions</t>
  </si>
  <si>
    <t>Fraction other/unknown</t>
  </si>
  <si>
    <t>Average number of Sheep in this MP(13th June 2022 to 31st March 2023)</t>
  </si>
  <si>
    <t xml:space="preserve"> of which 50%: No2: give it away;No3: I just let it run over my fields, other 50% no manure fed, only latrine waste, small amount</t>
  </si>
  <si>
    <t>Leakage risk fuel switch / giving away stove</t>
  </si>
  <si>
    <t>Bio-slurry use</t>
  </si>
  <si>
    <r>
      <rPr>
        <b/>
        <sz val="10"/>
        <color rgb="FFFF0000"/>
        <rFont val="Calibri"/>
        <family val="2"/>
        <scheme val="minor"/>
      </rPr>
      <t>conclusion</t>
    </r>
    <r>
      <rPr>
        <sz val="10"/>
        <color rgb="FFFF0000"/>
        <rFont val="Calibri"/>
        <family val="2"/>
        <scheme val="minor"/>
      </rPr>
      <t>: most if not all manure is used in appropriate systems not leading to emissions</t>
    </r>
  </si>
  <si>
    <t>Increase in emissions due to handling of bio-slurry</t>
  </si>
  <si>
    <t>as per analysis above</t>
  </si>
  <si>
    <t>Calculation if digester in operation during this MP</t>
  </si>
  <si>
    <t>days working plant out of operation</t>
  </si>
  <si>
    <t>Capacity factor working plants</t>
  </si>
  <si>
    <t>Plant stopped working but partly in operation during this MP</t>
  </si>
  <si>
    <t>functioning plants out of operation in this MP (days)</t>
  </si>
  <si>
    <t>Out of operation plants in operation</t>
  </si>
  <si>
    <t>Adjustment factor</t>
  </si>
  <si>
    <t>Effective usage rate</t>
  </si>
  <si>
    <t>Total increase</t>
  </si>
  <si>
    <t>amount increased (kg/hh reporting decreased</t>
  </si>
  <si>
    <t>kg/day in sample (minus added at there is a decrease)</t>
  </si>
  <si>
    <t>SDG1</t>
  </si>
  <si>
    <t xml:space="preserve">kgCH4 per animal per year for livestock type LT </t>
  </si>
  <si>
    <t>kgCH/animal</t>
  </si>
  <si>
    <t>kg/day/animal</t>
  </si>
  <si>
    <t>ton/year/hh</t>
  </si>
  <si>
    <t>smaller than ex-ante estimate?</t>
  </si>
  <si>
    <t>CPI MPII data used, fixed for this CP, linked to raw data</t>
  </si>
  <si>
    <t>Baseline</t>
  </si>
  <si>
    <t>estimate</t>
  </si>
  <si>
    <t>Project</t>
  </si>
  <si>
    <t>Net</t>
  </si>
  <si>
    <t>benefit</t>
  </si>
  <si>
    <t>Total space</t>
  </si>
  <si>
    <t>methodology default</t>
  </si>
  <si>
    <t>time savings (hours)</t>
  </si>
  <si>
    <t>Cumulative number of masons trained</t>
  </si>
  <si>
    <t>number of farmers</t>
  </si>
  <si>
    <t>Cumulataive number of masons provided biodigester jobs</t>
  </si>
  <si>
    <t>last year:</t>
  </si>
  <si>
    <t>SMS part 1</t>
  </si>
  <si>
    <t>SMS part 2</t>
  </si>
  <si>
    <t>UG-CEN-2112-020151</t>
  </si>
  <si>
    <t>15/11/2021</t>
  </si>
  <si>
    <t>Jean Kamali Bosco</t>
  </si>
  <si>
    <t>0701309602</t>
  </si>
  <si>
    <t>0774210259</t>
  </si>
  <si>
    <t>kasasa</t>
  </si>
  <si>
    <t>Nakatoke A</t>
  </si>
  <si>
    <t>Hs Green Energy Engineering Solutions Ltd</t>
  </si>
  <si>
    <t>Enercom (U) Ltd</t>
  </si>
  <si>
    <t>Modified Camartec Digester</t>
  </si>
  <si>
    <t>UG-CEN-2106-020152</t>
  </si>
  <si>
    <t>10/05/2021</t>
  </si>
  <si>
    <t xml:space="preserve">Twagyirwa Timothy </t>
  </si>
  <si>
    <t>0786850812</t>
  </si>
  <si>
    <t>0753176352</t>
  </si>
  <si>
    <t>UG-CEN-2210-010298</t>
  </si>
  <si>
    <t>12/07/2022</t>
  </si>
  <si>
    <t>Kiragga James Plant D</t>
  </si>
  <si>
    <t>0705172533</t>
  </si>
  <si>
    <t>Jimmy Kiragga</t>
  </si>
  <si>
    <t>UG-CEN-2211-010274</t>
  </si>
  <si>
    <t>01/10/2022</t>
  </si>
  <si>
    <t>Kiragga James Plant C</t>
  </si>
  <si>
    <t>kyandondo</t>
  </si>
  <si>
    <t>Jimmy kirraga</t>
  </si>
  <si>
    <t>UG-CEN-2402-020303</t>
  </si>
  <si>
    <t>20/01/2024</t>
  </si>
  <si>
    <t>Ndere Centre Cultural</t>
  </si>
  <si>
    <t>0772700108</t>
  </si>
  <si>
    <t>Kyandondo</t>
  </si>
  <si>
    <t>Ochen Francis</t>
  </si>
  <si>
    <t>UG-CEN-2401-010582</t>
  </si>
  <si>
    <t>17/12/2023</t>
  </si>
  <si>
    <t>Magumba Moses Doctor</t>
  </si>
  <si>
    <t>0757522887</t>
  </si>
  <si>
    <t>UG-CEN-2310-010289</t>
  </si>
  <si>
    <t>09/09/2023</t>
  </si>
  <si>
    <t xml:space="preserve">Agaba James </t>
  </si>
  <si>
    <t>0751625722</t>
  </si>
  <si>
    <t>0782719495</t>
  </si>
  <si>
    <t>Bukoma</t>
  </si>
  <si>
    <t>Andrew kaweesi</t>
  </si>
  <si>
    <t>UG-CEN-2309-020120</t>
  </si>
  <si>
    <t>21/07/2023</t>
  </si>
  <si>
    <t xml:space="preserve">Church Watoto </t>
  </si>
  <si>
    <t>0707819461</t>
  </si>
  <si>
    <t>Ssumbwe Kazinga</t>
  </si>
  <si>
    <t>UG-CEN-2304-010283</t>
  </si>
  <si>
    <t>10/03/2023</t>
  </si>
  <si>
    <t xml:space="preserve">Friends of Jesus School </t>
  </si>
  <si>
    <t>0759719129</t>
  </si>
  <si>
    <t>Kaganda</t>
  </si>
  <si>
    <t>UG-CEN-2303-010257</t>
  </si>
  <si>
    <t>12/03/2023</t>
  </si>
  <si>
    <t xml:space="preserve">Malinzi Johnbosco </t>
  </si>
  <si>
    <t>0705336478</t>
  </si>
  <si>
    <t>0756653325</t>
  </si>
  <si>
    <t>Ddyangu</t>
  </si>
  <si>
    <t>UG-CEN-2211-010558</t>
  </si>
  <si>
    <t>12/09/2022</t>
  </si>
  <si>
    <t>Nabulya Hadija Hajjat 2</t>
  </si>
  <si>
    <t>0701020068</t>
  </si>
  <si>
    <t>0781562494</t>
  </si>
  <si>
    <t>Kiragga jimmy</t>
  </si>
  <si>
    <t>DEVINE RENEWABLE ENERGY ASSOCIATION (DREA)</t>
  </si>
  <si>
    <t>UG-EAS-2309-010422</t>
  </si>
  <si>
    <t>24/08/2023</t>
  </si>
  <si>
    <t>Joshua Mbidhi Peter</t>
  </si>
  <si>
    <t>0705004109</t>
  </si>
  <si>
    <t>256754797130</t>
  </si>
  <si>
    <t>Bute B</t>
  </si>
  <si>
    <t>Kamuli Sustainable Energy Company</t>
  </si>
  <si>
    <t>Wanume Hakimu</t>
  </si>
  <si>
    <t>Innos Uganda Company Ltd</t>
  </si>
  <si>
    <t>UG-CEN-2401-020350</t>
  </si>
  <si>
    <t>20/12/2023</t>
  </si>
  <si>
    <t>Kumanya Julius Emmy</t>
  </si>
  <si>
    <t>0784470693</t>
  </si>
  <si>
    <t>0786578004</t>
  </si>
  <si>
    <t>Kyagwwe</t>
  </si>
  <si>
    <t>Seeta nazigo</t>
  </si>
  <si>
    <t>Ntulumuko</t>
  </si>
  <si>
    <t>Aine John bosco</t>
  </si>
  <si>
    <t>UG-CEN-2401-020302</t>
  </si>
  <si>
    <t>24/12/2023</t>
  </si>
  <si>
    <t xml:space="preserve">Mugabi James </t>
  </si>
  <si>
    <t>0779918766</t>
  </si>
  <si>
    <t>0700371411</t>
  </si>
  <si>
    <t>Kigweri</t>
  </si>
  <si>
    <t>Nyakabimba</t>
  </si>
  <si>
    <t>UG-CEN-2306-010560</t>
  </si>
  <si>
    <t>08/05/2023</t>
  </si>
  <si>
    <t xml:space="preserve">Kabazzi Joseph </t>
  </si>
  <si>
    <t>0708971661</t>
  </si>
  <si>
    <t>0702091718</t>
  </si>
  <si>
    <t>Kitaita Ivan</t>
  </si>
  <si>
    <t>UG-CEN-2303-010258</t>
  </si>
  <si>
    <t>12/01/2023</t>
  </si>
  <si>
    <t>Sekindi Aisha Hon</t>
  </si>
  <si>
    <t>0751934301</t>
  </si>
  <si>
    <t>0740160089</t>
  </si>
  <si>
    <t>Bugomola</t>
  </si>
  <si>
    <t>UG-CEN-2303-010297</t>
  </si>
  <si>
    <t>16/11/2022</t>
  </si>
  <si>
    <t xml:space="preserve">Green Field Farm </t>
  </si>
  <si>
    <t>0701162844</t>
  </si>
  <si>
    <t>Bongole</t>
  </si>
  <si>
    <t>UG-CEN-2212-011245</t>
  </si>
  <si>
    <t>23/11/2022</t>
  </si>
  <si>
    <t>Kooki Farm Mixed</t>
  </si>
  <si>
    <t>0772484305</t>
  </si>
  <si>
    <t>0758484305</t>
  </si>
  <si>
    <t>Katadde</t>
  </si>
  <si>
    <t>Abbey Kampala</t>
  </si>
  <si>
    <t>UG-CEN-2401-011237</t>
  </si>
  <si>
    <t>Plant 2 James Tushabe</t>
  </si>
  <si>
    <t>0776305230</t>
  </si>
  <si>
    <t>Kawaala</t>
  </si>
  <si>
    <t>Isaac Mangali</t>
  </si>
  <si>
    <t>Q-Energy</t>
  </si>
  <si>
    <t>UG-CEN-2211-011236</t>
  </si>
  <si>
    <t>Plant 1 James Tushabe</t>
  </si>
  <si>
    <t>19/12/2014</t>
  </si>
  <si>
    <t xml:space="preserve"> Social Innovation Academy (SINA) Project </t>
  </si>
  <si>
    <t>701342309</t>
  </si>
  <si>
    <t>UG-CEN-2212-010299</t>
  </si>
  <si>
    <t>18/08/2022</t>
  </si>
  <si>
    <t>Kiragga James Plant A</t>
  </si>
  <si>
    <t>Jimmy kiragga</t>
  </si>
  <si>
    <t>UG-CEN-2212-010273</t>
  </si>
  <si>
    <t>22/09/2022</t>
  </si>
  <si>
    <t>Kiragga James Plant B</t>
  </si>
  <si>
    <t>Kyandodo</t>
  </si>
  <si>
    <t>Jimmy Kirraga</t>
  </si>
  <si>
    <t>UG-CEN-2210-010557</t>
  </si>
  <si>
    <t>06/09/2022</t>
  </si>
  <si>
    <t>Nabulya Hadija Hajjat 1</t>
  </si>
  <si>
    <t>Ouma Kenneth</t>
  </si>
  <si>
    <t>UG-CEN-2302-010053</t>
  </si>
  <si>
    <t>20/01/2023</t>
  </si>
  <si>
    <t xml:space="preserve">Sebyala Hadija 2 </t>
  </si>
  <si>
    <t>Ouma kenneth</t>
  </si>
  <si>
    <t>UG-EAS-2402-010606</t>
  </si>
  <si>
    <t>10/11/2023</t>
  </si>
  <si>
    <t xml:space="preserve">Akello Kevina </t>
  </si>
  <si>
    <t>0784442514</t>
  </si>
  <si>
    <t>0704561071</t>
  </si>
  <si>
    <t>Agora</t>
  </si>
  <si>
    <t>Agora cell-Aguroi</t>
  </si>
  <si>
    <t>UG-WES-2402-010397</t>
  </si>
  <si>
    <t>06/01/2024</t>
  </si>
  <si>
    <t xml:space="preserve">Sam Rwakamasha </t>
  </si>
  <si>
    <t>0774845006</t>
  </si>
  <si>
    <t>Rwentamu</t>
  </si>
  <si>
    <t>Karambi village</t>
  </si>
  <si>
    <t>Ssebaganda</t>
  </si>
  <si>
    <t>UG-CEN-2401-020136</t>
  </si>
  <si>
    <t xml:space="preserve">Bakandonda Wycliffe </t>
  </si>
  <si>
    <t>0702756555</t>
  </si>
  <si>
    <t>0777372111</t>
  </si>
  <si>
    <t>Kyandondo East</t>
  </si>
  <si>
    <t>UG-EAS-2312-O10667</t>
  </si>
  <si>
    <t>05/07/2023</t>
  </si>
  <si>
    <t xml:space="preserve">Dr.Egwau Godfrey </t>
  </si>
  <si>
    <t>0772520077</t>
  </si>
  <si>
    <t>0788190962</t>
  </si>
  <si>
    <t>Soroti City west</t>
  </si>
  <si>
    <t>Obutei</t>
  </si>
  <si>
    <t>Okoik David</t>
  </si>
  <si>
    <t>UG-WES-2312-020310</t>
  </si>
  <si>
    <t>20/11/2023</t>
  </si>
  <si>
    <t xml:space="preserve">Kaggwa Matia </t>
  </si>
  <si>
    <t>0786152267</t>
  </si>
  <si>
    <t>Denis kyolimpa</t>
  </si>
  <si>
    <t>UG-EAS-2311-011160</t>
  </si>
  <si>
    <t>10/09/2023</t>
  </si>
  <si>
    <t>Madera School Blind</t>
  </si>
  <si>
    <t>0783305082</t>
  </si>
  <si>
    <t>0392000589</t>
  </si>
  <si>
    <t>Soroti east</t>
  </si>
  <si>
    <t>Soroti East</t>
  </si>
  <si>
    <t>Madera blind</t>
  </si>
  <si>
    <t>Olwa mark</t>
  </si>
  <si>
    <t>UG-EAS-2311-010447</t>
  </si>
  <si>
    <t>26/10/2023</t>
  </si>
  <si>
    <t xml:space="preserve">Dawn Primer  academy </t>
  </si>
  <si>
    <t>0753266905</t>
  </si>
  <si>
    <t>0706646516</t>
  </si>
  <si>
    <t>Mukwalu Andrew</t>
  </si>
  <si>
    <t>UG-CEN-2310-010571</t>
  </si>
  <si>
    <t>10/10/2023</t>
  </si>
  <si>
    <t xml:space="preserve">Lusiba James </t>
  </si>
  <si>
    <t>0754184777</t>
  </si>
  <si>
    <t>Salaama</t>
  </si>
  <si>
    <t>UG-CEN-2310-011239</t>
  </si>
  <si>
    <t>07/07/2023</t>
  </si>
  <si>
    <t xml:space="preserve">Reuben Mugerwa </t>
  </si>
  <si>
    <t>0775891460</t>
  </si>
  <si>
    <t>Kabagoza Simon</t>
  </si>
  <si>
    <t>UG-WES-2310-010580</t>
  </si>
  <si>
    <t>12/09/2023</t>
  </si>
  <si>
    <t>Kalanzi Agatha Plant 2</t>
  </si>
  <si>
    <t>0751147975</t>
  </si>
  <si>
    <t>0752506486</t>
  </si>
  <si>
    <t>Bukwiiri</t>
  </si>
  <si>
    <t>UG-CEN-2309-010573</t>
  </si>
  <si>
    <t>27/08/2023</t>
  </si>
  <si>
    <t xml:space="preserve">Kamugisha Ephraim </t>
  </si>
  <si>
    <t>0755915892</t>
  </si>
  <si>
    <t>0788480157</t>
  </si>
  <si>
    <t>UG-WES-2309-010296</t>
  </si>
  <si>
    <t>10/08/2022</t>
  </si>
  <si>
    <t xml:space="preserve">Tayebwa Doreen </t>
  </si>
  <si>
    <t>0772329305</t>
  </si>
  <si>
    <t>72329305</t>
  </si>
  <si>
    <t>UG-CEN-2309-011226</t>
  </si>
  <si>
    <t>08/08/2023</t>
  </si>
  <si>
    <t>Sirus Nyonyi Ntono</t>
  </si>
  <si>
    <t>0772624208</t>
  </si>
  <si>
    <t>Luwano</t>
  </si>
  <si>
    <t>UG-WES-2309-010399</t>
  </si>
  <si>
    <t>29/08/2023</t>
  </si>
  <si>
    <t xml:space="preserve">Emmanuel Mutuza </t>
  </si>
  <si>
    <t>0773515601</t>
  </si>
  <si>
    <t>Nyabusozi</t>
  </si>
  <si>
    <t>UG-CEN-2309-010051</t>
  </si>
  <si>
    <t>15/05/2023</t>
  </si>
  <si>
    <t xml:space="preserve">Waswa Godfrey </t>
  </si>
  <si>
    <t>0750443499</t>
  </si>
  <si>
    <t>0778326554</t>
  </si>
  <si>
    <t>Kijjabijjo .A</t>
  </si>
  <si>
    <t>UG-CEN-2308-010414</t>
  </si>
  <si>
    <t>24/04/2023</t>
  </si>
  <si>
    <t>Namusoke Kizza Eumeri</t>
  </si>
  <si>
    <t>0774604317</t>
  </si>
  <si>
    <t>UG-CEN-2308-010567</t>
  </si>
  <si>
    <t>12/07/2023</t>
  </si>
  <si>
    <t xml:space="preserve">Serwanyiri Henry </t>
  </si>
  <si>
    <t>0706936679</t>
  </si>
  <si>
    <t>0702047744</t>
  </si>
  <si>
    <t>masaka</t>
  </si>
  <si>
    <t>UG-CEN-2307-010568</t>
  </si>
  <si>
    <t>04/07/2023</t>
  </si>
  <si>
    <t xml:space="preserve">Bugembe Adam </t>
  </si>
  <si>
    <t>0752989622</t>
  </si>
  <si>
    <t>0787405519</t>
  </si>
  <si>
    <t>UG-CEN-2307-020112</t>
  </si>
  <si>
    <t>05/05/2023</t>
  </si>
  <si>
    <t xml:space="preserve">Nsheka Jairus </t>
  </si>
  <si>
    <t>0772641426</t>
  </si>
  <si>
    <t>0701002066</t>
  </si>
  <si>
    <t>UG-CEN-2307-010579</t>
  </si>
  <si>
    <t>11/06/2023</t>
  </si>
  <si>
    <t xml:space="preserve">Assiimwe Agness </t>
  </si>
  <si>
    <t>0757711973</t>
  </si>
  <si>
    <t>+2560785705272</t>
  </si>
  <si>
    <t>Ssempebwa Geofrey</t>
  </si>
  <si>
    <t>UG-EAS-2306-010419</t>
  </si>
  <si>
    <t>28/05/2023</t>
  </si>
  <si>
    <t xml:space="preserve">Mbabazi Patrick </t>
  </si>
  <si>
    <t>0752726376</t>
  </si>
  <si>
    <t>0772359051</t>
  </si>
  <si>
    <t>Jinja Tc</t>
  </si>
  <si>
    <t>Bugembe t c</t>
  </si>
  <si>
    <t>Wanyange Lake</t>
  </si>
  <si>
    <t>UG-CEN-2306-010551</t>
  </si>
  <si>
    <t>16/05/2023</t>
  </si>
  <si>
    <t xml:space="preserve">Lwanga Duncan </t>
  </si>
  <si>
    <t>0705485806</t>
  </si>
  <si>
    <t>0751547494</t>
  </si>
  <si>
    <t>Buzungu</t>
  </si>
  <si>
    <t>Bukwenda</t>
  </si>
  <si>
    <t>Denis Kyolimpa</t>
  </si>
  <si>
    <t>UG-CEN-2305-011225</t>
  </si>
  <si>
    <t>06/04/2023</t>
  </si>
  <si>
    <t>John Male Bosco</t>
  </si>
  <si>
    <t>0752503694</t>
  </si>
  <si>
    <t>0786840840</t>
  </si>
  <si>
    <t>Kyambazzi</t>
  </si>
  <si>
    <t>UG-CEN-2305-010287</t>
  </si>
  <si>
    <t>12/04/2023</t>
  </si>
  <si>
    <t xml:space="preserve">Oyesije Ean </t>
  </si>
  <si>
    <t>0701025870</t>
  </si>
  <si>
    <t>701025870</t>
  </si>
  <si>
    <t>UG-CEN-2305-011227</t>
  </si>
  <si>
    <t>04/05/2023</t>
  </si>
  <si>
    <t xml:space="preserve">Walakira Hassan </t>
  </si>
  <si>
    <t>0703255190</t>
  </si>
  <si>
    <t>0774640624</t>
  </si>
  <si>
    <t>Kyengera Town Council</t>
  </si>
  <si>
    <t>UG-CEN-2305-010285</t>
  </si>
  <si>
    <t xml:space="preserve">Kalyango Frederick </t>
  </si>
  <si>
    <t>0702206641</t>
  </si>
  <si>
    <t>0772142018</t>
  </si>
  <si>
    <t>kyagwe</t>
  </si>
  <si>
    <t>UG-CEN-2304-010281</t>
  </si>
  <si>
    <t>19/03/2023</t>
  </si>
  <si>
    <t xml:space="preserve">Tumwesigye Godfrey </t>
  </si>
  <si>
    <t>0779907510</t>
  </si>
  <si>
    <t>0702419414</t>
  </si>
  <si>
    <t>UG-EAS-2303-011233</t>
  </si>
  <si>
    <t>10/02/2023</t>
  </si>
  <si>
    <t>Noah  ark Home Orphanage</t>
  </si>
  <si>
    <t>0787171554</t>
  </si>
  <si>
    <t>0779054573</t>
  </si>
  <si>
    <t>south west ward</t>
  </si>
  <si>
    <t>Busia Municipality</t>
  </si>
  <si>
    <t>Madibira A</t>
  </si>
  <si>
    <t>Owere simon ilado</t>
  </si>
  <si>
    <t>UG-CEN-2302-011247</t>
  </si>
  <si>
    <t>16/01/2023</t>
  </si>
  <si>
    <t>Muwonge Paul Musawo</t>
  </si>
  <si>
    <t>0704158126</t>
  </si>
  <si>
    <t>UG-CEN-2212-010277</t>
  </si>
  <si>
    <t>12/11/2022</t>
  </si>
  <si>
    <t xml:space="preserve">Walusimbi James </t>
  </si>
  <si>
    <t>0701203757</t>
  </si>
  <si>
    <t>0786339038</t>
  </si>
  <si>
    <t>UG-WES-2212-010295</t>
  </si>
  <si>
    <t>11/11/2022</t>
  </si>
  <si>
    <t xml:space="preserve">Muhairwe Esther </t>
  </si>
  <si>
    <t>0705542568</t>
  </si>
  <si>
    <t>UG-CEN-2212-010276</t>
  </si>
  <si>
    <t>09/11/2022</t>
  </si>
  <si>
    <t xml:space="preserve">Nambalirwa Rosemary </t>
  </si>
  <si>
    <t>0701272094</t>
  </si>
  <si>
    <t>0784174998</t>
  </si>
  <si>
    <t>Bulugube</t>
  </si>
  <si>
    <t>Lukwaago Richard</t>
  </si>
  <si>
    <t>UG-WES-2212-010115</t>
  </si>
  <si>
    <t>20/11/2022</t>
  </si>
  <si>
    <t xml:space="preserve">Kiiza Nshimana </t>
  </si>
  <si>
    <t>0777158876</t>
  </si>
  <si>
    <t>Kasonga</t>
  </si>
  <si>
    <t>Gumoshabe Gerivas</t>
  </si>
  <si>
    <t>UG-CEN-2211-010561</t>
  </si>
  <si>
    <t>10/10/2022</t>
  </si>
  <si>
    <t xml:space="preserve">Ddamba Dan </t>
  </si>
  <si>
    <t>0754400402</t>
  </si>
  <si>
    <t>0754870362</t>
  </si>
  <si>
    <t>Namyeeso</t>
  </si>
  <si>
    <t>UG-CEN-2211-011244</t>
  </si>
  <si>
    <t>28/10/2022</t>
  </si>
  <si>
    <t xml:space="preserve">Kawuki Tonny </t>
  </si>
  <si>
    <t>0759695267</t>
  </si>
  <si>
    <t>Kayaga</t>
  </si>
  <si>
    <t>UG-CEN-2210-010555</t>
  </si>
  <si>
    <t>08/08/2022</t>
  </si>
  <si>
    <t xml:space="preserve">Male Alysoious </t>
  </si>
  <si>
    <t>0751627759</t>
  </si>
  <si>
    <t>0779316633</t>
  </si>
  <si>
    <t>Kiweebwa</t>
  </si>
  <si>
    <t>Wapa bosco</t>
  </si>
  <si>
    <t>UG-CEN-2210-010559</t>
  </si>
  <si>
    <t>Mulindi William George</t>
  </si>
  <si>
    <t>0759268629</t>
  </si>
  <si>
    <t>UG-WES-2210-010292</t>
  </si>
  <si>
    <t>16/09/2022</t>
  </si>
  <si>
    <t>Steven Rubongoya Ayesiga</t>
  </si>
  <si>
    <t>0772415425</t>
  </si>
  <si>
    <t>Fortpotal</t>
  </si>
  <si>
    <t>Kitumba b</t>
  </si>
  <si>
    <t>Ochen francis</t>
  </si>
  <si>
    <t>UG-CEN-2209-010556</t>
  </si>
  <si>
    <t>09/09/2022</t>
  </si>
  <si>
    <t>Niyonsaba Allan Janet</t>
  </si>
  <si>
    <t>0755068661</t>
  </si>
  <si>
    <t>0760907194</t>
  </si>
  <si>
    <t>Serinya B</t>
  </si>
  <si>
    <t>Client is no longer interested</t>
  </si>
  <si>
    <t>Client is still emptying</t>
  </si>
  <si>
    <t>No animals</t>
  </si>
  <si>
    <t>Repaired, mobilizing waste for initial feeding.</t>
  </si>
  <si>
    <t>QSP visited, advised client to resume feeding then repipping can be done.</t>
  </si>
  <si>
    <t>Repaired, the plant worked for a while but now has a leakage</t>
  </si>
  <si>
    <t>The plant is not working,they have taken long without feeding it..it needs to be emptied</t>
  </si>
  <si>
    <t>Bunya Bunya Kalanzi</t>
  </si>
  <si>
    <t>Not being fed at the moment. Client wasnts to construct a kitchen first</t>
  </si>
  <si>
    <t>QSP visited, client needs a stove replacement</t>
  </si>
  <si>
    <t>QSP visited and advised them to empty the digester for inspection….He just concluded emptying.</t>
  </si>
  <si>
    <t>UG-CEN-1604-1091</t>
  </si>
  <si>
    <t xml:space="preserve">QSP visited, client has never fed the digester after repairs. </t>
  </si>
  <si>
    <t>The client is nolonger interested</t>
  </si>
  <si>
    <t>SEA/TAALI</t>
  </si>
  <si>
    <t>QSP visited and advised the client to empty for low category repairs….Not yet emptied</t>
  </si>
  <si>
    <t>UDBP</t>
  </si>
  <si>
    <t>QSP visited and advised client to empty...The client has not yet emptied.</t>
  </si>
  <si>
    <t>UG-WES-1206-5801</t>
  </si>
  <si>
    <t>QSP visited, plant needs reconstruction since it was poorly constructed. Client has little feed stock might fail to feed the plant after repairs.</t>
  </si>
  <si>
    <t>QSP visited, advised client to empty for inspection,the farmer emptied waiting for repairs</t>
  </si>
  <si>
    <t>HPI/PSEM</t>
  </si>
  <si>
    <t>QSP visited, client advised to empty the digester for inspection…..not yet emptied.</t>
  </si>
  <si>
    <t>QSP advised the client to empty the digester for further inspection ..not emptied the plant yet because he has no money</t>
  </si>
  <si>
    <t>HPI/UDBP</t>
  </si>
  <si>
    <t>UG-EAS-2401-010424</t>
  </si>
  <si>
    <t>05/12/2023</t>
  </si>
  <si>
    <t xml:space="preserve">Ssentongo Charles </t>
  </si>
  <si>
    <t>0751647910</t>
  </si>
  <si>
    <t>0789372793</t>
  </si>
  <si>
    <t>Kyamatende</t>
  </si>
  <si>
    <t>Wanume hakim</t>
  </si>
  <si>
    <t>UG-WES-2401-010163</t>
  </si>
  <si>
    <t>19/12/2023</t>
  </si>
  <si>
    <t xml:space="preserve">Ankunda Caroline </t>
  </si>
  <si>
    <t>0782583209</t>
  </si>
  <si>
    <t>0777251569</t>
  </si>
  <si>
    <t>Rugarama north</t>
  </si>
  <si>
    <t>Kyafora</t>
  </si>
  <si>
    <t>Nkurunungi judio</t>
  </si>
  <si>
    <t>UG-WES-2401-020258</t>
  </si>
  <si>
    <t>16/12/2023</t>
  </si>
  <si>
    <t>Baanabe James Isingoma</t>
  </si>
  <si>
    <t>0778059150</t>
  </si>
  <si>
    <t>0772629446</t>
  </si>
  <si>
    <t>Kyabigambi</t>
  </si>
  <si>
    <t>Kisuuma</t>
  </si>
  <si>
    <t>UG-CEN-2401-020251</t>
  </si>
  <si>
    <t>22/12/2023</t>
  </si>
  <si>
    <t>Kabisye Janat Hajjat</t>
  </si>
  <si>
    <t>0702099244</t>
  </si>
  <si>
    <t>Sempebwa Geofrey</t>
  </si>
  <si>
    <t>UG-EAS-2401-010429</t>
  </si>
  <si>
    <t>07/12/2023</t>
  </si>
  <si>
    <t xml:space="preserve">Baguma Wilberforce </t>
  </si>
  <si>
    <t>0743751927</t>
  </si>
  <si>
    <t>0787689883</t>
  </si>
  <si>
    <t>Kikubi -bugulu</t>
  </si>
  <si>
    <t>Mpasa joel</t>
  </si>
  <si>
    <t>UG-EAS-2401-010439</t>
  </si>
  <si>
    <t>18/12/2023</t>
  </si>
  <si>
    <t xml:space="preserve">Tukei James </t>
  </si>
  <si>
    <t>0701651140</t>
  </si>
  <si>
    <t>0743269048</t>
  </si>
  <si>
    <t>Bunimpi</t>
  </si>
  <si>
    <t>UG-EAS-2401-010431</t>
  </si>
  <si>
    <t>12/12/2023</t>
  </si>
  <si>
    <t xml:space="preserve">Kaiku Joseph </t>
  </si>
  <si>
    <t>0706151099</t>
  </si>
  <si>
    <t>0787964289</t>
  </si>
  <si>
    <t>UG-EAS-2401-010425</t>
  </si>
  <si>
    <t>03/12/2023</t>
  </si>
  <si>
    <t xml:space="preserve">Kamezere Sosi </t>
  </si>
  <si>
    <t>0785700707</t>
  </si>
  <si>
    <t>0770523138</t>
  </si>
  <si>
    <t>Buduuma</t>
  </si>
  <si>
    <t>Nsereko Denis</t>
  </si>
  <si>
    <t>UG-EAS-2312-010427</t>
  </si>
  <si>
    <t>08/12/2023</t>
  </si>
  <si>
    <t xml:space="preserve">Balyejusa Alifunsi </t>
  </si>
  <si>
    <t>0750593016</t>
  </si>
  <si>
    <t>0776193216</t>
  </si>
  <si>
    <t>Bwase</t>
  </si>
  <si>
    <t>UG-CEN-2312-011243</t>
  </si>
  <si>
    <t>30/11/2023</t>
  </si>
  <si>
    <t xml:space="preserve">Dr. Ampaire Immaculate </t>
  </si>
  <si>
    <t>0754223211</t>
  </si>
  <si>
    <t>0788725259</t>
  </si>
  <si>
    <t>Kiwazzi</t>
  </si>
  <si>
    <t>UG-CEN-2312-011246</t>
  </si>
  <si>
    <t>07/09/2023</t>
  </si>
  <si>
    <t>Ssewanywa Ziwa Master</t>
  </si>
  <si>
    <t>0703060590</t>
  </si>
  <si>
    <t>0778985319</t>
  </si>
  <si>
    <t>UG-CEN-2312-020135</t>
  </si>
  <si>
    <t>20/10/2023</t>
  </si>
  <si>
    <t>Najja Brenda Luzinda</t>
  </si>
  <si>
    <t>0774121113</t>
  </si>
  <si>
    <t>UG-EAS-2311-011159</t>
  </si>
  <si>
    <t>29/10/2023</t>
  </si>
  <si>
    <t>Okwii Dalton Opolot</t>
  </si>
  <si>
    <t>0779272402</t>
  </si>
  <si>
    <t>0782245163</t>
  </si>
  <si>
    <t>Otimong</t>
  </si>
  <si>
    <t>Etemu kosea</t>
  </si>
  <si>
    <t>UG-CEN-2310-010110</t>
  </si>
  <si>
    <t>20/09/2023</t>
  </si>
  <si>
    <t xml:space="preserve">Miria Chuti </t>
  </si>
  <si>
    <t>0777912442</t>
  </si>
  <si>
    <t>Musinguzi Kenneth</t>
  </si>
  <si>
    <t>UG-WES-2309-010111</t>
  </si>
  <si>
    <t xml:space="preserve">Byabashija Agry </t>
  </si>
  <si>
    <t>0772876861</t>
  </si>
  <si>
    <t>0782639743</t>
  </si>
  <si>
    <t>Madudi</t>
  </si>
  <si>
    <t>Kansambya</t>
  </si>
  <si>
    <t>Kabweyakiza</t>
  </si>
  <si>
    <t>UG-WES-2310-010108</t>
  </si>
  <si>
    <t>15/10/2022</t>
  </si>
  <si>
    <t xml:space="preserve">Victor Kiiza </t>
  </si>
  <si>
    <t>0781488646</t>
  </si>
  <si>
    <t>0751662689</t>
  </si>
  <si>
    <t>UG-EAS-2309-010423</t>
  </si>
  <si>
    <t>15/09/2023</t>
  </si>
  <si>
    <t xml:space="preserve">Kiiko Betty </t>
  </si>
  <si>
    <t>0743788709</t>
  </si>
  <si>
    <t>0761912008</t>
  </si>
  <si>
    <t>Jinja North</t>
  </si>
  <si>
    <t>UG-WES-2309-010400</t>
  </si>
  <si>
    <t>10/08/2023</t>
  </si>
  <si>
    <t xml:space="preserve">Stellah Tukahirwa </t>
  </si>
  <si>
    <t>0760773819</t>
  </si>
  <si>
    <t>Ruyoza</t>
  </si>
  <si>
    <t>UG-CEN-2308-010565</t>
  </si>
  <si>
    <t>Mayanja Richard Yusuf</t>
  </si>
  <si>
    <t>0751848129</t>
  </si>
  <si>
    <t>0777848129</t>
  </si>
  <si>
    <t>Muduuma North</t>
  </si>
  <si>
    <t>Mudumma</t>
  </si>
  <si>
    <t>Busaali</t>
  </si>
  <si>
    <t>UG-WES-2308-020054</t>
  </si>
  <si>
    <t>Kakongoro Elisa Alali</t>
  </si>
  <si>
    <t>0786611453</t>
  </si>
  <si>
    <t>0705735978</t>
  </si>
  <si>
    <t>Burunda</t>
  </si>
  <si>
    <t>Basaija saimon</t>
  </si>
  <si>
    <t>UG-EAS-2308-010418</t>
  </si>
  <si>
    <t>13/07/2023</t>
  </si>
  <si>
    <t>Mrs Bamutaze Mary Rose</t>
  </si>
  <si>
    <t>0781355516</t>
  </si>
  <si>
    <t>0756109088</t>
  </si>
  <si>
    <t>UG-EAS-2307-010415</t>
  </si>
  <si>
    <t>10/06/2023</t>
  </si>
  <si>
    <t>Baala Mulavu Jesse</t>
  </si>
  <si>
    <t>0752570118</t>
  </si>
  <si>
    <t>0774712950</t>
  </si>
  <si>
    <t>Kidaago</t>
  </si>
  <si>
    <t>Kazingo</t>
  </si>
  <si>
    <t>Kazingo B</t>
  </si>
  <si>
    <t>UG-WES-2307-010393</t>
  </si>
  <si>
    <t>20/07/2023</t>
  </si>
  <si>
    <t>Right Rev.Bishop Namanya Namanya steven</t>
  </si>
  <si>
    <t>0772822116</t>
  </si>
  <si>
    <t>Kyampangara</t>
  </si>
  <si>
    <t>Akegyeya</t>
  </si>
  <si>
    <t>Bihedwa</t>
  </si>
  <si>
    <t>UG-CEN-2307-010562</t>
  </si>
  <si>
    <t>06/06/2023</t>
  </si>
  <si>
    <t xml:space="preserve">Sserwadda Joseph </t>
  </si>
  <si>
    <t>0702243258</t>
  </si>
  <si>
    <t>0756141022</t>
  </si>
  <si>
    <t>UG-WES-2307-010391</t>
  </si>
  <si>
    <t>23/06/2023</t>
  </si>
  <si>
    <t>Magume Sente Mpeka</t>
  </si>
  <si>
    <t>0776467539</t>
  </si>
  <si>
    <t>Rwamuyeye</t>
  </si>
  <si>
    <t>Ssebanganda</t>
  </si>
  <si>
    <t>UG-WES-2305-010394</t>
  </si>
  <si>
    <t>23/05/2023</t>
  </si>
  <si>
    <t xml:space="preserve">Benon Barekye </t>
  </si>
  <si>
    <t>0789233866</t>
  </si>
  <si>
    <t>Mutoroo</t>
  </si>
  <si>
    <t>UG-WES-2305-010392</t>
  </si>
  <si>
    <t xml:space="preserve">Doctor Mugisha </t>
  </si>
  <si>
    <t>0772723651</t>
  </si>
  <si>
    <t>Rwempiri</t>
  </si>
  <si>
    <t>UG-WES-2305-010151</t>
  </si>
  <si>
    <t>25/11/2022</t>
  </si>
  <si>
    <t xml:space="preserve">Byaruhanga Godfrey </t>
  </si>
  <si>
    <t>0782406112</t>
  </si>
  <si>
    <t>0774304525</t>
  </si>
  <si>
    <t>Kikoni ward</t>
  </si>
  <si>
    <t>Orubale cell</t>
  </si>
  <si>
    <t>Nkurunugi Judio</t>
  </si>
  <si>
    <t>UG-CEN-2305-06881</t>
  </si>
  <si>
    <t>07/04/2023</t>
  </si>
  <si>
    <t>Wagaba Charles Manager</t>
  </si>
  <si>
    <t>0758755671</t>
  </si>
  <si>
    <t>Kayiza Dan</t>
  </si>
  <si>
    <t>UG-EAS-2305-011232</t>
  </si>
  <si>
    <t>17/07/2022</t>
  </si>
  <si>
    <t>Wesly School Primary</t>
  </si>
  <si>
    <t>0773116775</t>
  </si>
  <si>
    <t>0785356885</t>
  </si>
  <si>
    <t>Busia municipality</t>
  </si>
  <si>
    <t>Madigira A</t>
  </si>
  <si>
    <t>Ilado simon</t>
  </si>
  <si>
    <t>UG-CEN-2305-020134</t>
  </si>
  <si>
    <t>20/02/2023</t>
  </si>
  <si>
    <t xml:space="preserve">Mulima Paul </t>
  </si>
  <si>
    <t>0772417126</t>
  </si>
  <si>
    <t>Kyengera T.C</t>
  </si>
  <si>
    <t>UG-CEN-2303-010262</t>
  </si>
  <si>
    <t>18/02/2023</t>
  </si>
  <si>
    <t xml:space="preserve">Glowish Agro solutions </t>
  </si>
  <si>
    <t>0754807708</t>
  </si>
  <si>
    <t>0776245977</t>
  </si>
  <si>
    <t>HomeBiogas</t>
  </si>
  <si>
    <t>UG-CEN-2302-010280</t>
  </si>
  <si>
    <t>Kiwumulo Gladys Nalumansi</t>
  </si>
  <si>
    <t>0759846640</t>
  </si>
  <si>
    <t>0701927919</t>
  </si>
  <si>
    <t>UG-CEN-2301-010052</t>
  </si>
  <si>
    <t>28/12/2022</t>
  </si>
  <si>
    <t xml:space="preserve">Sebyala Hadija </t>
  </si>
  <si>
    <t>UG-EAS-2301-010433</t>
  </si>
  <si>
    <t>20/12/2022</t>
  </si>
  <si>
    <t xml:space="preserve">St.mugaga boys' home St.mugaga boys'  home </t>
  </si>
  <si>
    <t>0772395864</t>
  </si>
  <si>
    <t>0706219395</t>
  </si>
  <si>
    <t>Jinja West</t>
  </si>
  <si>
    <t>Mpumude kimaka division</t>
  </si>
  <si>
    <t>Lubaga Hill</t>
  </si>
  <si>
    <t>UG-CEN-2211-010270</t>
  </si>
  <si>
    <t>16/10/2022</t>
  </si>
  <si>
    <t xml:space="preserve">Namuddu Grace </t>
  </si>
  <si>
    <t>0777665479</t>
  </si>
  <si>
    <t>0753011325</t>
  </si>
  <si>
    <t>Rashid kiryoowa</t>
  </si>
  <si>
    <t>UG-CEN-2211-010278</t>
  </si>
  <si>
    <t xml:space="preserve">Kakooza Mohammed </t>
  </si>
  <si>
    <t>0752943929</t>
  </si>
  <si>
    <t>0702943929</t>
  </si>
  <si>
    <t>UG-CEN-2211-010553</t>
  </si>
  <si>
    <t xml:space="preserve">Chunguro Patrick </t>
  </si>
  <si>
    <t>0752408884</t>
  </si>
  <si>
    <t>0782408884</t>
  </si>
  <si>
    <t>UG-CEN-2211-010260</t>
  </si>
  <si>
    <t xml:space="preserve">Mujaasi Sarah </t>
  </si>
  <si>
    <t>0773903774</t>
  </si>
  <si>
    <t>Lugali</t>
  </si>
  <si>
    <t>Kisenyu kenneth</t>
  </si>
  <si>
    <t>UG-CEN-2210-010552</t>
  </si>
  <si>
    <t xml:space="preserve">Balije Frank </t>
  </si>
  <si>
    <t>0702943713</t>
  </si>
  <si>
    <t>0788017433</t>
  </si>
  <si>
    <t>Ojambo Henry</t>
  </si>
  <si>
    <t>UG-WES-2210-010396</t>
  </si>
  <si>
    <t>11/10/2022</t>
  </si>
  <si>
    <t xml:space="preserve">Boaz Asiimwe </t>
  </si>
  <si>
    <t>0782387418</t>
  </si>
  <si>
    <t>Nyamyiruma</t>
  </si>
  <si>
    <t>UG-CEN-2210-010269</t>
  </si>
  <si>
    <t>28/09/2022</t>
  </si>
  <si>
    <t xml:space="preserve">Katongole Jesca </t>
  </si>
  <si>
    <t>0756428083</t>
  </si>
  <si>
    <t>0700855125</t>
  </si>
  <si>
    <t>Nakabugo</t>
  </si>
  <si>
    <t>Rashid Kiryoowa</t>
  </si>
  <si>
    <t>UG-WES-2210-010290</t>
  </si>
  <si>
    <t>24/08/2022</t>
  </si>
  <si>
    <t xml:space="preserve">Beatrace Akiiki </t>
  </si>
  <si>
    <t>0772498951</t>
  </si>
  <si>
    <t>Saaka</t>
  </si>
  <si>
    <t>Daniel Muhumuza</t>
  </si>
  <si>
    <t>UG-WES-2209-010294</t>
  </si>
  <si>
    <t xml:space="preserve">Esther Mihairwe </t>
  </si>
  <si>
    <t>Otojo</t>
  </si>
  <si>
    <t>UG-EAS-2209-011230</t>
  </si>
  <si>
    <t xml:space="preserve">Oketcho Solomon </t>
  </si>
  <si>
    <t>0760996227</t>
  </si>
  <si>
    <t>0752506954</t>
  </si>
  <si>
    <t>Amagorom</t>
  </si>
  <si>
    <t>Angoron</t>
  </si>
  <si>
    <t>Flexi</t>
  </si>
  <si>
    <t xml:space="preserve">Repaired, Client is still doing the initial feeding </t>
  </si>
  <si>
    <t>Digester has never been fed</t>
  </si>
  <si>
    <t>Lack of manpower to feed digester</t>
  </si>
  <si>
    <t>QSP visited, Advised the client to empty</t>
  </si>
  <si>
    <t>UG-WES-1811-12407</t>
  </si>
  <si>
    <t>Repaired, still under feeding, has limited waste for initial feeding</t>
  </si>
  <si>
    <t>QSP visited, the plant was found with major cracks</t>
  </si>
  <si>
    <t>repaired, feeding</t>
  </si>
  <si>
    <t>QSP visited, client advised to empty digester for inspection... not yet emptied.</t>
  </si>
  <si>
    <t>QSP visited and found the digester had cracks inside</t>
  </si>
  <si>
    <t>QSP Visited, the dome pipe got broken and the plant needs emptying..still emptying.</t>
  </si>
  <si>
    <t>UG-WES-1712-06594</t>
  </si>
  <si>
    <t>Client was advised to empty for inspection</t>
  </si>
  <si>
    <t xml:space="preserve"> client even has no animals at all</t>
  </si>
  <si>
    <t>QSP visited, The client is advised to empty the digester… not emptied, client has no funds for emptying</t>
  </si>
  <si>
    <t>client has never filled the plant due to no source of animal waste</t>
  </si>
  <si>
    <t>Repaired, client stopped feeding</t>
  </si>
  <si>
    <t>Client has no water for mixing</t>
  </si>
  <si>
    <t>Repaired, still accumulating cow dung for initial feeding</t>
  </si>
  <si>
    <t>QSP Visited, client has no animals for feeding</t>
  </si>
  <si>
    <t>Plant was repaired but client failed to feed it</t>
  </si>
  <si>
    <t>12/05/2013</t>
  </si>
  <si>
    <t xml:space="preserve">Nabatanzi Zainah </t>
  </si>
  <si>
    <t>Training plant</t>
  </si>
  <si>
    <t>Repaired, failed to mobilise waste for initial feeding.</t>
  </si>
  <si>
    <t>PSEM/UDBP</t>
  </si>
  <si>
    <t>HEIFER/TRAINING PLANT</t>
  </si>
  <si>
    <t>QSP visited and advised them to empty for further inspection…..client has not emptied</t>
  </si>
  <si>
    <t>UG-CEN-2210-010275</t>
  </si>
  <si>
    <t>02/10/2022</t>
  </si>
  <si>
    <t>Nkima Lodge Forest</t>
  </si>
  <si>
    <t>0753347727</t>
  </si>
  <si>
    <t>0753501489</t>
  </si>
  <si>
    <t>Zziba</t>
  </si>
  <si>
    <t>UG-CEN-2402-011238</t>
  </si>
  <si>
    <t xml:space="preserve">Kalogoyi Joash </t>
  </si>
  <si>
    <t>0756817860</t>
  </si>
  <si>
    <t>0777108290</t>
  </si>
  <si>
    <t>UG-EAS-2401-010692</t>
  </si>
  <si>
    <t>Akiror Grace loyce Orone</t>
  </si>
  <si>
    <t>0784659791</t>
  </si>
  <si>
    <t>0783098373</t>
  </si>
  <si>
    <t>Ngariam</t>
  </si>
  <si>
    <t>Acoite</t>
  </si>
  <si>
    <t>UG-EAS-2401-010445</t>
  </si>
  <si>
    <t>30/12/2023</t>
  </si>
  <si>
    <t xml:space="preserve">Muhammed Magada </t>
  </si>
  <si>
    <t>0701903432</t>
  </si>
  <si>
    <t>0706130090</t>
  </si>
  <si>
    <t>UG-EAS-2401-011161</t>
  </si>
  <si>
    <t>11/12/2023</t>
  </si>
  <si>
    <t>Olupot Olinga Okui</t>
  </si>
  <si>
    <t>0773163438</t>
  </si>
  <si>
    <t>UG-CEN-2310-010581</t>
  </si>
  <si>
    <t>11/10/2023</t>
  </si>
  <si>
    <t>Mugisha Nathan Reveland</t>
  </si>
  <si>
    <t>0701082411</t>
  </si>
  <si>
    <t>0772575614</t>
  </si>
  <si>
    <t>UG-EAS-2310-010416</t>
  </si>
  <si>
    <t>09/08/2023</t>
  </si>
  <si>
    <t xml:space="preserve">Aidah Namusobya </t>
  </si>
  <si>
    <t>0765454778</t>
  </si>
  <si>
    <t>0704409810</t>
  </si>
  <si>
    <t>Bukoli North</t>
  </si>
  <si>
    <t>UG-CEN-2310-010300</t>
  </si>
  <si>
    <t>11/09/2023</t>
  </si>
  <si>
    <t xml:space="preserve">Nakiganda Margaret </t>
  </si>
  <si>
    <t>0759116621</t>
  </si>
  <si>
    <t>Kachanga</t>
  </si>
  <si>
    <t>Sempebwa Geoffrey</t>
  </si>
  <si>
    <t>UG-CEN-2310-010572</t>
  </si>
  <si>
    <t>Nakazzi Kayaga Milly</t>
  </si>
  <si>
    <t>0706582765</t>
  </si>
  <si>
    <t>0772360194</t>
  </si>
  <si>
    <t>Mpigi Tc</t>
  </si>
  <si>
    <t>UG-WES-2310-010107</t>
  </si>
  <si>
    <t>18/09/2023</t>
  </si>
  <si>
    <t xml:space="preserve">Protase Kanyankore </t>
  </si>
  <si>
    <t>0765790154</t>
  </si>
  <si>
    <t>0777934892</t>
  </si>
  <si>
    <t>Kashari noth</t>
  </si>
  <si>
    <t>Keshenuma</t>
  </si>
  <si>
    <t>UG-WES-2309-010109</t>
  </si>
  <si>
    <t>21/08/2023</t>
  </si>
  <si>
    <t xml:space="preserve">Kasisi Waren </t>
  </si>
  <si>
    <t>0789021421</t>
  </si>
  <si>
    <t>0771412744</t>
  </si>
  <si>
    <t>Bukola</t>
  </si>
  <si>
    <t>Musinguzi  Kenneth</t>
  </si>
  <si>
    <t>UG-EAS-2309-020102</t>
  </si>
  <si>
    <t>01/08/2023</t>
  </si>
  <si>
    <t xml:space="preserve">Walimbwa Robert </t>
  </si>
  <si>
    <t>0789353964</t>
  </si>
  <si>
    <t>Busajabwaba</t>
  </si>
  <si>
    <t>UG-EAS-2309-010420</t>
  </si>
  <si>
    <t>30/07/2023</t>
  </si>
  <si>
    <t xml:space="preserve">Nakalyowa Grace </t>
  </si>
  <si>
    <t>0751670324</t>
  </si>
  <si>
    <t>0779614067</t>
  </si>
  <si>
    <t>kakira</t>
  </si>
  <si>
    <t>UG-EAS-2309-010413</t>
  </si>
  <si>
    <t xml:space="preserve">Mrs Maali Annet </t>
  </si>
  <si>
    <t>0772682909</t>
  </si>
  <si>
    <t>0700310360</t>
  </si>
  <si>
    <t>Jinja East division</t>
  </si>
  <si>
    <t>Walukuba-masese division</t>
  </si>
  <si>
    <t>Walukuba west</t>
  </si>
  <si>
    <t>Wanume Hakim</t>
  </si>
  <si>
    <t>UG-WES-2308-010574</t>
  </si>
  <si>
    <t>12/06/2023</t>
  </si>
  <si>
    <t xml:space="preserve">Bigaba Julius </t>
  </si>
  <si>
    <t>0772665633</t>
  </si>
  <si>
    <t>Kanyambeho</t>
  </si>
  <si>
    <t>UG-WES-2308-010057</t>
  </si>
  <si>
    <t>26/07/2023</t>
  </si>
  <si>
    <t xml:space="preserve">Onyinge Richard </t>
  </si>
  <si>
    <t>0775942291</t>
  </si>
  <si>
    <t>0777545615</t>
  </si>
  <si>
    <t>Kirandongo</t>
  </si>
  <si>
    <t>Mboira</t>
  </si>
  <si>
    <t>Iranda</t>
  </si>
  <si>
    <t>UG-WES-2308-010106</t>
  </si>
  <si>
    <t>27/06/2023</t>
  </si>
  <si>
    <t>Ariniatwe Bob Godwine</t>
  </si>
  <si>
    <t>0782094206</t>
  </si>
  <si>
    <t>kinkinzi</t>
  </si>
  <si>
    <t>Justus Atuhairwe</t>
  </si>
  <si>
    <t>UG-CEN-2308-010564</t>
  </si>
  <si>
    <t>16/07/2023</t>
  </si>
  <si>
    <t xml:space="preserve">Kimbugwe Aloysius </t>
  </si>
  <si>
    <t>0753336876</t>
  </si>
  <si>
    <t>Kyolimpa Denis</t>
  </si>
  <si>
    <t>UG-WES-2307-010054</t>
  </si>
  <si>
    <t>25/06/2023</t>
  </si>
  <si>
    <t xml:space="preserve">Kiryaisoke Joyce </t>
  </si>
  <si>
    <t>0783074740</t>
  </si>
  <si>
    <t>0777689723</t>
  </si>
  <si>
    <t>Kinyomozi</t>
  </si>
  <si>
    <t>UG-WES-2307-010055</t>
  </si>
  <si>
    <t>Angamoko Kemis Athuaneth</t>
  </si>
  <si>
    <t>0763613820</t>
  </si>
  <si>
    <t>0786005982</t>
  </si>
  <si>
    <t>Apodorwa</t>
  </si>
  <si>
    <t>Ntayi faizal</t>
  </si>
  <si>
    <t>UG-EAS-2307-011228</t>
  </si>
  <si>
    <t xml:space="preserve">Nagudi Juliana </t>
  </si>
  <si>
    <t>0760984584</t>
  </si>
  <si>
    <t>0782030253</t>
  </si>
  <si>
    <t>Busedane</t>
  </si>
  <si>
    <t>Laston Aloo</t>
  </si>
  <si>
    <t>UG-WES-2307-010056</t>
  </si>
  <si>
    <t>15/06/2023</t>
  </si>
  <si>
    <t xml:space="preserve">Businge Nickolas </t>
  </si>
  <si>
    <t>0786440323</t>
  </si>
  <si>
    <t>0750366965</t>
  </si>
  <si>
    <t>Kenneth ouma</t>
  </si>
  <si>
    <t>UG-CEN-2307-0111241</t>
  </si>
  <si>
    <t>09/06/2023</t>
  </si>
  <si>
    <t>Ndagire Hajjat Sarah</t>
  </si>
  <si>
    <t>0752316262</t>
  </si>
  <si>
    <t>UG-CEN-2307-0112121</t>
  </si>
  <si>
    <t>04/12/2022</t>
  </si>
  <si>
    <t xml:space="preserve">Mzee Makamba </t>
  </si>
  <si>
    <t>0704354075</t>
  </si>
  <si>
    <t>Lugunja</t>
  </si>
  <si>
    <t>Makamba Zone Cell 11 House 71</t>
  </si>
  <si>
    <t>Katongole Frank</t>
  </si>
  <si>
    <t>UG-CEN-2307-020121</t>
  </si>
  <si>
    <t xml:space="preserve">Rukira Abbas </t>
  </si>
  <si>
    <t>0754761334</t>
  </si>
  <si>
    <t>Wakaliga</t>
  </si>
  <si>
    <t>Makamba</t>
  </si>
  <si>
    <t>UG-EAS-2306-011157</t>
  </si>
  <si>
    <t>22/02/2023</t>
  </si>
  <si>
    <t xml:space="preserve">Elyau Denise </t>
  </si>
  <si>
    <t>0777700136</t>
  </si>
  <si>
    <t>0771130753</t>
  </si>
  <si>
    <t>KALAKI</t>
  </si>
  <si>
    <t>John Ewidu</t>
  </si>
  <si>
    <t>UG-EAS-2305-011156</t>
  </si>
  <si>
    <t>10/01/2023</t>
  </si>
  <si>
    <t xml:space="preserve">Loy Adepit </t>
  </si>
  <si>
    <t>0782506982</t>
  </si>
  <si>
    <t>0784802624</t>
  </si>
  <si>
    <t>UG-WES-2305-010286</t>
  </si>
  <si>
    <t>28/04/2023</t>
  </si>
  <si>
    <t xml:space="preserve">Julius Kusemererwa </t>
  </si>
  <si>
    <t>0782024165</t>
  </si>
  <si>
    <t>UG-EAS-2305-020105</t>
  </si>
  <si>
    <t>18/04/2023</t>
  </si>
  <si>
    <t xml:space="preserve">Namutosi Norah </t>
  </si>
  <si>
    <t>0779846848</t>
  </si>
  <si>
    <t>0775993626</t>
  </si>
  <si>
    <t>Busui</t>
  </si>
  <si>
    <t>UG-EAS-2304-011231</t>
  </si>
  <si>
    <t>17/03/2023</t>
  </si>
  <si>
    <t xml:space="preserve">Emodial Robert </t>
  </si>
  <si>
    <t>0782508286</t>
  </si>
  <si>
    <t>0788088620</t>
  </si>
  <si>
    <t>Nabirere</t>
  </si>
  <si>
    <t>Owere Simon ilado</t>
  </si>
  <si>
    <t>UG-EAS-2304-011234</t>
  </si>
  <si>
    <t>17/02/2023</t>
  </si>
  <si>
    <t xml:space="preserve">Muwonge Braine </t>
  </si>
  <si>
    <t>0750040348</t>
  </si>
  <si>
    <t>west Budama</t>
  </si>
  <si>
    <t>UCI</t>
  </si>
  <si>
    <t>UG-CEN-2304-010452</t>
  </si>
  <si>
    <t>02/02/2023</t>
  </si>
  <si>
    <t xml:space="preserve">Mpanuka Nagibu </t>
  </si>
  <si>
    <t>0777739319</t>
  </si>
  <si>
    <t>0702911187</t>
  </si>
  <si>
    <t>Mbale zone</t>
  </si>
  <si>
    <t>Godwin Ndyaguma</t>
  </si>
  <si>
    <t>UG-EAS-2303-011051</t>
  </si>
  <si>
    <t>16/02/2023</t>
  </si>
  <si>
    <t xml:space="preserve">Wafula Winifred </t>
  </si>
  <si>
    <t>0782109034</t>
  </si>
  <si>
    <t>0778105528</t>
  </si>
  <si>
    <t>Nagwe</t>
  </si>
  <si>
    <t>Busumba A</t>
  </si>
  <si>
    <t>Tiger Technical Company (U) Limited</t>
  </si>
  <si>
    <t>Ilado Simon Owere</t>
  </si>
  <si>
    <t>UG-WES-2303-010105</t>
  </si>
  <si>
    <t>15/12/2022</t>
  </si>
  <si>
    <t xml:space="preserve">Karengera Lodgers </t>
  </si>
  <si>
    <t>0786855934</t>
  </si>
  <si>
    <t>UG-CEN-2303-010279</t>
  </si>
  <si>
    <t xml:space="preserve">Bukenya Musa </t>
  </si>
  <si>
    <t>0702309223</t>
  </si>
  <si>
    <t>UG-CEN-2303-10453</t>
  </si>
  <si>
    <t>Kikubo Wasswa Francis</t>
  </si>
  <si>
    <t>0708143415</t>
  </si>
  <si>
    <t>0757981840</t>
  </si>
  <si>
    <t>Wanoda</t>
  </si>
  <si>
    <t>UG-WES-2212-010154</t>
  </si>
  <si>
    <t>18/12/2022</t>
  </si>
  <si>
    <t xml:space="preserve">Magyezi Joseph </t>
  </si>
  <si>
    <t>0781495265</t>
  </si>
  <si>
    <t>0702568291</t>
  </si>
  <si>
    <t>mbarara city</t>
  </si>
  <si>
    <t>Kakiika Division</t>
  </si>
  <si>
    <t>Judio kurunungi</t>
  </si>
  <si>
    <t>UG-CEN-2212-010253</t>
  </si>
  <si>
    <t xml:space="preserve">Katongole Umar </t>
  </si>
  <si>
    <t>0750120433</t>
  </si>
  <si>
    <t>0750039722</t>
  </si>
  <si>
    <t>UG-CEN-2212-010254</t>
  </si>
  <si>
    <t xml:space="preserve">Muwonge Vincent </t>
  </si>
  <si>
    <t>0758217375</t>
  </si>
  <si>
    <t>No biodigester</t>
  </si>
  <si>
    <t>UG-CEN-2211-010288</t>
  </si>
  <si>
    <t>15/09/2022</t>
  </si>
  <si>
    <t xml:space="preserve">Kirembwe Gerald </t>
  </si>
  <si>
    <t>Male fulugeneso</t>
  </si>
  <si>
    <t>UG-NOR-2210-010808</t>
  </si>
  <si>
    <t xml:space="preserve">Patrick ANAKU </t>
  </si>
  <si>
    <t>0774282071</t>
  </si>
  <si>
    <t>Lamira</t>
  </si>
  <si>
    <t>UG-NOR-2210-010815</t>
  </si>
  <si>
    <t xml:space="preserve">Baiga Robert </t>
  </si>
  <si>
    <t>0778356354</t>
  </si>
  <si>
    <t>0779479924</t>
  </si>
  <si>
    <t>Ludala</t>
  </si>
  <si>
    <t>Lima</t>
  </si>
  <si>
    <t xml:space="preserve">Mutagwanya Ssabiiti </t>
  </si>
  <si>
    <t>UG-CEN-2210-010271</t>
  </si>
  <si>
    <t>27/09/2022</t>
  </si>
  <si>
    <t xml:space="preserve">Agaba David </t>
  </si>
  <si>
    <t>0750351872</t>
  </si>
  <si>
    <t>0771645793</t>
  </si>
  <si>
    <t>UG-CEN-2210-010272</t>
  </si>
  <si>
    <t xml:space="preserve">Jude Jjuuko </t>
  </si>
  <si>
    <t>0701368646</t>
  </si>
  <si>
    <t>0706526349</t>
  </si>
  <si>
    <t>Kasubikamu</t>
  </si>
  <si>
    <t>UG-WES-2210-010842</t>
  </si>
  <si>
    <t>06/08/2022</t>
  </si>
  <si>
    <t xml:space="preserve">Nakyejwe Agnes </t>
  </si>
  <si>
    <t>0786996280</t>
  </si>
  <si>
    <t>Kabaima</t>
  </si>
  <si>
    <t>UG-WES-2210-010834</t>
  </si>
  <si>
    <t>UG-WES-2210-010293</t>
  </si>
  <si>
    <t>19/08/2022</t>
  </si>
  <si>
    <t xml:space="preserve">Margaret Kajumba </t>
  </si>
  <si>
    <t>0777913353</t>
  </si>
  <si>
    <t>0706329161</t>
  </si>
  <si>
    <t>09/04/2022</t>
  </si>
  <si>
    <t xml:space="preserve">Batenga Josephine </t>
  </si>
  <si>
    <t>QSP Visited,  advised client to empty for inspection….still emptying</t>
  </si>
  <si>
    <t>QSP visited, Advised client so empty the digester then resume feeding</t>
  </si>
  <si>
    <t>QSP visited and advised client to remove the scum and refeed for better gas production…still emptying</t>
  </si>
  <si>
    <t>QSP visited, advised client to feed..still feeding</t>
  </si>
  <si>
    <t>UG-CEN-1910-014504</t>
  </si>
  <si>
    <t>The plant was repaired but he has failed to get cowdung to feed it,so its not operational</t>
  </si>
  <si>
    <t>Client has failed to feed the digester</t>
  </si>
  <si>
    <t xml:space="preserve">Repaired, Not fed client has no manpower to feed. </t>
  </si>
  <si>
    <t>The plant needs repairs and connections</t>
  </si>
  <si>
    <t>The plant was demolished.</t>
  </si>
  <si>
    <t>QSP visited and found the expansion chamber cracked, needs re-plastering, and gas leakage</t>
  </si>
  <si>
    <t>crestank says the system is damaged beyond repair and needs a replacement</t>
  </si>
  <si>
    <t>Not working, not being fed</t>
  </si>
  <si>
    <t>QSP visited and the plant has major cracks inside</t>
  </si>
  <si>
    <t>QSP visited, advised client to empty for inspection…not yet emptied.</t>
  </si>
  <si>
    <t>QSP visited and advised client to empty for assessment…Emptied half way and he failed.</t>
  </si>
  <si>
    <t>client advised to empty.Still emptying</t>
  </si>
  <si>
    <t>The plant is not working because the client has no source of cowdung.</t>
  </si>
  <si>
    <t>Client has no animals.</t>
  </si>
  <si>
    <t xml:space="preserve"> client hasn’t emptied yet because of no man power</t>
  </si>
  <si>
    <t>QSP visited, the client is advised to empty the digester….Not yet emptied</t>
  </si>
  <si>
    <t>QSP visited, there was a wood blocking the inlet pipe and this can only be removed from the inside after emptying</t>
  </si>
  <si>
    <t>Repaired, Mobilizing waste for initial feeding.</t>
  </si>
  <si>
    <t>QSP visited, plant needs medium category repairs. Client has no animals.</t>
  </si>
  <si>
    <t>Advised to empty for further inspection, has failed to empty because he has no man power</t>
  </si>
  <si>
    <t>QSP visited plant needs medium category repairs but client has no animals</t>
  </si>
  <si>
    <t>Repaired, but the client failed to get enough cow dung for refeeding</t>
  </si>
  <si>
    <t xml:space="preserve">The plant was repaired but the client got sick and failed to feed it </t>
  </si>
  <si>
    <t xml:space="preserve">QSP visited, advised the client to empty. The owner of the plant died and the son says he has no money for emptying. </t>
  </si>
  <si>
    <t>QSP visited and the plant has broken pipes,faulty valves and broken digester</t>
  </si>
  <si>
    <t>UG-EAS-1507-928</t>
  </si>
  <si>
    <t xml:space="preserve"> no animals</t>
  </si>
  <si>
    <t>UG-WES-1505-6019</t>
  </si>
  <si>
    <t>Repaired, Mobilizing waste for initial feeding</t>
  </si>
  <si>
    <t>QSP visited, The client is advised to empty the digester..Not emptied</t>
  </si>
  <si>
    <t>QSP visited, client nolonger has animal waste to maintain the biogas</t>
  </si>
  <si>
    <t>0770635529/0785705703</t>
  </si>
  <si>
    <t>client has no funds for emptying</t>
  </si>
  <si>
    <t>QSP visited and advised the client to empty for further inspection...The client has not yet emptied.</t>
  </si>
  <si>
    <t xml:space="preserve">QSP visited, the pipeline and lids are all damaged, client advised to empty. </t>
  </si>
  <si>
    <t>QSP visited and advised client to empty the digester for internal inspection.</t>
  </si>
  <si>
    <t>UG-WES-1405-04641</t>
  </si>
  <si>
    <t>The plant was repaired but the client failed to get enough cow dung to fill it so he gave up on it.</t>
  </si>
  <si>
    <t>QSP Visited, advised to empty for inspection</t>
  </si>
  <si>
    <t>QSP visited, dome pipe is broken and needs emptying..Not emptied yet</t>
  </si>
  <si>
    <t>QSP visited, advised to resume feeding his plant..still feeding</t>
  </si>
  <si>
    <t>UG-CEN-1310-3874</t>
  </si>
  <si>
    <t>no animals</t>
  </si>
  <si>
    <t>UG-CEN-1309-3875</t>
  </si>
  <si>
    <t>Client was advised to empty for further assessment, not yet emptied</t>
  </si>
  <si>
    <t>QSP Visited,plant was not fed, and is in a water logged area</t>
  </si>
  <si>
    <t>TRAINEES</t>
  </si>
  <si>
    <t>Client failed to feed the plant</t>
  </si>
  <si>
    <t>QSP Visited and advised client to remove scum and refeed..still feeding</t>
  </si>
  <si>
    <t>No cows at the moment</t>
  </si>
  <si>
    <t>TGE</t>
  </si>
  <si>
    <t>training plant</t>
  </si>
  <si>
    <t>UG-CEN-1211-2446</t>
  </si>
  <si>
    <t>QSP visited, advised to empty for inspection..Still emptying</t>
  </si>
  <si>
    <t>The client was advised to empty the digester and wait for repair</t>
  </si>
  <si>
    <t>QSP visited,plant has no pipe work,covers damaged, expansion chamber developed cracks</t>
  </si>
  <si>
    <t>Client is looking for cow dung for refeeding</t>
  </si>
  <si>
    <t>PSEM/HEIFER</t>
  </si>
  <si>
    <t>Repaired, the plant is not working client has no source of animal waste, he is sick and has no manpower to feed.</t>
  </si>
  <si>
    <t>QSP visited, dome, covers, expansion chamber and water valves broken. QSP recommends reconstruction of the system.</t>
  </si>
  <si>
    <t>UG-CEN-1110-2983</t>
  </si>
  <si>
    <t>Animals were shifted to another location.</t>
  </si>
  <si>
    <t>UG-CEN-1110-4563</t>
  </si>
  <si>
    <t>Repaired, the client is struggling with feeding it completely to make it full</t>
  </si>
  <si>
    <t>QSP visited, pipeline dismantled,needs repairs</t>
  </si>
  <si>
    <t>Repaired, still feeding</t>
  </si>
  <si>
    <t>QSP Visited ,plant needs to be emptied, Not yet emptied</t>
  </si>
  <si>
    <t>QSP visited the plant needs emptying and re-piping….Not yet emptied</t>
  </si>
  <si>
    <t>Client is nolonger interested</t>
  </si>
  <si>
    <t>The digester is blocked it needs emptying and repairs</t>
  </si>
  <si>
    <t>UG-WES-2402-020311</t>
  </si>
  <si>
    <t>16/11/2023</t>
  </si>
  <si>
    <t>Mwesigwa Stewart</t>
  </si>
  <si>
    <t>0773425564</t>
  </si>
  <si>
    <t>0785720840</t>
  </si>
  <si>
    <t>Kituuti</t>
  </si>
  <si>
    <t>UG-WES-2401-020332</t>
  </si>
  <si>
    <t xml:space="preserve">Kasahija Rodas </t>
  </si>
  <si>
    <t>0780252779</t>
  </si>
  <si>
    <t>kikube</t>
  </si>
  <si>
    <t>Kinakyeitaka</t>
  </si>
  <si>
    <t>UG-WES-2401-020329</t>
  </si>
  <si>
    <t>10/12/2023</t>
  </si>
  <si>
    <t xml:space="preserve">Babishekeramu Provia </t>
  </si>
  <si>
    <t>0787513954</t>
  </si>
  <si>
    <t>Kyarujunba</t>
  </si>
  <si>
    <t>UG-WES-2401-020342</t>
  </si>
  <si>
    <t xml:space="preserve">Ntauguranayo Sofia </t>
  </si>
  <si>
    <t>0777827372</t>
  </si>
  <si>
    <t>UG-WES-2401-020346</t>
  </si>
  <si>
    <t xml:space="preserve">Manini Faith </t>
  </si>
  <si>
    <t>0785837066</t>
  </si>
  <si>
    <t>Mbeine peter</t>
  </si>
  <si>
    <t>UG-WES-2401-020328</t>
  </si>
  <si>
    <t xml:space="preserve">Tumusiime Gertrude </t>
  </si>
  <si>
    <t>0779329425</t>
  </si>
  <si>
    <t>Nyansenge</t>
  </si>
  <si>
    <t>UG-WES-2401-020334</t>
  </si>
  <si>
    <t xml:space="preserve">Twezeyimana Isaac </t>
  </si>
  <si>
    <t>0762491956</t>
  </si>
  <si>
    <t>0786892377</t>
  </si>
  <si>
    <t>UG-WES-2401-020340</t>
  </si>
  <si>
    <t>09/12/2023</t>
  </si>
  <si>
    <t xml:space="preserve">Kaitesi Janet </t>
  </si>
  <si>
    <t>0778671188</t>
  </si>
  <si>
    <t>0778680254</t>
  </si>
  <si>
    <t>UG-EAS-2401-011249</t>
  </si>
  <si>
    <t>27/12/2023</t>
  </si>
  <si>
    <t xml:space="preserve">Delgone Margarete </t>
  </si>
  <si>
    <t>0756048163</t>
  </si>
  <si>
    <t>0770754244</t>
  </si>
  <si>
    <t>Kisenyi cell</t>
  </si>
  <si>
    <t>UG-WES-2401-020330</t>
  </si>
  <si>
    <t xml:space="preserve">Tushabomwe Stellah </t>
  </si>
  <si>
    <t>0783856015</t>
  </si>
  <si>
    <t>UG-WES-2401-020315</t>
  </si>
  <si>
    <t>13/12/2023</t>
  </si>
  <si>
    <t xml:space="preserve">Kabayoro Florence </t>
  </si>
  <si>
    <t>0783486758</t>
  </si>
  <si>
    <t>UG-WES-2401-020319</t>
  </si>
  <si>
    <t>06/12/2023</t>
  </si>
  <si>
    <t xml:space="preserve">Kwesigwa Patrick </t>
  </si>
  <si>
    <t>0770639707</t>
  </si>
  <si>
    <t>Ngogori</t>
  </si>
  <si>
    <t>UG-WES-2401-020337</t>
  </si>
  <si>
    <t xml:space="preserve">Nangobi Faridah </t>
  </si>
  <si>
    <t>0781663248</t>
  </si>
  <si>
    <t>Nyakate</t>
  </si>
  <si>
    <t>Kiryoowa rashid</t>
  </si>
  <si>
    <t>UG-WES-2401-020307</t>
  </si>
  <si>
    <t xml:space="preserve">Tumusiime Patrick </t>
  </si>
  <si>
    <t>0770610710</t>
  </si>
  <si>
    <t>0771815463</t>
  </si>
  <si>
    <t>Kyangawali</t>
  </si>
  <si>
    <t>Sempebwa</t>
  </si>
  <si>
    <t>UG-WES-2312-020313</t>
  </si>
  <si>
    <t xml:space="preserve">Kanyama Ntunda </t>
  </si>
  <si>
    <t>0779471707</t>
  </si>
  <si>
    <t>0773368034</t>
  </si>
  <si>
    <t>UG-WES-2312-020317</t>
  </si>
  <si>
    <t xml:space="preserve">Musasizi Godfrey </t>
  </si>
  <si>
    <t>0799973190</t>
  </si>
  <si>
    <t>0788495684</t>
  </si>
  <si>
    <t>UG-WES-2312-020320</t>
  </si>
  <si>
    <t xml:space="preserve">Ntabaresha Sebuhinja </t>
  </si>
  <si>
    <t>0770578211</t>
  </si>
  <si>
    <t>UG-WES-2312-020306</t>
  </si>
  <si>
    <t xml:space="preserve">Mugwanashaka Jean </t>
  </si>
  <si>
    <t>0788592192</t>
  </si>
  <si>
    <t>UG-WES-2312-020312</t>
  </si>
  <si>
    <t>11/11/2023</t>
  </si>
  <si>
    <t>Moize Clode Kagabo</t>
  </si>
  <si>
    <t>0775099249</t>
  </si>
  <si>
    <t>0761173248</t>
  </si>
  <si>
    <t>Bukenya sam</t>
  </si>
  <si>
    <t>UG-WES-2312-010584</t>
  </si>
  <si>
    <t>12/11/2023</t>
  </si>
  <si>
    <t xml:space="preserve">Ntiyaremwa Mihaana </t>
  </si>
  <si>
    <t>0785105708</t>
  </si>
  <si>
    <t>UG-WES-2312-020335</t>
  </si>
  <si>
    <t>18/11/2023</t>
  </si>
  <si>
    <t>Mukamanzi Kizanye Mahinja</t>
  </si>
  <si>
    <t>0777686573</t>
  </si>
  <si>
    <t>Kagoro Gerald</t>
  </si>
  <si>
    <t>UG-WES-2312-010583</t>
  </si>
  <si>
    <t xml:space="preserve">Rukundo Moize </t>
  </si>
  <si>
    <t>UG-WES-2312-020331</t>
  </si>
  <si>
    <t>09/11/2023</t>
  </si>
  <si>
    <t xml:space="preserve">Kisoma Lasuri </t>
  </si>
  <si>
    <t>0782676546</t>
  </si>
  <si>
    <t>Wairagaza</t>
  </si>
  <si>
    <t>Rashid Kiryowa</t>
  </si>
  <si>
    <t>UG-WES-2312-020305</t>
  </si>
  <si>
    <t xml:space="preserve">Sifa Juliana </t>
  </si>
  <si>
    <t>0771190446</t>
  </si>
  <si>
    <t>kibube</t>
  </si>
  <si>
    <t>Male fulugensio</t>
  </si>
  <si>
    <t>UG-EAS-2311-020103</t>
  </si>
  <si>
    <t>11/08/2023</t>
  </si>
  <si>
    <t xml:space="preserve">Wanasol Julius </t>
  </si>
  <si>
    <t>0770475508</t>
  </si>
  <si>
    <t>0775338431</t>
  </si>
  <si>
    <t>Bunapongo lower</t>
  </si>
  <si>
    <t>Wamono samuel</t>
  </si>
  <si>
    <t>UG-EAS-2310-011158</t>
  </si>
  <si>
    <t>27/09/2023</t>
  </si>
  <si>
    <t xml:space="preserve">Nakiganda Nusula </t>
  </si>
  <si>
    <t>0774814388</t>
  </si>
  <si>
    <t>0701395610</t>
  </si>
  <si>
    <t>Soroti eastern</t>
  </si>
  <si>
    <t>Kichinjanji</t>
  </si>
  <si>
    <t>UG-EAS-2310-020104</t>
  </si>
  <si>
    <t>10/05/2023</t>
  </si>
  <si>
    <t xml:space="preserve">Gidudu Anna </t>
  </si>
  <si>
    <t>0772550884</t>
  </si>
  <si>
    <t>0703068171</t>
  </si>
  <si>
    <t>UG-EAS-2310-020101</t>
  </si>
  <si>
    <t xml:space="preserve">Osinde Paul </t>
  </si>
  <si>
    <t>0766078295</t>
  </si>
  <si>
    <t>0773003709</t>
  </si>
  <si>
    <t>Oluo Laston</t>
  </si>
  <si>
    <t>UG-EAS-2309-010674</t>
  </si>
  <si>
    <t>Ejupu Everlin Apili</t>
  </si>
  <si>
    <t>0772523404</t>
  </si>
  <si>
    <t>0776127600</t>
  </si>
  <si>
    <t>Kadiye</t>
  </si>
  <si>
    <t>Odidip</t>
  </si>
  <si>
    <t>UG-EAS-2301-011229</t>
  </si>
  <si>
    <t>15/11/2022</t>
  </si>
  <si>
    <t xml:space="preserve">Okware Fabiano </t>
  </si>
  <si>
    <t>0776947644</t>
  </si>
  <si>
    <t>0752947644</t>
  </si>
  <si>
    <t>Nyangole A</t>
  </si>
  <si>
    <t>Laston Oloo</t>
  </si>
  <si>
    <t>UG-EAS-2212-011235</t>
  </si>
  <si>
    <t>21/10/2022</t>
  </si>
  <si>
    <t xml:space="preserve">Wenyaa Suzan </t>
  </si>
  <si>
    <t>0774101076</t>
  </si>
  <si>
    <t>0703415413</t>
  </si>
  <si>
    <t>Khamlwa  Richard</t>
  </si>
  <si>
    <t>QSP visited, client was advised to empty the digester….Not yet emptied</t>
  </si>
  <si>
    <t>Abandoned digester</t>
  </si>
  <si>
    <t>QSP visited, Client was advised to empty so that an inspection can be done.... Not yet emptied</t>
  </si>
  <si>
    <t>Liquid slurry</t>
  </si>
  <si>
    <t>solid strorage bulking agent</t>
  </si>
  <si>
    <t>Dry Lot</t>
  </si>
  <si>
    <t>Daily spread</t>
  </si>
  <si>
    <t>composting</t>
  </si>
  <si>
    <t>Burned as fuel</t>
  </si>
  <si>
    <t>sundrying</t>
  </si>
  <si>
    <t>goat</t>
  </si>
  <si>
    <t>sheep</t>
  </si>
  <si>
    <t>poutlry</t>
  </si>
  <si>
    <t>Dry season</t>
  </si>
  <si>
    <t>wet season</t>
  </si>
  <si>
    <t>EF AWMS</t>
  </si>
  <si>
    <t>as per table 10.14. values are calculated based on MCF*Bo*0.67. Missing values in table 10.14 are calculated based on the MCF provided in table 10.17 and adjusted proportionally with known values in table 10.14. This is correct since the Bo and the 0.67 factor are the same for all AWMS</t>
  </si>
  <si>
    <t>assumed to the the lowest emitting system</t>
  </si>
  <si>
    <t>Sources</t>
  </si>
  <si>
    <t>IPCC 2019 guidelines volume 4, chapter 10 table 10.14 for low productivity species and montane tropical climate</t>
  </si>
  <si>
    <t>note</t>
  </si>
  <si>
    <t>as per table 10.14. values are calculated based on MCF*Bo*0.67</t>
  </si>
  <si>
    <t>growing and breeding swine</t>
  </si>
  <si>
    <t>Bo</t>
  </si>
  <si>
    <t>table 10.16A</t>
  </si>
  <si>
    <t>EF AMWS</t>
  </si>
  <si>
    <t>calculated</t>
  </si>
  <si>
    <t xml:space="preserve">MCF </t>
  </si>
  <si>
    <t>IPCC table 10.17</t>
  </si>
  <si>
    <t>for tropical montane</t>
  </si>
  <si>
    <t>pasture</t>
  </si>
  <si>
    <t>Assumed infrequent turning (passive systems)</t>
  </si>
  <si>
    <t>liquid slurry</t>
  </si>
  <si>
    <r>
      <t>BGTA 9:EF</t>
    </r>
    <r>
      <rPr>
        <sz val="8"/>
        <color theme="1"/>
        <rFont val="Calibri"/>
        <family val="2"/>
        <scheme val="minor"/>
      </rPr>
      <t>LT</t>
    </r>
  </si>
  <si>
    <r>
      <t>BGTA 31: MS</t>
    </r>
    <r>
      <rPr>
        <sz val="8"/>
        <color theme="1"/>
        <rFont val="Calibri"/>
        <family val="2"/>
        <scheme val="minor"/>
      </rPr>
      <t>%i,y</t>
    </r>
  </si>
  <si>
    <t>Fraction of manure handled in project animal manure management system i</t>
  </si>
  <si>
    <t>linked to survey data</t>
  </si>
  <si>
    <r>
      <t>BGTA 30: N</t>
    </r>
    <r>
      <rPr>
        <vertAlign val="subscript"/>
        <sz val="8"/>
        <color rgb="FF000000"/>
        <rFont val="Calibri"/>
        <family val="2"/>
        <scheme val="minor"/>
      </rPr>
      <t>p,</t>
    </r>
    <r>
      <rPr>
        <vertAlign val="subscript"/>
        <sz val="10"/>
        <color rgb="FF000000"/>
        <rFont val="Calibri"/>
        <family val="2"/>
        <scheme val="minor"/>
      </rPr>
      <t>y</t>
    </r>
  </si>
  <si>
    <t>Physical leakage factor</t>
  </si>
  <si>
    <t xml:space="preserve">Maximum methane producing capacity </t>
  </si>
  <si>
    <r>
      <t>tCO</t>
    </r>
    <r>
      <rPr>
        <vertAlign val="subscript"/>
        <sz val="10"/>
        <color indexed="53"/>
        <rFont val="Calibri"/>
        <family val="2"/>
        <scheme val="minor"/>
      </rPr>
      <t>2e</t>
    </r>
    <r>
      <rPr>
        <sz val="10"/>
        <color indexed="53"/>
        <rFont val="Calibri"/>
        <family val="2"/>
        <scheme val="minor"/>
      </rPr>
      <t xml:space="preserve"> / yr/hh</t>
    </r>
  </si>
  <si>
    <t>kgCH4/hh/yr</t>
  </si>
  <si>
    <t xml:space="preserve">Functioning digesters </t>
  </si>
  <si>
    <t>Usage rate survey 1 MP1</t>
  </si>
  <si>
    <t>Usage rate survey 2 MP1</t>
  </si>
  <si>
    <t>Units prior to survey 2</t>
  </si>
  <si>
    <t>last survey</t>
  </si>
  <si>
    <t>VPA03-DD fixed for this CP</t>
  </si>
  <si>
    <t>Project emissions survey 1 MP1</t>
  </si>
  <si>
    <t>DCH4</t>
  </si>
  <si>
    <t>BGTA 30: Np,y</t>
  </si>
  <si>
    <t>B0T</t>
  </si>
  <si>
    <t>VST</t>
  </si>
  <si>
    <t>BGTA 31: MSbiodigester</t>
  </si>
  <si>
    <t>PEPL,y</t>
  </si>
  <si>
    <t>Nt</t>
  </si>
  <si>
    <t>Project emissions survey 2 MP1</t>
  </si>
  <si>
    <t>Liquid dry</t>
  </si>
  <si>
    <t>Liquid wet</t>
  </si>
  <si>
    <t>More than 1 months</t>
  </si>
  <si>
    <t>* if more than 1 month, EF of more than one month is applied from table 10.14</t>
  </si>
  <si>
    <t>avg size</t>
  </si>
  <si>
    <t>AWMS data from UG AWMS baselinse study 2024 for CPII</t>
  </si>
  <si>
    <t xml:space="preserve">cell K138:S148 and DM138:DU148 for dry and wet season respectively </t>
  </si>
  <si>
    <t>Avg_all seasons</t>
  </si>
  <si>
    <t>*'1 month</t>
  </si>
  <si>
    <t>Breeding</t>
  </si>
  <si>
    <t>2024-09-22 08:53:00.000+03</t>
  </si>
  <si>
    <t>2.225138, 32.910893</t>
  </si>
  <si>
    <t>Omuno Ambrose</t>
  </si>
  <si>
    <t>Easy to mix dug than looking for wood which is hard these days</t>
  </si>
  <si>
    <t>Flat</t>
  </si>
  <si>
    <t>Good for cooking,slurry has improved their crop yield</t>
  </si>
  <si>
    <t>Other (non-lactating) cattle;Poultry;Goats</t>
  </si>
  <si>
    <t>v</t>
  </si>
  <si>
    <t>Didn't have the idea that it can also work</t>
  </si>
  <si>
    <t>Have no idea that it could also work</t>
  </si>
  <si>
    <t>Bananas,eggplants,rice,maize</t>
  </si>
  <si>
    <t>Heifer project members</t>
  </si>
  <si>
    <t>Need to be helped to rectify the low pressure of their gas</t>
  </si>
  <si>
    <t>Holder and switch need replacement</t>
  </si>
  <si>
    <t>System is working but the gas size is small</t>
  </si>
  <si>
    <t>https://hivos.my.salesforce.com/sfc/servlet.shepherd/version/renditionDownload?rendition=ORIGINAL_Jpg&amp;versionId=068QF00000FVa1mYAD</t>
  </si>
  <si>
    <t>https://hivos.my.salesforce.com/sfc/servlet.shepherd/version/renditionDownload?rendition=ORIGINAL_Jpg&amp;versionId=068QF00000FVJFXYA5</t>
  </si>
  <si>
    <t>https://hivos.my.salesforce.com/sfc/servlet.shepherd/version/renditionDownload?rendition=ORIGINAL_Jpg&amp;versionId=068QF00000FVc6nYAD</t>
  </si>
  <si>
    <t>https://hivos.my.salesforce.com/sfc/servlet.shepherd/version/renditionDownload?rendition=ORIGINAL_Jpg&amp;versionId=068QF00000FVcA1YAL</t>
  </si>
  <si>
    <t>2024-09-21 15:27:00.000+03</t>
  </si>
  <si>
    <t>2.229030, 32.923063</t>
  </si>
  <si>
    <t>Emor benson</t>
  </si>
  <si>
    <t>Problems of thieves who steal cattle have discouraged him</t>
  </si>
  <si>
    <t>Repair of broken parts especially on the stove,lamp</t>
  </si>
  <si>
    <t>There is need for the plant but cattle thieves have rendered them weak</t>
  </si>
  <si>
    <t>https://hivos.my.salesforce.com/sfc/servlet.shepherd/version/renditionDownload?rendition=ORIGINAL_Jpg&amp;versionId=068QF00000FVNRDYA5</t>
  </si>
  <si>
    <t>https://hivos.my.salesforce.com/sfc/servlet.shepherd/version/renditionDownload?rendition=ORIGINAL_Jpg&amp;versionId=068QF00000FVb5tYAD</t>
  </si>
  <si>
    <t>https://hivos.my.salesforce.com/sfc/servlet.shepherd/version/renditionDownload?rendition=ORIGINAL_Jpg&amp;versionId=068QF00000FVaY2YAL</t>
  </si>
  <si>
    <t>https://hivos.my.salesforce.com/sfc/servlet.shepherd/version/renditionDownload?rendition=ORIGINAL_Jpg&amp;versionId=068QF00000FVX8lYAH</t>
  </si>
  <si>
    <t>2024-09-21 13:35:00.000+03</t>
  </si>
  <si>
    <t>2.228790, 32.923352</t>
  </si>
  <si>
    <t>Switch not working,pressure gauge is not working</t>
  </si>
  <si>
    <t>Missing dug is easy and takes less time</t>
  </si>
  <si>
    <t>Heap</t>
  </si>
  <si>
    <t>Clean cooking,faster cooking,time saving</t>
  </si>
  <si>
    <t>Other (non-lactating) cattle;Market swine (fattening pigs);Poultry</t>
  </si>
  <si>
    <t>Cow dug is enough for her and smell of pig dug</t>
  </si>
  <si>
    <t>Mixed with saw dust so not good to pour on the mixing chamber</t>
  </si>
  <si>
    <t>Maize,mangoes,oranges</t>
  </si>
  <si>
    <t>Needs help of guage</t>
  </si>
  <si>
    <t>Guage and inside switch need repair</t>
  </si>
  <si>
    <t>https://hivos.my.salesforce.com/sfc/servlet.shepherd/version/renditionDownload?rendition=ORIGINAL_Jpg&amp;versionId=068QF00000FV2gIYAT</t>
  </si>
  <si>
    <t>https://hivos.my.salesforce.com/sfc/servlet.shepherd/version/renditionDownload?rendition=ORIGINAL_Jpg&amp;versionId=068QF00000FVZlgYAH</t>
  </si>
  <si>
    <t>https://hivos.my.salesforce.com/sfc/servlet.shepherd/version/renditionDownload?rendition=ORIGINAL_Jpg&amp;versionId=068QF00000FVNFuYAP</t>
  </si>
  <si>
    <t>https://hivos.my.salesforce.com/sfc/servlet.shepherd/version/renditionDownload?rendition=ORIGINAL_Jpg&amp;versionId=068QF00000FVNW9YAP</t>
  </si>
  <si>
    <t>2024-09-21 11:48:00.000+03</t>
  </si>
  <si>
    <t>2.222313, 32.902017</t>
  </si>
  <si>
    <t>Ago michael</t>
  </si>
  <si>
    <t>Needs aguage</t>
  </si>
  <si>
    <t>Biogas takes less time compared to looking for the firewood</t>
  </si>
  <si>
    <t>Clean cooking,faster, environmental friendly</t>
  </si>
  <si>
    <t>Market swine (fattening pigs);Poultry</t>
  </si>
  <si>
    <t>Didn't know it was used too</t>
  </si>
  <si>
    <t>Trees like oranges,ovacados,mangoes,,bananas</t>
  </si>
  <si>
    <t>Availability of chicken dug</t>
  </si>
  <si>
    <t>Caritus</t>
  </si>
  <si>
    <t>I am taking an educational course</t>
  </si>
  <si>
    <t>Radio;Biogas Contractor/Mason;Family Member/Friend</t>
  </si>
  <si>
    <t>Need help for cows</t>
  </si>
  <si>
    <t>Need for a conducive system for his big family</t>
  </si>
  <si>
    <t>https://hivos.my.salesforce.com/sfc/servlet.shepherd/version/renditionDownload?rendition=ORIGINAL_Jpg&amp;versionId=068QF00000FVbVhYAL</t>
  </si>
  <si>
    <t>https://hivos.my.salesforce.com/sfc/servlet.shepherd/version/renditionDownload?rendition=ORIGINAL_Jpg&amp;versionId=068QF00000FVPkiYAH</t>
  </si>
  <si>
    <t>https://hivos.my.salesforce.com/sfc/servlet.shepherd/version/renditionDownload?rendition=ORIGINAL_Jpg&amp;versionId=068QF00000FV3tsYAD</t>
  </si>
  <si>
    <t>https://hivos.my.salesforce.com/sfc/servlet.shepherd/version/renditionDownload?rendition=ORIGINAL_Jpg&amp;versionId=068QF00000FVV8dYAH</t>
  </si>
  <si>
    <t>2024-09-21 10:04:00.000+03</t>
  </si>
  <si>
    <t>2.278175, 32.885072</t>
  </si>
  <si>
    <t>Joan ogom</t>
  </si>
  <si>
    <t>No one to feed it since she fell  too sick</t>
  </si>
  <si>
    <t>Need to restart the system but need help on how to remove the cow dug</t>
  </si>
  <si>
    <t>How to remove the dry cow dug to restart it again</t>
  </si>
  <si>
    <t>HH requires help</t>
  </si>
  <si>
    <t>https://hivos.my.salesforce.com/sfc/servlet.shepherd/version/renditionDownload?rendition=ORIGINAL_Jpg&amp;versionId=068QF00000FVMuvYAH</t>
  </si>
  <si>
    <t>https://hivos.my.salesforce.com/sfc/servlet.shepherd/version/renditionDownload?rendition=ORIGINAL_Jpg&amp;versionId=068QF00000FVWvtYAH</t>
  </si>
  <si>
    <t>https://hivos.my.salesforce.com/sfc/servlet.shepherd/version/renditionDownload?rendition=ORIGINAL_Jpg&amp;versionId=068QF00000FVZCCYA5</t>
  </si>
  <si>
    <t>https://hivos.my.salesforce.com/sfc/servlet.shepherd/version/renditionDownload?rendition=ORIGINAL_Jpg&amp;versionId=068QF00000FVPb3YAH</t>
  </si>
  <si>
    <t>2024-09-21 08:03:00.000+03</t>
  </si>
  <si>
    <t>2.273970, 32.881802</t>
  </si>
  <si>
    <t>Adupa margret</t>
  </si>
  <si>
    <t>System is within home</t>
  </si>
  <si>
    <t>Cooks faster,clean cooking</t>
  </si>
  <si>
    <t>Has enough of cow dug from cows and pigs</t>
  </si>
  <si>
    <t xml:space="preserve">Liquid slury,composite </t>
  </si>
  <si>
    <t>Bean,maize,soya</t>
  </si>
  <si>
    <t>Availability of chicken wastes</t>
  </si>
  <si>
    <t>Agriculture Extension Officer;Biogas Contractor/Mason</t>
  </si>
  <si>
    <t>Needs big system</t>
  </si>
  <si>
    <t>Request for a bigger system</t>
  </si>
  <si>
    <t>HH is happy with the system</t>
  </si>
  <si>
    <t>https://hivos.my.salesforce.com/sfc/servlet.shepherd/version/renditionDownload?rendition=ORIGINAL_Jpg&amp;versionId=068QF00000FVbc9YAD</t>
  </si>
  <si>
    <t>https://hivos.my.salesforce.com/sfc/servlet.shepherd/version/renditionDownload?rendition=ORIGINAL_Jpg&amp;versionId=068QF00000FVLhHYAX</t>
  </si>
  <si>
    <t>https://hivos.my.salesforce.com/sfc/servlet.shepherd/version/renditionDownload?rendition=ORIGINAL_Jpg&amp;versionId=068QF00000FVWpQYAX</t>
  </si>
  <si>
    <t>https://hivos.my.salesforce.com/sfc/servlet.shepherd/version/renditionDownload?rendition=ORIGINAL_Jpg&amp;versionId=068QF00000FVI3LYAX</t>
  </si>
  <si>
    <t>2024-09-22 10:22:00.000+03</t>
  </si>
  <si>
    <t>2.264365, 32.918274</t>
  </si>
  <si>
    <t>Emmanuel  Achede</t>
  </si>
  <si>
    <t>The whole digester needs reconstruction</t>
  </si>
  <si>
    <t>Technicians to work on their collapse digester</t>
  </si>
  <si>
    <t>All other parts are ok  only digester</t>
  </si>
  <si>
    <t>https://hivos.my.salesforce.com/sfc/servlet.shepherd/version/renditionDownload?rendition=ORIGINAL_Jpg&amp;versionId=068QF00000FVWz5YAH</t>
  </si>
  <si>
    <t>https://hivos.my.salesforce.com/sfc/servlet.shepherd/version/renditionDownload?rendition=ORIGINAL_Jpg&amp;versionId=068QF00000FVMi4YAH</t>
  </si>
  <si>
    <t>https://hivos.my.salesforce.com/sfc/servlet.shepherd/version/renditionDownload?rendition=ORIGINAL_Jpg&amp;versionId=068QF00000FV98EYAT</t>
  </si>
  <si>
    <t>https://hivos.my.salesforce.com/sfc/servlet.shepherd/version/renditionDownload?rendition=ORIGINAL_Jpg&amp;versionId=068QF00000FVbSVYA1</t>
  </si>
  <si>
    <t>2024-09-22 11:18:00.000+03</t>
  </si>
  <si>
    <t>2.259163, 32.940569</t>
  </si>
  <si>
    <t>Roy omara</t>
  </si>
  <si>
    <t>Cook faster, clean ,doesn't smoke</t>
  </si>
  <si>
    <t>Dairy cattle;Other (non-lactating) cattle;Poultry;Sheep;Goats</t>
  </si>
  <si>
    <t>Prefers to pour it direct to the plants</t>
  </si>
  <si>
    <t>Bananas,coffee, pumpkin,maize</t>
  </si>
  <si>
    <t>System is good and she is happy</t>
  </si>
  <si>
    <t>https://hivos.my.salesforce.com/sfc/servlet.shepherd/version/renditionDownload?rendition=ORIGINAL_Jpg&amp;versionId=068QF00000FVZX9YAP</t>
  </si>
  <si>
    <t>https://hivos.my.salesforce.com/sfc/servlet.shepherd/version/renditionDownload?rendition=ORIGINAL_Jpg&amp;versionId=068QF00000FVcErYAL</t>
  </si>
  <si>
    <t>https://hivos.my.salesforce.com/sfc/servlet.shepherd/version/renditionDownload?rendition=ORIGINAL_Jpg&amp;versionId=068QF00000FVUVrYAP</t>
  </si>
  <si>
    <t>https://hivos.my.salesforce.com/sfc/servlet.shepherd/version/renditionDownload?rendition=ORIGINAL_Jpg&amp;versionId=068QF00000FVGuLYAX</t>
  </si>
  <si>
    <t>2024-09-23 13:33:00.000+03</t>
  </si>
  <si>
    <t>2.223136, 32.920696</t>
  </si>
  <si>
    <t>Paska grace ogwang</t>
  </si>
  <si>
    <t>There is need to revampe the system</t>
  </si>
  <si>
    <t>The whole system needs checking and repaire the damaged pipes</t>
  </si>
  <si>
    <t>https://hivos.my.salesforce.com/sfc/servlet.shepherd/version/renditionDownload?rendition=ORIGINAL_Jpg&amp;versionId=068QF00000FVbKRYA1</t>
  </si>
  <si>
    <t>https://hivos.my.salesforce.com/sfc/servlet.shepherd/version/renditionDownload?rendition=ORIGINAL_Jpg&amp;versionId=068QF00000FVPRMYA5</t>
  </si>
  <si>
    <t>https://hivos.my.salesforce.com/sfc/servlet.shepherd/version/renditionDownload?rendition=ORIGINAL_Jpg&amp;versionId=068QF00000FVZDnYAP</t>
  </si>
  <si>
    <t>https://hivos.my.salesforce.com/sfc/servlet.shepherd/version/renditionDownload?rendition=ORIGINAL_Jpg&amp;versionId=068QF00000FVJQkYAP</t>
  </si>
  <si>
    <t>2024-09-24 10:31:00.000+03</t>
  </si>
  <si>
    <t>2.234186, 32.909074</t>
  </si>
  <si>
    <t>Lydia Aceng Bua</t>
  </si>
  <si>
    <t>Good,clean cooking ,cooks faster</t>
  </si>
  <si>
    <t>Has enough dug to feed the biodigester</t>
  </si>
  <si>
    <t>Store it first;I donâ€™t use it / discarded</t>
  </si>
  <si>
    <t>Liquid slury (black watery mass,Solid storage</t>
  </si>
  <si>
    <t>Need for help to stop gas leakage which is reducing her gas size when it comes to cooking</t>
  </si>
  <si>
    <t>Repair of leaking pipes</t>
  </si>
  <si>
    <t>https://hivos.my.salesforce.com/sfc/servlet.shepherd/version/renditionDownload?rendition=ORIGINAL_Jpg&amp;versionId=068QF00000FVPnzYAH</t>
  </si>
  <si>
    <t>https://hivos.my.salesforce.com/sfc/servlet.shepherd/version/renditionDownload?rendition=ORIGINAL_Jpg&amp;versionId=068QF00000FVWz6YAH</t>
  </si>
  <si>
    <t>https://hivos.my.salesforce.com/sfc/servlet.shepherd/version/renditionDownload?rendition=ORIGINAL_Jpg&amp;versionId=068QF00000FUml3YAD</t>
  </si>
  <si>
    <t>2024-09-22 10:21:00.000+03</t>
  </si>
  <si>
    <t>-0.661520, 30.059070</t>
  </si>
  <si>
    <t>Tumumuhebwa Pellan</t>
  </si>
  <si>
    <t>One of the stove burners is not producing gas;Other</t>
  </si>
  <si>
    <t>It doesn't require a lot of work</t>
  </si>
  <si>
    <t>It cooks quickly</t>
  </si>
  <si>
    <t>They have a lot of manure</t>
  </si>
  <si>
    <t>It is always dirty and he has enough manure</t>
  </si>
  <si>
    <t>They have enough manure</t>
  </si>
  <si>
    <t>Banana, coffee</t>
  </si>
  <si>
    <t>Dont remember</t>
  </si>
  <si>
    <t>No comment</t>
  </si>
  <si>
    <t>The biogas is still intact</t>
  </si>
  <si>
    <t>https://hivos.my.salesforce.com/sfc/servlet.shepherd/version/renditionDownload?rendition=ORIGINAL_Jpg&amp;versionId=068QF00000FM05gYAD</t>
  </si>
  <si>
    <t>https://hivos.my.salesforce.com/sfc/servlet.shepherd/version/renditionDownload?rendition=ORIGINAL_Jpg&amp;versionId=068QF00000FMINSYA5</t>
  </si>
  <si>
    <t>https://hivos.my.salesforce.com/sfc/servlet.shepherd/version/renditionDownload?rendition=ORIGINAL_Jpg&amp;versionId=068QF00000FMMxKYAX</t>
  </si>
  <si>
    <t>https://hivos.my.salesforce.com/sfc/servlet.shepherd/version/renditionDownload?rendition=ORIGINAL_Jpg&amp;versionId=068QF00000FLvnVYAT</t>
  </si>
  <si>
    <t>2024-09-22 11:15:00.000+03</t>
  </si>
  <si>
    <t>2024-09-21 13:51:00.000+03</t>
  </si>
  <si>
    <t>-0.542328, 30.234343</t>
  </si>
  <si>
    <t>Tumwine Darius</t>
  </si>
  <si>
    <t>They promised to come but didn't show up</t>
  </si>
  <si>
    <t>To fix their biogas system</t>
  </si>
  <si>
    <t>They need a stove and their bio slurry pit looks like abandoned</t>
  </si>
  <si>
    <t>https://hivos.my.salesforce.com/sfc/servlet.shepherd/version/renditionDownload?rendition=ORIGINAL_Jpg&amp;versionId=068QF00000FMNF3YAP</t>
  </si>
  <si>
    <t>https://hivos.my.salesforce.com/sfc/servlet.shepherd/version/renditionDownload?rendition=ORIGINAL_Jpg&amp;versionId=068QF00000FM0DhYAL</t>
  </si>
  <si>
    <t>https://hivos.my.salesforce.com/sfc/servlet.shepherd/version/renditionDownload?rendition=ORIGINAL_Jpg&amp;versionId=068QF00000FLrARYA1</t>
  </si>
  <si>
    <t>https://hivos.my.salesforce.com/sfc/servlet.shepherd/version/renditionDownload?rendition=ORIGINAL_Jpg&amp;versionId=068QF00000FMNBpYAP</t>
  </si>
  <si>
    <t>2024-09-21 14:12:00.000+03</t>
  </si>
  <si>
    <t>2024-09-22 12:26:00.000+03</t>
  </si>
  <si>
    <t>-0.510766, 30.018524</t>
  </si>
  <si>
    <t>Nasasira Pamela</t>
  </si>
  <si>
    <t>BSU/06446</t>
  </si>
  <si>
    <t>She had no contact</t>
  </si>
  <si>
    <t>They should repair her Bio digester</t>
  </si>
  <si>
    <t>https://hivos.my.salesforce.com/sfc/servlet.shepherd/version/renditionDownload?rendition=ORIGINAL_Jpg&amp;versionId=068QF00000FPjz4YAD</t>
  </si>
  <si>
    <t>https://hivos.my.salesforce.com/sfc/servlet.shepherd/version/renditionDownload?rendition=ORIGINAL_Jpg&amp;versionId=068QF00000FPq63YAD</t>
  </si>
  <si>
    <t>https://hivos.my.salesforce.com/sfc/servlet.shepherd/version/renditionDownload?rendition=ORIGINAL_Jpg&amp;versionId=068QF00000FRCXWYA5</t>
  </si>
  <si>
    <t>https://hivos.my.salesforce.com/sfc/servlet.shepherd/version/renditionDownload?rendition=ORIGINAL_Jpg&amp;versionId=068QF00000FR3CVYA1</t>
  </si>
  <si>
    <t>2024-09-22 12:38:00.000+03</t>
  </si>
  <si>
    <t>2024-09-21 11:20:00.000+03</t>
  </si>
  <si>
    <t>-0.517802, 30.224268</t>
  </si>
  <si>
    <t>The workers got infected while removing the residues</t>
  </si>
  <si>
    <t>The system is still intact</t>
  </si>
  <si>
    <t>https://hivos.my.salesforce.com/sfc/servlet.shepherd/version/renditionDownload?rendition=ORIGINAL_Jpg&amp;versionId=068QF00000FIf7JYAT</t>
  </si>
  <si>
    <t>https://hivos.my.salesforce.com/sfc/servlet.shepherd/version/renditionDownload?rendition=ORIGINAL_Jpg&amp;versionId=068QF00000FIT9OYAX</t>
  </si>
  <si>
    <t>https://hivos.my.salesforce.com/sfc/servlet.shepherd/version/renditionDownload?rendition=ORIGINAL_Jpg&amp;versionId=068QF00000FIeEWYA1</t>
  </si>
  <si>
    <t>2024-09-22 14:34:00.000+03</t>
  </si>
  <si>
    <t>-0.530390, 30.045475</t>
  </si>
  <si>
    <t>Enock Nkunda</t>
  </si>
  <si>
    <t>They told him to empty the digester and they will work on it but they have never showed up</t>
  </si>
  <si>
    <t>They should fix his biogas</t>
  </si>
  <si>
    <t>https://hivos.my.salesforce.com/sfc/servlet.shepherd/version/renditionDownload?rendition=ORIGINAL_Jpg&amp;versionId=068QF00000FMFxTYAX</t>
  </si>
  <si>
    <t>https://hivos.my.salesforce.com/sfc/servlet.shepherd/version/renditionDownload?rendition=ORIGINAL_Jpg&amp;versionId=068QF00000FMI2WYAX</t>
  </si>
  <si>
    <t>https://hivos.my.salesforce.com/sfc/servlet.shepherd/version/renditionDownload?rendition=ORIGINAL_Jpg&amp;versionId=068QF00000FM1xlYAD</t>
  </si>
  <si>
    <t>https://hivos.my.salesforce.com/sfc/servlet.shepherd/version/renditionDownload?rendition=ORIGINAL_Jpg&amp;versionId=068QF00000FMEBnYAP</t>
  </si>
  <si>
    <t>2024-09-22 14:47:00.000+03</t>
  </si>
  <si>
    <t>2024-09-23 15:21:00.000+03</t>
  </si>
  <si>
    <t>-0.383764, 30.144453</t>
  </si>
  <si>
    <t>Ntegakarija Anna</t>
  </si>
  <si>
    <t>it is quicker though it needs some safe gadgets to use while mixing the manure</t>
  </si>
  <si>
    <t>It has organic manure, it prepares quickly</t>
  </si>
  <si>
    <t>Other (non-lactating) cattle;Breeding swine;Goats</t>
  </si>
  <si>
    <t>They have much manure</t>
  </si>
  <si>
    <t>It is not health</t>
  </si>
  <si>
    <t>The manure is hard to use in bio digester</t>
  </si>
  <si>
    <t>Banana, coffee, greens, herbal plants</t>
  </si>
  <si>
    <t>Kagolo Gelard</t>
  </si>
  <si>
    <t>https://hivos.my.salesforce.com/sfc/servlet.shepherd/version/renditionDownload?rendition=ORIGINAL_Jpg&amp;versionId=068QF00000FPZQIYA5</t>
  </si>
  <si>
    <t>https://hivos.my.salesforce.com/sfc/servlet.shepherd/version/renditionDownload?rendition=ORIGINAL_Jpg&amp;versionId=068QF00000FPyehYAD</t>
  </si>
  <si>
    <t>https://hivos.my.salesforce.com/sfc/servlet.shepherd/version/renditionDownload?rendition=ORIGINAL_Jpg&amp;versionId=068QF00000FPccbYAD</t>
  </si>
  <si>
    <t>2024-09-23 16:04:00.000+03</t>
  </si>
  <si>
    <t>2024-09-23 13:36:00.000+03</t>
  </si>
  <si>
    <t>-0.596878, 30.107660</t>
  </si>
  <si>
    <t>Jesca Tumwine</t>
  </si>
  <si>
    <t>They did know the contacts</t>
  </si>
  <si>
    <t>Not Sure</t>
  </si>
  <si>
    <t>Someone to work on it</t>
  </si>
  <si>
    <t>Their biogas needs intervation because they can't use it since it produces a lot of gas</t>
  </si>
  <si>
    <t>https://hivos.my.salesforce.com/sfc/servlet.shepherd/version/renditionDownload?rendition=ORIGINAL_Jpg&amp;versionId=068QF00000FR0MgYAL</t>
  </si>
  <si>
    <t>https://hivos.my.salesforce.com/sfc/servlet.shepherd/version/renditionDownload?rendition=ORIGINAL_Jpg&amp;versionId=068QF00000FR1qbYAD</t>
  </si>
  <si>
    <t>https://hivos.my.salesforce.com/sfc/servlet.shepherd/version/renditionDownload?rendition=ORIGINAL_Jpg&amp;versionId=068QF00000FQqLlYAL</t>
  </si>
  <si>
    <t>2024-09-23 13:44:00.000+03</t>
  </si>
  <si>
    <t>2024-09-24 16:21:00.000+03</t>
  </si>
  <si>
    <t>-0.541368, 30.122528</t>
  </si>
  <si>
    <t>Kilimas Kalori</t>
  </si>
  <si>
    <t>It needs a lot of energy</t>
  </si>
  <si>
    <t>The manure is enough</t>
  </si>
  <si>
    <t>When you mix them, they become waterly</t>
  </si>
  <si>
    <t>Banana, Elephant grass</t>
  </si>
  <si>
    <t>The mason who build it</t>
  </si>
  <si>
    <t>https://hivos.my.salesforce.com/sfc/servlet.shepherd/version/renditionDownload?rendition=ORIGINAL_Jpg&amp;versionId=068QF00000FUSRNYA5</t>
  </si>
  <si>
    <t>https://hivos.my.salesforce.com/sfc/servlet.shepherd/version/renditionDownload?rendition=ORIGINAL_Jpg&amp;versionId=068QF00000FULJPYA5</t>
  </si>
  <si>
    <t>https://hivos.my.salesforce.com/sfc/servlet.shepherd/version/renditionDownload?rendition=ORIGINAL_Jpg&amp;versionId=068QF00000FU9lFYAT</t>
  </si>
  <si>
    <t>https://hivos.my.salesforce.com/sfc/servlet.shepherd/version/renditionDownload?rendition=ORIGINAL_Jpg&amp;versionId=068QF00000FUHB1YAP</t>
  </si>
  <si>
    <t>2024-09-24 17:00:00.000+03</t>
  </si>
  <si>
    <t>2024-09-21 15:32:00.000+03</t>
  </si>
  <si>
    <t>-0.524125, 30.117687</t>
  </si>
  <si>
    <t>Baziir Begumisa</t>
  </si>
  <si>
    <t>They were planning to call them</t>
  </si>
  <si>
    <t>the biogas doesn't produce gas</t>
  </si>
  <si>
    <t>https://hivos.my.salesforce.com/sfc/servlet.shepherd/version/renditionDownload?rendition=ORIGINAL_Jpg&amp;versionId=068QF00000FRM0bYAH</t>
  </si>
  <si>
    <t>https://hivos.my.salesforce.com/sfc/servlet.shepherd/version/renditionDownload?rendition=ORIGINAL_Jpg&amp;versionId=068QF00000FPjSmYAL</t>
  </si>
  <si>
    <t>https://hivos.my.salesforce.com/sfc/servlet.shepherd/version/renditionDownload?rendition=ORIGINAL_Jpg&amp;versionId=068QF00000FPyrZYAT</t>
  </si>
  <si>
    <t>https://hivos.my.salesforce.com/sfc/servlet.shepherd/version/renditionDownload?rendition=ORIGINAL_Jpg&amp;versionId=068QF00000FPWnKYAX</t>
  </si>
  <si>
    <t>2024-09-21 15:50:00.000+03</t>
  </si>
  <si>
    <t>2024-09-23 10:07:00.000+03</t>
  </si>
  <si>
    <t>-0.549775, 30.179247</t>
  </si>
  <si>
    <t>Namanya Milton</t>
  </si>
  <si>
    <t>It takes less time</t>
  </si>
  <si>
    <t>It is convenient and cooks quickly</t>
  </si>
  <si>
    <t>It is what they were advised to use</t>
  </si>
  <si>
    <t>They're always dirty</t>
  </si>
  <si>
    <t>Coffee, Matooke and elephant grass</t>
  </si>
  <si>
    <t>https://hivos.my.salesforce.com/sfc/servlet.shepherd/version/renditionDownload?rendition=ORIGINAL_Jpg&amp;versionId=068QF00000FQqLkYAL</t>
  </si>
  <si>
    <t>https://hivos.my.salesforce.com/sfc/servlet.shepherd/version/renditionDownload?rendition=ORIGINAL_Jpg&amp;versionId=068QF00000FQxTfYAL</t>
  </si>
  <si>
    <t>https://hivos.my.salesforce.com/sfc/servlet.shepherd/version/renditionDownload?rendition=ORIGINAL_Jpg&amp;versionId=068QF00000FQnFnYAL</t>
  </si>
  <si>
    <t>https://hivos.my.salesforce.com/sfc/servlet.shepherd/version/renditionDownload?rendition=ORIGINAL_Jpg&amp;versionId=068QF00000FQsvOYAT</t>
  </si>
  <si>
    <t>2024-09-23 10:27:00.000+03</t>
  </si>
  <si>
    <t>2024-09-21 16:15:00.000+03</t>
  </si>
  <si>
    <t>Ambrose Rukundo - 780252811</t>
  </si>
  <si>
    <t>-0.781630, 29.932157</t>
  </si>
  <si>
    <t>Kainanura Alice</t>
  </si>
  <si>
    <t>He never reported there to work on it</t>
  </si>
  <si>
    <t>They are waiting for a repairer</t>
  </si>
  <si>
    <t>Technical/repairing</t>
  </si>
  <si>
    <t>They need a repairer to work it</t>
  </si>
  <si>
    <t>https://hivos.my.salesforce.com/sfc/servlet.shepherd/version/renditionDownload?rendition=ORIGINAL_Jpg&amp;versionId=068QF00000FJJKrYAP</t>
  </si>
  <si>
    <t>https://hivos.my.salesforce.com/sfc/servlet.shepherd/version/renditionDownload?rendition=ORIGINAL_Jpg&amp;versionId=068QF00000FJJHdYAP</t>
  </si>
  <si>
    <t>https://hivos.my.salesforce.com/sfc/servlet.shepherd/version/renditionDownload?rendition=ORIGINAL_Jpg&amp;versionId=068QF00000FJEWUYA5</t>
  </si>
  <si>
    <t>https://hivos.my.salesforce.com/sfc/servlet.shepherd/version/renditionDownload?rendition=ORIGINAL_Jpg&amp;versionId=068QF00000FJGZuYAP</t>
  </si>
  <si>
    <t>2024-09-22 12:25:00.000+03</t>
  </si>
  <si>
    <t>-0.829292, 29.933213</t>
  </si>
  <si>
    <t>Tushemereirwe Winnie</t>
  </si>
  <si>
    <t>It's still usable</t>
  </si>
  <si>
    <t>No animals at home</t>
  </si>
  <si>
    <t>https://hivos.my.salesforce.com/sfc/servlet.shepherd/version/renditionDownload?rendition=ORIGINAL_Jpg&amp;versionId=068QF00000FUfTKYA1</t>
  </si>
  <si>
    <t>https://hivos.my.salesforce.com/sfc/servlet.shepherd/version/renditionDownload?rendition=ORIGINAL_Jpg&amp;versionId=068QF00000FUJpPYAX</t>
  </si>
  <si>
    <t>https://hivos.my.salesforce.com/sfc/servlet.shepherd/version/renditionDownload?rendition=ORIGINAL_Jpg&amp;versionId=068QF00000FUlwvYAD</t>
  </si>
  <si>
    <t>https://hivos.my.salesforce.com/sfc/servlet.shepherd/version/renditionDownload?rendition=ORIGINAL_Jpg&amp;versionId=068QF00000FUFFoYAP</t>
  </si>
  <si>
    <t>2024-09-23 15:12:00.000+03</t>
  </si>
  <si>
    <t>-0.737312, 29.843607</t>
  </si>
  <si>
    <t>Gas pipe valve not working well</t>
  </si>
  <si>
    <t>It's close and easy to mix the biogas</t>
  </si>
  <si>
    <t>It's cheap and for manure</t>
  </si>
  <si>
    <t>Coffee and banana plantations</t>
  </si>
  <si>
    <t>Needs a technical assistance to fix the regulator</t>
  </si>
  <si>
    <t>To fix the valve</t>
  </si>
  <si>
    <t>The biogas is working well</t>
  </si>
  <si>
    <t>https://hivos.my.salesforce.com/sfc/servlet.shepherd/version/renditionDownload?rendition=ORIGINAL_Jpg&amp;versionId=068QF00000FUbcgYAD</t>
  </si>
  <si>
    <t>https://hivos.my.salesforce.com/sfc/servlet.shepherd/version/renditionDownload?rendition=ORIGINAL_Jpg&amp;versionId=068QF00000FUAcZYAX</t>
  </si>
  <si>
    <t>https://hivos.my.salesforce.com/sfc/servlet.shepherd/version/renditionDownload?rendition=ORIGINAL_Jpg&amp;versionId=068QF00000FUDU2YAP</t>
  </si>
  <si>
    <t>https://hivos.my.salesforce.com/sfc/servlet.shepherd/version/renditionDownload?rendition=ORIGINAL_Jpg&amp;versionId=068QF00000FUgVsYAL</t>
  </si>
  <si>
    <t>2024-09-23 13:22:00.000+03</t>
  </si>
  <si>
    <t>-0.787005, 29.887442</t>
  </si>
  <si>
    <t>Tubyasingura Roy</t>
  </si>
  <si>
    <t>The biogas is near and easy to load</t>
  </si>
  <si>
    <t>It's very clean and cooks very fast</t>
  </si>
  <si>
    <t>Bananas and beans</t>
  </si>
  <si>
    <t>Technical assistance is needed to fix the gass pipe</t>
  </si>
  <si>
    <t>To fix the gass pipe to one of the stoves</t>
  </si>
  <si>
    <t>There is lack of technical assistance to fix minor issues on the biogas system</t>
  </si>
  <si>
    <t>https://hivos.my.salesforce.com/sfc/servlet.shepherd/version/renditionDownload?rendition=ORIGINAL_Jpg&amp;versionId=068QF00000FUeYuYAL</t>
  </si>
  <si>
    <t>https://hivos.my.salesforce.com/sfc/servlet.shepherd/version/renditionDownload?rendition=ORIGINAL_Jpg&amp;versionId=068QF00000FUazwYAD</t>
  </si>
  <si>
    <t>https://hivos.my.salesforce.com/sfc/servlet.shepherd/version/renditionDownload?rendition=ORIGINAL_Jpg&amp;versionId=068QF00000FU1asYAD</t>
  </si>
  <si>
    <t>https://hivos.my.salesforce.com/sfc/servlet.shepherd/version/renditionDownload?rendition=ORIGINAL_Jpg&amp;versionId=068QF00000FUj7BYAT</t>
  </si>
  <si>
    <t>2024-09-23 14:12:00.000+03</t>
  </si>
  <si>
    <t>2024-09-25 09:16:00.000+03</t>
  </si>
  <si>
    <t>-1.008067, 30.190050</t>
  </si>
  <si>
    <t>Victor Kiiza</t>
  </si>
  <si>
    <t>Biogas is easy to use</t>
  </si>
  <si>
    <t>Septic Tank</t>
  </si>
  <si>
    <t>Only when it's to be used as septic tank and get a little gas</t>
  </si>
  <si>
    <t>Not yet (i.e., digester was just installed)</t>
  </si>
  <si>
    <t>Innocent</t>
  </si>
  <si>
    <t>It's a motel business and biogas is used as septic tank</t>
  </si>
  <si>
    <t>Biogas is used as septic and no bio slurry gets out</t>
  </si>
  <si>
    <t>https://hivos.my.salesforce.com/sfc/servlet.shepherd/version/renditionDownload?rendition=ORIGINAL_Jpg&amp;versionId=068QF00000FZWniYAH</t>
  </si>
  <si>
    <t>https://hivos.my.salesforce.com/sfc/servlet.shepherd/version/renditionDownload?rendition=ORIGINAL_Jpg&amp;versionId=068QF00000FZQ2NYAX</t>
  </si>
  <si>
    <t>https://hivos.my.salesforce.com/sfc/servlet.shepherd/version/renditionDownload?rendition=ORIGINAL_Jpg&amp;versionId=068QF00000FZqT0YAL</t>
  </si>
  <si>
    <t>https://hivos.my.salesforce.com/sfc/servlet.shepherd/version/renditionDownload?rendition=ORIGINAL_Jpg&amp;versionId=068QF00000FZibxYAD</t>
  </si>
  <si>
    <t>2024-09-23 16:31:00.000+03</t>
  </si>
  <si>
    <t>-0.728582, 29.856058</t>
  </si>
  <si>
    <t>Ndyamureba Eric</t>
  </si>
  <si>
    <t>Biogas is close and easier to load</t>
  </si>
  <si>
    <t>It cooks quickly and its clean</t>
  </si>
  <si>
    <t>No answer</t>
  </si>
  <si>
    <t>Banana, beans and maize</t>
  </si>
  <si>
    <t>Biogas cover is damaged</t>
  </si>
  <si>
    <t>Need of renovating the biogas cover</t>
  </si>
  <si>
    <t>Biodigester  has damaged cover</t>
  </si>
  <si>
    <t>https://hivos.my.salesforce.com/sfc/servlet.shepherd/version/renditionDownload?rendition=ORIGINAL_Jpg&amp;versionId=068QF00000FUWJgYAP</t>
  </si>
  <si>
    <t>https://hivos.my.salesforce.com/sfc/servlet.shepherd/version/renditionDownload?rendition=ORIGINAL_Jpg&amp;versionId=068QF00000FUV4HYAX</t>
  </si>
  <si>
    <t>https://hivos.my.salesforce.com/sfc/servlet.shepherd/version/renditionDownload?rendition=ORIGINAL_Jpg&amp;versionId=068QF00000FUm9pYAD</t>
  </si>
  <si>
    <t>https://hivos.my.salesforce.com/sfc/servlet.shepherd/version/renditionDownload?rendition=ORIGINAL_Jpg&amp;versionId=068QF00000FUm8DYAT</t>
  </si>
  <si>
    <t>2024-09-23 17:26:00.000+03</t>
  </si>
  <si>
    <t>2024-09-25 12:12:00.000+03</t>
  </si>
  <si>
    <t>-0.896467, 30.239670</t>
  </si>
  <si>
    <t>Kyotungeire Annet</t>
  </si>
  <si>
    <t>It eases the cooking</t>
  </si>
  <si>
    <t>Banana coffee and beans</t>
  </si>
  <si>
    <t>Social activities;Family activities</t>
  </si>
  <si>
    <t>The techinical assistance to fix the gas pipe</t>
  </si>
  <si>
    <t>Well maintained</t>
  </si>
  <si>
    <t>https://hivos.my.salesforce.com/sfc/servlet.shepherd/version/renditionDownload?rendition=ORIGINAL_Jpg&amp;versionId=068QF00000FZV3ZYAX</t>
  </si>
  <si>
    <t>https://hivos.my.salesforce.com/sfc/servlet.shepherd/version/renditionDownload?rendition=ORIGINAL_Jpg&amp;versionId=068QF00000FZuukYAD</t>
  </si>
  <si>
    <t>https://hivos.my.salesforce.com/sfc/servlet.shepherd/version/renditionDownload?rendition=ORIGINAL_Jpg&amp;versionId=068QF00000FZnwVYAT</t>
  </si>
  <si>
    <t>https://hivos.my.salesforce.com/sfc/servlet.shepherd/version/renditionDownload?rendition=ORIGINAL_Jpg&amp;versionId=068QF00000FZtsFYAT</t>
  </si>
  <si>
    <t>2024-09-21 12:10:00.000+03</t>
  </si>
  <si>
    <t>-0.880628, 29.985087</t>
  </si>
  <si>
    <t>Tinkasimiire Eldad</t>
  </si>
  <si>
    <t>Needs simple repairs of broken gas pipe but it's because of lack of manpower.</t>
  </si>
  <si>
    <t>Training the workers how to use it and a little repairs.</t>
  </si>
  <si>
    <t>The owner is very old</t>
  </si>
  <si>
    <t>https://hivos.my.salesforce.com/sfc/servlet.shepherd/version/renditionDownload?rendition=ORIGINAL_Jpg&amp;versionId=068QF00000FJ8J2YAL</t>
  </si>
  <si>
    <t>https://hivos.my.salesforce.com/sfc/servlet.shepherd/version/renditionDownload?rendition=ORIGINAL_Jpg&amp;versionId=068QF00000FJ0wdYAD</t>
  </si>
  <si>
    <t>https://hivos.my.salesforce.com/sfc/servlet.shepherd/version/renditionDownload?rendition=ORIGINAL_Jpg&amp;versionId=068QF00000FJGWkYAP</t>
  </si>
  <si>
    <t>2024-09-21 13:34:00.000+03</t>
  </si>
  <si>
    <t>-0.839048, 30.020152</t>
  </si>
  <si>
    <t>Mrs Muhiirwe Beatrice</t>
  </si>
  <si>
    <t>He didn't come to repair the pipe</t>
  </si>
  <si>
    <t>She needs the technical assistance to fix her digester</t>
  </si>
  <si>
    <t>Technical assistance</t>
  </si>
  <si>
    <t>She desperately needs technical assistance to have it done.</t>
  </si>
  <si>
    <t>https://hivos.my.salesforce.com/sfc/servlet.shepherd/version/renditionDownload?rendition=ORIGINAL_Jpg&amp;versionId=068QF00000FUlvJYAT</t>
  </si>
  <si>
    <t>https://hivos.my.salesforce.com/sfc/servlet.shepherd/version/renditionDownload?rendition=ORIGINAL_Jpg&amp;versionId=068QF00000FUlX8YAL</t>
  </si>
  <si>
    <t>https://hivos.my.salesforce.com/sfc/servlet.shepherd/version/renditionDownload?rendition=ORIGINAL_Jpg&amp;versionId=068QF00000FJIrpYAH</t>
  </si>
  <si>
    <t>https://hivos.my.salesforce.com/sfc/servlet.shepherd/version/renditionDownload?rendition=ORIGINAL_Jpg&amp;versionId=068QF00000FUl7KYAT</t>
  </si>
  <si>
    <t>2024-09-22 11:03:00.000+03</t>
  </si>
  <si>
    <t>-0.844830, 29.972247</t>
  </si>
  <si>
    <t>Katungwensi Jack</t>
  </si>
  <si>
    <t>Shifted the animals to another place</t>
  </si>
  <si>
    <t>Unable to use it now</t>
  </si>
  <si>
    <t>The owner is old and no animals there</t>
  </si>
  <si>
    <t>https://hivos.my.salesforce.com/sfc/servlet.shepherd/version/renditionDownload?rendition=ORIGINAL_Jpg&amp;versionId=068QF00000FUjtXYAT</t>
  </si>
  <si>
    <t>https://hivos.my.salesforce.com/sfc/servlet.shepherd/version/renditionDownload?rendition=ORIGINAL_Jpg&amp;versionId=068QF00000FTWiGYAX</t>
  </si>
  <si>
    <t>https://hivos.my.salesforce.com/sfc/servlet.shepherd/version/renditionDownload?rendition=ORIGINAL_Jpg&amp;versionId=068QF00000FTunmYAD</t>
  </si>
  <si>
    <t>https://hivos.my.salesforce.com/sfc/servlet.shepherd/version/renditionDownload?rendition=ORIGINAL_Jpg&amp;versionId=068QF00000FUEhlYAH</t>
  </si>
  <si>
    <t>2024-09-23 09:35:00.000+03</t>
  </si>
  <si>
    <t>-0.853288, 30.010735</t>
  </si>
  <si>
    <t>Kabusasi Jonathan B</t>
  </si>
  <si>
    <t>It's useful in cooking and takes less time</t>
  </si>
  <si>
    <t>Happy with biogas</t>
  </si>
  <si>
    <t>Repairing biogas lighting</t>
  </si>
  <si>
    <t>The biogas light is not working</t>
  </si>
  <si>
    <t>https://hivos.my.salesforce.com/sfc/servlet.shepherd/version/renditionDownload?rendition=ORIGINAL_Jpg&amp;versionId=068QF00000FUPA6YAP</t>
  </si>
  <si>
    <t>https://hivos.my.salesforce.com/sfc/servlet.shepherd/version/renditionDownload?rendition=ORIGINAL_Jpg&amp;versionId=068QF00000FUOvbYAH</t>
  </si>
  <si>
    <t>https://hivos.my.salesforce.com/sfc/servlet.shepherd/version/renditionDownload?rendition=ORIGINAL_Jpg&amp;versionId=068QF00000FUMiWYAX</t>
  </si>
  <si>
    <t>2024-09-25 14:41:00.000+03</t>
  </si>
  <si>
    <t>-0.903245, 30.389448</t>
  </si>
  <si>
    <t>Byaruhanga George</t>
  </si>
  <si>
    <t>Cow dung is always available</t>
  </si>
  <si>
    <t>It eases life's firewood is very scarce</t>
  </si>
  <si>
    <t>Coffee's ,banana, beans</t>
  </si>
  <si>
    <t>Currently there some water shortage</t>
  </si>
  <si>
    <t>They need biogas to start outpouring the bioslurry</t>
  </si>
  <si>
    <t>Alot of bio slurry stored because of lack rains</t>
  </si>
  <si>
    <t>https://hivos.my.salesforce.com/sfc/servlet.shepherd/version/renditionDownload?rendition=ORIGINAL_Jpg&amp;versionId=068QF00000FZcBdYAL</t>
  </si>
  <si>
    <t>https://hivos.my.salesforce.com/sfc/servlet.shepherd/version/renditionDownload?rendition=ORIGINAL_Jpg&amp;versionId=068QF00000FZo31YAD</t>
  </si>
  <si>
    <t>https://hivos.my.salesforce.com/sfc/servlet.shepherd/version/renditionDownload?rendition=ORIGINAL_Jpg&amp;versionId=068QF00000FZvyrYAD</t>
  </si>
  <si>
    <t>https://hivos.my.salesforce.com/sfc/servlet.shepherd/version/renditionDownload?rendition=ORIGINAL_Jpg&amp;versionId=068QF00000FZvxFYAT</t>
  </si>
  <si>
    <t>2024-09-21 10:35:00.000+03</t>
  </si>
  <si>
    <t>Amuge Deborah - 785717848</t>
  </si>
  <si>
    <t>2.195347, 32.619603</t>
  </si>
  <si>
    <t>Simon Peter Lomilo</t>
  </si>
  <si>
    <t>Biogas is quick and easy to use</t>
  </si>
  <si>
    <t>Biogas is quick and cheap You can use it for cooking at any time</t>
  </si>
  <si>
    <t>Cow dung is too much</t>
  </si>
  <si>
    <t>The cow dung is too much</t>
  </si>
  <si>
    <t>Cow dung is plenty, so they don't bother to put in the biodigester</t>
  </si>
  <si>
    <t>Sheep manure too difficult to manage</t>
  </si>
  <si>
    <t>Cow dung too much</t>
  </si>
  <si>
    <t>Solid storage, liquid slurry (brown porridge)</t>
  </si>
  <si>
    <t>No Answer</t>
  </si>
  <si>
    <t>Maize Cassava Beans and soya beans</t>
  </si>
  <si>
    <t>To find ways of how the gas can be stored and sold because they have alot of cow dung</t>
  </si>
  <si>
    <t>https://hivos.my.salesforce.com/sfc/servlet.shepherd/version/renditionDownload?rendition=ORIGINAL_Jpg&amp;versionId=068QF00000FWRyxYAH</t>
  </si>
  <si>
    <t>https://hivos.my.salesforce.com/sfc/servlet.shepherd/version/renditionDownload?rendition=ORIGINAL_Jpg&amp;versionId=068QF00000FJPgQYAX</t>
  </si>
  <si>
    <t>https://hivos.my.salesforce.com/sfc/servlet.shepherd/version/renditionDownload?rendition=ORIGINAL_Jpg&amp;versionId=068QF00000FJNUwYAP</t>
  </si>
  <si>
    <t>2024-09-21 15:29:00.000+03</t>
  </si>
  <si>
    <t>2.753247, 32.292091</t>
  </si>
  <si>
    <t>Opira Thomas Kibalo</t>
  </si>
  <si>
    <t>He is too told to feed and take care of the biogas. The biodigester and stove  got spoilt.</t>
  </si>
  <si>
    <t>https://hivos.my.salesforce.com/sfc/servlet.shepherd/version/renditionDownload?rendition=ORIGINAL_Jpg&amp;versionId=068QF00000FWEfAYAX</t>
  </si>
  <si>
    <t>https://hivos.my.salesforce.com/sfc/servlet.shepherd/version/renditionDownload?rendition=ORIGINAL_Jpg&amp;versionId=068QF00000FJPzlYAH</t>
  </si>
  <si>
    <t>2.736533, 32.309079</t>
  </si>
  <si>
    <t>Watmon Charles</t>
  </si>
  <si>
    <t>I lost the contact of the person who built it.</t>
  </si>
  <si>
    <t>He wants to know the problem with his biogas, so that he can get it fixed.</t>
  </si>
  <si>
    <t>Repair of the biogas</t>
  </si>
  <si>
    <t>https://hivos.my.salesforce.com/sfc/servlet.shepherd/version/renditionDownload?rendition=ORIGINAL_Jpg&amp;versionId=068QF00000FJMiYYAX</t>
  </si>
  <si>
    <t>https://hivos.my.salesforce.com/sfc/servlet.shepherd/version/renditionDownload?rendition=ORIGINAL_Jpg&amp;versionId=068QF00000FJQ4bYAH</t>
  </si>
  <si>
    <t>https://hivos.my.salesforce.com/sfc/servlet.shepherd/version/renditionDownload?rendition=ORIGINAL_Jpg&amp;versionId=068QF00000FWIkNYAX</t>
  </si>
  <si>
    <t>2024-09-22 11:02:00.000+03</t>
  </si>
  <si>
    <t>2.824495, 32.355680</t>
  </si>
  <si>
    <t>Okongo Solomon Oola</t>
  </si>
  <si>
    <t>He bought animals and he plans on putting back the biogas system.</t>
  </si>
  <si>
    <t>He wants to  be supported physically so that he can have the biogas working again. They want biogas solutions to be servicing the biogas systems atleast every after six months.</t>
  </si>
  <si>
    <t>I couldn't capture the pictures of the biogas stove and the old stove because they got spoilt.</t>
  </si>
  <si>
    <t>https://hivos.my.salesforce.com/sfc/servlet.shepherd/version/renditionDownload?rendition=ORIGINAL_Jpg&amp;versionId=068QF00000FWGXIYA5</t>
  </si>
  <si>
    <t>https://hivos.my.salesforce.com/sfc/servlet.shepherd/version/renditionDownload?rendition=ORIGINAL_Jpg&amp;versionId=068QF00000FOvRFYA1</t>
  </si>
  <si>
    <t>https://hivos.my.salesforce.com/sfc/servlet.shepherd/version/renditionDownload?rendition=ORIGINAL_Jpg&amp;versionId=068QF00000FP5X0YAL</t>
  </si>
  <si>
    <t>2024-09-22 14:03:00.000+03</t>
  </si>
  <si>
    <t>2.950889, 32.569416</t>
  </si>
  <si>
    <t>Benedict Labeja</t>
  </si>
  <si>
    <t>He plans on putting the biogas back to function after he has finished constructing the kraal for cows</t>
  </si>
  <si>
    <t>They need more training on how to use and maintain the biogas system.</t>
  </si>
  <si>
    <t>The kraal where the cows will be kept is still under construction. The biogas stove was taken to a different place because they wanted to keep it safe.</t>
  </si>
  <si>
    <t>https://hivos.my.salesforce.com/sfc/servlet.shepherd/version/renditionDownload?rendition=ORIGINAL_Jpg&amp;versionId=068QF00000FWLyPYAX</t>
  </si>
  <si>
    <t>https://hivos.my.salesforce.com/sfc/servlet.shepherd/version/renditionDownload?rendition=ORIGINAL_Jpg&amp;versionId=068QF00000FPEX1YAP</t>
  </si>
  <si>
    <t>2024-09-23 15:04:00.000+03</t>
  </si>
  <si>
    <t>2.751988, 32.295880</t>
  </si>
  <si>
    <t>AOL okech Florence</t>
  </si>
  <si>
    <t>It cooks food very fast</t>
  </si>
  <si>
    <t>I want feedback on the research that is collected from them about biogas.</t>
  </si>
  <si>
    <t>The bio-slurry is stored for like 6 months then when it's removed, she pours it outdoors.</t>
  </si>
  <si>
    <t>https://hivos.my.salesforce.com/sfc/servlet.shepherd/version/renditionDownload?rendition=ORIGINAL_Jpg&amp;versionId=068QF00000FOyAbYAL</t>
  </si>
  <si>
    <t>https://hivos.my.salesforce.com/sfc/servlet.shepherd/version/renditionDownload?rendition=ORIGINAL_Jpg&amp;versionId=068QF00000FPOcoYAH</t>
  </si>
  <si>
    <t>https://hivos.my.salesforce.com/sfc/servlet.shepherd/version/renditionDownload?rendition=ORIGINAL_Jpg&amp;versionId=068QF00000FWCa8YAH</t>
  </si>
  <si>
    <t>https://hivos.my.salesforce.com/sfc/servlet.shepherd/version/renditionDownload?rendition=ORIGINAL_Jpg&amp;versionId=068QF00000FP3i3YAD</t>
  </si>
  <si>
    <t>2024-09-22 17:01:00.000+03</t>
  </si>
  <si>
    <t>2.727232, 32.297479</t>
  </si>
  <si>
    <t>Sister Inlaw</t>
  </si>
  <si>
    <t>Bako Christine</t>
  </si>
  <si>
    <t>Biogas is fast while cooking food</t>
  </si>
  <si>
    <t>It's too much and it gets wasted if you pour all of it in the digester.</t>
  </si>
  <si>
    <t>The one for the cows is enough to feed the biodigester, the hens are few, they can't produce enough manure</t>
  </si>
  <si>
    <t>The cow dung fed into the digester is enough, so they don't need the goats manure.</t>
  </si>
  <si>
    <t>Sukuma wiki Onions Maize</t>
  </si>
  <si>
    <t>The biogas is functioning well.</t>
  </si>
  <si>
    <t>https://hivos.my.salesforce.com/sfc/servlet.shepherd/version/renditionDownload?rendition=ORIGINAL_Jpg&amp;versionId=068QF00000FPOjFYAX</t>
  </si>
  <si>
    <t>https://hivos.my.salesforce.com/sfc/servlet.shepherd/version/renditionDownload?rendition=ORIGINAL_Jpg&amp;versionId=068QF00000FWVHlYAP</t>
  </si>
  <si>
    <t>https://hivos.my.salesforce.com/sfc/servlet.shepherd/version/renditionDownload?rendition=ORIGINAL_Jpg&amp;versionId=068QF00000FPOeQYAX</t>
  </si>
  <si>
    <t>https://hivos.my.salesforce.com/sfc/servlet.shepherd/version/renditionDownload?rendition=ORIGINAL_Jpg&amp;versionId=068QF00000FPC8fYAH</t>
  </si>
  <si>
    <t>2.785056, 32.294519</t>
  </si>
  <si>
    <t>Ochola Juliet</t>
  </si>
  <si>
    <t>Bank</t>
  </si>
  <si>
    <t>They sell the balance</t>
  </si>
  <si>
    <t>The cowdung is enough for the digester</t>
  </si>
  <si>
    <t>To acquire more knowledge on the use of biogas and how to maintain it.</t>
  </si>
  <si>
    <t>https://hivos.my.salesforce.com/sfc/servlet.shepherd/version/renditionDownload?rendition=ORIGINAL_Jpg&amp;versionId=068QF00000FPMXoYAP</t>
  </si>
  <si>
    <t>https://hivos.my.salesforce.com/sfc/servlet.shepherd/version/renditionDownload?rendition=ORIGINAL_Jpg&amp;versionId=068QF00000FPIM7YAP</t>
  </si>
  <si>
    <t>https://hivos.my.salesforce.com/sfc/servlet.shepherd/version/renditionDownload?rendition=ORIGINAL_Jpg&amp;versionId=068QF00000FWC5SYAX</t>
  </si>
  <si>
    <t>2024-09-23 13:31:00.000+03</t>
  </si>
  <si>
    <t>2.729360, 32.365902</t>
  </si>
  <si>
    <t>Oryem Vanancio</t>
  </si>
  <si>
    <t>He kept on telling him he was coming but it was in vain</t>
  </si>
  <si>
    <t>He plans on fixing the biogas but he is not sure when he'll do it.</t>
  </si>
  <si>
    <t>He needs physical support to help him fix it</t>
  </si>
  <si>
    <t>https://hivos.my.salesforce.com/sfc/servlet.shepherd/version/renditionDownload?rendition=ORIGINAL_Jpg&amp;versionId=068QF00000FWHwOYAX</t>
  </si>
  <si>
    <t>https://hivos.my.salesforce.com/sfc/servlet.shepherd/version/renditionDownload?rendition=ORIGINAL_Jpg&amp;versionId=068QF00000FPHl2YAH</t>
  </si>
  <si>
    <t>2024-09-24 13:16:00.000+03</t>
  </si>
  <si>
    <t>2.712973, 32.223629</t>
  </si>
  <si>
    <t>Manager</t>
  </si>
  <si>
    <t>Oketch Francis</t>
  </si>
  <si>
    <t>We used to spend more time collecting firewood.</t>
  </si>
  <si>
    <t>It's easy to work with. It's time saving</t>
  </si>
  <si>
    <t>Dairy cattle;Market swine (fattening pigs);Poultry;Goats</t>
  </si>
  <si>
    <t>It's sold</t>
  </si>
  <si>
    <t>It is decomposed for manure</t>
  </si>
  <si>
    <t>Cow dung from dairy cattle is enough</t>
  </si>
  <si>
    <t>Cabbages  Tomatoes  Eggplants Green pepper</t>
  </si>
  <si>
    <t>Biogas Solution Uganda Ltd</t>
  </si>
  <si>
    <t>Feeding and maintaining the digester takes time.</t>
  </si>
  <si>
    <t>The old stove was demolished because it was a three stone stove and now they use a chimney for firewood.</t>
  </si>
  <si>
    <t>https://hivos.my.salesforce.com/sfc/servlet.shepherd/version/renditionDownload?rendition=ORIGINAL_Jpg&amp;versionId=068QF00000FWMXqYAP</t>
  </si>
  <si>
    <t>https://hivos.my.salesforce.com/sfc/servlet.shepherd/version/renditionDownload?rendition=ORIGINAL_Jpg&amp;versionId=068QF00000FWMw4YAH</t>
  </si>
  <si>
    <t>https://hivos.my.salesforce.com/sfc/servlet.shepherd/version/renditionDownload?rendition=ORIGINAL_Jpg&amp;versionId=068QF00000FWHupYAH</t>
  </si>
  <si>
    <t>2024-09-24 10:26:00.000+03</t>
  </si>
  <si>
    <t>2.751025, 32.325396</t>
  </si>
  <si>
    <t>It's very fast and time saving</t>
  </si>
  <si>
    <t>It's too much than the digester can absorb</t>
  </si>
  <si>
    <t>The hens are few, they can't produce enough manure to be fed in the digester.</t>
  </si>
  <si>
    <t>Bioslurry is sold</t>
  </si>
  <si>
    <t>No1: I sell it;No3: I just let it run over my fields</t>
  </si>
  <si>
    <t>He wants biogas to be diversified, so that he can have his biogas connected to all electrical appliances like fridge for him to save on the electricity usage on cooling the milk.</t>
  </si>
  <si>
    <t>Training on how to turn cowdung into briquettes.</t>
  </si>
  <si>
    <t>He only sells the solid slurry and  liquid slurry is left to flow.</t>
  </si>
  <si>
    <t>https://hivos.my.salesforce.com/sfc/servlet.shepherd/version/renditionDownload?rendition=ORIGINAL_Jpg&amp;versionId=068QF00000FWV3GYAX</t>
  </si>
  <si>
    <t>https://hivos.my.salesforce.com/sfc/servlet.shepherd/version/renditionDownload?rendition=ORIGINAL_Jpg&amp;versionId=068QF00000FWVKzYAP</t>
  </si>
  <si>
    <t>https://hivos.my.salesforce.com/sfc/servlet.shepherd/version/renditionDownload?rendition=ORIGINAL_Jpg&amp;versionId=068QF00000FWUlWYAX</t>
  </si>
  <si>
    <t>2024-09-25 15:45:00.000+03</t>
  </si>
  <si>
    <t>2.817005, 32.340553</t>
  </si>
  <si>
    <t>Oketayot Joseph</t>
  </si>
  <si>
    <t>Stolen</t>
  </si>
  <si>
    <t>We used to take alot of time collecting firewood.</t>
  </si>
  <si>
    <t>It's effecient and time saving</t>
  </si>
  <si>
    <t>It's too much to be fed into the digester</t>
  </si>
  <si>
    <t>Bananas  Vegetables, onions</t>
  </si>
  <si>
    <t>The time spent to collect cowdung and mix it is much</t>
  </si>
  <si>
    <t>I need a stove that is more efficient in using the gas.</t>
  </si>
  <si>
    <t>Better gas cooker</t>
  </si>
  <si>
    <t>https://hivos.my.salesforce.com/sfc/servlet.shepherd/version/renditionDownload?rendition=ORIGINAL_Jpg&amp;versionId=068QF00000FZajEYAT</t>
  </si>
  <si>
    <t>https://hivos.my.salesforce.com/sfc/servlet.shepherd/version/renditionDownload?rendition=ORIGINAL_Jpg&amp;versionId=068QF00000FZoNwYAL</t>
  </si>
  <si>
    <t>https://hivos.my.salesforce.com/sfc/servlet.shepherd/version/renditionDownload?rendition=ORIGINAL_Jpg&amp;versionId=068QF00000FZwV7YAL</t>
  </si>
  <si>
    <t>2024-09-21 15:35:00.000+03</t>
  </si>
  <si>
    <t>Angucia Joy - 774145502</t>
  </si>
  <si>
    <t>3.026240, 30.922334</t>
  </si>
  <si>
    <t>Ayukuru Salome</t>
  </si>
  <si>
    <t>They did not bother calling  the manson. Did not have the number  of the mason</t>
  </si>
  <si>
    <t>The gas was useful for some time. They will try to contact  a technical   person for help.</t>
  </si>
  <si>
    <t>Technical  person  to fix the liakage</t>
  </si>
  <si>
    <t>Still interested  in using  the system</t>
  </si>
  <si>
    <t>https://hivos.my.salesforce.com/sfc/servlet.shepherd/version/renditionDownload?rendition=ORIGINAL_Jpg&amp;versionId=068QF00000FJkL4YAL</t>
  </si>
  <si>
    <t>https://hivos.my.salesforce.com/sfc/servlet.shepherd/version/renditionDownload?rendition=ORIGINAL_Jpg&amp;versionId=068QF00000FJsdZYAT</t>
  </si>
  <si>
    <t>https://hivos.my.salesforce.com/sfc/servlet.shepherd/version/renditionDownload?rendition=ORIGINAL_Jpg&amp;versionId=068QF00000FJsfBYAT</t>
  </si>
  <si>
    <t>https://hivos.my.salesforce.com/sfc/servlet.shepherd/version/renditionDownload?rendition=ORIGINAL_Jpg&amp;versionId=068QF00000FJjQhYAL</t>
  </si>
  <si>
    <t>2024-09-21 12:46:00.000+03</t>
  </si>
  <si>
    <t>3.001954, 30.909266</t>
  </si>
  <si>
    <t>Aligo Lillian</t>
  </si>
  <si>
    <t>The system  has no problem  but no one to feed  the digester</t>
  </si>
  <si>
    <t>The system  is okay,  They have enough  cow dung, but the people  at home got lazy to feed the digester</t>
  </si>
  <si>
    <t>https://hivos.my.salesforce.com/sfc/servlet.shepherd/version/renditionDownload?rendition=ORIGINAL_Jpg&amp;versionId=068QF00000FJpPaYAL</t>
  </si>
  <si>
    <t>https://hivos.my.salesforce.com/sfc/servlet.shepherd/version/renditionDownload?rendition=ORIGINAL_Jpg&amp;versionId=068QF00000FJsgnYAD</t>
  </si>
  <si>
    <t>https://hivos.my.salesforce.com/sfc/servlet.shepherd/version/renditionDownload?rendition=ORIGINAL_Jpg&amp;versionId=068QF00000FJk1kYAD</t>
  </si>
  <si>
    <t>https://hivos.my.salesforce.com/sfc/servlet.shepherd/version/renditionDownload?rendition=ORIGINAL_Jpg&amp;versionId=068QF00000FRKtJYAX</t>
  </si>
  <si>
    <t>2024-09-21 10:01:00.000+03</t>
  </si>
  <si>
    <t>3.092272, 30.880527</t>
  </si>
  <si>
    <t>Agiyo Mophat</t>
  </si>
  <si>
    <t>No one to feed it  Went to work in pawuro and wife divorced</t>
  </si>
  <si>
    <t>Technical , after  being away it got some blockages</t>
  </si>
  <si>
    <t>Needs intervention  for it to work  again from a more experienced  mason because  he is also a mason but with little  knowledge</t>
  </si>
  <si>
    <t>https://hivos.my.salesforce.com/sfc/servlet.shepherd/version/renditionDownload?rendition=ORIGINAL_Jpg&amp;versionId=068QF00000FJsvJYAT</t>
  </si>
  <si>
    <t>https://hivos.my.salesforce.com/sfc/servlet.shepherd/version/renditionDownload?rendition=ORIGINAL_Jpg&amp;versionId=068QF00000FJswvYAD</t>
  </si>
  <si>
    <t>https://hivos.my.salesforce.com/sfc/servlet.shepherd/version/renditionDownload?rendition=ORIGINAL_Jpg&amp;versionId=068QF00000FJnkMYAT</t>
  </si>
  <si>
    <t>https://hivos.my.salesforce.com/sfc/servlet.shepherd/version/renditionDownload?rendition=ORIGINAL_Jpg&amp;versionId=068QF00000FJsyXYAT</t>
  </si>
  <si>
    <t>2024-09-21 10:10:00.000+03</t>
  </si>
  <si>
    <t>2024-09-22 08:13:00.000+03</t>
  </si>
  <si>
    <t>2.933967, 30.894458</t>
  </si>
  <si>
    <t>Abiria Joyce</t>
  </si>
  <si>
    <t>Clean  working  Crooks faster Starts faster</t>
  </si>
  <si>
    <t>its used as farm yard manure</t>
  </si>
  <si>
    <t>the goats dung is hard and little in size</t>
  </si>
  <si>
    <t>Maize Beans</t>
  </si>
  <si>
    <t>House hold  system  was built  by her son so some questions  she is not sure of the answers</t>
  </si>
  <si>
    <t>System  works  well</t>
  </si>
  <si>
    <t>https://hivos.my.salesforce.com/sfc/servlet.shepherd/version/renditionDownload?rendition=ORIGINAL_Jpg&amp;versionId=068QF00000FQn2xYAD</t>
  </si>
  <si>
    <t>https://hivos.my.salesforce.com/sfc/servlet.shepherd/version/renditionDownload?rendition=ORIGINAL_Jpg&amp;versionId=068QF00000FRFjxYAH</t>
  </si>
  <si>
    <t>https://hivos.my.salesforce.com/sfc/servlet.shepherd/version/renditionDownload?rendition=ORIGINAL_Jpg&amp;versionId=068QF00000FRfeMYAT</t>
  </si>
  <si>
    <t>https://hivos.my.salesforce.com/sfc/servlet.shepherd/version/renditionDownload?rendition=ORIGINAL_Jpg&amp;versionId=068QF00000FRPsxYAH</t>
  </si>
  <si>
    <t>2024-09-23 11:12:00.000+03</t>
  </si>
  <si>
    <t>3.169039, 30.901164</t>
  </si>
  <si>
    <t>Anaku Patric</t>
  </si>
  <si>
    <t>No help received. They promised  to come and fix but they didn't  come.</t>
  </si>
  <si>
    <t>Fix the leakage Fix pro Uv enabled  Too much heat and cold degenerates the system</t>
  </si>
  <si>
    <t>Fixing  the cover and the leakage</t>
  </si>
  <si>
    <t>https://hivos.my.salesforce.com/sfc/servlet.shepherd/version/renditionDownload?rendition=ORIGINAL_Jpg&amp;versionId=068QF00000FRP3LYAX</t>
  </si>
  <si>
    <t>https://hivos.my.salesforce.com/sfc/servlet.shepherd/version/renditionDownload?rendition=ORIGINAL_Jpg&amp;versionId=068QF00000FRWZVYA5</t>
  </si>
  <si>
    <t>https://hivos.my.salesforce.com/sfc/servlet.shepherd/version/renditionDownload?rendition=ORIGINAL_Jpg&amp;versionId=068QF00000FRNxbYAH</t>
  </si>
  <si>
    <t>https://hivos.my.salesforce.com/sfc/servlet.shepherd/version/renditionDownload?rendition=ORIGINAL_Jpg&amp;versionId=068QF00000FRi4LYAT</t>
  </si>
  <si>
    <t>2024-09-22 09:47:00.000+03</t>
  </si>
  <si>
    <t>2.947890, 30.899406</t>
  </si>
  <si>
    <t>Alezuyo Annet</t>
  </si>
  <si>
    <t>The mason promised to come but no help recieved</t>
  </si>
  <si>
    <t>Right  now needs  it to be fixed  so that they can use it</t>
  </si>
  <si>
    <t>Burnt pipe needs to be fixed</t>
  </si>
  <si>
    <t>Family  wants the system  fixed Ready to pay for any repairs</t>
  </si>
  <si>
    <t>https://hivos.my.salesforce.com/sfc/servlet.shepherd/version/renditionDownload?rendition=ORIGINAL_Jpg&amp;versionId=068QF00000FRPMlYAP</t>
  </si>
  <si>
    <t>https://hivos.my.salesforce.com/sfc/servlet.shepherd/version/renditionDownload?rendition=ORIGINAL_Jpg&amp;versionId=068QF00000FRW4pYAH</t>
  </si>
  <si>
    <t>https://hivos.my.salesforce.com/sfc/servlet.shepherd/version/renditionDownload?rendition=ORIGINAL_Jpg&amp;versionId=068QF00000FROVUYA5</t>
  </si>
  <si>
    <t>https://hivos.my.salesforce.com/sfc/servlet.shepherd/version/renditionDownload?rendition=ORIGINAL_Jpg&amp;versionId=068QF00000FRg91YAD</t>
  </si>
  <si>
    <t>2024-09-22 11:51:00.000+03</t>
  </si>
  <si>
    <t>3.495970, 30.940641</t>
  </si>
  <si>
    <t>Muki Joseph</t>
  </si>
  <si>
    <t>Collection  places are far up to Congo boder</t>
  </si>
  <si>
    <t>Saves fuel  There is no need to collect  firewood Make use of the cow dung, which was being wasted</t>
  </si>
  <si>
    <t>Matoke, beans , tomatoes</t>
  </si>
  <si>
    <t>The switch  is getting  soft  may be it disturb  in future</t>
  </si>
  <si>
    <t>Using the system  well.</t>
  </si>
  <si>
    <t>https://hivos.my.salesforce.com/sfc/servlet.shepherd/version/renditionDownload?rendition=ORIGINAL_Jpg&amp;versionId=068QF00000FRd1TYAT</t>
  </si>
  <si>
    <t>https://hivos.my.salesforce.com/sfc/servlet.shepherd/version/renditionDownload?rendition=ORIGINAL_Jpg&amp;versionId=068QF00000FRLPWYA5</t>
  </si>
  <si>
    <t>https://hivos.my.salesforce.com/sfc/servlet.shepherd/version/renditionDownload?rendition=ORIGINAL_Jpg&amp;versionId=068QF00000FRViFYAX</t>
  </si>
  <si>
    <t>https://hivos.my.salesforce.com/sfc/servlet.shepherd/version/renditionDownload?rendition=ORIGINAL_Jpg&amp;versionId=068QF00000FRbm5YAD</t>
  </si>
  <si>
    <t>2024-09-22 15:29:00.000+03</t>
  </si>
  <si>
    <t>3.224789, 30.962367</t>
  </si>
  <si>
    <t>Bako Hellen</t>
  </si>
  <si>
    <t>Due to heavy rains, the kitchen  walls fell off, so the system  stove  was removed  and kept in the main  house</t>
  </si>
  <si>
    <t>Planning  to build a new kitchen  during  dry season  and reinstall it.</t>
  </si>
  <si>
    <t>House hold still interested  in the system.</t>
  </si>
  <si>
    <t>https://hivos.my.salesforce.com/sfc/servlet.shepherd/version/renditionDownload?rendition=ORIGINAL_Jpg&amp;versionId=068QF00000FRb4YYAT</t>
  </si>
  <si>
    <t>https://hivos.my.salesforce.com/sfc/servlet.shepherd/version/renditionDownload?rendition=ORIGINAL_Jpg&amp;versionId=068QF00000FRhpqYAD</t>
  </si>
  <si>
    <t>https://hivos.my.salesforce.com/sfc/servlet.shepherd/version/renditionDownload?rendition=ORIGINAL_Jpg&amp;versionId=068QF00000FR96hYAD</t>
  </si>
  <si>
    <t>https://hivos.my.salesforce.com/sfc/servlet.shepherd/version/renditionDownload?rendition=ORIGINAL_Jpg&amp;versionId=068QF00000FRHM2YAP</t>
  </si>
  <si>
    <t>2024-09-22 16:33:00.000+03</t>
  </si>
  <si>
    <t>3.214468, 30.946815</t>
  </si>
  <si>
    <t>Angudeyo Juliet</t>
  </si>
  <si>
    <t>Not enough  cow dung No nearby water source to mix the dug</t>
  </si>
  <si>
    <t>Providing  them water source at home.</t>
  </si>
  <si>
    <t>Not in use for a long time No near water source  yet mixing  needs alot of water</t>
  </si>
  <si>
    <t>https://hivos.my.salesforce.com/sfc/servlet.shepherd/version/renditionDownload?rendition=ORIGINAL_Jpg&amp;versionId=068QF00000FRIoIYAX</t>
  </si>
  <si>
    <t>https://hivos.my.salesforce.com/sfc/servlet.shepherd/version/renditionDownload?rendition=ORIGINAL_Jpg&amp;versionId=068QF00000FRAU9YAP</t>
  </si>
  <si>
    <t>https://hivos.my.salesforce.com/sfc/servlet.shepherd/version/renditionDownload?rendition=ORIGINAL_Jpg&amp;versionId=068QF00000FRbfeYAD</t>
  </si>
  <si>
    <t>https://hivos.my.salesforce.com/sfc/servlet.shepherd/version/renditionDownload?rendition=ORIGINAL_Jpg&amp;versionId=068QF00000FRNuPYAX</t>
  </si>
  <si>
    <t>2024-09-23 13:16:00.000+03</t>
  </si>
  <si>
    <t>3.152681, 30.937616</t>
  </si>
  <si>
    <t>Yona Atama</t>
  </si>
  <si>
    <t>Takes less time</t>
  </si>
  <si>
    <t>Saves fuel. Saves time</t>
  </si>
  <si>
    <t>it’s used a farm yard manure</t>
  </si>
  <si>
    <t>Its little and poured directly in  the garden</t>
  </si>
  <si>
    <t>Bananas, rice, maize Beans</t>
  </si>
  <si>
    <t>Needs a switch it's broken, but working. , Challenge  with cow dung its not enough some times gets from a neighbour</t>
  </si>
  <si>
    <t>Technical  ( A SWITCH)</t>
  </si>
  <si>
    <t>The system Works</t>
  </si>
  <si>
    <t>https://hivos.my.salesforce.com/sfc/servlet.shepherd/version/renditionDownload?rendition=ORIGINAL_Jpg&amp;versionId=068QF00000FRfGCYA1</t>
  </si>
  <si>
    <t>https://hivos.my.salesforce.com/sfc/servlet.shepherd/version/renditionDownload?rendition=ORIGINAL_Jpg&amp;versionId=068QF00000FRR0LYAX</t>
  </si>
  <si>
    <t>https://hivos.my.salesforce.com/sfc/servlet.shepherd/version/renditionDownload?rendition=ORIGINAL_Jpg&amp;versionId=068QF00000FRCxPYAX</t>
  </si>
  <si>
    <t>https://hivos.my.salesforce.com/sfc/servlet.shepherd/version/renditionDownload?rendition=ORIGINAL_Jpg&amp;versionId=068QF00000FRPPyYAP</t>
  </si>
  <si>
    <t>2024-09-23 15:56:00.000+03</t>
  </si>
  <si>
    <t>3.253671, 30.922146</t>
  </si>
  <si>
    <t>Abeteru Christine</t>
  </si>
  <si>
    <t>The cow dug gets mixed  up with murram, due to heavy rains lately, so it's not good for the digester</t>
  </si>
  <si>
    <t>Not using now.</t>
  </si>
  <si>
    <t>System  still strong,  Cows sleep  out so rains  wash away the dug mixing  it with marum.</t>
  </si>
  <si>
    <t>https://hivos.my.salesforce.com/sfc/servlet.shepherd/version/renditionDownload?rendition=ORIGINAL_Jpg&amp;versionId=068QF00000FRca5YAD</t>
  </si>
  <si>
    <t>https://hivos.my.salesforce.com/sfc/servlet.shepherd/version/renditionDownload?rendition=ORIGINAL_Jpg&amp;versionId=068QF00000FRMbkYAH</t>
  </si>
  <si>
    <t>https://hivos.my.salesforce.com/sfc/servlet.shepherd/version/renditionDownload?rendition=ORIGINAL_Jpg&amp;versionId=068QF00000FRWw2YAH</t>
  </si>
  <si>
    <t>https://hivos.my.salesforce.com/sfc/servlet.shepherd/version/renditionDownload?rendition=ORIGINAL_Jpg&amp;versionId=068QF00000FRQdkYAH</t>
  </si>
  <si>
    <t>2024-09-23 09:50:00.000+03</t>
  </si>
  <si>
    <t>3.169315, 30.901114</t>
  </si>
  <si>
    <t>Wole Patric Anaku</t>
  </si>
  <si>
    <t xml:space="preserve">Students </t>
  </si>
  <si>
    <t>Normal  rutine</t>
  </si>
  <si>
    <t>Students</t>
  </si>
  <si>
    <t>Clean energy  Good  manure Good pesticide</t>
  </si>
  <si>
    <t>Dairy cattle;Breeding swine;Poultry;Goats;Other Animals (specify)</t>
  </si>
  <si>
    <t>Some left for margots</t>
  </si>
  <si>
    <t>Their dung is not soft</t>
  </si>
  <si>
    <t>Dry storage</t>
  </si>
  <si>
    <t>Dung not soft</t>
  </si>
  <si>
    <t>Used as fertilizer;Used as an insecticide/pesticide;Used as animal feed</t>
  </si>
  <si>
    <t>Matoke, onions ,tomatoes   carrots maize cucumber grapes  fruit  trees</t>
  </si>
  <si>
    <t>Chemical fertilizer;Compost manure;Farm yard manure</t>
  </si>
  <si>
    <t>Bio-slurry is insufficient;Different plants need different fertilizers/nutrients</t>
  </si>
  <si>
    <t>An individual called Lokong Simon who has a firm in Gulu</t>
  </si>
  <si>
    <t>Education</t>
  </si>
  <si>
    <t>Needs two stoves Control valve  needs  improvement  Increase  in the efficiency  in on the system  build with bricks.</t>
  </si>
  <si>
    <t>Technical,  Valves,   Stoves</t>
  </si>
  <si>
    <t>System  works well. Has a farm and has students  learning</t>
  </si>
  <si>
    <t>https://hivos.my.salesforce.com/sfc/servlet.shepherd/version/renditionDownload?rendition=ORIGINAL_Jpg&amp;versionId=068QF00000FRi2jYAD</t>
  </si>
  <si>
    <t>https://hivos.my.salesforce.com/sfc/servlet.shepherd/version/renditionDownload?rendition=ORIGINAL_Jpg&amp;versionId=068QF00000FRDv5YAH</t>
  </si>
  <si>
    <t>https://hivos.my.salesforce.com/sfc/servlet.shepherd/version/renditionDownload?rendition=ORIGINAL_Jpg&amp;versionId=068QF00000FRgoxYAD</t>
  </si>
  <si>
    <t>https://hivos.my.salesforce.com/sfc/servlet.shepherd/version/renditionDownload?rendition=ORIGINAL_Jpg&amp;versionId=068QF00000FRIcwYAH</t>
  </si>
  <si>
    <t>2024-09-23 12:11:00.000+03</t>
  </si>
  <si>
    <t>3.180597, 30.947248</t>
  </si>
  <si>
    <t>Brother</t>
  </si>
  <si>
    <t>Asuwa Charles</t>
  </si>
  <si>
    <t>Easy getting  the dung and mixing  than walking  some distance  to collect  firewood</t>
  </si>
  <si>
    <t>Brother to the owner of the digester</t>
  </si>
  <si>
    <t>Saves fuel Clean  cooking Good  manure</t>
  </si>
  <si>
    <t>Dairy cattle;Breeding swine;Poultry;Sheep;Goats;Other Animals (specify)</t>
  </si>
  <si>
    <t>Their waste  is not enough  and it's hard</t>
  </si>
  <si>
    <t>Waste not soft and not enough</t>
  </si>
  <si>
    <t>Too little</t>
  </si>
  <si>
    <t>Greens ,onions, cow peas, bananas, fruits, cocoa</t>
  </si>
  <si>
    <t>The system  is good  It saves time The cover is getting old how can the get another  one. Can they roof  it. Motivation for them since they are using  it well. They were told it could last to 20yrs.</t>
  </si>
  <si>
    <t>It's working</t>
  </si>
  <si>
    <t>https://hivos.my.salesforce.com/sfc/servlet.shepherd/version/renditionDownload?rendition=ORIGINAL_Jpg&amp;versionId=068QF00000FRSxKYAX</t>
  </si>
  <si>
    <t>https://hivos.my.salesforce.com/sfc/servlet.shepherd/version/renditionDownload?rendition=ORIGINAL_Jpg&amp;versionId=068QF00000FRZkJYAX</t>
  </si>
  <si>
    <t>https://hivos.my.salesforce.com/sfc/servlet.shepherd/version/renditionDownload?rendition=ORIGINAL_Jpg&amp;versionId=068QF00000FRGGEYA5</t>
  </si>
  <si>
    <t>https://hivos.my.salesforce.com/sfc/servlet.shepherd/version/renditionDownload?rendition=ORIGINAL_Jpg&amp;versionId=068QF00000FRGCyYAP</t>
  </si>
  <si>
    <t>2024-09-25 11:44:00.000+03</t>
  </si>
  <si>
    <t>2.873407, 30.984343</t>
  </si>
  <si>
    <t>Asibazuyo Sophia</t>
  </si>
  <si>
    <t>No one to feed  the digester. Tiko separated  from the husband  and moved  to another  place.  So, there is no one to feed  the system  and use it.</t>
  </si>
  <si>
    <t>Not functioning  as per this monitoring  period.</t>
  </si>
  <si>
    <t>Tiko went away, so there no committed person  to feed  it.</t>
  </si>
  <si>
    <t>https://hivos.my.salesforce.com/sfc/servlet.shepherd/version/renditionDownload?rendition=ORIGINAL_Jpg&amp;versionId=068QF00000FYIYAYA5</t>
  </si>
  <si>
    <t>https://hivos.my.salesforce.com/sfc/servlet.shepherd/version/renditionDownload?rendition=ORIGINAL_Jpg&amp;versionId=068QF00000FXT1KYAX</t>
  </si>
  <si>
    <t>https://hivos.my.salesforce.com/sfc/servlet.shepherd/version/renditionDownload?rendition=ORIGINAL_Jpg&amp;versionId=068QF00000FYBLOYA5</t>
  </si>
  <si>
    <t>https://hivos.my.salesforce.com/sfc/servlet.shepherd/version/renditionDownload?rendition=ORIGINAL_Jpg&amp;versionId=068QF00000FXwpcYAD</t>
  </si>
  <si>
    <t>2024-09-22 10:15:00.000+03</t>
  </si>
  <si>
    <t>0.273005, 32.155762</t>
  </si>
  <si>
    <t>Nalongo Sekatawa</t>
  </si>
  <si>
    <t>Less time used to cook</t>
  </si>
  <si>
    <t>It eases work and provides easy to use manure</t>
  </si>
  <si>
    <t>We only collect fresh cowdung to use each time</t>
  </si>
  <si>
    <t>Coffee, bananas, beans,maize</t>
  </si>
  <si>
    <t>We were trained before we got the plant by officials from Mengo(Kabaka)</t>
  </si>
  <si>
    <t>Productive time use;Social activities;Leisure</t>
  </si>
  <si>
    <t>Officials from Mengo were sent by the Kabaka to our community</t>
  </si>
  <si>
    <t>She is grateful that biogas cooking has eased her cooking</t>
  </si>
  <si>
    <t>https://hivos.my.salesforce.com/sfc/servlet.shepherd/version/renditionDownload?rendition=ORIGINAL_Jpg&amp;versionId=068QF00000FR4oTYAT</t>
  </si>
  <si>
    <t>https://hivos.my.salesforce.com/sfc/servlet.shepherd/version/renditionDownload?rendition=ORIGINAL_Jpg&amp;versionId=068QF00000FQqVpYAL</t>
  </si>
  <si>
    <t>https://hivos.my.salesforce.com/sfc/servlet.shepherd/version/renditionDownload?rendition=ORIGINAL_Jpg&amp;versionId=068QF00000FR4baYAD</t>
  </si>
  <si>
    <t>2024-09-22 11:55:00.000+03</t>
  </si>
  <si>
    <t>2024-09-21 16:41:00.000+03</t>
  </si>
  <si>
    <t>0.315709, 32.149022</t>
  </si>
  <si>
    <t>Ngabo Ismael</t>
  </si>
  <si>
    <t>Was told to remove cowdung so tht it can be operational</t>
  </si>
  <si>
    <t>I need a technician to contact me for repairs</t>
  </si>
  <si>
    <t>https://hivos.my.salesforce.com/sfc/servlet.shepherd/version/renditionDownload?rendition=ORIGINAL_Jpg&amp;versionId=068QF00000FQz8tYAD</t>
  </si>
  <si>
    <t>https://hivos.my.salesforce.com/sfc/servlet.shepherd/version/renditionDownload?rendition=ORIGINAL_Jpg&amp;versionId=068QF00000FQn9XYAT</t>
  </si>
  <si>
    <t>https://hivos.my.salesforce.com/sfc/servlet.shepherd/version/renditionDownload?rendition=ORIGINAL_Jpg&amp;versionId=068QF00000FQzyVYAT</t>
  </si>
  <si>
    <t>2024-09-22 14:36:00.000+03</t>
  </si>
  <si>
    <t>0.388990, 32.029043</t>
  </si>
  <si>
    <t>Moses Luwezi</t>
  </si>
  <si>
    <t>Owner died.</t>
  </si>
  <si>
    <t>The plant was abandoned</t>
  </si>
  <si>
    <t>The owner died and those here are reluctant to use it</t>
  </si>
  <si>
    <t>https://hivos.my.salesforce.com/sfc/servlet.shepherd/version/renditionDownload?rendition=ORIGINAL_Jpg&amp;versionId=068QF00000FR3XSYA1</t>
  </si>
  <si>
    <t>https://hivos.my.salesforce.com/sfc/servlet.shepherd/version/renditionDownload?rendition=ORIGINAL_Jpg&amp;versionId=068QF00000FR4rhYAD</t>
  </si>
  <si>
    <t>https://hivos.my.salesforce.com/sfc/servlet.shepherd/version/renditionDownload?rendition=ORIGINAL_Jpg&amp;versionId=068QF00000FQx2HYAT</t>
  </si>
  <si>
    <t>https://hivos.my.salesforce.com/sfc/servlet.shepherd/version/renditionDownload?rendition=ORIGINAL_Jpg&amp;versionId=068QF00000FQuihYAD</t>
  </si>
  <si>
    <t>2024-09-20 15:39:00.000+03</t>
  </si>
  <si>
    <t>0.466243, 31.514665</t>
  </si>
  <si>
    <t>Sekide John</t>
  </si>
  <si>
    <t>I use the same time only tht this time there is manure produced</t>
  </si>
  <si>
    <t>It has helped my way of life.I was once featured in an international magazine because of this</t>
  </si>
  <si>
    <t>The biodigester is small.also some manure is taken directly to the farm</t>
  </si>
  <si>
    <t>Coffee,matooke</t>
  </si>
  <si>
    <t>I now have more farm area than before</t>
  </si>
  <si>
    <t>VI, THE NGO THAT GAVE US COST SHARING ON BIO GAS PLANT</t>
  </si>
  <si>
    <t>The company that built the biogas</t>
  </si>
  <si>
    <t>The slurry produced is too little for all his farming needs</t>
  </si>
  <si>
    <t>He is a happy  farmer</t>
  </si>
  <si>
    <t>https://hivos.my.salesforce.com/sfc/servlet.shepherd/version/renditionDownload?rendition=ORIGINAL_Jpg&amp;versionId=068QF00000FR4uvYAD</t>
  </si>
  <si>
    <t>https://hivos.my.salesforce.com/sfc/servlet.shepherd/version/renditionDownload?rendition=ORIGINAL_Jpg&amp;versionId=068QF00000FR1kBYAT</t>
  </si>
  <si>
    <t>https://hivos.my.salesforce.com/sfc/servlet.shepherd/version/renditionDownload?rendition=ORIGINAL_Jpg&amp;versionId=068QF00000FQi02YAD</t>
  </si>
  <si>
    <t>https://hivos.my.salesforce.com/sfc/servlet.shepherd/version/renditionDownload?rendition=ORIGINAL_Jpg&amp;versionId=068QF00000FQtY7YAL</t>
  </si>
  <si>
    <t>2024-09-20 06:47:00.000+03</t>
  </si>
  <si>
    <t>2024-09-24 08:26:00.000+03</t>
  </si>
  <si>
    <t>-0.086357, 32.042170</t>
  </si>
  <si>
    <t>Francis Buzimba</t>
  </si>
  <si>
    <t>The digester has holes</t>
  </si>
  <si>
    <t>The cows died</t>
  </si>
  <si>
    <t>https://hivos.my.salesforce.com/sfc/servlet.shepherd/version/renditionDownload?rendition=ORIGINAL_Jpg&amp;versionId=068QF00000FaF9lYAF</t>
  </si>
  <si>
    <t>https://hivos.my.salesforce.com/sfc/servlet.shepherd/version/renditionDownload?rendition=ORIGINAL_Jpg&amp;versionId=068QF00000FahU9YAJ</t>
  </si>
  <si>
    <t>https://hivos.my.salesforce.com/sfc/servlet.shepherd/version/renditionDownload?rendition=ORIGINAL_Jpg&amp;versionId=068QF00000FaQ1wYAF</t>
  </si>
  <si>
    <t>https://hivos.my.salesforce.com/sfc/servlet.shepherd/version/renditionDownload?rendition=ORIGINAL_Jpg&amp;versionId=068QF00000FadjoYAB</t>
  </si>
  <si>
    <t>2024-09-24 10:35:00.000+03</t>
  </si>
  <si>
    <t>0.245010, 32.386388</t>
  </si>
  <si>
    <t>Kasozi Josephine</t>
  </si>
  <si>
    <t>Not aware of what happenned in the one year period that she was away</t>
  </si>
  <si>
    <t>Rarely home</t>
  </si>
  <si>
    <t>none</t>
  </si>
  <si>
    <t>https://hivos.my.salesforce.com/sfc/servlet.shepherd/version/renditionDownload?rendition=ORIGINAL_Jpg&amp;versionId=068QF00000FanKwYAJ</t>
  </si>
  <si>
    <t>https://hivos.my.salesforce.com/sfc/servlet.shepherd/version/renditionDownload?rendition=ORIGINAL_Jpg&amp;versionId=068QF00000FaThXYAV</t>
  </si>
  <si>
    <t>https://hivos.my.salesforce.com/sfc/servlet.shepherd/version/renditionDownload?rendition=ORIGINAL_Jpg&amp;versionId=068QF00000FanXpYAJ</t>
  </si>
  <si>
    <t>2024-09-24 11:43:00.000+03</t>
  </si>
  <si>
    <t>0.178485, 32.320330</t>
  </si>
  <si>
    <t>Kigongo John</t>
  </si>
  <si>
    <t>The fire wood is collected from the coffee plants near by and trees.</t>
  </si>
  <si>
    <t>It cooks quickly The manure is ready to use</t>
  </si>
  <si>
    <t>They are mainly on free range in the paddocks</t>
  </si>
  <si>
    <t>Cow manure is more than enough</t>
  </si>
  <si>
    <t>The cow manure is enough</t>
  </si>
  <si>
    <t>Coffee, bananas</t>
  </si>
  <si>
    <t>He currently uses a stick to walk so he doesn't move around alot</t>
  </si>
  <si>
    <t>https://hivos.my.salesforce.com/sfc/servlet.shepherd/version/renditionDownload?rendition=ORIGINAL_Jpg&amp;versionId=068QF00000FbAXdYAN</t>
  </si>
  <si>
    <t>https://hivos.my.salesforce.com/sfc/servlet.shepherd/version/renditionDownload?rendition=ORIGINAL_Jpg&amp;versionId=068QF00000Fb0BiYAJ</t>
  </si>
  <si>
    <t>https://hivos.my.salesforce.com/sfc/servlet.shepherd/version/renditionDownload?rendition=ORIGINAL_Jpg&amp;versionId=068QF00000Fb4k0YAB</t>
  </si>
  <si>
    <t>https://hivos.my.salesforce.com/sfc/servlet.shepherd/version/renditionDownload?rendition=ORIGINAL_Jpg&amp;versionId=068QF00000FbANyYAN</t>
  </si>
  <si>
    <t>2024-09-23 17:01:00.000+03</t>
  </si>
  <si>
    <t>-0.019846, 32.036079</t>
  </si>
  <si>
    <t>Mutyaba Noah</t>
  </si>
  <si>
    <t>U can mix a few times and you have gas to cook simple meals for a while</t>
  </si>
  <si>
    <t>It gives great alternative fuel source</t>
  </si>
  <si>
    <t>The prices of fertiliser have increased due to prices of goods increasing</t>
  </si>
  <si>
    <t>They requested that biogas solutions shd organise training for farmers</t>
  </si>
  <si>
    <t>https://hivos.my.salesforce.com/sfc/servlet.shepherd/version/renditionDownload?rendition=ORIGINAL_Jpg&amp;versionId=068QF00000FaxaSYAR</t>
  </si>
  <si>
    <t>https://hivos.my.salesforce.com/sfc/servlet.shepherd/version/renditionDownload?rendition=ORIGINAL_Jpg&amp;versionId=068QF00000Fb4gnYAB</t>
  </si>
  <si>
    <t>https://hivos.my.salesforce.com/sfc/servlet.shepherd/version/renditionDownload?rendition=ORIGINAL_Jpg&amp;versionId=068QF00000FazE2YAJ</t>
  </si>
  <si>
    <t>https://hivos.my.salesforce.com/sfc/servlet.shepherd/version/renditionDownload?rendition=ORIGINAL_Jpg&amp;versionId=068QF00000Fb03iYAB</t>
  </si>
  <si>
    <t>2024-09-23 14:13:00.000+03</t>
  </si>
  <si>
    <t>0.165015, 32.263803</t>
  </si>
  <si>
    <t>Fatuma Kisenyi</t>
  </si>
  <si>
    <t>Compared to before when children are not at home, when j have biogas no need to look for firewood</t>
  </si>
  <si>
    <t>It eases life and is reliable if u have cow dung</t>
  </si>
  <si>
    <t>Not big enough</t>
  </si>
  <si>
    <t>Cassava matoke ,beans,maize, sweet potato</t>
  </si>
  <si>
    <t>https://hivos.my.salesforce.com/sfc/servlet.shepherd/version/renditionDownload?rendition=ORIGINAL_Jpg&amp;versionId=068QF00000FaruuYAB</t>
  </si>
  <si>
    <t>https://hivos.my.salesforce.com/sfc/servlet.shepherd/version/renditionDownload?rendition=ORIGINAL_Jpg&amp;versionId=068QF00000Fb2odYAB</t>
  </si>
  <si>
    <t>https://hivos.my.salesforce.com/sfc/servlet.shepherd/version/renditionDownload?rendition=ORIGINAL_Jpg&amp;versionId=068QF00000Fb2QWYAZ</t>
  </si>
  <si>
    <t>https://hivos.my.salesforce.com/sfc/servlet.shepherd/version/renditionDownload?rendition=ORIGINAL_Jpg&amp;versionId=068QF00000FaaSdYAJ</t>
  </si>
  <si>
    <t>2024-09-23 10:40:00.000+03</t>
  </si>
  <si>
    <t>0.267079, 32.430799</t>
  </si>
  <si>
    <t>Stove is fully functional with all parts working;Other</t>
  </si>
  <si>
    <t>There are 2 stoves connected,  one works well and the other is weak,doesn't produce enough gas to cook</t>
  </si>
  <si>
    <t>We use gas most of the time, firewood supplements gas to cook hard things</t>
  </si>
  <si>
    <t>It doesn't bring smoke and cooks faster than firewood</t>
  </si>
  <si>
    <t>Dairy cattle;Market swine (fattening pigs);Sheep</t>
  </si>
  <si>
    <t>The cow manure is preferred and is enough to feed the biodigester</t>
  </si>
  <si>
    <t>Cow manure is only used</t>
  </si>
  <si>
    <t>Bananas and compound flowers</t>
  </si>
  <si>
    <t>The company that constructed the plant.dont remember them</t>
  </si>
  <si>
    <t>Needs a bio stema biogas system</t>
  </si>
  <si>
    <t>Even pig manure could be used though the respondent is hesitant to use it</t>
  </si>
  <si>
    <t>https://hivos.my.salesforce.com/sfc/servlet.shepherd/version/renditionDownload?rendition=ORIGINAL_Jpg&amp;versionId=068QF00000FbufJYAR</t>
  </si>
  <si>
    <t>https://hivos.my.salesforce.com/sfc/servlet.shepherd/version/renditionDownload?rendition=ORIGINAL_Jpg&amp;versionId=068QF00000FbiRJYAZ</t>
  </si>
  <si>
    <t>https://hivos.my.salesforce.com/sfc/servlet.shepherd/version/renditionDownload?rendition=ORIGINAL_Jpg&amp;versionId=068QF00000FbsiNYAR</t>
  </si>
  <si>
    <t>2024-09-20 13:06:00.000+03</t>
  </si>
  <si>
    <t>0.377017, 31.364781</t>
  </si>
  <si>
    <t>Nyakairu paul Kamuntu</t>
  </si>
  <si>
    <t>2 stoves are installed. One single burner is working and the other is broken</t>
  </si>
  <si>
    <t>The manure is close to the biodigester compare to where we get firewood</t>
  </si>
  <si>
    <t>It cooks quickly and doesn't produce smoke</t>
  </si>
  <si>
    <t>The cow manure is alot</t>
  </si>
  <si>
    <t>The cow manure produced is alot</t>
  </si>
  <si>
    <t>Matooke and coffee</t>
  </si>
  <si>
    <t>The respondent needs more training on bio slurry use since they weren't taught at the beginning</t>
  </si>
  <si>
    <t>https://hivos.my.salesforce.com/sfc/servlet.shepherd/version/renditionDownload?rendition=ORIGINAL_Jpg&amp;versionId=068QF00000Fbq5UYAR</t>
  </si>
  <si>
    <t>https://hivos.my.salesforce.com/sfc/servlet.shepherd/version/renditionDownload?rendition=ORIGINAL_Jpg&amp;versionId=068QF00000FbgalYAB</t>
  </si>
  <si>
    <t>https://hivos.my.salesforce.com/sfc/servlet.shepherd/version/renditionDownload?rendition=ORIGINAL_Jpg&amp;versionId=068QF00000Fbo3hYAB</t>
  </si>
  <si>
    <t>2024-09-21 09:30:00.000+03</t>
  </si>
  <si>
    <t>0.509343, 31.654815</t>
  </si>
  <si>
    <t>Kata Edward</t>
  </si>
  <si>
    <t>Needs to be called to get the new system</t>
  </si>
  <si>
    <t>The digester was broken by a truck and it fell in</t>
  </si>
  <si>
    <t>https://hivos.my.salesforce.com/sfc/servlet.shepherd/version/renditionDownload?rendition=ORIGINAL_Jpg&amp;versionId=068QF00000Fbu4FYAR</t>
  </si>
  <si>
    <t>https://hivos.my.salesforce.com/sfc/servlet.shepherd/version/renditionDownload?rendition=ORIGINAL_Jpg&amp;versionId=068QF00000FbugvYAB</t>
  </si>
  <si>
    <t>https://hivos.my.salesforce.com/sfc/servlet.shepherd/version/renditionDownload?rendition=ORIGINAL_Jpg&amp;versionId=068QF00000FbpMIYAZ</t>
  </si>
  <si>
    <t>https://hivos.my.salesforce.com/sfc/servlet.shepherd/version/renditionDownload?rendition=ORIGINAL_Jpg&amp;versionId=068QF00000FbuiXYAR</t>
  </si>
  <si>
    <t>0.404322, 32.053039</t>
  </si>
  <si>
    <t>Josephat Ngabirano</t>
  </si>
  <si>
    <t>It gives clean air , no smoke</t>
  </si>
  <si>
    <t>Matooke and beans</t>
  </si>
  <si>
    <t>Education;Leisure</t>
  </si>
  <si>
    <t>It is actively used in holidays when children are in home</t>
  </si>
  <si>
    <t>https://hivos.my.salesforce.com/sfc/servlet.shepherd/version/renditionDownload?rendition=ORIGINAL_Jpg&amp;versionId=068QF00000FbuQoYAJ</t>
  </si>
  <si>
    <t>https://hivos.my.salesforce.com/sfc/servlet.shepherd/version/renditionDownload?rendition=ORIGINAL_Jpg&amp;versionId=068QF00000FbdGLYAZ</t>
  </si>
  <si>
    <t>https://hivos.my.salesforce.com/sfc/servlet.shepherd/version/renditionDownload?rendition=ORIGINAL_Jpg&amp;versionId=068QF00000FbjLmYAJ</t>
  </si>
  <si>
    <t>2024-09-22 12:55:00.000+03</t>
  </si>
  <si>
    <t>2024-09-21 13:11:00.000+03</t>
  </si>
  <si>
    <t>0.287070, 31.872363</t>
  </si>
  <si>
    <t>Matia Nkubano</t>
  </si>
  <si>
    <t>Broken Burner knobs</t>
  </si>
  <si>
    <t>We carry the cow dung from a different location away from the home so it takes a bit of time</t>
  </si>
  <si>
    <t>It cooks fast and doesn't give smoke</t>
  </si>
  <si>
    <t>The manure produced is alot. Every week an elf takes away manure.also pple from the village also request for manure</t>
  </si>
  <si>
    <t>A technician to repair a broken valve</t>
  </si>
  <si>
    <t>https://hivos.my.salesforce.com/sfc/servlet.shepherd/version/renditionDownload?rendition=ORIGINAL_Jpg&amp;versionId=068QF00000FbSzEYAV</t>
  </si>
  <si>
    <t>https://hivos.my.salesforce.com/sfc/servlet.shepherd/version/renditionDownload?rendition=ORIGINAL_Jpg&amp;versionId=068QF00000FbY8bYAF</t>
  </si>
  <si>
    <t>https://hivos.my.salesforce.com/sfc/servlet.shepherd/version/renditionDownload?rendition=ORIGINAL_Jpg&amp;versionId=068QF00000FbugwYAB</t>
  </si>
  <si>
    <t>2024-09-23 09:37:00.000+03</t>
  </si>
  <si>
    <t>0.267661, 32.434773</t>
  </si>
  <si>
    <t>Bwami Pross</t>
  </si>
  <si>
    <t>Stove is fully functional with all parts working;Broken Burner knobs</t>
  </si>
  <si>
    <t>It eases  cooking and cooks quickly</t>
  </si>
  <si>
    <t>It looks quickly and has no smoke</t>
  </si>
  <si>
    <t>The carrying of manure is becoming tiring with age</t>
  </si>
  <si>
    <t>Matooke and leafy greens</t>
  </si>
  <si>
    <t>She currently uses her free time to do baking</t>
  </si>
  <si>
    <t>Has gas leakage and the mason who usually helps is far away</t>
  </si>
  <si>
    <t>https://hivos.my.salesforce.com/sfc/servlet.shepherd/version/renditionDownload?rendition=ORIGINAL_Jpg&amp;versionId=068QF00000FbWLIYA3</t>
  </si>
  <si>
    <t>https://hivos.my.salesforce.com/sfc/servlet.shepherd/version/renditionDownload?rendition=ORIGINAL_Jpg&amp;versionId=068QF00000FbtheYAB</t>
  </si>
  <si>
    <t>https://hivos.my.salesforce.com/sfc/servlet.shepherd/version/renditionDownload?rendition=ORIGINAL_Jpg&amp;versionId=068QF00000FbZSpYAN</t>
  </si>
  <si>
    <t>2024-09-23 10:28:00.000+03</t>
  </si>
  <si>
    <t>2024-09-21 18:09:00.000+03</t>
  </si>
  <si>
    <t>0.341103, 32.645208</t>
  </si>
  <si>
    <t>Alex omunyongore</t>
  </si>
  <si>
    <t>It's clean cooking,saves fuel,lights quickly,saves time</t>
  </si>
  <si>
    <t>Breeding swine;Poultry</t>
  </si>
  <si>
    <t>We don't know that it works</t>
  </si>
  <si>
    <t>He wants customers for the slurry manure.</t>
  </si>
  <si>
    <t>They have a good storage of bio slurry</t>
  </si>
  <si>
    <t>https://hivos.my.salesforce.com/sfc/servlet.shepherd/version/renditionDownload?rendition=ORIGINAL_Jpg&amp;versionId=068QF00000FK1nOYAT</t>
  </si>
  <si>
    <t>https://hivos.my.salesforce.com/sfc/servlet.shepherd/version/renditionDownload?rendition=ORIGINAL_Jpg&amp;versionId=068QF00000FJxtRYAT</t>
  </si>
  <si>
    <t>https://hivos.my.salesforce.com/sfc/servlet.shepherd/version/renditionDownload?rendition=ORIGINAL_Jpg&amp;versionId=068QF00000FKDF0YAP</t>
  </si>
  <si>
    <t>https://hivos.my.salesforce.com/sfc/servlet.shepherd/version/renditionDownload?rendition=ORIGINAL_Jpg&amp;versionId=068QF00000FKEXdYAP</t>
  </si>
  <si>
    <t>2024-09-21 12:31:00.000+03</t>
  </si>
  <si>
    <t>0.367243, 32.737882</t>
  </si>
  <si>
    <t>Mercy Nakitende</t>
  </si>
  <si>
    <t>No distances involved</t>
  </si>
  <si>
    <t>It helps in saving fuel.</t>
  </si>
  <si>
    <t>Greens,bananas, coffee</t>
  </si>
  <si>
    <t>It's availability</t>
  </si>
  <si>
    <t>The son wants abiogas plant in their firm in kisowera mukono</t>
  </si>
  <si>
    <t>https://hivos.my.salesforce.com/sfc/servlet.shepherd/version/renditionDownload?rendition=ORIGINAL_Jpg&amp;versionId=068QF00000FKEivYAH</t>
  </si>
  <si>
    <t>https://hivos.my.salesforce.com/sfc/servlet.shepherd/version/renditionDownload?rendition=ORIGINAL_Jpg&amp;versionId=068QF00000FK8f8YAD</t>
  </si>
  <si>
    <t>https://hivos.my.salesforce.com/sfc/servlet.shepherd/version/renditionDownload?rendition=ORIGINAL_Jpg&amp;versionId=068QF00000FK9WMYA1</t>
  </si>
  <si>
    <t>https://hivos.my.salesforce.com/sfc/servlet.shepherd/version/renditionDownload?rendition=ORIGINAL_Jpg&amp;versionId=068QF00000FKB8MYAX</t>
  </si>
  <si>
    <t>2024-09-21 10:34:00.000+03</t>
  </si>
  <si>
    <t>0.344327, 32.729112</t>
  </si>
  <si>
    <t>Miriam sabilka</t>
  </si>
  <si>
    <t>Fetching fire wood take a lot of time</t>
  </si>
  <si>
    <t>Cooks faster,saves time.</t>
  </si>
  <si>
    <t>I just add a little from piggery that is enough</t>
  </si>
  <si>
    <t>Greens,bananas,elephant grass,fruits.</t>
  </si>
  <si>
    <t>SNV technical staff</t>
  </si>
  <si>
    <t>We would like to have a big biogas system that can meet  all my cooking needs .</t>
  </si>
  <si>
    <t>Big bio gas plant</t>
  </si>
  <si>
    <t>The house hold utilitirises all manure</t>
  </si>
  <si>
    <t>https://hivos.my.salesforce.com/sfc/servlet.shepherd/version/renditionDownload?rendition=ORIGINAL_Jpg&amp;versionId=068QF00000FJtkzYAD</t>
  </si>
  <si>
    <t>https://hivos.my.salesforce.com/sfc/servlet.shepherd/version/renditionDownload?rendition=ORIGINAL_Jpg&amp;versionId=068QF00000FK9HqYAL</t>
  </si>
  <si>
    <t>https://hivos.my.salesforce.com/sfc/servlet.shepherd/version/renditionDownload?rendition=ORIGINAL_Jpg&amp;versionId=068QF00000FKCIwYAP</t>
  </si>
  <si>
    <t>https://hivos.my.salesforce.com/sfc/servlet.shepherd/version/renditionDownload?rendition=ORIGINAL_Jpg&amp;versionId=068QF00000FK37aYAD</t>
  </si>
  <si>
    <t>2024-09-21 15:56:00.000+03</t>
  </si>
  <si>
    <t>0.410270, 32.775457</t>
  </si>
  <si>
    <t>Namagga specioza</t>
  </si>
  <si>
    <t>She also sold the remaining 1 cow for fear of thieves</t>
  </si>
  <si>
    <t>Financial support of acow</t>
  </si>
  <si>
    <t>All parts are present of biodigester</t>
  </si>
  <si>
    <t>https://hivos.my.salesforce.com/sfc/servlet.shepherd/version/renditionDownload?rendition=ORIGINAL_Jpg&amp;versionId=068QF00000FK0EcYAL</t>
  </si>
  <si>
    <t>https://hivos.my.salesforce.com/sfc/servlet.shepherd/version/renditionDownload?rendition=ORIGINAL_Jpg&amp;versionId=068QF00000FKEarYAH</t>
  </si>
  <si>
    <t>https://hivos.my.salesforce.com/sfc/servlet.shepherd/version/renditionDownload?rendition=ORIGINAL_Jpg&amp;versionId=068QF00000FKEcTYAX</t>
  </si>
  <si>
    <t>https://hivos.my.salesforce.com/sfc/servlet.shepherd/version/renditionDownload?rendition=ORIGINAL_Jpg&amp;versionId=068QF00000FK8FKYA1</t>
  </si>
  <si>
    <t>2024-09-21 14:40:00.000+03</t>
  </si>
  <si>
    <t>0.352987, 32.749835</t>
  </si>
  <si>
    <t>Babirye Jane sebale</t>
  </si>
  <si>
    <t>The technician came and asked for a lot of money which I didn't have(580000)</t>
  </si>
  <si>
    <t>It used to help her in cooking</t>
  </si>
  <si>
    <t>Technical support</t>
  </si>
  <si>
    <t>https://hivos.my.salesforce.com/sfc/servlet.shepherd/version/renditionDownload?rendition=ORIGINAL_Jpg&amp;versionId=068QF00000FKDWkYAP</t>
  </si>
  <si>
    <t>https://hivos.my.salesforce.com/sfc/servlet.shepherd/version/renditionDownload?rendition=ORIGINAL_Jpg&amp;versionId=068QF00000FKCduYAH</t>
  </si>
  <si>
    <t>https://hivos.my.salesforce.com/sfc/servlet.shepherd/version/renditionDownload?rendition=ORIGINAL_Jpg&amp;versionId=068QF00000FKEfhYAH</t>
  </si>
  <si>
    <t>https://hivos.my.salesforce.com/sfc/servlet.shepherd/version/renditionDownload?rendition=ORIGINAL_Jpg&amp;versionId=068QF00000FKB9yYAH</t>
  </si>
  <si>
    <t>2024-09-21 09:52:00.000+03</t>
  </si>
  <si>
    <t>0.357058, 32.716793</t>
  </si>
  <si>
    <t>Mrs yiga fred</t>
  </si>
  <si>
    <t>We lacked follow up it was so big to filled by then,lacked also technical support from the program</t>
  </si>
  <si>
    <t>To build another plant in new place firm</t>
  </si>
  <si>
    <t>The whole digester plant was vandalized.</t>
  </si>
  <si>
    <t>https://hivos.my.salesforce.com/sfc/servlet.shepherd/version/renditionDownload?rendition=ORIGINAL_Jpg&amp;versionId=068QF00000FK9PuYAL</t>
  </si>
  <si>
    <t>https://hivos.my.salesforce.com/sfc/servlet.shepherd/version/renditionDownload?rendition=ORIGINAL_Jpg&amp;versionId=068QF00000FK7BDYA1</t>
  </si>
  <si>
    <t>2024-09-20 15:49:00.000+03</t>
  </si>
  <si>
    <t>0.340657, 32.827575</t>
  </si>
  <si>
    <t>Joan kakwenzire</t>
  </si>
  <si>
    <t>Feeding materials are just with in and water.</t>
  </si>
  <si>
    <t>It's manure,cooks faster,saves time compared to fetching fire wood.</t>
  </si>
  <si>
    <t>Dairy cows manure is more preferred.</t>
  </si>
  <si>
    <t>Bananas,maize, fruits,greens.</t>
  </si>
  <si>
    <t>This is making a good of all manure as fertilizer.</t>
  </si>
  <si>
    <t>If the program can support her extending biogas program among neighbours whome she has given cows.</t>
  </si>
  <si>
    <t>All is well with animal waste management.</t>
  </si>
  <si>
    <t>https://hivos.my.salesforce.com/sfc/servlet.shepherd/version/renditionDownload?rendition=ORIGINAL_Jpg&amp;versionId=068QF00000FKEm9YAH</t>
  </si>
  <si>
    <t>https://hivos.my.salesforce.com/sfc/servlet.shepherd/version/renditionDownload?rendition=ORIGINAL_Jpg&amp;versionId=068QF00000FK20EYAT</t>
  </si>
  <si>
    <t>https://hivos.my.salesforce.com/sfc/servlet.shepherd/version/renditionDownload?rendition=ORIGINAL_Jpg&amp;versionId=068QF00000FKEnlYAH</t>
  </si>
  <si>
    <t>https://hivos.my.salesforce.com/sfc/servlet.shepherd/version/renditionDownload?rendition=ORIGINAL_Jpg&amp;versionId=068QF00000FKEpNYAX</t>
  </si>
  <si>
    <t>2024-09-20 13:32:00.000+03</t>
  </si>
  <si>
    <t>0.359347, 32.772713</t>
  </si>
  <si>
    <t>Sebyayi vincente</t>
  </si>
  <si>
    <t>The mason came and I lacked  money to empty expansion digester</t>
  </si>
  <si>
    <t>I need aloan to work on my digester repair</t>
  </si>
  <si>
    <t>Financial support</t>
  </si>
  <si>
    <t>His problem can be rectified for he has a lot of manure.</t>
  </si>
  <si>
    <t>https://hivos.my.salesforce.com/sfc/servlet.shepherd/version/renditionDownload?rendition=ORIGINAL_Jpg&amp;versionId=068QF00000FK4A8YAL</t>
  </si>
  <si>
    <t>https://hivos.my.salesforce.com/sfc/servlet.shepherd/version/renditionDownload?rendition=ORIGINAL_Jpg&amp;versionId=068QF00000FKDOgYAP</t>
  </si>
  <si>
    <t>https://hivos.my.salesforce.com/sfc/servlet.shepherd/version/renditionDownload?rendition=ORIGINAL_Jpg&amp;versionId=068QF00000FKEsbYAH</t>
  </si>
  <si>
    <t>https://hivos.my.salesforce.com/sfc/servlet.shepherd/version/renditionDownload?rendition=ORIGINAL_Jpg&amp;versionId=068QF00000FK1nPYAT</t>
  </si>
  <si>
    <t>2024-09-23 07:28:00.000+03</t>
  </si>
  <si>
    <t>0.336062, 32.654492</t>
  </si>
  <si>
    <t>Samuel kanganve</t>
  </si>
  <si>
    <t>Availability of feeding materials in compound</t>
  </si>
  <si>
    <t>Cooks faster, bio slurry manure</t>
  </si>
  <si>
    <t>Solid storage;Liquid slurry (brown porridge type)</t>
  </si>
  <si>
    <t>Maize, bananas, coffee</t>
  </si>
  <si>
    <t>He says he failed to package the gas in cylinders</t>
  </si>
  <si>
    <t>How to package and connect to inside kitchen.</t>
  </si>
  <si>
    <t>https://hivos.my.salesforce.com/sfc/servlet.shepherd/version/renditionDownload?rendition=ORIGINAL_Jpg&amp;versionId=068QF00000FMzimYAD</t>
  </si>
  <si>
    <t>https://hivos.my.salesforce.com/sfc/servlet.shepherd/version/renditionDownload?rendition=ORIGINAL_Jpg&amp;versionId=068QF00000FNIzhYAH</t>
  </si>
  <si>
    <t>https://hivos.my.salesforce.com/sfc/servlet.shepherd/version/renditionDownload?rendition=ORIGINAL_Jpg&amp;versionId=068QF00000FNIq2YAH</t>
  </si>
  <si>
    <t>https://hivos.my.salesforce.com/sfc/servlet.shepherd/version/renditionDownload?rendition=ORIGINAL_Jpg&amp;versionId=068QF00000FNIq1YAH</t>
  </si>
  <si>
    <t>2024-09-24 18:19:00.000+03</t>
  </si>
  <si>
    <t>0.419800, 32.683902</t>
  </si>
  <si>
    <t>He lost the contact of Manson oketch.</t>
  </si>
  <si>
    <t>The distance was too long when they tried to connect to main house.</t>
  </si>
  <si>
    <t>The renewal of your system biogas technician to visit here</t>
  </si>
  <si>
    <t>He also left the piggery project due to failure of his biogas.But if worked on ,he can immediately start on his piggery project.</t>
  </si>
  <si>
    <t>https://hivos.my.salesforce.com/sfc/servlet.shepherd/version/renditionDownload?rendition=ORIGINAL_Jpg&amp;versionId=068QF00000FVZfCYAX</t>
  </si>
  <si>
    <t>https://hivos.my.salesforce.com/sfc/servlet.shepherd/version/renditionDownload?rendition=ORIGINAL_Jpg&amp;versionId=068QF00000FVdm2YAD</t>
  </si>
  <si>
    <t>https://hivos.my.salesforce.com/sfc/servlet.shepherd/version/renditionDownload?rendition=ORIGINAL_Jpg&amp;versionId=068QF00000FVbp6YAD</t>
  </si>
  <si>
    <t>https://hivos.my.salesforce.com/sfc/servlet.shepherd/version/renditionDownload?rendition=ORIGINAL_Jpg&amp;versionId=068QF00000FVYBHYA5</t>
  </si>
  <si>
    <t>2024-09-23 19:34:00.000+03</t>
  </si>
  <si>
    <t>0.365443, 32.742373</t>
  </si>
  <si>
    <t>Wilmington makumbi</t>
  </si>
  <si>
    <t>Fire wood got scarce.</t>
  </si>
  <si>
    <t>It cook with no smoke</t>
  </si>
  <si>
    <t>We sort the dung to put only clean and fresh.</t>
  </si>
  <si>
    <t>Elephant grass,bananas</t>
  </si>
  <si>
    <t>Radio;TV Programmes;Biogas Program;Biogas Contractor/Mason;Family Member/Friend</t>
  </si>
  <si>
    <t>Some times getting support from the program is hard,we need trainings about the program of biogas.</t>
  </si>
  <si>
    <t>Gas package and slurry market, lighting systems als to work using biogas</t>
  </si>
  <si>
    <t>Needs training on how he can package the slurry for sell</t>
  </si>
  <si>
    <t>https://hivos.my.salesforce.com/sfc/servlet.shepherd/version/renditionDownload?rendition=ORIGINAL_Jpg&amp;versionId=068QF00000FVPspYAH</t>
  </si>
  <si>
    <t>https://hivos.my.salesforce.com/sfc/servlet.shepherd/version/renditionDownload?rendition=ORIGINAL_Jpg&amp;versionId=068QF00000FVYhXYAX</t>
  </si>
  <si>
    <t>https://hivos.my.salesforce.com/sfc/servlet.shepherd/version/renditionDownload?rendition=ORIGINAL_Jpg&amp;versionId=068QF00000FVZvKYAX</t>
  </si>
  <si>
    <t>https://hivos.my.salesforce.com/sfc/servlet.shepherd/version/renditionDownload?rendition=ORIGINAL_Jpg&amp;versionId=068QF00000FVXnBYAX</t>
  </si>
  <si>
    <t>2024-09-23 15:53:00.000+03</t>
  </si>
  <si>
    <t>0.434123, 32.745348</t>
  </si>
  <si>
    <t>Sentamu David</t>
  </si>
  <si>
    <t>Technical person came and all he told us to do we did but gas could not reach the kitchen or produced.</t>
  </si>
  <si>
    <t>After completion we used to cook for like 1 months and up to now it has never worked.</t>
  </si>
  <si>
    <t>To know why not producing gas</t>
  </si>
  <si>
    <t>It's floating tank biogas</t>
  </si>
  <si>
    <t>https://hivos.my.salesforce.com/sfc/servlet.shepherd/version/renditionDownload?rendition=ORIGINAL_Jpg&amp;versionId=068QF00000FVaeWYAT</t>
  </si>
  <si>
    <t>https://hivos.my.salesforce.com/sfc/servlet.shepherd/version/renditionDownload?rendition=ORIGINAL_Jpg&amp;versionId=068QF00000FVRo7YAH</t>
  </si>
  <si>
    <t>https://hivos.my.salesforce.com/sfc/servlet.shepherd/version/renditionDownload?rendition=ORIGINAL_Jpg&amp;versionId=068QF00000FVelJYAT</t>
  </si>
  <si>
    <t>https://hivos.my.salesforce.com/sfc/servlet.shepherd/version/renditionDownload?rendition=ORIGINAL_Jpg&amp;versionId=068QF00000FVemvYAD</t>
  </si>
  <si>
    <t>2024-09-24 18:01:00.000+03</t>
  </si>
  <si>
    <t>0.341018, 32.758847</t>
  </si>
  <si>
    <t>Deputy headteacher</t>
  </si>
  <si>
    <t>Nakamanya Justin</t>
  </si>
  <si>
    <t>Initially it was bio latrine plant which become inserficient.it has never worked,lacked follow up.</t>
  </si>
  <si>
    <t>Intended for institutional cooking it's a school.</t>
  </si>
  <si>
    <t>System to function</t>
  </si>
  <si>
    <t>They are still interested but also the distance to the kitchen could have been the reason for not functioning</t>
  </si>
  <si>
    <t>https://hivos.my.salesforce.com/sfc/servlet.shepherd/version/renditionDownload?rendition=ORIGINAL_Jpg&amp;versionId=068QF00000FVMIIYA5</t>
  </si>
  <si>
    <t>https://hivos.my.salesforce.com/sfc/servlet.shepherd/version/renditionDownload?rendition=ORIGINAL_Jpg&amp;versionId=068QF00000FVezpYAD</t>
  </si>
  <si>
    <t>https://hivos.my.salesforce.com/sfc/servlet.shepherd/version/renditionDownload?rendition=ORIGINAL_Jpg&amp;versionId=068QF00000FVT21YAH</t>
  </si>
  <si>
    <t>https://hivos.my.salesforce.com/sfc/servlet.shepherd/version/renditionDownload?rendition=ORIGINAL_Jpg&amp;versionId=068QF00000FVUJ4YAP</t>
  </si>
  <si>
    <t>2024-09-23 18:01:00.000+03</t>
  </si>
  <si>
    <t>2024-09-21 14:36:00.000+03</t>
  </si>
  <si>
    <t>0.147682, 30.432520</t>
  </si>
  <si>
    <t>Silvano Kiruhe</t>
  </si>
  <si>
    <t>Stoped using it after getting electricity</t>
  </si>
  <si>
    <t>https://hivos.my.salesforce.com/sfc/servlet.shepherd/version/renditionDownload?rendition=ORIGINAL_Jpg&amp;versionId=068QF00000FJO1CYAX</t>
  </si>
  <si>
    <t>https://hivos.my.salesforce.com/sfc/servlet.shepherd/version/renditionDownload?rendition=ORIGINAL_Jpg&amp;versionId=068QF00000FJOAsYAP</t>
  </si>
  <si>
    <t>https://hivos.my.salesforce.com/sfc/servlet.shepherd/version/renditionDownload?rendition=ORIGINAL_Jpg&amp;versionId=068QF00000FJOsRYAX</t>
  </si>
  <si>
    <t>2024-09-21 12:28:00.000+03</t>
  </si>
  <si>
    <t>0.112818, 30.363793</t>
  </si>
  <si>
    <t>Hategyeka Frsncis</t>
  </si>
  <si>
    <t>He was busy</t>
  </si>
  <si>
    <t>yes</t>
  </si>
  <si>
    <t>https://hivos.my.salesforce.com/sfc/servlet.shepherd/version/renditionDownload?rendition=ORIGINAL_Jpg&amp;versionId=068QF00000FJVHBYA5</t>
  </si>
  <si>
    <t>https://hivos.my.salesforce.com/sfc/servlet.shepherd/version/renditionDownload?rendition=ORIGINAL_Jpg&amp;versionId=068QF00000FHtfPYAT</t>
  </si>
  <si>
    <t>https://hivos.my.salesforce.com/sfc/servlet.shepherd/version/renditionDownload?rendition=ORIGINAL_Jpg&amp;versionId=068QF00000FJCRSYA5</t>
  </si>
  <si>
    <t>https://hivos.my.salesforce.com/sfc/servlet.shepherd/version/renditionDownload?rendition=ORIGINAL_Jpg&amp;versionId=068QF00000FJI74YAH</t>
  </si>
  <si>
    <t>2024-09-21 13:28:00.000+03</t>
  </si>
  <si>
    <t>0.146615, 30.352305</t>
  </si>
  <si>
    <t>He has few cows and claims it's  dunger cannon feed the digester</t>
  </si>
  <si>
    <t>He request  to give him cows and begin feeding the digester</t>
  </si>
  <si>
    <t>His request the  government to give him cows and begin feeding the digester</t>
  </si>
  <si>
    <t>https://hivos.my.salesforce.com/sfc/servlet.shepherd/version/renditionDownload?rendition=ORIGINAL_Jpg&amp;versionId=068QF00000FJVM1YAP</t>
  </si>
  <si>
    <t>https://hivos.my.salesforce.com/sfc/servlet.shepherd/version/renditionDownload?rendition=ORIGINAL_Jpg&amp;versionId=068QF00000FJVaXYAX</t>
  </si>
  <si>
    <t>https://hivos.my.salesforce.com/sfc/servlet.shepherd/version/renditionDownload?rendition=ORIGINAL_Jpg&amp;versionId=068QF00000FJVdlYAH</t>
  </si>
  <si>
    <t>0.329631, 30.442424</t>
  </si>
  <si>
    <t>Ninsima Alice</t>
  </si>
  <si>
    <t>No one was available to feed the digester</t>
  </si>
  <si>
    <t>The system was ignored because they lurked workers to feed the biodisgeter</t>
  </si>
  <si>
    <t>https://hivos.my.salesforce.com/sfc/servlet.shepherd/version/renditionDownload?rendition=ORIGINAL_Jpg&amp;versionId=068QF00000FKzRjYAL</t>
  </si>
  <si>
    <t>https://hivos.my.salesforce.com/sfc/servlet.shepherd/version/renditionDownload?rendition=ORIGINAL_Jpg&amp;versionId=068QF00000FKvKtYAL</t>
  </si>
  <si>
    <t>https://hivos.my.salesforce.com/sfc/servlet.shepherd/version/renditionDownload?rendition=ORIGINAL_Jpg&amp;versionId=068QF00000FKu0cYAD</t>
  </si>
  <si>
    <t>https://hivos.my.salesforce.com/sfc/servlet.shepherd/version/renditionDownload?rendition=ORIGINAL_Jpg&amp;versionId=068QF00000FL75tYAD</t>
  </si>
  <si>
    <t>UG-WES-1409-02596</t>
  </si>
  <si>
    <t>2024-09-22 12:46:00.000+03</t>
  </si>
  <si>
    <t>0.407507, 30.424880</t>
  </si>
  <si>
    <t>Kaseene Maaga</t>
  </si>
  <si>
    <t>Giving the animals since they all died</t>
  </si>
  <si>
    <t>https://hivos.my.salesforce.com/sfc/servlet.shepherd/version/renditionDownload?rendition=ORIGINAL_Jpg&amp;versionId=068QF00000FKvMZYA1</t>
  </si>
  <si>
    <t>https://hivos.my.salesforce.com/sfc/servlet.shepherd/version/renditionDownload?rendition=ORIGINAL_Jpg&amp;versionId=068QF00000FL797YAD</t>
  </si>
  <si>
    <t>https://hivos.my.salesforce.com/sfc/servlet.shepherd/version/renditionDownload?rendition=ORIGINAL_Jpg&amp;versionId=068QF00000FL1IEYA1</t>
  </si>
  <si>
    <t>2024-09-22 13:44:00.000+03</t>
  </si>
  <si>
    <t>0.313218, 30.416482</t>
  </si>
  <si>
    <t>Shis requesting to be assisted and complete her biogas system.</t>
  </si>
  <si>
    <t>https://hivos.my.salesforce.com/sfc/servlet.shepherd/version/renditionDownload?rendition=ORIGINAL_Jpg&amp;versionId=068QF00000FL7AjYAL</t>
  </si>
  <si>
    <t>https://hivos.my.salesforce.com/sfc/servlet.shepherd/version/renditionDownload?rendition=ORIGINAL_Jpg&amp;versionId=068QF00000FL4kmYAD</t>
  </si>
  <si>
    <t>https://hivos.my.salesforce.com/sfc/servlet.shepherd/version/renditionDownload?rendition=ORIGINAL_Jpg&amp;versionId=068QF00000FKwf9YAD</t>
  </si>
  <si>
    <t>2024-09-23 09:14:00.000+03</t>
  </si>
  <si>
    <t>0.172590, 30.460927</t>
  </si>
  <si>
    <t>Was busy</t>
  </si>
  <si>
    <t>To fix the system</t>
  </si>
  <si>
    <t>https://hivos.my.salesforce.com/sfc/servlet.shepherd/version/renditionDownload?rendition=ORIGINAL_Jpg&amp;versionId=068QF00000FR5NxYAL</t>
  </si>
  <si>
    <t>https://hivos.my.salesforce.com/sfc/servlet.shepherd/version/renditionDownload?rendition=ORIGINAL_Jpg&amp;versionId=068QF00000FQlvbYAD</t>
  </si>
  <si>
    <t>2024-09-23 10:51:00.000+03</t>
  </si>
  <si>
    <t>0.004287, 30.375510</t>
  </si>
  <si>
    <t>Because it's easier to feed the digester than collecting wood</t>
  </si>
  <si>
    <t>Because it's cooks faster and clean</t>
  </si>
  <si>
    <t>Because it can be full</t>
  </si>
  <si>
    <t>Because it's had to collect</t>
  </si>
  <si>
    <t>Coffee , Banana</t>
  </si>
  <si>
    <t>Organic fertilizer</t>
  </si>
  <si>
    <t>His lamp got broken,his requesting to be assisted on a getting a lamp</t>
  </si>
  <si>
    <t>https://hivos.my.salesforce.com/sfc/servlet.shepherd/version/renditionDownload?rendition=ORIGINAL_Jpg&amp;versionId=068QF00000FR54dYAD</t>
  </si>
  <si>
    <t>https://hivos.my.salesforce.com/sfc/servlet.shepherd/version/renditionDownload?rendition=ORIGINAL_Jpg&amp;versionId=068QF00000FR4TWYA1</t>
  </si>
  <si>
    <t>https://hivos.my.salesforce.com/sfc/servlet.shepherd/version/renditionDownload?rendition=ORIGINAL_Jpg&amp;versionId=068QF00000FQzs3YAD</t>
  </si>
  <si>
    <t>https://hivos.my.salesforce.com/sfc/servlet.shepherd/version/renditionDownload?rendition=ORIGINAL_Jpg&amp;versionId=068QF00000FR0uYYAT</t>
  </si>
  <si>
    <t>2024-09-23 13:54:00.000+03</t>
  </si>
  <si>
    <t>0.239282, 30.646460</t>
  </si>
  <si>
    <t>No one to fee the biodisgeter</t>
  </si>
  <si>
    <t>https://hivos.my.salesforce.com/sfc/servlet.shepherd/version/renditionDownload?rendition=ORIGINAL_Jpg&amp;versionId=068QF00000FR5PZYA1</t>
  </si>
  <si>
    <t>https://hivos.my.salesforce.com/sfc/servlet.shepherd/version/renditionDownload?rendition=ORIGINAL_Jpg&amp;versionId=068QF00000FQnrUYAT</t>
  </si>
  <si>
    <t>https://hivos.my.salesforce.com/sfc/servlet.shepherd/version/renditionDownload?rendition=ORIGINAL_Jpg&amp;versionId=068QF00000FQpazYAD</t>
  </si>
  <si>
    <t>https://hivos.my.salesforce.com/sfc/servlet.shepherd/version/renditionDownload?rendition=ORIGINAL_Jpg&amp;versionId=068QF00000FQvtHYAT</t>
  </si>
  <si>
    <t>2024-09-24 11:13:00.000+03</t>
  </si>
  <si>
    <t>-0.091755, 30.389732</t>
  </si>
  <si>
    <t>Mutebi Leonidas</t>
  </si>
  <si>
    <t>Because it's easier to feed the biodisgeter that fetching wood</t>
  </si>
  <si>
    <t>Because it's cooks fast</t>
  </si>
  <si>
    <t>Because they have excess cow danger</t>
  </si>
  <si>
    <t>It's had to collect</t>
  </si>
  <si>
    <t>Banana and coffee</t>
  </si>
  <si>
    <t>https://hivos.my.salesforce.com/sfc/servlet.shepherd/version/renditionDownload?rendition=ORIGINAL_Jpg&amp;versionId=068QF00000FTJ9tYAH</t>
  </si>
  <si>
    <t>https://hivos.my.salesforce.com/sfc/servlet.shepherd/version/renditionDownload?rendition=ORIGINAL_Jpg&amp;versionId=068QF00000FTIAcYAP</t>
  </si>
  <si>
    <t>https://hivos.my.salesforce.com/sfc/servlet.shepherd/version/renditionDownload?rendition=ORIGINAL_Jpg&amp;versionId=068QF00000FT0lcYAD</t>
  </si>
  <si>
    <t>2024-09-24 14:05:00.000+03</t>
  </si>
  <si>
    <t>-0.013902, 30.348403</t>
  </si>
  <si>
    <t>Tumusiime Didas</t>
  </si>
  <si>
    <t>They became reluctant</t>
  </si>
  <si>
    <t>Requesting to assist and fix the system</t>
  </si>
  <si>
    <t>https://hivos.my.salesforce.com/sfc/servlet.shepherd/version/renditionDownload?rendition=ORIGINAL_Jpg&amp;versionId=068QF00000FTJLBYA5</t>
  </si>
  <si>
    <t>https://hivos.my.salesforce.com/sfc/servlet.shepherd/version/renditionDownload?rendition=ORIGINAL_Jpg&amp;versionId=068QF00000FTBqiYAH</t>
  </si>
  <si>
    <t>https://hivos.my.salesforce.com/sfc/servlet.shepherd/version/renditionDownload?rendition=ORIGINAL_Jpg&amp;versionId=068QF00000FShzLYAT</t>
  </si>
  <si>
    <t>2024-09-21 15:19:00.000+03</t>
  </si>
  <si>
    <t>Kaleeba Moses - 704190193</t>
  </si>
  <si>
    <t>0.806290, 33.819960</t>
  </si>
  <si>
    <t>Nabanghunya magidu</t>
  </si>
  <si>
    <t>And the pipes need new ones</t>
  </si>
  <si>
    <t>Repair and fixing new pipe</t>
  </si>
  <si>
    <t>Now has acquired animals is planning to clean digestor  start feeding.</t>
  </si>
  <si>
    <t>https://hivos.my.salesforce.com/sfc/servlet.shepherd/version/renditionDownload?rendition=ORIGINAL_Jpg&amp;versionId=068QF00000FJJETYA5</t>
  </si>
  <si>
    <t>https://hivos.my.salesforce.com/sfc/servlet.shepherd/version/renditionDownload?rendition=ORIGINAL_Jpg&amp;versionId=068QF00000FJFVnYAP</t>
  </si>
  <si>
    <t>https://hivos.my.salesforce.com/sfc/servlet.shepherd/version/renditionDownload?rendition=ORIGINAL_Jpg&amp;versionId=068QF00000FJAKrYAP</t>
  </si>
  <si>
    <t>https://hivos.my.salesforce.com/sfc/servlet.shepherd/version/renditionDownload?rendition=ORIGINAL_Jpg&amp;versionId=068QF00000FJMyfYAH</t>
  </si>
  <si>
    <t>2024-09-21 16:26:00.000+03</t>
  </si>
  <si>
    <t>0.834438, 33.888972</t>
  </si>
  <si>
    <t>Mere zaidi</t>
  </si>
  <si>
    <t>Failed to come</t>
  </si>
  <si>
    <t>Become relactant</t>
  </si>
  <si>
    <t>Fixing the digestor</t>
  </si>
  <si>
    <t>Still have animal</t>
  </si>
  <si>
    <t>https://hivos.my.salesforce.com/sfc/servlet.shepherd/version/renditionDownload?rendition=ORIGINAL_Jpg&amp;versionId=068QF00000FJ8z1YAD</t>
  </si>
  <si>
    <t>https://hivos.my.salesforce.com/sfc/servlet.shepherd/version/renditionDownload?rendition=ORIGINAL_Jpg&amp;versionId=068QF00000FJN1tYAH</t>
  </si>
  <si>
    <t>https://hivos.my.salesforce.com/sfc/servlet.shepherd/version/renditionDownload?rendition=ORIGINAL_Jpg&amp;versionId=068QF00000FJKdXYAX</t>
  </si>
  <si>
    <t>https://hivos.my.salesforce.com/sfc/servlet.shepherd/version/renditionDownload?rendition=ORIGINAL_Jpg&amp;versionId=068QF00000FJN3VYAX</t>
  </si>
  <si>
    <t>2024-09-21 17:00:00.000+03</t>
  </si>
  <si>
    <t>0.789072, 33.892525</t>
  </si>
  <si>
    <t>Muhadho Isima</t>
  </si>
  <si>
    <t>Told us that is coming but up now not response</t>
  </si>
  <si>
    <t>Just need help to fix the digestor</t>
  </si>
  <si>
    <t>Get us the mason to repair the digestor</t>
  </si>
  <si>
    <t>Still have animal ad willing to repair the digestor</t>
  </si>
  <si>
    <t>https://hivos.my.salesforce.com/sfc/servlet.shepherd/version/renditionDownload?rendition=ORIGINAL_Jpg&amp;versionId=068QF00000FJIzuYAH</t>
  </si>
  <si>
    <t>https://hivos.my.salesforce.com/sfc/servlet.shepherd/version/renditionDownload?rendition=ORIGINAL_Jpg&amp;versionId=068QF00000FJKglYAH</t>
  </si>
  <si>
    <t>https://hivos.my.salesforce.com/sfc/servlet.shepherd/version/renditionDownload?rendition=ORIGINAL_Jpg&amp;versionId=068QF00000FJCCyYAP</t>
  </si>
  <si>
    <t>2024-09-21 17:32:00.000+03</t>
  </si>
  <si>
    <t>0.780322, 33.902287</t>
  </si>
  <si>
    <t>Higenyi Nyende</t>
  </si>
  <si>
    <t>All my animals died ad have no money to replace as am old now</t>
  </si>
  <si>
    <t>If can get source of dung (animals)  will be welcome.</t>
  </si>
  <si>
    <t>Retired education officer  , has a certificate of Removed the stove ad kept it separately.</t>
  </si>
  <si>
    <t>https://hivos.my.salesforce.com/sfc/servlet.shepherd/version/renditionDownload?rendition=ORIGINAL_Jpg&amp;versionId=068QF00000FJN8LYAX</t>
  </si>
  <si>
    <t>https://hivos.my.salesforce.com/sfc/servlet.shepherd/version/renditionDownload?rendition=ORIGINAL_Jpg&amp;versionId=068QF00000FJN9xYAH</t>
  </si>
  <si>
    <t>https://hivos.my.salesforce.com/sfc/servlet.shepherd/version/renditionDownload?rendition=ORIGINAL_Jpg&amp;versionId=068QF00000FJ5mcYAD</t>
  </si>
  <si>
    <t>https://hivos.my.salesforce.com/sfc/servlet.shepherd/version/renditionDownload?rendition=ORIGINAL_Jpg&amp;versionId=068QF00000FJK7GYAX</t>
  </si>
  <si>
    <t>2024-09-21 10:55:00.000+03</t>
  </si>
  <si>
    <t>0.629675, 34.066768</t>
  </si>
  <si>
    <t>Okoth willison</t>
  </si>
  <si>
    <t>Needs more money can't afford</t>
  </si>
  <si>
    <t>After the death of our father who was one take care of the digestor . People come ad stole the pipes  But planning to fix it be this year end.</t>
  </si>
  <si>
    <t>Get me the person who can help me fix the digestor for my mother</t>
  </si>
  <si>
    <t>Little care of the digestor is taken since the death of the father.</t>
  </si>
  <si>
    <t>https://hivos.my.salesforce.com/sfc/servlet.shepherd/version/renditionDownload?rendition=ORIGINAL_Jpg&amp;versionId=068QF00000FJNBZYA5</t>
  </si>
  <si>
    <t>https://hivos.my.salesforce.com/sfc/servlet.shepherd/version/renditionDownload?rendition=ORIGINAL_Jpg&amp;versionId=068QF00000FJKLmYAP</t>
  </si>
  <si>
    <t>https://hivos.my.salesforce.com/sfc/servlet.shepherd/version/renditionDownload?rendition=ORIGINAL_Jpg&amp;versionId=068QF00000FJEujYAH</t>
  </si>
  <si>
    <t>https://hivos.my.salesforce.com/sfc/servlet.shepherd/version/renditionDownload?rendition=ORIGINAL_Jpg&amp;versionId=068QF00000FJKyVYAX</t>
  </si>
  <si>
    <t>2024-09-21 08:04:00.000+03</t>
  </si>
  <si>
    <t>0.642172, 34.167157</t>
  </si>
  <si>
    <t>Ofwono christine</t>
  </si>
  <si>
    <t>It's near the feeding digestor</t>
  </si>
  <si>
    <t>Briquettes</t>
  </si>
  <si>
    <t>It's clean ad less smell  And slurry used for fertilizer in the garden  It's a one off cost.</t>
  </si>
  <si>
    <t>Used as farm yard manure</t>
  </si>
  <si>
    <t>Use directly for various purposes;Store it first;Other (specify)</t>
  </si>
  <si>
    <t>Used as fertilizer;Used as an insecticide/pesticide;Other (specify)</t>
  </si>
  <si>
    <t>Solid storage;Composting with roof</t>
  </si>
  <si>
    <t>Making Briquettes</t>
  </si>
  <si>
    <t>Banana, vegetables, coffee</t>
  </si>
  <si>
    <t>Bio-slurry is insufficient;Cost savings;Different plants need different fertilizers/nutrients</t>
  </si>
  <si>
    <t>Productive time use;Education</t>
  </si>
  <si>
    <t>Good systems  only need constant maintenance</t>
  </si>
  <si>
    <t>The house hold is building another plant for gas Use also human waste in the digestor</t>
  </si>
  <si>
    <t>https://hivos.my.salesforce.com/sfc/servlet.shepherd/version/renditionDownload?rendition=ORIGINAL_Jpg&amp;versionId=068QF00000FJFHGYA5</t>
  </si>
  <si>
    <t>https://hivos.my.salesforce.com/sfc/servlet.shepherd/version/renditionDownload?rendition=ORIGINAL_Jpg&amp;versionId=068QF00000FJNGPYA5</t>
  </si>
  <si>
    <t>https://hivos.my.salesforce.com/sfc/servlet.shepherd/version/renditionDownload?rendition=ORIGINAL_Jpg&amp;versionId=068QF00000FJ6KcYAL</t>
  </si>
  <si>
    <t>https://hivos.my.salesforce.com/sfc/servlet.shepherd/version/renditionDownload?rendition=ORIGINAL_Jpg&amp;versionId=068QF00000FJGA7YAP</t>
  </si>
  <si>
    <t>2024-09-22 08:44:00.000+03</t>
  </si>
  <si>
    <t>0.828083, 33.901553</t>
  </si>
  <si>
    <t>Wangudi Agnese</t>
  </si>
  <si>
    <t>It was difficult to collect dung from neighbors since at that time we didn't own animals. Work was too much ad become lazy.</t>
  </si>
  <si>
    <t>It's too much work ad am getting old . But will ask my husband if can allow to resume since we have the e animals.</t>
  </si>
  <si>
    <t>https://hivos.my.salesforce.com/sfc/servlet.shepherd/version/renditionDownload?rendition=ORIGINAL_Jpg&amp;versionId=068QF00000FLZ3mYAH</t>
  </si>
  <si>
    <t>https://hivos.my.salesforce.com/sfc/servlet.shepherd/version/renditionDownload?rendition=ORIGINAL_Jpg&amp;versionId=068QF00000FLbrzYAD</t>
  </si>
  <si>
    <t>https://hivos.my.salesforce.com/sfc/servlet.shepherd/version/renditionDownload?rendition=ORIGINAL_Jpg&amp;versionId=068QF00000FLR6GYAX</t>
  </si>
  <si>
    <t>2024-09-22 09:34:00.000+03</t>
  </si>
  <si>
    <t>0.823898, 33.801897</t>
  </si>
  <si>
    <t>Namuyirya Feible</t>
  </si>
  <si>
    <t>All our animals died and have no money to replace</t>
  </si>
  <si>
    <t>Financial help or get me animals</t>
  </si>
  <si>
    <t>Willing but no money to replace animals</t>
  </si>
  <si>
    <t>https://hivos.my.salesforce.com/sfc/servlet.shepherd/version/renditionDownload?rendition=ORIGINAL_Jpg&amp;versionId=068QF00000FLgbWYAT</t>
  </si>
  <si>
    <t>https://hivos.my.salesforce.com/sfc/servlet.shepherd/version/renditionDownload?rendition=ORIGINAL_Jpg&amp;versionId=068QF00000FLUvNYAX</t>
  </si>
  <si>
    <t>https://hivos.my.salesforce.com/sfc/servlet.shepherd/version/renditionDownload?rendition=ORIGINAL_Jpg&amp;versionId=068QF00000FLgBiYAL</t>
  </si>
  <si>
    <t>2024-09-22 11:13:00.000+03</t>
  </si>
  <si>
    <t>0.712597, 33.770773</t>
  </si>
  <si>
    <t>Musene Gozani</t>
  </si>
  <si>
    <t>My cooking burner was stolen, and  he advised me to buy another one .</t>
  </si>
  <si>
    <t>Have been lazy to feed the digestor in two months.</t>
  </si>
  <si>
    <t>Help send the mason to fix the digestor ad cook stove.</t>
  </si>
  <si>
    <t>Willing to resume feeding the digestor. The cook stove was stolen (single burner)</t>
  </si>
  <si>
    <t>https://hivos.my.salesforce.com/sfc/servlet.shepherd/version/renditionDownload?rendition=ORIGINAL_Jpg&amp;versionId=068QF00000FLR6HYAX</t>
  </si>
  <si>
    <t>https://hivos.my.salesforce.com/sfc/servlet.shepherd/version/renditionDownload?rendition=ORIGINAL_Jpg&amp;versionId=068QF00000FLgd9YAD</t>
  </si>
  <si>
    <t>https://hivos.my.salesforce.com/sfc/servlet.shepherd/version/renditionDownload?rendition=ORIGINAL_Jpg&amp;versionId=068QF00000FLW17YAH</t>
  </si>
  <si>
    <t>https://hivos.my.salesforce.com/sfc/servlet.shepherd/version/renditionDownload?rendition=ORIGINAL_Jpg&amp;versionId=068QF00000FLjO5YAL</t>
  </si>
  <si>
    <t>0.764535, 33.694302</t>
  </si>
  <si>
    <t>Isabirye Christopher</t>
  </si>
  <si>
    <t>Collection of firewood need a lot of time.</t>
  </si>
  <si>
    <t>The benefits of plant. Like readly available and clean to use.</t>
  </si>
  <si>
    <t>Vegetables, Banana and coffee</t>
  </si>
  <si>
    <t>WFP and Biogas Solution Uganda Ltd</t>
  </si>
  <si>
    <t>The HH use both human dung and animal dung. To produce gas</t>
  </si>
  <si>
    <t>Assistance in protection of my farm products.</t>
  </si>
  <si>
    <t>HH use both human ad animal waste to produce gas</t>
  </si>
  <si>
    <t>https://hivos.my.salesforce.com/sfc/servlet.shepherd/version/renditionDownload?rendition=ORIGINAL_Jpg&amp;versionId=068QF00000FLjUXYA1</t>
  </si>
  <si>
    <t>https://hivos.my.salesforce.com/sfc/servlet.shepherd/version/renditionDownload?rendition=ORIGINAL_Jpg&amp;versionId=068QF00000FLghyYAD</t>
  </si>
  <si>
    <t>https://hivos.my.salesforce.com/sfc/servlet.shepherd/version/renditionDownload?rendition=ORIGINAL_Jpg&amp;versionId=068QF00000FLitTYAT</t>
  </si>
  <si>
    <t>https://hivos.my.salesforce.com/sfc/servlet.shepherd/version/renditionDownload?rendition=ORIGINAL_Jpg&amp;versionId=068QF00000FLjW9YAL</t>
  </si>
  <si>
    <t>0.595758, 33.438448</t>
  </si>
  <si>
    <t>Jesca kayemba</t>
  </si>
  <si>
    <t>Easy to use</t>
  </si>
  <si>
    <t>Leave some for compust manure</t>
  </si>
  <si>
    <t>Banana coffee</t>
  </si>
  <si>
    <t>Radio;Agriculture Extension Officer;Biogas Contractor/Mason</t>
  </si>
  <si>
    <t>Need to visit other better biogas user</t>
  </si>
  <si>
    <t>Training on how best to use the bio slurry</t>
  </si>
  <si>
    <t>The Household  have enough dung only that collecting and feeding is not constant leading to less gas produced</t>
  </si>
  <si>
    <t>https://hivos.my.salesforce.com/sfc/servlet.shepherd/version/renditionDownload?rendition=ORIGINAL_Jpg&amp;versionId=068QF00000FR0hdYAD</t>
  </si>
  <si>
    <t>https://hivos.my.salesforce.com/sfc/servlet.shepherd/version/renditionDownload?rendition=ORIGINAL_Jpg&amp;versionId=068QF00000FQqrzYAD</t>
  </si>
  <si>
    <t>https://hivos.my.salesforce.com/sfc/servlet.shepherd/version/renditionDownload?rendition=ORIGINAL_Jpg&amp;versionId=068QF00000FQxIMYA1</t>
  </si>
  <si>
    <t>https://hivos.my.salesforce.com/sfc/servlet.shepherd/version/renditionDownload?rendition=ORIGINAL_Jpg&amp;versionId=068QF00000FQmzgYAD</t>
  </si>
  <si>
    <t>2024-09-23 11:35:00.000+03</t>
  </si>
  <si>
    <t>0.580552, 33.454513</t>
  </si>
  <si>
    <t>Agnes Namukobe</t>
  </si>
  <si>
    <t>Easy to collect dung animals are caged near</t>
  </si>
  <si>
    <t>It convenient, easy to use and clean</t>
  </si>
  <si>
    <t>Banana,  vegetables coffee</t>
  </si>
  <si>
    <t>It's difficult to collect slurry from the pit .</t>
  </si>
  <si>
    <t>Animals are stable for 12 hours</t>
  </si>
  <si>
    <t>https://hivos.my.salesforce.com/sfc/servlet.shepherd/version/renditionDownload?rendition=ORIGINAL_Jpg&amp;versionId=068QF00000FR0rJYAT</t>
  </si>
  <si>
    <t>https://hivos.my.salesforce.com/sfc/servlet.shepherd/version/renditionDownload?rendition=ORIGINAL_Jpg&amp;versionId=068QF00000FQkPzYAL</t>
  </si>
  <si>
    <t>https://hivos.my.salesforce.com/sfc/servlet.shepherd/version/renditionDownload?rendition=ORIGINAL_Jpg&amp;versionId=068QF00000FQzNOYA1</t>
  </si>
  <si>
    <t>https://hivos.my.salesforce.com/sfc/servlet.shepherd/version/renditionDownload?rendition=ORIGINAL_Jpg&amp;versionId=068QF00000FR0svYAD</t>
  </si>
  <si>
    <t>2024-09-23 13:19:00.000+03</t>
  </si>
  <si>
    <t>0.590713, 33.595915</t>
  </si>
  <si>
    <t>Namugaya Suwuba</t>
  </si>
  <si>
    <t>Lost all my animals and it's difficult for me to collect from neighbors</t>
  </si>
  <si>
    <t>If can get animals</t>
  </si>
  <si>
    <t>The human toilet is attached to the digestor. Animals where sold .</t>
  </si>
  <si>
    <t>https://hivos.my.salesforce.com/sfc/servlet.shepherd/version/renditionDownload?rendition=ORIGINAL_Jpg&amp;versionId=068QF00000FQziMYAT</t>
  </si>
  <si>
    <t>https://hivos.my.salesforce.com/sfc/servlet.shepherd/version/renditionDownload?rendition=ORIGINAL_Jpg&amp;versionId=068QF00000FQx2GYAT</t>
  </si>
  <si>
    <t>https://hivos.my.salesforce.com/sfc/servlet.shepherd/version/renditionDownload?rendition=ORIGINAL_Jpg&amp;versionId=068QF00000FQsVeYAL</t>
  </si>
  <si>
    <t>https://hivos.my.salesforce.com/sfc/servlet.shepherd/version/renditionDownload?rendition=ORIGINAL_Jpg&amp;versionId=068QF00000FR0w9YAD</t>
  </si>
  <si>
    <t>2024-09-23 14:15:00.000+03</t>
  </si>
  <si>
    <t>0.550632, 33.538657</t>
  </si>
  <si>
    <t>Waiswa Erickson</t>
  </si>
  <si>
    <t>Initially sold all animals but have acquired more animal now have seven</t>
  </si>
  <si>
    <t>Destroyed the kitchen  it's being built to house the biogas</t>
  </si>
  <si>
    <t>https://hivos.my.salesforce.com/sfc/servlet.shepherd/version/renditionDownload?rendition=ORIGINAL_Jpg&amp;versionId=068QF00000FR0zNYAT</t>
  </si>
  <si>
    <t>https://hivos.my.salesforce.com/sfc/servlet.shepherd/version/renditionDownload?rendition=ORIGINAL_Jpg&amp;versionId=068QF00000FQlfPYAT</t>
  </si>
  <si>
    <t>https://hivos.my.salesforce.com/sfc/servlet.shepherd/version/renditionDownload?rendition=ORIGINAL_Jpg&amp;versionId=068QF00000FQq7CYAT</t>
  </si>
  <si>
    <t>https://hivos.my.salesforce.com/sfc/servlet.shepherd/version/renditionDownload?rendition=ORIGINAL_Jpg&amp;versionId=068QF00000FQwEGYA1</t>
  </si>
  <si>
    <t>2024-09-23 08:09:00.000+03</t>
  </si>
  <si>
    <t>0.718907, 33.473283</t>
  </si>
  <si>
    <t>Tumwesigye Joy</t>
  </si>
  <si>
    <t>Easier to load dung and it's clean</t>
  </si>
  <si>
    <t>Cooks quick especially in morning when children are going to school.</t>
  </si>
  <si>
    <t>Liquid slurry; Solid storage</t>
  </si>
  <si>
    <t>Zero purchase of artificial fertiliser before and after</t>
  </si>
  <si>
    <t>We get problem of mason who repairs so we need technical people in each location who can help us urgently</t>
  </si>
  <si>
    <t>https://hivos.my.salesforce.com/sfc/servlet.shepherd/version/renditionDownload?rendition=ORIGINAL_Jpg&amp;versionId=068QF00000FQyJHYA1</t>
  </si>
  <si>
    <t>https://hivos.my.salesforce.com/sfc/servlet.shepherd/version/renditionDownload?rendition=ORIGINAL_Jpg&amp;versionId=068QF00000FR1AfYAL</t>
  </si>
  <si>
    <t>https://hivos.my.salesforce.com/sfc/servlet.shepherd/version/renditionDownload?rendition=ORIGINAL_Jpg&amp;versionId=068QF00000FR1CHYA1</t>
  </si>
  <si>
    <t>https://hivos.my.salesforce.com/sfc/servlet.shepherd/version/renditionDownload?rendition=ORIGINAL_Jpg&amp;versionId=068QF00000FR1DtYAL</t>
  </si>
  <si>
    <t>2024-09-24 14:32:00.000+03</t>
  </si>
  <si>
    <t>0.452930, 33.212060</t>
  </si>
  <si>
    <t>Tezikuba Max</t>
  </si>
  <si>
    <t>The dung is near compared to looking for firewood in the forest .</t>
  </si>
  <si>
    <t>It's easy reduce on the cost of buying charcoal and wood. And it's clean cooking</t>
  </si>
  <si>
    <t>Banana  and vegetables</t>
  </si>
  <si>
    <t>It has helped us in reduction of the cost of charcoal and firewood</t>
  </si>
  <si>
    <t>It's a boy's home  8 in number plus 4 teachers. The plant was constructed under the IFAd projets.</t>
  </si>
  <si>
    <t>https://hivos.my.salesforce.com/sfc/servlet.shepherd/version/renditionDownload?rendition=ORIGINAL_Jpg&amp;versionId=068QF00000FVEhFYAX</t>
  </si>
  <si>
    <t>https://hivos.my.salesforce.com/sfc/servlet.shepherd/version/renditionDownload?rendition=ORIGINAL_Jpg&amp;versionId=068QF00000FVGvtYAH</t>
  </si>
  <si>
    <t>https://hivos.my.salesforce.com/sfc/servlet.shepherd/version/renditionDownload?rendition=ORIGINAL_Jpg&amp;versionId=068QF00000FU3j4YAD</t>
  </si>
  <si>
    <t>https://hivos.my.salesforce.com/sfc/servlet.shepherd/version/renditionDownload?rendition=ORIGINAL_Jpg&amp;versionId=068QF00000FVASMYA5</t>
  </si>
  <si>
    <t>2024-09-21 11:27:00.000+03</t>
  </si>
  <si>
    <t>Kasande Winnie - 778475800</t>
  </si>
  <si>
    <t>-0.539103, 30.845977</t>
  </si>
  <si>
    <t>Twine Enos</t>
  </si>
  <si>
    <t>Been busy</t>
  </si>
  <si>
    <t>Need someone to work on it</t>
  </si>
  <si>
    <t>Repairing it</t>
  </si>
  <si>
    <t>https://hivos.my.salesforce.com/sfc/servlet.shepherd/version/renditionDownload?rendition=ORIGINAL_Jpg&amp;versionId=068QF00000FHY4mYAH</t>
  </si>
  <si>
    <t>https://hivos.my.salesforce.com/sfc/servlet.shepherd/version/renditionDownload?rendition=ORIGINAL_Jpg&amp;versionId=068QF00000FJHVxYAP</t>
  </si>
  <si>
    <t>https://hivos.my.salesforce.com/sfc/servlet.shepherd/version/renditionDownload?rendition=ORIGINAL_Jpg&amp;versionId=068QF00000FJGJmYAP</t>
  </si>
  <si>
    <t>https://hivos.my.salesforce.com/sfc/servlet.shepherd/version/renditionDownload?rendition=ORIGINAL_Jpg&amp;versionId=068QF00000FJ7ehYAD</t>
  </si>
  <si>
    <t>2024-09-21 13:50:00.000+03</t>
  </si>
  <si>
    <t>-0.536417, 30.636748</t>
  </si>
  <si>
    <t>Put the whole wheelborrow perday so you dont have energy you cant manage</t>
  </si>
  <si>
    <t>Easy to cook breakkfast and soft food</t>
  </si>
  <si>
    <t>Cowdung is too much for the mixer</t>
  </si>
  <si>
    <t>Cowdung is enough</t>
  </si>
  <si>
    <t>My cows and goats wastes are much so i apply</t>
  </si>
  <si>
    <t>Biogas is in good conditions</t>
  </si>
  <si>
    <t>The system is good</t>
  </si>
  <si>
    <t>https://hivos.my.salesforce.com/sfc/servlet.shepherd/version/renditionDownload?rendition=ORIGINAL_Jpg&amp;versionId=068QF00000FHZ8pYAH</t>
  </si>
  <si>
    <t>https://hivos.my.salesforce.com/sfc/servlet.shepherd/version/renditionDownload?rendition=ORIGINAL_Jpg&amp;versionId=068QF00000FJHNuYAP</t>
  </si>
  <si>
    <t>https://hivos.my.salesforce.com/sfc/servlet.shepherd/version/renditionDownload?rendition=ORIGINAL_Jpg&amp;versionId=068QF00000FJA9YYAX</t>
  </si>
  <si>
    <t>https://hivos.my.salesforce.com/sfc/servlet.shepherd/version/renditionDownload?rendition=ORIGINAL_Jpg&amp;versionId=068QF00000FJHZBYA5</t>
  </si>
  <si>
    <t>2024-09-21 09:44:00.000+03</t>
  </si>
  <si>
    <t>-0.517293, 30.788233</t>
  </si>
  <si>
    <t>Muhairwe Mary</t>
  </si>
  <si>
    <t>They will come to repair but they didnt appear</t>
  </si>
  <si>
    <t>Badly need biogas be repaired</t>
  </si>
  <si>
    <t>To come at repair the biogas</t>
  </si>
  <si>
    <t>Biogas needs to be repaired</t>
  </si>
  <si>
    <t>https://hivos.my.salesforce.com/sfc/servlet.shepherd/version/renditionDownload?rendition=ORIGINAL_Jpg&amp;versionId=068QF00000FJ1HaYAL</t>
  </si>
  <si>
    <t>https://hivos.my.salesforce.com/sfc/servlet.shepherd/version/renditionDownload?rendition=ORIGINAL_Jpg&amp;versionId=068QF00000FJHaoYAH</t>
  </si>
  <si>
    <t>https://hivos.my.salesforce.com/sfc/servlet.shepherd/version/renditionDownload?rendition=ORIGINAL_Jpg&amp;versionId=068QF00000FJ4k4YAD</t>
  </si>
  <si>
    <t>https://hivos.my.salesforce.com/sfc/servlet.shepherd/version/renditionDownload?rendition=ORIGINAL_Jpg&amp;versionId=068QF00000FJHhFYAX</t>
  </si>
  <si>
    <t>2024-09-22 12:40:00.000+03</t>
  </si>
  <si>
    <t>-0.678130, 30.579223</t>
  </si>
  <si>
    <t>Mugabi Obaludo</t>
  </si>
  <si>
    <t>He lacked cowdung to mix</t>
  </si>
  <si>
    <t>Cows died so biogas cant be managed</t>
  </si>
  <si>
    <t>https://hivos.my.salesforce.com/sfc/servlet.shepherd/version/renditionDownload?rendition=ORIGINAL_Jpg&amp;versionId=068QF00000FMeZPYA1</t>
  </si>
  <si>
    <t>https://hivos.my.salesforce.com/sfc/servlet.shepherd/version/renditionDownload?rendition=ORIGINAL_Jpg&amp;versionId=068QF00000FMirRYAT</t>
  </si>
  <si>
    <t>https://hivos.my.salesforce.com/sfc/servlet.shepherd/version/renditionDownload?rendition=ORIGINAL_Jpg&amp;versionId=068QF00000FMxtxYAD</t>
  </si>
  <si>
    <t>https://hivos.my.salesforce.com/sfc/servlet.shepherd/version/renditionDownload?rendition=ORIGINAL_Jpg&amp;versionId=068QF00000FMe7rYAD</t>
  </si>
  <si>
    <t>2024-09-22 11:49:00.000+03</t>
  </si>
  <si>
    <t>-0.660133, 30.607857</t>
  </si>
  <si>
    <t>Florence Bishanga</t>
  </si>
  <si>
    <t>That she should look for atechnician for repair it</t>
  </si>
  <si>
    <t>It has helped her since 2017</t>
  </si>
  <si>
    <t>Bring another tank</t>
  </si>
  <si>
    <t>She was give afake tank</t>
  </si>
  <si>
    <t>https://hivos.my.salesforce.com/sfc/servlet.shepherd/version/renditionDownload?rendition=ORIGINAL_Jpg&amp;versionId=068QF00000FMkGZYA1</t>
  </si>
  <si>
    <t>https://hivos.my.salesforce.com/sfc/servlet.shepherd/version/renditionDownload?rendition=ORIGINAL_Jpg&amp;versionId=068QF00000FMlSpYAL</t>
  </si>
  <si>
    <t>https://hivos.my.salesforce.com/sfc/servlet.shepherd/version/renditionDownload?rendition=ORIGINAL_Jpg&amp;versionId=068QF00000FMrujYAD</t>
  </si>
  <si>
    <t>https://hivos.my.salesforce.com/sfc/servlet.shepherd/version/renditionDownload?rendition=ORIGINAL_Jpg&amp;versionId=068QF00000FMWoiYAH</t>
  </si>
  <si>
    <t>2024-09-22 13:57:00.000+03</t>
  </si>
  <si>
    <t>-0.575745, 30.680655</t>
  </si>
  <si>
    <t>BSU/012478</t>
  </si>
  <si>
    <t>They will come but they didnt appear</t>
  </si>
  <si>
    <t>Biogas saves energy</t>
  </si>
  <si>
    <t>The system was good but the problem is with the pipe</t>
  </si>
  <si>
    <t>https://hivos.my.salesforce.com/sfc/servlet.shepherd/version/renditionDownload?rendition=ORIGINAL_Jpg&amp;versionId=068QF00000FMu2zYAD</t>
  </si>
  <si>
    <t>https://hivos.my.salesforce.com/sfc/servlet.shepherd/version/renditionDownload?rendition=ORIGINAL_Jpg&amp;versionId=068QF00000FLkKIYA1</t>
  </si>
  <si>
    <t>https://hivos.my.salesforce.com/sfc/servlet.shepherd/version/renditionDownload?rendition=ORIGINAL_Jpg&amp;versionId=068QF00000FMvYXYA1</t>
  </si>
  <si>
    <t>https://hivos.my.salesforce.com/sfc/servlet.shepherd/version/renditionDownload?rendition=ORIGINAL_Jpg&amp;versionId=068QF00000FMWNJYA5</t>
  </si>
  <si>
    <t>2024-09-22 14:23:00.000+03</t>
  </si>
  <si>
    <t>2024-09-22 15:32:00.000+03</t>
  </si>
  <si>
    <t>-0.526063, 30.607110</t>
  </si>
  <si>
    <t>Steven Mwesigye</t>
  </si>
  <si>
    <t>Lack of enough water needed to mix cowdung</t>
  </si>
  <si>
    <t>Biogas is too big to be fed and there is no enough water</t>
  </si>
  <si>
    <t>HH liked the biogas but water is the problem</t>
  </si>
  <si>
    <t>https://hivos.my.salesforce.com/sfc/servlet.shepherd/version/renditionDownload?rendition=ORIGINAL_Jpg&amp;versionId=068QF00000FN1lxYAD</t>
  </si>
  <si>
    <t>https://hivos.my.salesforce.com/sfc/servlet.shepherd/version/renditionDownload?rendition=ORIGINAL_Jpg&amp;versionId=068QF00000FN1nZYAT</t>
  </si>
  <si>
    <t>https://hivos.my.salesforce.com/sfc/servlet.shepherd/version/renditionDownload?rendition=ORIGINAL_Jpg&amp;versionId=068QF00000FN1qnYAD</t>
  </si>
  <si>
    <t>https://hivos.my.salesforce.com/sfc/servlet.shepherd/version/renditionDownload?rendition=ORIGINAL_Jpg&amp;versionId=068QF00000FMfP9YAL</t>
  </si>
  <si>
    <t>2024-09-22 15:58:00.000+03</t>
  </si>
  <si>
    <t>2024-09-23 11:59:00.000+03</t>
  </si>
  <si>
    <t>-0.261637, 30.567512</t>
  </si>
  <si>
    <t>Protase Kanyankole</t>
  </si>
  <si>
    <t>Takes few minutes to feed and mix cowdung</t>
  </si>
  <si>
    <t>Clean, durable and faster</t>
  </si>
  <si>
    <t>Because he has enough cowdung</t>
  </si>
  <si>
    <t>Goats and poultry waste products a</t>
  </si>
  <si>
    <t>Innocent and Alex Bekunda</t>
  </si>
  <si>
    <t>Biogas is working well</t>
  </si>
  <si>
    <t>In good conditions</t>
  </si>
  <si>
    <t>https://hivos.my.salesforce.com/sfc/servlet.shepherd/version/renditionDownload?rendition=ORIGINAL_Jpg&amp;versionId=068QF00000FUpywYAD</t>
  </si>
  <si>
    <t>https://hivos.my.salesforce.com/sfc/servlet.shepherd/version/renditionDownload?rendition=ORIGINAL_Jpg&amp;versionId=068QF00000FUsTlYAL</t>
  </si>
  <si>
    <t>https://hivos.my.salesforce.com/sfc/servlet.shepherd/version/renditionDownload?rendition=ORIGINAL_Jpg&amp;versionId=068QF00000FUsYbYAL</t>
  </si>
  <si>
    <t>https://hivos.my.salesforce.com/sfc/servlet.shepherd/version/renditionDownload?rendition=ORIGINAL_Jpg&amp;versionId=068QF00000FUWy0YAH</t>
  </si>
  <si>
    <t>2024-09-23 16:16:00.000+03</t>
  </si>
  <si>
    <t>-0.431133, 30.578403</t>
  </si>
  <si>
    <t>Kyobuguzi Beatrice</t>
  </si>
  <si>
    <t>It is easier</t>
  </si>
  <si>
    <t>Cooks fast</t>
  </si>
  <si>
    <t>Banana plantation and maize plantation</t>
  </si>
  <si>
    <t>Biogas is quick</t>
  </si>
  <si>
    <t>It is in good conditions</t>
  </si>
  <si>
    <t>https://hivos.my.salesforce.com/sfc/servlet.shepherd/version/renditionDownload?rendition=ORIGINAL_Jpg&amp;versionId=068QF00000FUrKnYAL</t>
  </si>
  <si>
    <t>https://hivos.my.salesforce.com/sfc/servlet.shepherd/version/renditionDownload?rendition=ORIGINAL_Jpg&amp;versionId=068QF00000FUdRYYA1</t>
  </si>
  <si>
    <t>https://hivos.my.salesforce.com/sfc/servlet.shepherd/version/renditionDownload?rendition=ORIGINAL_Jpg&amp;versionId=068QF00000FUrO1YAL</t>
  </si>
  <si>
    <t>https://hivos.my.salesforce.com/sfc/servlet.shepherd/version/renditionDownload?rendition=ORIGINAL_Jpg&amp;versionId=068QF00000FUcYkYAL</t>
  </si>
  <si>
    <t>2024-09-23 17:33:00.000+03</t>
  </si>
  <si>
    <t>-0.508080, 30.590318</t>
  </si>
  <si>
    <t>Kyomuhendo Alice</t>
  </si>
  <si>
    <t>Takes afew minutes to feed it than collecting firewood</t>
  </si>
  <si>
    <t>No smoke it brings</t>
  </si>
  <si>
    <t>Biogas cooks well</t>
  </si>
  <si>
    <t>https://hivos.my.salesforce.com/sfc/servlet.shepherd/version/renditionDownload?rendition=ORIGINAL_Jpg&amp;versionId=068QF00000FUsf3YAD</t>
  </si>
  <si>
    <t>https://hivos.my.salesforce.com/sfc/servlet.shepherd/version/renditionDownload?rendition=ORIGINAL_Jpg&amp;versionId=068QF00000FUr34YAD</t>
  </si>
  <si>
    <t>https://hivos.my.salesforce.com/sfc/servlet.shepherd/version/renditionDownload?rendition=ORIGINAL_Jpg&amp;versionId=068QF00000FUi1UYAT</t>
  </si>
  <si>
    <t>https://hivos.my.salesforce.com/sfc/servlet.shepherd/version/renditionDownload?rendition=ORIGINAL_Jpg&amp;versionId=068QF00000FUdRZYA1</t>
  </si>
  <si>
    <t>2024-09-23 14:25:00.000+03</t>
  </si>
  <si>
    <t>-0.381790, 30.545602</t>
  </si>
  <si>
    <t>Kamabati Moses</t>
  </si>
  <si>
    <t>Cooks meals that was to be cooked using firewood</t>
  </si>
  <si>
    <t>Cooks so fast</t>
  </si>
  <si>
    <t>Its put in banana plantation</t>
  </si>
  <si>
    <t>Goats waste is hard to mix</t>
  </si>
  <si>
    <t>Bananna, coffee and Vanilla</t>
  </si>
  <si>
    <t>It was long time problem</t>
  </si>
  <si>
    <t>Workshop/training for farmers</t>
  </si>
  <si>
    <t>Bigas cooks faster, reduced using firewood, it doesnt bring smoke while cooking</t>
  </si>
  <si>
    <t>Is an energy saver</t>
  </si>
  <si>
    <t>https://hivos.my.salesforce.com/sfc/servlet.shepherd/version/renditionDownload?rendition=ORIGINAL_Jpg&amp;versionId=068QF00000FUbCtYAL</t>
  </si>
  <si>
    <t>https://hivos.my.salesforce.com/sfc/servlet.shepherd/version/renditionDownload?rendition=ORIGINAL_Jpg&amp;versionId=068QF00000FUswnYAD</t>
  </si>
  <si>
    <t>https://hivos.my.salesforce.com/sfc/servlet.shepherd/version/renditionDownload?rendition=ORIGINAL_Jpg&amp;versionId=068QF00000FUt1dYAD</t>
  </si>
  <si>
    <t>https://hivos.my.salesforce.com/sfc/servlet.shepherd/version/renditionDownload?rendition=ORIGINAL_Jpg&amp;versionId=068QF00000FSoMEYA1</t>
  </si>
  <si>
    <t>UG-WES-1701-2853</t>
  </si>
  <si>
    <t>2024-09-25 14:44:00.000+03</t>
  </si>
  <si>
    <t>-0.516608, 30.609803</t>
  </si>
  <si>
    <t>Tumwine Anthony</t>
  </si>
  <si>
    <t>They promised to come and repair but didnt come</t>
  </si>
  <si>
    <t>Technicians lied to come and repair</t>
  </si>
  <si>
    <t>Technician should intervene</t>
  </si>
  <si>
    <t>https://hivos.my.salesforce.com/sfc/servlet.shepherd/version/renditionDownload?rendition=ORIGINAL_Jpg&amp;versionId=068QF00000Fa0SHYAZ</t>
  </si>
  <si>
    <t>https://hivos.my.salesforce.com/sfc/servlet.shepherd/version/renditionDownload?rendition=ORIGINAL_Jpg&amp;versionId=068QF00000FZqkoYAD</t>
  </si>
  <si>
    <t>https://hivos.my.salesforce.com/sfc/servlet.shepherd/version/renditionDownload?rendition=ORIGINAL_Jpg&amp;versionId=068QF00000Fa0TtYAJ</t>
  </si>
  <si>
    <t>https://hivos.my.salesforce.com/sfc/servlet.shepherd/version/renditionDownload?rendition=ORIGINAL_Jpg&amp;versionId=068QF00000FZGSrYAP</t>
  </si>
  <si>
    <t>2024-09-20 15:46:00.000+03</t>
  </si>
  <si>
    <t>0.808748, 32.505362</t>
  </si>
  <si>
    <t>Ms Faith kafunenda</t>
  </si>
  <si>
    <t>The house hold animals died and they lost hope on bio gas</t>
  </si>
  <si>
    <t>Provisions of cows and repairing back the biogss</t>
  </si>
  <si>
    <t>The house hold is still interested in using biogas though they don't have animals</t>
  </si>
  <si>
    <t>https://hivos.my.salesforce.com/sfc/servlet.shepherd/version/renditionDownload?rendition=ORIGINAL_Jpg&amp;versionId=068QF00000FIFWEYA5</t>
  </si>
  <si>
    <t>https://hivos.my.salesforce.com/sfc/servlet.shepherd/version/renditionDownload?rendition=ORIGINAL_Jpg&amp;versionId=068QF00000FI7teYAD</t>
  </si>
  <si>
    <t>https://hivos.my.salesforce.com/sfc/servlet.shepherd/version/renditionDownload?rendition=ORIGINAL_Jpg&amp;versionId=068QF00000FIE2JYAX</t>
  </si>
  <si>
    <t>2024-09-20 14:36:00.000+03</t>
  </si>
  <si>
    <t>0.768862, 32.513678</t>
  </si>
  <si>
    <t>Mr Kavuma Deo</t>
  </si>
  <si>
    <t>They said they will come and repair it but did not come .</t>
  </si>
  <si>
    <t>The house hold is still interested in using Bio gas</t>
  </si>
  <si>
    <t>Repairing of the bio gas</t>
  </si>
  <si>
    <t>The biogas has technical issues which was caused by strong winds that broke the tube</t>
  </si>
  <si>
    <t>https://hivos.my.salesforce.com/sfc/servlet.shepherd/version/renditionDownload?rendition=ORIGINAL_Jpg&amp;versionId=068QF00000FIGGzYAP</t>
  </si>
  <si>
    <t>https://hivos.my.salesforce.com/sfc/servlet.shepherd/version/renditionDownload?rendition=ORIGINAL_Jpg&amp;versionId=068QF00000FIEDiYAP</t>
  </si>
  <si>
    <t>https://hivos.my.salesforce.com/sfc/servlet.shepherd/version/renditionDownload?rendition=ORIGINAL_Jpg&amp;versionId=068QF00000FIGIbYAP</t>
  </si>
  <si>
    <t>https://hivos.my.salesforce.com/sfc/servlet.shepherd/version/renditionDownload?rendition=ORIGINAL_Jpg&amp;versionId=068QF00000FIETiYAP</t>
  </si>
  <si>
    <t>2024-09-21 14:28:00.000+03</t>
  </si>
  <si>
    <t>0.760783, 32.507522</t>
  </si>
  <si>
    <t>Hajji kasoma  Isihaka</t>
  </si>
  <si>
    <t>Didn't remember the company</t>
  </si>
  <si>
    <t>The house hold needs interventions on bio gas</t>
  </si>
  <si>
    <t>Need to check whether the bio gas can still function and see how they can put it back in use</t>
  </si>
  <si>
    <t>The house hold biogas is not working but need intervention to make it start functioning again</t>
  </si>
  <si>
    <t>https://hivos.my.salesforce.com/sfc/servlet.shepherd/version/renditionDownload?rendition=ORIGINAL_Jpg&amp;versionId=068QF00000FKQiWYAX</t>
  </si>
  <si>
    <t>https://hivos.my.salesforce.com/sfc/servlet.shepherd/version/renditionDownload?rendition=ORIGINAL_Jpg&amp;versionId=068QF00000FKTRrYAP</t>
  </si>
  <si>
    <t>https://hivos.my.salesforce.com/sfc/servlet.shepherd/version/renditionDownload?rendition=ORIGINAL_Jpg&amp;versionId=068QF00000FKUCcYAP</t>
  </si>
  <si>
    <t>2024-09-21 08:52:00.000+03</t>
  </si>
  <si>
    <t>0.708385, 32.530272</t>
  </si>
  <si>
    <t>Ms Mariam kalule</t>
  </si>
  <si>
    <t>The house hold animals were stolen and had no where to get manure to feed the digester</t>
  </si>
  <si>
    <t>Anything required to make the bio digester start working again either provision of animals or renovations of the biogas</t>
  </si>
  <si>
    <t>The house hold is still interested in using the biogas but the animals were stolen</t>
  </si>
  <si>
    <t>https://hivos.my.salesforce.com/sfc/servlet.shepherd/version/renditionDownload?rendition=ORIGINAL_Jpg&amp;versionId=068QF00000FKYheYAH</t>
  </si>
  <si>
    <t>https://hivos.my.salesforce.com/sfc/servlet.shepherd/version/renditionDownload?rendition=ORIGINAL_Jpg&amp;versionId=068QF00000FKbE5YAL</t>
  </si>
  <si>
    <t>https://hivos.my.salesforce.com/sfc/servlet.shepherd/version/renditionDownload?rendition=ORIGINAL_Jpg&amp;versionId=068QF00000FKbCTYA1</t>
  </si>
  <si>
    <t>2024-09-21 10:19:00.000+03</t>
  </si>
  <si>
    <t>0.672487, 32.511377</t>
  </si>
  <si>
    <t>Michael kiyingi</t>
  </si>
  <si>
    <t>It's easy and takes short time to mix manure in the bio digester than collecting firewood</t>
  </si>
  <si>
    <t>Biogas is very good ,effective to use and cooks quickly</t>
  </si>
  <si>
    <t>Banana plantation, coffee,maize, cassava,beans</t>
  </si>
  <si>
    <t>I don't prepare meals at home before and after acquiring bio gas and I don't feed the digester,so time has remained the same</t>
  </si>
  <si>
    <t>The house hold is still using biogas</t>
  </si>
  <si>
    <t>In need of  a double stove</t>
  </si>
  <si>
    <t>The house holds bio gas is still working very well but they are in need of a double stove</t>
  </si>
  <si>
    <t>https://hivos.my.salesforce.com/sfc/servlet.shepherd/version/renditionDownload?rendition=ORIGINAL_Jpg&amp;versionId=068QF00000FKZPCYA5</t>
  </si>
  <si>
    <t>https://hivos.my.salesforce.com/sfc/servlet.shepherd/version/renditionDownload?rendition=ORIGINAL_Jpg&amp;versionId=068QF00000FKUnjYAH</t>
  </si>
  <si>
    <t>https://hivos.my.salesforce.com/sfc/servlet.shepherd/version/renditionDownload?rendition=ORIGINAL_Jpg&amp;versionId=068QF00000FKRgCYAX</t>
  </si>
  <si>
    <t>2024-09-21 12:54:00.000+03</t>
  </si>
  <si>
    <t>0.656840, 32.491957</t>
  </si>
  <si>
    <t>Ms Nambooze Kevin</t>
  </si>
  <si>
    <t>Had no money I feared to contact</t>
  </si>
  <si>
    <t>The house hold is not using bio gas due to technical issues.</t>
  </si>
  <si>
    <t>Renovations of the biogas</t>
  </si>
  <si>
    <t>The house hold is still interested in using bio gas</t>
  </si>
  <si>
    <t>https://hivos.my.salesforce.com/sfc/servlet.shepherd/version/renditionDownload?rendition=ORIGINAL_Jpg&amp;versionId=068QF00000FKVqEYAX</t>
  </si>
  <si>
    <t>https://hivos.my.salesforce.com/sfc/servlet.shepherd/version/renditionDownload?rendition=ORIGINAL_Jpg&amp;versionId=068QF00000FKbIvYAL</t>
  </si>
  <si>
    <t>https://hivos.my.salesforce.com/sfc/servlet.shepherd/version/renditionDownload?rendition=ORIGINAL_Jpg&amp;versionId=068QF00000FKQNYYA5</t>
  </si>
  <si>
    <t>2024-09-22 10:05:00.000+03</t>
  </si>
  <si>
    <t>0.833832, 32.477545</t>
  </si>
  <si>
    <t>Nakalema topista</t>
  </si>
  <si>
    <t>Wanted to contact laiter some time</t>
  </si>
  <si>
    <t>The house hold needs the solution for biogas to start working again</t>
  </si>
  <si>
    <t>Repairing of the biogas</t>
  </si>
  <si>
    <t>The house hold biogas got technical issues and no longer producing gas</t>
  </si>
  <si>
    <t>https://hivos.my.salesforce.com/sfc/servlet.shepherd/version/renditionDownload?rendition=ORIGINAL_Jpg&amp;versionId=068QF00000FKbVpYAL</t>
  </si>
  <si>
    <t>https://hivos.my.salesforce.com/sfc/servlet.shepherd/version/renditionDownload?rendition=ORIGINAL_Jpg&amp;versionId=068QF00000FKH5nYAH</t>
  </si>
  <si>
    <t>https://hivos.my.salesforce.com/sfc/servlet.shepherd/version/renditionDownload?rendition=ORIGINAL_Jpg&amp;versionId=068QF00000FKNHeYAP</t>
  </si>
  <si>
    <t>https://hivos.my.salesforce.com/sfc/servlet.shepherd/version/renditionDownload?rendition=ORIGINAL_Jpg&amp;versionId=068QF00000FKbXRYA1</t>
  </si>
  <si>
    <t>2024-09-22 14:17:00.000+03</t>
  </si>
  <si>
    <t>0.731177, 32.269185</t>
  </si>
  <si>
    <t>Byekwaso john</t>
  </si>
  <si>
    <t>Bio gas doesn't smoke and firewood produces a lot of smoke</t>
  </si>
  <si>
    <t>Bio gas cooks quickly,does not smoke compared to other using firewood</t>
  </si>
  <si>
    <t>Have a lot of work such as farming</t>
  </si>
  <si>
    <t>Request the program to upgrade the kreal by cementing it</t>
  </si>
  <si>
    <t>The house hold request to the program to help and upgrade the kreal of animals</t>
  </si>
  <si>
    <t>https://hivos.my.salesforce.com/sfc/servlet.shepherd/version/renditionDownload?rendition=ORIGINAL_Jpg&amp;versionId=068QF00000FKSFiYAP</t>
  </si>
  <si>
    <t>https://hivos.my.salesforce.com/sfc/servlet.shepherd/version/renditionDownload?rendition=ORIGINAL_Jpg&amp;versionId=068QF00000FKX8tYAH</t>
  </si>
  <si>
    <t>https://hivos.my.salesforce.com/sfc/servlet.shepherd/version/renditionDownload?rendition=ORIGINAL_Jpg&amp;versionId=068QF00000FKbafYAD</t>
  </si>
  <si>
    <t>https://hivos.my.salesforce.com/sfc/servlet.shepherd/version/renditionDownload?rendition=ORIGINAL_Jpg&amp;versionId=068QF00000FKbcHYAT</t>
  </si>
  <si>
    <t>2024-09-22 16:56:00.000+03</t>
  </si>
  <si>
    <t>0.800777, 32.254632</t>
  </si>
  <si>
    <t>Veterinary</t>
  </si>
  <si>
    <t>Butukirire isaac</t>
  </si>
  <si>
    <t>It's easy to collect cow dung than collecting firewood</t>
  </si>
  <si>
    <t>It doesn't smoke, and no waste of resources in the environment</t>
  </si>
  <si>
    <t>Other (non-lactating) cattle;Other Animals (specify)</t>
  </si>
  <si>
    <t>Dragon plants,coffee,Banana plantation,pineapples</t>
  </si>
  <si>
    <t>Fao</t>
  </si>
  <si>
    <t>Request the program to help others and they also receive bio gas</t>
  </si>
  <si>
    <t>The house hold bio gas is still working very well</t>
  </si>
  <si>
    <t>https://hivos.my.salesforce.com/sfc/servlet.shepherd/version/renditionDownload?rendition=ORIGINAL_Jpg&amp;versionId=068QF00000FLXJlYAP</t>
  </si>
  <si>
    <t>https://hivos.my.salesforce.com/sfc/servlet.shepherd/version/renditionDownload?rendition=ORIGINAL_Jpg&amp;versionId=068QF00000FLV8FYAX</t>
  </si>
  <si>
    <t>https://hivos.my.salesforce.com/sfc/servlet.shepherd/version/renditionDownload?rendition=ORIGINAL_Jpg&amp;versionId=068QF00000FKVDXYA5</t>
  </si>
  <si>
    <t>2024-09-24 10:17:00.000+03</t>
  </si>
  <si>
    <t>0.588447, 32.492928</t>
  </si>
  <si>
    <t>It's easy to use and does not smoke</t>
  </si>
  <si>
    <t>Omara and john</t>
  </si>
  <si>
    <t>TV Programmes;Biogas Program</t>
  </si>
  <si>
    <t>The house hold bio gas is still working but not as it used to work at the begging. It now prepares like 2 meals and gets done</t>
  </si>
  <si>
    <t>I request the program to reduce on the price of biogas</t>
  </si>
  <si>
    <t>The house hold biogas is still working</t>
  </si>
  <si>
    <t>https://hivos.my.salesforce.com/sfc/servlet.shepherd/version/renditionDownload?rendition=ORIGINAL_Jpg&amp;versionId=068QF00000FZMmkYAH</t>
  </si>
  <si>
    <t>https://hivos.my.salesforce.com/sfc/servlet.shepherd/version/renditionDownload?rendition=ORIGINAL_Jpg&amp;versionId=068QF00000FZMGZYA5</t>
  </si>
  <si>
    <t>https://hivos.my.salesforce.com/sfc/servlet.shepherd/version/renditionDownload?rendition=ORIGINAL_Jpg&amp;versionId=068QF00000FZfhBYAT</t>
  </si>
  <si>
    <t>2024-09-20 14:58:00.000+03</t>
  </si>
  <si>
    <t>0.323872, 32.476144</t>
  </si>
  <si>
    <t>Kayongo Gorret</t>
  </si>
  <si>
    <t>Everything is at home other than walking to look for firewood</t>
  </si>
  <si>
    <t>Cooks quickly, convenient, clean, safer than LPG, slurry improves crops</t>
  </si>
  <si>
    <t>The digester is small</t>
  </si>
  <si>
    <t>Bananas, beans, coffee, greens, fruits</t>
  </si>
  <si>
    <t>Bosco Wapatiti</t>
  </si>
  <si>
    <t>The stove has no any problem</t>
  </si>
  <si>
    <t>She only appreciates</t>
  </si>
  <si>
    <t>https://hivos.my.salesforce.com/sfc/servlet.shepherd/version/renditionDownload?rendition=ORIGINAL_Jpg&amp;versionId=068QF00000FIWSEYA5</t>
  </si>
  <si>
    <t>https://hivos.my.salesforce.com/sfc/servlet.shepherd/version/renditionDownload?rendition=ORIGINAL_Jpg&amp;versionId=068QF00000FIMZOYA5</t>
  </si>
  <si>
    <t>https://hivos.my.salesforce.com/sfc/servlet.shepherd/version/renditionDownload?rendition=ORIGINAL_Jpg&amp;versionId=068QF00000FIS6tYAH</t>
  </si>
  <si>
    <t>https://hivos.my.salesforce.com/sfc/servlet.shepherd/version/renditionDownload?rendition=ORIGINAL_Jpg&amp;versionId=068QF00000FI3OoYAL</t>
  </si>
  <si>
    <t>2024-09-20 12:23:00.000+03</t>
  </si>
  <si>
    <t>0.297716, 32.458598</t>
  </si>
  <si>
    <t>Mulema Mildred</t>
  </si>
  <si>
    <t>Cow dung and water are readily available</t>
  </si>
  <si>
    <t>Cooks quickly, easy to manage in terms of feeding it</t>
  </si>
  <si>
    <t>Bananas, cassava, greens</t>
  </si>
  <si>
    <t>She rests</t>
  </si>
  <si>
    <t>She uses charcoal once in a while when gas is not enough.</t>
  </si>
  <si>
    <t>She used firewood before getting biogas but now she uses charcoal with gas but rarely</t>
  </si>
  <si>
    <t>https://hivos.my.salesforce.com/sfc/servlet.shepherd/version/renditionDownload?rendition=ORIGINAL_Jpg&amp;versionId=068QF00000FIYyfYAH</t>
  </si>
  <si>
    <t>https://hivos.my.salesforce.com/sfc/servlet.shepherd/version/renditionDownload?rendition=ORIGINAL_Jpg&amp;versionId=068QF00000FITFsYAP</t>
  </si>
  <si>
    <t>https://hivos.my.salesforce.com/sfc/servlet.shepherd/version/renditionDownload?rendition=ORIGINAL_Jpg&amp;versionId=068QF00000FIZ0HYAX</t>
  </si>
  <si>
    <t>2024-09-20 14:05:00.000+03</t>
  </si>
  <si>
    <t>0.347772, 32.377346</t>
  </si>
  <si>
    <t>Tumwiine Hellen</t>
  </si>
  <si>
    <t>They lost contact for the mason</t>
  </si>
  <si>
    <t>The dome got broken. They believe someone accidentally broke it</t>
  </si>
  <si>
    <t>To work on the broken part</t>
  </si>
  <si>
    <t>They need help. They lost contact for the mason but now they have got us</t>
  </si>
  <si>
    <t>https://hivos.my.salesforce.com/sfc/servlet.shepherd/version/renditionDownload?rendition=ORIGINAL_Jpg&amp;versionId=068QF00000FIUDWYA5</t>
  </si>
  <si>
    <t>https://hivos.my.salesforce.com/sfc/servlet.shepherd/version/renditionDownload?rendition=ORIGINAL_Jpg&amp;versionId=068QF00000FIR5yYAH</t>
  </si>
  <si>
    <t>2024-09-20 16:44:00.000+03</t>
  </si>
  <si>
    <t>0.335585, 32.531980</t>
  </si>
  <si>
    <t>Abdu Kato Musigire</t>
  </si>
  <si>
    <t>Clean, efficient, convenient</t>
  </si>
  <si>
    <t>No2: give it away</t>
  </si>
  <si>
    <t>They are happy with biogas</t>
  </si>
  <si>
    <t>He lost his cows and remained with two only</t>
  </si>
  <si>
    <t>https://hivos.my.salesforce.com/sfc/servlet.shepherd/version/renditionDownload?rendition=ORIGINAL_Jpg&amp;versionId=068QF00000FITZDYA5</t>
  </si>
  <si>
    <t>https://hivos.my.salesforce.com/sfc/servlet.shepherd/version/renditionDownload?rendition=ORIGINAL_Jpg&amp;versionId=068QF00000FIZ1tYAH</t>
  </si>
  <si>
    <t>https://hivos.my.salesforce.com/sfc/servlet.shepherd/version/renditionDownload?rendition=ORIGINAL_Jpg&amp;versionId=068QF00000FIZ3VYAX</t>
  </si>
  <si>
    <t>2024-09-21 12:42:00.000+03</t>
  </si>
  <si>
    <t>0.390633, 32.476748</t>
  </si>
  <si>
    <t>Nanyanzi Janat</t>
  </si>
  <si>
    <t>Cooks quickly</t>
  </si>
  <si>
    <t>Kyama Innocent</t>
  </si>
  <si>
    <t>It doesn't cook for long</t>
  </si>
  <si>
    <t>The gas doesn't take long yet not over used</t>
  </si>
  <si>
    <t>She needs to know why the gas takes very little time yet they feed the digester everyday</t>
  </si>
  <si>
    <t>She needs attention urgently</t>
  </si>
  <si>
    <t>https://hivos.my.salesforce.com/sfc/servlet.shepherd/version/renditionDownload?rendition=ORIGINAL_Jpg&amp;versionId=068QF00000FKHdaYAH</t>
  </si>
  <si>
    <t>https://hivos.my.salesforce.com/sfc/servlet.shepherd/version/renditionDownload?rendition=ORIGINAL_Jpg&amp;versionId=068QF00000FL0E5YAL</t>
  </si>
  <si>
    <t>https://hivos.my.salesforce.com/sfc/servlet.shepherd/version/renditionDownload?rendition=ORIGINAL_Jpg&amp;versionId=068QF00000FL0FhYAL</t>
  </si>
  <si>
    <t>https://hivos.my.salesforce.com/sfc/servlet.shepherd/version/renditionDownload?rendition=ORIGINAL_Jpg&amp;versionId=068QF00000FKpiVYAT</t>
  </si>
  <si>
    <t>2024-09-22 14:43:00.000+03</t>
  </si>
  <si>
    <t>0.422985, 32.421754</t>
  </si>
  <si>
    <t>Janet Rwihandagaza</t>
  </si>
  <si>
    <t>Manure good for crops especially greens which she sells, feeds slurry to pigs, sells slurry sometimes</t>
  </si>
  <si>
    <t>Used as fertilizer, animal feed, bioslurry sold</t>
  </si>
  <si>
    <t>Greens, fruits, bananas, beans, maize</t>
  </si>
  <si>
    <t>James</t>
  </si>
  <si>
    <t>She is happy</t>
  </si>
  <si>
    <t>https://hivos.my.salesforce.com/sfc/servlet.shepherd/version/renditionDownload?rendition=ORIGINAL_Jpg&amp;versionId=068QF00000FL0ijYAD</t>
  </si>
  <si>
    <t>https://hivos.my.salesforce.com/sfc/servlet.shepherd/version/renditionDownload?rendition=ORIGINAL_Jpg&amp;versionId=068QF00000FKh0CYAT</t>
  </si>
  <si>
    <t>https://hivos.my.salesforce.com/sfc/servlet.shepherd/version/renditionDownload?rendition=ORIGINAL_Jpg&amp;versionId=068QF00000FL0kLYAT</t>
  </si>
  <si>
    <t>https://hivos.my.salesforce.com/sfc/servlet.shepherd/version/renditionDownload?rendition=ORIGINAL_Jpg&amp;versionId=068QF00000FKuWuYAL</t>
  </si>
  <si>
    <t>2024-09-21 15:13:00.000+03</t>
  </si>
  <si>
    <t>0.459322, 32.514289</t>
  </si>
  <si>
    <t>They told her that money for repair was over. She was advised to wait for the subsequent year which was 2023 but up to now she is not yet helped</t>
  </si>
  <si>
    <t>She needs urgent help because she loves her system</t>
  </si>
  <si>
    <t>To repair the blocked pipe</t>
  </si>
  <si>
    <t>https://hivos.my.salesforce.com/sfc/servlet.shepherd/version/renditionDownload?rendition=ORIGINAL_Jpg&amp;versionId=068QF00000FL0HJYA1</t>
  </si>
  <si>
    <t>https://hivos.my.salesforce.com/sfc/servlet.shepherd/version/renditionDownload?rendition=ORIGINAL_Jpg&amp;versionId=068QF00000FKYkuYAH</t>
  </si>
  <si>
    <t>https://hivos.my.salesforce.com/sfc/servlet.shepherd/version/renditionDownload?rendition=ORIGINAL_Jpg&amp;versionId=068QF00000FKxJTYA1</t>
  </si>
  <si>
    <t>2024-09-21 16:27:00.000+03</t>
  </si>
  <si>
    <t>0.429573, 32.612753</t>
  </si>
  <si>
    <t>Ntulume Harriet</t>
  </si>
  <si>
    <t>They came once but didn't come back</t>
  </si>
  <si>
    <t>She is aging, everyone is away from home so she has no reason for fixing it.</t>
  </si>
  <si>
    <t>It was broken by the roots of the tree, it was cut but still not interested</t>
  </si>
  <si>
    <t>https://hivos.my.salesforce.com/sfc/servlet.shepherd/version/renditionDownload?rendition=ORIGINAL_Jpg&amp;versionId=068QF00000FKZ5zYAH</t>
  </si>
  <si>
    <t>https://hivos.my.salesforce.com/sfc/servlet.shepherd/version/renditionDownload?rendition=ORIGINAL_Jpg&amp;versionId=068QF00000FL0KXYA1</t>
  </si>
  <si>
    <t>https://hivos.my.salesforce.com/sfc/servlet.shepherd/version/renditionDownload?rendition=ORIGINAL_Jpg&amp;versionId=068QF00000FKz59YAD</t>
  </si>
  <si>
    <t>2024-09-21 11:06:00.000+03</t>
  </si>
  <si>
    <t>0.286294, 32.440880</t>
  </si>
  <si>
    <t>Hajjat Zainab Nagujja</t>
  </si>
  <si>
    <t>It helps to dispose off cow dung so it's like a free fuel, it cooks quickly</t>
  </si>
  <si>
    <t>The cow dung is too much for the daily use in the digester</t>
  </si>
  <si>
    <t>Coffee, bananas, flowers, greens</t>
  </si>
  <si>
    <t>It's available from the cows. No where else to put it</t>
  </si>
  <si>
    <t>Vika</t>
  </si>
  <si>
    <t>She has very nice looking banana plantation. Very happy with the program</t>
  </si>
  <si>
    <t>They need the handle of the mixer. The one they have eats the hands</t>
  </si>
  <si>
    <t>https://hivos.my.salesforce.com/sfc/servlet.shepherd/version/renditionDownload?rendition=ORIGINAL_Jpg&amp;versionId=068QF00000FL0NlYAL</t>
  </si>
  <si>
    <t>https://hivos.my.salesforce.com/sfc/servlet.shepherd/version/renditionDownload?rendition=ORIGINAL_Jpg&amp;versionId=068QF00000FKcgUYAT</t>
  </si>
  <si>
    <t>https://hivos.my.salesforce.com/sfc/servlet.shepherd/version/renditionDownload?rendition=ORIGINAL_Jpg&amp;versionId=068QF00000FKrZ0YAL</t>
  </si>
  <si>
    <t>https://hivos.my.salesforce.com/sfc/servlet.shepherd/version/renditionDownload?rendition=ORIGINAL_Jpg&amp;versionId=068QF00000FL0CUYA1</t>
  </si>
  <si>
    <t>2024-09-21 13:43:00.000+03</t>
  </si>
  <si>
    <t>0.422812, 32.422680</t>
  </si>
  <si>
    <t>Nabulya Getrude</t>
  </si>
  <si>
    <t>It saves time, it saves money, slurry improves crops</t>
  </si>
  <si>
    <t>Cassava, tomatoes, bananas, maize</t>
  </si>
  <si>
    <t>Her eyes were over damaged so they need medical attention</t>
  </si>
  <si>
    <t>Emma</t>
  </si>
  <si>
    <t>She is happy with the system but it's small she can't cook beans on it. She wishes to have a big one</t>
  </si>
  <si>
    <t>https://hivos.my.salesforce.com/sfc/servlet.shepherd/version/renditionDownload?rendition=ORIGINAL_Jpg&amp;versionId=068QF00000FL0QzYAL</t>
  </si>
  <si>
    <t>https://hivos.my.salesforce.com/sfc/servlet.shepherd/version/renditionDownload?rendition=ORIGINAL_Jpg&amp;versionId=068QF00000FKkUKYA1</t>
  </si>
  <si>
    <t>https://hivos.my.salesforce.com/sfc/servlet.shepherd/version/renditionDownload?rendition=ORIGINAL_Jpg&amp;versionId=068QF00000FKoxnYAD</t>
  </si>
  <si>
    <t>https://hivos.my.salesforce.com/sfc/servlet.shepherd/version/renditionDownload?rendition=ORIGINAL_Jpg&amp;versionId=068QF00000FL0SbYAL</t>
  </si>
  <si>
    <t>2024-09-22 12:37:00.000+03</t>
  </si>
  <si>
    <t>0.534594, 32.272993</t>
  </si>
  <si>
    <t>Lydia Jemba</t>
  </si>
  <si>
    <t>Smart cooking, money from slurry, manure for gardens</t>
  </si>
  <si>
    <t>https://hivos.my.salesforce.com/sfc/servlet.shepherd/version/renditionDownload?rendition=ORIGINAL_Jpg&amp;versionId=068QF00000FKwQcYAL</t>
  </si>
  <si>
    <t>https://hivos.my.salesforce.com/sfc/servlet.shepherd/version/renditionDownload?rendition=ORIGINAL_Jpg&amp;versionId=068QF00000FKqWVYA1</t>
  </si>
  <si>
    <t>https://hivos.my.salesforce.com/sfc/servlet.shepherd/version/renditionDownload?rendition=ORIGINAL_Jpg&amp;versionId=068QF00000FKqReYAL</t>
  </si>
  <si>
    <t>2024-09-22 13:53:00.000+03</t>
  </si>
  <si>
    <t>0.418863, 32.385967</t>
  </si>
  <si>
    <t>Nabakiibi Fatuma</t>
  </si>
  <si>
    <t>She is still looking for money to buy more cows and use her biogas again</t>
  </si>
  <si>
    <t>She said she will buy more cows</t>
  </si>
  <si>
    <t>https://hivos.my.salesforce.com/sfc/servlet.shepherd/version/renditionDownload?rendition=ORIGINAL_Jpg&amp;versionId=068QF00000FKzBaYAL</t>
  </si>
  <si>
    <t>https://hivos.my.salesforce.com/sfc/servlet.shepherd/version/renditionDownload?rendition=ORIGINAL_Jpg&amp;versionId=068QF00000FL0cHYAT</t>
  </si>
  <si>
    <t>https://hivos.my.salesforce.com/sfc/servlet.shepherd/version/renditionDownload?rendition=ORIGINAL_Jpg&amp;versionId=068QF00000FKql3YAD</t>
  </si>
  <si>
    <t>2024-09-22 15:45:00.000+03</t>
  </si>
  <si>
    <t>0.418261, 32.428882</t>
  </si>
  <si>
    <t>Wandera Specioza</t>
  </si>
  <si>
    <t>It needs to be emptied. She was using chicken poop mixed with coffee husks. She didn't know that it's only cages poop that is used.</t>
  </si>
  <si>
    <t>She has to empty the digest and she is preparing</t>
  </si>
  <si>
    <t>She needs someone to help her empty the digester</t>
  </si>
  <si>
    <t>https://hivos.my.salesforce.com/sfc/servlet.shepherd/version/renditionDownload?rendition=ORIGINAL_Jpg&amp;versionId=068QF00000FKyCJYA1</t>
  </si>
  <si>
    <t>https://hivos.my.salesforce.com/sfc/servlet.shepherd/version/renditionDownload?rendition=ORIGINAL_Jpg&amp;versionId=068QF00000FL0nZYAT</t>
  </si>
  <si>
    <t>https://hivos.my.salesforce.com/sfc/servlet.shepherd/version/renditionDownload?rendition=ORIGINAL_Jpg&amp;versionId=068QF00000FL0qnYAD</t>
  </si>
  <si>
    <t>2024-09-24 13:20:00.000+03</t>
  </si>
  <si>
    <t>0.421593, 32.572784</t>
  </si>
  <si>
    <t>Kikulukunyu Edith</t>
  </si>
  <si>
    <t>Convenient, cooks quickly</t>
  </si>
  <si>
    <t>Bananas, tomatoes, sweet potatoes</t>
  </si>
  <si>
    <t>Miwonge</t>
  </si>
  <si>
    <t>She is old, but the maid cooks quickly</t>
  </si>
  <si>
    <t>She is very old, her cows were stolen so she gets cow dung from her neighbor</t>
  </si>
  <si>
    <t>She wants her stove to be put on lower position because she can't reach where the current one is due to old age</t>
  </si>
  <si>
    <t>https://hivos.my.salesforce.com/sfc/servlet.shepherd/version/renditionDownload?rendition=ORIGINAL_Jpg&amp;versionId=068QF00000Fa0AhYAJ</t>
  </si>
  <si>
    <t>https://hivos.my.salesforce.com/sfc/servlet.shepherd/version/renditionDownload?rendition=ORIGINAL_Jpg&amp;versionId=068QF00000FaP2YYAV</t>
  </si>
  <si>
    <t>https://hivos.my.salesforce.com/sfc/servlet.shepherd/version/renditionDownload?rendition=ORIGINAL_Jpg&amp;versionId=068QF00000FacNtYAJ</t>
  </si>
  <si>
    <t>https://hivos.my.salesforce.com/sfc/servlet.shepherd/version/renditionDownload?rendition=ORIGINAL_Jpg&amp;versionId=068QF00000FaZbOYAV</t>
  </si>
  <si>
    <t>2024-09-24 14:15:00.000+03</t>
  </si>
  <si>
    <t>0.420503, 32.560665</t>
  </si>
  <si>
    <t>Beyeze Jane</t>
  </si>
  <si>
    <t>She was using cow dung from the neighbor but later the neighbor refused</t>
  </si>
  <si>
    <t>She got tired of asking for cow dung</t>
  </si>
  <si>
    <t>https://hivos.my.salesforce.com/sfc/servlet.shepherd/version/renditionDownload?rendition=ORIGINAL_Jpg&amp;versionId=068QF00000FaHwBYAV</t>
  </si>
  <si>
    <t>https://hivos.my.salesforce.com/sfc/servlet.shepherd/version/renditionDownload?rendition=ORIGINAL_Jpg&amp;versionId=068QF00000FacSjYAJ</t>
  </si>
  <si>
    <t>https://hivos.my.salesforce.com/sfc/servlet.shepherd/version/renditionDownload?rendition=ORIGINAL_Jpg&amp;versionId=068QF00000FaWFGYA3</t>
  </si>
  <si>
    <t>2024-09-24 14:58:00.000+03</t>
  </si>
  <si>
    <t>0.417845, 32.539334</t>
  </si>
  <si>
    <t>Lusuka Aisha</t>
  </si>
  <si>
    <t>Cooks quickly, it's safer than LPG, it makes life easy</t>
  </si>
  <si>
    <t>Bananas, tomatoes, skumawiki, water melon</t>
  </si>
  <si>
    <t>Eng Kato</t>
  </si>
  <si>
    <t>https://hivos.my.salesforce.com/sfc/servlet.shepherd/version/renditionDownload?rendition=ORIGINAL_Jpg&amp;versionId=068QF00000FacULYAZ</t>
  </si>
  <si>
    <t>https://hivos.my.salesforce.com/sfc/servlet.shepherd/version/renditionDownload?rendition=ORIGINAL_Jpg&amp;versionId=068QF00000FaDZLYA3</t>
  </si>
  <si>
    <t>https://hivos.my.salesforce.com/sfc/servlet.shepherd/version/renditionDownload?rendition=ORIGINAL_Jpg&amp;versionId=068QF00000FaEqIYAV</t>
  </si>
  <si>
    <t>https://hivos.my.salesforce.com/sfc/servlet.shepherd/version/renditionDownload?rendition=ORIGINAL_Jpg&amp;versionId=068QF00000FacZBYAZ</t>
  </si>
  <si>
    <t>2024-09-20 10:01:00.000+03</t>
  </si>
  <si>
    <t>Logose Phionah - 778864980</t>
  </si>
  <si>
    <t>0.553468, 32.625601</t>
  </si>
  <si>
    <t>Cows were stolen</t>
  </si>
  <si>
    <t>Biogas was very useful, but my cows were stolen. I don't have materials to put in the digester</t>
  </si>
  <si>
    <t>The pipe that takes gas to the house was broken</t>
  </si>
  <si>
    <t>https://hivos.my.salesforce.com/sfc/servlet.shepherd/version/renditionDownload?rendition=ORIGINAL_Jpg&amp;versionId=068QF00000FI75fYAD</t>
  </si>
  <si>
    <t>https://hivos.my.salesforce.com/sfc/servlet.shepherd/version/renditionDownload?rendition=ORIGINAL_Jpg&amp;versionId=068QF00000FIOPuYAP</t>
  </si>
  <si>
    <t>2024-09-20 10:40:00.000+03</t>
  </si>
  <si>
    <t>2024-09-20 12:30:00.000+03</t>
  </si>
  <si>
    <t>0.454130, 32.608573</t>
  </si>
  <si>
    <t>Sarah Semakula</t>
  </si>
  <si>
    <t>Promised to work on the issue, but they have never turned up</t>
  </si>
  <si>
    <t>The company should help us to solve the problem so that the gas comes like it used to</t>
  </si>
  <si>
    <t>Fixing the biodigester plant so that we can utilise the dung and get biogas for cooking</t>
  </si>
  <si>
    <t>There is dung that is not utilized</t>
  </si>
  <si>
    <t>https://hivos.my.salesforce.com/sfc/servlet.shepherd/version/renditionDownload?rendition=ORIGINAL_Jpg&amp;versionId=068QF00000FIZGPYA5</t>
  </si>
  <si>
    <t>https://hivos.my.salesforce.com/sfc/servlet.shepherd/version/renditionDownload?rendition=ORIGINAL_Jpg&amp;versionId=068QF00000FILjiYAH</t>
  </si>
  <si>
    <t>2024-09-20 13:15:00.000+03</t>
  </si>
  <si>
    <t>2024-09-20 14:12:00.000+03</t>
  </si>
  <si>
    <t>0.456568, 32.616701</t>
  </si>
  <si>
    <t>He is coming to look at it next week</t>
  </si>
  <si>
    <t>When you feed the Bio digester, the gas doesn't come out but the bioslurry comes out</t>
  </si>
  <si>
    <t>To ascertain what problem the Bio digester has</t>
  </si>
  <si>
    <t>The plant needs to be worked on so that the biogas is utilized</t>
  </si>
  <si>
    <t>https://hivos.my.salesforce.com/sfc/servlet.shepherd/version/renditionDownload?rendition=ORIGINAL_Jpg&amp;versionId=068QF00000FIOpjYAH</t>
  </si>
  <si>
    <t>https://hivos.my.salesforce.com/sfc/servlet.shepherd/version/renditionDownload?rendition=ORIGINAL_Jpg&amp;versionId=068QF00000FIWGwYAP</t>
  </si>
  <si>
    <t>2024-09-20 14:35:00.000+03</t>
  </si>
  <si>
    <t>0.406366, 32.604776</t>
  </si>
  <si>
    <t>Matovu Apollo</t>
  </si>
  <si>
    <t>You spend time and energy for composting, you have to keep turning the materials.</t>
  </si>
  <si>
    <t>You can save money used to buy charcoal and firewood</t>
  </si>
  <si>
    <t>Some manure is washed away when cleaning the kraal</t>
  </si>
  <si>
    <t>It is not sufficient</t>
  </si>
  <si>
    <t>Coffee,banana plants</t>
  </si>
  <si>
    <t>Aftersale services of biogas solutions uganda limited are poor. They need to improve</t>
  </si>
  <si>
    <t>The household is happy with the utilisation of biogas</t>
  </si>
  <si>
    <t>https://hivos.my.salesforce.com/sfc/servlet.shepherd/version/renditionDownload?rendition=ORIGINAL_Jpg&amp;versionId=068QF00000FKcF2YAL</t>
  </si>
  <si>
    <t>https://hivos.my.salesforce.com/sfc/servlet.shepherd/version/renditionDownload?rendition=ORIGINAL_Jpg&amp;versionId=068QF00000FKvKrYAL</t>
  </si>
  <si>
    <t>https://hivos.my.salesforce.com/sfc/servlet.shepherd/version/renditionDownload?rendition=ORIGINAL_Jpg&amp;versionId=068QF00000FKoGBYA1</t>
  </si>
  <si>
    <t>2024-09-21 14:34:00.000+03</t>
  </si>
  <si>
    <t>2024-09-21 15:04:00.000+03</t>
  </si>
  <si>
    <t>0.443647, 32.589121</t>
  </si>
  <si>
    <t>They worked on it but rhe gas refused to come out</t>
  </si>
  <si>
    <t>There is a gap in communication with the Bio gas company</t>
  </si>
  <si>
    <t>The system has been vandalised</t>
  </si>
  <si>
    <t>https://hivos.my.salesforce.com/sfc/servlet.shepherd/version/renditionDownload?rendition=ORIGINAL_Jpg&amp;versionId=068QF00000FKvMTYA1</t>
  </si>
  <si>
    <t>https://hivos.my.salesforce.com/sfc/servlet.shepherd/version/renditionDownload?rendition=ORIGINAL_Jpg&amp;versionId=068QF00000FKZ5xYAH</t>
  </si>
  <si>
    <t>2024-09-21 15:21:00.000+03</t>
  </si>
  <si>
    <t>2024-09-22 10:30:00.000+03</t>
  </si>
  <si>
    <t>0.339377, 32.508592</t>
  </si>
  <si>
    <t>Mukasa Norah</t>
  </si>
  <si>
    <t>Promised to come but didn't show up</t>
  </si>
  <si>
    <t>Planning to fix the plant when she feels better</t>
  </si>
  <si>
    <t>Replacement of the broken pipe and stove</t>
  </si>
  <si>
    <t>The plant can be fixed, there is material dor feeding the digester</t>
  </si>
  <si>
    <t>https://hivos.my.salesforce.com/sfc/servlet.shepherd/version/renditionDownload?rendition=ORIGINAL_Jpg&amp;versionId=068QF00000FKvPhYAL</t>
  </si>
  <si>
    <t>https://hivos.my.salesforce.com/sfc/servlet.shepherd/version/renditionDownload?rendition=ORIGINAL_Jpg&amp;versionId=068QF00000FKvRJYA1</t>
  </si>
  <si>
    <t>2024-09-22 10:58:00.000+03</t>
  </si>
  <si>
    <t>0.403254, 32.466400</t>
  </si>
  <si>
    <t>Kakoma Robert</t>
  </si>
  <si>
    <t>Collecting firewood takes more time</t>
  </si>
  <si>
    <t>Use for cooking and also it helps to protect the environment</t>
  </si>
  <si>
    <t>Dung is piled in a corner</t>
  </si>
  <si>
    <t>it is hard to collect it</t>
  </si>
  <si>
    <t>No1: I sell it</t>
  </si>
  <si>
    <t>Biogas is good. Every farmer with more than 5 cows and is financially OK should install it.</t>
  </si>
  <si>
    <t>He piles the unused dung in the corner, it's what he takes to the garden</t>
  </si>
  <si>
    <t>https://hivos.my.salesforce.com/sfc/servlet.shepherd/version/renditionDownload?rendition=ORIGINAL_Jpg&amp;versionId=068QF00000FKW6NYAX</t>
  </si>
  <si>
    <t>https://hivos.my.salesforce.com/sfc/servlet.shepherd/version/renditionDownload?rendition=ORIGINAL_Jpg&amp;versionId=068QF00000FKvSvYAL</t>
  </si>
  <si>
    <t>https://hivos.my.salesforce.com/sfc/servlet.shepherd/version/renditionDownload?rendition=ORIGINAL_Jpg&amp;versionId=068QF00000FKnQYYA1</t>
  </si>
  <si>
    <t>2024-09-22 13:11:00.000+03</t>
  </si>
  <si>
    <t>2024-09-22 13:42:00.000+03</t>
  </si>
  <si>
    <t>0.404156, 32.456988</t>
  </si>
  <si>
    <t>Saves on charcoal used</t>
  </si>
  <si>
    <t>It remains in the kraal</t>
  </si>
  <si>
    <t>Composting without roof;Liquid slurry (brown porridge type)</t>
  </si>
  <si>
    <t>Bio slurry is sold;Other</t>
  </si>
  <si>
    <t>He uses the liquid bio slurry with grass for composting and pour in the garden</t>
  </si>
  <si>
    <t>https://hivos.my.salesforce.com/sfc/servlet.shepherd/version/renditionDownload?rendition=ORIGINAL_Jpg&amp;versionId=068QF00000FKvW9YAL</t>
  </si>
  <si>
    <t>https://hivos.my.salesforce.com/sfc/servlet.shepherd/version/renditionDownload?rendition=ORIGINAL_Jpg&amp;versionId=068QF00000FKvWAYA1</t>
  </si>
  <si>
    <t>https://hivos.my.salesforce.com/sfc/servlet.shepherd/version/renditionDownload?rendition=ORIGINAL_Jpg&amp;versionId=068QF00000FKvZNYA1</t>
  </si>
  <si>
    <t>https://hivos.my.salesforce.com/sfc/servlet.shepherd/version/renditionDownload?rendition=ORIGINAL_Jpg&amp;versionId=068QF00000FKlLWYA1</t>
  </si>
  <si>
    <t>2024-09-23 10:02:00.000+03</t>
  </si>
  <si>
    <t>0.496093, 32.524994</t>
  </si>
  <si>
    <t>Collecting firewood, you go to many places, but when feeding the digester, you do it in one place</t>
  </si>
  <si>
    <t>Is saves on the time taken to collect firewood and also the amount of firewood used</t>
  </si>
  <si>
    <t>It's alot of cow dung</t>
  </si>
  <si>
    <t>the goats are very few</t>
  </si>
  <si>
    <t>Banana plants, coffee</t>
  </si>
  <si>
    <t>The gas is nolonger much</t>
  </si>
  <si>
    <t>Maintenance of the plant</t>
  </si>
  <si>
    <t>He stores the bioslurry in solid form and then applies to the crops</t>
  </si>
  <si>
    <t>https://hivos.my.salesforce.com/sfc/servlet.shepherd/version/renditionDownload?rendition=ORIGINAL_Jpg&amp;versionId=068QF00000FaG0qYAF</t>
  </si>
  <si>
    <t>https://hivos.my.salesforce.com/sfc/servlet.shepherd/version/renditionDownload?rendition=ORIGINAL_Jpg&amp;versionId=068QF00000FaaabYAB</t>
  </si>
  <si>
    <t>https://hivos.my.salesforce.com/sfc/servlet.shepherd/version/renditionDownload?rendition=ORIGINAL_Jpg&amp;versionId=068QF00000Faah3YAB</t>
  </si>
  <si>
    <t>2024-09-23 10:48:00.000+03</t>
  </si>
  <si>
    <t>2024-09-23 11:47:00.000+03</t>
  </si>
  <si>
    <t>0.466109, 32.484896</t>
  </si>
  <si>
    <t>Kasiime Casiano</t>
  </si>
  <si>
    <t>More time to do other things is spared</t>
  </si>
  <si>
    <t>It's good. Saves on buying firewood</t>
  </si>
  <si>
    <t>Banana plants</t>
  </si>
  <si>
    <t>Cow dung is not enough,</t>
  </si>
  <si>
    <t>The plant is being used at school to prepare some food for the staff</t>
  </si>
  <si>
    <t>https://hivos.my.salesforce.com/sfc/servlet.shepherd/version/renditionDownload?rendition=ORIGINAL_Jpg&amp;versionId=068QF00000FaafSYAR</t>
  </si>
  <si>
    <t>https://hivos.my.salesforce.com/sfc/servlet.shepherd/version/renditionDownload?rendition=ORIGINAL_Jpg&amp;versionId=068QF00000FaJ8NYAV</t>
  </si>
  <si>
    <t>https://hivos.my.salesforce.com/sfc/servlet.shepherd/version/renditionDownload?rendition=ORIGINAL_Jpg&amp;versionId=068QF00000Fa5AFYAZ</t>
  </si>
  <si>
    <t>https://hivos.my.salesforce.com/sfc/servlet.shepherd/version/renditionDownload?rendition=ORIGINAL_Jpg&amp;versionId=068QF00000FaTMFYA3</t>
  </si>
  <si>
    <t>2024-09-23 00:47:00.000+03</t>
  </si>
  <si>
    <t>2024-09-23 13:24:00.000+03</t>
  </si>
  <si>
    <t>0.505914, 32.473890</t>
  </si>
  <si>
    <t>Kalule Henry</t>
  </si>
  <si>
    <t>Will revive the plant when he fences off the house to avoid the thevies from stealing his cows again</t>
  </si>
  <si>
    <t>Repare the plant</t>
  </si>
  <si>
    <t>The plant needs to be repared, it can still work if worked on</t>
  </si>
  <si>
    <t>https://hivos.my.salesforce.com/sfc/servlet.shepherd/version/renditionDownload?rendition=ORIGINAL_Jpg&amp;versionId=068QF00000FaF83YAF</t>
  </si>
  <si>
    <t>https://hivos.my.salesforce.com/sfc/servlet.shepherd/version/renditionDownload?rendition=ORIGINAL_Jpg&amp;versionId=068QF00000FaSTPYA3</t>
  </si>
  <si>
    <t>2024-09-23 13:45:00.000+03</t>
  </si>
  <si>
    <t>2024-09-23 14:00:00.000+03</t>
  </si>
  <si>
    <t>0.460635, 32.533006</t>
  </si>
  <si>
    <t>Sarah Mungwanya</t>
  </si>
  <si>
    <t>The stove got spoilt, it's nolonger here</t>
  </si>
  <si>
    <t>Biogas was used for cooking and lighting</t>
  </si>
  <si>
    <t>https://hivos.my.salesforce.com/sfc/servlet.shepherd/version/renditionDownload?rendition=ORIGINAL_Jpg&amp;versionId=068QF00000FaVRJYA3</t>
  </si>
  <si>
    <t>https://hivos.my.salesforce.com/sfc/servlet.shepherd/version/renditionDownload?rendition=ORIGINAL_Jpg&amp;versionId=068QF00000FaM35YAF</t>
  </si>
  <si>
    <t>2024-09-24 13:00:00.000+03</t>
  </si>
  <si>
    <t>0.494492, 32.589844</t>
  </si>
  <si>
    <t>Muyingo Eric</t>
  </si>
  <si>
    <t>You save on charcoal used</t>
  </si>
  <si>
    <t>It is piled in the corner for 2weeks and used as fertilizer</t>
  </si>
  <si>
    <t>the goats are few</t>
  </si>
  <si>
    <t>Banana plants, maize</t>
  </si>
  <si>
    <t>The baseline stove is nolonger available</t>
  </si>
  <si>
    <t>To help with the gas pressure, it's nolonger alot like it used to be</t>
  </si>
  <si>
    <t>More of the cow dung is piled in the corner and taken to the garden after 2 weeks</t>
  </si>
  <si>
    <t>https://hivos.my.salesforce.com/sfc/servlet.shepherd/version/renditionDownload?rendition=ORIGINAL_Jpg&amp;versionId=068QF00000FaRNjYAN</t>
  </si>
  <si>
    <t>https://hivos.my.salesforce.com/sfc/servlet.shepherd/version/renditionDownload?rendition=ORIGINAL_Jpg&amp;versionId=068QF00000FZrTzYAL</t>
  </si>
  <si>
    <t>https://hivos.my.salesforce.com/sfc/servlet.shepherd/version/renditionDownload?rendition=ORIGINAL_Jpg&amp;versionId=068QF00000FaTKfYAN</t>
  </si>
  <si>
    <t>2024-09-24 13:45:00.000+03</t>
  </si>
  <si>
    <t>2024-09-24 14:34:00.000+03</t>
  </si>
  <si>
    <t>0.518786, 32.615106</t>
  </si>
  <si>
    <t>Musiime Anest</t>
  </si>
  <si>
    <t>Saves time and buying charcoal</t>
  </si>
  <si>
    <t>It's alot so we give out some</t>
  </si>
  <si>
    <t>We need a technician to assess the gas pipe</t>
  </si>
  <si>
    <t>Assess the biogas pipe</t>
  </si>
  <si>
    <t>The burners are all working well and there is enough gas</t>
  </si>
  <si>
    <t>https://hivos.my.salesforce.com/sfc/servlet.shepherd/version/renditionDownload?rendition=ORIGINAL_Jpg&amp;versionId=068QF00000FZyAaYAL</t>
  </si>
  <si>
    <t>https://hivos.my.salesforce.com/sfc/servlet.shepherd/version/renditionDownload?rendition=ORIGINAL_Jpg&amp;versionId=068QF00000Fa6W8YAJ</t>
  </si>
  <si>
    <t>https://hivos.my.salesforce.com/sfc/servlet.shepherd/version/renditionDownload?rendition=ORIGINAL_Jpg&amp;versionId=068QF00000FaWYdYAN</t>
  </si>
  <si>
    <t>2024-09-24 15:10:00.000+03</t>
  </si>
  <si>
    <t>2024-09-25 15:30:00.000+03</t>
  </si>
  <si>
    <t>0.447245, 32.611554</t>
  </si>
  <si>
    <t>Immaculate Katumba</t>
  </si>
  <si>
    <t>Saves on firewood bought</t>
  </si>
  <si>
    <t>Some dung is mixed with grass</t>
  </si>
  <si>
    <t>Banana plants and coffee</t>
  </si>
  <si>
    <t>Family activities;Leisure</t>
  </si>
  <si>
    <t>Biogas is good if you are in a hurry, you can easily make tea faster</t>
  </si>
  <si>
    <t>The slurry is removed from pit so that it dries and taken to the garden</t>
  </si>
  <si>
    <t>https://hivos.my.salesforce.com/sfc/servlet.shepherd/version/renditionDownload?rendition=ORIGINAL_Jpg&amp;versionId=068QF00000FZsl2YAD</t>
  </si>
  <si>
    <t>https://hivos.my.salesforce.com/sfc/servlet.shepherd/version/renditionDownload?rendition=ORIGINAL_Jpg&amp;versionId=068QF00000FaVpbYAF</t>
  </si>
  <si>
    <t>https://hivos.my.salesforce.com/sfc/servlet.shepherd/version/renditionDownload?rendition=ORIGINAL_Jpg&amp;versionId=068QF00000FaZ9uYAF</t>
  </si>
  <si>
    <t>2024-09-25 16:28:00.000+03</t>
  </si>
  <si>
    <t>2024-09-21 14:30:00.000+03</t>
  </si>
  <si>
    <t>Mugabirwe Gauda - 777881921</t>
  </si>
  <si>
    <t>1.116731, 34.197514</t>
  </si>
  <si>
    <t>Salamusida Namatama</t>
  </si>
  <si>
    <t>No reason, I will look for one.</t>
  </si>
  <si>
    <t>It used to help me cook quickly.</t>
  </si>
  <si>
    <t>To repair the leakage.</t>
  </si>
  <si>
    <t>Most of people who had animals where given Bio gas by  world vision. Making it hard to get home of AMSM.</t>
  </si>
  <si>
    <t>https://hivos.my.salesforce.com/sfc/servlet.shepherd/version/renditionDownload?rendition=ORIGINAL_Jpg&amp;versionId=068QF00000FJQZFYA5</t>
  </si>
  <si>
    <t>https://hivos.my.salesforce.com/sfc/servlet.shepherd/version/renditionDownload?rendition=ORIGINAL_Jpg&amp;versionId=068QF00000FJOh9YAH</t>
  </si>
  <si>
    <t>https://hivos.my.salesforce.com/sfc/servlet.shepherd/version/renditionDownload?rendition=ORIGINAL_Jpg&amp;versionId=068QF00000FJIIQYA5</t>
  </si>
  <si>
    <t>https://hivos.my.salesforce.com/sfc/servlet.shepherd/version/renditionDownload?rendition=ORIGINAL_Jpg&amp;versionId=068QF00000FJPeqYAH</t>
  </si>
  <si>
    <t>2024-09-21 21:02:00.000+03</t>
  </si>
  <si>
    <t>2024-09-21 12:20:00.000+03</t>
  </si>
  <si>
    <t>1.109677, 34.203074</t>
  </si>
  <si>
    <t>Nambobi Irine</t>
  </si>
  <si>
    <t>Some people come from world vision and promised to repair and never came back. Still waiting.</t>
  </si>
  <si>
    <t>I want my biogas to work.</t>
  </si>
  <si>
    <t>Repair</t>
  </si>
  <si>
    <t>They have enough manure.</t>
  </si>
  <si>
    <t>https://hivos.my.salesforce.com/sfc/servlet.shepherd/version/renditionDownload?rendition=ORIGINAL_Jpg&amp;versionId=068QF00000FJH6CYAX</t>
  </si>
  <si>
    <t>https://hivos.my.salesforce.com/sfc/servlet.shepherd/version/renditionDownload?rendition=ORIGINAL_Jpg&amp;versionId=068QF00000FJQarYAH</t>
  </si>
  <si>
    <t>https://hivos.my.salesforce.com/sfc/servlet.shepherd/version/renditionDownload?rendition=ORIGINAL_Jpg&amp;versionId=068QF00000FJQcTYAX</t>
  </si>
  <si>
    <t>2024-09-21 12:43:00.000+03</t>
  </si>
  <si>
    <t>2024-09-21 09:19:00.000+03</t>
  </si>
  <si>
    <t>1.101621, 34.190216</t>
  </si>
  <si>
    <t>Musisi Rose</t>
  </si>
  <si>
    <t>I love Biogas, and I want to restore it. But I need to reduce the bio digester, it's to big for me.</t>
  </si>
  <si>
    <t>Reduce the size of the bio digester.</t>
  </si>
  <si>
    <t>They have 2 cows and 12pigs.</t>
  </si>
  <si>
    <t>https://hivos.my.salesforce.com/sfc/servlet.shepherd/version/renditionDownload?rendition=ORIGINAL_Jpg&amp;versionId=068QF00000FJQe5YAH</t>
  </si>
  <si>
    <t>https://hivos.my.salesforce.com/sfc/servlet.shepherd/version/renditionDownload?rendition=ORIGINAL_Jpg&amp;versionId=068QF00000FJOncYAH</t>
  </si>
  <si>
    <t>https://hivos.my.salesforce.com/sfc/servlet.shepherd/version/renditionDownload?rendition=ORIGINAL_Jpg&amp;versionId=068QF00000FJIWvYAP</t>
  </si>
  <si>
    <t>2024-09-21 09:59:00.000+03</t>
  </si>
  <si>
    <t>2024-09-21 11:08:00.000+03</t>
  </si>
  <si>
    <t>1.172287, 34.239554</t>
  </si>
  <si>
    <t>Agu zulaika</t>
  </si>
  <si>
    <t>I don't know the problem, it just stopped working.</t>
  </si>
  <si>
    <t>People come here promising to repair but they never come back.</t>
  </si>
  <si>
    <t>https://hivos.my.salesforce.com/sfc/servlet.shepherd/version/renditionDownload?rendition=ORIGINAL_Jpg&amp;versionId=068QF00000FJQhJYAX</t>
  </si>
  <si>
    <t>https://hivos.my.salesforce.com/sfc/servlet.shepherd/version/renditionDownload?rendition=ORIGINAL_Jpg&amp;versionId=068QF00000FJP0UYAX</t>
  </si>
  <si>
    <t>https://hivos.my.salesforce.com/sfc/servlet.shepherd/version/renditionDownload?rendition=ORIGINAL_Jpg&amp;versionId=068QF00000FJI2FYAX</t>
  </si>
  <si>
    <t>2024-09-21 00:01:00.000+03</t>
  </si>
  <si>
    <t>2024-09-22 10:59:00.000+03</t>
  </si>
  <si>
    <t>1.099346, 34.192649</t>
  </si>
  <si>
    <t>Nambale rosemary</t>
  </si>
  <si>
    <t>I get cow dung from the neighbor</t>
  </si>
  <si>
    <t>Banana  plantation. And coffee.</t>
  </si>
  <si>
    <t>Because I have to get cow dung from my neighbor.</t>
  </si>
  <si>
    <t>I am planning to get my own cows to reduce on the workload.</t>
  </si>
  <si>
    <t>If it can give us cows</t>
  </si>
  <si>
    <t>Don't have animals</t>
  </si>
  <si>
    <t>https://hivos.my.salesforce.com/sfc/servlet.shepherd/version/renditionDownload?rendition=ORIGINAL_Jpg&amp;versionId=068QF00000FKrihYAD</t>
  </si>
  <si>
    <t>https://hivos.my.salesforce.com/sfc/servlet.shepherd/version/renditionDownload?rendition=ORIGINAL_Jpg&amp;versionId=068QF00000FKt9NYAT</t>
  </si>
  <si>
    <t>https://hivos.my.salesforce.com/sfc/servlet.shepherd/version/renditionDownload?rendition=ORIGINAL_Jpg&amp;versionId=068QF00000FKh8EYAT</t>
  </si>
  <si>
    <t>https://hivos.my.salesforce.com/sfc/servlet.shepherd/version/renditionDownload?rendition=ORIGINAL_Jpg&amp;versionId=068QF00000FKtEDYA1</t>
  </si>
  <si>
    <t>2024-09-22 11:50:00.000+03</t>
  </si>
  <si>
    <t>2024-09-22 12:28:00.000+03</t>
  </si>
  <si>
    <t>1.104806, 34.194387</t>
  </si>
  <si>
    <t>Planning to buy cows.</t>
  </si>
  <si>
    <t>To give them cows</t>
  </si>
  <si>
    <t>https://hivos.my.salesforce.com/sfc/servlet.shepherd/version/renditionDownload?rendition=ORIGINAL_Jpg&amp;versionId=068QF00000FKkxLYAT</t>
  </si>
  <si>
    <t>https://hivos.my.salesforce.com/sfc/servlet.shepherd/version/renditionDownload?rendition=ORIGINAL_Jpg&amp;versionId=068QF00000FKe3vYAD</t>
  </si>
  <si>
    <t>2024-09-22 13:10:00.000+03</t>
  </si>
  <si>
    <t>1.752402, 33.655514</t>
  </si>
  <si>
    <t>Quick cooking  at any time</t>
  </si>
  <si>
    <t>It makes life easier.</t>
  </si>
  <si>
    <t>Oranges Maize Banana</t>
  </si>
  <si>
    <t>It's available Our soils are bad so need more manure</t>
  </si>
  <si>
    <t>Biogas has been so good, I am able to take tea every morning. It's hard work to take slurry.  Workers need monitoring to do good work.</t>
  </si>
  <si>
    <t>Need biogas lights  Need more trying on uses of slurry. Reduce costs of purchasing biogas.</t>
  </si>
  <si>
    <t>He has a big orange plantation.</t>
  </si>
  <si>
    <t>https://hivos.my.salesforce.com/sfc/servlet.shepherd/version/renditionDownload?rendition=ORIGINAL_Jpg&amp;versionId=068QF00000FPm2QYAT</t>
  </si>
  <si>
    <t>https://hivos.my.salesforce.com/sfc/servlet.shepherd/version/renditionDownload?rendition=ORIGINAL_Jpg&amp;versionId=068QF00000FPlpXYAT</t>
  </si>
  <si>
    <t>https://hivos.my.salesforce.com/sfc/servlet.shepherd/version/renditionDownload?rendition=ORIGINAL_Jpg&amp;versionId=068QF00000FPi3hYAD</t>
  </si>
  <si>
    <t>2024-09-23 14:50:00.000+03</t>
  </si>
  <si>
    <t>2024-09-23 09:11:00.000+03</t>
  </si>
  <si>
    <t>1.105504, 34.198209</t>
  </si>
  <si>
    <t>Hazaikia wara</t>
  </si>
  <si>
    <t>Co-wife</t>
  </si>
  <si>
    <t>I take little time to cook.</t>
  </si>
  <si>
    <t>It cooking quickly</t>
  </si>
  <si>
    <t>Maize, beans and banana.</t>
  </si>
  <si>
    <t>I love Biogas. I can cook any time</t>
  </si>
  <si>
    <t>https://hivos.my.salesforce.com/sfc/servlet.shepherd/version/renditionDownload?rendition=ORIGINAL_Jpg&amp;versionId=068QF00000FPrTVYA1</t>
  </si>
  <si>
    <t>https://hivos.my.salesforce.com/sfc/servlet.shepherd/version/renditionDownload?rendition=ORIGINAL_Jpg&amp;versionId=068QF00000FPlZOYA1</t>
  </si>
  <si>
    <t>https://hivos.my.salesforce.com/sfc/servlet.shepherd/version/renditionDownload?rendition=ORIGINAL_Jpg&amp;versionId=068QF00000FPqcJYAT</t>
  </si>
  <si>
    <t>https://hivos.my.salesforce.com/sfc/servlet.shepherd/version/renditionDownload?rendition=ORIGINAL_Jpg&amp;versionId=068QF00000FProTYAT</t>
  </si>
  <si>
    <t>2024-09-24 09:03:00.000+03</t>
  </si>
  <si>
    <t>0.995996, 34.178746</t>
  </si>
  <si>
    <t>Mukhwana Isaac stephen</t>
  </si>
  <si>
    <t>Save time  No smoke</t>
  </si>
  <si>
    <t>Because I use the Slurry to feed the pigs and I don't want to give pigs its own dung.</t>
  </si>
  <si>
    <t>Banana plantation, eggplants, tomatoes, green pepper, maize.</t>
  </si>
  <si>
    <t>Give my phone number to people, I am trained mason I can help them at a lower cost.</t>
  </si>
  <si>
    <t>We need lights.</t>
  </si>
  <si>
    <t>Since he is a mason, he does his own repairs.</t>
  </si>
  <si>
    <t>https://hivos.my.salesforce.com/sfc/servlet.shepherd/version/renditionDownload?rendition=ORIGINAL_Jpg&amp;versionId=068QF00000FVoZNYA1</t>
  </si>
  <si>
    <t>https://hivos.my.salesforce.com/sfc/servlet.shepherd/version/renditionDownload?rendition=ORIGINAL_Jpg&amp;versionId=068QF00000FVoazYAD</t>
  </si>
  <si>
    <t>https://hivos.my.salesforce.com/sfc/servlet.shepherd/version/renditionDownload?rendition=ORIGINAL_Jpg&amp;versionId=068QF00000FVc22YAD</t>
  </si>
  <si>
    <t>https://hivos.my.salesforce.com/sfc/servlet.shepherd/version/renditionDownload?rendition=ORIGINAL_Jpg&amp;versionId=068QF00000FVYsoYAH</t>
  </si>
  <si>
    <t>2024-09-24 09:50:00.000+03</t>
  </si>
  <si>
    <t>2024-09-24 14:53:00.000+03</t>
  </si>
  <si>
    <t>1.804673, 33.624396</t>
  </si>
  <si>
    <t>Opejo Joseph</t>
  </si>
  <si>
    <t>No reason</t>
  </si>
  <si>
    <t>They need wheelbarrow to collect manure.</t>
  </si>
  <si>
    <t>Buy for the a wheelbarrow and repair the biogas.</t>
  </si>
  <si>
    <t>https://hivos.my.salesforce.com/sfc/servlet.shepherd/version/renditionDownload?rendition=ORIGINAL_Jpg&amp;versionId=068QF00000FVoeDYAT</t>
  </si>
  <si>
    <t>https://hivos.my.salesforce.com/sfc/servlet.shepherd/version/renditionDownload?rendition=ORIGINAL_Jpg&amp;versionId=068QF00000FVbPJYA1</t>
  </si>
  <si>
    <t>https://hivos.my.salesforce.com/sfc/servlet.shepherd/version/renditionDownload?rendition=ORIGINAL_Jpg&amp;versionId=068QF00000FViQmYAL</t>
  </si>
  <si>
    <t>https://hivos.my.salesforce.com/sfc/servlet.shepherd/version/renditionDownload?rendition=ORIGINAL_Jpg&amp;versionId=068QF00000FViU0YAL</t>
  </si>
  <si>
    <t>2024-09-24 15:30:00.000+03</t>
  </si>
  <si>
    <t>2024-09-24 17:17:00.000+03</t>
  </si>
  <si>
    <t>1.747231, 33.608309</t>
  </si>
  <si>
    <t>Grand daughter-in-law</t>
  </si>
  <si>
    <t>Akello faith Harriet.</t>
  </si>
  <si>
    <t>I don't know what happened to it.</t>
  </si>
  <si>
    <t>Grandson</t>
  </si>
  <si>
    <t>Biogas saves time.</t>
  </si>
  <si>
    <t>To much manure.</t>
  </si>
  <si>
    <t>We did not know that we can use pigs manure to fed</t>
  </si>
  <si>
    <t>Cabbage, onions, maize</t>
  </si>
  <si>
    <t>I have time to do more house work like washing.</t>
  </si>
  <si>
    <t>The remaining manure is dry lot.</t>
  </si>
  <si>
    <t>https://hivos.my.salesforce.com/sfc/servlet.shepherd/version/renditionDownload?rendition=ORIGINAL_Jpg&amp;versionId=068QF00000FVkHNYA1</t>
  </si>
  <si>
    <t>https://hivos.my.salesforce.com/sfc/servlet.shepherd/version/renditionDownload?rendition=ORIGINAL_Jpg&amp;versionId=068QF00000FVhUgYAL</t>
  </si>
  <si>
    <t>https://hivos.my.salesforce.com/sfc/servlet.shepherd/version/renditionDownload?rendition=ORIGINAL_Jpg&amp;versionId=068QF00000FVdFoYAL</t>
  </si>
  <si>
    <t>https://hivos.my.salesforce.com/sfc/servlet.shepherd/version/renditionDownload?rendition=ORIGINAL_Jpg&amp;versionId=068QF00000FVofpYAD</t>
  </si>
  <si>
    <t>2024-09-24 17:54:00.000+03</t>
  </si>
  <si>
    <t>2024-09-25 11:00:00.000+03</t>
  </si>
  <si>
    <t>1.564901, 33.615654</t>
  </si>
  <si>
    <t>Kedi Charles</t>
  </si>
  <si>
    <t>The distance from the digester to the kitchen is long, we need to shift the digester.</t>
  </si>
  <si>
    <t>Construct a new biogas.</t>
  </si>
  <si>
    <t>It was hard for them to get cow dung after selling the cows but now they are able because they have 10 cows.</t>
  </si>
  <si>
    <t>https://hivos.my.salesforce.com/sfc/servlet.shepherd/version/renditionDownload?rendition=ORIGINAL_Jpg&amp;versionId=068QF00000FaFW9YAN</t>
  </si>
  <si>
    <t>https://hivos.my.salesforce.com/sfc/servlet.shepherd/version/renditionDownload?rendition=ORIGINAL_Jpg&amp;versionId=068QF00000FZuDVYA1</t>
  </si>
  <si>
    <t>2024-09-25 11:30:00.000+03</t>
  </si>
  <si>
    <t>2024-09-21 12:04:00.000+03</t>
  </si>
  <si>
    <t>1.388195, 34.464818</t>
  </si>
  <si>
    <t>Chemutai Saumu</t>
  </si>
  <si>
    <t>It's easier to feed the digester than buying firewood</t>
  </si>
  <si>
    <t>Cost effectiveness compared to firewood, easy to get cow dung, cooks faster,</t>
  </si>
  <si>
    <t>AID Enviroment, Kowcom</t>
  </si>
  <si>
    <t>During school days she only uses biogas since children go to school and they only remain 2 people at home but holidays she mixes the fuels used</t>
  </si>
  <si>
    <t>She only uses bio gas</t>
  </si>
  <si>
    <t>https://hivos.my.salesforce.com/sfc/servlet.shepherd/version/renditionDownload?rendition=ORIGINAL_Jpg&amp;versionId=068QF00000FSMpsYAH</t>
  </si>
  <si>
    <t>https://hivos.my.salesforce.com/sfc/servlet.shepherd/version/renditionDownload?rendition=ORIGINAL_Jpg&amp;versionId=068QF00000FSM6rYAH</t>
  </si>
  <si>
    <t>https://hivos.my.salesforce.com/sfc/servlet.shepherd/version/renditionDownload?rendition=ORIGINAL_Jpg&amp;versionId=068QF00000FSL2ZYAX</t>
  </si>
  <si>
    <t>https://hivos.my.salesforce.com/sfc/servlet.shepherd/version/renditionDownload?rendition=ORIGINAL_Jpg&amp;versionId=068QF00000FSPEOYA5</t>
  </si>
  <si>
    <t>2024-09-21 18:45:00.000+03</t>
  </si>
  <si>
    <t>1.389599, 34.425050</t>
  </si>
  <si>
    <t>Banis chelimo Malinga</t>
  </si>
  <si>
    <t>Bio gas is good</t>
  </si>
  <si>
    <t>https://hivos.my.salesforce.com/sfc/servlet.shepherd/version/renditionDownload?rendition=ORIGINAL_Jpg&amp;versionId=068QF00000FSnejYAD</t>
  </si>
  <si>
    <t>https://hivos.my.salesforce.com/sfc/servlet.shepherd/version/renditionDownload?rendition=ORIGINAL_Jpg&amp;versionId=068QF00000FSMOVYA5</t>
  </si>
  <si>
    <t>https://hivos.my.salesforce.com/sfc/servlet.shepherd/version/renditionDownload?rendition=ORIGINAL_Jpg&amp;versionId=068QF00000FSn6oYAD</t>
  </si>
  <si>
    <t>https://hivos.my.salesforce.com/sfc/servlet.shepherd/version/renditionDownload?rendition=ORIGINAL_Jpg&amp;versionId=068QF00000FSZdUYAX</t>
  </si>
  <si>
    <t>2024-09-24 12:19:00.000+03</t>
  </si>
  <si>
    <t>1.191699, 34.325403</t>
  </si>
  <si>
    <t>Wanyenze Argatha</t>
  </si>
  <si>
    <t>Biogas doesn't smoke but can't be used for a long time</t>
  </si>
  <si>
    <t>https://hivos.my.salesforce.com/sfc/servlet.shepherd/version/renditionDownload?rendition=ORIGINAL_Jpg&amp;versionId=068QF00000FSrryYAD</t>
  </si>
  <si>
    <t>https://hivos.my.salesforce.com/sfc/servlet.shepherd/version/renditionDownload?rendition=ORIGINAL_Jpg&amp;versionId=068QF00000FSTzTYAX</t>
  </si>
  <si>
    <t>https://hivos.my.salesforce.com/sfc/servlet.shepherd/version/renditionDownload?rendition=ORIGINAL_Jpg&amp;versionId=068QF00000FSaPmYAL</t>
  </si>
  <si>
    <t>2024-09-21 09:17:00.000+03</t>
  </si>
  <si>
    <t>1.391556, 34.466543</t>
  </si>
  <si>
    <t>Awori Caroline</t>
  </si>
  <si>
    <t>Pressure gauge was not given to them</t>
  </si>
  <si>
    <t>WIFE</t>
  </si>
  <si>
    <t>All materials needed for mixing are in one place and at home compared to firewood picking</t>
  </si>
  <si>
    <t>It a clean and faster way of cooking</t>
  </si>
  <si>
    <t>Maize, vegetables,  Banana plantation</t>
  </si>
  <si>
    <t>Bio slurry is not enough to be used wen planting, she gets Less slurry at a time</t>
  </si>
  <si>
    <t>Bio gas is a clean way of cooking and made work easier</t>
  </si>
  <si>
    <t>They effectively utilise the slurry</t>
  </si>
  <si>
    <t>https://hivos.my.salesforce.com/sfc/servlet.shepherd/version/renditionDownload?rendition=ORIGINAL_Jpg&amp;versionId=068QF00000FSOIFYA5</t>
  </si>
  <si>
    <t>https://hivos.my.salesforce.com/sfc/servlet.shepherd/version/renditionDownload?rendition=ORIGINAL_Jpg&amp;versionId=068QF00000FSqnpYAD</t>
  </si>
  <si>
    <t>https://hivos.my.salesforce.com/sfc/servlet.shepherd/version/renditionDownload?rendition=ORIGINAL_Jpg&amp;versionId=068QF00000FSpmwYAD</t>
  </si>
  <si>
    <t>https://hivos.my.salesforce.com/sfc/servlet.shepherd/version/renditionDownload?rendition=ORIGINAL_Jpg&amp;versionId=068QF00000FSbKFYA1</t>
  </si>
  <si>
    <t>2024-09-21 10:21:00.000+03</t>
  </si>
  <si>
    <t>1.391811, 34.465406</t>
  </si>
  <si>
    <t>Betty Toyemu</t>
  </si>
  <si>
    <t>Mixing dung is easier coz all materials are readly available</t>
  </si>
  <si>
    <t>It's clean, cooks faster, saves time</t>
  </si>
  <si>
    <t>Matooke, maize , animal feed grass</t>
  </si>
  <si>
    <t>Biogas is the best means of cooking,  Reduced costs for fertilisers</t>
  </si>
  <si>
    <t>Enlarging the plant to higher cubic meter for more efficiency and gas production</t>
  </si>
  <si>
    <t>He wants to resize his plant to 9cm3 or 12cm3.</t>
  </si>
  <si>
    <t>https://hivos.my.salesforce.com/sfc/servlet.shepherd/version/renditionDownload?rendition=ORIGINAL_Jpg&amp;versionId=068QF00000FSqvtYAD</t>
  </si>
  <si>
    <t>https://hivos.my.salesforce.com/sfc/servlet.shepherd/version/renditionDownload?rendition=ORIGINAL_Jpg&amp;versionId=068QF00000FSXyBYAX</t>
  </si>
  <si>
    <t>https://hivos.my.salesforce.com/sfc/servlet.shepherd/version/renditionDownload?rendition=ORIGINAL_Jpg&amp;versionId=068QF00000FSiVNYA1</t>
  </si>
  <si>
    <t>https://hivos.my.salesforce.com/sfc/servlet.shepherd/version/renditionDownload?rendition=ORIGINAL_Jpg&amp;versionId=068QF00000FSr0jYAD</t>
  </si>
  <si>
    <t>2024-09-21 16:08:00.000+03</t>
  </si>
  <si>
    <t>1.403597, 34.465405</t>
  </si>
  <si>
    <t>Chemutai Immaculate</t>
  </si>
  <si>
    <t>It was had to maintain the animals since they all work and children are at school</t>
  </si>
  <si>
    <t>https://hivos.my.salesforce.com/sfc/servlet.shepherd/version/renditionDownload?rendition=ORIGINAL_Jpg&amp;versionId=068QF00000FSiyTYAT</t>
  </si>
  <si>
    <t>https://hivos.my.salesforce.com/sfc/servlet.shepherd/version/renditionDownload?rendition=ORIGINAL_Jpg&amp;versionId=068QF00000FSIHlYAP</t>
  </si>
  <si>
    <t>2024-09-21 18:05:00.000+03</t>
  </si>
  <si>
    <t>1.400081, 34.438566</t>
  </si>
  <si>
    <t>Chelangati Irene</t>
  </si>
  <si>
    <t>No contact</t>
  </si>
  <si>
    <t>Wants to get a mansion to repair the plant</t>
  </si>
  <si>
    <t>The plant got damaged as the demolished their old house.</t>
  </si>
  <si>
    <t>https://hivos.my.salesforce.com/sfc/servlet.shepherd/version/renditionDownload?rendition=ORIGINAL_Jpg&amp;versionId=068QF00000FSkybYAD</t>
  </si>
  <si>
    <t>https://hivos.my.salesforce.com/sfc/servlet.shepherd/version/renditionDownload?rendition=ORIGINAL_Jpg&amp;versionId=068QF00000FSdp1YAD</t>
  </si>
  <si>
    <t>https://hivos.my.salesforce.com/sfc/servlet.shepherd/version/renditionDownload?rendition=ORIGINAL_Jpg&amp;versionId=068QF00000FSkdaYAD</t>
  </si>
  <si>
    <t>2024-09-22 10:40:00.000+03</t>
  </si>
  <si>
    <t>1.317046, 34.348450</t>
  </si>
  <si>
    <t>Satya Francis</t>
  </si>
  <si>
    <t>Needed alot of money since he was coming from soroti</t>
  </si>
  <si>
    <t>There need customer guidance and maintainace of plants</t>
  </si>
  <si>
    <t>He disconnected the system when he demolished his kitchen</t>
  </si>
  <si>
    <t>https://hivos.my.salesforce.com/sfc/servlet.shepherd/version/renditionDownload?rendition=ORIGINAL_Jpg&amp;versionId=068QF00000FSd13YAD</t>
  </si>
  <si>
    <t>https://hivos.my.salesforce.com/sfc/servlet.shepherd/version/renditionDownload?rendition=ORIGINAL_Jpg&amp;versionId=068QF00000FSkieYAD</t>
  </si>
  <si>
    <t>https://hivos.my.salesforce.com/sfc/servlet.shepherd/version/renditionDownload?rendition=ORIGINAL_Jpg&amp;versionId=068QF00000FSrvBYAT</t>
  </si>
  <si>
    <t>2024-09-22 11:16:00.000+03</t>
  </si>
  <si>
    <t>1.320648, 34.342954</t>
  </si>
  <si>
    <t>Salim umar Hamisi</t>
  </si>
  <si>
    <t>The mansion was busy and needed alot of transport</t>
  </si>
  <si>
    <t>He wants his plant repaired</t>
  </si>
  <si>
    <t>https://hivos.my.salesforce.com/sfc/servlet.shepherd/version/renditionDownload?rendition=ORIGINAL_Jpg&amp;versionId=068QF00000FSXNCYA5</t>
  </si>
  <si>
    <t>https://hivos.my.salesforce.com/sfc/servlet.shepherd/version/renditionDownload?rendition=ORIGINAL_Jpg&amp;versionId=068QF00000FSrokYAD</t>
  </si>
  <si>
    <t>https://hivos.my.salesforce.com/sfc/servlet.shepherd/version/renditionDownload?rendition=ORIGINAL_Jpg&amp;versionId=068QF00000FRxZnYAL</t>
  </si>
  <si>
    <t>https://hivos.my.salesforce.com/sfc/servlet.shepherd/version/renditionDownload?rendition=ORIGINAL_Jpg&amp;versionId=068QF00000FSmCNYA1</t>
  </si>
  <si>
    <t>1.142815, 34.336096</t>
  </si>
  <si>
    <t>Woniala Francis</t>
  </si>
  <si>
    <t>Easier to feed biogasthan collecting firewood</t>
  </si>
  <si>
    <t>Save fuel, clean cooking</t>
  </si>
  <si>
    <t>Coffee, matooke</t>
  </si>
  <si>
    <t>Bio-slurry is insufficient;Other</t>
  </si>
  <si>
    <t>Uses chemical fertilisers on the far fields where he can not transport the slurry</t>
  </si>
  <si>
    <t>He needs bigger plant</t>
  </si>
  <si>
    <t>Expand on the plant</t>
  </si>
  <si>
    <t>https://hivos.my.salesforce.com/sfc/servlet.shepherd/version/renditionDownload?rendition=ORIGINAL_Jpg&amp;versionId=068QF00000FSlbIYAT</t>
  </si>
  <si>
    <t>https://hivos.my.salesforce.com/sfc/servlet.shepherd/version/renditionDownload?rendition=ORIGINAL_Jpg&amp;versionId=068QF00000FSny2YAD</t>
  </si>
  <si>
    <t>https://hivos.my.salesforce.com/sfc/servlet.shepherd/version/renditionDownload?rendition=ORIGINAL_Jpg&amp;versionId=068QF00000FSB82YAH</t>
  </si>
  <si>
    <t>https://hivos.my.salesforce.com/sfc/servlet.shepherd/version/renditionDownload?rendition=ORIGINAL_Jpg&amp;versionId=068QF00000FSnA3YAL</t>
  </si>
  <si>
    <t>2024-09-23 10:23:00.000+03</t>
  </si>
  <si>
    <t>1.124632, 34.353462</t>
  </si>
  <si>
    <t>Wakale Martin</t>
  </si>
  <si>
    <t>Saves time</t>
  </si>
  <si>
    <t>Same works as usual</t>
  </si>
  <si>
    <t>It's not used for preparing food that takes long to cook</t>
  </si>
  <si>
    <t>https://hivos.my.salesforce.com/sfc/servlet.shepherd/version/renditionDownload?rendition=ORIGINAL_Jpg&amp;versionId=068QF00000FSdInYAL</t>
  </si>
  <si>
    <t>https://hivos.my.salesforce.com/sfc/servlet.shepherd/version/renditionDownload?rendition=ORIGINAL_Jpg&amp;versionId=068QF00000FSgjkYAD</t>
  </si>
  <si>
    <t>https://hivos.my.salesforce.com/sfc/servlet.shepherd/version/renditionDownload?rendition=ORIGINAL_Jpg&amp;versionId=068QF00000FSnTOYA1</t>
  </si>
  <si>
    <t>https://hivos.my.salesforce.com/sfc/servlet.shepherd/version/renditionDownload?rendition=ORIGINAL_Jpg&amp;versionId=068QF00000FSLlyYAH</t>
  </si>
  <si>
    <t>2024-09-23 11:54:00.000+03</t>
  </si>
  <si>
    <t>1.130747, 34.269712</t>
  </si>
  <si>
    <t>Walimbwa Pual</t>
  </si>
  <si>
    <t>Saves fuel</t>
  </si>
  <si>
    <t>He was told to only 2 basins a day</t>
  </si>
  <si>
    <t>Good and easy to use</t>
  </si>
  <si>
    <t>https://hivos.my.salesforce.com/sfc/servlet.shepherd/version/renditionDownload?rendition=ORIGINAL_Jpg&amp;versionId=068QF00000FS2RIYA1</t>
  </si>
  <si>
    <t>https://hivos.my.salesforce.com/sfc/servlet.shepherd/version/renditionDownload?rendition=ORIGINAL_Jpg&amp;versionId=068QF00000FSpeuYAD</t>
  </si>
  <si>
    <t>https://hivos.my.salesforce.com/sfc/servlet.shepherd/version/renditionDownload?rendition=ORIGINAL_Jpg&amp;versionId=068QF00000FSfAyYAL</t>
  </si>
  <si>
    <t>https://hivos.my.salesforce.com/sfc/servlet.shepherd/version/renditionDownload?rendition=ORIGINAL_Jpg&amp;versionId=068QF00000FSVA0YAP</t>
  </si>
  <si>
    <t>2024-09-23 13:30:00.000+03</t>
  </si>
  <si>
    <t>1.170772, 34.327439</t>
  </si>
  <si>
    <t>Teacher</t>
  </si>
  <si>
    <t>Chebet Phillis</t>
  </si>
  <si>
    <t>It's takes little to feed the dung</t>
  </si>
  <si>
    <t>Long lasting  , saves time, cheaper in the long run, clean cooking</t>
  </si>
  <si>
    <t>The person responsible is always busy and doesn't feed the digister on a daily</t>
  </si>
  <si>
    <t>Matooke,maize, coffee</t>
  </si>
  <si>
    <t>It's a good way of cooking</t>
  </si>
  <si>
    <t>https://hivos.my.salesforce.com/sfc/servlet.shepherd/version/renditionDownload?rendition=ORIGINAL_Jpg&amp;versionId=068QF00000FSkfNYAT</t>
  </si>
  <si>
    <t>https://hivos.my.salesforce.com/sfc/servlet.shepherd/version/renditionDownload?rendition=ORIGINAL_Jpg&amp;versionId=068QF00000FSsZVYA1</t>
  </si>
  <si>
    <t>https://hivos.my.salesforce.com/sfc/servlet.shepherd/version/renditionDownload?rendition=ORIGINAL_Jpg&amp;versionId=068QF00000FSNE9YAP</t>
  </si>
  <si>
    <t>https://hivos.my.salesforce.com/sfc/servlet.shepherd/version/renditionDownload?rendition=ORIGINAL_Jpg&amp;versionId=068QF00000FSZzwYAH</t>
  </si>
  <si>
    <t>2024-09-20 12:39:00.000+03</t>
  </si>
  <si>
    <t>Mutebe Peter - 772611174</t>
  </si>
  <si>
    <t>0.462597, 33.197372</t>
  </si>
  <si>
    <t>Kakaire Alex</t>
  </si>
  <si>
    <t>Community pressure due to government program of standard gauge railway station construction.</t>
  </si>
  <si>
    <t>I plan to venture of poultry farming in the new place after receiving compensation from government .</t>
  </si>
  <si>
    <t>To guide the government valuers about our bio digester systems because they have no idea about the costs of putting up one</t>
  </si>
  <si>
    <t>https://hivos.my.salesforce.com/sfc/servlet.shepherd/version/renditionDownload?rendition=ORIGINAL_Jpg&amp;versionId=068QF00000FGBezYAH</t>
  </si>
  <si>
    <t>https://hivos.my.salesforce.com/sfc/servlet.shepherd/version/renditionDownload?rendition=ORIGINAL_Jpg&amp;versionId=068QF00000FGaoYYAT</t>
  </si>
  <si>
    <t>https://hivos.my.salesforce.com/sfc/servlet.shepherd/version/renditionDownload?rendition=ORIGINAL_Jpg&amp;versionId=068QF00000FGdkjYAD</t>
  </si>
  <si>
    <t>2024-09-20 17:13:00.000+03</t>
  </si>
  <si>
    <t>0.637823, 33.181933</t>
  </si>
  <si>
    <t>Nakamanya Irene</t>
  </si>
  <si>
    <t>Her source of dung was sold</t>
  </si>
  <si>
    <t>She says the moment she feeds it, it can work</t>
  </si>
  <si>
    <t>https://hivos.my.salesforce.com/sfc/servlet.shepherd/version/renditionDownload?rendition=ORIGINAL_Jpg&amp;versionId=068QF00000FGNWKYA5</t>
  </si>
  <si>
    <t>https://hivos.my.salesforce.com/sfc/servlet.shepherd/version/renditionDownload?rendition=ORIGINAL_Jpg&amp;versionId=068QF00000FGVosYAH</t>
  </si>
  <si>
    <t>https://hivos.my.salesforce.com/sfc/servlet.shepherd/version/renditionDownload?rendition=ORIGINAL_Jpg&amp;versionId=068QF00000FGW1kYAH</t>
  </si>
  <si>
    <t>2024-09-20 18:21:00.000+03</t>
  </si>
  <si>
    <t>0.522545, 33.216345</t>
  </si>
  <si>
    <t>Ndimugaga Abbu</t>
  </si>
  <si>
    <t>Each requires to collect from their sources plus turning them into usable form</t>
  </si>
  <si>
    <t>It reduces on the time you waste on looking for firewood</t>
  </si>
  <si>
    <t>Coffee Banana</t>
  </si>
  <si>
    <t>Crops take longer to respond to bio surry</t>
  </si>
  <si>
    <t>May timetable is the same because I work under orders from my boss</t>
  </si>
  <si>
    <t>This is a government firm but it deals in crops mainly and has only 2 cows</t>
  </si>
  <si>
    <t>The new manager has big plans of producing much slurry for his fertilizer use.</t>
  </si>
  <si>
    <t>https://hivos.my.salesforce.com/sfc/servlet.shepherd/version/renditionDownload?rendition=ORIGINAL_Jpg&amp;versionId=068QF00000FHYz9YAH</t>
  </si>
  <si>
    <t>https://hivos.my.salesforce.com/sfc/servlet.shepherd/version/renditionDownload?rendition=ORIGINAL_Jpg&amp;versionId=068QF00000FH97zYAD</t>
  </si>
  <si>
    <t>https://hivos.my.salesforce.com/sfc/servlet.shepherd/version/renditionDownload?rendition=ORIGINAL_Jpg&amp;versionId=068QF00000FHdSXYA1</t>
  </si>
  <si>
    <t>https://hivos.my.salesforce.com/sfc/servlet.shepherd/version/renditionDownload?rendition=ORIGINAL_Jpg&amp;versionId=068QF00000FHYzAYAX</t>
  </si>
  <si>
    <t>2024-09-20 14:14:00.000+03</t>
  </si>
  <si>
    <t>0.519187, 33.153473</t>
  </si>
  <si>
    <t>Eric Bugembe</t>
  </si>
  <si>
    <t>It does not light when you switch on</t>
  </si>
  <si>
    <t>Lighting</t>
  </si>
  <si>
    <t>It's used for generating slurry for fertilizer</t>
  </si>
  <si>
    <t>Stove has all its necessary components and it's connected but hard to prove if it works or not because bio digester does not produce fire.</t>
  </si>
  <si>
    <t>Worker;Husband</t>
  </si>
  <si>
    <t>At doesn't need constant attention of adding like fire. With biogas you just switch on and off</t>
  </si>
  <si>
    <t>It's good for cooking because it's less labor intensive  It also reduces environmental degradation</t>
  </si>
  <si>
    <t>Dairy cattle;Poultry;Goats;Other Animals (specify)</t>
  </si>
  <si>
    <t>We didn't know that poultry manure can be used in the bio digester</t>
  </si>
  <si>
    <t>We have enough of what we need from cows</t>
  </si>
  <si>
    <t>Animal elephant grass</t>
  </si>
  <si>
    <t>I still use my same time used to look for firewood because it only cooked for one year and stoped lighting.</t>
  </si>
  <si>
    <t>Agriculture Extension Officer;Biogas Contractor/Mason;Social Media</t>
  </si>
  <si>
    <t>We brought here people to repair it and start cooking  with it but even the little we had stoped coming, so no more lighting!</t>
  </si>
  <si>
    <t>We want our bio gas to light and cook again</t>
  </si>
  <si>
    <t>They have all what is needed to feed a bio gas like cow dug from their 14 zero grazing cows but have failed to find a compitate  person to fix their system</t>
  </si>
  <si>
    <t>https://hivos.my.salesforce.com/sfc/servlet.shepherd/version/renditionDownload?rendition=ORIGINAL_Jpg&amp;versionId=068QF00000FHfkUYAT</t>
  </si>
  <si>
    <t>https://hivos.my.salesforce.com/sfc/servlet.shepherd/version/renditionDownload?rendition=ORIGINAL_Jpg&amp;versionId=068QF00000FHdPQYA1</t>
  </si>
  <si>
    <t>https://hivos.my.salesforce.com/sfc/servlet.shepherd/version/renditionDownload?rendition=ORIGINAL_Jpg&amp;versionId=068QF00000FHeYJYA1</t>
  </si>
  <si>
    <t>2024-09-21 19:15:00.000+03</t>
  </si>
  <si>
    <t>1.027088, 33.113940</t>
  </si>
  <si>
    <t>Baliruno Ronald</t>
  </si>
  <si>
    <t>We can solve it ourselves</t>
  </si>
  <si>
    <t>Our power line we use to pump water into th bio digester is not working for now that is why we can't use it.</t>
  </si>
  <si>
    <t>This bio digester is of the bigger type, at one loading it can take in a pick-up full of cow dung</t>
  </si>
  <si>
    <t>https://hivos.my.salesforce.com/sfc/servlet.shepherd/version/renditionDownload?rendition=ORIGINAL_Jpg&amp;versionId=068QF00000FJYbgYAH</t>
  </si>
  <si>
    <t>https://hivos.my.salesforce.com/sfc/servlet.shepherd/version/renditionDownload?rendition=ORIGINAL_Jpg&amp;versionId=068QF00000FJeFdYAL</t>
  </si>
  <si>
    <t>https://hivos.my.salesforce.com/sfc/servlet.shepherd/version/renditionDownload?rendition=ORIGINAL_Jpg&amp;versionId=068QF00000FJeHFYA1</t>
  </si>
  <si>
    <t>https://hivos.my.salesforce.com/sfc/servlet.shepherd/version/renditionDownload?rendition=ORIGINAL_Jpg&amp;versionId=068QF00000FJZkcYAH</t>
  </si>
  <si>
    <t>2024-09-21 18:22:00.000+03</t>
  </si>
  <si>
    <t>0.988778, 33.111503</t>
  </si>
  <si>
    <t>Mutagana Tomath</t>
  </si>
  <si>
    <t>Time takes to light it is shorter for gas compared to firewood</t>
  </si>
  <si>
    <t>It's less time consuming to cook with it  It gives out manure</t>
  </si>
  <si>
    <t>It's more than what I need to feed a bio digester</t>
  </si>
  <si>
    <t>Coffee Bananas Tomatoes</t>
  </si>
  <si>
    <t>We need more knowledge on lighting using bio gas</t>
  </si>
  <si>
    <t>They  want more learning of bio gas use than only cooking and boiling water.</t>
  </si>
  <si>
    <t>https://hivos.my.salesforce.com/sfc/servlet.shepherd/version/renditionDownload?rendition=ORIGINAL_Jpg&amp;versionId=068QF00000FJY8xYAH</t>
  </si>
  <si>
    <t>https://hivos.my.salesforce.com/sfc/servlet.shepherd/version/renditionDownload?rendition=ORIGINAL_Jpg&amp;versionId=068QF00000FJb03YAD</t>
  </si>
  <si>
    <t>https://hivos.my.salesforce.com/sfc/servlet.shepherd/version/renditionDownload?rendition=ORIGINAL_Jpg&amp;versionId=068QF00000FJeIrYAL</t>
  </si>
  <si>
    <t>https://hivos.my.salesforce.com/sfc/servlet.shepherd/version/renditionDownload?rendition=ORIGINAL_Jpg&amp;versionId=068QF00000FJeKTYA1</t>
  </si>
  <si>
    <t>2024-09-21 16:35:00.000+03</t>
  </si>
  <si>
    <t>0.778608, 33.201328</t>
  </si>
  <si>
    <t>Nabbala Fredrick</t>
  </si>
  <si>
    <t>Its a system which doesn't produce fumes</t>
  </si>
  <si>
    <t>The number of people at home are few who cook on it, so 60% is enough for us.</t>
  </si>
  <si>
    <t>Pineapples</t>
  </si>
  <si>
    <t>Watching TV/social media;Visiting the church</t>
  </si>
  <si>
    <t>I need to learn how to package gas so that I can earn money out of it</t>
  </si>
  <si>
    <t>They use gas only in this home.</t>
  </si>
  <si>
    <t>https://hivos.my.salesforce.com/sfc/servlet.shepherd/version/renditionDownload?rendition=ORIGINAL_Jpg&amp;versionId=068QF00000FJeCQYA1</t>
  </si>
  <si>
    <t>https://hivos.my.salesforce.com/sfc/servlet.shepherd/version/renditionDownload?rendition=ORIGINAL_Jpg&amp;versionId=068QF00000FJY8yYAH</t>
  </si>
  <si>
    <t>https://hivos.my.salesforce.com/sfc/servlet.shepherd/version/renditionDownload?rendition=ORIGINAL_Jpg&amp;versionId=068QF00000FJeM5YAL</t>
  </si>
  <si>
    <t>2024-09-21 14:16:00.000+03</t>
  </si>
  <si>
    <t>0.679722, 33.078743</t>
  </si>
  <si>
    <t>Kitimbo James Ibanda</t>
  </si>
  <si>
    <t>It saves the use of firewood  It cooks so fast It produces fertilizers</t>
  </si>
  <si>
    <t>It's above what I need to feed a bio digester</t>
  </si>
  <si>
    <t>I get enough and a bove what I need from the cows</t>
  </si>
  <si>
    <t>I had no knowledge that I can also use it</t>
  </si>
  <si>
    <t>Vegetable and cereals like maize and soyabean</t>
  </si>
  <si>
    <t>Emmy our bio digester mansion</t>
  </si>
  <si>
    <t>TV Programmes;Biogas Program;Biogas Contractor/Mason</t>
  </si>
  <si>
    <t>Planning to enlarge to a bigger one</t>
  </si>
  <si>
    <t>They only use one stone yet the second one works</t>
  </si>
  <si>
    <t>https://hivos.my.salesforce.com/sfc/servlet.shepherd/version/renditionDownload?rendition=ORIGINAL_Jpg&amp;versionId=068QF00000FJeNhYAL</t>
  </si>
  <si>
    <t>https://hivos.my.salesforce.com/sfc/servlet.shepherd/version/renditionDownload?rendition=ORIGINAL_Jpg&amp;versionId=068QF00000FJePJYA1</t>
  </si>
  <si>
    <t>https://hivos.my.salesforce.com/sfc/servlet.shepherd/version/renditionDownload?rendition=ORIGINAL_Jpg&amp;versionId=068QF00000FJeQvYAL</t>
  </si>
  <si>
    <t>https://hivos.my.salesforce.com/sfc/servlet.shepherd/version/renditionDownload?rendition=ORIGINAL_Jpg&amp;versionId=068QF00000FJeSXYA1</t>
  </si>
  <si>
    <t>2024-09-21 10:48:00.000+03</t>
  </si>
  <si>
    <t>0.522912, 33.343150</t>
  </si>
  <si>
    <t>Jowel</t>
  </si>
  <si>
    <t>You just switch on gas and cooking goes on</t>
  </si>
  <si>
    <t>It cooks for you food and also gives you fertilizer for your crops</t>
  </si>
  <si>
    <t>We first shieve out what goes through the bio digester and the balance is kept under sold storage</t>
  </si>
  <si>
    <t>We don't know that it can also be used in bio digester</t>
  </si>
  <si>
    <t>Used as fertilizer, Animal feed</t>
  </si>
  <si>
    <t>Bananas  Fruit plants</t>
  </si>
  <si>
    <t>He doesn't know those who thought the boss lady</t>
  </si>
  <si>
    <t>Radio;TV Programmes;Biogas Program</t>
  </si>
  <si>
    <t>That gas runs out so fast</t>
  </si>
  <si>
    <t>Everything here as far as bio gas is concerned was constructed to standard.</t>
  </si>
  <si>
    <t>https://hivos.my.salesforce.com/sfc/servlet.shepherd/version/renditionDownload?rendition=ORIGINAL_Jpg&amp;versionId=068QF00000FJeVlYAL</t>
  </si>
  <si>
    <t>https://hivos.my.salesforce.com/sfc/servlet.shepherd/version/renditionDownload?rendition=ORIGINAL_Jpg&amp;versionId=068QF00000FJeXNYA1</t>
  </si>
  <si>
    <t>https://hivos.my.salesforce.com/sfc/servlet.shepherd/version/renditionDownload?rendition=ORIGINAL_Jpg&amp;versionId=068QF00000FJWRoYAP</t>
  </si>
  <si>
    <t>https://hivos.my.salesforce.com/sfc/servlet.shepherd/version/renditionDownload?rendition=ORIGINAL_Jpg&amp;versionId=068QF00000FJaaFYAT</t>
  </si>
  <si>
    <t>2024-09-22 16:26:00.000+03</t>
  </si>
  <si>
    <t>0.461088, 33.471140</t>
  </si>
  <si>
    <t>Woitira Tadeo</t>
  </si>
  <si>
    <t>Firewood collection is labor intensive compared to feeding bio digester</t>
  </si>
  <si>
    <t>Because you save much on buying firewood and charcoal if you install a bio digester</t>
  </si>
  <si>
    <t>Dairy cattle;Market swine (fattening pigs)</t>
  </si>
  <si>
    <t>Am not comfortable touching pigs dung</t>
  </si>
  <si>
    <t>Vegetables  Banana plantation</t>
  </si>
  <si>
    <t>Crops yields have stayed the same</t>
  </si>
  <si>
    <t>Kimera man</t>
  </si>
  <si>
    <t>It works but we don't have enough cow dung</t>
  </si>
  <si>
    <t>https://hivos.my.salesforce.com/sfc/servlet.shepherd/version/renditionDownload?rendition=ORIGINAL_Jpg&amp;versionId=068QF00000FKz57YAD</t>
  </si>
  <si>
    <t>https://hivos.my.salesforce.com/sfc/servlet.shepherd/version/renditionDownload?rendition=ORIGINAL_Jpg&amp;versionId=068QF00000FKz6jYAD</t>
  </si>
  <si>
    <t>https://hivos.my.salesforce.com/sfc/servlet.shepherd/version/renditionDownload?rendition=ORIGINAL_Jpg&amp;versionId=068QF00000FKyYsYAL</t>
  </si>
  <si>
    <t>https://hivos.my.salesforce.com/sfc/servlet.shepherd/version/renditionDownload?rendition=ORIGINAL_Jpg&amp;versionId=068QF00000FKz8LYAT</t>
  </si>
  <si>
    <t>2024-09-22 12:22:00.000+03</t>
  </si>
  <si>
    <t>0.544642, 33.696082</t>
  </si>
  <si>
    <t>Child;Worker;Husband</t>
  </si>
  <si>
    <t>Cow dung is just here on the compound but firewood we have to go to forest to harvest</t>
  </si>
  <si>
    <t>Biogas is faster in cooking Biogas doesn't depend on weather to light</t>
  </si>
  <si>
    <t>I don't need it, am used to cow dug</t>
  </si>
  <si>
    <t>We take that to gardens not to bio digester</t>
  </si>
  <si>
    <t>Tomatoes  Cabbages Bananas</t>
  </si>
  <si>
    <t>My bio gas lights are no longer coming, they died</t>
  </si>
  <si>
    <t>She needs sources of biogas lighting bulbs</t>
  </si>
  <si>
    <t>https://hivos.my.salesforce.com/sfc/servlet.shepherd/version/renditionDownload?rendition=ORIGINAL_Jpg&amp;versionId=068QF00000FKz9xYAD</t>
  </si>
  <si>
    <t>https://hivos.my.salesforce.com/sfc/servlet.shepherd/version/renditionDownload?rendition=ORIGINAL_Jpg&amp;versionId=068QF00000FKz8MYAT</t>
  </si>
  <si>
    <t>https://hivos.my.salesforce.com/sfc/servlet.shepherd/version/renditionDownload?rendition=ORIGINAL_Jpg&amp;versionId=068QF00000FKzBZYA1</t>
  </si>
  <si>
    <t>https://hivos.my.salesforce.com/sfc/servlet.shepherd/version/renditionDownload?rendition=ORIGINAL_Jpg&amp;versionId=068QF00000FKifQYAT</t>
  </si>
  <si>
    <t>2024-09-22 14:08:00.000+03</t>
  </si>
  <si>
    <t>0.462657, 33.709550</t>
  </si>
  <si>
    <t>Technician came ordered me to empty the bio digester and we did it but he never showed up again</t>
  </si>
  <si>
    <t>Am ready to fix it anytime a technical person comes</t>
  </si>
  <si>
    <t>Fixing the bio digester</t>
  </si>
  <si>
    <t>Bio digester does not produce gas</t>
  </si>
  <si>
    <t>https://hivos.my.salesforce.com/sfc/servlet.shepherd/version/renditionDownload?rendition=ORIGINAL_Jpg&amp;versionId=068QF00000FKx4wYAD</t>
  </si>
  <si>
    <t>https://hivos.my.salesforce.com/sfc/servlet.shepherd/version/renditionDownload?rendition=ORIGINAL_Jpg&amp;versionId=068QF00000FKzEnYAL</t>
  </si>
  <si>
    <t>https://hivos.my.salesforce.com/sfc/servlet.shepherd/version/renditionDownload?rendition=ORIGINAL_Jpg&amp;versionId=068QF00000FKzGPYA1</t>
  </si>
  <si>
    <t>2024-09-24 17:20:00.000+03</t>
  </si>
  <si>
    <t>0.489858, 33.221318</t>
  </si>
  <si>
    <t>Namina Idd</t>
  </si>
  <si>
    <t>Deputy head teacher who installed it and had interest in it was transferred &amp; everything ended there.</t>
  </si>
  <si>
    <t>You can hardly see where bio digester was located, all is bush, it was abandoned yet they have 5 daily cows on zero grazing</t>
  </si>
  <si>
    <t>https://hivos.my.salesforce.com/sfc/servlet.shepherd/version/renditionDownload?rendition=ORIGINAL_Jpg&amp;versionId=068QF00000FZ6RqYAL</t>
  </si>
  <si>
    <t>https://hivos.my.salesforce.com/sfc/servlet.shepherd/version/renditionDownload?rendition=ORIGINAL_Jpg&amp;versionId=068QF00000Fa2dmYAB</t>
  </si>
  <si>
    <t>https://hivos.my.salesforce.com/sfc/servlet.shepherd/version/renditionDownload?rendition=ORIGINAL_Jpg&amp;versionId=068QF00000FZUm0YAH</t>
  </si>
  <si>
    <t>2024-09-23 18:11:00.000+03</t>
  </si>
  <si>
    <t>0.496627, 33.205683</t>
  </si>
  <si>
    <t>Mulungi Aisha</t>
  </si>
  <si>
    <t>They had installed and was being used in all the boys quarters but tenant ended up vandalizing it</t>
  </si>
  <si>
    <t>She says now her husband stays in Kampala and she stays home with her children, she has no time to feed it</t>
  </si>
  <si>
    <t>https://hivos.my.salesforce.com/sfc/servlet.shepherd/version/renditionDownload?rendition=ORIGINAL_Jpg&amp;versionId=068QF00000Fa2qgYAB</t>
  </si>
  <si>
    <t>https://hivos.my.salesforce.com/sfc/servlet.shepherd/version/renditionDownload?rendition=ORIGINAL_Jpg&amp;versionId=068QF00000FZYKxYAP</t>
  </si>
  <si>
    <t>https://hivos.my.salesforce.com/sfc/servlet.shepherd/version/renditionDownload?rendition=ORIGINAL_Jpg&amp;versionId=068QF00000FZrX6YAL</t>
  </si>
  <si>
    <t>2024-09-20 15:04:00.000+03</t>
  </si>
  <si>
    <t>-0.695955, 31.520875</t>
  </si>
  <si>
    <t>Mulindi George</t>
  </si>
  <si>
    <t>It is less tiresome compared to moving to collect firewood from the farm.</t>
  </si>
  <si>
    <t>Because it's saved time.</t>
  </si>
  <si>
    <t>Banana Plantation</t>
  </si>
  <si>
    <t>I am assisting my kids with studies;I am reading books</t>
  </si>
  <si>
    <t>https://hivos.my.salesforce.com/sfc/servlet.shepherd/version/renditionDownload?rendition=ORIGINAL_Jpg&amp;versionId=068QF00000FI8D0YAL</t>
  </si>
  <si>
    <t>https://hivos.my.salesforce.com/sfc/servlet.shepherd/version/renditionDownload?rendition=ORIGINAL_Jpg&amp;versionId=068QF00000FICA9YAP</t>
  </si>
  <si>
    <t>https://hivos.my.salesforce.com/sfc/servlet.shepherd/version/renditionDownload?rendition=ORIGINAL_Jpg&amp;versionId=068QF00000FICBlYAP</t>
  </si>
  <si>
    <t>https://hivos.my.salesforce.com/sfc/servlet.shepherd/version/renditionDownload?rendition=ORIGINAL_Jpg&amp;versionId=068QF00000FIBR0YAP</t>
  </si>
  <si>
    <t>2024-09-20 16:25:00.000+03</t>
  </si>
  <si>
    <t>-0.756260, 31.561063</t>
  </si>
  <si>
    <t>Twagirwa Timothy</t>
  </si>
  <si>
    <t>Running a machine (i.e. water pump);Commercial products (cakes, food for sale etc.)</t>
  </si>
  <si>
    <t>Maize,tomatoes and Passion fruits</t>
  </si>
  <si>
    <t>HS Green Energy</t>
  </si>
  <si>
    <t>Productive time use;Social activities;Education</t>
  </si>
  <si>
    <t>I am spending more time farming;I have taken up a small job;I have started a business</t>
  </si>
  <si>
    <t>I am attending school again;I am reading books</t>
  </si>
  <si>
    <t>https://hivos.my.salesforce.com/sfc/servlet.shepherd/version/renditionDownload?rendition=ORIGINAL_Jpg&amp;versionId=068QF00000FIC3iYAH</t>
  </si>
  <si>
    <t>https://hivos.my.salesforce.com/sfc/servlet.shepherd/version/renditionDownload?rendition=ORIGINAL_Jpg&amp;versionId=068QF00000FICGbYAP</t>
  </si>
  <si>
    <t>https://hivos.my.salesforce.com/sfc/servlet.shepherd/version/renditionDownload?rendition=ORIGINAL_Jpg&amp;versionId=068QF00000FICIDYA5</t>
  </si>
  <si>
    <t>https://hivos.my.salesforce.com/sfc/servlet.shepherd/version/renditionDownload?rendition=ORIGINAL_Jpg&amp;versionId=068QF00000FICJpYAP</t>
  </si>
  <si>
    <t>2024-09-21 16:50:00.000+03</t>
  </si>
  <si>
    <t>-0.391508, 31.751069</t>
  </si>
  <si>
    <t>The system is nolonger in use</t>
  </si>
  <si>
    <t>https://hivos.my.salesforce.com/sfc/servlet.shepherd/version/renditionDownload?rendition=ORIGINAL_Jpg&amp;versionId=068QF00000FJQZHYA5</t>
  </si>
  <si>
    <t>https://hivos.my.salesforce.com/sfc/servlet.shepherd/version/renditionDownload?rendition=ORIGINAL_Jpg&amp;versionId=068QF00000FJTQfYAP</t>
  </si>
  <si>
    <t>https://hivos.my.salesforce.com/sfc/servlet.shepherd/version/renditionDownload?rendition=ORIGINAL_Jpg&amp;versionId=068QF00000FJMQpYAP</t>
  </si>
  <si>
    <t>https://hivos.my.salesforce.com/sfc/servlet.shepherd/version/renditionDownload?rendition=ORIGINAL_Jpg&amp;versionId=068QF00000FJOUEYA5</t>
  </si>
  <si>
    <t>-0.530610, 31.614945</t>
  </si>
  <si>
    <t>Matovu Jackson</t>
  </si>
  <si>
    <t>There's no movement in search for cowdung as it was with firewood</t>
  </si>
  <si>
    <t>It Cooks faster</t>
  </si>
  <si>
    <t>Banana  and coffee plantation</t>
  </si>
  <si>
    <t>I am taking an educational course;I am reading books</t>
  </si>
  <si>
    <t>https://hivos.my.salesforce.com/sfc/servlet.shepherd/version/renditionDownload?rendition=ORIGINAL_Jpg&amp;versionId=068QF00000FJSzFYAX</t>
  </si>
  <si>
    <t>https://hivos.my.salesforce.com/sfc/servlet.shepherd/version/renditionDownload?rendition=ORIGINAL_Jpg&amp;versionId=068QF00000FI7P7YAL</t>
  </si>
  <si>
    <t>https://hivos.my.salesforce.com/sfc/servlet.shepherd/version/renditionDownload?rendition=ORIGINAL_Jpg&amp;versionId=068QF00000FJT0rYAH</t>
  </si>
  <si>
    <t>https://hivos.my.salesforce.com/sfc/servlet.shepherd/version/renditionDownload?rendition=ORIGINAL_Jpg&amp;versionId=068QF00000FJOhBYAX</t>
  </si>
  <si>
    <t>2024-09-21 13:09:00.000+03</t>
  </si>
  <si>
    <t>-0.289462, 31.754317</t>
  </si>
  <si>
    <t>Nalugo Rosemary</t>
  </si>
  <si>
    <t>Feeding the digrster isn't hectic compared to looking for firewood</t>
  </si>
  <si>
    <t>It fast in cooking and it saves time for cooking.</t>
  </si>
  <si>
    <t>Banana,Coffee,Greens</t>
  </si>
  <si>
    <t>https://hivos.my.salesforce.com/sfc/servlet.shepherd/version/renditionDownload?rendition=ORIGINAL_Jpg&amp;versionId=068QF00000FJT45YAH</t>
  </si>
  <si>
    <t>https://hivos.my.salesforce.com/sfc/servlet.shepherd/version/renditionDownload?rendition=ORIGINAL_Jpg&amp;versionId=068QF00000FJOhCYAX</t>
  </si>
  <si>
    <t>https://hivos.my.salesforce.com/sfc/servlet.shepherd/version/renditionDownload?rendition=ORIGINAL_Jpg&amp;versionId=068QF00000FJQB4YAP</t>
  </si>
  <si>
    <t>https://hivos.my.salesforce.com/sfc/servlet.shepherd/version/renditionDownload?rendition=ORIGINAL_Jpg&amp;versionId=068QF00000FJT5hYAH</t>
  </si>
  <si>
    <t>-0.265767, 31.735978</t>
  </si>
  <si>
    <t>Promised to come and fix it</t>
  </si>
  <si>
    <t>The client has got animals but his system is not working.</t>
  </si>
  <si>
    <t>https://hivos.my.salesforce.com/sfc/servlet.shepherd/version/renditionDownload?rendition=ORIGINAL_Jpg&amp;versionId=068QF00000FJTDlYAP</t>
  </si>
  <si>
    <t>https://hivos.my.salesforce.com/sfc/servlet.shepherd/version/renditionDownload?rendition=ORIGINAL_Jpg&amp;versionId=068QF00000FJTFNYA5</t>
  </si>
  <si>
    <t>https://hivos.my.salesforce.com/sfc/servlet.shepherd/version/renditionDownload?rendition=ORIGINAL_Jpg&amp;versionId=068QF00000FJQZGYA5</t>
  </si>
  <si>
    <t>https://hivos.my.salesforce.com/sfc/servlet.shepherd/version/renditionDownload?rendition=ORIGINAL_Jpg&amp;versionId=068QF00000FJTAYYA5</t>
  </si>
  <si>
    <t>2024-09-21 15:01:00.000+03</t>
  </si>
  <si>
    <t>-0.240037, 31.737103</t>
  </si>
  <si>
    <t>She needs assistance</t>
  </si>
  <si>
    <t>To help her with heifer.</t>
  </si>
  <si>
    <t>The system looks ok but the cows died so there's no cowdung to feed the digester</t>
  </si>
  <si>
    <t>https://hivos.my.salesforce.com/sfc/servlet.shepherd/version/renditionDownload?rendition=ORIGINAL_Jpg&amp;versionId=068QF00000FJD5mYAH</t>
  </si>
  <si>
    <t>https://hivos.my.salesforce.com/sfc/servlet.shepherd/version/renditionDownload?rendition=ORIGINAL_Jpg&amp;versionId=068QF00000FJTGzYAP</t>
  </si>
  <si>
    <t>https://hivos.my.salesforce.com/sfc/servlet.shepherd/version/renditionDownload?rendition=ORIGINAL_Jpg&amp;versionId=068QF00000FJTIbYAP</t>
  </si>
  <si>
    <t>https://hivos.my.salesforce.com/sfc/servlet.shepherd/version/renditionDownload?rendition=ORIGINAL_Jpg&amp;versionId=068QF00000FJTKDYA5</t>
  </si>
  <si>
    <t>2024-09-21 15:49:00.000+03</t>
  </si>
  <si>
    <t>-0.333360, 31.762077</t>
  </si>
  <si>
    <t>Lubega Andrew</t>
  </si>
  <si>
    <t>Renovate the system</t>
  </si>
  <si>
    <t>Renovate the system and put back to use</t>
  </si>
  <si>
    <t>The system is ok but there's no supply of gas to kitchen area.</t>
  </si>
  <si>
    <t>https://hivos.my.salesforce.com/sfc/servlet.shepherd/version/renditionDownload?rendition=ORIGINAL_Jpg&amp;versionId=068QF00000FJTNRYA5</t>
  </si>
  <si>
    <t>https://hivos.my.salesforce.com/sfc/servlet.shepherd/version/renditionDownload?rendition=ORIGINAL_Jpg&amp;versionId=068QF00000FJTP3YAP</t>
  </si>
  <si>
    <t>https://hivos.my.salesforce.com/sfc/servlet.shepherd/version/renditionDownload?rendition=ORIGINAL_Jpg&amp;versionId=068QF00000FJGOdYAP</t>
  </si>
  <si>
    <t>https://hivos.my.salesforce.com/sfc/servlet.shepherd/version/renditionDownload?rendition=ORIGINAL_Jpg&amp;versionId=068QF00000FJTIcYAP</t>
  </si>
  <si>
    <t>2024-09-22 11:07:00.000+03</t>
  </si>
  <si>
    <t>-0.288058, 31.686028</t>
  </si>
  <si>
    <t>https://hivos.my.salesforce.com/sfc/servlet.shepherd/version/renditionDownload?rendition=ORIGINAL_Jpg&amp;versionId=068QF00000FLLC6YAP</t>
  </si>
  <si>
    <t>https://hivos.my.salesforce.com/sfc/servlet.shepherd/version/renditionDownload?rendition=ORIGINAL_Jpg&amp;versionId=068QF00000FLLdVYAX</t>
  </si>
  <si>
    <t>https://hivos.my.salesforce.com/sfc/servlet.shepherd/version/renditionDownload?rendition=ORIGINAL_Jpg&amp;versionId=068QF00000FLLf7YAH</t>
  </si>
  <si>
    <t>https://hivos.my.salesforce.com/sfc/servlet.shepherd/version/renditionDownload?rendition=ORIGINAL_Jpg&amp;versionId=068QF00000FLLgjYAH</t>
  </si>
  <si>
    <t>2024-09-22 12:12:00.000+03</t>
  </si>
  <si>
    <t>-0.313672, 31.655260</t>
  </si>
  <si>
    <t>Musa Matovu</t>
  </si>
  <si>
    <t>It's no longer time consuming.</t>
  </si>
  <si>
    <t>It quick at cooking</t>
  </si>
  <si>
    <t>Coffee and Bananas</t>
  </si>
  <si>
    <t>Radio;Biogas Program</t>
  </si>
  <si>
    <t>The system produces less nowadays.</t>
  </si>
  <si>
    <t>To help them to renovate the system to increase on gas for cooking.</t>
  </si>
  <si>
    <t>https://hivos.my.salesforce.com/sfc/servlet.shepherd/version/renditionDownload?rendition=ORIGINAL_Jpg&amp;versionId=068QF00000FLLnBYAX</t>
  </si>
  <si>
    <t>https://hivos.my.salesforce.com/sfc/servlet.shepherd/version/renditionDownload?rendition=ORIGINAL_Jpg&amp;versionId=068QF00000FLLonYAH</t>
  </si>
  <si>
    <t>https://hivos.my.salesforce.com/sfc/servlet.shepherd/version/renditionDownload?rendition=ORIGINAL_Jpg&amp;versionId=068QF00000FLLqPYAX</t>
  </si>
  <si>
    <t>https://hivos.my.salesforce.com/sfc/servlet.shepherd/version/renditionDownload?rendition=ORIGINAL_Jpg&amp;versionId=068QF00000FLI9OYAX</t>
  </si>
  <si>
    <t>2024-09-22 13:01:00.000+03</t>
  </si>
  <si>
    <t>-0.286177, 31.650942</t>
  </si>
  <si>
    <t>Nantongo Zaituni</t>
  </si>
  <si>
    <t>Cost on firewood was reduced.</t>
  </si>
  <si>
    <t>It saves in terms of time for cooking.</t>
  </si>
  <si>
    <t>Coffee and Banana Plantation.</t>
  </si>
  <si>
    <t>https://hivos.my.salesforce.com/sfc/servlet.shepherd/version/renditionDownload?rendition=ORIGINAL_Jpg&amp;versionId=068QF00000FL8lAYAT</t>
  </si>
  <si>
    <t>https://hivos.my.salesforce.com/sfc/servlet.shepherd/version/renditionDownload?rendition=ORIGINAL_Jpg&amp;versionId=068QF00000FLD6VYAX</t>
  </si>
  <si>
    <t>https://hivos.my.salesforce.com/sfc/servlet.shepherd/version/renditionDownload?rendition=ORIGINAL_Jpg&amp;versionId=068QF00000FLLs1YAH</t>
  </si>
  <si>
    <t>https://hivos.my.salesforce.com/sfc/servlet.shepherd/version/renditionDownload?rendition=ORIGINAL_Jpg&amp;versionId=068QF00000FLLtdYAH</t>
  </si>
  <si>
    <t>2024-09-23 11:04:00.000+03</t>
  </si>
  <si>
    <t>-0.286498, 32.010313</t>
  </si>
  <si>
    <t>Ssenono Twaha</t>
  </si>
  <si>
    <t>Because more moving of long distances to search for firewood as before.</t>
  </si>
  <si>
    <t>It saves on fuel.</t>
  </si>
  <si>
    <t>The non lactating cows are more than dairy cows</t>
  </si>
  <si>
    <t>Maize,Coffee,Bananas</t>
  </si>
  <si>
    <t>Social activity (voluntary work, etc);Chatting with neighbours, friends etc</t>
  </si>
  <si>
    <t>https://hivos.my.salesforce.com/sfc/servlet.shepherd/version/renditionDownload?rendition=ORIGINAL_Jpg&amp;versionId=068QF00000FR5vpYAD</t>
  </si>
  <si>
    <t>https://hivos.my.salesforce.com/sfc/servlet.shepherd/version/renditionDownload?rendition=ORIGINAL_Jpg&amp;versionId=068QF00000FQq2RYAT</t>
  </si>
  <si>
    <t>https://hivos.my.salesforce.com/sfc/servlet.shepherd/version/renditionDownload?rendition=ORIGINAL_Jpg&amp;versionId=068QF00000FQrzLYAT</t>
  </si>
  <si>
    <t>https://hivos.my.salesforce.com/sfc/servlet.shepherd/version/renditionDownload?rendition=ORIGINAL_Jpg&amp;versionId=068QF00000FR5xRYAT</t>
  </si>
  <si>
    <t>-0.017015, 31.778068</t>
  </si>
  <si>
    <t>Berna Nakalanzi</t>
  </si>
  <si>
    <t>Coffee,Banana Plantation and Maize</t>
  </si>
  <si>
    <t>MADDO</t>
  </si>
  <si>
    <t>Radio;Agriculture Extension Officer</t>
  </si>
  <si>
    <t>https://hivos.my.salesforce.com/sfc/servlet.shepherd/version/renditionDownload?rendition=ORIGINAL_Jpg&amp;versionId=068QF00000FQnxPYAT</t>
  </si>
  <si>
    <t>https://hivos.my.salesforce.com/sfc/servlet.shepherd/version/renditionDownload?rendition=ORIGINAL_Jpg&amp;versionId=068QF00000FR5UQYA1</t>
  </si>
  <si>
    <t>https://hivos.my.salesforce.com/sfc/servlet.shepherd/version/renditionDownload?rendition=ORIGINAL_Jpg&amp;versionId=068QF00000FR5z3YAD</t>
  </si>
  <si>
    <t>https://hivos.my.salesforce.com/sfc/servlet.shepherd/version/renditionDownload?rendition=ORIGINAL_Jpg&amp;versionId=068QF00000FQz0qYAD</t>
  </si>
  <si>
    <t>2024-09-24 11:49:00.000+03</t>
  </si>
  <si>
    <t>-0.229052, 31.825052</t>
  </si>
  <si>
    <t>Lusagi Makoto Paul</t>
  </si>
  <si>
    <t>Hope to resume soon.</t>
  </si>
  <si>
    <t>https://hivos.my.salesforce.com/sfc/servlet.shepherd/version/renditionDownload?rendition=ORIGINAL_Jpg&amp;versionId=068QF00000FUgJ3YAL</t>
  </si>
  <si>
    <t>https://hivos.my.salesforce.com/sfc/servlet.shepherd/version/renditionDownload?rendition=ORIGINAL_Jpg&amp;versionId=068QF00000FVe0XYAT</t>
  </si>
  <si>
    <t>https://hivos.my.salesforce.com/sfc/servlet.shepherd/version/renditionDownload?rendition=ORIGINAL_Jpg&amp;versionId=068QF00000FVN3VYAX</t>
  </si>
  <si>
    <t>https://hivos.my.salesforce.com/sfc/servlet.shepherd/version/renditionDownload?rendition=ORIGINAL_Jpg&amp;versionId=068QF00000FVZnGYAX</t>
  </si>
  <si>
    <t>2024-09-24 12:33:00.000+03</t>
  </si>
  <si>
    <t>-0.228610, 31.772737</t>
  </si>
  <si>
    <t>Sserwadda Laurence</t>
  </si>
  <si>
    <t>The Gentleman is weak to feed the digester.</t>
  </si>
  <si>
    <t>https://hivos.my.salesforce.com/sfc/servlet.shepherd/version/renditionDownload?rendition=ORIGINAL_Jpg&amp;versionId=068QF00000FVPb4YAH</t>
  </si>
  <si>
    <t>https://hivos.my.salesforce.com/sfc/servlet.shepherd/version/renditionDownload?rendition=ORIGINAL_Jpg&amp;versionId=068QF00000FVQAUYA5</t>
  </si>
  <si>
    <t>https://hivos.my.salesforce.com/sfc/servlet.shepherd/version/renditionDownload?rendition=ORIGINAL_Jpg&amp;versionId=068QF00000FVbfPYAT</t>
  </si>
  <si>
    <t>https://hivos.my.salesforce.com/sfc/servlet.shepherd/version/renditionDownload?rendition=ORIGINAL_Jpg&amp;versionId=068QF00000FVTYGYA5</t>
  </si>
  <si>
    <t>2024-09-24 13:17:00.000+03</t>
  </si>
  <si>
    <t>-0.246500, 31.748023</t>
  </si>
  <si>
    <t>Nsubuga Sharif</t>
  </si>
  <si>
    <t>https://hivos.my.salesforce.com/sfc/servlet.shepherd/version/renditionDownload?rendition=ORIGINAL_Jpg&amp;versionId=068QF00000FVb98YAD</t>
  </si>
  <si>
    <t>https://hivos.my.salesforce.com/sfc/servlet.shepherd/version/renditionDownload?rendition=ORIGINAL_Jpg&amp;versionId=068QF00000FVeDRYA1</t>
  </si>
  <si>
    <t>https://hivos.my.salesforce.com/sfc/servlet.shepherd/version/renditionDownload?rendition=ORIGINAL_Jpg&amp;versionId=068QF00000FVKMsYAP</t>
  </si>
  <si>
    <t>https://hivos.my.salesforce.com/sfc/servlet.shepherd/version/renditionDownload?rendition=ORIGINAL_Jpg&amp;versionId=068QF00000FVeGfYAL</t>
  </si>
  <si>
    <t>2024-09-24 14:04:00.000+03</t>
  </si>
  <si>
    <t>-0.263585, 31.742228</t>
  </si>
  <si>
    <t>Nabiseere Mary Rose Violet</t>
  </si>
  <si>
    <t>https://hivos.my.salesforce.com/sfc/servlet.shepherd/version/renditionDownload?rendition=ORIGINAL_Jpg&amp;versionId=068QF00000FVLPVYA5</t>
  </si>
  <si>
    <t>https://hivos.my.salesforce.com/sfc/servlet.shepherd/version/renditionDownload?rendition=ORIGINAL_Jpg&amp;versionId=068QF00000FVd2vYAD</t>
  </si>
  <si>
    <t>https://hivos.my.salesforce.com/sfc/servlet.shepherd/version/renditionDownload?rendition=ORIGINAL_Jpg&amp;versionId=068QF00000FVeN7YAL</t>
  </si>
  <si>
    <t>https://hivos.my.salesforce.com/sfc/servlet.shepherd/version/renditionDownload?rendition=ORIGINAL_Jpg&amp;versionId=068QF00000FVXyOYAX</t>
  </si>
  <si>
    <t>2024-09-25 10:02:00.000+03</t>
  </si>
  <si>
    <t>0.328458, 32.470468</t>
  </si>
  <si>
    <t>Less time on buying firewood.</t>
  </si>
  <si>
    <t>Banana,Grass,Maize</t>
  </si>
  <si>
    <t>I am taking an educational course;I am attending school again;I am assisting my kids with studies;I am reading books</t>
  </si>
  <si>
    <t>https://hivos.my.salesforce.com/sfc/servlet.shepherd/version/renditionDownload?rendition=ORIGINAL_Jpg&amp;versionId=068QF00000FZYz4YAH</t>
  </si>
  <si>
    <t>https://hivos.my.salesforce.com/sfc/servlet.shepherd/version/renditionDownload?rendition=ORIGINAL_Jpg&amp;versionId=068QF00000FZZVJYA5</t>
  </si>
  <si>
    <t>https://hivos.my.salesforce.com/sfc/servlet.shepherd/version/renditionDownload?rendition=ORIGINAL_Jpg&amp;versionId=068QF00000FYrKiYAL</t>
  </si>
  <si>
    <t>https://hivos.my.salesforce.com/sfc/servlet.shepherd/version/renditionDownload?rendition=ORIGINAL_Jpg&amp;versionId=068QF00000FZZWvYAP</t>
  </si>
  <si>
    <t>2024-09-25 10:52:00.000+03</t>
  </si>
  <si>
    <t>0.341642, 32.471648</t>
  </si>
  <si>
    <t>https://hivos.my.salesforce.com/sfc/servlet.shepherd/version/renditionDownload?rendition=ORIGINAL_Jpg&amp;versionId=068QF00000FYqtKYAT</t>
  </si>
  <si>
    <t>https://hivos.my.salesforce.com/sfc/servlet.shepherd/version/renditionDownload?rendition=ORIGINAL_Jpg&amp;versionId=068QF00000FZHWtYAP</t>
  </si>
  <si>
    <t>https://hivos.my.salesforce.com/sfc/servlet.shepherd/version/renditionDownload?rendition=ORIGINAL_Jpg&amp;versionId=068QF00000FZ4g7YAD</t>
  </si>
  <si>
    <t>https://hivos.my.salesforce.com/sfc/servlet.shepherd/version/renditionDownload?rendition=ORIGINAL_Jpg&amp;versionId=068QF00000FZH2MYAX</t>
  </si>
  <si>
    <t>2024-09-25 11:34:00.000+03</t>
  </si>
  <si>
    <t>0.354060, 32.466270</t>
  </si>
  <si>
    <t>Herman Alirabaki</t>
  </si>
  <si>
    <t>With biogas no moving around to look for firewood</t>
  </si>
  <si>
    <t>It is quick at cooking.</t>
  </si>
  <si>
    <t>Banana,Grass</t>
  </si>
  <si>
    <t>Agricultural officer</t>
  </si>
  <si>
    <t>https://hivos.my.salesforce.com/sfc/servlet.shepherd/version/renditionDownload?rendition=ORIGINAL_Jpg&amp;versionId=068QF00000FZIhSYAX</t>
  </si>
  <si>
    <t>https://hivos.my.salesforce.com/sfc/servlet.shepherd/version/renditionDownload?rendition=ORIGINAL_Jpg&amp;versionId=068QF00000FZNUBYA5</t>
  </si>
  <si>
    <t>https://hivos.my.salesforce.com/sfc/servlet.shepherd/version/renditionDownload?rendition=ORIGINAL_Jpg&amp;versionId=068QF00000FZ5vlYAD</t>
  </si>
  <si>
    <t>https://hivos.my.salesforce.com/sfc/servlet.shepherd/version/renditionDownload?rendition=ORIGINAL_Jpg&amp;versionId=068QF00000FYrKjYAL</t>
  </si>
  <si>
    <t>2024-09-25 12:34:00.000+03</t>
  </si>
  <si>
    <t>0.318645, 32.526844</t>
  </si>
  <si>
    <t>Yiga Nicholas</t>
  </si>
  <si>
    <t>We nolonger move around to collect firewood.</t>
  </si>
  <si>
    <t>It saves fuel.</t>
  </si>
  <si>
    <t>Cost savings</t>
  </si>
  <si>
    <t>Extension worker</t>
  </si>
  <si>
    <t>Watching TV/social media;Social activity (voluntary work, etc);Visiting the church;Chatting with neighbours, friends etc</t>
  </si>
  <si>
    <t>https://hivos.my.salesforce.com/sfc/servlet.shepherd/version/renditionDownload?rendition=ORIGINAL_Jpg&amp;versionId=068QF00000FZYe7YAH</t>
  </si>
  <si>
    <t>https://hivos.my.salesforce.com/sfc/servlet.shepherd/version/renditionDownload?rendition=ORIGINAL_Jpg&amp;versionId=068QF00000FYyu7YAD</t>
  </si>
  <si>
    <t>https://hivos.my.salesforce.com/sfc/servlet.shepherd/version/renditionDownload?rendition=ORIGINAL_Jpg&amp;versionId=068QF00000FZDLOYA5</t>
  </si>
  <si>
    <t>https://hivos.my.salesforce.com/sfc/servlet.shepherd/version/renditionDownload?rendition=ORIGINAL_Jpg&amp;versionId=068QF00000FZUx7YAH</t>
  </si>
  <si>
    <t>2024-09-25 14:37:00.000+03</t>
  </si>
  <si>
    <t>0.266925, 32.430158</t>
  </si>
  <si>
    <t>Nakibuule Teopista</t>
  </si>
  <si>
    <t>It's not time consuming</t>
  </si>
  <si>
    <t>It saves time when cooking.</t>
  </si>
  <si>
    <t>https://hivos.my.salesforce.com/sfc/servlet.shepherd/version/renditionDownload?rendition=ORIGINAL_Jpg&amp;versionId=068QF00000FZYNyYAP</t>
  </si>
  <si>
    <t>https://hivos.my.salesforce.com/sfc/servlet.shepherd/version/renditionDownload?rendition=ORIGINAL_Jpg&amp;versionId=068QF00000FZHiCYAX</t>
  </si>
  <si>
    <t>https://hivos.my.salesforce.com/sfc/servlet.shepherd/version/renditionDownload?rendition=ORIGINAL_Jpg&amp;versionId=068QF00000FZQwiYAH</t>
  </si>
  <si>
    <t>https://hivos.my.salesforce.com/sfc/servlet.shepherd/version/renditionDownload?rendition=ORIGINAL_Jpg&amp;versionId=068QF00000FZHQQYA5</t>
  </si>
  <si>
    <t>2024-09-25 15:18:00.000+03</t>
  </si>
  <si>
    <t>0.221408, 32.432225</t>
  </si>
  <si>
    <t>I don't have money.</t>
  </si>
  <si>
    <t>The digester needs unblocking.</t>
  </si>
  <si>
    <t>To unblock the blockage.</t>
  </si>
  <si>
    <t>https://hivos.my.salesforce.com/sfc/servlet.shepherd/version/renditionDownload?rendition=ORIGINAL_Jpg&amp;versionId=068QF00000FZNyqYAH</t>
  </si>
  <si>
    <t>https://hivos.my.salesforce.com/sfc/servlet.shepherd/version/renditionDownload?rendition=ORIGINAL_Jpg&amp;versionId=068QF00000FZBoDYAX</t>
  </si>
  <si>
    <t>https://hivos.my.salesforce.com/sfc/servlet.shepherd/version/renditionDownload?rendition=ORIGINAL_Jpg&amp;versionId=068QF00000FZIzAYAX</t>
  </si>
  <si>
    <t>https://hivos.my.salesforce.com/sfc/servlet.shepherd/version/renditionDownload?rendition=ORIGINAL_Jpg&amp;versionId=068QF00000FYphCYAT</t>
  </si>
  <si>
    <t>2024-09-21 12:30:00.000+03</t>
  </si>
  <si>
    <t>0.543367, 30.157257</t>
  </si>
  <si>
    <t>Makura  Magret</t>
  </si>
  <si>
    <t>It takes a short time to feed than collecting firewood</t>
  </si>
  <si>
    <t>It cooks fast and saves on other fuels</t>
  </si>
  <si>
    <t>Banana and Beans</t>
  </si>
  <si>
    <t>She needs some one to make some small repairs and also she would like to have a certificate</t>
  </si>
  <si>
    <t>Needs a  manson for small repairs</t>
  </si>
  <si>
    <t>https://hivos.my.salesforce.com/sfc/servlet.shepherd/version/renditionDownload?rendition=ORIGINAL_Jpg&amp;versionId=068QF00000FK6TeYAL</t>
  </si>
  <si>
    <t>https://hivos.my.salesforce.com/sfc/servlet.shepherd/version/renditionDownload?rendition=ORIGINAL_Jpg&amp;versionId=068QF00000FKK1xYAH</t>
  </si>
  <si>
    <t>https://hivos.my.salesforce.com/sfc/servlet.shepherd/version/renditionDownload?rendition=ORIGINAL_Jpg&amp;versionId=068QF00000FK2GMYA1</t>
  </si>
  <si>
    <t>https://hivos.my.salesforce.com/sfc/servlet.shepherd/version/renditionDownload?rendition=ORIGINAL_Jpg&amp;versionId=068QF00000FTWvFYAX</t>
  </si>
  <si>
    <t>2024-09-21 14:33:00.000+03</t>
  </si>
  <si>
    <t>0.635354, 30.265515</t>
  </si>
  <si>
    <t>Kagweri Sedrack</t>
  </si>
  <si>
    <t>Domestic use;Productive use;Other (specify)</t>
  </si>
  <si>
    <t>The biogas is used for cooking in the hotel</t>
  </si>
  <si>
    <t>Charcoal, Electricity.LPG</t>
  </si>
  <si>
    <t>woker</t>
  </si>
  <si>
    <t>Its fed in few minutes</t>
  </si>
  <si>
    <t>Its quick and cheap at cooking</t>
  </si>
  <si>
    <t>It's a hotel so we are always busy</t>
  </si>
  <si>
    <t>They don't allow anyone to take photos of anything im the premises</t>
  </si>
  <si>
    <t>https://hivos.my.salesforce.com/sfc/servlet.shepherd/version/renditionDownload?rendition=ORIGINAL_Jpg&amp;versionId=068QF00000FKK6nYAH</t>
  </si>
  <si>
    <t>https://hivos.my.salesforce.com/sfc/servlet.shepherd/version/renditionDownload?rendition=ORIGINAL_Jpg&amp;versionId=068QF00000FK4q4YAD</t>
  </si>
  <si>
    <t>https://hivos.my.salesforce.com/sfc/servlet.shepherd/version/renditionDownload?rendition=ORIGINAL_Jpg&amp;versionId=068QF00000FKF5XYAX</t>
  </si>
  <si>
    <t>https://hivos.my.salesforce.com/sfc/servlet.shepherd/version/renditionDownload?rendition=ORIGINAL_Jpg&amp;versionId=068QF00000FTPaMYAX</t>
  </si>
  <si>
    <t>2024-09-21 10:14:00.000+03</t>
  </si>
  <si>
    <t>0.565058, 30.181775</t>
  </si>
  <si>
    <t>Ndorereire Patrick</t>
  </si>
  <si>
    <t>It takes less time compared to collecting firewood</t>
  </si>
  <si>
    <t>It is easy and quick to cook especially when one is working on time</t>
  </si>
  <si>
    <t>Its too much all to be feed and its difficult to collect all of it</t>
  </si>
  <si>
    <t>Coffe, bananas and vegetables</t>
  </si>
  <si>
    <t>Because its available directly from the pigs</t>
  </si>
  <si>
    <t>https://hivos.my.salesforce.com/sfc/servlet.shepherd/version/renditionDownload?rendition=ORIGINAL_Jpg&amp;versionId=068QF00000FMRljYAH</t>
  </si>
  <si>
    <t>https://hivos.my.salesforce.com/sfc/servlet.shepherd/version/renditionDownload?rendition=ORIGINAL_Jpg&amp;versionId=068QF00000FLieyYAD</t>
  </si>
  <si>
    <t>https://hivos.my.salesforce.com/sfc/servlet.shepherd/version/renditionDownload?rendition=ORIGINAL_Jpg&amp;versionId=068QF00000FMbxyYAD</t>
  </si>
  <si>
    <t>https://hivos.my.salesforce.com/sfc/servlet.shepherd/version/renditionDownload?rendition=ORIGINAL_Jpg&amp;versionId=068QF00000FTE0dYAH</t>
  </si>
  <si>
    <t>2024-09-22 15:18:00.000+03</t>
  </si>
  <si>
    <t>0.668902, 30.275250</t>
  </si>
  <si>
    <t>Hakibaare James</t>
  </si>
  <si>
    <t>They lacked someone to feed it</t>
  </si>
  <si>
    <t>They completely lack labour and they are too old to feed it</t>
  </si>
  <si>
    <t>https://hivos.my.salesforce.com/sfc/servlet.shepherd/version/renditionDownload?rendition=ORIGINAL_Jpg&amp;versionId=068QF00000FMNzvYAH</t>
  </si>
  <si>
    <t>https://hivos.my.salesforce.com/sfc/servlet.shepherd/version/renditionDownload?rendition=ORIGINAL_Jpg&amp;versionId=068QF00000FMdwXYAT</t>
  </si>
  <si>
    <t>https://hivos.my.salesforce.com/sfc/servlet.shepherd/version/renditionDownload?rendition=ORIGINAL_Jpg&amp;versionId=068QF00000FSYKxYAP</t>
  </si>
  <si>
    <t>2024-09-22 13:08:00.000+03</t>
  </si>
  <si>
    <t>0.529842, 30.323138</t>
  </si>
  <si>
    <t>Kakongoro Elisa</t>
  </si>
  <si>
    <t>I have not been having workers so it has been difficult to feed the digester</t>
  </si>
  <si>
    <t>He is requesting for a manson to help him empty his digester</t>
  </si>
  <si>
    <t>Needs a manson to empty his digester</t>
  </si>
  <si>
    <t>https://hivos.my.salesforce.com/sfc/servlet.shepherd/version/renditionDownload?rendition=ORIGINAL_Jpg&amp;versionId=068QF00000FToqPYAT</t>
  </si>
  <si>
    <t>https://hivos.my.salesforce.com/sfc/servlet.shepherd/version/renditionDownload?rendition=ORIGINAL_Jpg&amp;versionId=068QF00000FMFvxYAH</t>
  </si>
  <si>
    <t>https://hivos.my.salesforce.com/sfc/servlet.shepherd/version/renditionDownload?rendition=ORIGINAL_Jpg&amp;versionId=068QF00000FMZ06YAH</t>
  </si>
  <si>
    <t>https://hivos.my.salesforce.com/sfc/servlet.shepherd/version/renditionDownload?rendition=ORIGINAL_Jpg&amp;versionId=068QF00000FM5RxYAL</t>
  </si>
  <si>
    <t>2024-09-22 02:16:00.000+03</t>
  </si>
  <si>
    <t>2024-09-23 12:44:00.000+03</t>
  </si>
  <si>
    <t>0.703653, 30.289325</t>
  </si>
  <si>
    <t>Kimome Samuel</t>
  </si>
  <si>
    <t>It takes few minutes to feed than collecting firewood</t>
  </si>
  <si>
    <t>Its quick at cooking and it saves and the manure is soo good</t>
  </si>
  <si>
    <t>It's not easy to collect all of it since the cows are non zero grazing</t>
  </si>
  <si>
    <t>Napier grass[Cows grass)</t>
  </si>
  <si>
    <t>He wants to know if Biogas can be connected to water heater</t>
  </si>
  <si>
    <t>About connecting the system to a water heater</t>
  </si>
  <si>
    <t>He says his sub county has water scarcity that is why  most people have abandoned Biogas</t>
  </si>
  <si>
    <t>https://hivos.my.salesforce.com/sfc/servlet.shepherd/version/renditionDownload?rendition=ORIGINAL_Jpg&amp;versionId=068QF00000FSkAoYAL</t>
  </si>
  <si>
    <t>https://hivos.my.salesforce.com/sfc/servlet.shepherd/version/renditionDownload?rendition=ORIGINAL_Jpg&amp;versionId=068QF00000FSPB1YAP</t>
  </si>
  <si>
    <t>https://hivos.my.salesforce.com/sfc/servlet.shepherd/version/renditionDownload?rendition=ORIGINAL_Jpg&amp;versionId=068QF00000FSoEGYA1</t>
  </si>
  <si>
    <t>https://hivos.my.salesforce.com/sfc/servlet.shepherd/version/renditionDownload?rendition=ORIGINAL_Jpg&amp;versionId=068QF00000FTOBFYA5</t>
  </si>
  <si>
    <t>2024-09-23 15:38:00.000+03</t>
  </si>
  <si>
    <t>0.586428, 30.305848</t>
  </si>
  <si>
    <t>Acyaya Max</t>
  </si>
  <si>
    <t>Biogas is quick and easy at cooking</t>
  </si>
  <si>
    <t>Easy and quick so it saves time</t>
  </si>
  <si>
    <t>They pick only clean dung with out soil and the one with soil they leave it</t>
  </si>
  <si>
    <t>https://hivos.my.salesforce.com/sfc/servlet.shepherd/version/renditionDownload?rendition=ORIGINAL_Jpg&amp;versionId=068QF00000FSqvuYAD</t>
  </si>
  <si>
    <t>https://hivos.my.salesforce.com/sfc/servlet.shepherd/version/renditionDownload?rendition=ORIGINAL_Jpg&amp;versionId=068QF00000FT4AsYAL</t>
  </si>
  <si>
    <t>https://hivos.my.salesforce.com/sfc/servlet.shepherd/version/renditionDownload?rendition=ORIGINAL_Jpg&amp;versionId=068QF00000FSwWlYAL</t>
  </si>
  <si>
    <t>https://hivos.my.salesforce.com/sfc/servlet.shepherd/version/renditionDownload?rendition=ORIGINAL_Jpg&amp;versionId=068QF00000FTLzmYAH</t>
  </si>
  <si>
    <t>2024-09-23 11:18:00.000+03</t>
  </si>
  <si>
    <t>0.746883, 30.304878</t>
  </si>
  <si>
    <t>Nyakahums Solomon</t>
  </si>
  <si>
    <t>It takes few minutes to feed the digester than collecting fire wood</t>
  </si>
  <si>
    <t>Its cheap to mantain and quick to use</t>
  </si>
  <si>
    <t>It can not all be collected because cows are non zero grazing</t>
  </si>
  <si>
    <t>He says people using biogas have water challenges</t>
  </si>
  <si>
    <t>https://hivos.my.salesforce.com/sfc/servlet.shepherd/version/renditionDownload?rendition=ORIGINAL_Jpg&amp;versionId=068QF00000FT4nZYAT</t>
  </si>
  <si>
    <t>https://hivos.my.salesforce.com/sfc/servlet.shepherd/version/renditionDownload?rendition=ORIGINAL_Jpg&amp;versionId=068QF00000FSnEwYAL</t>
  </si>
  <si>
    <t>https://hivos.my.salesforce.com/sfc/servlet.shepherd/version/renditionDownload?rendition=ORIGINAL_Jpg&amp;versionId=068QF00000FTJI6YAP</t>
  </si>
  <si>
    <t>2024-09-23 12:56:00.000+03</t>
  </si>
  <si>
    <t>2024-09-24 16:48:00.000+03</t>
  </si>
  <si>
    <t>0.674513, 30.284962</t>
  </si>
  <si>
    <t>Mrs Friday Tomas</t>
  </si>
  <si>
    <t>They have not contacted any technician</t>
  </si>
  <si>
    <t>When there is need to have it working again they will call the Technician</t>
  </si>
  <si>
    <t>For now the house hold is not interested in the biogas</t>
  </si>
  <si>
    <t>https://hivos.my.salesforce.com/sfc/servlet.shepherd/version/renditionDownload?rendition=ORIGINAL_Jpg&amp;versionId=068QF00000Fa6ZJYAZ</t>
  </si>
  <si>
    <t>https://hivos.my.salesforce.com/sfc/servlet.shepherd/version/renditionDownload?rendition=ORIGINAL_Jpg&amp;versionId=068QF00000FZokbYAD</t>
  </si>
  <si>
    <t>2024-09-24 16:52:00.000+03</t>
  </si>
  <si>
    <t>2024-09-25 10:36:00.000+03</t>
  </si>
  <si>
    <t>0.616648, 30.313713</t>
  </si>
  <si>
    <t>Arthur Isoke</t>
  </si>
  <si>
    <t>Because they have not been mixing the dung due to lack of labour</t>
  </si>
  <si>
    <t>It takes Short to mix than collecting firewood</t>
  </si>
  <si>
    <t>Its clean</t>
  </si>
  <si>
    <t>Banana,pawpaws and Hass Ovacaddo</t>
  </si>
  <si>
    <t>Agronomist</t>
  </si>
  <si>
    <t>Agriculture Extension Officer;TV Programmes;Biogas Program;Family Member/Friend</t>
  </si>
  <si>
    <t>https://hivos.my.salesforce.com/sfc/servlet.shepherd/version/renditionDownload?rendition=ORIGINAL_Jpg&amp;versionId=068QF00000FZqJKYA1</t>
  </si>
  <si>
    <t>https://hivos.my.salesforce.com/sfc/servlet.shepherd/version/renditionDownload?rendition=ORIGINAL_Jpg&amp;versionId=068QF00000FZoJDYA1</t>
  </si>
  <si>
    <t>https://hivos.my.salesforce.com/sfc/servlet.shepherd/version/renditionDownload?rendition=ORIGINAL_Jpg&amp;versionId=068QF00000FZoXdYAL</t>
  </si>
  <si>
    <t>https://hivos.my.salesforce.com/sfc/servlet.shepherd/version/renditionDownload?rendition=ORIGINAL_Jpg&amp;versionId=068QF00000Fa6FyYAJ</t>
  </si>
  <si>
    <t>Rukundo Phiona - 779492344</t>
  </si>
  <si>
    <t>1.102124, 34.208135</t>
  </si>
  <si>
    <t>Zirupa</t>
  </si>
  <si>
    <t>He never had their contacts</t>
  </si>
  <si>
    <t>To install the broken pipes and other parts of the stove</t>
  </si>
  <si>
    <t>The kids broke the switch that turns fire on and lost it and other parts that's what stopped the system from working but she still has  animals and wants the system to function again</t>
  </si>
  <si>
    <t>https://hivos.my.salesforce.com/sfc/servlet.shepherd/version/renditionDownload?rendition=ORIGINAL_Jpg&amp;versionId=068QF00000FJUmXYAX</t>
  </si>
  <si>
    <t>https://hivos.my.salesforce.com/sfc/servlet.shepherd/version/renditionDownload?rendition=ORIGINAL_Jpg&amp;versionId=068QF00000FJUplYAH</t>
  </si>
  <si>
    <t>https://hivos.my.salesforce.com/sfc/servlet.shepherd/version/renditionDownload?rendition=ORIGINAL_Jpg&amp;versionId=068QF00000FJUrNYAX</t>
  </si>
  <si>
    <t>2024-09-21 14:52:00.000+03</t>
  </si>
  <si>
    <t>2024-09-21 10:28:00.000+03</t>
  </si>
  <si>
    <t>1.123181, 34.199947</t>
  </si>
  <si>
    <t>They checked and told her to buy a new pipe and she's still looking for money to do renovations 150000</t>
  </si>
  <si>
    <t>She said very soon before the year ends she will be fixing her system as soon as she gets money</t>
  </si>
  <si>
    <t>That the program should be giving them pipes and renovations free</t>
  </si>
  <si>
    <t>The house hold still have cows and still willing to use their system again</t>
  </si>
  <si>
    <t>https://hivos.my.salesforce.com/sfc/servlet.shepherd/version/renditionDownload?rendition=ORIGINAL_Jpg&amp;versionId=068QF00000FJV7VYAX</t>
  </si>
  <si>
    <t>https://hivos.my.salesforce.com/sfc/servlet.shepherd/version/renditionDownload?rendition=ORIGINAL_Jpg&amp;versionId=068QF00000FJSXqYAP</t>
  </si>
  <si>
    <t>https://hivos.my.salesforce.com/sfc/servlet.shepherd/version/renditionDownload?rendition=ORIGINAL_Jpg&amp;versionId=068QF00000FJU1nYAH</t>
  </si>
  <si>
    <t>https://hivos.my.salesforce.com/sfc/servlet.shepherd/version/renditionDownload?rendition=ORIGINAL_Jpg&amp;versionId=068QF00000FJU0GYAX</t>
  </si>
  <si>
    <t>2024-09-21 11:04:00.000+03</t>
  </si>
  <si>
    <t>2024-09-21 12:03:00.000+03</t>
  </si>
  <si>
    <t>1.106575, 34.213959</t>
  </si>
  <si>
    <t>Gidudu mutwalibi</t>
  </si>
  <si>
    <t>Child,Husband</t>
  </si>
  <si>
    <t>It's easy to mix manure than looking for fire wood that's very scarce</t>
  </si>
  <si>
    <t>It's quick to cook and very clean</t>
  </si>
  <si>
    <t>Banana plantation, cabbage,beans</t>
  </si>
  <si>
    <t>He needs a new stove because his current stove has aleakage</t>
  </si>
  <si>
    <t>https://hivos.my.salesforce.com/sfc/servlet.shepherd/version/renditionDownload?rendition=ORIGINAL_Jpg&amp;versionId=068QF00000FJHPWYA5</t>
  </si>
  <si>
    <t>https://hivos.my.salesforce.com/sfc/servlet.shepherd/version/renditionDownload?rendition=ORIGINAL_Jpg&amp;versionId=068QF00000FJV97YAH</t>
  </si>
  <si>
    <t>https://hivos.my.salesforce.com/sfc/servlet.shepherd/version/renditionDownload?rendition=ORIGINAL_Jpg&amp;versionId=068QF00000FJSfuYAH</t>
  </si>
  <si>
    <t>https://hivos.my.salesforce.com/sfc/servlet.shepherd/version/renditionDownload?rendition=ORIGINAL_Jpg&amp;versionId=068QF00000FJKvGYAX</t>
  </si>
  <si>
    <t>2024-09-21 16:25:00.000+03</t>
  </si>
  <si>
    <t>1.151392, 34.204560</t>
  </si>
  <si>
    <t>She said when she gets money she will buy more cows so that she can again start using her system</t>
  </si>
  <si>
    <t>If the program can give her at least one cow that can produce for her manure to feed her system.</t>
  </si>
  <si>
    <t>https://hivos.my.salesforce.com/sfc/servlet.shepherd/version/renditionDownload?rendition=ORIGINAL_Jpg&amp;versionId=068QF00000FJUwDYAX</t>
  </si>
  <si>
    <t>https://hivos.my.salesforce.com/sfc/servlet.shepherd/version/renditionDownload?rendition=ORIGINAL_Jpg&amp;versionId=068QF00000FJUxpYAH</t>
  </si>
  <si>
    <t>https://hivos.my.salesforce.com/sfc/servlet.shepherd/version/renditionDownload?rendition=ORIGINAL_Jpg&amp;versionId=068QF00000FJUD4YAP</t>
  </si>
  <si>
    <t>https://hivos.my.salesforce.com/sfc/servlet.shepherd/version/renditionDownload?rendition=ORIGINAL_Jpg&amp;versionId=068QF00000FJUubYAH</t>
  </si>
  <si>
    <t>2024-09-21 16:53:00.000+03</t>
  </si>
  <si>
    <t>2024-09-21 17:07:00.000+03</t>
  </si>
  <si>
    <t>1.149288, 34.205118</t>
  </si>
  <si>
    <t>Magumu John</t>
  </si>
  <si>
    <t>The mason came checked the system  and told her to buy new pipes so that he can fix for her but she never had the money.</t>
  </si>
  <si>
    <t>When she gets money that's when she will work on her system but not sure when exactly when she will be able to fix it.</t>
  </si>
  <si>
    <t>She wants the program to buy for her pipes.</t>
  </si>
  <si>
    <t>https://hivos.my.salesforce.com/sfc/servlet.shepherd/version/renditionDownload?rendition=ORIGINAL_Jpg&amp;versionId=068QF00000FJIexYAH</t>
  </si>
  <si>
    <t>https://hivos.my.salesforce.com/sfc/servlet.shepherd/version/renditionDownload?rendition=ORIGINAL_Jpg&amp;versionId=068QF00000FJIAJYA5</t>
  </si>
  <si>
    <t>https://hivos.my.salesforce.com/sfc/servlet.shepherd/version/renditionDownload?rendition=ORIGINAL_Jpg&amp;versionId=068QF00000FJIeyYAH</t>
  </si>
  <si>
    <t>2024-09-21 17:58:00.000+03</t>
  </si>
  <si>
    <t>2024-09-21 13:26:00.000+03</t>
  </si>
  <si>
    <t>1.105676, 34.204117</t>
  </si>
  <si>
    <t>Madoyi Failosi</t>
  </si>
  <si>
    <t>They unblocked some pipes and told her that they will come back and unblock  all the pipes but they never came back to help her.</t>
  </si>
  <si>
    <t>She still needs her biogas but she's doesn't have money to buy new pipes and not very sure of when she will be able to fix it she is too old and she received the system for free by world vision.</t>
  </si>
  <si>
    <t>She needs the program to come back and work on her system because it was helping her to cook her meals on time.</t>
  </si>
  <si>
    <t>She said the program needs to do monitoring for the systems every month and pay mason to repair the systems for those who can't afford money for repairs</t>
  </si>
  <si>
    <t>https://hivos.my.salesforce.com/sfc/servlet.shepherd/version/renditionDownload?rendition=ORIGINAL_Jpg&amp;versionId=068QF00000FJQ9TYAX</t>
  </si>
  <si>
    <t>https://hivos.my.salesforce.com/sfc/servlet.shepherd/version/renditionDownload?rendition=ORIGINAL_Jpg&amp;versionId=068QF00000FJVAjYAP</t>
  </si>
  <si>
    <t>https://hivos.my.salesforce.com/sfc/servlet.shepherd/version/renditionDownload?rendition=ORIGINAL_Jpg&amp;versionId=068QF00000FJKlaYAH</t>
  </si>
  <si>
    <t>1.115584, 34.171099</t>
  </si>
  <si>
    <t>Mrs wamukota</t>
  </si>
  <si>
    <t>Easy to mix manure than fetching fire wood that is far and very scarce</t>
  </si>
  <si>
    <t>It's cooks  quickly</t>
  </si>
  <si>
    <t>Poultry is free range system and it not easy to collect it manure</t>
  </si>
  <si>
    <t>The cows manure is enough no need of goats manure</t>
  </si>
  <si>
    <t>Banana plantation, mangoes</t>
  </si>
  <si>
    <t>She has goats and it's manure is not fed in the biodigester so she uses it as fertilizer for her crops</t>
  </si>
  <si>
    <t>https://hivos.my.salesforce.com/sfc/servlet.shepherd/version/renditionDownload?rendition=ORIGINAL_Jpg&amp;versionId=068QF00000FKsV3YAL</t>
  </si>
  <si>
    <t>https://hivos.my.salesforce.com/sfc/servlet.shepherd/version/renditionDownload?rendition=ORIGINAL_Jpg&amp;versionId=068QF00000FKo87YAD</t>
  </si>
  <si>
    <t>https://hivos.my.salesforce.com/sfc/servlet.shepherd/version/renditionDownload?rendition=ORIGINAL_Jpg&amp;versionId=068QF00000FKhTEYA1</t>
  </si>
  <si>
    <t>https://hivos.my.salesforce.com/sfc/servlet.shepherd/version/renditionDownload?rendition=ORIGINAL_Jpg&amp;versionId=068QF00000FKsOcYAL</t>
  </si>
  <si>
    <t>2024-09-22 13:14:00.000+03</t>
  </si>
  <si>
    <t>2024-09-22 15:13:00.000+03</t>
  </si>
  <si>
    <t>1.126718, 34.207183</t>
  </si>
  <si>
    <t>Nandudu zowena</t>
  </si>
  <si>
    <t>Her system is still ok but she doesn't have cows</t>
  </si>
  <si>
    <t>That if the program can at least give her one cow because she still needs her system to work again.</t>
  </si>
  <si>
    <t>She said if she gets money she will buy cows and start using her system again</t>
  </si>
  <si>
    <t>https://hivos.my.salesforce.com/sfc/servlet.shepherd/version/renditionDownload?rendition=ORIGINAL_Jpg&amp;versionId=068QF00000FKsYHYA1</t>
  </si>
  <si>
    <t>https://hivos.my.salesforce.com/sfc/servlet.shepherd/version/renditionDownload?rendition=ORIGINAL_Jpg&amp;versionId=068QF00000FKhhlYAD</t>
  </si>
  <si>
    <t>https://hivos.my.salesforce.com/sfc/servlet.shepherd/version/renditionDownload?rendition=ORIGINAL_Jpg&amp;versionId=068QF00000FKgXFYA1</t>
  </si>
  <si>
    <t>https://hivos.my.salesforce.com/sfc/servlet.shepherd/version/renditionDownload?rendition=ORIGINAL_Jpg&amp;versionId=068QF00000FKsZtYAL</t>
  </si>
  <si>
    <t>2024-09-22 15:30:00.000+03</t>
  </si>
  <si>
    <t>2024-09-22 13:33:00.000+03</t>
  </si>
  <si>
    <t>1.143127, 34.202178</t>
  </si>
  <si>
    <t>Kamida</t>
  </si>
  <si>
    <t>Easy to mix manure than collecting fire wood that takes a lot of time and very scarce</t>
  </si>
  <si>
    <t>No smoke,very clean and it cooks faster</t>
  </si>
  <si>
    <t>Banana plantation, coffee plantation</t>
  </si>
  <si>
    <t>World vision project</t>
  </si>
  <si>
    <t>The family gets water from far so during dry season it's difficult to mix enough manure and this reduces on the gas and number of hours in cooking instead of 5 hours it cooks for only 2 hours</t>
  </si>
  <si>
    <t>To provide water tank to the family so that they can harvest enough water.</t>
  </si>
  <si>
    <t>https://hivos.my.salesforce.com/sfc/servlet.shepherd/version/renditionDownload?rendition=ORIGINAL_Jpg&amp;versionId=068QF00000FKrsNYAT</t>
  </si>
  <si>
    <t>https://hivos.my.salesforce.com/sfc/servlet.shepherd/version/renditionDownload?rendition=ORIGINAL_Jpg&amp;versionId=068QF00000FKjA5YAL</t>
  </si>
  <si>
    <t>https://hivos.my.salesforce.com/sfc/servlet.shepherd/version/renditionDownload?rendition=ORIGINAL_Jpg&amp;versionId=068QF00000FKpAcYAL</t>
  </si>
  <si>
    <t>https://hivos.my.salesforce.com/sfc/servlet.shepherd/version/renditionDownload?rendition=ORIGINAL_Jpg&amp;versionId=068QF00000FKsd7YAD</t>
  </si>
  <si>
    <t>2024-09-22 14:21:00.000+03</t>
  </si>
  <si>
    <t>2024-09-23 14:51:00.000+03</t>
  </si>
  <si>
    <t>0.989158, 34.138844</t>
  </si>
  <si>
    <t>Peter malikisa</t>
  </si>
  <si>
    <t>He said he needs an alternative system that uses less manure because he has only one cow others died.</t>
  </si>
  <si>
    <t>He has only one cow that remained 5 cows died and one can't give him enough manure to feed the biodigester.</t>
  </si>
  <si>
    <t>https://hivos.my.salesforce.com/sfc/servlet.shepherd/version/renditionDownload?rendition=ORIGINAL_Jpg&amp;versionId=068QF00000FPcG1YAL</t>
  </si>
  <si>
    <t>https://hivos.my.salesforce.com/sfc/servlet.shepherd/version/renditionDownload?rendition=ORIGINAL_Jpg&amp;versionId=068QF00000FPwD3YAL</t>
  </si>
  <si>
    <t>https://hivos.my.salesforce.com/sfc/servlet.shepherd/version/renditionDownload?rendition=ORIGINAL_Jpg&amp;versionId=068QF00000FPwEfYAL</t>
  </si>
  <si>
    <t>2024-09-23 13:09:00.000+03</t>
  </si>
  <si>
    <t>2024-09-23 10:04:00.000+03</t>
  </si>
  <si>
    <t>1.043655, 34.176747</t>
  </si>
  <si>
    <t>Naugimbi Amina</t>
  </si>
  <si>
    <t>Easy to mix manure that is free than buying fire wood that is expensive</t>
  </si>
  <si>
    <t>It cooks quickly, No smoke, it saves time</t>
  </si>
  <si>
    <t>Some manure runs away with urine</t>
  </si>
  <si>
    <t>Banana plantation, coffee plantation,beans</t>
  </si>
  <si>
    <t>Time is saved because biogas doesn't need to be attended to when cooking and that time saved is used to do other home chores</t>
  </si>
  <si>
    <t>She needs the knob for her stove</t>
  </si>
  <si>
    <t>https://hivos.my.salesforce.com/sfc/servlet.shepherd/version/renditionDownload?rendition=ORIGINAL_Jpg&amp;versionId=068QF00000FPgoGYAT</t>
  </si>
  <si>
    <t>https://hivos.my.salesforce.com/sfc/servlet.shepherd/version/renditionDownload?rendition=ORIGINAL_Jpg&amp;versionId=068QF00000FPwHtYAL</t>
  </si>
  <si>
    <t>https://hivos.my.salesforce.com/sfc/servlet.shepherd/version/renditionDownload?rendition=ORIGINAL_Jpg&amp;versionId=068QF00000FPgEnYAL</t>
  </si>
  <si>
    <t>https://hivos.my.salesforce.com/sfc/servlet.shepherd/version/renditionDownload?rendition=ORIGINAL_Jpg&amp;versionId=068QF00000FPvKEYA1</t>
  </si>
  <si>
    <t>2024-09-23 10:44:00.000+03</t>
  </si>
  <si>
    <t>2024-09-24 12:09:00.000+03</t>
  </si>
  <si>
    <t>1.179457, 33.670618</t>
  </si>
  <si>
    <t>Mrs okurut</t>
  </si>
  <si>
    <t>Easy to mix manure or collect it than collecting fire wood where you need to walk far</t>
  </si>
  <si>
    <t>It's has no smoke, it's doesn't make the pot dirty,it saves time</t>
  </si>
  <si>
    <t>10% is applied directly to the elephant Grass garden every after 5 days</t>
  </si>
  <si>
    <t>Orange,maize  and elephant grass garden</t>
  </si>
  <si>
    <t>Before installing biogas she used to keep poultry so she would use poultry manure as fertilizer.</t>
  </si>
  <si>
    <t>The family appreciated biogas solutions uganda limited for monitoring his biogas system.</t>
  </si>
  <si>
    <t>https://hivos.my.salesforce.com/sfc/servlet.shepherd/version/renditionDownload?rendition=ORIGINAL_Jpg&amp;versionId=068QF00000FVFyEYAX</t>
  </si>
  <si>
    <t>https://hivos.my.salesforce.com/sfc/servlet.shepherd/version/renditionDownload?rendition=ORIGINAL_Jpg&amp;versionId=068QF00000FVKmbYAH</t>
  </si>
  <si>
    <t>https://hivos.my.salesforce.com/sfc/servlet.shepherd/version/renditionDownload?rendition=ORIGINAL_Jpg&amp;versionId=068QF00000FVKoDYAX</t>
  </si>
  <si>
    <t>https://hivos.my.salesforce.com/sfc/servlet.shepherd/version/renditionDownload?rendition=ORIGINAL_Jpg&amp;versionId=068QF00000FVGPfYAP</t>
  </si>
  <si>
    <t>2024-09-24 13:02:00.000+03</t>
  </si>
  <si>
    <t>2024-09-24 15:59:00.000+03</t>
  </si>
  <si>
    <t>1.253534, 33.734187</t>
  </si>
  <si>
    <t>Ejajuwai William</t>
  </si>
  <si>
    <t>His animals died and he remained with 2 and are non zero grazing that can't give enough manure to feed the biodigester</t>
  </si>
  <si>
    <t>He said when he gets money he will buy more cows because he still loves his system.</t>
  </si>
  <si>
    <t>https://hivos.my.salesforce.com/sfc/servlet.shepherd/version/renditionDownload?rendition=ORIGINAL_Jpg&amp;versionId=068QF00000FVAXBYA5</t>
  </si>
  <si>
    <t>https://hivos.my.salesforce.com/sfc/servlet.shepherd/version/renditionDownload?rendition=ORIGINAL_Jpg&amp;versionId=068QF00000FVCVjYAP</t>
  </si>
  <si>
    <t>https://hivos.my.salesforce.com/sfc/servlet.shepherd/version/renditionDownload?rendition=ORIGINAL_Jpg&amp;versionId=068QF00000FVAouYAH</t>
  </si>
  <si>
    <t>2024-09-24 16:34:00.000+03</t>
  </si>
  <si>
    <t>1.251792, 33.732427</t>
  </si>
  <si>
    <t>Apiyo Rebecca</t>
  </si>
  <si>
    <t>The land where the biodigester was it was sold.</t>
  </si>
  <si>
    <t>https://hivos.my.salesforce.com/sfc/servlet.shepherd/version/renditionDownload?rendition=ORIGINAL_Jpg&amp;versionId=068QF00000FVH2MYAX</t>
  </si>
  <si>
    <t>https://hivos.my.salesforce.com/sfc/servlet.shepherd/version/renditionDownload?rendition=ORIGINAL_Jpg&amp;versionId=068QF00000FV4Q6YAL</t>
  </si>
  <si>
    <t>https://hivos.my.salesforce.com/sfc/servlet.shepherd/version/renditionDownload?rendition=ORIGINAL_Jpg&amp;versionId=068QF00000FVKwHYAX</t>
  </si>
  <si>
    <t>https://hivos.my.salesforce.com/sfc/servlet.shepherd/version/renditionDownload?rendition=ORIGINAL_Jpg&amp;versionId=068QF00000FV4Q7YAL</t>
  </si>
  <si>
    <t>2024-09-24 16:41:00.000+03</t>
  </si>
  <si>
    <t>2024-09-24 17:16:00.000+03</t>
  </si>
  <si>
    <t>1.189889, 33.775436</t>
  </si>
  <si>
    <t>Menya joab</t>
  </si>
  <si>
    <t>He sold the cows  because of school fees and remained with 3 that are non zero grazing that can't give him enough manure to feed the biodigester</t>
  </si>
  <si>
    <t>That if the program can give him zero grazing cow that can give him enough manure to feed the biodigester</t>
  </si>
  <si>
    <t>https://hivos.my.salesforce.com/sfc/servlet.shepherd/version/renditionDownload?rendition=ORIGINAL_Jpg&amp;versionId=068QF00000FVG7vYAH</t>
  </si>
  <si>
    <t>https://hivos.my.salesforce.com/sfc/servlet.shepherd/version/renditionDownload?rendition=ORIGINAL_Jpg&amp;versionId=068QF00000FV6QNYA1</t>
  </si>
  <si>
    <t>https://hivos.my.salesforce.com/sfc/servlet.shepherd/version/renditionDownload?rendition=ORIGINAL_Jpg&amp;versionId=068QF00000FVHtaYAH</t>
  </si>
  <si>
    <t>https://hivos.my.salesforce.com/sfc/servlet.shepherd/version/renditionDownload?rendition=ORIGINAL_Jpg&amp;versionId=068QF00000FV7uLYAT</t>
  </si>
  <si>
    <t>2024-09-24 17:30:00.000+03</t>
  </si>
  <si>
    <t>2024-09-29 11:18:00.000+03</t>
  </si>
  <si>
    <t>0.236185, 32.530105</t>
  </si>
  <si>
    <t>Kyabazinga Stephen</t>
  </si>
  <si>
    <t>The spent on collecting firewood was reduced.</t>
  </si>
  <si>
    <t>It is quick at cooking and has no risk.</t>
  </si>
  <si>
    <t>https://hivos.my.salesforce.com/sfc/servlet.shepherd/version/renditionDownload?rendition=ORIGINAL_Jpg&amp;versionId=068QF00000FoGnKYAV</t>
  </si>
  <si>
    <t>https://hivos.my.salesforce.com/sfc/servlet.shepherd/version/renditionDownload?rendition=ORIGINAL_Jpg&amp;versionId=068QF00000FoJejYAF</t>
  </si>
  <si>
    <t>https://hivos.my.salesforce.com/sfc/servlet.shepherd/version/renditionDownload?rendition=ORIGINAL_Jpg&amp;versionId=068QF00000FoINiYAN</t>
  </si>
  <si>
    <t>https://hivos.my.salesforce.com/sfc/servlet.shepherd/version/renditionDownload?rendition=ORIGINAL_Jpg&amp;versionId=068QF00000FoE2OYAV</t>
  </si>
  <si>
    <t>2024-09-30 15:46:00.000+03</t>
  </si>
  <si>
    <t>0.181822, 30.467075</t>
  </si>
  <si>
    <t>Rosemary</t>
  </si>
  <si>
    <t>Lack of water</t>
  </si>
  <si>
    <t>Shis requesting the to be assisted on getting water because they discounted they water during road construction which she uses on her biogas.</t>
  </si>
  <si>
    <t>https://hivos.my.salesforce.com/sfc/servlet.shepherd/version/renditionDownload?rendition=ORIGINAL_Jpg&amp;versionId=068QF00000Fufz9YAB</t>
  </si>
  <si>
    <t>https://hivos.my.salesforce.com/sfc/servlet.shepherd/version/renditionDownload?rendition=ORIGINAL_Jpg&amp;versionId=068QF00000FuL9DYAV</t>
  </si>
  <si>
    <t>https://hivos.my.salesforce.com/sfc/servlet.shepherd/version/renditionDownload?rendition=ORIGINAL_Jpg&amp;versionId=068QF00000FuhBKYAZ</t>
  </si>
  <si>
    <t>https://hivos.my.salesforce.com/sfc/servlet.shepherd/version/renditionDownload?rendition=ORIGINAL_Jpg&amp;versionId=068QF00000FuchwYAB</t>
  </si>
  <si>
    <t>2024-09-30 17:02:00.000+03</t>
  </si>
  <si>
    <t>0.185178, 30.471915</t>
  </si>
  <si>
    <t>Ninsima Agnes</t>
  </si>
  <si>
    <t>Shifted</t>
  </si>
  <si>
    <t>https://hivos.my.salesforce.com/sfc/servlet.shepherd/version/renditionDownload?rendition=ORIGINAL_Jpg&amp;versionId=068QF00000Fuh03YAB</t>
  </si>
  <si>
    <t>https://hivos.my.salesforce.com/sfc/servlet.shepherd/version/renditionDownload?rendition=ORIGINAL_Jpg&amp;versionId=068QF00000FuMgOYAV</t>
  </si>
  <si>
    <t>2024-09-30 14:38:00.000+03</t>
  </si>
  <si>
    <t>0.297644, 33.131917</t>
  </si>
  <si>
    <t>Esther Masanso</t>
  </si>
  <si>
    <t>They didnt have a contact</t>
  </si>
  <si>
    <t>She needs a mansion to help repair the plant</t>
  </si>
  <si>
    <t>Repair the plant</t>
  </si>
  <si>
    <t>https://hivos.my.salesforce.com/sfc/servlet.shepherd/version/renditionDownload?rendition=ORIGINAL_Jpg&amp;versionId=068QF00000FvNotYAF</t>
  </si>
  <si>
    <t>https://hivos.my.salesforce.com/sfc/servlet.shepherd/version/renditionDownload?rendition=ORIGINAL_Jpg&amp;versionId=068QF00000FvY7ZYAV</t>
  </si>
  <si>
    <t>https://hivos.my.salesforce.com/sfc/servlet.shepherd/version/renditionDownload?rendition=ORIGINAL_Jpg&amp;versionId=068QF00000FvOF6YAN</t>
  </si>
  <si>
    <t>https://hivos.my.salesforce.com/sfc/servlet.shepherd/version/renditionDownload?rendition=ORIGINAL_Jpg&amp;versionId=068QF00000FvY5xYAF</t>
  </si>
  <si>
    <t>2024-09-30 16:03:00.000+03</t>
  </si>
  <si>
    <t>0.307700, 33.101327</t>
  </si>
  <si>
    <t>Namazi Teddy</t>
  </si>
  <si>
    <t>The bio gas people promised to come and repair but they didn't turn up</t>
  </si>
  <si>
    <t>There must be a technical person to keep monitoring the performance of the plant.</t>
  </si>
  <si>
    <t>Bring seminars to the people who own bio digisters</t>
  </si>
  <si>
    <t>https://hivos.my.salesforce.com/sfc/servlet.shepherd/version/renditionDownload?rendition=ORIGINAL_Jpg&amp;versionId=068QF00000FvGM0YAN</t>
  </si>
  <si>
    <t>https://hivos.my.salesforce.com/sfc/servlet.shepherd/version/renditionDownload?rendition=ORIGINAL_Jpg&amp;versionId=068QF00000FvLK3YAN</t>
  </si>
  <si>
    <t>https://hivos.my.salesforce.com/sfc/servlet.shepherd/version/renditionDownload?rendition=ORIGINAL_Jpg&amp;versionId=068QF00000Fv4EMYAZ</t>
  </si>
  <si>
    <t>https://hivos.my.salesforce.com/sfc/servlet.shepherd/version/renditionDownload?rendition=ORIGINAL_Jpg&amp;versionId=068QF00000FvLdPYAV</t>
  </si>
  <si>
    <t>2024-09-30 17:16:00.000+03</t>
  </si>
  <si>
    <t>0.291464, 33.136726</t>
  </si>
  <si>
    <t>Namajja Aisha</t>
  </si>
  <si>
    <t>She bought every thing required even the stove but never used it.</t>
  </si>
  <si>
    <t>Complete the plant so that she can use it</t>
  </si>
  <si>
    <t>Never used biogas coz it was incomplete</t>
  </si>
  <si>
    <t>https://hivos.my.salesforce.com/sfc/servlet.shepherd/version/renditionDownload?rendition=ORIGINAL_Jpg&amp;versionId=068QF00000FvYQvYAN</t>
  </si>
  <si>
    <t>https://hivos.my.salesforce.com/sfc/servlet.shepherd/version/renditionDownload?rendition=ORIGINAL_Jpg&amp;versionId=068QF00000FvWNXYA3</t>
  </si>
  <si>
    <t>https://hivos.my.salesforce.com/sfc/servlet.shepherd/version/renditionDownload?rendition=ORIGINAL_Jpg&amp;versionId=068QF00000FvV88YAF</t>
  </si>
  <si>
    <t>2024-09-29 17:14:00.000+03</t>
  </si>
  <si>
    <t>0.468108, 32.741610</t>
  </si>
  <si>
    <t>Abdullaham Hajji</t>
  </si>
  <si>
    <t>Distance and money costs to buy wood are not with bio digester</t>
  </si>
  <si>
    <t>It cook faster and faming manure is very good.</t>
  </si>
  <si>
    <t>They sort the cow dung for the bio digester, which is tidious</t>
  </si>
  <si>
    <t>They have cowdung and they don't know that goats manure works.</t>
  </si>
  <si>
    <t>Banana,beans , Maize,greens</t>
  </si>
  <si>
    <t>The house hold needs close monitoring from the program and trainings also</t>
  </si>
  <si>
    <t>Technical support on another biogas stove that is not working.</t>
  </si>
  <si>
    <t>Needs to know other uses of the slurry like selling it and using it as animal feeds</t>
  </si>
  <si>
    <t>https://hivos.my.salesforce.com/sfc/servlet.shepherd/version/renditionDownload?rendition=ORIGINAL_Jpg&amp;versionId=068QF00000FwTU1YAN</t>
  </si>
  <si>
    <t>https://hivos.my.salesforce.com/sfc/servlet.shepherd/version/renditionDownload?rendition=ORIGINAL_Jpg&amp;versionId=068QF00000FwAeJYAV</t>
  </si>
  <si>
    <t>https://hivos.my.salesforce.com/sfc/servlet.shepherd/version/renditionDownload?rendition=ORIGINAL_Jpg&amp;versionId=068QF00000FwF9MYAV</t>
  </si>
  <si>
    <t>https://hivos.my.salesforce.com/sfc/servlet.shepherd/version/renditionDownload?rendition=ORIGINAL_Jpg&amp;versionId=068QF00000FwNwWYAV</t>
  </si>
  <si>
    <t>2024-09-29 17:59:00.000+03</t>
  </si>
  <si>
    <t>2024-10-01 09:50:00.000+03</t>
  </si>
  <si>
    <t>0.286663, 32.505303</t>
  </si>
  <si>
    <t>Lutaaya Emmanuel</t>
  </si>
  <si>
    <t>It makes cooking easier.</t>
  </si>
  <si>
    <t>Banana Plantation, Maize</t>
  </si>
  <si>
    <t>The digester needs to be repaired.</t>
  </si>
  <si>
    <t>https://hivos.my.salesforce.com/sfc/servlet.shepherd/version/renditionDownload?rendition=ORIGINAL_Jpg&amp;versionId=068QF00000FwV9FYAV</t>
  </si>
  <si>
    <t>https://hivos.my.salesforce.com/sfc/servlet.shepherd/version/renditionDownload?rendition=ORIGINAL_Jpg&amp;versionId=068QF00000Fvjr6YAB</t>
  </si>
  <si>
    <t>https://hivos.my.salesforce.com/sfc/servlet.shepherd/version/renditionDownload?rendition=ORIGINAL_Jpg&amp;versionId=068QF00000FwR0oYAF</t>
  </si>
  <si>
    <t>https://hivos.my.salesforce.com/sfc/servlet.shepherd/version/renditionDownload?rendition=ORIGINAL_Jpg&amp;versionId=068QF00000FwVHJYA3</t>
  </si>
  <si>
    <t>Added Column</t>
  </si>
  <si>
    <t>Average Daily Feed</t>
  </si>
  <si>
    <t>Did your digester work continuously in the period in 01/04/2023 to 31/March/2024?</t>
  </si>
  <si>
    <t>If the reason is technical e.g. broken,pipe blockage,gas leakage etc, did you contact any mason/company/BSUL for help?</t>
  </si>
  <si>
    <t>Metric Type (Heap or Flat)</t>
  </si>
  <si>
    <t>Average number of dairy cattle in this MP (01/04/2023 to 31/March/2024)</t>
  </si>
  <si>
    <t>Average number of other (non-lactating) cattle in this MP0 (1/04/2023 to 31/March/2024)</t>
  </si>
  <si>
    <t>Average number of Breeding swine in this MP (1/04/2023 to 31/March/2024)</t>
  </si>
  <si>
    <t>Average number of Sheep in this MP (1/04/2023 to 31/March/2024)</t>
  </si>
  <si>
    <t>Average number of Goats in this MP (1/04/2023 to 31/March/2024)</t>
  </si>
  <si>
    <t>Average number of poultry in this MP (1/04/2023 to 31/March/2024)</t>
  </si>
  <si>
    <t>Average number of Market swine (fattening pigs) in this MP (1/04/2023 to 31/March/2024)</t>
  </si>
  <si>
    <t>Length of production round (days) of Market swine (fattening pigs) (1/04/2023 to 31/March/2024)</t>
  </si>
  <si>
    <t>Number of production rounds per year of Market swine (fattening pigs) (1/04/2023 to 31/March/2024)</t>
  </si>
  <si>
    <t>Number of pigs per production round of Market swine (fattening pigs) (1/04/2023 to 31/March/2024)</t>
  </si>
  <si>
    <t>How much did you spend on digester maintenance during this monitoring perio (1/04/2023 to 31/March/2024)?(Local currency/year)</t>
  </si>
  <si>
    <t>Amount spent on digester maintenance during this monitoring period (1/04/2023 to 31/March/2024))?(Local currency/year)</t>
  </si>
  <si>
    <t>Total for MP1</t>
  </si>
  <si>
    <t>wood to charcoal</t>
  </si>
  <si>
    <t>p1</t>
  </si>
  <si>
    <t>p2</t>
  </si>
  <si>
    <t>AVG/YEAR</t>
  </si>
  <si>
    <t>SAVINGS</t>
  </si>
  <si>
    <t>om</t>
  </si>
  <si>
    <t>AVG SAVINGS</t>
  </si>
  <si>
    <t>USD/day</t>
  </si>
  <si>
    <t>AVG/month</t>
  </si>
  <si>
    <t>UGX/day</t>
  </si>
  <si>
    <t>D0</t>
  </si>
  <si>
    <t>P1</t>
  </si>
  <si>
    <t>avg</t>
  </si>
  <si>
    <t>Project emissions:</t>
  </si>
  <si>
    <t xml:space="preserve">Input values only in the green cells </t>
  </si>
  <si>
    <t>Inputs ER calculation:</t>
  </si>
  <si>
    <t>Outliers</t>
  </si>
  <si>
    <t>Fill in plant details</t>
  </si>
  <si>
    <t>Fill in quantity of fuel(s) used over a 24 hours period</t>
  </si>
  <si>
    <t>Automated calculation</t>
  </si>
  <si>
    <t>Conversion charcoal / wood</t>
  </si>
  <si>
    <t>Nr.</t>
  </si>
  <si>
    <t>Plant code</t>
  </si>
  <si>
    <t>Wood used</t>
  </si>
  <si>
    <t>Charcoal used</t>
  </si>
  <si>
    <t>Kerosene used</t>
  </si>
  <si>
    <t>LPG used</t>
  </si>
  <si>
    <t>Agro residues  used</t>
  </si>
  <si>
    <t>Wood</t>
  </si>
  <si>
    <t>Agroresidue</t>
  </si>
  <si>
    <t>(Total in kg)</t>
  </si>
  <si>
    <t>Conversion</t>
  </si>
  <si>
    <t>kg/tonne</t>
  </si>
  <si>
    <t>Biomass</t>
  </si>
  <si>
    <r>
      <rPr>
        <i/>
        <sz val="10"/>
        <color indexed="8"/>
        <rFont val="Arial"/>
        <family val="2"/>
      </rPr>
      <t>f</t>
    </r>
    <r>
      <rPr>
        <vertAlign val="subscript"/>
        <sz val="10"/>
        <color indexed="8"/>
        <rFont val="Arial"/>
        <family val="2"/>
      </rPr>
      <t>NRB</t>
    </r>
  </si>
  <si>
    <r>
      <t>BB</t>
    </r>
    <r>
      <rPr>
        <vertAlign val="subscript"/>
        <sz val="10"/>
        <rFont val="Arial"/>
        <family val="2"/>
      </rPr>
      <t>p,bio</t>
    </r>
  </si>
  <si>
    <t>The quantity of biomass consumed in the project scenario</t>
  </si>
  <si>
    <t>input</t>
  </si>
  <si>
    <t>tonnes/HH/year</t>
  </si>
  <si>
    <r>
      <t>NCV</t>
    </r>
    <r>
      <rPr>
        <vertAlign val="subscript"/>
        <sz val="10"/>
        <color indexed="8"/>
        <rFont val="Arial"/>
        <family val="2"/>
      </rPr>
      <t>bio</t>
    </r>
  </si>
  <si>
    <t xml:space="preserve">Net calorific value of the non-renewable biomass that is substituted </t>
  </si>
  <si>
    <r>
      <t>EF</t>
    </r>
    <r>
      <rPr>
        <vertAlign val="subscript"/>
        <sz val="10"/>
        <color indexed="8"/>
        <rFont val="Arial"/>
        <family val="2"/>
      </rPr>
      <t>p,bio</t>
    </r>
  </si>
  <si>
    <r>
      <t>CO</t>
    </r>
    <r>
      <rPr>
        <vertAlign val="subscript"/>
        <sz val="10"/>
        <rFont val="Arial"/>
        <family val="2"/>
      </rPr>
      <t>2</t>
    </r>
    <r>
      <rPr>
        <sz val="10"/>
        <rFont val="Arial"/>
        <family val="2"/>
      </rPr>
      <t xml:space="preserve"> emission factor of biomass in project scenario</t>
    </r>
  </si>
  <si>
    <r>
      <t>tCO</t>
    </r>
    <r>
      <rPr>
        <vertAlign val="subscript"/>
        <sz val="10"/>
        <rFont val="Arial"/>
        <family val="2"/>
      </rPr>
      <t>2</t>
    </r>
    <r>
      <rPr>
        <sz val="10"/>
        <rFont val="Arial"/>
        <family val="2"/>
      </rPr>
      <t>/TJ</t>
    </r>
  </si>
  <si>
    <r>
      <t>BE</t>
    </r>
    <r>
      <rPr>
        <vertAlign val="subscript"/>
        <sz val="10"/>
        <rFont val="Arial"/>
        <family val="2"/>
      </rPr>
      <t>CO2,y</t>
    </r>
  </si>
  <si>
    <t>Baseline CO2 emissions from the use of NRB per houshold</t>
  </si>
  <si>
    <t>output</t>
  </si>
  <si>
    <r>
      <t>tCO</t>
    </r>
    <r>
      <rPr>
        <vertAlign val="subscript"/>
        <sz val="10"/>
        <rFont val="Arial"/>
        <family val="2"/>
      </rPr>
      <t>2</t>
    </r>
    <r>
      <rPr>
        <sz val="10"/>
        <rFont val="Arial"/>
        <family val="2"/>
      </rPr>
      <t xml:space="preserve"> / yr/hh</t>
    </r>
  </si>
  <si>
    <r>
      <t>NCV</t>
    </r>
    <r>
      <rPr>
        <vertAlign val="subscript"/>
        <sz val="10"/>
        <color indexed="8"/>
        <rFont val="Arial"/>
        <family val="2"/>
      </rPr>
      <t>kerosene</t>
    </r>
  </si>
  <si>
    <t>Net calorific value of kerosene</t>
  </si>
  <si>
    <r>
      <t>EF</t>
    </r>
    <r>
      <rPr>
        <vertAlign val="subscript"/>
        <sz val="10"/>
        <color indexed="8"/>
        <rFont val="Arial"/>
        <family val="2"/>
      </rPr>
      <t>p,Fuel</t>
    </r>
  </si>
  <si>
    <r>
      <t>CO</t>
    </r>
    <r>
      <rPr>
        <vertAlign val="subscript"/>
        <sz val="10"/>
        <rFont val="Arial"/>
        <family val="2"/>
      </rPr>
      <t>2</t>
    </r>
    <r>
      <rPr>
        <sz val="10"/>
        <rFont val="Arial"/>
        <family val="2"/>
      </rPr>
      <t xml:space="preserve"> emission factor of kerosene</t>
    </r>
  </si>
  <si>
    <r>
      <t>NCV</t>
    </r>
    <r>
      <rPr>
        <vertAlign val="subscript"/>
        <sz val="10"/>
        <color indexed="8"/>
        <rFont val="Arial"/>
        <family val="2"/>
      </rPr>
      <t>LPG</t>
    </r>
  </si>
  <si>
    <t>Net calorific value of LPG</t>
  </si>
  <si>
    <r>
      <t>CO</t>
    </r>
    <r>
      <rPr>
        <vertAlign val="subscript"/>
        <sz val="10"/>
        <rFont val="Arial"/>
        <family val="2"/>
      </rPr>
      <t>2</t>
    </r>
    <r>
      <rPr>
        <sz val="10"/>
        <rFont val="Arial"/>
        <family val="2"/>
      </rPr>
      <t xml:space="preserve"> emission factor of LPG</t>
    </r>
  </si>
  <si>
    <t>Inputs</t>
  </si>
  <si>
    <t>Confidence Level</t>
  </si>
  <si>
    <t>Acceptable Error (%)</t>
  </si>
  <si>
    <t>Sample size (n)</t>
  </si>
  <si>
    <t>Average PE</t>
  </si>
  <si>
    <t>Error</t>
  </si>
  <si>
    <t>Average</t>
  </si>
  <si>
    <t>Outliers' test:</t>
  </si>
  <si>
    <t>To be performed once a significant sample is built</t>
  </si>
  <si>
    <t>AVAILABLE AT ---&gt;</t>
  </si>
  <si>
    <t>http://bit.ly/1RJZUFA</t>
  </si>
  <si>
    <t>Copy results in separate tab(s)</t>
  </si>
  <si>
    <t>no outliers</t>
  </si>
  <si>
    <t>Biennually asssesed, results of previous survey remain valid</t>
  </si>
  <si>
    <t>Fuel substitution survey 1 MP1</t>
  </si>
  <si>
    <t>Fuel substitution survey 2 MP1</t>
  </si>
  <si>
    <t>2024 until 31/3/24</t>
  </si>
  <si>
    <t>2024-11-01 11:46:00.000+03</t>
  </si>
  <si>
    <t>0.359052, 32.643188</t>
  </si>
  <si>
    <t>2024-11-01 12:43:00.000+03</t>
  </si>
  <si>
    <t>0.370957, 32.648253</t>
  </si>
  <si>
    <t>Nuwamanya Ronald</t>
  </si>
  <si>
    <t>2024-11-01 13:44:00.000+03</t>
  </si>
  <si>
    <t>0.389237, 32.661772</t>
  </si>
  <si>
    <t>Manager farm institute</t>
  </si>
  <si>
    <t>Malinzi Joseph</t>
  </si>
  <si>
    <t>2024-11-01 15:43:00.000+03</t>
  </si>
  <si>
    <t>0.374647, 32.662108</t>
  </si>
  <si>
    <t>Olumu Catherine</t>
  </si>
  <si>
    <t>2024-11-01 12:59:00.000+03</t>
  </si>
  <si>
    <t>0.308856, 32.647785</t>
  </si>
  <si>
    <t>2024-11-01 13:49:00.000+03</t>
  </si>
  <si>
    <t>0.308965, 32.656338</t>
  </si>
  <si>
    <t>House help</t>
  </si>
  <si>
    <t>Nakalyowa Juliet</t>
  </si>
  <si>
    <t>2024-11-01 16:41:00.000+03</t>
  </si>
  <si>
    <t>0.378942, 32.605615</t>
  </si>
  <si>
    <t>Luwembo Benon</t>
  </si>
  <si>
    <t>2024-11-01 15:40:00.000+03</t>
  </si>
  <si>
    <t>0.363657, 32.604993</t>
  </si>
  <si>
    <t>Mugenyi Edson</t>
  </si>
  <si>
    <t>2024-11-01 15:24:00.000+03</t>
  </si>
  <si>
    <t>0.295899, 33.133827</t>
  </si>
  <si>
    <t>2024-11-01 15:49:00.000+03</t>
  </si>
  <si>
    <t>0.293906, 33.135012</t>
  </si>
  <si>
    <t>Bangisibano lydia</t>
  </si>
  <si>
    <t>2024-11-01 16:16:00.000+03</t>
  </si>
  <si>
    <t>0.290088, 33.136558</t>
  </si>
  <si>
    <t>Mabyala Phillips senyange</t>
  </si>
  <si>
    <t>2024-11-01 16:47:00.000+03</t>
  </si>
  <si>
    <t>0.285027, 33.137042</t>
  </si>
  <si>
    <t>Karabiner simon</t>
  </si>
  <si>
    <t>Productive use</t>
  </si>
  <si>
    <t>Didn't have any contact</t>
  </si>
  <si>
    <t>They didn't have money then</t>
  </si>
  <si>
    <t>Was told to contact the coordinator who has failed to communicate effectively with BSUL</t>
  </si>
  <si>
    <t>Dung and water is near than collecting firewood</t>
  </si>
  <si>
    <t>It is easy to mix. It's all about collecting  feeds</t>
  </si>
  <si>
    <t>It doesn't require a lot of  time to feed the digester</t>
  </si>
  <si>
    <t>Because of it usefulness any time can cook even in the night.</t>
  </si>
  <si>
    <t>Animals not stable for long time.</t>
  </si>
  <si>
    <t>Banana  and Vegetables</t>
  </si>
  <si>
    <t>Biogas solution Uganda</t>
  </si>
  <si>
    <t>Attending to my business in town</t>
  </si>
  <si>
    <t>Have other things to do in town</t>
  </si>
  <si>
    <t>Agriculture show in Jinja</t>
  </si>
  <si>
    <t>HH has a lot of slurry need help to get market for the slurry.</t>
  </si>
  <si>
    <t>Market for the much unused slurry</t>
  </si>
  <si>
    <t>Small area of 80/100</t>
  </si>
  <si>
    <t>https://hivos.my.salesforce.com/sfc/servlet.shepherd/version/renditionDownload?rendition=ORIGINAL_Jpg&amp;versionId=068QF00000IAejNYAT</t>
  </si>
  <si>
    <t>https://hivos.my.salesforce.com/sfc/servlet.shepherd/version/renditionDownload?rendition=ORIGINAL_Jpg&amp;versionId=068QF00000IAekzYAD</t>
  </si>
  <si>
    <t>https://hivos.my.salesforce.com/sfc/servlet.shepherd/version/renditionDownload?rendition=ORIGINAL_Jpg&amp;versionId=068QF00000IAembYAD</t>
  </si>
  <si>
    <t>https://hivos.my.salesforce.com/sfc/servlet.shepherd/version/renditionDownload?rendition=ORIGINAL_Jpg&amp;versionId=068QF00000IAcJRYA1</t>
  </si>
  <si>
    <t>Easy to operate and cooks faster</t>
  </si>
  <si>
    <t>Banana maize and grass for animals</t>
  </si>
  <si>
    <t>The old lady has been away for long time. Trying to resurrect her garden.</t>
  </si>
  <si>
    <t>The owner has been out of country , working on her garden and ensuring proper management of the plant. Use mainly urine to mix dung into the digestor</t>
  </si>
  <si>
    <t>https://hivos.my.salesforce.com/sfc/servlet.shepherd/version/renditionDownload?rendition=ORIGINAL_Jpg&amp;versionId=068QF00000IAPAtYAP</t>
  </si>
  <si>
    <t>https://hivos.my.salesforce.com/sfc/servlet.shepherd/version/renditionDownload?rendition=ORIGINAL_Jpg&amp;versionId=068QF00000IANkCYAX</t>
  </si>
  <si>
    <t>https://hivos.my.salesforce.com/sfc/servlet.shepherd/version/renditionDownload?rendition=ORIGINAL_Jpg&amp;versionId=068QF00000IAeufYAD</t>
  </si>
  <si>
    <t>https://hivos.my.salesforce.com/sfc/servlet.shepherd/version/renditionDownload?rendition=ORIGINAL_Jpg&amp;versionId=068QF00000IAewHYAT</t>
  </si>
  <si>
    <t>Easy to use and clean</t>
  </si>
  <si>
    <t>Use it directly in the garden as farm yard manure</t>
  </si>
  <si>
    <t>Vegetables , sugar cane  and Banana.</t>
  </si>
  <si>
    <t>Poultry droppings are not mixed in digestor.</t>
  </si>
  <si>
    <t>Mr.Kalema from biogas solution Uganda</t>
  </si>
  <si>
    <t>It's a training center there is increasing number of school bring in students for learning every day.</t>
  </si>
  <si>
    <t>There is need to get storage bags for gas in case it too much.  Can even venture into selling biogas.</t>
  </si>
  <si>
    <t>Katende Harambe farm  is training center for agricultural produce. Learning center normally used by DIT for citizens to improve on farming skills. Used as model farm too. Stopped  mixing poultry droppings in digestor due much work needed.</t>
  </si>
  <si>
    <t>https://hivos.my.salesforce.com/sfc/servlet.shepherd/version/renditionDownload?rendition=ORIGINAL_Jpg&amp;versionId=068QF00000IAVWSYA5</t>
  </si>
  <si>
    <t>https://hivos.my.salesforce.com/sfc/servlet.shepherd/version/renditionDownload?rendition=ORIGINAL_Jpg&amp;versionId=068QF00000IAemcYAD</t>
  </si>
  <si>
    <t>https://hivos.my.salesforce.com/sfc/servlet.shepherd/version/renditionDownload?rendition=ORIGINAL_Jpg&amp;versionId=068QF00000IAdIgYAL</t>
  </si>
  <si>
    <t>https://hivos.my.salesforce.com/sfc/servlet.shepherd/version/renditionDownload?rendition=ORIGINAL_Jpg&amp;versionId=068QF00000IAbAQYA1</t>
  </si>
  <si>
    <t>User friendly and cost effective</t>
  </si>
  <si>
    <t>It's too much and waste of time in collecting</t>
  </si>
  <si>
    <t>Banana  vegetables and animal grass</t>
  </si>
  <si>
    <t>Very useful to us as women anytime can fix something for my family. ( Children ad husband)</t>
  </si>
  <si>
    <t>The digestor is well maintained, how there a long distance between digestor and the slurry outlet. One of the burner is not functioning . Has enough dung to feed in digestor. Use more of the slurry in Animal grass garden than in banana and other crops.</t>
  </si>
  <si>
    <t>https://hivos.my.salesforce.com/sfc/servlet.shepherd/version/renditionDownload?rendition=ORIGINAL_Jpg&amp;versionId=068QF00000IAfAnYAL</t>
  </si>
  <si>
    <t>https://hivos.my.salesforce.com/sfc/servlet.shepherd/version/renditionDownload?rendition=ORIGINAL_Jpg&amp;versionId=068QF00000IAf9BYAT</t>
  </si>
  <si>
    <t>https://hivos.my.salesforce.com/sfc/servlet.shepherd/version/renditionDownload?rendition=ORIGINAL_Jpg&amp;versionId=068QF00000IAfCPYA1</t>
  </si>
  <si>
    <t>https://hivos.my.salesforce.com/sfc/servlet.shepherd/version/renditionDownload?rendition=ORIGINAL_Jpg&amp;versionId=068QF00000IAc87YAD</t>
  </si>
  <si>
    <t>It saves fuel and cheap to maintain</t>
  </si>
  <si>
    <t>The biodigester is small and they can't use all the manure</t>
  </si>
  <si>
    <t>Elephant grass, maize</t>
  </si>
  <si>
    <t>Church of Uganda</t>
  </si>
  <si>
    <t>The household applies the slury in the garden, which is far away from biodigester</t>
  </si>
  <si>
    <t>The stove is well functional</t>
  </si>
  <si>
    <t>https://hivos.my.salesforce.com/sfc/servlet.shepherd/version/renditionDownload?rendition=ORIGINAL_Jpg&amp;versionId=068QF00000I8kBOYAZ</t>
  </si>
  <si>
    <t>https://hivos.my.salesforce.com/sfc/servlet.shepherd/version/renditionDownload?rendition=ORIGINAL_Jpg&amp;versionId=068QF00000IAgRtYAL</t>
  </si>
  <si>
    <t>https://hivos.my.salesforce.com/sfc/servlet.shepherd/version/renditionDownload?rendition=ORIGINAL_Jpg&amp;versionId=068QF00000IAw3ZYAT</t>
  </si>
  <si>
    <t>https://hivos.my.salesforce.com/sfc/servlet.shepherd/version/renditionDownload?rendition=ORIGINAL_Jpg&amp;versionId=068QF00000IAacaYAD</t>
  </si>
  <si>
    <t>2024-11-01 13:28:00.000+03</t>
  </si>
  <si>
    <t>It cooks faster and convenient</t>
  </si>
  <si>
    <t>Poultry;Goats</t>
  </si>
  <si>
    <t>Matooke, maize, greens</t>
  </si>
  <si>
    <t>George</t>
  </si>
  <si>
    <t>The household lost their cow in May. They are now using goat's manure, though they have to keep it for about 2 months so that the manure increases</t>
  </si>
  <si>
    <t>He lost his cow and currently he is feeding biodigester using goats manure</t>
  </si>
  <si>
    <t>https://hivos.my.salesforce.com/sfc/servlet.shepherd/version/renditionDownload?rendition=ORIGINAL_Jpg&amp;versionId=068QF00000IAh6FYAT</t>
  </si>
  <si>
    <t>https://hivos.my.salesforce.com/sfc/servlet.shepherd/version/renditionDownload?rendition=ORIGINAL_Jpg&amp;versionId=068QF00000IAy0YYAT</t>
  </si>
  <si>
    <t>https://hivos.my.salesforce.com/sfc/servlet.shepherd/version/renditionDownload?rendition=ORIGINAL_Jpg&amp;versionId=068QF00000IAnTMYA1</t>
  </si>
  <si>
    <t>https://hivos.my.salesforce.com/sfc/servlet.shepherd/version/renditionDownload?rendition=ORIGINAL_Jpg&amp;versionId=068QF00000IAy0ZYAT</t>
  </si>
  <si>
    <t>2024-11-01 14:20:00.000+03</t>
  </si>
  <si>
    <t>Not clean</t>
  </si>
  <si>
    <t>They are hard to use</t>
  </si>
  <si>
    <t>They used to cook using biogas for  2 HOURS, and  now it takes 1 hour since it no longer works well.</t>
  </si>
  <si>
    <t>Their biogas nolonger produce enough gas since the manure is solid within digester</t>
  </si>
  <si>
    <t>The slurry is nolonger moving very well</t>
  </si>
  <si>
    <t>https://hivos.my.salesforce.com/sfc/servlet.shepherd/version/renditionDownload?rendition=ORIGINAL_Jpg&amp;versionId=068QF00000IAfQzYAL</t>
  </si>
  <si>
    <t>https://hivos.my.salesforce.com/sfc/servlet.shepherd/version/renditionDownload?rendition=ORIGINAL_Jpg&amp;versionId=068QF00000IAoFlYAL</t>
  </si>
  <si>
    <t>https://hivos.my.salesforce.com/sfc/servlet.shepherd/version/renditionDownload?rendition=ORIGINAL_Jpg&amp;versionId=068QF00000IAhj5YAD</t>
  </si>
  <si>
    <t>https://hivos.my.salesforce.com/sfc/servlet.shepherd/version/renditionDownload?rendition=ORIGINAL_Jpg&amp;versionId=068QF00000IAzFyYAL</t>
  </si>
  <si>
    <t>2024-11-01 17:22:00.000+03</t>
  </si>
  <si>
    <t>It is clean and convenient</t>
  </si>
  <si>
    <t>They buy 1 elfu of manure every month at 150000 shs</t>
  </si>
  <si>
    <t>They used to buy charcoal of 15000 to cook and warm soft food, but now they no longer buy it</t>
  </si>
  <si>
    <t>https://hivos.my.salesforce.com/sfc/servlet.shepherd/version/renditionDownload?rendition=ORIGINAL_Jpg&amp;versionId=068QF00000IAzPdYAL</t>
  </si>
  <si>
    <t>https://hivos.my.salesforce.com/sfc/servlet.shepherd/version/renditionDownload?rendition=ORIGINAL_Jpg&amp;versionId=068QF00000IArNOYA1</t>
  </si>
  <si>
    <t>https://hivos.my.salesforce.com/sfc/servlet.shepherd/version/renditionDownload?rendition=ORIGINAL_Jpg&amp;versionId=068QF00000IAfR0YAL</t>
  </si>
  <si>
    <t>2024-11-01 16:02:00.000+03</t>
  </si>
  <si>
    <t>She had careless pipo that didn't know the value of the plant. So she got discouraged</t>
  </si>
  <si>
    <t>Repair of the plant</t>
  </si>
  <si>
    <t>https://hivos.my.salesforce.com/sfc/servlet.shepherd/version/renditionDownload?rendition=ORIGINAL_Jpg&amp;versionId=068QF00000IH2B9YAL</t>
  </si>
  <si>
    <t>https://hivos.my.salesforce.com/sfc/servlet.shepherd/version/renditionDownload?rendition=ORIGINAL_Jpg&amp;versionId=068QF00000IGRBjYAP</t>
  </si>
  <si>
    <t>https://hivos.my.salesforce.com/sfc/servlet.shepherd/version/renditionDownload?rendition=ORIGINAL_Jpg&amp;versionId=068QF00000IH5aTYAT</t>
  </si>
  <si>
    <t>https://hivos.my.salesforce.com/sfc/servlet.shepherd/version/renditionDownload?rendition=ORIGINAL_Jpg&amp;versionId=068QF00000IGlv7YAD</t>
  </si>
  <si>
    <t>Biogas requires someone with an income</t>
  </si>
  <si>
    <t>Help in the plant repair</t>
  </si>
  <si>
    <t>https://hivos.my.salesforce.com/sfc/servlet.shepherd/version/renditionDownload?rendition=ORIGINAL_Jpg&amp;versionId=068QF00000IGnNXYA1</t>
  </si>
  <si>
    <t>https://hivos.my.salesforce.com/sfc/servlet.shepherd/version/renditionDownload?rendition=ORIGINAL_Jpg&amp;versionId=068QF00000IGpaaYAD</t>
  </si>
  <si>
    <t>https://hivos.my.salesforce.com/sfc/servlet.shepherd/version/renditionDownload?rendition=ORIGINAL_Jpg&amp;versionId=068QF00000IH1QSYA1</t>
  </si>
  <si>
    <t>https://hivos.my.salesforce.com/sfc/servlet.shepherd/version/renditionDownload?rendition=ORIGINAL_Jpg&amp;versionId=068QF00000IHD4wYAH</t>
  </si>
  <si>
    <t>He was told to buy some items but he didn't have money</t>
  </si>
  <si>
    <t>He nolonger has cows or any other animals</t>
  </si>
  <si>
    <t>https://hivos.my.salesforce.com/sfc/servlet.shepherd/version/renditionDownload?rendition=ORIGINAL_Jpg&amp;versionId=068QF00000IHDJSYA5</t>
  </si>
  <si>
    <t>https://hivos.my.salesforce.com/sfc/servlet.shepherd/version/renditionDownload?rendition=ORIGINAL_Jpg&amp;versionId=068QF00000IGnAaYAL</t>
  </si>
  <si>
    <t>https://hivos.my.salesforce.com/sfc/servlet.shepherd/version/renditionDownload?rendition=ORIGINAL_Jpg&amp;versionId=068QF00000IHDrKYAX</t>
  </si>
  <si>
    <t>https://hivos.my.salesforce.com/sfc/servlet.shepherd/version/renditionDownload?rendition=ORIGINAL_Jpg&amp;versionId=068QF00000IGpIoYAL</t>
  </si>
  <si>
    <t>https://hivos.my.salesforce.com/sfc/servlet.shepherd/version/renditionDownload?rendition=ORIGINAL_Jpg&amp;versionId=068QF00000IH7FfYAL</t>
  </si>
  <si>
    <t>https://hivos.my.salesforce.com/sfc/servlet.shepherd/version/renditionDownload?rendition=ORIGINAL_Jpg&amp;versionId=068QF00000IHFmgYAH</t>
  </si>
  <si>
    <t>https://hivos.my.salesforce.com/sfc/servlet.shepherd/version/renditionDownload?rendition=ORIGINAL_Jpg&amp;versionId=068QF00000IHJIPYA5</t>
  </si>
  <si>
    <t>https://hivos.my.salesforce.com/sfc/servlet.shepherd/version/renditionDownload?rendition=ORIGINAL_Jpg&amp;versionId=068QF00000IH0MJYA1</t>
  </si>
  <si>
    <t>Outlier removed</t>
  </si>
  <si>
    <t>Latitude</t>
  </si>
  <si>
    <t>longtitude</t>
  </si>
  <si>
    <t>/used value number of farmers end of CP</t>
  </si>
  <si>
    <t>/used value hec in use end of CP</t>
  </si>
  <si>
    <t>/average both surveys</t>
  </si>
  <si>
    <t>/sum of both surveys as it is a cumulative</t>
  </si>
  <si>
    <t>/file SDG4 VPA03 trainings CPII MPI cell E1</t>
  </si>
  <si>
    <t>kgVS/day anaerobically degraded</t>
  </si>
  <si>
    <t>poultry</t>
  </si>
  <si>
    <t>kgVS/day</t>
  </si>
  <si>
    <t>%AD</t>
  </si>
  <si>
    <t>linked to sheet PFT 2024</t>
  </si>
  <si>
    <t>SDG2.2.3</t>
  </si>
  <si>
    <t>SDG 1</t>
  </si>
  <si>
    <t>Monthly savings (local currency/day)</t>
  </si>
  <si>
    <t xml:space="preserve">SDG2 </t>
  </si>
  <si>
    <r>
      <t xml:space="preserve">% </t>
    </r>
    <r>
      <rPr>
        <sz val="11"/>
        <color rgb="FF4D4D4B"/>
        <rFont val="Verdana"/>
        <family val="2"/>
      </rPr>
      <t xml:space="preserve">farmers using bio-slurry as fertilizer </t>
    </r>
  </si>
  <si>
    <r>
      <t>Land area on which bio-slurry is applied</t>
    </r>
    <r>
      <rPr>
        <sz val="11"/>
        <color rgb="FF4D4D4B"/>
        <rFont val="Verdana"/>
        <family val="2"/>
      </rPr>
      <t xml:space="preserve"> </t>
    </r>
  </si>
  <si>
    <t>Reduction of incidence of diseases attributed to cooking on solid biomass such as eye ailments, headaches, respiratory issues (coughing)</t>
  </si>
  <si>
    <t>hr/hh/day</t>
  </si>
  <si>
    <t>SDG 7</t>
  </si>
  <si>
    <t>household size</t>
  </si>
  <si>
    <t>kg feeding/day</t>
  </si>
  <si>
    <t xml:space="preserve">land with fertilizer </t>
  </si>
  <si>
    <t>land with biofertilizer</t>
  </si>
  <si>
    <t>/multuplied by 2 as the 1:1 water is added</t>
  </si>
  <si>
    <t>SDG15</t>
  </si>
  <si>
    <t>FOREX 24 oct24: 1 UGX=</t>
  </si>
  <si>
    <t>Days P1</t>
  </si>
  <si>
    <t>days p2</t>
  </si>
  <si>
    <t>total end MP</t>
  </si>
  <si>
    <t>SDG</t>
  </si>
  <si>
    <t>This MP</t>
  </si>
  <si>
    <t>Deviation</t>
  </si>
  <si>
    <t>Poultry with litter</t>
  </si>
  <si>
    <t>update</t>
  </si>
  <si>
    <t>Standard error</t>
  </si>
  <si>
    <t>1000 UGX</t>
  </si>
  <si>
    <t>HH size P1</t>
  </si>
  <si>
    <t>HH size P2</t>
  </si>
  <si>
    <t>S1</t>
  </si>
  <si>
    <t>s2</t>
  </si>
  <si>
    <t>ok</t>
  </si>
  <si>
    <t>BCE</t>
  </si>
  <si>
    <t>SDG 15</t>
  </si>
  <si>
    <t>Project outcome</t>
  </si>
  <si>
    <t>vintage wise project outcome</t>
  </si>
  <si>
    <t>see cell B43:E43</t>
  </si>
  <si>
    <t>SDG15 cumulative wood savings using PFT daa from that period</t>
  </si>
  <si>
    <t>baseline</t>
  </si>
  <si>
    <t>project</t>
  </si>
  <si>
    <t>net</t>
  </si>
  <si>
    <t>see cell B164:E167</t>
  </si>
  <si>
    <t>Total this MP</t>
  </si>
  <si>
    <t>net benefit by vintage</t>
  </si>
  <si>
    <t>total this mp</t>
  </si>
  <si>
    <t>19/04/2022 to 31/12/2022</t>
  </si>
  <si>
    <t>01/01/2023 to 31/3/2023</t>
  </si>
  <si>
    <t>01/04/2023 to 31/12/2023</t>
  </si>
  <si>
    <t>01/01/2024 until 31/03/2024</t>
  </si>
  <si>
    <t>Ex-ante</t>
  </si>
  <si>
    <t>/ total is weighted average over all vintages</t>
  </si>
  <si>
    <t>Annual</t>
  </si>
  <si>
    <t>net impact year</t>
  </si>
  <si>
    <t>see cell B42:EF45</t>
  </si>
  <si>
    <t>see cell B164:G167</t>
  </si>
  <si>
    <t>//total is cumulative, the annual impact is the weighted average</t>
  </si>
  <si>
    <t>net benefit per year</t>
  </si>
  <si>
    <t>Baseline (ton NRB)</t>
  </si>
  <si>
    <t>Project outcome (ton NRB)</t>
  </si>
  <si>
    <t>Net benefit (ton NRB)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</si>
</sst>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 #,##0.00_ ;_ * \-#,##0.00_ ;_ * &quot;-&quot;??_ ;_ @_ "/>
    <numFmt numFmtId="164" formatCode="_-* #,##0.00_-;\-* #,##0.00_-;_-* &quot;-&quot;??_-;_-@_-"/>
    <numFmt numFmtId="165" formatCode="0.0%"/>
    <numFmt numFmtId="166" formatCode="_(* #,##0.00_);_(* \(#,##0.00\);_(* &quot;-&quot;??_);_(@_)"/>
    <numFmt numFmtId="167" formatCode="0.000"/>
    <numFmt numFmtId="168" formatCode="0.0000"/>
    <numFmt numFmtId="169" formatCode="_-* #,##0_-;\-* #,##0_-;_-* &quot;-&quot;??_-;_-@_-"/>
    <numFmt numFmtId="170" formatCode="_(* #,##0_);_(* \(#,##0\);_(* &quot;-&quot;??_);_(@_)"/>
    <numFmt numFmtId="171" formatCode="dd/mm/yy"/>
    <numFmt numFmtId="172" formatCode="0.0"/>
    <numFmt numFmtId="173" formatCode="dd\/mm\/yyyy"/>
    <numFmt numFmtId="174" formatCode="[$-409]d\-mmm\-yy;@"/>
    <numFmt numFmtId="175" formatCode="[$]d\ mmm\ yyyy;@" x16r2:formatCode16="[$-en-UG,1]d\ mmm\ yyyy;@"/>
    <numFmt numFmtId="176" formatCode="_-* #,##0.00\ _X_D_R_-;\-* #,##0.00\ _X_D_R_-;_-* &quot;-&quot;??\ _X_D_R_-;_-@_-"/>
    <numFmt numFmtId="177" formatCode="0.000%"/>
    <numFmt numFmtId="178" formatCode="_-* #,##0\ [$UGX]_-;\-* #,##0\ [$UGX]_-;_-* &quot;-&quot;??\ [$UGX]_-;_-@_-"/>
    <numFmt numFmtId="179" formatCode="_-[$$-409]* #,##0_ ;_-[$$-409]* \-#,##0\ ;_-[$$-409]* &quot;-&quot;??_ ;_-@_ "/>
    <numFmt numFmtId="180" formatCode="mm\/dd\/yyyy"/>
    <numFmt numFmtId="181" formatCode="_-[$$-409]* #,##0.00_ ;_-[$$-409]* \-#,##0.00\ ;_-[$$-409]* &quot;-&quot;??_ ;_-@_ "/>
    <numFmt numFmtId="182" formatCode="_-* #,##0\ _X_D_R_-;\-* #,##0\ _X_D_R_-;_-* &quot;-&quot;??\ _X_D_R_-;_-@_-"/>
    <numFmt numFmtId="183" formatCode="_(* #,##0.000_);_(* \(#,##0.000\);_(* &quot;-&quot;??_);_(@_)"/>
    <numFmt numFmtId="184" formatCode="_-* #,##0.00\ [$UGX]_-;\-* #,##0.00\ [$UGX]_-;_-* &quot;-&quot;??\ [$UGX]_-;_-@_-"/>
    <numFmt numFmtId="185" formatCode="_ * #,##0_ ;_ * \-#,##0_ ;_ * &quot;-&quot;??_ ;_ @_ "/>
  </numFmts>
  <fonts count="133" x14ac:knownFonts="1">
    <font>
      <sz val="11"/>
      <color theme="1"/>
      <name val="Calibri"/>
      <family val="2"/>
      <scheme val="minor"/>
    </font>
    <font>
      <sz val="11"/>
      <color theme="1"/>
      <name val="Calibri"/>
      <family val="2"/>
      <scheme val="minor"/>
    </font>
    <font>
      <b/>
      <sz val="11"/>
      <color theme="1"/>
      <name val="Cambria"/>
      <family val="1"/>
    </font>
    <font>
      <sz val="11"/>
      <color theme="1"/>
      <name val="Cambria"/>
      <family val="1"/>
    </font>
    <font>
      <sz val="11"/>
      <color rgb="FF0061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b/>
      <sz val="10"/>
      <name val="Calibri"/>
      <family val="2"/>
      <scheme val="minor"/>
    </font>
    <font>
      <sz val="10"/>
      <color rgb="FF000000"/>
      <name val="Calibri"/>
      <family val="2"/>
      <scheme val="minor"/>
    </font>
    <font>
      <i/>
      <sz val="10"/>
      <color rgb="FFFF0000"/>
      <name val="Calibri"/>
      <family val="2"/>
      <scheme val="minor"/>
    </font>
    <font>
      <vertAlign val="subscript"/>
      <sz val="10"/>
      <color indexed="8"/>
      <name val="Calibri"/>
      <family val="2"/>
      <scheme val="minor"/>
    </font>
    <font>
      <sz val="10"/>
      <name val="Arial"/>
      <family val="2"/>
    </font>
    <font>
      <sz val="10"/>
      <name val="Calibri"/>
      <family val="2"/>
      <scheme val="minor"/>
    </font>
    <font>
      <i/>
      <sz val="10"/>
      <color theme="7" tint="0.39997558519241921"/>
      <name val="Calibri"/>
      <family val="2"/>
      <scheme val="minor"/>
    </font>
    <font>
      <sz val="10"/>
      <color rgb="FF3F3F76"/>
      <name val="Calibri"/>
      <family val="2"/>
      <scheme val="minor"/>
    </font>
    <font>
      <b/>
      <sz val="10"/>
      <color theme="9"/>
      <name val="Calibri"/>
      <family val="2"/>
      <scheme val="minor"/>
    </font>
    <font>
      <vertAlign val="subscript"/>
      <sz val="10"/>
      <color indexed="53"/>
      <name val="Calibri"/>
      <family val="2"/>
      <scheme val="minor"/>
    </font>
    <font>
      <sz val="10"/>
      <color indexed="53"/>
      <name val="Calibri"/>
      <family val="2"/>
      <scheme val="minor"/>
    </font>
    <font>
      <sz val="10"/>
      <color indexed="8"/>
      <name val="Calibri"/>
      <family val="2"/>
      <scheme val="minor"/>
    </font>
    <font>
      <i/>
      <sz val="10"/>
      <color indexed="8"/>
      <name val="Calibri"/>
      <family val="2"/>
      <scheme val="minor"/>
    </font>
    <font>
      <vertAlign val="subscript"/>
      <sz val="10"/>
      <name val="Calibri"/>
      <family val="2"/>
      <scheme val="minor"/>
    </font>
    <font>
      <sz val="10"/>
      <color rgb="FF00B050"/>
      <name val="Calibri"/>
      <family val="2"/>
      <scheme val="minor"/>
    </font>
    <font>
      <vertAlign val="subscript"/>
      <sz val="10"/>
      <color indexed="17"/>
      <name val="Calibri"/>
      <family val="2"/>
      <scheme val="minor"/>
    </font>
    <font>
      <sz val="10"/>
      <color indexed="17"/>
      <name val="Calibri"/>
      <family val="2"/>
      <scheme val="minor"/>
    </font>
    <font>
      <b/>
      <sz val="10"/>
      <color rgb="FF00B050"/>
      <name val="Calibri"/>
      <family val="2"/>
      <scheme val="minor"/>
    </font>
    <font>
      <b/>
      <vertAlign val="subscript"/>
      <sz val="10"/>
      <color indexed="17"/>
      <name val="Calibri"/>
      <family val="2"/>
      <scheme val="minor"/>
    </font>
    <font>
      <sz val="8"/>
      <name val="Calibri"/>
      <family val="2"/>
      <scheme val="minor"/>
    </font>
    <font>
      <sz val="10"/>
      <color rgb="FF4D4D4C"/>
      <name val="Verdana"/>
      <family val="2"/>
    </font>
    <font>
      <sz val="6.5"/>
      <color rgb="FF4D4D4C"/>
      <name val="Verdana"/>
      <family val="2"/>
    </font>
    <font>
      <b/>
      <sz val="10"/>
      <name val="Arial"/>
      <family val="2"/>
    </font>
    <font>
      <sz val="11"/>
      <color theme="1"/>
      <name val="Calibri"/>
      <family val="2"/>
    </font>
    <font>
      <sz val="10"/>
      <color theme="0"/>
      <name val="Arial"/>
      <family val="2"/>
    </font>
    <font>
      <b/>
      <sz val="11"/>
      <color rgb="FF3F3F3F"/>
      <name val="Calibri"/>
      <family val="2"/>
      <scheme val="minor"/>
    </font>
    <font>
      <sz val="11"/>
      <color rgb="FFFF0000"/>
      <name val="Calibri"/>
      <family val="2"/>
      <scheme val="minor"/>
    </font>
    <font>
      <b/>
      <sz val="11"/>
      <color rgb="FFFF0000"/>
      <name val="Calibri"/>
      <family val="2"/>
      <scheme val="minor"/>
    </font>
    <font>
      <sz val="11"/>
      <name val="Arial"/>
      <family val="2"/>
    </font>
    <font>
      <vertAlign val="subscript"/>
      <sz val="10"/>
      <name val="Arial"/>
      <family val="2"/>
    </font>
    <font>
      <sz val="10"/>
      <color indexed="62"/>
      <name val="Arial"/>
      <family val="2"/>
    </font>
    <font>
      <b/>
      <vertAlign val="subscript"/>
      <sz val="10"/>
      <name val="Arial"/>
      <family val="2"/>
    </font>
    <font>
      <sz val="9"/>
      <color theme="1"/>
      <name val="Calibri"/>
      <family val="2"/>
      <scheme val="minor"/>
    </font>
    <font>
      <sz val="11"/>
      <color rgb="FF4D4D4C"/>
      <name val="Verdana"/>
      <family val="2"/>
    </font>
    <font>
      <sz val="7"/>
      <color rgb="FF4D4D4C"/>
      <name val="Times New Roman"/>
      <family val="1"/>
    </font>
    <font>
      <i/>
      <sz val="11"/>
      <color rgb="FF4D4D4C"/>
      <name val="Verdana"/>
      <family val="2"/>
    </font>
    <font>
      <sz val="12"/>
      <color theme="1"/>
      <name val="Calibri"/>
      <family val="2"/>
      <scheme val="minor"/>
    </font>
    <font>
      <sz val="8"/>
      <color theme="1"/>
      <name val="Calibri"/>
      <family val="2"/>
      <scheme val="minor"/>
    </font>
    <font>
      <b/>
      <sz val="16"/>
      <name val="Calibri"/>
      <family val="2"/>
      <scheme val="minor"/>
    </font>
    <font>
      <b/>
      <sz val="8"/>
      <color theme="9"/>
      <name val="Calibri"/>
      <family val="2"/>
      <scheme val="minor"/>
    </font>
    <font>
      <b/>
      <sz val="8"/>
      <color rgb="FF00B050"/>
      <name val="Calibri"/>
      <family val="2"/>
      <scheme val="minor"/>
    </font>
    <font>
      <b/>
      <sz val="11"/>
      <color theme="1"/>
      <name val="Calibri"/>
      <family val="2"/>
    </font>
    <font>
      <sz val="11"/>
      <color rgb="FFFF0000"/>
      <name val="Calibri"/>
      <family val="2"/>
    </font>
    <font>
      <sz val="11"/>
      <color rgb="FF3F3F76"/>
      <name val="Calibri"/>
      <family val="2"/>
    </font>
    <font>
      <sz val="9"/>
      <name val="Cambria"/>
      <family val="1"/>
    </font>
    <font>
      <sz val="11"/>
      <color rgb="FF000000"/>
      <name val="Calibri"/>
      <family val="2"/>
    </font>
    <font>
      <b/>
      <sz val="9"/>
      <color indexed="81"/>
      <name val="Tahoma"/>
      <family val="2"/>
    </font>
    <font>
      <sz val="9"/>
      <color indexed="81"/>
      <name val="Tahoma"/>
      <family val="2"/>
    </font>
    <font>
      <b/>
      <sz val="11"/>
      <name val="Calibri"/>
      <family val="2"/>
      <scheme val="minor"/>
    </font>
    <font>
      <b/>
      <vertAlign val="subscript"/>
      <sz val="10"/>
      <name val="Calibri"/>
      <family val="2"/>
      <scheme val="minor"/>
    </font>
    <font>
      <sz val="9"/>
      <color theme="1"/>
      <name val="Calibri"/>
      <family val="2"/>
    </font>
    <font>
      <vertAlign val="subscript"/>
      <sz val="10"/>
      <color theme="1"/>
      <name val="Calibri"/>
      <family val="2"/>
      <scheme val="minor"/>
    </font>
    <font>
      <vertAlign val="subscript"/>
      <sz val="10"/>
      <color rgb="FF000000"/>
      <name val="Calibri"/>
      <family val="2"/>
      <scheme val="minor"/>
    </font>
    <font>
      <vertAlign val="subscript"/>
      <sz val="8"/>
      <color theme="1"/>
      <name val="Calibri"/>
      <family val="2"/>
      <scheme val="minor"/>
    </font>
    <font>
      <vertAlign val="subscript"/>
      <sz val="9"/>
      <color theme="1"/>
      <name val="Calibri"/>
      <family val="2"/>
      <scheme val="minor"/>
    </font>
    <font>
      <b/>
      <sz val="9"/>
      <name val="Cambria"/>
      <family val="1"/>
    </font>
    <font>
      <sz val="11"/>
      <color rgb="FFD0021B"/>
      <name val="Consolas"/>
      <family val="3"/>
    </font>
    <font>
      <i/>
      <sz val="9"/>
      <color theme="1"/>
      <name val="Calibri"/>
      <family val="2"/>
      <scheme val="minor"/>
    </font>
    <font>
      <i/>
      <sz val="11"/>
      <color theme="1"/>
      <name val="Calibri"/>
      <family val="2"/>
      <scheme val="minor"/>
    </font>
    <font>
      <b/>
      <sz val="10"/>
      <name val="Cambria"/>
      <family val="1"/>
    </font>
    <font>
      <b/>
      <sz val="10"/>
      <color theme="1"/>
      <name val="Cambria"/>
      <family val="1"/>
    </font>
    <font>
      <sz val="11"/>
      <color rgb="FF9C0006"/>
      <name val="Calibri"/>
      <family val="2"/>
      <scheme val="minor"/>
    </font>
    <font>
      <sz val="11"/>
      <color rgb="FFFF0000"/>
      <name val="Cambria"/>
      <family val="1"/>
    </font>
    <font>
      <b/>
      <sz val="11"/>
      <color rgb="FFFF0000"/>
      <name val="Cambria"/>
      <family val="1"/>
    </font>
    <font>
      <sz val="11"/>
      <name val="Cambria"/>
      <family val="1"/>
    </font>
    <font>
      <b/>
      <sz val="10"/>
      <color theme="1"/>
      <name val="Calibri"/>
      <family val="2"/>
      <scheme val="minor"/>
    </font>
    <font>
      <sz val="11"/>
      <color indexed="8"/>
      <name val="Calibri"/>
      <family val="2"/>
    </font>
    <font>
      <b/>
      <sz val="10"/>
      <color rgb="FF000000"/>
      <name val="Calibri"/>
      <family val="2"/>
      <scheme val="minor"/>
    </font>
    <font>
      <b/>
      <sz val="10"/>
      <color rgb="FFFFFFFF"/>
      <name val="Verdana"/>
      <family val="2"/>
    </font>
    <font>
      <sz val="10"/>
      <color rgb="FFFF0000"/>
      <name val="Calibri"/>
      <family val="2"/>
      <scheme val="minor"/>
    </font>
    <font>
      <b/>
      <sz val="10"/>
      <color rgb="FFFF0000"/>
      <name val="Calibri"/>
      <family val="2"/>
      <scheme val="minor"/>
    </font>
    <font>
      <b/>
      <sz val="11"/>
      <color rgb="FF006100"/>
      <name val="Calibri"/>
      <family val="2"/>
      <scheme val="minor"/>
    </font>
    <font>
      <sz val="9"/>
      <color rgb="FF000000"/>
      <name val="Calibri"/>
      <family val="2"/>
    </font>
    <font>
      <sz val="10"/>
      <color rgb="FF000000"/>
      <name val="Calibri"/>
      <family val="2"/>
    </font>
    <font>
      <sz val="10"/>
      <color indexed="8"/>
      <name val="Calibri"/>
      <family val="2"/>
    </font>
    <font>
      <b/>
      <sz val="12"/>
      <color theme="1"/>
      <name val="Arial Narrow"/>
      <family val="2"/>
    </font>
    <font>
      <sz val="11"/>
      <name val="Calibri"/>
      <family val="2"/>
    </font>
    <font>
      <b/>
      <sz val="11"/>
      <color rgb="FF000000"/>
      <name val="Calibri"/>
      <family val="2"/>
    </font>
    <font>
      <vertAlign val="subscript"/>
      <sz val="8"/>
      <color rgb="FF000000"/>
      <name val="Calibri"/>
      <family val="2"/>
      <scheme val="minor"/>
    </font>
    <font>
      <i/>
      <sz val="11"/>
      <color rgb="FFFF0000"/>
      <name val="Calibri"/>
      <family val="2"/>
      <scheme val="minor"/>
    </font>
    <font>
      <b/>
      <sz val="14"/>
      <color rgb="FFFA7D00"/>
      <name val="Calibri"/>
      <family val="2"/>
      <scheme val="minor"/>
    </font>
    <font>
      <sz val="11"/>
      <color theme="1"/>
      <name val="Arial Narrow"/>
      <family val="2"/>
    </font>
    <font>
      <b/>
      <sz val="11"/>
      <color theme="1"/>
      <name val="Arial Narrow"/>
      <family val="2"/>
    </font>
    <font>
      <sz val="12"/>
      <color theme="1"/>
      <name val="Arial Narrow"/>
      <family val="2"/>
    </font>
    <font>
      <sz val="11"/>
      <color rgb="FFFF0000"/>
      <name val="Arial Narrow"/>
      <family val="2"/>
    </font>
    <font>
      <b/>
      <sz val="11"/>
      <color rgb="FFFF0000"/>
      <name val="Arial Narrow"/>
      <family val="2"/>
    </font>
    <font>
      <b/>
      <sz val="10"/>
      <color theme="1"/>
      <name val="Arial Narrow"/>
      <family val="2"/>
    </font>
    <font>
      <sz val="9"/>
      <color theme="1"/>
      <name val="Arial Narrow"/>
      <family val="2"/>
    </font>
    <font>
      <b/>
      <sz val="9"/>
      <name val="Arial Narrow"/>
      <family val="2"/>
    </font>
    <font>
      <b/>
      <sz val="9"/>
      <color rgb="FFFF0000"/>
      <name val="Arial Narrow"/>
      <family val="2"/>
    </font>
    <font>
      <b/>
      <sz val="11"/>
      <name val="Arial Narrow"/>
      <family val="2"/>
    </font>
    <font>
      <b/>
      <i/>
      <sz val="11"/>
      <color theme="1"/>
      <name val="Calibri"/>
      <family val="2"/>
      <scheme val="minor"/>
    </font>
    <font>
      <sz val="11"/>
      <color rgb="FF9C5700"/>
      <name val="Calibri"/>
      <family val="2"/>
      <scheme val="minor"/>
    </font>
    <font>
      <sz val="10"/>
      <color theme="1"/>
      <name val="Arial"/>
      <family val="2"/>
    </font>
    <font>
      <sz val="10"/>
      <color rgb="FFFF0000"/>
      <name val="Arial"/>
      <family val="2"/>
    </font>
    <font>
      <sz val="10"/>
      <color indexed="8"/>
      <name val="Arial"/>
      <family val="2"/>
    </font>
    <font>
      <b/>
      <sz val="10"/>
      <color theme="1"/>
      <name val="Arial"/>
      <family val="2"/>
    </font>
    <font>
      <sz val="10"/>
      <color theme="0" tint="-0.249977111117893"/>
      <name val="Arial"/>
      <family val="2"/>
    </font>
    <font>
      <b/>
      <sz val="10"/>
      <color indexed="8"/>
      <name val="Arial"/>
      <family val="2"/>
    </font>
    <font>
      <i/>
      <sz val="10"/>
      <color theme="1"/>
      <name val="Arial"/>
      <family val="2"/>
    </font>
    <font>
      <sz val="10"/>
      <color theme="0" tint="-0.499984740745262"/>
      <name val="Arial"/>
      <family val="2"/>
    </font>
    <font>
      <i/>
      <sz val="10"/>
      <color indexed="8"/>
      <name val="Arial"/>
      <family val="2"/>
    </font>
    <font>
      <vertAlign val="subscript"/>
      <sz val="10"/>
      <color indexed="8"/>
      <name val="Arial"/>
      <family val="2"/>
    </font>
    <font>
      <i/>
      <sz val="10"/>
      <name val="Arial"/>
      <family val="2"/>
    </font>
    <font>
      <sz val="10"/>
      <color rgb="FF000000"/>
      <name val="Arial"/>
      <family val="2"/>
    </font>
    <font>
      <sz val="10"/>
      <color theme="0" tint="-0.34998626667073579"/>
      <name val="Arial"/>
      <family val="2"/>
    </font>
    <font>
      <b/>
      <i/>
      <sz val="10"/>
      <name val="Arial"/>
      <family val="2"/>
    </font>
    <font>
      <b/>
      <sz val="10"/>
      <color rgb="FFFF0000"/>
      <name val="Arial"/>
      <family val="2"/>
    </font>
    <font>
      <b/>
      <sz val="12"/>
      <color rgb="FF006100"/>
      <name val="Calibri"/>
      <family val="2"/>
      <scheme val="minor"/>
    </font>
    <font>
      <b/>
      <sz val="14"/>
      <color theme="1"/>
      <name val="Arial"/>
      <family val="2"/>
    </font>
    <font>
      <sz val="24"/>
      <color theme="0" tint="-0.249977111117893"/>
      <name val="Arial"/>
      <family val="2"/>
    </font>
    <font>
      <u/>
      <sz val="10"/>
      <color theme="1"/>
      <name val="Arial"/>
      <family val="2"/>
    </font>
    <font>
      <b/>
      <sz val="10"/>
      <color theme="0"/>
      <name val="Arial"/>
      <family val="2"/>
    </font>
    <font>
      <sz val="24"/>
      <color theme="1"/>
      <name val="Arial"/>
      <family val="2"/>
    </font>
    <font>
      <b/>
      <sz val="12"/>
      <color theme="1"/>
      <name val="Calibri"/>
      <family val="2"/>
      <scheme val="minor"/>
    </font>
    <font>
      <sz val="11"/>
      <color rgb="FF7030A0"/>
      <name val="Arial Narrow"/>
      <family val="2"/>
    </font>
    <font>
      <b/>
      <sz val="11"/>
      <color rgb="FF7030A0"/>
      <name val="Arial Narrow"/>
      <family val="2"/>
    </font>
    <font>
      <sz val="11"/>
      <color rgb="FF4D4D4B"/>
      <name val="Verdana"/>
      <family val="2"/>
    </font>
    <font>
      <sz val="10"/>
      <color theme="1"/>
      <name val="Verdana"/>
      <family val="2"/>
    </font>
    <font>
      <sz val="11"/>
      <color theme="1"/>
      <name val="Arial"/>
      <family val="2"/>
    </font>
    <font>
      <sz val="11"/>
      <color rgb="FF000000"/>
      <name val="Arial"/>
      <family val="2"/>
    </font>
    <font>
      <b/>
      <sz val="11"/>
      <color theme="1"/>
      <name val="Arial"/>
      <family val="2"/>
    </font>
  </fonts>
  <fills count="32">
    <fill>
      <patternFill patternType="none"/>
    </fill>
    <fill>
      <patternFill patternType="gray125"/>
    </fill>
    <fill>
      <patternFill patternType="solid">
        <fgColor theme="5" tint="0.59999389629810485"/>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theme="0"/>
        <bgColor indexed="64"/>
      </patternFill>
    </fill>
    <fill>
      <patternFill patternType="solid">
        <fgColor theme="5" tint="0.79998168889431442"/>
        <bgColor indexed="64"/>
      </patternFill>
    </fill>
    <fill>
      <patternFill patternType="solid">
        <fgColor rgb="FF00B05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rgb="FFFFCC99"/>
      </patternFill>
    </fill>
    <fill>
      <patternFill patternType="solid">
        <fgColor rgb="FFD9D9D9"/>
        <bgColor indexed="64"/>
      </patternFill>
    </fill>
    <fill>
      <patternFill patternType="solid">
        <fgColor theme="2"/>
        <bgColor indexed="64"/>
      </patternFill>
    </fill>
    <fill>
      <patternFill patternType="solid">
        <fgColor rgb="FF00B9BD"/>
        <bgColor indexed="64"/>
      </patternFill>
    </fill>
    <fill>
      <patternFill patternType="solid">
        <fgColor theme="7" tint="0.39997558519241921"/>
        <bgColor indexed="64"/>
      </patternFill>
    </fill>
    <fill>
      <patternFill patternType="solid">
        <fgColor rgb="FFFFC7CE"/>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rgb="FFFFCC99"/>
      </patternFill>
    </fill>
    <fill>
      <patternFill patternType="solid">
        <fgColor theme="0" tint="-4.9989318521683403E-2"/>
        <bgColor indexed="65"/>
      </patternFill>
    </fill>
    <fill>
      <patternFill patternType="solid">
        <fgColor rgb="FFFFEB9C"/>
      </patternFill>
    </fill>
    <fill>
      <patternFill patternType="solid">
        <fgColor theme="6" tint="0.3999755851924192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rgb="FFDAEEF3"/>
        <bgColor rgb="FFDAEEF3"/>
      </patternFill>
    </fill>
    <fill>
      <patternFill patternType="solid">
        <fgColor rgb="FFFFFFFF"/>
        <bgColor rgb="FFFFFFFF"/>
      </patternFill>
    </fill>
    <fill>
      <patternFill patternType="solid">
        <fgColor rgb="FFFABF8F"/>
        <bgColor rgb="FFFABF8F"/>
      </patternFill>
    </fill>
  </fills>
  <borders count="8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0"/>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medium">
        <color indexed="64"/>
      </right>
      <top style="thin">
        <color rgb="FF7F7F7F"/>
      </top>
      <bottom style="thin">
        <color rgb="FF7F7F7F"/>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medium">
        <color indexed="64"/>
      </bottom>
      <diagonal/>
    </border>
    <border>
      <left style="thin">
        <color indexed="64"/>
      </left>
      <right/>
      <top style="thin">
        <color indexed="64"/>
      </top>
      <bottom/>
      <diagonal/>
    </border>
    <border>
      <left/>
      <right/>
      <top style="thin">
        <color indexed="64"/>
      </top>
      <bottom style="double">
        <color rgb="FFFF8001"/>
      </bottom>
      <diagonal/>
    </border>
    <border>
      <left/>
      <right style="thin">
        <color indexed="64"/>
      </right>
      <top style="thin">
        <color indexed="64"/>
      </top>
      <bottom/>
      <diagonal/>
    </border>
    <border>
      <left style="thin">
        <color indexed="64"/>
      </left>
      <right/>
      <top/>
      <bottom style="thin">
        <color indexed="64"/>
      </bottom>
      <diagonal/>
    </border>
    <border>
      <left style="thin">
        <color rgb="FF7F7F7F"/>
      </left>
      <right style="thin">
        <color rgb="FF7F7F7F"/>
      </right>
      <top style="thin">
        <color indexed="64"/>
      </top>
      <bottom style="thin">
        <color rgb="FF7F7F7F"/>
      </bottom>
      <diagonal/>
    </border>
    <border>
      <left style="thin">
        <color rgb="FF3F3F3F"/>
      </left>
      <right style="thin">
        <color rgb="FF3F3F3F"/>
      </right>
      <top style="thin">
        <color rgb="FF3F3F3F"/>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rgb="FF7F7F7F"/>
      </left>
      <right style="medium">
        <color indexed="64"/>
      </right>
      <top style="thin">
        <color rgb="FF7F7F7F"/>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rgb="FFA6A6A6"/>
      </bottom>
      <diagonal/>
    </border>
    <border>
      <left/>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top style="medium">
        <color rgb="FFA6A6A6"/>
      </top>
      <bottom/>
      <diagonal/>
    </border>
    <border>
      <left style="medium">
        <color indexed="64"/>
      </left>
      <right/>
      <top/>
      <bottom style="medium">
        <color rgb="FFA6A6A6"/>
      </bottom>
      <diagonal/>
    </border>
  </borders>
  <cellStyleXfs count="23">
    <xf numFmtId="0" fontId="0" fillId="0" borderId="0"/>
    <xf numFmtId="9" fontId="1" fillId="0" borderId="0" applyFont="0" applyFill="0" applyBorder="0" applyAlignment="0" applyProtection="0"/>
    <xf numFmtId="0" fontId="4" fillId="3" borderId="0" applyNumberFormat="0" applyBorder="0" applyAlignment="0" applyProtection="0"/>
    <xf numFmtId="0" fontId="5" fillId="4" borderId="5" applyNumberFormat="0" applyAlignment="0" applyProtection="0"/>
    <xf numFmtId="0" fontId="6" fillId="5" borderId="5" applyNumberFormat="0" applyAlignment="0" applyProtection="0"/>
    <xf numFmtId="0" fontId="7" fillId="0" borderId="6" applyNumberFormat="0" applyFill="0" applyAlignment="0" applyProtection="0"/>
    <xf numFmtId="0" fontId="9" fillId="0" borderId="0" applyNumberForma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0" fontId="36" fillId="5" borderId="29" applyNumberFormat="0" applyAlignment="0" applyProtection="0"/>
    <xf numFmtId="0" fontId="47" fillId="0" borderId="0"/>
    <xf numFmtId="164" fontId="1"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72" fillId="18" borderId="0" applyNumberFormat="0" applyBorder="0" applyAlignment="0" applyProtection="0"/>
    <xf numFmtId="166" fontId="77"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xf numFmtId="0" fontId="103" fillId="23" borderId="0" applyNumberFormat="0" applyBorder="0" applyAlignment="0" applyProtection="0"/>
  </cellStyleXfs>
  <cellXfs count="895">
    <xf numFmtId="0" fontId="0" fillId="0" borderId="0" xfId="0"/>
    <xf numFmtId="0" fontId="3" fillId="0" borderId="0" xfId="0" applyFont="1" applyAlignment="1">
      <alignment wrapText="1"/>
    </xf>
    <xf numFmtId="0" fontId="10" fillId="6" borderId="0" xfId="0" applyFont="1" applyFill="1" applyAlignment="1">
      <alignment vertical="top"/>
    </xf>
    <xf numFmtId="0" fontId="10" fillId="6" borderId="0" xfId="0" applyFont="1" applyFill="1" applyAlignment="1">
      <alignment vertical="center"/>
    </xf>
    <xf numFmtId="0" fontId="10" fillId="6" borderId="0" xfId="0" applyFont="1" applyFill="1" applyAlignment="1">
      <alignment horizontal="left" vertical="top"/>
    </xf>
    <xf numFmtId="0" fontId="11" fillId="7" borderId="9" xfId="0" applyFont="1" applyFill="1" applyBorder="1" applyAlignment="1">
      <alignment vertical="top" wrapText="1"/>
    </xf>
    <xf numFmtId="0" fontId="11" fillId="7" borderId="10" xfId="0" applyFont="1" applyFill="1" applyBorder="1" applyAlignment="1">
      <alignment vertical="top" wrapText="1"/>
    </xf>
    <xf numFmtId="0" fontId="11" fillId="7" borderId="10" xfId="0" applyFont="1" applyFill="1" applyBorder="1" applyAlignment="1">
      <alignment vertical="center"/>
    </xf>
    <xf numFmtId="0" fontId="11" fillId="7" borderId="10" xfId="0" applyFont="1" applyFill="1" applyBorder="1" applyAlignment="1">
      <alignment horizontal="left" vertical="top"/>
    </xf>
    <xf numFmtId="0" fontId="11" fillId="7" borderId="10" xfId="0" applyFont="1" applyFill="1" applyBorder="1" applyAlignment="1">
      <alignment vertical="top"/>
    </xf>
    <xf numFmtId="0" fontId="11" fillId="6" borderId="12" xfId="0" applyFont="1" applyFill="1" applyBorder="1" applyAlignment="1">
      <alignment vertical="top" wrapText="1"/>
    </xf>
    <xf numFmtId="0" fontId="10" fillId="6" borderId="13" xfId="0" applyFont="1" applyFill="1" applyBorder="1" applyAlignment="1">
      <alignment vertical="top"/>
    </xf>
    <xf numFmtId="0" fontId="11" fillId="2" borderId="13" xfId="0" applyFont="1" applyFill="1" applyBorder="1" applyAlignment="1">
      <alignment vertical="top"/>
    </xf>
    <xf numFmtId="0" fontId="10" fillId="6" borderId="12" xfId="0" applyFont="1" applyFill="1" applyBorder="1" applyAlignment="1">
      <alignment horizontal="left" vertical="top" wrapText="1"/>
    </xf>
    <xf numFmtId="0" fontId="13" fillId="6" borderId="12" xfId="0" applyFont="1" applyFill="1" applyBorder="1" applyAlignment="1">
      <alignment vertical="top"/>
    </xf>
    <xf numFmtId="0" fontId="10" fillId="6" borderId="12" xfId="0" applyFont="1" applyFill="1" applyBorder="1" applyAlignment="1">
      <alignment vertical="top"/>
    </xf>
    <xf numFmtId="0" fontId="16" fillId="6" borderId="0" xfId="7" applyNumberFormat="1" applyFont="1" applyFill="1" applyBorder="1" applyAlignment="1">
      <alignment horizontal="left" vertical="top"/>
    </xf>
    <xf numFmtId="0" fontId="10" fillId="0" borderId="0" xfId="0" applyFont="1"/>
    <xf numFmtId="0" fontId="17" fillId="6" borderId="12" xfId="0" applyFont="1" applyFill="1" applyBorder="1" applyAlignment="1">
      <alignment vertical="top"/>
    </xf>
    <xf numFmtId="0" fontId="0" fillId="0" borderId="0" xfId="0" applyAlignment="1">
      <alignment wrapText="1"/>
    </xf>
    <xf numFmtId="0" fontId="9" fillId="0" borderId="0" xfId="6"/>
    <xf numFmtId="0" fontId="0" fillId="0" borderId="7" xfId="0" applyBorder="1"/>
    <xf numFmtId="165" fontId="10" fillId="6" borderId="16" xfId="0" applyNumberFormat="1" applyFont="1" applyFill="1" applyBorder="1" applyAlignment="1">
      <alignment horizontal="left" vertical="top"/>
    </xf>
    <xf numFmtId="0" fontId="15" fillId="6" borderId="0" xfId="0" applyFont="1" applyFill="1" applyAlignment="1">
      <alignment vertical="center"/>
    </xf>
    <xf numFmtId="0" fontId="0" fillId="0" borderId="10" xfId="0" applyBorder="1"/>
    <xf numFmtId="0" fontId="0" fillId="0" borderId="11" xfId="0" applyBorder="1"/>
    <xf numFmtId="0" fontId="0" fillId="0" borderId="12" xfId="0" applyBorder="1"/>
    <xf numFmtId="2" fontId="0" fillId="0" borderId="0" xfId="0" applyNumberFormat="1"/>
    <xf numFmtId="9" fontId="0" fillId="0" borderId="0" xfId="1" applyFont="1" applyBorder="1"/>
    <xf numFmtId="0" fontId="0" fillId="0" borderId="13" xfId="0" applyBorder="1"/>
    <xf numFmtId="165" fontId="6" fillId="5" borderId="5" xfId="4" applyNumberFormat="1"/>
    <xf numFmtId="0" fontId="8" fillId="0" borderId="0" xfId="0" applyFont="1"/>
    <xf numFmtId="0" fontId="0" fillId="0" borderId="8" xfId="0" applyBorder="1"/>
    <xf numFmtId="0" fontId="0" fillId="0" borderId="14" xfId="0" applyBorder="1"/>
    <xf numFmtId="9" fontId="0" fillId="0" borderId="10" xfId="0" applyNumberFormat="1" applyBorder="1"/>
    <xf numFmtId="0" fontId="10" fillId="6" borderId="0" xfId="0" applyFont="1" applyFill="1"/>
    <xf numFmtId="0" fontId="11" fillId="6" borderId="0" xfId="0" applyFont="1" applyFill="1" applyAlignment="1">
      <alignment vertical="top" wrapText="1"/>
    </xf>
    <xf numFmtId="0" fontId="11" fillId="6" borderId="0" xfId="0" applyFont="1" applyFill="1" applyAlignment="1">
      <alignment vertical="center"/>
    </xf>
    <xf numFmtId="0" fontId="11" fillId="6" borderId="0" xfId="0" applyFont="1" applyFill="1" applyAlignment="1">
      <alignment horizontal="left" vertical="top"/>
    </xf>
    <xf numFmtId="0" fontId="11" fillId="6" borderId="0" xfId="0" applyFont="1" applyFill="1" applyAlignment="1">
      <alignment vertical="top"/>
    </xf>
    <xf numFmtId="0" fontId="12" fillId="6" borderId="0" xfId="0" applyFont="1" applyFill="1" applyAlignment="1">
      <alignment vertical="top"/>
    </xf>
    <xf numFmtId="0" fontId="10" fillId="6" borderId="0" xfId="0" applyFont="1" applyFill="1" applyAlignment="1">
      <alignment vertical="center" wrapText="1"/>
    </xf>
    <xf numFmtId="165" fontId="10" fillId="6" borderId="0" xfId="0" applyNumberFormat="1" applyFont="1" applyFill="1" applyAlignment="1">
      <alignment horizontal="left" vertical="top"/>
    </xf>
    <xf numFmtId="165" fontId="11" fillId="6" borderId="0" xfId="0" applyNumberFormat="1" applyFont="1" applyFill="1" applyAlignment="1">
      <alignment vertical="top"/>
    </xf>
    <xf numFmtId="0" fontId="31" fillId="0" borderId="0" xfId="0" applyFont="1"/>
    <xf numFmtId="2" fontId="10" fillId="6" borderId="0" xfId="0" applyNumberFormat="1" applyFont="1" applyFill="1" applyAlignment="1">
      <alignment horizontal="left" vertical="top"/>
    </xf>
    <xf numFmtId="0" fontId="10" fillId="6" borderId="31" xfId="0" applyFont="1" applyFill="1" applyBorder="1" applyAlignment="1">
      <alignment vertical="top"/>
    </xf>
    <xf numFmtId="0" fontId="10" fillId="6" borderId="8" xfId="0" applyFont="1" applyFill="1" applyBorder="1" applyAlignment="1">
      <alignment horizontal="left" vertical="top"/>
    </xf>
    <xf numFmtId="0" fontId="10" fillId="6" borderId="14" xfId="0" applyFont="1" applyFill="1" applyBorder="1" applyAlignment="1">
      <alignment vertical="top"/>
    </xf>
    <xf numFmtId="0" fontId="0" fillId="6" borderId="0" xfId="0" applyFill="1"/>
    <xf numFmtId="2" fontId="0" fillId="6" borderId="0" xfId="0" applyNumberFormat="1" applyFill="1"/>
    <xf numFmtId="0" fontId="0" fillId="6" borderId="0" xfId="0" applyFill="1" applyAlignment="1">
      <alignment wrapText="1"/>
    </xf>
    <xf numFmtId="170" fontId="15" fillId="6" borderId="0" xfId="7" applyNumberFormat="1" applyFont="1" applyFill="1"/>
    <xf numFmtId="0" fontId="35" fillId="8" borderId="0" xfId="0" applyFont="1" applyFill="1" applyAlignment="1">
      <alignment horizontal="center"/>
    </xf>
    <xf numFmtId="3" fontId="0" fillId="8" borderId="0" xfId="0" applyNumberFormat="1" applyFill="1"/>
    <xf numFmtId="166" fontId="15" fillId="6" borderId="0" xfId="7" applyFont="1" applyFill="1"/>
    <xf numFmtId="0" fontId="0" fillId="8" borderId="0" xfId="0" applyFill="1"/>
    <xf numFmtId="0" fontId="35" fillId="6" borderId="0" xfId="0" applyFont="1" applyFill="1" applyAlignment="1">
      <alignment horizontal="center"/>
    </xf>
    <xf numFmtId="170" fontId="33" fillId="10" borderId="22" xfId="7" applyNumberFormat="1" applyFont="1" applyFill="1" applyBorder="1"/>
    <xf numFmtId="0" fontId="39" fillId="6" borderId="31" xfId="0" applyFont="1" applyFill="1" applyBorder="1" applyAlignment="1">
      <alignment vertical="center" wrapText="1"/>
    </xf>
    <xf numFmtId="0" fontId="39" fillId="6" borderId="8" xfId="0" applyFont="1" applyFill="1" applyBorder="1" applyAlignment="1">
      <alignment vertical="center" wrapText="1"/>
    </xf>
    <xf numFmtId="0" fontId="39" fillId="6" borderId="14" xfId="0" applyFont="1" applyFill="1" applyBorder="1" applyAlignment="1">
      <alignment vertical="center" wrapText="1"/>
    </xf>
    <xf numFmtId="0" fontId="0" fillId="6" borderId="32" xfId="0" applyFill="1" applyBorder="1" applyAlignment="1">
      <alignment horizontal="justify" vertical="center" wrapText="1"/>
    </xf>
    <xf numFmtId="0" fontId="0" fillId="6" borderId="14" xfId="0" applyFill="1" applyBorder="1" applyAlignment="1">
      <alignment horizontal="justify" vertical="center" wrapText="1"/>
    </xf>
    <xf numFmtId="0" fontId="0" fillId="6" borderId="32" xfId="0" applyFill="1" applyBorder="1" applyAlignment="1">
      <alignment horizontal="left" vertical="center" wrapText="1"/>
    </xf>
    <xf numFmtId="0" fontId="33" fillId="6" borderId="32" xfId="0" applyFont="1" applyFill="1" applyBorder="1" applyAlignment="1">
      <alignment horizontal="left" vertical="center" wrapText="1"/>
    </xf>
    <xf numFmtId="0" fontId="33" fillId="6" borderId="32" xfId="0" applyFont="1" applyFill="1" applyBorder="1" applyAlignment="1">
      <alignment horizontal="right" vertical="center" wrapText="1"/>
    </xf>
    <xf numFmtId="2" fontId="0" fillId="6" borderId="14" xfId="0" applyNumberFormat="1" applyFill="1" applyBorder="1" applyAlignment="1">
      <alignment horizontal="justify" vertical="center" wrapText="1"/>
    </xf>
    <xf numFmtId="0" fontId="9" fillId="6" borderId="0" xfId="6" applyFill="1" applyAlignment="1" applyProtection="1">
      <alignment horizontal="justify" vertical="center"/>
    </xf>
    <xf numFmtId="0" fontId="0" fillId="0" borderId="2" xfId="0" applyBorder="1"/>
    <xf numFmtId="2" fontId="16" fillId="6" borderId="0" xfId="7" applyNumberFormat="1" applyFont="1" applyFill="1" applyBorder="1" applyAlignment="1">
      <alignment horizontal="left" vertical="top"/>
    </xf>
    <xf numFmtId="0" fontId="8" fillId="0" borderId="2" xfId="0" applyFont="1" applyBorder="1"/>
    <xf numFmtId="0" fontId="11" fillId="7" borderId="11" xfId="0" applyFont="1" applyFill="1" applyBorder="1" applyAlignment="1">
      <alignment vertical="top"/>
    </xf>
    <xf numFmtId="0" fontId="11" fillId="6" borderId="13" xfId="0" applyFont="1" applyFill="1" applyBorder="1" applyAlignment="1">
      <alignment vertical="top"/>
    </xf>
    <xf numFmtId="2" fontId="10" fillId="6" borderId="13" xfId="0" applyNumberFormat="1" applyFont="1" applyFill="1" applyBorder="1" applyAlignment="1">
      <alignment vertical="top"/>
    </xf>
    <xf numFmtId="2" fontId="11" fillId="6" borderId="13" xfId="0" applyNumberFormat="1" applyFont="1" applyFill="1" applyBorder="1" applyAlignment="1">
      <alignment vertical="top"/>
    </xf>
    <xf numFmtId="0" fontId="11" fillId="2" borderId="12" xfId="0" applyFont="1" applyFill="1" applyBorder="1" applyAlignment="1">
      <alignment vertical="top"/>
    </xf>
    <xf numFmtId="0" fontId="0" fillId="6" borderId="13" xfId="0" applyFill="1" applyBorder="1"/>
    <xf numFmtId="0" fontId="0" fillId="6" borderId="14" xfId="0" applyFill="1" applyBorder="1"/>
    <xf numFmtId="9" fontId="5" fillId="4" borderId="5" xfId="3" applyNumberFormat="1"/>
    <xf numFmtId="10" fontId="5" fillId="4" borderId="5" xfId="3" applyNumberFormat="1"/>
    <xf numFmtId="165" fontId="5" fillId="4" borderId="5" xfId="3" applyNumberFormat="1"/>
    <xf numFmtId="0" fontId="8" fillId="0" borderId="0" xfId="0" applyFont="1" applyAlignment="1">
      <alignment wrapText="1"/>
    </xf>
    <xf numFmtId="2" fontId="5" fillId="4" borderId="5" xfId="3" applyNumberFormat="1"/>
    <xf numFmtId="1" fontId="0" fillId="6" borderId="0" xfId="0" applyNumberFormat="1" applyFill="1"/>
    <xf numFmtId="0" fontId="3" fillId="0" borderId="0" xfId="0" applyFont="1" applyAlignment="1">
      <alignment vertical="center" wrapText="1"/>
    </xf>
    <xf numFmtId="0" fontId="11" fillId="2" borderId="0" xfId="0" applyFont="1" applyFill="1" applyAlignment="1">
      <alignment vertical="top"/>
    </xf>
    <xf numFmtId="0" fontId="10" fillId="6" borderId="0" xfId="0" quotePrefix="1" applyFont="1" applyFill="1" applyAlignment="1">
      <alignment horizontal="center" vertical="top"/>
    </xf>
    <xf numFmtId="2" fontId="6" fillId="5" borderId="5" xfId="4" applyNumberFormat="1" applyAlignment="1">
      <alignment horizontal="left" vertical="top"/>
    </xf>
    <xf numFmtId="167" fontId="6" fillId="5" borderId="5" xfId="4" applyNumberFormat="1" applyAlignment="1">
      <alignment horizontal="left" vertical="top"/>
    </xf>
    <xf numFmtId="0" fontId="10" fillId="6" borderId="8" xfId="0" applyFont="1" applyFill="1" applyBorder="1"/>
    <xf numFmtId="0" fontId="10" fillId="11" borderId="0" xfId="0" applyFont="1" applyFill="1"/>
    <xf numFmtId="0" fontId="12" fillId="11" borderId="39" xfId="0" applyFont="1" applyFill="1" applyBorder="1" applyAlignment="1">
      <alignment vertical="top"/>
    </xf>
    <xf numFmtId="0" fontId="10" fillId="11" borderId="15" xfId="0" applyFont="1" applyFill="1" applyBorder="1"/>
    <xf numFmtId="0" fontId="10" fillId="11" borderId="4" xfId="0" applyFont="1" applyFill="1" applyBorder="1"/>
    <xf numFmtId="0" fontId="10" fillId="11" borderId="42" xfId="0" applyFont="1" applyFill="1" applyBorder="1"/>
    <xf numFmtId="0" fontId="10" fillId="11" borderId="7" xfId="0" applyFont="1" applyFill="1" applyBorder="1"/>
    <xf numFmtId="0" fontId="10" fillId="11" borderId="15" xfId="0" applyFont="1" applyFill="1" applyBorder="1" applyAlignment="1">
      <alignment horizontal="left" vertical="top" wrapText="1"/>
    </xf>
    <xf numFmtId="0" fontId="12" fillId="11" borderId="4" xfId="0" applyFont="1" applyFill="1" applyBorder="1" applyAlignment="1">
      <alignment vertical="top"/>
    </xf>
    <xf numFmtId="0" fontId="10" fillId="11" borderId="0" xfId="0" applyFont="1" applyFill="1" applyAlignment="1">
      <alignment horizontal="left" vertical="top"/>
    </xf>
    <xf numFmtId="0" fontId="10" fillId="0" borderId="12" xfId="0" applyFont="1" applyBorder="1"/>
    <xf numFmtId="0" fontId="10" fillId="6" borderId="13" xfId="0" applyFont="1" applyFill="1" applyBorder="1"/>
    <xf numFmtId="0" fontId="10" fillId="6" borderId="14" xfId="0" applyFont="1" applyFill="1" applyBorder="1"/>
    <xf numFmtId="0" fontId="10" fillId="0" borderId="0" xfId="0" applyFont="1" applyAlignment="1">
      <alignment horizontal="left" vertical="top"/>
    </xf>
    <xf numFmtId="167" fontId="10" fillId="0" borderId="0" xfId="0" applyNumberFormat="1" applyFont="1" applyAlignment="1">
      <alignment horizontal="left" vertical="top"/>
    </xf>
    <xf numFmtId="0" fontId="10" fillId="6" borderId="12" xfId="0" applyFont="1" applyFill="1" applyBorder="1"/>
    <xf numFmtId="0" fontId="10" fillId="6" borderId="31" xfId="0" applyFont="1" applyFill="1" applyBorder="1"/>
    <xf numFmtId="0" fontId="22" fillId="6" borderId="8" xfId="0" applyFont="1" applyFill="1" applyBorder="1" applyAlignment="1">
      <alignment vertical="top"/>
    </xf>
    <xf numFmtId="165" fontId="10" fillId="6" borderId="8" xfId="0" applyNumberFormat="1" applyFont="1" applyFill="1" applyBorder="1" applyAlignment="1">
      <alignment horizontal="left" vertical="top"/>
    </xf>
    <xf numFmtId="0" fontId="10" fillId="9" borderId="39" xfId="0" applyFont="1" applyFill="1" applyBorder="1" applyAlignment="1">
      <alignment vertical="top"/>
    </xf>
    <xf numFmtId="2" fontId="10" fillId="9" borderId="15" xfId="0" applyNumberFormat="1" applyFont="1" applyFill="1" applyBorder="1" applyAlignment="1">
      <alignment horizontal="left" vertical="top" wrapText="1"/>
    </xf>
    <xf numFmtId="0" fontId="12" fillId="9" borderId="4" xfId="0" applyFont="1" applyFill="1" applyBorder="1" applyAlignment="1">
      <alignment vertical="top"/>
    </xf>
    <xf numFmtId="0" fontId="12" fillId="9" borderId="42" xfId="0" applyFont="1" applyFill="1" applyBorder="1" applyAlignment="1">
      <alignment vertical="top"/>
    </xf>
    <xf numFmtId="0" fontId="10" fillId="9" borderId="7" xfId="0" applyFont="1" applyFill="1" applyBorder="1" applyAlignment="1">
      <alignment horizontal="left" vertical="top"/>
    </xf>
    <xf numFmtId="0" fontId="31" fillId="9" borderId="7" xfId="0" applyFont="1" applyFill="1" applyBorder="1"/>
    <xf numFmtId="0" fontId="10" fillId="9" borderId="15" xfId="0" applyFont="1" applyFill="1" applyBorder="1" applyAlignment="1">
      <alignment vertical="top"/>
    </xf>
    <xf numFmtId="0" fontId="10" fillId="9" borderId="7" xfId="0" applyFont="1" applyFill="1" applyBorder="1" applyAlignment="1">
      <alignment vertical="top"/>
    </xf>
    <xf numFmtId="2" fontId="10" fillId="9" borderId="15" xfId="0" applyNumberFormat="1" applyFont="1" applyFill="1" applyBorder="1" applyAlignment="1">
      <alignment horizontal="left" vertical="top"/>
    </xf>
    <xf numFmtId="0" fontId="10" fillId="9" borderId="4" xfId="0" applyFont="1" applyFill="1" applyBorder="1" applyAlignment="1">
      <alignment vertical="top"/>
    </xf>
    <xf numFmtId="0" fontId="22" fillId="9" borderId="4" xfId="0" applyFont="1" applyFill="1" applyBorder="1" applyAlignment="1">
      <alignment vertical="top"/>
    </xf>
    <xf numFmtId="0" fontId="28" fillId="9" borderId="42" xfId="0" applyFont="1" applyFill="1" applyBorder="1" applyAlignment="1">
      <alignment vertical="top"/>
    </xf>
    <xf numFmtId="0" fontId="11" fillId="7" borderId="26" xfId="0" applyFont="1" applyFill="1" applyBorder="1" applyAlignment="1">
      <alignment vertical="top" wrapText="1"/>
    </xf>
    <xf numFmtId="0" fontId="11" fillId="7" borderId="26" xfId="0" applyFont="1" applyFill="1" applyBorder="1" applyAlignment="1">
      <alignment horizontal="left" vertical="top"/>
    </xf>
    <xf numFmtId="0" fontId="11" fillId="7" borderId="45" xfId="0" applyFont="1" applyFill="1" applyBorder="1" applyAlignment="1">
      <alignment vertical="top" wrapText="1"/>
    </xf>
    <xf numFmtId="0" fontId="11" fillId="7" borderId="37" xfId="0" applyFont="1" applyFill="1" applyBorder="1" applyAlignment="1">
      <alignment vertical="top"/>
    </xf>
    <xf numFmtId="0" fontId="16" fillId="11" borderId="0" xfId="7" applyNumberFormat="1" applyFont="1" applyFill="1" applyBorder="1" applyAlignment="1">
      <alignment horizontal="left" vertical="top"/>
    </xf>
    <xf numFmtId="2" fontId="18" fillId="4" borderId="43" xfId="3" applyNumberFormat="1" applyFont="1" applyBorder="1" applyAlignment="1">
      <alignment horizontal="left" vertical="top"/>
    </xf>
    <xf numFmtId="0" fontId="10" fillId="11" borderId="15" xfId="0" applyFont="1" applyFill="1" applyBorder="1" applyAlignment="1">
      <alignment horizontal="left" vertical="top"/>
    </xf>
    <xf numFmtId="0" fontId="10" fillId="11" borderId="7" xfId="0" applyFont="1" applyFill="1" applyBorder="1" applyAlignment="1">
      <alignment horizontal="left" vertical="top"/>
    </xf>
    <xf numFmtId="0" fontId="16" fillId="11" borderId="15" xfId="7" applyNumberFormat="1" applyFont="1" applyFill="1" applyBorder="1" applyAlignment="1">
      <alignment horizontal="left" vertical="top"/>
    </xf>
    <xf numFmtId="0" fontId="10" fillId="11" borderId="4" xfId="0" applyFont="1" applyFill="1" applyBorder="1" applyAlignment="1">
      <alignment vertical="top"/>
    </xf>
    <xf numFmtId="0" fontId="16" fillId="11" borderId="7" xfId="7" applyNumberFormat="1" applyFont="1" applyFill="1" applyBorder="1" applyAlignment="1">
      <alignment horizontal="left" vertical="top"/>
    </xf>
    <xf numFmtId="0" fontId="10" fillId="12" borderId="39" xfId="0" applyFont="1" applyFill="1" applyBorder="1" applyAlignment="1">
      <alignment vertical="top"/>
    </xf>
    <xf numFmtId="167" fontId="7" fillId="6" borderId="40" xfId="5" applyNumberFormat="1" applyFill="1" applyBorder="1" applyAlignment="1">
      <alignment horizontal="left" vertical="top"/>
    </xf>
    <xf numFmtId="2" fontId="10" fillId="12" borderId="15" xfId="0" applyNumberFormat="1" applyFont="1" applyFill="1" applyBorder="1" applyAlignment="1">
      <alignment horizontal="left" vertical="top" wrapText="1"/>
    </xf>
    <xf numFmtId="0" fontId="12" fillId="12" borderId="4" xfId="0" applyFont="1" applyFill="1" applyBorder="1" applyAlignment="1">
      <alignment vertical="top"/>
    </xf>
    <xf numFmtId="0" fontId="10" fillId="12" borderId="0" xfId="0" applyFont="1" applyFill="1" applyAlignment="1">
      <alignment vertical="center" wrapText="1"/>
    </xf>
    <xf numFmtId="0" fontId="10" fillId="12" borderId="0" xfId="0" applyFont="1" applyFill="1" applyAlignment="1">
      <alignment horizontal="left" vertical="top"/>
    </xf>
    <xf numFmtId="0" fontId="12" fillId="12" borderId="42" xfId="0" applyFont="1" applyFill="1" applyBorder="1" applyAlignment="1">
      <alignment vertical="top"/>
    </xf>
    <xf numFmtId="0" fontId="10" fillId="0" borderId="7" xfId="0" applyFont="1" applyBorder="1" applyAlignment="1">
      <alignment horizontal="left" vertical="top"/>
    </xf>
    <xf numFmtId="0" fontId="31" fillId="12" borderId="7" xfId="0" applyFont="1" applyFill="1" applyBorder="1"/>
    <xf numFmtId="167" fontId="10" fillId="0" borderId="7" xfId="0" applyNumberFormat="1" applyFont="1" applyBorder="1" applyAlignment="1">
      <alignment horizontal="left" vertical="top"/>
    </xf>
    <xf numFmtId="0" fontId="8" fillId="6" borderId="0" xfId="0" applyFont="1" applyFill="1"/>
    <xf numFmtId="0" fontId="44" fillId="6" borderId="27" xfId="0" applyFont="1" applyFill="1" applyBorder="1" applyAlignment="1">
      <alignment horizontal="left" vertical="center" wrapText="1"/>
    </xf>
    <xf numFmtId="0" fontId="44" fillId="6" borderId="2" xfId="0" applyFont="1" applyFill="1" applyBorder="1" applyAlignment="1">
      <alignment horizontal="left" vertical="center" wrapText="1"/>
    </xf>
    <xf numFmtId="0" fontId="44" fillId="6" borderId="21" xfId="0" applyFont="1" applyFill="1" applyBorder="1" applyAlignment="1">
      <alignment horizontal="left" vertical="center" wrapText="1"/>
    </xf>
    <xf numFmtId="165" fontId="0" fillId="6" borderId="0" xfId="1" applyNumberFormat="1" applyFont="1" applyFill="1"/>
    <xf numFmtId="0" fontId="10" fillId="6" borderId="0" xfId="0" applyFont="1" applyFill="1" applyAlignment="1">
      <alignment horizontal="left"/>
    </xf>
    <xf numFmtId="0" fontId="10" fillId="11" borderId="7" xfId="0" applyFont="1" applyFill="1" applyBorder="1" applyAlignment="1">
      <alignment horizontal="left"/>
    </xf>
    <xf numFmtId="2" fontId="7" fillId="0" borderId="40" xfId="5" applyNumberFormat="1" applyBorder="1" applyAlignment="1">
      <alignment horizontal="left"/>
    </xf>
    <xf numFmtId="0" fontId="10" fillId="6" borderId="2" xfId="0" applyFont="1" applyFill="1" applyBorder="1" applyAlignment="1">
      <alignment horizontal="left"/>
    </xf>
    <xf numFmtId="0" fontId="7" fillId="11" borderId="2" xfId="5" applyFill="1" applyBorder="1" applyAlignment="1">
      <alignment horizontal="left"/>
    </xf>
    <xf numFmtId="9" fontId="10" fillId="6" borderId="2" xfId="0" applyNumberFormat="1" applyFont="1" applyFill="1" applyBorder="1" applyAlignment="1">
      <alignment horizontal="left"/>
    </xf>
    <xf numFmtId="165" fontId="10" fillId="0" borderId="0" xfId="1" applyNumberFormat="1" applyFont="1" applyBorder="1" applyAlignment="1">
      <alignment horizontal="left" vertical="top"/>
    </xf>
    <xf numFmtId="168" fontId="16" fillId="6" borderId="0" xfId="7" applyNumberFormat="1" applyFont="1" applyFill="1" applyBorder="1" applyAlignment="1">
      <alignment horizontal="left" vertical="top"/>
    </xf>
    <xf numFmtId="2" fontId="18" fillId="4" borderId="15" xfId="3" applyNumberFormat="1" applyFont="1" applyBorder="1" applyAlignment="1">
      <alignment horizontal="left" vertical="top"/>
    </xf>
    <xf numFmtId="170" fontId="6" fillId="5" borderId="5" xfId="4" applyNumberFormat="1"/>
    <xf numFmtId="0" fontId="11" fillId="7" borderId="47" xfId="0" applyFont="1" applyFill="1" applyBorder="1" applyAlignment="1">
      <alignment vertical="top" wrapText="1"/>
    </xf>
    <xf numFmtId="0" fontId="11" fillId="7" borderId="48" xfId="0" applyFont="1" applyFill="1" applyBorder="1" applyAlignment="1">
      <alignment vertical="top" wrapText="1"/>
    </xf>
    <xf numFmtId="0" fontId="11" fillId="7" borderId="48" xfId="0" applyFont="1" applyFill="1" applyBorder="1" applyAlignment="1">
      <alignment horizontal="left" vertical="top"/>
    </xf>
    <xf numFmtId="0" fontId="55" fillId="0" borderId="0" xfId="0" applyFont="1" applyAlignment="1">
      <alignment horizontal="left"/>
    </xf>
    <xf numFmtId="0" fontId="55" fillId="0" borderId="0" xfId="0" applyFont="1"/>
    <xf numFmtId="173" fontId="55" fillId="0" borderId="0" xfId="0" applyNumberFormat="1" applyFont="1" applyAlignment="1">
      <alignment horizontal="left"/>
    </xf>
    <xf numFmtId="0" fontId="55" fillId="0" borderId="0" xfId="0" applyFont="1" applyAlignment="1">
      <alignment horizontal="right"/>
    </xf>
    <xf numFmtId="171" fontId="0" fillId="6" borderId="0" xfId="0" applyNumberFormat="1" applyFill="1"/>
    <xf numFmtId="1" fontId="54" fillId="13" borderId="5" xfId="0" applyNumberFormat="1" applyFont="1" applyFill="1" applyBorder="1" applyAlignment="1">
      <alignment vertical="center"/>
    </xf>
    <xf numFmtId="171" fontId="15" fillId="6" borderId="17" xfId="0" applyNumberFormat="1" applyFont="1" applyFill="1" applyBorder="1" applyAlignment="1">
      <alignment vertical="center"/>
    </xf>
    <xf numFmtId="171" fontId="15" fillId="6" borderId="18" xfId="0" applyNumberFormat="1" applyFont="1" applyFill="1" applyBorder="1" applyAlignment="1">
      <alignment vertical="center"/>
    </xf>
    <xf numFmtId="1" fontId="15" fillId="6" borderId="2" xfId="0" applyNumberFormat="1" applyFont="1" applyFill="1" applyBorder="1" applyAlignment="1">
      <alignment vertical="center"/>
    </xf>
    <xf numFmtId="169" fontId="15" fillId="6" borderId="2" xfId="7" applyNumberFormat="1" applyFont="1" applyFill="1" applyBorder="1" applyAlignment="1">
      <alignment horizontal="right" vertical="center"/>
    </xf>
    <xf numFmtId="171" fontId="15" fillId="6" borderId="19" xfId="0" applyNumberFormat="1" applyFont="1" applyFill="1" applyBorder="1" applyAlignment="1">
      <alignment vertical="center"/>
    </xf>
    <xf numFmtId="0" fontId="11" fillId="14" borderId="2" xfId="0" applyFont="1" applyFill="1" applyBorder="1" applyAlignment="1">
      <alignment horizontal="center" vertical="center" wrapText="1"/>
    </xf>
    <xf numFmtId="174" fontId="16" fillId="6" borderId="2" xfId="0" applyNumberFormat="1" applyFont="1" applyFill="1" applyBorder="1" applyAlignment="1">
      <alignment vertical="center"/>
    </xf>
    <xf numFmtId="0" fontId="16" fillId="6" borderId="2" xfId="0" applyFont="1" applyFill="1" applyBorder="1" applyAlignment="1">
      <alignment vertical="center"/>
    </xf>
    <xf numFmtId="169" fontId="0" fillId="0" borderId="2" xfId="11" applyNumberFormat="1" applyFont="1" applyBorder="1"/>
    <xf numFmtId="165" fontId="0" fillId="0" borderId="2" xfId="1" applyNumberFormat="1" applyFont="1" applyBorder="1"/>
    <xf numFmtId="169" fontId="0" fillId="6" borderId="0" xfId="11" applyNumberFormat="1" applyFont="1" applyFill="1"/>
    <xf numFmtId="0" fontId="66" fillId="0" borderId="0" xfId="0" applyFont="1" applyAlignment="1">
      <alignment horizontal="left" vertical="top" wrapText="1"/>
    </xf>
    <xf numFmtId="173" fontId="66" fillId="0" borderId="0" xfId="0" applyNumberFormat="1" applyFont="1" applyAlignment="1">
      <alignment horizontal="left" vertical="top" wrapText="1"/>
    </xf>
    <xf numFmtId="0" fontId="66" fillId="0" borderId="0" xfId="0" applyFont="1" applyAlignment="1">
      <alignment horizontal="left" vertical="top"/>
    </xf>
    <xf numFmtId="1" fontId="66" fillId="0" borderId="0" xfId="0" applyNumberFormat="1" applyFont="1" applyAlignment="1">
      <alignment vertical="top" wrapText="1"/>
    </xf>
    <xf numFmtId="0" fontId="66" fillId="0" borderId="0" xfId="0" applyFont="1" applyAlignment="1">
      <alignment horizontal="right" vertical="top" wrapText="1"/>
    </xf>
    <xf numFmtId="1" fontId="66" fillId="0" borderId="0" xfId="0" applyNumberFormat="1" applyFont="1" applyAlignment="1">
      <alignment horizontal="left" vertical="top" wrapText="1"/>
    </xf>
    <xf numFmtId="0" fontId="67" fillId="0" borderId="0" xfId="0" applyFont="1"/>
    <xf numFmtId="0" fontId="11" fillId="7" borderId="48" xfId="0" applyFont="1" applyFill="1" applyBorder="1" applyAlignment="1">
      <alignment vertical="center" wrapText="1"/>
    </xf>
    <xf numFmtId="0" fontId="11" fillId="6" borderId="0" xfId="0" applyFont="1" applyFill="1" applyAlignment="1">
      <alignment vertical="center" wrapText="1"/>
    </xf>
    <xf numFmtId="0" fontId="10" fillId="11" borderId="15" xfId="0" applyFont="1" applyFill="1" applyBorder="1" applyAlignment="1">
      <alignment vertical="center" wrapText="1"/>
    </xf>
    <xf numFmtId="0" fontId="10" fillId="11" borderId="0" xfId="0" applyFont="1" applyFill="1" applyAlignment="1">
      <alignment vertical="center" wrapText="1"/>
    </xf>
    <xf numFmtId="0" fontId="10" fillId="11" borderId="7" xfId="0" applyFont="1" applyFill="1" applyBorder="1" applyAlignment="1">
      <alignment vertical="center" wrapText="1"/>
    </xf>
    <xf numFmtId="0" fontId="10" fillId="12" borderId="15" xfId="0" applyFont="1" applyFill="1" applyBorder="1" applyAlignment="1">
      <alignment vertical="center" wrapText="1"/>
    </xf>
    <xf numFmtId="0" fontId="10" fillId="12" borderId="7" xfId="0" applyFont="1" applyFill="1" applyBorder="1" applyAlignment="1">
      <alignment vertical="center" wrapText="1"/>
    </xf>
    <xf numFmtId="0" fontId="10" fillId="6" borderId="8" xfId="0" applyFont="1" applyFill="1" applyBorder="1" applyAlignment="1">
      <alignment vertical="center" wrapText="1"/>
    </xf>
    <xf numFmtId="0" fontId="11" fillId="7" borderId="26" xfId="0" applyFont="1" applyFill="1" applyBorder="1" applyAlignment="1">
      <alignment vertical="center" wrapText="1"/>
    </xf>
    <xf numFmtId="0" fontId="10" fillId="6" borderId="0" xfId="0" applyFont="1" applyFill="1" applyAlignment="1">
      <alignment wrapText="1"/>
    </xf>
    <xf numFmtId="0" fontId="12" fillId="11" borderId="15" xfId="0" applyFont="1" applyFill="1" applyBorder="1" applyAlignment="1">
      <alignment vertical="top" wrapText="1"/>
    </xf>
    <xf numFmtId="0" fontId="10" fillId="11" borderId="7" xfId="0" applyFont="1" applyFill="1" applyBorder="1" applyAlignment="1">
      <alignment wrapText="1"/>
    </xf>
    <xf numFmtId="0" fontId="10" fillId="11" borderId="15" xfId="0" applyFont="1" applyFill="1" applyBorder="1" applyAlignment="1">
      <alignment wrapText="1"/>
    </xf>
    <xf numFmtId="0" fontId="10" fillId="9" borderId="15" xfId="0" applyFont="1" applyFill="1" applyBorder="1" applyAlignment="1">
      <alignment vertical="center" wrapText="1"/>
    </xf>
    <xf numFmtId="0" fontId="10" fillId="9" borderId="7" xfId="0" applyFont="1" applyFill="1" applyBorder="1" applyAlignment="1">
      <alignment vertical="center" wrapText="1"/>
    </xf>
    <xf numFmtId="0" fontId="28" fillId="9" borderId="7" xfId="0" applyFont="1" applyFill="1" applyBorder="1" applyAlignment="1">
      <alignment vertical="center" wrapText="1"/>
    </xf>
    <xf numFmtId="0" fontId="10" fillId="9" borderId="15" xfId="0" applyFont="1" applyFill="1" applyBorder="1" applyAlignment="1">
      <alignment wrapText="1"/>
    </xf>
    <xf numFmtId="0" fontId="10" fillId="12" borderId="7" xfId="0" applyFont="1" applyFill="1" applyBorder="1" applyAlignment="1">
      <alignment horizontal="left" vertical="top"/>
    </xf>
    <xf numFmtId="0" fontId="66" fillId="0" borderId="0" xfId="0" applyFont="1" applyAlignment="1">
      <alignment vertical="top" wrapText="1"/>
    </xf>
    <xf numFmtId="0" fontId="0" fillId="15" borderId="9" xfId="0" applyFill="1" applyBorder="1"/>
    <xf numFmtId="0" fontId="0" fillId="15" borderId="10" xfId="0" applyFill="1" applyBorder="1"/>
    <xf numFmtId="0" fontId="0" fillId="15" borderId="11" xfId="0" applyFill="1" applyBorder="1"/>
    <xf numFmtId="0" fontId="0" fillId="15" borderId="12" xfId="0" applyFill="1" applyBorder="1"/>
    <xf numFmtId="0" fontId="0" fillId="15" borderId="0" xfId="0" applyFill="1"/>
    <xf numFmtId="0" fontId="0" fillId="15" borderId="13" xfId="0" applyFill="1" applyBorder="1"/>
    <xf numFmtId="0" fontId="38" fillId="15" borderId="0" xfId="0" applyFont="1" applyFill="1"/>
    <xf numFmtId="3" fontId="0" fillId="6" borderId="2" xfId="0" applyNumberFormat="1" applyFill="1" applyBorder="1"/>
    <xf numFmtId="167" fontId="0" fillId="6" borderId="2" xfId="0" applyNumberFormat="1" applyFill="1" applyBorder="1"/>
    <xf numFmtId="1" fontId="37" fillId="6" borderId="2" xfId="0" applyNumberFormat="1" applyFont="1" applyFill="1" applyBorder="1"/>
    <xf numFmtId="0" fontId="0" fillId="6" borderId="2" xfId="0" applyFill="1" applyBorder="1"/>
    <xf numFmtId="0" fontId="0" fillId="6" borderId="2" xfId="0" applyFill="1" applyBorder="1" applyAlignment="1">
      <alignment horizontal="left"/>
    </xf>
    <xf numFmtId="9" fontId="0" fillId="6" borderId="2" xfId="0" applyNumberFormat="1" applyFill="1" applyBorder="1"/>
    <xf numFmtId="0" fontId="68" fillId="15" borderId="0" xfId="0" quotePrefix="1" applyFont="1" applyFill="1"/>
    <xf numFmtId="0" fontId="37" fillId="6" borderId="2" xfId="0" applyFont="1" applyFill="1" applyBorder="1"/>
    <xf numFmtId="10" fontId="0" fillId="6" borderId="2" xfId="0" applyNumberFormat="1" applyFill="1" applyBorder="1"/>
    <xf numFmtId="0" fontId="37" fillId="15" borderId="0" xfId="0" applyFont="1" applyFill="1"/>
    <xf numFmtId="0" fontId="8" fillId="15" borderId="0" xfId="0" applyFont="1" applyFill="1"/>
    <xf numFmtId="0" fontId="0" fillId="15" borderId="31" xfId="0" applyFill="1" applyBorder="1"/>
    <xf numFmtId="0" fontId="0" fillId="15" borderId="8" xfId="0" applyFill="1" applyBorder="1"/>
    <xf numFmtId="0" fontId="0" fillId="15" borderId="14" xfId="0" applyFill="1" applyBorder="1"/>
    <xf numFmtId="0" fontId="70" fillId="17" borderId="23" xfId="0" applyFont="1" applyFill="1" applyBorder="1" applyAlignment="1">
      <alignment horizontal="center" vertical="center" wrapText="1"/>
    </xf>
    <xf numFmtId="0" fontId="70" fillId="17" borderId="18" xfId="0" applyFont="1" applyFill="1" applyBorder="1" applyAlignment="1">
      <alignment horizontal="center" vertical="center" wrapText="1"/>
    </xf>
    <xf numFmtId="0" fontId="70" fillId="10" borderId="18" xfId="0" applyFont="1" applyFill="1" applyBorder="1" applyAlignment="1">
      <alignment horizontal="center" vertical="center" wrapText="1"/>
    </xf>
    <xf numFmtId="0" fontId="70" fillId="17" borderId="42" xfId="0" applyFont="1" applyFill="1" applyBorder="1" applyAlignment="1">
      <alignment horizontal="center" vertical="center" wrapText="1"/>
    </xf>
    <xf numFmtId="0" fontId="71" fillId="0" borderId="0" xfId="0" applyFont="1" applyAlignment="1">
      <alignment wrapText="1"/>
    </xf>
    <xf numFmtId="0" fontId="11" fillId="7" borderId="49" xfId="0" applyFont="1" applyFill="1" applyBorder="1" applyAlignment="1">
      <alignment horizontal="center" vertical="top"/>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10" borderId="0" xfId="0" applyFont="1" applyFill="1" applyAlignment="1">
      <alignment horizontal="center" vertical="center" wrapText="1"/>
    </xf>
    <xf numFmtId="0" fontId="2" fillId="10" borderId="0" xfId="0" applyFont="1" applyFill="1" applyAlignment="1">
      <alignment vertical="center" wrapText="1"/>
    </xf>
    <xf numFmtId="0" fontId="73" fillId="0" borderId="0" xfId="0" applyFont="1" applyAlignment="1">
      <alignment horizontal="center" vertical="center"/>
    </xf>
    <xf numFmtId="0" fontId="73" fillId="0" borderId="0" xfId="0" applyFont="1" applyAlignment="1">
      <alignment horizontal="center" vertical="center" wrapText="1"/>
    </xf>
    <xf numFmtId="0" fontId="0" fillId="0" borderId="0" xfId="0" applyAlignment="1">
      <alignment vertical="center"/>
    </xf>
    <xf numFmtId="0" fontId="2" fillId="10" borderId="0" xfId="0" applyFont="1" applyFill="1" applyAlignment="1">
      <alignment wrapText="1"/>
    </xf>
    <xf numFmtId="0" fontId="74" fillId="10" borderId="18" xfId="0" applyFont="1" applyFill="1" applyBorder="1" applyAlignment="1">
      <alignment horizontal="center" vertical="center" wrapText="1"/>
    </xf>
    <xf numFmtId="0" fontId="75" fillId="0" borderId="2" xfId="0" applyFont="1" applyBorder="1" applyAlignment="1">
      <alignment horizontal="center" vertical="center" wrapText="1"/>
    </xf>
    <xf numFmtId="3" fontId="75" fillId="0" borderId="2" xfId="0" applyNumberFormat="1" applyFont="1" applyBorder="1" applyAlignment="1">
      <alignment horizontal="center" vertical="center" wrapText="1"/>
    </xf>
    <xf numFmtId="175" fontId="75" fillId="0" borderId="2" xfId="0" applyNumberFormat="1" applyFont="1" applyBorder="1" applyAlignment="1">
      <alignment horizontal="center" vertical="center" wrapText="1"/>
    </xf>
    <xf numFmtId="1" fontId="54" fillId="13" borderId="0" xfId="1" applyNumberFormat="1" applyFont="1" applyFill="1" applyBorder="1" applyAlignment="1">
      <alignment vertical="center"/>
    </xf>
    <xf numFmtId="2" fontId="75" fillId="0" borderId="2" xfId="0" applyNumberFormat="1" applyFont="1" applyBorder="1" applyAlignment="1">
      <alignment horizontal="center" vertical="center" wrapText="1"/>
    </xf>
    <xf numFmtId="0" fontId="6" fillId="5" borderId="5" xfId="4" applyAlignment="1">
      <alignment horizontal="center" vertical="center" wrapText="1"/>
    </xf>
    <xf numFmtId="169" fontId="0" fillId="6" borderId="2" xfId="11" applyNumberFormat="1" applyFont="1" applyFill="1" applyBorder="1"/>
    <xf numFmtId="1" fontId="54" fillId="13" borderId="2" xfId="0" applyNumberFormat="1" applyFont="1" applyFill="1" applyBorder="1" applyAlignment="1">
      <alignment vertical="center"/>
    </xf>
    <xf numFmtId="169" fontId="0" fillId="6" borderId="2" xfId="0" applyNumberFormat="1" applyFill="1" applyBorder="1"/>
    <xf numFmtId="169" fontId="1" fillId="6" borderId="2" xfId="11" applyNumberFormat="1" applyFont="1" applyFill="1" applyBorder="1"/>
    <xf numFmtId="0" fontId="11" fillId="14" borderId="19" xfId="0" applyFont="1" applyFill="1" applyBorder="1" applyAlignment="1">
      <alignment horizontal="center" vertical="center" wrapText="1"/>
    </xf>
    <xf numFmtId="0" fontId="11" fillId="14" borderId="24" xfId="0" applyFont="1" applyFill="1" applyBorder="1" applyAlignment="1">
      <alignment horizontal="center" vertical="center" wrapText="1"/>
    </xf>
    <xf numFmtId="174" fontId="0" fillId="6" borderId="19" xfId="0" applyNumberFormat="1" applyFill="1" applyBorder="1" applyAlignment="1">
      <alignment horizontal="center" vertical="center" wrapText="1"/>
    </xf>
    <xf numFmtId="0" fontId="10" fillId="6" borderId="8" xfId="0" applyFont="1" applyFill="1" applyBorder="1" applyAlignment="1">
      <alignment wrapText="1"/>
    </xf>
    <xf numFmtId="0" fontId="10" fillId="6" borderId="8" xfId="0" applyFont="1" applyFill="1" applyBorder="1" applyAlignment="1">
      <alignment horizontal="left"/>
    </xf>
    <xf numFmtId="0" fontId="76" fillId="19" borderId="0" xfId="0" applyFont="1" applyFill="1" applyAlignment="1">
      <alignment wrapText="1"/>
    </xf>
    <xf numFmtId="0" fontId="10" fillId="19" borderId="0" xfId="0" applyFont="1" applyFill="1" applyAlignment="1">
      <alignment wrapText="1"/>
    </xf>
    <xf numFmtId="0" fontId="10" fillId="19" borderId="0" xfId="0" applyFont="1" applyFill="1" applyAlignment="1">
      <alignment horizontal="left"/>
    </xf>
    <xf numFmtId="0" fontId="10" fillId="19" borderId="0" xfId="0" applyFont="1" applyFill="1"/>
    <xf numFmtId="0" fontId="76" fillId="19" borderId="0" xfId="0" applyFont="1" applyFill="1"/>
    <xf numFmtId="0" fontId="10" fillId="19" borderId="0" xfId="0" applyFont="1" applyFill="1" applyAlignment="1">
      <alignment horizontal="right" wrapText="1" indent="1"/>
    </xf>
    <xf numFmtId="0" fontId="10" fillId="7" borderId="0" xfId="0" applyFont="1" applyFill="1"/>
    <xf numFmtId="0" fontId="10" fillId="7" borderId="0" xfId="0" applyFont="1" applyFill="1" applyAlignment="1">
      <alignment wrapText="1"/>
    </xf>
    <xf numFmtId="0" fontId="4" fillId="7" borderId="0" xfId="2" applyFill="1" applyBorder="1" applyAlignment="1">
      <alignment horizontal="left"/>
    </xf>
    <xf numFmtId="9" fontId="10" fillId="6" borderId="0" xfId="1" applyFont="1" applyFill="1"/>
    <xf numFmtId="0" fontId="75" fillId="0" borderId="2" xfId="0" applyFont="1" applyBorder="1" applyAlignment="1">
      <alignment horizontal="center" vertical="center"/>
    </xf>
    <xf numFmtId="0" fontId="72" fillId="18" borderId="18" xfId="18" applyBorder="1" applyAlignment="1">
      <alignment horizontal="center" vertical="center" wrapText="1"/>
    </xf>
    <xf numFmtId="0" fontId="10" fillId="7" borderId="15" xfId="0" applyFont="1" applyFill="1" applyBorder="1" applyAlignment="1">
      <alignment vertical="center" wrapText="1"/>
    </xf>
    <xf numFmtId="0" fontId="10" fillId="7" borderId="15" xfId="0" applyFont="1" applyFill="1" applyBorder="1" applyAlignment="1">
      <alignment horizontal="left" vertical="top" wrapText="1"/>
    </xf>
    <xf numFmtId="0" fontId="10" fillId="7" borderId="7" xfId="0" applyFont="1" applyFill="1" applyBorder="1" applyAlignment="1">
      <alignment vertical="center" wrapText="1"/>
    </xf>
    <xf numFmtId="2" fontId="10" fillId="7" borderId="15" xfId="0" applyNumberFormat="1" applyFont="1" applyFill="1" applyBorder="1" applyAlignment="1">
      <alignment horizontal="left" vertical="top"/>
    </xf>
    <xf numFmtId="0" fontId="12" fillId="7" borderId="4" xfId="0" applyFont="1" applyFill="1" applyBorder="1" applyAlignment="1">
      <alignment vertical="top"/>
    </xf>
    <xf numFmtId="0" fontId="12" fillId="7" borderId="42" xfId="0" applyFont="1" applyFill="1" applyBorder="1" applyAlignment="1">
      <alignment vertical="top"/>
    </xf>
    <xf numFmtId="2" fontId="10" fillId="7" borderId="7" xfId="0" applyNumberFormat="1" applyFont="1" applyFill="1" applyBorder="1" applyAlignment="1">
      <alignment horizontal="left" vertical="top"/>
    </xf>
    <xf numFmtId="0" fontId="10" fillId="7" borderId="7" xfId="0" applyFont="1" applyFill="1" applyBorder="1" applyAlignment="1">
      <alignment horizontal="left" vertical="top"/>
    </xf>
    <xf numFmtId="0" fontId="78" fillId="7" borderId="39" xfId="0" applyFont="1" applyFill="1" applyBorder="1" applyAlignment="1">
      <alignment vertical="top"/>
    </xf>
    <xf numFmtId="0" fontId="78" fillId="7" borderId="39" xfId="0" applyFont="1" applyFill="1" applyBorder="1" applyAlignment="1">
      <alignment vertical="top" wrapText="1"/>
    </xf>
    <xf numFmtId="0" fontId="78" fillId="7" borderId="4" xfId="0" applyFont="1" applyFill="1" applyBorder="1" applyAlignment="1">
      <alignment vertical="top" wrapText="1"/>
    </xf>
    <xf numFmtId="0" fontId="10" fillId="20" borderId="9" xfId="0" applyFont="1" applyFill="1" applyBorder="1" applyAlignment="1">
      <alignment vertical="top"/>
    </xf>
    <xf numFmtId="0" fontId="10" fillId="20" borderId="10" xfId="0" applyFont="1" applyFill="1" applyBorder="1" applyAlignment="1">
      <alignment vertical="center" wrapText="1"/>
    </xf>
    <xf numFmtId="0" fontId="10" fillId="20" borderId="10" xfId="0" applyFont="1" applyFill="1" applyBorder="1" applyAlignment="1">
      <alignment horizontal="left" vertical="top"/>
    </xf>
    <xf numFmtId="0" fontId="12" fillId="20" borderId="12" xfId="0" applyFont="1" applyFill="1" applyBorder="1" applyAlignment="1">
      <alignment vertical="top"/>
    </xf>
    <xf numFmtId="0" fontId="10" fillId="20" borderId="0" xfId="0" applyFont="1" applyFill="1" applyAlignment="1">
      <alignment vertical="center" wrapText="1"/>
    </xf>
    <xf numFmtId="172" fontId="10" fillId="20" borderId="0" xfId="0" applyNumberFormat="1" applyFont="1" applyFill="1" applyAlignment="1">
      <alignment horizontal="left" vertical="top"/>
    </xf>
    <xf numFmtId="0" fontId="31" fillId="20" borderId="0" xfId="0" applyFont="1" applyFill="1"/>
    <xf numFmtId="0" fontId="12" fillId="20" borderId="31" xfId="0" applyFont="1" applyFill="1" applyBorder="1" applyAlignment="1">
      <alignment vertical="top"/>
    </xf>
    <xf numFmtId="0" fontId="10" fillId="20" borderId="8" xfId="0" applyFont="1" applyFill="1" applyBorder="1" applyAlignment="1">
      <alignment vertical="center" wrapText="1"/>
    </xf>
    <xf numFmtId="172" fontId="10" fillId="20" borderId="8" xfId="0" applyNumberFormat="1" applyFont="1" applyFill="1" applyBorder="1" applyAlignment="1">
      <alignment horizontal="left" vertical="top"/>
    </xf>
    <xf numFmtId="0" fontId="31" fillId="20" borderId="8" xfId="0" applyFont="1" applyFill="1" applyBorder="1"/>
    <xf numFmtId="0" fontId="8" fillId="20" borderId="0" xfId="0" applyFont="1" applyFill="1"/>
    <xf numFmtId="0" fontId="0" fillId="20" borderId="0" xfId="0" applyFill="1"/>
    <xf numFmtId="0" fontId="8" fillId="20" borderId="7" xfId="0" applyFont="1" applyFill="1" applyBorder="1"/>
    <xf numFmtId="0" fontId="0" fillId="6" borderId="2" xfId="0" applyFill="1" applyBorder="1" applyAlignment="1">
      <alignment wrapText="1"/>
    </xf>
    <xf numFmtId="170" fontId="6" fillId="5" borderId="30" xfId="4" applyNumberFormat="1" applyBorder="1" applyAlignment="1">
      <alignment vertical="center"/>
    </xf>
    <xf numFmtId="0" fontId="8" fillId="0" borderId="19" xfId="0" applyFont="1" applyBorder="1"/>
    <xf numFmtId="0" fontId="8" fillId="0" borderId="20" xfId="0" applyFont="1" applyBorder="1"/>
    <xf numFmtId="0" fontId="0" fillId="6" borderId="19" xfId="0" applyFill="1" applyBorder="1"/>
    <xf numFmtId="0" fontId="0" fillId="6" borderId="21" xfId="0" applyFill="1" applyBorder="1"/>
    <xf numFmtId="0" fontId="0" fillId="6" borderId="25" xfId="0" applyFill="1" applyBorder="1" applyAlignment="1">
      <alignment wrapText="1"/>
    </xf>
    <xf numFmtId="0" fontId="0" fillId="6" borderId="27" xfId="0" applyFill="1" applyBorder="1"/>
    <xf numFmtId="9" fontId="0" fillId="6" borderId="28" xfId="1" applyFont="1" applyFill="1" applyBorder="1"/>
    <xf numFmtId="0" fontId="0" fillId="6" borderId="19" xfId="0" applyFill="1" applyBorder="1" applyAlignment="1">
      <alignment wrapText="1"/>
    </xf>
    <xf numFmtId="9" fontId="0" fillId="6" borderId="24" xfId="1" applyFont="1" applyFill="1" applyBorder="1"/>
    <xf numFmtId="0" fontId="59" fillId="20" borderId="0" xfId="0" applyFont="1" applyFill="1" applyAlignment="1">
      <alignment vertical="center"/>
    </xf>
    <xf numFmtId="0" fontId="0" fillId="6" borderId="20" xfId="0" applyFill="1" applyBorder="1" applyAlignment="1">
      <alignment wrapText="1"/>
    </xf>
    <xf numFmtId="9" fontId="0" fillId="6" borderId="34" xfId="1" applyFont="1" applyFill="1" applyBorder="1"/>
    <xf numFmtId="0" fontId="8" fillId="6" borderId="50" xfId="0" applyFont="1" applyFill="1" applyBorder="1" applyAlignment="1">
      <alignment wrapText="1"/>
    </xf>
    <xf numFmtId="0" fontId="8" fillId="6" borderId="55" xfId="0" applyFont="1" applyFill="1" applyBorder="1"/>
    <xf numFmtId="0" fontId="0" fillId="6" borderId="20" xfId="0" applyFill="1" applyBorder="1"/>
    <xf numFmtId="0" fontId="11" fillId="12" borderId="50" xfId="0" applyFont="1" applyFill="1" applyBorder="1" applyAlignment="1">
      <alignment horizontal="right" vertical="center"/>
    </xf>
    <xf numFmtId="0" fontId="11" fillId="12" borderId="51" xfId="0" applyFont="1" applyFill="1" applyBorder="1" applyAlignment="1">
      <alignment horizontal="right" vertical="center"/>
    </xf>
    <xf numFmtId="0" fontId="33" fillId="12" borderId="27" xfId="0" applyFont="1" applyFill="1" applyBorder="1" applyAlignment="1">
      <alignment horizontal="right" vertical="center" wrapText="1"/>
    </xf>
    <xf numFmtId="0" fontId="33" fillId="12" borderId="27" xfId="0" applyFont="1" applyFill="1" applyBorder="1" applyAlignment="1">
      <alignment vertical="center" wrapText="1"/>
    </xf>
    <xf numFmtId="0" fontId="15" fillId="12" borderId="27" xfId="0" applyFont="1" applyFill="1" applyBorder="1" applyAlignment="1">
      <alignment vertical="center"/>
    </xf>
    <xf numFmtId="0" fontId="33" fillId="12" borderId="28" xfId="0" applyFont="1" applyFill="1" applyBorder="1" applyAlignment="1">
      <alignment vertical="center" wrapText="1"/>
    </xf>
    <xf numFmtId="0" fontId="8" fillId="12" borderId="25" xfId="0" applyFont="1" applyFill="1" applyBorder="1"/>
    <xf numFmtId="0" fontId="8" fillId="12" borderId="27" xfId="0" applyFont="1" applyFill="1" applyBorder="1"/>
    <xf numFmtId="0" fontId="8" fillId="12" borderId="28" xfId="0" applyFont="1" applyFill="1" applyBorder="1"/>
    <xf numFmtId="0" fontId="11" fillId="12" borderId="27" xfId="0" applyFont="1" applyFill="1" applyBorder="1" applyAlignment="1">
      <alignment horizontal="center" vertical="center" wrapText="1"/>
    </xf>
    <xf numFmtId="0" fontId="11" fillId="12" borderId="28" xfId="0" applyFont="1" applyFill="1" applyBorder="1" applyAlignment="1">
      <alignment horizontal="center" vertical="center" wrapText="1"/>
    </xf>
    <xf numFmtId="0" fontId="0" fillId="6" borderId="8" xfId="0" applyFill="1" applyBorder="1"/>
    <xf numFmtId="9" fontId="75" fillId="0" borderId="2" xfId="1" applyFont="1" applyBorder="1" applyAlignment="1">
      <alignment horizontal="center" vertical="center" wrapText="1"/>
    </xf>
    <xf numFmtId="0" fontId="76" fillId="19" borderId="39" xfId="0" applyFont="1" applyFill="1" applyBorder="1" applyAlignment="1">
      <alignment wrapText="1"/>
    </xf>
    <xf numFmtId="0" fontId="10" fillId="19" borderId="15" xfId="0" applyFont="1" applyFill="1" applyBorder="1" applyAlignment="1">
      <alignment wrapText="1"/>
    </xf>
    <xf numFmtId="0" fontId="10" fillId="19" borderId="15" xfId="0" applyFont="1" applyFill="1" applyBorder="1" applyAlignment="1">
      <alignment horizontal="left"/>
    </xf>
    <xf numFmtId="0" fontId="10" fillId="19" borderId="15" xfId="0" applyFont="1" applyFill="1" applyBorder="1"/>
    <xf numFmtId="0" fontId="10" fillId="19" borderId="4" xfId="0" applyFont="1" applyFill="1" applyBorder="1"/>
    <xf numFmtId="0" fontId="10" fillId="19" borderId="42" xfId="0" applyFont="1" applyFill="1" applyBorder="1"/>
    <xf numFmtId="0" fontId="10" fillId="19" borderId="7" xfId="0" applyFont="1" applyFill="1" applyBorder="1" applyAlignment="1">
      <alignment wrapText="1"/>
    </xf>
    <xf numFmtId="0" fontId="10" fillId="19" borderId="7" xfId="0" applyFont="1" applyFill="1" applyBorder="1" applyAlignment="1">
      <alignment horizontal="left"/>
    </xf>
    <xf numFmtId="0" fontId="10" fillId="19" borderId="7" xfId="0" applyFont="1" applyFill="1" applyBorder="1"/>
    <xf numFmtId="0" fontId="76" fillId="19" borderId="39" xfId="0" applyFont="1" applyFill="1" applyBorder="1"/>
    <xf numFmtId="0" fontId="76" fillId="19" borderId="42" xfId="0" applyFont="1" applyFill="1" applyBorder="1"/>
    <xf numFmtId="0" fontId="80" fillId="6" borderId="0" xfId="0" applyFont="1" applyFill="1"/>
    <xf numFmtId="0" fontId="10" fillId="19" borderId="39" xfId="0" applyFont="1" applyFill="1" applyBorder="1"/>
    <xf numFmtId="0" fontId="10" fillId="19" borderId="0" xfId="0" applyFont="1" applyFill="1" applyAlignment="1">
      <alignment horizontal="right"/>
    </xf>
    <xf numFmtId="165" fontId="10" fillId="19" borderId="0" xfId="1" applyNumberFormat="1" applyFont="1" applyFill="1" applyBorder="1" applyAlignment="1">
      <alignment horizontal="left"/>
    </xf>
    <xf numFmtId="0" fontId="76" fillId="19" borderId="7" xfId="0" applyFont="1" applyFill="1" applyBorder="1"/>
    <xf numFmtId="0" fontId="10" fillId="19" borderId="7" xfId="0" quotePrefix="1" applyFont="1" applyFill="1" applyBorder="1"/>
    <xf numFmtId="0" fontId="80" fillId="19" borderId="7" xfId="0" applyFont="1" applyFill="1" applyBorder="1"/>
    <xf numFmtId="0" fontId="6" fillId="5" borderId="5" xfId="4" applyAlignment="1">
      <alignment horizontal="left"/>
    </xf>
    <xf numFmtId="0" fontId="10" fillId="7" borderId="39" xfId="0" applyFont="1" applyFill="1" applyBorder="1"/>
    <xf numFmtId="0" fontId="10" fillId="7" borderId="15" xfId="0" applyFont="1" applyFill="1" applyBorder="1" applyAlignment="1">
      <alignment wrapText="1"/>
    </xf>
    <xf numFmtId="0" fontId="10" fillId="7" borderId="15" xfId="0" applyFont="1" applyFill="1" applyBorder="1" applyAlignment="1">
      <alignment horizontal="left"/>
    </xf>
    <xf numFmtId="0" fontId="10" fillId="7" borderId="15" xfId="0" applyFont="1" applyFill="1" applyBorder="1"/>
    <xf numFmtId="0" fontId="10" fillId="7" borderId="4" xfId="0" applyFont="1" applyFill="1" applyBorder="1"/>
    <xf numFmtId="0" fontId="10" fillId="7" borderId="42" xfId="0" applyFont="1" applyFill="1" applyBorder="1"/>
    <xf numFmtId="0" fontId="76" fillId="7" borderId="7" xfId="0" applyFont="1" applyFill="1" applyBorder="1" applyAlignment="1">
      <alignment wrapText="1"/>
    </xf>
    <xf numFmtId="0" fontId="10" fillId="7" borderId="7" xfId="0" applyFont="1" applyFill="1" applyBorder="1" applyAlignment="1">
      <alignment horizontal="left"/>
    </xf>
    <xf numFmtId="0" fontId="10" fillId="7" borderId="7" xfId="0" applyFont="1" applyFill="1" applyBorder="1"/>
    <xf numFmtId="0" fontId="76" fillId="7" borderId="0" xfId="0" applyFont="1" applyFill="1" applyAlignment="1">
      <alignment wrapText="1"/>
    </xf>
    <xf numFmtId="0" fontId="22" fillId="6" borderId="0" xfId="0" applyFont="1" applyFill="1" applyAlignment="1">
      <alignment vertical="top"/>
    </xf>
    <xf numFmtId="0" fontId="12" fillId="11" borderId="0" xfId="0" applyFont="1" applyFill="1" applyAlignment="1">
      <alignment vertical="top" wrapText="1"/>
    </xf>
    <xf numFmtId="0" fontId="10" fillId="11" borderId="0" xfId="0" applyFont="1" applyFill="1" applyAlignment="1">
      <alignment horizontal="left"/>
    </xf>
    <xf numFmtId="0" fontId="10" fillId="11" borderId="0" xfId="0" applyFont="1" applyFill="1" applyAlignment="1">
      <alignment wrapText="1"/>
    </xf>
    <xf numFmtId="0" fontId="10" fillId="9" borderId="0" xfId="0" applyFont="1" applyFill="1" applyAlignment="1">
      <alignment vertical="center" wrapText="1"/>
    </xf>
    <xf numFmtId="0" fontId="10" fillId="9" borderId="0" xfId="0" applyFont="1" applyFill="1" applyAlignment="1">
      <alignment horizontal="left" vertical="top"/>
    </xf>
    <xf numFmtId="0" fontId="10" fillId="9" borderId="0" xfId="0" applyFont="1" applyFill="1" applyAlignment="1">
      <alignment vertical="top"/>
    </xf>
    <xf numFmtId="0" fontId="10" fillId="9" borderId="0" xfId="0" applyFont="1" applyFill="1" applyAlignment="1">
      <alignment wrapText="1"/>
    </xf>
    <xf numFmtId="1" fontId="0" fillId="15" borderId="0" xfId="0" applyNumberFormat="1" applyFill="1"/>
    <xf numFmtId="2" fontId="6" fillId="5" borderId="5" xfId="4" applyNumberFormat="1" applyAlignment="1">
      <alignment horizontal="center" vertical="center" wrapText="1"/>
    </xf>
    <xf numFmtId="2" fontId="3" fillId="0" borderId="0" xfId="0" applyNumberFormat="1" applyFont="1" applyAlignment="1">
      <alignment wrapText="1"/>
    </xf>
    <xf numFmtId="2" fontId="3" fillId="0" borderId="0" xfId="0" applyNumberFormat="1" applyFont="1" applyAlignment="1">
      <alignment vertical="center" wrapText="1"/>
    </xf>
    <xf numFmtId="169" fontId="16" fillId="6" borderId="2" xfId="11" applyNumberFormat="1" applyFont="1" applyFill="1" applyBorder="1" applyAlignment="1">
      <alignment horizontal="center" vertical="center"/>
    </xf>
    <xf numFmtId="169" fontId="16" fillId="6" borderId="24" xfId="11" applyNumberFormat="1" applyFont="1" applyFill="1" applyBorder="1" applyAlignment="1">
      <alignment horizontal="center" vertical="center"/>
    </xf>
    <xf numFmtId="167" fontId="16" fillId="6" borderId="0" xfId="7" applyNumberFormat="1" applyFont="1" applyFill="1" applyBorder="1" applyAlignment="1">
      <alignment horizontal="left" vertical="top"/>
    </xf>
    <xf numFmtId="9" fontId="10" fillId="7" borderId="15" xfId="1" applyFont="1" applyFill="1" applyBorder="1" applyAlignment="1">
      <alignment horizontal="left" vertical="top" wrapText="1"/>
    </xf>
    <xf numFmtId="10" fontId="10" fillId="0" borderId="0" xfId="1" applyNumberFormat="1" applyFont="1" applyBorder="1" applyAlignment="1">
      <alignment horizontal="left" vertical="top"/>
    </xf>
    <xf numFmtId="0" fontId="10" fillId="0" borderId="0" xfId="0" applyFont="1" applyAlignment="1">
      <alignment wrapText="1"/>
    </xf>
    <xf numFmtId="0" fontId="10" fillId="6" borderId="0" xfId="0" applyFont="1" applyFill="1" applyAlignment="1">
      <alignment vertical="top" wrapText="1"/>
    </xf>
    <xf numFmtId="0" fontId="10" fillId="12" borderId="15" xfId="0" applyFont="1" applyFill="1" applyBorder="1" applyAlignment="1">
      <alignment vertical="top" wrapText="1"/>
    </xf>
    <xf numFmtId="0" fontId="10" fillId="12" borderId="0" xfId="0" applyFont="1" applyFill="1" applyAlignment="1">
      <alignment vertical="top" wrapText="1"/>
    </xf>
    <xf numFmtId="0" fontId="10" fillId="12" borderId="7" xfId="0" applyFont="1" applyFill="1" applyBorder="1" applyAlignment="1">
      <alignment vertical="top" wrapText="1"/>
    </xf>
    <xf numFmtId="0" fontId="10" fillId="6" borderId="8" xfId="0" applyFont="1" applyFill="1" applyBorder="1" applyAlignment="1">
      <alignment vertical="top" wrapText="1"/>
    </xf>
    <xf numFmtId="0" fontId="10" fillId="20" borderId="10" xfId="0" applyFont="1" applyFill="1" applyBorder="1" applyAlignment="1">
      <alignment vertical="top" wrapText="1"/>
    </xf>
    <xf numFmtId="0" fontId="10" fillId="20" borderId="0" xfId="0" applyFont="1" applyFill="1" applyAlignment="1">
      <alignment vertical="top" wrapText="1"/>
    </xf>
    <xf numFmtId="0" fontId="10" fillId="20" borderId="8" xfId="0" applyFont="1" applyFill="1" applyBorder="1" applyAlignment="1">
      <alignment vertical="top" wrapText="1"/>
    </xf>
    <xf numFmtId="0" fontId="10" fillId="11" borderId="3" xfId="0" applyFont="1" applyFill="1" applyBorder="1" applyAlignment="1">
      <alignment vertical="top" wrapText="1"/>
    </xf>
    <xf numFmtId="0" fontId="10" fillId="11" borderId="23" xfId="0" applyFont="1" applyFill="1" applyBorder="1" applyAlignment="1">
      <alignment wrapText="1"/>
    </xf>
    <xf numFmtId="0" fontId="10" fillId="11" borderId="41" xfId="0" applyFont="1" applyFill="1" applyBorder="1" applyAlignment="1">
      <alignment wrapText="1"/>
    </xf>
    <xf numFmtId="0" fontId="10" fillId="11" borderId="3" xfId="0" applyFont="1" applyFill="1" applyBorder="1" applyAlignment="1">
      <alignment wrapText="1"/>
    </xf>
    <xf numFmtId="0" fontId="10" fillId="9" borderId="41" xfId="0" applyFont="1" applyFill="1" applyBorder="1" applyAlignment="1">
      <alignment vertical="top" wrapText="1"/>
    </xf>
    <xf numFmtId="0" fontId="10" fillId="9" borderId="3" xfId="0" applyFont="1" applyFill="1" applyBorder="1" applyAlignment="1">
      <alignment vertical="top" wrapText="1"/>
    </xf>
    <xf numFmtId="0" fontId="10" fillId="9" borderId="23" xfId="0" applyFont="1" applyFill="1" applyBorder="1" applyAlignment="1">
      <alignment vertical="top" wrapText="1"/>
    </xf>
    <xf numFmtId="0" fontId="25" fillId="9" borderId="23" xfId="0" applyFont="1" applyFill="1" applyBorder="1" applyAlignment="1">
      <alignment vertical="top" wrapText="1"/>
    </xf>
    <xf numFmtId="0" fontId="10" fillId="19" borderId="41" xfId="0" applyFont="1" applyFill="1" applyBorder="1" applyAlignment="1">
      <alignment wrapText="1"/>
    </xf>
    <xf numFmtId="0" fontId="10" fillId="19" borderId="3" xfId="0" applyFont="1" applyFill="1" applyBorder="1" applyAlignment="1">
      <alignment wrapText="1"/>
    </xf>
    <xf numFmtId="0" fontId="10" fillId="19" borderId="23" xfId="0" applyFont="1" applyFill="1" applyBorder="1" applyAlignment="1">
      <alignment wrapText="1"/>
    </xf>
    <xf numFmtId="177" fontId="10" fillId="19" borderId="3" xfId="0" applyNumberFormat="1" applyFont="1" applyFill="1" applyBorder="1" applyAlignment="1">
      <alignment wrapText="1"/>
    </xf>
    <xf numFmtId="0" fontId="10" fillId="7" borderId="41" xfId="0" applyFont="1" applyFill="1" applyBorder="1" applyAlignment="1">
      <alignment wrapText="1"/>
    </xf>
    <xf numFmtId="0" fontId="10" fillId="7" borderId="3" xfId="0" applyFont="1" applyFill="1" applyBorder="1" applyAlignment="1">
      <alignment wrapText="1"/>
    </xf>
    <xf numFmtId="0" fontId="10" fillId="7" borderId="23" xfId="0" applyFont="1" applyFill="1" applyBorder="1" applyAlignment="1">
      <alignment wrapText="1"/>
    </xf>
    <xf numFmtId="165" fontId="54" fillId="13" borderId="2" xfId="1" applyNumberFormat="1" applyFont="1" applyFill="1" applyBorder="1" applyAlignment="1">
      <alignment vertical="center"/>
    </xf>
    <xf numFmtId="178" fontId="0" fillId="6" borderId="2" xfId="0" applyNumberFormat="1" applyFill="1" applyBorder="1"/>
    <xf numFmtId="179" fontId="0" fillId="6" borderId="2" xfId="0" applyNumberFormat="1" applyFill="1" applyBorder="1"/>
    <xf numFmtId="170" fontId="0" fillId="6" borderId="0" xfId="0" applyNumberFormat="1" applyFill="1"/>
    <xf numFmtId="0" fontId="0" fillId="6" borderId="2" xfId="0" quotePrefix="1" applyFill="1" applyBorder="1"/>
    <xf numFmtId="0" fontId="10" fillId="19" borderId="15" xfId="0" applyFont="1" applyFill="1" applyBorder="1" applyAlignment="1">
      <alignment horizontal="center"/>
    </xf>
    <xf numFmtId="165" fontId="10" fillId="19" borderId="0" xfId="1" applyNumberFormat="1" applyFont="1" applyFill="1" applyBorder="1" applyAlignment="1">
      <alignment horizontal="center"/>
    </xf>
    <xf numFmtId="165" fontId="10" fillId="19" borderId="0" xfId="0" applyNumberFormat="1" applyFont="1" applyFill="1" applyAlignment="1">
      <alignment horizontal="center"/>
    </xf>
    <xf numFmtId="9" fontId="76" fillId="19" borderId="0" xfId="1" applyFont="1" applyFill="1" applyBorder="1" applyAlignment="1">
      <alignment horizontal="center"/>
    </xf>
    <xf numFmtId="165" fontId="76" fillId="19" borderId="0" xfId="0" applyNumberFormat="1" applyFont="1" applyFill="1" applyAlignment="1">
      <alignment horizontal="center"/>
    </xf>
    <xf numFmtId="165" fontId="76" fillId="19" borderId="0" xfId="1" applyNumberFormat="1" applyFont="1" applyFill="1" applyBorder="1" applyAlignment="1">
      <alignment horizontal="center"/>
    </xf>
    <xf numFmtId="165" fontId="76" fillId="19" borderId="7" xfId="1" applyNumberFormat="1" applyFont="1" applyFill="1" applyBorder="1" applyAlignment="1">
      <alignment horizontal="center"/>
    </xf>
    <xf numFmtId="165" fontId="82" fillId="19" borderId="0" xfId="2" applyNumberFormat="1" applyFont="1" applyFill="1" applyBorder="1" applyAlignment="1">
      <alignment horizontal="center"/>
    </xf>
    <xf numFmtId="169" fontId="15" fillId="6" borderId="2" xfId="11" applyNumberFormat="1" applyFont="1" applyFill="1" applyBorder="1" applyAlignment="1">
      <alignment vertical="center"/>
    </xf>
    <xf numFmtId="0" fontId="61" fillId="6" borderId="2" xfId="0" applyFont="1" applyFill="1" applyBorder="1"/>
    <xf numFmtId="0" fontId="83" fillId="6" borderId="2" xfId="0" applyFont="1" applyFill="1" applyBorder="1" applyAlignment="1">
      <alignment horizontal="left"/>
    </xf>
    <xf numFmtId="14" fontId="83" fillId="6" borderId="2" xfId="0" applyNumberFormat="1" applyFont="1" applyFill="1" applyBorder="1" applyAlignment="1">
      <alignment horizontal="left"/>
    </xf>
    <xf numFmtId="0" fontId="83" fillId="6" borderId="2" xfId="0" applyFont="1" applyFill="1" applyBorder="1" applyAlignment="1">
      <alignment horizontal="right"/>
    </xf>
    <xf numFmtId="1" fontId="83" fillId="6" borderId="2" xfId="0" applyNumberFormat="1" applyFont="1" applyFill="1" applyBorder="1" applyAlignment="1">
      <alignment horizontal="center"/>
    </xf>
    <xf numFmtId="173" fontId="61" fillId="6" borderId="2" xfId="0" applyNumberFormat="1" applyFont="1" applyFill="1" applyBorder="1" applyAlignment="1">
      <alignment horizontal="left"/>
    </xf>
    <xf numFmtId="1" fontId="61" fillId="6" borderId="2" xfId="0" applyNumberFormat="1" applyFont="1" applyFill="1" applyBorder="1" applyAlignment="1">
      <alignment horizontal="center"/>
    </xf>
    <xf numFmtId="0" fontId="83" fillId="0" borderId="2" xfId="0" applyFont="1" applyBorder="1" applyAlignment="1">
      <alignment horizontal="left"/>
    </xf>
    <xf numFmtId="0" fontId="61" fillId="0" borderId="2" xfId="0" applyFont="1" applyBorder="1"/>
    <xf numFmtId="14" fontId="83" fillId="0" borderId="2" xfId="0" applyNumberFormat="1" applyFont="1" applyBorder="1" applyAlignment="1">
      <alignment horizontal="left"/>
    </xf>
    <xf numFmtId="0" fontId="83" fillId="6" borderId="2" xfId="0" quotePrefix="1" applyFont="1" applyFill="1" applyBorder="1" applyAlignment="1">
      <alignment horizontal="left"/>
    </xf>
    <xf numFmtId="180" fontId="83" fillId="6" borderId="2" xfId="0" applyNumberFormat="1" applyFont="1" applyFill="1" applyBorder="1" applyAlignment="1">
      <alignment horizontal="left"/>
    </xf>
    <xf numFmtId="180" fontId="83" fillId="0" borderId="2" xfId="0" applyNumberFormat="1" applyFont="1" applyBorder="1" applyAlignment="1">
      <alignment horizontal="left"/>
    </xf>
    <xf numFmtId="173" fontId="61" fillId="0" borderId="2" xfId="0" applyNumberFormat="1" applyFont="1" applyBorder="1" applyAlignment="1">
      <alignment horizontal="left"/>
    </xf>
    <xf numFmtId="0" fontId="84" fillId="0" borderId="2" xfId="0" applyFont="1" applyBorder="1" applyAlignment="1">
      <alignment horizontal="left" vertical="top" wrapText="1"/>
    </xf>
    <xf numFmtId="0" fontId="85" fillId="0" borderId="2" xfId="0" applyFont="1" applyBorder="1" applyAlignment="1">
      <alignment horizontal="left" vertical="top" wrapText="1"/>
    </xf>
    <xf numFmtId="0" fontId="83" fillId="0" borderId="2" xfId="0" applyFont="1" applyBorder="1" applyAlignment="1">
      <alignment horizontal="left" wrapText="1"/>
    </xf>
    <xf numFmtId="1" fontId="61" fillId="0" borderId="2" xfId="0" applyNumberFormat="1" applyFont="1" applyBorder="1" applyAlignment="1">
      <alignment horizontal="center"/>
    </xf>
    <xf numFmtId="0" fontId="0" fillId="0" borderId="15" xfId="0" applyBorder="1"/>
    <xf numFmtId="0" fontId="10" fillId="11" borderId="4" xfId="0" applyFont="1" applyFill="1" applyBorder="1" applyAlignment="1">
      <alignment wrapText="1"/>
    </xf>
    <xf numFmtId="9" fontId="5" fillId="4" borderId="5" xfId="1" applyFont="1" applyFill="1" applyBorder="1" applyAlignment="1">
      <alignment wrapText="1"/>
    </xf>
    <xf numFmtId="167" fontId="36" fillId="5" borderId="44" xfId="9" applyNumberFormat="1" applyBorder="1" applyAlignment="1">
      <alignment horizontal="left" vertical="top" wrapText="1"/>
    </xf>
    <xf numFmtId="168" fontId="11" fillId="6" borderId="7" xfId="7" applyNumberFormat="1" applyFont="1" applyFill="1" applyBorder="1" applyAlignment="1">
      <alignment horizontal="left" vertical="top" wrapText="1"/>
    </xf>
    <xf numFmtId="9" fontId="10" fillId="11" borderId="4" xfId="0" applyNumberFormat="1" applyFont="1" applyFill="1" applyBorder="1" applyAlignment="1">
      <alignment horizontal="left"/>
    </xf>
    <xf numFmtId="2" fontId="6" fillId="5" borderId="2" xfId="4" applyNumberFormat="1" applyBorder="1" applyAlignment="1">
      <alignment horizontal="left"/>
    </xf>
    <xf numFmtId="0" fontId="10" fillId="11" borderId="33" xfId="0" applyFont="1" applyFill="1" applyBorder="1"/>
    <xf numFmtId="0" fontId="10" fillId="11" borderId="48" xfId="0" applyFont="1" applyFill="1" applyBorder="1" applyAlignment="1">
      <alignment vertical="top" wrapText="1"/>
    </xf>
    <xf numFmtId="167" fontId="16" fillId="6" borderId="48" xfId="7" applyNumberFormat="1" applyFont="1" applyFill="1" applyBorder="1" applyAlignment="1">
      <alignment horizontal="left" vertical="top"/>
    </xf>
    <xf numFmtId="0" fontId="19" fillId="11" borderId="48" xfId="0" applyFont="1" applyFill="1" applyBorder="1" applyAlignment="1">
      <alignment vertical="top"/>
    </xf>
    <xf numFmtId="0" fontId="10" fillId="11" borderId="52" xfId="0" applyFont="1" applyFill="1" applyBorder="1" applyAlignment="1">
      <alignment vertical="top" wrapText="1"/>
    </xf>
    <xf numFmtId="0" fontId="10" fillId="7" borderId="41" xfId="0" applyFont="1" applyFill="1" applyBorder="1" applyAlignment="1">
      <alignment vertical="top" wrapText="1"/>
    </xf>
    <xf numFmtId="0" fontId="10" fillId="7" borderId="0" xfId="0" applyFont="1" applyFill="1" applyAlignment="1">
      <alignment vertical="center" wrapText="1"/>
    </xf>
    <xf numFmtId="0" fontId="10" fillId="7" borderId="0" xfId="0" applyFont="1" applyFill="1" applyAlignment="1">
      <alignment horizontal="left" vertical="top" wrapText="1"/>
    </xf>
    <xf numFmtId="0" fontId="10" fillId="7" borderId="3" xfId="0" applyFont="1" applyFill="1" applyBorder="1" applyAlignment="1">
      <alignment vertical="top" wrapText="1"/>
    </xf>
    <xf numFmtId="0" fontId="78" fillId="7" borderId="42" xfId="0" applyFont="1" applyFill="1" applyBorder="1" applyAlignment="1">
      <alignment vertical="top" wrapText="1"/>
    </xf>
    <xf numFmtId="0" fontId="10" fillId="7" borderId="7" xfId="0" applyFont="1" applyFill="1" applyBorder="1" applyAlignment="1">
      <alignment horizontal="left" vertical="top" wrapText="1"/>
    </xf>
    <xf numFmtId="0" fontId="10" fillId="7" borderId="23" xfId="0" applyFont="1" applyFill="1" applyBorder="1" applyAlignment="1">
      <alignment vertical="top" wrapText="1"/>
    </xf>
    <xf numFmtId="2" fontId="10" fillId="7" borderId="0" xfId="0" applyNumberFormat="1" applyFont="1" applyFill="1" applyAlignment="1">
      <alignment horizontal="left" vertical="top"/>
    </xf>
    <xf numFmtId="0" fontId="0" fillId="11" borderId="3" xfId="0" applyFill="1" applyBorder="1" applyAlignment="1">
      <alignment wrapText="1"/>
    </xf>
    <xf numFmtId="167" fontId="6" fillId="5" borderId="5" xfId="4" applyNumberFormat="1" applyAlignment="1">
      <alignment horizontal="left" vertical="top" wrapText="1"/>
    </xf>
    <xf numFmtId="0" fontId="10" fillId="11" borderId="0" xfId="0" applyFont="1" applyFill="1" applyAlignment="1">
      <alignment horizontal="left" vertical="top" wrapText="1"/>
    </xf>
    <xf numFmtId="0" fontId="0" fillId="11" borderId="23" xfId="0" applyFill="1" applyBorder="1" applyAlignment="1">
      <alignment wrapText="1"/>
    </xf>
    <xf numFmtId="171" fontId="15" fillId="11" borderId="19" xfId="0" applyNumberFormat="1" applyFont="1" applyFill="1" applyBorder="1" applyAlignment="1">
      <alignment vertical="center"/>
    </xf>
    <xf numFmtId="171" fontId="15" fillId="11" borderId="18" xfId="0" applyNumberFormat="1" applyFont="1" applyFill="1" applyBorder="1" applyAlignment="1">
      <alignment vertical="center"/>
    </xf>
    <xf numFmtId="1" fontId="54" fillId="21" borderId="5" xfId="0" applyNumberFormat="1" applyFont="1" applyFill="1" applyBorder="1" applyAlignment="1">
      <alignment vertical="center"/>
    </xf>
    <xf numFmtId="169" fontId="15" fillId="11" borderId="2" xfId="11" applyNumberFormat="1" applyFont="1" applyFill="1" applyBorder="1" applyAlignment="1">
      <alignment vertical="center"/>
    </xf>
    <xf numFmtId="1" fontId="15" fillId="11" borderId="2" xfId="0" applyNumberFormat="1" applyFont="1" applyFill="1" applyBorder="1" applyAlignment="1">
      <alignment vertical="center"/>
    </xf>
    <xf numFmtId="169" fontId="15" fillId="11" borderId="2" xfId="7" applyNumberFormat="1" applyFont="1" applyFill="1" applyBorder="1" applyAlignment="1">
      <alignment horizontal="right" vertical="center"/>
    </xf>
    <xf numFmtId="0" fontId="0" fillId="11" borderId="2" xfId="0" applyFill="1" applyBorder="1"/>
    <xf numFmtId="170" fontId="6" fillId="22" borderId="30" xfId="4" applyNumberFormat="1" applyFill="1" applyBorder="1" applyAlignment="1">
      <alignment vertical="center"/>
    </xf>
    <xf numFmtId="0" fontId="8" fillId="15" borderId="9" xfId="0" applyFont="1" applyFill="1" applyBorder="1"/>
    <xf numFmtId="0" fontId="8" fillId="15" borderId="10" xfId="0" applyFont="1" applyFill="1" applyBorder="1"/>
    <xf numFmtId="0" fontId="8" fillId="15" borderId="11" xfId="0" applyFont="1" applyFill="1" applyBorder="1"/>
    <xf numFmtId="0" fontId="0" fillId="6" borderId="12" xfId="0" applyFill="1" applyBorder="1"/>
    <xf numFmtId="9" fontId="6" fillId="5" borderId="5" xfId="4" applyNumberFormat="1"/>
    <xf numFmtId="171" fontId="0" fillId="6" borderId="19" xfId="0" applyNumberFormat="1" applyFill="1" applyBorder="1" applyAlignment="1">
      <alignment wrapText="1"/>
    </xf>
    <xf numFmtId="171" fontId="0" fillId="6" borderId="19" xfId="0" applyNumberFormat="1" applyFill="1" applyBorder="1"/>
    <xf numFmtId="10" fontId="37" fillId="6" borderId="0" xfId="0" applyNumberFormat="1" applyFont="1" applyFill="1"/>
    <xf numFmtId="171" fontId="0" fillId="6" borderId="20" xfId="0" applyNumberFormat="1" applyFill="1" applyBorder="1"/>
    <xf numFmtId="1" fontId="54" fillId="13" borderId="21" xfId="1" applyNumberFormat="1" applyFont="1" applyFill="1" applyBorder="1" applyAlignment="1">
      <alignment vertical="center"/>
    </xf>
    <xf numFmtId="176" fontId="0" fillId="6" borderId="0" xfId="0" applyNumberFormat="1" applyFill="1"/>
    <xf numFmtId="0" fontId="8" fillId="12" borderId="28" xfId="0" applyFont="1" applyFill="1" applyBorder="1" applyAlignment="1">
      <alignment wrapText="1"/>
    </xf>
    <xf numFmtId="0" fontId="86" fillId="0" borderId="0" xfId="0" applyFont="1" applyAlignment="1">
      <alignment horizontal="center" vertical="center" wrapText="1"/>
    </xf>
    <xf numFmtId="9" fontId="0" fillId="0" borderId="7" xfId="1" applyFont="1" applyBorder="1"/>
    <xf numFmtId="0" fontId="9" fillId="0" borderId="7" xfId="6" applyBorder="1"/>
    <xf numFmtId="0" fontId="8" fillId="0" borderId="9" xfId="0" applyFont="1" applyBorder="1"/>
    <xf numFmtId="0" fontId="90" fillId="0" borderId="10" xfId="0" applyFont="1" applyBorder="1"/>
    <xf numFmtId="0" fontId="0" fillId="6" borderId="59" xfId="0" applyFill="1" applyBorder="1"/>
    <xf numFmtId="0" fontId="0" fillId="0" borderId="60" xfId="0" applyBorder="1"/>
    <xf numFmtId="0" fontId="0" fillId="6" borderId="61" xfId="0" applyFill="1" applyBorder="1"/>
    <xf numFmtId="0" fontId="0" fillId="0" borderId="49" xfId="0" applyBorder="1"/>
    <xf numFmtId="0" fontId="0" fillId="6" borderId="31" xfId="0" applyFill="1" applyBorder="1"/>
    <xf numFmtId="9" fontId="0" fillId="0" borderId="8" xfId="0" applyNumberFormat="1" applyBorder="1"/>
    <xf numFmtId="0" fontId="0" fillId="6" borderId="9" xfId="0" applyFill="1" applyBorder="1"/>
    <xf numFmtId="0" fontId="8" fillId="6" borderId="12" xfId="0" applyFont="1" applyFill="1" applyBorder="1"/>
    <xf numFmtId="9" fontId="0" fillId="0" borderId="0" xfId="0" applyNumberFormat="1"/>
    <xf numFmtId="172" fontId="0" fillId="0" borderId="0" xfId="0" applyNumberFormat="1"/>
    <xf numFmtId="0" fontId="0" fillId="0" borderId="0" xfId="0" quotePrefix="1"/>
    <xf numFmtId="0" fontId="34" fillId="0" borderId="0" xfId="0" applyFont="1"/>
    <xf numFmtId="2" fontId="34" fillId="0" borderId="0" xfId="0" applyNumberFormat="1" applyFont="1"/>
    <xf numFmtId="2" fontId="53" fillId="0" borderId="0" xfId="0" applyNumberFormat="1" applyFont="1"/>
    <xf numFmtId="0" fontId="53" fillId="0" borderId="0" xfId="0" applyFont="1"/>
    <xf numFmtId="0" fontId="34" fillId="0" borderId="13" xfId="0" applyFont="1" applyBorder="1"/>
    <xf numFmtId="2" fontId="87" fillId="0" borderId="0" xfId="0" applyNumberFormat="1" applyFont="1"/>
    <xf numFmtId="0" fontId="88" fillId="0" borderId="0" xfId="0" applyFont="1"/>
    <xf numFmtId="10" fontId="34" fillId="0" borderId="0" xfId="0" applyNumberFormat="1" applyFont="1"/>
    <xf numFmtId="9" fontId="34" fillId="0" borderId="0" xfId="0" applyNumberFormat="1" applyFont="1"/>
    <xf numFmtId="0" fontId="52" fillId="0" borderId="0" xfId="0" applyFont="1"/>
    <xf numFmtId="2" fontId="91" fillId="5" borderId="5" xfId="4" applyNumberFormat="1" applyFont="1" applyAlignment="1">
      <alignment horizontal="center"/>
    </xf>
    <xf numFmtId="3" fontId="92" fillId="0" borderId="2" xfId="0" applyNumberFormat="1" applyFont="1" applyBorder="1" applyAlignment="1">
      <alignment horizontal="center" vertical="center" wrapText="1"/>
    </xf>
    <xf numFmtId="3" fontId="93" fillId="0" borderId="2" xfId="0" applyNumberFormat="1" applyFont="1" applyBorder="1" applyAlignment="1">
      <alignment horizontal="center" vertical="center" wrapText="1"/>
    </xf>
    <xf numFmtId="0" fontId="92" fillId="0" borderId="52" xfId="0" applyFont="1" applyBorder="1" applyAlignment="1">
      <alignment horizontal="center" vertical="center" wrapText="1"/>
    </xf>
    <xf numFmtId="0" fontId="92" fillId="0" borderId="2" xfId="0" applyFont="1" applyBorder="1" applyAlignment="1">
      <alignment horizontal="center" vertical="center" wrapText="1"/>
    </xf>
    <xf numFmtId="14" fontId="92" fillId="0" borderId="2" xfId="0" applyNumberFormat="1" applyFont="1" applyBorder="1" applyAlignment="1">
      <alignment horizontal="center" vertical="center" wrapText="1"/>
    </xf>
    <xf numFmtId="0" fontId="93" fillId="0" borderId="2" xfId="0" applyFont="1" applyBorder="1" applyAlignment="1">
      <alignment horizontal="center" vertical="center" wrapText="1"/>
    </xf>
    <xf numFmtId="0" fontId="92" fillId="0" borderId="33" xfId="0" applyFont="1" applyBorder="1" applyAlignment="1">
      <alignment horizontal="center" vertical="center" wrapText="1"/>
    </xf>
    <xf numFmtId="0" fontId="92" fillId="0" borderId="1" xfId="0" applyFont="1" applyBorder="1" applyAlignment="1">
      <alignment horizontal="center" vertical="center" wrapText="1"/>
    </xf>
    <xf numFmtId="3" fontId="92" fillId="0" borderId="1" xfId="0" applyNumberFormat="1" applyFont="1" applyBorder="1" applyAlignment="1">
      <alignment horizontal="center" vertical="center" wrapText="1"/>
    </xf>
    <xf numFmtId="3" fontId="93" fillId="0" borderId="1" xfId="0" applyNumberFormat="1" applyFont="1" applyBorder="1" applyAlignment="1">
      <alignment horizontal="center" vertical="center" wrapText="1"/>
    </xf>
    <xf numFmtId="0" fontId="94" fillId="0" borderId="0" xfId="0" applyFont="1" applyAlignment="1">
      <alignment horizontal="left" vertical="center" wrapText="1"/>
    </xf>
    <xf numFmtId="0" fontId="93" fillId="0" borderId="0" xfId="0" applyFont="1" applyAlignment="1">
      <alignment horizontal="center" vertical="center" wrapText="1"/>
    </xf>
    <xf numFmtId="0" fontId="93" fillId="0" borderId="0" xfId="0" applyFont="1" applyAlignment="1">
      <alignment vertical="center" wrapText="1"/>
    </xf>
    <xf numFmtId="0" fontId="92" fillId="0" borderId="0" xfId="0" applyFont="1" applyAlignment="1">
      <alignment horizontal="left" vertical="center" wrapText="1"/>
    </xf>
    <xf numFmtId="0" fontId="95" fillId="0" borderId="0" xfId="0" applyFont="1" applyAlignment="1">
      <alignment horizontal="center" vertical="center" wrapText="1"/>
    </xf>
    <xf numFmtId="0" fontId="92" fillId="0" borderId="0" xfId="0" applyFont="1" applyAlignment="1">
      <alignment horizontal="center" vertical="center" wrapText="1"/>
    </xf>
    <xf numFmtId="0" fontId="97" fillId="0" borderId="0" xfId="0" applyFont="1" applyAlignment="1">
      <alignment horizontal="center" vertical="center" wrapText="1"/>
    </xf>
    <xf numFmtId="0" fontId="96" fillId="10" borderId="0" xfId="0" applyFont="1" applyFill="1" applyAlignment="1">
      <alignment horizontal="center" vertical="center" wrapText="1"/>
    </xf>
    <xf numFmtId="0" fontId="98" fillId="0" borderId="52" xfId="0" applyFont="1" applyBorder="1" applyAlignment="1">
      <alignment horizontal="center" vertical="center" wrapText="1"/>
    </xf>
    <xf numFmtId="0" fontId="98" fillId="0" borderId="2" xfId="0" applyFont="1" applyBorder="1" applyAlignment="1">
      <alignment horizontal="center" vertical="center" wrapText="1"/>
    </xf>
    <xf numFmtId="0" fontId="99" fillId="10" borderId="2" xfId="0" applyFont="1" applyFill="1" applyBorder="1" applyAlignment="1">
      <alignment horizontal="center" vertical="center" wrapText="1"/>
    </xf>
    <xf numFmtId="0" fontId="100" fillId="10" borderId="2" xfId="0" applyFont="1" applyFill="1" applyBorder="1" applyAlignment="1">
      <alignment horizontal="center" vertical="center" wrapText="1"/>
    </xf>
    <xf numFmtId="0" fontId="98" fillId="0" borderId="0" xfId="0" applyFont="1" applyAlignment="1">
      <alignment horizontal="left" vertical="center" wrapText="1"/>
    </xf>
    <xf numFmtId="0" fontId="92" fillId="0" borderId="41" xfId="0" applyFont="1" applyBorder="1" applyAlignment="1">
      <alignment horizontal="center" vertical="center" wrapText="1"/>
    </xf>
    <xf numFmtId="0" fontId="93" fillId="0" borderId="1" xfId="0" applyFont="1" applyBorder="1" applyAlignment="1">
      <alignment horizontal="center" vertical="center" wrapText="1"/>
    </xf>
    <xf numFmtId="0" fontId="92" fillId="0" borderId="39" xfId="0" applyFont="1" applyBorder="1" applyAlignment="1">
      <alignment horizontal="center" vertical="center" wrapText="1"/>
    </xf>
    <xf numFmtId="0" fontId="94" fillId="0" borderId="2" xfId="0" applyFont="1" applyBorder="1" applyAlignment="1">
      <alignment horizontal="center" vertical="center" wrapText="1"/>
    </xf>
    <xf numFmtId="2" fontId="92" fillId="0" borderId="2" xfId="0" applyNumberFormat="1" applyFont="1" applyBorder="1" applyAlignment="1">
      <alignment horizontal="center" vertical="center" wrapText="1"/>
    </xf>
    <xf numFmtId="2" fontId="92" fillId="0" borderId="1" xfId="0" applyNumberFormat="1" applyFont="1" applyBorder="1" applyAlignment="1">
      <alignment horizontal="center" vertical="center" wrapText="1"/>
    </xf>
    <xf numFmtId="172" fontId="94" fillId="0" borderId="0" xfId="0" applyNumberFormat="1" applyFont="1" applyAlignment="1">
      <alignment horizontal="left" vertical="center" wrapText="1"/>
    </xf>
    <xf numFmtId="172" fontId="92" fillId="0" borderId="0" xfId="0" applyNumberFormat="1" applyFont="1" applyAlignment="1">
      <alignment horizontal="left" vertical="center" wrapText="1"/>
    </xf>
    <xf numFmtId="172" fontId="6" fillId="5" borderId="5" xfId="4" applyNumberFormat="1" applyAlignment="1">
      <alignment horizontal="center" vertical="center" wrapText="1"/>
    </xf>
    <xf numFmtId="172" fontId="75" fillId="0" borderId="2" xfId="0" applyNumberFormat="1" applyFont="1" applyBorder="1" applyAlignment="1">
      <alignment horizontal="center" vertical="center" wrapText="1"/>
    </xf>
    <xf numFmtId="172" fontId="92" fillId="0" borderId="2" xfId="0" applyNumberFormat="1" applyFont="1" applyBorder="1" applyAlignment="1">
      <alignment horizontal="center" vertical="center" wrapText="1"/>
    </xf>
    <xf numFmtId="172" fontId="92" fillId="0" borderId="1" xfId="0" applyNumberFormat="1" applyFont="1" applyBorder="1" applyAlignment="1">
      <alignment horizontal="center" vertical="center" wrapText="1"/>
    </xf>
    <xf numFmtId="10" fontId="6" fillId="5" borderId="5" xfId="4" applyNumberFormat="1"/>
    <xf numFmtId="169" fontId="6" fillId="5" borderId="5" xfId="4" applyNumberFormat="1" applyAlignment="1">
      <alignment horizontal="right" vertical="center"/>
    </xf>
    <xf numFmtId="169" fontId="6" fillId="22" borderId="5" xfId="4" applyNumberFormat="1" applyFill="1" applyAlignment="1">
      <alignment horizontal="right" vertical="center"/>
    </xf>
    <xf numFmtId="171" fontId="15" fillId="11" borderId="20" xfId="0" applyNumberFormat="1" applyFont="1" applyFill="1" applyBorder="1" applyAlignment="1">
      <alignment vertical="center"/>
    </xf>
    <xf numFmtId="171" fontId="15" fillId="11" borderId="46" xfId="0" applyNumberFormat="1" applyFont="1" applyFill="1" applyBorder="1" applyAlignment="1">
      <alignment vertical="center"/>
    </xf>
    <xf numFmtId="1" fontId="54" fillId="21" borderId="38" xfId="0" applyNumberFormat="1" applyFont="1" applyFill="1" applyBorder="1" applyAlignment="1">
      <alignment vertical="center"/>
    </xf>
    <xf numFmtId="169" fontId="15" fillId="11" borderId="21" xfId="11" applyNumberFormat="1" applyFont="1" applyFill="1" applyBorder="1" applyAlignment="1">
      <alignment vertical="center"/>
    </xf>
    <xf numFmtId="1" fontId="15" fillId="11" borderId="21" xfId="0" applyNumberFormat="1" applyFont="1" applyFill="1" applyBorder="1" applyAlignment="1">
      <alignment vertical="center"/>
    </xf>
    <xf numFmtId="169" fontId="15" fillId="11" borderId="21" xfId="7" applyNumberFormat="1" applyFont="1" applyFill="1" applyBorder="1" applyAlignment="1">
      <alignment horizontal="right" vertical="center"/>
    </xf>
    <xf numFmtId="169" fontId="6" fillId="22" borderId="38" xfId="4" applyNumberFormat="1" applyFill="1" applyBorder="1" applyAlignment="1">
      <alignment horizontal="right" vertical="center"/>
    </xf>
    <xf numFmtId="0" fontId="0" fillId="11" borderId="21" xfId="0" applyFill="1" applyBorder="1"/>
    <xf numFmtId="170" fontId="6" fillId="22" borderId="63" xfId="4" applyNumberFormat="1" applyFill="1" applyBorder="1" applyAlignment="1">
      <alignment vertical="center"/>
    </xf>
    <xf numFmtId="171" fontId="15" fillId="6" borderId="25" xfId="0" applyNumberFormat="1" applyFont="1" applyFill="1" applyBorder="1" applyAlignment="1">
      <alignment vertical="center"/>
    </xf>
    <xf numFmtId="171" fontId="15" fillId="6" borderId="27" xfId="0" applyNumberFormat="1" applyFont="1" applyFill="1" applyBorder="1" applyAlignment="1">
      <alignment vertical="center"/>
    </xf>
    <xf numFmtId="1" fontId="54" fillId="13" borderId="57" xfId="0" applyNumberFormat="1" applyFont="1" applyFill="1" applyBorder="1" applyAlignment="1">
      <alignment vertical="center"/>
    </xf>
    <xf numFmtId="169" fontId="15" fillId="6" borderId="27" xfId="11" applyNumberFormat="1" applyFont="1" applyFill="1" applyBorder="1" applyAlignment="1">
      <alignment vertical="center"/>
    </xf>
    <xf numFmtId="1" fontId="15" fillId="6" borderId="27" xfId="0" applyNumberFormat="1" applyFont="1" applyFill="1" applyBorder="1" applyAlignment="1">
      <alignment vertical="center"/>
    </xf>
    <xf numFmtId="169" fontId="15" fillId="6" borderId="27" xfId="7" applyNumberFormat="1" applyFont="1" applyFill="1" applyBorder="1" applyAlignment="1">
      <alignment horizontal="right" vertical="center"/>
    </xf>
    <xf numFmtId="169" fontId="6" fillId="5" borderId="57" xfId="4" applyNumberFormat="1" applyBorder="1" applyAlignment="1">
      <alignment horizontal="right" vertical="center"/>
    </xf>
    <xf numFmtId="170" fontId="6" fillId="5" borderId="58" xfId="4" applyNumberFormat="1" applyBorder="1" applyAlignment="1">
      <alignment vertical="center"/>
    </xf>
    <xf numFmtId="169" fontId="11" fillId="14" borderId="64" xfId="11" applyNumberFormat="1" applyFont="1" applyFill="1" applyBorder="1" applyAlignment="1">
      <alignment horizontal="left" vertical="center" wrapText="1"/>
    </xf>
    <xf numFmtId="0" fontId="79" fillId="16" borderId="64" xfId="0" applyFont="1" applyFill="1" applyBorder="1" applyAlignment="1">
      <alignment horizontal="justify" vertical="center"/>
    </xf>
    <xf numFmtId="0" fontId="79" fillId="16" borderId="13" xfId="0" applyFont="1" applyFill="1" applyBorder="1" applyAlignment="1">
      <alignment horizontal="justify" vertical="center"/>
    </xf>
    <xf numFmtId="0" fontId="0" fillId="6" borderId="0" xfId="0" applyFill="1" applyAlignment="1">
      <alignment horizontal="right"/>
    </xf>
    <xf numFmtId="0" fontId="59" fillId="6" borderId="2" xfId="0" applyFont="1" applyFill="1" applyBorder="1"/>
    <xf numFmtId="0" fontId="38" fillId="6" borderId="2" xfId="0" applyFont="1" applyFill="1" applyBorder="1"/>
    <xf numFmtId="181" fontId="0" fillId="6" borderId="0" xfId="0" applyNumberFormat="1" applyFill="1"/>
    <xf numFmtId="0" fontId="75" fillId="7" borderId="2" xfId="0" applyFont="1" applyFill="1" applyBorder="1" applyAlignment="1">
      <alignment horizontal="center" vertical="center" wrapText="1"/>
    </xf>
    <xf numFmtId="175" fontId="75" fillId="7" borderId="2" xfId="0" applyNumberFormat="1" applyFont="1" applyFill="1" applyBorder="1" applyAlignment="1">
      <alignment horizontal="center" vertical="center" wrapText="1"/>
    </xf>
    <xf numFmtId="2" fontId="75" fillId="7" borderId="2" xfId="0" applyNumberFormat="1" applyFont="1" applyFill="1" applyBorder="1" applyAlignment="1">
      <alignment horizontal="center" vertical="center" wrapText="1"/>
    </xf>
    <xf numFmtId="3" fontId="75" fillId="7" borderId="2" xfId="0" applyNumberFormat="1" applyFont="1" applyFill="1" applyBorder="1" applyAlignment="1">
      <alignment horizontal="center" vertical="center" wrapText="1"/>
    </xf>
    <xf numFmtId="9" fontId="75" fillId="7" borderId="2" xfId="1" applyFont="1" applyFill="1" applyBorder="1" applyAlignment="1">
      <alignment horizontal="center" vertical="center" wrapText="1"/>
    </xf>
    <xf numFmtId="0" fontId="3" fillId="7" borderId="0" xfId="0" applyFont="1" applyFill="1" applyAlignment="1">
      <alignment wrapText="1"/>
    </xf>
    <xf numFmtId="0" fontId="75" fillId="7" borderId="0" xfId="0" applyFont="1" applyFill="1" applyAlignment="1">
      <alignment horizontal="center" vertical="center" wrapText="1"/>
    </xf>
    <xf numFmtId="0" fontId="92" fillId="7" borderId="52" xfId="0" applyFont="1" applyFill="1" applyBorder="1" applyAlignment="1">
      <alignment horizontal="center" vertical="center" wrapText="1"/>
    </xf>
    <xf numFmtId="0" fontId="92" fillId="7" borderId="2" xfId="0" applyFont="1" applyFill="1" applyBorder="1" applyAlignment="1">
      <alignment horizontal="center" vertical="center" wrapText="1"/>
    </xf>
    <xf numFmtId="14" fontId="92" fillId="7" borderId="2" xfId="0" applyNumberFormat="1" applyFont="1" applyFill="1" applyBorder="1" applyAlignment="1">
      <alignment horizontal="center" vertical="center" wrapText="1"/>
    </xf>
    <xf numFmtId="172" fontId="92" fillId="7" borderId="2" xfId="0" applyNumberFormat="1" applyFont="1" applyFill="1" applyBorder="1" applyAlignment="1">
      <alignment horizontal="center" vertical="center" wrapText="1"/>
    </xf>
    <xf numFmtId="0" fontId="93" fillId="7" borderId="2" xfId="0" applyFont="1" applyFill="1" applyBorder="1" applyAlignment="1">
      <alignment horizontal="center" vertical="center" wrapText="1"/>
    </xf>
    <xf numFmtId="0" fontId="92" fillId="7" borderId="33" xfId="0" applyFont="1" applyFill="1" applyBorder="1" applyAlignment="1">
      <alignment horizontal="center" vertical="center" wrapText="1"/>
    </xf>
    <xf numFmtId="3" fontId="92" fillId="7" borderId="2" xfId="0" applyNumberFormat="1" applyFont="1" applyFill="1" applyBorder="1" applyAlignment="1">
      <alignment horizontal="center" vertical="center" wrapText="1"/>
    </xf>
    <xf numFmtId="0" fontId="94" fillId="7" borderId="0" xfId="0" applyFont="1" applyFill="1" applyAlignment="1">
      <alignment horizontal="left" vertical="center" wrapText="1"/>
    </xf>
    <xf numFmtId="0" fontId="92" fillId="7" borderId="1" xfId="0" applyFont="1" applyFill="1" applyBorder="1" applyAlignment="1">
      <alignment horizontal="center" vertical="center" wrapText="1"/>
    </xf>
    <xf numFmtId="172" fontId="75" fillId="7" borderId="2" xfId="0" applyNumberFormat="1" applyFont="1" applyFill="1" applyBorder="1" applyAlignment="1">
      <alignment horizontal="center" vertical="center" wrapText="1"/>
    </xf>
    <xf numFmtId="0" fontId="92" fillId="7" borderId="41" xfId="0" applyFont="1" applyFill="1" applyBorder="1" applyAlignment="1">
      <alignment horizontal="center" vertical="center" wrapText="1"/>
    </xf>
    <xf numFmtId="14" fontId="92" fillId="7" borderId="1" xfId="0" applyNumberFormat="1" applyFont="1" applyFill="1" applyBorder="1" applyAlignment="1">
      <alignment horizontal="center" vertical="center" wrapText="1"/>
    </xf>
    <xf numFmtId="172" fontId="92" fillId="7" borderId="1" xfId="0" applyNumberFormat="1" applyFont="1" applyFill="1" applyBorder="1" applyAlignment="1">
      <alignment horizontal="center" vertical="center" wrapText="1"/>
    </xf>
    <xf numFmtId="0" fontId="93" fillId="7" borderId="1" xfId="0" applyFont="1" applyFill="1" applyBorder="1" applyAlignment="1">
      <alignment horizontal="center" vertical="center" wrapText="1"/>
    </xf>
    <xf numFmtId="0" fontId="92" fillId="7" borderId="39" xfId="0" applyFont="1" applyFill="1" applyBorder="1" applyAlignment="1">
      <alignment horizontal="center" vertical="center" wrapText="1"/>
    </xf>
    <xf numFmtId="3" fontId="92" fillId="7" borderId="1" xfId="0" applyNumberFormat="1" applyFont="1" applyFill="1" applyBorder="1" applyAlignment="1">
      <alignment horizontal="center" vertical="center" wrapText="1"/>
    </xf>
    <xf numFmtId="3" fontId="93" fillId="7" borderId="2" xfId="0" applyNumberFormat="1" applyFont="1" applyFill="1" applyBorder="1" applyAlignment="1">
      <alignment horizontal="center" vertical="center" wrapText="1"/>
    </xf>
    <xf numFmtId="3" fontId="92" fillId="7" borderId="33" xfId="0" applyNumberFormat="1" applyFont="1" applyFill="1" applyBorder="1" applyAlignment="1">
      <alignment horizontal="center" vertical="center" wrapText="1"/>
    </xf>
    <xf numFmtId="3" fontId="92" fillId="7" borderId="52" xfId="0" applyNumberFormat="1" applyFont="1" applyFill="1" applyBorder="1" applyAlignment="1">
      <alignment horizontal="center" vertical="center" wrapText="1"/>
    </xf>
    <xf numFmtId="9" fontId="0" fillId="6" borderId="0" xfId="0" applyNumberFormat="1" applyFill="1"/>
    <xf numFmtId="0" fontId="103" fillId="23" borderId="8" xfId="22" applyBorder="1" applyAlignment="1"/>
    <xf numFmtId="0" fontId="33" fillId="6" borderId="0" xfId="13" applyFont="1" applyFill="1"/>
    <xf numFmtId="0" fontId="104" fillId="6" borderId="0" xfId="13" applyFont="1" applyFill="1" applyAlignment="1">
      <alignment horizontal="center" vertical="center"/>
    </xf>
    <xf numFmtId="0" fontId="104" fillId="6" borderId="0" xfId="13" applyFont="1" applyFill="1"/>
    <xf numFmtId="2" fontId="15" fillId="24" borderId="2" xfId="19" applyNumberFormat="1" applyFont="1" applyFill="1" applyBorder="1" applyAlignment="1">
      <alignment horizontal="center" vertical="center"/>
    </xf>
    <xf numFmtId="0" fontId="105" fillId="6" borderId="0" xfId="13" applyFont="1" applyFill="1"/>
    <xf numFmtId="167" fontId="104" fillId="6" borderId="0" xfId="13" applyNumberFormat="1" applyFont="1" applyFill="1"/>
    <xf numFmtId="0" fontId="15" fillId="6" borderId="0" xfId="13" applyFont="1" applyFill="1"/>
    <xf numFmtId="0" fontId="35" fillId="6" borderId="0" xfId="13" applyFont="1" applyFill="1"/>
    <xf numFmtId="0" fontId="106" fillId="6" borderId="0" xfId="13" applyFont="1" applyFill="1"/>
    <xf numFmtId="0" fontId="107" fillId="6" borderId="0" xfId="13" applyFont="1" applyFill="1"/>
    <xf numFmtId="0" fontId="15" fillId="6" borderId="0" xfId="13" applyFont="1" applyFill="1" applyAlignment="1">
      <alignment horizontal="center"/>
    </xf>
    <xf numFmtId="0" fontId="108" fillId="6" borderId="0" xfId="13" applyFont="1" applyFill="1"/>
    <xf numFmtId="0" fontId="109" fillId="6" borderId="0" xfId="13" applyFont="1" applyFill="1" applyAlignment="1">
      <alignment horizontal="center"/>
    </xf>
    <xf numFmtId="0" fontId="104" fillId="26" borderId="9" xfId="13" applyFont="1" applyFill="1" applyBorder="1" applyAlignment="1">
      <alignment horizontal="left" indent="1"/>
    </xf>
    <xf numFmtId="0" fontId="104" fillId="26" borderId="10" xfId="13" applyFont="1" applyFill="1" applyBorder="1"/>
    <xf numFmtId="0" fontId="104" fillId="26" borderId="11" xfId="13" applyFont="1" applyFill="1" applyBorder="1"/>
    <xf numFmtId="0" fontId="110" fillId="6" borderId="0" xfId="13" applyFont="1" applyFill="1"/>
    <xf numFmtId="0" fontId="104" fillId="26" borderId="12" xfId="13" applyFont="1" applyFill="1" applyBorder="1" applyAlignment="1">
      <alignment horizontal="left" indent="1"/>
    </xf>
    <xf numFmtId="0" fontId="104" fillId="26" borderId="0" xfId="13" applyFont="1" applyFill="1"/>
    <xf numFmtId="0" fontId="104" fillId="26" borderId="13" xfId="13" applyFont="1" applyFill="1" applyBorder="1"/>
    <xf numFmtId="0" fontId="109" fillId="24" borderId="2" xfId="13" applyFont="1" applyFill="1" applyBorder="1" applyAlignment="1">
      <alignment horizontal="center" vertical="center"/>
    </xf>
    <xf numFmtId="0" fontId="33" fillId="24" borderId="9" xfId="13" applyFont="1" applyFill="1" applyBorder="1" applyAlignment="1">
      <alignment horizontal="center" vertical="center"/>
    </xf>
    <xf numFmtId="0" fontId="33" fillId="24" borderId="66" xfId="13" applyFont="1" applyFill="1" applyBorder="1" applyAlignment="1">
      <alignment horizontal="center" vertical="center"/>
    </xf>
    <xf numFmtId="0" fontId="33" fillId="24" borderId="11" xfId="13" applyFont="1" applyFill="1" applyBorder="1" applyAlignment="1">
      <alignment horizontal="center" vertical="center"/>
    </xf>
    <xf numFmtId="0" fontId="33" fillId="27" borderId="9" xfId="13" applyFont="1" applyFill="1" applyBorder="1" applyAlignment="1">
      <alignment horizontal="center"/>
    </xf>
    <xf numFmtId="0" fontId="33" fillId="27" borderId="66" xfId="13" applyFont="1" applyFill="1" applyBorder="1" applyAlignment="1">
      <alignment horizontal="center"/>
    </xf>
    <xf numFmtId="0" fontId="33" fillId="27" borderId="11" xfId="13" applyFont="1" applyFill="1" applyBorder="1" applyAlignment="1">
      <alignment horizontal="center"/>
    </xf>
    <xf numFmtId="0" fontId="106" fillId="6" borderId="0" xfId="13" applyFont="1" applyFill="1" applyAlignment="1">
      <alignment horizontal="center"/>
    </xf>
    <xf numFmtId="0" fontId="111" fillId="24" borderId="32" xfId="13" applyFont="1" applyFill="1" applyBorder="1" applyAlignment="1">
      <alignment horizontal="center" vertical="center"/>
    </xf>
    <xf numFmtId="0" fontId="111" fillId="24" borderId="14" xfId="13" applyFont="1" applyFill="1" applyBorder="1" applyAlignment="1">
      <alignment horizontal="center" vertical="center"/>
    </xf>
    <xf numFmtId="0" fontId="33" fillId="27" borderId="31" xfId="13" applyFont="1" applyFill="1" applyBorder="1" applyAlignment="1">
      <alignment horizontal="center"/>
    </xf>
    <xf numFmtId="0" fontId="33" fillId="27" borderId="32" xfId="13" applyFont="1" applyFill="1" applyBorder="1" applyAlignment="1">
      <alignment horizontal="center"/>
    </xf>
    <xf numFmtId="0" fontId="33" fillId="27" borderId="14" xfId="13" applyFont="1" applyFill="1" applyBorder="1" applyAlignment="1">
      <alignment horizontal="center"/>
    </xf>
    <xf numFmtId="2" fontId="15" fillId="24" borderId="2" xfId="19" applyNumberFormat="1" applyFont="1" applyFill="1" applyBorder="1" applyAlignment="1">
      <alignment horizontal="left" vertical="center"/>
    </xf>
    <xf numFmtId="2" fontId="15" fillId="24" borderId="67" xfId="19" applyNumberFormat="1" applyFont="1" applyFill="1" applyBorder="1" applyAlignment="1">
      <alignment horizontal="center" vertical="center"/>
    </xf>
    <xf numFmtId="2" fontId="15" fillId="27" borderId="12" xfId="13" applyNumberFormat="1" applyFont="1" applyFill="1" applyBorder="1" applyAlignment="1">
      <alignment horizontal="center" vertical="center"/>
    </xf>
    <xf numFmtId="2" fontId="15" fillId="27" borderId="0" xfId="13" applyNumberFormat="1" applyFont="1" applyFill="1" applyAlignment="1">
      <alignment horizontal="center" vertical="center"/>
    </xf>
    <xf numFmtId="2" fontId="33" fillId="27" borderId="64" xfId="13" quotePrefix="1" applyNumberFormat="1" applyFont="1" applyFill="1" applyBorder="1" applyAlignment="1">
      <alignment horizontal="center" vertical="center"/>
    </xf>
    <xf numFmtId="0" fontId="106" fillId="6" borderId="0" xfId="13" quotePrefix="1" applyFont="1" applyFill="1" applyAlignment="1">
      <alignment horizontal="center"/>
    </xf>
    <xf numFmtId="0" fontId="105" fillId="26" borderId="12" xfId="13" applyFont="1" applyFill="1" applyBorder="1" applyAlignment="1">
      <alignment horizontal="left" indent="1"/>
    </xf>
    <xf numFmtId="0" fontId="106" fillId="26" borderId="0" xfId="13" applyFont="1" applyFill="1"/>
    <xf numFmtId="0" fontId="15" fillId="26" borderId="0" xfId="13" applyFont="1" applyFill="1"/>
    <xf numFmtId="165" fontId="15" fillId="26" borderId="0" xfId="13" applyNumberFormat="1" applyFont="1" applyFill="1" applyAlignment="1">
      <alignment horizontal="left"/>
    </xf>
    <xf numFmtId="0" fontId="15" fillId="26" borderId="0" xfId="13" applyFont="1" applyFill="1" applyAlignment="1">
      <alignment horizontal="left"/>
    </xf>
    <xf numFmtId="0" fontId="15" fillId="26" borderId="12" xfId="13" applyFont="1" applyFill="1" applyBorder="1" applyAlignment="1">
      <alignment horizontal="left" indent="1"/>
    </xf>
    <xf numFmtId="2" fontId="114" fillId="26" borderId="0" xfId="13" applyNumberFormat="1" applyFont="1" applyFill="1" applyAlignment="1">
      <alignment horizontal="left"/>
    </xf>
    <xf numFmtId="2" fontId="15" fillId="26" borderId="0" xfId="13" applyNumberFormat="1" applyFont="1" applyFill="1" applyAlignment="1">
      <alignment horizontal="left"/>
    </xf>
    <xf numFmtId="0" fontId="115" fillId="26" borderId="0" xfId="13" applyFont="1" applyFill="1"/>
    <xf numFmtId="0" fontId="116" fillId="26" borderId="12" xfId="13" applyFont="1" applyFill="1" applyBorder="1" applyAlignment="1">
      <alignment horizontal="left" indent="1"/>
    </xf>
    <xf numFmtId="2" fontId="117" fillId="26" borderId="0" xfId="13" applyNumberFormat="1" applyFont="1" applyFill="1" applyAlignment="1">
      <alignment horizontal="right"/>
    </xf>
    <xf numFmtId="0" fontId="116" fillId="26" borderId="13" xfId="13" applyFont="1" applyFill="1" applyBorder="1"/>
    <xf numFmtId="0" fontId="15" fillId="26" borderId="13" xfId="13" applyFont="1" applyFill="1" applyBorder="1"/>
    <xf numFmtId="0" fontId="15" fillId="26" borderId="31" xfId="13" applyFont="1" applyFill="1" applyBorder="1" applyAlignment="1">
      <alignment horizontal="left" indent="1"/>
    </xf>
    <xf numFmtId="0" fontId="15" fillId="26" borderId="8" xfId="13" applyFont="1" applyFill="1" applyBorder="1"/>
    <xf numFmtId="0" fontId="15" fillId="26" borderId="14" xfId="13" applyFont="1" applyFill="1" applyBorder="1"/>
    <xf numFmtId="0" fontId="107" fillId="6" borderId="0" xfId="13" applyFont="1" applyFill="1" applyAlignment="1">
      <alignment vertical="center"/>
    </xf>
    <xf numFmtId="0" fontId="104" fillId="6" borderId="0" xfId="13" applyFont="1" applyFill="1" applyAlignment="1">
      <alignment vertical="center"/>
    </xf>
    <xf numFmtId="0" fontId="118" fillId="6" borderId="0" xfId="13" applyFont="1" applyFill="1"/>
    <xf numFmtId="0" fontId="116" fillId="6" borderId="0" xfId="13" applyFont="1" applyFill="1" applyAlignment="1">
      <alignment vertical="center"/>
    </xf>
    <xf numFmtId="0" fontId="104" fillId="26" borderId="9" xfId="13" applyFont="1" applyFill="1" applyBorder="1" applyAlignment="1">
      <alignment horizontal="left" vertical="center" indent="1"/>
    </xf>
    <xf numFmtId="0" fontId="104" fillId="26" borderId="10" xfId="13" applyFont="1" applyFill="1" applyBorder="1" applyAlignment="1">
      <alignment vertical="center"/>
    </xf>
    <xf numFmtId="0" fontId="104" fillId="26" borderId="11" xfId="13" applyFont="1" applyFill="1" applyBorder="1" applyAlignment="1">
      <alignment vertical="center"/>
    </xf>
    <xf numFmtId="0" fontId="9" fillId="6" borderId="0" xfId="20" applyFill="1" applyBorder="1"/>
    <xf numFmtId="0" fontId="105" fillId="26" borderId="12" xfId="13" applyFont="1" applyFill="1" applyBorder="1" applyAlignment="1">
      <alignment horizontal="left" vertical="center" indent="1"/>
    </xf>
    <xf numFmtId="0" fontId="104" fillId="26" borderId="0" xfId="13" applyFont="1" applyFill="1" applyAlignment="1">
      <alignment vertical="center"/>
    </xf>
    <xf numFmtId="9" fontId="104" fillId="26" borderId="0" xfId="13" applyNumberFormat="1" applyFont="1" applyFill="1" applyAlignment="1">
      <alignment vertical="center"/>
    </xf>
    <xf numFmtId="0" fontId="104" fillId="26" borderId="13" xfId="13" applyFont="1" applyFill="1" applyBorder="1" applyAlignment="1">
      <alignment vertical="center"/>
    </xf>
    <xf numFmtId="0" fontId="104" fillId="26" borderId="12" xfId="13" applyFont="1" applyFill="1" applyBorder="1" applyAlignment="1">
      <alignment horizontal="left" vertical="center" indent="1"/>
    </xf>
    <xf numFmtId="0" fontId="105" fillId="6" borderId="0" xfId="13" applyFont="1" applyFill="1" applyAlignment="1">
      <alignment horizontal="center" vertical="center"/>
    </xf>
    <xf numFmtId="4" fontId="104" fillId="26" borderId="0" xfId="13" applyNumberFormat="1" applyFont="1" applyFill="1"/>
    <xf numFmtId="0" fontId="104" fillId="26" borderId="31" xfId="13" applyFont="1" applyFill="1" applyBorder="1" applyAlignment="1">
      <alignment horizontal="left" vertical="center" indent="1"/>
    </xf>
    <xf numFmtId="0" fontId="104" fillId="26" borderId="8" xfId="13" applyFont="1" applyFill="1" applyBorder="1" applyAlignment="1">
      <alignment vertical="center"/>
    </xf>
    <xf numFmtId="0" fontId="119" fillId="3" borderId="8" xfId="2" applyFont="1" applyBorder="1" applyAlignment="1">
      <alignment vertical="center"/>
    </xf>
    <xf numFmtId="0" fontId="120" fillId="26" borderId="8" xfId="13" applyFont="1" applyFill="1" applyBorder="1" applyAlignment="1">
      <alignment vertical="center"/>
    </xf>
    <xf numFmtId="0" fontId="120" fillId="26" borderId="14" xfId="13" applyFont="1" applyFill="1" applyBorder="1" applyAlignment="1">
      <alignment vertical="center"/>
    </xf>
    <xf numFmtId="0" fontId="15" fillId="6" borderId="0" xfId="13" applyFont="1" applyFill="1" applyAlignment="1">
      <alignment horizontal="center" vertical="center"/>
    </xf>
    <xf numFmtId="2" fontId="33" fillId="6" borderId="0" xfId="13" quotePrefix="1" applyNumberFormat="1" applyFont="1" applyFill="1" applyAlignment="1">
      <alignment horizontal="center"/>
    </xf>
    <xf numFmtId="0" fontId="33" fillId="26" borderId="68" xfId="13" applyFont="1" applyFill="1" applyBorder="1" applyAlignment="1">
      <alignment vertical="top"/>
    </xf>
    <xf numFmtId="166" fontId="15" fillId="26" borderId="10" xfId="13" applyNumberFormat="1" applyFont="1" applyFill="1" applyBorder="1"/>
    <xf numFmtId="166" fontId="33" fillId="26" borderId="31" xfId="13" applyNumberFormat="1" applyFont="1" applyFill="1" applyBorder="1"/>
    <xf numFmtId="166" fontId="33" fillId="26" borderId="8" xfId="13" applyNumberFormat="1" applyFont="1" applyFill="1" applyBorder="1"/>
    <xf numFmtId="166" fontId="33" fillId="26" borderId="14" xfId="13" applyNumberFormat="1" applyFont="1" applyFill="1" applyBorder="1"/>
    <xf numFmtId="0" fontId="122" fillId="6" borderId="0" xfId="13" applyFont="1" applyFill="1"/>
    <xf numFmtId="0" fontId="105" fillId="10" borderId="69" xfId="13" applyFont="1" applyFill="1" applyBorder="1"/>
    <xf numFmtId="0" fontId="123" fillId="10" borderId="70" xfId="13" applyFont="1" applyFill="1" applyBorder="1"/>
    <xf numFmtId="0" fontId="104" fillId="10" borderId="70" xfId="13" applyFont="1" applyFill="1" applyBorder="1"/>
    <xf numFmtId="0" fontId="104" fillId="10" borderId="71" xfId="13" applyFont="1" applyFill="1" applyBorder="1"/>
    <xf numFmtId="0" fontId="110" fillId="6" borderId="0" xfId="13" applyFont="1" applyFill="1" applyAlignment="1">
      <alignment horizontal="right"/>
    </xf>
    <xf numFmtId="0" fontId="118" fillId="10" borderId="72" xfId="13" applyFont="1" applyFill="1" applyBorder="1"/>
    <xf numFmtId="0" fontId="123" fillId="10" borderId="0" xfId="13" applyFont="1" applyFill="1"/>
    <xf numFmtId="0" fontId="104" fillId="10" borderId="0" xfId="13" applyFont="1" applyFill="1"/>
    <xf numFmtId="0" fontId="9" fillId="10" borderId="73" xfId="6" applyFill="1" applyBorder="1"/>
    <xf numFmtId="166" fontId="107" fillId="26" borderId="68" xfId="13" applyNumberFormat="1" applyFont="1" applyFill="1" applyBorder="1"/>
    <xf numFmtId="166" fontId="107" fillId="26" borderId="74" xfId="13" applyNumberFormat="1" applyFont="1" applyFill="1" applyBorder="1"/>
    <xf numFmtId="166" fontId="107" fillId="26" borderId="75" xfId="13" applyNumberFormat="1" applyFont="1" applyFill="1" applyBorder="1"/>
    <xf numFmtId="0" fontId="105" fillId="10" borderId="76" xfId="13" applyFont="1" applyFill="1" applyBorder="1"/>
    <xf numFmtId="0" fontId="106" fillId="10" borderId="77" xfId="13" applyFont="1" applyFill="1" applyBorder="1"/>
    <xf numFmtId="0" fontId="104" fillId="10" borderId="77" xfId="13" applyFont="1" applyFill="1" applyBorder="1"/>
    <xf numFmtId="0" fontId="104" fillId="10" borderId="78" xfId="13" applyFont="1" applyFill="1" applyBorder="1"/>
    <xf numFmtId="164" fontId="104" fillId="6" borderId="0" xfId="13" applyNumberFormat="1" applyFont="1" applyFill="1"/>
    <xf numFmtId="0" fontId="56" fillId="6" borderId="0" xfId="13" applyFill="1" applyAlignment="1">
      <alignment vertical="top"/>
    </xf>
    <xf numFmtId="183" fontId="107" fillId="26" borderId="22" xfId="13" applyNumberFormat="1" applyFont="1" applyFill="1" applyBorder="1"/>
    <xf numFmtId="2" fontId="72" fillId="18" borderId="64" xfId="18" quotePrefix="1" applyNumberFormat="1" applyBorder="1" applyAlignment="1">
      <alignment horizontal="center" vertical="center"/>
    </xf>
    <xf numFmtId="0" fontId="72" fillId="18" borderId="0" xfId="18" applyAlignment="1">
      <alignment horizontal="center" vertical="center"/>
    </xf>
    <xf numFmtId="2" fontId="72" fillId="18" borderId="2" xfId="18" applyNumberFormat="1" applyBorder="1" applyAlignment="1">
      <alignment horizontal="left" vertical="center"/>
    </xf>
    <xf numFmtId="0" fontId="72" fillId="18" borderId="0" xfId="18"/>
    <xf numFmtId="2" fontId="72" fillId="18" borderId="67" xfId="18" applyNumberFormat="1" applyBorder="1" applyAlignment="1">
      <alignment horizontal="center" vertical="center"/>
    </xf>
    <xf numFmtId="2" fontId="72" fillId="18" borderId="12" xfId="18" applyNumberFormat="1" applyBorder="1" applyAlignment="1">
      <alignment horizontal="center" vertical="center"/>
    </xf>
    <xf numFmtId="2" fontId="72" fillId="18" borderId="0" xfId="18" applyNumberFormat="1" applyAlignment="1">
      <alignment horizontal="center" vertical="center"/>
    </xf>
    <xf numFmtId="0" fontId="4" fillId="3" borderId="0" xfId="2" applyAlignment="1">
      <alignment horizontal="left"/>
    </xf>
    <xf numFmtId="0" fontId="76" fillId="7" borderId="8" xfId="0" applyFont="1" applyFill="1" applyBorder="1" applyAlignment="1">
      <alignment wrapText="1"/>
    </xf>
    <xf numFmtId="0" fontId="4" fillId="3" borderId="8" xfId="2" applyBorder="1" applyAlignment="1">
      <alignment horizontal="left"/>
    </xf>
    <xf numFmtId="0" fontId="10" fillId="7" borderId="61" xfId="0" applyFont="1" applyFill="1" applyBorder="1"/>
    <xf numFmtId="0" fontId="10" fillId="7" borderId="49" xfId="0" applyFont="1" applyFill="1" applyBorder="1" applyAlignment="1">
      <alignment wrapText="1"/>
    </xf>
    <xf numFmtId="0" fontId="10" fillId="7" borderId="12" xfId="0" applyFont="1" applyFill="1" applyBorder="1"/>
    <xf numFmtId="0" fontId="10" fillId="7" borderId="13" xfId="0" applyFont="1" applyFill="1" applyBorder="1" applyAlignment="1">
      <alignment wrapText="1"/>
    </xf>
    <xf numFmtId="0" fontId="10" fillId="7" borderId="31" xfId="0" applyFont="1" applyFill="1" applyBorder="1"/>
    <xf numFmtId="0" fontId="10" fillId="7" borderId="8" xfId="0" applyFont="1" applyFill="1" applyBorder="1"/>
    <xf numFmtId="0" fontId="10" fillId="7" borderId="14" xfId="0" applyFont="1" applyFill="1" applyBorder="1" applyAlignment="1">
      <alignment wrapText="1"/>
    </xf>
    <xf numFmtId="0" fontId="125" fillId="11" borderId="9" xfId="0" applyFont="1" applyFill="1" applyBorder="1"/>
    <xf numFmtId="0" fontId="10" fillId="11" borderId="10" xfId="0" applyFont="1" applyFill="1" applyBorder="1"/>
    <xf numFmtId="0" fontId="10" fillId="11" borderId="11" xfId="0" applyFont="1" applyFill="1" applyBorder="1"/>
    <xf numFmtId="0" fontId="10" fillId="11" borderId="12" xfId="0" applyFont="1" applyFill="1" applyBorder="1"/>
    <xf numFmtId="0" fontId="10" fillId="11" borderId="13" xfId="0" applyFont="1" applyFill="1" applyBorder="1"/>
    <xf numFmtId="169" fontId="8" fillId="0" borderId="21" xfId="11" applyNumberFormat="1" applyFont="1" applyBorder="1"/>
    <xf numFmtId="169" fontId="8" fillId="0" borderId="34" xfId="11" applyNumberFormat="1" applyFont="1" applyBorder="1"/>
    <xf numFmtId="169" fontId="6" fillId="5" borderId="80" xfId="4" applyNumberFormat="1" applyBorder="1"/>
    <xf numFmtId="169" fontId="6" fillId="5" borderId="81" xfId="4" applyNumberFormat="1" applyBorder="1"/>
    <xf numFmtId="0" fontId="59" fillId="5" borderId="79" xfId="4" applyFont="1" applyBorder="1"/>
    <xf numFmtId="3" fontId="92" fillId="0" borderId="0" xfId="0" applyNumberFormat="1" applyFont="1" applyAlignment="1">
      <alignment horizontal="center" vertical="center" wrapText="1"/>
    </xf>
    <xf numFmtId="3" fontId="93" fillId="0" borderId="0" xfId="0" applyNumberFormat="1" applyFont="1" applyAlignment="1">
      <alignment horizontal="center" vertical="center" wrapText="1"/>
    </xf>
    <xf numFmtId="0" fontId="126" fillId="0" borderId="2" xfId="0" applyFont="1" applyBorder="1" applyAlignment="1">
      <alignment horizontal="center" vertical="center" wrapText="1"/>
    </xf>
    <xf numFmtId="14" fontId="126" fillId="0" borderId="2" xfId="0" applyNumberFormat="1" applyFont="1" applyBorder="1" applyAlignment="1">
      <alignment horizontal="center" vertical="center" wrapText="1"/>
    </xf>
    <xf numFmtId="175" fontId="75" fillId="28" borderId="82" xfId="0" applyNumberFormat="1" applyFont="1" applyFill="1" applyBorder="1" applyAlignment="1">
      <alignment horizontal="center" vertical="center" wrapText="1"/>
    </xf>
    <xf numFmtId="2" fontId="92" fillId="28" borderId="82" xfId="0" applyNumberFormat="1" applyFont="1" applyFill="1" applyBorder="1" applyAlignment="1">
      <alignment horizontal="center" vertical="center" wrapText="1"/>
    </xf>
    <xf numFmtId="172" fontId="92" fillId="28" borderId="82" xfId="0" applyNumberFormat="1" applyFont="1" applyFill="1" applyBorder="1" applyAlignment="1">
      <alignment horizontal="center" vertical="center" wrapText="1"/>
    </xf>
    <xf numFmtId="0" fontId="127" fillId="10" borderId="2" xfId="0" applyFont="1" applyFill="1" applyBorder="1" applyAlignment="1">
      <alignment horizontal="center" vertical="center" wrapText="1"/>
    </xf>
    <xf numFmtId="3" fontId="126" fillId="0" borderId="2" xfId="0" applyNumberFormat="1" applyFont="1" applyBorder="1" applyAlignment="1">
      <alignment horizontal="center" vertical="center" wrapText="1"/>
    </xf>
    <xf numFmtId="0" fontId="107" fillId="6" borderId="0" xfId="13" applyFont="1" applyFill="1" applyAlignment="1">
      <alignment horizontal="left" vertical="center"/>
    </xf>
    <xf numFmtId="0" fontId="0" fillId="6" borderId="0" xfId="0" quotePrefix="1" applyFill="1"/>
    <xf numFmtId="182" fontId="0" fillId="6" borderId="2" xfId="0" applyNumberFormat="1" applyFill="1" applyBorder="1"/>
    <xf numFmtId="0" fontId="79" fillId="16" borderId="66" xfId="0" applyFont="1" applyFill="1" applyBorder="1" applyAlignment="1">
      <alignment horizontal="justify" vertical="center"/>
    </xf>
    <xf numFmtId="0" fontId="79" fillId="16" borderId="11" xfId="0" applyFont="1" applyFill="1" applyBorder="1" applyAlignment="1">
      <alignment horizontal="justify" vertical="center"/>
    </xf>
    <xf numFmtId="178" fontId="0" fillId="6" borderId="24" xfId="0" applyNumberFormat="1" applyFill="1" applyBorder="1"/>
    <xf numFmtId="179" fontId="0" fillId="6" borderId="24" xfId="0" applyNumberFormat="1" applyFill="1" applyBorder="1"/>
    <xf numFmtId="169" fontId="0" fillId="6" borderId="24" xfId="0" applyNumberFormat="1" applyFill="1" applyBorder="1"/>
    <xf numFmtId="169" fontId="0" fillId="6" borderId="24" xfId="11" applyNumberFormat="1" applyFont="1" applyFill="1" applyBorder="1"/>
    <xf numFmtId="182" fontId="0" fillId="6" borderId="24" xfId="0" applyNumberFormat="1" applyFill="1" applyBorder="1"/>
    <xf numFmtId="169" fontId="0" fillId="6" borderId="21" xfId="11" applyNumberFormat="1" applyFont="1" applyFill="1" applyBorder="1"/>
    <xf numFmtId="169" fontId="0" fillId="6" borderId="34" xfId="11" applyNumberFormat="1" applyFont="1" applyFill="1" applyBorder="1"/>
    <xf numFmtId="167" fontId="0" fillId="0" borderId="0" xfId="0" applyNumberFormat="1"/>
    <xf numFmtId="9" fontId="34" fillId="0" borderId="0" xfId="1" applyFont="1"/>
    <xf numFmtId="9" fontId="0" fillId="0" borderId="0" xfId="1" applyFont="1" applyAlignment="1">
      <alignment wrapText="1"/>
    </xf>
    <xf numFmtId="2" fontId="0" fillId="0" borderId="0" xfId="0" applyNumberFormat="1" applyAlignment="1">
      <alignment wrapText="1"/>
    </xf>
    <xf numFmtId="0" fontId="92" fillId="7" borderId="48" xfId="0" applyFont="1" applyFill="1" applyBorder="1" applyAlignment="1">
      <alignment horizontal="center" vertical="center" wrapText="1"/>
    </xf>
    <xf numFmtId="0" fontId="92" fillId="7" borderId="19" xfId="0" applyFont="1" applyFill="1" applyBorder="1" applyAlignment="1">
      <alignment horizontal="center" vertical="center" wrapText="1"/>
    </xf>
    <xf numFmtId="1" fontId="0" fillId="0" borderId="0" xfId="0" applyNumberFormat="1"/>
    <xf numFmtId="9" fontId="0" fillId="6" borderId="0" xfId="1" applyFont="1" applyFill="1"/>
    <xf numFmtId="9" fontId="0" fillId="6" borderId="2" xfId="1" applyFont="1" applyFill="1" applyBorder="1"/>
    <xf numFmtId="2" fontId="0" fillId="6" borderId="2" xfId="0" applyNumberFormat="1" applyFill="1" applyBorder="1"/>
    <xf numFmtId="175" fontId="92" fillId="7" borderId="2" xfId="0" applyNumberFormat="1" applyFont="1" applyFill="1" applyBorder="1" applyAlignment="1">
      <alignment horizontal="center" vertical="center" wrapText="1"/>
    </xf>
    <xf numFmtId="2" fontId="92" fillId="7" borderId="2" xfId="0" applyNumberFormat="1" applyFont="1" applyFill="1" applyBorder="1" applyAlignment="1">
      <alignment horizontal="center" vertical="center" wrapText="1"/>
    </xf>
    <xf numFmtId="0" fontId="75" fillId="28" borderId="82" xfId="0" applyFont="1" applyFill="1" applyBorder="1" applyAlignment="1">
      <alignment horizontal="center" vertical="center" wrapText="1"/>
    </xf>
    <xf numFmtId="172" fontId="0" fillId="6" borderId="2" xfId="0" applyNumberFormat="1" applyFill="1" applyBorder="1"/>
    <xf numFmtId="169" fontId="0" fillId="6" borderId="0" xfId="0" applyNumberFormat="1" applyFill="1"/>
    <xf numFmtId="9" fontId="6" fillId="5" borderId="5" xfId="4" applyNumberFormat="1" applyAlignment="1">
      <alignment horizontal="right"/>
    </xf>
    <xf numFmtId="0" fontId="53" fillId="6" borderId="0" xfId="0" applyFont="1" applyFill="1"/>
    <xf numFmtId="0" fontId="34" fillId="6" borderId="13" xfId="0" applyFont="1" applyFill="1" applyBorder="1"/>
    <xf numFmtId="0" fontId="4" fillId="3" borderId="0" xfId="2" applyBorder="1" applyAlignment="1">
      <alignment horizontal="center" vertical="center" wrapText="1"/>
    </xf>
    <xf numFmtId="167" fontId="44" fillId="6" borderId="24" xfId="0" applyNumberFormat="1" applyFont="1" applyFill="1" applyBorder="1" applyAlignment="1">
      <alignment horizontal="right" vertical="center" wrapText="1"/>
    </xf>
    <xf numFmtId="0" fontId="93" fillId="10" borderId="52" xfId="0" applyFont="1" applyFill="1" applyBorder="1" applyAlignment="1">
      <alignment vertical="center" wrapText="1"/>
    </xf>
    <xf numFmtId="0" fontId="96" fillId="10" borderId="52" xfId="0" applyFont="1" applyFill="1" applyBorder="1" applyAlignment="1">
      <alignment vertical="center" wrapText="1"/>
    </xf>
    <xf numFmtId="0" fontId="126" fillId="10" borderId="52" xfId="0" applyFont="1" applyFill="1" applyBorder="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101" fillId="0" borderId="0" xfId="0" applyFont="1" applyAlignment="1">
      <alignment horizontal="center" vertical="center" wrapText="1"/>
    </xf>
    <xf numFmtId="0" fontId="127" fillId="0" borderId="0" xfId="0" applyFont="1" applyAlignment="1">
      <alignment horizontal="center" vertical="center" wrapText="1"/>
    </xf>
    <xf numFmtId="9" fontId="130" fillId="29" borderId="0" xfId="0" applyNumberFormat="1" applyFont="1" applyFill="1" applyAlignment="1">
      <alignment horizontal="right"/>
    </xf>
    <xf numFmtId="0" fontId="131" fillId="29" borderId="0" xfId="13" applyFont="1" applyFill="1"/>
    <xf numFmtId="2" fontId="130" fillId="29" borderId="0" xfId="0" applyNumberFormat="1" applyFont="1" applyFill="1" applyAlignment="1">
      <alignment horizontal="right"/>
    </xf>
    <xf numFmtId="2" fontId="132" fillId="30" borderId="0" xfId="13" applyNumberFormat="1" applyFont="1" applyFill="1" applyAlignment="1">
      <alignment horizontal="center"/>
    </xf>
    <xf numFmtId="2" fontId="132" fillId="31" borderId="83" xfId="0" applyNumberFormat="1" applyFont="1" applyFill="1" applyBorder="1"/>
    <xf numFmtId="168" fontId="0" fillId="6" borderId="0" xfId="0" applyNumberFormat="1" applyFill="1"/>
    <xf numFmtId="1" fontId="0" fillId="6" borderId="2" xfId="1" applyNumberFormat="1" applyFont="1" applyFill="1" applyBorder="1"/>
    <xf numFmtId="176" fontId="0" fillId="6" borderId="2" xfId="11" applyNumberFormat="1" applyFont="1" applyFill="1" applyBorder="1"/>
    <xf numFmtId="0" fontId="55" fillId="0" borderId="2" xfId="0" applyFont="1" applyBorder="1"/>
    <xf numFmtId="0" fontId="66" fillId="0" borderId="2" xfId="0" applyFont="1" applyBorder="1"/>
    <xf numFmtId="184" fontId="0" fillId="6" borderId="2" xfId="0" applyNumberFormat="1" applyFill="1" applyBorder="1"/>
    <xf numFmtId="181" fontId="0" fillId="6" borderId="2" xfId="0" applyNumberFormat="1" applyFill="1" applyBorder="1"/>
    <xf numFmtId="0" fontId="0" fillId="6" borderId="10" xfId="0" applyFill="1" applyBorder="1"/>
    <xf numFmtId="0" fontId="0" fillId="10" borderId="27" xfId="0" applyFill="1" applyBorder="1"/>
    <xf numFmtId="0" fontId="0" fillId="10" borderId="28" xfId="0" applyFill="1" applyBorder="1"/>
    <xf numFmtId="0" fontId="4" fillId="3" borderId="0" xfId="2" applyBorder="1"/>
    <xf numFmtId="169" fontId="0" fillId="6" borderId="19" xfId="0" applyNumberFormat="1" applyFill="1" applyBorder="1"/>
    <xf numFmtId="181" fontId="0" fillId="6" borderId="19" xfId="0" applyNumberFormat="1" applyFill="1" applyBorder="1"/>
    <xf numFmtId="0" fontId="8" fillId="6" borderId="45" xfId="0" applyFont="1" applyFill="1" applyBorder="1"/>
    <xf numFmtId="0" fontId="0" fillId="6" borderId="47" xfId="0" applyFill="1" applyBorder="1"/>
    <xf numFmtId="169" fontId="0" fillId="6" borderId="2" xfId="0" applyNumberFormat="1" applyFill="1" applyBorder="1" applyAlignment="1">
      <alignment horizontal="left" indent="5"/>
    </xf>
    <xf numFmtId="169" fontId="0" fillId="6" borderId="2" xfId="0" applyNumberFormat="1" applyFill="1" applyBorder="1" applyAlignment="1">
      <alignment horizontal="center"/>
    </xf>
    <xf numFmtId="169" fontId="0" fillId="6" borderId="21" xfId="0" applyNumberFormat="1" applyFill="1" applyBorder="1"/>
    <xf numFmtId="0" fontId="4" fillId="3" borderId="9" xfId="2" applyBorder="1" applyAlignment="1"/>
    <xf numFmtId="0" fontId="4" fillId="3" borderId="10" xfId="2" applyBorder="1" applyAlignment="1"/>
    <xf numFmtId="0" fontId="4" fillId="3" borderId="11" xfId="2" applyBorder="1" applyAlignment="1"/>
    <xf numFmtId="0" fontId="4" fillId="3" borderId="45" xfId="2" applyBorder="1"/>
    <xf numFmtId="0" fontId="4" fillId="3" borderId="27" xfId="2" applyBorder="1"/>
    <xf numFmtId="0" fontId="4" fillId="3" borderId="13" xfId="2" applyBorder="1"/>
    <xf numFmtId="0" fontId="79" fillId="0" borderId="0" xfId="0" applyFont="1" applyAlignment="1">
      <alignment horizontal="justify" vertical="center"/>
    </xf>
    <xf numFmtId="0" fontId="0" fillId="0" borderId="0" xfId="0" applyAlignment="1">
      <alignment horizontal="left"/>
    </xf>
    <xf numFmtId="178" fontId="0" fillId="0" borderId="0" xfId="0" applyNumberFormat="1"/>
    <xf numFmtId="0" fontId="0" fillId="0" borderId="0" xfId="0" applyAlignment="1">
      <alignment horizontal="left" vertical="center"/>
    </xf>
    <xf numFmtId="169" fontId="1" fillId="0" borderId="0" xfId="11" applyNumberFormat="1" applyFont="1" applyFill="1" applyBorder="1"/>
    <xf numFmtId="169" fontId="0" fillId="0" borderId="0" xfId="11" applyNumberFormat="1" applyFont="1" applyFill="1" applyBorder="1"/>
    <xf numFmtId="169" fontId="0" fillId="0" borderId="0" xfId="0" applyNumberFormat="1"/>
    <xf numFmtId="1" fontId="0" fillId="0" borderId="0" xfId="1" applyNumberFormat="1" applyFont="1" applyFill="1" applyBorder="1"/>
    <xf numFmtId="182" fontId="0" fillId="0" borderId="0" xfId="0" applyNumberFormat="1"/>
    <xf numFmtId="1" fontId="0" fillId="6" borderId="2" xfId="0" applyNumberFormat="1" applyFill="1" applyBorder="1"/>
    <xf numFmtId="1" fontId="0" fillId="0" borderId="2" xfId="11" applyNumberFormat="1" applyFont="1" applyBorder="1"/>
    <xf numFmtId="1" fontId="8" fillId="0" borderId="21" xfId="11" applyNumberFormat="1" applyFont="1" applyBorder="1"/>
    <xf numFmtId="0" fontId="4" fillId="3" borderId="25" xfId="2" applyBorder="1" applyAlignment="1">
      <alignment wrapText="1"/>
    </xf>
    <xf numFmtId="0" fontId="0" fillId="10" borderId="27" xfId="0" applyFill="1" applyBorder="1" applyAlignment="1">
      <alignment wrapText="1"/>
    </xf>
    <xf numFmtId="0" fontId="4" fillId="3" borderId="27" xfId="2" applyBorder="1" applyAlignment="1">
      <alignment wrapText="1"/>
    </xf>
    <xf numFmtId="0" fontId="0" fillId="10" borderId="25" xfId="0" applyFill="1" applyBorder="1" applyAlignment="1">
      <alignment wrapText="1"/>
    </xf>
    <xf numFmtId="0" fontId="8" fillId="12" borderId="27" xfId="0" applyFont="1" applyFill="1" applyBorder="1" applyAlignment="1">
      <alignment wrapText="1"/>
    </xf>
    <xf numFmtId="0" fontId="79" fillId="16" borderId="84" xfId="0" applyFont="1" applyFill="1" applyBorder="1" applyAlignment="1">
      <alignment horizontal="left" vertical="center"/>
    </xf>
    <xf numFmtId="0" fontId="79" fillId="16" borderId="85" xfId="0" applyFont="1" applyFill="1" applyBorder="1" applyAlignment="1">
      <alignment horizontal="left" vertical="center"/>
    </xf>
    <xf numFmtId="0" fontId="79" fillId="16" borderId="86" xfId="0" applyFont="1" applyFill="1" applyBorder="1" applyAlignment="1">
      <alignment horizontal="left" vertical="center"/>
    </xf>
    <xf numFmtId="169" fontId="0" fillId="6" borderId="12" xfId="11" applyNumberFormat="1" applyFont="1" applyFill="1" applyBorder="1"/>
    <xf numFmtId="169" fontId="0" fillId="6" borderId="0" xfId="11" applyNumberFormat="1" applyFont="1" applyFill="1" applyBorder="1"/>
    <xf numFmtId="169" fontId="0" fillId="6" borderId="13" xfId="11" applyNumberFormat="1" applyFont="1" applyFill="1" applyBorder="1"/>
    <xf numFmtId="169" fontId="129" fillId="0" borderId="0" xfId="11" applyNumberFormat="1" applyFont="1" applyBorder="1" applyAlignment="1">
      <alignment vertical="center" wrapText="1"/>
    </xf>
    <xf numFmtId="0" fontId="129" fillId="0" borderId="88" xfId="0" applyFont="1" applyBorder="1" applyAlignment="1">
      <alignment horizontal="left" vertical="center"/>
    </xf>
    <xf numFmtId="0" fontId="129" fillId="0" borderId="31" xfId="0" applyFont="1" applyBorder="1" applyAlignment="1">
      <alignment horizontal="left" vertical="center"/>
    </xf>
    <xf numFmtId="169" fontId="0" fillId="6" borderId="8" xfId="11" applyNumberFormat="1" applyFont="1" applyFill="1" applyBorder="1"/>
    <xf numFmtId="169" fontId="0" fillId="6" borderId="14" xfId="11" applyNumberFormat="1" applyFont="1" applyFill="1" applyBorder="1"/>
    <xf numFmtId="169" fontId="0" fillId="6" borderId="12" xfId="0" applyNumberFormat="1" applyFill="1" applyBorder="1"/>
    <xf numFmtId="9" fontId="0" fillId="6" borderId="13" xfId="1" applyFont="1" applyFill="1" applyBorder="1"/>
    <xf numFmtId="169" fontId="0" fillId="6" borderId="31" xfId="0" applyNumberFormat="1" applyFill="1" applyBorder="1"/>
    <xf numFmtId="9" fontId="0" fillId="6" borderId="14" xfId="1" applyFont="1" applyFill="1" applyBorder="1"/>
    <xf numFmtId="0" fontId="37" fillId="6" borderId="0" xfId="0" quotePrefix="1" applyFont="1" applyFill="1"/>
    <xf numFmtId="0" fontId="37" fillId="6" borderId="0" xfId="0" applyFont="1" applyFill="1"/>
    <xf numFmtId="43" fontId="0" fillId="6" borderId="0" xfId="0" applyNumberFormat="1" applyFill="1"/>
    <xf numFmtId="185" fontId="0" fillId="6" borderId="0" xfId="0" applyNumberFormat="1" applyFill="1"/>
    <xf numFmtId="0" fontId="0" fillId="6" borderId="33" xfId="0" applyFill="1" applyBorder="1" applyAlignment="1">
      <alignment horizontal="center"/>
    </xf>
    <xf numFmtId="0" fontId="0" fillId="6" borderId="52" xfId="0" applyFill="1" applyBorder="1" applyAlignment="1">
      <alignment horizontal="center"/>
    </xf>
    <xf numFmtId="0" fontId="11" fillId="12" borderId="45" xfId="0" applyFont="1" applyFill="1" applyBorder="1" applyAlignment="1">
      <alignment horizontal="center" vertical="center" wrapText="1"/>
    </xf>
    <xf numFmtId="0" fontId="11" fillId="12" borderId="54" xfId="0" applyFont="1" applyFill="1" applyBorder="1" applyAlignment="1">
      <alignment horizontal="center" vertical="center" wrapText="1"/>
    </xf>
    <xf numFmtId="0" fontId="129" fillId="0" borderId="87" xfId="0" applyFont="1" applyBorder="1" applyAlignment="1">
      <alignment horizontal="left" vertical="center"/>
    </xf>
    <xf numFmtId="0" fontId="129" fillId="0" borderId="88" xfId="0" applyFont="1" applyBorder="1" applyAlignment="1">
      <alignment horizontal="left" vertical="center"/>
    </xf>
    <xf numFmtId="0" fontId="8" fillId="6" borderId="0" xfId="0" applyFont="1" applyFill="1" applyAlignment="1">
      <alignment horizontal="center"/>
    </xf>
    <xf numFmtId="0" fontId="0" fillId="6" borderId="56" xfId="0" applyFill="1" applyBorder="1" applyAlignment="1">
      <alignment horizontal="left" vertical="center"/>
    </xf>
    <xf numFmtId="0" fontId="0" fillId="6" borderId="17" xfId="0" applyFill="1" applyBorder="1" applyAlignment="1">
      <alignment horizontal="left" vertical="center"/>
    </xf>
    <xf numFmtId="0" fontId="4" fillId="3" borderId="0" xfId="2" applyAlignment="1">
      <alignment horizontal="center"/>
    </xf>
    <xf numFmtId="0" fontId="103" fillId="23" borderId="0" xfId="22" applyAlignment="1">
      <alignment horizontal="center"/>
    </xf>
    <xf numFmtId="0" fontId="0" fillId="6" borderId="12" xfId="0" applyFill="1" applyBorder="1" applyAlignment="1">
      <alignment horizontal="right"/>
    </xf>
    <xf numFmtId="0" fontId="0" fillId="6" borderId="0" xfId="0" applyFill="1" applyAlignment="1">
      <alignment horizontal="right"/>
    </xf>
    <xf numFmtId="0" fontId="11" fillId="14" borderId="62" xfId="0" applyFont="1" applyFill="1" applyBorder="1" applyAlignment="1">
      <alignment horizontal="right" vertical="center" wrapText="1"/>
    </xf>
    <xf numFmtId="0" fontId="11" fillId="14" borderId="53" xfId="0" applyFont="1" applyFill="1" applyBorder="1" applyAlignment="1">
      <alignment horizontal="right" vertical="center" wrapText="1"/>
    </xf>
    <xf numFmtId="0" fontId="11" fillId="14" borderId="49" xfId="0" applyFont="1" applyFill="1" applyBorder="1" applyAlignment="1">
      <alignment horizontal="right" vertical="center" wrapText="1"/>
    </xf>
    <xf numFmtId="0" fontId="0" fillId="6" borderId="56" xfId="0" applyFill="1" applyBorder="1" applyAlignment="1">
      <alignment horizontal="left"/>
    </xf>
    <xf numFmtId="0" fontId="0" fillId="6" borderId="17" xfId="0" applyFill="1" applyBorder="1" applyAlignment="1">
      <alignment horizontal="left"/>
    </xf>
    <xf numFmtId="0" fontId="103" fillId="23" borderId="25" xfId="22" applyBorder="1" applyAlignment="1">
      <alignment horizontal="center"/>
    </xf>
    <xf numFmtId="0" fontId="103" fillId="23" borderId="27" xfId="22" applyBorder="1" applyAlignment="1">
      <alignment horizontal="center"/>
    </xf>
    <xf numFmtId="0" fontId="103" fillId="23" borderId="28" xfId="22" applyBorder="1" applyAlignment="1">
      <alignment horizontal="center"/>
    </xf>
    <xf numFmtId="0" fontId="4" fillId="3" borderId="0" xfId="2" applyBorder="1" applyAlignment="1">
      <alignment horizontal="center" vertical="center" wrapText="1"/>
    </xf>
    <xf numFmtId="0" fontId="102" fillId="0" borderId="0" xfId="0" applyFont="1" applyAlignment="1">
      <alignment horizontal="center"/>
    </xf>
    <xf numFmtId="0" fontId="102" fillId="10" borderId="65" xfId="0" applyFont="1" applyFill="1" applyBorder="1" applyAlignment="1">
      <alignment horizontal="center"/>
    </xf>
    <xf numFmtId="0" fontId="102" fillId="10" borderId="55" xfId="0" applyFont="1" applyFill="1" applyBorder="1" applyAlignment="1">
      <alignment horizontal="center"/>
    </xf>
    <xf numFmtId="0" fontId="103" fillId="23" borderId="8" xfId="22" applyBorder="1" applyAlignment="1">
      <alignment horizontal="center"/>
    </xf>
    <xf numFmtId="0" fontId="0" fillId="6" borderId="33" xfId="0" applyFill="1" applyBorder="1" applyAlignment="1">
      <alignment horizontal="left"/>
    </xf>
    <xf numFmtId="0" fontId="0" fillId="6" borderId="52" xfId="0" applyFill="1" applyBorder="1" applyAlignment="1">
      <alignment horizontal="left"/>
    </xf>
    <xf numFmtId="0" fontId="69" fillId="15" borderId="12" xfId="0" applyFont="1" applyFill="1" applyBorder="1" applyAlignment="1">
      <alignment horizontal="right" vertical="top"/>
    </xf>
    <xf numFmtId="0" fontId="69" fillId="15" borderId="0" xfId="0" applyFont="1" applyFill="1" applyAlignment="1">
      <alignment horizontal="right" vertical="top"/>
    </xf>
    <xf numFmtId="0" fontId="69" fillId="15" borderId="12" xfId="0" applyFont="1" applyFill="1" applyBorder="1" applyAlignment="1">
      <alignment horizontal="right" vertical="top" wrapText="1"/>
    </xf>
    <xf numFmtId="0" fontId="69" fillId="15" borderId="0" xfId="0" applyFont="1" applyFill="1" applyAlignment="1">
      <alignment horizontal="right" vertical="top" wrapText="1"/>
    </xf>
    <xf numFmtId="0" fontId="0" fillId="15" borderId="0" xfId="0" applyFill="1" applyAlignment="1">
      <alignment horizontal="center" vertical="top" wrapText="1"/>
    </xf>
    <xf numFmtId="0" fontId="0" fillId="15" borderId="13" xfId="0" applyFill="1" applyBorder="1" applyAlignment="1">
      <alignment horizontal="center" vertical="top" wrapText="1"/>
    </xf>
    <xf numFmtId="0" fontId="37" fillId="6" borderId="33" xfId="0" applyFont="1" applyFill="1" applyBorder="1" applyAlignment="1">
      <alignment horizontal="center"/>
    </xf>
    <xf numFmtId="0" fontId="37" fillId="6" borderId="48" xfId="0" applyFont="1" applyFill="1" applyBorder="1" applyAlignment="1">
      <alignment horizontal="center"/>
    </xf>
    <xf numFmtId="0" fontId="37" fillId="6" borderId="52" xfId="0" applyFont="1" applyFill="1" applyBorder="1" applyAlignment="1">
      <alignment horizontal="center"/>
    </xf>
    <xf numFmtId="0" fontId="44" fillId="6" borderId="36" xfId="0" applyFont="1" applyFill="1" applyBorder="1" applyAlignment="1">
      <alignment horizontal="left" vertical="center" wrapText="1"/>
    </xf>
    <xf numFmtId="0" fontId="44" fillId="6" borderId="37" xfId="0" applyFont="1" applyFill="1" applyBorder="1" applyAlignment="1">
      <alignment horizontal="left" vertical="center" wrapText="1"/>
    </xf>
    <xf numFmtId="0" fontId="44" fillId="6" borderId="33" xfId="0" applyFont="1" applyFill="1" applyBorder="1" applyAlignment="1">
      <alignment horizontal="left" vertical="center" wrapText="1"/>
    </xf>
    <xf numFmtId="0" fontId="44" fillId="6" borderId="35" xfId="0" applyFont="1" applyFill="1" applyBorder="1" applyAlignment="1">
      <alignment horizontal="left" vertical="center" wrapText="1"/>
    </xf>
    <xf numFmtId="0" fontId="44" fillId="6" borderId="25" xfId="0" applyFont="1" applyFill="1" applyBorder="1" applyAlignment="1">
      <alignment horizontal="left" vertical="center" wrapText="1"/>
    </xf>
    <xf numFmtId="0" fontId="44" fillId="6" borderId="19" xfId="0" applyFont="1" applyFill="1" applyBorder="1" applyAlignment="1">
      <alignment horizontal="left" vertical="center" wrapText="1"/>
    </xf>
    <xf numFmtId="0" fontId="44" fillId="6" borderId="20" xfId="0" applyFont="1" applyFill="1" applyBorder="1" applyAlignment="1">
      <alignment horizontal="left" vertical="center" wrapText="1"/>
    </xf>
    <xf numFmtId="0" fontId="44" fillId="6" borderId="21" xfId="0" applyFont="1" applyFill="1" applyBorder="1" applyAlignment="1">
      <alignment horizontal="left" vertical="center" wrapText="1"/>
    </xf>
    <xf numFmtId="0" fontId="44" fillId="6" borderId="34" xfId="0" applyFont="1" applyFill="1" applyBorder="1" applyAlignment="1">
      <alignment horizontal="left" vertical="center" wrapText="1"/>
    </xf>
    <xf numFmtId="0" fontId="44" fillId="6" borderId="2" xfId="0" applyFont="1" applyFill="1" applyBorder="1" applyAlignment="1">
      <alignment horizontal="left" vertical="center" wrapText="1"/>
    </xf>
    <xf numFmtId="0" fontId="96" fillId="10" borderId="0" xfId="0" applyFont="1" applyFill="1" applyAlignment="1">
      <alignment horizontal="center" vertical="center" wrapText="1"/>
    </xf>
    <xf numFmtId="0" fontId="93" fillId="10" borderId="2" xfId="0" applyFont="1" applyFill="1" applyBorder="1" applyAlignment="1">
      <alignment horizontal="left" vertical="center" wrapText="1"/>
    </xf>
    <xf numFmtId="0" fontId="95" fillId="0" borderId="0" xfId="0" applyFont="1" applyAlignment="1">
      <alignment horizontal="center" vertical="center" wrapText="1"/>
    </xf>
    <xf numFmtId="0" fontId="33" fillId="25" borderId="66" xfId="13" applyFont="1" applyFill="1" applyBorder="1" applyAlignment="1">
      <alignment horizontal="right" vertical="center" textRotation="180"/>
    </xf>
    <xf numFmtId="0" fontId="33" fillId="25" borderId="64" xfId="13" applyFont="1" applyFill="1" applyBorder="1" applyAlignment="1">
      <alignment horizontal="right" vertical="center" textRotation="180"/>
    </xf>
    <xf numFmtId="0" fontId="33" fillId="25" borderId="32" xfId="13" applyFont="1" applyFill="1" applyBorder="1" applyAlignment="1">
      <alignment horizontal="right" vertical="center" textRotation="180"/>
    </xf>
    <xf numFmtId="0" fontId="121" fillId="6" borderId="0" xfId="13" applyFont="1" applyFill="1" applyAlignment="1">
      <alignment horizontal="center"/>
    </xf>
    <xf numFmtId="0" fontId="108" fillId="6" borderId="0" xfId="13" applyFont="1" applyFill="1" applyAlignment="1">
      <alignment horizontal="center"/>
    </xf>
    <xf numFmtId="0" fontId="124" fillId="6" borderId="0" xfId="13" applyFont="1" applyFill="1" applyAlignment="1">
      <alignment horizontal="center"/>
    </xf>
    <xf numFmtId="0" fontId="104" fillId="6" borderId="0" xfId="13" applyFont="1" applyFill="1" applyAlignment="1">
      <alignment horizontal="center"/>
    </xf>
    <xf numFmtId="0" fontId="49" fillId="2" borderId="9" xfId="0" applyFont="1" applyFill="1" applyBorder="1" applyAlignment="1">
      <alignment horizontal="center" vertical="top"/>
    </xf>
    <xf numFmtId="0" fontId="49" fillId="2" borderId="10" xfId="0" applyFont="1" applyFill="1" applyBorder="1" applyAlignment="1">
      <alignment horizontal="center" vertical="top"/>
    </xf>
    <xf numFmtId="0" fontId="49" fillId="2" borderId="11" xfId="0" applyFont="1" applyFill="1" applyBorder="1" applyAlignment="1">
      <alignment horizontal="center" vertical="top"/>
    </xf>
    <xf numFmtId="0" fontId="10" fillId="11" borderId="41" xfId="0" applyFont="1" applyFill="1" applyBorder="1" applyAlignment="1">
      <alignment horizontal="center" vertical="center" wrapText="1"/>
    </xf>
    <xf numFmtId="0" fontId="10" fillId="11" borderId="3" xfId="0" applyFont="1" applyFill="1" applyBorder="1" applyAlignment="1">
      <alignment horizontal="center" vertical="center" wrapText="1"/>
    </xf>
    <xf numFmtId="0" fontId="10" fillId="19" borderId="0" xfId="0" quotePrefix="1" applyFont="1" applyFill="1" applyAlignment="1">
      <alignment horizontal="left" wrapText="1"/>
    </xf>
    <xf numFmtId="0" fontId="10" fillId="19" borderId="3" xfId="0" quotePrefix="1" applyFont="1" applyFill="1" applyBorder="1" applyAlignment="1">
      <alignment horizontal="left" wrapText="1"/>
    </xf>
    <xf numFmtId="0" fontId="39" fillId="6" borderId="9" xfId="0" applyFont="1" applyFill="1" applyBorder="1" applyAlignment="1">
      <alignment vertical="center" wrapText="1"/>
    </xf>
    <xf numFmtId="0" fontId="39" fillId="6" borderId="10" xfId="0" applyFont="1" applyFill="1" applyBorder="1" applyAlignment="1">
      <alignment vertical="center" wrapText="1"/>
    </xf>
    <xf numFmtId="0" fontId="39" fillId="6" borderId="11" xfId="0" applyFont="1" applyFill="1" applyBorder="1" applyAlignment="1">
      <alignment vertical="center" wrapText="1"/>
    </xf>
    <xf numFmtId="0" fontId="8" fillId="0" borderId="19" xfId="0" applyFont="1" applyBorder="1" applyAlignment="1">
      <alignment wrapText="1"/>
    </xf>
    <xf numFmtId="0" fontId="8" fillId="0" borderId="20" xfId="0" applyFont="1" applyBorder="1" applyAlignment="1">
      <alignment wrapText="1"/>
    </xf>
  </cellXfs>
  <cellStyles count="23">
    <cellStyle name="Bad" xfId="18" builtinId="27"/>
    <cellStyle name="Calculation" xfId="4" builtinId="22"/>
    <cellStyle name="Comma" xfId="11" builtinId="3"/>
    <cellStyle name="Comma 2" xfId="7" xr:uid="{39D4613F-4685-47F1-A886-7FA5794783BC}"/>
    <cellStyle name="Comma 3" xfId="19" xr:uid="{BE79DA76-80EA-459A-A879-9EDCD01EC31A}"/>
    <cellStyle name="Good" xfId="2" builtinId="26"/>
    <cellStyle name="Hyperlink" xfId="6" builtinId="8"/>
    <cellStyle name="Hyperlink 2" xfId="20" xr:uid="{B600EC9E-DE82-4600-9BBD-5BA06422B727}"/>
    <cellStyle name="Input" xfId="3" builtinId="20"/>
    <cellStyle name="Linked Cell" xfId="5" builtinId="24"/>
    <cellStyle name="Neutral" xfId="22" builtinId="28"/>
    <cellStyle name="Normal" xfId="0" builtinId="0"/>
    <cellStyle name="Normal 13" xfId="12" xr:uid="{EE6BE126-890E-4981-9537-FB3C9B40EA6B}"/>
    <cellStyle name="Normal 2" xfId="10" xr:uid="{E0F30B71-1DAD-4D96-BBFA-8ADC200E6358}"/>
    <cellStyle name="Normal 2 2" xfId="16" xr:uid="{D3761956-1E68-40B5-A8B5-A37F0D6EFFBA}"/>
    <cellStyle name="Normal 3" xfId="13" xr:uid="{3EA9DC8B-61DF-4EED-8DB7-9391BC289BFD}"/>
    <cellStyle name="Normal 4" xfId="15" xr:uid="{616CEE1D-CA8F-453A-B8FA-FD11C5910B71}"/>
    <cellStyle name="Normal 5 2" xfId="14" xr:uid="{F0F6CC47-D3D4-4BFA-AF8A-4799459319D8}"/>
    <cellStyle name="Normal 6" xfId="17" xr:uid="{E3D26DFE-6B4F-445E-8A3F-64483DE3078D}"/>
    <cellStyle name="Output" xfId="9" builtinId="21"/>
    <cellStyle name="Percent" xfId="1" builtinId="5"/>
    <cellStyle name="Percent 2" xfId="8" xr:uid="{B8D5CF5D-4141-4295-94C4-7A6E7434EB61}"/>
    <cellStyle name="Percent 3" xfId="21" xr:uid="{DC18E097-F4BE-4063-8A1E-2B2B2534DB79}"/>
  </cellStyles>
  <dxfs count="488">
    <dxf>
      <font>
        <color rgb="FF9C0006"/>
      </font>
      <fill>
        <patternFill>
          <bgColor rgb="FFFFC7CE"/>
        </patternFill>
      </fill>
    </dxf>
    <dxf>
      <font>
        <b/>
        <i val="0"/>
        <strike val="0"/>
        <color rgb="FFC0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172" formatCode="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numFmt numFmtId="2" formatCode="0.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family val="2"/>
        <scheme val="none"/>
      </font>
      <numFmt numFmtId="175" formatCode="[$]d\ mmm\ yyyy;@" x16r2:formatCode16="[$-en-UG,1]d\ mmm\ 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Narrow"/>
        <family val="2"/>
        <scheme val="none"/>
      </font>
      <fill>
        <patternFill patternType="none">
          <fgColor indexed="64"/>
          <bgColor auto="1"/>
        </patternFill>
      </fill>
      <alignment horizontal="center"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9"/>
        <color theme="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numFmt numFmtId="2" formatCode="0.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mbria"/>
        <family val="1"/>
        <scheme val="none"/>
      </font>
      <numFmt numFmtId="2" formatCode="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strike val="0"/>
        <outline val="0"/>
        <shadow val="0"/>
        <u val="none"/>
        <vertAlign val="baseline"/>
        <sz val="11"/>
        <color auto="1"/>
        <name val="Cambria"/>
        <family val="1"/>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mbria"/>
        <family val="1"/>
        <scheme val="none"/>
      </font>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3" defaultTableStyle="TableStyleMedium2" defaultPivotStyle="PivotStyleLight16">
    <tableStyle name="Table Style 1" pivot="0" count="0" xr9:uid="{016093E0-9A99-4B68-BD1F-BF400E0385DE}"/>
    <tableStyle name="Table Style 2" pivot="0" count="0" xr9:uid="{9DD08315-590C-4680-BC82-F4071DDC116F}"/>
    <tableStyle name="Table Style 3" pivot="0" count="0" xr9:uid="{A02DD71F-5B26-4B81-82DD-BEDB7F34AC1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ctrlProps/ctrlProp1.xml><?xml version="1.0" encoding="utf-8"?>
<formControlPr xmlns="http://schemas.microsoft.com/office/spreadsheetml/2009/9/main" objectType="CheckBox" fmlaLink="$S$8" lockText="1" noThreeD="1"/>
</file>

<file path=xl/ctrlProps/ctrlProp10.xml><?xml version="1.0" encoding="utf-8"?>
<formControlPr xmlns="http://schemas.microsoft.com/office/spreadsheetml/2009/9/main" objectType="CheckBox" fmlaLink="$S$17" lockText="1" noThreeD="1"/>
</file>

<file path=xl/ctrlProps/ctrlProp100.xml><?xml version="1.0" encoding="utf-8"?>
<formControlPr xmlns="http://schemas.microsoft.com/office/spreadsheetml/2009/9/main" objectType="CheckBox" fmlaLink="#REF!" lockText="1" noThreeD="1"/>
</file>

<file path=xl/ctrlProps/ctrlProp101.xml><?xml version="1.0" encoding="utf-8"?>
<formControlPr xmlns="http://schemas.microsoft.com/office/spreadsheetml/2009/9/main" objectType="CheckBox" fmlaLink="#REF!" lockText="1" noThreeD="1"/>
</file>

<file path=xl/ctrlProps/ctrlProp102.xml><?xml version="1.0" encoding="utf-8"?>
<formControlPr xmlns="http://schemas.microsoft.com/office/spreadsheetml/2009/9/main" objectType="CheckBox" fmlaLink="#REF!" lockText="1" noThreeD="1"/>
</file>

<file path=xl/ctrlProps/ctrlProp103.xml><?xml version="1.0" encoding="utf-8"?>
<formControlPr xmlns="http://schemas.microsoft.com/office/spreadsheetml/2009/9/main" objectType="CheckBox" fmlaLink="#REF!" lockText="1" noThreeD="1"/>
</file>

<file path=xl/ctrlProps/ctrlProp104.xml><?xml version="1.0" encoding="utf-8"?>
<formControlPr xmlns="http://schemas.microsoft.com/office/spreadsheetml/2009/9/main" objectType="CheckBox" fmlaLink="#REF!"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REF!" lockText="1" noThreeD="1"/>
</file>

<file path=xl/ctrlProps/ctrlProp108.xml><?xml version="1.0" encoding="utf-8"?>
<formControlPr xmlns="http://schemas.microsoft.com/office/spreadsheetml/2009/9/main" objectType="CheckBox" fmlaLink="#REF!" lockText="1" noThreeD="1"/>
</file>

<file path=xl/ctrlProps/ctrlProp109.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S$1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REF!"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REF!" lockText="1" noThreeD="1"/>
</file>

<file path=xl/ctrlProps/ctrlProp115.xml><?xml version="1.0" encoding="utf-8"?>
<formControlPr xmlns="http://schemas.microsoft.com/office/spreadsheetml/2009/9/main" objectType="CheckBox" fmlaLink="#REF!" lockText="1" noThreeD="1"/>
</file>

<file path=xl/ctrlProps/ctrlProp116.xml><?xml version="1.0" encoding="utf-8"?>
<formControlPr xmlns="http://schemas.microsoft.com/office/spreadsheetml/2009/9/main" objectType="CheckBox" fmlaLink="#REF!"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REF!" lockText="1" noThreeD="1"/>
</file>

<file path=xl/ctrlProps/ctrlProp119.xml><?xml version="1.0" encoding="utf-8"?>
<formControlPr xmlns="http://schemas.microsoft.com/office/spreadsheetml/2009/9/main" objectType="CheckBox" fmlaLink="#REF!" lockText="1" noThreeD="1"/>
</file>

<file path=xl/ctrlProps/ctrlProp12.xml><?xml version="1.0" encoding="utf-8"?>
<formControlPr xmlns="http://schemas.microsoft.com/office/spreadsheetml/2009/9/main" objectType="CheckBox" fmlaLink="$S$19" lockText="1" noThreeD="1"/>
</file>

<file path=xl/ctrlProps/ctrlProp120.xml><?xml version="1.0" encoding="utf-8"?>
<formControlPr xmlns="http://schemas.microsoft.com/office/spreadsheetml/2009/9/main" objectType="CheckBox" fmlaLink="#REF!" lockText="1" noThreeD="1"/>
</file>

<file path=xl/ctrlProps/ctrlProp121.xml><?xml version="1.0" encoding="utf-8"?>
<formControlPr xmlns="http://schemas.microsoft.com/office/spreadsheetml/2009/9/main" objectType="CheckBox" fmlaLink="#REF!" lockText="1" noThreeD="1"/>
</file>

<file path=xl/ctrlProps/ctrlProp122.xml><?xml version="1.0" encoding="utf-8"?>
<formControlPr xmlns="http://schemas.microsoft.com/office/spreadsheetml/2009/9/main" objectType="CheckBox" fmlaLink="#REF!" lockText="1" noThreeD="1"/>
</file>

<file path=xl/ctrlProps/ctrlProp123.xml><?xml version="1.0" encoding="utf-8"?>
<formControlPr xmlns="http://schemas.microsoft.com/office/spreadsheetml/2009/9/main" objectType="CheckBox" fmlaLink="#REF!"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REF!" lockText="1" noThreeD="1"/>
</file>

<file path=xl/ctrlProps/ctrlProp126.xml><?xml version="1.0" encoding="utf-8"?>
<formControlPr xmlns="http://schemas.microsoft.com/office/spreadsheetml/2009/9/main" objectType="CheckBox" fmlaLink="#REF!" lockText="1" noThreeD="1"/>
</file>

<file path=xl/ctrlProps/ctrlProp127.xml><?xml version="1.0" encoding="utf-8"?>
<formControlPr xmlns="http://schemas.microsoft.com/office/spreadsheetml/2009/9/main" objectType="CheckBox" fmlaLink="#REF!"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REF!" lockText="1" noThreeD="1"/>
</file>

<file path=xl/ctrlProps/ctrlProp13.xml><?xml version="1.0" encoding="utf-8"?>
<formControlPr xmlns="http://schemas.microsoft.com/office/spreadsheetml/2009/9/main" objectType="CheckBox" fmlaLink="$S$20" lockText="1" noThreeD="1"/>
</file>

<file path=xl/ctrlProps/ctrlProp130.xml><?xml version="1.0" encoding="utf-8"?>
<formControlPr xmlns="http://schemas.microsoft.com/office/spreadsheetml/2009/9/main" objectType="CheckBox" fmlaLink="#REF!" lockText="1" noThreeD="1"/>
</file>

<file path=xl/ctrlProps/ctrlProp131.xml><?xml version="1.0" encoding="utf-8"?>
<formControlPr xmlns="http://schemas.microsoft.com/office/spreadsheetml/2009/9/main" objectType="CheckBox" fmlaLink="#REF!" lockText="1" noThreeD="1"/>
</file>

<file path=xl/ctrlProps/ctrlProp132.xml><?xml version="1.0" encoding="utf-8"?>
<formControlPr xmlns="http://schemas.microsoft.com/office/spreadsheetml/2009/9/main" objectType="CheckBox" fmlaLink="#REF!" lockText="1" noThreeD="1"/>
</file>

<file path=xl/ctrlProps/ctrlProp133.xml><?xml version="1.0" encoding="utf-8"?>
<formControlPr xmlns="http://schemas.microsoft.com/office/spreadsheetml/2009/9/main" objectType="CheckBox" fmlaLink="#REF!" lockText="1" noThreeD="1"/>
</file>

<file path=xl/ctrlProps/ctrlProp134.xml><?xml version="1.0" encoding="utf-8"?>
<formControlPr xmlns="http://schemas.microsoft.com/office/spreadsheetml/2009/9/main" objectType="CheckBox" fmlaLink="#REF!"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REF!" lockText="1" noThreeD="1"/>
</file>

<file path=xl/ctrlProps/ctrlProp137.xml><?xml version="1.0" encoding="utf-8"?>
<formControlPr xmlns="http://schemas.microsoft.com/office/spreadsheetml/2009/9/main" objectType="CheckBox" fmlaLink="#REF!" lockText="1" noThreeD="1"/>
</file>

<file path=xl/ctrlProps/ctrlProp138.xml><?xml version="1.0" encoding="utf-8"?>
<formControlPr xmlns="http://schemas.microsoft.com/office/spreadsheetml/2009/9/main" objectType="CheckBox" fmlaLink="#REF!"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S$21" lockText="1" noThreeD="1"/>
</file>

<file path=xl/ctrlProps/ctrlProp140.xml><?xml version="1.0" encoding="utf-8"?>
<formControlPr xmlns="http://schemas.microsoft.com/office/spreadsheetml/2009/9/main" objectType="CheckBox" fmlaLink="#REF!" lockText="1" noThreeD="1"/>
</file>

<file path=xl/ctrlProps/ctrlProp141.xml><?xml version="1.0" encoding="utf-8"?>
<formControlPr xmlns="http://schemas.microsoft.com/office/spreadsheetml/2009/9/main" objectType="CheckBox" fmlaLink="#REF!" lockText="1" noThreeD="1"/>
</file>

<file path=xl/ctrlProps/ctrlProp142.xml><?xml version="1.0" encoding="utf-8"?>
<formControlPr xmlns="http://schemas.microsoft.com/office/spreadsheetml/2009/9/main" objectType="CheckBox" fmlaLink="#REF!" lockText="1" noThreeD="1"/>
</file>

<file path=xl/ctrlProps/ctrlProp143.xml><?xml version="1.0" encoding="utf-8"?>
<formControlPr xmlns="http://schemas.microsoft.com/office/spreadsheetml/2009/9/main" objectType="CheckBox" fmlaLink="#REF!" lockText="1" noThreeD="1"/>
</file>

<file path=xl/ctrlProps/ctrlProp144.xml><?xml version="1.0" encoding="utf-8"?>
<formControlPr xmlns="http://schemas.microsoft.com/office/spreadsheetml/2009/9/main" objectType="CheckBox" fmlaLink="#REF!" lockText="1" noThreeD="1"/>
</file>

<file path=xl/ctrlProps/ctrlProp145.xml><?xml version="1.0" encoding="utf-8"?>
<formControlPr xmlns="http://schemas.microsoft.com/office/spreadsheetml/2009/9/main" objectType="CheckBox" fmlaLink="#REF!"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REF!" lockText="1" noThreeD="1"/>
</file>

<file path=xl/ctrlProps/ctrlProp148.xml><?xml version="1.0" encoding="utf-8"?>
<formControlPr xmlns="http://schemas.microsoft.com/office/spreadsheetml/2009/9/main" objectType="CheckBox" fmlaLink="#REF!" lockText="1" noThreeD="1"/>
</file>

<file path=xl/ctrlProps/ctrlProp149.xml><?xml version="1.0" encoding="utf-8"?>
<formControlPr xmlns="http://schemas.microsoft.com/office/spreadsheetml/2009/9/main" objectType="CheckBox" fmlaLink="#REF!" lockText="1" noThreeD="1"/>
</file>

<file path=xl/ctrlProps/ctrlProp15.xml><?xml version="1.0" encoding="utf-8"?>
<formControlPr xmlns="http://schemas.microsoft.com/office/spreadsheetml/2009/9/main" objectType="CheckBox" fmlaLink="$S$22"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REF!" lockText="1" noThreeD="1"/>
</file>

<file path=xl/ctrlProps/ctrlProp152.xml><?xml version="1.0" encoding="utf-8"?>
<formControlPr xmlns="http://schemas.microsoft.com/office/spreadsheetml/2009/9/main" objectType="CheckBox" fmlaLink="#REF!" lockText="1" noThreeD="1"/>
</file>

<file path=xl/ctrlProps/ctrlProp153.xml><?xml version="1.0" encoding="utf-8"?>
<formControlPr xmlns="http://schemas.microsoft.com/office/spreadsheetml/2009/9/main" objectType="CheckBox" fmlaLink="#REF!" lockText="1" noThreeD="1"/>
</file>

<file path=xl/ctrlProps/ctrlProp154.xml><?xml version="1.0" encoding="utf-8"?>
<formControlPr xmlns="http://schemas.microsoft.com/office/spreadsheetml/2009/9/main" objectType="CheckBox" fmlaLink="#REF!" lockText="1" noThreeD="1"/>
</file>

<file path=xl/ctrlProps/ctrlProp155.xml><?xml version="1.0" encoding="utf-8"?>
<formControlPr xmlns="http://schemas.microsoft.com/office/spreadsheetml/2009/9/main" objectType="CheckBox" fmlaLink="#REF!" lockText="1" noThreeD="1"/>
</file>

<file path=xl/ctrlProps/ctrlProp156.xml><?xml version="1.0" encoding="utf-8"?>
<formControlPr xmlns="http://schemas.microsoft.com/office/spreadsheetml/2009/9/main" objectType="CheckBox" fmlaLink="#REF!"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REF!" lockText="1" noThreeD="1"/>
</file>

<file path=xl/ctrlProps/ctrlProp159.xml><?xml version="1.0" encoding="utf-8"?>
<formControlPr xmlns="http://schemas.microsoft.com/office/spreadsheetml/2009/9/main" objectType="CheckBox" fmlaLink="#REF!" lockText="1" noThreeD="1"/>
</file>

<file path=xl/ctrlProps/ctrlProp16.xml><?xml version="1.0" encoding="utf-8"?>
<formControlPr xmlns="http://schemas.microsoft.com/office/spreadsheetml/2009/9/main" objectType="CheckBox" fmlaLink="$S$23" lockText="1" noThreeD="1"/>
</file>

<file path=xl/ctrlProps/ctrlProp160.xml><?xml version="1.0" encoding="utf-8"?>
<formControlPr xmlns="http://schemas.microsoft.com/office/spreadsheetml/2009/9/main" objectType="CheckBox" fmlaLink="#REF!" lockText="1" noThreeD="1"/>
</file>

<file path=xl/ctrlProps/ctrlProp161.xml><?xml version="1.0" encoding="utf-8"?>
<formControlPr xmlns="http://schemas.microsoft.com/office/spreadsheetml/2009/9/main" objectType="CheckBox" fmlaLink="$S$44" lockText="1" noThreeD="1"/>
</file>

<file path=xl/ctrlProps/ctrlProp162.xml><?xml version="1.0" encoding="utf-8"?>
<formControlPr xmlns="http://schemas.microsoft.com/office/spreadsheetml/2009/9/main" objectType="CheckBox" fmlaLink="$S$45" lockText="1" noThreeD="1"/>
</file>

<file path=xl/ctrlProps/ctrlProp163.xml><?xml version="1.0" encoding="utf-8"?>
<formControlPr xmlns="http://schemas.microsoft.com/office/spreadsheetml/2009/9/main" objectType="CheckBox" fmlaLink="$S$44" lockText="1" noThreeD="1"/>
</file>

<file path=xl/ctrlProps/ctrlProp164.xml><?xml version="1.0" encoding="utf-8"?>
<formControlPr xmlns="http://schemas.microsoft.com/office/spreadsheetml/2009/9/main" objectType="CheckBox" fmlaLink="$S$45" lockText="1" noThreeD="1"/>
</file>

<file path=xl/ctrlProps/ctrlProp165.xml><?xml version="1.0" encoding="utf-8"?>
<formControlPr xmlns="http://schemas.microsoft.com/office/spreadsheetml/2009/9/main" objectType="CheckBox" fmlaLink="$S$44" lockText="1" noThreeD="1"/>
</file>

<file path=xl/ctrlProps/ctrlProp166.xml><?xml version="1.0" encoding="utf-8"?>
<formControlPr xmlns="http://schemas.microsoft.com/office/spreadsheetml/2009/9/main" objectType="CheckBox" fmlaLink="$S$44" lockText="1" noThreeD="1"/>
</file>

<file path=xl/ctrlProps/ctrlProp167.xml><?xml version="1.0" encoding="utf-8"?>
<formControlPr xmlns="http://schemas.microsoft.com/office/spreadsheetml/2009/9/main" objectType="CheckBox" fmlaLink="$S$45" lockText="1" noThreeD="1"/>
</file>

<file path=xl/ctrlProps/ctrlProp168.xml><?xml version="1.0" encoding="utf-8"?>
<formControlPr xmlns="http://schemas.microsoft.com/office/spreadsheetml/2009/9/main" objectType="CheckBox" fmlaLink="$S$44" lockText="1" noThreeD="1"/>
</file>

<file path=xl/ctrlProps/ctrlProp169.xml><?xml version="1.0" encoding="utf-8"?>
<formControlPr xmlns="http://schemas.microsoft.com/office/spreadsheetml/2009/9/main" objectType="CheckBox" fmlaLink="$S$44" lockText="1" noThreeD="1"/>
</file>

<file path=xl/ctrlProps/ctrlProp17.xml><?xml version="1.0" encoding="utf-8"?>
<formControlPr xmlns="http://schemas.microsoft.com/office/spreadsheetml/2009/9/main" objectType="CheckBox" fmlaLink="$S$24" lockText="1" noThreeD="1"/>
</file>

<file path=xl/ctrlProps/ctrlProp170.xml><?xml version="1.0" encoding="utf-8"?>
<formControlPr xmlns="http://schemas.microsoft.com/office/spreadsheetml/2009/9/main" objectType="CheckBox" fmlaLink="$S$45" lockText="1" noThreeD="1"/>
</file>

<file path=xl/ctrlProps/ctrlProp171.xml><?xml version="1.0" encoding="utf-8"?>
<formControlPr xmlns="http://schemas.microsoft.com/office/spreadsheetml/2009/9/main" objectType="CheckBox" fmlaLink="$S$44" lockText="1" noThreeD="1"/>
</file>

<file path=xl/ctrlProps/ctrlProp172.xml><?xml version="1.0" encoding="utf-8"?>
<formControlPr xmlns="http://schemas.microsoft.com/office/spreadsheetml/2009/9/main" objectType="CheckBox" fmlaLink="$S$44" lockText="1" noThreeD="1"/>
</file>

<file path=xl/ctrlProps/ctrlProp173.xml><?xml version="1.0" encoding="utf-8"?>
<formControlPr xmlns="http://schemas.microsoft.com/office/spreadsheetml/2009/9/main" objectType="CheckBox" fmlaLink="$S$45" lockText="1" noThreeD="1"/>
</file>

<file path=xl/ctrlProps/ctrlProp174.xml><?xml version="1.0" encoding="utf-8"?>
<formControlPr xmlns="http://schemas.microsoft.com/office/spreadsheetml/2009/9/main" objectType="CheckBox" fmlaLink="$S$44" lockText="1" noThreeD="1"/>
</file>

<file path=xl/ctrlProps/ctrlProp175.xml><?xml version="1.0" encoding="utf-8"?>
<formControlPr xmlns="http://schemas.microsoft.com/office/spreadsheetml/2009/9/main" objectType="CheckBox" fmlaLink="$S$44" lockText="1" noThreeD="1"/>
</file>

<file path=xl/ctrlProps/ctrlProp176.xml><?xml version="1.0" encoding="utf-8"?>
<formControlPr xmlns="http://schemas.microsoft.com/office/spreadsheetml/2009/9/main" objectType="CheckBox" fmlaLink="$S$45" lockText="1" noThreeD="1"/>
</file>

<file path=xl/ctrlProps/ctrlProp177.xml><?xml version="1.0" encoding="utf-8"?>
<formControlPr xmlns="http://schemas.microsoft.com/office/spreadsheetml/2009/9/main" objectType="CheckBox" fmlaLink="$S$44" lockText="1" noThreeD="1"/>
</file>

<file path=xl/ctrlProps/ctrlProp178.xml><?xml version="1.0" encoding="utf-8"?>
<formControlPr xmlns="http://schemas.microsoft.com/office/spreadsheetml/2009/9/main" objectType="CheckBox" fmlaLink="$S$44" lockText="1" noThreeD="1"/>
</file>

<file path=xl/ctrlProps/ctrlProp179.xml><?xml version="1.0" encoding="utf-8"?>
<formControlPr xmlns="http://schemas.microsoft.com/office/spreadsheetml/2009/9/main" objectType="CheckBox" fmlaLink="$S$45" lockText="1" noThreeD="1"/>
</file>

<file path=xl/ctrlProps/ctrlProp18.xml><?xml version="1.0" encoding="utf-8"?>
<formControlPr xmlns="http://schemas.microsoft.com/office/spreadsheetml/2009/9/main" objectType="CheckBox" fmlaLink="$S$25" lockText="1" noThreeD="1"/>
</file>

<file path=xl/ctrlProps/ctrlProp180.xml><?xml version="1.0" encoding="utf-8"?>
<formControlPr xmlns="http://schemas.microsoft.com/office/spreadsheetml/2009/9/main" objectType="CheckBox" fmlaLink="$S$44" lockText="1" noThreeD="1"/>
</file>

<file path=xl/ctrlProps/ctrlProp181.xml><?xml version="1.0" encoding="utf-8"?>
<formControlPr xmlns="http://schemas.microsoft.com/office/spreadsheetml/2009/9/main" objectType="CheckBox" fmlaLink="$S$44" lockText="1" noThreeD="1"/>
</file>

<file path=xl/ctrlProps/ctrlProp182.xml><?xml version="1.0" encoding="utf-8"?>
<formControlPr xmlns="http://schemas.microsoft.com/office/spreadsheetml/2009/9/main" objectType="CheckBox" fmlaLink="$S$45" lockText="1" noThreeD="1"/>
</file>

<file path=xl/ctrlProps/ctrlProp183.xml><?xml version="1.0" encoding="utf-8"?>
<formControlPr xmlns="http://schemas.microsoft.com/office/spreadsheetml/2009/9/main" objectType="CheckBox" fmlaLink="$S$44" lockText="1" noThreeD="1"/>
</file>

<file path=xl/ctrlProps/ctrlProp184.xml><?xml version="1.0" encoding="utf-8"?>
<formControlPr xmlns="http://schemas.microsoft.com/office/spreadsheetml/2009/9/main" objectType="CheckBox" fmlaLink="$S$44" lockText="1" noThreeD="1"/>
</file>

<file path=xl/ctrlProps/ctrlProp185.xml><?xml version="1.0" encoding="utf-8"?>
<formControlPr xmlns="http://schemas.microsoft.com/office/spreadsheetml/2009/9/main" objectType="CheckBox" fmlaLink="$S$45" lockText="1" noThreeD="1"/>
</file>

<file path=xl/ctrlProps/ctrlProp186.xml><?xml version="1.0" encoding="utf-8"?>
<formControlPr xmlns="http://schemas.microsoft.com/office/spreadsheetml/2009/9/main" objectType="CheckBox" fmlaLink="$S$44" lockText="1" noThreeD="1"/>
</file>

<file path=xl/ctrlProps/ctrlProp187.xml><?xml version="1.0" encoding="utf-8"?>
<formControlPr xmlns="http://schemas.microsoft.com/office/spreadsheetml/2009/9/main" objectType="CheckBox" fmlaLink="$S$44" lockText="1" noThreeD="1"/>
</file>

<file path=xl/ctrlProps/ctrlProp188.xml><?xml version="1.0" encoding="utf-8"?>
<formControlPr xmlns="http://schemas.microsoft.com/office/spreadsheetml/2009/9/main" objectType="CheckBox" fmlaLink="$S$45" lockText="1" noThreeD="1"/>
</file>

<file path=xl/ctrlProps/ctrlProp189.xml><?xml version="1.0" encoding="utf-8"?>
<formControlPr xmlns="http://schemas.microsoft.com/office/spreadsheetml/2009/9/main" objectType="CheckBox" fmlaLink="$S$44" lockText="1" noThreeD="1"/>
</file>

<file path=xl/ctrlProps/ctrlProp19.xml><?xml version="1.0" encoding="utf-8"?>
<formControlPr xmlns="http://schemas.microsoft.com/office/spreadsheetml/2009/9/main" objectType="CheckBox" fmlaLink="$S$26" lockText="1" noThreeD="1"/>
</file>

<file path=xl/ctrlProps/ctrlProp190.xml><?xml version="1.0" encoding="utf-8"?>
<formControlPr xmlns="http://schemas.microsoft.com/office/spreadsheetml/2009/9/main" objectType="CheckBox" fmlaLink="$S$44" lockText="1" noThreeD="1"/>
</file>

<file path=xl/ctrlProps/ctrlProp191.xml><?xml version="1.0" encoding="utf-8"?>
<formControlPr xmlns="http://schemas.microsoft.com/office/spreadsheetml/2009/9/main" objectType="CheckBox" fmlaLink="$S$45" lockText="1" noThreeD="1"/>
</file>

<file path=xl/ctrlProps/ctrlProp192.xml><?xml version="1.0" encoding="utf-8"?>
<formControlPr xmlns="http://schemas.microsoft.com/office/spreadsheetml/2009/9/main" objectType="CheckBox" fmlaLink="$S$44" lockText="1" noThreeD="1"/>
</file>

<file path=xl/ctrlProps/ctrlProp193.xml><?xml version="1.0" encoding="utf-8"?>
<formControlPr xmlns="http://schemas.microsoft.com/office/spreadsheetml/2009/9/main" objectType="CheckBox" fmlaLink="$S$45" lockText="1" noThreeD="1"/>
</file>

<file path=xl/ctrlProps/ctrlProp194.xml><?xml version="1.0" encoding="utf-8"?>
<formControlPr xmlns="http://schemas.microsoft.com/office/spreadsheetml/2009/9/main" objectType="CheckBox" fmlaLink="$S$44" lockText="1" noThreeD="1"/>
</file>

<file path=xl/ctrlProps/ctrlProp195.xml><?xml version="1.0" encoding="utf-8"?>
<formControlPr xmlns="http://schemas.microsoft.com/office/spreadsheetml/2009/9/main" objectType="CheckBox" fmlaLink="$S$44" lockText="1" noThreeD="1"/>
</file>

<file path=xl/ctrlProps/ctrlProp196.xml><?xml version="1.0" encoding="utf-8"?>
<formControlPr xmlns="http://schemas.microsoft.com/office/spreadsheetml/2009/9/main" objectType="CheckBox" fmlaLink="$S$45" lockText="1" noThreeD="1"/>
</file>

<file path=xl/ctrlProps/ctrlProp197.xml><?xml version="1.0" encoding="utf-8"?>
<formControlPr xmlns="http://schemas.microsoft.com/office/spreadsheetml/2009/9/main" objectType="CheckBox" fmlaLink="$S$44" lockText="1" noThreeD="1"/>
</file>

<file path=xl/ctrlProps/ctrlProp198.xml><?xml version="1.0" encoding="utf-8"?>
<formControlPr xmlns="http://schemas.microsoft.com/office/spreadsheetml/2009/9/main" objectType="CheckBox" fmlaLink="$S$44" lockText="1" noThreeD="1"/>
</file>

<file path=xl/ctrlProps/ctrlProp199.xml><?xml version="1.0" encoding="utf-8"?>
<formControlPr xmlns="http://schemas.microsoft.com/office/spreadsheetml/2009/9/main" objectType="CheckBox" fmlaLink="$S$45" lockText="1" noThreeD="1"/>
</file>

<file path=xl/ctrlProps/ctrlProp2.xml><?xml version="1.0" encoding="utf-8"?>
<formControlPr xmlns="http://schemas.microsoft.com/office/spreadsheetml/2009/9/main" objectType="CheckBox" fmlaLink="$S$9" lockText="1" noThreeD="1"/>
</file>

<file path=xl/ctrlProps/ctrlProp20.xml><?xml version="1.0" encoding="utf-8"?>
<formControlPr xmlns="http://schemas.microsoft.com/office/spreadsheetml/2009/9/main" objectType="CheckBox" fmlaLink="#REF!" lockText="1" noThreeD="1"/>
</file>

<file path=xl/ctrlProps/ctrlProp200.xml><?xml version="1.0" encoding="utf-8"?>
<formControlPr xmlns="http://schemas.microsoft.com/office/spreadsheetml/2009/9/main" objectType="CheckBox" fmlaLink="$S$44" lockText="1" noThreeD="1"/>
</file>

<file path=xl/ctrlProps/ctrlProp201.xml><?xml version="1.0" encoding="utf-8"?>
<formControlPr xmlns="http://schemas.microsoft.com/office/spreadsheetml/2009/9/main" objectType="CheckBox" fmlaLink="$S$44" lockText="1" noThreeD="1"/>
</file>

<file path=xl/ctrlProps/ctrlProp202.xml><?xml version="1.0" encoding="utf-8"?>
<formControlPr xmlns="http://schemas.microsoft.com/office/spreadsheetml/2009/9/main" objectType="CheckBox" fmlaLink="$S$45" lockText="1" noThreeD="1"/>
</file>

<file path=xl/ctrlProps/ctrlProp203.xml><?xml version="1.0" encoding="utf-8"?>
<formControlPr xmlns="http://schemas.microsoft.com/office/spreadsheetml/2009/9/main" objectType="CheckBox" fmlaLink="$S$44" lockText="1" noThreeD="1"/>
</file>

<file path=xl/ctrlProps/ctrlProp204.xml><?xml version="1.0" encoding="utf-8"?>
<formControlPr xmlns="http://schemas.microsoft.com/office/spreadsheetml/2009/9/main" objectType="CheckBox" fmlaLink="$S$44" lockText="1" noThreeD="1"/>
</file>

<file path=xl/ctrlProps/ctrlProp205.xml><?xml version="1.0" encoding="utf-8"?>
<formControlPr xmlns="http://schemas.microsoft.com/office/spreadsheetml/2009/9/main" objectType="CheckBox" fmlaLink="$S$45" lockText="1" noThreeD="1"/>
</file>

<file path=xl/ctrlProps/ctrlProp206.xml><?xml version="1.0" encoding="utf-8"?>
<formControlPr xmlns="http://schemas.microsoft.com/office/spreadsheetml/2009/9/main" objectType="CheckBox" fmlaLink="$S$44" lockText="1" noThreeD="1"/>
</file>

<file path=xl/ctrlProps/ctrlProp207.xml><?xml version="1.0" encoding="utf-8"?>
<formControlPr xmlns="http://schemas.microsoft.com/office/spreadsheetml/2009/9/main" objectType="CheckBox" fmlaLink="$S$44" lockText="1" noThreeD="1"/>
</file>

<file path=xl/ctrlProps/ctrlProp208.xml><?xml version="1.0" encoding="utf-8"?>
<formControlPr xmlns="http://schemas.microsoft.com/office/spreadsheetml/2009/9/main" objectType="CheckBox" fmlaLink="$S$45" lockText="1" noThreeD="1"/>
</file>

<file path=xl/ctrlProps/ctrlProp209.xml><?xml version="1.0" encoding="utf-8"?>
<formControlPr xmlns="http://schemas.microsoft.com/office/spreadsheetml/2009/9/main" objectType="CheckBox" fmlaLink="$S$44" lockText="1" noThreeD="1"/>
</file>

<file path=xl/ctrlProps/ctrlProp21.xml><?xml version="1.0" encoding="utf-8"?>
<formControlPr xmlns="http://schemas.microsoft.com/office/spreadsheetml/2009/9/main" objectType="CheckBox" fmlaLink="$S$27" lockText="1" noThreeD="1"/>
</file>

<file path=xl/ctrlProps/ctrlProp210.xml><?xml version="1.0" encoding="utf-8"?>
<formControlPr xmlns="http://schemas.microsoft.com/office/spreadsheetml/2009/9/main" objectType="CheckBox" fmlaLink="$S$44" lockText="1" noThreeD="1"/>
</file>

<file path=xl/ctrlProps/ctrlProp211.xml><?xml version="1.0" encoding="utf-8"?>
<formControlPr xmlns="http://schemas.microsoft.com/office/spreadsheetml/2009/9/main" objectType="CheckBox" fmlaLink="$S$45" lockText="1" noThreeD="1"/>
</file>

<file path=xl/ctrlProps/ctrlProp212.xml><?xml version="1.0" encoding="utf-8"?>
<formControlPr xmlns="http://schemas.microsoft.com/office/spreadsheetml/2009/9/main" objectType="CheckBox" fmlaLink="$S$44" lockText="1" noThreeD="1"/>
</file>

<file path=xl/ctrlProps/ctrlProp213.xml><?xml version="1.0" encoding="utf-8"?>
<formControlPr xmlns="http://schemas.microsoft.com/office/spreadsheetml/2009/9/main" objectType="CheckBox" fmlaLink="$S$44" lockText="1" noThreeD="1"/>
</file>

<file path=xl/ctrlProps/ctrlProp214.xml><?xml version="1.0" encoding="utf-8"?>
<formControlPr xmlns="http://schemas.microsoft.com/office/spreadsheetml/2009/9/main" objectType="CheckBox" fmlaLink="$S$45" lockText="1" noThreeD="1"/>
</file>

<file path=xl/ctrlProps/ctrlProp215.xml><?xml version="1.0" encoding="utf-8"?>
<formControlPr xmlns="http://schemas.microsoft.com/office/spreadsheetml/2009/9/main" objectType="CheckBox" fmlaLink="$S$44" lockText="1" noThreeD="1"/>
</file>

<file path=xl/ctrlProps/ctrlProp216.xml><?xml version="1.0" encoding="utf-8"?>
<formControlPr xmlns="http://schemas.microsoft.com/office/spreadsheetml/2009/9/main" objectType="CheckBox" fmlaLink="$S$44" lockText="1" noThreeD="1"/>
</file>

<file path=xl/ctrlProps/ctrlProp217.xml><?xml version="1.0" encoding="utf-8"?>
<formControlPr xmlns="http://schemas.microsoft.com/office/spreadsheetml/2009/9/main" objectType="CheckBox" fmlaLink="$S$45" lockText="1" noThreeD="1"/>
</file>

<file path=xl/ctrlProps/ctrlProp218.xml><?xml version="1.0" encoding="utf-8"?>
<formControlPr xmlns="http://schemas.microsoft.com/office/spreadsheetml/2009/9/main" objectType="CheckBox" fmlaLink="$S$44" lockText="1" noThreeD="1"/>
</file>

<file path=xl/ctrlProps/ctrlProp219.xml><?xml version="1.0" encoding="utf-8"?>
<formControlPr xmlns="http://schemas.microsoft.com/office/spreadsheetml/2009/9/main" objectType="CheckBox" fmlaLink="$S$44" lockText="1" noThreeD="1"/>
</file>

<file path=xl/ctrlProps/ctrlProp22.xml><?xml version="1.0" encoding="utf-8"?>
<formControlPr xmlns="http://schemas.microsoft.com/office/spreadsheetml/2009/9/main" objectType="CheckBox" fmlaLink="$S$28" lockText="1" noThreeD="1"/>
</file>

<file path=xl/ctrlProps/ctrlProp220.xml><?xml version="1.0" encoding="utf-8"?>
<formControlPr xmlns="http://schemas.microsoft.com/office/spreadsheetml/2009/9/main" objectType="CheckBox" fmlaLink="$S$45" lockText="1" noThreeD="1"/>
</file>

<file path=xl/ctrlProps/ctrlProp221.xml><?xml version="1.0" encoding="utf-8"?>
<formControlPr xmlns="http://schemas.microsoft.com/office/spreadsheetml/2009/9/main" objectType="CheckBox" fmlaLink="$S$44" lockText="1" noThreeD="1"/>
</file>

<file path=xl/ctrlProps/ctrlProp222.xml><?xml version="1.0" encoding="utf-8"?>
<formControlPr xmlns="http://schemas.microsoft.com/office/spreadsheetml/2009/9/main" objectType="CheckBox" fmlaLink="$S$44" lockText="1" noThreeD="1"/>
</file>

<file path=xl/ctrlProps/ctrlProp223.xml><?xml version="1.0" encoding="utf-8"?>
<formControlPr xmlns="http://schemas.microsoft.com/office/spreadsheetml/2009/9/main" objectType="CheckBox" fmlaLink="$S$45" lockText="1" noThreeD="1"/>
</file>

<file path=xl/ctrlProps/ctrlProp224.xml><?xml version="1.0" encoding="utf-8"?>
<formControlPr xmlns="http://schemas.microsoft.com/office/spreadsheetml/2009/9/main" objectType="CheckBox" fmlaLink="$S$44" lockText="1" noThreeD="1"/>
</file>

<file path=xl/ctrlProps/ctrlProp225.xml><?xml version="1.0" encoding="utf-8"?>
<formControlPr xmlns="http://schemas.microsoft.com/office/spreadsheetml/2009/9/main" objectType="CheckBox" fmlaLink="$S$44" lockText="1" noThreeD="1"/>
</file>

<file path=xl/ctrlProps/ctrlProp226.xml><?xml version="1.0" encoding="utf-8"?>
<formControlPr xmlns="http://schemas.microsoft.com/office/spreadsheetml/2009/9/main" objectType="CheckBox" fmlaLink="$S$45" lockText="1" noThreeD="1"/>
</file>

<file path=xl/ctrlProps/ctrlProp227.xml><?xml version="1.0" encoding="utf-8"?>
<formControlPr xmlns="http://schemas.microsoft.com/office/spreadsheetml/2009/9/main" objectType="CheckBox" fmlaLink="$S$44" lockText="1" noThreeD="1"/>
</file>

<file path=xl/ctrlProps/ctrlProp228.xml><?xml version="1.0" encoding="utf-8"?>
<formControlPr xmlns="http://schemas.microsoft.com/office/spreadsheetml/2009/9/main" objectType="CheckBox" fmlaLink="$S$44" lockText="1" noThreeD="1"/>
</file>

<file path=xl/ctrlProps/ctrlProp229.xml><?xml version="1.0" encoding="utf-8"?>
<formControlPr xmlns="http://schemas.microsoft.com/office/spreadsheetml/2009/9/main" objectType="CheckBox" fmlaLink="$S$45" lockText="1" noThreeD="1"/>
</file>

<file path=xl/ctrlProps/ctrlProp23.xml><?xml version="1.0" encoding="utf-8"?>
<formControlPr xmlns="http://schemas.microsoft.com/office/spreadsheetml/2009/9/main" objectType="CheckBox" fmlaLink="$S$29" lockText="1" noThreeD="1"/>
</file>

<file path=xl/ctrlProps/ctrlProp230.xml><?xml version="1.0" encoding="utf-8"?>
<formControlPr xmlns="http://schemas.microsoft.com/office/spreadsheetml/2009/9/main" objectType="CheckBox" fmlaLink="$S$44" lockText="1" noThreeD="1"/>
</file>

<file path=xl/ctrlProps/ctrlProp231.xml><?xml version="1.0" encoding="utf-8"?>
<formControlPr xmlns="http://schemas.microsoft.com/office/spreadsheetml/2009/9/main" objectType="CheckBox" fmlaLink="$S$44" lockText="1" noThreeD="1"/>
</file>

<file path=xl/ctrlProps/ctrlProp232.xml><?xml version="1.0" encoding="utf-8"?>
<formControlPr xmlns="http://schemas.microsoft.com/office/spreadsheetml/2009/9/main" objectType="CheckBox" fmlaLink="$S$45" lockText="1" noThreeD="1"/>
</file>

<file path=xl/ctrlProps/ctrlProp233.xml><?xml version="1.0" encoding="utf-8"?>
<formControlPr xmlns="http://schemas.microsoft.com/office/spreadsheetml/2009/9/main" objectType="CheckBox" fmlaLink="$S$44" lockText="1" noThreeD="1"/>
</file>

<file path=xl/ctrlProps/ctrlProp234.xml><?xml version="1.0" encoding="utf-8"?>
<formControlPr xmlns="http://schemas.microsoft.com/office/spreadsheetml/2009/9/main" objectType="CheckBox" fmlaLink="$S$44" lockText="1" noThreeD="1"/>
</file>

<file path=xl/ctrlProps/ctrlProp235.xml><?xml version="1.0" encoding="utf-8"?>
<formControlPr xmlns="http://schemas.microsoft.com/office/spreadsheetml/2009/9/main" objectType="CheckBox" fmlaLink="$S$45" lockText="1" noThreeD="1"/>
</file>

<file path=xl/ctrlProps/ctrlProp236.xml><?xml version="1.0" encoding="utf-8"?>
<formControlPr xmlns="http://schemas.microsoft.com/office/spreadsheetml/2009/9/main" objectType="CheckBox" fmlaLink="$S$44" lockText="1" noThreeD="1"/>
</file>

<file path=xl/ctrlProps/ctrlProp237.xml><?xml version="1.0" encoding="utf-8"?>
<formControlPr xmlns="http://schemas.microsoft.com/office/spreadsheetml/2009/9/main" objectType="CheckBox" fmlaLink="$S$44" lockText="1" noThreeD="1"/>
</file>

<file path=xl/ctrlProps/ctrlProp238.xml><?xml version="1.0" encoding="utf-8"?>
<formControlPr xmlns="http://schemas.microsoft.com/office/spreadsheetml/2009/9/main" objectType="CheckBox" fmlaLink="$S$45" lockText="1" noThreeD="1"/>
</file>

<file path=xl/ctrlProps/ctrlProp239.xml><?xml version="1.0" encoding="utf-8"?>
<formControlPr xmlns="http://schemas.microsoft.com/office/spreadsheetml/2009/9/main" objectType="CheckBox" fmlaLink="$S$44" lockText="1" noThreeD="1"/>
</file>

<file path=xl/ctrlProps/ctrlProp24.xml><?xml version="1.0" encoding="utf-8"?>
<formControlPr xmlns="http://schemas.microsoft.com/office/spreadsheetml/2009/9/main" objectType="CheckBox" fmlaLink="$S$30" lockText="1" noThreeD="1"/>
</file>

<file path=xl/ctrlProps/ctrlProp240.xml><?xml version="1.0" encoding="utf-8"?>
<formControlPr xmlns="http://schemas.microsoft.com/office/spreadsheetml/2009/9/main" objectType="CheckBox" fmlaLink="$S$44" lockText="1" noThreeD="1"/>
</file>

<file path=xl/ctrlProps/ctrlProp241.xml><?xml version="1.0" encoding="utf-8"?>
<formControlPr xmlns="http://schemas.microsoft.com/office/spreadsheetml/2009/9/main" objectType="CheckBox" fmlaLink="$S$45" lockText="1" noThreeD="1"/>
</file>

<file path=xl/ctrlProps/ctrlProp242.xml><?xml version="1.0" encoding="utf-8"?>
<formControlPr xmlns="http://schemas.microsoft.com/office/spreadsheetml/2009/9/main" objectType="CheckBox" fmlaLink="$S$44" lockText="1" noThreeD="1"/>
</file>

<file path=xl/ctrlProps/ctrlProp243.xml><?xml version="1.0" encoding="utf-8"?>
<formControlPr xmlns="http://schemas.microsoft.com/office/spreadsheetml/2009/9/main" objectType="CheckBox" fmlaLink="$S$44" lockText="1" noThreeD="1"/>
</file>

<file path=xl/ctrlProps/ctrlProp244.xml><?xml version="1.0" encoding="utf-8"?>
<formControlPr xmlns="http://schemas.microsoft.com/office/spreadsheetml/2009/9/main" objectType="CheckBox" fmlaLink="$S$45" lockText="1" noThreeD="1"/>
</file>

<file path=xl/ctrlProps/ctrlProp245.xml><?xml version="1.0" encoding="utf-8"?>
<formControlPr xmlns="http://schemas.microsoft.com/office/spreadsheetml/2009/9/main" objectType="CheckBox" fmlaLink="$S$44" lockText="1" noThreeD="1"/>
</file>

<file path=xl/ctrlProps/ctrlProp246.xml><?xml version="1.0" encoding="utf-8"?>
<formControlPr xmlns="http://schemas.microsoft.com/office/spreadsheetml/2009/9/main" objectType="CheckBox" fmlaLink="$S$44" lockText="1" noThreeD="1"/>
</file>

<file path=xl/ctrlProps/ctrlProp247.xml><?xml version="1.0" encoding="utf-8"?>
<formControlPr xmlns="http://schemas.microsoft.com/office/spreadsheetml/2009/9/main" objectType="CheckBox" fmlaLink="$S$45" lockText="1" noThreeD="1"/>
</file>

<file path=xl/ctrlProps/ctrlProp248.xml><?xml version="1.0" encoding="utf-8"?>
<formControlPr xmlns="http://schemas.microsoft.com/office/spreadsheetml/2009/9/main" objectType="CheckBox" fmlaLink="$S$44" lockText="1" noThreeD="1"/>
</file>

<file path=xl/ctrlProps/ctrlProp249.xml><?xml version="1.0" encoding="utf-8"?>
<formControlPr xmlns="http://schemas.microsoft.com/office/spreadsheetml/2009/9/main" objectType="CheckBox" fmlaLink="$S$44" lockText="1" noThreeD="1"/>
</file>

<file path=xl/ctrlProps/ctrlProp25.xml><?xml version="1.0" encoding="utf-8"?>
<formControlPr xmlns="http://schemas.microsoft.com/office/spreadsheetml/2009/9/main" objectType="CheckBox" fmlaLink="$S$31" lockText="1" noThreeD="1"/>
</file>

<file path=xl/ctrlProps/ctrlProp250.xml><?xml version="1.0" encoding="utf-8"?>
<formControlPr xmlns="http://schemas.microsoft.com/office/spreadsheetml/2009/9/main" objectType="CheckBox" fmlaLink="$S$45" lockText="1" noThreeD="1"/>
</file>

<file path=xl/ctrlProps/ctrlProp251.xml><?xml version="1.0" encoding="utf-8"?>
<formControlPr xmlns="http://schemas.microsoft.com/office/spreadsheetml/2009/9/main" objectType="CheckBox" fmlaLink="$S$44" lockText="1" noThreeD="1"/>
</file>

<file path=xl/ctrlProps/ctrlProp252.xml><?xml version="1.0" encoding="utf-8"?>
<formControlPr xmlns="http://schemas.microsoft.com/office/spreadsheetml/2009/9/main" objectType="CheckBox" fmlaLink="$S$44" lockText="1" noThreeD="1"/>
</file>

<file path=xl/ctrlProps/ctrlProp253.xml><?xml version="1.0" encoding="utf-8"?>
<formControlPr xmlns="http://schemas.microsoft.com/office/spreadsheetml/2009/9/main" objectType="CheckBox" fmlaLink="$S$45" lockText="1" noThreeD="1"/>
</file>

<file path=xl/ctrlProps/ctrlProp254.xml><?xml version="1.0" encoding="utf-8"?>
<formControlPr xmlns="http://schemas.microsoft.com/office/spreadsheetml/2009/9/main" objectType="CheckBox" fmlaLink="$S$44" lockText="1" noThreeD="1"/>
</file>

<file path=xl/ctrlProps/ctrlProp255.xml><?xml version="1.0" encoding="utf-8"?>
<formControlPr xmlns="http://schemas.microsoft.com/office/spreadsheetml/2009/9/main" objectType="CheckBox" fmlaLink="$S$44" lockText="1" noThreeD="1"/>
</file>

<file path=xl/ctrlProps/ctrlProp256.xml><?xml version="1.0" encoding="utf-8"?>
<formControlPr xmlns="http://schemas.microsoft.com/office/spreadsheetml/2009/9/main" objectType="CheckBox" fmlaLink="$S$45" lockText="1" noThreeD="1"/>
</file>

<file path=xl/ctrlProps/ctrlProp257.xml><?xml version="1.0" encoding="utf-8"?>
<formControlPr xmlns="http://schemas.microsoft.com/office/spreadsheetml/2009/9/main" objectType="CheckBox" fmlaLink="$S$44" lockText="1" noThreeD="1"/>
</file>

<file path=xl/ctrlProps/ctrlProp258.xml><?xml version="1.0" encoding="utf-8"?>
<formControlPr xmlns="http://schemas.microsoft.com/office/spreadsheetml/2009/9/main" objectType="CheckBox" fmlaLink="$S$44" lockText="1" noThreeD="1"/>
</file>

<file path=xl/ctrlProps/ctrlProp259.xml><?xml version="1.0" encoding="utf-8"?>
<formControlPr xmlns="http://schemas.microsoft.com/office/spreadsheetml/2009/9/main" objectType="CheckBox" fmlaLink="$S$45" lockText="1" noThreeD="1"/>
</file>

<file path=xl/ctrlProps/ctrlProp26.xml><?xml version="1.0" encoding="utf-8"?>
<formControlPr xmlns="http://schemas.microsoft.com/office/spreadsheetml/2009/9/main" objectType="CheckBox" fmlaLink="$S$32" lockText="1" noThreeD="1"/>
</file>

<file path=xl/ctrlProps/ctrlProp260.xml><?xml version="1.0" encoding="utf-8"?>
<formControlPr xmlns="http://schemas.microsoft.com/office/spreadsheetml/2009/9/main" objectType="CheckBox" fmlaLink="$S$44" lockText="1" noThreeD="1"/>
</file>

<file path=xl/ctrlProps/ctrlProp261.xml><?xml version="1.0" encoding="utf-8"?>
<formControlPr xmlns="http://schemas.microsoft.com/office/spreadsheetml/2009/9/main" objectType="CheckBox" fmlaLink="$S$44" lockText="1" noThreeD="1"/>
</file>

<file path=xl/ctrlProps/ctrlProp262.xml><?xml version="1.0" encoding="utf-8"?>
<formControlPr xmlns="http://schemas.microsoft.com/office/spreadsheetml/2009/9/main" objectType="CheckBox" fmlaLink="$S$45" lockText="1" noThreeD="1"/>
</file>

<file path=xl/ctrlProps/ctrlProp263.xml><?xml version="1.0" encoding="utf-8"?>
<formControlPr xmlns="http://schemas.microsoft.com/office/spreadsheetml/2009/9/main" objectType="CheckBox" fmlaLink="$S$44" lockText="1" noThreeD="1"/>
</file>

<file path=xl/ctrlProps/ctrlProp264.xml><?xml version="1.0" encoding="utf-8"?>
<formControlPr xmlns="http://schemas.microsoft.com/office/spreadsheetml/2009/9/main" objectType="CheckBox" fmlaLink="$S$44" lockText="1" noThreeD="1"/>
</file>

<file path=xl/ctrlProps/ctrlProp265.xml><?xml version="1.0" encoding="utf-8"?>
<formControlPr xmlns="http://schemas.microsoft.com/office/spreadsheetml/2009/9/main" objectType="CheckBox" fmlaLink="$S$45" lockText="1" noThreeD="1"/>
</file>

<file path=xl/ctrlProps/ctrlProp266.xml><?xml version="1.0" encoding="utf-8"?>
<formControlPr xmlns="http://schemas.microsoft.com/office/spreadsheetml/2009/9/main" objectType="CheckBox" fmlaLink="$S$44" lockText="1" noThreeD="1"/>
</file>

<file path=xl/ctrlProps/ctrlProp267.xml><?xml version="1.0" encoding="utf-8"?>
<formControlPr xmlns="http://schemas.microsoft.com/office/spreadsheetml/2009/9/main" objectType="CheckBox" fmlaLink="$S$44" lockText="1" noThreeD="1"/>
</file>

<file path=xl/ctrlProps/ctrlProp268.xml><?xml version="1.0" encoding="utf-8"?>
<formControlPr xmlns="http://schemas.microsoft.com/office/spreadsheetml/2009/9/main" objectType="CheckBox" fmlaLink="$S$45" lockText="1" noThreeD="1"/>
</file>

<file path=xl/ctrlProps/ctrlProp269.xml><?xml version="1.0" encoding="utf-8"?>
<formControlPr xmlns="http://schemas.microsoft.com/office/spreadsheetml/2009/9/main" objectType="CheckBox" fmlaLink="$S$44" lockText="1" noThreeD="1"/>
</file>

<file path=xl/ctrlProps/ctrlProp27.xml><?xml version="1.0" encoding="utf-8"?>
<formControlPr xmlns="http://schemas.microsoft.com/office/spreadsheetml/2009/9/main" objectType="CheckBox" fmlaLink="$S$33" lockText="1" noThreeD="1"/>
</file>

<file path=xl/ctrlProps/ctrlProp270.xml><?xml version="1.0" encoding="utf-8"?>
<formControlPr xmlns="http://schemas.microsoft.com/office/spreadsheetml/2009/9/main" objectType="CheckBox" fmlaLink="$S$44" lockText="1" noThreeD="1"/>
</file>

<file path=xl/ctrlProps/ctrlProp28.xml><?xml version="1.0" encoding="utf-8"?>
<formControlPr xmlns="http://schemas.microsoft.com/office/spreadsheetml/2009/9/main" objectType="CheckBox" fmlaLink="$S$34" lockText="1" noThreeD="1"/>
</file>

<file path=xl/ctrlProps/ctrlProp29.xml><?xml version="1.0" encoding="utf-8"?>
<formControlPr xmlns="http://schemas.microsoft.com/office/spreadsheetml/2009/9/main" objectType="CheckBox" fmlaLink="$S$35" lockText="1" noThreeD="1"/>
</file>

<file path=xl/ctrlProps/ctrlProp3.xml><?xml version="1.0" encoding="utf-8"?>
<formControlPr xmlns="http://schemas.microsoft.com/office/spreadsheetml/2009/9/main" objectType="CheckBox" fmlaLink="$S$10" lockText="1" noThreeD="1"/>
</file>

<file path=xl/ctrlProps/ctrlProp30.xml><?xml version="1.0" encoding="utf-8"?>
<formControlPr xmlns="http://schemas.microsoft.com/office/spreadsheetml/2009/9/main" objectType="CheckBox" fmlaLink="$S$36" lockText="1" noThreeD="1"/>
</file>

<file path=xl/ctrlProps/ctrlProp31.xml><?xml version="1.0" encoding="utf-8"?>
<formControlPr xmlns="http://schemas.microsoft.com/office/spreadsheetml/2009/9/main" objectType="CheckBox" fmlaLink="$S$37" lockText="1" noThreeD="1"/>
</file>

<file path=xl/ctrlProps/ctrlProp32.xml><?xml version="1.0" encoding="utf-8"?>
<formControlPr xmlns="http://schemas.microsoft.com/office/spreadsheetml/2009/9/main" objectType="CheckBox" fmlaLink="$S$38" lockText="1" noThreeD="1"/>
</file>

<file path=xl/ctrlProps/ctrlProp33.xml><?xml version="1.0" encoding="utf-8"?>
<formControlPr xmlns="http://schemas.microsoft.com/office/spreadsheetml/2009/9/main" objectType="CheckBox" fmlaLink="$S$39" lockText="1" noThreeD="1"/>
</file>

<file path=xl/ctrlProps/ctrlProp34.xml><?xml version="1.0" encoding="utf-8"?>
<formControlPr xmlns="http://schemas.microsoft.com/office/spreadsheetml/2009/9/main" objectType="CheckBox" fmlaLink="$S$40" lockText="1" noThreeD="1"/>
</file>

<file path=xl/ctrlProps/ctrlProp35.xml><?xml version="1.0" encoding="utf-8"?>
<formControlPr xmlns="http://schemas.microsoft.com/office/spreadsheetml/2009/9/main" objectType="CheckBox" fmlaLink="$S$41" lockText="1" noThreeD="1"/>
</file>

<file path=xl/ctrlProps/ctrlProp36.xml><?xml version="1.0" encoding="utf-8"?>
<formControlPr xmlns="http://schemas.microsoft.com/office/spreadsheetml/2009/9/main" objectType="CheckBox" fmlaLink="$S$42" lockText="1" noThreeD="1"/>
</file>

<file path=xl/ctrlProps/ctrlProp37.xml><?xml version="1.0" encoding="utf-8"?>
<formControlPr xmlns="http://schemas.microsoft.com/office/spreadsheetml/2009/9/main" objectType="CheckBox" fmlaLink="$S$43" lockText="1" noThreeD="1"/>
</file>

<file path=xl/ctrlProps/ctrlProp38.xml><?xml version="1.0" encoding="utf-8"?>
<formControlPr xmlns="http://schemas.microsoft.com/office/spreadsheetml/2009/9/main" objectType="CheckBox" fmlaLink="$S$44" lockText="1" noThreeD="1"/>
</file>

<file path=xl/ctrlProps/ctrlProp39.xml><?xml version="1.0" encoding="utf-8"?>
<formControlPr xmlns="http://schemas.microsoft.com/office/spreadsheetml/2009/9/main" objectType="CheckBox" fmlaLink="$S$45" lockText="1" noThreeD="1"/>
</file>

<file path=xl/ctrlProps/ctrlProp4.xml><?xml version="1.0" encoding="utf-8"?>
<formControlPr xmlns="http://schemas.microsoft.com/office/spreadsheetml/2009/9/main" objectType="CheckBox" fmlaLink="$S$11" lockText="1" noThreeD="1"/>
</file>

<file path=xl/ctrlProps/ctrlProp40.xml><?xml version="1.0" encoding="utf-8"?>
<formControlPr xmlns="http://schemas.microsoft.com/office/spreadsheetml/2009/9/main" objectType="CheckBox" fmlaLink="#REF!" lockText="1" noThreeD="1"/>
</file>

<file path=xl/ctrlProps/ctrlProp41.xml><?xml version="1.0" encoding="utf-8"?>
<formControlPr xmlns="http://schemas.microsoft.com/office/spreadsheetml/2009/9/main" objectType="CheckBox" fmlaLink="#REF!" lockText="1" noThreeD="1"/>
</file>

<file path=xl/ctrlProps/ctrlProp42.xml><?xml version="1.0" encoding="utf-8"?>
<formControlPr xmlns="http://schemas.microsoft.com/office/spreadsheetml/2009/9/main" objectType="CheckBox" fmlaLink="#REF!" lockText="1" noThreeD="1"/>
</file>

<file path=xl/ctrlProps/ctrlProp43.xml><?xml version="1.0" encoding="utf-8"?>
<formControlPr xmlns="http://schemas.microsoft.com/office/spreadsheetml/2009/9/main" objectType="CheckBox" fmlaLink="#REF!" lockText="1" noThreeD="1"/>
</file>

<file path=xl/ctrlProps/ctrlProp44.xml><?xml version="1.0" encoding="utf-8"?>
<formControlPr xmlns="http://schemas.microsoft.com/office/spreadsheetml/2009/9/main" objectType="CheckBox" fmlaLink="#REF!" lockText="1" noThreeD="1"/>
</file>

<file path=xl/ctrlProps/ctrlProp45.xml><?xml version="1.0" encoding="utf-8"?>
<formControlPr xmlns="http://schemas.microsoft.com/office/spreadsheetml/2009/9/main" objectType="CheckBox" fmlaLink="#REF!" lockText="1" noThreeD="1"/>
</file>

<file path=xl/ctrlProps/ctrlProp46.xml><?xml version="1.0" encoding="utf-8"?>
<formControlPr xmlns="http://schemas.microsoft.com/office/spreadsheetml/2009/9/main" objectType="CheckBox" fmlaLink="#REF!" lockText="1" noThreeD="1"/>
</file>

<file path=xl/ctrlProps/ctrlProp47.xml><?xml version="1.0" encoding="utf-8"?>
<formControlPr xmlns="http://schemas.microsoft.com/office/spreadsheetml/2009/9/main" objectType="CheckBox" fmlaLink="#REF!" lockText="1" noThreeD="1"/>
</file>

<file path=xl/ctrlProps/ctrlProp48.xml><?xml version="1.0" encoding="utf-8"?>
<formControlPr xmlns="http://schemas.microsoft.com/office/spreadsheetml/2009/9/main" objectType="CheckBox" fmlaLink="#REF!" lockText="1" noThreeD="1"/>
</file>

<file path=xl/ctrlProps/ctrlProp49.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S$12" lockText="1" noThreeD="1"/>
</file>

<file path=xl/ctrlProps/ctrlProp50.xml><?xml version="1.0" encoding="utf-8"?>
<formControlPr xmlns="http://schemas.microsoft.com/office/spreadsheetml/2009/9/main" objectType="CheckBox" fmlaLink="#REF!"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REF!" lockText="1" noThreeD="1"/>
</file>

<file path=xl/ctrlProps/ctrlProp53.xml><?xml version="1.0" encoding="utf-8"?>
<formControlPr xmlns="http://schemas.microsoft.com/office/spreadsheetml/2009/9/main" objectType="CheckBox" fmlaLink="#REF!" lockText="1" noThreeD="1"/>
</file>

<file path=xl/ctrlProps/ctrlProp54.xml><?xml version="1.0" encoding="utf-8"?>
<formControlPr xmlns="http://schemas.microsoft.com/office/spreadsheetml/2009/9/main" objectType="CheckBox" fmlaLink="#REF!" lockText="1" noThreeD="1"/>
</file>

<file path=xl/ctrlProps/ctrlProp55.xml><?xml version="1.0" encoding="utf-8"?>
<formControlPr xmlns="http://schemas.microsoft.com/office/spreadsheetml/2009/9/main" objectType="CheckBox" fmlaLink="#REF!" lockText="1" noThreeD="1"/>
</file>

<file path=xl/ctrlProps/ctrlProp56.xml><?xml version="1.0" encoding="utf-8"?>
<formControlPr xmlns="http://schemas.microsoft.com/office/spreadsheetml/2009/9/main" objectType="CheckBox" fmlaLink="#REF!" lockText="1" noThreeD="1"/>
</file>

<file path=xl/ctrlProps/ctrlProp57.xml><?xml version="1.0" encoding="utf-8"?>
<formControlPr xmlns="http://schemas.microsoft.com/office/spreadsheetml/2009/9/main" objectType="CheckBox" fmlaLink="#REF!" lockText="1" noThreeD="1"/>
</file>

<file path=xl/ctrlProps/ctrlProp58.xml><?xml version="1.0" encoding="utf-8"?>
<formControlPr xmlns="http://schemas.microsoft.com/office/spreadsheetml/2009/9/main" objectType="CheckBox" fmlaLink="#REF!" lockText="1" noThreeD="1"/>
</file>

<file path=xl/ctrlProps/ctrlProp59.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S$13" lockText="1" noThreeD="1"/>
</file>

<file path=xl/ctrlProps/ctrlProp60.xml><?xml version="1.0" encoding="utf-8"?>
<formControlPr xmlns="http://schemas.microsoft.com/office/spreadsheetml/2009/9/main" objectType="CheckBox" fmlaLink="#REF!" lockText="1" noThreeD="1"/>
</file>

<file path=xl/ctrlProps/ctrlProp61.xml><?xml version="1.0" encoding="utf-8"?>
<formControlPr xmlns="http://schemas.microsoft.com/office/spreadsheetml/2009/9/main" objectType="CheckBox" fmlaLink="#REF!" lockText="1" noThreeD="1"/>
</file>

<file path=xl/ctrlProps/ctrlProp62.xml><?xml version="1.0" encoding="utf-8"?>
<formControlPr xmlns="http://schemas.microsoft.com/office/spreadsheetml/2009/9/main" objectType="CheckBox" fmlaLink="#REF!" lockText="1" noThreeD="1"/>
</file>

<file path=xl/ctrlProps/ctrlProp63.xml><?xml version="1.0" encoding="utf-8"?>
<formControlPr xmlns="http://schemas.microsoft.com/office/spreadsheetml/2009/9/main" objectType="CheckBox" fmlaLink="#REF!" lockText="1" noThreeD="1"/>
</file>

<file path=xl/ctrlProps/ctrlProp64.xml><?xml version="1.0" encoding="utf-8"?>
<formControlPr xmlns="http://schemas.microsoft.com/office/spreadsheetml/2009/9/main" objectType="CheckBox" fmlaLink="#REF!" lockText="1" noThreeD="1"/>
</file>

<file path=xl/ctrlProps/ctrlProp65.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CheckBox" fmlaLink="#REF!" lockText="1" noThreeD="1"/>
</file>

<file path=xl/ctrlProps/ctrlProp67.xml><?xml version="1.0" encoding="utf-8"?>
<formControlPr xmlns="http://schemas.microsoft.com/office/spreadsheetml/2009/9/main" objectType="CheckBox" fmlaLink="#REF!" lockText="1" noThreeD="1"/>
</file>

<file path=xl/ctrlProps/ctrlProp68.xml><?xml version="1.0" encoding="utf-8"?>
<formControlPr xmlns="http://schemas.microsoft.com/office/spreadsheetml/2009/9/main" objectType="CheckBox" fmlaLink="#REF!" lockText="1" noThreeD="1"/>
</file>

<file path=xl/ctrlProps/ctrlProp69.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S$14" lockText="1" noThreeD="1"/>
</file>

<file path=xl/ctrlProps/ctrlProp70.xml><?xml version="1.0" encoding="utf-8"?>
<formControlPr xmlns="http://schemas.microsoft.com/office/spreadsheetml/2009/9/main" objectType="CheckBox" fmlaLink="#REF!" lockText="1" noThreeD="1"/>
</file>

<file path=xl/ctrlProps/ctrlProp71.xml><?xml version="1.0" encoding="utf-8"?>
<formControlPr xmlns="http://schemas.microsoft.com/office/spreadsheetml/2009/9/main" objectType="CheckBox" fmlaLink="#REF!" lockText="1" noThreeD="1"/>
</file>

<file path=xl/ctrlProps/ctrlProp72.xml><?xml version="1.0" encoding="utf-8"?>
<formControlPr xmlns="http://schemas.microsoft.com/office/spreadsheetml/2009/9/main" objectType="CheckBox" fmlaLink="#REF!" lockText="1" noThreeD="1"/>
</file>

<file path=xl/ctrlProps/ctrlProp73.xml><?xml version="1.0" encoding="utf-8"?>
<formControlPr xmlns="http://schemas.microsoft.com/office/spreadsheetml/2009/9/main" objectType="CheckBox" fmlaLink="#REF!" lockText="1" noThreeD="1"/>
</file>

<file path=xl/ctrlProps/ctrlProp74.xml><?xml version="1.0" encoding="utf-8"?>
<formControlPr xmlns="http://schemas.microsoft.com/office/spreadsheetml/2009/9/main" objectType="CheckBox" fmlaLink="#REF!" lockText="1" noThreeD="1"/>
</file>

<file path=xl/ctrlProps/ctrlProp75.xml><?xml version="1.0" encoding="utf-8"?>
<formControlPr xmlns="http://schemas.microsoft.com/office/spreadsheetml/2009/9/main" objectType="CheckBox" fmlaLink="#REF!" lockText="1" noThreeD="1"/>
</file>

<file path=xl/ctrlProps/ctrlProp76.xml><?xml version="1.0" encoding="utf-8"?>
<formControlPr xmlns="http://schemas.microsoft.com/office/spreadsheetml/2009/9/main" objectType="CheckBox" fmlaLink="#REF!" lockText="1" noThreeD="1"/>
</file>

<file path=xl/ctrlProps/ctrlProp77.xml><?xml version="1.0" encoding="utf-8"?>
<formControlPr xmlns="http://schemas.microsoft.com/office/spreadsheetml/2009/9/main" objectType="CheckBox" fmlaLink="#REF!" lockText="1" noThreeD="1"/>
</file>

<file path=xl/ctrlProps/ctrlProp78.xml><?xml version="1.0" encoding="utf-8"?>
<formControlPr xmlns="http://schemas.microsoft.com/office/spreadsheetml/2009/9/main" objectType="CheckBox" fmlaLink="#REF!" lockText="1" noThreeD="1"/>
</file>

<file path=xl/ctrlProps/ctrlProp79.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S$15" lockText="1" noThreeD="1"/>
</file>

<file path=xl/ctrlProps/ctrlProp80.xml><?xml version="1.0" encoding="utf-8"?>
<formControlPr xmlns="http://schemas.microsoft.com/office/spreadsheetml/2009/9/main" objectType="CheckBox" fmlaLink="#REF!" lockText="1" noThreeD="1"/>
</file>

<file path=xl/ctrlProps/ctrlProp81.xml><?xml version="1.0" encoding="utf-8"?>
<formControlPr xmlns="http://schemas.microsoft.com/office/spreadsheetml/2009/9/main" objectType="CheckBox" fmlaLink="#REF!" lockText="1" noThreeD="1"/>
</file>

<file path=xl/ctrlProps/ctrlProp82.xml><?xml version="1.0" encoding="utf-8"?>
<formControlPr xmlns="http://schemas.microsoft.com/office/spreadsheetml/2009/9/main" objectType="CheckBox" fmlaLink="#REF!" lockText="1" noThreeD="1"/>
</file>

<file path=xl/ctrlProps/ctrlProp83.xml><?xml version="1.0" encoding="utf-8"?>
<formControlPr xmlns="http://schemas.microsoft.com/office/spreadsheetml/2009/9/main" objectType="CheckBox" fmlaLink="#REF!" lockText="1" noThreeD="1"/>
</file>

<file path=xl/ctrlProps/ctrlProp84.xml><?xml version="1.0" encoding="utf-8"?>
<formControlPr xmlns="http://schemas.microsoft.com/office/spreadsheetml/2009/9/main" objectType="CheckBox" fmlaLink="#REF!" lockText="1" noThreeD="1"/>
</file>

<file path=xl/ctrlProps/ctrlProp85.xml><?xml version="1.0" encoding="utf-8"?>
<formControlPr xmlns="http://schemas.microsoft.com/office/spreadsheetml/2009/9/main" objectType="CheckBox" fmlaLink="#REF!" lockText="1" noThreeD="1"/>
</file>

<file path=xl/ctrlProps/ctrlProp86.xml><?xml version="1.0" encoding="utf-8"?>
<formControlPr xmlns="http://schemas.microsoft.com/office/spreadsheetml/2009/9/main" objectType="CheckBox" fmlaLink="#REF!" lockText="1" noThreeD="1"/>
</file>

<file path=xl/ctrlProps/ctrlProp87.xml><?xml version="1.0" encoding="utf-8"?>
<formControlPr xmlns="http://schemas.microsoft.com/office/spreadsheetml/2009/9/main" objectType="CheckBox" fmlaLink="#REF!" lockText="1" noThreeD="1"/>
</file>

<file path=xl/ctrlProps/ctrlProp88.xml><?xml version="1.0" encoding="utf-8"?>
<formControlPr xmlns="http://schemas.microsoft.com/office/spreadsheetml/2009/9/main" objectType="CheckBox" fmlaLink="#REF!" lockText="1" noThreeD="1"/>
</file>

<file path=xl/ctrlProps/ctrlProp89.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S$16" lockText="1" noThreeD="1"/>
</file>

<file path=xl/ctrlProps/ctrlProp90.xml><?xml version="1.0" encoding="utf-8"?>
<formControlPr xmlns="http://schemas.microsoft.com/office/spreadsheetml/2009/9/main" objectType="CheckBox" fmlaLink="#REF!" lockText="1" noThreeD="1"/>
</file>

<file path=xl/ctrlProps/ctrlProp91.xml><?xml version="1.0" encoding="utf-8"?>
<formControlPr xmlns="http://schemas.microsoft.com/office/spreadsheetml/2009/9/main" objectType="CheckBox" fmlaLink="#REF!" lockText="1" noThreeD="1"/>
</file>

<file path=xl/ctrlProps/ctrlProp92.xml><?xml version="1.0" encoding="utf-8"?>
<formControlPr xmlns="http://schemas.microsoft.com/office/spreadsheetml/2009/9/main" objectType="CheckBox" fmlaLink="#REF!" lockText="1" noThreeD="1"/>
</file>

<file path=xl/ctrlProps/ctrlProp93.xml><?xml version="1.0" encoding="utf-8"?>
<formControlPr xmlns="http://schemas.microsoft.com/office/spreadsheetml/2009/9/main" objectType="CheckBox" fmlaLink="#REF!"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REF!" lockText="1" noThreeD="1"/>
</file>

<file path=xl/ctrlProps/ctrlProp97.xml><?xml version="1.0" encoding="utf-8"?>
<formControlPr xmlns="http://schemas.microsoft.com/office/spreadsheetml/2009/9/main" objectType="CheckBox" fmlaLink="#REF!" lockText="1" noThreeD="1"/>
</file>

<file path=xl/ctrlProps/ctrlProp98.xml><?xml version="1.0" encoding="utf-8"?>
<formControlPr xmlns="http://schemas.microsoft.com/office/spreadsheetml/2009/9/main" objectType="CheckBox" fmlaLink="#REF!"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4</xdr:row>
      <xdr:rowOff>104775</xdr:rowOff>
    </xdr:from>
    <xdr:to>
      <xdr:col>7</xdr:col>
      <xdr:colOff>320675</xdr:colOff>
      <xdr:row>9</xdr:row>
      <xdr:rowOff>18450</xdr:rowOff>
    </xdr:to>
    <xdr:pic>
      <xdr:nvPicPr>
        <xdr:cNvPr id="2" name="Picture 1" descr="Text&#10;&#10;Description automatically generated">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a:xfrm>
          <a:off x="1095375" y="485775"/>
          <a:ext cx="3463925" cy="822325"/>
        </a:xfrm>
        <a:prstGeom prst="rect">
          <a:avLst/>
        </a:prstGeom>
      </xdr:spPr>
    </xdr:pic>
    <xdr:clientData/>
  </xdr:twoCellAnchor>
  <xdr:oneCellAnchor>
    <xdr:from>
      <xdr:col>10</xdr:col>
      <xdr:colOff>514350</xdr:colOff>
      <xdr:row>4</xdr:row>
      <xdr:rowOff>104775</xdr:rowOff>
    </xdr:from>
    <xdr:ext cx="3532936" cy="819449"/>
    <xdr:pic>
      <xdr:nvPicPr>
        <xdr:cNvPr id="3" name="Picture 2" descr="Text&#10;&#10;Description automatically generated">
          <a:extLst>
            <a:ext uri="{FF2B5EF4-FFF2-40B4-BE49-F238E27FC236}">
              <a16:creationId xmlns:a16="http://schemas.microsoft.com/office/drawing/2014/main" id="{ACBE55FB-6606-47C3-8E3F-E8B44D50E4A9}"/>
            </a:ext>
          </a:extLst>
        </xdr:cNvPr>
        <xdr:cNvPicPr/>
      </xdr:nvPicPr>
      <xdr:blipFill>
        <a:blip xmlns:r="http://schemas.openxmlformats.org/officeDocument/2006/relationships" r:embed="rId1"/>
        <a:stretch>
          <a:fillRect/>
        </a:stretch>
      </xdr:blipFill>
      <xdr:spPr>
        <a:xfrm>
          <a:off x="1049188" y="863900"/>
          <a:ext cx="3532936" cy="81944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17</xdr:col>
      <xdr:colOff>535165</xdr:colOff>
      <xdr:row>0</xdr:row>
      <xdr:rowOff>0</xdr:rowOff>
    </xdr:from>
    <xdr:to>
      <xdr:col>26</xdr:col>
      <xdr:colOff>60319</xdr:colOff>
      <xdr:row>48</xdr:row>
      <xdr:rowOff>73358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6962850" y="0"/>
          <a:ext cx="5028488" cy="9682892"/>
        </a:xfrm>
        <a:prstGeom prst="rect">
          <a:avLst/>
        </a:prstGeom>
      </xdr:spPr>
    </xdr:pic>
    <xdr:clientData/>
  </xdr:twoCellAnchor>
  <xdr:twoCellAnchor>
    <xdr:from>
      <xdr:col>4</xdr:col>
      <xdr:colOff>223425</xdr:colOff>
      <xdr:row>57</xdr:row>
      <xdr:rowOff>0</xdr:rowOff>
    </xdr:from>
    <xdr:to>
      <xdr:col>4</xdr:col>
      <xdr:colOff>446851</xdr:colOff>
      <xdr:row>62</xdr:row>
      <xdr:rowOff>58797</xdr:rowOff>
    </xdr:to>
    <xdr:cxnSp macro="">
      <xdr:nvCxnSpPr>
        <xdr:cNvPr id="4" name="Straight Arrow Connector 3">
          <a:extLst>
            <a:ext uri="{FF2B5EF4-FFF2-40B4-BE49-F238E27FC236}">
              <a16:creationId xmlns:a16="http://schemas.microsoft.com/office/drawing/2014/main" id="{B577F37B-6159-18B7-A035-792E11F13586}"/>
            </a:ext>
          </a:extLst>
        </xdr:cNvPr>
        <xdr:cNvCxnSpPr/>
      </xdr:nvCxnSpPr>
      <xdr:spPr>
        <a:xfrm>
          <a:off x="4292129" y="11147778"/>
          <a:ext cx="223426" cy="952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247650</xdr:colOff>
      <xdr:row>47</xdr:row>
      <xdr:rowOff>104775</xdr:rowOff>
    </xdr:from>
    <xdr:to>
      <xdr:col>7</xdr:col>
      <xdr:colOff>17063</xdr:colOff>
      <xdr:row>79</xdr:row>
      <xdr:rowOff>38100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47650" y="10553700"/>
          <a:ext cx="9542063" cy="6029325"/>
        </a:xfrm>
        <a:prstGeom prst="rect">
          <a:avLst/>
        </a:prstGeom>
      </xdr:spPr>
    </xdr:pic>
    <xdr:clientData/>
  </xdr:twoCellAnchor>
  <xdr:twoCellAnchor editAs="oneCell">
    <xdr:from>
      <xdr:col>0</xdr:col>
      <xdr:colOff>9525</xdr:colOff>
      <xdr:row>87</xdr:row>
      <xdr:rowOff>171450</xdr:rowOff>
    </xdr:from>
    <xdr:to>
      <xdr:col>12</xdr:col>
      <xdr:colOff>154209</xdr:colOff>
      <xdr:row>131</xdr:row>
      <xdr:rowOff>48778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525" y="18288000"/>
          <a:ext cx="12965334" cy="82593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20</xdr:col>
          <xdr:colOff>9525</xdr:colOff>
          <xdr:row>8</xdr:row>
          <xdr:rowOff>57150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800-00000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20</xdr:col>
          <xdr:colOff>9525</xdr:colOff>
          <xdr:row>9</xdr:row>
          <xdr:rowOff>19050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800-00000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20</xdr:col>
          <xdr:colOff>9525</xdr:colOff>
          <xdr:row>10</xdr:row>
          <xdr:rowOff>19050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800-00000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20</xdr:col>
          <xdr:colOff>9525</xdr:colOff>
          <xdr:row>11</xdr:row>
          <xdr:rowOff>19050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800-00000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20</xdr:col>
          <xdr:colOff>9525</xdr:colOff>
          <xdr:row>12</xdr:row>
          <xdr:rowOff>19050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800-00000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20</xdr:col>
          <xdr:colOff>9525</xdr:colOff>
          <xdr:row>13</xdr:row>
          <xdr:rowOff>19050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800-00000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20</xdr:col>
          <xdr:colOff>9525</xdr:colOff>
          <xdr:row>14</xdr:row>
          <xdr:rowOff>57150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800-00000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20</xdr:col>
          <xdr:colOff>9525</xdr:colOff>
          <xdr:row>15</xdr:row>
          <xdr:rowOff>19050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800-00000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20</xdr:col>
          <xdr:colOff>9525</xdr:colOff>
          <xdr:row>16</xdr:row>
          <xdr:rowOff>19050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800-00000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20</xdr:col>
          <xdr:colOff>9525</xdr:colOff>
          <xdr:row>17</xdr:row>
          <xdr:rowOff>19050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800-00000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20</xdr:col>
          <xdr:colOff>9525</xdr:colOff>
          <xdr:row>18</xdr:row>
          <xdr:rowOff>19050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800-00000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20</xdr:col>
          <xdr:colOff>9525</xdr:colOff>
          <xdr:row>19</xdr:row>
          <xdr:rowOff>19050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800-00000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0</xdr:rowOff>
        </xdr:from>
        <xdr:to>
          <xdr:col>20</xdr:col>
          <xdr:colOff>9525</xdr:colOff>
          <xdr:row>20</xdr:row>
          <xdr:rowOff>57150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800-00000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20</xdr:col>
          <xdr:colOff>9525</xdr:colOff>
          <xdr:row>21</xdr:row>
          <xdr:rowOff>47625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800-00000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20</xdr:col>
          <xdr:colOff>9525</xdr:colOff>
          <xdr:row>22</xdr:row>
          <xdr:rowOff>19050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800-00000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0</xdr:rowOff>
        </xdr:from>
        <xdr:to>
          <xdr:col>20</xdr:col>
          <xdr:colOff>9525</xdr:colOff>
          <xdr:row>23</xdr:row>
          <xdr:rowOff>57150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800-00001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0</xdr:rowOff>
        </xdr:from>
        <xdr:to>
          <xdr:col>20</xdr:col>
          <xdr:colOff>9525</xdr:colOff>
          <xdr:row>24</xdr:row>
          <xdr:rowOff>19050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800-00001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0</xdr:rowOff>
        </xdr:from>
        <xdr:to>
          <xdr:col>20</xdr:col>
          <xdr:colOff>9525</xdr:colOff>
          <xdr:row>25</xdr:row>
          <xdr:rowOff>19050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800-00001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25</xdr:row>
          <xdr:rowOff>0</xdr:rowOff>
        </xdr:from>
        <xdr:to>
          <xdr:col>20</xdr:col>
          <xdr:colOff>9525</xdr:colOff>
          <xdr:row>26</xdr:row>
          <xdr:rowOff>57150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800-00001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20</xdr:col>
          <xdr:colOff>9525</xdr:colOff>
          <xdr:row>27</xdr:row>
          <xdr:rowOff>57150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800-00001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20</xdr:col>
          <xdr:colOff>9525</xdr:colOff>
          <xdr:row>27</xdr:row>
          <xdr:rowOff>57150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800-00001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27</xdr:row>
          <xdr:rowOff>0</xdr:rowOff>
        </xdr:from>
        <xdr:to>
          <xdr:col>20</xdr:col>
          <xdr:colOff>9525</xdr:colOff>
          <xdr:row>28</xdr:row>
          <xdr:rowOff>57150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800-00001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0</xdr:rowOff>
        </xdr:from>
        <xdr:to>
          <xdr:col>20</xdr:col>
          <xdr:colOff>9525</xdr:colOff>
          <xdr:row>29</xdr:row>
          <xdr:rowOff>57150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800-00001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0</xdr:rowOff>
        </xdr:from>
        <xdr:to>
          <xdr:col>20</xdr:col>
          <xdr:colOff>9525</xdr:colOff>
          <xdr:row>30</xdr:row>
          <xdr:rowOff>28575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800-00001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30</xdr:row>
          <xdr:rowOff>0</xdr:rowOff>
        </xdr:from>
        <xdr:to>
          <xdr:col>20</xdr:col>
          <xdr:colOff>9525</xdr:colOff>
          <xdr:row>31</xdr:row>
          <xdr:rowOff>57150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800-00001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31</xdr:row>
          <xdr:rowOff>0</xdr:rowOff>
        </xdr:from>
        <xdr:to>
          <xdr:col>20</xdr:col>
          <xdr:colOff>9525</xdr:colOff>
          <xdr:row>32</xdr:row>
          <xdr:rowOff>57150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800-00001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0</xdr:rowOff>
        </xdr:from>
        <xdr:to>
          <xdr:col>20</xdr:col>
          <xdr:colOff>9525</xdr:colOff>
          <xdr:row>33</xdr:row>
          <xdr:rowOff>57150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800-00001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0</xdr:rowOff>
        </xdr:from>
        <xdr:to>
          <xdr:col>20</xdr:col>
          <xdr:colOff>9525</xdr:colOff>
          <xdr:row>34</xdr:row>
          <xdr:rowOff>57150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800-00001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20</xdr:col>
          <xdr:colOff>9525</xdr:colOff>
          <xdr:row>35</xdr:row>
          <xdr:rowOff>57150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800-00001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20</xdr:col>
          <xdr:colOff>9525</xdr:colOff>
          <xdr:row>36</xdr:row>
          <xdr:rowOff>57150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800-00001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36</xdr:row>
          <xdr:rowOff>0</xdr:rowOff>
        </xdr:from>
        <xdr:to>
          <xdr:col>20</xdr:col>
          <xdr:colOff>9525</xdr:colOff>
          <xdr:row>37</xdr:row>
          <xdr:rowOff>57150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800-00001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37</xdr:row>
          <xdr:rowOff>0</xdr:rowOff>
        </xdr:from>
        <xdr:to>
          <xdr:col>20</xdr:col>
          <xdr:colOff>9525</xdr:colOff>
          <xdr:row>38</xdr:row>
          <xdr:rowOff>57150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800-00002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0</xdr:rowOff>
        </xdr:from>
        <xdr:to>
          <xdr:col>20</xdr:col>
          <xdr:colOff>9525</xdr:colOff>
          <xdr:row>39</xdr:row>
          <xdr:rowOff>57150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800-00002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0</xdr:rowOff>
        </xdr:from>
        <xdr:to>
          <xdr:col>20</xdr:col>
          <xdr:colOff>9525</xdr:colOff>
          <xdr:row>39</xdr:row>
          <xdr:rowOff>228600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800-00002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0</xdr:rowOff>
        </xdr:from>
        <xdr:to>
          <xdr:col>20</xdr:col>
          <xdr:colOff>9525</xdr:colOff>
          <xdr:row>41</xdr:row>
          <xdr:rowOff>57150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800-00002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20</xdr:col>
          <xdr:colOff>9525</xdr:colOff>
          <xdr:row>42</xdr:row>
          <xdr:rowOff>57150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800-00002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0</xdr:rowOff>
        </xdr:from>
        <xdr:to>
          <xdr:col>20</xdr:col>
          <xdr:colOff>9525</xdr:colOff>
          <xdr:row>43</xdr:row>
          <xdr:rowOff>57150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800-00002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20</xdr:col>
          <xdr:colOff>9525</xdr:colOff>
          <xdr:row>44</xdr:row>
          <xdr:rowOff>57150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800-00002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20</xdr:col>
          <xdr:colOff>9525</xdr:colOff>
          <xdr:row>45</xdr:row>
          <xdr:rowOff>57150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800-00002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0800-00002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800-00002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800-00002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800-00002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800-00002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800-00002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800-00002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800-00002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800-00003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800-00003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800-00003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0800-00003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800-00003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800-00003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800-00003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0800-00003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0800-00003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0800-00003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800-00003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0800-00003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0800-00003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0800-00003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0800-00003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800-00004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0800-00004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0800-00004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0800-00004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0800-00004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800-00004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0800-00004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0800-00004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800-00004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0800-00004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0800-00004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0800-00004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800-00004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49" name="Check Box 77" hidden="1">
              <a:extLst>
                <a:ext uri="{63B3BB69-23CF-44E3-9099-C40C66FF867C}">
                  <a14:compatExt spid="_x0000_s28749"/>
                </a:ext>
                <a:ext uri="{FF2B5EF4-FFF2-40B4-BE49-F238E27FC236}">
                  <a16:creationId xmlns:a16="http://schemas.microsoft.com/office/drawing/2014/main" id="{00000000-0008-0000-0800-00004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0" name="Check Box 78" hidden="1">
              <a:extLst>
                <a:ext uri="{63B3BB69-23CF-44E3-9099-C40C66FF867C}">
                  <a14:compatExt spid="_x0000_s28750"/>
                </a:ext>
                <a:ext uri="{FF2B5EF4-FFF2-40B4-BE49-F238E27FC236}">
                  <a16:creationId xmlns:a16="http://schemas.microsoft.com/office/drawing/2014/main" id="{00000000-0008-0000-0800-00004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1" name="Check Box 79" hidden="1">
              <a:extLst>
                <a:ext uri="{63B3BB69-23CF-44E3-9099-C40C66FF867C}">
                  <a14:compatExt spid="_x0000_s28751"/>
                </a:ext>
                <a:ext uri="{FF2B5EF4-FFF2-40B4-BE49-F238E27FC236}">
                  <a16:creationId xmlns:a16="http://schemas.microsoft.com/office/drawing/2014/main" id="{00000000-0008-0000-0800-00004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2" name="Check Box 80" hidden="1">
              <a:extLst>
                <a:ext uri="{63B3BB69-23CF-44E3-9099-C40C66FF867C}">
                  <a14:compatExt spid="_x0000_s28752"/>
                </a:ext>
                <a:ext uri="{FF2B5EF4-FFF2-40B4-BE49-F238E27FC236}">
                  <a16:creationId xmlns:a16="http://schemas.microsoft.com/office/drawing/2014/main" id="{00000000-0008-0000-0800-00005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3" name="Check Box 81" hidden="1">
              <a:extLst>
                <a:ext uri="{63B3BB69-23CF-44E3-9099-C40C66FF867C}">
                  <a14:compatExt spid="_x0000_s28753"/>
                </a:ext>
                <a:ext uri="{FF2B5EF4-FFF2-40B4-BE49-F238E27FC236}">
                  <a16:creationId xmlns:a16="http://schemas.microsoft.com/office/drawing/2014/main" id="{00000000-0008-0000-0800-00005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4" name="Check Box 82" hidden="1">
              <a:extLst>
                <a:ext uri="{63B3BB69-23CF-44E3-9099-C40C66FF867C}">
                  <a14:compatExt spid="_x0000_s28754"/>
                </a:ext>
                <a:ext uri="{FF2B5EF4-FFF2-40B4-BE49-F238E27FC236}">
                  <a16:creationId xmlns:a16="http://schemas.microsoft.com/office/drawing/2014/main" id="{00000000-0008-0000-0800-00005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5" name="Check Box 83" hidden="1">
              <a:extLst>
                <a:ext uri="{63B3BB69-23CF-44E3-9099-C40C66FF867C}">
                  <a14:compatExt spid="_x0000_s28755"/>
                </a:ext>
                <a:ext uri="{FF2B5EF4-FFF2-40B4-BE49-F238E27FC236}">
                  <a16:creationId xmlns:a16="http://schemas.microsoft.com/office/drawing/2014/main" id="{00000000-0008-0000-0800-00005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6" name="Check Box 84" hidden="1">
              <a:extLst>
                <a:ext uri="{63B3BB69-23CF-44E3-9099-C40C66FF867C}">
                  <a14:compatExt spid="_x0000_s28756"/>
                </a:ext>
                <a:ext uri="{FF2B5EF4-FFF2-40B4-BE49-F238E27FC236}">
                  <a16:creationId xmlns:a16="http://schemas.microsoft.com/office/drawing/2014/main" id="{00000000-0008-0000-0800-00005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7" name="Check Box 85" hidden="1">
              <a:extLst>
                <a:ext uri="{63B3BB69-23CF-44E3-9099-C40C66FF867C}">
                  <a14:compatExt spid="_x0000_s28757"/>
                </a:ext>
                <a:ext uri="{FF2B5EF4-FFF2-40B4-BE49-F238E27FC236}">
                  <a16:creationId xmlns:a16="http://schemas.microsoft.com/office/drawing/2014/main" id="{00000000-0008-0000-0800-00005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8" name="Check Box 86" hidden="1">
              <a:extLst>
                <a:ext uri="{63B3BB69-23CF-44E3-9099-C40C66FF867C}">
                  <a14:compatExt spid="_x0000_s28758"/>
                </a:ext>
                <a:ext uri="{FF2B5EF4-FFF2-40B4-BE49-F238E27FC236}">
                  <a16:creationId xmlns:a16="http://schemas.microsoft.com/office/drawing/2014/main" id="{00000000-0008-0000-0800-00005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59" name="Check Box 87" hidden="1">
              <a:extLst>
                <a:ext uri="{63B3BB69-23CF-44E3-9099-C40C66FF867C}">
                  <a14:compatExt spid="_x0000_s28759"/>
                </a:ext>
                <a:ext uri="{FF2B5EF4-FFF2-40B4-BE49-F238E27FC236}">
                  <a16:creationId xmlns:a16="http://schemas.microsoft.com/office/drawing/2014/main" id="{00000000-0008-0000-0800-00005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0" name="Check Box 88" hidden="1">
              <a:extLst>
                <a:ext uri="{63B3BB69-23CF-44E3-9099-C40C66FF867C}">
                  <a14:compatExt spid="_x0000_s28760"/>
                </a:ext>
                <a:ext uri="{FF2B5EF4-FFF2-40B4-BE49-F238E27FC236}">
                  <a16:creationId xmlns:a16="http://schemas.microsoft.com/office/drawing/2014/main" id="{00000000-0008-0000-0800-00005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1" name="Check Box 89" hidden="1">
              <a:extLst>
                <a:ext uri="{63B3BB69-23CF-44E3-9099-C40C66FF867C}">
                  <a14:compatExt spid="_x0000_s28761"/>
                </a:ext>
                <a:ext uri="{FF2B5EF4-FFF2-40B4-BE49-F238E27FC236}">
                  <a16:creationId xmlns:a16="http://schemas.microsoft.com/office/drawing/2014/main" id="{00000000-0008-0000-0800-00005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2" name="Check Box 90" hidden="1">
              <a:extLst>
                <a:ext uri="{63B3BB69-23CF-44E3-9099-C40C66FF867C}">
                  <a14:compatExt spid="_x0000_s28762"/>
                </a:ext>
                <a:ext uri="{FF2B5EF4-FFF2-40B4-BE49-F238E27FC236}">
                  <a16:creationId xmlns:a16="http://schemas.microsoft.com/office/drawing/2014/main" id="{00000000-0008-0000-0800-00005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3" name="Check Box 91" hidden="1">
              <a:extLst>
                <a:ext uri="{63B3BB69-23CF-44E3-9099-C40C66FF867C}">
                  <a14:compatExt spid="_x0000_s28763"/>
                </a:ext>
                <a:ext uri="{FF2B5EF4-FFF2-40B4-BE49-F238E27FC236}">
                  <a16:creationId xmlns:a16="http://schemas.microsoft.com/office/drawing/2014/main" id="{00000000-0008-0000-0800-00005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0800-00005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0800-00005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0800-00005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0800-00005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8" name="Check Box 96" hidden="1">
              <a:extLst>
                <a:ext uri="{63B3BB69-23CF-44E3-9099-C40C66FF867C}">
                  <a14:compatExt spid="_x0000_s28768"/>
                </a:ext>
                <a:ext uri="{FF2B5EF4-FFF2-40B4-BE49-F238E27FC236}">
                  <a16:creationId xmlns:a16="http://schemas.microsoft.com/office/drawing/2014/main" id="{00000000-0008-0000-0800-00006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69" name="Check Box 97" hidden="1">
              <a:extLst>
                <a:ext uri="{63B3BB69-23CF-44E3-9099-C40C66FF867C}">
                  <a14:compatExt spid="_x0000_s28769"/>
                </a:ext>
                <a:ext uri="{FF2B5EF4-FFF2-40B4-BE49-F238E27FC236}">
                  <a16:creationId xmlns:a16="http://schemas.microsoft.com/office/drawing/2014/main" id="{00000000-0008-0000-0800-00006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0" name="Check Box 98" hidden="1">
              <a:extLst>
                <a:ext uri="{63B3BB69-23CF-44E3-9099-C40C66FF867C}">
                  <a14:compatExt spid="_x0000_s28770"/>
                </a:ext>
                <a:ext uri="{FF2B5EF4-FFF2-40B4-BE49-F238E27FC236}">
                  <a16:creationId xmlns:a16="http://schemas.microsoft.com/office/drawing/2014/main" id="{00000000-0008-0000-0800-00006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771" name="Check Box 99" hidden="1">
              <a:extLst>
                <a:ext uri="{63B3BB69-23CF-44E3-9099-C40C66FF867C}">
                  <a14:compatExt spid="_x0000_s28771"/>
                </a:ext>
                <a:ext uri="{FF2B5EF4-FFF2-40B4-BE49-F238E27FC236}">
                  <a16:creationId xmlns:a16="http://schemas.microsoft.com/office/drawing/2014/main" id="{00000000-0008-0000-0800-00006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2" name="Check Box 100" hidden="1">
              <a:extLst>
                <a:ext uri="{63B3BB69-23CF-44E3-9099-C40C66FF867C}">
                  <a14:compatExt spid="_x0000_s28772"/>
                </a:ext>
                <a:ext uri="{FF2B5EF4-FFF2-40B4-BE49-F238E27FC236}">
                  <a16:creationId xmlns:a16="http://schemas.microsoft.com/office/drawing/2014/main" id="{00000000-0008-0000-0800-00006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3" name="Check Box 101" hidden="1">
              <a:extLst>
                <a:ext uri="{63B3BB69-23CF-44E3-9099-C40C66FF867C}">
                  <a14:compatExt spid="_x0000_s28773"/>
                </a:ext>
                <a:ext uri="{FF2B5EF4-FFF2-40B4-BE49-F238E27FC236}">
                  <a16:creationId xmlns:a16="http://schemas.microsoft.com/office/drawing/2014/main" id="{00000000-0008-0000-0800-00006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4" name="Check Box 102" hidden="1">
              <a:extLst>
                <a:ext uri="{63B3BB69-23CF-44E3-9099-C40C66FF867C}">
                  <a14:compatExt spid="_x0000_s28774"/>
                </a:ext>
                <a:ext uri="{FF2B5EF4-FFF2-40B4-BE49-F238E27FC236}">
                  <a16:creationId xmlns:a16="http://schemas.microsoft.com/office/drawing/2014/main" id="{00000000-0008-0000-0800-00006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5" name="Check Box 103" hidden="1">
              <a:extLst>
                <a:ext uri="{63B3BB69-23CF-44E3-9099-C40C66FF867C}">
                  <a14:compatExt spid="_x0000_s28775"/>
                </a:ext>
                <a:ext uri="{FF2B5EF4-FFF2-40B4-BE49-F238E27FC236}">
                  <a16:creationId xmlns:a16="http://schemas.microsoft.com/office/drawing/2014/main" id="{00000000-0008-0000-0800-00006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6" name="Check Box 104" hidden="1">
              <a:extLst>
                <a:ext uri="{63B3BB69-23CF-44E3-9099-C40C66FF867C}">
                  <a14:compatExt spid="_x0000_s28776"/>
                </a:ext>
                <a:ext uri="{FF2B5EF4-FFF2-40B4-BE49-F238E27FC236}">
                  <a16:creationId xmlns:a16="http://schemas.microsoft.com/office/drawing/2014/main" id="{00000000-0008-0000-0800-00006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7" name="Check Box 105" hidden="1">
              <a:extLst>
                <a:ext uri="{63B3BB69-23CF-44E3-9099-C40C66FF867C}">
                  <a14:compatExt spid="_x0000_s28777"/>
                </a:ext>
                <a:ext uri="{FF2B5EF4-FFF2-40B4-BE49-F238E27FC236}">
                  <a16:creationId xmlns:a16="http://schemas.microsoft.com/office/drawing/2014/main" id="{00000000-0008-0000-0800-00006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778" name="Check Box 106" hidden="1">
              <a:extLst>
                <a:ext uri="{63B3BB69-23CF-44E3-9099-C40C66FF867C}">
                  <a14:compatExt spid="_x0000_s28778"/>
                </a:ext>
                <a:ext uri="{FF2B5EF4-FFF2-40B4-BE49-F238E27FC236}">
                  <a16:creationId xmlns:a16="http://schemas.microsoft.com/office/drawing/2014/main" id="{00000000-0008-0000-0800-00006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79" name="Check Box 107" hidden="1">
              <a:extLst>
                <a:ext uri="{63B3BB69-23CF-44E3-9099-C40C66FF867C}">
                  <a14:compatExt spid="_x0000_s28779"/>
                </a:ext>
                <a:ext uri="{FF2B5EF4-FFF2-40B4-BE49-F238E27FC236}">
                  <a16:creationId xmlns:a16="http://schemas.microsoft.com/office/drawing/2014/main" id="{00000000-0008-0000-0800-00006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0" name="Check Box 108" hidden="1">
              <a:extLst>
                <a:ext uri="{63B3BB69-23CF-44E3-9099-C40C66FF867C}">
                  <a14:compatExt spid="_x0000_s28780"/>
                </a:ext>
                <a:ext uri="{FF2B5EF4-FFF2-40B4-BE49-F238E27FC236}">
                  <a16:creationId xmlns:a16="http://schemas.microsoft.com/office/drawing/2014/main" id="{00000000-0008-0000-0800-00006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1" name="Check Box 109" hidden="1">
              <a:extLst>
                <a:ext uri="{63B3BB69-23CF-44E3-9099-C40C66FF867C}">
                  <a14:compatExt spid="_x0000_s28781"/>
                </a:ext>
                <a:ext uri="{FF2B5EF4-FFF2-40B4-BE49-F238E27FC236}">
                  <a16:creationId xmlns:a16="http://schemas.microsoft.com/office/drawing/2014/main" id="{00000000-0008-0000-0800-00006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2" name="Check Box 110" hidden="1">
              <a:extLst>
                <a:ext uri="{63B3BB69-23CF-44E3-9099-C40C66FF867C}">
                  <a14:compatExt spid="_x0000_s28782"/>
                </a:ext>
                <a:ext uri="{FF2B5EF4-FFF2-40B4-BE49-F238E27FC236}">
                  <a16:creationId xmlns:a16="http://schemas.microsoft.com/office/drawing/2014/main" id="{00000000-0008-0000-0800-00006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3" name="Check Box 111" hidden="1">
              <a:extLst>
                <a:ext uri="{63B3BB69-23CF-44E3-9099-C40C66FF867C}">
                  <a14:compatExt spid="_x0000_s28783"/>
                </a:ext>
                <a:ext uri="{FF2B5EF4-FFF2-40B4-BE49-F238E27FC236}">
                  <a16:creationId xmlns:a16="http://schemas.microsoft.com/office/drawing/2014/main" id="{00000000-0008-0000-0800-00006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4" name="Check Box 112" hidden="1">
              <a:extLst>
                <a:ext uri="{63B3BB69-23CF-44E3-9099-C40C66FF867C}">
                  <a14:compatExt spid="_x0000_s28784"/>
                </a:ext>
                <a:ext uri="{FF2B5EF4-FFF2-40B4-BE49-F238E27FC236}">
                  <a16:creationId xmlns:a16="http://schemas.microsoft.com/office/drawing/2014/main" id="{00000000-0008-0000-0800-00007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785" name="Check Box 113" hidden="1">
              <a:extLst>
                <a:ext uri="{63B3BB69-23CF-44E3-9099-C40C66FF867C}">
                  <a14:compatExt spid="_x0000_s28785"/>
                </a:ext>
                <a:ext uri="{FF2B5EF4-FFF2-40B4-BE49-F238E27FC236}">
                  <a16:creationId xmlns:a16="http://schemas.microsoft.com/office/drawing/2014/main" id="{00000000-0008-0000-0800-00007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6" name="Check Box 114" hidden="1">
              <a:extLst>
                <a:ext uri="{63B3BB69-23CF-44E3-9099-C40C66FF867C}">
                  <a14:compatExt spid="_x0000_s28786"/>
                </a:ext>
                <a:ext uri="{FF2B5EF4-FFF2-40B4-BE49-F238E27FC236}">
                  <a16:creationId xmlns:a16="http://schemas.microsoft.com/office/drawing/2014/main" id="{00000000-0008-0000-0800-00007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7" name="Check Box 115" hidden="1">
              <a:extLst>
                <a:ext uri="{63B3BB69-23CF-44E3-9099-C40C66FF867C}">
                  <a14:compatExt spid="_x0000_s28787"/>
                </a:ext>
                <a:ext uri="{FF2B5EF4-FFF2-40B4-BE49-F238E27FC236}">
                  <a16:creationId xmlns:a16="http://schemas.microsoft.com/office/drawing/2014/main" id="{00000000-0008-0000-0800-00007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88" name="Check Box 116" hidden="1">
              <a:extLst>
                <a:ext uri="{63B3BB69-23CF-44E3-9099-C40C66FF867C}">
                  <a14:compatExt spid="_x0000_s28788"/>
                </a:ext>
                <a:ext uri="{FF2B5EF4-FFF2-40B4-BE49-F238E27FC236}">
                  <a16:creationId xmlns:a16="http://schemas.microsoft.com/office/drawing/2014/main" id="{00000000-0008-0000-0800-00007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789" name="Check Box 117" hidden="1">
              <a:extLst>
                <a:ext uri="{63B3BB69-23CF-44E3-9099-C40C66FF867C}">
                  <a14:compatExt spid="_x0000_s28789"/>
                </a:ext>
                <a:ext uri="{FF2B5EF4-FFF2-40B4-BE49-F238E27FC236}">
                  <a16:creationId xmlns:a16="http://schemas.microsoft.com/office/drawing/2014/main" id="{00000000-0008-0000-0800-00007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0" name="Check Box 118" hidden="1">
              <a:extLst>
                <a:ext uri="{63B3BB69-23CF-44E3-9099-C40C66FF867C}">
                  <a14:compatExt spid="_x0000_s28790"/>
                </a:ext>
                <a:ext uri="{FF2B5EF4-FFF2-40B4-BE49-F238E27FC236}">
                  <a16:creationId xmlns:a16="http://schemas.microsoft.com/office/drawing/2014/main" id="{00000000-0008-0000-0800-00007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1" name="Check Box 119" hidden="1">
              <a:extLst>
                <a:ext uri="{63B3BB69-23CF-44E3-9099-C40C66FF867C}">
                  <a14:compatExt spid="_x0000_s28791"/>
                </a:ext>
                <a:ext uri="{FF2B5EF4-FFF2-40B4-BE49-F238E27FC236}">
                  <a16:creationId xmlns:a16="http://schemas.microsoft.com/office/drawing/2014/main" id="{00000000-0008-0000-0800-00007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2" name="Check Box 120" hidden="1">
              <a:extLst>
                <a:ext uri="{63B3BB69-23CF-44E3-9099-C40C66FF867C}">
                  <a14:compatExt spid="_x0000_s28792"/>
                </a:ext>
                <a:ext uri="{FF2B5EF4-FFF2-40B4-BE49-F238E27FC236}">
                  <a16:creationId xmlns:a16="http://schemas.microsoft.com/office/drawing/2014/main" id="{00000000-0008-0000-0800-00007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3" name="Check Box 121" hidden="1">
              <a:extLst>
                <a:ext uri="{63B3BB69-23CF-44E3-9099-C40C66FF867C}">
                  <a14:compatExt spid="_x0000_s28793"/>
                </a:ext>
                <a:ext uri="{FF2B5EF4-FFF2-40B4-BE49-F238E27FC236}">
                  <a16:creationId xmlns:a16="http://schemas.microsoft.com/office/drawing/2014/main" id="{00000000-0008-0000-0800-00007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4" name="Check Box 122" hidden="1">
              <a:extLst>
                <a:ext uri="{63B3BB69-23CF-44E3-9099-C40C66FF867C}">
                  <a14:compatExt spid="_x0000_s28794"/>
                </a:ext>
                <a:ext uri="{FF2B5EF4-FFF2-40B4-BE49-F238E27FC236}">
                  <a16:creationId xmlns:a16="http://schemas.microsoft.com/office/drawing/2014/main" id="{00000000-0008-0000-0800-00007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5" name="Check Box 123" hidden="1">
              <a:extLst>
                <a:ext uri="{63B3BB69-23CF-44E3-9099-C40C66FF867C}">
                  <a14:compatExt spid="_x0000_s28795"/>
                </a:ext>
                <a:ext uri="{FF2B5EF4-FFF2-40B4-BE49-F238E27FC236}">
                  <a16:creationId xmlns:a16="http://schemas.microsoft.com/office/drawing/2014/main" id="{00000000-0008-0000-0800-00007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796" name="Check Box 124" hidden="1">
              <a:extLst>
                <a:ext uri="{63B3BB69-23CF-44E3-9099-C40C66FF867C}">
                  <a14:compatExt spid="_x0000_s28796"/>
                </a:ext>
                <a:ext uri="{FF2B5EF4-FFF2-40B4-BE49-F238E27FC236}">
                  <a16:creationId xmlns:a16="http://schemas.microsoft.com/office/drawing/2014/main" id="{00000000-0008-0000-0800-00007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7" name="Check Box 125" hidden="1">
              <a:extLst>
                <a:ext uri="{63B3BB69-23CF-44E3-9099-C40C66FF867C}">
                  <a14:compatExt spid="_x0000_s28797"/>
                </a:ext>
                <a:ext uri="{FF2B5EF4-FFF2-40B4-BE49-F238E27FC236}">
                  <a16:creationId xmlns:a16="http://schemas.microsoft.com/office/drawing/2014/main" id="{00000000-0008-0000-0800-00007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8" name="Check Box 126" hidden="1">
              <a:extLst>
                <a:ext uri="{63B3BB69-23CF-44E3-9099-C40C66FF867C}">
                  <a14:compatExt spid="_x0000_s28798"/>
                </a:ext>
                <a:ext uri="{FF2B5EF4-FFF2-40B4-BE49-F238E27FC236}">
                  <a16:creationId xmlns:a16="http://schemas.microsoft.com/office/drawing/2014/main" id="{00000000-0008-0000-0800-00007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799" name="Check Box 127" hidden="1">
              <a:extLst>
                <a:ext uri="{63B3BB69-23CF-44E3-9099-C40C66FF867C}">
                  <a14:compatExt spid="_x0000_s28799"/>
                </a:ext>
                <a:ext uri="{FF2B5EF4-FFF2-40B4-BE49-F238E27FC236}">
                  <a16:creationId xmlns:a16="http://schemas.microsoft.com/office/drawing/2014/main" id="{00000000-0008-0000-0800-00007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800" name="Check Box 128" hidden="1">
              <a:extLst>
                <a:ext uri="{63B3BB69-23CF-44E3-9099-C40C66FF867C}">
                  <a14:compatExt spid="_x0000_s28800"/>
                </a:ext>
                <a:ext uri="{FF2B5EF4-FFF2-40B4-BE49-F238E27FC236}">
                  <a16:creationId xmlns:a16="http://schemas.microsoft.com/office/drawing/2014/main" id="{00000000-0008-0000-0800-00008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1" name="Check Box 129" hidden="1">
              <a:extLst>
                <a:ext uri="{63B3BB69-23CF-44E3-9099-C40C66FF867C}">
                  <a14:compatExt spid="_x0000_s28801"/>
                </a:ext>
                <a:ext uri="{FF2B5EF4-FFF2-40B4-BE49-F238E27FC236}">
                  <a16:creationId xmlns:a16="http://schemas.microsoft.com/office/drawing/2014/main" id="{00000000-0008-0000-0800-00008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2" name="Check Box 130" hidden="1">
              <a:extLst>
                <a:ext uri="{63B3BB69-23CF-44E3-9099-C40C66FF867C}">
                  <a14:compatExt spid="_x0000_s28802"/>
                </a:ext>
                <a:ext uri="{FF2B5EF4-FFF2-40B4-BE49-F238E27FC236}">
                  <a16:creationId xmlns:a16="http://schemas.microsoft.com/office/drawing/2014/main" id="{00000000-0008-0000-0800-00008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3" name="Check Box 131" hidden="1">
              <a:extLst>
                <a:ext uri="{63B3BB69-23CF-44E3-9099-C40C66FF867C}">
                  <a14:compatExt spid="_x0000_s28803"/>
                </a:ext>
                <a:ext uri="{FF2B5EF4-FFF2-40B4-BE49-F238E27FC236}">
                  <a16:creationId xmlns:a16="http://schemas.microsoft.com/office/drawing/2014/main" id="{00000000-0008-0000-0800-00008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4" name="Check Box 132" hidden="1">
              <a:extLst>
                <a:ext uri="{63B3BB69-23CF-44E3-9099-C40C66FF867C}">
                  <a14:compatExt spid="_x0000_s28804"/>
                </a:ext>
                <a:ext uri="{FF2B5EF4-FFF2-40B4-BE49-F238E27FC236}">
                  <a16:creationId xmlns:a16="http://schemas.microsoft.com/office/drawing/2014/main" id="{00000000-0008-0000-0800-00008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0800-00008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6" name="Check Box 134" hidden="1">
              <a:extLst>
                <a:ext uri="{63B3BB69-23CF-44E3-9099-C40C66FF867C}">
                  <a14:compatExt spid="_x0000_s28806"/>
                </a:ext>
                <a:ext uri="{FF2B5EF4-FFF2-40B4-BE49-F238E27FC236}">
                  <a16:creationId xmlns:a16="http://schemas.microsoft.com/office/drawing/2014/main" id="{00000000-0008-0000-0800-00008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08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8" name="Check Box 136" hidden="1">
              <a:extLst>
                <a:ext uri="{63B3BB69-23CF-44E3-9099-C40C66FF867C}">
                  <a14:compatExt spid="_x0000_s28808"/>
                </a:ext>
                <a:ext uri="{FF2B5EF4-FFF2-40B4-BE49-F238E27FC236}">
                  <a16:creationId xmlns:a16="http://schemas.microsoft.com/office/drawing/2014/main" id="{00000000-0008-0000-0800-00008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0800-00008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0" name="Check Box 138" hidden="1">
              <a:extLst>
                <a:ext uri="{63B3BB69-23CF-44E3-9099-C40C66FF867C}">
                  <a14:compatExt spid="_x0000_s28810"/>
                </a:ext>
                <a:ext uri="{FF2B5EF4-FFF2-40B4-BE49-F238E27FC236}">
                  <a16:creationId xmlns:a16="http://schemas.microsoft.com/office/drawing/2014/main" id="{00000000-0008-0000-0800-00008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811" name="Check Box 139" hidden="1">
              <a:extLst>
                <a:ext uri="{63B3BB69-23CF-44E3-9099-C40C66FF867C}">
                  <a14:compatExt spid="_x0000_s28811"/>
                </a:ext>
                <a:ext uri="{FF2B5EF4-FFF2-40B4-BE49-F238E27FC236}">
                  <a16:creationId xmlns:a16="http://schemas.microsoft.com/office/drawing/2014/main" id="{00000000-0008-0000-0800-00008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2" name="Check Box 140" hidden="1">
              <a:extLst>
                <a:ext uri="{63B3BB69-23CF-44E3-9099-C40C66FF867C}">
                  <a14:compatExt spid="_x0000_s28812"/>
                </a:ext>
                <a:ext uri="{FF2B5EF4-FFF2-40B4-BE49-F238E27FC236}">
                  <a16:creationId xmlns:a16="http://schemas.microsoft.com/office/drawing/2014/main" id="{00000000-0008-0000-0800-00008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3" name="Check Box 141" hidden="1">
              <a:extLst>
                <a:ext uri="{63B3BB69-23CF-44E3-9099-C40C66FF867C}">
                  <a14:compatExt spid="_x0000_s28813"/>
                </a:ext>
                <a:ext uri="{FF2B5EF4-FFF2-40B4-BE49-F238E27FC236}">
                  <a16:creationId xmlns:a16="http://schemas.microsoft.com/office/drawing/2014/main" id="{00000000-0008-0000-0800-00008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4" name="Check Box 142" hidden="1">
              <a:extLst>
                <a:ext uri="{63B3BB69-23CF-44E3-9099-C40C66FF867C}">
                  <a14:compatExt spid="_x0000_s28814"/>
                </a:ext>
                <a:ext uri="{FF2B5EF4-FFF2-40B4-BE49-F238E27FC236}">
                  <a16:creationId xmlns:a16="http://schemas.microsoft.com/office/drawing/2014/main" id="{00000000-0008-0000-0800-00008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5" name="Check Box 143" hidden="1">
              <a:extLst>
                <a:ext uri="{63B3BB69-23CF-44E3-9099-C40C66FF867C}">
                  <a14:compatExt spid="_x0000_s28815"/>
                </a:ext>
                <a:ext uri="{FF2B5EF4-FFF2-40B4-BE49-F238E27FC236}">
                  <a16:creationId xmlns:a16="http://schemas.microsoft.com/office/drawing/2014/main" id="{00000000-0008-0000-0800-00008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6" name="Check Box 144" hidden="1">
              <a:extLst>
                <a:ext uri="{63B3BB69-23CF-44E3-9099-C40C66FF867C}">
                  <a14:compatExt spid="_x0000_s28816"/>
                </a:ext>
                <a:ext uri="{FF2B5EF4-FFF2-40B4-BE49-F238E27FC236}">
                  <a16:creationId xmlns:a16="http://schemas.microsoft.com/office/drawing/2014/main" id="{00000000-0008-0000-0800-00009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7" name="Check Box 145" hidden="1">
              <a:extLst>
                <a:ext uri="{63B3BB69-23CF-44E3-9099-C40C66FF867C}">
                  <a14:compatExt spid="_x0000_s28817"/>
                </a:ext>
                <a:ext uri="{FF2B5EF4-FFF2-40B4-BE49-F238E27FC236}">
                  <a16:creationId xmlns:a16="http://schemas.microsoft.com/office/drawing/2014/main" id="{00000000-0008-0000-0800-00009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818" name="Check Box 146" hidden="1">
              <a:extLst>
                <a:ext uri="{63B3BB69-23CF-44E3-9099-C40C66FF867C}">
                  <a14:compatExt spid="_x0000_s28818"/>
                </a:ext>
                <a:ext uri="{FF2B5EF4-FFF2-40B4-BE49-F238E27FC236}">
                  <a16:creationId xmlns:a16="http://schemas.microsoft.com/office/drawing/2014/main" id="{00000000-0008-0000-0800-00009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19" name="Check Box 147" hidden="1">
              <a:extLst>
                <a:ext uri="{63B3BB69-23CF-44E3-9099-C40C66FF867C}">
                  <a14:compatExt spid="_x0000_s28819"/>
                </a:ext>
                <a:ext uri="{FF2B5EF4-FFF2-40B4-BE49-F238E27FC236}">
                  <a16:creationId xmlns:a16="http://schemas.microsoft.com/office/drawing/2014/main" id="{00000000-0008-0000-0800-00009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0" name="Check Box 148" hidden="1">
              <a:extLst>
                <a:ext uri="{63B3BB69-23CF-44E3-9099-C40C66FF867C}">
                  <a14:compatExt spid="_x0000_s28820"/>
                </a:ext>
                <a:ext uri="{FF2B5EF4-FFF2-40B4-BE49-F238E27FC236}">
                  <a16:creationId xmlns:a16="http://schemas.microsoft.com/office/drawing/2014/main" id="{00000000-0008-0000-0800-00009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1" name="Check Box 149" hidden="1">
              <a:extLst>
                <a:ext uri="{63B3BB69-23CF-44E3-9099-C40C66FF867C}">
                  <a14:compatExt spid="_x0000_s28821"/>
                </a:ext>
                <a:ext uri="{FF2B5EF4-FFF2-40B4-BE49-F238E27FC236}">
                  <a16:creationId xmlns:a16="http://schemas.microsoft.com/office/drawing/2014/main" id="{00000000-0008-0000-0800-00009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822" name="Check Box 150" hidden="1">
              <a:extLst>
                <a:ext uri="{63B3BB69-23CF-44E3-9099-C40C66FF867C}">
                  <a14:compatExt spid="_x0000_s28822"/>
                </a:ext>
                <a:ext uri="{FF2B5EF4-FFF2-40B4-BE49-F238E27FC236}">
                  <a16:creationId xmlns:a16="http://schemas.microsoft.com/office/drawing/2014/main" id="{00000000-0008-0000-0800-00009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3" name="Check Box 151" hidden="1">
              <a:extLst>
                <a:ext uri="{63B3BB69-23CF-44E3-9099-C40C66FF867C}">
                  <a14:compatExt spid="_x0000_s28823"/>
                </a:ext>
                <a:ext uri="{FF2B5EF4-FFF2-40B4-BE49-F238E27FC236}">
                  <a16:creationId xmlns:a16="http://schemas.microsoft.com/office/drawing/2014/main" id="{00000000-0008-0000-0800-00009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4" name="Check Box 152" hidden="1">
              <a:extLst>
                <a:ext uri="{63B3BB69-23CF-44E3-9099-C40C66FF867C}">
                  <a14:compatExt spid="_x0000_s28824"/>
                </a:ext>
                <a:ext uri="{FF2B5EF4-FFF2-40B4-BE49-F238E27FC236}">
                  <a16:creationId xmlns:a16="http://schemas.microsoft.com/office/drawing/2014/main" id="{00000000-0008-0000-0800-00009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5" name="Check Box 153" hidden="1">
              <a:extLst>
                <a:ext uri="{63B3BB69-23CF-44E3-9099-C40C66FF867C}">
                  <a14:compatExt spid="_x0000_s28825"/>
                </a:ext>
                <a:ext uri="{FF2B5EF4-FFF2-40B4-BE49-F238E27FC236}">
                  <a16:creationId xmlns:a16="http://schemas.microsoft.com/office/drawing/2014/main" id="{00000000-0008-0000-0800-00009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6" name="Check Box 154" hidden="1">
              <a:extLst>
                <a:ext uri="{63B3BB69-23CF-44E3-9099-C40C66FF867C}">
                  <a14:compatExt spid="_x0000_s28826"/>
                </a:ext>
                <a:ext uri="{FF2B5EF4-FFF2-40B4-BE49-F238E27FC236}">
                  <a16:creationId xmlns:a16="http://schemas.microsoft.com/office/drawing/2014/main" id="{00000000-0008-0000-0800-00009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7" name="Check Box 155" hidden="1">
              <a:extLst>
                <a:ext uri="{63B3BB69-23CF-44E3-9099-C40C66FF867C}">
                  <a14:compatExt spid="_x0000_s28827"/>
                </a:ext>
                <a:ext uri="{FF2B5EF4-FFF2-40B4-BE49-F238E27FC236}">
                  <a16:creationId xmlns:a16="http://schemas.microsoft.com/office/drawing/2014/main" id="{00000000-0008-0000-0800-00009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28" name="Check Box 156" hidden="1">
              <a:extLst>
                <a:ext uri="{63B3BB69-23CF-44E3-9099-C40C66FF867C}">
                  <a14:compatExt spid="_x0000_s28828"/>
                </a:ext>
                <a:ext uri="{FF2B5EF4-FFF2-40B4-BE49-F238E27FC236}">
                  <a16:creationId xmlns:a16="http://schemas.microsoft.com/office/drawing/2014/main" id="{00000000-0008-0000-0800-00009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69</xdr:row>
          <xdr:rowOff>0</xdr:rowOff>
        </xdr:from>
        <xdr:to>
          <xdr:col>20</xdr:col>
          <xdr:colOff>504825</xdr:colOff>
          <xdr:row>70</xdr:row>
          <xdr:rowOff>38100</xdr:rowOff>
        </xdr:to>
        <xdr:sp macro="" textlink="">
          <xdr:nvSpPr>
            <xdr:cNvPr id="28829" name="Check Box 157" hidden="1">
              <a:extLst>
                <a:ext uri="{63B3BB69-23CF-44E3-9099-C40C66FF867C}">
                  <a14:compatExt spid="_x0000_s28829"/>
                </a:ext>
                <a:ext uri="{FF2B5EF4-FFF2-40B4-BE49-F238E27FC236}">
                  <a16:creationId xmlns:a16="http://schemas.microsoft.com/office/drawing/2014/main" id="{00000000-0008-0000-0800-00009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30" name="Check Box 158" hidden="1">
              <a:extLst>
                <a:ext uri="{63B3BB69-23CF-44E3-9099-C40C66FF867C}">
                  <a14:compatExt spid="_x0000_s28830"/>
                </a:ext>
                <a:ext uri="{FF2B5EF4-FFF2-40B4-BE49-F238E27FC236}">
                  <a16:creationId xmlns:a16="http://schemas.microsoft.com/office/drawing/2014/main" id="{00000000-0008-0000-0800-00009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31" name="Check Box 159" hidden="1">
              <a:extLst>
                <a:ext uri="{63B3BB69-23CF-44E3-9099-C40C66FF867C}">
                  <a14:compatExt spid="_x0000_s28831"/>
                </a:ext>
                <a:ext uri="{FF2B5EF4-FFF2-40B4-BE49-F238E27FC236}">
                  <a16:creationId xmlns:a16="http://schemas.microsoft.com/office/drawing/2014/main" id="{00000000-0008-0000-0800-00009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32" name="Check Box 160" hidden="1">
              <a:extLst>
                <a:ext uri="{63B3BB69-23CF-44E3-9099-C40C66FF867C}">
                  <a14:compatExt spid="_x0000_s28832"/>
                </a:ext>
                <a:ext uri="{FF2B5EF4-FFF2-40B4-BE49-F238E27FC236}">
                  <a16:creationId xmlns:a16="http://schemas.microsoft.com/office/drawing/2014/main" id="{00000000-0008-0000-0800-0000A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20</xdr:col>
          <xdr:colOff>9525</xdr:colOff>
          <xdr:row>45</xdr:row>
          <xdr:rowOff>57150</xdr:rowOff>
        </xdr:to>
        <xdr:sp macro="" textlink="">
          <xdr:nvSpPr>
            <xdr:cNvPr id="28833" name="Check Box 161" hidden="1">
              <a:extLst>
                <a:ext uri="{63B3BB69-23CF-44E3-9099-C40C66FF867C}">
                  <a14:compatExt spid="_x0000_s28833"/>
                </a:ext>
                <a:ext uri="{FF2B5EF4-FFF2-40B4-BE49-F238E27FC236}">
                  <a16:creationId xmlns:a16="http://schemas.microsoft.com/office/drawing/2014/main" id="{00000000-0008-0000-0800-0000A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20</xdr:col>
          <xdr:colOff>9525</xdr:colOff>
          <xdr:row>46</xdr:row>
          <xdr:rowOff>57150</xdr:rowOff>
        </xdr:to>
        <xdr:sp macro="" textlink="">
          <xdr:nvSpPr>
            <xdr:cNvPr id="28834" name="Check Box 162" hidden="1">
              <a:extLst>
                <a:ext uri="{63B3BB69-23CF-44E3-9099-C40C66FF867C}">
                  <a14:compatExt spid="_x0000_s28834"/>
                </a:ext>
                <a:ext uri="{FF2B5EF4-FFF2-40B4-BE49-F238E27FC236}">
                  <a16:creationId xmlns:a16="http://schemas.microsoft.com/office/drawing/2014/main" id="{00000000-0008-0000-0800-0000A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20</xdr:col>
          <xdr:colOff>9525</xdr:colOff>
          <xdr:row>46</xdr:row>
          <xdr:rowOff>57150</xdr:rowOff>
        </xdr:to>
        <xdr:sp macro="" textlink="">
          <xdr:nvSpPr>
            <xdr:cNvPr id="28835" name="Check Box 163" hidden="1">
              <a:extLst>
                <a:ext uri="{63B3BB69-23CF-44E3-9099-C40C66FF867C}">
                  <a14:compatExt spid="_x0000_s28835"/>
                </a:ext>
                <a:ext uri="{FF2B5EF4-FFF2-40B4-BE49-F238E27FC236}">
                  <a16:creationId xmlns:a16="http://schemas.microsoft.com/office/drawing/2014/main" id="{00000000-0008-0000-0800-0000A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9525</xdr:colOff>
          <xdr:row>47</xdr:row>
          <xdr:rowOff>57150</xdr:rowOff>
        </xdr:to>
        <xdr:sp macro="" textlink="">
          <xdr:nvSpPr>
            <xdr:cNvPr id="28836" name="Check Box 164" hidden="1">
              <a:extLst>
                <a:ext uri="{63B3BB69-23CF-44E3-9099-C40C66FF867C}">
                  <a14:compatExt spid="_x0000_s28836"/>
                </a:ext>
                <a:ext uri="{FF2B5EF4-FFF2-40B4-BE49-F238E27FC236}">
                  <a16:creationId xmlns:a16="http://schemas.microsoft.com/office/drawing/2014/main" id="{00000000-0008-0000-0800-0000A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9525</xdr:colOff>
          <xdr:row>47</xdr:row>
          <xdr:rowOff>57150</xdr:rowOff>
        </xdr:to>
        <xdr:sp macro="" textlink="">
          <xdr:nvSpPr>
            <xdr:cNvPr id="28837" name="Check Box 165" hidden="1">
              <a:extLst>
                <a:ext uri="{63B3BB69-23CF-44E3-9099-C40C66FF867C}">
                  <a14:compatExt spid="_x0000_s28837"/>
                </a:ext>
                <a:ext uri="{FF2B5EF4-FFF2-40B4-BE49-F238E27FC236}">
                  <a16:creationId xmlns:a16="http://schemas.microsoft.com/office/drawing/2014/main" id="{00000000-0008-0000-0800-0000A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20</xdr:col>
          <xdr:colOff>9525</xdr:colOff>
          <xdr:row>47</xdr:row>
          <xdr:rowOff>57150</xdr:rowOff>
        </xdr:to>
        <xdr:sp macro="" textlink="">
          <xdr:nvSpPr>
            <xdr:cNvPr id="28838" name="Check Box 166" hidden="1">
              <a:extLst>
                <a:ext uri="{63B3BB69-23CF-44E3-9099-C40C66FF867C}">
                  <a14:compatExt spid="_x0000_s28838"/>
                </a:ext>
                <a:ext uri="{FF2B5EF4-FFF2-40B4-BE49-F238E27FC236}">
                  <a16:creationId xmlns:a16="http://schemas.microsoft.com/office/drawing/2014/main" id="{00000000-0008-0000-0800-0000A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9525</xdr:colOff>
          <xdr:row>48</xdr:row>
          <xdr:rowOff>57150</xdr:rowOff>
        </xdr:to>
        <xdr:sp macro="" textlink="">
          <xdr:nvSpPr>
            <xdr:cNvPr id="28839" name="Check Box 167" hidden="1">
              <a:extLst>
                <a:ext uri="{63B3BB69-23CF-44E3-9099-C40C66FF867C}">
                  <a14:compatExt spid="_x0000_s28839"/>
                </a:ext>
                <a:ext uri="{FF2B5EF4-FFF2-40B4-BE49-F238E27FC236}">
                  <a16:creationId xmlns:a16="http://schemas.microsoft.com/office/drawing/2014/main" id="{00000000-0008-0000-0800-0000A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9525</xdr:colOff>
          <xdr:row>48</xdr:row>
          <xdr:rowOff>57150</xdr:rowOff>
        </xdr:to>
        <xdr:sp macro="" textlink="">
          <xdr:nvSpPr>
            <xdr:cNvPr id="28840" name="Check Box 168" hidden="1">
              <a:extLst>
                <a:ext uri="{63B3BB69-23CF-44E3-9099-C40C66FF867C}">
                  <a14:compatExt spid="_x0000_s28840"/>
                </a:ext>
                <a:ext uri="{FF2B5EF4-FFF2-40B4-BE49-F238E27FC236}">
                  <a16:creationId xmlns:a16="http://schemas.microsoft.com/office/drawing/2014/main" id="{00000000-0008-0000-0800-0000A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20</xdr:col>
          <xdr:colOff>9525</xdr:colOff>
          <xdr:row>48</xdr:row>
          <xdr:rowOff>57150</xdr:rowOff>
        </xdr:to>
        <xdr:sp macro="" textlink="">
          <xdr:nvSpPr>
            <xdr:cNvPr id="28841" name="Check Box 169" hidden="1">
              <a:extLst>
                <a:ext uri="{63B3BB69-23CF-44E3-9099-C40C66FF867C}">
                  <a14:compatExt spid="_x0000_s28841"/>
                </a:ext>
                <a:ext uri="{FF2B5EF4-FFF2-40B4-BE49-F238E27FC236}">
                  <a16:creationId xmlns:a16="http://schemas.microsoft.com/office/drawing/2014/main" id="{00000000-0008-0000-0800-0000A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9525</xdr:colOff>
          <xdr:row>49</xdr:row>
          <xdr:rowOff>57150</xdr:rowOff>
        </xdr:to>
        <xdr:sp macro="" textlink="">
          <xdr:nvSpPr>
            <xdr:cNvPr id="28842" name="Check Box 170" hidden="1">
              <a:extLst>
                <a:ext uri="{63B3BB69-23CF-44E3-9099-C40C66FF867C}">
                  <a14:compatExt spid="_x0000_s28842"/>
                </a:ext>
                <a:ext uri="{FF2B5EF4-FFF2-40B4-BE49-F238E27FC236}">
                  <a16:creationId xmlns:a16="http://schemas.microsoft.com/office/drawing/2014/main" id="{00000000-0008-0000-0800-0000A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9525</xdr:colOff>
          <xdr:row>49</xdr:row>
          <xdr:rowOff>57150</xdr:rowOff>
        </xdr:to>
        <xdr:sp macro="" textlink="">
          <xdr:nvSpPr>
            <xdr:cNvPr id="28843" name="Check Box 171" hidden="1">
              <a:extLst>
                <a:ext uri="{63B3BB69-23CF-44E3-9099-C40C66FF867C}">
                  <a14:compatExt spid="_x0000_s28843"/>
                </a:ext>
                <a:ext uri="{FF2B5EF4-FFF2-40B4-BE49-F238E27FC236}">
                  <a16:creationId xmlns:a16="http://schemas.microsoft.com/office/drawing/2014/main" id="{00000000-0008-0000-0800-0000A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20</xdr:col>
          <xdr:colOff>9525</xdr:colOff>
          <xdr:row>49</xdr:row>
          <xdr:rowOff>57150</xdr:rowOff>
        </xdr:to>
        <xdr:sp macro="" textlink="">
          <xdr:nvSpPr>
            <xdr:cNvPr id="28844" name="Check Box 172" hidden="1">
              <a:extLst>
                <a:ext uri="{63B3BB69-23CF-44E3-9099-C40C66FF867C}">
                  <a14:compatExt spid="_x0000_s28844"/>
                </a:ext>
                <a:ext uri="{FF2B5EF4-FFF2-40B4-BE49-F238E27FC236}">
                  <a16:creationId xmlns:a16="http://schemas.microsoft.com/office/drawing/2014/main" id="{00000000-0008-0000-0800-0000A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50</xdr:row>
          <xdr:rowOff>57150</xdr:rowOff>
        </xdr:to>
        <xdr:sp macro="" textlink="">
          <xdr:nvSpPr>
            <xdr:cNvPr id="28845" name="Check Box 173" hidden="1">
              <a:extLst>
                <a:ext uri="{63B3BB69-23CF-44E3-9099-C40C66FF867C}">
                  <a14:compatExt spid="_x0000_s28845"/>
                </a:ext>
                <a:ext uri="{FF2B5EF4-FFF2-40B4-BE49-F238E27FC236}">
                  <a16:creationId xmlns:a16="http://schemas.microsoft.com/office/drawing/2014/main" id="{00000000-0008-0000-0800-0000A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50</xdr:row>
          <xdr:rowOff>57150</xdr:rowOff>
        </xdr:to>
        <xdr:sp macro="" textlink="">
          <xdr:nvSpPr>
            <xdr:cNvPr id="28846" name="Check Box 174" hidden="1">
              <a:extLst>
                <a:ext uri="{63B3BB69-23CF-44E3-9099-C40C66FF867C}">
                  <a14:compatExt spid="_x0000_s28846"/>
                </a:ext>
                <a:ext uri="{FF2B5EF4-FFF2-40B4-BE49-F238E27FC236}">
                  <a16:creationId xmlns:a16="http://schemas.microsoft.com/office/drawing/2014/main" id="{00000000-0008-0000-0800-0000A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50</xdr:row>
          <xdr:rowOff>57150</xdr:rowOff>
        </xdr:to>
        <xdr:sp macro="" textlink="">
          <xdr:nvSpPr>
            <xdr:cNvPr id="28847" name="Check Box 175" hidden="1">
              <a:extLst>
                <a:ext uri="{63B3BB69-23CF-44E3-9099-C40C66FF867C}">
                  <a14:compatExt spid="_x0000_s28847"/>
                </a:ext>
                <a:ext uri="{FF2B5EF4-FFF2-40B4-BE49-F238E27FC236}">
                  <a16:creationId xmlns:a16="http://schemas.microsoft.com/office/drawing/2014/main" id="{00000000-0008-0000-0800-0000A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9525</xdr:colOff>
          <xdr:row>51</xdr:row>
          <xdr:rowOff>57150</xdr:rowOff>
        </xdr:to>
        <xdr:sp macro="" textlink="">
          <xdr:nvSpPr>
            <xdr:cNvPr id="28848" name="Check Box 176" hidden="1">
              <a:extLst>
                <a:ext uri="{63B3BB69-23CF-44E3-9099-C40C66FF867C}">
                  <a14:compatExt spid="_x0000_s28848"/>
                </a:ext>
                <a:ext uri="{FF2B5EF4-FFF2-40B4-BE49-F238E27FC236}">
                  <a16:creationId xmlns:a16="http://schemas.microsoft.com/office/drawing/2014/main" id="{00000000-0008-0000-0800-0000B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9525</xdr:colOff>
          <xdr:row>51</xdr:row>
          <xdr:rowOff>57150</xdr:rowOff>
        </xdr:to>
        <xdr:sp macro="" textlink="">
          <xdr:nvSpPr>
            <xdr:cNvPr id="28849" name="Check Box 177" hidden="1">
              <a:extLst>
                <a:ext uri="{63B3BB69-23CF-44E3-9099-C40C66FF867C}">
                  <a14:compatExt spid="_x0000_s28849"/>
                </a:ext>
                <a:ext uri="{FF2B5EF4-FFF2-40B4-BE49-F238E27FC236}">
                  <a16:creationId xmlns:a16="http://schemas.microsoft.com/office/drawing/2014/main" id="{00000000-0008-0000-0800-0000B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20</xdr:col>
          <xdr:colOff>9525</xdr:colOff>
          <xdr:row>51</xdr:row>
          <xdr:rowOff>57150</xdr:rowOff>
        </xdr:to>
        <xdr:sp macro="" textlink="">
          <xdr:nvSpPr>
            <xdr:cNvPr id="28850" name="Check Box 178" hidden="1">
              <a:extLst>
                <a:ext uri="{63B3BB69-23CF-44E3-9099-C40C66FF867C}">
                  <a14:compatExt spid="_x0000_s28850"/>
                </a:ext>
                <a:ext uri="{FF2B5EF4-FFF2-40B4-BE49-F238E27FC236}">
                  <a16:creationId xmlns:a16="http://schemas.microsoft.com/office/drawing/2014/main" id="{00000000-0008-0000-0800-0000B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9525</xdr:colOff>
          <xdr:row>52</xdr:row>
          <xdr:rowOff>57150</xdr:rowOff>
        </xdr:to>
        <xdr:sp macro="" textlink="">
          <xdr:nvSpPr>
            <xdr:cNvPr id="28851" name="Check Box 179" hidden="1">
              <a:extLst>
                <a:ext uri="{63B3BB69-23CF-44E3-9099-C40C66FF867C}">
                  <a14:compatExt spid="_x0000_s28851"/>
                </a:ext>
                <a:ext uri="{FF2B5EF4-FFF2-40B4-BE49-F238E27FC236}">
                  <a16:creationId xmlns:a16="http://schemas.microsoft.com/office/drawing/2014/main" id="{00000000-0008-0000-0800-0000B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9525</xdr:colOff>
          <xdr:row>52</xdr:row>
          <xdr:rowOff>57150</xdr:rowOff>
        </xdr:to>
        <xdr:sp macro="" textlink="">
          <xdr:nvSpPr>
            <xdr:cNvPr id="28852" name="Check Box 180" hidden="1">
              <a:extLst>
                <a:ext uri="{63B3BB69-23CF-44E3-9099-C40C66FF867C}">
                  <a14:compatExt spid="_x0000_s28852"/>
                </a:ext>
                <a:ext uri="{FF2B5EF4-FFF2-40B4-BE49-F238E27FC236}">
                  <a16:creationId xmlns:a16="http://schemas.microsoft.com/office/drawing/2014/main" id="{00000000-0008-0000-0800-0000B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20</xdr:col>
          <xdr:colOff>9525</xdr:colOff>
          <xdr:row>52</xdr:row>
          <xdr:rowOff>57150</xdr:rowOff>
        </xdr:to>
        <xdr:sp macro="" textlink="">
          <xdr:nvSpPr>
            <xdr:cNvPr id="28853" name="Check Box 181" hidden="1">
              <a:extLst>
                <a:ext uri="{63B3BB69-23CF-44E3-9099-C40C66FF867C}">
                  <a14:compatExt spid="_x0000_s28853"/>
                </a:ext>
                <a:ext uri="{FF2B5EF4-FFF2-40B4-BE49-F238E27FC236}">
                  <a16:creationId xmlns:a16="http://schemas.microsoft.com/office/drawing/2014/main" id="{00000000-0008-0000-0800-0000B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9525</xdr:colOff>
          <xdr:row>53</xdr:row>
          <xdr:rowOff>57150</xdr:rowOff>
        </xdr:to>
        <xdr:sp macro="" textlink="">
          <xdr:nvSpPr>
            <xdr:cNvPr id="28854" name="Check Box 182" hidden="1">
              <a:extLst>
                <a:ext uri="{63B3BB69-23CF-44E3-9099-C40C66FF867C}">
                  <a14:compatExt spid="_x0000_s28854"/>
                </a:ext>
                <a:ext uri="{FF2B5EF4-FFF2-40B4-BE49-F238E27FC236}">
                  <a16:creationId xmlns:a16="http://schemas.microsoft.com/office/drawing/2014/main" id="{00000000-0008-0000-0800-0000B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9525</xdr:colOff>
          <xdr:row>53</xdr:row>
          <xdr:rowOff>57150</xdr:rowOff>
        </xdr:to>
        <xdr:sp macro="" textlink="">
          <xdr:nvSpPr>
            <xdr:cNvPr id="28855" name="Check Box 183" hidden="1">
              <a:extLst>
                <a:ext uri="{63B3BB69-23CF-44E3-9099-C40C66FF867C}">
                  <a14:compatExt spid="_x0000_s28855"/>
                </a:ext>
                <a:ext uri="{FF2B5EF4-FFF2-40B4-BE49-F238E27FC236}">
                  <a16:creationId xmlns:a16="http://schemas.microsoft.com/office/drawing/2014/main" id="{00000000-0008-0000-0800-0000B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20</xdr:col>
          <xdr:colOff>9525</xdr:colOff>
          <xdr:row>53</xdr:row>
          <xdr:rowOff>57150</xdr:rowOff>
        </xdr:to>
        <xdr:sp macro="" textlink="">
          <xdr:nvSpPr>
            <xdr:cNvPr id="28856" name="Check Box 184" hidden="1">
              <a:extLst>
                <a:ext uri="{63B3BB69-23CF-44E3-9099-C40C66FF867C}">
                  <a14:compatExt spid="_x0000_s28856"/>
                </a:ext>
                <a:ext uri="{FF2B5EF4-FFF2-40B4-BE49-F238E27FC236}">
                  <a16:creationId xmlns:a16="http://schemas.microsoft.com/office/drawing/2014/main" id="{00000000-0008-0000-0800-0000B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9525</xdr:colOff>
          <xdr:row>54</xdr:row>
          <xdr:rowOff>66675</xdr:rowOff>
        </xdr:to>
        <xdr:sp macro="" textlink="">
          <xdr:nvSpPr>
            <xdr:cNvPr id="28857" name="Check Box 185" hidden="1">
              <a:extLst>
                <a:ext uri="{63B3BB69-23CF-44E3-9099-C40C66FF867C}">
                  <a14:compatExt spid="_x0000_s28857"/>
                </a:ext>
                <a:ext uri="{FF2B5EF4-FFF2-40B4-BE49-F238E27FC236}">
                  <a16:creationId xmlns:a16="http://schemas.microsoft.com/office/drawing/2014/main" id="{00000000-0008-0000-0800-0000B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9525</xdr:colOff>
          <xdr:row>54</xdr:row>
          <xdr:rowOff>66675</xdr:rowOff>
        </xdr:to>
        <xdr:sp macro="" textlink="">
          <xdr:nvSpPr>
            <xdr:cNvPr id="28858" name="Check Box 186" hidden="1">
              <a:extLst>
                <a:ext uri="{63B3BB69-23CF-44E3-9099-C40C66FF867C}">
                  <a14:compatExt spid="_x0000_s28858"/>
                </a:ext>
                <a:ext uri="{FF2B5EF4-FFF2-40B4-BE49-F238E27FC236}">
                  <a16:creationId xmlns:a16="http://schemas.microsoft.com/office/drawing/2014/main" id="{00000000-0008-0000-0800-0000B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20</xdr:col>
          <xdr:colOff>9525</xdr:colOff>
          <xdr:row>54</xdr:row>
          <xdr:rowOff>66675</xdr:rowOff>
        </xdr:to>
        <xdr:sp macro="" textlink="">
          <xdr:nvSpPr>
            <xdr:cNvPr id="28859" name="Check Box 187" hidden="1">
              <a:extLst>
                <a:ext uri="{63B3BB69-23CF-44E3-9099-C40C66FF867C}">
                  <a14:compatExt spid="_x0000_s28859"/>
                </a:ext>
                <a:ext uri="{FF2B5EF4-FFF2-40B4-BE49-F238E27FC236}">
                  <a16:creationId xmlns:a16="http://schemas.microsoft.com/office/drawing/2014/main" id="{00000000-0008-0000-0800-0000B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9525</xdr:colOff>
          <xdr:row>55</xdr:row>
          <xdr:rowOff>57150</xdr:rowOff>
        </xdr:to>
        <xdr:sp macro="" textlink="">
          <xdr:nvSpPr>
            <xdr:cNvPr id="28860" name="Check Box 188" hidden="1">
              <a:extLst>
                <a:ext uri="{63B3BB69-23CF-44E3-9099-C40C66FF867C}">
                  <a14:compatExt spid="_x0000_s28860"/>
                </a:ext>
                <a:ext uri="{FF2B5EF4-FFF2-40B4-BE49-F238E27FC236}">
                  <a16:creationId xmlns:a16="http://schemas.microsoft.com/office/drawing/2014/main" id="{00000000-0008-0000-0800-0000B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9525</xdr:colOff>
          <xdr:row>55</xdr:row>
          <xdr:rowOff>57150</xdr:rowOff>
        </xdr:to>
        <xdr:sp macro="" textlink="">
          <xdr:nvSpPr>
            <xdr:cNvPr id="28861" name="Check Box 189" hidden="1">
              <a:extLst>
                <a:ext uri="{63B3BB69-23CF-44E3-9099-C40C66FF867C}">
                  <a14:compatExt spid="_x0000_s28861"/>
                </a:ext>
                <a:ext uri="{FF2B5EF4-FFF2-40B4-BE49-F238E27FC236}">
                  <a16:creationId xmlns:a16="http://schemas.microsoft.com/office/drawing/2014/main" id="{00000000-0008-0000-0800-0000B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9525</xdr:colOff>
          <xdr:row>55</xdr:row>
          <xdr:rowOff>57150</xdr:rowOff>
        </xdr:to>
        <xdr:sp macro="" textlink="">
          <xdr:nvSpPr>
            <xdr:cNvPr id="28862" name="Check Box 190" hidden="1">
              <a:extLst>
                <a:ext uri="{63B3BB69-23CF-44E3-9099-C40C66FF867C}">
                  <a14:compatExt spid="_x0000_s28862"/>
                </a:ext>
                <a:ext uri="{FF2B5EF4-FFF2-40B4-BE49-F238E27FC236}">
                  <a16:creationId xmlns:a16="http://schemas.microsoft.com/office/drawing/2014/main" id="{00000000-0008-0000-0800-0000B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63" name="Check Box 191" hidden="1">
              <a:extLst>
                <a:ext uri="{63B3BB69-23CF-44E3-9099-C40C66FF867C}">
                  <a14:compatExt spid="_x0000_s28863"/>
                </a:ext>
                <a:ext uri="{FF2B5EF4-FFF2-40B4-BE49-F238E27FC236}">
                  <a16:creationId xmlns:a16="http://schemas.microsoft.com/office/drawing/2014/main" id="{00000000-0008-0000-0800-0000B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69</xdr:row>
          <xdr:rowOff>0</xdr:rowOff>
        </xdr:from>
        <xdr:to>
          <xdr:col>20</xdr:col>
          <xdr:colOff>9525</xdr:colOff>
          <xdr:row>70</xdr:row>
          <xdr:rowOff>57150</xdr:rowOff>
        </xdr:to>
        <xdr:sp macro="" textlink="">
          <xdr:nvSpPr>
            <xdr:cNvPr id="28864" name="Check Box 192" hidden="1">
              <a:extLst>
                <a:ext uri="{63B3BB69-23CF-44E3-9099-C40C66FF867C}">
                  <a14:compatExt spid="_x0000_s28864"/>
                </a:ext>
                <a:ext uri="{FF2B5EF4-FFF2-40B4-BE49-F238E27FC236}">
                  <a16:creationId xmlns:a16="http://schemas.microsoft.com/office/drawing/2014/main" id="{00000000-0008-0000-0800-0000C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9525</xdr:colOff>
          <xdr:row>55</xdr:row>
          <xdr:rowOff>57150</xdr:rowOff>
        </xdr:to>
        <xdr:sp macro="" textlink="">
          <xdr:nvSpPr>
            <xdr:cNvPr id="28865" name="Check Box 193" hidden="1">
              <a:extLst>
                <a:ext uri="{63B3BB69-23CF-44E3-9099-C40C66FF867C}">
                  <a14:compatExt spid="_x0000_s28865"/>
                </a:ext>
                <a:ext uri="{FF2B5EF4-FFF2-40B4-BE49-F238E27FC236}">
                  <a16:creationId xmlns:a16="http://schemas.microsoft.com/office/drawing/2014/main" id="{00000000-0008-0000-0800-0000C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9525</xdr:colOff>
          <xdr:row>55</xdr:row>
          <xdr:rowOff>57150</xdr:rowOff>
        </xdr:to>
        <xdr:sp macro="" textlink="">
          <xdr:nvSpPr>
            <xdr:cNvPr id="28866" name="Check Box 194" hidden="1">
              <a:extLst>
                <a:ext uri="{63B3BB69-23CF-44E3-9099-C40C66FF867C}">
                  <a14:compatExt spid="_x0000_s28866"/>
                </a:ext>
                <a:ext uri="{FF2B5EF4-FFF2-40B4-BE49-F238E27FC236}">
                  <a16:creationId xmlns:a16="http://schemas.microsoft.com/office/drawing/2014/main" id="{00000000-0008-0000-0800-0000C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0</xdr:rowOff>
        </xdr:from>
        <xdr:to>
          <xdr:col>20</xdr:col>
          <xdr:colOff>9525</xdr:colOff>
          <xdr:row>55</xdr:row>
          <xdr:rowOff>57150</xdr:rowOff>
        </xdr:to>
        <xdr:sp macro="" textlink="">
          <xdr:nvSpPr>
            <xdr:cNvPr id="28867" name="Check Box 195" hidden="1">
              <a:extLst>
                <a:ext uri="{63B3BB69-23CF-44E3-9099-C40C66FF867C}">
                  <a14:compatExt spid="_x0000_s28867"/>
                </a:ext>
                <a:ext uri="{FF2B5EF4-FFF2-40B4-BE49-F238E27FC236}">
                  <a16:creationId xmlns:a16="http://schemas.microsoft.com/office/drawing/2014/main" id="{00000000-0008-0000-0800-0000C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9525</xdr:colOff>
          <xdr:row>56</xdr:row>
          <xdr:rowOff>57150</xdr:rowOff>
        </xdr:to>
        <xdr:sp macro="" textlink="">
          <xdr:nvSpPr>
            <xdr:cNvPr id="28868" name="Check Box 196" hidden="1">
              <a:extLst>
                <a:ext uri="{63B3BB69-23CF-44E3-9099-C40C66FF867C}">
                  <a14:compatExt spid="_x0000_s28868"/>
                </a:ext>
                <a:ext uri="{FF2B5EF4-FFF2-40B4-BE49-F238E27FC236}">
                  <a16:creationId xmlns:a16="http://schemas.microsoft.com/office/drawing/2014/main" id="{00000000-0008-0000-0800-0000C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9525</xdr:colOff>
          <xdr:row>56</xdr:row>
          <xdr:rowOff>57150</xdr:rowOff>
        </xdr:to>
        <xdr:sp macro="" textlink="">
          <xdr:nvSpPr>
            <xdr:cNvPr id="28869" name="Check Box 197" hidden="1">
              <a:extLst>
                <a:ext uri="{63B3BB69-23CF-44E3-9099-C40C66FF867C}">
                  <a14:compatExt spid="_x0000_s28869"/>
                </a:ext>
                <a:ext uri="{FF2B5EF4-FFF2-40B4-BE49-F238E27FC236}">
                  <a16:creationId xmlns:a16="http://schemas.microsoft.com/office/drawing/2014/main" id="{00000000-0008-0000-0800-0000C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9525</xdr:colOff>
          <xdr:row>56</xdr:row>
          <xdr:rowOff>57150</xdr:rowOff>
        </xdr:to>
        <xdr:sp macro="" textlink="">
          <xdr:nvSpPr>
            <xdr:cNvPr id="28870" name="Check Box 198" hidden="1">
              <a:extLst>
                <a:ext uri="{63B3BB69-23CF-44E3-9099-C40C66FF867C}">
                  <a14:compatExt spid="_x0000_s28870"/>
                </a:ext>
                <a:ext uri="{FF2B5EF4-FFF2-40B4-BE49-F238E27FC236}">
                  <a16:creationId xmlns:a16="http://schemas.microsoft.com/office/drawing/2014/main" id="{00000000-0008-0000-0800-0000C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9525</xdr:colOff>
          <xdr:row>56</xdr:row>
          <xdr:rowOff>57150</xdr:rowOff>
        </xdr:to>
        <xdr:sp macro="" textlink="">
          <xdr:nvSpPr>
            <xdr:cNvPr id="28871" name="Check Box 199" hidden="1">
              <a:extLst>
                <a:ext uri="{63B3BB69-23CF-44E3-9099-C40C66FF867C}">
                  <a14:compatExt spid="_x0000_s28871"/>
                </a:ext>
                <a:ext uri="{FF2B5EF4-FFF2-40B4-BE49-F238E27FC236}">
                  <a16:creationId xmlns:a16="http://schemas.microsoft.com/office/drawing/2014/main" id="{00000000-0008-0000-0800-0000C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9525</xdr:colOff>
          <xdr:row>56</xdr:row>
          <xdr:rowOff>57150</xdr:rowOff>
        </xdr:to>
        <xdr:sp macro="" textlink="">
          <xdr:nvSpPr>
            <xdr:cNvPr id="28872" name="Check Box 200" hidden="1">
              <a:extLst>
                <a:ext uri="{63B3BB69-23CF-44E3-9099-C40C66FF867C}">
                  <a14:compatExt spid="_x0000_s28872"/>
                </a:ext>
                <a:ext uri="{FF2B5EF4-FFF2-40B4-BE49-F238E27FC236}">
                  <a16:creationId xmlns:a16="http://schemas.microsoft.com/office/drawing/2014/main" id="{00000000-0008-0000-0800-0000C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20</xdr:col>
          <xdr:colOff>9525</xdr:colOff>
          <xdr:row>56</xdr:row>
          <xdr:rowOff>57150</xdr:rowOff>
        </xdr:to>
        <xdr:sp macro="" textlink="">
          <xdr:nvSpPr>
            <xdr:cNvPr id="28873" name="Check Box 201" hidden="1">
              <a:extLst>
                <a:ext uri="{63B3BB69-23CF-44E3-9099-C40C66FF867C}">
                  <a14:compatExt spid="_x0000_s28873"/>
                </a:ext>
                <a:ext uri="{FF2B5EF4-FFF2-40B4-BE49-F238E27FC236}">
                  <a16:creationId xmlns:a16="http://schemas.microsoft.com/office/drawing/2014/main" id="{00000000-0008-0000-0800-0000C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74" name="Check Box 202" hidden="1">
              <a:extLst>
                <a:ext uri="{63B3BB69-23CF-44E3-9099-C40C66FF867C}">
                  <a14:compatExt spid="_x0000_s28874"/>
                </a:ext>
                <a:ext uri="{FF2B5EF4-FFF2-40B4-BE49-F238E27FC236}">
                  <a16:creationId xmlns:a16="http://schemas.microsoft.com/office/drawing/2014/main" id="{00000000-0008-0000-0800-0000C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75" name="Check Box 203" hidden="1">
              <a:extLst>
                <a:ext uri="{63B3BB69-23CF-44E3-9099-C40C66FF867C}">
                  <a14:compatExt spid="_x0000_s28875"/>
                </a:ext>
                <a:ext uri="{FF2B5EF4-FFF2-40B4-BE49-F238E27FC236}">
                  <a16:creationId xmlns:a16="http://schemas.microsoft.com/office/drawing/2014/main" id="{00000000-0008-0000-0800-0000C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76" name="Check Box 204" hidden="1">
              <a:extLst>
                <a:ext uri="{63B3BB69-23CF-44E3-9099-C40C66FF867C}">
                  <a14:compatExt spid="_x0000_s28876"/>
                </a:ext>
                <a:ext uri="{FF2B5EF4-FFF2-40B4-BE49-F238E27FC236}">
                  <a16:creationId xmlns:a16="http://schemas.microsoft.com/office/drawing/2014/main" id="{00000000-0008-0000-0800-0000C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77" name="Check Box 205" hidden="1">
              <a:extLst>
                <a:ext uri="{63B3BB69-23CF-44E3-9099-C40C66FF867C}">
                  <a14:compatExt spid="_x0000_s28877"/>
                </a:ext>
                <a:ext uri="{FF2B5EF4-FFF2-40B4-BE49-F238E27FC236}">
                  <a16:creationId xmlns:a16="http://schemas.microsoft.com/office/drawing/2014/main" id="{00000000-0008-0000-0800-0000C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78" name="Check Box 206" hidden="1">
              <a:extLst>
                <a:ext uri="{63B3BB69-23CF-44E3-9099-C40C66FF867C}">
                  <a14:compatExt spid="_x0000_s28878"/>
                </a:ext>
                <a:ext uri="{FF2B5EF4-FFF2-40B4-BE49-F238E27FC236}">
                  <a16:creationId xmlns:a16="http://schemas.microsoft.com/office/drawing/2014/main" id="{00000000-0008-0000-0800-0000C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79" name="Check Box 207" hidden="1">
              <a:extLst>
                <a:ext uri="{63B3BB69-23CF-44E3-9099-C40C66FF867C}">
                  <a14:compatExt spid="_x0000_s28879"/>
                </a:ext>
                <a:ext uri="{FF2B5EF4-FFF2-40B4-BE49-F238E27FC236}">
                  <a16:creationId xmlns:a16="http://schemas.microsoft.com/office/drawing/2014/main" id="{00000000-0008-0000-0800-0000C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80" name="Check Box 208" hidden="1">
              <a:extLst>
                <a:ext uri="{63B3BB69-23CF-44E3-9099-C40C66FF867C}">
                  <a14:compatExt spid="_x0000_s28880"/>
                </a:ext>
                <a:ext uri="{FF2B5EF4-FFF2-40B4-BE49-F238E27FC236}">
                  <a16:creationId xmlns:a16="http://schemas.microsoft.com/office/drawing/2014/main" id="{00000000-0008-0000-0800-0000D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81" name="Check Box 209" hidden="1">
              <a:extLst>
                <a:ext uri="{63B3BB69-23CF-44E3-9099-C40C66FF867C}">
                  <a14:compatExt spid="_x0000_s28881"/>
                </a:ext>
                <a:ext uri="{FF2B5EF4-FFF2-40B4-BE49-F238E27FC236}">
                  <a16:creationId xmlns:a16="http://schemas.microsoft.com/office/drawing/2014/main" id="{00000000-0008-0000-0800-0000D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20</xdr:col>
          <xdr:colOff>9525</xdr:colOff>
          <xdr:row>57</xdr:row>
          <xdr:rowOff>57150</xdr:rowOff>
        </xdr:to>
        <xdr:sp macro="" textlink="">
          <xdr:nvSpPr>
            <xdr:cNvPr id="28882" name="Check Box 210" hidden="1">
              <a:extLst>
                <a:ext uri="{63B3BB69-23CF-44E3-9099-C40C66FF867C}">
                  <a14:compatExt spid="_x0000_s28882"/>
                </a:ext>
                <a:ext uri="{FF2B5EF4-FFF2-40B4-BE49-F238E27FC236}">
                  <a16:creationId xmlns:a16="http://schemas.microsoft.com/office/drawing/2014/main" id="{00000000-0008-0000-0800-0000D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3" name="Check Box 211" hidden="1">
              <a:extLst>
                <a:ext uri="{63B3BB69-23CF-44E3-9099-C40C66FF867C}">
                  <a14:compatExt spid="_x0000_s28883"/>
                </a:ext>
                <a:ext uri="{FF2B5EF4-FFF2-40B4-BE49-F238E27FC236}">
                  <a16:creationId xmlns:a16="http://schemas.microsoft.com/office/drawing/2014/main" id="{00000000-0008-0000-0800-0000D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4" name="Check Box 212" hidden="1">
              <a:extLst>
                <a:ext uri="{63B3BB69-23CF-44E3-9099-C40C66FF867C}">
                  <a14:compatExt spid="_x0000_s28884"/>
                </a:ext>
                <a:ext uri="{FF2B5EF4-FFF2-40B4-BE49-F238E27FC236}">
                  <a16:creationId xmlns:a16="http://schemas.microsoft.com/office/drawing/2014/main" id="{00000000-0008-0000-0800-0000D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5" name="Check Box 213" hidden="1">
              <a:extLst>
                <a:ext uri="{63B3BB69-23CF-44E3-9099-C40C66FF867C}">
                  <a14:compatExt spid="_x0000_s28885"/>
                </a:ext>
                <a:ext uri="{FF2B5EF4-FFF2-40B4-BE49-F238E27FC236}">
                  <a16:creationId xmlns:a16="http://schemas.microsoft.com/office/drawing/2014/main" id="{00000000-0008-0000-0800-0000D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6" name="Check Box 214" hidden="1">
              <a:extLst>
                <a:ext uri="{63B3BB69-23CF-44E3-9099-C40C66FF867C}">
                  <a14:compatExt spid="_x0000_s28886"/>
                </a:ext>
                <a:ext uri="{FF2B5EF4-FFF2-40B4-BE49-F238E27FC236}">
                  <a16:creationId xmlns:a16="http://schemas.microsoft.com/office/drawing/2014/main" id="{00000000-0008-0000-0800-0000D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7" name="Check Box 215" hidden="1">
              <a:extLst>
                <a:ext uri="{63B3BB69-23CF-44E3-9099-C40C66FF867C}">
                  <a14:compatExt spid="_x0000_s28887"/>
                </a:ext>
                <a:ext uri="{FF2B5EF4-FFF2-40B4-BE49-F238E27FC236}">
                  <a16:creationId xmlns:a16="http://schemas.microsoft.com/office/drawing/2014/main" id="{00000000-0008-0000-0800-0000D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8" name="Check Box 216" hidden="1">
              <a:extLst>
                <a:ext uri="{63B3BB69-23CF-44E3-9099-C40C66FF867C}">
                  <a14:compatExt spid="_x0000_s28888"/>
                </a:ext>
                <a:ext uri="{FF2B5EF4-FFF2-40B4-BE49-F238E27FC236}">
                  <a16:creationId xmlns:a16="http://schemas.microsoft.com/office/drawing/2014/main" id="{00000000-0008-0000-0800-0000D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89" name="Check Box 217" hidden="1">
              <a:extLst>
                <a:ext uri="{63B3BB69-23CF-44E3-9099-C40C66FF867C}">
                  <a14:compatExt spid="_x0000_s28889"/>
                </a:ext>
                <a:ext uri="{FF2B5EF4-FFF2-40B4-BE49-F238E27FC236}">
                  <a16:creationId xmlns:a16="http://schemas.microsoft.com/office/drawing/2014/main" id="{00000000-0008-0000-0800-0000D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90" name="Check Box 218" hidden="1">
              <a:extLst>
                <a:ext uri="{63B3BB69-23CF-44E3-9099-C40C66FF867C}">
                  <a14:compatExt spid="_x0000_s28890"/>
                </a:ext>
                <a:ext uri="{FF2B5EF4-FFF2-40B4-BE49-F238E27FC236}">
                  <a16:creationId xmlns:a16="http://schemas.microsoft.com/office/drawing/2014/main" id="{00000000-0008-0000-0800-0000D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20</xdr:col>
          <xdr:colOff>9525</xdr:colOff>
          <xdr:row>58</xdr:row>
          <xdr:rowOff>57150</xdr:rowOff>
        </xdr:to>
        <xdr:sp macro="" textlink="">
          <xdr:nvSpPr>
            <xdr:cNvPr id="28891" name="Check Box 219" hidden="1">
              <a:extLst>
                <a:ext uri="{63B3BB69-23CF-44E3-9099-C40C66FF867C}">
                  <a14:compatExt spid="_x0000_s28891"/>
                </a:ext>
                <a:ext uri="{FF2B5EF4-FFF2-40B4-BE49-F238E27FC236}">
                  <a16:creationId xmlns:a16="http://schemas.microsoft.com/office/drawing/2014/main" id="{00000000-0008-0000-0800-0000D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2" name="Check Box 220" hidden="1">
              <a:extLst>
                <a:ext uri="{63B3BB69-23CF-44E3-9099-C40C66FF867C}">
                  <a14:compatExt spid="_x0000_s28892"/>
                </a:ext>
                <a:ext uri="{FF2B5EF4-FFF2-40B4-BE49-F238E27FC236}">
                  <a16:creationId xmlns:a16="http://schemas.microsoft.com/office/drawing/2014/main" id="{00000000-0008-0000-0800-0000D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3" name="Check Box 221" hidden="1">
              <a:extLst>
                <a:ext uri="{63B3BB69-23CF-44E3-9099-C40C66FF867C}">
                  <a14:compatExt spid="_x0000_s28893"/>
                </a:ext>
                <a:ext uri="{FF2B5EF4-FFF2-40B4-BE49-F238E27FC236}">
                  <a16:creationId xmlns:a16="http://schemas.microsoft.com/office/drawing/2014/main" id="{00000000-0008-0000-0800-0000D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4" name="Check Box 222" hidden="1">
              <a:extLst>
                <a:ext uri="{63B3BB69-23CF-44E3-9099-C40C66FF867C}">
                  <a14:compatExt spid="_x0000_s28894"/>
                </a:ext>
                <a:ext uri="{FF2B5EF4-FFF2-40B4-BE49-F238E27FC236}">
                  <a16:creationId xmlns:a16="http://schemas.microsoft.com/office/drawing/2014/main" id="{00000000-0008-0000-0800-0000D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5" name="Check Box 223" hidden="1">
              <a:extLst>
                <a:ext uri="{63B3BB69-23CF-44E3-9099-C40C66FF867C}">
                  <a14:compatExt spid="_x0000_s28895"/>
                </a:ext>
                <a:ext uri="{FF2B5EF4-FFF2-40B4-BE49-F238E27FC236}">
                  <a16:creationId xmlns:a16="http://schemas.microsoft.com/office/drawing/2014/main" id="{00000000-0008-0000-0800-0000D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6" name="Check Box 224" hidden="1">
              <a:extLst>
                <a:ext uri="{63B3BB69-23CF-44E3-9099-C40C66FF867C}">
                  <a14:compatExt spid="_x0000_s28896"/>
                </a:ext>
                <a:ext uri="{FF2B5EF4-FFF2-40B4-BE49-F238E27FC236}">
                  <a16:creationId xmlns:a16="http://schemas.microsoft.com/office/drawing/2014/main" id="{00000000-0008-0000-0800-0000E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7" name="Check Box 225" hidden="1">
              <a:extLst>
                <a:ext uri="{63B3BB69-23CF-44E3-9099-C40C66FF867C}">
                  <a14:compatExt spid="_x0000_s28897"/>
                </a:ext>
                <a:ext uri="{FF2B5EF4-FFF2-40B4-BE49-F238E27FC236}">
                  <a16:creationId xmlns:a16="http://schemas.microsoft.com/office/drawing/2014/main" id="{00000000-0008-0000-0800-0000E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8" name="Check Box 226" hidden="1">
              <a:extLst>
                <a:ext uri="{63B3BB69-23CF-44E3-9099-C40C66FF867C}">
                  <a14:compatExt spid="_x0000_s28898"/>
                </a:ext>
                <a:ext uri="{FF2B5EF4-FFF2-40B4-BE49-F238E27FC236}">
                  <a16:creationId xmlns:a16="http://schemas.microsoft.com/office/drawing/2014/main" id="{00000000-0008-0000-0800-0000E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899" name="Check Box 227" hidden="1">
              <a:extLst>
                <a:ext uri="{63B3BB69-23CF-44E3-9099-C40C66FF867C}">
                  <a14:compatExt spid="_x0000_s28899"/>
                </a:ext>
                <a:ext uri="{FF2B5EF4-FFF2-40B4-BE49-F238E27FC236}">
                  <a16:creationId xmlns:a16="http://schemas.microsoft.com/office/drawing/2014/main" id="{00000000-0008-0000-0800-0000E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20</xdr:col>
          <xdr:colOff>9525</xdr:colOff>
          <xdr:row>59</xdr:row>
          <xdr:rowOff>57150</xdr:rowOff>
        </xdr:to>
        <xdr:sp macro="" textlink="">
          <xdr:nvSpPr>
            <xdr:cNvPr id="28900" name="Check Box 228" hidden="1">
              <a:extLst>
                <a:ext uri="{63B3BB69-23CF-44E3-9099-C40C66FF867C}">
                  <a14:compatExt spid="_x0000_s28900"/>
                </a:ext>
                <a:ext uri="{FF2B5EF4-FFF2-40B4-BE49-F238E27FC236}">
                  <a16:creationId xmlns:a16="http://schemas.microsoft.com/office/drawing/2014/main" id="{00000000-0008-0000-0800-0000E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1" name="Check Box 229" hidden="1">
              <a:extLst>
                <a:ext uri="{63B3BB69-23CF-44E3-9099-C40C66FF867C}">
                  <a14:compatExt spid="_x0000_s28901"/>
                </a:ext>
                <a:ext uri="{FF2B5EF4-FFF2-40B4-BE49-F238E27FC236}">
                  <a16:creationId xmlns:a16="http://schemas.microsoft.com/office/drawing/2014/main" id="{00000000-0008-0000-0800-0000E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2" name="Check Box 230" hidden="1">
              <a:extLst>
                <a:ext uri="{63B3BB69-23CF-44E3-9099-C40C66FF867C}">
                  <a14:compatExt spid="_x0000_s28902"/>
                </a:ext>
                <a:ext uri="{FF2B5EF4-FFF2-40B4-BE49-F238E27FC236}">
                  <a16:creationId xmlns:a16="http://schemas.microsoft.com/office/drawing/2014/main" id="{00000000-0008-0000-0800-0000E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3" name="Check Box 231" hidden="1">
              <a:extLst>
                <a:ext uri="{63B3BB69-23CF-44E3-9099-C40C66FF867C}">
                  <a14:compatExt spid="_x0000_s28903"/>
                </a:ext>
                <a:ext uri="{FF2B5EF4-FFF2-40B4-BE49-F238E27FC236}">
                  <a16:creationId xmlns:a16="http://schemas.microsoft.com/office/drawing/2014/main" id="{00000000-0008-0000-0800-0000E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4" name="Check Box 232" hidden="1">
              <a:extLst>
                <a:ext uri="{63B3BB69-23CF-44E3-9099-C40C66FF867C}">
                  <a14:compatExt spid="_x0000_s28904"/>
                </a:ext>
                <a:ext uri="{FF2B5EF4-FFF2-40B4-BE49-F238E27FC236}">
                  <a16:creationId xmlns:a16="http://schemas.microsoft.com/office/drawing/2014/main" id="{00000000-0008-0000-0800-0000E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5" name="Check Box 233" hidden="1">
              <a:extLst>
                <a:ext uri="{63B3BB69-23CF-44E3-9099-C40C66FF867C}">
                  <a14:compatExt spid="_x0000_s28905"/>
                </a:ext>
                <a:ext uri="{FF2B5EF4-FFF2-40B4-BE49-F238E27FC236}">
                  <a16:creationId xmlns:a16="http://schemas.microsoft.com/office/drawing/2014/main" id="{00000000-0008-0000-0800-0000E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6" name="Check Box 234" hidden="1">
              <a:extLst>
                <a:ext uri="{63B3BB69-23CF-44E3-9099-C40C66FF867C}">
                  <a14:compatExt spid="_x0000_s28906"/>
                </a:ext>
                <a:ext uri="{FF2B5EF4-FFF2-40B4-BE49-F238E27FC236}">
                  <a16:creationId xmlns:a16="http://schemas.microsoft.com/office/drawing/2014/main" id="{00000000-0008-0000-0800-0000E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7" name="Check Box 235" hidden="1">
              <a:extLst>
                <a:ext uri="{63B3BB69-23CF-44E3-9099-C40C66FF867C}">
                  <a14:compatExt spid="_x0000_s28907"/>
                </a:ext>
                <a:ext uri="{FF2B5EF4-FFF2-40B4-BE49-F238E27FC236}">
                  <a16:creationId xmlns:a16="http://schemas.microsoft.com/office/drawing/2014/main" id="{00000000-0008-0000-0800-0000E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8" name="Check Box 236" hidden="1">
              <a:extLst>
                <a:ext uri="{63B3BB69-23CF-44E3-9099-C40C66FF867C}">
                  <a14:compatExt spid="_x0000_s28908"/>
                </a:ext>
                <a:ext uri="{FF2B5EF4-FFF2-40B4-BE49-F238E27FC236}">
                  <a16:creationId xmlns:a16="http://schemas.microsoft.com/office/drawing/2014/main" id="{00000000-0008-0000-0800-0000E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20</xdr:col>
          <xdr:colOff>9525</xdr:colOff>
          <xdr:row>60</xdr:row>
          <xdr:rowOff>57150</xdr:rowOff>
        </xdr:to>
        <xdr:sp macro="" textlink="">
          <xdr:nvSpPr>
            <xdr:cNvPr id="28909" name="Check Box 237" hidden="1">
              <a:extLst>
                <a:ext uri="{63B3BB69-23CF-44E3-9099-C40C66FF867C}">
                  <a14:compatExt spid="_x0000_s28909"/>
                </a:ext>
                <a:ext uri="{FF2B5EF4-FFF2-40B4-BE49-F238E27FC236}">
                  <a16:creationId xmlns:a16="http://schemas.microsoft.com/office/drawing/2014/main" id="{00000000-0008-0000-0800-0000E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0" name="Check Box 238" hidden="1">
              <a:extLst>
                <a:ext uri="{63B3BB69-23CF-44E3-9099-C40C66FF867C}">
                  <a14:compatExt spid="_x0000_s28910"/>
                </a:ext>
                <a:ext uri="{FF2B5EF4-FFF2-40B4-BE49-F238E27FC236}">
                  <a16:creationId xmlns:a16="http://schemas.microsoft.com/office/drawing/2014/main" id="{00000000-0008-0000-0800-0000E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1" name="Check Box 239" hidden="1">
              <a:extLst>
                <a:ext uri="{63B3BB69-23CF-44E3-9099-C40C66FF867C}">
                  <a14:compatExt spid="_x0000_s28911"/>
                </a:ext>
                <a:ext uri="{FF2B5EF4-FFF2-40B4-BE49-F238E27FC236}">
                  <a16:creationId xmlns:a16="http://schemas.microsoft.com/office/drawing/2014/main" id="{00000000-0008-0000-0800-0000E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2" name="Check Box 240" hidden="1">
              <a:extLst>
                <a:ext uri="{63B3BB69-23CF-44E3-9099-C40C66FF867C}">
                  <a14:compatExt spid="_x0000_s28912"/>
                </a:ext>
                <a:ext uri="{FF2B5EF4-FFF2-40B4-BE49-F238E27FC236}">
                  <a16:creationId xmlns:a16="http://schemas.microsoft.com/office/drawing/2014/main" id="{00000000-0008-0000-0800-0000F0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3" name="Check Box 241" hidden="1">
              <a:extLst>
                <a:ext uri="{63B3BB69-23CF-44E3-9099-C40C66FF867C}">
                  <a14:compatExt spid="_x0000_s28913"/>
                </a:ext>
                <a:ext uri="{FF2B5EF4-FFF2-40B4-BE49-F238E27FC236}">
                  <a16:creationId xmlns:a16="http://schemas.microsoft.com/office/drawing/2014/main" id="{00000000-0008-0000-0800-0000F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4" name="Check Box 242" hidden="1">
              <a:extLst>
                <a:ext uri="{63B3BB69-23CF-44E3-9099-C40C66FF867C}">
                  <a14:compatExt spid="_x0000_s28914"/>
                </a:ext>
                <a:ext uri="{FF2B5EF4-FFF2-40B4-BE49-F238E27FC236}">
                  <a16:creationId xmlns:a16="http://schemas.microsoft.com/office/drawing/2014/main" id="{00000000-0008-0000-0800-0000F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5" name="Check Box 243" hidden="1">
              <a:extLst>
                <a:ext uri="{63B3BB69-23CF-44E3-9099-C40C66FF867C}">
                  <a14:compatExt spid="_x0000_s28915"/>
                </a:ext>
                <a:ext uri="{FF2B5EF4-FFF2-40B4-BE49-F238E27FC236}">
                  <a16:creationId xmlns:a16="http://schemas.microsoft.com/office/drawing/2014/main" id="{00000000-0008-0000-0800-0000F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6" name="Check Box 244" hidden="1">
              <a:extLst>
                <a:ext uri="{63B3BB69-23CF-44E3-9099-C40C66FF867C}">
                  <a14:compatExt spid="_x0000_s28916"/>
                </a:ext>
                <a:ext uri="{FF2B5EF4-FFF2-40B4-BE49-F238E27FC236}">
                  <a16:creationId xmlns:a16="http://schemas.microsoft.com/office/drawing/2014/main" id="{00000000-0008-0000-0800-0000F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7" name="Check Box 245" hidden="1">
              <a:extLst>
                <a:ext uri="{63B3BB69-23CF-44E3-9099-C40C66FF867C}">
                  <a14:compatExt spid="_x0000_s28917"/>
                </a:ext>
                <a:ext uri="{FF2B5EF4-FFF2-40B4-BE49-F238E27FC236}">
                  <a16:creationId xmlns:a16="http://schemas.microsoft.com/office/drawing/2014/main" id="{00000000-0008-0000-0800-0000F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60</xdr:row>
          <xdr:rowOff>0</xdr:rowOff>
        </xdr:from>
        <xdr:to>
          <xdr:col>20</xdr:col>
          <xdr:colOff>9525</xdr:colOff>
          <xdr:row>61</xdr:row>
          <xdr:rowOff>57150</xdr:rowOff>
        </xdr:to>
        <xdr:sp macro="" textlink="">
          <xdr:nvSpPr>
            <xdr:cNvPr id="28918" name="Check Box 246" hidden="1">
              <a:extLst>
                <a:ext uri="{63B3BB69-23CF-44E3-9099-C40C66FF867C}">
                  <a14:compatExt spid="_x0000_s28918"/>
                </a:ext>
                <a:ext uri="{FF2B5EF4-FFF2-40B4-BE49-F238E27FC236}">
                  <a16:creationId xmlns:a16="http://schemas.microsoft.com/office/drawing/2014/main" id="{00000000-0008-0000-0800-0000F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19" name="Check Box 247" hidden="1">
              <a:extLst>
                <a:ext uri="{63B3BB69-23CF-44E3-9099-C40C66FF867C}">
                  <a14:compatExt spid="_x0000_s28919"/>
                </a:ext>
                <a:ext uri="{FF2B5EF4-FFF2-40B4-BE49-F238E27FC236}">
                  <a16:creationId xmlns:a16="http://schemas.microsoft.com/office/drawing/2014/main" id="{00000000-0008-0000-0800-0000F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0" name="Check Box 248" hidden="1">
              <a:extLst>
                <a:ext uri="{63B3BB69-23CF-44E3-9099-C40C66FF867C}">
                  <a14:compatExt spid="_x0000_s28920"/>
                </a:ext>
                <a:ext uri="{FF2B5EF4-FFF2-40B4-BE49-F238E27FC236}">
                  <a16:creationId xmlns:a16="http://schemas.microsoft.com/office/drawing/2014/main" id="{00000000-0008-0000-0800-0000F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1" name="Check Box 249" hidden="1">
              <a:extLst>
                <a:ext uri="{63B3BB69-23CF-44E3-9099-C40C66FF867C}">
                  <a14:compatExt spid="_x0000_s28921"/>
                </a:ext>
                <a:ext uri="{FF2B5EF4-FFF2-40B4-BE49-F238E27FC236}">
                  <a16:creationId xmlns:a16="http://schemas.microsoft.com/office/drawing/2014/main" id="{00000000-0008-0000-0800-0000F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2" name="Check Box 250" hidden="1">
              <a:extLst>
                <a:ext uri="{63B3BB69-23CF-44E3-9099-C40C66FF867C}">
                  <a14:compatExt spid="_x0000_s28922"/>
                </a:ext>
                <a:ext uri="{FF2B5EF4-FFF2-40B4-BE49-F238E27FC236}">
                  <a16:creationId xmlns:a16="http://schemas.microsoft.com/office/drawing/2014/main" id="{00000000-0008-0000-0800-0000F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3" name="Check Box 251" hidden="1">
              <a:extLst>
                <a:ext uri="{63B3BB69-23CF-44E3-9099-C40C66FF867C}">
                  <a14:compatExt spid="_x0000_s28923"/>
                </a:ext>
                <a:ext uri="{FF2B5EF4-FFF2-40B4-BE49-F238E27FC236}">
                  <a16:creationId xmlns:a16="http://schemas.microsoft.com/office/drawing/2014/main" id="{00000000-0008-0000-0800-0000F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4" name="Check Box 252" hidden="1">
              <a:extLst>
                <a:ext uri="{63B3BB69-23CF-44E3-9099-C40C66FF867C}">
                  <a14:compatExt spid="_x0000_s28924"/>
                </a:ext>
                <a:ext uri="{FF2B5EF4-FFF2-40B4-BE49-F238E27FC236}">
                  <a16:creationId xmlns:a16="http://schemas.microsoft.com/office/drawing/2014/main" id="{00000000-0008-0000-0800-0000F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5" name="Check Box 253" hidden="1">
              <a:extLst>
                <a:ext uri="{63B3BB69-23CF-44E3-9099-C40C66FF867C}">
                  <a14:compatExt spid="_x0000_s28925"/>
                </a:ext>
                <a:ext uri="{FF2B5EF4-FFF2-40B4-BE49-F238E27FC236}">
                  <a16:creationId xmlns:a16="http://schemas.microsoft.com/office/drawing/2014/main" id="{00000000-0008-0000-0800-0000F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6" name="Check Box 254" hidden="1">
              <a:extLst>
                <a:ext uri="{63B3BB69-23CF-44E3-9099-C40C66FF867C}">
                  <a14:compatExt spid="_x0000_s28926"/>
                </a:ext>
                <a:ext uri="{FF2B5EF4-FFF2-40B4-BE49-F238E27FC236}">
                  <a16:creationId xmlns:a16="http://schemas.microsoft.com/office/drawing/2014/main" id="{00000000-0008-0000-0800-0000FE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0</xdr:rowOff>
        </xdr:from>
        <xdr:to>
          <xdr:col>20</xdr:col>
          <xdr:colOff>9525</xdr:colOff>
          <xdr:row>62</xdr:row>
          <xdr:rowOff>57150</xdr:rowOff>
        </xdr:to>
        <xdr:sp macro="" textlink="">
          <xdr:nvSpPr>
            <xdr:cNvPr id="28927" name="Check Box 255" hidden="1">
              <a:extLst>
                <a:ext uri="{63B3BB69-23CF-44E3-9099-C40C66FF867C}">
                  <a14:compatExt spid="_x0000_s28927"/>
                </a:ext>
                <a:ext uri="{FF2B5EF4-FFF2-40B4-BE49-F238E27FC236}">
                  <a16:creationId xmlns:a16="http://schemas.microsoft.com/office/drawing/2014/main" id="{00000000-0008-0000-0800-0000FF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28" name="Check Box 256" hidden="1">
              <a:extLst>
                <a:ext uri="{63B3BB69-23CF-44E3-9099-C40C66FF867C}">
                  <a14:compatExt spid="_x0000_s28928"/>
                </a:ext>
                <a:ext uri="{FF2B5EF4-FFF2-40B4-BE49-F238E27FC236}">
                  <a16:creationId xmlns:a16="http://schemas.microsoft.com/office/drawing/2014/main" id="{00000000-0008-0000-0800-000000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29" name="Check Box 257" hidden="1">
              <a:extLst>
                <a:ext uri="{63B3BB69-23CF-44E3-9099-C40C66FF867C}">
                  <a14:compatExt spid="_x0000_s28929"/>
                </a:ext>
                <a:ext uri="{FF2B5EF4-FFF2-40B4-BE49-F238E27FC236}">
                  <a16:creationId xmlns:a16="http://schemas.microsoft.com/office/drawing/2014/main" id="{00000000-0008-0000-0800-000001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0" name="Check Box 258" hidden="1">
              <a:extLst>
                <a:ext uri="{63B3BB69-23CF-44E3-9099-C40C66FF867C}">
                  <a14:compatExt spid="_x0000_s28930"/>
                </a:ext>
                <a:ext uri="{FF2B5EF4-FFF2-40B4-BE49-F238E27FC236}">
                  <a16:creationId xmlns:a16="http://schemas.microsoft.com/office/drawing/2014/main" id="{00000000-0008-0000-0800-000002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1" name="Check Box 259" hidden="1">
              <a:extLst>
                <a:ext uri="{63B3BB69-23CF-44E3-9099-C40C66FF867C}">
                  <a14:compatExt spid="_x0000_s28931"/>
                </a:ext>
                <a:ext uri="{FF2B5EF4-FFF2-40B4-BE49-F238E27FC236}">
                  <a16:creationId xmlns:a16="http://schemas.microsoft.com/office/drawing/2014/main" id="{00000000-0008-0000-0800-000003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2" name="Check Box 260" hidden="1">
              <a:extLst>
                <a:ext uri="{63B3BB69-23CF-44E3-9099-C40C66FF867C}">
                  <a14:compatExt spid="_x0000_s28932"/>
                </a:ext>
                <a:ext uri="{FF2B5EF4-FFF2-40B4-BE49-F238E27FC236}">
                  <a16:creationId xmlns:a16="http://schemas.microsoft.com/office/drawing/2014/main" id="{00000000-0008-0000-0800-000004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3" name="Check Box 261" hidden="1">
              <a:extLst>
                <a:ext uri="{63B3BB69-23CF-44E3-9099-C40C66FF867C}">
                  <a14:compatExt spid="_x0000_s28933"/>
                </a:ext>
                <a:ext uri="{FF2B5EF4-FFF2-40B4-BE49-F238E27FC236}">
                  <a16:creationId xmlns:a16="http://schemas.microsoft.com/office/drawing/2014/main" id="{00000000-0008-0000-0800-000005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4" name="Check Box 262" hidden="1">
              <a:extLst>
                <a:ext uri="{63B3BB69-23CF-44E3-9099-C40C66FF867C}">
                  <a14:compatExt spid="_x0000_s28934"/>
                </a:ext>
                <a:ext uri="{FF2B5EF4-FFF2-40B4-BE49-F238E27FC236}">
                  <a16:creationId xmlns:a16="http://schemas.microsoft.com/office/drawing/2014/main" id="{00000000-0008-0000-0800-000006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5" name="Check Box 263" hidden="1">
              <a:extLst>
                <a:ext uri="{63B3BB69-23CF-44E3-9099-C40C66FF867C}">
                  <a14:compatExt spid="_x0000_s28935"/>
                </a:ext>
                <a:ext uri="{FF2B5EF4-FFF2-40B4-BE49-F238E27FC236}">
                  <a16:creationId xmlns:a16="http://schemas.microsoft.com/office/drawing/2014/main" id="{00000000-0008-0000-0800-000007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20</xdr:col>
          <xdr:colOff>9525</xdr:colOff>
          <xdr:row>63</xdr:row>
          <xdr:rowOff>57150</xdr:rowOff>
        </xdr:to>
        <xdr:sp macro="" textlink="">
          <xdr:nvSpPr>
            <xdr:cNvPr id="28936" name="Check Box 264" hidden="1">
              <a:extLst>
                <a:ext uri="{63B3BB69-23CF-44E3-9099-C40C66FF867C}">
                  <a14:compatExt spid="_x0000_s28936"/>
                </a:ext>
                <a:ext uri="{FF2B5EF4-FFF2-40B4-BE49-F238E27FC236}">
                  <a16:creationId xmlns:a16="http://schemas.microsoft.com/office/drawing/2014/main" id="{00000000-0008-0000-0800-000008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9525</xdr:colOff>
          <xdr:row>64</xdr:row>
          <xdr:rowOff>57150</xdr:rowOff>
        </xdr:to>
        <xdr:sp macro="" textlink="">
          <xdr:nvSpPr>
            <xdr:cNvPr id="28937" name="Check Box 265" hidden="1">
              <a:extLst>
                <a:ext uri="{63B3BB69-23CF-44E3-9099-C40C66FF867C}">
                  <a14:compatExt spid="_x0000_s28937"/>
                </a:ext>
                <a:ext uri="{FF2B5EF4-FFF2-40B4-BE49-F238E27FC236}">
                  <a16:creationId xmlns:a16="http://schemas.microsoft.com/office/drawing/2014/main" id="{00000000-0008-0000-0800-000009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9525</xdr:colOff>
          <xdr:row>64</xdr:row>
          <xdr:rowOff>57150</xdr:rowOff>
        </xdr:to>
        <xdr:sp macro="" textlink="">
          <xdr:nvSpPr>
            <xdr:cNvPr id="28938" name="Check Box 266" hidden="1">
              <a:extLst>
                <a:ext uri="{63B3BB69-23CF-44E3-9099-C40C66FF867C}">
                  <a14:compatExt spid="_x0000_s28938"/>
                </a:ext>
                <a:ext uri="{FF2B5EF4-FFF2-40B4-BE49-F238E27FC236}">
                  <a16:creationId xmlns:a16="http://schemas.microsoft.com/office/drawing/2014/main" id="{00000000-0008-0000-0800-00000A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9525</xdr:colOff>
          <xdr:row>64</xdr:row>
          <xdr:rowOff>57150</xdr:rowOff>
        </xdr:to>
        <xdr:sp macro="" textlink="">
          <xdr:nvSpPr>
            <xdr:cNvPr id="28939" name="Check Box 267" hidden="1">
              <a:extLst>
                <a:ext uri="{63B3BB69-23CF-44E3-9099-C40C66FF867C}">
                  <a14:compatExt spid="_x0000_s28939"/>
                </a:ext>
                <a:ext uri="{FF2B5EF4-FFF2-40B4-BE49-F238E27FC236}">
                  <a16:creationId xmlns:a16="http://schemas.microsoft.com/office/drawing/2014/main" id="{00000000-0008-0000-0800-00000B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9525</xdr:colOff>
          <xdr:row>64</xdr:row>
          <xdr:rowOff>57150</xdr:rowOff>
        </xdr:to>
        <xdr:sp macro="" textlink="">
          <xdr:nvSpPr>
            <xdr:cNvPr id="28940" name="Check Box 268" hidden="1">
              <a:extLst>
                <a:ext uri="{63B3BB69-23CF-44E3-9099-C40C66FF867C}">
                  <a14:compatExt spid="_x0000_s28940"/>
                </a:ext>
                <a:ext uri="{FF2B5EF4-FFF2-40B4-BE49-F238E27FC236}">
                  <a16:creationId xmlns:a16="http://schemas.microsoft.com/office/drawing/2014/main" id="{00000000-0008-0000-0800-00000C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9525</xdr:colOff>
          <xdr:row>64</xdr:row>
          <xdr:rowOff>57150</xdr:rowOff>
        </xdr:to>
        <xdr:sp macro="" textlink="">
          <xdr:nvSpPr>
            <xdr:cNvPr id="28941" name="Check Box 269" hidden="1">
              <a:extLst>
                <a:ext uri="{63B3BB69-23CF-44E3-9099-C40C66FF867C}">
                  <a14:compatExt spid="_x0000_s28941"/>
                </a:ext>
                <a:ext uri="{FF2B5EF4-FFF2-40B4-BE49-F238E27FC236}">
                  <a16:creationId xmlns:a16="http://schemas.microsoft.com/office/drawing/2014/main" id="{00000000-0008-0000-0800-00000D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20</xdr:col>
          <xdr:colOff>9525</xdr:colOff>
          <xdr:row>64</xdr:row>
          <xdr:rowOff>57150</xdr:rowOff>
        </xdr:to>
        <xdr:sp macro="" textlink="">
          <xdr:nvSpPr>
            <xdr:cNvPr id="28942" name="Check Box 270" hidden="1">
              <a:extLst>
                <a:ext uri="{63B3BB69-23CF-44E3-9099-C40C66FF867C}">
                  <a14:compatExt spid="_x0000_s28942"/>
                </a:ext>
                <a:ext uri="{FF2B5EF4-FFF2-40B4-BE49-F238E27FC236}">
                  <a16:creationId xmlns:a16="http://schemas.microsoft.com/office/drawing/2014/main" id="{00000000-0008-0000-0800-00000E71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twoCellAnchor editAs="oneCell">
    <xdr:from>
      <xdr:col>22</xdr:col>
      <xdr:colOff>2105025</xdr:colOff>
      <xdr:row>45</xdr:row>
      <xdr:rowOff>85725</xdr:rowOff>
    </xdr:from>
    <xdr:to>
      <xdr:col>27</xdr:col>
      <xdr:colOff>248239</xdr:colOff>
      <xdr:row>121</xdr:row>
      <xdr:rowOff>41823</xdr:rowOff>
    </xdr:to>
    <xdr:pic>
      <xdr:nvPicPr>
        <xdr:cNvPr id="2" name="Picture 1" descr="A screenshot of a computer&#10;&#10;Description automatically generated">
          <a:extLst>
            <a:ext uri="{FF2B5EF4-FFF2-40B4-BE49-F238E27FC236}">
              <a16:creationId xmlns:a16="http://schemas.microsoft.com/office/drawing/2014/main" id="{AFE750D0-90BB-94C1-9410-45EDC23B5BFD}"/>
            </a:ext>
          </a:extLst>
        </xdr:cNvPr>
        <xdr:cNvPicPr>
          <a:picLocks noChangeAspect="1"/>
        </xdr:cNvPicPr>
      </xdr:nvPicPr>
      <xdr:blipFill>
        <a:blip xmlns:r="http://schemas.openxmlformats.org/officeDocument/2006/relationships" r:embed="rId1"/>
        <a:stretch>
          <a:fillRect/>
        </a:stretch>
      </xdr:blipFill>
      <xdr:spPr>
        <a:xfrm>
          <a:off x="18402300" y="8420100"/>
          <a:ext cx="4220164" cy="138036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1666875</xdr:colOff>
      <xdr:row>92</xdr:row>
      <xdr:rowOff>257175</xdr:rowOff>
    </xdr:from>
    <xdr:to>
      <xdr:col>12</xdr:col>
      <xdr:colOff>1409700</xdr:colOff>
      <xdr:row>107</xdr:row>
      <xdr:rowOff>114300</xdr:rowOff>
    </xdr:to>
    <xdr:sp macro="" textlink="">
      <xdr:nvSpPr>
        <xdr:cNvPr id="2" name="Arrow: Left 1">
          <a:extLst>
            <a:ext uri="{FF2B5EF4-FFF2-40B4-BE49-F238E27FC236}">
              <a16:creationId xmlns:a16="http://schemas.microsoft.com/office/drawing/2014/main" id="{86901EA3-169E-13C4-376B-6B12BD474D90}"/>
            </a:ext>
          </a:extLst>
        </xdr:cNvPr>
        <xdr:cNvSpPr/>
      </xdr:nvSpPr>
      <xdr:spPr>
        <a:xfrm>
          <a:off x="10572750" y="23260050"/>
          <a:ext cx="7381875" cy="2962275"/>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150" sz="1100" kern="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85725</xdr:colOff>
      <xdr:row>13</xdr:row>
      <xdr:rowOff>190500</xdr:rowOff>
    </xdr:from>
    <xdr:to>
      <xdr:col>9</xdr:col>
      <xdr:colOff>485775</xdr:colOff>
      <xdr:row>14</xdr:row>
      <xdr:rowOff>419100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553575" y="762000"/>
          <a:ext cx="400050"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200025</xdr:colOff>
      <xdr:row>14</xdr:row>
      <xdr:rowOff>114300</xdr:rowOff>
    </xdr:from>
    <xdr:to>
      <xdr:col>8</xdr:col>
      <xdr:colOff>771525</xdr:colOff>
      <xdr:row>14</xdr:row>
      <xdr:rowOff>323850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72525" y="885825"/>
          <a:ext cx="57150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131380</xdr:colOff>
      <xdr:row>42</xdr:row>
      <xdr:rowOff>177105</xdr:rowOff>
    </xdr:from>
    <xdr:to>
      <xdr:col>12</xdr:col>
      <xdr:colOff>1035303</xdr:colOff>
      <xdr:row>52</xdr:row>
      <xdr:rowOff>47302</xdr:rowOff>
    </xdr:to>
    <xdr:pic>
      <xdr:nvPicPr>
        <xdr:cNvPr id="4" name="Picture 3" descr="A screenshot of a graph&#10;&#10;Description automatically generated">
          <a:extLst>
            <a:ext uri="{FF2B5EF4-FFF2-40B4-BE49-F238E27FC236}">
              <a16:creationId xmlns:a16="http://schemas.microsoft.com/office/drawing/2014/main" id="{59515826-32D2-5AF7-8CB4-BD1039C811D5}"/>
            </a:ext>
          </a:extLst>
        </xdr:cNvPr>
        <xdr:cNvPicPr>
          <a:picLocks noChangeAspect="1"/>
        </xdr:cNvPicPr>
      </xdr:nvPicPr>
      <xdr:blipFill>
        <a:blip xmlns:r="http://schemas.openxmlformats.org/officeDocument/2006/relationships" r:embed="rId3"/>
        <a:stretch>
          <a:fillRect/>
        </a:stretch>
      </xdr:blipFill>
      <xdr:spPr>
        <a:xfrm>
          <a:off x="9754914" y="8631364"/>
          <a:ext cx="3131422" cy="2110214"/>
        </a:xfrm>
        <a:prstGeom prst="rect">
          <a:avLst/>
        </a:prstGeom>
      </xdr:spPr>
    </xdr:pic>
    <xdr:clientData/>
  </xdr:twoCellAnchor>
  <xdr:twoCellAnchor>
    <xdr:from>
      <xdr:col>6</xdr:col>
      <xdr:colOff>302172</xdr:colOff>
      <xdr:row>48</xdr:row>
      <xdr:rowOff>111672</xdr:rowOff>
    </xdr:from>
    <xdr:to>
      <xdr:col>9</xdr:col>
      <xdr:colOff>637190</xdr:colOff>
      <xdr:row>50</xdr:row>
      <xdr:rowOff>144517</xdr:rowOff>
    </xdr:to>
    <xdr:sp macro="" textlink="">
      <xdr:nvSpPr>
        <xdr:cNvPr id="5" name="Arrow: Right 4">
          <a:extLst>
            <a:ext uri="{FF2B5EF4-FFF2-40B4-BE49-F238E27FC236}">
              <a16:creationId xmlns:a16="http://schemas.microsoft.com/office/drawing/2014/main" id="{93048FE8-D59D-73CD-08B8-D1F346ED22E8}"/>
            </a:ext>
          </a:extLst>
        </xdr:cNvPr>
        <xdr:cNvSpPr/>
      </xdr:nvSpPr>
      <xdr:spPr>
        <a:xfrm>
          <a:off x="6457293" y="10043948"/>
          <a:ext cx="3087414" cy="41384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150" sz="1100" kern="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1495425</xdr:colOff>
      <xdr:row>13</xdr:row>
      <xdr:rowOff>47625</xdr:rowOff>
    </xdr:from>
    <xdr:to>
      <xdr:col>3</xdr:col>
      <xdr:colOff>333375</xdr:colOff>
      <xdr:row>14</xdr:row>
      <xdr:rowOff>200025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05025" y="2933700"/>
          <a:ext cx="30480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d46a542e399632b1/01.%20Projects/1.%20Carbon%20studies/5.%20ABC%20PoA/4.%20Uganda/1.%20MPI%20CPII/MPI%20survey%202%20files%20and%20data/UG%20PFT%20Survey%202023%20Data_30%20October%202024_final.xlsx" TargetMode="External"/><Relationship Id="rId1" Type="http://schemas.openxmlformats.org/officeDocument/2006/relationships/externalLinkPath" Target="https://carboncheckpvt-my.sharepoint.com/d46a542e399632b1/01.%20Projects/1.%20Carbon%20studies/5.%20ABC%20PoA/4.%20Uganda/1.%20MPI%20CPII/MPI%20survey%202%20files%20and%20data/UG%20PFT%20Survey%202023%20Data_30%20October%202024_f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d46a542e399632b1/01.%20Projects/1.%20Carbon%20studies/5.%20ABC%20PoA/2.%20Kenya/2024%20work/VPA01%20CPII%20MPI/05June24%20%20VPA01_CPII%20MRI%20SDG%20database%20v1.xlsx" TargetMode="External"/><Relationship Id="rId1" Type="http://schemas.openxmlformats.org/officeDocument/2006/relationships/externalLinkPath" Target="https://carboncheckpvt-my.sharepoint.com/d46a542e399632b1/01.%20Projects/1.%20Carbon%20studies/5.%20ABC%20PoA/2.%20Kenya/2024%20work/VPA01%20CPII%20MPI/05June24%20%20VPA01_CPII%20MRI%20SDG%20database%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G_PFT Survey 2024"/>
      <sheetName val="Raw data"/>
      <sheetName val="Summary"/>
      <sheetName val="Fuel Data"/>
      <sheetName val="Fuel use_Analysis"/>
      <sheetName val="Project - 90|30 test"/>
      <sheetName val="90-30_Analysis"/>
      <sheetName val="Grubb's Test 1"/>
    </sheetNames>
    <sheetDataSet>
      <sheetData sheetId="0"/>
      <sheetData sheetId="1"/>
      <sheetData sheetId="2"/>
      <sheetData sheetId="3">
        <row r="9">
          <cell r="A9">
            <v>1</v>
          </cell>
          <cell r="C9" t="str">
            <v>UG-NOR-1310-2978</v>
          </cell>
          <cell r="AK9">
            <v>5.84</v>
          </cell>
          <cell r="AL9">
            <v>0</v>
          </cell>
          <cell r="AM9">
            <v>0</v>
          </cell>
          <cell r="AN9">
            <v>0</v>
          </cell>
        </row>
        <row r="10">
          <cell r="A10">
            <v>2</v>
          </cell>
          <cell r="C10" t="str">
            <v>UG-NOR-1402-3284</v>
          </cell>
          <cell r="AK10">
            <v>0</v>
          </cell>
          <cell r="AL10">
            <v>2.2600000000000002</v>
          </cell>
          <cell r="AM10">
            <v>0</v>
          </cell>
          <cell r="AN10">
            <v>0</v>
          </cell>
        </row>
        <row r="11">
          <cell r="A11">
            <v>4</v>
          </cell>
          <cell r="C11" t="str">
            <v>UG-NOR-1311-3515</v>
          </cell>
          <cell r="AK11">
            <v>0</v>
          </cell>
          <cell r="AL11">
            <v>1.3099999999999996</v>
          </cell>
          <cell r="AM11">
            <v>0</v>
          </cell>
          <cell r="AN11">
            <v>0</v>
          </cell>
        </row>
        <row r="12">
          <cell r="A12">
            <v>5</v>
          </cell>
          <cell r="C12" t="str">
            <v>UG-NOR-1107-549</v>
          </cell>
          <cell r="AK12">
            <v>0</v>
          </cell>
          <cell r="AL12">
            <v>2</v>
          </cell>
          <cell r="AM12">
            <v>0</v>
          </cell>
          <cell r="AN12">
            <v>0</v>
          </cell>
        </row>
        <row r="13">
          <cell r="A13">
            <v>6</v>
          </cell>
          <cell r="C13" t="str">
            <v>UG-WES-1810-012816</v>
          </cell>
          <cell r="AK13">
            <v>10.010000000000002</v>
          </cell>
          <cell r="AL13">
            <v>0</v>
          </cell>
          <cell r="AM13">
            <v>0</v>
          </cell>
          <cell r="AN13">
            <v>0</v>
          </cell>
        </row>
        <row r="14">
          <cell r="A14">
            <v>7</v>
          </cell>
          <cell r="C14" t="str">
            <v>UG-WES-1305-6273</v>
          </cell>
          <cell r="AK14">
            <v>8.2800000000000011</v>
          </cell>
          <cell r="AL14">
            <v>0</v>
          </cell>
          <cell r="AM14">
            <v>0</v>
          </cell>
          <cell r="AN14">
            <v>0</v>
          </cell>
        </row>
        <row r="15">
          <cell r="A15">
            <v>8</v>
          </cell>
          <cell r="C15" t="str">
            <v>UG-WES-1807-06971</v>
          </cell>
          <cell r="AK15">
            <v>0</v>
          </cell>
          <cell r="AL15">
            <v>0</v>
          </cell>
          <cell r="AM15">
            <v>0</v>
          </cell>
          <cell r="AN15">
            <v>0</v>
          </cell>
        </row>
        <row r="16">
          <cell r="A16">
            <v>9</v>
          </cell>
          <cell r="C16" t="str">
            <v>UG-WES-1403-554</v>
          </cell>
          <cell r="AK16">
            <v>1.7300000000000004</v>
          </cell>
          <cell r="AL16">
            <v>0</v>
          </cell>
          <cell r="AM16">
            <v>0</v>
          </cell>
          <cell r="AN16">
            <v>0</v>
          </cell>
        </row>
        <row r="17">
          <cell r="A17">
            <v>10</v>
          </cell>
          <cell r="C17" t="str">
            <v>UG-WES-1101-5905</v>
          </cell>
          <cell r="AK17">
            <v>16.000000000000004</v>
          </cell>
          <cell r="AL17">
            <v>0</v>
          </cell>
          <cell r="AM17">
            <v>0</v>
          </cell>
          <cell r="AN17">
            <v>0</v>
          </cell>
        </row>
        <row r="18">
          <cell r="A18">
            <v>11</v>
          </cell>
          <cell r="C18" t="str">
            <v>UG-WES-1902-012846</v>
          </cell>
          <cell r="AK18">
            <v>15.2</v>
          </cell>
          <cell r="AL18">
            <v>0</v>
          </cell>
          <cell r="AM18">
            <v>0</v>
          </cell>
          <cell r="AN18">
            <v>0</v>
          </cell>
        </row>
        <row r="19">
          <cell r="A19">
            <v>12</v>
          </cell>
          <cell r="C19" t="str">
            <v>UG-WES-1611-3483</v>
          </cell>
          <cell r="AK19">
            <v>16.700000000000003</v>
          </cell>
          <cell r="AL19">
            <v>0</v>
          </cell>
          <cell r="AM19">
            <v>0</v>
          </cell>
          <cell r="AN19">
            <v>0</v>
          </cell>
        </row>
        <row r="20">
          <cell r="A20">
            <v>13</v>
          </cell>
          <cell r="C20" t="str">
            <v>UG-NOR-2108-014123</v>
          </cell>
          <cell r="AK20">
            <v>0</v>
          </cell>
          <cell r="AL20">
            <v>1.2000000000000002</v>
          </cell>
          <cell r="AM20">
            <v>0</v>
          </cell>
          <cell r="AN20">
            <v>0</v>
          </cell>
        </row>
        <row r="21">
          <cell r="A21">
            <v>14</v>
          </cell>
          <cell r="C21" t="str">
            <v>UG-NOR-2211-010001</v>
          </cell>
          <cell r="AK21">
            <v>5.8000000000000007</v>
          </cell>
          <cell r="AL21">
            <v>0</v>
          </cell>
          <cell r="AM21">
            <v>0</v>
          </cell>
          <cell r="AN21">
            <v>0</v>
          </cell>
        </row>
        <row r="22">
          <cell r="A22">
            <v>15</v>
          </cell>
          <cell r="C22" t="str">
            <v>UG-NOR-1303-5277</v>
          </cell>
          <cell r="AK22">
            <v>0</v>
          </cell>
          <cell r="AL22">
            <v>0.20000000000000018</v>
          </cell>
          <cell r="AM22">
            <v>0</v>
          </cell>
          <cell r="AN22">
            <v>0</v>
          </cell>
        </row>
        <row r="23">
          <cell r="A23">
            <v>16</v>
          </cell>
          <cell r="C23" t="str">
            <v>UG-NOR-1904-07873</v>
          </cell>
          <cell r="AK23">
            <v>0</v>
          </cell>
          <cell r="AL23">
            <v>1.8399999999999999</v>
          </cell>
          <cell r="AM23">
            <v>0</v>
          </cell>
          <cell r="AN23">
            <v>0</v>
          </cell>
        </row>
        <row r="24">
          <cell r="A24">
            <v>17</v>
          </cell>
          <cell r="C24" t="str">
            <v>UG-NOR-2202-021388</v>
          </cell>
          <cell r="AK24">
            <v>10.060000000000002</v>
          </cell>
          <cell r="AL24">
            <v>0</v>
          </cell>
          <cell r="AM24">
            <v>0</v>
          </cell>
          <cell r="AN24">
            <v>0</v>
          </cell>
        </row>
        <row r="25">
          <cell r="A25">
            <v>19</v>
          </cell>
          <cell r="C25" t="str">
            <v>UG-NOR-2210-010807</v>
          </cell>
          <cell r="AK25">
            <v>6.58</v>
          </cell>
          <cell r="AL25">
            <v>0</v>
          </cell>
          <cell r="AM25">
            <v>0</v>
          </cell>
          <cell r="AN25">
            <v>0</v>
          </cell>
        </row>
        <row r="26">
          <cell r="A26">
            <v>20</v>
          </cell>
          <cell r="C26" t="str">
            <v>UG-CEN-1306-2924</v>
          </cell>
          <cell r="AK26">
            <v>4.5999999999999996</v>
          </cell>
          <cell r="AL26">
            <v>0</v>
          </cell>
          <cell r="AM26">
            <v>0</v>
          </cell>
          <cell r="AN26">
            <v>0</v>
          </cell>
        </row>
        <row r="27">
          <cell r="A27">
            <v>21</v>
          </cell>
          <cell r="C27" t="str">
            <v>UG-CEN-1402-5961</v>
          </cell>
          <cell r="AK27">
            <v>1.9000000000000004</v>
          </cell>
          <cell r="AL27">
            <v>0</v>
          </cell>
          <cell r="AM27">
            <v>0</v>
          </cell>
          <cell r="AN27">
            <v>0</v>
          </cell>
        </row>
        <row r="28">
          <cell r="A28">
            <v>22</v>
          </cell>
          <cell r="C28" t="str">
            <v>UG-CEN-2109-021682</v>
          </cell>
          <cell r="AK28">
            <v>2.3999999999999995</v>
          </cell>
          <cell r="AL28">
            <v>0</v>
          </cell>
          <cell r="AM28">
            <v>0</v>
          </cell>
          <cell r="AN28">
            <v>0</v>
          </cell>
        </row>
        <row r="29">
          <cell r="A29">
            <v>23</v>
          </cell>
          <cell r="C29" t="str">
            <v>UG-CEN-1011-561</v>
          </cell>
          <cell r="AK29">
            <v>4</v>
          </cell>
          <cell r="AL29">
            <v>0</v>
          </cell>
          <cell r="AM29">
            <v>0</v>
          </cell>
          <cell r="AN29">
            <v>0</v>
          </cell>
        </row>
        <row r="30">
          <cell r="A30">
            <v>24</v>
          </cell>
          <cell r="C30" t="str">
            <v>UG-CEN-1402-6086</v>
          </cell>
          <cell r="AK30">
            <v>3.01</v>
          </cell>
          <cell r="AL30">
            <v>0</v>
          </cell>
          <cell r="AM30">
            <v>0</v>
          </cell>
          <cell r="AN30">
            <v>0</v>
          </cell>
        </row>
        <row r="31">
          <cell r="A31">
            <v>25</v>
          </cell>
          <cell r="C31" t="str">
            <v>UG-WES-1704-06500</v>
          </cell>
          <cell r="AK31">
            <v>8.6</v>
          </cell>
          <cell r="AL31">
            <v>0</v>
          </cell>
          <cell r="AM31">
            <v>0</v>
          </cell>
          <cell r="AN31">
            <v>0</v>
          </cell>
        </row>
        <row r="32">
          <cell r="A32">
            <v>26</v>
          </cell>
          <cell r="C32" t="str">
            <v>UG-WES-1910-07427</v>
          </cell>
          <cell r="AK32">
            <v>8</v>
          </cell>
          <cell r="AL32">
            <v>0</v>
          </cell>
          <cell r="AM32">
            <v>0</v>
          </cell>
          <cell r="AN32">
            <v>0</v>
          </cell>
        </row>
        <row r="33">
          <cell r="A33">
            <v>27</v>
          </cell>
          <cell r="C33" t="str">
            <v>UG-EAS-1112-1998</v>
          </cell>
          <cell r="AK33">
            <v>7.18</v>
          </cell>
          <cell r="AL33">
            <v>0</v>
          </cell>
          <cell r="AM33">
            <v>0</v>
          </cell>
          <cell r="AN33">
            <v>0</v>
          </cell>
        </row>
        <row r="34">
          <cell r="A34">
            <v>28</v>
          </cell>
          <cell r="C34" t="str">
            <v>UG-EAS-2006-9893</v>
          </cell>
          <cell r="AK34">
            <v>5.5799999999999992</v>
          </cell>
          <cell r="AL34">
            <v>0</v>
          </cell>
          <cell r="AM34">
            <v>0</v>
          </cell>
          <cell r="AN34">
            <v>0</v>
          </cell>
        </row>
        <row r="35">
          <cell r="A35">
            <v>29</v>
          </cell>
          <cell r="C35" t="str">
            <v>UG-EAS-1810-07322</v>
          </cell>
          <cell r="AK35">
            <v>7.3299999999999992</v>
          </cell>
          <cell r="AL35">
            <v>0</v>
          </cell>
          <cell r="AM35">
            <v>0</v>
          </cell>
          <cell r="AN35">
            <v>0</v>
          </cell>
        </row>
        <row r="36">
          <cell r="A36">
            <v>30</v>
          </cell>
          <cell r="C36" t="str">
            <v>UG-EAS-2301-010433</v>
          </cell>
          <cell r="AK36">
            <v>11.490000000000002</v>
          </cell>
          <cell r="AL36">
            <v>0</v>
          </cell>
          <cell r="AM36">
            <v>0</v>
          </cell>
          <cell r="AN36">
            <v>0</v>
          </cell>
        </row>
        <row r="37">
          <cell r="A37">
            <v>31</v>
          </cell>
          <cell r="C37" t="str">
            <v>UG-WES-1306-3277</v>
          </cell>
          <cell r="AK37">
            <v>3.8000000000000007</v>
          </cell>
          <cell r="AL37">
            <v>0</v>
          </cell>
          <cell r="AM37">
            <v>0</v>
          </cell>
          <cell r="AN37">
            <v>0</v>
          </cell>
        </row>
        <row r="38">
          <cell r="A38">
            <v>32</v>
          </cell>
          <cell r="C38" t="str">
            <v>UG-WES-1108-3213</v>
          </cell>
          <cell r="AK38">
            <v>8.5</v>
          </cell>
          <cell r="AL38">
            <v>0</v>
          </cell>
          <cell r="AM38">
            <v>0</v>
          </cell>
          <cell r="AN38">
            <v>0</v>
          </cell>
        </row>
        <row r="39">
          <cell r="A39">
            <v>33</v>
          </cell>
          <cell r="C39" t="str">
            <v>UG-WES-2103-014496</v>
          </cell>
          <cell r="AK39">
            <v>11.7</v>
          </cell>
          <cell r="AL39">
            <v>0</v>
          </cell>
          <cell r="AM39">
            <v>0</v>
          </cell>
          <cell r="AN39">
            <v>0</v>
          </cell>
        </row>
        <row r="40">
          <cell r="A40">
            <v>34</v>
          </cell>
          <cell r="C40" t="str">
            <v>UG-WES-2310-010107</v>
          </cell>
          <cell r="AK40">
            <v>5.1999999999999993</v>
          </cell>
          <cell r="AL40">
            <v>0</v>
          </cell>
          <cell r="AM40">
            <v>0</v>
          </cell>
          <cell r="AN40">
            <v>0</v>
          </cell>
        </row>
        <row r="41">
          <cell r="A41">
            <v>35</v>
          </cell>
          <cell r="C41" t="str">
            <v>UG-CEN-1303-3857</v>
          </cell>
          <cell r="AK41">
            <v>7.6</v>
          </cell>
          <cell r="AL41">
            <v>0</v>
          </cell>
          <cell r="AM41">
            <v>0</v>
          </cell>
          <cell r="AN41">
            <v>0</v>
          </cell>
        </row>
        <row r="42">
          <cell r="A42">
            <v>36</v>
          </cell>
          <cell r="C42" t="str">
            <v>UG-CEN-2212-011211</v>
          </cell>
          <cell r="AK42">
            <v>8.8999999999999986</v>
          </cell>
          <cell r="AL42">
            <v>0</v>
          </cell>
          <cell r="AM42">
            <v>0</v>
          </cell>
          <cell r="AN42">
            <v>0</v>
          </cell>
        </row>
        <row r="43">
          <cell r="A43">
            <v>39</v>
          </cell>
          <cell r="C43" t="str">
            <v>UG-CEN-2302-010256</v>
          </cell>
          <cell r="AK43">
            <v>3.8999999999999986</v>
          </cell>
          <cell r="AL43">
            <v>0</v>
          </cell>
          <cell r="AM43">
            <v>0</v>
          </cell>
          <cell r="AN43">
            <v>0</v>
          </cell>
        </row>
        <row r="44">
          <cell r="A44">
            <v>40</v>
          </cell>
          <cell r="C44" t="str">
            <v>UG-CEN-2305-020134</v>
          </cell>
          <cell r="AK44">
            <v>0</v>
          </cell>
          <cell r="AL44">
            <v>0.66000000000000014</v>
          </cell>
          <cell r="AM44">
            <v>0</v>
          </cell>
          <cell r="AN44">
            <v>0</v>
          </cell>
        </row>
        <row r="45">
          <cell r="A45">
            <v>41</v>
          </cell>
          <cell r="C45" t="str">
            <v>UG-CEN-1309-3753</v>
          </cell>
          <cell r="AK45">
            <v>4.9000000000000004</v>
          </cell>
          <cell r="AL45">
            <v>0</v>
          </cell>
          <cell r="AM45">
            <v>0</v>
          </cell>
          <cell r="AN45">
            <v>0</v>
          </cell>
        </row>
        <row r="46">
          <cell r="A46">
            <v>42</v>
          </cell>
          <cell r="C46" t="str">
            <v>UG-CEN-1809-07682</v>
          </cell>
          <cell r="AK46">
            <v>12.399999999999999</v>
          </cell>
          <cell r="AL46">
            <v>0</v>
          </cell>
          <cell r="AM46">
            <v>0</v>
          </cell>
          <cell r="AN46">
            <v>0</v>
          </cell>
        </row>
        <row r="47">
          <cell r="A47">
            <v>43</v>
          </cell>
          <cell r="C47" t="str">
            <v>UG-CEN-1304-5943</v>
          </cell>
          <cell r="AK47">
            <v>6</v>
          </cell>
          <cell r="AL47">
            <v>0</v>
          </cell>
          <cell r="AM47">
            <v>0</v>
          </cell>
          <cell r="AN47">
            <v>0</v>
          </cell>
        </row>
        <row r="48">
          <cell r="A48">
            <v>44</v>
          </cell>
          <cell r="C48" t="str">
            <v>UG-CEN-1807-07671</v>
          </cell>
          <cell r="AK48">
            <v>9.1999999999999993</v>
          </cell>
          <cell r="AL48">
            <v>0</v>
          </cell>
          <cell r="AM48">
            <v>0</v>
          </cell>
          <cell r="AN48">
            <v>0</v>
          </cell>
        </row>
        <row r="49">
          <cell r="A49">
            <v>46</v>
          </cell>
          <cell r="C49" t="str">
            <v>UG-EAS-2002-012133</v>
          </cell>
          <cell r="AK49">
            <v>12</v>
          </cell>
          <cell r="AL49">
            <v>0</v>
          </cell>
          <cell r="AM49">
            <v>0</v>
          </cell>
          <cell r="AN49">
            <v>0</v>
          </cell>
        </row>
        <row r="50">
          <cell r="A50">
            <v>47</v>
          </cell>
          <cell r="C50" t="str">
            <v>UG-EAS-1302-2079</v>
          </cell>
          <cell r="AK50">
            <v>0</v>
          </cell>
          <cell r="AL50">
            <v>2.0349999999999997</v>
          </cell>
          <cell r="AM50">
            <v>0</v>
          </cell>
          <cell r="AN50">
            <v>0</v>
          </cell>
        </row>
        <row r="51">
          <cell r="A51">
            <v>48</v>
          </cell>
          <cell r="C51" t="str">
            <v>UG-EAS-1903-012201</v>
          </cell>
          <cell r="AK51">
            <v>7.01</v>
          </cell>
          <cell r="AL51">
            <v>0</v>
          </cell>
          <cell r="AM51">
            <v>0</v>
          </cell>
          <cell r="AN51">
            <v>0</v>
          </cell>
        </row>
        <row r="52">
          <cell r="A52">
            <v>49</v>
          </cell>
          <cell r="C52" t="str">
            <v>UG-EAS-2212-011134</v>
          </cell>
          <cell r="AK52">
            <v>2.5</v>
          </cell>
          <cell r="AL52">
            <v>0</v>
          </cell>
          <cell r="AM52">
            <v>0</v>
          </cell>
          <cell r="AN52">
            <v>0</v>
          </cell>
        </row>
        <row r="53">
          <cell r="A53">
            <v>50</v>
          </cell>
          <cell r="C53" t="str">
            <v>UG-EAS-2212-011131</v>
          </cell>
          <cell r="AK53">
            <v>12.39</v>
          </cell>
          <cell r="AL53">
            <v>0</v>
          </cell>
          <cell r="AM53">
            <v>0</v>
          </cell>
          <cell r="AN53">
            <v>0</v>
          </cell>
        </row>
        <row r="54">
          <cell r="A54">
            <v>51</v>
          </cell>
          <cell r="C54" t="str">
            <v>UG-EAS-2211-011106</v>
          </cell>
          <cell r="AK54">
            <v>3.5</v>
          </cell>
          <cell r="AL54">
            <v>0</v>
          </cell>
          <cell r="AM54">
            <v>0</v>
          </cell>
          <cell r="AN54">
            <v>0</v>
          </cell>
        </row>
        <row r="55">
          <cell r="A55">
            <v>52</v>
          </cell>
          <cell r="C55" t="str">
            <v>UG-EAS-2006-9891</v>
          </cell>
          <cell r="AK55">
            <v>12</v>
          </cell>
          <cell r="AL55">
            <v>0</v>
          </cell>
          <cell r="AM55">
            <v>0</v>
          </cell>
          <cell r="AN55">
            <v>0</v>
          </cell>
        </row>
        <row r="56">
          <cell r="A56">
            <v>53</v>
          </cell>
          <cell r="C56" t="str">
            <v>UG-EAS-2308-010418</v>
          </cell>
          <cell r="AK56">
            <v>9.5</v>
          </cell>
          <cell r="AL56">
            <v>2.2999999999999998</v>
          </cell>
          <cell r="AM56">
            <v>0</v>
          </cell>
          <cell r="AN56">
            <v>0</v>
          </cell>
        </row>
        <row r="57">
          <cell r="A57">
            <v>54</v>
          </cell>
          <cell r="C57" t="str">
            <v>UG-EAS-1606-2021</v>
          </cell>
          <cell r="AK57">
            <v>13.100000000000001</v>
          </cell>
          <cell r="AL57">
            <v>0</v>
          </cell>
          <cell r="AM57">
            <v>0</v>
          </cell>
          <cell r="AN57">
            <v>0</v>
          </cell>
        </row>
        <row r="58">
          <cell r="A58">
            <v>55</v>
          </cell>
          <cell r="C58" t="str">
            <v>UG-EAS-2212-010403</v>
          </cell>
          <cell r="AK58">
            <v>17.100000000000001</v>
          </cell>
          <cell r="AL58">
            <v>0</v>
          </cell>
          <cell r="AM58">
            <v>0</v>
          </cell>
          <cell r="AN58">
            <v>0</v>
          </cell>
        </row>
        <row r="59">
          <cell r="A59">
            <v>56</v>
          </cell>
          <cell r="C59" t="str">
            <v>UG-CEN-1908-07749</v>
          </cell>
          <cell r="AK59">
            <v>12</v>
          </cell>
          <cell r="AL59">
            <v>0</v>
          </cell>
          <cell r="AM59">
            <v>0</v>
          </cell>
          <cell r="AN59">
            <v>0</v>
          </cell>
        </row>
        <row r="60">
          <cell r="A60">
            <v>57</v>
          </cell>
          <cell r="C60" t="str">
            <v>UG-CEN-1305-3966</v>
          </cell>
          <cell r="AK60">
            <v>16</v>
          </cell>
          <cell r="AL60">
            <v>0</v>
          </cell>
          <cell r="AM60">
            <v>0</v>
          </cell>
          <cell r="AN60">
            <v>0</v>
          </cell>
        </row>
        <row r="61">
          <cell r="A61">
            <v>58</v>
          </cell>
          <cell r="C61" t="str">
            <v>UG-WES-2301-011214</v>
          </cell>
          <cell r="AK61">
            <v>3.9499999999999993</v>
          </cell>
          <cell r="AL61">
            <v>0</v>
          </cell>
          <cell r="AM61">
            <v>0</v>
          </cell>
          <cell r="AN61">
            <v>0</v>
          </cell>
        </row>
        <row r="62">
          <cell r="A62">
            <v>59</v>
          </cell>
          <cell r="C62" t="str">
            <v>UG-WES-1208-5540</v>
          </cell>
          <cell r="AK62">
            <v>8.2000000000000011</v>
          </cell>
          <cell r="AL62">
            <v>0</v>
          </cell>
          <cell r="AM62">
            <v>0</v>
          </cell>
          <cell r="AN62">
            <v>0</v>
          </cell>
        </row>
        <row r="63">
          <cell r="A63">
            <v>60</v>
          </cell>
          <cell r="C63" t="str">
            <v>UG-WES-1812-012411</v>
          </cell>
          <cell r="AK63">
            <v>6.98</v>
          </cell>
          <cell r="AL63">
            <v>0</v>
          </cell>
          <cell r="AM63">
            <v>0</v>
          </cell>
          <cell r="AN63">
            <v>0</v>
          </cell>
        </row>
        <row r="64">
          <cell r="A64">
            <v>61</v>
          </cell>
          <cell r="C64" t="str">
            <v>UG-EAS-2005-012172</v>
          </cell>
          <cell r="AK64">
            <v>3.2900000000000009</v>
          </cell>
          <cell r="AL64">
            <v>0</v>
          </cell>
          <cell r="AM64">
            <v>0</v>
          </cell>
          <cell r="AN64">
            <v>0</v>
          </cell>
        </row>
        <row r="65">
          <cell r="A65">
            <v>62</v>
          </cell>
          <cell r="C65" t="str">
            <v>UG-EAS-1307-4045</v>
          </cell>
          <cell r="AK65">
            <v>2.5300000000000002</v>
          </cell>
          <cell r="AL65">
            <v>0</v>
          </cell>
          <cell r="AM65">
            <v>0</v>
          </cell>
          <cell r="AN65">
            <v>0</v>
          </cell>
        </row>
      </sheetData>
      <sheetData sheetId="4"/>
      <sheetData sheetId="5"/>
      <sheetData sheetId="6">
        <row r="14">
          <cell r="G14" t="str">
            <v>Verdict</v>
          </cell>
          <cell r="H14" t="str">
            <v>Clear</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I MPI db"/>
      <sheetName val="unit and type"/>
      <sheetName val="sampling"/>
      <sheetName val="AWMS survey"/>
      <sheetName val="VS"/>
      <sheetName val="AWMS"/>
      <sheetName val="BE"/>
      <sheetName val="PE_LE"/>
      <sheetName val="SMS 1"/>
      <sheetName val="SMS 2"/>
      <sheetName val="SDG outcome"/>
      <sheetName val="SDG impact tool"/>
      <sheetName val="Thermal capacity"/>
    </sheetNames>
    <sheetDataSet>
      <sheetData sheetId="0"/>
      <sheetData sheetId="1"/>
      <sheetData sheetId="2"/>
      <sheetData sheetId="3"/>
      <sheetData sheetId="4"/>
      <sheetData sheetId="5">
        <row r="201">
          <cell r="C201">
            <v>12.909975470836681</v>
          </cell>
        </row>
      </sheetData>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Eric Buysman" id="{FC77BD7C-D207-4E2C-ADC9-367F1CACCEC6}" userId="d46a542e399632b1" providerId="Windows Liv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NA</v>
    <v>2</v>
    <v>5</v>
    <v>5</v>
  </rv>
</rvData>
</file>

<file path=xl/richData/rdrichvaluestructure.xml><?xml version="1.0" encoding="utf-8"?>
<rvStructures xmlns="http://schemas.microsoft.com/office/spreadsheetml/2017/richdata" count="1">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28C689-546F-49B2-9D67-1AD1C68CE862}" name="Table14" displayName="Table14" ref="A1:IH203" totalsRowShown="0" headerRowDxfId="487" dataDxfId="485" headerRowBorderDxfId="486" tableBorderDxfId="484">
  <autoFilter ref="A1:IH203" xr:uid="{0C28C689-546F-49B2-9D67-1AD1C68CE862}"/>
  <sortState xmlns:xlrd2="http://schemas.microsoft.com/office/spreadsheetml/2017/richdata2" ref="A2:IH203">
    <sortCondition descending="1" ref="AB1:AB203"/>
  </sortState>
  <tableColumns count="242">
    <tableColumn id="1" xr3:uid="{424CABB4-63C6-426D-B6DF-9C9EA9EB2CDA}" name="Serial Number" dataDxfId="483"/>
    <tableColumn id="229" xr3:uid="{3C5DA74D-89E0-48A3-B92F-DBFA6EE6EEE6}" name="Plant Code" dataDxfId="482"/>
    <tableColumn id="2" xr3:uid="{F779163D-230F-4412-A3A3-8AEA13EFD8CA}" name="Survey Date &amp; Start Time" dataDxfId="481"/>
    <tableColumn id="3" xr3:uid="{6EC3F507-FDFC-4A22-A7E0-90341E00509B}" name="Name of Enumerator" dataDxfId="480"/>
    <tableColumn id="4" xr3:uid="{673FAB8F-B7D2-4B9D-A211-3B6F0183042F}" name="Are you willing to be interviwed?" dataDxfId="479"/>
    <tableColumn id="5" xr3:uid="{11D4B225-8667-44A0-8AB5-CCC6D0CCEECD}" name="GPS Coordinates latitude and longitude" dataDxfId="478"/>
    <tableColumn id="6" xr3:uid="{F69250B6-A17F-4227-A528-A67B43D0A031}" name="GPS Coordinates altitude" dataDxfId="477"/>
    <tableColumn id="7" xr3:uid="{95DAB5BE-82BD-4E73-9FEF-9E28CB87D7A5}" name="GPS Coordinates accuracy" dataDxfId="476"/>
    <tableColumn id="8" xr3:uid="{17D736D6-843F-42BA-83FA-18F37DC4D574}" name="Position in household" dataDxfId="475"/>
    <tableColumn id="9" xr3:uid="{9D77C94A-8C3F-4A3C-9C66-EB00097D0AB3}" name="Other position in the house, describe(ensure that person is using biogas and is acquainted with feeding)" dataDxfId="474"/>
    <tableColumn id="10" xr3:uid="{8D791A58-B3BD-4EF3-B476-99C1AD8B7C8E}" name="Name of Respondent" dataDxfId="473"/>
    <tableColumn id="11" xr3:uid="{A0C9788F-FE3B-45C1-8B18-A78F2F964DBE}" name="Phone number of respondent" dataDxfId="472"/>
    <tableColumn id="12" xr3:uid="{ACCC3D89-39A2-4D2D-8611-755F4BACB70A}" name="Respondent Gender (record without asking)" dataDxfId="471"/>
    <tableColumn id="13" xr3:uid="{DCB05F6C-FF5B-474D-A2DC-B312198E696A}" name="Respondent Age range" dataDxfId="470"/>
    <tableColumn id="14" xr3:uid="{D70374AD-6316-4297-AF31-F94F8B4E2256}" name="Exact Age" dataDxfId="469"/>
    <tableColumn id="15" xr3:uid="{92CCF102-BF81-43BA-BEA8-FC124C1AA94D}" name="Number of people eating daily at your household?" dataDxfId="468"/>
    <tableColumn id="16" xr3:uid="{61E52640-E622-41EB-9CE4-6081706C1381}" name="Do you have a biodigester?" dataDxfId="467"/>
    <tableColumn id="17" xr3:uid="{77FADF07-A7CC-49D8-81CB-A682F15C0619}" name="Plant Code verification" dataDxfId="466"/>
    <tableColumn id="18" xr3:uid="{23C9F762-28EF-426D-A231-8D31C3DB05EF}" name="Code on the plant" dataDxfId="465"/>
    <tableColumn id="19" xr3:uid="{F21016BA-656D-41B4-A5E1-EAB9E8B64CAF}" name="Is your biodigester working?" dataDxfId="464"/>
    <tableColumn id="20" xr3:uid="{B5DFB081-5136-495E-A3C5-0D2D77917D35}" name="Did your digester work continuously in the period in 19/04/2022 to 31/March/2023?" dataDxfId="463"/>
    <tableColumn id="21" xr3:uid="{E1D7A2FE-93B2-47FE-A51A-F0AF75A268CE}" name="If no, how many days did the digester not work continuously in that period?" dataDxfId="462"/>
    <tableColumn id="22" xr3:uid="{AFB41F0A-D7F7-4948-86F0-9D10AFDA8D9A}" name="Are you currently using your biodigester for cooking food for human consumption?" dataDxfId="461"/>
    <tableColumn id="23" xr3:uid="{4623FA0F-8526-4513-8C63-8A8F300B76DF}" name="Explain Why you are not using your biodigester for cooking food for human consumption." dataDxfId="460"/>
    <tableColumn id="24" xr3:uid="{2247D742-5610-4F4F-845E-9CCBEC63CFC7}" name="If no,since when has it not been working?(month &amp; year values have to be filled in)" dataDxfId="459"/>
    <tableColumn id="223" xr3:uid="{0172CCA3-211A-4388-A4F1-AB2D5EB6B6E1}" name="Calculation if digester in operation during this MP" dataDxfId="458"/>
    <tableColumn id="225" xr3:uid="{0C4A83F2-3C99-4000-8D6C-CD9274DFAD38}" name="functioning plants out of operation in this MP (days)" dataDxfId="457"/>
    <tableColumn id="227" xr3:uid="{784F38A5-3AFC-4DF0-97C9-4550096A383E}" name="Out of operation plants in operation" dataDxfId="456"/>
    <tableColumn id="25" xr3:uid="{E73D6892-297D-4B40-8026-3ACCCE12EBFB}" name="Why is the digester not working?" dataDxfId="455"/>
    <tableColumn id="26" xr3:uid="{3E9FDDEA-A904-4C4D-925D-85DA88436093}" name="Other reason why digester is not working" dataDxfId="454"/>
    <tableColumn id="27" xr3:uid="{94DA81D0-DBEB-4C4E-8211-C2F36E17F70E}" name="If the reason is technical e.g. broken,pipe blockage,gas leakage etc, did you contact any mason/company/KBP for help?" dataDxfId="453"/>
    <tableColumn id="28" xr3:uid="{C9197C86-53A7-4FF5-AEF3-B80A49A887DF}" name="If yes,what response did you receive from the source of help you contacted?" dataDxfId="452"/>
    <tableColumn id="29" xr3:uid="{CD040832-21E5-4644-9AA9-98E0E74FD044}" name="If no,why didn't you contact Mason/BSUL/Company or anyone else for help?" dataDxfId="451"/>
    <tableColumn id="30" xr3:uid="{88B0F794-FA2D-4DC7-936A-B72F306F0C88}" name="Are you still interested in having the biodigester fixed?" dataDxfId="450"/>
    <tableColumn id="31" xr3:uid="{1A237AA9-4961-4F84-9351-734092F0BEAF}" name="If yes,when do you plan to fix your digester?" dataDxfId="449"/>
    <tableColumn id="32" xr3:uid="{F60114C3-DED8-4751-859C-0E585D0277DF}" name="What are the main uses of biogas? (Circle all that apply)" dataDxfId="448"/>
    <tableColumn id="33" xr3:uid="{2158CAAC-9F67-4C19-A4C8-F3DC2F0F2C39}" name="Domestic use of Biogas" dataDxfId="447"/>
    <tableColumn id="34" xr3:uid="{FFB1BEC4-BF73-4FB4-AF79-08031C87FDA1}" name="Productive use of Biogas" dataDxfId="446"/>
    <tableColumn id="35" xr3:uid="{7A5FCEE6-D945-41B5-B360-DF99B86AF641}" name="Specify other main uses of Biogas" dataDxfId="445"/>
    <tableColumn id="36" xr3:uid="{40870182-C7A5-4BB5-9D50-4FF2E09DD015}" name="Stove Brand: (Observed from the Kitchen stove)" dataDxfId="444"/>
    <tableColumn id="37" xr3:uid="{D27E75E0-4D91-4CC8-B471-F4C5585BFDF9}" name="Other Stove Brand" dataDxfId="443"/>
    <tableColumn id="38" xr3:uid="{371AA3AE-8922-4744-AC97-B4FCB41953BE}" name="Number of Burners on the stove: (Observed from the Kitchen stove)" dataDxfId="442"/>
    <tableColumn id="39" xr3:uid="{BBA507AD-EABB-4ABF-B967-389C4A35FF86}" name="Other Number of Burners on the stove: (Observed from the Kitchen stove)" dataDxfId="441"/>
    <tableColumn id="40" xr3:uid="{9E469C37-F096-46E7-82C8-82CED533C7E5}" name="What the Status of the biogas kitchen stove?" dataDxfId="440"/>
    <tableColumn id="41" xr3:uid="{643DD45E-3FAF-41EF-B184-764AB0716B71}" name="Other Status of the biogas kitchen stove" dataDxfId="439"/>
    <tableColumn id="42" xr3:uid="{7EEEA9F7-24A7-4608-BC6E-5E301034EA1D}" name="Is a pressure gauge installed" dataDxfId="438"/>
    <tableColumn id="43" xr3:uid="{A539B713-ED5A-4442-9D9D-0B8E0307E84A}" name="If No, why is the pressure gauge missing" dataDxfId="437"/>
    <tableColumn id="44" xr3:uid="{508AC8A6-65F3-43B0-B231-53F8F3EFEDE0}" name="Other reason why the pressure gauge missing" dataDxfId="436"/>
    <tableColumn id="45" xr3:uid="{51DFA46B-A51D-41EB-A767-306FF6658BEC}" name="Before you received biogas, which fuel did you use mainly to meet your daily cooking needs for human consumption?" dataDxfId="435"/>
    <tableColumn id="46" xr3:uid="{80DC4628-54A4-4701-BE8C-61843EABFE10}" name="B4:If Other fuels, please specify" dataDxfId="434"/>
    <tableColumn id="47" xr3:uid="{560226F4-B6C6-446C-A5AC-C5C1159C92AF}" name="If Other fuels,specify" dataDxfId="433"/>
    <tableColumn id="48" xr3:uid="{E3D95857-B623-48D7-B9C7-4E7D0108441E}" name="In addition to the main source of fuel you used before you installed the digester, did you use any other fuel for cooking?" dataDxfId="432"/>
    <tableColumn id="49" xr3:uid="{5DC25FF3-C492-4BE4-88C8-245843D59BCC}" name="If yes, which one?(other fuel you used before you installed biogas)" dataDxfId="431"/>
    <tableColumn id="50" xr3:uid="{CFFE3C33-BA66-46DA-881E-EAA7DDFFF09C}" name="(Other fuel)In addition to the main source of fuel you used before you installed the digester, did you use any other fuel for cooking" dataDxfId="430"/>
    <tableColumn id="51" xr3:uid="{E81901DE-0A1C-4F0D-B141-9049838C5FBD}" name="If you indicated use of fire wood, did you collect or buy firewood?" dataDxfId="429"/>
    <tableColumn id="52" xr3:uid="{B09443DA-5B12-4D51-AAC4-9FB0E0385988}" name="If you indicated use of firewood, who was solely responsible for firewood collection? (Pick One)" dataDxfId="428"/>
    <tableColumn id="53" xr3:uid="{B60980DC-3373-46E5-AF81-C9F77DFF1544}" name="Other person who was solely responsible for firewood collection" dataDxfId="427"/>
    <tableColumn id="54" xr3:uid="{1B6A89FE-9FE9-4623-8C7D-C79879ABA011}" name="If more than one person was responsible for firewood collection, circle all those who shared the responsibility" dataDxfId="426"/>
    <tableColumn id="55" xr3:uid="{4E3F5D3B-21E3-484F-8241-7240314B2BEA}" name="Other.If more than one person was responsible for firewood collection, circle all those who shared the responsibility" dataDxfId="425"/>
    <tableColumn id="56" xr3:uid="{23630F3D-05D4-4BBC-AA0B-D8BCEFB55190}" name="How does the work load for feeding a bio digester compare to your baseline situation where you would need to either collect fire wood, and/or collect the manure from the stable for composting" dataDxfId="424"/>
    <tableColumn id="57" xr3:uid="{79E9F5C1-29C1-468E-8ADA-4315F9665563}" name="For whatever reason given above , why do you think this is so?" dataDxfId="423"/>
    <tableColumn id="58" xr3:uid="{FDA032FE-9B2E-41C2-9CE5-BB1E91C5315B}" name="How often did you collect firewood before you got the biodigester?" dataDxfId="422"/>
    <tableColumn id="59" xr3:uid="{A31D9F4E-1600-4B25-A46C-3AF6F652FBB3}" name="Number of times used to collect firewood." dataDxfId="421"/>
    <tableColumn id="60" xr3:uid="{54EE283F-84E0-426B-B382-8DF3BFCED9B2}" name="How much time were you spending on fetching firewood before you got the biodigester (per collection event)?(in Minutes)" dataDxfId="420"/>
    <tableColumn id="61" xr3:uid="{AC4E9F44-F373-4914-B7FB-D60630C07531}" name="Apart from biogas, do you CURRENTLY use any other fuel for cooking food for human consumption" dataDxfId="419"/>
    <tableColumn id="62" xr3:uid="{E708E240-577F-4E6D-8EA3-675FEB23D24C}" name="Which fuel do you mostly use for cooking food in addition to biogas? (Pick only one main fuel)" dataDxfId="418"/>
    <tableColumn id="63" xr3:uid="{C7E94107-B957-4E1C-B2B2-F1FE00EC36A1}" name="Other Fuel used other than Biogas for cooking currently" dataDxfId="417"/>
    <tableColumn id="64" xr3:uid="{579F51E6-F5F3-42B0-8111-E78D1C713AC1}" name="How often do you feed the biodigester" dataDxfId="416"/>
    <tableColumn id="65" xr3:uid="{CC238804-F982-4A24-AB69-79B985CDAD8D}" name="Number of times used to feed biodigester" dataDxfId="415"/>
    <tableColumn id="66" xr3:uid="{F50C3182-858E-407B-BA19-299890B7C97B}" name="How much time do you take to feed the biodigester during each feeding?(Minute(s)/feeding event" dataDxfId="414"/>
    <tableColumn id="67" xr3:uid="{FAF161D8-58A5-4721-A4FB-E4E104DB9223}" name="How much feed is fed into the Biodigester per feeding event? Interviewer shall pick one metric that is relevant to the household" dataDxfId="413"/>
    <tableColumn id="68" xr3:uid="{6541014B-D075-4015-9C99-4B8DACE70035}" name="If other Specify" dataDxfId="412"/>
    <tableColumn id="69" xr3:uid="{8F7B4221-7E80-4A31-AE33-AAAAF550C1A6}" name="Number of metric Selected from previous question" dataDxfId="411"/>
    <tableColumn id="230" xr3:uid="{0DF311A8-2E15-4D6D-ABAD-A595A2A365F1}" name="Calculation: Conversion of metric to Kg manure feeding (Columns: BP, BQ, BR)" dataDxfId="410">
      <calculatedColumnFormula array="1">_xlfn.IFS(BS2="Foreword vehicle",BU2*0,BS2="Human wastes",BU2*0,BS2="Jerrycans",BU2*$BV$228,BS2="Number of Basins",BU2*$BV$229,BS2="Number of Buckets",BU2*$CA$226,BS2="Number of Kgs",BU2*$CA$227,BS2="Number of spades",BU2*$CA$228,BS2="Number of wheelbarrows",BU2*$CA$229,BT2="Foreword vehicle",BU2*0,BT2="Human wastes",BU2*0,BT2="Jerrycans",BU2*$BV$228)</calculatedColumnFormula>
    </tableColumn>
    <tableColumn id="220" xr3:uid="{E29F71D5-3EF4-4918-BDBA-7BE6C3ACF03D}" name="Calculation: Total Kg manure feeding (Basing on number of times and Calculation: Conversion of metric to Kg)(Columns: BN, BS)" dataDxfId="409">
      <calculatedColumnFormula>Table14[[#This Row],[Calculation: Conversion of metric to Kg manure feeding (Columns: BP, BQ, BR)]]*Table14[[#This Row],[Number of times used to feed biodigester]]</calculatedColumnFormula>
    </tableColumn>
    <tableColumn id="221" xr3:uid="{1B6B3207-E4A9-41BC-A85B-856FF13E6569}" name="Calculation: Total Kg manure feeding/Day" dataDxfId="408">
      <calculatedColumnFormula array="1">_xlfn.IFS(BP2="Number of times per day (1 to 3)",BW2/$BX$226,BP2="Number of times per week (1 to 6)",BW2/$BX$227,BP2="Number of times per Month (1 to 3)",BW2/$BX$228,BW2="","")</calculatedColumnFormula>
    </tableColumn>
    <tableColumn id="70" xr3:uid="{C5966329-A472-4029-B606-FE34153F0B0B}" name="Who in the home feeds the digester at least 80% of the times it is fed, (Select one)" dataDxfId="407"/>
    <tableColumn id="71" xr3:uid="{C5D82CF5-9B47-4DB9-AF7C-22E37A633604}" name="Other person who feeds the biodigester at least 80% of the times" dataDxfId="406"/>
    <tableColumn id="72" xr3:uid="{F207D633-FF1F-4D09-B324-1AE2096CD59E}" name="Did you receive a loan for purchasing the Biodigester?" dataDxfId="405"/>
    <tableColumn id="73" xr3:uid="{D58CF6D2-A7ED-4180-B6DD-9245A04B2A98}" name="From whom did you receive the loan for purchasing the biogas digester? (circle one, or several)" dataDxfId="404"/>
    <tableColumn id="74" xr3:uid="{478A39F2-E58E-4D1F-BE9F-2A3B4BD7DA48}" name="Other source of loan" dataDxfId="403"/>
    <tableColumn id="75" xr3:uid="{8EC5EB97-629B-48C6-9801-E3576C32D3FF}" name="If you received a loan,how long is the loan tenure/period" dataDxfId="402"/>
    <tableColumn id="76" xr3:uid="{1DBA5066-7760-44AD-ABCE-AF2577C192C9}" name="Would you recommend biogas to other people?" dataDxfId="401"/>
    <tableColumn id="77" xr3:uid="{F59DB736-6FCE-4D8A-9632-E813703A814D}" name="Why would you recommend biogas to other people?" dataDxfId="400"/>
    <tableColumn id="78" xr3:uid="{767FFA93-2EB9-4CCA-932F-414A5F6529DC}" name="Why would you not recommend biogas to other people?" dataDxfId="399"/>
    <tableColumn id="79" xr3:uid="{BEBDA1B6-4042-4DEA-94BA-234940D943BE}" name="Which of the following animals do you own (pick all that apply)" dataDxfId="398"/>
    <tableColumn id="80" xr3:uid="{335B4F83-EED8-4042-AFDB-40FD4CD4CF9D}" name="Average number of dairy cattle in this MP(13th June 2022 to 31st March 2023))" dataDxfId="397"/>
    <tableColumn id="81" xr3:uid="{F21A1FE6-2EFA-4C3C-A3E9-77D18F2D8EE3}" name="Average number of other (non-lactating) cattle in this MP(13th June 2022 to 31st March 2023)" dataDxfId="396"/>
    <tableColumn id="82" xr3:uid="{36223211-2BEF-4ABE-894C-94DDECF8D411}" name="Average number of Breeding swine in this MP(13th June 2022 to 31st March 2023)" dataDxfId="395"/>
    <tableColumn id="254" xr3:uid="{05DD9207-908F-41E0-B13B-EED646E9BE75}" name="Average number of Sheep in this MP(13th June 2022 to 31st March 2023)" dataDxfId="394"/>
    <tableColumn id="83" xr3:uid="{620520AB-E2AA-44CB-A9EC-F93A940D83C0}" name="Average number of Goats in this MP(13th June 2022 to 31st March 2023)" dataDxfId="393"/>
    <tableColumn id="84" xr3:uid="{C89A7E5A-E9A7-49A4-B8BE-8997BF4E7498}" name="Average number of poultry in this MP(13th June 2022 to 31st March 2023)" dataDxfId="392"/>
    <tableColumn id="85" xr3:uid="{9DE0D5B3-AC6F-40CA-BA26-5D1ACD3EC952}" name="Average number of Market swine (fattening pigs) in this MP(13th June 2022 to 31st March 2023)" dataDxfId="391"/>
    <tableColumn id="86" xr3:uid="{EFA7F184-1DDB-498E-8473-FD767A5C00BB}" name="Length of production round (days) of Market swine (fattening pigs)(13th June 2022 to 31st March 2023)" dataDxfId="390"/>
    <tableColumn id="87" xr3:uid="{BC9F68E0-E40E-48C2-9957-359E28912C0D}" name="Number of production rounds per year of Market swine (fattening pigs)(13th June 2022 to 31st March 2023)" dataDxfId="389"/>
    <tableColumn id="88" xr3:uid="{1B164B2B-8F7C-4DA7-8050-A842862BBA09}" name="Number of pigs per production round of Market swine (fattening pigs)(13th June 2022 to 31st March 2023)" dataDxfId="388"/>
    <tableColumn id="222" xr3:uid="{17C5E678-1DEE-4B7F-908D-EE3F92468D46}" name="average number of swine" dataDxfId="387">
      <calculatedColumnFormula>CP2/365*CQ2*CR2</calculatedColumnFormula>
    </tableColumn>
    <tableColumn id="89" xr3:uid="{5AF80BEA-AC95-4BC5-9A3C-17D17FF8E77C}" name="Dairy cattle manure Fed into the bio digester? (%)" dataDxfId="386"/>
    <tableColumn id="90" xr3:uid="{E23C3650-24B7-4B1C-89C3-70CB70B5CF78}" name="Dairy Cattle manure Not Fed into the bio digester? (%)" dataDxfId="385"/>
    <tableColumn id="91" xr3:uid="{38BDF368-9C2F-4157-8159-A2967910B570}" name="Reason if 100% of manure is not fed for Dairy Cows" dataDxfId="384"/>
    <tableColumn id="92" xr3:uid="{1CAE780A-78D9-4B0D-AE8C-73B427DB8FF7}" name="Other (non-lactating) cattle manure Fed into the bio digester? (%)" dataDxfId="383"/>
    <tableColumn id="93" xr3:uid="{D47FC8DE-D694-478D-85B7-3587430A773C}" name="Other (non-lactating) cattle manure Not Fed into the bio digester? (%)" dataDxfId="382"/>
    <tableColumn id="94" xr3:uid="{E81B4F10-ABEF-4A1A-8D2D-8224664317B7}" name="Other (non-lactating) cattle reason if 100% of manure is not fed" dataDxfId="381"/>
    <tableColumn id="95" xr3:uid="{AE1EE2C8-8815-4A65-B7A1-1477DF759497}" name="Market swine (Pigs) (for market) manure Fed into the bio digester? (%)" dataDxfId="380"/>
    <tableColumn id="96" xr3:uid="{D682B44C-E7BB-4BD7-BC95-A5BB0FFF1F96}" name="Market swine (Pigs) (for market) manure Not Fed into the bio digester? (%)" dataDxfId="379"/>
    <tableColumn id="97" xr3:uid="{45013778-B30B-43BF-9931-D16A1939B6D7}" name="Market swine (Pigs) (for market) Reason if 100% of manure is not fed" dataDxfId="378"/>
    <tableColumn id="98" xr3:uid="{DCF832F7-E02A-4BAB-9EAA-D6077EBD7F77}" name="Breeding swine (Sows and boars) (for breeding) manure Fed into the bio digester? (%)" dataDxfId="377"/>
    <tableColumn id="99" xr3:uid="{6CBDD8B0-4BE8-48F6-AED4-502B8D2D9FD0}" name="Breeding swine (Sows &amp; boars) (for breeding) manure Not Fed into the bio digester? (%)" dataDxfId="376"/>
    <tableColumn id="100" xr3:uid="{34CC2C8A-6B2A-485B-8051-A59AEAACE37F}" name="Breeding swine(Sows and boars) (for breeding) Reason if 100% of manure is not fed" dataDxfId="375"/>
    <tableColumn id="101" xr3:uid="{FEFF665C-6BBB-4403-AA19-43FBA4478E68}" name="Poultry manure Fed into the bio digester? (%)" dataDxfId="374"/>
    <tableColumn id="102" xr3:uid="{EA41323A-1D76-4873-B846-FAC6F9DC775A}" name="Poultry manure Not Fed into the bio digester? (%)" dataDxfId="373"/>
    <tableColumn id="103" xr3:uid="{516D65B0-8475-45BB-8BE5-F6B984D112AB}" name="Poultry Reason if 100% of manure is not fed" dataDxfId="372"/>
    <tableColumn id="104" xr3:uid="{E1F8EE69-B3DB-4204-BE13-23D363A7C032}" name="Sheep manure Fed into the bio digester? (%)" dataDxfId="371"/>
    <tableColumn id="105" xr3:uid="{A10DCB57-AFC5-4D85-A6CA-5724695D1AC2}" name="Sheep manure Not Fed into the bio digester? (%)" dataDxfId="370"/>
    <tableColumn id="106" xr3:uid="{9455572A-95B3-4FC4-9312-B6A1A0166F52}" name="Sheep Reason if 100% of manure is not fed" dataDxfId="369"/>
    <tableColumn id="107" xr3:uid="{7FEA51BA-11B4-4781-A4A2-BCA4BA091090}" name="Goats manure Fed into the bio digester? (%)" dataDxfId="368"/>
    <tableColumn id="108" xr3:uid="{EA3595FC-976C-45BC-B78F-C0B03AD4D871}" name="Goats manure Not Fed into the bio digester? (%)" dataDxfId="367"/>
    <tableColumn id="109" xr3:uid="{26B872E7-B2D5-4C6F-B611-51D9C6AEAA7E}" name="Goats Reason if 100% of manure is not fed" dataDxfId="366"/>
    <tableColumn id="110" xr3:uid="{3D32451C-EF1C-43D7-A38F-065C5A7A8871}" name="How many hours per day on average do you cook food on biogas for human consumption in your home generally" dataDxfId="365"/>
    <tableColumn id="111" xr3:uid="{9D3318ED-BEC0-4D43-8D85-2BA191650916}" name="Were you informed of the cooking hours your size of biodigester would give before construction?" dataDxfId="364"/>
    <tableColumn id="112" xr3:uid="{EF9E259B-D667-4557-8ADE-1EFACC19E8A1}" name="Since purchasing the biodigester, how has your expenditure on fuel for cooking changed? It has: (circle one)" dataDxfId="363"/>
    <tableColumn id="113" xr3:uid="{6D8529F9-4EAD-4C2A-AE1D-86F2D828AD2C}" name="If your expenditure has increased, what is the reason for the increase?" dataDxfId="362"/>
    <tableColumn id="114" xr3:uid="{3011C21E-08B8-41F4-BC35-6672ECA89CA3}" name="Compared to before having a biodigester, how much do you now save on fuel for cooking and boiling water per month(Local currency/day)." dataDxfId="361"/>
    <tableColumn id="115" xr3:uid="{82C6F155-04FB-4DF9-AA12-676CB86DCECB}" name="Amount saved on fuel for cooking and boiling water per month(Local currency/day) Compared to before having a biodigester" dataDxfId="360"/>
    <tableColumn id="116" xr3:uid="{DABEB582-CC76-4F63-9D97-BCC70AC8ECFE}" name="How much did you spend on digester maintenance during this monitoring period(13/06/2022 to 31/03/2023)?(Local currency/year)" dataDxfId="359"/>
    <tableColumn id="117" xr3:uid="{106FB6B7-B022-41DA-972B-B4BC1FA9DCD2}" name="Amount spent on digester maintenance during this monitoring period (13/06/2022 to 31/03/2023)?(Local currency/year)" dataDxfId="358"/>
    <tableColumn id="118" xr3:uid="{F1A5E8F1-82A9-4D3F-910F-B5B6DED4A868}" name="What do you do with the slurry from your biogas plant and what percentage is involved? (select all that apply. The percentages should all total up to 100%)" dataDxfId="357"/>
    <tableColumn id="119" xr3:uid="{8DCCFD73-A100-4163-8105-A016E8B92044}" name="% Use directly for various purposes" dataDxfId="356"/>
    <tableColumn id="120" xr3:uid="{16A55D3A-6458-4936-8A7F-8868CB4A67FB}" name="If you used it directly, what do you do with it? (Select all options that apply)" dataDxfId="355"/>
    <tableColumn id="121" xr3:uid="{0DD00F2E-9A5F-422E-A727-CF17B7644DCA}" name="% Fertilizer" dataDxfId="354"/>
    <tableColumn id="122" xr3:uid="{DC72C331-A3A4-494F-8B55-EB6A1C4F42D6}" name="% bioslurry used as Insecticide/Pesticide" dataDxfId="353"/>
    <tableColumn id="123" xr3:uid="{B22020D6-C159-4B36-BA45-0E2ECF7FA9B7}" name="% of Bioslurry used as animal feed" dataDxfId="352"/>
    <tableColumn id="124" xr3:uid="{D8722649-FC9D-4A98-A519-AB2B99822CDA}" name="% of Bioslurry sold" dataDxfId="351"/>
    <tableColumn id="125" xr3:uid="{D0D7EF15-2499-4DFA-9C79-AC244B215FCA}" name="% used other way(if used directly)" dataDxfId="350"/>
    <tableColumn id="243" xr3:uid="{5EA79B90-C73A-4348-B082-E187595ED2A5}" name="total % to fertlizer" dataDxfId="349"/>
    <tableColumn id="244" xr3:uid="{9496F5E4-5ECE-4A8D-B93A-A62CDB72933F}" name="% bioslurry used as Insecticide/Pesticide2" dataDxfId="348"/>
    <tableColumn id="245" xr3:uid="{8B8B941E-1D76-4B9C-A49F-13C35C1DFFCE}" name="% of Bioslurry used as animal feed3" dataDxfId="347"/>
    <tableColumn id="246" xr3:uid="{0E991BDE-5398-4C9D-A0C1-CC4953DAB396}" name="% of Bioslurry sold4" dataDxfId="346"/>
    <tableColumn id="247" xr3:uid="{26E04363-E959-437C-ADE0-405E7C83C10C}" name="% used other way(if used directly)5" dataDxfId="345"/>
    <tableColumn id="126" xr3:uid="{C065EFFC-4679-4909-A844-D5B90C141D7A}" name="% Store it first" dataDxfId="344"/>
    <tableColumn id="127" xr3:uid="{F4905A48-2AA3-4FFA-9C43-C233EF45CEAC}" name="If Bioslurry is stored, how do you store it and what percentage do you store? (Select all that apply) The percentages must total up to 100%)" dataDxfId="343"/>
    <tableColumn id="128" xr3:uid="{760B3F5F-9BC0-402F-8247-ADB43ED1C86B}" name="% Uncovered lagoon greater than 1 meter" dataDxfId="342"/>
    <tableColumn id="129" xr3:uid="{1EEF6F9E-68C0-47C0-BB49-A7E29E8CDF58}" name="Uncovered lagoon (black watery mass) &lt;1 meter" dataDxfId="341"/>
    <tableColumn id="130" xr3:uid="{142B10D2-1919-44C1-9427-8F4B6B07BD19}" name="% Liquid slurry (brown porridge type)" dataDxfId="340"/>
    <tableColumn id="226" xr3:uid="{DDE1F402-26F7-4E7F-9F5E-E8BE9F0DDDA9}" name="fraction anaerobic" dataDxfId="339"/>
    <tableColumn id="131" xr3:uid="{FDA07DCC-7245-4852-BD89-B023B1DE5BC8}" name="% Solid storage" dataDxfId="338"/>
    <tableColumn id="132" xr3:uid="{5E40B653-88C7-455B-93D6-B8984AC6C13D}" name="% Sun drying" dataDxfId="337"/>
    <tableColumn id="133" xr3:uid="{8D3AF5BE-0D2D-47DF-91CA-3EA8F382DCFF}" name="% Composting with a roof" dataDxfId="336"/>
    <tableColumn id="134" xr3:uid="{7809DE4F-6CCB-4680-969D-050F2222E108}" name="% Composting without a roof" dataDxfId="335"/>
    <tableColumn id="231" xr3:uid="{D17C79A9-8C58-4949-8679-9F7D3543F27E}" name="fraction aerobic" dataDxfId="334"/>
    <tableColumn id="135" xr3:uid="{9C25D962-3BB2-4915-9518-F638FB05599F}" name="How long do you store bio-slurry in that storage system before using it?(days)" dataDxfId="333"/>
    <tableColumn id="249" xr3:uid="{E1A29F1E-7187-470C-B4C5-2C199FA9A04D}" name="total % to fertlizer2" dataDxfId="332"/>
    <tableColumn id="250" xr3:uid="{7C40F5DD-502D-48DD-B516-C398FF710DE1}" name="% bioslurry used as Insecticide/Pesticide23" dataDxfId="331"/>
    <tableColumn id="251" xr3:uid="{534BC1BF-8CDD-4173-87E5-8C8640C9FC47}" name="% of Bioslurry used as animal feed34" dataDxfId="330"/>
    <tableColumn id="252" xr3:uid="{86606994-3B37-4570-98F8-68AEA590B292}" name="% of Bioslurry sold45" dataDxfId="329"/>
    <tableColumn id="253" xr3:uid="{26708942-4855-43EC-B047-69C8F2A9E968}" name="% used other way(if used directly)56" dataDxfId="328"/>
    <tableColumn id="136" xr3:uid="{F7A78B94-0FD4-4800-859F-F5A1D084F0A0}" name="% I donâ€™t use it / discarded" dataDxfId="327"/>
    <tableColumn id="137" xr3:uid="{181BAB89-E724-42F8-A07C-0105CBB9B061}" name="% Other use of bioslurry(What do you do with the slurry from your biodigester )" dataDxfId="326"/>
    <tableColumn id="138" xr3:uid="{049960C3-0889-4498-92BE-C62E57F68DB9}" name="% Other (specify)(If you use bioslurry directly)" dataDxfId="325"/>
    <tableColumn id="224" xr3:uid="{391B6589-85F9-4424-B246-CDF2170A8FD6}" name="Total" dataDxfId="324"/>
    <tableColumn id="139" xr3:uid="{E89F374B-8FCB-4DC6-93C1-875BBF01E2D8}" name="After storage,what do you do with it?" dataDxfId="323"/>
    <tableColumn id="140" xr3:uid="{A9532D98-BACF-4B00-8ED7-4B5E3BB4A07A}" name="% used as fertilizer after storage" dataDxfId="322"/>
    <tableColumn id="141" xr3:uid="{21745929-7201-46AB-89FC-D5CD45EDB44C}" name="% used as as an insecticide/pesticide after storage" dataDxfId="321"/>
    <tableColumn id="142" xr3:uid="{4DF70C1A-3CE9-49D9-82CB-CDE4BDA5569A}" name="% used as animal feed after storage" dataDxfId="320"/>
    <tableColumn id="143" xr3:uid="{77C63BA7-276C-40A9-8F45-8D10D601AFE1}" name="% Bioslurry sold after storage" dataDxfId="319"/>
    <tableColumn id="144" xr3:uid="{73E92B4E-81A6-4F92-A86A-6ECF0ED47228}" name="% used in other way after storage" dataDxfId="318"/>
    <tableColumn id="145" xr3:uid="{C4F40624-38BA-47DE-ABAD-50828EC00028}" name="How much land do you own?(If respondent is not hesitating to answer write No of hectare/if hesitant to answer write no answer)" dataDxfId="317"/>
    <tableColumn id="146" xr3:uid="{1988E6E8-3728-4AC5-BB86-2F7F1EAA4BFC}" name="Do you use bio-slurry as fertilizer on your land" dataDxfId="316"/>
    <tableColumn id="147" xr3:uid="{5775D3E3-A8AD-4425-A841-0A9BF429450E}" name="If yes, on what proportion of the land do you use bio-slurry(% of all land in use)" dataDxfId="315"/>
    <tableColumn id="228" xr3:uid="{B86572E0-E84F-4B11-9C79-4D3E2EB3EB84}" name="land with fertilizer " dataDxfId="314">
      <calculatedColumnFormula>IF(OR(Table14[[#This Row],[How much land do you own?(If respondent is not hesitating to answer write No of hectare/if hesitant to answer write no answer)]]="NA","DNA"),"",Table14[[#This Row],[How much land do you own?(If respondent is not hesitating to answer write No of hectare/if hesitant to answer write no answer)]]*Table14[[#This Row],[If yes, on what proportion of the land do you use bio-slurry(% of all land in use)]])</calculatedColumnFormula>
    </tableColumn>
    <tableColumn id="148" xr3:uid="{825E3E1E-A482-48B6-88B5-06FC79E898CB}" name="If you use Bio-slurry for fertiliser what type of crop(s) do you mainly apply it to?" dataDxfId="313"/>
    <tableColumn id="149" xr3:uid="{62EC1092-02AA-4A20-AC81-B3DB4238A7B3}" name="If you use bioslurry as fertilizer, how do you feel the yields of your main crops have changed since you started applying slurry?" dataDxfId="312"/>
    <tableColumn id="150" xr3:uid="{AAFA4F25-613F-4C50-9118-EA1473EAAB54}" name="If you use Bio-slurry for fertiliser, how long have you applied it (months)." dataDxfId="311"/>
    <tableColumn id="151" xr3:uid="{399AAADB-8FEB-45B3-8FB6-3166E5785499}" name="Were you using any other type of fertilizer before bio-slurry?" dataDxfId="310"/>
    <tableColumn id="152" xr3:uid="{5C20C07A-F5C6-47C8-9219-5F7E2520B91D}" name="If yes, what kind of fertilizer were you using before bio-slurry? (Tick all that apply)" dataDxfId="309"/>
    <tableColumn id="153" xr3:uid="{10C8055C-A48C-44B9-817F-9FB5F9B964F5}" name="If yes,other kind of fertilizer were you using before bio-slurry?" dataDxfId="308"/>
    <tableColumn id="154" xr3:uid="{4DA00C05-E942-48EE-A9EE-B9C0972BCED9}" name="Apart from Bioslurry do you currently use any other fertiliser?" dataDxfId="307"/>
    <tableColumn id="155" xr3:uid="{3D0F76DB-8718-42AA-85FE-69AC219B9B07}" name="(Currently)If Yes, what kind of fertilizer do you use in addition to bioslurry?" dataDxfId="306"/>
    <tableColumn id="156" xr3:uid="{4A9BA368-268B-4D13-9538-079AE0A7FD63}" name="Currently.Other type of fertilizer you are using" dataDxfId="305"/>
    <tableColumn id="157" xr3:uid="{4D585005-4F69-463D-802E-CB7E4D6B7357}" name="If yes, what is the reason for using other fertilizer?" dataDxfId="304"/>
    <tableColumn id="158" xr3:uid="{FCDB5698-4A8E-4EFD-A0DD-312066EB97DA}" name="If yes, what is the other reason for using the other fertilizer?" dataDxfId="303"/>
    <tableColumn id="159" xr3:uid="{4B37D8E5-1950-46CA-9174-7C87E4A1E17A}" name="Since purchasing the biodigester, how has your expenditure on chemical fertiliser changed? It has: (pick one)" dataDxfId="302"/>
    <tableColumn id="160" xr3:uid="{8EC39CD1-65E5-439C-B2B2-7165DAD7BE91}" name="How much did you save on average per year on chemical fertilizers in monetary value? (=after-before scenarios)Local currency/year" dataDxfId="301"/>
    <tableColumn id="161" xr3:uid="{B4A3A776-92FA-476E-8DC1-86AB7852BE19}" name="Amount saved on average per year on chemical fertilizers in monetary value? (=after-before scenarios)Local currency/year" dataDxfId="300"/>
    <tableColumn id="162" xr3:uid="{B24F3A78-E291-4146-909C-A176808E61F5}" name="Reason for increase in chemical fertilizer expenditure" dataDxfId="299"/>
    <tableColumn id="163" xr3:uid="{24888E76-3914-4231-8F10-755EE2B825B0}" name="Before using biogas, did you experience any eye problem or respiratory illness? (Circle one)" dataDxfId="298"/>
    <tableColumn id="164" xr3:uid="{ECC86272-E0AE-4FA2-9568-98E232191BFC}" name="As a result of getting a biogas digester, how do you feel your incidence of eye problems ,headaches and respiratory illness has changed?" dataDxfId="297"/>
    <tableColumn id="165" xr3:uid="{59E460D6-7BEB-441B-8450-4FC553BDBC27}" name="If it has increased or not changed what is the reason?" dataDxfId="296"/>
    <tableColumn id="166" xr3:uid="{A58FB5EE-514E-4F53-AFF9-828BBD2550EE}" name="Do you observe an improvement in household air quality since using biogas (in technical terms, less PM 2.5 and CO emissions)" dataDxfId="295"/>
    <tableColumn id="167" xr3:uid="{B03EDC6A-2F9D-4BE1-91E5-90882AC5DA5B}" name="Did you receive training on using bio-slurry?" dataDxfId="294"/>
    <tableColumn id="168" xr3:uid="{6E15513D-6E78-43B5-9673-BA6EE0EC2640}" name="If Yes, do you feel that this training has enabled you to improve your agricultural productivity?" dataDxfId="293"/>
    <tableColumn id="169" xr3:uid="{855E84F8-8188-45BD-A34F-9F4C6F0DBCB2}" name="If yes,who trained you?(Name and company/entity of trainer/I don't remember)" dataDxfId="292"/>
    <tableColumn id="170" xr3:uid="{B4AF14A1-0412-4A40-979B-825AEFFB9A12}" name="Has your time availability changed from other activities compared to the situation before you had a biodigester? Asked to the female member of household" dataDxfId="291"/>
    <tableColumn id="171" xr3:uid="{211DE047-21DE-4B57-BC75-D3AA1C3453CA}" name="How much time did you save on collecting wood or buying fuels, starting and tendering the fire, cleaning the pots from soot?(Hours/day on cooking)" dataDxfId="290"/>
    <tableColumn id="172" xr3:uid="{75C7F746-5067-4946-9CA2-A99A77848545}" name="If the time saved for other activities is longer, what activities do you now have more time for that you did not prior to having the biogas digester? (Asked to the Female member of household)" dataDxfId="289"/>
    <tableColumn id="173" xr3:uid="{150F00A8-3FF0-4C17-B2B9-8B5021D27352}" name="Specific Productive time use(Female)" dataDxfId="288"/>
    <tableColumn id="174" xr3:uid="{F6889616-702F-4AED-84B1-9CB48DEBE64E}" name="Specific Social activities(Female)" dataDxfId="287"/>
    <tableColumn id="175" xr3:uid="{C47086E5-B7AB-4E1E-8E9E-22F481DB6F58}" name="Specific Family activities(Female)" dataDxfId="286"/>
    <tableColumn id="176" xr3:uid="{B3BB353F-4EF1-4675-8FD7-B818521E0C3B}" name="Specific Education activities(Female)" dataDxfId="285"/>
    <tableColumn id="177" xr3:uid="{F5C0F340-0987-4370-81BF-E4B57DD332EB}" name="Specific Leisure activities(Female)" dataDxfId="284"/>
    <tableColumn id="178" xr3:uid="{5C983330-7CB7-4892-A9D0-3284667F4613}" name="Specific other leisure activities(Female)" dataDxfId="283"/>
    <tableColumn id="179" xr3:uid="{287C6423-6722-4FDB-836F-FDD31EE6BF6C}" name="Other.If the time saved for other activities is longer, what activities do you now have more time for that you did not prior to having the biogas digester?" dataDxfId="282"/>
    <tableColumn id="180" xr3:uid="{0CE203A4-0C43-4EED-81CC-0DAB42A5FCDB}" name="If time is not saved at all, please explain why (asked to the Female member of household)" dataDxfId="281"/>
    <tableColumn id="181" xr3:uid="{CC0EC45B-1857-4A3F-A228-4D4D01E6021A}" name="other.If time is not saved at all, please explain why (asked to the Female member of household)" dataDxfId="280"/>
    <tableColumn id="182" xr3:uid="{AF206766-6C6B-4FB4-80EC-ED6D361A7DFE}" name="Has your time availability changed for other activities compared to the situation before you had a biodigester? (Asked to the male member of household)" dataDxfId="279"/>
    <tableColumn id="183" xr3:uid="{DDA1BF71-852B-4703-ABD7-F4E2A565A930}" name="If the time saved for other activities is longer, what activities do you now have more time for that you did not prior to having the biogas digester? (Asked to the Male member of household)" dataDxfId="278"/>
    <tableColumn id="184" xr3:uid="{9C6F4012-A1EC-4E37-9660-D24F75323982}" name="Specific Productive time use (Male)" dataDxfId="277"/>
    <tableColumn id="185" xr3:uid="{7D212E25-F499-4E17-AE5E-42A7D58BECB2}" name="Specific Social activities (Male)" dataDxfId="276"/>
    <tableColumn id="186" xr3:uid="{7C53D9E2-7B2B-455D-82F3-C7D997D4BFBD}" name="Specific Family activities(Male)" dataDxfId="275"/>
    <tableColumn id="187" xr3:uid="{014D2BC5-D1D9-458C-B551-D5EA4B58517E}" name="Specific Education activities (Male)" dataDxfId="274"/>
    <tableColumn id="188" xr3:uid="{B59F11BB-F3C7-432C-80C0-10E118ADFBCC}" name="Specific Leisure activities (Male)" dataDxfId="273"/>
    <tableColumn id="189" xr3:uid="{C2127E4B-AF3C-45D9-BB9E-AF114AA65AF6}" name="Specific other leisure activities (Male)" dataDxfId="272"/>
    <tableColumn id="190" xr3:uid="{37B625AC-14C7-4999-8920-6CB602E2EE20}" name="Other.If the time saved for other activities is longer, what activities do you now have more time for that you did not prior to having the biogas digester?2" dataDxfId="271"/>
    <tableColumn id="191" xr3:uid="{A61995BF-02AB-401F-A56B-F09CA5488F9C}" name="If time is not saved at all, please explain why (asked to the Male member of household)" dataDxfId="270"/>
    <tableColumn id="192" xr3:uid="{E1EFB352-B8B9-4DC0-BE33-36F7DDDB7921}" name="other.If time is not saved at all, please explain why (asked to the Male member of household)" dataDxfId="269"/>
    <tableColumn id="193" xr3:uid="{5448480E-96FD-4705-B1C5-9219303E3688}" name="How did you learn/know about biodigesters?" dataDxfId="268"/>
    <tableColumn id="194" xr3:uid="{F612ADB3-2D32-4D5B-9FFD-9BB713DF4C75}" name="Other way that you learnt about Biodigesters" dataDxfId="267"/>
    <tableColumn id="195" xr3:uid="{F7EAF048-CCC3-4A5F-B937-CFE0B5362A56}" name="How far away is the source of water that is used in your biodigester? (in metres)" dataDxfId="266"/>
    <tableColumn id="196" xr3:uid="{C5FA9174-3920-4FCF-AF01-2271407D228B}" name="Since the digester was installed,have you received a household form or ownership certificate? (Interviewer can ask to see the householdform or certificate to verify it's existence)" dataDxfId="265"/>
    <tableColumn id="197" xr3:uid="{3C3E47DA-5089-451B-B33E-0266033DF757}" name="After receiving a biodigester what did you do with your old stove?" dataDxfId="264"/>
    <tableColumn id="198" xr3:uid="{1F21DB6D-CA1C-48E7-9607-EAF8B0363DAE}" name="In case gave it away: to who did you give the stove aways" dataDxfId="263"/>
    <tableColumn id="199" xr3:uid="{739BFC32-E870-47F0-A871-41025DBF3163}" name="Is the person who received your stove,using more/less/same quantity of firewood,charcoal or other fuel,than before because of your stove?" dataDxfId="262"/>
    <tableColumn id="200" xr3:uid="{F2571C5A-B77B-4F3E-9E58-7F0045DD0EF5}" name="Change of Charcoal usage Kg/day" dataDxfId="261"/>
    <tableColumn id="201" xr3:uid="{6674B86F-16A8-4F59-8F64-D922841C9EA5}" name="Change of firewood usage Kg/day" dataDxfId="260"/>
    <tableColumn id="202" xr3:uid="{BAD0C88E-3813-492F-A3CA-13F9C6528188}" name="Change of other fuel usage Kg/day" dataDxfId="259"/>
    <tableColumn id="203" xr3:uid="{0E63CDBD-3DB7-4C9A-AB0F-D4845BE2ED85}" name="Amount difference of Charcoal usage local currency/day" dataDxfId="258"/>
    <tableColumn id="204" xr3:uid="{65BBC8A0-14C5-4AB9-B295-0852F3844CE4}" name="Amount difference of firewood usage local currency/day" dataDxfId="257"/>
    <tableColumn id="205" xr3:uid="{696C83E1-1915-4EBA-B57A-3BEECE1F07B4}" name="Amount difference of other fuel usage local currency/day" dataDxfId="256"/>
    <tableColumn id="206" xr3:uid="{38583265-AB2B-47A7-BFAF-A914A7448BCF}" name="Before you received biogas, did you use any fuel for space heating?" dataDxfId="255"/>
    <tableColumn id="207" xr3:uid="{5F64BDAA-9261-4876-9968-7C4B526ECF6D}" name="If Yes, which fuel did you mainly use for space heating?" dataDxfId="254"/>
    <tableColumn id="208" xr3:uid="{B481FC88-455E-40B2-9B0B-C222DFEF0C6A}" name="Specify the other fuel you used mainly for space heating?" dataDxfId="253"/>
    <tableColumn id="209" xr3:uid="{C063B3D3-9B0F-40B6-A30C-128CA7BDA8E9}" name="Because of having biogas how has the quantity of fuel used for space heating changed?" dataDxfId="252"/>
    <tableColumn id="210" xr3:uid="{EB04F5D2-6BF7-4A81-BE49-701946702BC5}" name="&quot;If it has changed, how much of the fuel do you now use per year for space heating(kg increased/day or kg decreased/day)&quot;" dataDxfId="251"/>
    <tableColumn id="211" xr3:uid="{0E7A482F-A3E3-4350-866B-97C46351A93D}" name="Any other additional comments or remarks from the household?" dataDxfId="250"/>
    <tableColumn id="212" xr3:uid="{FBCA7D0E-E866-4136-93D6-2E9E5034E9B6}" name="Does the household require intervention of the program" dataDxfId="249"/>
    <tableColumn id="213" xr3:uid="{C4D72B68-8715-4436-B66D-F00C851F1344}" name="What kind of intervention does the household require from the program?" dataDxfId="248"/>
    <tableColumn id="214" xr3:uid="{3DD81D28-1D3A-432F-B719-79101113CFB9}" name="Notes and Observation" dataDxfId="247"/>
    <tableColumn id="215" xr3:uid="{08CE17F8-EF1B-4160-B665-B8CB97B97198}" name="Take a picture of the Digester" dataDxfId="246"/>
    <tableColumn id="216" xr3:uid="{63997FCC-47A0-4C2E-A8AC-8C32D61FCE5E}" name="Take a picture of bioslurry stored or in use" dataDxfId="245"/>
    <tableColumn id="217" xr3:uid="{1A3AB376-0168-48AA-9EE7-82E6B4420CB9}" name="Take a picture of the biogas stove" dataDxfId="244"/>
    <tableColumn id="218" xr3:uid="{C4491F35-7BE9-4E38-AE63-6C44A44125AE}" name="Take a picture of the old stove (baseline stove)(this is the primary stove used before biogas)" dataDxfId="243"/>
    <tableColumn id="219" xr3:uid="{6CEE5090-C319-4A26-9DB2-F3609D834E80}" name="Survey End Time" dataDxfId="242"/>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E6246A8-EB5F-48B0-A7B8-D5155FD6C08E}" name="Table15" displayName="Table15" ref="B12:HT285" totalsRowShown="0" headerRowDxfId="241" dataDxfId="239" headerRowBorderDxfId="240" tableBorderDxfId="238" totalsRowBorderDxfId="237">
  <autoFilter ref="B12:HT285" xr:uid="{DE6246A8-EB5F-48B0-A7B8-D5155FD6C08E}"/>
  <sortState xmlns:xlrd2="http://schemas.microsoft.com/office/spreadsheetml/2017/richdata2" ref="B13:HT285">
    <sortCondition descending="1" ref="EZ12:EZ285"/>
  </sortState>
  <tableColumns count="227">
    <tableColumn id="1" xr3:uid="{63D48827-680F-41D2-AF83-5A758D236BBD}" name="Serial Number" dataDxfId="236"/>
    <tableColumn id="232" xr3:uid="{5097CC0D-1A79-440C-81E7-49D0C0E92429}" name="Plant Code" dataDxfId="235"/>
    <tableColumn id="2" xr3:uid="{411A1624-3885-45B8-80E9-5E2590390580}" name="Survey Date &amp; Start Time" dataDxfId="234"/>
    <tableColumn id="3" xr3:uid="{FACBBA9D-9C2F-453B-8D2F-ABD97236E239}" name="Name of Enumerator" dataDxfId="233"/>
    <tableColumn id="4" xr3:uid="{BFD791A9-B63E-4476-9D99-75DF013672C6}" name="Are you willing to be interviwed?" dataDxfId="232"/>
    <tableColumn id="5" xr3:uid="{872E5B83-9D7A-4C91-9815-BED2EB0FEABD}" name="GPS Coordinates latitude and longitude" dataDxfId="231"/>
    <tableColumn id="6" xr3:uid="{58D60B74-FD1F-4F54-AE57-E20EE00B8886}" name="GPS Coordinates altitude" dataDxfId="230"/>
    <tableColumn id="7" xr3:uid="{A9AAEB6C-A596-4BCE-B189-60E4C45B068B}" name="GPS Coordinates accuracy" dataDxfId="229"/>
    <tableColumn id="8" xr3:uid="{02FC4946-4186-4A20-8AE7-C103ADCD25C6}" name="Position in household" dataDxfId="228"/>
    <tableColumn id="9" xr3:uid="{39E39B22-BB09-4347-AEFE-861AE28AAADF}" name="Other position in the house, describe(ensure that person is using biogas and is acquainted with feeding)" dataDxfId="227"/>
    <tableColumn id="10" xr3:uid="{A2C59D3F-0C3D-4171-B0D1-5E432D485051}" name="Name of Respondent" dataDxfId="226"/>
    <tableColumn id="11" xr3:uid="{F622A64A-4190-43C3-A905-15C79CD9875A}" name="Phone number of respondent" dataDxfId="225"/>
    <tableColumn id="12" xr3:uid="{42B2993A-78D4-432F-AAD1-CAC9258B6ED3}" name="Respondent Gender (record without asking)" dataDxfId="224"/>
    <tableColumn id="13" xr3:uid="{018CA3A8-BFCC-4440-85AA-AEA5051EE4EF}" name="Respondent Age range" dataDxfId="223"/>
    <tableColumn id="14" xr3:uid="{7DB3995D-7277-43D9-A122-C41F81A69315}" name="Exact Age" dataDxfId="222"/>
    <tableColumn id="15" xr3:uid="{71AEFD9D-116A-482C-AA56-F6AEAFD07FA4}" name="Number of people eating daily at your household?" dataDxfId="221"/>
    <tableColumn id="16" xr3:uid="{50EB2C8C-8E4D-4777-8EC6-8CAC0DD9BBEE}" name="Do you have a biodigester?" dataDxfId="220"/>
    <tableColumn id="17" xr3:uid="{F807DA45-C09B-4833-9E26-571E4C937D1F}" name="Plant Code verification" dataDxfId="219"/>
    <tableColumn id="18" xr3:uid="{2C95079F-6DB0-4D72-A754-3F42DD39E5DC}" name="Code on the plant" dataDxfId="218"/>
    <tableColumn id="19" xr3:uid="{E6F1A2F8-A5C1-4EF4-A749-4973607EF19F}" name="Is your biodigester working?" dataDxfId="217"/>
    <tableColumn id="20" xr3:uid="{301C2063-3F57-412F-83FD-26E1C2811052}" name="Did your digester work continuously in the period in 01/04/2023 to 31/March/2024?" dataDxfId="216"/>
    <tableColumn id="21" xr3:uid="{BF1A8D1A-C616-4EF5-B759-0A2C405374FE}" name="If no, how many days did the digester not work continuously in that period?" dataDxfId="215"/>
    <tableColumn id="22" xr3:uid="{B81A88AD-44EC-4261-9864-B1A5863A9D7B}" name="Are you currently using your biodigester for cooking food for human consumption?" dataDxfId="214"/>
    <tableColumn id="23" xr3:uid="{8945131A-7B50-455D-9958-C2F7E90BC72D}" name="Explain Why you are not using your biodigester for cooking food for human consumption." dataDxfId="213"/>
    <tableColumn id="24" xr3:uid="{3F9279F9-6DBF-419E-BA6C-3E89BBA91921}" name="If no,since when has it not been working?(month &amp; year values have to be filled in)" dataDxfId="212"/>
    <tableColumn id="221" xr3:uid="{6478DB01-9DD5-40D4-9E8D-EBAF244BC5A8}" name="Calculation if digester in operation during this MP" dataDxfId="211">
      <calculatedColumnFormula>IF(OR(U13="yes",Z13&gt;'SDG outcome'!$C$39),"yes","no")</calculatedColumnFormula>
    </tableColumn>
    <tableColumn id="222" xr3:uid="{38C590AB-79DF-4223-824E-63B46019649C}" name="functioning plants out of operation in this MP (days)" dataDxfId="210">
      <calculatedColumnFormula>IF(AA13="no","",W13)</calculatedColumnFormula>
    </tableColumn>
    <tableColumn id="223" xr3:uid="{B26A9652-7127-478A-9275-3597B9D09C9C}" name="Out of operation plants in operation" dataDxfId="209">
      <calculatedColumnFormula>IF(AND('SMS p2'!AA13="no",AND(Z13&gt;='SDG outcome'!$B$28,Z13&lt;'SDG outcome'!$C$39)),Z13-'SDG outcome'!$B$28,"")</calculatedColumnFormula>
    </tableColumn>
    <tableColumn id="25" xr3:uid="{7C004A7D-3D8F-490C-9340-99ADA68336D5}" name="Why is the digester not working?" dataDxfId="208"/>
    <tableColumn id="26" xr3:uid="{F9F42E61-9E79-4176-A35A-BD0B38BE91F2}" name="Other reason why digester is not working" dataDxfId="207"/>
    <tableColumn id="27" xr3:uid="{9ED6485C-42A1-42BB-989D-AF8641F39414}" name="If the reason is technical e.g. broken,pipe blockage,gas leakage etc, did you contact any mason/company/BSUL for help?" dataDxfId="206"/>
    <tableColumn id="28" xr3:uid="{B3FDFF9B-807A-4AE5-A00D-C4C7529ED720}" name="If yes,what response did you receive from the source of help you contacted?" dataDxfId="205"/>
    <tableColumn id="29" xr3:uid="{E04F9831-9604-4E0C-BB1E-A0E5AEE0C89A}" name="If no,why didn't you contact Mason/BSUL/Company or anyone else for help?" dataDxfId="204"/>
    <tableColumn id="30" xr3:uid="{52468E54-3430-40AB-9D91-70E8B999750A}" name="Are you still interested in having the biodigester fixed?" dataDxfId="203"/>
    <tableColumn id="31" xr3:uid="{B629173A-D011-45FF-A21A-01A41A3D14E5}" name="If yes,when do you plan to fix your digester?" dataDxfId="202"/>
    <tableColumn id="32" xr3:uid="{2E91A846-9F03-4A08-8B85-DAC9B3DCA925}" name="What are the main uses of biogas? (Circle all that apply)" dataDxfId="201"/>
    <tableColumn id="33" xr3:uid="{567EFE1F-27E6-4673-A789-B16A8FDD9F3A}" name="Domestic use of Biogas" dataDxfId="200"/>
    <tableColumn id="34" xr3:uid="{EF7C1319-4840-4EFE-8B2F-14320E4D5158}" name="Productive use of Biogas" dataDxfId="199"/>
    <tableColumn id="35" xr3:uid="{07D0668F-562E-479C-9E17-D4352FB46C4C}" name="Specify other main uses of Biogas" dataDxfId="198"/>
    <tableColumn id="36" xr3:uid="{FFEBDFB0-DBA9-4540-A268-CA3AF634190D}" name="Stove Brand: (Observed from the Kitchen stove)" dataDxfId="197"/>
    <tableColumn id="37" xr3:uid="{0C01F10F-F0D6-4B2D-A987-29CB6263E4DD}" name="Other Stove Brand" dataDxfId="196"/>
    <tableColumn id="38" xr3:uid="{CF12A6BD-4E08-41DD-8044-5440AA8576A5}" name="Number of Burners on the stove: (Observed from the Kitchen stove)" dataDxfId="195"/>
    <tableColumn id="39" xr3:uid="{2AAE1795-A140-4A73-A023-A8622681CB22}" name="Other Number of Burners on the stove: (Observed from the Kitchen stove)" dataDxfId="194"/>
    <tableColumn id="40" xr3:uid="{AE03373C-280C-48FB-B0B3-E6AA383BE9AC}" name="What the Status of the biogas kitchen stove?" dataDxfId="193"/>
    <tableColumn id="41" xr3:uid="{892E8A25-EBC5-464C-BE62-B687A2F396A6}" name="Other Status of the biogas kitchen stove" dataDxfId="192"/>
    <tableColumn id="42" xr3:uid="{F0D04ACC-E57A-4FED-B7BD-5EC56DE980E7}" name="Is a pressure gauge installed" dataDxfId="191"/>
    <tableColumn id="43" xr3:uid="{15135858-117C-48B2-9B99-100C1116405E}" name="If No, why is the pressure gauge missing" dataDxfId="190"/>
    <tableColumn id="44" xr3:uid="{B983E5AA-61ED-444B-AF05-E4501DF70C60}" name="Other reason why the pressure gauge missing" dataDxfId="189"/>
    <tableColumn id="48" xr3:uid="{357C2402-5C09-4396-9194-FB480C966DCD}" name="In addition to the main source of fuel you used before you installed the digester, did you use any other fuel for cooking?" dataDxfId="188"/>
    <tableColumn id="49" xr3:uid="{1F43218C-AC81-4D90-A080-196E8DD7D240}" name="If yes, which one?(other fuel you used before you installed biogas)" dataDxfId="187"/>
    <tableColumn id="50" xr3:uid="{6E860D93-0CA9-410C-8CF2-F7DA61415F18}" name="(Other fuel)In addition to the main source of fuel you used before you installed the digester, did you use any other fuel for cooking" dataDxfId="186"/>
    <tableColumn id="51" xr3:uid="{B150DE79-8A49-402D-8257-FB3DA75572DA}" name="If you indicated use of fire wood, did you collect or buy firewood?" dataDxfId="185"/>
    <tableColumn id="52" xr3:uid="{93413378-EA12-420A-B87F-FE045905FB1A}" name="If you indicated use of firewood, who was solely responsible for firewood collection? (Pick One)" dataDxfId="184"/>
    <tableColumn id="53" xr3:uid="{F3C7704F-EE20-4316-A020-F01D64FE4A19}" name="Other person who was solely responsible for firewood collection" dataDxfId="183"/>
    <tableColumn id="54" xr3:uid="{8CAE08A3-A6E1-45C5-90BC-0396892F74A5}" name="If more than one person was responsible for firewood collection, circle all those who shared the responsibility" dataDxfId="182"/>
    <tableColumn id="55" xr3:uid="{0D6BD828-0655-4602-A54D-A895A7FA917D}" name="Other.If more than one person was responsible for firewood collection, circle all those who shared the responsibility" dataDxfId="181"/>
    <tableColumn id="56" xr3:uid="{692F0ABE-75CA-4DDD-8648-A88F004A67A6}" name="How does the work load for feeding a bio digester compare to your baseline situation where you would need to either collect fire wood, and/or collect the manure from the stable for composting" dataDxfId="180"/>
    <tableColumn id="57" xr3:uid="{3B576FB5-41C6-42F8-90C0-F43E734AA618}" name="For whatever reason given above , why do you think this is so?" dataDxfId="179"/>
    <tableColumn id="58" xr3:uid="{8E6E1326-9936-40D8-8368-0DF7132AFC2A}" name="How often did you collect firewood before you got the biodigester?" dataDxfId="178"/>
    <tableColumn id="59" xr3:uid="{57B3E10A-1F53-41E5-A051-3E0D955E45DE}" name="Number of times used to collect firewood." dataDxfId="177"/>
    <tableColumn id="60" xr3:uid="{7847B10D-CB45-41C2-BCC0-63040D2D1263}" name="How much time were you spending on fetching firewood before you got the biodigester (per collection event)?(in Minutes)" dataDxfId="176"/>
    <tableColumn id="61" xr3:uid="{268A29E4-ACBF-4032-A41A-C799DA7EA249}" name="Apart from biogas, do you CURRENTLY use any other fuel for cooking food for human consumption" dataDxfId="175"/>
    <tableColumn id="62" xr3:uid="{B25566FA-8A1A-42D6-908E-04A3F5D9DE1B}" name="Which fuel do you mostly use for cooking food in addition to biogas? (Pick only one main fuel)" dataDxfId="174"/>
    <tableColumn id="63" xr3:uid="{7B9EDF72-D004-4ED0-AD61-FBC8CF697D92}" name="Other Fuel used other than Biogas for cooking currently" dataDxfId="173"/>
    <tableColumn id="64" xr3:uid="{D0BDC4AA-FAB0-4DD1-83F4-1D049A92B777}" name="How often do you feed the biodigester" dataDxfId="172"/>
    <tableColumn id="65" xr3:uid="{E10FB2BA-0C81-49BC-800D-E5B667E163E6}" name="Number of times used to feed biodigester" dataDxfId="171"/>
    <tableColumn id="66" xr3:uid="{C3C0ADA7-169A-406E-94AF-0B8454138972}" name="How much time do you take to feed the biodigester during each feeding?(Minute(s)/feeding event" dataDxfId="170"/>
    <tableColumn id="67" xr3:uid="{D5212CA6-F693-4D90-98AF-F758748C7296}" name="How much feed is fed into the Biodigester per feeding event? Interviewer shall pick one metric that is relevant to the household" dataDxfId="169"/>
    <tableColumn id="236" xr3:uid="{2D41436E-5B75-485D-BFC6-6FA35E6EAFC8}" name="Metric Type (Heap or Flat)" dataDxfId="168"/>
    <tableColumn id="68" xr3:uid="{966D75CC-75D9-40CB-8C36-F99652CDB716}" name="If other Specify" dataDxfId="167"/>
    <tableColumn id="69" xr3:uid="{65524813-44B6-4188-9764-50CCE3BD8DC3}" name="Number of metric Selected from previous question" dataDxfId="166"/>
    <tableColumn id="233" xr3:uid="{D21994B3-3039-4E16-941F-38487144BEAE}" name="Calculation: Conversion of metric to Kg manure feeding (Columns: BP, BQ, BR)" dataDxfId="165">
      <calculatedColumnFormula array="1">_xlfn.IFS(BQ13="Foreword vehicle",BT13*0,BQ13="Human wastes",BT13*0,BS13="Jerrycans",BT13*$BT$4,BQ13="Number of Basins",BT13*$BT$5,BQ13="Number of Buckets",BT13*$BT$6,BQ13="Number of Kgs",BT13*$BT$7,BQ13="Number of spades",BT13*$BT$8,BQ13="Number of wheelbarrows",BT13*$BT$9,BS13="Septic Tank",BT13*0)</calculatedColumnFormula>
    </tableColumn>
    <tableColumn id="234" xr3:uid="{0878218E-D877-402B-8816-8409892D62E9}" name="Calculation: Total Kg manure feeding (Basing on number of times and Calculation: Conversion of metric to Kg)(Columns: BN, BS)" dataDxfId="164">
      <calculatedColumnFormula>Table15[[#This Row],[Calculation: Conversion of metric to Kg manure feeding (Columns: BP, BQ, BR)]]*Table15[[#This Row],[Number of times used to feed biodigester]]</calculatedColumnFormula>
    </tableColumn>
    <tableColumn id="235" xr3:uid="{8D1B3F03-0B69-41B3-8404-83A86AA7D217}" name="Calculation: Total Kg manure feeding/Day" dataDxfId="163"/>
    <tableColumn id="70" xr3:uid="{D8FD8F91-8252-4C5C-A26A-317AE5D12C3D}" name="Who in the home feeds the digester at least 80% of the times it is fed, (Select one)" dataDxfId="162"/>
    <tableColumn id="71" xr3:uid="{68EEB733-CA69-479F-BECC-B46FF41ECF69}" name="Other person who feeds the biodigester at least 80% of the times" dataDxfId="161"/>
    <tableColumn id="72" xr3:uid="{8A15AFD8-A3DC-4FE2-8019-7FE47F70180B}" name="Did you receive a loan for purchasing the Biodigester?" dataDxfId="160"/>
    <tableColumn id="73" xr3:uid="{A5BB5EFC-B3CE-4531-BFF4-57CF927562CD}" name="From whom did you receive the loan for purchasing the biogas digester? (circle one, or several)" dataDxfId="159"/>
    <tableColumn id="74" xr3:uid="{3D919467-AE03-4D00-88DD-4AEFA70DA016}" name="Other source of loan" dataDxfId="158"/>
    <tableColumn id="75" xr3:uid="{6D4058DF-6069-47CE-ADF4-29F63E8126B3}" name="If you received a loan,how long is the loan tenure/period" dataDxfId="157"/>
    <tableColumn id="76" xr3:uid="{C7DEB289-B932-40EE-8131-9A59C758ADDF}" name="Would you recommend biogas to other people?" dataDxfId="156"/>
    <tableColumn id="77" xr3:uid="{900E72EE-39C2-4FD4-846C-A46713ECD5EB}" name="Why would you recommend biogas to other people?" dataDxfId="155"/>
    <tableColumn id="78" xr3:uid="{7B44E87D-E212-4C7C-B053-B511AACEC0A8}" name="Why would you not recommend biogas to other people?" dataDxfId="154"/>
    <tableColumn id="79" xr3:uid="{E13BE4D2-4FB4-4ED9-A5CD-249CACCDA182}" name="Which of the following animals do you own (pick all that apply)" dataDxfId="153"/>
    <tableColumn id="80" xr3:uid="{77E66FFE-857A-44BF-A9E2-C6EA86D09E21}" name="Average number of dairy cattle in this MP (01/04/2023 to 31/March/2024)" dataDxfId="152"/>
    <tableColumn id="81" xr3:uid="{6DCCAB7A-016F-4911-B67A-22210E123CB4}" name="Average number of other (non-lactating) cattle in this MP0 (1/04/2023 to 31/March/2024)" dataDxfId="151"/>
    <tableColumn id="82" xr3:uid="{A7AE6E9F-169E-47F7-B62E-DD49EFBD3E56}" name="Average number of Breeding swine in this MP (1/04/2023 to 31/March/2024)" dataDxfId="150"/>
    <tableColumn id="83" xr3:uid="{945DFD9C-32B7-490A-94D5-7C827172A01E}" name="Average number of Sheep in this MP (1/04/2023 to 31/March/2024)" dataDxfId="149"/>
    <tableColumn id="84" xr3:uid="{AABA625A-9C04-49B1-8FF4-B75D320D985D}" name="Average number of Goats in this MP (1/04/2023 to 31/March/2024)" dataDxfId="148"/>
    <tableColumn id="85" xr3:uid="{A9D2BBF5-38D2-489A-BEBD-2F8BD9A49090}" name="Average number of poultry in this MP (1/04/2023 to 31/March/2024)" dataDxfId="147"/>
    <tableColumn id="86" xr3:uid="{677B33B7-649A-4452-8125-73E6810352B8}" name="Average number of Market swine (fattening pigs) in this MP (1/04/2023 to 31/March/2024)" dataDxfId="146"/>
    <tableColumn id="87" xr3:uid="{B178FA62-7C71-46D9-869E-FC0B59A6C911}" name="Length of production round (days) of Market swine (fattening pigs) (1/04/2023 to 31/March/2024)" dataDxfId="145"/>
    <tableColumn id="88" xr3:uid="{C6C9D650-EAB4-4994-B40E-321841F5D2D0}" name="Number of production rounds per year of Market swine (fattening pigs) (1/04/2023 to 31/March/2024)" dataDxfId="144"/>
    <tableColumn id="89" xr3:uid="{5F337728-46C2-44C7-A22C-2FE4BBF02410}" name="Number of pigs per production round of Market swine (fattening pigs) (1/04/2023 to 31/March/2024)" dataDxfId="143"/>
    <tableColumn id="225" xr3:uid="{B6CBC934-8E0D-4322-B408-B97902FB6E6B}" name="average number of swine" dataDxfId="142">
      <calculatedColumnFormula>IF(Table15[[#This Row],[Is your biodigester working?]]="yes",CO13/'SDG outcome'!$C$9*CP13*CQ13,"")</calculatedColumnFormula>
    </tableColumn>
    <tableColumn id="90" xr3:uid="{B6D3BA70-4FC1-4E4E-8BAB-F7CB10C2E269}" name="Dairy cattle manure Fed into the bio digester? (%)" dataDxfId="141"/>
    <tableColumn id="91" xr3:uid="{4D6744C8-BF90-463D-A6FC-2EE48BDBD852}" name="Dairy Cattle manure Not Fed into the bio digester? (%)" dataDxfId="140"/>
    <tableColumn id="92" xr3:uid="{0F092F8C-1991-428C-ABFF-8261032CADD8}" name="Reason if 100% of manure is not fed for Dairy Cows" dataDxfId="139"/>
    <tableColumn id="93" xr3:uid="{ACB93CAA-9B33-4AE1-98BE-A8BC236EE360}" name="Other (non-lactating) cattle manure Fed into the bio digester? (%)" dataDxfId="138"/>
    <tableColumn id="94" xr3:uid="{05CB2735-6668-4ED2-ADF5-7A6EE22216DA}" name="Other (non-lactating) cattle manure Not Fed into the bio digester? (%)" dataDxfId="137"/>
    <tableColumn id="95" xr3:uid="{B56F439A-FBC2-4F9B-BA67-EDB649E37DF5}" name="Other (non-lactating) cattle reason if 100% of manure is not fed" dataDxfId="136"/>
    <tableColumn id="96" xr3:uid="{E487F249-2C6A-4782-9D45-AE603E9FF5EA}" name="Market swine (Pigs) (for market) manure Fed into the bio digester? (%)" dataDxfId="135"/>
    <tableColumn id="97" xr3:uid="{45886A85-8E27-4B7E-B4BE-30383A73052E}" name="Market swine (Pigs) (for market) manure Not Fed into the bio digester? (%)" dataDxfId="134"/>
    <tableColumn id="98" xr3:uid="{3F5DCB90-39DB-496F-BA24-179CA32CBBC9}" name="Market swine (Pigs) (for market) Reason if 100% of manure is not fed" dataDxfId="133"/>
    <tableColumn id="99" xr3:uid="{1801BAED-13EC-498A-91E6-FAD4F2098B6C}" name="Breeding swine (Sows and boars) (for breeding) manure Fed into the bio digester? (%)" dataDxfId="132"/>
    <tableColumn id="100" xr3:uid="{1DEC662E-0EBD-4577-967D-3EED17280EBB}" name="Breeding swine (Sows &amp; boars) (for breeding) manure Not Fed into the bio digester? (%)" dataDxfId="131"/>
    <tableColumn id="101" xr3:uid="{9506971C-5242-408E-99D1-43D009207836}" name="Breeding swine(Sows and boars) (for breeding) Reason if 100% of manure is not fed" dataDxfId="130"/>
    <tableColumn id="102" xr3:uid="{D8A10BB4-1589-4CB4-932B-8880712D1CF1}" name="Poultry manure Fed into the bio digester? (%)" dataDxfId="129"/>
    <tableColumn id="103" xr3:uid="{5B57F94D-7FDD-4F8F-8F0C-C5D47102ACBB}" name="Poultry manure Not Fed into the bio digester? (%)" dataDxfId="128"/>
    <tableColumn id="104" xr3:uid="{25B6075F-EE00-4D99-ADF9-BD1222AE442D}" name="Poultry Reason if 100% of manure is not fed" dataDxfId="127"/>
    <tableColumn id="105" xr3:uid="{7640C03D-D445-4E9E-B3A8-D0A0AA4CDC10}" name="Sheep manure Fed into the bio digester? (%)" dataDxfId="126"/>
    <tableColumn id="106" xr3:uid="{5702A33A-3383-4CAB-AFE6-D98A75B59414}" name="Sheep manure Not Fed into the bio digester? (%)" dataDxfId="125"/>
    <tableColumn id="107" xr3:uid="{A175F5B3-6956-4D42-82AF-F40E17854013}" name="Sheep Reason if 100% of manure is not fed" dataDxfId="124"/>
    <tableColumn id="108" xr3:uid="{E5B79F8B-1C81-4444-B60D-E7CBC855374C}" name="Goats manure Fed into the bio digester? (%)" dataDxfId="123"/>
    <tableColumn id="109" xr3:uid="{034F45D1-4127-4D06-A60E-110805E36954}" name="Goats manure Not Fed into the bio digester? (%)" dataDxfId="122"/>
    <tableColumn id="110" xr3:uid="{9595704F-2E30-432E-99D5-326C7B1AEA67}" name="Goats Reason if 100% of manure is not fed" dataDxfId="121"/>
    <tableColumn id="111" xr3:uid="{5B022B6A-FE6A-4AAA-B9B5-12BFE8A5157F}" name="How many hours per day on average do you cook food on biogas for human consumption in your home generally" dataDxfId="120"/>
    <tableColumn id="112" xr3:uid="{B72F56B9-1018-45A0-8810-0682FF31EC1A}" name="Were you informed of the cooking hours your size of biodigester would give before construction?" dataDxfId="119"/>
    <tableColumn id="113" xr3:uid="{259BC9FC-4E3D-4EE3-866A-879950496BD8}" name="Since purchasing the biodigester, how has your expenditure on fuel for cooking changed? It has: (circle one)" dataDxfId="118"/>
    <tableColumn id="114" xr3:uid="{FB28D709-2554-499A-AC62-85FB61DA2279}" name="If your expenditure has increased, what is the reason for the increase?" dataDxfId="117"/>
    <tableColumn id="115" xr3:uid="{4424FD46-67BF-43A0-8185-3B46DA5AC472}" name="Compared to before having a biodigester, how much do you now save on fuel for cooking and boiling water per month(Local currency/day)." dataDxfId="116"/>
    <tableColumn id="116" xr3:uid="{206F953E-8E2F-4474-A2DD-759C46940947}" name="Amount saved on fuel for cooking and boiling water per month(Local currency/day) Compared to before having a biodigester" dataDxfId="115"/>
    <tableColumn id="117" xr3:uid="{FFEEB298-90B4-4F2E-900B-D0048738DCC9}" name="How much did you spend on digester maintenance during this monitoring perio (1/04/2023 to 31/March/2024)?(Local currency/year)" dataDxfId="114"/>
    <tableColumn id="118" xr3:uid="{89C76288-49FC-4D93-9561-0FFCC7ADDF1D}" name="Amount spent on digester maintenance during this monitoring period (1/04/2023 to 31/March/2024))?(Local currency/year)" dataDxfId="113"/>
    <tableColumn id="119" xr3:uid="{BFC2413B-5059-41A7-8A20-962DF7D760A2}" name="What do you do with the slurry from your biogas plant and what percentage is involved? (select all that apply. The percentages should all total up to 100%)" dataDxfId="112"/>
    <tableColumn id="120" xr3:uid="{848FC572-3C5F-4127-B751-44E32B64E064}" name="% Use directly for various purposes" dataDxfId="111"/>
    <tableColumn id="121" xr3:uid="{AEF4B77E-26D9-40C3-A9BC-42B4B455CBEA}" name="If you used it directly, what do you do with it? (Select all options that apply)" dataDxfId="110"/>
    <tableColumn id="122" xr3:uid="{ADA1D206-AD84-4AA8-AA03-AE2F6F52DA19}" name="% Fertilizer" dataDxfId="109"/>
    <tableColumn id="123" xr3:uid="{47808B2E-ED2E-4911-885B-4B483C7A26BD}" name="% bioslurry used as Insecticide/Pesticide" dataDxfId="108"/>
    <tableColumn id="124" xr3:uid="{B3089776-B5DB-4D51-A29A-11275B06C0B2}" name="% of Bioslurry used as animal feed" dataDxfId="107"/>
    <tableColumn id="125" xr3:uid="{7708EE99-1F46-4F88-A269-0032A95A5505}" name="% of Bioslurry sold" dataDxfId="106"/>
    <tableColumn id="126" xr3:uid="{7DECF195-4E23-498E-837A-8907F2C573E0}" name="% used other way(if used directly)" dataDxfId="105"/>
    <tableColumn id="127" xr3:uid="{5B22E767-7266-40F2-A4D1-475185413815}" name="% Store it first" dataDxfId="104"/>
    <tableColumn id="128" xr3:uid="{163E2BE7-8CE2-4FE8-B7FC-1DC2BA009C8E}" name="If Bioslurry is stored, how do you store it and what percentage do you store? (Select all that apply) The percentages must total up to 100%)" dataDxfId="103"/>
    <tableColumn id="129" xr3:uid="{8ED22FB4-4A0C-4CB0-8FFB-DC295C0DFEB5}" name="% Uncovered lagoon greater than 1 meter" dataDxfId="102"/>
    <tableColumn id="130" xr3:uid="{7AE98410-8DE1-457E-858F-56BCE1659609}" name="Uncovered lagoon (black watery mass) &lt;1 meter" dataDxfId="101"/>
    <tableColumn id="131" xr3:uid="{DB8AF1BE-2B2B-4985-9F90-D73A7B1C8FAB}" name="% Liquid slurry (brown porridge type)" dataDxfId="100"/>
    <tableColumn id="132" xr3:uid="{8ADE5FA6-2BA7-4CF7-9ADD-D96F38D68A20}" name="% Solid storage" dataDxfId="99"/>
    <tableColumn id="133" xr3:uid="{31BDF697-556B-4F59-99C8-748C8EAD98BA}" name="% Sun drying" dataDxfId="98"/>
    <tableColumn id="134" xr3:uid="{EAC433F3-D5D4-4CC8-9B96-719D1FF40F6E}" name="% Composting with a roof" dataDxfId="97"/>
    <tableColumn id="135" xr3:uid="{D30045E6-4CEC-401A-964D-07FD8AAFA087}" name="% Composting without a roof" dataDxfId="96"/>
    <tableColumn id="136" xr3:uid="{D106C556-9E55-4AFD-8AE1-4F0E680C63B3}" name="How long do you store bio-slurry in that storage system before using it?(days)" dataDxfId="95"/>
    <tableColumn id="137" xr3:uid="{F211C287-40AD-4D78-A90E-6564935707D5}" name="% I donâ€™t use it / discarded" dataDxfId="94"/>
    <tableColumn id="138" xr3:uid="{CE06B69E-08F0-47EB-8AD7-D277B23E64AF}" name="% Other use of bioslurry(What do you do with the slurry from your biodigester )" dataDxfId="93"/>
    <tableColumn id="139" xr3:uid="{D49BF324-C7C9-4D7A-A906-2AAB285CEA28}" name="% Other (specify)(If you use bioslurry directly)" dataDxfId="92"/>
    <tableColumn id="140" xr3:uid="{402C0D31-41FF-4C6D-AB5E-2C0888E5CEED}" name="After storage,what do you do with it?" dataDxfId="91"/>
    <tableColumn id="141" xr3:uid="{501165A1-E927-47FB-BCBD-F053E9BB0357}" name="% used as fertilizer after storage" dataDxfId="90"/>
    <tableColumn id="142" xr3:uid="{71D90043-900E-438D-88B7-92E9331AB537}" name="% used as as an insecticide/pesticide after storage" dataDxfId="89"/>
    <tableColumn id="143" xr3:uid="{A37983A0-9544-42F1-868C-5F37C0743F6E}" name="% used as animal feed after storage" dataDxfId="88"/>
    <tableColumn id="144" xr3:uid="{11779F96-CA2A-4D12-A318-960D1BACE2B5}" name="% Bioslurry sold after storage" dataDxfId="87"/>
    <tableColumn id="145" xr3:uid="{7B2B9A5A-ABD8-4A70-B684-9EF519F548B5}" name="% used in other way after storage" dataDxfId="86"/>
    <tableColumn id="146" xr3:uid="{35124D65-1C0E-4CD9-A701-5A90810BED34}" name="How much land do you own?(If respondent is not hesitating to answer write No of hectare/if hesitant to answer write no answer)" dataDxfId="85"/>
    <tableColumn id="147" xr3:uid="{8C8E6466-52EA-401D-9F85-9CA442F267F2}" name="Do you use bio-slurry as fertilizer on your land" dataDxfId="84"/>
    <tableColumn id="148" xr3:uid="{78AFBEEB-6774-4F4A-8989-FA33F0ACE154}" name="If yes, on what proportion of the land do you use bio-slurry(% of all land in use)" dataDxfId="83"/>
    <tableColumn id="224" xr3:uid="{A8E4F4D9-4AAC-409B-A22F-01F714356657}" name="land with biofertilizer" dataDxfId="82">
      <calculatedColumnFormula>IF(OR(EW13="NA","DNA"),"",EW13*EY13)/100</calculatedColumnFormula>
    </tableColumn>
    <tableColumn id="149" xr3:uid="{4A38C7D2-65A8-4FB8-ABAE-1963C8E9E700}" name="If you use Bio-slurry for fertiliser what type of crop(s) do you mainly apply it to?" dataDxfId="81"/>
    <tableColumn id="150" xr3:uid="{ACDAF63D-35C3-4E14-BF75-D51581C33F49}" name="If you use bioslurry as fertilizer, how do you feel the yields of your main crops have changed since you started applying slurry?" dataDxfId="80"/>
    <tableColumn id="151" xr3:uid="{5B77D84F-43CE-464F-B3E7-393F5715C0B5}" name="If you use Bio-slurry for fertiliser, how long have you applied it (months)." dataDxfId="79"/>
    <tableColumn id="152" xr3:uid="{9DCB544B-3598-4F25-9778-D01A7138F30A}" name="Were you using any other type of fertilizer before bio-slurry?" dataDxfId="78"/>
    <tableColumn id="153" xr3:uid="{40C250EE-2231-4953-ABB8-307853755564}" name="If yes, what kind of fertilizer were you using before bio-slurry? (Tick all that apply)" dataDxfId="77"/>
    <tableColumn id="154" xr3:uid="{D1E3697A-4040-4661-BF99-6BB24CFCF1D4}" name="If yes,other kind of fertilizer were you using before bio-slurry?" dataDxfId="76"/>
    <tableColumn id="155" xr3:uid="{A8ED3253-D639-4C82-BD98-4F1BE6D734EA}" name="Apart from Bioslurry do you currently use any other fertiliser?" dataDxfId="75"/>
    <tableColumn id="156" xr3:uid="{A9200597-1B68-4D27-B392-12D8678E9393}" name="(Currently)If Yes, what kind of fertilizer do you use in addition to bioslurry?" dataDxfId="74"/>
    <tableColumn id="157" xr3:uid="{9F6CEBCB-D4E5-4A3C-9F56-09E3132A245E}" name="Currently.Other type of fertilizer you are using" dataDxfId="73"/>
    <tableColumn id="158" xr3:uid="{FBA3E15A-6D63-404A-829B-665E62CDAF80}" name="If yes, what is the reason for using other fertilizer?" dataDxfId="72"/>
    <tableColumn id="159" xr3:uid="{62FB3C12-F013-403C-8BD5-304107FE477A}" name="If yes, what is the other reason for using the other fertilizer?" dataDxfId="71"/>
    <tableColumn id="160" xr3:uid="{66521AB7-FA2D-4CF3-AA72-52BA9794C17A}" name="Since purchasing the biodigester, how has your expenditure on chemical fertiliser changed? It has: (pick one)" dataDxfId="70"/>
    <tableColumn id="161" xr3:uid="{032FF17A-E2F0-433D-9627-2A30AFC3BBB4}" name="How much did you save on average per year on chemical fertilizers in monetary value? (=after-before scenarios)Local currency/year" dataDxfId="69"/>
    <tableColumn id="162" xr3:uid="{F67EE058-D709-4064-AFA7-8AD3FCE68C27}" name="Amount saved on average per year on chemical fertilizers in monetary value? (=after-before scenarios)Local currency/year" dataDxfId="68"/>
    <tableColumn id="163" xr3:uid="{4B66CFC6-D2B0-4152-A7F2-1E93E95A03FD}" name="Reason for increase in chemical fertilizer expenditure" dataDxfId="67"/>
    <tableColumn id="164" xr3:uid="{50802490-153C-4990-8C6B-FE4481B3C449}" name="Before using biogas, did you experience any eye problem or respiratory illness? (Circle one)" dataDxfId="66"/>
    <tableColumn id="165" xr3:uid="{63ACFA07-21F3-41EB-9F14-6CF1D9209731}" name="As a result of getting a biogas digester, how do you feel your incidence of eye problems ,headaches and respiratory illness has changed?" dataDxfId="65"/>
    <tableColumn id="166" xr3:uid="{7F3E6696-7369-4CFD-8B4D-7E69F3163681}" name="If it has increased or not changed what is the reason?" dataDxfId="64"/>
    <tableColumn id="167" xr3:uid="{FE1911E5-522F-4181-942B-6098D768A55A}" name="Do you observe an improvement in household air quality since using biogas (in technical terms, less PM 2.5 and CO emissions)" dataDxfId="63"/>
    <tableColumn id="168" xr3:uid="{B65F08DA-CAEF-4685-976B-09A2FB577FD6}" name="Did you receive training on using bio-slurry?" dataDxfId="62"/>
    <tableColumn id="169" xr3:uid="{F7F7DD5E-E67A-4A7F-80D1-993D1F3E156E}" name="If Yes, do you feel that this training has enabled you to improve your agricultural productivity?" dataDxfId="61"/>
    <tableColumn id="170" xr3:uid="{EB29FF19-C411-43B9-819A-68BAC06B8F3D}" name="If yes,who trained you?(Name and company/entity of trainer/I don't remember)" dataDxfId="60"/>
    <tableColumn id="171" xr3:uid="{8D8940F4-0B7B-4625-8DA7-5C38B53E4EAF}" name="Has your time availability changed from other activities compared to the situation before you had a biodigester? Asked to the female member of household" dataDxfId="59"/>
    <tableColumn id="172" xr3:uid="{2E7E2D31-AC7A-4935-8BCC-96C7D3129339}" name="How much time did you save on collecting wood or buying fuels, starting and tendering the fire, cleaning the pots from soot?(Hours/day on cooking)" dataDxfId="58"/>
    <tableColumn id="173" xr3:uid="{F0E47BF1-D4FC-4A11-820B-47341EE3B523}" name="If the time saved for other activities is longer, what activities do you now have more time for that you did not prior to having the biogas digester? (Asked to the Female member of household)" dataDxfId="57"/>
    <tableColumn id="174" xr3:uid="{CAE35FF6-CF1F-42FA-A395-226D8ACFD545}" name="Specific Productive time use(Female)" dataDxfId="56"/>
    <tableColumn id="175" xr3:uid="{6B81CF05-DC1E-406E-8166-2EAF35DC59BC}" name="Specific Social activities(Female)" dataDxfId="55"/>
    <tableColumn id="176" xr3:uid="{EBBE406E-180D-4A28-8FF8-256E8B4C066B}" name="Specific Family activities(Female)" dataDxfId="54"/>
    <tableColumn id="177" xr3:uid="{C106CE75-B6CB-4F14-87C0-5E43A63396AB}" name="Specific Education activities(Female)" dataDxfId="53"/>
    <tableColumn id="178" xr3:uid="{5D99EF5B-5168-4BA7-BD43-7FA38AE88F30}" name="Specific Leisure activities(Female)" dataDxfId="52"/>
    <tableColumn id="179" xr3:uid="{F21A4187-9E11-4D9C-A3BC-435F0D602A8D}" name="Specific other leisure activities(Female)" dataDxfId="51"/>
    <tableColumn id="180" xr3:uid="{EC1E789F-92BA-48C1-950A-92DDAB169C80}" name="Other.If the time saved for other activities is longer, what activities do you now have more time for that you did not prior to having the biogas digester?" dataDxfId="50"/>
    <tableColumn id="181" xr3:uid="{7E2B3614-0A3F-4768-BB7A-84EF0F2B15AF}" name="If time is not saved at all, please explain why (asked to the Female member of household)" dataDxfId="49"/>
    <tableColumn id="182" xr3:uid="{6D055DB7-B416-42A2-9E50-99126E671300}" name="other.If time is not saved at all, please explain why (asked to the Female member of household)" dataDxfId="48"/>
    <tableColumn id="183" xr3:uid="{45874D4B-973C-4AC1-8102-DCE5CEF55FA1}" name="Has your time availability changed for other activities compared to the situation before you had a biodigester? (Asked to the male member of household)" dataDxfId="47"/>
    <tableColumn id="184" xr3:uid="{F8C98A20-8897-4D49-BA4F-6AF7E6CC5757}" name="If the time saved for other activities is longer, what activities do you now have more time for that you did not prior to having the biogas digester? (Asked to the Male member of household)" dataDxfId="46"/>
    <tableColumn id="185" xr3:uid="{8CE0FF92-04E6-40F3-B4ED-9D9146D3BF76}" name="Specific Productive time use (Male)" dataDxfId="45"/>
    <tableColumn id="186" xr3:uid="{F681B75B-B25F-4573-A7C4-A5F03CDCC8AF}" name="Specific Social activities (Male)" dataDxfId="44"/>
    <tableColumn id="187" xr3:uid="{CE87E0FB-CDB7-402C-AA4C-239884593356}" name="Specific Family activities(Male)" dataDxfId="43"/>
    <tableColumn id="188" xr3:uid="{61C14099-5377-423C-B78F-B16046809B36}" name="Specific Education activities (Male)" dataDxfId="42"/>
    <tableColumn id="189" xr3:uid="{24387A2B-A96A-4028-A499-85D7D8465D7A}" name="Specific Leisure activities (Male)" dataDxfId="41"/>
    <tableColumn id="190" xr3:uid="{C5307CE4-4DEC-4D02-8FFF-4F05199015FD}" name="Specific other leisure activities (Male)" dataDxfId="40"/>
    <tableColumn id="191" xr3:uid="{FA2F4C25-3B4A-4EA7-BBCE-1C83CA10B375}" name="Other.If the time saved for other activities is longer, what activities do you now have more time for that you did not prior to having the biogas digester?2" dataDxfId="39"/>
    <tableColumn id="192" xr3:uid="{F34D80FB-55B6-437F-AFFF-9606F9C7C5AF}" name="If time is not saved at all, please explain why (asked to the Male member of household)" dataDxfId="38"/>
    <tableColumn id="193" xr3:uid="{0BDDE974-C017-4668-AB87-A2A628F2DE72}" name="other.If time is not saved at all, please explain why (asked to the Male member of household)" dataDxfId="37"/>
    <tableColumn id="194" xr3:uid="{836668F4-1621-4147-A4A9-E5D42B9A3137}" name="How did you learn/know about biodigesters?" dataDxfId="36"/>
    <tableColumn id="195" xr3:uid="{B3288691-8A23-4246-A47B-A96B3B1C0C9D}" name="Other way that you learnt about Biodigesters" dataDxfId="35"/>
    <tableColumn id="196" xr3:uid="{59F0EEFD-1CE0-4AA7-8AFA-FD5FA2BCABD6}" name="How far away is the source of water that is used in your biodigester? (in metres)" dataDxfId="34"/>
    <tableColumn id="197" xr3:uid="{8B4258BF-1B8E-4309-A0FB-1E6D2E28079B}" name="Since the digester was installed,have you received a household form or ownership certificate? (Interviewer can ask to see the householdform or certificate to verify it's existence)" dataDxfId="33"/>
    <tableColumn id="198" xr3:uid="{771FA7D2-A0A4-483C-B609-2E58F1B65E96}" name="After receiving a biodigester what did you do with your old stove?" dataDxfId="32"/>
    <tableColumn id="199" xr3:uid="{9B7B6F87-7F2E-43E7-BD15-88146EB0A45E}" name="In case gave it away: to who did you give the stove aways" dataDxfId="31"/>
    <tableColumn id="200" xr3:uid="{B4EA3615-8705-48FF-99FD-C4963CE1189A}" name="Is the person who received your stove,using more/less/same quantity of firewood,charcoal or other fuel,than before because of your stove?" dataDxfId="30"/>
    <tableColumn id="201" xr3:uid="{3700B937-B94B-443D-97DF-5623725AECE8}" name="Change of Charcoal usage Kg/day" dataDxfId="29"/>
    <tableColumn id="202" xr3:uid="{F84A0110-CD74-4FCF-B2C5-B959A2703A69}" name="Change of firewood usage Kg/day" dataDxfId="28"/>
    <tableColumn id="203" xr3:uid="{8D0F27D0-5DD5-4B0B-8047-E9D508C90C2B}" name="Change of other fuel usage Kg/day" dataDxfId="27"/>
    <tableColumn id="204" xr3:uid="{55097052-F80C-4393-AFB8-B850B6B976D6}" name="Amount difference of Charcoal usage local currency/day" dataDxfId="26"/>
    <tableColumn id="205" xr3:uid="{E915BD0F-2197-4155-A371-545C45688FC8}" name="Amount difference of firewood usage local currency/day" dataDxfId="25"/>
    <tableColumn id="206" xr3:uid="{F2F01BB5-EAD8-4850-B1BE-10A802A38AE9}" name="Amount difference of other fuel usage local currency/day" dataDxfId="24"/>
    <tableColumn id="207" xr3:uid="{9F4F228E-797C-43F6-9A6D-FE5311457BA6}" name="Before you received biogas, did you use any fuel for space heating?" dataDxfId="23"/>
    <tableColumn id="208" xr3:uid="{9D06FBFF-D410-4CB9-BBB1-F60DA2E3F1B3}" name="If Yes, which fuel did you mainly use for space heating?" dataDxfId="22"/>
    <tableColumn id="209" xr3:uid="{8C6B4C61-6153-47E6-92B4-978344DDA572}" name="Specify the other fuel you used mainly for space heating?" dataDxfId="21"/>
    <tableColumn id="210" xr3:uid="{23EDEC63-613D-4C3C-843A-8599C6CD59E3}" name="Because of having biogas how has the quantity of fuel used for space heating changed?" dataDxfId="20"/>
    <tableColumn id="211" xr3:uid="{1CA787B0-0475-4CDD-AB5E-BD87AA588683}" name="&quot;If it has changed, how much of the fuel do you now use per year for space heating(kg increased/day or kg decreased/day)&quot;" dataDxfId="19"/>
    <tableColumn id="212" xr3:uid="{6F880009-5607-409E-AB15-34FA007E4BA7}" name="Any other additional comments or remarks from the household?" dataDxfId="18"/>
    <tableColumn id="213" xr3:uid="{FB90CCD7-5FDB-4353-9D5C-79D68615E188}" name="Does the household require intervention of the program" dataDxfId="17"/>
    <tableColumn id="214" xr3:uid="{CD867459-92C5-462F-9D86-6A0A9EDE7F6C}" name="What kind of intervention does the household require from the program?" dataDxfId="16"/>
    <tableColumn id="215" xr3:uid="{B0CC0B46-DFA9-401D-988E-697F1B73D36C}" name="Notes and Observation" dataDxfId="15"/>
    <tableColumn id="216" xr3:uid="{9A7CDE86-14CA-4247-A2FC-372BDA53BE44}" name="Take a picture of the Digester" dataDxfId="14"/>
    <tableColumn id="217" xr3:uid="{08531BC5-858B-404C-9591-119F29448A3F}" name="Take a picture of bioslurry stored or in use" dataDxfId="13"/>
    <tableColumn id="218" xr3:uid="{36705D03-853B-4E54-B615-D3572DA1C54F}" name="Take a picture of the biogas stove" dataDxfId="12"/>
    <tableColumn id="219" xr3:uid="{0FF8F02C-3F2F-4139-8C05-EC436E12A79F}" name="Take a picture of the old stove (baseline stove)(this is the primary stove used before biogas)" dataDxfId="11"/>
    <tableColumn id="220" xr3:uid="{1010820E-1F23-4C27-B464-8B11BF5BEEEC}" name="Survey End Time" dataDxfId="1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N79" dT="2025-04-26T04:12:43.37" personId="{FC77BD7C-D207-4E2C-ADC9-367F1CACCEC6}" id="{30CADE6B-5522-450F-889F-6FC39173EEF2}">
    <text>Original value 63. Value is removed as it is considered an outlier. This is conservative</text>
  </threadedComment>
</ThreadedComments>
</file>

<file path=xl/threadedComments/threadedComment2.xml><?xml version="1.0" encoding="utf-8"?>
<ThreadedComments xmlns="http://schemas.microsoft.com/office/spreadsheetml/2018/threadedcomments" xmlns:x="http://schemas.openxmlformats.org/spreadsheetml/2006/main">
  <threadedComment ref="EZ13" dT="2025-04-26T04:22:45.08" personId="{FC77BD7C-D207-4E2C-ADC9-367F1CACCEC6}" id="{3BD4E912-5785-465B-BEFA-A6F8E83B81B6}">
    <text>Value not calculated, as it is considered and extreme, and thus excluded, which is conservative</text>
  </threadedComment>
  <threadedComment ref="EZ14" dT="2025-04-26T04:22:56.36" personId="{FC77BD7C-D207-4E2C-ADC9-367F1CACCEC6}" id="{15E021C6-C53D-48CE-9966-90EED5BBFC7B}">
    <text xml:space="preserve">Value not calculated, as it is considered and extreme, and thus excluded, which is conservative
</text>
  </threadedComment>
  <threadedComment ref="EZ15" dT="2025-04-26T04:23:03.43" personId="{FC77BD7C-D207-4E2C-ADC9-367F1CACCEC6}" id="{486603F9-D17C-46CD-8662-17FC998B9710}">
    <text xml:space="preserve">Value not calculated, as it is considered and extreme, and thus excluded, which is conservative
</text>
  </threadedComment>
</ThreadedComment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6" Type="http://schemas.openxmlformats.org/officeDocument/2006/relationships/hyperlink" Target="https://hivos.lightning.force.com/lightning/r/0010J000029p5UzQAI/view" TargetMode="External"/><Relationship Id="rId21" Type="http://schemas.openxmlformats.org/officeDocument/2006/relationships/hyperlink" Target="https://hivos.lightning.force.com/lightning/r/0010J00002ByaFSQAZ/view" TargetMode="External"/><Relationship Id="rId34" Type="http://schemas.openxmlformats.org/officeDocument/2006/relationships/hyperlink" Target="https://hivos.lightning.force.com/lightning/r/0010J00002B20xrQAB/view" TargetMode="External"/><Relationship Id="rId42" Type="http://schemas.openxmlformats.org/officeDocument/2006/relationships/hyperlink" Target="https://hivos.lightning.force.com/lightning/r/0010J00002B2jqDQAR/view" TargetMode="External"/><Relationship Id="rId47" Type="http://schemas.openxmlformats.org/officeDocument/2006/relationships/hyperlink" Target="https://hivos.lightning.force.com/lightning/r/0010J0000234B2SQAU/view" TargetMode="External"/><Relationship Id="rId50" Type="http://schemas.openxmlformats.org/officeDocument/2006/relationships/hyperlink" Target="https://hivos.lightning.force.com/lightning/r/0010J00001mXk5VQAS/view" TargetMode="External"/><Relationship Id="rId55" Type="http://schemas.openxmlformats.org/officeDocument/2006/relationships/hyperlink" Target="https://hivos.lightning.force.com/lightning/r/0010J00002DiTB4QAN/view" TargetMode="External"/><Relationship Id="rId63" Type="http://schemas.openxmlformats.org/officeDocument/2006/relationships/hyperlink" Target="https://hivos.lightning.force.com/lightning/r/0016M00002Jgr7SQAR/view" TargetMode="External"/><Relationship Id="rId7" Type="http://schemas.openxmlformats.org/officeDocument/2006/relationships/hyperlink" Target="https://hivos.lightning.force.com/lightning/r/0010J00002B2jr6QAB/view" TargetMode="External"/><Relationship Id="rId2" Type="http://schemas.openxmlformats.org/officeDocument/2006/relationships/hyperlink" Target="https://hivos.lightning.force.com/lightning/r/0010J00001lQ4LGQA0/view" TargetMode="External"/><Relationship Id="rId16" Type="http://schemas.openxmlformats.org/officeDocument/2006/relationships/hyperlink" Target="https://hivos.lightning.force.com/lightning/r/0010J00002BnH1nQAF/view" TargetMode="External"/><Relationship Id="rId29" Type="http://schemas.openxmlformats.org/officeDocument/2006/relationships/hyperlink" Target="https://hivos.lightning.force.com/lightning/r/0010J000029MBKTQA4/view" TargetMode="External"/><Relationship Id="rId11" Type="http://schemas.openxmlformats.org/officeDocument/2006/relationships/hyperlink" Target="https://hivos.lightning.force.com/lightning/r/0010J00002DW9W7QAL/view" TargetMode="External"/><Relationship Id="rId24" Type="http://schemas.openxmlformats.org/officeDocument/2006/relationships/hyperlink" Target="https://hivos.lightning.force.com/lightning/r/0010J000028u7hLQAQ/view" TargetMode="External"/><Relationship Id="rId32" Type="http://schemas.openxmlformats.org/officeDocument/2006/relationships/hyperlink" Target="https://hivos.lightning.force.com/lightning/r/0010J00002A8QuFQAV/view" TargetMode="External"/><Relationship Id="rId37" Type="http://schemas.openxmlformats.org/officeDocument/2006/relationships/hyperlink" Target="https://hivos.lightning.force.com/lightning/r/0016M00002N9E4VQAV/view" TargetMode="External"/><Relationship Id="rId40" Type="http://schemas.openxmlformats.org/officeDocument/2006/relationships/hyperlink" Target="https://hivos.lightning.force.com/lightning/r/0010J00002ABMsaQAH/view" TargetMode="External"/><Relationship Id="rId45" Type="http://schemas.openxmlformats.org/officeDocument/2006/relationships/hyperlink" Target="https://hivos.lightning.force.com/lightning/r/0010J00001kYIyCQAW/view" TargetMode="External"/><Relationship Id="rId53" Type="http://schemas.openxmlformats.org/officeDocument/2006/relationships/hyperlink" Target="https://hivos.lightning.force.com/lightning/r/0010J00002AB1hUQAT/view" TargetMode="External"/><Relationship Id="rId58" Type="http://schemas.openxmlformats.org/officeDocument/2006/relationships/hyperlink" Target="https://hivos.lightning.force.com/lightning/r/0010J000029LNC1QAO/view" TargetMode="External"/><Relationship Id="rId5" Type="http://schemas.openxmlformats.org/officeDocument/2006/relationships/hyperlink" Target="https://hivos.lightning.force.com/lightning/r/0010J000029KM1tQAG/view" TargetMode="External"/><Relationship Id="rId61" Type="http://schemas.openxmlformats.org/officeDocument/2006/relationships/hyperlink" Target="https://hivos.lightning.force.com/lightning/r/0010J000028eSmiQAE/view" TargetMode="External"/><Relationship Id="rId19" Type="http://schemas.openxmlformats.org/officeDocument/2006/relationships/hyperlink" Target="https://hivos.lightning.force.com/lightning/r/0010J00002CKAVcQAP/view" TargetMode="External"/><Relationship Id="rId14" Type="http://schemas.openxmlformats.org/officeDocument/2006/relationships/hyperlink" Target="https://hivos.lightning.force.com/lightning/r/0010J00002BMp5WQAT/view" TargetMode="External"/><Relationship Id="rId22" Type="http://schemas.openxmlformats.org/officeDocument/2006/relationships/hyperlink" Target="https://hivos.lightning.force.com/lightning/r/0010J000023R0HEQA0/view" TargetMode="External"/><Relationship Id="rId27" Type="http://schemas.openxmlformats.org/officeDocument/2006/relationships/hyperlink" Target="https://hivos.lightning.force.com/lightning/r/0010J000025acdGQAQ/view" TargetMode="External"/><Relationship Id="rId30" Type="http://schemas.openxmlformats.org/officeDocument/2006/relationships/hyperlink" Target="https://hivos.lightning.force.com/lightning/r/0010J000029NacqQAC/view" TargetMode="External"/><Relationship Id="rId35" Type="http://schemas.openxmlformats.org/officeDocument/2006/relationships/hyperlink" Target="https://hivos.lightning.force.com/lightning/r/0010J000028eqAHQAY/view" TargetMode="External"/><Relationship Id="rId43" Type="http://schemas.openxmlformats.org/officeDocument/2006/relationships/hyperlink" Target="https://hivos.lightning.force.com/lightning/r/0010J00002Cm2auQAB/view" TargetMode="External"/><Relationship Id="rId48" Type="http://schemas.openxmlformats.org/officeDocument/2006/relationships/hyperlink" Target="https://hivos.lightning.force.com/lightning/r/0010J00002C0MHZQA3/view" TargetMode="External"/><Relationship Id="rId56" Type="http://schemas.openxmlformats.org/officeDocument/2006/relationships/hyperlink" Target="https://hivos.lightning.force.com/lightning/r/0010J00002AejTtQAJ/view" TargetMode="External"/><Relationship Id="rId64" Type="http://schemas.openxmlformats.org/officeDocument/2006/relationships/vmlDrawing" Target="../drawings/vmlDrawing1.vml"/><Relationship Id="rId8" Type="http://schemas.openxmlformats.org/officeDocument/2006/relationships/hyperlink" Target="https://hivos.lightning.force.com/lightning/r/0010J000029LrGhQAK/view" TargetMode="External"/><Relationship Id="rId51" Type="http://schemas.openxmlformats.org/officeDocument/2006/relationships/hyperlink" Target="https://hivos.lightning.force.com/lightning/r/0010J00001lQ36qQAC/view" TargetMode="External"/><Relationship Id="rId3" Type="http://schemas.openxmlformats.org/officeDocument/2006/relationships/hyperlink" Target="https://hivos.lightning.force.com/lightning/r/0010J00001muNPYQA2/view" TargetMode="External"/><Relationship Id="rId12" Type="http://schemas.openxmlformats.org/officeDocument/2006/relationships/hyperlink" Target="https://hivos.lightning.force.com/lightning/r/0010J00002BnlvCQAR/view" TargetMode="External"/><Relationship Id="rId17" Type="http://schemas.openxmlformats.org/officeDocument/2006/relationships/hyperlink" Target="https://hivos.lightning.force.com/lightning/r/0010J000029M7h3QAC/view" TargetMode="External"/><Relationship Id="rId25" Type="http://schemas.openxmlformats.org/officeDocument/2006/relationships/hyperlink" Target="https://hivos.lightning.force.com/lightning/r/0010J00002B181nQAB/view" TargetMode="External"/><Relationship Id="rId33" Type="http://schemas.openxmlformats.org/officeDocument/2006/relationships/hyperlink" Target="https://hivos.lightning.force.com/lightning/r/0010J00002B1RU4QAN/view" TargetMode="External"/><Relationship Id="rId38" Type="http://schemas.openxmlformats.org/officeDocument/2006/relationships/hyperlink" Target="https://hivos.lightning.force.com/lightning/r/0010J00001nmy5YQAQ/view" TargetMode="External"/><Relationship Id="rId46" Type="http://schemas.openxmlformats.org/officeDocument/2006/relationships/hyperlink" Target="https://hivos.lightning.force.com/lightning/r/0010J000028f93pQAA/view" TargetMode="External"/><Relationship Id="rId59" Type="http://schemas.openxmlformats.org/officeDocument/2006/relationships/hyperlink" Target="https://hivos.lightning.force.com/lightning/r/0010J00002BmxTvQAJ/view" TargetMode="External"/><Relationship Id="rId20" Type="http://schemas.openxmlformats.org/officeDocument/2006/relationships/hyperlink" Target="https://hivos.lightning.force.com/lightning/r/0010J00002CmHCnQAN/view" TargetMode="External"/><Relationship Id="rId41" Type="http://schemas.openxmlformats.org/officeDocument/2006/relationships/hyperlink" Target="https://hivos.lightning.force.com/lightning/r/0010J00002Bnls4QAB/view" TargetMode="External"/><Relationship Id="rId54" Type="http://schemas.openxmlformats.org/officeDocument/2006/relationships/hyperlink" Target="https://hivos.lightning.force.com/lightning/r/0010J00002AB1hoQAD/view" TargetMode="External"/><Relationship Id="rId62" Type="http://schemas.openxmlformats.org/officeDocument/2006/relationships/hyperlink" Target="https://hivos.lightning.force.com/lightning/r/0016M00002NALNrQAP/view" TargetMode="External"/><Relationship Id="rId1" Type="http://schemas.openxmlformats.org/officeDocument/2006/relationships/hyperlink" Target="https://hivos.lightning.force.com/lightning/r/0016M00002NAL8DQAX/view" TargetMode="External"/><Relationship Id="rId6" Type="http://schemas.openxmlformats.org/officeDocument/2006/relationships/hyperlink" Target="https://hivos.lightning.force.com/lightning/r/0010J000028gbSNQAY/view" TargetMode="External"/><Relationship Id="rId15" Type="http://schemas.openxmlformats.org/officeDocument/2006/relationships/hyperlink" Target="https://hivos.lightning.force.com/lightning/r/0010J000029MY8sQAG/view" TargetMode="External"/><Relationship Id="rId23" Type="http://schemas.openxmlformats.org/officeDocument/2006/relationships/hyperlink" Target="https://hivos.lightning.force.com/lightning/r/0010J00002516FlQAI/view" TargetMode="External"/><Relationship Id="rId28" Type="http://schemas.openxmlformats.org/officeDocument/2006/relationships/hyperlink" Target="https://hivos.lightning.force.com/lightning/r/0010J000024zHNwQAM/view" TargetMode="External"/><Relationship Id="rId36" Type="http://schemas.openxmlformats.org/officeDocument/2006/relationships/hyperlink" Target="https://hivos.lightning.force.com/lightning/r/0016M00002NAwfQQAT/view" TargetMode="External"/><Relationship Id="rId49" Type="http://schemas.openxmlformats.org/officeDocument/2006/relationships/hyperlink" Target="https://hivos.lightning.force.com/lightning/r/0010J00002C1NveQAF/view" TargetMode="External"/><Relationship Id="rId57" Type="http://schemas.openxmlformats.org/officeDocument/2006/relationships/hyperlink" Target="https://hivos.lightning.force.com/lightning/r/0010J000028tx0SQAQ/view" TargetMode="External"/><Relationship Id="rId10" Type="http://schemas.openxmlformats.org/officeDocument/2006/relationships/hyperlink" Target="https://hivos.lightning.force.com/lightning/r/0010J000029p5a3QAA/view" TargetMode="External"/><Relationship Id="rId31" Type="http://schemas.openxmlformats.org/officeDocument/2006/relationships/hyperlink" Target="https://hivos.lightning.force.com/lightning/r/0010J00002DW9WCQA1/view" TargetMode="External"/><Relationship Id="rId44" Type="http://schemas.openxmlformats.org/officeDocument/2006/relationships/hyperlink" Target="https://hivos.lightning.force.com/lightning/r/0010J00002A9M02QAF/view" TargetMode="External"/><Relationship Id="rId52" Type="http://schemas.openxmlformats.org/officeDocument/2006/relationships/hyperlink" Target="https://hivos.lightning.force.com/lightning/r/0010J00001y3jNlQAI/view" TargetMode="External"/><Relationship Id="rId60" Type="http://schemas.openxmlformats.org/officeDocument/2006/relationships/hyperlink" Target="https://hivos.lightning.force.com/lightning/r/0016M00002N7lEkQAJ/view" TargetMode="External"/><Relationship Id="rId65" Type="http://schemas.openxmlformats.org/officeDocument/2006/relationships/comments" Target="../comments1.xml"/><Relationship Id="rId4" Type="http://schemas.openxmlformats.org/officeDocument/2006/relationships/hyperlink" Target="https://hivos.lightning.force.com/lightning/r/0010J000027V8ktQAC/view" TargetMode="External"/><Relationship Id="rId9" Type="http://schemas.openxmlformats.org/officeDocument/2006/relationships/hyperlink" Target="https://hivos.lightning.force.com/lightning/r/0010J000025aoJ9QAI/view" TargetMode="External"/><Relationship Id="rId13" Type="http://schemas.openxmlformats.org/officeDocument/2006/relationships/hyperlink" Target="https://hivos.lightning.force.com/lightning/r/0010J00002BnWQ3QAN/view" TargetMode="External"/><Relationship Id="rId18" Type="http://schemas.openxmlformats.org/officeDocument/2006/relationships/hyperlink" Target="https://hivos.lightning.force.com/lightning/r/0010J000023hLjnQAE/view" TargetMode="External"/><Relationship Id="rId39" Type="http://schemas.openxmlformats.org/officeDocument/2006/relationships/hyperlink" Target="https://hivos.lightning.force.com/lightning/r/0010J000028eSnvQAE/view"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pcc-nggip.iges.or.jp/public/2006gl/pdf/4_Volume4/V4_10_Ch10_Livestock.pdf" TargetMode="External"/><Relationship Id="rId2" Type="http://schemas.openxmlformats.org/officeDocument/2006/relationships/hyperlink" Target="https://climateknowledgeportal.worldbank.org/country/uganda/climate-data-historical" TargetMode="External"/><Relationship Id="rId1" Type="http://schemas.openxmlformats.org/officeDocument/2006/relationships/hyperlink" Target="https://www.climatelinks.org/sites/default/files/asset/document/uganda_climate_vulnerability_profile_jan2013.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hyperlink" Target="http://bit.ly/1RJZUFA" TargetMode="External"/><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4.xml"/><Relationship Id="rId29" Type="http://schemas.openxmlformats.org/officeDocument/2006/relationships/ctrlProp" Target="../ctrlProps/ctrlProp26.xml"/><Relationship Id="rId255" Type="http://schemas.openxmlformats.org/officeDocument/2006/relationships/ctrlProp" Target="../ctrlProps/ctrlProp252.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4.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00515-4EBD-49F8-8826-AD605EBD9FE2}">
  <dimension ref="B2:D13"/>
  <sheetViews>
    <sheetView workbookViewId="0">
      <selection activeCell="C4" sqref="C4"/>
    </sheetView>
  </sheetViews>
  <sheetFormatPr defaultRowHeight="15" x14ac:dyDescent="0.25"/>
  <sheetData>
    <row r="2" spans="2:4" x14ac:dyDescent="0.25">
      <c r="B2" s="71" t="s">
        <v>27024</v>
      </c>
      <c r="C2" s="71" t="s">
        <v>0</v>
      </c>
      <c r="D2" s="71" t="s">
        <v>129</v>
      </c>
    </row>
    <row r="3" spans="2:4" x14ac:dyDescent="0.25">
      <c r="B3" s="69">
        <v>4</v>
      </c>
      <c r="C3" s="69">
        <f>COUNTIFS('MPI DB final'!C:C,"included",'MPI DB final'!Q:Q,units!B3)</f>
        <v>388</v>
      </c>
      <c r="D3" s="175">
        <f t="shared" ref="D3:D10" si="0">C3/$C$11</f>
        <v>4.6567450792126742E-2</v>
      </c>
    </row>
    <row r="4" spans="2:4" x14ac:dyDescent="0.25">
      <c r="B4" s="69">
        <v>6</v>
      </c>
      <c r="C4" s="69">
        <f>COUNTIFS('MPI DB final'!C:C,"included",'MPI DB final'!Q:Q,units!B4)</f>
        <v>4982</v>
      </c>
      <c r="D4" s="175">
        <f t="shared" si="0"/>
        <v>0.59793566970715317</v>
      </c>
    </row>
    <row r="5" spans="2:4" x14ac:dyDescent="0.25">
      <c r="B5" s="69">
        <v>7</v>
      </c>
      <c r="C5" s="69">
        <f>COUNTIFS('MPI DB final'!C:C,"included",'MPI DB final'!Q:Q,units!B5)</f>
        <v>16</v>
      </c>
      <c r="D5" s="175">
        <f t="shared" si="0"/>
        <v>1.9203072491598655E-3</v>
      </c>
    </row>
    <row r="6" spans="2:4" x14ac:dyDescent="0.25">
      <c r="B6" s="69">
        <v>8</v>
      </c>
      <c r="C6" s="69">
        <f>COUNTIFS('MPI DB final'!C:C,"included",'MPI DB final'!Q:Q,units!B6)</f>
        <v>9</v>
      </c>
      <c r="D6" s="175">
        <f t="shared" si="0"/>
        <v>1.0801728276524244E-3</v>
      </c>
    </row>
    <row r="7" spans="2:4" x14ac:dyDescent="0.25">
      <c r="B7" s="69">
        <v>9</v>
      </c>
      <c r="C7" s="69">
        <f>COUNTIFS('MPI DB final'!C:C,"included",'MPI DB final'!Q:Q,units!B7)</f>
        <v>1865</v>
      </c>
      <c r="D7" s="175">
        <f t="shared" si="0"/>
        <v>0.22383581373019684</v>
      </c>
    </row>
    <row r="8" spans="2:4" x14ac:dyDescent="0.25">
      <c r="B8" s="69">
        <v>12</v>
      </c>
      <c r="C8" s="69">
        <f>COUNTIFS('MPI DB final'!C:C,"included",'MPI DB final'!Q:Q,units!B8)</f>
        <v>223</v>
      </c>
      <c r="D8" s="175">
        <f t="shared" si="0"/>
        <v>2.6764282285165628E-2</v>
      </c>
    </row>
    <row r="9" spans="2:4" x14ac:dyDescent="0.25">
      <c r="B9" s="69">
        <v>13</v>
      </c>
      <c r="C9" s="69">
        <f>COUNTIFS('MPI DB final'!C:C,"included",'MPI DB final'!Q:Q,units!B9)</f>
        <v>769</v>
      </c>
      <c r="D9" s="175">
        <f t="shared" si="0"/>
        <v>9.2294767162746039E-2</v>
      </c>
    </row>
    <row r="10" spans="2:4" x14ac:dyDescent="0.25">
      <c r="B10" s="69" t="s">
        <v>27025</v>
      </c>
      <c r="C10" s="69">
        <f>COUNTIFS('MPI DB final'!C:C,"included",'MPI DB final'!Q:Q,units!B10)</f>
        <v>80</v>
      </c>
      <c r="D10" s="175">
        <f t="shared" si="0"/>
        <v>9.6015362457993279E-3</v>
      </c>
    </row>
    <row r="11" spans="2:4" x14ac:dyDescent="0.25">
      <c r="B11" s="71" t="s">
        <v>133</v>
      </c>
      <c r="C11" s="71">
        <f>SUM(C3:C10)</f>
        <v>8332</v>
      </c>
      <c r="D11" s="69"/>
    </row>
    <row r="13" spans="2:4" x14ac:dyDescent="0.25">
      <c r="B13" t="s">
        <v>33322</v>
      </c>
      <c r="C13" s="27">
        <f>AVERAGE('MPI DB final'!Q:Q)</f>
        <v>7.6452095808383236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8FC84-DDE5-4D88-AF2F-2A71627ECC76}">
  <sheetPr>
    <tabColor theme="5"/>
  </sheetPr>
  <dimension ref="A1:P115"/>
  <sheetViews>
    <sheetView topLeftCell="B1" zoomScale="85" zoomScaleNormal="85" workbookViewId="0">
      <pane ySplit="1" topLeftCell="A33" activePane="bottomLeft" state="frozen"/>
      <selection pane="bottomLeft" activeCell="M36" sqref="M36"/>
    </sheetView>
  </sheetViews>
  <sheetFormatPr defaultColWidth="9.140625" defaultRowHeight="12.75" x14ac:dyDescent="0.25"/>
  <cols>
    <col min="1" max="2" width="14.28515625" style="2" customWidth="1"/>
    <col min="3" max="3" width="15.7109375" style="2" customWidth="1"/>
    <col min="4" max="4" width="46.7109375" style="41" customWidth="1"/>
    <col min="5" max="5" width="21.7109375" style="4" bestFit="1" customWidth="1"/>
    <col min="6" max="6" width="17" style="4" customWidth="1"/>
    <col min="7" max="7" width="53.85546875" style="368" customWidth="1"/>
    <col min="8" max="8" width="5" style="2" customWidth="1"/>
    <col min="9" max="9" width="9" style="2" customWidth="1"/>
    <col min="10" max="10" width="4.42578125" style="2" customWidth="1"/>
    <col min="11" max="11" width="15.7109375" style="2" customWidth="1"/>
    <col min="12" max="12" width="46.7109375" style="2" customWidth="1"/>
    <col min="13" max="13" width="21.7109375" style="2" bestFit="1" customWidth="1"/>
    <col min="14" max="14" width="17" style="2" customWidth="1"/>
    <col min="15" max="15" width="53.85546875" style="2" customWidth="1"/>
    <col min="16" max="16" width="10.140625" style="2" customWidth="1"/>
    <col min="17" max="16384" width="9.140625" style="2"/>
  </cols>
  <sheetData>
    <row r="1" spans="1:16" ht="25.5" customHeight="1" x14ac:dyDescent="0.25">
      <c r="A1" s="2">
        <f>PE_LE!A1</f>
        <v>0</v>
      </c>
      <c r="B1" s="883" t="s">
        <v>100</v>
      </c>
      <c r="C1" s="884"/>
      <c r="D1" s="884"/>
      <c r="E1" s="884"/>
      <c r="F1" s="884"/>
      <c r="G1" s="884"/>
      <c r="H1" s="885"/>
      <c r="J1" s="883" t="s">
        <v>100</v>
      </c>
      <c r="K1" s="884"/>
      <c r="L1" s="884"/>
      <c r="M1" s="884"/>
      <c r="N1" s="884"/>
      <c r="O1" s="884"/>
      <c r="P1" s="885"/>
    </row>
    <row r="2" spans="1:16" ht="16.5" customHeight="1" x14ac:dyDescent="0.25">
      <c r="B2" s="157"/>
      <c r="C2" s="158" t="s">
        <v>95</v>
      </c>
      <c r="D2" s="184" t="s">
        <v>96</v>
      </c>
      <c r="E2" s="159" t="s">
        <v>97</v>
      </c>
      <c r="F2" s="159" t="s">
        <v>98</v>
      </c>
      <c r="G2" s="158" t="s">
        <v>99</v>
      </c>
      <c r="H2" s="229"/>
      <c r="J2" s="157"/>
      <c r="K2" s="158" t="s">
        <v>95</v>
      </c>
      <c r="L2" s="184" t="s">
        <v>96</v>
      </c>
      <c r="M2" s="159" t="s">
        <v>97</v>
      </c>
      <c r="N2" s="159" t="s">
        <v>98</v>
      </c>
      <c r="O2" s="158" t="s">
        <v>99</v>
      </c>
      <c r="P2" s="229"/>
    </row>
    <row r="3" spans="1:16" ht="16.5" customHeight="1" x14ac:dyDescent="0.25">
      <c r="B3" s="14" t="s">
        <v>275</v>
      </c>
      <c r="C3" s="36"/>
      <c r="D3" s="185"/>
      <c r="E3" s="38"/>
      <c r="F3" s="38"/>
      <c r="G3" s="36"/>
      <c r="H3" s="11"/>
      <c r="J3" s="14" t="s">
        <v>275</v>
      </c>
      <c r="K3" s="36"/>
      <c r="L3" s="185"/>
      <c r="M3" s="38"/>
      <c r="N3" s="38"/>
      <c r="O3" s="36"/>
      <c r="P3" s="11"/>
    </row>
    <row r="4" spans="1:16" ht="23.25" customHeight="1" x14ac:dyDescent="0.25">
      <c r="B4" s="18"/>
      <c r="C4" s="92" t="s">
        <v>27027</v>
      </c>
      <c r="D4" s="186" t="s">
        <v>160</v>
      </c>
      <c r="E4" s="129">
        <v>28</v>
      </c>
      <c r="F4" s="127"/>
      <c r="G4" s="886" t="s">
        <v>101</v>
      </c>
      <c r="H4" s="11"/>
      <c r="J4" s="18"/>
      <c r="K4" s="92" t="s">
        <v>27027</v>
      </c>
      <c r="L4" s="186" t="s">
        <v>160</v>
      </c>
      <c r="M4" s="129">
        <v>28</v>
      </c>
      <c r="N4" s="127"/>
      <c r="O4" s="886" t="s">
        <v>101</v>
      </c>
      <c r="P4" s="11"/>
    </row>
    <row r="5" spans="1:16" ht="27" customHeight="1" x14ac:dyDescent="0.25">
      <c r="B5" s="15"/>
      <c r="C5" s="130" t="s">
        <v>159</v>
      </c>
      <c r="D5" s="187" t="s">
        <v>161</v>
      </c>
      <c r="E5" s="99">
        <v>265</v>
      </c>
      <c r="F5" s="99"/>
      <c r="G5" s="887"/>
      <c r="H5" s="11"/>
      <c r="J5" s="15"/>
      <c r="K5" s="130" t="s">
        <v>159</v>
      </c>
      <c r="L5" s="187" t="s">
        <v>161</v>
      </c>
      <c r="M5" s="99">
        <v>265</v>
      </c>
      <c r="N5" s="99"/>
      <c r="O5" s="887"/>
      <c r="P5" s="11"/>
    </row>
    <row r="6" spans="1:16" ht="16.5" customHeight="1" x14ac:dyDescent="0.25">
      <c r="B6" s="15"/>
      <c r="C6" s="94" t="s">
        <v>110</v>
      </c>
      <c r="D6" s="187" t="s">
        <v>111</v>
      </c>
      <c r="E6" s="125">
        <v>6.7000000000000002E-4</v>
      </c>
      <c r="F6" s="99" t="s">
        <v>112</v>
      </c>
      <c r="G6" s="376" t="s">
        <v>102</v>
      </c>
      <c r="H6" s="11"/>
      <c r="J6" s="15"/>
      <c r="K6" s="94" t="s">
        <v>110</v>
      </c>
      <c r="L6" s="187" t="s">
        <v>111</v>
      </c>
      <c r="M6" s="125">
        <v>6.7000000000000002E-4</v>
      </c>
      <c r="N6" s="99" t="s">
        <v>112</v>
      </c>
      <c r="O6" s="376" t="s">
        <v>102</v>
      </c>
      <c r="P6" s="11"/>
    </row>
    <row r="7" spans="1:16" ht="16.5" customHeight="1" x14ac:dyDescent="0.2">
      <c r="B7" s="15"/>
      <c r="C7" s="95" t="s">
        <v>123</v>
      </c>
      <c r="D7" s="188" t="s">
        <v>124</v>
      </c>
      <c r="E7" s="131">
        <v>365</v>
      </c>
      <c r="F7" s="128" t="s">
        <v>104</v>
      </c>
      <c r="G7" s="377"/>
      <c r="H7" s="11"/>
      <c r="J7" s="15"/>
      <c r="K7" s="95" t="s">
        <v>123</v>
      </c>
      <c r="L7" s="188" t="s">
        <v>124</v>
      </c>
      <c r="M7" s="131">
        <v>365</v>
      </c>
      <c r="N7" s="128" t="s">
        <v>104</v>
      </c>
      <c r="O7" s="377"/>
      <c r="P7" s="11"/>
    </row>
    <row r="8" spans="1:16" ht="16.5" customHeight="1" x14ac:dyDescent="0.2">
      <c r="B8" s="15"/>
      <c r="G8" s="367"/>
      <c r="H8" s="11"/>
      <c r="J8" s="15"/>
      <c r="L8" s="41"/>
      <c r="M8" s="4"/>
      <c r="N8" s="4"/>
      <c r="O8" s="367"/>
      <c r="P8" s="11"/>
    </row>
    <row r="9" spans="1:16" ht="21.2" customHeight="1" x14ac:dyDescent="0.2">
      <c r="B9" s="15"/>
      <c r="C9" s="92" t="s">
        <v>27030</v>
      </c>
      <c r="D9" s="186" t="s">
        <v>103</v>
      </c>
      <c r="E9" s="126">
        <f>AVERAGEIF('SMS p1'!T:T,"yes",'SMS p1'!CI:CI)</f>
        <v>6.7181818181818178</v>
      </c>
      <c r="F9" s="127" t="s">
        <v>165</v>
      </c>
      <c r="G9" s="378" t="s">
        <v>32020</v>
      </c>
      <c r="H9" s="11"/>
      <c r="J9" s="15"/>
      <c r="K9" s="92" t="s">
        <v>27030</v>
      </c>
      <c r="L9" s="186" t="s">
        <v>103</v>
      </c>
      <c r="M9" s="126">
        <f>AVERAGEIF('SMS p2'!U:U,"yes",'SMS p2'!CH:CH)</f>
        <v>6.8045112781954886</v>
      </c>
      <c r="N9" s="127" t="s">
        <v>165</v>
      </c>
      <c r="O9" s="378" t="s">
        <v>32020</v>
      </c>
      <c r="P9" s="11"/>
    </row>
    <row r="10" spans="1:16" ht="28.5" customHeight="1" x14ac:dyDescent="0.25">
      <c r="B10" s="15"/>
      <c r="C10" s="94" t="s">
        <v>27026</v>
      </c>
      <c r="D10" s="187" t="s">
        <v>115</v>
      </c>
      <c r="E10" s="16">
        <f>VS!$D$10</f>
        <v>4.1040000000000001</v>
      </c>
      <c r="F10" s="99" t="s">
        <v>32075</v>
      </c>
      <c r="G10" s="443" t="s">
        <v>32019</v>
      </c>
      <c r="H10" s="11"/>
      <c r="J10" s="15"/>
      <c r="K10" s="94" t="s">
        <v>27026</v>
      </c>
      <c r="L10" s="187" t="s">
        <v>115</v>
      </c>
      <c r="M10" s="16">
        <f>VS!$D$10</f>
        <v>4.1040000000000001</v>
      </c>
      <c r="N10" s="99" t="s">
        <v>32075</v>
      </c>
      <c r="O10" s="443" t="s">
        <v>32019</v>
      </c>
      <c r="P10" s="11"/>
    </row>
    <row r="11" spans="1:16" ht="16.5" customHeight="1" x14ac:dyDescent="0.25">
      <c r="B11" s="15"/>
      <c r="C11" s="424" t="s">
        <v>33294</v>
      </c>
      <c r="D11" s="187" t="s">
        <v>32073</v>
      </c>
      <c r="E11" s="444">
        <f>AWMS!C78</f>
        <v>12.689206947552448</v>
      </c>
      <c r="F11" s="445" t="s">
        <v>32074</v>
      </c>
      <c r="G11" s="443" t="s">
        <v>171</v>
      </c>
      <c r="H11" s="11"/>
      <c r="J11" s="15"/>
      <c r="K11" s="424" t="s">
        <v>33294</v>
      </c>
      <c r="L11" s="187" t="s">
        <v>32073</v>
      </c>
      <c r="M11" s="444">
        <f>E11</f>
        <v>12.689206947552448</v>
      </c>
      <c r="N11" s="445" t="s">
        <v>32074</v>
      </c>
      <c r="O11" s="443" t="s">
        <v>171</v>
      </c>
      <c r="P11" s="11"/>
    </row>
    <row r="12" spans="1:16" ht="16.5" customHeight="1" x14ac:dyDescent="0.25">
      <c r="B12" s="15"/>
      <c r="C12" s="424" t="s">
        <v>33295</v>
      </c>
      <c r="D12" s="424" t="s">
        <v>33296</v>
      </c>
      <c r="E12" s="425">
        <f>PE_LE!E12</f>
        <v>0.76907894736842108</v>
      </c>
      <c r="F12" s="445" t="s">
        <v>219</v>
      </c>
      <c r="G12" s="443" t="s">
        <v>33297</v>
      </c>
      <c r="H12" s="11"/>
      <c r="J12" s="15"/>
      <c r="K12" s="424" t="s">
        <v>33295</v>
      </c>
      <c r="L12" s="424" t="s">
        <v>33296</v>
      </c>
      <c r="M12" s="425">
        <f>AVERAGE('SMS p2'!CS:CS)/100</f>
        <v>0.74914893617021283</v>
      </c>
      <c r="N12" s="445" t="s">
        <v>219</v>
      </c>
      <c r="O12" s="443" t="s">
        <v>33297</v>
      </c>
      <c r="P12" s="11"/>
    </row>
    <row r="13" spans="1:16" ht="16.5" customHeight="1" x14ac:dyDescent="0.25">
      <c r="B13" s="15"/>
      <c r="C13" s="95" t="s">
        <v>27029</v>
      </c>
      <c r="D13" s="188" t="s">
        <v>27028</v>
      </c>
      <c r="E13" s="426">
        <f>E11*E10*E9*E12</f>
        <v>269.06952303314262</v>
      </c>
      <c r="F13" s="128" t="s">
        <v>33302</v>
      </c>
      <c r="G13" s="446" t="s">
        <v>171</v>
      </c>
      <c r="H13" s="11"/>
      <c r="J13" s="15"/>
      <c r="K13" s="95" t="s">
        <v>27029</v>
      </c>
      <c r="L13" s="188" t="s">
        <v>27028</v>
      </c>
      <c r="M13" s="426">
        <f>M11*M10*M9*M12</f>
        <v>265.46479693108489</v>
      </c>
      <c r="N13" s="128" t="s">
        <v>33302</v>
      </c>
      <c r="O13" s="446" t="s">
        <v>171</v>
      </c>
      <c r="P13" s="11"/>
    </row>
    <row r="14" spans="1:16" ht="16.5" customHeight="1" x14ac:dyDescent="0.25">
      <c r="B14" s="15"/>
      <c r="C14" s="40"/>
      <c r="E14" s="43"/>
      <c r="G14" s="19"/>
      <c r="H14" s="11"/>
      <c r="J14" s="15"/>
      <c r="K14" s="40"/>
      <c r="L14" s="41"/>
      <c r="M14" s="43"/>
      <c r="N14" s="4"/>
      <c r="O14" s="19"/>
      <c r="P14" s="11"/>
    </row>
    <row r="15" spans="1:16" ht="16.5" customHeight="1" x14ac:dyDescent="0.2">
      <c r="B15" s="15"/>
      <c r="C15" s="92" t="s">
        <v>27030</v>
      </c>
      <c r="D15" s="186" t="s">
        <v>105</v>
      </c>
      <c r="E15" s="126">
        <f>AVERAGEIF('SMS p1'!$T:$T,"yes",'SMS p1'!CJ:CJ)</f>
        <v>3.0727272727272728</v>
      </c>
      <c r="F15" s="127" t="s">
        <v>165</v>
      </c>
      <c r="G15" s="378" t="str">
        <f>G9</f>
        <v>static population, annual average taken from survey data</v>
      </c>
      <c r="H15" s="11"/>
      <c r="J15" s="15"/>
      <c r="K15" s="92" t="s">
        <v>27030</v>
      </c>
      <c r="L15" s="186" t="s">
        <v>105</v>
      </c>
      <c r="M15" s="126">
        <f>AVERAGEIF('SMS p2'!U:U,"yes",'SMS p2'!CI:CI)</f>
        <v>2.7222222222222223</v>
      </c>
      <c r="N15" s="127" t="s">
        <v>165</v>
      </c>
      <c r="O15" s="378" t="str">
        <f>O9</f>
        <v>static population, annual average taken from survey data</v>
      </c>
      <c r="P15" s="11"/>
    </row>
    <row r="16" spans="1:16" ht="27" customHeight="1" x14ac:dyDescent="0.25">
      <c r="B16" s="15"/>
      <c r="C16" s="94" t="s">
        <v>27026</v>
      </c>
      <c r="D16" s="187" t="s">
        <v>121</v>
      </c>
      <c r="E16" s="16">
        <f>VS!$D$16</f>
        <v>2.6415999999999999</v>
      </c>
      <c r="F16" s="99" t="s">
        <v>32075</v>
      </c>
      <c r="G16" s="443" t="str">
        <f>G10</f>
        <v>linked to sheet VS, calculated using eq 3 of the methodology</v>
      </c>
      <c r="H16" s="11"/>
      <c r="J16" s="15"/>
      <c r="K16" s="94" t="s">
        <v>27026</v>
      </c>
      <c r="L16" s="187" t="s">
        <v>121</v>
      </c>
      <c r="M16" s="16">
        <f>VS!$D$16</f>
        <v>2.6415999999999999</v>
      </c>
      <c r="N16" s="99" t="s">
        <v>32075</v>
      </c>
      <c r="O16" s="443" t="str">
        <f>O10</f>
        <v>linked to sheet VS, calculated using eq 3 of the methodology</v>
      </c>
      <c r="P16" s="11"/>
    </row>
    <row r="17" spans="2:16" ht="16.5" customHeight="1" x14ac:dyDescent="0.25">
      <c r="B17" s="15"/>
      <c r="C17" s="424" t="s">
        <v>33294</v>
      </c>
      <c r="D17" s="187" t="s">
        <v>32073</v>
      </c>
      <c r="E17" s="444">
        <f>AWMS!D78</f>
        <v>6.8641221665173235</v>
      </c>
      <c r="F17" s="445" t="s">
        <v>32074</v>
      </c>
      <c r="G17" s="443" t="s">
        <v>171</v>
      </c>
      <c r="H17" s="11"/>
      <c r="J17" s="15"/>
      <c r="K17" s="424" t="s">
        <v>33294</v>
      </c>
      <c r="L17" s="187" t="s">
        <v>32073</v>
      </c>
      <c r="M17" s="444">
        <f>E17</f>
        <v>6.8641221665173235</v>
      </c>
      <c r="N17" s="445" t="s">
        <v>32074</v>
      </c>
      <c r="O17" s="443" t="s">
        <v>171</v>
      </c>
      <c r="P17" s="11"/>
    </row>
    <row r="18" spans="2:16" ht="16.5" customHeight="1" x14ac:dyDescent="0.25">
      <c r="B18" s="15"/>
      <c r="C18" s="424" t="s">
        <v>33295</v>
      </c>
      <c r="D18" s="424" t="s">
        <v>33296</v>
      </c>
      <c r="E18" s="425">
        <f>PE_LE!E19</f>
        <v>0.79285714285714293</v>
      </c>
      <c r="F18" s="445" t="s">
        <v>219</v>
      </c>
      <c r="G18" s="443" t="s">
        <v>33297</v>
      </c>
      <c r="H18" s="11"/>
      <c r="J18" s="15"/>
      <c r="K18" s="424" t="s">
        <v>33295</v>
      </c>
      <c r="L18" s="424" t="s">
        <v>33296</v>
      </c>
      <c r="M18" s="425">
        <f>AVERAGE('SMS p2'!CV:CV)/100</f>
        <v>0.88314285714285712</v>
      </c>
      <c r="N18" s="445" t="s">
        <v>219</v>
      </c>
      <c r="O18" s="443" t="s">
        <v>33297</v>
      </c>
      <c r="P18" s="11"/>
    </row>
    <row r="19" spans="2:16" ht="16.5" customHeight="1" x14ac:dyDescent="0.25">
      <c r="B19" s="15"/>
      <c r="C19" s="95" t="s">
        <v>27029</v>
      </c>
      <c r="D19" s="188" t="s">
        <v>27028</v>
      </c>
      <c r="E19" s="426">
        <f>E17*E16*E15*E18</f>
        <v>44.174436531641391</v>
      </c>
      <c r="F19" s="128" t="s">
        <v>33302</v>
      </c>
      <c r="G19" s="446" t="s">
        <v>171</v>
      </c>
      <c r="H19" s="11"/>
      <c r="J19" s="15"/>
      <c r="K19" s="95" t="s">
        <v>27029</v>
      </c>
      <c r="L19" s="188" t="s">
        <v>27028</v>
      </c>
      <c r="M19" s="426">
        <f>M17*M16*M15*M18</f>
        <v>43.59198003275737</v>
      </c>
      <c r="N19" s="128" t="s">
        <v>33302</v>
      </c>
      <c r="O19" s="446" t="s">
        <v>171</v>
      </c>
      <c r="P19" s="11"/>
    </row>
    <row r="20" spans="2:16" ht="16.5" customHeight="1" x14ac:dyDescent="0.25">
      <c r="B20" s="15"/>
      <c r="C20" s="35"/>
      <c r="E20" s="43"/>
      <c r="G20" s="19"/>
      <c r="H20" s="11"/>
      <c r="J20" s="15"/>
      <c r="K20" s="35"/>
      <c r="L20" s="41"/>
      <c r="M20" s="43"/>
      <c r="N20" s="4"/>
      <c r="O20" s="19"/>
      <c r="P20" s="11"/>
    </row>
    <row r="21" spans="2:16" ht="25.5" customHeight="1" x14ac:dyDescent="0.2">
      <c r="B21" s="15"/>
      <c r="C21" s="92" t="s">
        <v>27030</v>
      </c>
      <c r="D21" s="186" t="str">
        <f>VS!A18</f>
        <v>Swine finishing</v>
      </c>
      <c r="E21" s="126">
        <f>AVERAGEIF('SMS p1'!$T:$T,"yes",'SMS p1'!CS:CS)</f>
        <v>1.3840712601519518</v>
      </c>
      <c r="F21" s="127" t="s">
        <v>165</v>
      </c>
      <c r="G21" s="378" t="s">
        <v>32021</v>
      </c>
      <c r="H21" s="11"/>
      <c r="J21" s="15"/>
      <c r="K21" s="92" t="s">
        <v>27030</v>
      </c>
      <c r="L21" s="186" t="str">
        <f>D21</f>
        <v>Swine finishing</v>
      </c>
      <c r="M21" s="126">
        <f>AVERAGE('SMS p2'!CR:CR)</f>
        <v>4.7034300448527659</v>
      </c>
      <c r="N21" s="127" t="s">
        <v>165</v>
      </c>
      <c r="O21" s="378" t="s">
        <v>32021</v>
      </c>
      <c r="P21" s="11"/>
    </row>
    <row r="22" spans="2:16" ht="27.75" customHeight="1" x14ac:dyDescent="0.25">
      <c r="B22" s="15"/>
      <c r="C22" s="94" t="s">
        <v>27026</v>
      </c>
      <c r="D22" s="187" t="s">
        <v>118</v>
      </c>
      <c r="E22" s="364">
        <f>VS!$D$22</f>
        <v>0.31019999999999998</v>
      </c>
      <c r="F22" s="99" t="s">
        <v>32075</v>
      </c>
      <c r="G22" s="443" t="str">
        <f>G16</f>
        <v>linked to sheet VS, calculated using eq 3 of the methodology</v>
      </c>
      <c r="H22" s="11"/>
      <c r="J22" s="15"/>
      <c r="K22" s="94" t="s">
        <v>27026</v>
      </c>
      <c r="L22" s="187" t="s">
        <v>118</v>
      </c>
      <c r="M22" s="364">
        <f>VS!$D$22</f>
        <v>0.31019999999999998</v>
      </c>
      <c r="N22" s="99" t="s">
        <v>32075</v>
      </c>
      <c r="O22" s="443" t="str">
        <f>O16</f>
        <v>linked to sheet VS, calculated using eq 3 of the methodology</v>
      </c>
      <c r="P22" s="11"/>
    </row>
    <row r="23" spans="2:16" ht="16.5" customHeight="1" x14ac:dyDescent="0.25">
      <c r="B23" s="15"/>
      <c r="C23" s="424" t="s">
        <v>33294</v>
      </c>
      <c r="D23" s="187" t="s">
        <v>32073</v>
      </c>
      <c r="E23" s="444">
        <f>AWMS!E78</f>
        <v>9.9104166666666664</v>
      </c>
      <c r="F23" s="445" t="s">
        <v>32074</v>
      </c>
      <c r="G23" s="443" t="s">
        <v>171</v>
      </c>
      <c r="H23" s="11"/>
      <c r="J23" s="15"/>
      <c r="K23" s="424" t="s">
        <v>33294</v>
      </c>
      <c r="L23" s="187" t="s">
        <v>32073</v>
      </c>
      <c r="M23" s="444">
        <f>E23</f>
        <v>9.9104166666666664</v>
      </c>
      <c r="N23" s="445" t="s">
        <v>32074</v>
      </c>
      <c r="O23" s="443" t="s">
        <v>171</v>
      </c>
      <c r="P23" s="11"/>
    </row>
    <row r="24" spans="2:16" ht="16.5" customHeight="1" x14ac:dyDescent="0.25">
      <c r="B24" s="15"/>
      <c r="C24" s="424" t="s">
        <v>33295</v>
      </c>
      <c r="D24" s="424" t="s">
        <v>33296</v>
      </c>
      <c r="E24" s="425">
        <f>PE_LE!E26</f>
        <v>4.2500000000000003E-2</v>
      </c>
      <c r="F24" s="445" t="s">
        <v>219</v>
      </c>
      <c r="G24" s="443" t="s">
        <v>33297</v>
      </c>
      <c r="H24" s="11"/>
      <c r="J24" s="15"/>
      <c r="K24" s="424" t="s">
        <v>33295</v>
      </c>
      <c r="L24" s="424" t="s">
        <v>33296</v>
      </c>
      <c r="M24" s="425">
        <f>AVERAGE('SMS p2'!CY:CY)/100</f>
        <v>0.28571428571428575</v>
      </c>
      <c r="N24" s="445" t="s">
        <v>219</v>
      </c>
      <c r="O24" s="443" t="s">
        <v>33297</v>
      </c>
      <c r="P24" s="11"/>
    </row>
    <row r="25" spans="2:16" ht="16.5" customHeight="1" x14ac:dyDescent="0.25">
      <c r="B25" s="15"/>
      <c r="C25" s="95" t="s">
        <v>27029</v>
      </c>
      <c r="D25" s="188" t="s">
        <v>27028</v>
      </c>
      <c r="E25" s="426">
        <f>E23*E22*E21*E24</f>
        <v>0.18083441614733431</v>
      </c>
      <c r="F25" s="128" t="s">
        <v>33302</v>
      </c>
      <c r="G25" s="446" t="s">
        <v>171</v>
      </c>
      <c r="H25" s="11"/>
      <c r="J25" s="15"/>
      <c r="K25" s="95" t="s">
        <v>27029</v>
      </c>
      <c r="L25" s="188" t="s">
        <v>27028</v>
      </c>
      <c r="M25" s="426">
        <f>M23*M22*M21*M24</f>
        <v>4.1312393021355369</v>
      </c>
      <c r="N25" s="128" t="s">
        <v>33302</v>
      </c>
      <c r="O25" s="446" t="s">
        <v>171</v>
      </c>
      <c r="P25" s="11"/>
    </row>
    <row r="26" spans="2:16" ht="16.5" customHeight="1" x14ac:dyDescent="0.25">
      <c r="B26" s="15"/>
      <c r="C26" s="35"/>
      <c r="E26" s="43"/>
      <c r="G26" s="19"/>
      <c r="H26" s="11"/>
      <c r="J26" s="15"/>
      <c r="K26" s="35"/>
      <c r="L26" s="41"/>
      <c r="M26" s="43"/>
      <c r="N26" s="4"/>
      <c r="O26" s="19"/>
      <c r="P26" s="11"/>
    </row>
    <row r="27" spans="2:16" ht="16.5" customHeight="1" x14ac:dyDescent="0.2">
      <c r="B27" s="15"/>
      <c r="C27" s="92" t="s">
        <v>27030</v>
      </c>
      <c r="D27" s="186" t="s">
        <v>106</v>
      </c>
      <c r="E27" s="126">
        <f>AVERAGEIF('SMS p1'!$T:$T,"yes",'SMS p1'!CK:CK)</f>
        <v>1.7</v>
      </c>
      <c r="F27" s="127" t="s">
        <v>165</v>
      </c>
      <c r="G27" s="378" t="str">
        <f>G15</f>
        <v>static population, annual average taken from survey data</v>
      </c>
      <c r="H27" s="11"/>
      <c r="J27" s="15"/>
      <c r="K27" s="92" t="s">
        <v>27030</v>
      </c>
      <c r="L27" s="186" t="s">
        <v>106</v>
      </c>
      <c r="M27" s="126">
        <f>AVERAGEIF('SMS p2'!U:U,"yes",'SMS p2'!CJ:CJ)</f>
        <v>2.4921875</v>
      </c>
      <c r="N27" s="127" t="s">
        <v>165</v>
      </c>
      <c r="O27" s="378" t="str">
        <f>O15</f>
        <v>static population, annual average taken from survey data</v>
      </c>
      <c r="P27" s="11"/>
    </row>
    <row r="28" spans="2:16" ht="29.25" customHeight="1" x14ac:dyDescent="0.25">
      <c r="B28" s="15"/>
      <c r="C28" s="94" t="s">
        <v>27026</v>
      </c>
      <c r="D28" s="187" t="s">
        <v>119</v>
      </c>
      <c r="E28" s="16">
        <f>VS!$D$28</f>
        <v>0.36599999999999999</v>
      </c>
      <c r="F28" s="99" t="s">
        <v>32075</v>
      </c>
      <c r="G28" s="443" t="str">
        <f>G22</f>
        <v>linked to sheet VS, calculated using eq 3 of the methodology</v>
      </c>
      <c r="H28" s="11"/>
      <c r="J28" s="15"/>
      <c r="K28" s="94" t="s">
        <v>27026</v>
      </c>
      <c r="L28" s="187" t="s">
        <v>119</v>
      </c>
      <c r="M28" s="16">
        <f>VS!$D$28</f>
        <v>0.36599999999999999</v>
      </c>
      <c r="N28" s="99" t="s">
        <v>32075</v>
      </c>
      <c r="O28" s="443" t="str">
        <f>O22</f>
        <v>linked to sheet VS, calculated using eq 3 of the methodology</v>
      </c>
      <c r="P28" s="11"/>
    </row>
    <row r="29" spans="2:16" ht="16.5" customHeight="1" x14ac:dyDescent="0.25">
      <c r="B29" s="15"/>
      <c r="C29" s="424" t="s">
        <v>33294</v>
      </c>
      <c r="D29" s="187" t="s">
        <v>32073</v>
      </c>
      <c r="E29" s="444">
        <f>AWMS!F78</f>
        <v>9.2469166666666673</v>
      </c>
      <c r="F29" s="445" t="s">
        <v>32074</v>
      </c>
      <c r="G29" s="443" t="s">
        <v>171</v>
      </c>
      <c r="H29" s="11"/>
      <c r="J29" s="15"/>
      <c r="K29" s="424" t="s">
        <v>33294</v>
      </c>
      <c r="L29" s="187" t="s">
        <v>32073</v>
      </c>
      <c r="M29" s="444">
        <f>E29</f>
        <v>9.2469166666666673</v>
      </c>
      <c r="N29" s="445" t="s">
        <v>32074</v>
      </c>
      <c r="O29" s="443" t="s">
        <v>171</v>
      </c>
      <c r="P29" s="11"/>
    </row>
    <row r="30" spans="2:16" ht="16.5" customHeight="1" x14ac:dyDescent="0.25">
      <c r="B30" s="15"/>
      <c r="C30" s="424" t="s">
        <v>33295</v>
      </c>
      <c r="D30" s="424" t="s">
        <v>33296</v>
      </c>
      <c r="E30" s="425">
        <f>PE_LE!E33</f>
        <v>0.29615384615384616</v>
      </c>
      <c r="F30" s="445" t="s">
        <v>219</v>
      </c>
      <c r="G30" s="443" t="s">
        <v>33297</v>
      </c>
      <c r="H30" s="11"/>
      <c r="J30" s="15"/>
      <c r="K30" s="424" t="s">
        <v>33295</v>
      </c>
      <c r="L30" s="424" t="s">
        <v>33296</v>
      </c>
      <c r="M30" s="425">
        <f>AVERAGE('SMS p2'!DB:DB)/100</f>
        <v>0.43333333333333335</v>
      </c>
      <c r="N30" s="445" t="s">
        <v>219</v>
      </c>
      <c r="O30" s="443" t="s">
        <v>33297</v>
      </c>
      <c r="P30" s="11"/>
    </row>
    <row r="31" spans="2:16" ht="16.5" customHeight="1" x14ac:dyDescent="0.25">
      <c r="B31" s="15"/>
      <c r="C31" s="95" t="s">
        <v>27029</v>
      </c>
      <c r="D31" s="188" t="s">
        <v>27028</v>
      </c>
      <c r="E31" s="426">
        <f>E29*E28*E27*E30</f>
        <v>1.7039008821153847</v>
      </c>
      <c r="F31" s="128" t="s">
        <v>33302</v>
      </c>
      <c r="G31" s="446" t="s">
        <v>171</v>
      </c>
      <c r="H31" s="11"/>
      <c r="J31" s="15"/>
      <c r="K31" s="95" t="s">
        <v>27029</v>
      </c>
      <c r="L31" s="188" t="s">
        <v>27028</v>
      </c>
      <c r="M31" s="426">
        <f>M29*M28*M27*M30</f>
        <v>3.6549449506510419</v>
      </c>
      <c r="N31" s="128" t="s">
        <v>33302</v>
      </c>
      <c r="O31" s="446" t="s">
        <v>171</v>
      </c>
      <c r="P31" s="11"/>
    </row>
    <row r="32" spans="2:16" ht="16.5" customHeight="1" x14ac:dyDescent="0.25">
      <c r="B32" s="15"/>
      <c r="C32" s="40"/>
      <c r="E32" s="43"/>
      <c r="G32" s="19"/>
      <c r="H32" s="11"/>
      <c r="J32" s="15"/>
      <c r="K32" s="40"/>
      <c r="L32" s="41"/>
      <c r="M32" s="43"/>
      <c r="N32" s="4"/>
      <c r="O32" s="19"/>
      <c r="P32" s="11"/>
    </row>
    <row r="33" spans="2:16" ht="16.5" customHeight="1" x14ac:dyDescent="0.2">
      <c r="B33" s="15"/>
      <c r="C33" s="92" t="s">
        <v>27030</v>
      </c>
      <c r="D33" s="186" t="s">
        <v>108</v>
      </c>
      <c r="E33" s="126">
        <f>AVERAGEIF('SMS p1'!$T:$T,"yes",'SMS p1'!CL:CL)</f>
        <v>0.2818181818181818</v>
      </c>
      <c r="F33" s="127" t="s">
        <v>165</v>
      </c>
      <c r="G33" s="378" t="str">
        <f>G27</f>
        <v>static population, annual average taken from survey data</v>
      </c>
      <c r="H33" s="11"/>
      <c r="J33" s="15"/>
      <c r="K33" s="92" t="s">
        <v>27030</v>
      </c>
      <c r="L33" s="186" t="s">
        <v>108</v>
      </c>
      <c r="M33" s="126">
        <f>AVERAGEIF('SMS p2'!U:U,"yes",'SMS p2'!CK:CK)</f>
        <v>0.77952755905511806</v>
      </c>
      <c r="N33" s="127" t="s">
        <v>165</v>
      </c>
      <c r="O33" s="378" t="str">
        <f>O27</f>
        <v>static population, annual average taken from survey data</v>
      </c>
      <c r="P33" s="11"/>
    </row>
    <row r="34" spans="2:16" ht="32.25" customHeight="1" x14ac:dyDescent="0.25">
      <c r="B34" s="15"/>
      <c r="C34" s="94" t="s">
        <v>27026</v>
      </c>
      <c r="D34" s="187" t="s">
        <v>120</v>
      </c>
      <c r="E34" s="364">
        <f>VS!$D$34</f>
        <v>0.19920000000000002</v>
      </c>
      <c r="F34" s="99" t="s">
        <v>32075</v>
      </c>
      <c r="G34" s="443" t="str">
        <f>G28</f>
        <v>linked to sheet VS, calculated using eq 3 of the methodology</v>
      </c>
      <c r="H34" s="11"/>
      <c r="J34" s="15"/>
      <c r="K34" s="94" t="s">
        <v>27026</v>
      </c>
      <c r="L34" s="187" t="s">
        <v>120</v>
      </c>
      <c r="M34" s="364">
        <f>VS!$D$34</f>
        <v>0.19920000000000002</v>
      </c>
      <c r="N34" s="99" t="s">
        <v>32075</v>
      </c>
      <c r="O34" s="443" t="str">
        <f>O28</f>
        <v>linked to sheet VS, calculated using eq 3 of the methodology</v>
      </c>
      <c r="P34" s="11"/>
    </row>
    <row r="35" spans="2:16" ht="16.5" customHeight="1" x14ac:dyDescent="0.25">
      <c r="B35" s="15"/>
      <c r="C35" s="424" t="s">
        <v>33294</v>
      </c>
      <c r="D35" s="187" t="s">
        <v>32073</v>
      </c>
      <c r="E35" s="444">
        <f>AWMS!G78</f>
        <v>3.4175241935483873</v>
      </c>
      <c r="F35" s="445" t="s">
        <v>32074</v>
      </c>
      <c r="G35" s="443" t="s">
        <v>171</v>
      </c>
      <c r="H35" s="11"/>
      <c r="J35" s="15"/>
      <c r="K35" s="424" t="s">
        <v>33294</v>
      </c>
      <c r="L35" s="187" t="s">
        <v>32073</v>
      </c>
      <c r="M35" s="444">
        <f>E35</f>
        <v>3.4175241935483873</v>
      </c>
      <c r="N35" s="445" t="s">
        <v>32074</v>
      </c>
      <c r="O35" s="443" t="s">
        <v>171</v>
      </c>
      <c r="P35" s="11"/>
    </row>
    <row r="36" spans="2:16" ht="16.5" customHeight="1" x14ac:dyDescent="0.25">
      <c r="B36" s="15"/>
      <c r="C36" s="424" t="s">
        <v>33295</v>
      </c>
      <c r="D36" s="424" t="s">
        <v>33296</v>
      </c>
      <c r="E36" s="425">
        <f>PE_LE!E40</f>
        <v>0</v>
      </c>
      <c r="F36" s="445" t="s">
        <v>219</v>
      </c>
      <c r="G36" s="443" t="s">
        <v>33297</v>
      </c>
      <c r="H36" s="11"/>
      <c r="J36" s="15"/>
      <c r="K36" s="424" t="s">
        <v>33295</v>
      </c>
      <c r="L36" s="424" t="s">
        <v>33296</v>
      </c>
      <c r="M36" s="425">
        <f>AVERAGE('SMS p2'!DH:DH)/100</f>
        <v>0.28000000000000003</v>
      </c>
      <c r="N36" s="445" t="s">
        <v>219</v>
      </c>
      <c r="O36" s="443" t="s">
        <v>33297</v>
      </c>
      <c r="P36" s="11"/>
    </row>
    <row r="37" spans="2:16" ht="16.5" customHeight="1" x14ac:dyDescent="0.25">
      <c r="B37" s="15"/>
      <c r="C37" s="95" t="s">
        <v>27029</v>
      </c>
      <c r="D37" s="188" t="s">
        <v>27028</v>
      </c>
      <c r="E37" s="426">
        <f>E35*E34*E33*E36</f>
        <v>0</v>
      </c>
      <c r="F37" s="128" t="s">
        <v>33302</v>
      </c>
      <c r="G37" s="446" t="s">
        <v>171</v>
      </c>
      <c r="H37" s="11"/>
      <c r="J37" s="15"/>
      <c r="K37" s="95" t="s">
        <v>27029</v>
      </c>
      <c r="L37" s="188" t="s">
        <v>27028</v>
      </c>
      <c r="M37" s="426">
        <f>M35*M34*M33*M36</f>
        <v>0.14859029222453649</v>
      </c>
      <c r="N37" s="128" t="s">
        <v>33302</v>
      </c>
      <c r="O37" s="446" t="s">
        <v>171</v>
      </c>
      <c r="P37" s="11"/>
    </row>
    <row r="38" spans="2:16" ht="16.5" customHeight="1" x14ac:dyDescent="0.25">
      <c r="B38" s="15"/>
      <c r="C38" s="40"/>
      <c r="E38" s="43"/>
      <c r="G38" s="19"/>
      <c r="H38" s="11"/>
      <c r="J38" s="15"/>
      <c r="K38" s="40"/>
      <c r="L38" s="41"/>
      <c r="M38" s="43"/>
      <c r="N38" s="4"/>
      <c r="O38" s="19"/>
      <c r="P38" s="11"/>
    </row>
    <row r="39" spans="2:16" ht="14.25" x14ac:dyDescent="0.2">
      <c r="B39" s="15"/>
      <c r="C39" s="92" t="s">
        <v>27030</v>
      </c>
      <c r="D39" s="186" t="s">
        <v>109</v>
      </c>
      <c r="E39" s="126">
        <f>AVERAGEIF('SMS p1'!$T:$T,"yes",'SMS p1'!CM:CM)</f>
        <v>3.9636363636363638</v>
      </c>
      <c r="F39" s="127" t="s">
        <v>165</v>
      </c>
      <c r="G39" s="378" t="str">
        <f>G33</f>
        <v>static population, annual average taken from survey data</v>
      </c>
      <c r="H39" s="11"/>
      <c r="J39" s="15"/>
      <c r="K39" s="92" t="s">
        <v>27030</v>
      </c>
      <c r="L39" s="186" t="s">
        <v>109</v>
      </c>
      <c r="M39" s="126">
        <f>AVERAGEIF('SMS p2'!U:U,"yes",'SMS p2'!CL:CL)</f>
        <v>1.9689922480620154</v>
      </c>
      <c r="N39" s="127" t="s">
        <v>165</v>
      </c>
      <c r="O39" s="378" t="str">
        <f>O33</f>
        <v>static population, annual average taken from survey data</v>
      </c>
      <c r="P39" s="11"/>
    </row>
    <row r="40" spans="2:16" ht="30" x14ac:dyDescent="0.25">
      <c r="B40" s="15"/>
      <c r="C40" s="94" t="s">
        <v>27026</v>
      </c>
      <c r="D40" s="187" t="s">
        <v>117</v>
      </c>
      <c r="E40" s="364">
        <f>VS!$D$40</f>
        <v>0.32240000000000002</v>
      </c>
      <c r="F40" s="99" t="s">
        <v>32075</v>
      </c>
      <c r="G40" s="443" t="str">
        <f>G34</f>
        <v>linked to sheet VS, calculated using eq 3 of the methodology</v>
      </c>
      <c r="H40" s="11"/>
      <c r="J40" s="15"/>
      <c r="K40" s="94" t="s">
        <v>27026</v>
      </c>
      <c r="L40" s="187" t="s">
        <v>117</v>
      </c>
      <c r="M40" s="364">
        <f>VS!$D$40</f>
        <v>0.32240000000000002</v>
      </c>
      <c r="N40" s="99" t="s">
        <v>32075</v>
      </c>
      <c r="O40" s="443" t="str">
        <f>O34</f>
        <v>linked to sheet VS, calculated using eq 3 of the methodology</v>
      </c>
      <c r="P40" s="11"/>
    </row>
    <row r="41" spans="2:16" ht="15" x14ac:dyDescent="0.25">
      <c r="B41" s="15"/>
      <c r="C41" s="424" t="s">
        <v>33294</v>
      </c>
      <c r="D41" s="187" t="s">
        <v>32073</v>
      </c>
      <c r="E41" s="444">
        <f>[2]AWMS!$C$201</f>
        <v>12.909975470836681</v>
      </c>
      <c r="F41" s="445" t="s">
        <v>32074</v>
      </c>
      <c r="G41" s="443" t="s">
        <v>171</v>
      </c>
      <c r="H41" s="11"/>
      <c r="J41" s="15"/>
      <c r="K41" s="424" t="s">
        <v>33294</v>
      </c>
      <c r="L41" s="187" t="s">
        <v>32073</v>
      </c>
      <c r="M41" s="444">
        <f>E41</f>
        <v>12.909975470836681</v>
      </c>
      <c r="N41" s="445" t="s">
        <v>32074</v>
      </c>
      <c r="O41" s="443" t="s">
        <v>171</v>
      </c>
      <c r="P41" s="11"/>
    </row>
    <row r="42" spans="2:16" ht="26.25" x14ac:dyDescent="0.25">
      <c r="B42" s="15"/>
      <c r="C42" s="424" t="s">
        <v>33295</v>
      </c>
      <c r="D42" s="424" t="s">
        <v>33296</v>
      </c>
      <c r="E42" s="425">
        <f>PE_LE!E47</f>
        <v>0</v>
      </c>
      <c r="F42" s="445" t="s">
        <v>219</v>
      </c>
      <c r="G42" s="443" t="s">
        <v>33297</v>
      </c>
      <c r="H42" s="11"/>
      <c r="J42" s="15"/>
      <c r="K42" s="424" t="s">
        <v>33295</v>
      </c>
      <c r="L42" s="424" t="s">
        <v>33296</v>
      </c>
      <c r="M42" s="425">
        <f>AVERAGE('SMS p2'!DK:DK)/100</f>
        <v>8.2758620689655171E-2</v>
      </c>
      <c r="N42" s="445" t="s">
        <v>219</v>
      </c>
      <c r="O42" s="443" t="s">
        <v>33297</v>
      </c>
      <c r="P42" s="11"/>
    </row>
    <row r="43" spans="2:16" ht="15" x14ac:dyDescent="0.25">
      <c r="B43" s="15"/>
      <c r="C43" s="95" t="s">
        <v>27029</v>
      </c>
      <c r="D43" s="188" t="s">
        <v>27028</v>
      </c>
      <c r="E43" s="426">
        <f>E41*E40*E39*E42</f>
        <v>0</v>
      </c>
      <c r="F43" s="128" t="s">
        <v>33302</v>
      </c>
      <c r="G43" s="446" t="s">
        <v>171</v>
      </c>
      <c r="H43" s="11"/>
      <c r="J43" s="15"/>
      <c r="K43" s="95" t="s">
        <v>27029</v>
      </c>
      <c r="L43" s="188" t="s">
        <v>27028</v>
      </c>
      <c r="M43" s="426">
        <f>M41*M40*M39*M42</f>
        <v>0.67823110012293664</v>
      </c>
      <c r="N43" s="128" t="s">
        <v>33302</v>
      </c>
      <c r="O43" s="446" t="s">
        <v>171</v>
      </c>
      <c r="P43" s="11"/>
    </row>
    <row r="44" spans="2:16" ht="15" x14ac:dyDescent="0.25">
      <c r="B44" s="15"/>
      <c r="C44" s="40"/>
      <c r="E44" s="43"/>
      <c r="G44" s="19"/>
      <c r="H44" s="11"/>
      <c r="J44" s="15"/>
      <c r="K44" s="40"/>
      <c r="L44" s="41"/>
      <c r="M44" s="43"/>
      <c r="N44" s="4"/>
      <c r="O44" s="19"/>
      <c r="P44" s="11"/>
    </row>
    <row r="45" spans="2:16" ht="14.25" x14ac:dyDescent="0.2">
      <c r="B45" s="15"/>
      <c r="C45" s="92" t="s">
        <v>27030</v>
      </c>
      <c r="D45" s="186" t="s">
        <v>107</v>
      </c>
      <c r="E45" s="126">
        <f>AVERAGEIF('SMS p1'!$T:$T,"yes",'SMS p1'!CN:CN)</f>
        <v>37.154545454545456</v>
      </c>
      <c r="F45" s="127" t="s">
        <v>165</v>
      </c>
      <c r="G45" s="378" t="str">
        <f>G39</f>
        <v>static population, annual average taken from survey data</v>
      </c>
      <c r="H45" s="11"/>
      <c r="J45" s="15"/>
      <c r="K45" s="92" t="s">
        <v>27030</v>
      </c>
      <c r="L45" s="186" t="s">
        <v>107</v>
      </c>
      <c r="M45" s="126">
        <f>AVERAGEIF('SMS p2'!U:U,"yes",'SMS p2'!CM:CM)</f>
        <v>24.801526717557252</v>
      </c>
      <c r="N45" s="127" t="s">
        <v>165</v>
      </c>
      <c r="O45" s="378" t="str">
        <f>O39</f>
        <v>static population, annual average taken from survey data</v>
      </c>
      <c r="P45" s="11"/>
    </row>
    <row r="46" spans="2:16" ht="30" x14ac:dyDescent="0.25">
      <c r="B46" s="15"/>
      <c r="C46" s="94" t="s">
        <v>27026</v>
      </c>
      <c r="D46" s="187" t="s">
        <v>122</v>
      </c>
      <c r="E46" s="364">
        <f>VS!$D$46</f>
        <v>1.04E-2</v>
      </c>
      <c r="F46" s="99" t="s">
        <v>32075</v>
      </c>
      <c r="G46" s="443" t="str">
        <f>G40</f>
        <v>linked to sheet VS, calculated using eq 3 of the methodology</v>
      </c>
      <c r="H46" s="11"/>
      <c r="J46" s="15"/>
      <c r="K46" s="94" t="s">
        <v>27026</v>
      </c>
      <c r="L46" s="187" t="s">
        <v>122</v>
      </c>
      <c r="M46" s="364">
        <f>VS!$D$46</f>
        <v>1.04E-2</v>
      </c>
      <c r="N46" s="99" t="s">
        <v>32075</v>
      </c>
      <c r="O46" s="443" t="str">
        <f>O40</f>
        <v>linked to sheet VS, calculated using eq 3 of the methodology</v>
      </c>
      <c r="P46" s="11"/>
    </row>
    <row r="47" spans="2:16" ht="15" x14ac:dyDescent="0.25">
      <c r="B47" s="15"/>
      <c r="C47" s="424" t="s">
        <v>33294</v>
      </c>
      <c r="D47" s="187" t="s">
        <v>32073</v>
      </c>
      <c r="E47" s="444">
        <f>AWMS!I78</f>
        <v>8.081520132953468</v>
      </c>
      <c r="F47" s="445" t="s">
        <v>32074</v>
      </c>
      <c r="G47" s="443" t="s">
        <v>171</v>
      </c>
      <c r="H47" s="11"/>
      <c r="J47" s="15"/>
      <c r="K47" s="424" t="s">
        <v>33294</v>
      </c>
      <c r="L47" s="187" t="s">
        <v>32073</v>
      </c>
      <c r="M47" s="444">
        <f>E47</f>
        <v>8.081520132953468</v>
      </c>
      <c r="N47" s="445" t="s">
        <v>32074</v>
      </c>
      <c r="O47" s="443" t="s">
        <v>171</v>
      </c>
      <c r="P47" s="11"/>
    </row>
    <row r="48" spans="2:16" ht="26.25" x14ac:dyDescent="0.25">
      <c r="B48" s="15"/>
      <c r="C48" s="424" t="s">
        <v>33295</v>
      </c>
      <c r="D48" s="424" t="s">
        <v>33296</v>
      </c>
      <c r="E48" s="425">
        <f>PE_LE!E54</f>
        <v>0.10526315789473685</v>
      </c>
      <c r="F48" s="445" t="s">
        <v>219</v>
      </c>
      <c r="G48" s="443" t="s">
        <v>33297</v>
      </c>
      <c r="H48" s="11"/>
      <c r="J48" s="15"/>
      <c r="K48" s="424" t="s">
        <v>33295</v>
      </c>
      <c r="L48" s="424" t="s">
        <v>33296</v>
      </c>
      <c r="M48" s="425">
        <f>AVERAGE('SMS p2'!DE:DE)/100</f>
        <v>0.17647058823529413</v>
      </c>
      <c r="N48" s="445" t="s">
        <v>219</v>
      </c>
      <c r="O48" s="443" t="s">
        <v>33297</v>
      </c>
      <c r="P48" s="11"/>
    </row>
    <row r="49" spans="2:16" ht="15" x14ac:dyDescent="0.25">
      <c r="B49" s="15"/>
      <c r="C49" s="95" t="s">
        <v>27029</v>
      </c>
      <c r="D49" s="188" t="s">
        <v>27028</v>
      </c>
      <c r="E49" s="426">
        <f>E47*E46*E45*E48</f>
        <v>0.32871138463843125</v>
      </c>
      <c r="F49" s="128" t="s">
        <v>33302</v>
      </c>
      <c r="G49" s="446" t="s">
        <v>171</v>
      </c>
      <c r="H49" s="11"/>
      <c r="J49" s="15"/>
      <c r="K49" s="95" t="s">
        <v>27029</v>
      </c>
      <c r="L49" s="188" t="s">
        <v>27028</v>
      </c>
      <c r="M49" s="426">
        <f>M47*M46*M45*M48</f>
        <v>0.3678554099925162</v>
      </c>
      <c r="N49" s="128" t="s">
        <v>33302</v>
      </c>
      <c r="O49" s="446" t="s">
        <v>171</v>
      </c>
      <c r="P49" s="11"/>
    </row>
    <row r="50" spans="2:16" ht="15" x14ac:dyDescent="0.25">
      <c r="B50" s="15"/>
      <c r="C50" s="40"/>
      <c r="E50" s="43"/>
      <c r="G50" s="19"/>
      <c r="H50" s="11"/>
      <c r="J50" s="15"/>
      <c r="K50" s="40"/>
      <c r="L50" s="41"/>
      <c r="M50" s="43"/>
      <c r="N50" s="4"/>
      <c r="O50" s="19"/>
      <c r="P50" s="11"/>
    </row>
    <row r="51" spans="2:16" ht="16.5" customHeight="1" x14ac:dyDescent="0.2">
      <c r="B51" s="15"/>
      <c r="C51" s="92" t="s">
        <v>211</v>
      </c>
      <c r="D51" s="186" t="s">
        <v>212</v>
      </c>
      <c r="E51" s="155">
        <v>0.89</v>
      </c>
      <c r="F51" s="127"/>
      <c r="G51" s="378" t="str">
        <f>PE_LE!G58</f>
        <v xml:space="preserve">calculated with equation 14 in the methodology </v>
      </c>
      <c r="H51" s="11"/>
      <c r="J51" s="15"/>
      <c r="K51" s="92" t="s">
        <v>211</v>
      </c>
      <c r="L51" s="186" t="s">
        <v>212</v>
      </c>
      <c r="M51" s="155">
        <v>0.89</v>
      </c>
      <c r="N51" s="127"/>
      <c r="O51" s="378" t="str">
        <f>PE_LE!O58</f>
        <v xml:space="preserve">calculated with equation 14 in the methodology </v>
      </c>
      <c r="P51" s="11"/>
    </row>
    <row r="52" spans="2:16" ht="16.5" customHeight="1" x14ac:dyDescent="0.2">
      <c r="B52" s="15"/>
      <c r="C52" s="95" t="s">
        <v>277</v>
      </c>
      <c r="D52" s="188" t="s">
        <v>286</v>
      </c>
      <c r="E52" s="427">
        <f>(E13+E43+E37+E49+E31+E25+E19)*E4*E51*E7/1000000</f>
        <v>2.8693374757476948</v>
      </c>
      <c r="F52" s="128" t="s">
        <v>125</v>
      </c>
      <c r="G52" s="377" t="s">
        <v>274</v>
      </c>
      <c r="H52" s="11"/>
      <c r="J52" s="15"/>
      <c r="K52" s="95" t="s">
        <v>277</v>
      </c>
      <c r="L52" s="188" t="s">
        <v>286</v>
      </c>
      <c r="M52" s="427">
        <f>(M13+M43+M37+M49+M31+M25+M19)*M4*M51*M7/1000000</f>
        <v>2.8928067478929367</v>
      </c>
      <c r="N52" s="128" t="s">
        <v>125</v>
      </c>
      <c r="O52" s="377" t="s">
        <v>274</v>
      </c>
      <c r="P52" s="11"/>
    </row>
    <row r="53" spans="2:16" ht="16.5" customHeight="1" x14ac:dyDescent="0.2">
      <c r="B53" s="15"/>
      <c r="C53" s="35"/>
      <c r="E53" s="154"/>
      <c r="G53" s="193"/>
      <c r="H53" s="11"/>
      <c r="J53" s="15"/>
      <c r="K53" s="35"/>
      <c r="L53" s="41"/>
      <c r="M53" s="154"/>
      <c r="N53" s="4"/>
      <c r="O53" s="193"/>
      <c r="P53" s="11"/>
    </row>
    <row r="54" spans="2:16" ht="16.5" customHeight="1" x14ac:dyDescent="0.25">
      <c r="B54" s="14" t="s">
        <v>126</v>
      </c>
      <c r="C54" s="40"/>
      <c r="H54" s="11"/>
      <c r="J54" s="14" t="s">
        <v>126</v>
      </c>
      <c r="K54" s="40"/>
      <c r="L54" s="41"/>
      <c r="M54" s="4"/>
      <c r="N54" s="4"/>
      <c r="O54" s="368"/>
      <c r="P54" s="11"/>
    </row>
    <row r="55" spans="2:16" ht="28.5" customHeight="1" x14ac:dyDescent="0.25">
      <c r="B55" s="14"/>
      <c r="C55" s="275" t="s">
        <v>32031</v>
      </c>
      <c r="D55" s="266" t="s">
        <v>31539</v>
      </c>
      <c r="E55" s="365">
        <f>COUNTIF('SMS p1'!AW:AW,D55)/110</f>
        <v>0.75454545454545452</v>
      </c>
      <c r="F55" s="267" t="s">
        <v>129</v>
      </c>
      <c r="G55" s="435" t="s">
        <v>32078</v>
      </c>
      <c r="H55" s="11"/>
      <c r="J55" s="14"/>
      <c r="K55" s="275" t="s">
        <v>32031</v>
      </c>
      <c r="L55" s="266" t="s">
        <v>31539</v>
      </c>
      <c r="M55" s="365">
        <f>E55</f>
        <v>0.75454545454545452</v>
      </c>
      <c r="N55" s="267" t="s">
        <v>129</v>
      </c>
      <c r="O55" s="435" t="s">
        <v>32078</v>
      </c>
      <c r="P55" s="11"/>
    </row>
    <row r="56" spans="2:16" ht="30.2" customHeight="1" x14ac:dyDescent="0.25">
      <c r="B56" s="14"/>
      <c r="C56" s="276" t="s">
        <v>32032</v>
      </c>
      <c r="D56" s="436" t="s">
        <v>31550</v>
      </c>
      <c r="E56" s="365">
        <f>COUNTIF('SMS p1'!AW:AW,D56)/110</f>
        <v>0.24545454545454545</v>
      </c>
      <c r="F56" s="437" t="s">
        <v>129</v>
      </c>
      <c r="G56" s="438" t="str">
        <f>G55</f>
        <v>CPI MPII data used, fixed for this CP, linked to raw data</v>
      </c>
      <c r="H56" s="11"/>
      <c r="J56" s="14"/>
      <c r="K56" s="276" t="s">
        <v>32032</v>
      </c>
      <c r="L56" s="436" t="s">
        <v>31550</v>
      </c>
      <c r="M56" s="365">
        <f>E56</f>
        <v>0.24545454545454545</v>
      </c>
      <c r="N56" s="437" t="s">
        <v>129</v>
      </c>
      <c r="O56" s="438" t="str">
        <f>O55</f>
        <v>CPI MPII data used, fixed for this CP, linked to raw data</v>
      </c>
      <c r="P56" s="11"/>
    </row>
    <row r="57" spans="2:16" ht="30.2" customHeight="1" x14ac:dyDescent="0.25">
      <c r="B57" s="14"/>
      <c r="C57" s="439" t="s">
        <v>32035</v>
      </c>
      <c r="D57" s="268" t="s">
        <v>32036</v>
      </c>
      <c r="E57" s="440" t="s">
        <v>32038</v>
      </c>
      <c r="F57" s="440"/>
      <c r="G57" s="441" t="s">
        <v>32037</v>
      </c>
      <c r="H57" s="11"/>
      <c r="J57" s="14"/>
      <c r="K57" s="439" t="s">
        <v>32035</v>
      </c>
      <c r="L57" s="268" t="s">
        <v>32036</v>
      </c>
      <c r="M57" s="440" t="s">
        <v>32038</v>
      </c>
      <c r="N57" s="440"/>
      <c r="O57" s="441" t="s">
        <v>32037</v>
      </c>
      <c r="P57" s="11"/>
    </row>
    <row r="58" spans="2:16" ht="16.5" customHeight="1" x14ac:dyDescent="0.25">
      <c r="B58" s="14"/>
      <c r="C58" s="40"/>
      <c r="F58" s="2"/>
      <c r="H58" s="11"/>
      <c r="J58" s="14"/>
      <c r="K58" s="40"/>
      <c r="L58" s="41"/>
      <c r="M58" s="4"/>
      <c r="O58" s="368"/>
      <c r="P58" s="11"/>
    </row>
    <row r="59" spans="2:16" ht="16.5" customHeight="1" x14ac:dyDescent="0.25">
      <c r="B59" s="14"/>
      <c r="C59" s="274" t="s">
        <v>32033</v>
      </c>
      <c r="D59" s="266" t="str">
        <f>D67</f>
        <v xml:space="preserve">The quantity of wood consumed </v>
      </c>
      <c r="E59" s="269">
        <v>4.7639886904761894</v>
      </c>
      <c r="F59" s="269" t="str">
        <f>F67</f>
        <v>ton/year/hh</v>
      </c>
      <c r="G59" s="435" t="s">
        <v>33308</v>
      </c>
      <c r="H59" s="11"/>
      <c r="J59" s="14"/>
      <c r="K59" s="274" t="s">
        <v>32033</v>
      </c>
      <c r="L59" s="266" t="str">
        <f>L67</f>
        <v xml:space="preserve">The quantity of wood consumed </v>
      </c>
      <c r="M59" s="269">
        <v>4.7639886904761894</v>
      </c>
      <c r="N59" s="269" t="str">
        <f>N67</f>
        <v>ton/year/hh</v>
      </c>
      <c r="O59" s="435" t="s">
        <v>33308</v>
      </c>
      <c r="P59" s="11"/>
    </row>
    <row r="60" spans="2:16" ht="16.5" customHeight="1" x14ac:dyDescent="0.25">
      <c r="B60" s="14"/>
      <c r="C60" s="270"/>
      <c r="D60" s="436" t="str">
        <f>D72</f>
        <v xml:space="preserve">The quantity of charcoal consumed </v>
      </c>
      <c r="E60" s="442">
        <v>0.10125099999999999</v>
      </c>
      <c r="F60" s="442" t="str">
        <f>F59</f>
        <v>ton/year/hh</v>
      </c>
      <c r="G60" s="438" t="s">
        <v>33308</v>
      </c>
      <c r="H60" s="11"/>
      <c r="J60" s="14"/>
      <c r="K60" s="270"/>
      <c r="L60" s="436" t="str">
        <f>L72</f>
        <v xml:space="preserve">The quantity of charcoal consumed </v>
      </c>
      <c r="M60" s="442">
        <v>0.10125099999999999</v>
      </c>
      <c r="N60" s="442" t="str">
        <f>N59</f>
        <v>ton/year/hh</v>
      </c>
      <c r="O60" s="438" t="s">
        <v>33308</v>
      </c>
      <c r="P60" s="11"/>
    </row>
    <row r="61" spans="2:16" ht="16.5" customHeight="1" x14ac:dyDescent="0.25">
      <c r="B61" s="14"/>
      <c r="C61" s="271"/>
      <c r="D61" s="268" t="str">
        <f>D77</f>
        <v>The quantity of LPG consumed</v>
      </c>
      <c r="E61" s="272">
        <v>0</v>
      </c>
      <c r="F61" s="272" t="str">
        <f>F60</f>
        <v>ton/year/hh</v>
      </c>
      <c r="G61" s="441" t="s">
        <v>33308</v>
      </c>
      <c r="H61" s="11"/>
      <c r="J61" s="14"/>
      <c r="K61" s="271"/>
      <c r="L61" s="268" t="str">
        <f>L77</f>
        <v>The quantity of LPG consumed</v>
      </c>
      <c r="M61" s="272">
        <v>0</v>
      </c>
      <c r="N61" s="272" t="str">
        <f>N60</f>
        <v>ton/year/hh</v>
      </c>
      <c r="O61" s="441" t="s">
        <v>33308</v>
      </c>
      <c r="P61" s="11"/>
    </row>
    <row r="62" spans="2:16" ht="16.5" customHeight="1" x14ac:dyDescent="0.25">
      <c r="B62" s="14"/>
      <c r="C62" s="40"/>
      <c r="E62" s="45"/>
      <c r="F62" s="45"/>
      <c r="H62" s="11"/>
      <c r="J62" s="14"/>
      <c r="K62" s="40"/>
      <c r="L62" s="41"/>
      <c r="M62" s="45"/>
      <c r="N62" s="45"/>
      <c r="O62" s="368"/>
      <c r="P62" s="11"/>
    </row>
    <row r="63" spans="2:16" ht="16.5" customHeight="1" x14ac:dyDescent="0.25">
      <c r="B63" s="14"/>
      <c r="C63" s="274" t="s">
        <v>32034</v>
      </c>
      <c r="D63" s="266" t="s">
        <v>241</v>
      </c>
      <c r="E63" s="269">
        <v>0.6318555555555555</v>
      </c>
      <c r="F63" s="269" t="str">
        <f>F59</f>
        <v>ton/year/hh</v>
      </c>
      <c r="G63" s="435" t="s">
        <v>33308</v>
      </c>
      <c r="H63" s="11"/>
      <c r="J63" s="14"/>
      <c r="K63" s="274" t="s">
        <v>32034</v>
      </c>
      <c r="L63" s="266" t="s">
        <v>241</v>
      </c>
      <c r="M63" s="269">
        <v>0.6318555555555555</v>
      </c>
      <c r="N63" s="269" t="str">
        <f>N59</f>
        <v>ton/year/hh</v>
      </c>
      <c r="O63" s="435" t="s">
        <v>33308</v>
      </c>
      <c r="P63" s="11"/>
    </row>
    <row r="64" spans="2:16" ht="16.5" customHeight="1" x14ac:dyDescent="0.25">
      <c r="B64" s="14"/>
      <c r="C64" s="270"/>
      <c r="D64" s="436" t="s">
        <v>242</v>
      </c>
      <c r="E64" s="442">
        <v>0.88648234374999957</v>
      </c>
      <c r="F64" s="442" t="str">
        <f t="shared" ref="F64:F65" si="0">F60</f>
        <v>ton/year/hh</v>
      </c>
      <c r="G64" s="438" t="s">
        <v>33308</v>
      </c>
      <c r="H64" s="11"/>
      <c r="J64" s="14"/>
      <c r="K64" s="270"/>
      <c r="L64" s="436" t="s">
        <v>242</v>
      </c>
      <c r="M64" s="442">
        <v>0.88648234374999957</v>
      </c>
      <c r="N64" s="442" t="str">
        <f t="shared" ref="N64:N65" si="1">N60</f>
        <v>ton/year/hh</v>
      </c>
      <c r="O64" s="438" t="s">
        <v>33308</v>
      </c>
      <c r="P64" s="11"/>
    </row>
    <row r="65" spans="2:16" ht="16.5" customHeight="1" x14ac:dyDescent="0.25">
      <c r="B65" s="14"/>
      <c r="C65" s="271"/>
      <c r="D65" s="268" t="s">
        <v>265</v>
      </c>
      <c r="E65" s="273">
        <v>0</v>
      </c>
      <c r="F65" s="272" t="str">
        <f t="shared" si="0"/>
        <v>ton/year/hh</v>
      </c>
      <c r="G65" s="441" t="s">
        <v>33308</v>
      </c>
      <c r="H65" s="11"/>
      <c r="J65" s="14"/>
      <c r="K65" s="271"/>
      <c r="L65" s="268" t="s">
        <v>265</v>
      </c>
      <c r="M65" s="273">
        <v>0</v>
      </c>
      <c r="N65" s="272" t="str">
        <f t="shared" si="1"/>
        <v>ton/year/hh</v>
      </c>
      <c r="O65" s="441" t="s">
        <v>33308</v>
      </c>
      <c r="P65" s="11"/>
    </row>
    <row r="66" spans="2:16" ht="16.5" customHeight="1" x14ac:dyDescent="0.25">
      <c r="B66" s="14"/>
      <c r="C66" s="40"/>
      <c r="H66" s="11"/>
      <c r="J66" s="14"/>
      <c r="K66" s="40"/>
      <c r="L66" s="41"/>
      <c r="M66" s="4"/>
      <c r="N66" s="4"/>
      <c r="O66" s="368"/>
      <c r="P66" s="11"/>
    </row>
    <row r="67" spans="2:16" ht="16.5" customHeight="1" thickBot="1" x14ac:dyDescent="0.3">
      <c r="B67" s="15"/>
      <c r="C67" s="132" t="s">
        <v>240</v>
      </c>
      <c r="D67" s="189" t="s">
        <v>241</v>
      </c>
      <c r="E67" s="133">
        <f>(E59*E55+E56*E63)</f>
        <v>3.7497378300865796</v>
      </c>
      <c r="F67" s="134" t="str">
        <f>F72</f>
        <v>ton/year/hh</v>
      </c>
      <c r="G67" s="369" t="s">
        <v>264</v>
      </c>
      <c r="H67" s="11"/>
      <c r="J67" s="15"/>
      <c r="K67" s="132" t="s">
        <v>240</v>
      </c>
      <c r="L67" s="189" t="s">
        <v>241</v>
      </c>
      <c r="M67" s="133">
        <f>(M59*M55+M56*M63)</f>
        <v>3.7497378300865796</v>
      </c>
      <c r="N67" s="134" t="str">
        <f>N72</f>
        <v>ton/year/hh</v>
      </c>
      <c r="O67" s="369" t="s">
        <v>264</v>
      </c>
      <c r="P67" s="11"/>
    </row>
    <row r="68" spans="2:16" ht="27" customHeight="1" thickTop="1" x14ac:dyDescent="0.25">
      <c r="B68" s="15"/>
      <c r="C68" s="135" t="s">
        <v>173</v>
      </c>
      <c r="D68" s="136" t="s">
        <v>27460</v>
      </c>
      <c r="E68" s="103">
        <v>1.5599999999999999E-2</v>
      </c>
      <c r="F68" s="137" t="s">
        <v>130</v>
      </c>
      <c r="G68" s="370" t="s">
        <v>102</v>
      </c>
      <c r="H68" s="11"/>
      <c r="J68" s="15"/>
      <c r="K68" s="135" t="s">
        <v>173</v>
      </c>
      <c r="L68" s="136" t="s">
        <v>27460</v>
      </c>
      <c r="M68" s="103">
        <v>1.5599999999999999E-2</v>
      </c>
      <c r="N68" s="137" t="s">
        <v>130</v>
      </c>
      <c r="O68" s="370" t="s">
        <v>102</v>
      </c>
      <c r="P68" s="11"/>
    </row>
    <row r="69" spans="2:16" ht="16.5" customHeight="1" x14ac:dyDescent="0.25">
      <c r="B69" s="15"/>
      <c r="C69" s="135" t="s">
        <v>267</v>
      </c>
      <c r="D69" s="136" t="s">
        <v>233</v>
      </c>
      <c r="E69" s="103">
        <v>112</v>
      </c>
      <c r="F69" s="137" t="s">
        <v>131</v>
      </c>
      <c r="G69" s="370" t="s">
        <v>237</v>
      </c>
      <c r="H69" s="11"/>
      <c r="J69" s="15"/>
      <c r="K69" s="135" t="s">
        <v>267</v>
      </c>
      <c r="L69" s="136" t="s">
        <v>233</v>
      </c>
      <c r="M69" s="103">
        <v>112</v>
      </c>
      <c r="N69" s="137" t="s">
        <v>131</v>
      </c>
      <c r="O69" s="370" t="s">
        <v>237</v>
      </c>
      <c r="P69" s="11"/>
    </row>
    <row r="70" spans="2:16" ht="16.5" customHeight="1" x14ac:dyDescent="0.2">
      <c r="B70" s="15"/>
      <c r="C70" s="138" t="s">
        <v>266</v>
      </c>
      <c r="D70" s="190" t="s">
        <v>235</v>
      </c>
      <c r="E70" s="139">
        <f>9.46</f>
        <v>9.4600000000000009</v>
      </c>
      <c r="F70" s="140" t="s">
        <v>234</v>
      </c>
      <c r="G70" s="371" t="s">
        <v>236</v>
      </c>
      <c r="H70" s="11"/>
      <c r="J70" s="15"/>
      <c r="K70" s="138" t="s">
        <v>266</v>
      </c>
      <c r="L70" s="190" t="s">
        <v>235</v>
      </c>
      <c r="M70" s="139">
        <f>9.46</f>
        <v>9.4600000000000009</v>
      </c>
      <c r="N70" s="140" t="s">
        <v>234</v>
      </c>
      <c r="O70" s="371" t="s">
        <v>236</v>
      </c>
      <c r="P70" s="11"/>
    </row>
    <row r="71" spans="2:16" ht="16.5" customHeight="1" x14ac:dyDescent="0.2">
      <c r="B71" s="15"/>
      <c r="C71" s="40"/>
      <c r="E71" s="103"/>
      <c r="F71" s="44"/>
      <c r="H71" s="11"/>
      <c r="J71" s="15"/>
      <c r="K71" s="40"/>
      <c r="L71" s="41"/>
      <c r="M71" s="103"/>
      <c r="N71" s="44"/>
      <c r="O71" s="368"/>
      <c r="P71" s="11"/>
    </row>
    <row r="72" spans="2:16" ht="16.5" customHeight="1" thickBot="1" x14ac:dyDescent="0.3">
      <c r="B72" s="14"/>
      <c r="C72" s="132" t="s">
        <v>240</v>
      </c>
      <c r="D72" s="189" t="s">
        <v>242</v>
      </c>
      <c r="E72" s="133">
        <f>(E55*E60+E64*E56)</f>
        <v>0.29398960255681805</v>
      </c>
      <c r="F72" s="134" t="s">
        <v>32076</v>
      </c>
      <c r="G72" s="369" t="str">
        <f>G67</f>
        <v>BFT study</v>
      </c>
      <c r="H72" s="11"/>
      <c r="J72" s="14"/>
      <c r="K72" s="132" t="s">
        <v>240</v>
      </c>
      <c r="L72" s="189" t="s">
        <v>242</v>
      </c>
      <c r="M72" s="133">
        <f>E72</f>
        <v>0.29398960255681805</v>
      </c>
      <c r="N72" s="134" t="s">
        <v>32076</v>
      </c>
      <c r="O72" s="369" t="str">
        <f>O67</f>
        <v>BFT study</v>
      </c>
      <c r="P72" s="11"/>
    </row>
    <row r="73" spans="2:16" ht="16.5" customHeight="1" thickTop="1" x14ac:dyDescent="0.25">
      <c r="B73" s="14"/>
      <c r="C73" s="135" t="s">
        <v>173</v>
      </c>
      <c r="D73" s="136" t="s">
        <v>27461</v>
      </c>
      <c r="E73" s="103">
        <v>2.9499999999999998E-2</v>
      </c>
      <c r="F73" s="137" t="str">
        <f>F68</f>
        <v>TJ/tonne</v>
      </c>
      <c r="G73" s="370" t="str">
        <f>G68</f>
        <v>IPCC default</v>
      </c>
      <c r="H73" s="11"/>
      <c r="J73" s="14"/>
      <c r="K73" s="135" t="s">
        <v>173</v>
      </c>
      <c r="L73" s="136" t="s">
        <v>27461</v>
      </c>
      <c r="M73" s="103">
        <v>2.9499999999999998E-2</v>
      </c>
      <c r="N73" s="137" t="str">
        <f>N68</f>
        <v>TJ/tonne</v>
      </c>
      <c r="O73" s="370" t="str">
        <f>O68</f>
        <v>IPCC default</v>
      </c>
      <c r="P73" s="11"/>
    </row>
    <row r="74" spans="2:16" ht="16.5" customHeight="1" x14ac:dyDescent="0.25">
      <c r="B74" s="14"/>
      <c r="C74" s="135" t="s">
        <v>267</v>
      </c>
      <c r="D74" s="136" t="s">
        <v>238</v>
      </c>
      <c r="E74" s="103">
        <v>165</v>
      </c>
      <c r="F74" s="137" t="str">
        <f t="shared" ref="F74:G75" si="2">F69</f>
        <v>tCO2/TJ</v>
      </c>
      <c r="G74" s="370" t="str">
        <f t="shared" si="2"/>
        <v>BGTA13 default</v>
      </c>
      <c r="H74" s="11"/>
      <c r="J74" s="14"/>
      <c r="K74" s="135" t="s">
        <v>267</v>
      </c>
      <c r="L74" s="136" t="s">
        <v>238</v>
      </c>
      <c r="M74" s="103">
        <v>165</v>
      </c>
      <c r="N74" s="137" t="str">
        <f t="shared" ref="N74:O74" si="3">N69</f>
        <v>tCO2/TJ</v>
      </c>
      <c r="O74" s="370" t="str">
        <f t="shared" si="3"/>
        <v>BGTA13 default</v>
      </c>
      <c r="P74" s="11"/>
    </row>
    <row r="75" spans="2:16" ht="16.5" customHeight="1" x14ac:dyDescent="0.2">
      <c r="B75" s="14"/>
      <c r="C75" s="138" t="s">
        <v>266</v>
      </c>
      <c r="D75" s="190" t="s">
        <v>239</v>
      </c>
      <c r="E75" s="139">
        <v>44.83</v>
      </c>
      <c r="F75" s="140" t="str">
        <f t="shared" si="2"/>
        <v>tCO2/TJ</v>
      </c>
      <c r="G75" s="371" t="str">
        <f t="shared" si="2"/>
        <v>BGTA 14 default</v>
      </c>
      <c r="H75" s="11"/>
      <c r="J75" s="14"/>
      <c r="K75" s="138" t="s">
        <v>266</v>
      </c>
      <c r="L75" s="190" t="s">
        <v>239</v>
      </c>
      <c r="M75" s="139">
        <v>44.83</v>
      </c>
      <c r="N75" s="140" t="str">
        <f t="shared" ref="N75:O75" si="4">N70</f>
        <v>tCO2/TJ</v>
      </c>
      <c r="O75" s="371" t="str">
        <f t="shared" si="4"/>
        <v>BGTA 14 default</v>
      </c>
      <c r="P75" s="11"/>
    </row>
    <row r="76" spans="2:16" ht="16.5" customHeight="1" x14ac:dyDescent="0.25">
      <c r="B76" s="14"/>
      <c r="C76" s="40"/>
      <c r="E76" s="104"/>
      <c r="F76" s="45"/>
      <c r="H76" s="11"/>
      <c r="J76" s="14"/>
      <c r="K76" s="40"/>
      <c r="L76" s="41"/>
      <c r="M76" s="104"/>
      <c r="N76" s="45"/>
      <c r="O76" s="368"/>
      <c r="P76" s="11"/>
    </row>
    <row r="77" spans="2:16" ht="16.5" customHeight="1" thickBot="1" x14ac:dyDescent="0.3">
      <c r="B77" s="14"/>
      <c r="C77" s="132" t="s">
        <v>240</v>
      </c>
      <c r="D77" s="189" t="s">
        <v>265</v>
      </c>
      <c r="E77" s="133">
        <v>0</v>
      </c>
      <c r="F77" s="134" t="str">
        <f>F72</f>
        <v>ton/year/hh</v>
      </c>
      <c r="G77" s="369" t="str">
        <f>G72</f>
        <v>BFT study</v>
      </c>
      <c r="H77" s="11"/>
      <c r="J77" s="14"/>
      <c r="K77" s="132" t="s">
        <v>240</v>
      </c>
      <c r="L77" s="189" t="s">
        <v>265</v>
      </c>
      <c r="M77" s="133">
        <f>E77</f>
        <v>0</v>
      </c>
      <c r="N77" s="134" t="str">
        <f>N72</f>
        <v>ton/year/hh</v>
      </c>
      <c r="O77" s="369" t="str">
        <f>O72</f>
        <v>BFT study</v>
      </c>
      <c r="P77" s="11"/>
    </row>
    <row r="78" spans="2:16" ht="16.5" customHeight="1" thickTop="1" x14ac:dyDescent="0.25">
      <c r="B78" s="14"/>
      <c r="C78" s="135" t="s">
        <v>173</v>
      </c>
      <c r="D78" s="136" t="s">
        <v>27462</v>
      </c>
      <c r="E78" s="103">
        <v>4.7300000000000002E-2</v>
      </c>
      <c r="F78" s="137" t="s">
        <v>130</v>
      </c>
      <c r="G78" s="370" t="s">
        <v>102</v>
      </c>
      <c r="H78" s="11"/>
      <c r="J78" s="14"/>
      <c r="K78" s="135" t="s">
        <v>173</v>
      </c>
      <c r="L78" s="136" t="s">
        <v>27462</v>
      </c>
      <c r="M78" s="103">
        <v>4.7300000000000002E-2</v>
      </c>
      <c r="N78" s="137" t="s">
        <v>130</v>
      </c>
      <c r="O78" s="370" t="s">
        <v>102</v>
      </c>
      <c r="P78" s="11"/>
    </row>
    <row r="79" spans="2:16" ht="16.5" customHeight="1" x14ac:dyDescent="0.25">
      <c r="B79" s="14"/>
      <c r="C79" s="135" t="s">
        <v>267</v>
      </c>
      <c r="D79" s="136" t="s">
        <v>27463</v>
      </c>
      <c r="E79" s="103">
        <v>63.1</v>
      </c>
      <c r="F79" s="137" t="s">
        <v>131</v>
      </c>
      <c r="G79" s="370" t="s">
        <v>102</v>
      </c>
      <c r="H79" s="11"/>
      <c r="J79" s="14"/>
      <c r="K79" s="135" t="s">
        <v>267</v>
      </c>
      <c r="L79" s="136" t="s">
        <v>27463</v>
      </c>
      <c r="M79" s="103">
        <v>63.1</v>
      </c>
      <c r="N79" s="137" t="s">
        <v>131</v>
      </c>
      <c r="O79" s="370" t="s">
        <v>102</v>
      </c>
      <c r="P79" s="11"/>
    </row>
    <row r="80" spans="2:16" ht="16.5" customHeight="1" x14ac:dyDescent="0.2">
      <c r="B80" s="14"/>
      <c r="C80" s="138" t="s">
        <v>266</v>
      </c>
      <c r="D80" s="190" t="s">
        <v>258</v>
      </c>
      <c r="E80" s="139">
        <f>E88</f>
        <v>0.16650000000000001</v>
      </c>
      <c r="F80" s="140" t="str">
        <f>F79</f>
        <v>tCO2/TJ</v>
      </c>
      <c r="G80" s="371" t="s">
        <v>260</v>
      </c>
      <c r="H80" s="11"/>
      <c r="J80" s="14"/>
      <c r="K80" s="138" t="s">
        <v>266</v>
      </c>
      <c r="L80" s="190" t="s">
        <v>258</v>
      </c>
      <c r="M80" s="139">
        <f>M88</f>
        <v>0.16650000000000001</v>
      </c>
      <c r="N80" s="140" t="str">
        <f>N79</f>
        <v>tCO2/TJ</v>
      </c>
      <c r="O80" s="371" t="s">
        <v>260</v>
      </c>
      <c r="P80" s="11"/>
    </row>
    <row r="81" spans="2:16" ht="16.5" customHeight="1" x14ac:dyDescent="0.25">
      <c r="B81" s="14"/>
      <c r="H81" s="11"/>
      <c r="J81" s="14"/>
      <c r="L81" s="41"/>
      <c r="M81" s="4"/>
      <c r="N81" s="4"/>
      <c r="O81" s="368"/>
      <c r="P81" s="11"/>
    </row>
    <row r="82" spans="2:16" ht="30.2" customHeight="1" thickBot="1" x14ac:dyDescent="0.3">
      <c r="B82" s="14"/>
      <c r="C82" s="132" t="s">
        <v>243</v>
      </c>
      <c r="D82" s="189" t="s">
        <v>27464</v>
      </c>
      <c r="E82" s="133">
        <f>($E$67*$E$68*E69+$E$72*$E$73*E74)+E77*E78*E79</f>
        <v>7.9825363271725838</v>
      </c>
      <c r="F82" s="134" t="str">
        <f>F85</f>
        <v>tCO2 / yr /hh</v>
      </c>
      <c r="G82" s="369"/>
      <c r="H82" s="11"/>
      <c r="J82" s="14"/>
      <c r="K82" s="132" t="s">
        <v>243</v>
      </c>
      <c r="L82" s="189" t="s">
        <v>27464</v>
      </c>
      <c r="M82" s="133">
        <f>($E$67*$E$68*M69+$E$72*$E$73*M74)+M77*M78*M79</f>
        <v>7.9825363271725838</v>
      </c>
      <c r="N82" s="134" t="str">
        <f>N85</f>
        <v>tCO2 / yr /hh</v>
      </c>
      <c r="O82" s="369"/>
      <c r="P82" s="11"/>
    </row>
    <row r="83" spans="2:16" ht="16.5" customHeight="1" thickTop="1" x14ac:dyDescent="0.25">
      <c r="B83" s="15"/>
      <c r="C83" s="135" t="s">
        <v>244</v>
      </c>
      <c r="D83" s="136" t="s">
        <v>27465</v>
      </c>
      <c r="E83" s="104">
        <f>($E$67*$E$68*E70+$E$72*$E$73*E75)</f>
        <v>0.94216814955021055</v>
      </c>
      <c r="F83" s="137" t="s">
        <v>268</v>
      </c>
      <c r="G83" s="370"/>
      <c r="H83" s="11"/>
      <c r="J83" s="15"/>
      <c r="K83" s="135" t="s">
        <v>244</v>
      </c>
      <c r="L83" s="136" t="s">
        <v>27465</v>
      </c>
      <c r="M83" s="104">
        <f>($E$67*$E$68*M70+$E$72*$E$73*M75)</f>
        <v>0.94216814955021055</v>
      </c>
      <c r="N83" s="137" t="s">
        <v>268</v>
      </c>
      <c r="O83" s="370"/>
      <c r="P83" s="11"/>
    </row>
    <row r="84" spans="2:16" ht="16.5" customHeight="1" x14ac:dyDescent="0.25">
      <c r="B84" s="15"/>
      <c r="C84" s="135" t="s">
        <v>127</v>
      </c>
      <c r="D84" s="136" t="s">
        <v>128</v>
      </c>
      <c r="E84" s="366">
        <v>0.83780679495498411</v>
      </c>
      <c r="F84" s="137" t="s">
        <v>129</v>
      </c>
      <c r="G84" s="370" t="str">
        <f>PE_LE!G78</f>
        <v>fNRB Uganda spreadhseet cel B18 of sheet fNRB calculation</v>
      </c>
      <c r="H84" s="11"/>
      <c r="J84" s="15"/>
      <c r="K84" s="135" t="s">
        <v>127</v>
      </c>
      <c r="L84" s="136" t="s">
        <v>128</v>
      </c>
      <c r="M84" s="366">
        <f>FNRB</f>
        <v>0.83780679495498411</v>
      </c>
      <c r="N84" s="137" t="s">
        <v>129</v>
      </c>
      <c r="O84" s="370" t="str">
        <f>PE_LE!O78</f>
        <v>fNRB Uganda spreadhseet cel B18 of sheet fNRB calculation</v>
      </c>
      <c r="P84" s="11"/>
    </row>
    <row r="85" spans="2:16" ht="19.5" customHeight="1" x14ac:dyDescent="0.25">
      <c r="B85" s="15"/>
      <c r="C85" s="138" t="s">
        <v>270</v>
      </c>
      <c r="D85" s="190" t="s">
        <v>285</v>
      </c>
      <c r="E85" s="141">
        <f>(E82-(E77*E78*E79))*E84+(E77*E78*E79)+E83</f>
        <v>7.629991325430403</v>
      </c>
      <c r="F85" s="201" t="s">
        <v>132</v>
      </c>
      <c r="G85" s="371" t="s">
        <v>32022</v>
      </c>
      <c r="H85" s="11"/>
      <c r="J85" s="15"/>
      <c r="K85" s="138" t="s">
        <v>270</v>
      </c>
      <c r="L85" s="190" t="s">
        <v>285</v>
      </c>
      <c r="M85" s="141">
        <f>(M82-(M77*M78*M79))*M84+(M77*M78*M79)+M83</f>
        <v>7.629991325430403</v>
      </c>
      <c r="N85" s="201" t="s">
        <v>132</v>
      </c>
      <c r="O85" s="371" t="s">
        <v>32022</v>
      </c>
      <c r="P85" s="11"/>
    </row>
    <row r="86" spans="2:16" ht="16.5" customHeight="1" thickBot="1" x14ac:dyDescent="0.3">
      <c r="B86" s="46"/>
      <c r="C86" s="107"/>
      <c r="D86" s="191"/>
      <c r="E86" s="108"/>
      <c r="F86" s="47"/>
      <c r="G86" s="372"/>
      <c r="H86" s="48"/>
      <c r="J86" s="46"/>
      <c r="K86" s="107"/>
      <c r="L86" s="191"/>
      <c r="M86" s="108"/>
      <c r="N86" s="47"/>
      <c r="O86" s="372"/>
      <c r="P86" s="48"/>
    </row>
    <row r="87" spans="2:16" ht="13.5" thickBot="1" x14ac:dyDescent="0.3">
      <c r="L87" s="41"/>
      <c r="M87" s="4"/>
      <c r="N87" s="4"/>
      <c r="O87" s="368"/>
    </row>
    <row r="88" spans="2:16" ht="15" x14ac:dyDescent="0.25">
      <c r="C88" s="277" t="s">
        <v>257</v>
      </c>
      <c r="D88" s="278"/>
      <c r="E88" s="88">
        <f>(E89*E4+E90*E5)/1000</f>
        <v>0.16650000000000001</v>
      </c>
      <c r="F88" s="279" t="s">
        <v>259</v>
      </c>
      <c r="G88" s="373" t="s">
        <v>172</v>
      </c>
      <c r="K88" s="277" t="s">
        <v>257</v>
      </c>
      <c r="L88" s="278"/>
      <c r="M88" s="88">
        <f>(M89*M4+M90*M5)/1000</f>
        <v>0.16650000000000001</v>
      </c>
      <c r="N88" s="279" t="s">
        <v>259</v>
      </c>
      <c r="O88" s="373" t="s">
        <v>172</v>
      </c>
    </row>
    <row r="89" spans="2:16" x14ac:dyDescent="0.2">
      <c r="C89" s="280" t="s">
        <v>174</v>
      </c>
      <c r="D89" s="281" t="s">
        <v>175</v>
      </c>
      <c r="E89" s="282">
        <v>5</v>
      </c>
      <c r="F89" s="283" t="s">
        <v>157</v>
      </c>
      <c r="G89" s="374" t="s">
        <v>158</v>
      </c>
      <c r="K89" s="280" t="s">
        <v>174</v>
      </c>
      <c r="L89" s="281" t="s">
        <v>175</v>
      </c>
      <c r="M89" s="282">
        <v>5</v>
      </c>
      <c r="N89" s="283" t="s">
        <v>157</v>
      </c>
      <c r="O89" s="374" t="s">
        <v>158</v>
      </c>
    </row>
    <row r="90" spans="2:16" ht="13.5" thickBot="1" x14ac:dyDescent="0.25">
      <c r="C90" s="284" t="s">
        <v>176</v>
      </c>
      <c r="D90" s="285" t="s">
        <v>177</v>
      </c>
      <c r="E90" s="286">
        <v>0.1</v>
      </c>
      <c r="F90" s="287" t="s">
        <v>157</v>
      </c>
      <c r="G90" s="375" t="s">
        <v>158</v>
      </c>
      <c r="K90" s="284" t="s">
        <v>176</v>
      </c>
      <c r="L90" s="285" t="s">
        <v>177</v>
      </c>
      <c r="M90" s="286">
        <v>0.1</v>
      </c>
      <c r="N90" s="287" t="s">
        <v>157</v>
      </c>
      <c r="O90" s="375" t="s">
        <v>158</v>
      </c>
    </row>
    <row r="91" spans="2:16" x14ac:dyDescent="0.25">
      <c r="L91" s="41"/>
      <c r="M91" s="4"/>
      <c r="N91" s="4"/>
      <c r="O91" s="368"/>
    </row>
    <row r="92" spans="2:16" x14ac:dyDescent="0.25">
      <c r="L92" s="41"/>
      <c r="M92" s="4"/>
      <c r="N92" s="4"/>
      <c r="O92" s="368"/>
    </row>
    <row r="93" spans="2:16" x14ac:dyDescent="0.25">
      <c r="B93" s="4"/>
      <c r="D93" s="2"/>
      <c r="E93" s="2"/>
      <c r="F93" s="2"/>
      <c r="J93" s="4"/>
      <c r="O93" s="368"/>
    </row>
    <row r="94" spans="2:16" x14ac:dyDescent="0.25">
      <c r="D94" s="2"/>
      <c r="E94" s="2"/>
      <c r="F94" s="2"/>
      <c r="O94" s="368"/>
    </row>
    <row r="95" spans="2:16" x14ac:dyDescent="0.25">
      <c r="D95" s="2"/>
      <c r="E95" s="2"/>
      <c r="F95" s="2"/>
      <c r="O95" s="368"/>
    </row>
    <row r="96" spans="2:16" x14ac:dyDescent="0.25">
      <c r="B96" s="4" t="str">
        <f>D9</f>
        <v>Number of dairy cows</v>
      </c>
      <c r="C96" s="45">
        <f>E9</f>
        <v>6.7181818181818178</v>
      </c>
      <c r="D96" s="2"/>
      <c r="E96" s="2"/>
      <c r="F96" s="2"/>
      <c r="J96" s="4" t="str">
        <f>L9</f>
        <v>Number of dairy cows</v>
      </c>
      <c r="K96" s="45">
        <f>M9</f>
        <v>6.8045112781954886</v>
      </c>
      <c r="O96" s="368"/>
    </row>
    <row r="97" spans="2:15" x14ac:dyDescent="0.25">
      <c r="B97" s="4" t="str">
        <f>D15</f>
        <v>Number of other cattle</v>
      </c>
      <c r="C97" s="45">
        <f>E15</f>
        <v>3.0727272727272728</v>
      </c>
      <c r="D97" s="2"/>
      <c r="E97" s="2"/>
      <c r="F97" s="2"/>
      <c r="J97" s="4" t="str">
        <f>L15</f>
        <v>Number of other cattle</v>
      </c>
      <c r="K97" s="45">
        <f>M15</f>
        <v>2.7222222222222223</v>
      </c>
      <c r="O97" s="368"/>
    </row>
    <row r="98" spans="2:15" x14ac:dyDescent="0.25">
      <c r="B98" s="4" t="str">
        <f>D21</f>
        <v>Swine finishing</v>
      </c>
      <c r="C98" s="45">
        <f>E21</f>
        <v>1.3840712601519518</v>
      </c>
      <c r="D98" s="2"/>
      <c r="E98" s="2"/>
      <c r="F98" s="2"/>
      <c r="J98" s="4" t="str">
        <f>L21</f>
        <v>Swine finishing</v>
      </c>
      <c r="K98" s="45">
        <f>M21</f>
        <v>4.7034300448527659</v>
      </c>
      <c r="O98" s="368"/>
    </row>
    <row r="99" spans="2:15" x14ac:dyDescent="0.25">
      <c r="B99" s="4" t="str">
        <f>D27</f>
        <v>Number of breeding swine</v>
      </c>
      <c r="C99" s="45">
        <f>E27</f>
        <v>1.7</v>
      </c>
      <c r="D99" s="2"/>
      <c r="E99" s="2"/>
      <c r="F99" s="2"/>
      <c r="J99" s="4" t="str">
        <f>L27</f>
        <v>Number of breeding swine</v>
      </c>
      <c r="K99" s="45">
        <f>M27</f>
        <v>2.4921875</v>
      </c>
      <c r="O99" s="368"/>
    </row>
    <row r="100" spans="2:15" x14ac:dyDescent="0.25">
      <c r="B100" s="4" t="str">
        <f>D33</f>
        <v>Number of sheep</v>
      </c>
      <c r="C100" s="45">
        <f>E33</f>
        <v>0.2818181818181818</v>
      </c>
      <c r="D100" s="2"/>
      <c r="E100" s="2"/>
      <c r="F100" s="2"/>
      <c r="J100" s="4" t="str">
        <f>L33</f>
        <v>Number of sheep</v>
      </c>
      <c r="K100" s="45">
        <f>M33</f>
        <v>0.77952755905511806</v>
      </c>
      <c r="O100" s="368"/>
    </row>
    <row r="101" spans="2:15" x14ac:dyDescent="0.25">
      <c r="B101" s="4" t="str">
        <f>D39</f>
        <v>Number of goat</v>
      </c>
      <c r="C101" s="45">
        <f>E39</f>
        <v>3.9636363636363638</v>
      </c>
      <c r="D101" s="2"/>
      <c r="E101" s="2"/>
      <c r="F101" s="2"/>
      <c r="J101" s="4" t="str">
        <f>L39</f>
        <v>Number of goat</v>
      </c>
      <c r="K101" s="45">
        <f>M39</f>
        <v>1.9689922480620154</v>
      </c>
      <c r="O101" s="368"/>
    </row>
    <row r="102" spans="2:15" x14ac:dyDescent="0.25">
      <c r="B102" s="4" t="str">
        <f>D45</f>
        <v>Number of poultry</v>
      </c>
      <c r="C102" s="45">
        <f>E45</f>
        <v>37.154545454545456</v>
      </c>
      <c r="D102" s="2"/>
      <c r="E102" s="2"/>
      <c r="F102" s="2"/>
      <c r="J102" s="4" t="str">
        <f>L45</f>
        <v>Number of poultry</v>
      </c>
      <c r="K102" s="45">
        <f>M45</f>
        <v>24.801526717557252</v>
      </c>
      <c r="O102" s="368"/>
    </row>
    <row r="103" spans="2:15" x14ac:dyDescent="0.25">
      <c r="B103" s="4"/>
      <c r="D103" s="2"/>
      <c r="E103" s="2"/>
      <c r="F103" s="2"/>
    </row>
    <row r="112" spans="2:15" x14ac:dyDescent="0.25">
      <c r="D112" s="41" t="s">
        <v>27458</v>
      </c>
    </row>
    <row r="115" spans="4:4" x14ac:dyDescent="0.25">
      <c r="D115" s="41" t="s">
        <v>27459</v>
      </c>
    </row>
  </sheetData>
  <mergeCells count="4">
    <mergeCell ref="B1:H1"/>
    <mergeCell ref="G4:G5"/>
    <mergeCell ref="J1:P1"/>
    <mergeCell ref="O4:O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82E0-680A-4DD8-AC36-3777B179B934}">
  <sheetPr>
    <tabColor theme="9"/>
  </sheetPr>
  <dimension ref="A1:T133"/>
  <sheetViews>
    <sheetView zoomScale="70" zoomScaleNormal="70" workbookViewId="0">
      <pane ySplit="2" topLeftCell="A30" activePane="bottomLeft" state="frozen"/>
      <selection pane="bottomLeft" activeCell="M66" sqref="M66"/>
    </sheetView>
  </sheetViews>
  <sheetFormatPr defaultColWidth="9.140625" defaultRowHeight="12.75" x14ac:dyDescent="0.2"/>
  <cols>
    <col min="1" max="1" width="9.140625" style="35"/>
    <col min="2" max="2" width="10.7109375" style="35" customWidth="1"/>
    <col min="3" max="3" width="15.7109375" style="35" customWidth="1"/>
    <col min="4" max="4" width="59" style="193" customWidth="1"/>
    <col min="5" max="5" width="24.28515625" style="147" customWidth="1"/>
    <col min="6" max="6" width="14.7109375" style="35" customWidth="1"/>
    <col min="7" max="7" width="63.42578125" style="193" customWidth="1"/>
    <col min="8" max="8" width="4.7109375" style="35" customWidth="1"/>
    <col min="9" max="9" width="2.85546875" style="35" customWidth="1"/>
    <col min="10" max="10" width="5.140625" style="35" customWidth="1"/>
    <col min="11" max="11" width="15.7109375" style="35" customWidth="1"/>
    <col min="12" max="12" width="59" style="193" customWidth="1"/>
    <col min="13" max="13" width="24.28515625" style="147" customWidth="1"/>
    <col min="14" max="14" width="14.7109375" style="35" customWidth="1"/>
    <col min="15" max="15" width="53.42578125" style="193" customWidth="1"/>
    <col min="16" max="16" width="17" style="35" customWidth="1"/>
    <col min="17" max="16384" width="9.140625" style="35"/>
  </cols>
  <sheetData>
    <row r="1" spans="1:20" s="17" customFormat="1" ht="22.7" customHeight="1" thickBot="1" x14ac:dyDescent="0.25">
      <c r="A1" s="35"/>
      <c r="B1" s="883" t="s">
        <v>33309</v>
      </c>
      <c r="C1" s="884"/>
      <c r="D1" s="884"/>
      <c r="E1" s="884"/>
      <c r="F1" s="884"/>
      <c r="G1" s="884"/>
      <c r="H1" s="885"/>
      <c r="I1" s="35"/>
      <c r="J1" s="883" t="s">
        <v>33317</v>
      </c>
      <c r="K1" s="884"/>
      <c r="L1" s="884"/>
      <c r="M1" s="884"/>
      <c r="N1" s="884"/>
      <c r="O1" s="884"/>
      <c r="P1" s="885"/>
      <c r="Q1" s="35"/>
      <c r="R1" s="35"/>
      <c r="S1" s="35"/>
      <c r="T1" s="35"/>
    </row>
    <row r="2" spans="1:20" s="17" customFormat="1" ht="16.5" customHeight="1" x14ac:dyDescent="0.2">
      <c r="A2" s="35"/>
      <c r="B2" s="123"/>
      <c r="C2" s="121" t="s">
        <v>95</v>
      </c>
      <c r="D2" s="192" t="s">
        <v>96</v>
      </c>
      <c r="E2" s="122" t="s">
        <v>97</v>
      </c>
      <c r="F2" s="122" t="s">
        <v>98</v>
      </c>
      <c r="G2" s="121" t="s">
        <v>99</v>
      </c>
      <c r="H2" s="124"/>
      <c r="I2" s="35"/>
      <c r="J2" s="123"/>
      <c r="K2" s="121" t="s">
        <v>95</v>
      </c>
      <c r="L2" s="192" t="s">
        <v>96</v>
      </c>
      <c r="M2" s="122" t="s">
        <v>97</v>
      </c>
      <c r="N2" s="122" t="s">
        <v>98</v>
      </c>
      <c r="O2" s="121" t="s">
        <v>99</v>
      </c>
      <c r="P2" s="124"/>
      <c r="Q2" s="35"/>
      <c r="R2" s="35"/>
      <c r="S2" s="35"/>
      <c r="T2" s="35"/>
    </row>
    <row r="3" spans="1:20" s="17" customFormat="1" x14ac:dyDescent="0.2">
      <c r="A3" s="35"/>
      <c r="B3" s="14" t="str">
        <f>BE!B3</f>
        <v>AWMS Tier 1</v>
      </c>
      <c r="C3" s="40"/>
      <c r="D3" s="41"/>
      <c r="E3" s="22"/>
      <c r="F3" s="42"/>
      <c r="G3" s="368"/>
      <c r="H3" s="101"/>
      <c r="I3" s="35"/>
      <c r="J3" s="14" t="str">
        <f>B3</f>
        <v>AWMS Tier 1</v>
      </c>
      <c r="K3" s="40"/>
      <c r="L3" s="41"/>
      <c r="M3" s="22"/>
      <c r="N3" s="42"/>
      <c r="O3" s="368"/>
      <c r="P3" s="101"/>
      <c r="Q3" s="35"/>
      <c r="R3" s="35"/>
      <c r="S3" s="35"/>
      <c r="T3" s="35"/>
    </row>
    <row r="4" spans="1:20" s="17" customFormat="1" ht="25.5" customHeight="1" x14ac:dyDescent="0.2">
      <c r="A4" s="35"/>
      <c r="B4" s="18"/>
      <c r="C4" s="92" t="str">
        <f>BE!C4</f>
        <v>BGTA 7:CH4</v>
      </c>
      <c r="D4" s="194" t="str">
        <f>BE!D4</f>
        <v>Global Warming Potential of methane</v>
      </c>
      <c r="E4" s="129">
        <v>28</v>
      </c>
      <c r="F4" s="97"/>
      <c r="G4" s="886" t="s">
        <v>101</v>
      </c>
      <c r="H4" s="101"/>
      <c r="I4" s="35"/>
      <c r="J4" s="18"/>
      <c r="K4" s="92" t="s">
        <v>27027</v>
      </c>
      <c r="L4" s="92" t="s">
        <v>160</v>
      </c>
      <c r="M4" s="129">
        <v>28</v>
      </c>
      <c r="N4" s="97"/>
      <c r="O4" s="886" t="s">
        <v>101</v>
      </c>
      <c r="P4" s="101"/>
      <c r="Q4" s="35"/>
      <c r="R4" s="35"/>
      <c r="S4" s="35"/>
      <c r="T4" s="35"/>
    </row>
    <row r="5" spans="1:20" s="17" customFormat="1" x14ac:dyDescent="0.2">
      <c r="A5" s="35"/>
      <c r="B5" s="15"/>
      <c r="C5" s="98" t="str">
        <f>BE!C5</f>
        <v>N2O</v>
      </c>
      <c r="D5" s="351" t="str">
        <f>BE!D5</f>
        <v>Global Warming Potential of Nitrous dioxide</v>
      </c>
      <c r="E5" s="352">
        <v>265</v>
      </c>
      <c r="F5" s="99"/>
      <c r="G5" s="887"/>
      <c r="H5" s="101"/>
      <c r="I5" s="35"/>
      <c r="J5" s="15"/>
      <c r="K5" s="98" t="s">
        <v>159</v>
      </c>
      <c r="L5" s="351" t="s">
        <v>161</v>
      </c>
      <c r="M5" s="352">
        <v>265</v>
      </c>
      <c r="N5" s="99"/>
      <c r="O5" s="887"/>
      <c r="P5" s="101"/>
      <c r="Q5" s="35"/>
      <c r="R5" s="35"/>
      <c r="S5" s="35"/>
      <c r="T5" s="35"/>
    </row>
    <row r="6" spans="1:20" s="17" customFormat="1" x14ac:dyDescent="0.2">
      <c r="A6" s="35"/>
      <c r="B6" s="15"/>
      <c r="C6" s="94" t="str">
        <f>BE!C6</f>
        <v>DCH4</v>
      </c>
      <c r="D6" s="353" t="str">
        <f>BE!D6</f>
        <v>Density of methane (conversion factor)</v>
      </c>
      <c r="E6" s="352">
        <f>BE!E6</f>
        <v>6.7000000000000002E-4</v>
      </c>
      <c r="F6" s="91" t="str">
        <f>BE!F6</f>
        <v>tonne/m3</v>
      </c>
      <c r="G6" s="379" t="str">
        <f>BE!G6</f>
        <v>IPCC default</v>
      </c>
      <c r="H6" s="101"/>
      <c r="I6" s="35"/>
      <c r="J6" s="15"/>
      <c r="K6" s="94" t="s">
        <v>33310</v>
      </c>
      <c r="L6" s="353" t="s">
        <v>111</v>
      </c>
      <c r="M6" s="352">
        <f>BE!M6</f>
        <v>6.7000000000000002E-4</v>
      </c>
      <c r="N6" s="91" t="s">
        <v>112</v>
      </c>
      <c r="O6" s="379" t="str">
        <f>BE!O6</f>
        <v>IPCC default</v>
      </c>
      <c r="P6" s="101"/>
      <c r="Q6" s="35"/>
      <c r="R6" s="35"/>
      <c r="S6" s="35"/>
      <c r="T6" s="35"/>
    </row>
    <row r="7" spans="1:20" s="17" customFormat="1" x14ac:dyDescent="0.2">
      <c r="A7" s="35"/>
      <c r="B7" s="15"/>
      <c r="C7" s="95" t="str">
        <f>BE!C7</f>
        <v>Days</v>
      </c>
      <c r="D7" s="195" t="str">
        <f>BE!D7</f>
        <v>Days per year</v>
      </c>
      <c r="E7" s="148">
        <f>BE!E7</f>
        <v>365</v>
      </c>
      <c r="F7" s="96" t="str">
        <f>BE!F7</f>
        <v>units</v>
      </c>
      <c r="G7" s="377"/>
      <c r="H7" s="101"/>
      <c r="I7" s="35"/>
      <c r="J7" s="15"/>
      <c r="K7" s="95" t="s">
        <v>123</v>
      </c>
      <c r="L7" s="195" t="s">
        <v>124</v>
      </c>
      <c r="M7" s="148">
        <f>BE!M7</f>
        <v>365</v>
      </c>
      <c r="N7" s="96" t="s">
        <v>104</v>
      </c>
      <c r="O7" s="377"/>
      <c r="P7" s="101"/>
      <c r="Q7" s="35"/>
      <c r="R7" s="35"/>
      <c r="S7" s="35"/>
      <c r="T7" s="35"/>
    </row>
    <row r="8" spans="1:20" s="17" customFormat="1" x14ac:dyDescent="0.2">
      <c r="A8" s="35"/>
      <c r="B8" s="15"/>
      <c r="C8" s="35"/>
      <c r="D8" s="193"/>
      <c r="E8" s="147"/>
      <c r="F8" s="35"/>
      <c r="G8" s="193"/>
      <c r="H8" s="101"/>
      <c r="I8" s="35"/>
      <c r="J8" s="15"/>
      <c r="K8" s="35"/>
      <c r="L8" s="193"/>
      <c r="M8" s="147"/>
      <c r="N8" s="35"/>
      <c r="O8" s="193"/>
      <c r="P8" s="101"/>
      <c r="Q8" s="35"/>
      <c r="R8" s="35"/>
      <c r="S8" s="35"/>
      <c r="T8" s="35"/>
    </row>
    <row r="9" spans="1:20" s="17" customFormat="1" ht="15.75" thickBot="1" x14ac:dyDescent="0.3">
      <c r="A9" s="35"/>
      <c r="B9" s="15"/>
      <c r="C9" s="92" t="s">
        <v>33298</v>
      </c>
      <c r="D9" s="196" t="str">
        <f>BE!D9</f>
        <v>Number of dairy cows</v>
      </c>
      <c r="E9" s="149">
        <f>BE!E9</f>
        <v>6.7181818181818178</v>
      </c>
      <c r="F9" s="93" t="str">
        <f>BE!F9</f>
        <v>units/hh</v>
      </c>
      <c r="G9" s="378" t="str">
        <f>BE!G9</f>
        <v>static population, annual average taken from survey data</v>
      </c>
      <c r="H9" s="101"/>
      <c r="I9" s="35"/>
      <c r="J9" s="15"/>
      <c r="K9" s="92" t="s">
        <v>33311</v>
      </c>
      <c r="L9" s="196" t="s">
        <v>103</v>
      </c>
      <c r="M9" s="149">
        <f>BE!M9</f>
        <v>6.8045112781954886</v>
      </c>
      <c r="N9" s="93" t="s">
        <v>165</v>
      </c>
      <c r="O9" s="378" t="s">
        <v>32020</v>
      </c>
      <c r="P9" s="101"/>
      <c r="Q9" s="35"/>
      <c r="R9" s="35"/>
      <c r="S9" s="35"/>
      <c r="T9" s="35"/>
    </row>
    <row r="10" spans="1:20" s="17" customFormat="1" ht="27.75" customHeight="1" thickTop="1" x14ac:dyDescent="0.25">
      <c r="A10" s="35"/>
      <c r="B10" s="15"/>
      <c r="C10" s="94" t="s">
        <v>210</v>
      </c>
      <c r="D10" s="91" t="s">
        <v>33300</v>
      </c>
      <c r="E10" s="150">
        <v>0.13</v>
      </c>
      <c r="F10" s="91" t="s">
        <v>113</v>
      </c>
      <c r="G10" s="379" t="s">
        <v>232</v>
      </c>
      <c r="H10" s="101"/>
      <c r="I10" s="35"/>
      <c r="J10" s="15"/>
      <c r="K10" s="94" t="s">
        <v>33312</v>
      </c>
      <c r="L10" s="91" t="s">
        <v>33300</v>
      </c>
      <c r="M10" s="150">
        <v>0.13</v>
      </c>
      <c r="N10" s="91" t="s">
        <v>113</v>
      </c>
      <c r="O10" s="379" t="s">
        <v>232</v>
      </c>
      <c r="P10" s="101"/>
      <c r="Q10" s="35"/>
      <c r="R10" s="35"/>
      <c r="S10" s="35"/>
      <c r="T10" s="35"/>
    </row>
    <row r="11" spans="1:20" s="17" customFormat="1" ht="34.700000000000003" customHeight="1" x14ac:dyDescent="0.25">
      <c r="A11" s="35"/>
      <c r="B11" s="15"/>
      <c r="C11" s="94" t="s">
        <v>209</v>
      </c>
      <c r="D11" s="353" t="str">
        <f>BE!D10</f>
        <v>Daily volatile solid excreted for livestock category T in g dry matter per dairy cows</v>
      </c>
      <c r="E11" s="151">
        <f>BE!E10</f>
        <v>4.1040000000000001</v>
      </c>
      <c r="F11" s="91" t="str">
        <f>BE!F10</f>
        <v>kg/day/animal</v>
      </c>
      <c r="G11" s="379" t="str">
        <f>BE!G10</f>
        <v>linked to sheet VS, calculated using eq 3 of the methodology</v>
      </c>
      <c r="H11" s="101"/>
      <c r="I11" s="35"/>
      <c r="J11" s="15"/>
      <c r="K11" s="94" t="s">
        <v>33313</v>
      </c>
      <c r="L11" s="353" t="s">
        <v>115</v>
      </c>
      <c r="M11" s="151">
        <f>E11</f>
        <v>4.1040000000000001</v>
      </c>
      <c r="N11" s="91" t="s">
        <v>32075</v>
      </c>
      <c r="O11" s="379" t="str">
        <f>O4</f>
        <v>https://globalgoals.goldstandard.org/standards/RU-2020-PR-V1.2-GWP-values.pdf</v>
      </c>
      <c r="P11" s="101"/>
      <c r="Q11" s="35"/>
      <c r="R11" s="35"/>
      <c r="S11" s="35"/>
      <c r="T11" s="35"/>
    </row>
    <row r="12" spans="1:20" s="17" customFormat="1" ht="13.5" x14ac:dyDescent="0.25">
      <c r="A12" s="35"/>
      <c r="B12" s="15"/>
      <c r="C12" s="94" t="s">
        <v>27031</v>
      </c>
      <c r="D12" s="353" t="s">
        <v>272</v>
      </c>
      <c r="E12" s="152">
        <f>AVERAGE('SMS p1'!CT:CT)/100</f>
        <v>0.76907894736842108</v>
      </c>
      <c r="F12" s="91"/>
      <c r="G12" s="379" t="s">
        <v>31986</v>
      </c>
      <c r="H12" s="101"/>
      <c r="I12" s="35"/>
      <c r="J12" s="15"/>
      <c r="K12" s="94" t="s">
        <v>33314</v>
      </c>
      <c r="L12" s="353" t="s">
        <v>272</v>
      </c>
      <c r="M12" s="152">
        <f>BE!M12</f>
        <v>0.74914893617021283</v>
      </c>
      <c r="N12" s="91"/>
      <c r="O12" s="379" t="s">
        <v>31986</v>
      </c>
      <c r="P12" s="101"/>
      <c r="Q12" s="35"/>
      <c r="R12" s="35"/>
      <c r="S12" s="35"/>
      <c r="T12" s="35"/>
    </row>
    <row r="13" spans="1:20" s="17" customFormat="1" x14ac:dyDescent="0.2">
      <c r="A13" s="35"/>
      <c r="B13" s="15"/>
      <c r="C13" s="428">
        <v>0.1</v>
      </c>
      <c r="D13" s="353" t="s">
        <v>33299</v>
      </c>
      <c r="E13" s="152">
        <v>0.1</v>
      </c>
      <c r="F13" s="91" t="str">
        <f>BE!F11</f>
        <v>kgCH/animal</v>
      </c>
      <c r="G13" s="379" t="s">
        <v>32085</v>
      </c>
      <c r="H13" s="101"/>
      <c r="I13" s="35"/>
      <c r="J13" s="15"/>
      <c r="K13" s="428">
        <v>0.1</v>
      </c>
      <c r="L13" s="353" t="s">
        <v>33299</v>
      </c>
      <c r="M13" s="152">
        <v>0.1</v>
      </c>
      <c r="N13" s="91" t="s">
        <v>32074</v>
      </c>
      <c r="O13" s="379" t="s">
        <v>32085</v>
      </c>
      <c r="P13" s="101"/>
      <c r="Q13" s="35"/>
      <c r="R13" s="35"/>
      <c r="S13" s="35"/>
      <c r="T13" s="35"/>
    </row>
    <row r="14" spans="1:20" s="17" customFormat="1" ht="15" x14ac:dyDescent="0.25">
      <c r="A14" s="35"/>
      <c r="B14" s="15"/>
      <c r="C14" s="95" t="s">
        <v>287</v>
      </c>
      <c r="D14" s="195" t="s">
        <v>170</v>
      </c>
      <c r="E14" s="429">
        <f>E11*E9*E10*D*E13*E12*1000000</f>
        <v>184.69204224545456</v>
      </c>
      <c r="F14" s="96" t="str">
        <f>BE!F25</f>
        <v>kgCH4/hh/yr</v>
      </c>
      <c r="G14" s="377" t="s">
        <v>172</v>
      </c>
      <c r="H14" s="101"/>
      <c r="I14" s="35"/>
      <c r="J14" s="15"/>
      <c r="K14" s="95" t="s">
        <v>33315</v>
      </c>
      <c r="L14" s="195" t="s">
        <v>170</v>
      </c>
      <c r="M14" s="429">
        <f>M11*M9*M10*D*M13*M12*1000000</f>
        <v>182.21772178723407</v>
      </c>
      <c r="N14" s="96" t="s">
        <v>33302</v>
      </c>
      <c r="O14" s="377" t="s">
        <v>172</v>
      </c>
      <c r="P14" s="101"/>
      <c r="Q14" s="35"/>
      <c r="R14" s="35"/>
      <c r="S14" s="35"/>
      <c r="T14" s="35"/>
    </row>
    <row r="15" spans="1:20" s="17" customFormat="1" x14ac:dyDescent="0.2">
      <c r="A15" s="35"/>
      <c r="B15" s="15"/>
      <c r="C15" s="35"/>
      <c r="D15" s="193"/>
      <c r="E15" s="147"/>
      <c r="F15" s="35"/>
      <c r="G15" s="193"/>
      <c r="H15" s="101"/>
      <c r="I15" s="35"/>
      <c r="J15" s="15"/>
      <c r="K15" s="35"/>
      <c r="L15" s="193"/>
      <c r="M15" s="147"/>
      <c r="N15" s="35"/>
      <c r="O15" s="193"/>
      <c r="P15" s="101"/>
      <c r="Q15" s="35"/>
      <c r="R15" s="35"/>
      <c r="S15" s="35"/>
      <c r="T15" s="35"/>
    </row>
    <row r="16" spans="1:20" s="17" customFormat="1" ht="15.75" thickBot="1" x14ac:dyDescent="0.3">
      <c r="A16" s="35"/>
      <c r="B16" s="15"/>
      <c r="C16" s="92" t="s">
        <v>169</v>
      </c>
      <c r="D16" s="196" t="str">
        <f>BE!D15</f>
        <v>Number of other cattle</v>
      </c>
      <c r="E16" s="149">
        <f>BE!E15</f>
        <v>3.0727272727272728</v>
      </c>
      <c r="F16" s="93" t="s">
        <v>113</v>
      </c>
      <c r="G16" s="378" t="str">
        <f>G9</f>
        <v>static population, annual average taken from survey data</v>
      </c>
      <c r="H16" s="101"/>
      <c r="I16" s="35"/>
      <c r="J16" s="15"/>
      <c r="K16" s="92" t="s">
        <v>33316</v>
      </c>
      <c r="L16" s="196" t="s">
        <v>105</v>
      </c>
      <c r="M16" s="149">
        <f>BE!M15</f>
        <v>2.7222222222222223</v>
      </c>
      <c r="N16" s="93" t="s">
        <v>113</v>
      </c>
      <c r="O16" s="378" t="str">
        <f>O9</f>
        <v>static population, annual average taken from survey data</v>
      </c>
      <c r="P16" s="101"/>
      <c r="Q16" s="35"/>
      <c r="R16" s="35"/>
      <c r="S16" s="35"/>
      <c r="T16" s="35"/>
    </row>
    <row r="17" spans="1:20" s="17" customFormat="1" ht="39.75" thickTop="1" x14ac:dyDescent="0.25">
      <c r="A17" s="35"/>
      <c r="B17" s="15"/>
      <c r="C17" s="94" t="s">
        <v>210</v>
      </c>
      <c r="D17" s="91" t="s">
        <v>33300</v>
      </c>
      <c r="E17" s="150">
        <v>0.13</v>
      </c>
      <c r="F17" s="91" t="s">
        <v>113</v>
      </c>
      <c r="G17" s="379" t="s">
        <v>232</v>
      </c>
      <c r="H17" s="101"/>
      <c r="I17" s="35"/>
      <c r="J17" s="15"/>
      <c r="K17" s="94" t="s">
        <v>33312</v>
      </c>
      <c r="L17" s="91" t="s">
        <v>33300</v>
      </c>
      <c r="M17" s="150">
        <v>0.13</v>
      </c>
      <c r="N17" s="91" t="s">
        <v>113</v>
      </c>
      <c r="O17" s="379" t="s">
        <v>232</v>
      </c>
      <c r="P17" s="101"/>
      <c r="Q17" s="35"/>
      <c r="R17" s="35"/>
      <c r="S17" s="35"/>
      <c r="T17" s="35"/>
    </row>
    <row r="18" spans="1:20" s="17" customFormat="1" ht="26.25" x14ac:dyDescent="0.25">
      <c r="A18" s="35"/>
      <c r="B18" s="15"/>
      <c r="C18" s="94" t="s">
        <v>209</v>
      </c>
      <c r="D18" s="353" t="str">
        <f>BE!D16</f>
        <v>Daily volatile solid excreted for livestock category T in g dry matter per other cattle</v>
      </c>
      <c r="E18" s="151">
        <f>BE!E16</f>
        <v>2.6415999999999999</v>
      </c>
      <c r="F18" s="91" t="str">
        <f>F11</f>
        <v>kg/day/animal</v>
      </c>
      <c r="G18" s="379" t="str">
        <f>G11</f>
        <v>linked to sheet VS, calculated using eq 3 of the methodology</v>
      </c>
      <c r="H18" s="101"/>
      <c r="I18" s="35"/>
      <c r="J18" s="15"/>
      <c r="K18" s="94" t="s">
        <v>33313</v>
      </c>
      <c r="L18" s="353" t="s">
        <v>121</v>
      </c>
      <c r="M18" s="151">
        <f>E18</f>
        <v>2.6415999999999999</v>
      </c>
      <c r="N18" s="91" t="s">
        <v>32075</v>
      </c>
      <c r="O18" s="379" t="str">
        <f>O11</f>
        <v>https://globalgoals.goldstandard.org/standards/RU-2020-PR-V1.2-GWP-values.pdf</v>
      </c>
      <c r="P18" s="101"/>
      <c r="Q18" s="35"/>
      <c r="R18" s="35"/>
      <c r="S18" s="35"/>
      <c r="T18" s="35"/>
    </row>
    <row r="19" spans="1:20" s="17" customFormat="1" ht="13.5" x14ac:dyDescent="0.25">
      <c r="A19" s="35"/>
      <c r="B19" s="15"/>
      <c r="C19" s="94" t="s">
        <v>27031</v>
      </c>
      <c r="D19" s="353" t="s">
        <v>272</v>
      </c>
      <c r="E19" s="152">
        <f>AVERAGE('SMS p1'!CW:CW)/100</f>
        <v>0.79285714285714293</v>
      </c>
      <c r="F19" s="91"/>
      <c r="G19" s="379" t="str">
        <f>G12</f>
        <v>CPII MPI sms survey</v>
      </c>
      <c r="H19" s="101"/>
      <c r="I19" s="35"/>
      <c r="J19" s="15"/>
      <c r="K19" s="94" t="s">
        <v>33314</v>
      </c>
      <c r="L19" s="353" t="s">
        <v>272</v>
      </c>
      <c r="M19" s="152">
        <f>BE!M18</f>
        <v>0.88314285714285712</v>
      </c>
      <c r="N19" s="91"/>
      <c r="O19" s="379" t="str">
        <f>O12</f>
        <v>CPII MPI sms survey</v>
      </c>
      <c r="P19" s="101"/>
      <c r="Q19" s="35"/>
      <c r="R19" s="35"/>
      <c r="S19" s="35"/>
      <c r="T19" s="35"/>
    </row>
    <row r="20" spans="1:20" s="17" customFormat="1" x14ac:dyDescent="0.2">
      <c r="A20" s="35"/>
      <c r="B20" s="15"/>
      <c r="C20" s="428">
        <v>0.1</v>
      </c>
      <c r="D20" s="353" t="s">
        <v>33299</v>
      </c>
      <c r="E20" s="152">
        <v>0.1</v>
      </c>
      <c r="F20" s="91"/>
      <c r="G20" s="379" t="str">
        <f>G13</f>
        <v>methodology default</v>
      </c>
      <c r="H20" s="101"/>
      <c r="I20" s="35"/>
      <c r="J20" s="15"/>
      <c r="K20" s="428">
        <v>0.1</v>
      </c>
      <c r="L20" s="353" t="s">
        <v>33299</v>
      </c>
      <c r="M20" s="152">
        <v>0.1</v>
      </c>
      <c r="N20" s="91"/>
      <c r="O20" s="379" t="str">
        <f>O13</f>
        <v>methodology default</v>
      </c>
      <c r="P20" s="101"/>
      <c r="Q20" s="35"/>
      <c r="R20" s="35"/>
      <c r="S20" s="35"/>
      <c r="T20" s="35"/>
    </row>
    <row r="21" spans="1:20" s="17" customFormat="1" ht="15" x14ac:dyDescent="0.25">
      <c r="A21" s="35"/>
      <c r="B21" s="15"/>
      <c r="C21" s="95" t="s">
        <v>287</v>
      </c>
      <c r="D21" s="195" t="s">
        <v>170</v>
      </c>
      <c r="E21" s="429">
        <f>E18*E16*E17*D*E20*E19*1000000</f>
        <v>56.053685068051948</v>
      </c>
      <c r="F21" s="96" t="str">
        <f>F14</f>
        <v>kgCH4/hh/yr</v>
      </c>
      <c r="G21" s="377" t="str">
        <f>G14</f>
        <v>Calculation</v>
      </c>
      <c r="H21" s="101"/>
      <c r="I21" s="35"/>
      <c r="J21" s="15"/>
      <c r="K21" s="95" t="s">
        <v>33315</v>
      </c>
      <c r="L21" s="195" t="s">
        <v>170</v>
      </c>
      <c r="M21" s="429">
        <f>M18*M16*M17*D*M20*M19*1000000</f>
        <v>55.314596225777777</v>
      </c>
      <c r="N21" s="96" t="s">
        <v>33302</v>
      </c>
      <c r="O21" s="377" t="str">
        <f>O14</f>
        <v>Calculation</v>
      </c>
      <c r="P21" s="101"/>
      <c r="Q21" s="35"/>
      <c r="R21" s="35"/>
      <c r="S21" s="35"/>
      <c r="T21" s="35"/>
    </row>
    <row r="22" spans="1:20" s="17" customFormat="1" x14ac:dyDescent="0.2">
      <c r="A22" s="35"/>
      <c r="B22" s="15"/>
      <c r="C22" s="35"/>
      <c r="D22" s="193"/>
      <c r="E22" s="147"/>
      <c r="F22" s="35"/>
      <c r="G22" s="193"/>
      <c r="H22" s="101"/>
      <c r="I22" s="35"/>
      <c r="J22" s="15"/>
      <c r="K22" s="35"/>
      <c r="L22" s="193"/>
      <c r="M22" s="147"/>
      <c r="N22" s="35"/>
      <c r="O22" s="193"/>
      <c r="P22" s="101"/>
      <c r="Q22" s="35"/>
      <c r="R22" s="35"/>
      <c r="S22" s="35"/>
      <c r="T22" s="35"/>
    </row>
    <row r="23" spans="1:20" s="17" customFormat="1" ht="15.75" thickBot="1" x14ac:dyDescent="0.3">
      <c r="A23" s="35"/>
      <c r="B23" s="15"/>
      <c r="C23" s="92" t="s">
        <v>169</v>
      </c>
      <c r="D23" s="196" t="str">
        <f>BE!D21</f>
        <v>Swine finishing</v>
      </c>
      <c r="E23" s="149">
        <f>BE!E27</f>
        <v>1.7</v>
      </c>
      <c r="F23" s="93" t="s">
        <v>165</v>
      </c>
      <c r="G23" s="378" t="str">
        <f>G16</f>
        <v>static population, annual average taken from survey data</v>
      </c>
      <c r="H23" s="101"/>
      <c r="I23" s="35"/>
      <c r="J23" s="15"/>
      <c r="K23" s="92" t="s">
        <v>33316</v>
      </c>
      <c r="L23" s="196" t="s">
        <v>230</v>
      </c>
      <c r="M23" s="149">
        <f>BE!M21</f>
        <v>4.7034300448527659</v>
      </c>
      <c r="N23" s="93" t="s">
        <v>165</v>
      </c>
      <c r="O23" s="378" t="str">
        <f>O16</f>
        <v>static population, annual average taken from survey data</v>
      </c>
      <c r="P23" s="101"/>
      <c r="Q23" s="35"/>
      <c r="R23" s="35"/>
      <c r="S23" s="35"/>
      <c r="T23" s="35"/>
    </row>
    <row r="24" spans="1:20" s="17" customFormat="1" ht="39.75" thickTop="1" x14ac:dyDescent="0.25">
      <c r="A24" s="35"/>
      <c r="B24" s="15"/>
      <c r="C24" s="94" t="s">
        <v>210</v>
      </c>
      <c r="D24" s="91" t="s">
        <v>33300</v>
      </c>
      <c r="E24" s="150">
        <v>0.28999999999999998</v>
      </c>
      <c r="F24" s="91" t="s">
        <v>113</v>
      </c>
      <c r="G24" s="379" t="s">
        <v>232</v>
      </c>
      <c r="H24" s="101"/>
      <c r="I24" s="35"/>
      <c r="J24" s="15"/>
      <c r="K24" s="94" t="s">
        <v>33312</v>
      </c>
      <c r="L24" s="91" t="s">
        <v>33300</v>
      </c>
      <c r="M24" s="150">
        <v>0.28999999999999998</v>
      </c>
      <c r="N24" s="91" t="s">
        <v>113</v>
      </c>
      <c r="O24" s="379" t="s">
        <v>232</v>
      </c>
      <c r="P24" s="101"/>
      <c r="Q24" s="35"/>
      <c r="R24" s="35"/>
      <c r="S24" s="35"/>
      <c r="T24" s="35"/>
    </row>
    <row r="25" spans="1:20" s="17" customFormat="1" ht="26.25" x14ac:dyDescent="0.25">
      <c r="A25" s="35"/>
      <c r="B25" s="15"/>
      <c r="C25" s="94" t="s">
        <v>209</v>
      </c>
      <c r="D25" s="353" t="str">
        <f>BE!D22</f>
        <v>Daily volatile solid excreted for livestock category T in g dry matter per market swine</v>
      </c>
      <c r="E25" s="151">
        <f>BE!E22</f>
        <v>0.31019999999999998</v>
      </c>
      <c r="F25" s="91" t="s">
        <v>116</v>
      </c>
      <c r="G25" s="379" t="str">
        <f>G18</f>
        <v>linked to sheet VS, calculated using eq 3 of the methodology</v>
      </c>
      <c r="H25" s="101"/>
      <c r="I25" s="35"/>
      <c r="J25" s="15"/>
      <c r="K25" s="94" t="s">
        <v>33313</v>
      </c>
      <c r="L25" s="353" t="s">
        <v>118</v>
      </c>
      <c r="M25" s="151">
        <f>E25</f>
        <v>0.31019999999999998</v>
      </c>
      <c r="N25" s="91" t="s">
        <v>116</v>
      </c>
      <c r="O25" s="379" t="str">
        <f>O18</f>
        <v>https://globalgoals.goldstandard.org/standards/RU-2020-PR-V1.2-GWP-values.pdf</v>
      </c>
      <c r="P25" s="101"/>
      <c r="Q25" s="35"/>
      <c r="R25" s="35"/>
      <c r="S25" s="35"/>
      <c r="T25" s="35"/>
    </row>
    <row r="26" spans="1:20" s="17" customFormat="1" ht="13.5" x14ac:dyDescent="0.25">
      <c r="A26" s="35"/>
      <c r="B26" s="15"/>
      <c r="C26" s="94" t="s">
        <v>27031</v>
      </c>
      <c r="D26" s="353" t="s">
        <v>272</v>
      </c>
      <c r="E26" s="152">
        <f>AVERAGE('SMS p1'!CZ:CZ)/1000</f>
        <v>4.2500000000000003E-2</v>
      </c>
      <c r="F26" s="91"/>
      <c r="G26" s="379" t="str">
        <f>G19</f>
        <v>CPII MPI sms survey</v>
      </c>
      <c r="H26" s="101"/>
      <c r="I26" s="35"/>
      <c r="J26" s="15"/>
      <c r="K26" s="94" t="s">
        <v>33314</v>
      </c>
      <c r="L26" s="353" t="s">
        <v>272</v>
      </c>
      <c r="M26" s="152">
        <f>BE!M24</f>
        <v>0.28571428571428575</v>
      </c>
      <c r="N26" s="91"/>
      <c r="O26" s="379" t="str">
        <f>O19</f>
        <v>CPII MPI sms survey</v>
      </c>
      <c r="P26" s="101"/>
      <c r="Q26" s="35"/>
      <c r="R26" s="35"/>
      <c r="S26" s="35"/>
      <c r="T26" s="35"/>
    </row>
    <row r="27" spans="1:20" s="17" customFormat="1" x14ac:dyDescent="0.2">
      <c r="A27" s="35"/>
      <c r="B27" s="15"/>
      <c r="C27" s="428">
        <v>0.1</v>
      </c>
      <c r="D27" s="353" t="s">
        <v>33299</v>
      </c>
      <c r="E27" s="152">
        <v>0.1</v>
      </c>
      <c r="F27" s="91" t="s">
        <v>129</v>
      </c>
      <c r="G27" s="379" t="str">
        <f>G20</f>
        <v>methodology default</v>
      </c>
      <c r="H27" s="101"/>
      <c r="I27" s="35"/>
      <c r="J27" s="15"/>
      <c r="K27" s="428">
        <v>0.1</v>
      </c>
      <c r="L27" s="353" t="s">
        <v>33299</v>
      </c>
      <c r="M27" s="152">
        <v>0.1</v>
      </c>
      <c r="N27" s="91" t="s">
        <v>129</v>
      </c>
      <c r="O27" s="379" t="str">
        <f>O20</f>
        <v>methodology default</v>
      </c>
      <c r="P27" s="101"/>
      <c r="Q27" s="35"/>
      <c r="R27" s="35"/>
      <c r="S27" s="35"/>
      <c r="T27" s="35"/>
    </row>
    <row r="28" spans="1:20" s="17" customFormat="1" ht="15" x14ac:dyDescent="0.25">
      <c r="A28" s="35"/>
      <c r="B28" s="15"/>
      <c r="C28" s="95" t="s">
        <v>287</v>
      </c>
      <c r="D28" s="195" t="s">
        <v>170</v>
      </c>
      <c r="E28" s="429">
        <f>E25*E23*E24*D*E27*E26*1000000</f>
        <v>0.43546418850000002</v>
      </c>
      <c r="F28" s="96" t="str">
        <f>F21</f>
        <v>kgCH4/hh/yr</v>
      </c>
      <c r="G28" s="377" t="str">
        <f>G21</f>
        <v>Calculation</v>
      </c>
      <c r="H28" s="101"/>
      <c r="I28" s="35"/>
      <c r="J28" s="15"/>
      <c r="K28" s="95" t="s">
        <v>33315</v>
      </c>
      <c r="L28" s="195" t="s">
        <v>170</v>
      </c>
      <c r="M28" s="429">
        <f>M25*M23*M24*D*M27*M26*1000000</f>
        <v>8.0995564909474194</v>
      </c>
      <c r="N28" s="96" t="s">
        <v>33302</v>
      </c>
      <c r="O28" s="377" t="str">
        <f>O21</f>
        <v>Calculation</v>
      </c>
      <c r="P28" s="101"/>
      <c r="Q28" s="35"/>
      <c r="R28" s="35"/>
      <c r="S28" s="35"/>
      <c r="T28" s="35"/>
    </row>
    <row r="29" spans="1:20" s="17" customFormat="1" x14ac:dyDescent="0.2">
      <c r="A29" s="35"/>
      <c r="B29" s="15"/>
      <c r="C29" s="35"/>
      <c r="D29" s="193"/>
      <c r="E29" s="147"/>
      <c r="F29" s="35"/>
      <c r="G29" s="193"/>
      <c r="H29" s="101"/>
      <c r="I29" s="35"/>
      <c r="J29" s="15"/>
      <c r="K29" s="35"/>
      <c r="L29" s="193"/>
      <c r="M29" s="147"/>
      <c r="N29" s="35"/>
      <c r="O29" s="193"/>
      <c r="P29" s="101"/>
      <c r="Q29" s="35"/>
      <c r="R29" s="35"/>
      <c r="S29" s="35"/>
      <c r="T29" s="35"/>
    </row>
    <row r="30" spans="1:20" s="17" customFormat="1" ht="15.75" thickBot="1" x14ac:dyDescent="0.3">
      <c r="A30" s="35"/>
      <c r="B30" s="15"/>
      <c r="C30" s="92" t="s">
        <v>169</v>
      </c>
      <c r="D30" s="196" t="str">
        <f>BE!D27</f>
        <v>Number of breeding swine</v>
      </c>
      <c r="E30" s="149">
        <f>BE!E21</f>
        <v>1.3840712601519518</v>
      </c>
      <c r="F30" s="93" t="str">
        <f>F23</f>
        <v>units/hh</v>
      </c>
      <c r="G30" s="378" t="str">
        <f>BE!G21</f>
        <v xml:space="preserve">Non-static population, calculated using eq.2 of the methodology </v>
      </c>
      <c r="H30" s="101"/>
      <c r="I30" s="35"/>
      <c r="J30" s="15"/>
      <c r="K30" s="92" t="s">
        <v>33316</v>
      </c>
      <c r="L30" s="196" t="s">
        <v>106</v>
      </c>
      <c r="M30" s="149">
        <f>BE!M27</f>
        <v>2.4921875</v>
      </c>
      <c r="N30" s="93" t="s">
        <v>165</v>
      </c>
      <c r="O30" s="378" t="str">
        <f>BE!O21</f>
        <v xml:space="preserve">Non-static population, calculated using eq.2 of the methodology </v>
      </c>
      <c r="P30" s="101"/>
      <c r="Q30" s="35"/>
      <c r="R30" s="35"/>
      <c r="S30" s="35"/>
      <c r="T30" s="35"/>
    </row>
    <row r="31" spans="1:20" s="17" customFormat="1" ht="39.75" thickTop="1" x14ac:dyDescent="0.25">
      <c r="A31" s="35"/>
      <c r="B31" s="15"/>
      <c r="C31" s="94" t="s">
        <v>210</v>
      </c>
      <c r="D31" s="91" t="s">
        <v>33300</v>
      </c>
      <c r="E31" s="150">
        <v>0.28999999999999998</v>
      </c>
      <c r="F31" s="91" t="s">
        <v>113</v>
      </c>
      <c r="G31" s="379" t="s">
        <v>232</v>
      </c>
      <c r="H31" s="101"/>
      <c r="I31" s="35"/>
      <c r="J31" s="15"/>
      <c r="K31" s="94" t="s">
        <v>33312</v>
      </c>
      <c r="L31" s="91" t="s">
        <v>33300</v>
      </c>
      <c r="M31" s="150">
        <v>0.28999999999999998</v>
      </c>
      <c r="N31" s="91" t="s">
        <v>113</v>
      </c>
      <c r="O31" s="379" t="s">
        <v>232</v>
      </c>
      <c r="P31" s="101"/>
      <c r="Q31" s="35"/>
      <c r="R31" s="35"/>
      <c r="S31" s="35"/>
      <c r="T31" s="35"/>
    </row>
    <row r="32" spans="1:20" s="17" customFormat="1" ht="26.25" x14ac:dyDescent="0.25">
      <c r="A32" s="35"/>
      <c r="B32" s="15"/>
      <c r="C32" s="94" t="s">
        <v>209</v>
      </c>
      <c r="D32" s="353" t="str">
        <f>BE!D28</f>
        <v>Daily volatile solid excreted for livestock category T in g dry matter per breeding swine</v>
      </c>
      <c r="E32" s="151">
        <f>BE!E28</f>
        <v>0.36599999999999999</v>
      </c>
      <c r="F32" s="91" t="str">
        <f>F25</f>
        <v>kg/hd/day</v>
      </c>
      <c r="G32" s="379" t="s">
        <v>171</v>
      </c>
      <c r="H32" s="101"/>
      <c r="I32" s="35"/>
      <c r="J32" s="15"/>
      <c r="K32" s="94" t="s">
        <v>33313</v>
      </c>
      <c r="L32" s="353" t="s">
        <v>119</v>
      </c>
      <c r="M32" s="151">
        <f>E32</f>
        <v>0.36599999999999999</v>
      </c>
      <c r="N32" s="91" t="s">
        <v>116</v>
      </c>
      <c r="O32" s="379" t="s">
        <v>171</v>
      </c>
      <c r="P32" s="101"/>
      <c r="Q32" s="35"/>
      <c r="R32" s="35"/>
      <c r="S32" s="35"/>
      <c r="T32" s="35"/>
    </row>
    <row r="33" spans="1:20" s="17" customFormat="1" ht="13.5" x14ac:dyDescent="0.25">
      <c r="A33" s="35"/>
      <c r="B33" s="15"/>
      <c r="C33" s="94" t="s">
        <v>27031</v>
      </c>
      <c r="D33" s="353" t="s">
        <v>272</v>
      </c>
      <c r="E33" s="152">
        <f>AVERAGE('SMS p1'!DC:DC)/100</f>
        <v>0.29615384615384616</v>
      </c>
      <c r="F33" s="91"/>
      <c r="G33" s="379" t="s">
        <v>31986</v>
      </c>
      <c r="H33" s="101"/>
      <c r="I33" s="35"/>
      <c r="J33" s="15"/>
      <c r="K33" s="94" t="s">
        <v>33314</v>
      </c>
      <c r="L33" s="353" t="s">
        <v>272</v>
      </c>
      <c r="M33" s="152">
        <f>BE!M30</f>
        <v>0.43333333333333335</v>
      </c>
      <c r="N33" s="91"/>
      <c r="O33" s="379" t="s">
        <v>31986</v>
      </c>
      <c r="P33" s="101"/>
      <c r="Q33" s="35"/>
      <c r="R33" s="35"/>
      <c r="S33" s="35"/>
      <c r="T33" s="35"/>
    </row>
    <row r="34" spans="1:20" s="17" customFormat="1" ht="25.5" x14ac:dyDescent="0.2">
      <c r="A34" s="35"/>
      <c r="B34" s="15"/>
      <c r="C34" s="428">
        <v>0.1</v>
      </c>
      <c r="D34" s="353" t="s">
        <v>33299</v>
      </c>
      <c r="E34" s="152">
        <v>0.1</v>
      </c>
      <c r="F34" s="91" t="str">
        <f>F27</f>
        <v>%</v>
      </c>
      <c r="G34" s="379" t="s">
        <v>114</v>
      </c>
      <c r="H34" s="101"/>
      <c r="I34" s="35"/>
      <c r="J34" s="15"/>
      <c r="K34" s="428">
        <v>0.1</v>
      </c>
      <c r="L34" s="353" t="s">
        <v>33299</v>
      </c>
      <c r="M34" s="152">
        <v>0.1</v>
      </c>
      <c r="N34" s="91" t="s">
        <v>129</v>
      </c>
      <c r="O34" s="379" t="s">
        <v>114</v>
      </c>
      <c r="P34" s="101"/>
      <c r="Q34" s="35"/>
      <c r="R34" s="35"/>
      <c r="S34" s="35"/>
      <c r="T34" s="35"/>
    </row>
    <row r="35" spans="1:20" s="17" customFormat="1" ht="15" x14ac:dyDescent="0.25">
      <c r="A35" s="35"/>
      <c r="B35" s="15"/>
      <c r="C35" s="95" t="s">
        <v>287</v>
      </c>
      <c r="D35" s="195" t="s">
        <v>170</v>
      </c>
      <c r="E35" s="429">
        <f>E32*E30*E31*D*E34*E33*1000000</f>
        <v>2.9149406315672799</v>
      </c>
      <c r="F35" s="96" t="str">
        <f>F28</f>
        <v>kgCH4/hh/yr</v>
      </c>
      <c r="G35" s="377" t="s">
        <v>172</v>
      </c>
      <c r="H35" s="101"/>
      <c r="I35" s="35"/>
      <c r="J35" s="15"/>
      <c r="K35" s="95" t="s">
        <v>33315</v>
      </c>
      <c r="L35" s="195" t="s">
        <v>170</v>
      </c>
      <c r="M35" s="429">
        <f>M32*M30*M31*D*M34*M33*1000000</f>
        <v>7.679920015625</v>
      </c>
      <c r="N35" s="96" t="s">
        <v>33302</v>
      </c>
      <c r="O35" s="377" t="s">
        <v>172</v>
      </c>
      <c r="P35" s="101"/>
      <c r="Q35" s="35"/>
      <c r="R35" s="35"/>
      <c r="S35" s="35"/>
      <c r="T35" s="35"/>
    </row>
    <row r="36" spans="1:20" s="17" customFormat="1" x14ac:dyDescent="0.2">
      <c r="A36" s="35"/>
      <c r="B36" s="15"/>
      <c r="C36" s="35"/>
      <c r="D36" s="193"/>
      <c r="E36" s="147"/>
      <c r="F36" s="35"/>
      <c r="G36" s="193"/>
      <c r="H36" s="101"/>
      <c r="I36" s="35"/>
      <c r="J36" s="15"/>
      <c r="K36" s="35"/>
      <c r="L36" s="193"/>
      <c r="M36" s="147"/>
      <c r="N36" s="35"/>
      <c r="O36" s="193"/>
      <c r="P36" s="101"/>
      <c r="Q36" s="35"/>
      <c r="R36" s="35"/>
      <c r="S36" s="35"/>
      <c r="T36" s="35"/>
    </row>
    <row r="37" spans="1:20" s="17" customFormat="1" ht="15.75" thickBot="1" x14ac:dyDescent="0.3">
      <c r="A37" s="35"/>
      <c r="B37" s="15"/>
      <c r="C37" s="92" t="s">
        <v>169</v>
      </c>
      <c r="D37" s="196" t="str">
        <f>BE!D33</f>
        <v>Number of sheep</v>
      </c>
      <c r="E37" s="149">
        <f>BE!E33</f>
        <v>0.2818181818181818</v>
      </c>
      <c r="F37" s="93" t="str">
        <f>F51</f>
        <v>units/hh</v>
      </c>
      <c r="G37" s="378" t="s">
        <v>32020</v>
      </c>
      <c r="H37" s="101"/>
      <c r="I37" s="35"/>
      <c r="J37" s="15"/>
      <c r="K37" s="92" t="s">
        <v>33316</v>
      </c>
      <c r="L37" s="196" t="s">
        <v>108</v>
      </c>
      <c r="M37" s="149">
        <f>BE!M33</f>
        <v>0.77952755905511806</v>
      </c>
      <c r="N37" s="93" t="s">
        <v>165</v>
      </c>
      <c r="O37" s="378" t="s">
        <v>32020</v>
      </c>
      <c r="P37" s="101"/>
      <c r="Q37" s="35"/>
      <c r="R37" s="35"/>
      <c r="S37" s="35"/>
      <c r="T37" s="35"/>
    </row>
    <row r="38" spans="1:20" s="17" customFormat="1" ht="39.75" thickTop="1" x14ac:dyDescent="0.25">
      <c r="A38" s="35"/>
      <c r="B38" s="15"/>
      <c r="C38" s="94" t="s">
        <v>210</v>
      </c>
      <c r="D38" s="91" t="s">
        <v>33300</v>
      </c>
      <c r="E38" s="150">
        <v>0.13</v>
      </c>
      <c r="F38" s="91" t="str">
        <f>F52</f>
        <v>m3 CH4/kg</v>
      </c>
      <c r="G38" s="379" t="s">
        <v>232</v>
      </c>
      <c r="H38" s="101"/>
      <c r="I38" s="35"/>
      <c r="J38" s="15"/>
      <c r="K38" s="94" t="s">
        <v>33312</v>
      </c>
      <c r="L38" s="91" t="s">
        <v>33300</v>
      </c>
      <c r="M38" s="150">
        <v>0.13</v>
      </c>
      <c r="N38" s="91" t="s">
        <v>113</v>
      </c>
      <c r="O38" s="379" t="s">
        <v>232</v>
      </c>
      <c r="P38" s="101"/>
      <c r="Q38" s="35"/>
      <c r="R38" s="35"/>
      <c r="S38" s="35"/>
      <c r="T38" s="35"/>
    </row>
    <row r="39" spans="1:20" s="17" customFormat="1" ht="26.25" x14ac:dyDescent="0.25">
      <c r="A39" s="35"/>
      <c r="B39" s="15"/>
      <c r="C39" s="94" t="s">
        <v>209</v>
      </c>
      <c r="D39" s="353" t="str">
        <f>BE!D34</f>
        <v>Daily volatile solid excreted for livestock category T in g dry matter per sheep</v>
      </c>
      <c r="E39" s="151">
        <f>BE!E34</f>
        <v>0.19920000000000002</v>
      </c>
      <c r="F39" s="91" t="str">
        <f>F53</f>
        <v>kg/hd/day</v>
      </c>
      <c r="G39" s="379" t="s">
        <v>32019</v>
      </c>
      <c r="H39" s="101"/>
      <c r="I39" s="35"/>
      <c r="J39" s="15"/>
      <c r="K39" s="94" t="s">
        <v>33313</v>
      </c>
      <c r="L39" s="353" t="s">
        <v>120</v>
      </c>
      <c r="M39" s="151">
        <f>E39</f>
        <v>0.19920000000000002</v>
      </c>
      <c r="N39" s="91" t="s">
        <v>116</v>
      </c>
      <c r="O39" s="379" t="s">
        <v>32019</v>
      </c>
      <c r="P39" s="101"/>
      <c r="Q39" s="35"/>
      <c r="R39" s="35"/>
      <c r="S39" s="35"/>
      <c r="T39" s="35"/>
    </row>
    <row r="40" spans="1:20" s="17" customFormat="1" ht="15" customHeight="1" x14ac:dyDescent="0.25">
      <c r="A40" s="35"/>
      <c r="B40" s="15"/>
      <c r="C40" s="94" t="s">
        <v>27031</v>
      </c>
      <c r="D40" s="353" t="s">
        <v>272</v>
      </c>
      <c r="E40" s="152">
        <f>AVERAGE('SMS p1'!DI:DI)/100</f>
        <v>0</v>
      </c>
      <c r="F40" s="91"/>
      <c r="G40" s="379" t="s">
        <v>31986</v>
      </c>
      <c r="H40" s="101"/>
      <c r="I40" s="35"/>
      <c r="J40" s="15"/>
      <c r="K40" s="94" t="s">
        <v>33314</v>
      </c>
      <c r="L40" s="353" t="s">
        <v>272</v>
      </c>
      <c r="M40" s="152">
        <f>BE!M36</f>
        <v>0.28000000000000003</v>
      </c>
      <c r="N40" s="91"/>
      <c r="O40" s="379" t="s">
        <v>31986</v>
      </c>
      <c r="P40" s="101"/>
      <c r="Q40" s="35"/>
      <c r="R40" s="35"/>
      <c r="S40" s="35"/>
      <c r="T40" s="35"/>
    </row>
    <row r="41" spans="1:20" s="17" customFormat="1" x14ac:dyDescent="0.2">
      <c r="A41" s="35"/>
      <c r="B41" s="15"/>
      <c r="C41" s="428">
        <v>0.1</v>
      </c>
      <c r="D41" s="353" t="s">
        <v>33299</v>
      </c>
      <c r="E41" s="152">
        <v>0.1</v>
      </c>
      <c r="F41" s="91" t="str">
        <f>F55</f>
        <v>%</v>
      </c>
      <c r="G41" s="379" t="s">
        <v>32085</v>
      </c>
      <c r="H41" s="101"/>
      <c r="I41" s="35"/>
      <c r="J41" s="15"/>
      <c r="K41" s="428">
        <v>0.1</v>
      </c>
      <c r="L41" s="353" t="s">
        <v>33299</v>
      </c>
      <c r="M41" s="152">
        <v>0.1</v>
      </c>
      <c r="N41" s="91" t="s">
        <v>129</v>
      </c>
      <c r="O41" s="379" t="s">
        <v>32085</v>
      </c>
      <c r="P41" s="101"/>
      <c r="Q41" s="35"/>
      <c r="R41" s="35"/>
      <c r="S41" s="35"/>
      <c r="T41" s="35"/>
    </row>
    <row r="42" spans="1:20" s="17" customFormat="1" ht="15" x14ac:dyDescent="0.25">
      <c r="A42" s="35"/>
      <c r="B42" s="15"/>
      <c r="C42" s="95" t="s">
        <v>287</v>
      </c>
      <c r="D42" s="195" t="s">
        <v>170</v>
      </c>
      <c r="E42" s="429">
        <f>E39*E37*E38*D*E41*E40*1000000</f>
        <v>0</v>
      </c>
      <c r="F42" s="96" t="str">
        <f>F35</f>
        <v>kgCH4/hh/yr</v>
      </c>
      <c r="G42" s="377" t="s">
        <v>172</v>
      </c>
      <c r="H42" s="101"/>
      <c r="I42" s="35"/>
      <c r="J42" s="15"/>
      <c r="K42" s="95" t="s">
        <v>33315</v>
      </c>
      <c r="L42" s="195" t="s">
        <v>170</v>
      </c>
      <c r="M42" s="429">
        <f>M39*M37*M38*D*M41*M40*1000000</f>
        <v>0.3787014727559056</v>
      </c>
      <c r="N42" s="96" t="s">
        <v>33302</v>
      </c>
      <c r="O42" s="377" t="s">
        <v>172</v>
      </c>
      <c r="P42" s="101"/>
      <c r="Q42" s="35"/>
      <c r="R42" s="35"/>
      <c r="S42" s="35"/>
      <c r="T42" s="35"/>
    </row>
    <row r="43" spans="1:20" s="17" customFormat="1" x14ac:dyDescent="0.2">
      <c r="A43" s="35"/>
      <c r="B43" s="15"/>
      <c r="C43" s="35"/>
      <c r="D43" s="193"/>
      <c r="E43" s="147"/>
      <c r="F43" s="35"/>
      <c r="G43" s="193"/>
      <c r="H43" s="101"/>
      <c r="I43" s="35"/>
      <c r="J43" s="15"/>
      <c r="K43" s="35"/>
      <c r="L43" s="193"/>
      <c r="M43" s="147"/>
      <c r="N43" s="35"/>
      <c r="O43" s="193"/>
      <c r="P43" s="101"/>
      <c r="Q43" s="35"/>
      <c r="R43" s="35"/>
      <c r="S43" s="35"/>
      <c r="T43" s="35"/>
    </row>
    <row r="44" spans="1:20" s="17" customFormat="1" ht="15.75" thickBot="1" x14ac:dyDescent="0.3">
      <c r="A44" s="35"/>
      <c r="B44" s="15"/>
      <c r="C44" s="92" t="s">
        <v>169</v>
      </c>
      <c r="D44" s="196" t="str">
        <f>BE!D39</f>
        <v>Number of goat</v>
      </c>
      <c r="E44" s="149">
        <f>BE!E39</f>
        <v>3.9636363636363638</v>
      </c>
      <c r="F44" s="93" t="str">
        <f>F37</f>
        <v>units/hh</v>
      </c>
      <c r="G44" s="378" t="s">
        <v>32020</v>
      </c>
      <c r="H44" s="101"/>
      <c r="I44" s="35"/>
      <c r="J44" s="15"/>
      <c r="K44" s="92" t="s">
        <v>33316</v>
      </c>
      <c r="L44" s="196" t="s">
        <v>109</v>
      </c>
      <c r="M44" s="149">
        <f>BE!M39</f>
        <v>1.9689922480620154</v>
      </c>
      <c r="N44" s="93" t="s">
        <v>165</v>
      </c>
      <c r="O44" s="378" t="s">
        <v>32020</v>
      </c>
      <c r="P44" s="101"/>
      <c r="Q44" s="35"/>
      <c r="R44" s="35"/>
      <c r="S44" s="35"/>
      <c r="T44" s="35"/>
    </row>
    <row r="45" spans="1:20" s="17" customFormat="1" ht="39.75" thickTop="1" x14ac:dyDescent="0.25">
      <c r="A45" s="35"/>
      <c r="B45" s="15"/>
      <c r="C45" s="94" t="s">
        <v>210</v>
      </c>
      <c r="D45" s="91" t="s">
        <v>33300</v>
      </c>
      <c r="E45" s="150">
        <v>0.13</v>
      </c>
      <c r="F45" s="91" t="str">
        <f>F38</f>
        <v>m3 CH4/kg</v>
      </c>
      <c r="G45" s="379" t="s">
        <v>232</v>
      </c>
      <c r="H45" s="101"/>
      <c r="I45" s="35"/>
      <c r="J45" s="15"/>
      <c r="K45" s="94" t="s">
        <v>33312</v>
      </c>
      <c r="L45" s="91" t="s">
        <v>33300</v>
      </c>
      <c r="M45" s="150">
        <v>0.13</v>
      </c>
      <c r="N45" s="91" t="s">
        <v>113</v>
      </c>
      <c r="O45" s="379" t="s">
        <v>232</v>
      </c>
      <c r="P45" s="101"/>
      <c r="Q45" s="35"/>
      <c r="R45" s="35"/>
      <c r="S45" s="35"/>
      <c r="T45" s="35"/>
    </row>
    <row r="46" spans="1:20" s="17" customFormat="1" ht="26.25" x14ac:dyDescent="0.25">
      <c r="A46" s="35"/>
      <c r="B46" s="15"/>
      <c r="C46" s="94" t="s">
        <v>209</v>
      </c>
      <c r="D46" s="353" t="str">
        <f>BE!D40</f>
        <v>Daily volatile solid excreted for livestock category T in g dry matter per goat</v>
      </c>
      <c r="E46" s="151">
        <f>BE!E40</f>
        <v>0.32240000000000002</v>
      </c>
      <c r="F46" s="91" t="str">
        <f>F39</f>
        <v>kg/hd/day</v>
      </c>
      <c r="G46" s="379" t="s">
        <v>32019</v>
      </c>
      <c r="H46" s="101"/>
      <c r="I46" s="35"/>
      <c r="J46" s="15"/>
      <c r="K46" s="94" t="s">
        <v>33313</v>
      </c>
      <c r="L46" s="353" t="s">
        <v>117</v>
      </c>
      <c r="M46" s="151">
        <f>E46</f>
        <v>0.32240000000000002</v>
      </c>
      <c r="N46" s="91" t="s">
        <v>116</v>
      </c>
      <c r="O46" s="379" t="s">
        <v>32019</v>
      </c>
      <c r="P46" s="101"/>
      <c r="Q46" s="35"/>
      <c r="R46" s="35"/>
      <c r="S46" s="35"/>
      <c r="T46" s="35"/>
    </row>
    <row r="47" spans="1:20" s="17" customFormat="1" ht="13.5" x14ac:dyDescent="0.25">
      <c r="A47" s="35"/>
      <c r="B47" s="15"/>
      <c r="C47" s="94" t="s">
        <v>27031</v>
      </c>
      <c r="D47" s="353" t="s">
        <v>272</v>
      </c>
      <c r="E47" s="152">
        <f>AVERAGE('SMS p1'!DL:DL)/100</f>
        <v>0</v>
      </c>
      <c r="F47" s="91"/>
      <c r="G47" s="379" t="s">
        <v>31986</v>
      </c>
      <c r="H47" s="101"/>
      <c r="I47" s="35"/>
      <c r="J47" s="15"/>
      <c r="K47" s="94" t="s">
        <v>33314</v>
      </c>
      <c r="L47" s="353" t="s">
        <v>272</v>
      </c>
      <c r="M47" s="152">
        <f>BE!M42</f>
        <v>8.2758620689655171E-2</v>
      </c>
      <c r="N47" s="91"/>
      <c r="O47" s="379" t="s">
        <v>31986</v>
      </c>
      <c r="P47" s="101"/>
      <c r="Q47" s="35"/>
      <c r="R47" s="35"/>
      <c r="S47" s="35"/>
      <c r="T47" s="35"/>
    </row>
    <row r="48" spans="1:20" s="17" customFormat="1" x14ac:dyDescent="0.2">
      <c r="A48" s="35"/>
      <c r="B48" s="15"/>
      <c r="C48" s="428">
        <v>0.1</v>
      </c>
      <c r="D48" s="353" t="s">
        <v>33299</v>
      </c>
      <c r="E48" s="152">
        <v>0.1</v>
      </c>
      <c r="F48" s="91"/>
      <c r="G48" s="379" t="s">
        <v>32085</v>
      </c>
      <c r="H48" s="101"/>
      <c r="I48" s="35"/>
      <c r="J48" s="15"/>
      <c r="K48" s="428">
        <v>0.1</v>
      </c>
      <c r="L48" s="353" t="s">
        <v>33299</v>
      </c>
      <c r="M48" s="152">
        <v>0.1</v>
      </c>
      <c r="N48" s="91"/>
      <c r="O48" s="379" t="s">
        <v>32085</v>
      </c>
      <c r="P48" s="101"/>
      <c r="Q48" s="35"/>
      <c r="R48" s="35"/>
      <c r="S48" s="35"/>
      <c r="T48" s="35"/>
    </row>
    <row r="49" spans="1:20" s="17" customFormat="1" ht="15" x14ac:dyDescent="0.25">
      <c r="A49" s="35"/>
      <c r="B49" s="15"/>
      <c r="C49" s="95" t="s">
        <v>287</v>
      </c>
      <c r="D49" s="195" t="s">
        <v>170</v>
      </c>
      <c r="E49" s="429">
        <f>E46*E44*E45*D*E48*E47*1000000</f>
        <v>0</v>
      </c>
      <c r="F49" s="96" t="str">
        <f>F42</f>
        <v>kgCH4/hh/yr</v>
      </c>
      <c r="G49" s="377" t="s">
        <v>172</v>
      </c>
      <c r="H49" s="101"/>
      <c r="I49" s="35"/>
      <c r="J49" s="15"/>
      <c r="K49" s="95" t="s">
        <v>33315</v>
      </c>
      <c r="L49" s="195" t="s">
        <v>170</v>
      </c>
      <c r="M49" s="429">
        <f>M46*M44*M45*D*M48*M47*1000000</f>
        <v>0.45758358684843631</v>
      </c>
      <c r="N49" s="96" t="s">
        <v>33302</v>
      </c>
      <c r="O49" s="377" t="s">
        <v>172</v>
      </c>
      <c r="P49" s="101"/>
      <c r="Q49" s="35"/>
      <c r="R49" s="35"/>
      <c r="S49" s="35"/>
      <c r="T49" s="35"/>
    </row>
    <row r="50" spans="1:20" s="17" customFormat="1" x14ac:dyDescent="0.2">
      <c r="A50" s="35"/>
      <c r="B50" s="15"/>
      <c r="C50" s="35"/>
      <c r="D50" s="193"/>
      <c r="E50" s="147"/>
      <c r="F50" s="35"/>
      <c r="G50" s="193"/>
      <c r="H50" s="101"/>
      <c r="I50" s="35"/>
      <c r="J50" s="15"/>
      <c r="K50" s="35"/>
      <c r="L50" s="193"/>
      <c r="M50" s="147"/>
      <c r="N50" s="35"/>
      <c r="O50" s="193"/>
      <c r="P50" s="101"/>
      <c r="Q50" s="35"/>
      <c r="R50" s="35"/>
      <c r="S50" s="35"/>
      <c r="T50" s="35"/>
    </row>
    <row r="51" spans="1:20" s="17" customFormat="1" ht="15.75" thickBot="1" x14ac:dyDescent="0.3">
      <c r="A51" s="35"/>
      <c r="B51" s="15"/>
      <c r="C51" s="92" t="s">
        <v>169</v>
      </c>
      <c r="D51" s="196" t="str">
        <f>BE!D45</f>
        <v>Number of poultry</v>
      </c>
      <c r="E51" s="149">
        <f>BE!E45</f>
        <v>37.154545454545456</v>
      </c>
      <c r="F51" s="93" t="str">
        <f>F30</f>
        <v>units/hh</v>
      </c>
      <c r="G51" s="378" t="s">
        <v>32020</v>
      </c>
      <c r="H51" s="101"/>
      <c r="I51" s="35"/>
      <c r="J51" s="15"/>
      <c r="K51" s="92" t="s">
        <v>33316</v>
      </c>
      <c r="L51" s="196" t="s">
        <v>107</v>
      </c>
      <c r="M51" s="149">
        <f>BE!M45</f>
        <v>24.801526717557252</v>
      </c>
      <c r="N51" s="93" t="s">
        <v>165</v>
      </c>
      <c r="O51" s="378" t="s">
        <v>32020</v>
      </c>
      <c r="P51" s="101"/>
      <c r="Q51" s="35"/>
      <c r="R51" s="35"/>
      <c r="S51" s="35"/>
      <c r="T51" s="35"/>
    </row>
    <row r="52" spans="1:20" s="17" customFormat="1" ht="24" customHeight="1" thickTop="1" x14ac:dyDescent="0.25">
      <c r="A52" s="35"/>
      <c r="B52" s="15"/>
      <c r="C52" s="94" t="s">
        <v>210</v>
      </c>
      <c r="D52" s="91" t="s">
        <v>33300</v>
      </c>
      <c r="E52" s="150">
        <v>0.24</v>
      </c>
      <c r="F52" s="91" t="str">
        <f>F31</f>
        <v>m3 CH4/kg</v>
      </c>
      <c r="G52" s="379" t="s">
        <v>232</v>
      </c>
      <c r="H52" s="101"/>
      <c r="I52" s="35"/>
      <c r="J52" s="15"/>
      <c r="K52" s="94" t="s">
        <v>33312</v>
      </c>
      <c r="L52" s="91" t="s">
        <v>33300</v>
      </c>
      <c r="M52" s="150">
        <v>0.24</v>
      </c>
      <c r="N52" s="91" t="s">
        <v>113</v>
      </c>
      <c r="O52" s="379" t="s">
        <v>232</v>
      </c>
      <c r="P52" s="101"/>
      <c r="Q52" s="35"/>
      <c r="R52" s="35"/>
      <c r="S52" s="35"/>
      <c r="T52" s="35"/>
    </row>
    <row r="53" spans="1:20" s="17" customFormat="1" ht="26.25" x14ac:dyDescent="0.25">
      <c r="A53" s="35"/>
      <c r="B53" s="15"/>
      <c r="C53" s="94" t="s">
        <v>209</v>
      </c>
      <c r="D53" s="353" t="str">
        <f>BE!D46</f>
        <v>Daily volatile solid excreted for livestock category T in g dry matter per poultry</v>
      </c>
      <c r="E53" s="151">
        <f>BE!E46</f>
        <v>1.04E-2</v>
      </c>
      <c r="F53" s="91" t="str">
        <f>F32</f>
        <v>kg/hd/day</v>
      </c>
      <c r="G53" s="379" t="s">
        <v>32019</v>
      </c>
      <c r="H53" s="101"/>
      <c r="I53" s="35"/>
      <c r="J53" s="15"/>
      <c r="K53" s="94" t="s">
        <v>33313</v>
      </c>
      <c r="L53" s="353" t="s">
        <v>122</v>
      </c>
      <c r="M53" s="151">
        <f>E53</f>
        <v>1.04E-2</v>
      </c>
      <c r="N53" s="91" t="s">
        <v>116</v>
      </c>
      <c r="O53" s="379" t="s">
        <v>32019</v>
      </c>
      <c r="P53" s="101"/>
      <c r="Q53" s="35"/>
      <c r="R53" s="35"/>
      <c r="S53" s="35"/>
      <c r="T53" s="35"/>
    </row>
    <row r="54" spans="1:20" s="17" customFormat="1" ht="13.5" x14ac:dyDescent="0.25">
      <c r="A54" s="35"/>
      <c r="B54" s="15"/>
      <c r="C54" s="94" t="s">
        <v>27031</v>
      </c>
      <c r="D54" s="353" t="s">
        <v>272</v>
      </c>
      <c r="E54" s="152">
        <f>AVERAGE('SMS p1'!DF:DF)/100</f>
        <v>0.10526315789473685</v>
      </c>
      <c r="F54" s="91"/>
      <c r="G54" s="379" t="s">
        <v>31986</v>
      </c>
      <c r="H54" s="101"/>
      <c r="I54" s="35"/>
      <c r="J54" s="15"/>
      <c r="K54" s="94" t="s">
        <v>33314</v>
      </c>
      <c r="L54" s="353" t="s">
        <v>272</v>
      </c>
      <c r="M54" s="152">
        <f>BE!M48</f>
        <v>0.17647058823529413</v>
      </c>
      <c r="N54" s="91"/>
      <c r="O54" s="379" t="s">
        <v>31986</v>
      </c>
      <c r="P54" s="101"/>
      <c r="Q54" s="35"/>
      <c r="R54" s="35"/>
      <c r="S54" s="35"/>
      <c r="T54" s="35"/>
    </row>
    <row r="55" spans="1:20" s="17" customFormat="1" x14ac:dyDescent="0.2">
      <c r="A55" s="35"/>
      <c r="B55" s="15"/>
      <c r="C55" s="428">
        <v>0.1</v>
      </c>
      <c r="D55" s="353" t="s">
        <v>33299</v>
      </c>
      <c r="E55" s="152">
        <v>0.1</v>
      </c>
      <c r="F55" s="91" t="str">
        <f>F34</f>
        <v>%</v>
      </c>
      <c r="G55" s="379" t="s">
        <v>32085</v>
      </c>
      <c r="H55" s="101"/>
      <c r="I55" s="35"/>
      <c r="J55" s="15"/>
      <c r="K55" s="428">
        <v>0.1</v>
      </c>
      <c r="L55" s="353" t="s">
        <v>33299</v>
      </c>
      <c r="M55" s="152">
        <v>0.1</v>
      </c>
      <c r="N55" s="91" t="s">
        <v>129</v>
      </c>
      <c r="O55" s="379" t="s">
        <v>32085</v>
      </c>
      <c r="P55" s="101"/>
      <c r="Q55" s="35"/>
      <c r="R55" s="35"/>
      <c r="S55" s="35"/>
      <c r="T55" s="35"/>
    </row>
    <row r="56" spans="1:20" s="17" customFormat="1" ht="15" x14ac:dyDescent="0.25">
      <c r="A56" s="35"/>
      <c r="B56" s="15"/>
      <c r="C56" s="95" t="s">
        <v>287</v>
      </c>
      <c r="D56" s="195" t="s">
        <v>170</v>
      </c>
      <c r="E56" s="429">
        <f>E53*E51*E52*D*E55*E54*1000000</f>
        <v>0.6540451521531101</v>
      </c>
      <c r="F56" s="96" t="str">
        <f>F49</f>
        <v>kgCH4/hh/yr</v>
      </c>
      <c r="G56" s="377" t="s">
        <v>172</v>
      </c>
      <c r="H56" s="101"/>
      <c r="I56" s="35"/>
      <c r="J56" s="15"/>
      <c r="K56" s="95" t="s">
        <v>33315</v>
      </c>
      <c r="L56" s="195" t="s">
        <v>170</v>
      </c>
      <c r="M56" s="429">
        <f>M53*M51*M52*D*M55*M54*1000000</f>
        <v>0.73193098518185906</v>
      </c>
      <c r="N56" s="96" t="s">
        <v>33302</v>
      </c>
      <c r="O56" s="377" t="s">
        <v>172</v>
      </c>
      <c r="P56" s="101"/>
      <c r="Q56" s="35"/>
      <c r="R56" s="35"/>
      <c r="S56" s="35"/>
      <c r="T56" s="35"/>
    </row>
    <row r="57" spans="1:20" s="17" customFormat="1" x14ac:dyDescent="0.2">
      <c r="A57" s="35"/>
      <c r="B57" s="15"/>
      <c r="C57" s="35"/>
      <c r="D57" s="193"/>
      <c r="E57" s="147"/>
      <c r="F57" s="35"/>
      <c r="G57" s="193"/>
      <c r="H57" s="101"/>
      <c r="I57" s="35"/>
      <c r="J57" s="15"/>
      <c r="K57" s="35"/>
      <c r="L57" s="193"/>
      <c r="M57" s="147"/>
      <c r="N57" s="35"/>
      <c r="O57" s="193"/>
      <c r="P57" s="101"/>
      <c r="Q57" s="35"/>
      <c r="R57" s="35"/>
      <c r="S57" s="35"/>
      <c r="T57" s="35"/>
    </row>
    <row r="58" spans="1:20" s="17" customFormat="1" ht="26.45" customHeight="1" x14ac:dyDescent="0.2">
      <c r="A58" s="35"/>
      <c r="B58" s="100"/>
      <c r="C58" s="430" t="s">
        <v>287</v>
      </c>
      <c r="D58" s="431" t="s">
        <v>289</v>
      </c>
      <c r="E58" s="432">
        <f>(E56+E49+E42+E35+E28+E21+E14)*365*E4/1000000</f>
        <v>2.5013468118601287</v>
      </c>
      <c r="F58" s="433" t="s">
        <v>33301</v>
      </c>
      <c r="G58" s="434" t="s">
        <v>288</v>
      </c>
      <c r="H58" s="101"/>
      <c r="I58" s="35"/>
      <c r="J58" s="100"/>
      <c r="K58" s="430" t="s">
        <v>33315</v>
      </c>
      <c r="L58" s="431" t="s">
        <v>289</v>
      </c>
      <c r="M58" s="432">
        <f>(M56+M49+M42+M35+M28+M21+M14)*365*M4/1000000</f>
        <v>2.6048737079678661</v>
      </c>
      <c r="N58" s="433" t="s">
        <v>33301</v>
      </c>
      <c r="O58" s="434" t="s">
        <v>288</v>
      </c>
      <c r="P58" s="101"/>
      <c r="Q58" s="35"/>
      <c r="R58" s="35"/>
      <c r="S58" s="35"/>
      <c r="T58" s="35"/>
    </row>
    <row r="59" spans="1:20" s="17" customFormat="1" x14ac:dyDescent="0.2">
      <c r="A59" s="35"/>
      <c r="B59" s="15"/>
      <c r="C59" s="35"/>
      <c r="D59" s="193"/>
      <c r="E59" s="147"/>
      <c r="F59" s="35"/>
      <c r="G59" s="193"/>
      <c r="H59" s="101"/>
      <c r="I59" s="35"/>
      <c r="J59" s="15"/>
      <c r="K59" s="35"/>
      <c r="L59" s="193"/>
      <c r="M59" s="147"/>
      <c r="N59" s="35"/>
      <c r="O59" s="193"/>
      <c r="P59" s="101"/>
      <c r="Q59" s="35"/>
      <c r="R59" s="35"/>
      <c r="S59" s="35"/>
      <c r="T59" s="35"/>
    </row>
    <row r="60" spans="1:20" s="17" customFormat="1" x14ac:dyDescent="0.2">
      <c r="A60" s="35"/>
      <c r="B60" s="14" t="s">
        <v>36328</v>
      </c>
      <c r="D60" s="193"/>
      <c r="E60" s="147"/>
      <c r="F60" s="35"/>
      <c r="G60" s="193"/>
      <c r="H60" s="101"/>
      <c r="I60" s="35"/>
      <c r="J60" s="14" t="s">
        <v>36329</v>
      </c>
      <c r="L60" s="193"/>
      <c r="M60" s="147"/>
      <c r="N60" s="35"/>
      <c r="O60" s="193"/>
      <c r="P60" s="101"/>
      <c r="Q60" s="35"/>
      <c r="R60" s="35"/>
      <c r="S60" s="35"/>
      <c r="T60" s="35"/>
    </row>
    <row r="61" spans="1:20" s="17" customFormat="1" ht="15.75" thickBot="1" x14ac:dyDescent="0.25">
      <c r="A61" s="35"/>
      <c r="B61" s="14"/>
      <c r="C61" s="109" t="s">
        <v>27032</v>
      </c>
      <c r="D61" s="197" t="s">
        <v>241</v>
      </c>
      <c r="E61" s="133">
        <v>2.4756358974358998</v>
      </c>
      <c r="F61" s="110" t="str">
        <f>F66</f>
        <v>ton/year</v>
      </c>
      <c r="G61" s="380" t="s">
        <v>27467</v>
      </c>
      <c r="H61" s="101"/>
      <c r="I61" s="35"/>
      <c r="J61" s="14"/>
      <c r="K61" s="109" t="s">
        <v>27032</v>
      </c>
      <c r="L61" s="197" t="s">
        <v>241</v>
      </c>
      <c r="M61" s="133">
        <f>'PFT24'!F75</f>
        <v>2.4438053571428573</v>
      </c>
      <c r="N61" s="110" t="str">
        <f>N66</f>
        <v>ton/year</v>
      </c>
      <c r="O61" s="380" t="s">
        <v>36489</v>
      </c>
      <c r="P61" s="101"/>
      <c r="Q61" s="35"/>
      <c r="R61" s="35"/>
      <c r="S61" s="35"/>
      <c r="T61" s="35"/>
    </row>
    <row r="62" spans="1:20" s="17" customFormat="1" ht="15.75" customHeight="1" thickTop="1" x14ac:dyDescent="0.2">
      <c r="A62" s="35"/>
      <c r="B62" s="15"/>
      <c r="C62" s="111" t="s">
        <v>173</v>
      </c>
      <c r="D62" s="354" t="str">
        <f>BE!D68</f>
        <v>NCV wood</v>
      </c>
      <c r="E62" s="103">
        <v>1.5599999999999999E-2</v>
      </c>
      <c r="F62" s="355" t="s">
        <v>130</v>
      </c>
      <c r="G62" s="381" t="s">
        <v>102</v>
      </c>
      <c r="H62" s="101"/>
      <c r="I62" s="35"/>
      <c r="J62" s="15"/>
      <c r="K62" s="111" t="s">
        <v>173</v>
      </c>
      <c r="L62" s="354" t="str">
        <f>BE!L68</f>
        <v>NCV wood</v>
      </c>
      <c r="M62" s="103">
        <v>1.5599999999999999E-2</v>
      </c>
      <c r="N62" s="355" t="s">
        <v>130</v>
      </c>
      <c r="O62" s="381" t="s">
        <v>102</v>
      </c>
      <c r="P62" s="101"/>
      <c r="Q62" s="35"/>
      <c r="R62" s="35"/>
      <c r="S62" s="35"/>
      <c r="T62" s="35"/>
    </row>
    <row r="63" spans="1:20" s="17" customFormat="1" ht="14.25" x14ac:dyDescent="0.2">
      <c r="A63" s="35"/>
      <c r="B63" s="15"/>
      <c r="C63" s="111" t="s">
        <v>267</v>
      </c>
      <c r="D63" s="354" t="str">
        <f>BE!D69</f>
        <v>CO2 emission factor of wood</v>
      </c>
      <c r="E63" s="103">
        <v>112</v>
      </c>
      <c r="F63" s="355" t="s">
        <v>131</v>
      </c>
      <c r="G63" s="381" t="s">
        <v>237</v>
      </c>
      <c r="H63" s="101"/>
      <c r="I63" s="35"/>
      <c r="J63" s="15"/>
      <c r="K63" s="111" t="s">
        <v>267</v>
      </c>
      <c r="L63" s="354" t="str">
        <f>BE!L69</f>
        <v>CO2 emission factor of wood</v>
      </c>
      <c r="M63" s="103">
        <v>112</v>
      </c>
      <c r="N63" s="355" t="s">
        <v>131</v>
      </c>
      <c r="O63" s="381" t="s">
        <v>237</v>
      </c>
      <c r="P63" s="101"/>
      <c r="Q63" s="35"/>
      <c r="R63" s="35"/>
      <c r="S63" s="35"/>
      <c r="T63" s="35"/>
    </row>
    <row r="64" spans="1:20" s="17" customFormat="1" ht="14.25" x14ac:dyDescent="0.2">
      <c r="A64" s="35"/>
      <c r="B64" s="15"/>
      <c r="C64" s="112" t="s">
        <v>266</v>
      </c>
      <c r="D64" s="354" t="str">
        <f>BE!D70</f>
        <v xml:space="preserve">Non CO2 emission factor of wood </v>
      </c>
      <c r="E64" s="139">
        <f>9.46</f>
        <v>9.4600000000000009</v>
      </c>
      <c r="F64" s="114" t="s">
        <v>234</v>
      </c>
      <c r="G64" s="382" t="s">
        <v>236</v>
      </c>
      <c r="H64" s="101"/>
      <c r="I64" s="35"/>
      <c r="J64" s="15"/>
      <c r="K64" s="112" t="s">
        <v>266</v>
      </c>
      <c r="L64" s="354" t="str">
        <f>BE!L70</f>
        <v xml:space="preserve">Non CO2 emission factor of wood </v>
      </c>
      <c r="M64" s="139">
        <f>9.46</f>
        <v>9.4600000000000009</v>
      </c>
      <c r="N64" s="114" t="s">
        <v>234</v>
      </c>
      <c r="O64" s="382" t="s">
        <v>236</v>
      </c>
      <c r="P64" s="101"/>
      <c r="Q64" s="35"/>
      <c r="R64" s="35"/>
      <c r="S64" s="35"/>
      <c r="T64" s="35"/>
    </row>
    <row r="65" spans="1:20" s="17" customFormat="1" x14ac:dyDescent="0.2">
      <c r="A65" s="35"/>
      <c r="B65" s="15"/>
      <c r="C65" s="40"/>
      <c r="D65" s="41"/>
      <c r="E65" s="103"/>
      <c r="F65" s="44"/>
      <c r="G65" s="368"/>
      <c r="H65" s="101"/>
      <c r="I65" s="35"/>
      <c r="J65" s="15"/>
      <c r="K65" s="40"/>
      <c r="L65" s="41"/>
      <c r="M65" s="103"/>
      <c r="N65" s="44"/>
      <c r="O65" s="368"/>
      <c r="P65" s="101"/>
      <c r="Q65" s="35"/>
      <c r="R65" s="35"/>
      <c r="S65" s="35"/>
      <c r="T65" s="35"/>
    </row>
    <row r="66" spans="1:20" s="17" customFormat="1" ht="15.75" thickBot="1" x14ac:dyDescent="0.25">
      <c r="A66" s="35"/>
      <c r="B66" s="15"/>
      <c r="C66" s="109" t="s">
        <v>27032</v>
      </c>
      <c r="D66" s="197" t="str">
        <f>BE!D72</f>
        <v xml:space="preserve">The quantity of charcoal consumed </v>
      </c>
      <c r="E66" s="133">
        <f>40.6179487179487/1000</f>
        <v>4.0617948717948701E-2</v>
      </c>
      <c r="F66" s="115" t="s">
        <v>271</v>
      </c>
      <c r="G66" s="380" t="str">
        <f>G61</f>
        <v>2022 PFT for CPI MRV</v>
      </c>
      <c r="H66" s="101"/>
      <c r="I66" s="35"/>
      <c r="J66" s="15"/>
      <c r="K66" s="109" t="s">
        <v>27032</v>
      </c>
      <c r="L66" s="197" t="str">
        <f>BE!L72</f>
        <v xml:space="preserve">The quantity of charcoal consumed </v>
      </c>
      <c r="M66" s="133">
        <f>'PFT24'!G75</f>
        <v>7.4987946428571428E-2</v>
      </c>
      <c r="N66" s="115" t="s">
        <v>271</v>
      </c>
      <c r="O66" s="380" t="str">
        <f>O61</f>
        <v>linked to sheet PFT 2024</v>
      </c>
      <c r="P66" s="101"/>
      <c r="Q66" s="35"/>
      <c r="R66" s="35"/>
      <c r="S66" s="35"/>
      <c r="T66" s="35"/>
    </row>
    <row r="67" spans="1:20" s="17" customFormat="1" ht="13.5" thickTop="1" x14ac:dyDescent="0.2">
      <c r="A67" s="35"/>
      <c r="B67" s="15"/>
      <c r="C67" s="111" t="s">
        <v>173</v>
      </c>
      <c r="D67" s="354" t="str">
        <f>BE!D73</f>
        <v>NCV charcoal</v>
      </c>
      <c r="E67" s="103">
        <v>2.9499999999999998E-2</v>
      </c>
      <c r="F67" s="356" t="str">
        <f>F62</f>
        <v>TJ/tonne</v>
      </c>
      <c r="G67" s="381" t="str">
        <f>G62</f>
        <v>IPCC default</v>
      </c>
      <c r="H67" s="101"/>
      <c r="I67" s="35"/>
      <c r="J67" s="15"/>
      <c r="K67" s="111" t="s">
        <v>173</v>
      </c>
      <c r="L67" s="354" t="str">
        <f>BE!L73</f>
        <v>NCV charcoal</v>
      </c>
      <c r="M67" s="103">
        <v>2.9499999999999998E-2</v>
      </c>
      <c r="N67" s="356" t="str">
        <f>N62</f>
        <v>TJ/tonne</v>
      </c>
      <c r="O67" s="381" t="str">
        <f>O62</f>
        <v>IPCC default</v>
      </c>
      <c r="P67" s="101"/>
      <c r="Q67" s="35"/>
      <c r="R67" s="35"/>
      <c r="S67" s="35"/>
      <c r="T67" s="35"/>
    </row>
    <row r="68" spans="1:20" s="17" customFormat="1" ht="14.25" x14ac:dyDescent="0.2">
      <c r="A68" s="35"/>
      <c r="B68" s="15"/>
      <c r="C68" s="111" t="s">
        <v>267</v>
      </c>
      <c r="D68" s="354" t="str">
        <f>BE!D74</f>
        <v>CO2 emission factor of charcoal</v>
      </c>
      <c r="E68" s="103">
        <v>165</v>
      </c>
      <c r="F68" s="356" t="str">
        <f t="shared" ref="F68:G69" si="0">F63</f>
        <v>tCO2/TJ</v>
      </c>
      <c r="G68" s="381" t="str">
        <f t="shared" si="0"/>
        <v>BGTA13 default</v>
      </c>
      <c r="H68" s="101"/>
      <c r="I68" s="35"/>
      <c r="J68" s="15"/>
      <c r="K68" s="111" t="s">
        <v>267</v>
      </c>
      <c r="L68" s="354" t="str">
        <f>BE!L74</f>
        <v>CO2 emission factor of charcoal</v>
      </c>
      <c r="M68" s="103">
        <v>165</v>
      </c>
      <c r="N68" s="356" t="str">
        <f t="shared" ref="N68:O68" si="1">N63</f>
        <v>tCO2/TJ</v>
      </c>
      <c r="O68" s="381" t="str">
        <f t="shared" si="1"/>
        <v>BGTA13 default</v>
      </c>
      <c r="P68" s="101"/>
      <c r="Q68" s="35"/>
      <c r="R68" s="35"/>
      <c r="S68" s="35"/>
      <c r="T68" s="35"/>
    </row>
    <row r="69" spans="1:20" s="17" customFormat="1" ht="14.25" x14ac:dyDescent="0.2">
      <c r="A69" s="35"/>
      <c r="B69" s="15"/>
      <c r="C69" s="112" t="s">
        <v>266</v>
      </c>
      <c r="D69" s="198" t="str">
        <f>BE!D75</f>
        <v xml:space="preserve">Non-CO2 emission factor of charcoal </v>
      </c>
      <c r="E69" s="139">
        <v>44.83</v>
      </c>
      <c r="F69" s="116" t="str">
        <f t="shared" si="0"/>
        <v>tCO2/TJ</v>
      </c>
      <c r="G69" s="382" t="str">
        <f t="shared" si="0"/>
        <v>BGTA 14 default</v>
      </c>
      <c r="H69" s="101"/>
      <c r="I69" s="35"/>
      <c r="J69" s="15"/>
      <c r="K69" s="112" t="s">
        <v>266</v>
      </c>
      <c r="L69" s="198" t="str">
        <f>BE!L75</f>
        <v xml:space="preserve">Non-CO2 emission factor of charcoal </v>
      </c>
      <c r="M69" s="139">
        <v>44.83</v>
      </c>
      <c r="N69" s="116" t="str">
        <f t="shared" ref="N69:O69" si="2">N64</f>
        <v>tCO2/TJ</v>
      </c>
      <c r="O69" s="382" t="str">
        <f t="shared" si="2"/>
        <v>BGTA 14 default</v>
      </c>
      <c r="P69" s="101"/>
      <c r="Q69" s="35"/>
      <c r="R69" s="35"/>
      <c r="S69" s="35"/>
      <c r="T69" s="35"/>
    </row>
    <row r="70" spans="1:20" s="17" customFormat="1" x14ac:dyDescent="0.2">
      <c r="A70" s="35"/>
      <c r="B70" s="15"/>
      <c r="C70" s="40"/>
      <c r="D70" s="41"/>
      <c r="E70" s="103"/>
      <c r="F70" s="45"/>
      <c r="G70" s="368"/>
      <c r="H70" s="101"/>
      <c r="I70" s="35"/>
      <c r="J70" s="15"/>
      <c r="K70" s="40"/>
      <c r="L70" s="41"/>
      <c r="M70" s="103"/>
      <c r="N70" s="45"/>
      <c r="O70" s="368"/>
      <c r="P70" s="101"/>
      <c r="Q70" s="35"/>
      <c r="R70" s="35"/>
      <c r="S70" s="35"/>
      <c r="T70" s="35"/>
    </row>
    <row r="71" spans="1:20" s="17" customFormat="1" ht="15.75" thickBot="1" x14ac:dyDescent="0.25">
      <c r="A71" s="35"/>
      <c r="B71" s="15"/>
      <c r="C71" s="109" t="s">
        <v>27032</v>
      </c>
      <c r="D71" s="197" t="str">
        <f>BE!D77</f>
        <v>The quantity of LPG consumed</v>
      </c>
      <c r="E71" s="133">
        <v>0</v>
      </c>
      <c r="F71" s="117" t="str">
        <f>F66</f>
        <v>ton/year</v>
      </c>
      <c r="G71" s="380" t="str">
        <f>G66</f>
        <v>2022 PFT for CPI MRV</v>
      </c>
      <c r="H71" s="101"/>
      <c r="I71" s="35"/>
      <c r="J71" s="15"/>
      <c r="K71" s="109" t="s">
        <v>27032</v>
      </c>
      <c r="L71" s="197" t="str">
        <f>BE!L77</f>
        <v>The quantity of LPG consumed</v>
      </c>
      <c r="M71" s="133">
        <f>'PFT24'!I75</f>
        <v>0</v>
      </c>
      <c r="N71" s="117" t="str">
        <f>N66</f>
        <v>ton/year</v>
      </c>
      <c r="O71" s="380" t="str">
        <f>O66</f>
        <v>linked to sheet PFT 2024</v>
      </c>
      <c r="P71" s="101"/>
      <c r="Q71" s="35"/>
      <c r="R71" s="35"/>
      <c r="S71" s="35"/>
      <c r="T71" s="35"/>
    </row>
    <row r="72" spans="1:20" s="17" customFormat="1" ht="13.5" thickTop="1" x14ac:dyDescent="0.2">
      <c r="A72" s="35"/>
      <c r="B72" s="15"/>
      <c r="C72" s="111" t="s">
        <v>173</v>
      </c>
      <c r="D72" s="354" t="str">
        <f>BE!D78</f>
        <v>NCV LPG</v>
      </c>
      <c r="E72" s="103">
        <v>4.7300000000000002E-2</v>
      </c>
      <c r="F72" s="355" t="s">
        <v>130</v>
      </c>
      <c r="G72" s="381" t="s">
        <v>102</v>
      </c>
      <c r="H72" s="101"/>
      <c r="I72" s="35"/>
      <c r="J72" s="15"/>
      <c r="K72" s="111" t="s">
        <v>173</v>
      </c>
      <c r="L72" s="354" t="str">
        <f>BE!L78</f>
        <v>NCV LPG</v>
      </c>
      <c r="M72" s="103">
        <v>4.7300000000000002E-2</v>
      </c>
      <c r="N72" s="355" t="s">
        <v>130</v>
      </c>
      <c r="O72" s="381" t="s">
        <v>102</v>
      </c>
      <c r="P72" s="101"/>
      <c r="Q72" s="35"/>
      <c r="R72" s="35"/>
      <c r="S72" s="35"/>
      <c r="T72" s="35"/>
    </row>
    <row r="73" spans="1:20" s="17" customFormat="1" ht="14.25" x14ac:dyDescent="0.2">
      <c r="A73" s="35"/>
      <c r="B73" s="15"/>
      <c r="C73" s="111" t="s">
        <v>267</v>
      </c>
      <c r="D73" s="354" t="str">
        <f>BE!D79</f>
        <v>CO2 emisson factor of LPG</v>
      </c>
      <c r="E73" s="103">
        <v>63.1</v>
      </c>
      <c r="F73" s="355" t="s">
        <v>131</v>
      </c>
      <c r="G73" s="381" t="s">
        <v>102</v>
      </c>
      <c r="H73" s="101"/>
      <c r="I73" s="35"/>
      <c r="J73" s="15"/>
      <c r="K73" s="111" t="s">
        <v>267</v>
      </c>
      <c r="L73" s="354" t="str">
        <f>BE!L79</f>
        <v>CO2 emisson factor of LPG</v>
      </c>
      <c r="M73" s="103">
        <v>63.1</v>
      </c>
      <c r="N73" s="355" t="s">
        <v>131</v>
      </c>
      <c r="O73" s="381" t="s">
        <v>102</v>
      </c>
      <c r="P73" s="101"/>
      <c r="Q73" s="35"/>
      <c r="R73" s="35"/>
      <c r="S73" s="35"/>
      <c r="T73" s="35"/>
    </row>
    <row r="74" spans="1:20" s="17" customFormat="1" ht="14.25" x14ac:dyDescent="0.2">
      <c r="A74" s="35"/>
      <c r="B74" s="15"/>
      <c r="C74" s="112" t="s">
        <v>266</v>
      </c>
      <c r="D74" s="198" t="str">
        <f>BE!D80</f>
        <v>Non CO2 emission factor</v>
      </c>
      <c r="E74" s="139">
        <f>BE!E80</f>
        <v>0.16650000000000001</v>
      </c>
      <c r="F74" s="113" t="str">
        <f>F73</f>
        <v>tCO2/TJ</v>
      </c>
      <c r="G74" s="382" t="s">
        <v>260</v>
      </c>
      <c r="H74" s="101"/>
      <c r="I74" s="35"/>
      <c r="J74" s="15"/>
      <c r="K74" s="112" t="s">
        <v>266</v>
      </c>
      <c r="L74" s="198" t="str">
        <f>BE!L80</f>
        <v>Non CO2 emission factor</v>
      </c>
      <c r="M74" s="139">
        <f>BE!M80</f>
        <v>0.16650000000000001</v>
      </c>
      <c r="N74" s="113" t="str">
        <f>N73</f>
        <v>tCO2/TJ</v>
      </c>
      <c r="O74" s="382" t="s">
        <v>260</v>
      </c>
      <c r="P74" s="101"/>
      <c r="Q74" s="35"/>
      <c r="R74" s="35"/>
      <c r="S74" s="35"/>
      <c r="T74" s="35"/>
    </row>
    <row r="75" spans="1:20" s="17" customFormat="1" x14ac:dyDescent="0.2">
      <c r="A75" s="35"/>
      <c r="B75" s="15"/>
      <c r="C75" s="2"/>
      <c r="D75" s="41"/>
      <c r="E75" s="103"/>
      <c r="F75" s="4"/>
      <c r="G75" s="368"/>
      <c r="H75" s="101"/>
      <c r="I75" s="35"/>
      <c r="J75" s="15"/>
      <c r="K75" s="2"/>
      <c r="L75" s="41"/>
      <c r="M75" s="103"/>
      <c r="N75" s="4"/>
      <c r="O75" s="368"/>
      <c r="P75" s="101"/>
      <c r="Q75" s="35"/>
      <c r="R75" s="35"/>
      <c r="S75" s="35"/>
      <c r="T75" s="35"/>
    </row>
    <row r="76" spans="1:20" s="17" customFormat="1" ht="15.75" thickBot="1" x14ac:dyDescent="0.25">
      <c r="A76" s="35"/>
      <c r="B76" s="105"/>
      <c r="C76" s="109" t="s">
        <v>283</v>
      </c>
      <c r="D76" s="200" t="s">
        <v>273</v>
      </c>
      <c r="E76" s="133">
        <f>$E$61*$E$62*E63+$E$66*$E$67*E68+$E$71*$E$72*E73</f>
        <v>4.5231389053846192</v>
      </c>
      <c r="F76" s="117" t="str">
        <f>F79</f>
        <v>tCO2 / yr /hh</v>
      </c>
      <c r="G76" s="380" t="s">
        <v>172</v>
      </c>
      <c r="H76" s="101"/>
      <c r="I76" s="35"/>
      <c r="J76" s="105"/>
      <c r="K76" s="109" t="s">
        <v>283</v>
      </c>
      <c r="L76" s="200" t="s">
        <v>273</v>
      </c>
      <c r="M76" s="133">
        <f>$M$61*$M$62*M63+$M$66*$M$67*M68+$M$71*$M$72*M73</f>
        <v>4.6348205492410708</v>
      </c>
      <c r="N76" s="117" t="str">
        <f>N79</f>
        <v>tCO2 / yr /hh</v>
      </c>
      <c r="O76" s="380" t="s">
        <v>172</v>
      </c>
      <c r="P76" s="101"/>
      <c r="Q76" s="35"/>
      <c r="R76" s="35"/>
      <c r="S76" s="35"/>
      <c r="T76" s="35"/>
    </row>
    <row r="77" spans="1:20" s="17" customFormat="1" ht="13.5" thickTop="1" x14ac:dyDescent="0.2">
      <c r="A77" s="35"/>
      <c r="B77" s="105"/>
      <c r="C77" s="118" t="s">
        <v>284</v>
      </c>
      <c r="D77" s="357" t="s">
        <v>269</v>
      </c>
      <c r="E77" s="104">
        <f>$E$61*$E$62*E64+$E$66*$E$67*E69+$E$71*$E$72*E74</f>
        <v>0.41906107111025676</v>
      </c>
      <c r="F77" s="355" t="s">
        <v>268</v>
      </c>
      <c r="G77" s="381" t="str">
        <f>G76</f>
        <v>Calculation</v>
      </c>
      <c r="H77" s="101"/>
      <c r="I77" s="35"/>
      <c r="J77" s="105"/>
      <c r="K77" s="118" t="s">
        <v>284</v>
      </c>
      <c r="L77" s="357" t="s">
        <v>269</v>
      </c>
      <c r="M77" s="104">
        <f>$M$61*$M$62*M64+$M$66*$M$67*M69+$M71*$M72*M74</f>
        <v>0.45981745371830357</v>
      </c>
      <c r="N77" s="355" t="s">
        <v>268</v>
      </c>
      <c r="O77" s="381" t="str">
        <f>O76</f>
        <v>Calculation</v>
      </c>
      <c r="P77" s="101"/>
      <c r="Q77" s="35"/>
      <c r="R77" s="35"/>
      <c r="S77" s="35"/>
      <c r="T77" s="35"/>
    </row>
    <row r="78" spans="1:20" s="17" customFormat="1" ht="14.25" x14ac:dyDescent="0.2">
      <c r="A78" s="35"/>
      <c r="B78" s="105"/>
      <c r="C78" s="119" t="s">
        <v>127</v>
      </c>
      <c r="D78" s="354" t="s">
        <v>128</v>
      </c>
      <c r="E78" s="153">
        <f>BE!E84</f>
        <v>0.83780679495498411</v>
      </c>
      <c r="F78" s="355" t="s">
        <v>129</v>
      </c>
      <c r="G78" s="381" t="s">
        <v>27457</v>
      </c>
      <c r="H78" s="101"/>
      <c r="I78" s="35"/>
      <c r="J78" s="105"/>
      <c r="K78" s="119" t="s">
        <v>127</v>
      </c>
      <c r="L78" s="354" t="s">
        <v>128</v>
      </c>
      <c r="M78" s="153">
        <f>BE!M84</f>
        <v>0.83780679495498411</v>
      </c>
      <c r="N78" s="355" t="s">
        <v>129</v>
      </c>
      <c r="O78" s="381" t="s">
        <v>27457</v>
      </c>
      <c r="P78" s="101"/>
      <c r="Q78" s="35"/>
      <c r="R78" s="35"/>
      <c r="S78" s="35"/>
      <c r="T78" s="35"/>
    </row>
    <row r="79" spans="1:20" s="17" customFormat="1" ht="14.25" x14ac:dyDescent="0.2">
      <c r="A79" s="35"/>
      <c r="B79" s="105"/>
      <c r="C79" s="120" t="s">
        <v>281</v>
      </c>
      <c r="D79" s="199" t="s">
        <v>290</v>
      </c>
      <c r="E79" s="141">
        <f>(E76-(E71*E72*E73))*E78+(E71*E72*E73)+E77</f>
        <v>4.2085775805667396</v>
      </c>
      <c r="F79" s="113" t="s">
        <v>132</v>
      </c>
      <c r="G79" s="383" t="str">
        <f>G77</f>
        <v>Calculation</v>
      </c>
      <c r="H79" s="101"/>
      <c r="I79" s="35"/>
      <c r="J79" s="105"/>
      <c r="K79" s="120" t="s">
        <v>281</v>
      </c>
      <c r="L79" s="199" t="s">
        <v>290</v>
      </c>
      <c r="M79" s="141">
        <f>(M76-(M71*M72*M73))*M78+(M71*M72*M73)+M77</f>
        <v>4.3429016032694641</v>
      </c>
      <c r="N79" s="113" t="s">
        <v>132</v>
      </c>
      <c r="O79" s="383" t="str">
        <f>O77</f>
        <v>Calculation</v>
      </c>
      <c r="P79" s="101"/>
      <c r="Q79" s="35"/>
      <c r="R79" s="35"/>
      <c r="S79" s="35"/>
      <c r="T79" s="35"/>
    </row>
    <row r="80" spans="1:20" x14ac:dyDescent="0.2">
      <c r="B80" s="105"/>
      <c r="C80" s="350"/>
      <c r="D80" s="41"/>
      <c r="E80" s="103"/>
      <c r="F80" s="4"/>
      <c r="G80" s="368"/>
      <c r="H80" s="101"/>
      <c r="J80" s="105"/>
      <c r="K80" s="350"/>
      <c r="L80" s="41"/>
      <c r="M80" s="103"/>
      <c r="N80" s="4"/>
      <c r="O80" s="368"/>
      <c r="P80" s="101"/>
    </row>
    <row r="81" spans="2:16" x14ac:dyDescent="0.2">
      <c r="B81" s="14" t="s">
        <v>164</v>
      </c>
      <c r="D81" s="35"/>
      <c r="H81" s="101"/>
      <c r="J81" s="14" t="s">
        <v>164</v>
      </c>
      <c r="L81" s="35"/>
      <c r="M81" s="35"/>
      <c r="O81" s="35"/>
      <c r="P81" s="101"/>
    </row>
    <row r="82" spans="2:16" ht="13.5" thickBot="1" x14ac:dyDescent="0.25">
      <c r="B82" s="14"/>
      <c r="C82" s="332" t="s">
        <v>32056</v>
      </c>
      <c r="D82" s="35"/>
      <c r="H82" s="101"/>
      <c r="J82" s="14"/>
      <c r="L82" s="35"/>
      <c r="M82" s="35"/>
      <c r="O82" s="35"/>
      <c r="P82" s="101"/>
    </row>
    <row r="83" spans="2:16" ht="15.75" x14ac:dyDescent="0.25">
      <c r="B83" s="105"/>
      <c r="C83" s="321" t="s">
        <v>32008</v>
      </c>
      <c r="D83" s="322" t="s">
        <v>29309</v>
      </c>
      <c r="E83" s="323">
        <f>COUNTIF('SMS p1'!HL:HL,PE_LE!D83)</f>
        <v>77</v>
      </c>
      <c r="F83" s="324" t="s">
        <v>32017</v>
      </c>
      <c r="G83" s="384"/>
      <c r="H83" s="101"/>
      <c r="J83" s="105"/>
      <c r="K83" s="703" t="s">
        <v>36327</v>
      </c>
      <c r="L83" s="704"/>
      <c r="M83" s="704"/>
      <c r="N83" s="704"/>
      <c r="O83" s="705"/>
      <c r="P83" s="101"/>
    </row>
    <row r="84" spans="2:16" x14ac:dyDescent="0.2">
      <c r="B84" s="105"/>
      <c r="C84" s="325"/>
      <c r="D84" s="255" t="s">
        <v>29480</v>
      </c>
      <c r="E84" s="256">
        <f>COUNTIF('SMS p1'!HL:HL,PE_LE!D84)</f>
        <v>9</v>
      </c>
      <c r="F84" s="257" t="s">
        <v>32017</v>
      </c>
      <c r="G84" s="385"/>
      <c r="H84" s="101"/>
      <c r="J84" s="105"/>
      <c r="K84" s="706"/>
      <c r="L84" s="91"/>
      <c r="M84" s="91"/>
      <c r="N84" s="91"/>
      <c r="O84" s="707"/>
      <c r="P84" s="101"/>
    </row>
    <row r="85" spans="2:16" x14ac:dyDescent="0.2">
      <c r="B85" s="105"/>
      <c r="C85" s="325"/>
      <c r="D85" s="255" t="s">
        <v>29837</v>
      </c>
      <c r="E85" s="256">
        <f>COUNTIF('SMS p1'!HL:HL,PE_LE!D85)</f>
        <v>24</v>
      </c>
      <c r="F85" s="257" t="s">
        <v>32017</v>
      </c>
      <c r="G85" s="385"/>
      <c r="H85" s="101"/>
      <c r="J85" s="105"/>
      <c r="K85" s="706"/>
      <c r="L85" s="91"/>
      <c r="M85" s="91"/>
      <c r="N85" s="91"/>
      <c r="O85" s="707"/>
      <c r="P85" s="101"/>
    </row>
    <row r="86" spans="2:16" x14ac:dyDescent="0.2">
      <c r="B86" s="105"/>
      <c r="C86" s="326"/>
      <c r="D86" s="327" t="s">
        <v>32009</v>
      </c>
      <c r="E86" s="328">
        <f>COUNTIF('SMS p1'!HL:HL,PE_LE!D86)</f>
        <v>0</v>
      </c>
      <c r="F86" s="329"/>
      <c r="G86" s="386"/>
      <c r="H86" s="101"/>
      <c r="J86" s="105"/>
      <c r="K86" s="706"/>
      <c r="L86" s="91"/>
      <c r="M86" s="91"/>
      <c r="N86" s="91"/>
      <c r="O86" s="707"/>
      <c r="P86" s="101"/>
    </row>
    <row r="87" spans="2:16" x14ac:dyDescent="0.2">
      <c r="B87" s="105"/>
      <c r="H87" s="101"/>
      <c r="J87" s="105"/>
      <c r="K87" s="706"/>
      <c r="L87" s="91"/>
      <c r="M87" s="91"/>
      <c r="N87" s="91"/>
      <c r="O87" s="707"/>
      <c r="P87" s="101"/>
    </row>
    <row r="88" spans="2:16" x14ac:dyDescent="0.2">
      <c r="B88" s="105"/>
      <c r="C88" s="330" t="str">
        <f>D86</f>
        <v>Gave it away</v>
      </c>
      <c r="D88" s="322" t="s">
        <v>27020</v>
      </c>
      <c r="E88" s="323">
        <f>E86</f>
        <v>0</v>
      </c>
      <c r="F88" s="324" t="str">
        <f>F85</f>
        <v>cases</v>
      </c>
      <c r="G88" s="384"/>
      <c r="H88" s="101"/>
      <c r="J88" s="105"/>
      <c r="K88" s="706"/>
      <c r="L88" s="91"/>
      <c r="M88" s="91"/>
      <c r="N88" s="91"/>
      <c r="O88" s="707"/>
      <c r="P88" s="101"/>
    </row>
    <row r="89" spans="2:16" ht="38.25" x14ac:dyDescent="0.2">
      <c r="B89" s="105"/>
      <c r="C89" s="331"/>
      <c r="D89" s="327" t="s">
        <v>32013</v>
      </c>
      <c r="E89" s="328">
        <v>0</v>
      </c>
      <c r="F89" s="327" t="s">
        <v>32018</v>
      </c>
      <c r="G89" s="386"/>
      <c r="H89" s="101"/>
      <c r="J89" s="105"/>
      <c r="K89" s="706"/>
      <c r="L89" s="91"/>
      <c r="M89" s="91"/>
      <c r="N89" s="91"/>
      <c r="O89" s="707"/>
      <c r="P89" s="101"/>
    </row>
    <row r="90" spans="2:16" x14ac:dyDescent="0.2">
      <c r="B90" s="105"/>
      <c r="H90" s="101"/>
      <c r="J90" s="105"/>
      <c r="K90" s="706"/>
      <c r="L90" s="91"/>
      <c r="M90" s="91"/>
      <c r="N90" s="91"/>
      <c r="O90" s="707"/>
      <c r="P90" s="101"/>
    </row>
    <row r="91" spans="2:16" x14ac:dyDescent="0.2">
      <c r="B91" s="105"/>
      <c r="C91" s="330" t="s">
        <v>32010</v>
      </c>
      <c r="D91" s="322"/>
      <c r="E91" s="323"/>
      <c r="F91" s="324"/>
      <c r="G91" s="384"/>
      <c r="H91" s="101"/>
      <c r="J91" s="105"/>
      <c r="K91" s="706"/>
      <c r="L91" s="91"/>
      <c r="M91" s="91"/>
      <c r="N91" s="91"/>
      <c r="O91" s="707"/>
      <c r="P91" s="101"/>
    </row>
    <row r="92" spans="2:16" x14ac:dyDescent="0.2">
      <c r="B92" s="105"/>
      <c r="C92" s="325"/>
      <c r="D92" s="255" t="s">
        <v>32011</v>
      </c>
      <c r="E92" s="256">
        <f>COUNTIF('SMS p1'!HU:HU,"yes")</f>
        <v>4</v>
      </c>
      <c r="F92" s="257" t="s">
        <v>32017</v>
      </c>
      <c r="G92" s="385"/>
      <c r="H92" s="101"/>
      <c r="J92" s="105"/>
      <c r="K92" s="706"/>
      <c r="L92" s="91"/>
      <c r="M92" s="91"/>
      <c r="N92" s="91"/>
      <c r="O92" s="707"/>
      <c r="P92" s="101"/>
    </row>
    <row r="93" spans="2:16" ht="25.5" x14ac:dyDescent="0.2">
      <c r="B93" s="105"/>
      <c r="C93" s="325"/>
      <c r="D93" s="255" t="s">
        <v>29274</v>
      </c>
      <c r="E93" s="257"/>
      <c r="F93" s="257"/>
      <c r="G93" s="385"/>
      <c r="H93" s="101"/>
      <c r="J93" s="105"/>
      <c r="K93" s="706"/>
      <c r="L93" s="91"/>
      <c r="M93" s="91"/>
      <c r="N93" s="91"/>
      <c r="O93" s="707"/>
      <c r="P93" s="101"/>
    </row>
    <row r="94" spans="2:16" x14ac:dyDescent="0.2">
      <c r="B94" s="105"/>
      <c r="C94" s="325"/>
      <c r="D94" s="259" t="s">
        <v>29446</v>
      </c>
      <c r="E94" s="256">
        <f>COUNTIF('SMS p1'!HX:HX,D94)</f>
        <v>0</v>
      </c>
      <c r="F94" s="257" t="str">
        <f>F92</f>
        <v>cases</v>
      </c>
      <c r="G94" s="385"/>
      <c r="H94" s="101"/>
      <c r="J94" s="105"/>
      <c r="K94" s="706"/>
      <c r="L94" s="91"/>
      <c r="M94" s="91"/>
      <c r="N94" s="91"/>
      <c r="O94" s="707"/>
      <c r="P94" s="101"/>
    </row>
    <row r="95" spans="2:16" x14ac:dyDescent="0.2">
      <c r="B95" s="105"/>
      <c r="C95" s="325"/>
      <c r="D95" s="259" t="s">
        <v>29292</v>
      </c>
      <c r="E95" s="256">
        <f>COUNTIF('SMS p1'!HX:HX,D95)</f>
        <v>4</v>
      </c>
      <c r="F95" s="257" t="str">
        <f>F94</f>
        <v>cases</v>
      </c>
      <c r="G95" s="385"/>
      <c r="H95" s="101"/>
      <c r="J95" s="105"/>
      <c r="K95" s="706"/>
      <c r="L95" s="91"/>
      <c r="M95" s="91"/>
      <c r="N95" s="91"/>
      <c r="O95" s="707"/>
      <c r="P95" s="101"/>
    </row>
    <row r="96" spans="2:16" ht="51" x14ac:dyDescent="0.2">
      <c r="B96" s="105"/>
      <c r="C96" s="325"/>
      <c r="D96" s="255" t="s">
        <v>32070</v>
      </c>
      <c r="E96" s="256">
        <f>-SUM('SMS p1'!HY:HY)</f>
        <v>-4</v>
      </c>
      <c r="F96" s="255" t="s">
        <v>32071</v>
      </c>
      <c r="G96" s="385"/>
      <c r="H96" s="101"/>
      <c r="J96" s="105"/>
      <c r="K96" s="706"/>
      <c r="L96" s="91"/>
      <c r="M96" s="91"/>
      <c r="N96" s="91"/>
      <c r="O96" s="707"/>
      <c r="P96" s="101"/>
    </row>
    <row r="97" spans="2:16" ht="15" x14ac:dyDescent="0.25">
      <c r="B97" s="105"/>
      <c r="C97" s="326"/>
      <c r="D97" s="327" t="s">
        <v>32069</v>
      </c>
      <c r="E97" s="339">
        <f>E96/110*365/1000</f>
        <v>-1.3272727272727271E-2</v>
      </c>
      <c r="F97" s="329" t="s">
        <v>271</v>
      </c>
      <c r="G97" s="386"/>
      <c r="H97" s="101"/>
      <c r="J97" s="105"/>
      <c r="K97" s="706"/>
      <c r="L97" s="91"/>
      <c r="M97" s="91"/>
      <c r="N97" s="91"/>
      <c r="O97" s="707"/>
      <c r="P97" s="101"/>
    </row>
    <row r="98" spans="2:16" x14ac:dyDescent="0.2">
      <c r="B98" s="105"/>
      <c r="H98" s="101"/>
      <c r="J98" s="105"/>
      <c r="K98" s="706"/>
      <c r="L98" s="91"/>
      <c r="M98" s="91"/>
      <c r="N98" s="91"/>
      <c r="O98" s="707"/>
      <c r="P98" s="101"/>
    </row>
    <row r="99" spans="2:16" x14ac:dyDescent="0.2">
      <c r="B99" s="105"/>
      <c r="C99" s="332" t="s">
        <v>32057</v>
      </c>
      <c r="H99" s="101"/>
      <c r="J99" s="105"/>
      <c r="K99" s="706"/>
      <c r="L99" s="91"/>
      <c r="M99" s="91"/>
      <c r="N99" s="91"/>
      <c r="O99" s="707"/>
      <c r="P99" s="101"/>
    </row>
    <row r="100" spans="2:16" x14ac:dyDescent="0.2">
      <c r="B100" s="105"/>
      <c r="C100" s="333"/>
      <c r="D100" s="324" t="s">
        <v>32027</v>
      </c>
      <c r="E100" s="396">
        <f>COUNTIF('SMS p1'!FD:FD,100)</f>
        <v>110</v>
      </c>
      <c r="F100" s="324"/>
      <c r="G100" s="384"/>
      <c r="H100" s="101"/>
      <c r="J100" s="105"/>
      <c r="K100" s="706"/>
      <c r="L100" s="91"/>
      <c r="M100" s="91"/>
      <c r="N100" s="91"/>
      <c r="O100" s="707"/>
      <c r="P100" s="101"/>
    </row>
    <row r="101" spans="2:16" x14ac:dyDescent="0.2">
      <c r="B101" s="105"/>
      <c r="C101" s="325"/>
      <c r="D101" s="254" t="s">
        <v>32024</v>
      </c>
      <c r="E101" s="399">
        <f>SUM('SMS p1'!DX:DX)/100/E100</f>
        <v>0.66090909090909089</v>
      </c>
      <c r="F101" s="257"/>
      <c r="G101" s="385"/>
      <c r="H101" s="101"/>
      <c r="J101" s="105"/>
      <c r="K101" s="706"/>
      <c r="L101" s="91"/>
      <c r="M101" s="91"/>
      <c r="N101" s="91"/>
      <c r="O101" s="707"/>
      <c r="P101" s="101"/>
    </row>
    <row r="102" spans="2:16" x14ac:dyDescent="0.2">
      <c r="B102" s="105"/>
      <c r="C102" s="325"/>
      <c r="D102" s="334" t="s">
        <v>29186</v>
      </c>
      <c r="E102" s="335">
        <f>SUM('SMS p1'!EE:EE)/E100</f>
        <v>0.63581818181818162</v>
      </c>
      <c r="F102" s="257"/>
      <c r="G102" s="385"/>
      <c r="H102" s="101"/>
      <c r="J102" s="105"/>
      <c r="K102" s="706"/>
      <c r="L102" s="91"/>
      <c r="M102" s="91"/>
      <c r="N102" s="91"/>
      <c r="O102" s="707"/>
      <c r="P102" s="101"/>
    </row>
    <row r="103" spans="2:16" x14ac:dyDescent="0.2">
      <c r="B103" s="105"/>
      <c r="C103" s="325"/>
      <c r="D103" s="334" t="s">
        <v>29187</v>
      </c>
      <c r="E103" s="335">
        <f>SUM('SMS p1'!EF:EF)/E100</f>
        <v>5.4545454545454541E-3</v>
      </c>
      <c r="F103" s="257"/>
      <c r="G103" s="385"/>
      <c r="H103" s="101"/>
      <c r="J103" s="105"/>
      <c r="K103" s="706"/>
      <c r="L103" s="91"/>
      <c r="M103" s="91"/>
      <c r="N103" s="91"/>
      <c r="O103" s="707"/>
      <c r="P103" s="101"/>
    </row>
    <row r="104" spans="2:16" x14ac:dyDescent="0.2">
      <c r="B104" s="105"/>
      <c r="C104" s="325"/>
      <c r="D104" s="334" t="s">
        <v>29188</v>
      </c>
      <c r="E104" s="335">
        <f>SUM('SMS p1'!EG:EG)/E100</f>
        <v>7.2727272727272727E-3</v>
      </c>
      <c r="F104" s="257"/>
      <c r="G104" s="385"/>
      <c r="H104" s="101"/>
      <c r="J104" s="105"/>
      <c r="K104" s="706"/>
      <c r="L104" s="91"/>
      <c r="M104" s="91"/>
      <c r="N104" s="91"/>
      <c r="O104" s="707"/>
      <c r="P104" s="101"/>
    </row>
    <row r="105" spans="2:16" x14ac:dyDescent="0.2">
      <c r="B105" s="105"/>
      <c r="C105" s="325"/>
      <c r="D105" s="334" t="s">
        <v>29189</v>
      </c>
      <c r="E105" s="335">
        <f>SUM('SMS p1'!EH:EH)/E100</f>
        <v>8.7272727272727276E-3</v>
      </c>
      <c r="F105" s="257"/>
      <c r="G105" s="385"/>
      <c r="H105" s="101"/>
      <c r="J105" s="105"/>
      <c r="K105" s="706"/>
      <c r="L105" s="91"/>
      <c r="M105" s="91"/>
      <c r="N105" s="91"/>
      <c r="O105" s="707"/>
      <c r="P105" s="101"/>
    </row>
    <row r="106" spans="2:16" x14ac:dyDescent="0.2">
      <c r="B106" s="105"/>
      <c r="C106" s="325"/>
      <c r="D106" s="334" t="s">
        <v>29190</v>
      </c>
      <c r="E106" s="335">
        <f>SUM('SMS p1'!EI:EI)/E100</f>
        <v>3.6363636363636364E-3</v>
      </c>
      <c r="F106" s="257"/>
      <c r="G106" s="385"/>
      <c r="H106" s="101"/>
      <c r="J106" s="105"/>
      <c r="K106" s="706"/>
      <c r="L106" s="91"/>
      <c r="M106" s="91"/>
      <c r="N106" s="91"/>
      <c r="O106" s="707"/>
      <c r="P106" s="101"/>
    </row>
    <row r="107" spans="2:16" x14ac:dyDescent="0.2">
      <c r="B107" s="105"/>
      <c r="C107" s="325"/>
      <c r="D107" s="255"/>
      <c r="E107" s="397"/>
      <c r="F107" s="257"/>
      <c r="G107" s="387"/>
      <c r="H107" s="101"/>
      <c r="J107" s="105"/>
      <c r="K107" s="706"/>
      <c r="L107" s="91"/>
      <c r="M107" s="91"/>
      <c r="N107" s="91"/>
      <c r="O107" s="707"/>
      <c r="P107" s="101"/>
    </row>
    <row r="108" spans="2:16" x14ac:dyDescent="0.2">
      <c r="B108" s="105"/>
      <c r="C108" s="325"/>
      <c r="D108" s="254" t="s">
        <v>32025</v>
      </c>
      <c r="E108" s="400">
        <f>SUM('SMS p1'!EJ:EJ)/100/E100</f>
        <v>0.31727272727272726</v>
      </c>
      <c r="F108" s="257"/>
      <c r="G108" s="385"/>
      <c r="H108" s="101"/>
      <c r="J108" s="105"/>
      <c r="K108" s="706"/>
      <c r="L108" s="91"/>
      <c r="M108" s="91"/>
      <c r="N108" s="91"/>
      <c r="O108" s="707"/>
      <c r="P108" s="101"/>
    </row>
    <row r="109" spans="2:16" x14ac:dyDescent="0.2">
      <c r="B109" s="105"/>
      <c r="C109" s="325"/>
      <c r="D109" s="334" t="s">
        <v>29186</v>
      </c>
      <c r="E109" s="335">
        <f>SUM('SMS p1'!EV:EV)/E100</f>
        <v>0.31172727272727274</v>
      </c>
      <c r="F109" s="257"/>
      <c r="G109" s="385"/>
      <c r="H109" s="101"/>
      <c r="J109" s="105"/>
      <c r="K109" s="706"/>
      <c r="L109" s="91"/>
      <c r="M109" s="91"/>
      <c r="N109" s="91"/>
      <c r="O109" s="707"/>
      <c r="P109" s="101"/>
    </row>
    <row r="110" spans="2:16" x14ac:dyDescent="0.2">
      <c r="B110" s="105"/>
      <c r="C110" s="325"/>
      <c r="D110" s="334" t="s">
        <v>29187</v>
      </c>
      <c r="E110" s="335">
        <f>SUM('SMS p1'!EW:EW)/E100</f>
        <v>0</v>
      </c>
      <c r="F110" s="257"/>
      <c r="G110" s="385"/>
      <c r="H110" s="101"/>
      <c r="J110" s="105"/>
      <c r="K110" s="706"/>
      <c r="L110" s="91"/>
      <c r="M110" s="91"/>
      <c r="N110" s="91"/>
      <c r="O110" s="707"/>
      <c r="P110" s="101"/>
    </row>
    <row r="111" spans="2:16" x14ac:dyDescent="0.2">
      <c r="B111" s="105"/>
      <c r="C111" s="325"/>
      <c r="D111" s="334" t="s">
        <v>29188</v>
      </c>
      <c r="E111" s="335">
        <f>SUM('SMS p1'!EX:EX)/E100</f>
        <v>1.8181818181818182E-3</v>
      </c>
      <c r="F111" s="257"/>
      <c r="G111" s="385"/>
      <c r="H111" s="101"/>
      <c r="J111" s="105"/>
      <c r="K111" s="706"/>
      <c r="L111" s="91"/>
      <c r="M111" s="91"/>
      <c r="N111" s="91"/>
      <c r="O111" s="707"/>
      <c r="P111" s="101"/>
    </row>
    <row r="112" spans="2:16" x14ac:dyDescent="0.2">
      <c r="B112" s="105"/>
      <c r="C112" s="325"/>
      <c r="D112" s="334" t="s">
        <v>29189</v>
      </c>
      <c r="E112" s="335">
        <f>SUM('SMS p1'!EY:EY)/E100</f>
        <v>2.7272727272727275E-3</v>
      </c>
      <c r="F112" s="257"/>
      <c r="G112" s="385"/>
      <c r="H112" s="101"/>
      <c r="J112" s="105"/>
      <c r="K112" s="706"/>
      <c r="L112" s="91"/>
      <c r="M112" s="91"/>
      <c r="N112" s="91"/>
      <c r="O112" s="707"/>
      <c r="P112" s="101"/>
    </row>
    <row r="113" spans="2:16" x14ac:dyDescent="0.2">
      <c r="B113" s="105"/>
      <c r="C113" s="325"/>
      <c r="D113" s="334" t="s">
        <v>29190</v>
      </c>
      <c r="E113" s="335">
        <f>SUM('SMS p1'!EZ:EZ)/E100</f>
        <v>1E-3</v>
      </c>
      <c r="F113" s="257"/>
      <c r="G113" s="385"/>
      <c r="H113" s="101"/>
      <c r="J113" s="105"/>
      <c r="K113" s="706"/>
      <c r="L113" s="91"/>
      <c r="M113" s="91"/>
      <c r="N113" s="91"/>
      <c r="O113" s="707"/>
      <c r="P113" s="101"/>
    </row>
    <row r="114" spans="2:16" x14ac:dyDescent="0.2">
      <c r="B114" s="105"/>
      <c r="C114" s="325"/>
      <c r="D114" s="255"/>
      <c r="E114" s="398"/>
      <c r="F114" s="257"/>
      <c r="G114" s="385"/>
      <c r="H114" s="101"/>
      <c r="J114" s="105"/>
      <c r="K114" s="706"/>
      <c r="L114" s="91"/>
      <c r="M114" s="91"/>
      <c r="N114" s="91"/>
      <c r="O114" s="707"/>
      <c r="P114" s="101"/>
    </row>
    <row r="115" spans="2:16" ht="39.200000000000003" customHeight="1" x14ac:dyDescent="0.2">
      <c r="B115" s="105"/>
      <c r="C115" s="325"/>
      <c r="D115" s="258" t="s">
        <v>32030</v>
      </c>
      <c r="E115" s="401">
        <f>SUM('SMS p1'!FA:FA)/100/E100</f>
        <v>1.8181818181818181E-2</v>
      </c>
      <c r="F115" s="888" t="s">
        <v>32055</v>
      </c>
      <c r="G115" s="889"/>
      <c r="H115" s="101"/>
      <c r="J115" s="105"/>
      <c r="K115" s="706"/>
      <c r="L115" s="91"/>
      <c r="M115" s="91"/>
      <c r="N115" s="91"/>
      <c r="O115" s="707"/>
      <c r="P115" s="101"/>
    </row>
    <row r="116" spans="2:16" x14ac:dyDescent="0.2">
      <c r="B116" s="105"/>
      <c r="C116" s="325"/>
      <c r="D116" s="336" t="s">
        <v>13</v>
      </c>
      <c r="E116" s="402">
        <f>SUM('SMS p1'!FB:FB)/E100/100</f>
        <v>3.6363636363636364E-3</v>
      </c>
      <c r="F116" s="337" t="s">
        <v>32051</v>
      </c>
      <c r="G116" s="385"/>
      <c r="H116" s="101"/>
      <c r="J116" s="105"/>
      <c r="K116" s="706"/>
      <c r="L116" s="91"/>
      <c r="M116" s="91"/>
      <c r="N116" s="91"/>
      <c r="O116" s="707"/>
      <c r="P116" s="101"/>
    </row>
    <row r="117" spans="2:16" ht="15" x14ac:dyDescent="0.25">
      <c r="B117" s="105"/>
      <c r="C117" s="325"/>
      <c r="D117" s="257" t="s">
        <v>27020</v>
      </c>
      <c r="E117" s="403">
        <f>E116+E115+E108+E101</f>
        <v>1</v>
      </c>
      <c r="F117" s="257"/>
      <c r="G117" s="385"/>
      <c r="H117" s="101"/>
      <c r="J117" s="105"/>
      <c r="K117" s="706"/>
      <c r="L117" s="91"/>
      <c r="M117" s="91"/>
      <c r="N117" s="91"/>
      <c r="O117" s="707"/>
      <c r="P117" s="101"/>
    </row>
    <row r="118" spans="2:16" x14ac:dyDescent="0.2">
      <c r="B118" s="105"/>
      <c r="C118" s="325"/>
      <c r="D118" s="257"/>
      <c r="E118" s="398"/>
      <c r="F118" s="257"/>
      <c r="G118" s="385"/>
      <c r="H118" s="101"/>
      <c r="J118" s="105"/>
      <c r="K118" s="706"/>
      <c r="L118" s="91"/>
      <c r="M118" s="91"/>
      <c r="N118" s="91"/>
      <c r="O118" s="707"/>
      <c r="P118" s="101"/>
    </row>
    <row r="119" spans="2:16" x14ac:dyDescent="0.2">
      <c r="B119" s="105"/>
      <c r="C119" s="325"/>
      <c r="D119" s="255" t="s">
        <v>32052</v>
      </c>
      <c r="E119" s="397">
        <f>E102+E103+E104+E105+E109+E110+E111+E112+E116+E115+E106</f>
        <v>0.99899999999999989</v>
      </c>
      <c r="F119" s="257"/>
      <c r="G119" s="385"/>
      <c r="H119" s="101"/>
      <c r="J119" s="105"/>
      <c r="K119" s="706"/>
      <c r="L119" s="91"/>
      <c r="M119" s="91"/>
      <c r="N119" s="91"/>
      <c r="O119" s="707"/>
      <c r="P119" s="101"/>
    </row>
    <row r="120" spans="2:16" x14ac:dyDescent="0.2">
      <c r="B120" s="105"/>
      <c r="C120" s="325"/>
      <c r="D120" s="255" t="s">
        <v>32053</v>
      </c>
      <c r="E120" s="398">
        <f>1-E119</f>
        <v>1.0000000000001119E-3</v>
      </c>
      <c r="F120" s="257"/>
      <c r="G120" s="385"/>
      <c r="H120" s="101"/>
      <c r="J120" s="105"/>
      <c r="K120" s="706"/>
      <c r="L120" s="91"/>
      <c r="M120" s="91"/>
      <c r="N120" s="91"/>
      <c r="O120" s="707"/>
      <c r="P120" s="101"/>
    </row>
    <row r="121" spans="2:16" x14ac:dyDescent="0.2">
      <c r="B121" s="105"/>
      <c r="C121" s="325"/>
      <c r="D121" s="255"/>
      <c r="E121" s="256"/>
      <c r="F121" s="257"/>
      <c r="G121" s="385"/>
      <c r="H121" s="101"/>
      <c r="J121" s="105"/>
      <c r="K121" s="706"/>
      <c r="L121" s="91" t="s">
        <v>167</v>
      </c>
      <c r="M121" s="91"/>
      <c r="N121" s="91"/>
      <c r="O121" s="707"/>
      <c r="P121" s="101"/>
    </row>
    <row r="122" spans="2:16" x14ac:dyDescent="0.2">
      <c r="B122" s="105"/>
      <c r="C122" s="326"/>
      <c r="D122" s="338" t="s">
        <v>32058</v>
      </c>
      <c r="E122" s="328"/>
      <c r="F122" s="329"/>
      <c r="G122" s="386"/>
      <c r="H122" s="101"/>
      <c r="J122" s="105"/>
      <c r="K122" s="706"/>
      <c r="L122" s="91"/>
      <c r="M122" s="91"/>
      <c r="N122" s="91"/>
      <c r="O122" s="707"/>
      <c r="P122" s="101"/>
    </row>
    <row r="123" spans="2:16" x14ac:dyDescent="0.2">
      <c r="B123" s="14" t="s">
        <v>32012</v>
      </c>
      <c r="H123" s="101"/>
      <c r="K123" s="14"/>
      <c r="L123" s="91"/>
      <c r="M123" s="91"/>
      <c r="N123" s="91"/>
      <c r="O123" s="707"/>
      <c r="P123" s="101"/>
    </row>
    <row r="124" spans="2:16" x14ac:dyDescent="0.2">
      <c r="B124" s="105"/>
      <c r="C124" s="340"/>
      <c r="D124" s="341" t="s">
        <v>32014</v>
      </c>
      <c r="E124" s="342">
        <f>E89+E97</f>
        <v>-1.3272727272727271E-2</v>
      </c>
      <c r="F124" s="343" t="s">
        <v>32016</v>
      </c>
      <c r="G124" s="388" t="s">
        <v>171</v>
      </c>
      <c r="H124" s="101"/>
      <c r="J124" s="105"/>
      <c r="K124" s="706"/>
      <c r="L124" s="91"/>
      <c r="M124" s="91"/>
      <c r="N124" s="91"/>
      <c r="O124" s="707"/>
      <c r="P124" s="101"/>
    </row>
    <row r="125" spans="2:16" ht="15" x14ac:dyDescent="0.25">
      <c r="B125" s="105"/>
      <c r="C125" s="344"/>
      <c r="D125" s="261" t="s">
        <v>32015</v>
      </c>
      <c r="E125" s="262" t="b">
        <f>0&lt;E124</f>
        <v>0</v>
      </c>
      <c r="F125" s="260"/>
      <c r="G125" s="389"/>
      <c r="H125" s="101"/>
      <c r="J125" s="105"/>
      <c r="K125" s="696"/>
      <c r="L125" s="341" t="str">
        <f t="shared" ref="L125:O128" si="3">D124</f>
        <v>Total increase in fuel use</v>
      </c>
      <c r="M125" s="342">
        <f t="shared" si="3"/>
        <v>-1.3272727272727271E-2</v>
      </c>
      <c r="N125" s="343" t="str">
        <f t="shared" si="3"/>
        <v>fuel/year</v>
      </c>
      <c r="O125" s="697" t="str">
        <f t="shared" si="3"/>
        <v>calculation</v>
      </c>
      <c r="P125" s="101"/>
    </row>
    <row r="126" spans="2:16" ht="15" x14ac:dyDescent="0.25">
      <c r="B126" s="105"/>
      <c r="C126" s="344"/>
      <c r="D126" s="261" t="s">
        <v>32059</v>
      </c>
      <c r="E126" s="262" t="b">
        <v>0</v>
      </c>
      <c r="F126" s="260" t="s">
        <v>32060</v>
      </c>
      <c r="G126" s="389"/>
      <c r="H126" s="101"/>
      <c r="J126" s="105"/>
      <c r="K126" s="698"/>
      <c r="L126" s="261" t="str">
        <f t="shared" si="3"/>
        <v>Is this is net increase?</v>
      </c>
      <c r="M126" s="262" t="b">
        <f t="shared" si="3"/>
        <v>0</v>
      </c>
      <c r="N126" s="260"/>
      <c r="O126" s="699"/>
      <c r="P126" s="101"/>
    </row>
    <row r="127" spans="2:16" ht="15" x14ac:dyDescent="0.25">
      <c r="B127" s="105"/>
      <c r="C127" s="344"/>
      <c r="D127" s="349" t="s">
        <v>29156</v>
      </c>
      <c r="E127" s="693">
        <f>IF(E125=FALSE,0,E124)</f>
        <v>0</v>
      </c>
      <c r="F127" s="260" t="str">
        <f>F79</f>
        <v>tCO2 / yr /hh</v>
      </c>
      <c r="G127" s="389" t="s">
        <v>171</v>
      </c>
      <c r="H127" s="101"/>
      <c r="J127" s="105"/>
      <c r="K127" s="698"/>
      <c r="L127" s="261" t="str">
        <f t="shared" si="3"/>
        <v>Increase in emissions due to handling of bio-slurry</v>
      </c>
      <c r="M127" s="262" t="b">
        <f t="shared" si="3"/>
        <v>0</v>
      </c>
      <c r="N127" s="260" t="str">
        <f t="shared" si="3"/>
        <v>as per analysis above</v>
      </c>
      <c r="O127" s="699"/>
      <c r="P127" s="101"/>
    </row>
    <row r="128" spans="2:16" ht="15.75" thickBot="1" x14ac:dyDescent="0.3">
      <c r="B128" s="105"/>
      <c r="C128" s="345"/>
      <c r="D128" s="346"/>
      <c r="E128" s="347"/>
      <c r="F128" s="348"/>
      <c r="G128" s="390"/>
      <c r="H128" s="101"/>
      <c r="J128" s="105"/>
      <c r="K128" s="700"/>
      <c r="L128" s="694" t="str">
        <f t="shared" si="3"/>
        <v>Conclusion</v>
      </c>
      <c r="M128" s="695">
        <f t="shared" si="3"/>
        <v>0</v>
      </c>
      <c r="N128" s="701" t="str">
        <f t="shared" si="3"/>
        <v>tCO2 / yr /hh</v>
      </c>
      <c r="O128" s="702"/>
      <c r="P128" s="101"/>
    </row>
    <row r="129" spans="2:16" ht="13.5" thickBot="1" x14ac:dyDescent="0.25">
      <c r="B129" s="106"/>
      <c r="C129" s="90"/>
      <c r="D129" s="252"/>
      <c r="E129" s="253"/>
      <c r="F129" s="90"/>
      <c r="G129" s="252"/>
      <c r="H129" s="102"/>
      <c r="J129" s="106"/>
      <c r="K129" s="90"/>
      <c r="L129" s="252"/>
      <c r="M129" s="253"/>
      <c r="N129" s="90"/>
      <c r="O129" s="252"/>
      <c r="P129" s="102"/>
    </row>
    <row r="133" spans="2:16" x14ac:dyDescent="0.2">
      <c r="C133" s="263"/>
      <c r="K133" s="263"/>
    </row>
  </sheetData>
  <mergeCells count="5">
    <mergeCell ref="B1:H1"/>
    <mergeCell ref="G4:G5"/>
    <mergeCell ref="F115:G115"/>
    <mergeCell ref="J1:P1"/>
    <mergeCell ref="O4:O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4C14-4756-4459-840F-006BD1098DEB}">
  <dimension ref="A1:T168"/>
  <sheetViews>
    <sheetView tabSelected="1" topLeftCell="A91" zoomScale="85" zoomScaleNormal="85" workbookViewId="0">
      <selection activeCell="K127" sqref="K127"/>
    </sheetView>
  </sheetViews>
  <sheetFormatPr defaultColWidth="9.140625" defaultRowHeight="15" x14ac:dyDescent="0.25"/>
  <cols>
    <col min="1" max="1" width="6.7109375" style="49" customWidth="1"/>
    <col min="2" max="2" width="33.140625" style="49" customWidth="1"/>
    <col min="3" max="3" width="48.140625" style="49" customWidth="1"/>
    <col min="4" max="4" width="16.7109375" style="49" customWidth="1"/>
    <col min="5" max="5" width="18.42578125" style="49" customWidth="1"/>
    <col min="6" max="6" width="18" style="49" customWidth="1"/>
    <col min="7" max="7" width="16.140625" style="49" customWidth="1"/>
    <col min="8" max="8" width="14.7109375" style="49" customWidth="1"/>
    <col min="9" max="9" width="14.85546875" style="49" customWidth="1"/>
    <col min="10" max="10" width="18.7109375" style="49" customWidth="1"/>
    <col min="11" max="11" width="14.5703125" style="49" customWidth="1"/>
    <col min="12" max="12" width="18.7109375" style="49" customWidth="1"/>
    <col min="13" max="13" width="18.140625" style="49" customWidth="1"/>
    <col min="14" max="14" width="16.42578125" style="49" customWidth="1"/>
    <col min="15" max="15" width="11.42578125" style="49" customWidth="1"/>
    <col min="16" max="16" width="11.85546875" style="49" customWidth="1"/>
    <col min="17" max="17" width="17.5703125" style="49" customWidth="1"/>
    <col min="18" max="18" width="11.85546875" style="49" customWidth="1"/>
    <col min="19" max="19" width="9.140625" style="49"/>
    <col min="20" max="20" width="13" style="49" bestFit="1" customWidth="1"/>
    <col min="21" max="16384" width="9.140625" style="49"/>
  </cols>
  <sheetData>
    <row r="1" spans="1:19" x14ac:dyDescent="0.25">
      <c r="A1" s="220"/>
      <c r="B1" s="455" t="s">
        <v>33304</v>
      </c>
      <c r="C1" s="456"/>
      <c r="D1" s="456"/>
      <c r="E1" s="456"/>
      <c r="F1" s="456"/>
      <c r="G1" s="456"/>
      <c r="H1" s="457"/>
      <c r="I1" s="455" t="s">
        <v>33305</v>
      </c>
      <c r="J1" s="456"/>
      <c r="K1" s="456"/>
      <c r="L1" s="456"/>
      <c r="M1" s="456"/>
      <c r="N1" s="456"/>
      <c r="O1" s="456"/>
      <c r="P1" s="457"/>
    </row>
    <row r="2" spans="1:19" x14ac:dyDescent="0.25">
      <c r="B2" s="458" t="s">
        <v>33303</v>
      </c>
      <c r="G2" s="30">
        <f>(COUNTIF('SMS p1'!Z:Z,"yes"))/C12</f>
        <v>0.61691542288557211</v>
      </c>
      <c r="H2" s="77"/>
      <c r="I2" s="458" t="s">
        <v>33303</v>
      </c>
      <c r="N2" s="30">
        <f>(COUNTIF('SMS p2'!U:U,"yes"))/J12</f>
        <v>0.49450549450549453</v>
      </c>
      <c r="P2" s="77"/>
    </row>
    <row r="3" spans="1:19" x14ac:dyDescent="0.25">
      <c r="B3" s="837" t="s">
        <v>32062</v>
      </c>
      <c r="C3" s="838"/>
      <c r="D3" s="838"/>
      <c r="E3" s="838"/>
      <c r="F3" s="838"/>
      <c r="G3" s="50">
        <f>SUM('SMS p1'!AA:AA)</f>
        <v>1179</v>
      </c>
      <c r="H3" s="77" t="s">
        <v>27018</v>
      </c>
      <c r="I3" s="837" t="s">
        <v>32062</v>
      </c>
      <c r="J3" s="838"/>
      <c r="K3" s="838"/>
      <c r="L3" s="838"/>
      <c r="M3" s="838"/>
      <c r="N3" s="50">
        <f>SUM('SMS p2'!W:W)</f>
        <v>33</v>
      </c>
      <c r="O3" s="49" t="s">
        <v>27018</v>
      </c>
      <c r="P3" s="77"/>
    </row>
    <row r="4" spans="1:19" x14ac:dyDescent="0.25">
      <c r="B4" s="458" t="s">
        <v>32063</v>
      </c>
      <c r="G4" s="459">
        <f>1-(G3/(C9*C12))</f>
        <v>0.98309604714181253</v>
      </c>
      <c r="H4" s="77"/>
      <c r="I4" s="458" t="s">
        <v>32063</v>
      </c>
      <c r="N4" s="529">
        <f>1-(N3/(J9*J12))</f>
        <v>0.99966972917792585</v>
      </c>
      <c r="P4" s="77"/>
    </row>
    <row r="5" spans="1:19" x14ac:dyDescent="0.25">
      <c r="B5" s="458" t="s">
        <v>32064</v>
      </c>
      <c r="G5" s="50">
        <f>SUM('SMS p1'!AB:AB)</f>
        <v>2952</v>
      </c>
      <c r="H5" s="77" t="str">
        <f>H3</f>
        <v>days</v>
      </c>
      <c r="I5" s="458" t="s">
        <v>32064</v>
      </c>
      <c r="N5" s="50">
        <f>SUM('SMS p2'!AC:AC)</f>
        <v>3019</v>
      </c>
      <c r="O5" s="49" t="str">
        <f>O3</f>
        <v>days</v>
      </c>
      <c r="P5" s="77"/>
    </row>
    <row r="6" spans="1:19" x14ac:dyDescent="0.25">
      <c r="B6" s="458" t="s">
        <v>32067</v>
      </c>
      <c r="G6" s="459">
        <f>1+G5/(C12*C9)</f>
        <v>1.0423244010495074</v>
      </c>
      <c r="H6" s="77"/>
      <c r="I6" s="458" t="s">
        <v>32067</v>
      </c>
      <c r="N6" s="459">
        <f>1+N5/(J12*J9)</f>
        <v>1.0302147761164155</v>
      </c>
      <c r="P6" s="77"/>
    </row>
    <row r="7" spans="1:19" x14ac:dyDescent="0.25">
      <c r="B7" s="458" t="s">
        <v>32068</v>
      </c>
      <c r="G7" s="30">
        <f>G6*G4*G2</f>
        <v>0.63215631748951373</v>
      </c>
      <c r="H7" s="77"/>
      <c r="I7" s="458" t="s">
        <v>32068</v>
      </c>
      <c r="N7" s="30">
        <f>N6*N4*N2</f>
        <v>0.50927861187464563</v>
      </c>
      <c r="P7" s="77"/>
    </row>
    <row r="8" spans="1:19" x14ac:dyDescent="0.25">
      <c r="B8" s="458"/>
      <c r="H8" s="77"/>
      <c r="I8" s="458"/>
      <c r="P8" s="77"/>
    </row>
    <row r="9" spans="1:19" x14ac:dyDescent="0.25">
      <c r="B9" s="295" t="s">
        <v>32000</v>
      </c>
      <c r="C9" s="213">
        <f>C27-B16+1</f>
        <v>347</v>
      </c>
      <c r="H9" s="77"/>
      <c r="I9" s="295" t="s">
        <v>32000</v>
      </c>
      <c r="J9" s="213">
        <f>C39-B28+1</f>
        <v>366</v>
      </c>
      <c r="P9" s="77"/>
    </row>
    <row r="10" spans="1:19" ht="30" x14ac:dyDescent="0.25">
      <c r="B10" s="460" t="s">
        <v>32040</v>
      </c>
      <c r="C10" s="246">
        <f>COUNTIFS('MPI DB final'!$F:$F,"&lt;19/04/2022",'MPI DB final'!$C:$C,"Included")</f>
        <v>7988</v>
      </c>
      <c r="D10" s="49" t="s">
        <v>32090</v>
      </c>
      <c r="H10" s="77"/>
      <c r="I10" s="460" t="s">
        <v>33306</v>
      </c>
      <c r="J10" s="246">
        <f>COUNTIFS('MPI DB final'!$F:$F,"&lt;01/04/2023",'MPI DB final'!$C:$C,"Included")</f>
        <v>8205</v>
      </c>
      <c r="K10" s="49" t="s">
        <v>33307</v>
      </c>
      <c r="P10" s="77"/>
    </row>
    <row r="11" spans="1:19" x14ac:dyDescent="0.25">
      <c r="B11" s="461" t="s">
        <v>27009</v>
      </c>
      <c r="C11" s="391">
        <f>G7</f>
        <v>0.63215631748951373</v>
      </c>
      <c r="D11" s="462">
        <v>0.59960000000000002</v>
      </c>
      <c r="H11" s="77"/>
      <c r="I11" s="461" t="s">
        <v>27009</v>
      </c>
      <c r="J11" s="391">
        <f>N7</f>
        <v>0.50927861187464563</v>
      </c>
      <c r="K11" s="462">
        <f>C11</f>
        <v>0.63215631748951373</v>
      </c>
      <c r="P11" s="77"/>
    </row>
    <row r="12" spans="1:19" ht="15.75" thickBot="1" x14ac:dyDescent="0.3">
      <c r="B12" s="463" t="s">
        <v>248</v>
      </c>
      <c r="C12" s="464">
        <f>COUNTA(Table14[Serial Number])</f>
        <v>201</v>
      </c>
      <c r="D12" s="319"/>
      <c r="E12" s="319"/>
      <c r="F12" s="319"/>
      <c r="G12" s="319"/>
      <c r="H12" s="78"/>
      <c r="I12" s="463" t="s">
        <v>248</v>
      </c>
      <c r="J12" s="464">
        <f>COUNTA('SMS p2'!C13:C297)</f>
        <v>273</v>
      </c>
      <c r="K12" s="319"/>
      <c r="L12" s="319"/>
      <c r="M12" s="319"/>
      <c r="N12" s="319"/>
      <c r="O12" s="319"/>
      <c r="P12" s="78"/>
    </row>
    <row r="13" spans="1:19" x14ac:dyDescent="0.25">
      <c r="B13" s="164"/>
      <c r="C13" s="242"/>
    </row>
    <row r="14" spans="1:19" ht="15.75" thickBot="1" x14ac:dyDescent="0.3">
      <c r="A14" s="288" t="s">
        <v>32039</v>
      </c>
      <c r="B14" s="289"/>
      <c r="C14" s="289"/>
      <c r="D14" s="289"/>
      <c r="E14" s="289"/>
      <c r="F14" s="289"/>
      <c r="G14" s="289"/>
      <c r="H14" s="289"/>
      <c r="I14" s="289"/>
      <c r="J14" s="289"/>
      <c r="K14" s="289"/>
      <c r="L14" s="289"/>
      <c r="M14" s="289"/>
      <c r="N14" s="289"/>
      <c r="O14" s="289"/>
      <c r="P14" s="289"/>
      <c r="Q14" s="847" t="s">
        <v>36526</v>
      </c>
      <c r="R14" s="847"/>
      <c r="S14" s="847"/>
    </row>
    <row r="15" spans="1:19" ht="33" customHeight="1" thickBot="1" x14ac:dyDescent="0.3">
      <c r="B15" s="308" t="s">
        <v>162</v>
      </c>
      <c r="C15" s="309" t="s">
        <v>163</v>
      </c>
      <c r="D15" s="310" t="s">
        <v>291</v>
      </c>
      <c r="E15" s="311" t="s">
        <v>27010</v>
      </c>
      <c r="F15" s="311" t="s">
        <v>27008</v>
      </c>
      <c r="G15" s="311" t="s">
        <v>276</v>
      </c>
      <c r="H15" s="311" t="s">
        <v>27011</v>
      </c>
      <c r="I15" s="311"/>
      <c r="J15" s="311"/>
      <c r="K15" s="311" t="s">
        <v>279</v>
      </c>
      <c r="L15" s="311" t="s">
        <v>278</v>
      </c>
      <c r="M15" s="311" t="s">
        <v>281</v>
      </c>
      <c r="N15" s="312" t="s">
        <v>280</v>
      </c>
      <c r="O15" s="311" t="s">
        <v>27466</v>
      </c>
      <c r="P15" s="313" t="s">
        <v>282</v>
      </c>
      <c r="Q15" s="49" t="s">
        <v>36527</v>
      </c>
      <c r="R15" s="49" t="s">
        <v>36528</v>
      </c>
      <c r="S15" s="49" t="s">
        <v>36529</v>
      </c>
    </row>
    <row r="16" spans="1:19" x14ac:dyDescent="0.25">
      <c r="B16" s="166">
        <v>44670</v>
      </c>
      <c r="C16" s="167">
        <v>44681</v>
      </c>
      <c r="D16" s="165">
        <f>COUNTIFS('MPI DB final'!F:F,"&gt;="&amp;$B16,'MPI DB final'!F:F,"&lt;="&amp;C16,'MPI DB final'!C:C,"Included")</f>
        <v>0</v>
      </c>
      <c r="E16" s="404">
        <f>D16+COUNTIFS('MPI DB final'!F:F,"&lt;19/04/2022",'MPI DB final'!C:C,"Included")</f>
        <v>7988</v>
      </c>
      <c r="F16" s="168">
        <f t="shared" ref="F16:F39" si="0">C16-B16+1</f>
        <v>12</v>
      </c>
      <c r="G16" s="168">
        <f>C10*F16+D16/2*F16</f>
        <v>95856</v>
      </c>
      <c r="H16" s="168">
        <f t="shared" ref="H16:H27" si="1">G16*$C$11</f>
        <v>60595.975969274827</v>
      </c>
      <c r="I16" s="169">
        <f>BE!$E$52/365*H16</f>
        <v>476.35699925519731</v>
      </c>
      <c r="J16" s="169">
        <f>BE!$E$85/365*H16</f>
        <v>1266.7034821960442</v>
      </c>
      <c r="K16" s="530">
        <f>I16+J16</f>
        <v>1743.0604814512415</v>
      </c>
      <c r="L16" s="169">
        <f>PE_LE!$E$58/365*H16</f>
        <v>415.2645241158865</v>
      </c>
      <c r="M16" s="169">
        <f>PE_LE!$E$79/365*H16</f>
        <v>698.69278338863273</v>
      </c>
      <c r="N16" s="530">
        <f>L16+M16</f>
        <v>1113.9573075045191</v>
      </c>
      <c r="O16" s="213">
        <v>0</v>
      </c>
      <c r="P16" s="292">
        <f>K16-N16-O16</f>
        <v>629.10317394672234</v>
      </c>
      <c r="Q16" s="245">
        <f>(BE!$E$67+BE!$E$72*$C$80)/365*H16</f>
        <v>817.74622194522067</v>
      </c>
      <c r="R16" s="245">
        <f>(PE_LE!$E$61+PE_LE!$E$66*$C$80)/365*H16</f>
        <v>437.96906939023592</v>
      </c>
      <c r="S16" s="748">
        <f t="shared" ref="S16:S39" si="2">Q16-R16</f>
        <v>379.77715255498475</v>
      </c>
    </row>
    <row r="17" spans="2:19" x14ac:dyDescent="0.25">
      <c r="B17" s="170">
        <f>C16+1</f>
        <v>44682</v>
      </c>
      <c r="C17" s="167">
        <f t="shared" ref="C17:C25" si="3">B18-1</f>
        <v>44712</v>
      </c>
      <c r="D17" s="165">
        <f>COUNTIFS('MPI DB final'!F:F,"&gt;="&amp;$B17,'MPI DB final'!F:F,"&lt;="&amp;C17,'MPI DB final'!C:C,"Included")</f>
        <v>3</v>
      </c>
      <c r="E17" s="404">
        <f t="shared" ref="E17:E39" si="4">D17+E16</f>
        <v>7991</v>
      </c>
      <c r="F17" s="168">
        <f t="shared" si="0"/>
        <v>31</v>
      </c>
      <c r="G17" s="168">
        <f t="shared" ref="G17:G27" si="5">E16*F17+D17/2*F17</f>
        <v>247674.5</v>
      </c>
      <c r="H17" s="168">
        <f t="shared" si="1"/>
        <v>156568.99985605656</v>
      </c>
      <c r="I17" s="169">
        <f>BE!$E$52/365*H17</f>
        <v>1230.819996787174</v>
      </c>
      <c r="J17" s="169">
        <f>BE!$E$85/365*H17</f>
        <v>3272.9318102274674</v>
      </c>
      <c r="K17" s="530">
        <f t="shared" ref="K17:K26" si="6">I17+J17</f>
        <v>4503.7518070146416</v>
      </c>
      <c r="L17" s="169">
        <f>PE_LE!$E$58/365*H17</f>
        <v>1072.9681332221262</v>
      </c>
      <c r="M17" s="169">
        <f>PE_LE!$E$79/365*H17</f>
        <v>1805.2952948108405</v>
      </c>
      <c r="N17" s="530">
        <f t="shared" ref="N17:N26" si="7">L17+M17</f>
        <v>2878.2634280329667</v>
      </c>
      <c r="O17" s="213">
        <v>0</v>
      </c>
      <c r="P17" s="292">
        <f t="shared" ref="P17:P27" si="8">K17-N17-O17</f>
        <v>1625.4883789816749</v>
      </c>
      <c r="Q17" s="245">
        <f>(BE!$E$67+BE!$E$72*$C$80)/365*H17</f>
        <v>2112.907764221035</v>
      </c>
      <c r="R17" s="245">
        <f>(PE_LE!$E$61+PE_LE!$E$66*$C$80)/365*H17</f>
        <v>1131.6325558826989</v>
      </c>
      <c r="S17" s="748">
        <f t="shared" si="2"/>
        <v>981.27520833833614</v>
      </c>
    </row>
    <row r="18" spans="2:19" x14ac:dyDescent="0.25">
      <c r="B18" s="170">
        <f t="shared" ref="B18:B24" si="9">EDATE(B17,1)</f>
        <v>44713</v>
      </c>
      <c r="C18" s="167">
        <f t="shared" si="3"/>
        <v>44742</v>
      </c>
      <c r="D18" s="165">
        <f>COUNTIFS('MPI DB final'!F:F,"&gt;="&amp;$B18,'MPI DB final'!F:F,"&lt;="&amp;C18,'MPI DB final'!C:C,"Included")</f>
        <v>0</v>
      </c>
      <c r="E18" s="404">
        <f t="shared" si="4"/>
        <v>7991</v>
      </c>
      <c r="F18" s="168">
        <f t="shared" si="0"/>
        <v>30</v>
      </c>
      <c r="G18" s="168">
        <f t="shared" si="5"/>
        <v>239730</v>
      </c>
      <c r="H18" s="168">
        <f t="shared" si="1"/>
        <v>151546.83399176112</v>
      </c>
      <c r="I18" s="169">
        <f>BE!$E$52/365*H18</f>
        <v>1191.3397537081501</v>
      </c>
      <c r="J18" s="169">
        <f>BE!$E$85/365*H18</f>
        <v>3167.9480239824074</v>
      </c>
      <c r="K18" s="530">
        <f t="shared" si="6"/>
        <v>4359.287777690557</v>
      </c>
      <c r="L18" s="169">
        <f>PE_LE!$E$58/365*H18</f>
        <v>1038.5512056240764</v>
      </c>
      <c r="M18" s="169">
        <f>PE_LE!$E$79/365*H18</f>
        <v>1747.3879669687544</v>
      </c>
      <c r="N18" s="530">
        <f t="shared" si="7"/>
        <v>2785.9391725928308</v>
      </c>
      <c r="O18" s="213">
        <v>0</v>
      </c>
      <c r="P18" s="292">
        <f t="shared" si="8"/>
        <v>1573.3486050977262</v>
      </c>
      <c r="Q18" s="245">
        <f>(BE!$E$67+BE!$E$72*$C$80)/365*H18</f>
        <v>2045.1333436292746</v>
      </c>
      <c r="R18" s="245">
        <f>(PE_LE!$E$61+PE_LE!$E$66*$C$80)/365*H18</f>
        <v>1095.3338862973758</v>
      </c>
      <c r="S18" s="748">
        <f t="shared" si="2"/>
        <v>949.79945733189879</v>
      </c>
    </row>
    <row r="19" spans="2:19" x14ac:dyDescent="0.25">
      <c r="B19" s="170">
        <f t="shared" si="9"/>
        <v>44743</v>
      </c>
      <c r="C19" s="167">
        <f t="shared" si="3"/>
        <v>44773</v>
      </c>
      <c r="D19" s="165">
        <f>COUNTIFS('MPI DB final'!F:F,"&gt;="&amp;$B19,'MPI DB final'!F:F,"&lt;="&amp;C19,'MPI DB final'!C:C,"Included")</f>
        <v>2</v>
      </c>
      <c r="E19" s="404">
        <f t="shared" si="4"/>
        <v>7993</v>
      </c>
      <c r="F19" s="168">
        <f t="shared" si="0"/>
        <v>31</v>
      </c>
      <c r="G19" s="168">
        <f t="shared" si="5"/>
        <v>247752</v>
      </c>
      <c r="H19" s="168">
        <f t="shared" si="1"/>
        <v>156617.991970662</v>
      </c>
      <c r="I19" s="169">
        <f>BE!$E$52/365*H19</f>
        <v>1231.2051335281426</v>
      </c>
      <c r="J19" s="169">
        <f>BE!$E$85/365*H19</f>
        <v>3273.9559455958347</v>
      </c>
      <c r="K19" s="530">
        <f t="shared" si="6"/>
        <v>4505.1610791239773</v>
      </c>
      <c r="L19" s="169">
        <f>PE_LE!$E$58/365*H19</f>
        <v>1073.3038764267142</v>
      </c>
      <c r="M19" s="169">
        <f>PE_LE!$E$79/365*H19</f>
        <v>1805.860191016739</v>
      </c>
      <c r="N19" s="530">
        <f t="shared" si="7"/>
        <v>2879.164067443453</v>
      </c>
      <c r="O19" s="213">
        <v>0</v>
      </c>
      <c r="P19" s="292">
        <f t="shared" si="8"/>
        <v>1625.9970116805243</v>
      </c>
      <c r="Q19" s="245">
        <f>(BE!$E$67+BE!$E$72*$C$80)/365*H19</f>
        <v>2113.5689156586159</v>
      </c>
      <c r="R19" s="245">
        <f>(PE_LE!$E$61+PE_LE!$E$66*$C$80)/365*H19</f>
        <v>1131.9866558125702</v>
      </c>
      <c r="S19" s="748">
        <f t="shared" si="2"/>
        <v>981.58225984604564</v>
      </c>
    </row>
    <row r="20" spans="2:19" x14ac:dyDescent="0.25">
      <c r="B20" s="170">
        <f t="shared" si="9"/>
        <v>44774</v>
      </c>
      <c r="C20" s="167">
        <f t="shared" si="3"/>
        <v>44804</v>
      </c>
      <c r="D20" s="165">
        <f>COUNTIFS('MPI DB final'!F:F,"&gt;="&amp;$B20,'MPI DB final'!F:F,"&lt;="&amp;C20,'MPI DB final'!C:C,"Included")</f>
        <v>3</v>
      </c>
      <c r="E20" s="404">
        <f t="shared" si="4"/>
        <v>7996</v>
      </c>
      <c r="F20" s="168">
        <f t="shared" si="0"/>
        <v>31</v>
      </c>
      <c r="G20" s="168">
        <f t="shared" si="5"/>
        <v>247829.5</v>
      </c>
      <c r="H20" s="168">
        <f t="shared" si="1"/>
        <v>156666.98408526744</v>
      </c>
      <c r="I20" s="169">
        <f>BE!$E$52/365*H20</f>
        <v>1231.5902702691112</v>
      </c>
      <c r="J20" s="169">
        <f>BE!$E$85/365*H20</f>
        <v>3274.980080964202</v>
      </c>
      <c r="K20" s="530">
        <f t="shared" si="6"/>
        <v>4506.570351233313</v>
      </c>
      <c r="L20" s="169">
        <f>PE_LE!$E$58/365*H20</f>
        <v>1073.6396196313021</v>
      </c>
      <c r="M20" s="169">
        <f>PE_LE!$E$79/365*H20</f>
        <v>1806.4250872226378</v>
      </c>
      <c r="N20" s="530">
        <f t="shared" si="7"/>
        <v>2880.0647068539402</v>
      </c>
      <c r="O20" s="213">
        <v>0</v>
      </c>
      <c r="P20" s="292">
        <f t="shared" si="8"/>
        <v>1626.5056443793728</v>
      </c>
      <c r="Q20" s="245">
        <f>(BE!$E$67+BE!$E$72*$C$80)/365*H20</f>
        <v>2114.2300670961972</v>
      </c>
      <c r="R20" s="245">
        <f>(PE_LE!$E$61+PE_LE!$E$66*$C$80)/365*H20</f>
        <v>1132.3407557424416</v>
      </c>
      <c r="S20" s="748">
        <f t="shared" si="2"/>
        <v>981.8893113537556</v>
      </c>
    </row>
    <row r="21" spans="2:19" x14ac:dyDescent="0.25">
      <c r="B21" s="170">
        <f t="shared" si="9"/>
        <v>44805</v>
      </c>
      <c r="C21" s="167">
        <f t="shared" si="3"/>
        <v>44834</v>
      </c>
      <c r="D21" s="165">
        <f>COUNTIFS('MPI DB final'!F:F,"&gt;="&amp;$B21,'MPI DB final'!F:F,"&lt;="&amp;C21,'MPI DB final'!C:C,"Included")</f>
        <v>12</v>
      </c>
      <c r="E21" s="404">
        <f t="shared" si="4"/>
        <v>8008</v>
      </c>
      <c r="F21" s="168">
        <f t="shared" si="0"/>
        <v>30</v>
      </c>
      <c r="G21" s="168">
        <f t="shared" si="5"/>
        <v>240060</v>
      </c>
      <c r="H21" s="168">
        <f t="shared" si="1"/>
        <v>151755.44557653266</v>
      </c>
      <c r="I21" s="169">
        <f>BE!$E$52/365*H21</f>
        <v>1192.9796907987259</v>
      </c>
      <c r="J21" s="169">
        <f>BE!$E$85/365*H21</f>
        <v>3172.3088584541642</v>
      </c>
      <c r="K21" s="530">
        <f t="shared" si="6"/>
        <v>4365.2885492528903</v>
      </c>
      <c r="L21" s="169">
        <f>PE_LE!$E$58/365*H21</f>
        <v>1039.9808218500636</v>
      </c>
      <c r="M21" s="169">
        <f>PE_LE!$E$79/365*H21</f>
        <v>1749.7933314583872</v>
      </c>
      <c r="N21" s="530">
        <f t="shared" si="7"/>
        <v>2789.7741533084509</v>
      </c>
      <c r="O21" s="213">
        <v>0</v>
      </c>
      <c r="P21" s="292">
        <f t="shared" si="8"/>
        <v>1575.5143959444395</v>
      </c>
      <c r="Q21" s="245">
        <f>(BE!$E$67+BE!$E$72*$C$80)/365*H21</f>
        <v>2047.9485691054256</v>
      </c>
      <c r="R21" s="245">
        <f>(PE_LE!$E$61+PE_LE!$E$66*$C$80)/365*H21</f>
        <v>1096.8416666439246</v>
      </c>
      <c r="S21" s="748">
        <f t="shared" si="2"/>
        <v>951.10690246150102</v>
      </c>
    </row>
    <row r="22" spans="2:19" x14ac:dyDescent="0.25">
      <c r="B22" s="170">
        <f t="shared" si="9"/>
        <v>44835</v>
      </c>
      <c r="C22" s="167">
        <f t="shared" si="3"/>
        <v>44865</v>
      </c>
      <c r="D22" s="165">
        <f>COUNTIFS('MPI DB final'!F:F,"&gt;="&amp;$B22,'MPI DB final'!F:F,"&lt;="&amp;C22,'MPI DB final'!C:C,"Included")</f>
        <v>50</v>
      </c>
      <c r="E22" s="404">
        <f t="shared" si="4"/>
        <v>8058</v>
      </c>
      <c r="F22" s="168">
        <f t="shared" si="0"/>
        <v>31</v>
      </c>
      <c r="G22" s="168">
        <f t="shared" si="5"/>
        <v>249023</v>
      </c>
      <c r="H22" s="168">
        <f t="shared" si="1"/>
        <v>157421.46265019118</v>
      </c>
      <c r="I22" s="169">
        <f>BE!$E$52/365*H22</f>
        <v>1237.5213760800264</v>
      </c>
      <c r="J22" s="169">
        <f>BE!$E$85/365*H22</f>
        <v>3290.7517656370546</v>
      </c>
      <c r="K22" s="530">
        <f t="shared" si="6"/>
        <v>4528.2731417170808</v>
      </c>
      <c r="L22" s="169">
        <f>PE_LE!$E$58/365*H22</f>
        <v>1078.8100649819564</v>
      </c>
      <c r="M22" s="169">
        <f>PE_LE!$E$79/365*H22</f>
        <v>1815.1244887934768</v>
      </c>
      <c r="N22" s="530">
        <f t="shared" si="7"/>
        <v>2893.9345537754334</v>
      </c>
      <c r="O22" s="213">
        <v>0</v>
      </c>
      <c r="P22" s="292">
        <f t="shared" si="8"/>
        <v>1634.3385879416473</v>
      </c>
      <c r="Q22" s="245">
        <f>(BE!$E$67+BE!$E$72*$C$80)/365*H22</f>
        <v>2124.4117992349429</v>
      </c>
      <c r="R22" s="245">
        <f>(PE_LE!$E$61+PE_LE!$E$66*$C$80)/365*H22</f>
        <v>1137.7938946624597</v>
      </c>
      <c r="S22" s="748">
        <f t="shared" si="2"/>
        <v>986.61790457248321</v>
      </c>
    </row>
    <row r="23" spans="2:19" x14ac:dyDescent="0.25">
      <c r="B23" s="170">
        <f>EDATE(B22,1)</f>
        <v>44866</v>
      </c>
      <c r="C23" s="167">
        <f t="shared" si="3"/>
        <v>44895</v>
      </c>
      <c r="D23" s="165">
        <f>COUNTIFS('MPI DB final'!F:F,"&gt;="&amp;$B23,'MPI DB final'!F:F,"&lt;="&amp;C23,'MPI DB final'!C:C,"Included")</f>
        <v>38</v>
      </c>
      <c r="E23" s="404">
        <f t="shared" si="4"/>
        <v>8096</v>
      </c>
      <c r="F23" s="168">
        <f t="shared" si="0"/>
        <v>30</v>
      </c>
      <c r="G23" s="168">
        <f t="shared" si="5"/>
        <v>242310</v>
      </c>
      <c r="H23" s="168">
        <f t="shared" si="1"/>
        <v>153177.79729088407</v>
      </c>
      <c r="I23" s="169">
        <f>BE!$E$52/365*H23</f>
        <v>1204.1610800526505</v>
      </c>
      <c r="J23" s="169">
        <f>BE!$E$85/365*H23</f>
        <v>3202.0418207615953</v>
      </c>
      <c r="K23" s="530">
        <f t="shared" si="6"/>
        <v>4406.2029008142454</v>
      </c>
      <c r="L23" s="169">
        <f>PE_LE!$E$58/365*H23</f>
        <v>1049.7282052090684</v>
      </c>
      <c r="M23" s="169">
        <f>PE_LE!$E$79/365*H23</f>
        <v>1766.1935438877026</v>
      </c>
      <c r="N23" s="530">
        <f t="shared" si="7"/>
        <v>2815.9217490967712</v>
      </c>
      <c r="O23" s="213">
        <v>0</v>
      </c>
      <c r="P23" s="292">
        <f t="shared" si="8"/>
        <v>1590.2811517174741</v>
      </c>
      <c r="Q23" s="245">
        <f>(BE!$E$67+BE!$E$72*$C$80)/365*H23</f>
        <v>2067.1432882610002</v>
      </c>
      <c r="R23" s="245">
        <f>(PE_LE!$E$61+PE_LE!$E$66*$C$80)/365*H23</f>
        <v>1107.1219871885753</v>
      </c>
      <c r="S23" s="748">
        <f t="shared" si="2"/>
        <v>960.02130107242488</v>
      </c>
    </row>
    <row r="24" spans="2:19" x14ac:dyDescent="0.25">
      <c r="B24" s="170">
        <f t="shared" si="9"/>
        <v>44896</v>
      </c>
      <c r="C24" s="167">
        <f>B25-1</f>
        <v>44926</v>
      </c>
      <c r="D24" s="165">
        <f>COUNTIFS('MPI DB final'!F:F,"&gt;="&amp;$B24,'MPI DB final'!F:F,"&lt;="&amp;C24,'MPI DB final'!C:C,"Included")</f>
        <v>54</v>
      </c>
      <c r="E24" s="404">
        <f t="shared" si="4"/>
        <v>8150</v>
      </c>
      <c r="F24" s="168">
        <f t="shared" si="0"/>
        <v>31</v>
      </c>
      <c r="G24" s="168">
        <f t="shared" si="5"/>
        <v>251813</v>
      </c>
      <c r="H24" s="168">
        <f t="shared" si="1"/>
        <v>159185.17877598692</v>
      </c>
      <c r="I24" s="169">
        <f>BE!$E$52/365*H24</f>
        <v>1251.3862987548928</v>
      </c>
      <c r="J24" s="169">
        <f>BE!$E$85/365*H24</f>
        <v>3327.6206388982691</v>
      </c>
      <c r="K24" s="530">
        <f t="shared" si="6"/>
        <v>4579.0069376531619</v>
      </c>
      <c r="L24" s="169">
        <f>PE_LE!$E$58/365*H24</f>
        <v>1090.896820347122</v>
      </c>
      <c r="M24" s="169">
        <f>PE_LE!$E$79/365*H24</f>
        <v>1835.4607522058272</v>
      </c>
      <c r="N24" s="530">
        <f t="shared" si="7"/>
        <v>2926.357572552949</v>
      </c>
      <c r="O24" s="213">
        <v>0</v>
      </c>
      <c r="P24" s="292">
        <f t="shared" si="8"/>
        <v>1652.6493651002129</v>
      </c>
      <c r="Q24" s="245">
        <f>(BE!$E$67+BE!$E$72*$C$80)/365*H24</f>
        <v>2148.2132509878552</v>
      </c>
      <c r="R24" s="245">
        <f>(PE_LE!$E$61+PE_LE!$E$66*$C$80)/365*H24</f>
        <v>1150.5414921378263</v>
      </c>
      <c r="S24" s="748">
        <f t="shared" si="2"/>
        <v>997.67175885002894</v>
      </c>
    </row>
    <row r="25" spans="2:19" x14ac:dyDescent="0.25">
      <c r="B25" s="447">
        <f>EDATE(B24,1)</f>
        <v>44927</v>
      </c>
      <c r="C25" s="448">
        <f t="shared" si="3"/>
        <v>44957</v>
      </c>
      <c r="D25" s="449">
        <f>COUNTIFS('MPI DB final'!F:F,"&gt;="&amp;$B25,'MPI DB final'!F:F,"&lt;="&amp;C25,'MPI DB final'!C:C,"Included")</f>
        <v>27</v>
      </c>
      <c r="E25" s="450">
        <f t="shared" si="4"/>
        <v>8177</v>
      </c>
      <c r="F25" s="451">
        <f t="shared" si="0"/>
        <v>31</v>
      </c>
      <c r="G25" s="451">
        <f t="shared" si="5"/>
        <v>253068.5</v>
      </c>
      <c r="H25" s="451">
        <f t="shared" si="1"/>
        <v>159978.851032595</v>
      </c>
      <c r="I25" s="452">
        <f>BE!$E$52/365*H25</f>
        <v>1257.6255139585826</v>
      </c>
      <c r="J25" s="452">
        <f>BE!$E$85/365*H25</f>
        <v>3344.2116318658154</v>
      </c>
      <c r="K25" s="531">
        <f t="shared" si="6"/>
        <v>4601.8371458243982</v>
      </c>
      <c r="L25" s="452">
        <f>PE_LE!$E$58/365*H25</f>
        <v>1096.3358602614464</v>
      </c>
      <c r="M25" s="452">
        <f>PE_LE!$E$79/365*H25</f>
        <v>1844.6120707413852</v>
      </c>
      <c r="N25" s="531">
        <f t="shared" si="7"/>
        <v>2940.9479310028319</v>
      </c>
      <c r="O25" s="453">
        <v>0</v>
      </c>
      <c r="P25" s="454">
        <f t="shared" si="8"/>
        <v>1660.8892148215664</v>
      </c>
      <c r="Q25" s="245">
        <f>(BE!$E$67+BE!$E$72*$C$80)/365*H25</f>
        <v>2158.9239042766658</v>
      </c>
      <c r="R25" s="245">
        <f>(PE_LE!$E$61+PE_LE!$E$66*$C$80)/365*H25</f>
        <v>1156.2779110017414</v>
      </c>
      <c r="S25" s="748">
        <f t="shared" si="2"/>
        <v>1002.6459932749244</v>
      </c>
    </row>
    <row r="26" spans="2:19" x14ac:dyDescent="0.25">
      <c r="B26" s="447">
        <f>EDATE(B25,1)</f>
        <v>44958</v>
      </c>
      <c r="C26" s="448">
        <f>B27-1</f>
        <v>44985</v>
      </c>
      <c r="D26" s="449">
        <f>COUNTIFS('MPI DB final'!F:F,"&gt;="&amp;$B26,'MPI DB final'!F:F,"&lt;="&amp;C26,'MPI DB final'!C:C,"Included")</f>
        <v>19</v>
      </c>
      <c r="E26" s="450">
        <f t="shared" si="4"/>
        <v>8196</v>
      </c>
      <c r="F26" s="451">
        <f t="shared" si="0"/>
        <v>28</v>
      </c>
      <c r="G26" s="451">
        <f t="shared" si="5"/>
        <v>229222</v>
      </c>
      <c r="H26" s="451">
        <f t="shared" si="1"/>
        <v>144904.13540758131</v>
      </c>
      <c r="I26" s="452">
        <f>BE!$E$52/365*H26</f>
        <v>1139.120181139155</v>
      </c>
      <c r="J26" s="452">
        <f>BE!$E$85/365*H26</f>
        <v>3029.0884826817482</v>
      </c>
      <c r="K26" s="531">
        <f t="shared" si="6"/>
        <v>4168.208663820903</v>
      </c>
      <c r="L26" s="452">
        <f>PE_LE!$E$58/365*H26</f>
        <v>993.028759252334</v>
      </c>
      <c r="M26" s="452">
        <f>PE_LE!$E$79/365*H26</f>
        <v>1670.7953304322023</v>
      </c>
      <c r="N26" s="531">
        <f t="shared" si="7"/>
        <v>2663.8240896845364</v>
      </c>
      <c r="O26" s="453">
        <v>0</v>
      </c>
      <c r="P26" s="454">
        <f t="shared" si="8"/>
        <v>1504.3845741363666</v>
      </c>
      <c r="Q26" s="245">
        <f>(BE!$E$67+BE!$E$72*$C$80)/365*H26</f>
        <v>1955.4897396795961</v>
      </c>
      <c r="R26" s="245">
        <f>(PE_LE!$E$61+PE_LE!$E$66*$C$80)/365*H26</f>
        <v>1047.3225048381807</v>
      </c>
      <c r="S26" s="748">
        <f t="shared" si="2"/>
        <v>908.16723484141539</v>
      </c>
    </row>
    <row r="27" spans="2:19" ht="15.75" thickBot="1" x14ac:dyDescent="0.3">
      <c r="B27" s="532">
        <f>EDATE(B26,1)</f>
        <v>44986</v>
      </c>
      <c r="C27" s="533">
        <f t="shared" ref="C27:C38" si="10">B28-1</f>
        <v>45016</v>
      </c>
      <c r="D27" s="534">
        <f>COUNTIFS('MPI DB final'!F:F,"&gt;="&amp;$B27,'MPI DB final'!F:F,"&lt;="&amp;C27,'MPI DB final'!C:C,"Included")</f>
        <v>9</v>
      </c>
      <c r="E27" s="535">
        <f t="shared" si="4"/>
        <v>8205</v>
      </c>
      <c r="F27" s="536">
        <f t="shared" si="0"/>
        <v>31</v>
      </c>
      <c r="G27" s="536">
        <f t="shared" si="5"/>
        <v>254215.5</v>
      </c>
      <c r="H27" s="536">
        <f t="shared" si="1"/>
        <v>160703.93432875548</v>
      </c>
      <c r="I27" s="537">
        <f>BE!$E$52/365*H27</f>
        <v>1263.3255377249166</v>
      </c>
      <c r="J27" s="537">
        <f>BE!$E$85/365*H27</f>
        <v>3359.3688353176481</v>
      </c>
      <c r="K27" s="538">
        <f t="shared" ref="K27:K39" si="11">I27+J27</f>
        <v>4622.6943730425646</v>
      </c>
      <c r="L27" s="537">
        <f>PE_LE!$E$58/365*H27</f>
        <v>1101.3048596893479</v>
      </c>
      <c r="M27" s="537">
        <f>PE_LE!$E$79/365*H27</f>
        <v>1852.972534588685</v>
      </c>
      <c r="N27" s="538">
        <f t="shared" ref="N27" si="12">L27+M27</f>
        <v>2954.2773942780332</v>
      </c>
      <c r="O27" s="539">
        <v>0</v>
      </c>
      <c r="P27" s="540">
        <f t="shared" si="8"/>
        <v>1668.4169787645314</v>
      </c>
      <c r="Q27" s="245">
        <f>(BE!$E$67+BE!$E$72*$C$80)/365*H27</f>
        <v>2168.708945552863</v>
      </c>
      <c r="R27" s="245">
        <f>(PE_LE!$E$61+PE_LE!$E$66*$C$80)/365*H27</f>
        <v>1161.5185899638366</v>
      </c>
      <c r="S27" s="748">
        <f t="shared" si="2"/>
        <v>1007.1903555890265</v>
      </c>
    </row>
    <row r="28" spans="2:19" x14ac:dyDescent="0.25">
      <c r="B28" s="541">
        <f t="shared" ref="B28:B39" si="13">EDATE(B27,1)</f>
        <v>45017</v>
      </c>
      <c r="C28" s="542">
        <f t="shared" si="10"/>
        <v>45046</v>
      </c>
      <c r="D28" s="543">
        <f>COUNTIFS('MPI DB final'!F:F,"&gt;="&amp;$B28,'MPI DB final'!F:F,"&lt;="&amp;C28,'MPI DB final'!C:C,"Included")</f>
        <v>5</v>
      </c>
      <c r="E28" s="544">
        <f t="shared" si="4"/>
        <v>8210</v>
      </c>
      <c r="F28" s="545">
        <f t="shared" si="0"/>
        <v>30</v>
      </c>
      <c r="G28" s="545">
        <f t="shared" ref="G28:G39" si="14">E27*F28+D28/2*F28</f>
        <v>246225</v>
      </c>
      <c r="H28" s="545">
        <f>G28*$J$11</f>
        <v>125397.12620883461</v>
      </c>
      <c r="I28" s="546">
        <f>BE!$M$52/365*H28</f>
        <v>993.83466537890138</v>
      </c>
      <c r="J28" s="546">
        <f>BE!$M$85/365*H28</f>
        <v>2621.3122882392045</v>
      </c>
      <c r="K28" s="547">
        <f t="shared" si="11"/>
        <v>3615.1469536181057</v>
      </c>
      <c r="L28" s="546">
        <f>PE_LE!$M$58/365*H28</f>
        <v>894.9141838797849</v>
      </c>
      <c r="M28" s="546">
        <f>PE_LE!$M$79/365*H28</f>
        <v>1492.0202204321401</v>
      </c>
      <c r="N28" s="547">
        <f t="shared" ref="N28:N39" si="15">L28+M28</f>
        <v>2386.9344043119249</v>
      </c>
      <c r="O28" s="298">
        <v>0</v>
      </c>
      <c r="P28" s="548">
        <f t="shared" ref="P28:P39" si="16">K28-N28-O28</f>
        <v>1228.2125493061808</v>
      </c>
      <c r="Q28" s="245">
        <f>(BE!$E$67+BE!$E$72*$C$80)/365*H28</f>
        <v>1692.2415153781321</v>
      </c>
      <c r="R28" s="245">
        <f>(PE_LE!$M$61+PE_LE!$M$66*$C$80)/365*H28</f>
        <v>942.62811158698253</v>
      </c>
      <c r="S28" s="748">
        <f t="shared" si="2"/>
        <v>749.61340379114961</v>
      </c>
    </row>
    <row r="29" spans="2:19" x14ac:dyDescent="0.25">
      <c r="B29" s="170">
        <f t="shared" si="13"/>
        <v>45047</v>
      </c>
      <c r="C29" s="167">
        <f t="shared" si="10"/>
        <v>45077</v>
      </c>
      <c r="D29" s="165">
        <f>COUNTIFS('MPI DB final'!F:F,"&gt;="&amp;$B29,'MPI DB final'!F:F,"&lt;="&amp;C29,'MPI DB final'!C:C,"Included")</f>
        <v>13</v>
      </c>
      <c r="E29" s="404">
        <f t="shared" si="4"/>
        <v>8223</v>
      </c>
      <c r="F29" s="168">
        <f t="shared" si="0"/>
        <v>31</v>
      </c>
      <c r="G29" s="168">
        <f t="shared" si="14"/>
        <v>254711.5</v>
      </c>
      <c r="H29" s="168">
        <f t="shared" ref="H29:H39" si="17">G29*$J$11</f>
        <v>129719.11914850881</v>
      </c>
      <c r="I29" s="169">
        <f>BE!$M$52/365*H29</f>
        <v>1028.088611516532</v>
      </c>
      <c r="J29" s="169">
        <f>BE!$M$85/365*H29</f>
        <v>2711.6595995769731</v>
      </c>
      <c r="K29" s="530">
        <f t="shared" si="11"/>
        <v>3739.7482110935052</v>
      </c>
      <c r="L29" s="169">
        <f>PE_LE!$M$58/365*H29</f>
        <v>925.75869285123713</v>
      </c>
      <c r="M29" s="169">
        <f>PE_LE!$M$79/365*H29</f>
        <v>1543.4448507527711</v>
      </c>
      <c r="N29" s="530">
        <f t="shared" si="15"/>
        <v>2469.2035436040082</v>
      </c>
      <c r="O29" s="213">
        <v>0</v>
      </c>
      <c r="P29" s="292">
        <f t="shared" si="16"/>
        <v>1270.544667489497</v>
      </c>
      <c r="Q29" s="245">
        <f>(BE!$E$67+BE!$E$72*$C$80)/365*H29</f>
        <v>1750.5670616072177</v>
      </c>
      <c r="R29" s="245">
        <f>(PE_LE!$M$61+PE_LE!$M$66*$C$80)/365*H29</f>
        <v>975.11714994207625</v>
      </c>
      <c r="S29" s="748">
        <f t="shared" si="2"/>
        <v>775.44991166514149</v>
      </c>
    </row>
    <row r="30" spans="2:19" x14ac:dyDescent="0.25">
      <c r="B30" s="170">
        <f t="shared" si="13"/>
        <v>45078</v>
      </c>
      <c r="C30" s="167">
        <f t="shared" si="10"/>
        <v>45107</v>
      </c>
      <c r="D30" s="165">
        <f>COUNTIFS('MPI DB final'!F:F,"&gt;="&amp;$B30,'MPI DB final'!F:F,"&lt;="&amp;C30,'MPI DB final'!C:C,"Included")</f>
        <v>4</v>
      </c>
      <c r="E30" s="404">
        <f t="shared" si="4"/>
        <v>8227</v>
      </c>
      <c r="F30" s="168">
        <f t="shared" si="0"/>
        <v>30</v>
      </c>
      <c r="G30" s="168">
        <f t="shared" si="14"/>
        <v>246750</v>
      </c>
      <c r="H30" s="168">
        <f t="shared" si="17"/>
        <v>125664.49748006881</v>
      </c>
      <c r="I30" s="169">
        <f>BE!$M$52/365*H30</f>
        <v>995.95371583813153</v>
      </c>
      <c r="J30" s="169">
        <f>BE!$M$85/365*H30</f>
        <v>2626.9014402397147</v>
      </c>
      <c r="K30" s="530">
        <f t="shared" si="11"/>
        <v>3622.855156077846</v>
      </c>
      <c r="L30" s="169">
        <f>PE_LE!$M$58/365*H30</f>
        <v>896.82231646801472</v>
      </c>
      <c r="M30" s="169">
        <f>PE_LE!$M$79/365*H30</f>
        <v>1495.201500219842</v>
      </c>
      <c r="N30" s="530">
        <f t="shared" si="15"/>
        <v>2392.0238166878567</v>
      </c>
      <c r="O30" s="213">
        <f t="shared" ref="O30:O39" si="18">-O29</f>
        <v>0</v>
      </c>
      <c r="P30" s="292">
        <f t="shared" si="16"/>
        <v>1230.8313393899894</v>
      </c>
      <c r="Q30" s="245">
        <f>(BE!$E$67+BE!$E$72*$C$80)/365*H30</f>
        <v>1695.8497062424781</v>
      </c>
      <c r="R30" s="245">
        <f>(PE_LE!$M$61+PE_LE!$M$66*$C$80)/365*H30</f>
        <v>944.63797962874582</v>
      </c>
      <c r="S30" s="748">
        <f t="shared" si="2"/>
        <v>751.21172661373225</v>
      </c>
    </row>
    <row r="31" spans="2:19" x14ac:dyDescent="0.25">
      <c r="B31" s="170">
        <f t="shared" si="13"/>
        <v>45108</v>
      </c>
      <c r="C31" s="167">
        <f t="shared" si="10"/>
        <v>45138</v>
      </c>
      <c r="D31" s="165">
        <f>COUNTIFS('MPI DB final'!F:F,"&gt;="&amp;$B31,'MPI DB final'!F:F,"&lt;="&amp;C31,'MPI DB final'!C:C,"Included")</f>
        <v>14</v>
      </c>
      <c r="E31" s="404">
        <f t="shared" si="4"/>
        <v>8241</v>
      </c>
      <c r="F31" s="168">
        <f t="shared" si="0"/>
        <v>31</v>
      </c>
      <c r="G31" s="168">
        <f t="shared" si="14"/>
        <v>255254</v>
      </c>
      <c r="H31" s="168">
        <f t="shared" si="17"/>
        <v>129995.40279545079</v>
      </c>
      <c r="I31" s="169">
        <f>BE!$M$52/365*H31</f>
        <v>1030.2782969910695</v>
      </c>
      <c r="J31" s="169">
        <f>BE!$M$85/365*H31</f>
        <v>2717.4350566441667</v>
      </c>
      <c r="K31" s="530">
        <f t="shared" si="11"/>
        <v>3747.7133536352362</v>
      </c>
      <c r="L31" s="169">
        <f>PE_LE!$M$58/365*H31</f>
        <v>927.73042985907455</v>
      </c>
      <c r="M31" s="169">
        <f>PE_LE!$M$79/365*H31</f>
        <v>1546.732173200063</v>
      </c>
      <c r="N31" s="530">
        <f t="shared" si="15"/>
        <v>2474.4626030591376</v>
      </c>
      <c r="O31" s="213">
        <f t="shared" si="18"/>
        <v>0</v>
      </c>
      <c r="P31" s="292">
        <f t="shared" si="16"/>
        <v>1273.2507505760987</v>
      </c>
      <c r="Q31" s="245">
        <f>(BE!$E$67+BE!$E$72*$C$80)/365*H31</f>
        <v>1754.2955255003747</v>
      </c>
      <c r="R31" s="245">
        <f>(PE_LE!$M$61+PE_LE!$M$66*$C$80)/365*H31</f>
        <v>977.19401358523157</v>
      </c>
      <c r="S31" s="748">
        <f t="shared" si="2"/>
        <v>777.10151191514308</v>
      </c>
    </row>
    <row r="32" spans="2:19" x14ac:dyDescent="0.25">
      <c r="B32" s="170">
        <f t="shared" si="13"/>
        <v>45139</v>
      </c>
      <c r="C32" s="167">
        <f t="shared" si="10"/>
        <v>45169</v>
      </c>
      <c r="D32" s="165">
        <f>COUNTIFS('MPI DB final'!F:F,"&gt;="&amp;$B32,'MPI DB final'!F:F,"&lt;="&amp;C32,'MPI DB final'!C:C,"Included")</f>
        <v>9</v>
      </c>
      <c r="E32" s="404">
        <f t="shared" si="4"/>
        <v>8250</v>
      </c>
      <c r="F32" s="168">
        <f t="shared" si="0"/>
        <v>31</v>
      </c>
      <c r="G32" s="168">
        <f t="shared" si="14"/>
        <v>255610.5</v>
      </c>
      <c r="H32" s="168">
        <f t="shared" si="17"/>
        <v>130176.96062058411</v>
      </c>
      <c r="I32" s="169">
        <f>BE!$M$52/365*H32</f>
        <v>1031.7172331600516</v>
      </c>
      <c r="J32" s="169">
        <f>BE!$M$85/365*H32</f>
        <v>2721.2303570026083</v>
      </c>
      <c r="K32" s="530">
        <f t="shared" si="11"/>
        <v>3752.9475901626602</v>
      </c>
      <c r="L32" s="169">
        <f>PE_LE!$M$58/365*H32</f>
        <v>929.02614274993925</v>
      </c>
      <c r="M32" s="169">
        <f>PE_LE!$M$79/365*H32</f>
        <v>1548.8924136654264</v>
      </c>
      <c r="N32" s="530">
        <f t="shared" si="15"/>
        <v>2477.9185564153659</v>
      </c>
      <c r="O32" s="213">
        <f t="shared" si="18"/>
        <v>0</v>
      </c>
      <c r="P32" s="292">
        <f t="shared" si="16"/>
        <v>1275.0290337472943</v>
      </c>
      <c r="Q32" s="245">
        <f>(BE!$E$67+BE!$E$72*$C$80)/365*H32</f>
        <v>1756.7456589158783</v>
      </c>
      <c r="R32" s="245">
        <f>(PE_LE!$M$61+PE_LE!$M$66*$C$80)/365*H32</f>
        <v>978.55880969359089</v>
      </c>
      <c r="S32" s="748">
        <f t="shared" si="2"/>
        <v>778.18684922228738</v>
      </c>
    </row>
    <row r="33" spans="1:19" x14ac:dyDescent="0.25">
      <c r="B33" s="170">
        <f t="shared" si="13"/>
        <v>45170</v>
      </c>
      <c r="C33" s="167">
        <f t="shared" si="10"/>
        <v>45199</v>
      </c>
      <c r="D33" s="165">
        <f>COUNTIFS('MPI DB final'!F:F,"&gt;="&amp;$B33,'MPI DB final'!F:F,"&lt;="&amp;C33,'MPI DB final'!C:C,"Included")</f>
        <v>14</v>
      </c>
      <c r="E33" s="404">
        <f t="shared" si="4"/>
        <v>8264</v>
      </c>
      <c r="F33" s="168">
        <f t="shared" si="0"/>
        <v>30</v>
      </c>
      <c r="G33" s="168">
        <f t="shared" si="14"/>
        <v>247710</v>
      </c>
      <c r="H33" s="168">
        <f t="shared" si="17"/>
        <v>126153.40494746847</v>
      </c>
      <c r="I33" s="169">
        <f>BE!$M$52/365*H33</f>
        <v>999.82855096358082</v>
      </c>
      <c r="J33" s="169">
        <f>BE!$M$85/365*H33</f>
        <v>2637.12160389779</v>
      </c>
      <c r="K33" s="530">
        <f t="shared" si="11"/>
        <v>3636.9501548613707</v>
      </c>
      <c r="L33" s="169">
        <f>PE_LE!$M$58/365*H33</f>
        <v>900.31147320077787</v>
      </c>
      <c r="M33" s="169">
        <f>PE_LE!$M$79/365*H33</f>
        <v>1501.0186975459253</v>
      </c>
      <c r="N33" s="530">
        <f t="shared" si="15"/>
        <v>2401.3301707467031</v>
      </c>
      <c r="O33" s="213">
        <f t="shared" si="18"/>
        <v>0</v>
      </c>
      <c r="P33" s="292">
        <f t="shared" si="16"/>
        <v>1235.6199841146677</v>
      </c>
      <c r="Q33" s="245">
        <f>(BE!$E$67+BE!$E$72*$C$80)/365*H33</f>
        <v>1702.447540965853</v>
      </c>
      <c r="R33" s="245">
        <f>(PE_LE!$M$61+PE_LE!$M$66*$C$80)/365*H33</f>
        <v>948.31316690511312</v>
      </c>
      <c r="S33" s="748">
        <f t="shared" si="2"/>
        <v>754.1343740607399</v>
      </c>
    </row>
    <row r="34" spans="1:19" x14ac:dyDescent="0.25">
      <c r="B34" s="170">
        <f t="shared" si="13"/>
        <v>45200</v>
      </c>
      <c r="C34" s="167">
        <f t="shared" si="10"/>
        <v>45230</v>
      </c>
      <c r="D34" s="165">
        <f>COUNTIFS('MPI DB final'!F:F,"&gt;="&amp;$B34,'MPI DB final'!F:F,"&lt;="&amp;C34,'MPI DB final'!C:C,"Included")</f>
        <v>15</v>
      </c>
      <c r="E34" s="404">
        <f t="shared" si="4"/>
        <v>8279</v>
      </c>
      <c r="F34" s="168">
        <f t="shared" si="0"/>
        <v>31</v>
      </c>
      <c r="G34" s="168">
        <f t="shared" si="14"/>
        <v>256416.5</v>
      </c>
      <c r="H34" s="168">
        <f t="shared" si="17"/>
        <v>130587.43918175506</v>
      </c>
      <c r="I34" s="169">
        <f>BE!$M$52/365*H34</f>
        <v>1034.9704801507933</v>
      </c>
      <c r="J34" s="169">
        <f>BE!$M$85/365*H34</f>
        <v>2729.8110360738674</v>
      </c>
      <c r="K34" s="530">
        <f t="shared" si="11"/>
        <v>3764.7815162246607</v>
      </c>
      <c r="L34" s="169">
        <f>PE_LE!$M$58/365*H34</f>
        <v>931.9555805901548</v>
      </c>
      <c r="M34" s="169">
        <f>PE_LE!$M$79/365*H34</f>
        <v>1553.7764355871168</v>
      </c>
      <c r="N34" s="530">
        <f t="shared" si="15"/>
        <v>2485.7320161772714</v>
      </c>
      <c r="O34" s="213">
        <f t="shared" si="18"/>
        <v>0</v>
      </c>
      <c r="P34" s="292">
        <f t="shared" si="16"/>
        <v>1279.0495000473893</v>
      </c>
      <c r="Q34" s="245">
        <f>(BE!$E$67+BE!$E$72*$C$80)/365*H34</f>
        <v>1762.2850909857116</v>
      </c>
      <c r="R34" s="245">
        <f>(PE_LE!$M$61+PE_LE!$M$66*$C$80)/365*H34</f>
        <v>981.64443567770741</v>
      </c>
      <c r="S34" s="748">
        <f t="shared" si="2"/>
        <v>780.64065530800417</v>
      </c>
    </row>
    <row r="35" spans="1:19" x14ac:dyDescent="0.25">
      <c r="B35" s="170">
        <f t="shared" si="13"/>
        <v>45231</v>
      </c>
      <c r="C35" s="167">
        <f t="shared" si="10"/>
        <v>45260</v>
      </c>
      <c r="D35" s="165">
        <f>COUNTIFS('MPI DB final'!F:F,"&gt;="&amp;$B35,'MPI DB final'!F:F,"&lt;="&amp;C35,'MPI DB final'!C:C,"Included")</f>
        <v>4</v>
      </c>
      <c r="E35" s="404">
        <f t="shared" si="4"/>
        <v>8283</v>
      </c>
      <c r="F35" s="168">
        <f t="shared" si="0"/>
        <v>30</v>
      </c>
      <c r="G35" s="168">
        <f t="shared" si="14"/>
        <v>248430</v>
      </c>
      <c r="H35" s="168">
        <f t="shared" si="17"/>
        <v>126520.08554801821</v>
      </c>
      <c r="I35" s="169">
        <f>BE!$M$52/365*H35</f>
        <v>1002.7346773076677</v>
      </c>
      <c r="J35" s="169">
        <f>BE!$M$85/365*H35</f>
        <v>2644.7867266413464</v>
      </c>
      <c r="K35" s="530">
        <f t="shared" si="11"/>
        <v>3647.5214039490138</v>
      </c>
      <c r="L35" s="169">
        <f>PE_LE!$M$58/365*H35</f>
        <v>902.92834075035012</v>
      </c>
      <c r="M35" s="169">
        <f>PE_LE!$M$79/365*H35</f>
        <v>1505.3815955404875</v>
      </c>
      <c r="N35" s="530">
        <f t="shared" si="15"/>
        <v>2408.3099362908379</v>
      </c>
      <c r="O35" s="213">
        <f t="shared" si="18"/>
        <v>0</v>
      </c>
      <c r="P35" s="292">
        <f t="shared" si="16"/>
        <v>1239.2114676581759</v>
      </c>
      <c r="Q35" s="245">
        <f>(BE!$E$67+BE!$E$72*$C$80)/365*H35</f>
        <v>1707.3959170083842</v>
      </c>
      <c r="R35" s="245">
        <f>(PE_LE!$M$61+PE_LE!$M$66*$C$80)/365*H35</f>
        <v>951.06955736238831</v>
      </c>
      <c r="S35" s="748">
        <f t="shared" si="2"/>
        <v>756.32635964599592</v>
      </c>
    </row>
    <row r="36" spans="1:19" x14ac:dyDescent="0.25">
      <c r="B36" s="170">
        <f t="shared" si="13"/>
        <v>45261</v>
      </c>
      <c r="C36" s="167">
        <f t="shared" si="10"/>
        <v>45291</v>
      </c>
      <c r="D36" s="165">
        <f>COUNTIFS('MPI DB final'!F:F,"&gt;="&amp;$B36,'MPI DB final'!F:F,"&lt;="&amp;C36,'MPI DB final'!C:C,"Included")</f>
        <v>16</v>
      </c>
      <c r="E36" s="404">
        <f t="shared" si="4"/>
        <v>8299</v>
      </c>
      <c r="F36" s="168">
        <f t="shared" si="0"/>
        <v>31</v>
      </c>
      <c r="G36" s="168">
        <f t="shared" si="14"/>
        <v>257021</v>
      </c>
      <c r="H36" s="168">
        <f t="shared" si="17"/>
        <v>130895.2981026333</v>
      </c>
      <c r="I36" s="169">
        <f>BE!$M$52/365*H36</f>
        <v>1037.4104153938497</v>
      </c>
      <c r="J36" s="169">
        <f>BE!$M$85/365*H36</f>
        <v>2736.246545377312</v>
      </c>
      <c r="K36" s="530">
        <f t="shared" si="11"/>
        <v>3773.6569607711617</v>
      </c>
      <c r="L36" s="169">
        <f>PE_LE!$M$58/365*H36</f>
        <v>934.15265897031668</v>
      </c>
      <c r="M36" s="169">
        <f>PE_LE!$M$79/365*H36</f>
        <v>1557.4394520283852</v>
      </c>
      <c r="N36" s="530">
        <f t="shared" si="15"/>
        <v>2491.5921109987021</v>
      </c>
      <c r="O36" s="213">
        <f t="shared" si="18"/>
        <v>0</v>
      </c>
      <c r="P36" s="292">
        <f t="shared" si="16"/>
        <v>1282.0648497724596</v>
      </c>
      <c r="Q36" s="245">
        <f>(BE!$E$67+BE!$E$72*$C$80)/365*H36</f>
        <v>1766.439665038087</v>
      </c>
      <c r="R36" s="245">
        <f>(PE_LE!$M$61+PE_LE!$M$66*$C$80)/365*H36</f>
        <v>983.95865516579499</v>
      </c>
      <c r="S36" s="748">
        <f t="shared" si="2"/>
        <v>782.48100987229202</v>
      </c>
    </row>
    <row r="37" spans="1:19" x14ac:dyDescent="0.25">
      <c r="B37" s="447">
        <f t="shared" si="13"/>
        <v>45292</v>
      </c>
      <c r="C37" s="448">
        <f t="shared" si="10"/>
        <v>45322</v>
      </c>
      <c r="D37" s="449">
        <f>COUNTIFS('MPI DB final'!F:F,"&gt;="&amp;$B37,'MPI DB final'!F:F,"&lt;="&amp;C37,'MPI DB final'!C:C,"Included")</f>
        <v>28</v>
      </c>
      <c r="E37" s="450">
        <f t="shared" si="4"/>
        <v>8327</v>
      </c>
      <c r="F37" s="451">
        <f t="shared" si="0"/>
        <v>31</v>
      </c>
      <c r="G37" s="451">
        <f t="shared" si="14"/>
        <v>257703</v>
      </c>
      <c r="H37" s="451">
        <f t="shared" si="17"/>
        <v>131242.62611593181</v>
      </c>
      <c r="I37" s="452">
        <f>BE!$M$52/365*H37</f>
        <v>1040.1631628475543</v>
      </c>
      <c r="J37" s="452">
        <f>BE!$M$85/365*H37</f>
        <v>2743.5071199760696</v>
      </c>
      <c r="K37" s="531">
        <f t="shared" si="11"/>
        <v>3783.6702828236239</v>
      </c>
      <c r="L37" s="452">
        <f>PE_LE!$M$58/365*H37</f>
        <v>936.63141406588375</v>
      </c>
      <c r="M37" s="452">
        <f>PE_LE!$M$79/365*H37</f>
        <v>1561.5720859621235</v>
      </c>
      <c r="N37" s="531">
        <f t="shared" si="15"/>
        <v>2498.2035000280075</v>
      </c>
      <c r="O37" s="453">
        <f t="shared" si="18"/>
        <v>0</v>
      </c>
      <c r="P37" s="454">
        <f t="shared" si="16"/>
        <v>1285.4667827956164</v>
      </c>
      <c r="Q37" s="245">
        <f>(BE!$E$67+BE!$E$72*$C$80)/365*H37</f>
        <v>1771.1268767894846</v>
      </c>
      <c r="R37" s="245">
        <f>(PE_LE!$M$61+PE_LE!$M$66*$C$80)/365*H37</f>
        <v>986.56956946004743</v>
      </c>
      <c r="S37" s="748">
        <f t="shared" si="2"/>
        <v>784.55730732943721</v>
      </c>
    </row>
    <row r="38" spans="1:19" x14ac:dyDescent="0.25">
      <c r="B38" s="447">
        <f t="shared" si="13"/>
        <v>45323</v>
      </c>
      <c r="C38" s="448">
        <f t="shared" si="10"/>
        <v>45351</v>
      </c>
      <c r="D38" s="449">
        <f>COUNTIFS('MPI DB final'!F:F,"&gt;="&amp;$B38,'MPI DB final'!F:F,"&lt;="&amp;C38,'MPI DB final'!C:C,"Included")</f>
        <v>5</v>
      </c>
      <c r="E38" s="450">
        <f t="shared" si="4"/>
        <v>8332</v>
      </c>
      <c r="F38" s="451">
        <f t="shared" si="0"/>
        <v>29</v>
      </c>
      <c r="G38" s="451">
        <f t="shared" si="14"/>
        <v>241555.5</v>
      </c>
      <c r="H38" s="451">
        <f t="shared" si="17"/>
        <v>123019.04973068596</v>
      </c>
      <c r="I38" s="452">
        <f>BE!$M$52/365*H38</f>
        <v>974.98722515152087</v>
      </c>
      <c r="J38" s="452">
        <f>BE!$M$85/365*H38</f>
        <v>2571.6007734460968</v>
      </c>
      <c r="K38" s="531">
        <f t="shared" si="11"/>
        <v>3546.5879985976176</v>
      </c>
      <c r="L38" s="452">
        <f>PE_LE!$M$58/365*H38</f>
        <v>877.94270745932943</v>
      </c>
      <c r="M38" s="452">
        <f>PE_LE!$M$79/365*H38</f>
        <v>1463.7250090632383</v>
      </c>
      <c r="N38" s="531">
        <f t="shared" si="15"/>
        <v>2341.6677165225678</v>
      </c>
      <c r="O38" s="453">
        <f t="shared" si="18"/>
        <v>0</v>
      </c>
      <c r="P38" s="454">
        <f t="shared" si="16"/>
        <v>1204.9202820750497</v>
      </c>
      <c r="Q38" s="245">
        <f>(BE!$E$67+BE!$E$72*$C$80)/365*H38</f>
        <v>1660.1492349189662</v>
      </c>
      <c r="R38" s="245">
        <f>(PE_LE!$M$61+PE_LE!$M$66*$C$80)/365*H38</f>
        <v>924.75177097552796</v>
      </c>
      <c r="S38" s="748">
        <f t="shared" si="2"/>
        <v>735.3974639434382</v>
      </c>
    </row>
    <row r="39" spans="1:19" ht="15.75" thickBot="1" x14ac:dyDescent="0.3">
      <c r="B39" s="532">
        <f t="shared" si="13"/>
        <v>45352</v>
      </c>
      <c r="C39" s="533">
        <v>45382</v>
      </c>
      <c r="D39" s="534">
        <f>COUNTIFS('MPI DB final'!F:F,"&gt;="&amp;$B39,'MPI DB final'!F:F,"&lt;="&amp;C39,'MPI DB final'!C:C,"Included")</f>
        <v>0</v>
      </c>
      <c r="E39" s="535">
        <f t="shared" si="4"/>
        <v>8332</v>
      </c>
      <c r="F39" s="536">
        <f t="shared" si="0"/>
        <v>31</v>
      </c>
      <c r="G39" s="536">
        <f t="shared" si="14"/>
        <v>258292</v>
      </c>
      <c r="H39" s="536">
        <f t="shared" si="17"/>
        <v>131542.59121832598</v>
      </c>
      <c r="I39" s="537">
        <f>BE!$M$52/365*H39</f>
        <v>1042.540535648481</v>
      </c>
      <c r="J39" s="537">
        <f>BE!$M$85/365*H39</f>
        <v>2749.7776162204514</v>
      </c>
      <c r="K39" s="538">
        <f t="shared" si="11"/>
        <v>3792.3181518689325</v>
      </c>
      <c r="L39" s="537">
        <f>PE_LE!$M$58/365*H39</f>
        <v>938.77215710296446</v>
      </c>
      <c r="M39" s="537">
        <f>PE_LE!$M$79/365*H39</f>
        <v>1565.1411789048975</v>
      </c>
      <c r="N39" s="538">
        <f t="shared" si="15"/>
        <v>2503.9133360078622</v>
      </c>
      <c r="O39" s="539">
        <f t="shared" si="18"/>
        <v>0</v>
      </c>
      <c r="P39" s="540">
        <f t="shared" si="16"/>
        <v>1288.4048158610703</v>
      </c>
      <c r="Q39" s="245">
        <f>(BE!$E$67+BE!$E$72*$C$80)/365*H39</f>
        <v>1775.1749233020553</v>
      </c>
      <c r="R39" s="245">
        <f>(PE_LE!$M$61+PE_LE!$M$66*$C$80)/365*H39</f>
        <v>988.82444998690198</v>
      </c>
      <c r="S39" s="748">
        <f t="shared" si="2"/>
        <v>786.35047331515329</v>
      </c>
    </row>
    <row r="40" spans="1:19" ht="15.75" thickBot="1" x14ac:dyDescent="0.3">
      <c r="F40" s="712" t="s">
        <v>133</v>
      </c>
      <c r="G40" s="710">
        <f>SUM(G16:G39)</f>
        <v>5824233</v>
      </c>
      <c r="H40" s="710">
        <f t="shared" ref="H40:O40" si="19">SUM(H16:H39)</f>
        <v>3310037.1920338138</v>
      </c>
      <c r="I40" s="710">
        <f t="shared" si="19"/>
        <v>26119.939402404863</v>
      </c>
      <c r="J40" s="710">
        <f t="shared" si="19"/>
        <v>69193.30153991784</v>
      </c>
      <c r="K40" s="710">
        <f t="shared" si="19"/>
        <v>95313.240942322693</v>
      </c>
      <c r="L40" s="710">
        <f t="shared" si="19"/>
        <v>23120.758848559275</v>
      </c>
      <c r="M40" s="710">
        <f t="shared" si="19"/>
        <v>38732.958988417682</v>
      </c>
      <c r="N40" s="710">
        <f t="shared" si="19"/>
        <v>61853.717836976975</v>
      </c>
      <c r="O40" s="710">
        <f t="shared" si="19"/>
        <v>0</v>
      </c>
      <c r="P40" s="711">
        <f>SUM(P16:P39)</f>
        <v>33459.523105345739</v>
      </c>
    </row>
    <row r="41" spans="1:19" ht="15.75" thickBot="1" x14ac:dyDescent="0.3">
      <c r="A41" s="288" t="s">
        <v>27021</v>
      </c>
      <c r="B41" s="289"/>
      <c r="C41" s="289"/>
      <c r="D41" s="289"/>
      <c r="E41" s="289"/>
      <c r="G41" s="552" t="s">
        <v>36260</v>
      </c>
      <c r="H41" s="176">
        <f>SUM(H16:H27)</f>
        <v>1769123.5909355483</v>
      </c>
      <c r="I41" s="176">
        <f t="shared" ref="I41:K41" si="20">SUM(I16:I27)</f>
        <v>13907.431832056725</v>
      </c>
      <c r="J41" s="176">
        <f t="shared" si="20"/>
        <v>36981.911376582248</v>
      </c>
      <c r="K41" s="176">
        <f t="shared" si="20"/>
        <v>50889.343208638966</v>
      </c>
      <c r="L41" s="176">
        <f t="shared" ref="L41:N41" si="21">SUM(L16:L27)</f>
        <v>12123.812750611445</v>
      </c>
      <c r="M41" s="176">
        <f t="shared" si="21"/>
        <v>20398.613375515273</v>
      </c>
      <c r="N41" s="176">
        <f t="shared" si="21"/>
        <v>32522.426126126717</v>
      </c>
    </row>
    <row r="42" spans="1:19" x14ac:dyDescent="0.25">
      <c r="B42" s="314" t="s">
        <v>27021</v>
      </c>
      <c r="C42" s="315">
        <v>2022</v>
      </c>
      <c r="D42" s="316">
        <v>2023</v>
      </c>
      <c r="E42" s="466" t="s">
        <v>36330</v>
      </c>
      <c r="F42" s="466" t="s">
        <v>36541</v>
      </c>
      <c r="G42" s="552" t="s">
        <v>36261</v>
      </c>
      <c r="H42" s="176">
        <f>SUM(H28:H39)</f>
        <v>1540913.601098266</v>
      </c>
      <c r="I42" s="176">
        <f t="shared" ref="I42:K42" si="22">SUM(I28:I39)</f>
        <v>12212.507570348133</v>
      </c>
      <c r="J42" s="176">
        <f t="shared" si="22"/>
        <v>32211.3901633356</v>
      </c>
      <c r="K42" s="176">
        <f t="shared" si="22"/>
        <v>44423.897733683734</v>
      </c>
      <c r="L42" s="176">
        <f t="shared" ref="L42:N42" si="23">SUM(L28:L39)</f>
        <v>10996.946097947828</v>
      </c>
      <c r="M42" s="176">
        <f t="shared" si="23"/>
        <v>18334.345612902416</v>
      </c>
      <c r="N42" s="176">
        <f t="shared" si="23"/>
        <v>29331.291710850248</v>
      </c>
    </row>
    <row r="43" spans="1:19" x14ac:dyDescent="0.25">
      <c r="B43" s="293" t="s">
        <v>168</v>
      </c>
      <c r="C43" s="174">
        <f>ROUNDDOWN(SUM(K16:K24),0)</f>
        <v>37496</v>
      </c>
      <c r="D43" s="174">
        <f>ROUNDDOWN(SUM(K25:K36),0)</f>
        <v>46694</v>
      </c>
      <c r="E43" s="174">
        <f>ROUNDDOWN(SUM(K37:K39),0)</f>
        <v>11122</v>
      </c>
      <c r="F43" s="825">
        <f>SUMPRODUCT(C43:E43,$N$146:$P$146)/SUM($N$146:$P$146)</f>
        <v>38838.546984572233</v>
      </c>
      <c r="G43" s="49">
        <v>2022</v>
      </c>
      <c r="H43" s="84">
        <f>SUM(H16:H24)</f>
        <v>1303536.6701666166</v>
      </c>
    </row>
    <row r="44" spans="1:19" x14ac:dyDescent="0.25">
      <c r="B44" s="293" t="s">
        <v>27022</v>
      </c>
      <c r="C44" s="174">
        <f>ROUNDDOWN(SUM(N16:N24),0)</f>
        <v>23963</v>
      </c>
      <c r="D44" s="174">
        <f>ROUNDDOWN(SUM(N25:N36),0)</f>
        <v>30546</v>
      </c>
      <c r="E44" s="174">
        <f>ROUNDDOWN(SUM(N37:N39),0)</f>
        <v>7343</v>
      </c>
      <c r="F44" s="825">
        <f t="shared" ref="F44:F45" si="24">SUMPRODUCT(C44:E44,$N$146:$P$146)/SUM($N$146:$P$146)</f>
        <v>25211.772791023843</v>
      </c>
      <c r="G44" s="49">
        <v>2023</v>
      </c>
      <c r="H44" s="84">
        <f>SUM(H25:H36)</f>
        <v>1620696.254802254</v>
      </c>
    </row>
    <row r="45" spans="1:19" ht="15.75" thickBot="1" x14ac:dyDescent="0.3">
      <c r="B45" s="294" t="s">
        <v>27023</v>
      </c>
      <c r="C45" s="708">
        <f>C43-C44</f>
        <v>13533</v>
      </c>
      <c r="D45" s="709">
        <f>D43-D44</f>
        <v>16148</v>
      </c>
      <c r="E45" s="709">
        <f>E43-E44</f>
        <v>3779</v>
      </c>
      <c r="F45" s="825">
        <f t="shared" si="24"/>
        <v>13626.774193548386</v>
      </c>
      <c r="G45" s="49">
        <v>2024</v>
      </c>
      <c r="H45" s="84">
        <f>SUM(H37:H39)</f>
        <v>385804.26706494379</v>
      </c>
      <c r="O45" s="465"/>
    </row>
    <row r="46" spans="1:19" ht="17.45" customHeight="1" x14ac:dyDescent="0.25"/>
    <row r="47" spans="1:19" ht="15.75" thickBot="1" x14ac:dyDescent="0.3">
      <c r="A47" s="302" t="s">
        <v>27012</v>
      </c>
      <c r="B47" s="289"/>
      <c r="C47" s="289"/>
      <c r="D47" s="289"/>
      <c r="E47" s="289"/>
      <c r="F47" s="289"/>
      <c r="G47" s="289"/>
      <c r="H47" s="289"/>
    </row>
    <row r="48" spans="1:19" ht="38.25" x14ac:dyDescent="0.25">
      <c r="B48" s="828" t="s">
        <v>27013</v>
      </c>
      <c r="C48" s="829"/>
      <c r="D48" s="317"/>
      <c r="E48" s="317" t="s">
        <v>27014</v>
      </c>
      <c r="F48" s="318" t="s">
        <v>27015</v>
      </c>
      <c r="P48" s="49" t="s">
        <v>167</v>
      </c>
    </row>
    <row r="49" spans="1:9" x14ac:dyDescent="0.25">
      <c r="B49" s="249" t="s">
        <v>27016</v>
      </c>
      <c r="C49" s="171" t="s">
        <v>27017</v>
      </c>
      <c r="D49" s="171" t="s">
        <v>27018</v>
      </c>
      <c r="E49" s="171" t="s">
        <v>27019</v>
      </c>
      <c r="F49" s="250" t="s">
        <v>27019</v>
      </c>
    </row>
    <row r="50" spans="1:9" x14ac:dyDescent="0.25">
      <c r="B50" s="251">
        <f>B16</f>
        <v>44670</v>
      </c>
      <c r="C50" s="172">
        <v>44926</v>
      </c>
      <c r="D50" s="173">
        <f>C50-B50+1</f>
        <v>257</v>
      </c>
      <c r="E50" s="362">
        <f>C45</f>
        <v>13533</v>
      </c>
      <c r="F50" s="363">
        <f>7971/365*D50</f>
        <v>5612.4575342465751</v>
      </c>
    </row>
    <row r="51" spans="1:9" x14ac:dyDescent="0.25">
      <c r="B51" s="251">
        <v>44927</v>
      </c>
      <c r="C51" s="172">
        <f>C36</f>
        <v>45291</v>
      </c>
      <c r="D51" s="173">
        <f>C51-B51+1</f>
        <v>365</v>
      </c>
      <c r="E51" s="362">
        <f>D45</f>
        <v>16148</v>
      </c>
      <c r="F51" s="363">
        <v>8535</v>
      </c>
    </row>
    <row r="52" spans="1:9" x14ac:dyDescent="0.25">
      <c r="B52" s="251">
        <f>B37</f>
        <v>45292</v>
      </c>
      <c r="C52" s="172">
        <f>C39</f>
        <v>45382</v>
      </c>
      <c r="D52" s="173">
        <f>C52-B52+1</f>
        <v>91</v>
      </c>
      <c r="E52" s="362">
        <f>E45</f>
        <v>3779</v>
      </c>
      <c r="F52" s="363">
        <f>9300/365*D52</f>
        <v>2318.6301369863013</v>
      </c>
    </row>
    <row r="53" spans="1:9" ht="15.75" thickBot="1" x14ac:dyDescent="0.3">
      <c r="B53" s="839" t="s">
        <v>27020</v>
      </c>
      <c r="C53" s="840"/>
      <c r="D53" s="841"/>
      <c r="E53" s="549">
        <f>E50+E51+E52</f>
        <v>33460</v>
      </c>
      <c r="F53" s="549">
        <f>SUM(F50:F52)</f>
        <v>16466.087671232875</v>
      </c>
    </row>
    <row r="54" spans="1:9" ht="15.75" thickBot="1" x14ac:dyDescent="0.3">
      <c r="D54" s="849" t="s">
        <v>36258</v>
      </c>
      <c r="E54" s="849"/>
      <c r="F54" s="850"/>
    </row>
    <row r="55" spans="1:9" ht="15.75" thickBot="1" x14ac:dyDescent="0.3">
      <c r="A55" s="290" t="s">
        <v>31989</v>
      </c>
      <c r="B55" s="288"/>
      <c r="C55" s="288"/>
      <c r="D55" s="550" t="s">
        <v>32079</v>
      </c>
      <c r="E55" s="551" t="s">
        <v>32081</v>
      </c>
      <c r="F55" s="551" t="s">
        <v>32082</v>
      </c>
    </row>
    <row r="56" spans="1:9" x14ac:dyDescent="0.25">
      <c r="B56" s="314" t="s">
        <v>32001</v>
      </c>
      <c r="C56" s="315" t="s">
        <v>98</v>
      </c>
      <c r="D56" s="725" t="s">
        <v>32080</v>
      </c>
      <c r="E56" s="726" t="s">
        <v>32080</v>
      </c>
      <c r="F56" s="726" t="s">
        <v>32083</v>
      </c>
    </row>
    <row r="57" spans="1:9" x14ac:dyDescent="0.25">
      <c r="B57" s="295" t="s">
        <v>32002</v>
      </c>
      <c r="C57" s="213" t="s">
        <v>32003</v>
      </c>
      <c r="D57" s="247">
        <f>C43+D43+E43</f>
        <v>95312</v>
      </c>
      <c r="E57" s="247">
        <f>M148</f>
        <v>61852</v>
      </c>
      <c r="F57" s="729">
        <f>Q148</f>
        <v>33460</v>
      </c>
    </row>
    <row r="58" spans="1:9" x14ac:dyDescent="0.25">
      <c r="B58" s="842" t="s">
        <v>32072</v>
      </c>
      <c r="C58" s="395" t="s">
        <v>36515</v>
      </c>
      <c r="D58" s="213">
        <f>D105+G105</f>
        <v>0</v>
      </c>
      <c r="E58" s="247">
        <f t="shared" ref="E58:E70" si="25">M149</f>
        <v>5443801.501604123</v>
      </c>
      <c r="F58" s="727">
        <f t="shared" ref="F58:F70" si="26">Q149</f>
        <v>5443801.501604123</v>
      </c>
    </row>
    <row r="59" spans="1:9" x14ac:dyDescent="0.25">
      <c r="B59" s="843"/>
      <c r="C59" s="213" t="s">
        <v>31419</v>
      </c>
      <c r="D59" s="393">
        <f>D58*0.00027*1000</f>
        <v>0</v>
      </c>
      <c r="E59" s="247">
        <f t="shared" si="25"/>
        <v>1469826.4054331132</v>
      </c>
      <c r="F59" s="728">
        <f t="shared" si="26"/>
        <v>1469826.4054331132</v>
      </c>
      <c r="G59" s="49" t="s">
        <v>36505</v>
      </c>
      <c r="I59" s="49">
        <v>2.7E-4</v>
      </c>
    </row>
    <row r="60" spans="1:9" x14ac:dyDescent="0.25">
      <c r="B60" s="833" t="s">
        <v>31987</v>
      </c>
      <c r="C60" s="213" t="s">
        <v>32088</v>
      </c>
      <c r="D60" s="213">
        <v>0</v>
      </c>
      <c r="E60" s="247">
        <f t="shared" si="25"/>
        <v>3693.8160913013326</v>
      </c>
      <c r="F60" s="729">
        <f t="shared" si="26"/>
        <v>4151.0833698209872</v>
      </c>
      <c r="G60" s="723" t="s">
        <v>36480</v>
      </c>
    </row>
    <row r="61" spans="1:9" x14ac:dyDescent="0.25">
      <c r="B61" s="834"/>
      <c r="C61" s="213" t="s">
        <v>31990</v>
      </c>
      <c r="D61" s="213">
        <v>0</v>
      </c>
      <c r="E61" s="247">
        <f t="shared" si="25"/>
        <v>8734.7535078651599</v>
      </c>
      <c r="F61" s="730">
        <f t="shared" si="26"/>
        <v>8849.4488819084872</v>
      </c>
      <c r="G61" s="723" t="s">
        <v>36481</v>
      </c>
    </row>
    <row r="62" spans="1:9" x14ac:dyDescent="0.25">
      <c r="B62" s="295" t="s">
        <v>31988</v>
      </c>
      <c r="C62" s="213" t="s">
        <v>29159</v>
      </c>
      <c r="D62" s="213">
        <v>0</v>
      </c>
      <c r="E62" s="247">
        <f t="shared" si="25"/>
        <v>3931.3612420492177</v>
      </c>
      <c r="F62" s="731">
        <f t="shared" si="26"/>
        <v>3915.0319651082009</v>
      </c>
      <c r="G62" s="723" t="s">
        <v>36482</v>
      </c>
    </row>
    <row r="63" spans="1:9" x14ac:dyDescent="0.25">
      <c r="B63" s="295" t="s">
        <v>31991</v>
      </c>
      <c r="C63" s="213" t="s">
        <v>32087</v>
      </c>
      <c r="D63" s="213">
        <v>0</v>
      </c>
      <c r="E63" s="247">
        <f t="shared" si="25"/>
        <v>45</v>
      </c>
      <c r="F63" s="730">
        <f t="shared" si="26"/>
        <v>45</v>
      </c>
      <c r="G63" s="723" t="s">
        <v>36484</v>
      </c>
    </row>
    <row r="64" spans="1:9" x14ac:dyDescent="0.25">
      <c r="B64" s="295" t="s">
        <v>31992</v>
      </c>
      <c r="C64" s="213" t="s">
        <v>32086</v>
      </c>
      <c r="D64" s="213">
        <v>0</v>
      </c>
      <c r="E64" s="247">
        <f t="shared" si="25"/>
        <v>307461.11025288503</v>
      </c>
      <c r="F64" s="730">
        <f t="shared" si="26"/>
        <v>2453168.1476808088</v>
      </c>
      <c r="G64" s="723" t="s">
        <v>36483</v>
      </c>
    </row>
    <row r="65" spans="1:7" x14ac:dyDescent="0.25">
      <c r="B65" s="833" t="s">
        <v>31993</v>
      </c>
      <c r="C65" s="213" t="s">
        <v>31994</v>
      </c>
      <c r="D65" s="213">
        <v>0</v>
      </c>
      <c r="E65" s="247">
        <f t="shared" si="25"/>
        <v>34193.805215946501</v>
      </c>
      <c r="F65" s="730">
        <f t="shared" si="26"/>
        <v>34193.805215946501</v>
      </c>
      <c r="G65" s="49" t="str">
        <f>G62</f>
        <v>/average both surveys</v>
      </c>
    </row>
    <row r="66" spans="1:7" x14ac:dyDescent="0.25">
      <c r="B66" s="834"/>
      <c r="C66" s="213" t="s">
        <v>29159</v>
      </c>
      <c r="D66" s="213">
        <v>0</v>
      </c>
      <c r="E66" s="247">
        <f t="shared" si="25"/>
        <v>4683.4900172511989</v>
      </c>
      <c r="F66" s="730">
        <f t="shared" si="26"/>
        <v>4683.4900172511971</v>
      </c>
      <c r="G66" s="49" t="str">
        <f>G65</f>
        <v>/average both surveys</v>
      </c>
    </row>
    <row r="67" spans="1:7" ht="33.75" customHeight="1" x14ac:dyDescent="0.25">
      <c r="B67" s="833" t="s">
        <v>31995</v>
      </c>
      <c r="C67" s="291" t="s">
        <v>32089</v>
      </c>
      <c r="D67" s="553">
        <v>0</v>
      </c>
      <c r="E67" s="247">
        <f t="shared" si="25"/>
        <v>461</v>
      </c>
      <c r="F67" s="730">
        <f t="shared" si="26"/>
        <v>461</v>
      </c>
      <c r="G67" s="49" t="s">
        <v>36508</v>
      </c>
    </row>
    <row r="68" spans="1:7" x14ac:dyDescent="0.25">
      <c r="B68" s="834" t="s">
        <v>31997</v>
      </c>
      <c r="C68" s="213" t="s">
        <v>31996</v>
      </c>
      <c r="D68" s="554"/>
      <c r="E68" s="247">
        <f t="shared" si="25"/>
        <v>84</v>
      </c>
      <c r="F68" s="730">
        <f t="shared" si="26"/>
        <v>84</v>
      </c>
      <c r="G68" s="49" t="str">
        <f>G67</f>
        <v>total end MP</v>
      </c>
    </row>
    <row r="69" spans="1:7" x14ac:dyDescent="0.25">
      <c r="B69" s="295" t="s">
        <v>31998</v>
      </c>
      <c r="C69" s="213" t="s">
        <v>31999</v>
      </c>
      <c r="D69" s="213">
        <v>0</v>
      </c>
      <c r="E69" s="247">
        <f t="shared" si="25"/>
        <v>182945.19365151244</v>
      </c>
      <c r="F69" s="730">
        <f t="shared" si="26"/>
        <v>182945.19365151244</v>
      </c>
      <c r="G69" s="49" t="str">
        <f>G70</f>
        <v>/sum of both surveys as it is a cumulative</v>
      </c>
    </row>
    <row r="70" spans="1:7" ht="15.75" thickBot="1" x14ac:dyDescent="0.3">
      <c r="B70" s="307" t="s">
        <v>36504</v>
      </c>
      <c r="C70" s="296" t="s">
        <v>29160</v>
      </c>
      <c r="D70" s="732">
        <f>F165</f>
        <v>44669.144526301308</v>
      </c>
      <c r="E70" s="247">
        <f t="shared" si="25"/>
        <v>24369.94863953198</v>
      </c>
      <c r="F70" s="733">
        <f t="shared" si="26"/>
        <v>20299.195886769339</v>
      </c>
      <c r="G70" s="49" t="str">
        <f>G64</f>
        <v>/sum of both surveys as it is a cumulative</v>
      </c>
    </row>
    <row r="71" spans="1:7" x14ac:dyDescent="0.25">
      <c r="E71" s="176"/>
      <c r="F71" s="176"/>
      <c r="G71" s="176"/>
    </row>
    <row r="72" spans="1:7" ht="15.75" thickBot="1" x14ac:dyDescent="0.3">
      <c r="A72" s="288" t="s">
        <v>32004</v>
      </c>
      <c r="B72" s="288" t="s">
        <v>32005</v>
      </c>
      <c r="C72" s="851" t="s">
        <v>36270</v>
      </c>
      <c r="D72" s="851"/>
      <c r="E72" s="851" t="s">
        <v>36261</v>
      </c>
      <c r="F72" s="851"/>
      <c r="G72" s="583" t="s">
        <v>36271</v>
      </c>
    </row>
    <row r="73" spans="1:7" ht="30" x14ac:dyDescent="0.25">
      <c r="B73" s="297" t="s">
        <v>29305</v>
      </c>
      <c r="C73" s="298" cm="1">
        <f t="array" ref="C73">SUMPRODUCT(--(ISNUMBER((FIND($B$73,'SMS p1'!$GM$2:$GM$206)))))</f>
        <v>32</v>
      </c>
      <c r="D73" s="299">
        <f>C73/$C$78</f>
        <v>0.66666666666666663</v>
      </c>
      <c r="E73" s="298" cm="1">
        <f t="array" ref="E73">SUMPRODUCT(--(ISNUMBER((FIND($B73,'SMS p2'!$FY$2:$GE$206)))))</f>
        <v>35</v>
      </c>
      <c r="F73" s="299">
        <f>E73/$E$78</f>
        <v>0.660377358490566</v>
      </c>
      <c r="G73" s="582">
        <f>(D73*$C$9+F73*$J$9)/(SUM($C$9,$J$9))</f>
        <v>0.66343821394232882</v>
      </c>
    </row>
    <row r="74" spans="1:7" x14ac:dyDescent="0.25">
      <c r="B74" s="300" t="s">
        <v>29529</v>
      </c>
      <c r="C74" s="213" cm="1">
        <f t="array" ref="C74">SUMPRODUCT(--(ISNUMBER((FIND(B74,'SMS p1'!$GM$2:$GM$206)))))</f>
        <v>12</v>
      </c>
      <c r="D74" s="301">
        <f>C74/$C$78</f>
        <v>0.25</v>
      </c>
      <c r="E74" s="213" cm="1">
        <f t="array" ref="E74">SUMPRODUCT(--(ISNUMBER((FIND($B74,'SMS p2'!$FY$2:$GE$206)))))</f>
        <v>13</v>
      </c>
      <c r="F74" s="301">
        <f t="shared" ref="F74:F77" si="27">E74/$E$78</f>
        <v>0.24528301886792453</v>
      </c>
      <c r="G74" s="582">
        <f t="shared" ref="G74:G77" si="28">(D74*$C$9+F74*$J$9)/(SUM($C$9,$J$9))</f>
        <v>0.24757866045674665</v>
      </c>
    </row>
    <row r="75" spans="1:7" ht="30" x14ac:dyDescent="0.25">
      <c r="B75" s="300" t="s">
        <v>29396</v>
      </c>
      <c r="C75" s="213" cm="1">
        <f t="array" ref="C75">SUMPRODUCT(--(ISNUMBER((FIND(B75,'SMS p1'!$GM$2:$GM$206)))))</f>
        <v>12</v>
      </c>
      <c r="D75" s="301">
        <f>C75/$C$78</f>
        <v>0.25</v>
      </c>
      <c r="E75" s="213" cm="1">
        <f t="array" ref="E75">SUMPRODUCT(--(ISNUMBER((FIND($B75,'SMS p2'!$FY$2:$GE$206)))))</f>
        <v>20</v>
      </c>
      <c r="F75" s="301">
        <f t="shared" si="27"/>
        <v>0.37735849056603776</v>
      </c>
      <c r="G75" s="582">
        <f t="shared" si="28"/>
        <v>0.31537616766783988</v>
      </c>
    </row>
    <row r="76" spans="1:7" ht="30" x14ac:dyDescent="0.25">
      <c r="B76" s="300" t="s">
        <v>32006</v>
      </c>
      <c r="C76" s="213" cm="1">
        <f t="array" ref="C76">SUMPRODUCT(--(ISNUMBER((FIND(B76,'SMS p1'!$GM$2:$GM$206)))))</f>
        <v>0</v>
      </c>
      <c r="D76" s="301">
        <f>C76/$C$78</f>
        <v>0</v>
      </c>
      <c r="E76" s="213" cm="1">
        <f t="array" ref="E76">SUMPRODUCT(--(ISNUMBER((FIND($B76,'SMS p2'!$FY$2:$GE$206)))))</f>
        <v>1</v>
      </c>
      <c r="F76" s="301">
        <f t="shared" si="27"/>
        <v>1.8867924528301886E-2</v>
      </c>
      <c r="G76" s="582">
        <f t="shared" si="28"/>
        <v>9.6853581730133101E-3</v>
      </c>
    </row>
    <row r="77" spans="1:7" ht="21.2" customHeight="1" thickBot="1" x14ac:dyDescent="0.3">
      <c r="B77" s="303" t="s">
        <v>29940</v>
      </c>
      <c r="C77" s="296" cm="1">
        <f t="array" ref="C77">SUMPRODUCT(--(ISNUMBER((FIND(B77,'SMS p1'!$GM$2:$GM$206)))))</f>
        <v>18</v>
      </c>
      <c r="D77" s="304">
        <f>C77/$C$78</f>
        <v>0.375</v>
      </c>
      <c r="E77" s="296" cm="1">
        <f t="array" ref="E77">SUMPRODUCT(--(ISNUMBER((FIND($B77,'SMS p2'!$FY$2:$GE$206)))))</f>
        <v>11</v>
      </c>
      <c r="F77" s="304">
        <f t="shared" si="27"/>
        <v>0.20754716981132076</v>
      </c>
      <c r="G77" s="582">
        <f t="shared" si="28"/>
        <v>0.28904244621450687</v>
      </c>
    </row>
    <row r="78" spans="1:7" ht="18.75" customHeight="1" thickBot="1" x14ac:dyDescent="0.3">
      <c r="B78" s="305" t="s">
        <v>32007</v>
      </c>
      <c r="C78" s="306">
        <f>COUNTA(Table14[If the time saved for other activities is longer, what activities do you now have more time for that you did not prior to having the biogas digester? (Asked to the Female member of household)])</f>
        <v>48</v>
      </c>
      <c r="E78" s="306">
        <f>COUNTIF('SMS p2'!FW:FW,"Yes,more time available than before having biogas")</f>
        <v>53</v>
      </c>
    </row>
    <row r="80" spans="1:7" x14ac:dyDescent="0.25">
      <c r="B80" s="49" t="s">
        <v>36259</v>
      </c>
      <c r="C80" s="49">
        <v>4</v>
      </c>
    </row>
    <row r="83" spans="2:5" x14ac:dyDescent="0.25">
      <c r="B83" s="142" t="s">
        <v>32072</v>
      </c>
      <c r="C83" s="142" t="s">
        <v>36260</v>
      </c>
      <c r="D83" s="142" t="s">
        <v>36261</v>
      </c>
    </row>
    <row r="84" spans="2:5" x14ac:dyDescent="0.25">
      <c r="B84" s="49" t="s">
        <v>36263</v>
      </c>
      <c r="C84" s="392">
        <f>AVERAGE('SMS p1'!DT:DT)</f>
        <v>67823.529411764699</v>
      </c>
      <c r="D84" s="392">
        <f>AVERAGE('SMS p2'!DS:DS)</f>
        <v>44225.933333333334</v>
      </c>
      <c r="E84" s="49" t="s">
        <v>36267</v>
      </c>
    </row>
    <row r="85" spans="2:5" x14ac:dyDescent="0.25">
      <c r="B85" s="49" t="s">
        <v>36264</v>
      </c>
      <c r="C85" s="392">
        <f>AVERAGE('SMS p1'!DV:DV)</f>
        <v>117028.57142857143</v>
      </c>
      <c r="D85" s="392">
        <f>AVERAGE('SMS p2'!DU:DU)</f>
        <v>41282.666666666664</v>
      </c>
      <c r="E85" s="49" t="s">
        <v>36262</v>
      </c>
    </row>
    <row r="86" spans="2:5" x14ac:dyDescent="0.25">
      <c r="B86" s="49" t="s">
        <v>36265</v>
      </c>
      <c r="C86" s="392">
        <f>(C84*12-C85)/365</f>
        <v>1909.1884425002875</v>
      </c>
      <c r="D86" s="392">
        <f>(D84*12-D85)/365</f>
        <v>1340.9000913242007</v>
      </c>
      <c r="E86" s="49" t="s">
        <v>36268</v>
      </c>
    </row>
    <row r="87" spans="2:5" x14ac:dyDescent="0.25">
      <c r="B87" s="49" t="s">
        <v>31419</v>
      </c>
      <c r="C87" s="555">
        <f>C86*0.00027</f>
        <v>0.51548087947507759</v>
      </c>
      <c r="D87" s="555">
        <f>D86*0.00027</f>
        <v>0.36204302465753418</v>
      </c>
      <c r="E87" s="49" t="s">
        <v>36266</v>
      </c>
    </row>
    <row r="90" spans="2:5" x14ac:dyDescent="0.25">
      <c r="B90" s="213"/>
      <c r="C90" s="213" t="str">
        <f>C83</f>
        <v>p1</v>
      </c>
      <c r="D90" s="213" t="str">
        <f>D83</f>
        <v>p2</v>
      </c>
      <c r="E90" s="213"/>
    </row>
    <row r="91" spans="2:5" x14ac:dyDescent="0.25">
      <c r="B91" s="213" t="s">
        <v>36491</v>
      </c>
      <c r="C91" s="743">
        <f>C86</f>
        <v>1909.1884425002875</v>
      </c>
      <c r="D91" s="743">
        <f>D86</f>
        <v>1340.9000913242007</v>
      </c>
      <c r="E91" s="213" t="s">
        <v>36492</v>
      </c>
    </row>
    <row r="92" spans="2:5" x14ac:dyDescent="0.25">
      <c r="B92" s="213" t="s">
        <v>36493</v>
      </c>
      <c r="C92" s="741">
        <f>COUNTIF('SMS p1'!FL:FL,"yes")/COUNTA('SMS p1'!FL2:FL202)</f>
        <v>0.9</v>
      </c>
      <c r="D92" s="742">
        <f>COUNTIF('SMS p2'!EX13:EX297,"yes")/COUNTA('SMS p2'!EX13:EX297)</f>
        <v>0.87050359712230219</v>
      </c>
      <c r="E92" s="213" t="s">
        <v>36494</v>
      </c>
    </row>
    <row r="93" spans="2:5" x14ac:dyDescent="0.25">
      <c r="B93" s="213" t="s">
        <v>36493</v>
      </c>
      <c r="C93" s="747">
        <f>AVERAGE('SMS p1'!FN:FN)</f>
        <v>1.1880256410256413</v>
      </c>
      <c r="D93" s="747">
        <f>AVERAGE('SMS p2'!EZ:EZ)</f>
        <v>2.0584766974401547</v>
      </c>
      <c r="E93" s="213" t="s">
        <v>36495</v>
      </c>
    </row>
    <row r="94" spans="2:5" x14ac:dyDescent="0.25">
      <c r="B94" s="213" t="s">
        <v>31988</v>
      </c>
      <c r="C94" s="742">
        <f>COUNTIF('SMS p1'!GG:GG,"YES")/COUNTA('SMS p1'!GG1:GG202)</f>
        <v>0.81981981981981977</v>
      </c>
      <c r="D94" s="742">
        <f>COUNTIF('SMS p2'!FS:FS,"yes")/COUNTA('SMS p1'!FV13:FV275)</f>
        <v>0.8545454545454545</v>
      </c>
      <c r="E94" s="213" t="s">
        <v>36496</v>
      </c>
    </row>
    <row r="95" spans="2:5" x14ac:dyDescent="0.25">
      <c r="B95" s="213" t="s">
        <v>31992</v>
      </c>
      <c r="C95" s="211">
        <f>AVERAGE('SMS p1'!GL:GL)</f>
        <v>0.69252336448598129</v>
      </c>
      <c r="D95" s="211">
        <f>AVERAGE('SMS p2'!FX:FX)</f>
        <v>0.79693548387096769</v>
      </c>
      <c r="E95" s="213" t="s">
        <v>36497</v>
      </c>
    </row>
    <row r="96" spans="2:5" x14ac:dyDescent="0.25">
      <c r="B96" s="213" t="s">
        <v>36498</v>
      </c>
      <c r="C96" s="743">
        <f>AVERAGEIF('SMS p1'!T1:T202,"yes",'SMS p1'!P1:P202)</f>
        <v>6.8181818181818183</v>
      </c>
      <c r="D96" s="743">
        <f>AVERAGEIF('SMS p2'!U:U,"yes",'SMS p2'!Q:Q)</f>
        <v>7.8592592592592592</v>
      </c>
      <c r="E96" s="213" t="s">
        <v>36499</v>
      </c>
    </row>
    <row r="97" spans="2:9" x14ac:dyDescent="0.25">
      <c r="B97" s="213" t="s">
        <v>31998</v>
      </c>
      <c r="C97" s="211">
        <f>AVERAGE('SMS p1'!BX1:BX202)*2</f>
        <v>79.781913499344711</v>
      </c>
      <c r="D97" s="211">
        <f>AVERAGE(Table15[Calculation: Total Kg manure feeding/Day])*2</f>
        <v>145.85264341957256</v>
      </c>
      <c r="E97" s="213" t="s">
        <v>36500</v>
      </c>
      <c r="F97" s="723" t="s">
        <v>36503</v>
      </c>
    </row>
    <row r="98" spans="2:9" x14ac:dyDescent="0.25">
      <c r="B98" s="213"/>
      <c r="C98" s="213"/>
      <c r="D98" s="213"/>
      <c r="E98" s="213"/>
    </row>
    <row r="99" spans="2:9" x14ac:dyDescent="0.25">
      <c r="B99" s="213"/>
      <c r="C99" s="213"/>
      <c r="D99" s="213" t="s">
        <v>36490</v>
      </c>
      <c r="E99" s="742">
        <f>COUNTIF('SMS p1'!FL:FL,"yes")/(G2*C12)</f>
        <v>0.79838709677419351</v>
      </c>
    </row>
    <row r="102" spans="2:9" customFormat="1" x14ac:dyDescent="0.25">
      <c r="D102" s="848"/>
      <c r="E102" s="848"/>
      <c r="F102" s="848"/>
      <c r="G102" s="848"/>
      <c r="H102" s="848"/>
      <c r="I102" s="848"/>
    </row>
    <row r="103" spans="2:9" customFormat="1" x14ac:dyDescent="0.25">
      <c r="D103" s="790"/>
      <c r="E103" s="790"/>
      <c r="F103" s="790"/>
      <c r="G103" s="790"/>
      <c r="H103" s="790"/>
      <c r="I103" s="790"/>
    </row>
    <row r="104" spans="2:9" customFormat="1" x14ac:dyDescent="0.25">
      <c r="B104" s="31"/>
      <c r="C104" s="31"/>
      <c r="D104" s="790"/>
      <c r="E104" s="790"/>
      <c r="F104" s="790"/>
      <c r="G104" s="790"/>
      <c r="H104" s="790"/>
      <c r="I104" s="790"/>
    </row>
    <row r="105" spans="2:9" customFormat="1" x14ac:dyDescent="0.25">
      <c r="B105" s="791"/>
      <c r="C105" s="482"/>
      <c r="E105" s="792"/>
      <c r="F105" s="792"/>
      <c r="H105" s="792"/>
      <c r="I105" s="792"/>
    </row>
    <row r="106" spans="2:9" customFormat="1" x14ac:dyDescent="0.25">
      <c r="B106" s="793"/>
      <c r="E106" s="794"/>
      <c r="F106" s="795"/>
      <c r="H106" s="794"/>
      <c r="I106" s="796"/>
    </row>
    <row r="107" spans="2:9" customFormat="1" x14ac:dyDescent="0.25">
      <c r="B107" s="793"/>
      <c r="E107" s="795"/>
      <c r="F107" s="795"/>
      <c r="H107" s="795"/>
      <c r="I107" s="795"/>
    </row>
    <row r="108" spans="2:9" customFormat="1" x14ac:dyDescent="0.25">
      <c r="E108" s="797"/>
      <c r="F108" s="740"/>
      <c r="H108" s="798"/>
      <c r="I108" s="798"/>
    </row>
    <row r="109" spans="2:9" customFormat="1" x14ac:dyDescent="0.25">
      <c r="E109" s="795"/>
      <c r="F109" s="795"/>
      <c r="H109" s="795"/>
      <c r="I109" s="795"/>
    </row>
    <row r="110" spans="2:9" customFormat="1" x14ac:dyDescent="0.25">
      <c r="B110" s="793"/>
      <c r="E110" s="795"/>
      <c r="F110" s="795"/>
      <c r="H110" s="795"/>
      <c r="I110" s="795"/>
    </row>
    <row r="111" spans="2:9" customFormat="1" x14ac:dyDescent="0.25">
      <c r="B111" s="793"/>
      <c r="E111" s="795"/>
      <c r="F111" s="795"/>
      <c r="H111" s="795"/>
      <c r="I111" s="795"/>
    </row>
    <row r="112" spans="2:9" customFormat="1" x14ac:dyDescent="0.25">
      <c r="E112" s="795"/>
      <c r="F112" s="795"/>
      <c r="H112" s="795"/>
      <c r="I112" s="795"/>
    </row>
    <row r="113" spans="2:11" customFormat="1" x14ac:dyDescent="0.25">
      <c r="D113" s="795"/>
      <c r="E113" s="795"/>
      <c r="F113" s="795"/>
      <c r="G113" s="795"/>
      <c r="H113" s="795"/>
      <c r="I113" s="795"/>
    </row>
    <row r="115" spans="2:11" x14ac:dyDescent="0.25">
      <c r="D115" s="49" t="s">
        <v>36516</v>
      </c>
      <c r="E115" s="766">
        <f>AVERAGEIF('SMS p1'!T1:T202,"yes",'SMS p1'!P1:P202)</f>
        <v>6.8181818181818183</v>
      </c>
      <c r="F115" s="766"/>
      <c r="G115" s="766" t="s">
        <v>36517</v>
      </c>
      <c r="H115" s="766">
        <f>AVERAGEIF('SMS p2'!U:U,"yes",'SMS p2'!Q:Q)</f>
        <v>7.8592592592592592</v>
      </c>
    </row>
    <row r="116" spans="2:11" ht="15.75" thickBot="1" x14ac:dyDescent="0.3"/>
    <row r="117" spans="2:11" ht="38.25" x14ac:dyDescent="0.25">
      <c r="B117" s="828" t="str">
        <f>B48</f>
        <v>period both dates inclusvive</v>
      </c>
      <c r="C117" s="829">
        <f t="shared" ref="C117:F117" si="29">C48</f>
        <v>0</v>
      </c>
      <c r="D117" s="317">
        <f t="shared" si="29"/>
        <v>0</v>
      </c>
      <c r="E117" s="317" t="str">
        <f t="shared" si="29"/>
        <v>Amount achieved during this monitoring period</v>
      </c>
      <c r="F117" s="318" t="str">
        <f t="shared" si="29"/>
        <v>Amount estimated ex-ante</v>
      </c>
    </row>
    <row r="118" spans="2:11" x14ac:dyDescent="0.25">
      <c r="B118" s="249" t="str">
        <f t="shared" ref="B118:F118" si="30">B49</f>
        <v>from</v>
      </c>
      <c r="C118" s="171" t="str">
        <f t="shared" si="30"/>
        <v>to</v>
      </c>
      <c r="D118" s="171" t="str">
        <f t="shared" si="30"/>
        <v>days</v>
      </c>
      <c r="E118" s="171" t="str">
        <f t="shared" si="30"/>
        <v>(t CO2e)</v>
      </c>
      <c r="F118" s="250" t="str">
        <f t="shared" si="30"/>
        <v>(t CO2e)</v>
      </c>
    </row>
    <row r="119" spans="2:11" x14ac:dyDescent="0.25">
      <c r="B119" s="251">
        <f t="shared" ref="B119:F119" si="31">B50</f>
        <v>44670</v>
      </c>
      <c r="C119" s="172">
        <f t="shared" si="31"/>
        <v>44926</v>
      </c>
      <c r="D119" s="173">
        <f t="shared" si="31"/>
        <v>257</v>
      </c>
      <c r="E119" s="362">
        <f t="shared" si="31"/>
        <v>13533</v>
      </c>
      <c r="F119" s="363">
        <f t="shared" si="31"/>
        <v>5612.4575342465751</v>
      </c>
    </row>
    <row r="120" spans="2:11" x14ac:dyDescent="0.25">
      <c r="B120" s="251">
        <f t="shared" ref="B120:F120" si="32">B51</f>
        <v>44927</v>
      </c>
      <c r="C120" s="172">
        <f t="shared" si="32"/>
        <v>45291</v>
      </c>
      <c r="D120" s="173">
        <f t="shared" si="32"/>
        <v>365</v>
      </c>
      <c r="E120" s="362">
        <f t="shared" si="32"/>
        <v>16148</v>
      </c>
      <c r="F120" s="363">
        <f t="shared" si="32"/>
        <v>8535</v>
      </c>
    </row>
    <row r="121" spans="2:11" x14ac:dyDescent="0.25">
      <c r="B121" s="251">
        <f t="shared" ref="B121:F121" si="33">B52</f>
        <v>45292</v>
      </c>
      <c r="C121" s="172">
        <f t="shared" si="33"/>
        <v>45382</v>
      </c>
      <c r="D121" s="173">
        <f t="shared" si="33"/>
        <v>91</v>
      </c>
      <c r="E121" s="362">
        <f t="shared" si="33"/>
        <v>3779</v>
      </c>
      <c r="F121" s="363">
        <f t="shared" si="33"/>
        <v>2318.6301369863013</v>
      </c>
    </row>
    <row r="123" spans="2:11" ht="15.75" thickBot="1" x14ac:dyDescent="0.3"/>
    <row r="124" spans="2:11" ht="15.75" thickBot="1" x14ac:dyDescent="0.3">
      <c r="B124" s="807" t="s">
        <v>36509</v>
      </c>
      <c r="C124" s="808" t="s">
        <v>36260</v>
      </c>
      <c r="D124" s="808" t="s">
        <v>36261</v>
      </c>
      <c r="E124" s="809" t="s">
        <v>36538</v>
      </c>
      <c r="F124" s="807" t="s">
        <v>36510</v>
      </c>
      <c r="G124" s="809" t="s">
        <v>36511</v>
      </c>
    </row>
    <row r="125" spans="2:11" ht="15.75" thickBot="1" x14ac:dyDescent="0.3">
      <c r="B125" s="810">
        <v>13</v>
      </c>
      <c r="C125" s="811"/>
      <c r="D125" s="811"/>
      <c r="E125" s="812">
        <f>F53</f>
        <v>16466.087671232875</v>
      </c>
      <c r="F125" s="818">
        <f>F57</f>
        <v>33460</v>
      </c>
      <c r="G125" s="819">
        <f>F125/E125-1</f>
        <v>1.0320552561162653</v>
      </c>
    </row>
    <row r="126" spans="2:11" x14ac:dyDescent="0.25">
      <c r="B126" s="830">
        <v>1</v>
      </c>
      <c r="C126" s="813">
        <v>3636775690.6649976</v>
      </c>
      <c r="D126" s="813">
        <f>C126</f>
        <v>3636775690.6649976</v>
      </c>
      <c r="E126" s="812">
        <f>(C126*$C$141/365+$D126*$D$141/365)/1000</f>
        <v>7104167.3080661455</v>
      </c>
      <c r="F126" s="818">
        <f t="shared" ref="F126:F138" si="34">F58</f>
        <v>5443801.501604123</v>
      </c>
      <c r="G126" s="819">
        <f t="shared" ref="G126:G138" si="35">F126/E126-1</f>
        <v>-0.23371715986711428</v>
      </c>
    </row>
    <row r="127" spans="2:11" ht="15.75" thickBot="1" x14ac:dyDescent="0.3">
      <c r="B127" s="831"/>
      <c r="C127" s="813">
        <f>C126*$I$59</f>
        <v>981929.43647954939</v>
      </c>
      <c r="D127" s="813">
        <f>D126*$I$59</f>
        <v>981929.43647954939</v>
      </c>
      <c r="E127" s="812">
        <f>C127*$C$141/365+$D127*$D$141/365</f>
        <v>1918125.1731778595</v>
      </c>
      <c r="F127" s="818">
        <f t="shared" si="34"/>
        <v>1469826.4054331132</v>
      </c>
      <c r="G127" s="819">
        <f t="shared" si="35"/>
        <v>-0.23371715986711439</v>
      </c>
      <c r="I127" s="49" t="str">
        <f t="shared" ref="I127:I138" si="36">G59</f>
        <v>FOREX 24 oct24: 1 UGX=</v>
      </c>
      <c r="K127" s="49">
        <v>2.7E-4</v>
      </c>
    </row>
    <row r="128" spans="2:11" x14ac:dyDescent="0.25">
      <c r="B128" s="830">
        <v>2</v>
      </c>
      <c r="C128" s="813">
        <v>5127</v>
      </c>
      <c r="D128" s="811">
        <v>5499</v>
      </c>
      <c r="E128" s="812">
        <f>D128</f>
        <v>5499</v>
      </c>
      <c r="F128" s="818">
        <f t="shared" si="34"/>
        <v>4151.0833698209872</v>
      </c>
      <c r="G128" s="819">
        <f t="shared" si="35"/>
        <v>-0.24512031827223368</v>
      </c>
      <c r="I128" s="49" t="str">
        <f t="shared" si="36"/>
        <v>/used value number of farmers end of CP</v>
      </c>
    </row>
    <row r="129" spans="2:9" ht="15.75" thickBot="1" x14ac:dyDescent="0.3">
      <c r="B129" s="831"/>
      <c r="C129" s="813">
        <v>17223</v>
      </c>
      <c r="D129" s="811">
        <v>18485</v>
      </c>
      <c r="E129" s="812">
        <f>D129</f>
        <v>18485</v>
      </c>
      <c r="F129" s="818">
        <f t="shared" si="34"/>
        <v>8849.4488819084872</v>
      </c>
      <c r="G129" s="819">
        <f t="shared" si="35"/>
        <v>-0.52126324685374703</v>
      </c>
      <c r="I129" s="49" t="str">
        <f t="shared" si="36"/>
        <v>/used value hec in use end of CP</v>
      </c>
    </row>
    <row r="130" spans="2:9" ht="15.75" thickBot="1" x14ac:dyDescent="0.3">
      <c r="B130" s="814">
        <v>3</v>
      </c>
      <c r="C130" s="813">
        <v>4321</v>
      </c>
      <c r="D130" s="811">
        <v>4635</v>
      </c>
      <c r="E130" s="812">
        <f>AVERAGE(C130:D130)</f>
        <v>4478</v>
      </c>
      <c r="F130" s="818">
        <f t="shared" si="34"/>
        <v>3915.0319651082009</v>
      </c>
      <c r="G130" s="819">
        <f t="shared" si="35"/>
        <v>-0.12571863217771306</v>
      </c>
      <c r="I130" s="49" t="str">
        <f t="shared" si="36"/>
        <v>/average both surveys</v>
      </c>
    </row>
    <row r="131" spans="2:9" ht="15.75" thickBot="1" x14ac:dyDescent="0.3">
      <c r="B131" s="814">
        <v>4</v>
      </c>
      <c r="C131" s="813">
        <v>228</v>
      </c>
      <c r="D131" s="811">
        <v>298</v>
      </c>
      <c r="E131" s="812">
        <f>D131</f>
        <v>298</v>
      </c>
      <c r="F131" s="818">
        <f t="shared" si="34"/>
        <v>45</v>
      </c>
      <c r="G131" s="819">
        <f t="shared" si="35"/>
        <v>-0.84899328859060397</v>
      </c>
      <c r="I131" s="49" t="str">
        <f t="shared" si="36"/>
        <v>/file SDG4 VPA03 trainings CPII MPI cell E1</v>
      </c>
    </row>
    <row r="132" spans="2:9" ht="15.75" thickBot="1" x14ac:dyDescent="0.3">
      <c r="B132" s="814">
        <v>5</v>
      </c>
      <c r="C132" s="813">
        <v>2813653.9425287656</v>
      </c>
      <c r="D132" s="813">
        <v>3020745.1086093714</v>
      </c>
      <c r="E132" s="812">
        <f>C132*$C$141/365+$D132*$D$141/365</f>
        <v>5693706.8132029064</v>
      </c>
      <c r="F132" s="818">
        <f t="shared" si="34"/>
        <v>2453168.1476808088</v>
      </c>
      <c r="G132" s="819">
        <f t="shared" si="35"/>
        <v>-0.56914392887384779</v>
      </c>
      <c r="I132" s="49" t="str">
        <f t="shared" si="36"/>
        <v>/sum of both surveys as it is a cumulative</v>
      </c>
    </row>
    <row r="133" spans="2:9" x14ac:dyDescent="0.25">
      <c r="B133" s="830">
        <v>7</v>
      </c>
      <c r="C133" s="811">
        <v>37191.92792074076</v>
      </c>
      <c r="D133" s="813">
        <v>39892.866767562897</v>
      </c>
      <c r="E133" s="812">
        <f>AVERAGE(C133:D133)</f>
        <v>38542.397344151832</v>
      </c>
      <c r="F133" s="818">
        <f t="shared" si="34"/>
        <v>34193.805215946501</v>
      </c>
      <c r="G133" s="819">
        <f t="shared" si="35"/>
        <v>-0.11282619732695887</v>
      </c>
      <c r="I133" s="49" t="str">
        <f t="shared" si="36"/>
        <v>/average both surveys</v>
      </c>
    </row>
    <row r="134" spans="2:9" ht="15.75" thickBot="1" x14ac:dyDescent="0.3">
      <c r="B134" s="831"/>
      <c r="C134" s="811">
        <v>5223</v>
      </c>
      <c r="D134" s="811">
        <v>5602</v>
      </c>
      <c r="E134" s="812">
        <f>AVERAGE(C134:D134)</f>
        <v>5412.5</v>
      </c>
      <c r="F134" s="818">
        <f t="shared" si="34"/>
        <v>4683.4900172511971</v>
      </c>
      <c r="G134" s="819">
        <f t="shared" si="35"/>
        <v>-0.13469006609677647</v>
      </c>
      <c r="I134" s="49" t="str">
        <f t="shared" si="36"/>
        <v>/average both surveys</v>
      </c>
    </row>
    <row r="135" spans="2:9" ht="15.75" thickBot="1" x14ac:dyDescent="0.3">
      <c r="B135" s="814">
        <v>8</v>
      </c>
      <c r="C135" s="811">
        <v>412</v>
      </c>
      <c r="D135" s="811">
        <v>439</v>
      </c>
      <c r="E135" s="812">
        <f>D135</f>
        <v>439</v>
      </c>
      <c r="F135" s="818">
        <f t="shared" si="34"/>
        <v>461</v>
      </c>
      <c r="G135" s="819">
        <f t="shared" si="35"/>
        <v>5.0113895216400861E-2</v>
      </c>
      <c r="I135" s="49" t="str">
        <f t="shared" si="36"/>
        <v>total end MP</v>
      </c>
    </row>
    <row r="136" spans="2:9" ht="15.75" thickBot="1" x14ac:dyDescent="0.3">
      <c r="B136" s="814">
        <v>9</v>
      </c>
      <c r="C136" s="813">
        <v>74</v>
      </c>
      <c r="D136" s="811">
        <v>79</v>
      </c>
      <c r="E136" s="812">
        <f>D136</f>
        <v>79</v>
      </c>
      <c r="F136" s="818">
        <f t="shared" si="34"/>
        <v>84</v>
      </c>
      <c r="G136" s="819">
        <f t="shared" si="35"/>
        <v>6.3291139240506222E-2</v>
      </c>
      <c r="I136" s="49" t="str">
        <f t="shared" si="36"/>
        <v>total end MP</v>
      </c>
    </row>
    <row r="137" spans="2:9" ht="15.75" thickBot="1" x14ac:dyDescent="0.3">
      <c r="B137" s="814">
        <v>12</v>
      </c>
      <c r="C137" s="813">
        <v>149196.84361010321</v>
      </c>
      <c r="D137" s="813">
        <v>160178.06196526208</v>
      </c>
      <c r="E137" s="812">
        <f>C137*$C$141/365+$D137*$D$141/365</f>
        <v>301914.55748383258</v>
      </c>
      <c r="F137" s="818">
        <f t="shared" si="34"/>
        <v>182945.19365151244</v>
      </c>
      <c r="G137" s="819">
        <f t="shared" si="35"/>
        <v>-0.39404977628046611</v>
      </c>
      <c r="I137" s="49" t="str">
        <f t="shared" si="36"/>
        <v>/sum of both surveys as it is a cumulative</v>
      </c>
    </row>
    <row r="138" spans="2:9" ht="15.75" thickBot="1" x14ac:dyDescent="0.3">
      <c r="B138" s="815">
        <v>15</v>
      </c>
      <c r="C138" s="816">
        <v>9289.9971781597924</v>
      </c>
      <c r="D138" s="816">
        <v>19236.508023438852</v>
      </c>
      <c r="E138" s="817">
        <f>C138*$C$141/365+$D138*$D$141/365</f>
        <v>27630.558252561765</v>
      </c>
      <c r="F138" s="820">
        <f t="shared" si="34"/>
        <v>20299.195886769339</v>
      </c>
      <c r="G138" s="821">
        <f t="shared" si="35"/>
        <v>-0.26533529647786613</v>
      </c>
      <c r="I138" s="49" t="str">
        <f t="shared" si="36"/>
        <v>/sum of both surveys as it is a cumulative</v>
      </c>
    </row>
    <row r="140" spans="2:9" x14ac:dyDescent="0.25">
      <c r="C140" s="49" t="s">
        <v>36506</v>
      </c>
      <c r="D140" s="49" t="s">
        <v>36507</v>
      </c>
    </row>
    <row r="141" spans="2:9" x14ac:dyDescent="0.25">
      <c r="C141" s="49">
        <v>365</v>
      </c>
      <c r="D141" s="49">
        <f>C52-B50-C141+1</f>
        <v>348</v>
      </c>
    </row>
    <row r="144" spans="2:9" ht="15.75" thickBot="1" x14ac:dyDescent="0.3">
      <c r="D144" s="832" t="s">
        <v>36523</v>
      </c>
      <c r="E144" s="832"/>
      <c r="F144" s="832"/>
      <c r="G144" s="832"/>
    </row>
    <row r="145" spans="2:20" x14ac:dyDescent="0.25">
      <c r="D145" s="835" t="s">
        <v>36518</v>
      </c>
      <c r="E145" s="835"/>
      <c r="F145" s="836" t="s">
        <v>36519</v>
      </c>
      <c r="G145" s="836"/>
      <c r="I145" s="779" t="s">
        <v>32079</v>
      </c>
      <c r="J145" s="844" t="s">
        <v>36524</v>
      </c>
      <c r="K145" s="845"/>
      <c r="L145" s="845"/>
      <c r="M145" s="846"/>
      <c r="N145" s="784" t="s">
        <v>36532</v>
      </c>
      <c r="O145" s="785"/>
      <c r="P145" s="785"/>
      <c r="Q145" s="786"/>
    </row>
    <row r="146" spans="2:20" ht="15.75" thickBot="1" x14ac:dyDescent="0.3">
      <c r="B146" s="288" t="s">
        <v>27021</v>
      </c>
      <c r="C146" s="289"/>
      <c r="D146" s="289">
        <f>D119</f>
        <v>257</v>
      </c>
      <c r="E146" s="49">
        <f>B28-B25</f>
        <v>90</v>
      </c>
      <c r="F146" s="289">
        <f>B37-B28</f>
        <v>275</v>
      </c>
      <c r="G146" s="289">
        <f>D121</f>
        <v>91</v>
      </c>
      <c r="I146" s="458"/>
      <c r="J146" s="458"/>
      <c r="M146" s="77"/>
      <c r="N146" s="458">
        <f>D146</f>
        <v>257</v>
      </c>
      <c r="O146" s="49">
        <v>365</v>
      </c>
      <c r="P146" s="49">
        <f>G146</f>
        <v>91</v>
      </c>
      <c r="Q146" s="77"/>
    </row>
    <row r="147" spans="2:20" ht="45" x14ac:dyDescent="0.25">
      <c r="B147" s="314" t="s">
        <v>27021</v>
      </c>
      <c r="C147" s="314" t="str">
        <f>C56</f>
        <v>Unit</v>
      </c>
      <c r="D147" s="806" t="str">
        <f>J147</f>
        <v>19/04/2022 to 31/12/2022</v>
      </c>
      <c r="E147" s="466" t="s">
        <v>36535</v>
      </c>
      <c r="F147" s="466" t="s">
        <v>36536</v>
      </c>
      <c r="G147" s="466" t="s">
        <v>36537</v>
      </c>
      <c r="H147" s="773" t="s">
        <v>133</v>
      </c>
      <c r="I147" s="787"/>
      <c r="J147" s="802" t="s">
        <v>36534</v>
      </c>
      <c r="K147" s="788">
        <v>2023</v>
      </c>
      <c r="L147" s="804" t="str">
        <f>G147</f>
        <v>01/01/2024 until 31/03/2024</v>
      </c>
      <c r="M147" s="789" t="s">
        <v>36533</v>
      </c>
      <c r="N147" s="805" t="str">
        <f>J147</f>
        <v>19/04/2022 to 31/12/2022</v>
      </c>
      <c r="O147" s="774">
        <v>2023</v>
      </c>
      <c r="P147" s="803" t="str">
        <f>L147</f>
        <v>01/01/2024 until 31/03/2024</v>
      </c>
      <c r="Q147" s="775" t="s">
        <v>36531</v>
      </c>
      <c r="R147" s="775" t="s">
        <v>36540</v>
      </c>
      <c r="T147" s="824"/>
    </row>
    <row r="148" spans="2:20" x14ac:dyDescent="0.25">
      <c r="B148" s="293" t="str">
        <f>B57</f>
        <v>SDG13</v>
      </c>
      <c r="C148" s="293" t="str">
        <f>C57</f>
        <v>VER</v>
      </c>
      <c r="D148" s="174">
        <f>C45</f>
        <v>13533</v>
      </c>
      <c r="E148" s="213"/>
      <c r="F148" s="174">
        <f>D45</f>
        <v>16148</v>
      </c>
      <c r="G148" s="174">
        <f>E45</f>
        <v>3779</v>
      </c>
      <c r="H148" s="748"/>
      <c r="I148" s="780" t="s">
        <v>36525</v>
      </c>
      <c r="J148" s="777">
        <f>C44</f>
        <v>23963</v>
      </c>
      <c r="K148" s="777">
        <f t="shared" ref="K148:L148" si="37">D44</f>
        <v>30546</v>
      </c>
      <c r="L148" s="777">
        <f t="shared" si="37"/>
        <v>7343</v>
      </c>
      <c r="M148" s="781">
        <f>SUM(J148:L148)</f>
        <v>61852</v>
      </c>
      <c r="N148" s="247">
        <f>C45</f>
        <v>13533</v>
      </c>
      <c r="O148" s="247">
        <f t="shared" ref="O148:P148" si="38">D45</f>
        <v>16148</v>
      </c>
      <c r="P148" s="247">
        <f t="shared" si="38"/>
        <v>3779</v>
      </c>
      <c r="Q148" s="781">
        <f>SUM(N148:P148)</f>
        <v>33460</v>
      </c>
      <c r="R148" s="49" t="s">
        <v>36542</v>
      </c>
    </row>
    <row r="149" spans="2:20" x14ac:dyDescent="0.25">
      <c r="B149" s="293" t="str">
        <f t="shared" ref="B149:C149" si="39">B58</f>
        <v>SDG1</v>
      </c>
      <c r="C149" s="293" t="str">
        <f t="shared" si="39"/>
        <v>1000 UGX</v>
      </c>
      <c r="D149" s="392">
        <f>($C$86*SUM(H16:H24)/1000)</f>
        <v>2488697.1450574137</v>
      </c>
      <c r="E149" s="392">
        <f>($C$86*SUM(H25:H27)/1000)</f>
        <v>888893.16811134154</v>
      </c>
      <c r="F149" s="771" cm="1">
        <f t="array" ref="F149">SUM(H28:H36*$D$86/1000)</f>
        <v>1548886.2114947182</v>
      </c>
      <c r="G149" s="771" cm="1">
        <f t="array" ref="G149">SUM(H37:H39*$D$86/1000)</f>
        <v>517324.97694064939</v>
      </c>
      <c r="I149" s="780">
        <v>0</v>
      </c>
      <c r="J149" s="777">
        <f t="shared" ref="J149:J159" si="40">D149</f>
        <v>2488697.1450574137</v>
      </c>
      <c r="K149" s="799">
        <f>F149+E149</f>
        <v>2437779.3796060598</v>
      </c>
      <c r="L149" s="247">
        <f t="shared" ref="L149:L159" si="41">G149</f>
        <v>517324.97694064939</v>
      </c>
      <c r="M149" s="781">
        <f>SUM(J149:L149)</f>
        <v>5443801.501604123</v>
      </c>
      <c r="N149" s="247">
        <f>J149-$I$149</f>
        <v>2488697.1450574137</v>
      </c>
      <c r="O149" s="247">
        <f t="shared" ref="O149:P149" si="42">K149-$I$149</f>
        <v>2437779.3796060598</v>
      </c>
      <c r="P149" s="247">
        <f t="shared" si="42"/>
        <v>517324.97694064939</v>
      </c>
      <c r="Q149" s="781">
        <f>SUM(N149:P149)</f>
        <v>5443801.501604123</v>
      </c>
      <c r="R149" s="748">
        <f t="shared" ref="R149:R155" si="43">(SUMPRODUCT(N149:P149,$N$146:$P$146))/SUM($N$146:$P$146)</f>
        <v>2211025.5438114535</v>
      </c>
      <c r="S149" s="723" t="s">
        <v>36544</v>
      </c>
    </row>
    <row r="150" spans="2:20" x14ac:dyDescent="0.25">
      <c r="B150" s="293"/>
      <c r="C150" s="293" t="str">
        <f t="shared" ref="C150" si="44">C59</f>
        <v>USD</v>
      </c>
      <c r="D150" s="772">
        <f>D149*0.00027*1000</f>
        <v>671948.22916550178</v>
      </c>
      <c r="E150" s="772">
        <f t="shared" ref="E150:G150" si="45">E149*0.00027*1000</f>
        <v>240001.15539006222</v>
      </c>
      <c r="F150" s="772">
        <f t="shared" si="45"/>
        <v>418199.27710357396</v>
      </c>
      <c r="G150" s="772">
        <f t="shared" si="45"/>
        <v>139677.74377397532</v>
      </c>
      <c r="I150" s="780">
        <v>0</v>
      </c>
      <c r="J150" s="778">
        <f t="shared" si="40"/>
        <v>671948.22916550178</v>
      </c>
      <c r="K150" s="772">
        <f>F150+E150</f>
        <v>658200.43249363615</v>
      </c>
      <c r="L150" s="772">
        <f t="shared" si="41"/>
        <v>139677.74377397532</v>
      </c>
      <c r="M150" s="781">
        <f>SUM(J150:L150)</f>
        <v>1469826.4054331132</v>
      </c>
      <c r="N150" s="247">
        <f>J150-$I$150</f>
        <v>671948.22916550178</v>
      </c>
      <c r="O150" s="247">
        <f>K150-$I$150</f>
        <v>658200.43249363615</v>
      </c>
      <c r="P150" s="247">
        <f>L150-$I$150</f>
        <v>139677.74377397532</v>
      </c>
      <c r="Q150" s="781">
        <f>SUM(N150:P150)</f>
        <v>1469826.4054331132</v>
      </c>
      <c r="R150" s="748">
        <f t="shared" si="43"/>
        <v>596976.89682909241</v>
      </c>
      <c r="S150" s="49" t="str">
        <f>S149</f>
        <v>//total is cumulative, the annual impact is the weighted average</v>
      </c>
    </row>
    <row r="151" spans="2:20" x14ac:dyDescent="0.25">
      <c r="B151" s="293" t="str">
        <f t="shared" ref="B151:C151" si="46">B60</f>
        <v>SDG 2</v>
      </c>
      <c r="C151" s="293" t="str">
        <f t="shared" si="46"/>
        <v>number of farmers</v>
      </c>
      <c r="D151" s="248">
        <f>$C$92*$C$11*$E$24</f>
        <v>4636.8665887855832</v>
      </c>
      <c r="E151" s="248">
        <f>$C$92*$C$11*$E$27</f>
        <v>4668.1583265013141</v>
      </c>
      <c r="F151" s="248">
        <f>$D$92*$J$11*$E$36</f>
        <v>3679.1862388033796</v>
      </c>
      <c r="G151" s="248">
        <f>$D$92*$J$11*$E$39</f>
        <v>3693.8160913013326</v>
      </c>
      <c r="H151" s="776" t="s">
        <v>36520</v>
      </c>
      <c r="I151" s="780">
        <v>0</v>
      </c>
      <c r="J151" s="777">
        <f t="shared" si="40"/>
        <v>4636.8665887855832</v>
      </c>
      <c r="K151" s="247">
        <f>(E151*E146+F151*F146)/SUM($E$146:$F$146)</f>
        <v>3923.0423700165693</v>
      </c>
      <c r="L151" s="247">
        <f t="shared" si="41"/>
        <v>3693.8160913013326</v>
      </c>
      <c r="M151" s="782">
        <f>L151</f>
        <v>3693.8160913013326</v>
      </c>
      <c r="N151" s="247">
        <f t="shared" ref="N151:N159" si="47">J151-$I$149</f>
        <v>4636.8665887855832</v>
      </c>
      <c r="O151" s="247">
        <f t="shared" ref="O151:O159" si="48">K151-$I$149</f>
        <v>3923.0423700165693</v>
      </c>
      <c r="P151" s="247">
        <f t="shared" ref="P151:P159" si="49">L151-$I$149</f>
        <v>3693.8160913013326</v>
      </c>
      <c r="Q151" s="782">
        <f>SUMPRODUCT(N151:P151,$N$146:$P$146)/SUM($N$146:$P$146)</f>
        <v>4151.0833698209872</v>
      </c>
      <c r="R151" s="748">
        <f t="shared" si="43"/>
        <v>4151.0833698209872</v>
      </c>
      <c r="S151" s="822" t="s">
        <v>36539</v>
      </c>
    </row>
    <row r="152" spans="2:20" x14ac:dyDescent="0.25">
      <c r="B152" s="293"/>
      <c r="C152" s="293" t="str">
        <f t="shared" ref="C152" si="50">C61</f>
        <v>hec with bio-slurry</v>
      </c>
      <c r="D152" s="245">
        <f>$C$93*$E$24*$C$11</f>
        <v>6120.796001658191</v>
      </c>
      <c r="E152" s="245">
        <f>$C$93*$E$27*$C$11</f>
        <v>6162.101986945454</v>
      </c>
      <c r="F152" s="245">
        <f>$D$93*$E$36*$C$11</f>
        <v>10799.314825092784</v>
      </c>
      <c r="G152" s="245">
        <f>$D$93*$E$39*$J$11</f>
        <v>8734.7535078651599</v>
      </c>
      <c r="H152" s="776" t="str">
        <f>H151</f>
        <v>ok</v>
      </c>
      <c r="I152" s="780">
        <v>0</v>
      </c>
      <c r="J152" s="777">
        <f t="shared" si="40"/>
        <v>6120.796001658191</v>
      </c>
      <c r="K152" s="247">
        <f t="shared" ref="K152" si="51">F152</f>
        <v>10799.314825092784</v>
      </c>
      <c r="L152" s="247">
        <f t="shared" si="41"/>
        <v>8734.7535078651599</v>
      </c>
      <c r="M152" s="782">
        <f t="shared" ref="M152:M159" si="52">L152</f>
        <v>8734.7535078651599</v>
      </c>
      <c r="N152" s="247">
        <f t="shared" si="47"/>
        <v>6120.796001658191</v>
      </c>
      <c r="O152" s="247">
        <f t="shared" si="48"/>
        <v>10799.314825092784</v>
      </c>
      <c r="P152" s="247">
        <f t="shared" si="49"/>
        <v>8734.7535078651599</v>
      </c>
      <c r="Q152" s="782">
        <f>SUMPRODUCT(N152:P152,$N$146:$P$146)/SUM($N$146:$P$146)</f>
        <v>8849.4488819084872</v>
      </c>
      <c r="R152" s="748">
        <f t="shared" si="43"/>
        <v>8849.4488819084872</v>
      </c>
      <c r="S152" s="822" t="str">
        <f>S151</f>
        <v>/ total is weighted average over all vintages</v>
      </c>
    </row>
    <row r="153" spans="2:20" x14ac:dyDescent="0.25">
      <c r="B153" s="293" t="str">
        <f t="shared" ref="B153:C153" si="53">B62</f>
        <v>SDG3</v>
      </c>
      <c r="C153" s="293" t="str">
        <f t="shared" si="53"/>
        <v>Number of households</v>
      </c>
      <c r="D153" s="767">
        <f>COUNTIF('SMS p1'!$GG:$GG,"YES")/COUNTA('SMS p1'!$GG$1:$GG$202)*$E$24*$C$11</f>
        <v>4223.7723681630432</v>
      </c>
      <c r="E153" s="767">
        <f>COUNTIF('SMS p1'!$GG:$GG,"YES")/COUNTA('SMS p1'!$GG$1:$GG$202)*$E$27*$C$11</f>
        <v>4252.276353469666</v>
      </c>
      <c r="F153" s="724">
        <f>COUNTIF('SMS p2'!$FS:$FS,"yes")/COUNTA('SMS p1'!$FV$13:$FV$275)*$E$36*$J$11</f>
        <v>3611.7390981371113</v>
      </c>
      <c r="G153" s="724">
        <f>COUNTIF('SMS p2'!$FS:$FS,"yes")/COUNTA('SMS p1'!$FV$13:$FV$275)*$E$39*$J$11</f>
        <v>3626.1007549919768</v>
      </c>
      <c r="H153" s="49" t="str">
        <f>H152</f>
        <v>ok</v>
      </c>
      <c r="I153" s="780">
        <v>0</v>
      </c>
      <c r="J153" s="777">
        <f t="shared" si="40"/>
        <v>4223.7723681630432</v>
      </c>
      <c r="K153" s="247">
        <f>(E153*$E$146+F153*$F$146)/SUM($E$146:$F$146)</f>
        <v>3769.6797912328097</v>
      </c>
      <c r="L153" s="247">
        <f t="shared" si="41"/>
        <v>3626.1007549919768</v>
      </c>
      <c r="M153" s="247">
        <f>($F$153*$D$146+$G$153*$E$146+D153*$F$146+E153*$G$146)/SUM($D$146:$G$146)</f>
        <v>3931.3612420492177</v>
      </c>
      <c r="N153" s="247">
        <f t="shared" si="47"/>
        <v>4223.7723681630432</v>
      </c>
      <c r="O153" s="247">
        <f t="shared" si="48"/>
        <v>3769.6797912328097</v>
      </c>
      <c r="P153" s="247">
        <f t="shared" si="49"/>
        <v>3626.1007549919768</v>
      </c>
      <c r="Q153" s="782">
        <f>SUMPRODUCT(N153:P153,$N$146:$P$146)/SUM($N$146:$P$146)</f>
        <v>3915.0319651082009</v>
      </c>
      <c r="R153" s="748">
        <f t="shared" si="43"/>
        <v>3915.0319651082009</v>
      </c>
      <c r="S153" s="822" t="str">
        <f>S152</f>
        <v>/ total is weighted average over all vintages</v>
      </c>
    </row>
    <row r="154" spans="2:20" x14ac:dyDescent="0.25">
      <c r="B154" s="293" t="str">
        <f t="shared" ref="B154:C154" si="54">B63</f>
        <v>SDG4</v>
      </c>
      <c r="C154" s="293" t="str">
        <f t="shared" si="54"/>
        <v>Cumulative number of masons trained</v>
      </c>
      <c r="D154" s="213">
        <v>0</v>
      </c>
      <c r="E154" s="826">
        <v>34</v>
      </c>
      <c r="F154" s="827"/>
      <c r="G154" s="213">
        <v>45</v>
      </c>
      <c r="H154" s="49" t="str">
        <f t="shared" ref="H154:H157" si="55">H153</f>
        <v>ok</v>
      </c>
      <c r="I154" s="780">
        <v>0</v>
      </c>
      <c r="J154" s="777">
        <f>D154</f>
        <v>0</v>
      </c>
      <c r="K154" s="247">
        <f>E154</f>
        <v>34</v>
      </c>
      <c r="L154" s="247">
        <f t="shared" si="41"/>
        <v>45</v>
      </c>
      <c r="M154" s="782">
        <f t="shared" si="52"/>
        <v>45</v>
      </c>
      <c r="N154" s="247">
        <f t="shared" si="47"/>
        <v>0</v>
      </c>
      <c r="O154" s="247">
        <f t="shared" si="48"/>
        <v>34</v>
      </c>
      <c r="P154" s="247">
        <f t="shared" si="49"/>
        <v>45</v>
      </c>
      <c r="Q154" s="247">
        <f>L154</f>
        <v>45</v>
      </c>
      <c r="R154" s="748">
        <f t="shared" si="43"/>
        <v>23.14866760168303</v>
      </c>
      <c r="S154" s="723" t="str">
        <f>S149</f>
        <v>//total is cumulative, the annual impact is the weighted average</v>
      </c>
    </row>
    <row r="155" spans="2:20" x14ac:dyDescent="0.25">
      <c r="B155" s="293" t="str">
        <f t="shared" ref="B155:C155" si="56">B64</f>
        <v>SDG5</v>
      </c>
      <c r="C155" s="293" t="str">
        <f t="shared" si="56"/>
        <v>time savings (hours)</v>
      </c>
      <c r="D155" s="245" cm="1">
        <f t="array" ref="D155">SUM(H16:H24*AVERAGE('SMS p1'!$GL:$GL))</f>
        <v>902729.60055463831</v>
      </c>
      <c r="E155" s="768" cm="1">
        <f t="array" ref="E155">SUM(H25:H27*AVERAGE('SMS p1'!$GL:$GL))</f>
        <v>322429.82083156868</v>
      </c>
      <c r="F155" s="245">
        <f>AVERAGE('SMS p2'!$FX:$FX)*SUM(H28:H36)</f>
        <v>920547.61604171677</v>
      </c>
      <c r="G155" s="245">
        <f>AVERAGE('SMS p2'!$FX:$FX)*SUM(H37:H39)</f>
        <v>307461.11025288503</v>
      </c>
      <c r="H155" s="49" t="str">
        <f t="shared" si="55"/>
        <v>ok</v>
      </c>
      <c r="I155" s="780">
        <v>0</v>
      </c>
      <c r="J155" s="777">
        <f t="shared" si="40"/>
        <v>902729.60055463831</v>
      </c>
      <c r="K155" s="247">
        <f>E155+F155</f>
        <v>1242977.4368732856</v>
      </c>
      <c r="L155" s="247">
        <f t="shared" si="41"/>
        <v>307461.11025288503</v>
      </c>
      <c r="M155" s="782">
        <f t="shared" si="52"/>
        <v>307461.11025288503</v>
      </c>
      <c r="N155" s="247">
        <f t="shared" si="47"/>
        <v>902729.60055463831</v>
      </c>
      <c r="O155" s="247">
        <f t="shared" si="48"/>
        <v>1242977.4368732856</v>
      </c>
      <c r="P155" s="247">
        <f t="shared" si="49"/>
        <v>307461.11025288503</v>
      </c>
      <c r="Q155" s="247">
        <f>SUM(J155:L155)</f>
        <v>2453168.1476808088</v>
      </c>
      <c r="R155" s="748">
        <f t="shared" si="43"/>
        <v>1000935.8104267934</v>
      </c>
      <c r="S155" s="49" t="str">
        <f>S154</f>
        <v>//total is cumulative, the annual impact is the weighted average</v>
      </c>
    </row>
    <row r="156" spans="2:20" x14ac:dyDescent="0.25">
      <c r="B156" s="293" t="str">
        <f t="shared" ref="B156:C156" si="57">B65</f>
        <v>SDG7</v>
      </c>
      <c r="C156" s="293" t="str">
        <f t="shared" si="57"/>
        <v>number of individuals</v>
      </c>
      <c r="D156" s="245">
        <f>$E$115*$C$11*$E$24</f>
        <v>35127.77718776957</v>
      </c>
      <c r="E156" s="245">
        <f>$E$115*$C$11*$E$27</f>
        <v>35364.835806828138</v>
      </c>
      <c r="F156" s="245">
        <f>$H$115*$E$36*$J$11</f>
        <v>33217.184408477726</v>
      </c>
      <c r="G156" s="245">
        <f>$H$115*$E$39*$J$11</f>
        <v>33349.268645793039</v>
      </c>
      <c r="H156" s="49" t="str">
        <f t="shared" si="55"/>
        <v>ok</v>
      </c>
      <c r="I156" s="780">
        <v>0</v>
      </c>
      <c r="J156" s="777">
        <f t="shared" si="40"/>
        <v>35127.77718776957</v>
      </c>
      <c r="K156" s="247">
        <f>(E156*$E$146+F156*$F$146)/SUM($E$146:$F$146)</f>
        <v>33746.742287523033</v>
      </c>
      <c r="L156" s="247">
        <f t="shared" si="41"/>
        <v>33349.268645793039</v>
      </c>
      <c r="M156" s="247">
        <f>($D$156*$D$146+$E$156*$E$146+$F$156*$F$146+$G$156*$G$146)/SUM($D$146:$G$146)</f>
        <v>34193.805215946501</v>
      </c>
      <c r="N156" s="247">
        <f t="shared" si="47"/>
        <v>35127.77718776957</v>
      </c>
      <c r="O156" s="247">
        <f t="shared" si="48"/>
        <v>33746.742287523033</v>
      </c>
      <c r="P156" s="247">
        <f t="shared" si="49"/>
        <v>33349.268645793039</v>
      </c>
      <c r="Q156" s="782">
        <f>SUMPRODUCT(N156:P156,$N$146:$P$146)/SUM($N$146:$P$146)</f>
        <v>34193.805215946501</v>
      </c>
      <c r="R156" s="748">
        <f>Q156</f>
        <v>34193.805215946501</v>
      </c>
      <c r="S156" s="823" t="str">
        <f>S153</f>
        <v>/ total is weighted average over all vintages</v>
      </c>
    </row>
    <row r="157" spans="2:20" x14ac:dyDescent="0.25">
      <c r="B157" s="293"/>
      <c r="C157" s="293" t="str">
        <f t="shared" ref="C157" si="58">C66</f>
        <v>Number of households</v>
      </c>
      <c r="D157" s="245">
        <f>$C$11*$E$24</f>
        <v>5152.0739875395366</v>
      </c>
      <c r="E157" s="245">
        <f>$C$11*$E$27</f>
        <v>5186.8425850014601</v>
      </c>
      <c r="F157" s="245">
        <f>$E$36*$J$11</f>
        <v>4226.5031999476842</v>
      </c>
      <c r="G157" s="245">
        <f>$E$39*$J$11</f>
        <v>4243.3093941395473</v>
      </c>
      <c r="H157" s="49" t="str">
        <f t="shared" si="55"/>
        <v>ok</v>
      </c>
      <c r="I157" s="780">
        <v>0</v>
      </c>
      <c r="J157" s="777">
        <f t="shared" si="40"/>
        <v>5152.0739875395366</v>
      </c>
      <c r="K157" s="247">
        <f>(E157*$E$146+F157*$F$146)/SUM($E$146:$F$146)</f>
        <v>4463.2992127006692</v>
      </c>
      <c r="L157" s="247">
        <f t="shared" si="41"/>
        <v>4243.3093941395473</v>
      </c>
      <c r="M157" s="247">
        <f>($D$157*$D$146+$E$157*$E$146+F157*$F$146+$G$157*$G$146)/SUM($D$146:$G$146)</f>
        <v>4683.4900172511989</v>
      </c>
      <c r="N157" s="247">
        <f t="shared" si="47"/>
        <v>5152.0739875395366</v>
      </c>
      <c r="O157" s="247">
        <f t="shared" si="48"/>
        <v>4463.2992127006692</v>
      </c>
      <c r="P157" s="247">
        <f t="shared" si="49"/>
        <v>4243.3093941395473</v>
      </c>
      <c r="Q157" s="782">
        <f>SUMPRODUCT(N157:P157,$N$146:$P$146)/SUM($N$146:$P$146)</f>
        <v>4683.4900172511971</v>
      </c>
      <c r="R157" s="748">
        <f>Q157</f>
        <v>4683.4900172511971</v>
      </c>
      <c r="S157" s="823" t="str">
        <f>S156</f>
        <v>/ total is weighted average over all vintages</v>
      </c>
    </row>
    <row r="158" spans="2:20" x14ac:dyDescent="0.25">
      <c r="B158" s="293" t="str">
        <f t="shared" ref="B158:C158" si="59">B67</f>
        <v>SDG8</v>
      </c>
      <c r="C158" s="293" t="str">
        <f t="shared" si="59"/>
        <v>Cumulataive number of masons provided biodigester jobs</v>
      </c>
      <c r="D158" s="213">
        <f>'MPI DB final'!S9366</f>
        <v>414</v>
      </c>
      <c r="E158" s="213">
        <f>'MPI DB final'!T9366</f>
        <v>421</v>
      </c>
      <c r="F158" s="213"/>
      <c r="G158" s="213">
        <f>'MPI DB final'!U9366</f>
        <v>461</v>
      </c>
      <c r="I158" s="780">
        <v>0</v>
      </c>
      <c r="J158" s="777">
        <f t="shared" si="40"/>
        <v>414</v>
      </c>
      <c r="K158" s="247">
        <f>E158</f>
        <v>421</v>
      </c>
      <c r="L158" s="247">
        <f t="shared" si="41"/>
        <v>461</v>
      </c>
      <c r="M158" s="782">
        <f t="shared" si="52"/>
        <v>461</v>
      </c>
      <c r="N158" s="247">
        <f t="shared" si="47"/>
        <v>414</v>
      </c>
      <c r="O158" s="247">
        <f t="shared" si="48"/>
        <v>421</v>
      </c>
      <c r="P158" s="247">
        <f t="shared" si="49"/>
        <v>461</v>
      </c>
      <c r="Q158" s="247">
        <f>L158</f>
        <v>461</v>
      </c>
      <c r="R158" s="748">
        <f>(SUMPRODUCT(N158:P158,$N$146:$P$146))/SUM($N$146:$P$146)</f>
        <v>423.58204768583448</v>
      </c>
      <c r="S158" s="49" t="str">
        <f>S154</f>
        <v>//total is cumulative, the annual impact is the weighted average</v>
      </c>
    </row>
    <row r="159" spans="2:20" x14ac:dyDescent="0.25">
      <c r="B159" s="293" t="str">
        <f t="shared" ref="B159:C159" si="60">B68</f>
        <v>SDG9</v>
      </c>
      <c r="C159" s="293" t="str">
        <f t="shared" si="60"/>
        <v>number of BCE</v>
      </c>
      <c r="D159" s="213">
        <f>'MPI DB final'!S9365</f>
        <v>75</v>
      </c>
      <c r="E159" s="826">
        <f>'MPI DB final'!T9365</f>
        <v>74</v>
      </c>
      <c r="F159" s="827"/>
      <c r="G159" s="213">
        <f>'MPI DB final'!U9365</f>
        <v>84</v>
      </c>
      <c r="I159" s="213">
        <v>0</v>
      </c>
      <c r="J159" s="247">
        <f t="shared" si="40"/>
        <v>75</v>
      </c>
      <c r="K159" s="247">
        <f>E159</f>
        <v>74</v>
      </c>
      <c r="L159" s="247">
        <f t="shared" si="41"/>
        <v>84</v>
      </c>
      <c r="M159" s="782">
        <f t="shared" si="52"/>
        <v>84</v>
      </c>
      <c r="N159" s="247">
        <f t="shared" si="47"/>
        <v>75</v>
      </c>
      <c r="O159" s="247">
        <f t="shared" si="48"/>
        <v>74</v>
      </c>
      <c r="P159" s="247">
        <f t="shared" si="49"/>
        <v>84</v>
      </c>
      <c r="Q159" s="247">
        <f>P159</f>
        <v>84</v>
      </c>
      <c r="R159" s="748">
        <f>(SUMPRODUCT(N159:P159,$N$146:$P$146))/SUM($N$146:$P$146)</f>
        <v>75.636746143057508</v>
      </c>
      <c r="S159" s="49" t="str">
        <f>S155</f>
        <v>//total is cumulative, the annual impact is the weighted average</v>
      </c>
    </row>
    <row r="160" spans="2:20" x14ac:dyDescent="0.25">
      <c r="B160" s="293" t="str">
        <f t="shared" ref="B160:C160" si="61">B69</f>
        <v>SDG12</v>
      </c>
      <c r="C160" s="293" t="str">
        <f t="shared" si="61"/>
        <v>ton bioslurry</v>
      </c>
      <c r="D160" s="245">
        <f>AVERAGE('SMS p1'!$BX$1:$BX$202)*SUM($H$16:$H$24)/1000</f>
        <v>51999.324931228424</v>
      </c>
      <c r="E160" s="245">
        <f>AVERAGE('SMS p1'!$BX$1:$BX$202)*SUM($H$25:$H$27)/1000</f>
        <v>18572.707719606591</v>
      </c>
      <c r="F160" s="245">
        <f>AVERAGE(Table15[Calculation: Total Kg manure feeding/Day])*SUM($H$28:$H$36)/1000</f>
        <v>84237.87490369103</v>
      </c>
      <c r="G160" s="245">
        <f>AVERAGE(Table15[Calculation: Total Kg manure feeding/Day])*SUM($H$37:$H$39)/1000</f>
        <v>28135.286096986394</v>
      </c>
      <c r="I160" s="213">
        <v>0</v>
      </c>
      <c r="J160" s="245">
        <f>D160</f>
        <v>51999.324931228424</v>
      </c>
      <c r="K160" s="245">
        <f>E160+F160</f>
        <v>102810.58262329763</v>
      </c>
      <c r="L160" s="247">
        <f>G160</f>
        <v>28135.286096986394</v>
      </c>
      <c r="M160" s="782">
        <f>SUM(J160:L160)</f>
        <v>182945.19365151244</v>
      </c>
      <c r="N160" s="247">
        <f>J160-0</f>
        <v>51999.324931228424</v>
      </c>
      <c r="O160" s="247">
        <f t="shared" ref="O160:P160" si="62">K160-0</f>
        <v>102810.58262329763</v>
      </c>
      <c r="P160" s="247">
        <f t="shared" si="62"/>
        <v>28135.286096986394</v>
      </c>
      <c r="Q160" s="247">
        <f>SUM(N160:P160)</f>
        <v>182945.19365151244</v>
      </c>
      <c r="R160" s="748">
        <f>(SUMPRODUCT(N160:P160,$N$146:$P$146))/SUM($N$146:$P$146)</f>
        <v>74964.937166416697</v>
      </c>
      <c r="S160" s="723" t="s">
        <v>36544</v>
      </c>
    </row>
    <row r="161" spans="2:19" ht="15.75" thickBot="1" x14ac:dyDescent="0.3">
      <c r="B161" s="294" t="str">
        <f t="shared" ref="B161:C161" si="63">B70</f>
        <v>SDG15</v>
      </c>
      <c r="C161" s="294" t="str">
        <f t="shared" si="63"/>
        <v>ton NRB saved</v>
      </c>
      <c r="D161" s="783">
        <f>SUM(S16:S24)</f>
        <v>8169.7412563814578</v>
      </c>
      <c r="E161" s="783">
        <f>SUM(S25:S27)</f>
        <v>2918.0035837053665</v>
      </c>
      <c r="F161" s="783">
        <f>SUM(S28:S36)</f>
        <v>6905.1458020944847</v>
      </c>
      <c r="G161" s="783">
        <f>SUM(S37:S39)</f>
        <v>2306.3052445880285</v>
      </c>
      <c r="H161" s="319"/>
      <c r="I161" s="780" t="s">
        <v>36530</v>
      </c>
      <c r="J161" s="777">
        <f>C166</f>
        <v>9421.5619637581094</v>
      </c>
      <c r="K161" s="777">
        <f>D166</f>
        <v>12048.240885351392</v>
      </c>
      <c r="L161" s="777">
        <f>E166</f>
        <v>2900.1457904224771</v>
      </c>
      <c r="M161" s="782">
        <f>F166</f>
        <v>24369.94863953198</v>
      </c>
      <c r="N161" s="247">
        <f>C167</f>
        <v>8169.7412563814596</v>
      </c>
      <c r="O161" s="247">
        <f>D167</f>
        <v>9823.1493857998466</v>
      </c>
      <c r="P161" s="247">
        <f>E167</f>
        <v>2306.3052445880294</v>
      </c>
      <c r="Q161" s="247">
        <f>F167</f>
        <v>20299.195886769339</v>
      </c>
      <c r="R161" s="49" t="s">
        <v>36543</v>
      </c>
      <c r="S161" s="723" t="s">
        <v>36544</v>
      </c>
    </row>
    <row r="163" spans="2:19" ht="15.75" thickBot="1" x14ac:dyDescent="0.3">
      <c r="R163" s="748"/>
    </row>
    <row r="164" spans="2:19" ht="30" x14ac:dyDescent="0.25">
      <c r="B164" s="314" t="s">
        <v>36522</v>
      </c>
      <c r="C164" s="315" t="str">
        <f>D147</f>
        <v>19/04/2022 to 31/12/2022</v>
      </c>
      <c r="D164" s="316">
        <v>2023</v>
      </c>
      <c r="E164" s="466" t="s">
        <v>36330</v>
      </c>
      <c r="F164" s="466" t="s">
        <v>27020</v>
      </c>
      <c r="G164" s="466" t="s">
        <v>36545</v>
      </c>
    </row>
    <row r="165" spans="2:19" ht="30" x14ac:dyDescent="0.25">
      <c r="B165" s="893" t="s">
        <v>36546</v>
      </c>
      <c r="C165" s="800">
        <f>SUM(Q16:Q24)</f>
        <v>17591.303220139569</v>
      </c>
      <c r="D165" s="174">
        <f>SUM(Q25:Q36)</f>
        <v>21871.390271151238</v>
      </c>
      <c r="E165" s="174">
        <f>SUM(Q37:Q39)</f>
        <v>5206.4510350105065</v>
      </c>
      <c r="F165" s="174">
        <f>SUM(C165:E165)</f>
        <v>44669.144526301308</v>
      </c>
      <c r="G165" s="174">
        <f>SUMPRODUCT(C165:E165,$N$146:$P$146)/SUM($N$146:$P$146)</f>
        <v>18201.69624226091</v>
      </c>
    </row>
    <row r="166" spans="2:19" ht="45" x14ac:dyDescent="0.25">
      <c r="B166" s="893" t="s">
        <v>36547</v>
      </c>
      <c r="C166" s="800">
        <f>SUM(R16:R24)</f>
        <v>9421.5619637581094</v>
      </c>
      <c r="D166" s="174">
        <f>SUM(R25:R36)</f>
        <v>12048.240885351392</v>
      </c>
      <c r="E166" s="174">
        <f>SUM(R37:R39)</f>
        <v>2900.1457904224771</v>
      </c>
      <c r="F166" s="174">
        <f>SUM(C166:E166)</f>
        <v>24369.94863953198</v>
      </c>
      <c r="G166" s="174">
        <f t="shared" ref="G166:G167" si="64">SUMPRODUCT(C166:E166,$N$146:$P$146)/SUM($N$146:$P$146)</f>
        <v>9933.8886602630264</v>
      </c>
    </row>
    <row r="167" spans="2:19" ht="30.75" thickBot="1" x14ac:dyDescent="0.3">
      <c r="B167" s="894" t="s">
        <v>36548</v>
      </c>
      <c r="C167" s="801">
        <f>C165-C166</f>
        <v>8169.7412563814596</v>
      </c>
      <c r="D167" s="709">
        <f>D165-D166</f>
        <v>9823.1493857998466</v>
      </c>
      <c r="E167" s="709">
        <f>E165-E166</f>
        <v>2306.3052445880294</v>
      </c>
      <c r="F167" s="709">
        <f>SUM(C167:E167)</f>
        <v>20299.195886769339</v>
      </c>
      <c r="G167" s="709">
        <f t="shared" si="64"/>
        <v>8267.8075819978822</v>
      </c>
    </row>
    <row r="168" spans="2:19" x14ac:dyDescent="0.25">
      <c r="C168" s="245"/>
      <c r="D168" s="245"/>
      <c r="E168" s="748"/>
    </row>
  </sheetData>
  <mergeCells count="24">
    <mergeCell ref="J145:M145"/>
    <mergeCell ref="Q14:S14"/>
    <mergeCell ref="D102:F102"/>
    <mergeCell ref="G102:I102"/>
    <mergeCell ref="D54:F54"/>
    <mergeCell ref="C72:D72"/>
    <mergeCell ref="E72:F72"/>
    <mergeCell ref="I3:M3"/>
    <mergeCell ref="B53:D53"/>
    <mergeCell ref="B48:C48"/>
    <mergeCell ref="B3:F3"/>
    <mergeCell ref="B58:B59"/>
    <mergeCell ref="B65:B66"/>
    <mergeCell ref="B67:B68"/>
    <mergeCell ref="B60:B61"/>
    <mergeCell ref="D145:E145"/>
    <mergeCell ref="F145:G145"/>
    <mergeCell ref="E154:F154"/>
    <mergeCell ref="E159:F159"/>
    <mergeCell ref="B117:C117"/>
    <mergeCell ref="B126:B127"/>
    <mergeCell ref="B128:B129"/>
    <mergeCell ref="B133:B134"/>
    <mergeCell ref="D144:G144"/>
  </mergeCells>
  <conditionalFormatting sqref="G125:G138">
    <cfRule type="cellIs" dxfId="0" priority="1" operator="lessThan">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4BAA-4FB8-4F4B-A4EA-D834B1165454}">
  <dimension ref="B1:I28"/>
  <sheetViews>
    <sheetView workbookViewId="0">
      <selection activeCell="C6" sqref="C6"/>
    </sheetView>
  </sheetViews>
  <sheetFormatPr defaultRowHeight="15" x14ac:dyDescent="0.25"/>
  <cols>
    <col min="2" max="2" width="42.140625" customWidth="1"/>
    <col min="3" max="3" width="17.7109375" customWidth="1"/>
    <col min="4" max="4" width="14.28515625" customWidth="1"/>
    <col min="5" max="5" width="13.28515625" customWidth="1"/>
    <col min="6" max="6" width="17.7109375" customWidth="1"/>
    <col min="7" max="7" width="12.28515625" customWidth="1"/>
  </cols>
  <sheetData>
    <row r="1" spans="2:9" x14ac:dyDescent="0.25">
      <c r="B1" s="49" t="s">
        <v>178</v>
      </c>
      <c r="C1" s="83">
        <f>AVERAGE('MPI DB final'!Q:Q)</f>
        <v>7.6452095808383236</v>
      </c>
      <c r="D1" s="49" t="s">
        <v>179</v>
      </c>
      <c r="E1" s="49" t="s">
        <v>32023</v>
      </c>
      <c r="F1" s="49"/>
      <c r="G1" s="49"/>
      <c r="H1" s="49"/>
      <c r="I1" s="49"/>
    </row>
    <row r="2" spans="2:9" ht="33" customHeight="1" x14ac:dyDescent="0.25">
      <c r="B2" s="51" t="s">
        <v>180</v>
      </c>
      <c r="C2" s="84">
        <f>units!C11</f>
        <v>8332</v>
      </c>
      <c r="D2" s="49" t="s">
        <v>104</v>
      </c>
      <c r="E2" s="49"/>
      <c r="F2" s="49"/>
      <c r="G2" s="49"/>
      <c r="H2" s="49"/>
      <c r="I2" s="49"/>
    </row>
    <row r="3" spans="2:9" x14ac:dyDescent="0.25">
      <c r="B3" s="49" t="s">
        <v>181</v>
      </c>
      <c r="C3" s="50">
        <f>C23</f>
        <v>44.771023255813958</v>
      </c>
      <c r="D3" s="49" t="s">
        <v>182</v>
      </c>
      <c r="E3" s="49"/>
      <c r="F3" s="49"/>
      <c r="G3" s="49"/>
      <c r="H3" s="49"/>
      <c r="I3" s="49"/>
    </row>
    <row r="4" spans="2:9" x14ac:dyDescent="0.25">
      <c r="B4" s="49"/>
      <c r="C4" s="49"/>
      <c r="D4" s="49"/>
      <c r="E4" s="49"/>
      <c r="F4" s="49"/>
      <c r="G4" s="49"/>
      <c r="H4" s="49"/>
      <c r="I4" s="49"/>
    </row>
    <row r="5" spans="2:9" x14ac:dyDescent="0.25">
      <c r="B5" s="49" t="s">
        <v>183</v>
      </c>
      <c r="C5" s="50">
        <f>(C3*(C1/100))</f>
        <v>3.4228385593928428</v>
      </c>
      <c r="D5" s="49" t="s">
        <v>182</v>
      </c>
      <c r="E5" s="49"/>
      <c r="F5" s="49"/>
      <c r="G5" s="49"/>
      <c r="H5" s="49"/>
      <c r="I5" s="49"/>
    </row>
    <row r="6" spans="2:9" x14ac:dyDescent="0.25">
      <c r="B6" s="49" t="s">
        <v>184</v>
      </c>
      <c r="C6" s="52">
        <f>C2*C5</f>
        <v>28519.090876861166</v>
      </c>
      <c r="D6" s="49" t="s">
        <v>182</v>
      </c>
      <c r="E6" s="53" t="s">
        <v>185</v>
      </c>
      <c r="F6" s="54">
        <v>45000</v>
      </c>
      <c r="G6" s="49" t="s">
        <v>182</v>
      </c>
      <c r="H6" s="49"/>
      <c r="I6" s="49"/>
    </row>
    <row r="7" spans="2:9" x14ac:dyDescent="0.25">
      <c r="B7" s="49" t="s">
        <v>186</v>
      </c>
      <c r="C7" s="55">
        <f>C3</f>
        <v>44.771023255813958</v>
      </c>
      <c r="D7" s="49" t="s">
        <v>182</v>
      </c>
      <c r="E7" s="53" t="s">
        <v>185</v>
      </c>
      <c r="F7" s="56">
        <f>F6*1%</f>
        <v>450</v>
      </c>
      <c r="G7" s="49" t="s">
        <v>182</v>
      </c>
      <c r="H7" s="49"/>
      <c r="I7" s="49"/>
    </row>
    <row r="8" spans="2:9" x14ac:dyDescent="0.25">
      <c r="B8" s="49" t="s">
        <v>187</v>
      </c>
      <c r="C8" s="156">
        <f>('SDG outcome'!I40-'SDG outcome'!L40)/('SDG outcome'!C9+'SDG outcome'!J9)*365</f>
        <v>1535.3448838059462</v>
      </c>
      <c r="D8" s="49" t="s">
        <v>188</v>
      </c>
      <c r="E8" s="57"/>
      <c r="F8" s="49"/>
      <c r="G8" s="49"/>
      <c r="H8" s="49"/>
      <c r="I8" s="49"/>
    </row>
    <row r="9" spans="2:9" ht="15.75" thickBot="1" x14ac:dyDescent="0.3">
      <c r="B9" s="49"/>
      <c r="C9" s="52"/>
      <c r="D9" s="49"/>
      <c r="E9" s="57"/>
      <c r="F9" s="49"/>
      <c r="G9" s="49"/>
      <c r="H9" s="49"/>
      <c r="I9" s="49"/>
    </row>
    <row r="10" spans="2:9" ht="15.75" thickBot="1" x14ac:dyDescent="0.3">
      <c r="B10" s="49" t="s">
        <v>189</v>
      </c>
      <c r="C10" s="58">
        <f>(F6-C6)/C5</f>
        <v>4814.9828971373645</v>
      </c>
      <c r="D10" s="49"/>
      <c r="E10" s="57"/>
      <c r="F10" s="49"/>
      <c r="G10" s="49"/>
      <c r="H10" s="49"/>
      <c r="I10" s="49"/>
    </row>
    <row r="11" spans="2:9" x14ac:dyDescent="0.25">
      <c r="B11" s="49" t="s">
        <v>32084</v>
      </c>
      <c r="C11" s="394">
        <f>C10+C2</f>
        <v>13146.982897137364</v>
      </c>
      <c r="D11" s="49"/>
      <c r="E11" s="49"/>
      <c r="F11" s="49"/>
      <c r="G11" s="49"/>
      <c r="H11" s="49"/>
      <c r="I11" s="49"/>
    </row>
    <row r="12" spans="2:9" x14ac:dyDescent="0.25">
      <c r="B12" s="49" t="s">
        <v>190</v>
      </c>
      <c r="C12" s="49"/>
      <c r="D12" s="49"/>
      <c r="E12" s="49"/>
      <c r="F12" s="49"/>
      <c r="G12" s="49"/>
      <c r="H12" s="49"/>
      <c r="I12" s="49"/>
    </row>
    <row r="13" spans="2:9" ht="15.75" thickBot="1" x14ac:dyDescent="0.3">
      <c r="B13" s="49"/>
      <c r="C13" s="49"/>
      <c r="D13" s="49"/>
      <c r="E13" s="49"/>
      <c r="F13" s="49"/>
      <c r="G13" s="49"/>
      <c r="H13" s="49"/>
      <c r="I13" s="49"/>
    </row>
    <row r="14" spans="2:9" x14ac:dyDescent="0.25">
      <c r="B14" s="890"/>
      <c r="C14" s="891"/>
      <c r="D14" s="892"/>
      <c r="E14" s="49"/>
      <c r="F14" s="49"/>
      <c r="G14" s="49"/>
      <c r="H14" s="49"/>
      <c r="I14" s="49"/>
    </row>
    <row r="15" spans="2:9" ht="15.75" thickBot="1" x14ac:dyDescent="0.3">
      <c r="B15" s="59"/>
      <c r="C15" s="60"/>
      <c r="D15" s="61"/>
      <c r="E15" s="49"/>
      <c r="F15" s="49"/>
      <c r="G15" s="49"/>
      <c r="H15" s="49"/>
      <c r="I15" s="49"/>
    </row>
    <row r="16" spans="2:9" ht="15.75" thickBot="1" x14ac:dyDescent="0.3">
      <c r="B16" s="62" t="s">
        <v>191</v>
      </c>
      <c r="C16" s="63" t="s">
        <v>192</v>
      </c>
      <c r="D16" s="63" t="s">
        <v>193</v>
      </c>
      <c r="E16" s="49"/>
      <c r="F16" s="49"/>
      <c r="G16" s="49"/>
      <c r="H16" s="49"/>
      <c r="I16" s="49"/>
    </row>
    <row r="17" spans="2:9" ht="15.75" thickBot="1" x14ac:dyDescent="0.3">
      <c r="B17" s="64" t="s">
        <v>194</v>
      </c>
      <c r="C17" s="63">
        <v>2.15</v>
      </c>
      <c r="D17" s="63"/>
      <c r="E17" s="49"/>
      <c r="F17" s="49"/>
      <c r="G17" s="49"/>
      <c r="H17" s="49"/>
      <c r="I17" s="49"/>
    </row>
    <row r="18" spans="2:9" ht="15.75" thickBot="1" x14ac:dyDescent="0.3">
      <c r="B18" s="64" t="s">
        <v>195</v>
      </c>
      <c r="C18" s="63">
        <v>0.55000000000000004</v>
      </c>
      <c r="D18" s="63"/>
      <c r="E18" s="49"/>
      <c r="F18" s="49"/>
      <c r="G18" s="49"/>
      <c r="H18" s="49"/>
      <c r="I18" s="49"/>
    </row>
    <row r="19" spans="2:9" ht="41.25" thickBot="1" x14ac:dyDescent="0.3">
      <c r="B19" s="64" t="s">
        <v>196</v>
      </c>
      <c r="C19" s="63">
        <v>21</v>
      </c>
      <c r="D19" s="63" t="s">
        <v>197</v>
      </c>
      <c r="E19" s="49"/>
      <c r="F19" s="49"/>
      <c r="G19" s="49"/>
      <c r="H19" s="49"/>
      <c r="I19" s="49"/>
    </row>
    <row r="20" spans="2:9" ht="41.25" thickBot="1" x14ac:dyDescent="0.3">
      <c r="B20" s="64" t="s">
        <v>198</v>
      </c>
      <c r="C20" s="63">
        <v>30</v>
      </c>
      <c r="D20" s="63" t="s">
        <v>199</v>
      </c>
      <c r="E20" s="49"/>
      <c r="F20" s="49"/>
      <c r="G20" s="49"/>
      <c r="H20" s="49"/>
      <c r="I20" s="49"/>
    </row>
    <row r="21" spans="2:9" ht="30.75" thickBot="1" x14ac:dyDescent="0.3">
      <c r="B21" s="65" t="s">
        <v>200</v>
      </c>
      <c r="C21" s="63">
        <f>C18*C19*C20</f>
        <v>346.5</v>
      </c>
      <c r="D21" s="63" t="s">
        <v>201</v>
      </c>
      <c r="E21" s="49"/>
      <c r="F21" s="49"/>
      <c r="G21" s="49"/>
      <c r="H21" s="49"/>
      <c r="I21" s="49"/>
    </row>
    <row r="22" spans="2:9" ht="45.75" thickBot="1" x14ac:dyDescent="0.3">
      <c r="B22" s="66" t="s">
        <v>202</v>
      </c>
      <c r="C22" s="67">
        <f>C21*0.2778</f>
        <v>96.2577</v>
      </c>
      <c r="D22" s="63" t="s">
        <v>203</v>
      </c>
      <c r="E22" s="49"/>
      <c r="F22" s="49"/>
      <c r="G22" s="49"/>
      <c r="H22" s="49"/>
      <c r="I22" s="49"/>
    </row>
    <row r="23" spans="2:9" ht="60.75" thickBot="1" x14ac:dyDescent="0.3">
      <c r="B23" s="66" t="s">
        <v>204</v>
      </c>
      <c r="C23" s="67">
        <f>C22/2.15</f>
        <v>44.771023255813958</v>
      </c>
      <c r="D23" s="63" t="s">
        <v>205</v>
      </c>
      <c r="E23" s="49"/>
      <c r="F23" s="49"/>
      <c r="G23" s="49"/>
      <c r="H23" s="49"/>
      <c r="I23" s="49"/>
    </row>
    <row r="24" spans="2:9" x14ac:dyDescent="0.25">
      <c r="B24" s="49"/>
      <c r="C24" s="49"/>
      <c r="D24" s="49"/>
      <c r="E24" s="49"/>
      <c r="F24" s="49"/>
      <c r="G24" s="49"/>
      <c r="H24" s="49"/>
      <c r="I24" s="49"/>
    </row>
    <row r="25" spans="2:9" x14ac:dyDescent="0.25">
      <c r="B25" s="49"/>
      <c r="C25" s="49"/>
      <c r="D25" s="49"/>
      <c r="E25" s="49"/>
      <c r="F25" s="49"/>
      <c r="G25" s="49"/>
      <c r="H25" s="49"/>
      <c r="I25" s="49"/>
    </row>
    <row r="26" spans="2:9" ht="71.45" customHeight="1" x14ac:dyDescent="0.25">
      <c r="B26" s="68" t="s">
        <v>206</v>
      </c>
      <c r="C26" s="49"/>
      <c r="D26" s="49"/>
      <c r="E26" s="49"/>
      <c r="F26" s="49"/>
      <c r="G26" s="49"/>
      <c r="H26" s="49"/>
      <c r="I26" s="49"/>
    </row>
    <row r="27" spans="2:9" ht="68.25" customHeight="1" x14ac:dyDescent="0.25">
      <c r="B27" s="68" t="s">
        <v>207</v>
      </c>
      <c r="C27" s="49"/>
      <c r="D27" s="49"/>
      <c r="E27" s="49"/>
      <c r="F27" s="49"/>
      <c r="G27" s="49"/>
      <c r="H27" s="49"/>
      <c r="I27" s="49"/>
    </row>
    <row r="28" spans="2:9" x14ac:dyDescent="0.25">
      <c r="B28" s="68" t="s">
        <v>208</v>
      </c>
      <c r="C28" s="49"/>
      <c r="D28" s="49"/>
      <c r="E28" s="49"/>
      <c r="F28" s="49"/>
      <c r="G28" s="49"/>
      <c r="H28" s="49"/>
      <c r="I28" s="49"/>
    </row>
  </sheetData>
  <mergeCells count="1">
    <mergeCell ref="B14:D14"/>
  </mergeCells>
  <hyperlinks>
    <hyperlink ref="D21" location="_ftn3" display="_ftn3" xr:uid="{0CD07AAA-5E13-4526-B845-5E9C1B18EDD9}"/>
    <hyperlink ref="B28" location="_ftnref3" display="_ftnref3" xr:uid="{FD082ED7-4796-48D3-B483-F89875093C85}"/>
    <hyperlink ref="B27" location="_ftnref2" display="_ftnref2" xr:uid="{48837B88-6E65-462F-B383-DEE783ED0D3F}"/>
    <hyperlink ref="B26" location="_ftnref1" display="_ftnref1" xr:uid="{31224101-F979-4F81-B280-99DF09570CB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512C-6C64-45C3-9C07-998FCB32CE0A}">
  <sheetPr filterMode="1">
    <tabColor rgb="FFFF0000"/>
  </sheetPr>
  <dimension ref="A1:Y9366"/>
  <sheetViews>
    <sheetView zoomScale="115" zoomScaleNormal="115" workbookViewId="0">
      <pane ySplit="1" topLeftCell="A6963" activePane="bottomLeft" state="frozen"/>
      <selection pane="bottomLeft" activeCell="S9365" sqref="S9365"/>
    </sheetView>
  </sheetViews>
  <sheetFormatPr defaultRowHeight="15" x14ac:dyDescent="0.25"/>
  <cols>
    <col min="1" max="1" width="15.7109375" style="161" customWidth="1"/>
    <col min="2" max="3" width="17.28515625" style="161" customWidth="1"/>
    <col min="4" max="4" width="24.140625" style="161" customWidth="1"/>
    <col min="5" max="6" width="15.7109375" style="162" customWidth="1"/>
    <col min="7" max="7" width="18.140625" style="160" customWidth="1"/>
    <col min="8" max="8" width="11.85546875" style="160" customWidth="1"/>
    <col min="9" max="9" width="10.85546875" style="161" customWidth="1"/>
    <col min="10" max="11" width="15.7109375" style="163" customWidth="1"/>
    <col min="12" max="16" width="15.7109375" style="161" customWidth="1"/>
    <col min="17" max="17" width="15.7109375" style="160" customWidth="1"/>
    <col min="18" max="18" width="34" style="161" customWidth="1"/>
    <col min="19" max="21" width="15.7109375" style="161" customWidth="1"/>
  </cols>
  <sheetData>
    <row r="1" spans="1:21" ht="20.100000000000001" customHeight="1" x14ac:dyDescent="0.25">
      <c r="A1" s="177" t="s">
        <v>292</v>
      </c>
      <c r="B1" s="202" t="s">
        <v>293</v>
      </c>
      <c r="C1" s="177" t="s">
        <v>294</v>
      </c>
      <c r="D1" s="177" t="s">
        <v>295</v>
      </c>
      <c r="E1" s="178" t="s">
        <v>296</v>
      </c>
      <c r="F1" s="178" t="s">
        <v>297</v>
      </c>
      <c r="G1" s="179" t="s">
        <v>298</v>
      </c>
      <c r="H1" s="177" t="s">
        <v>299</v>
      </c>
      <c r="I1" s="180" t="s">
        <v>300</v>
      </c>
      <c r="J1" s="181" t="s">
        <v>36478</v>
      </c>
      <c r="K1" s="181" t="s">
        <v>36479</v>
      </c>
      <c r="L1" s="177" t="s">
        <v>301</v>
      </c>
      <c r="M1" s="177" t="s">
        <v>302</v>
      </c>
      <c r="N1" s="177" t="s">
        <v>303</v>
      </c>
      <c r="O1" s="177" t="s">
        <v>304</v>
      </c>
      <c r="P1" s="177" t="s">
        <v>305</v>
      </c>
      <c r="Q1" s="182" t="s">
        <v>306</v>
      </c>
      <c r="R1" s="177" t="s">
        <v>307</v>
      </c>
      <c r="S1" s="178" t="s">
        <v>27033</v>
      </c>
      <c r="T1" s="177" t="s">
        <v>308</v>
      </c>
      <c r="U1" s="177" t="s">
        <v>309</v>
      </c>
    </row>
    <row r="2" spans="1:21" ht="17.45" hidden="1" customHeight="1" x14ac:dyDescent="0.25">
      <c r="A2" s="405" t="s">
        <v>310</v>
      </c>
      <c r="B2" s="406" t="s">
        <v>32791</v>
      </c>
      <c r="C2" s="405" t="s">
        <v>327</v>
      </c>
      <c r="D2" s="405"/>
      <c r="E2" s="406" t="s">
        <v>32792</v>
      </c>
      <c r="F2" s="407">
        <v>45301</v>
      </c>
      <c r="G2" s="406" t="s">
        <v>32793</v>
      </c>
      <c r="H2" s="406" t="s">
        <v>32794</v>
      </c>
      <c r="I2" s="406" t="s">
        <v>32795</v>
      </c>
      <c r="J2" s="408">
        <v>0.63573199999999996</v>
      </c>
      <c r="K2" s="408">
        <v>33.482880000000002</v>
      </c>
      <c r="L2" s="406" t="s">
        <v>6866</v>
      </c>
      <c r="M2" s="406" t="s">
        <v>10853</v>
      </c>
      <c r="N2" s="406" t="s">
        <v>13757</v>
      </c>
      <c r="O2" s="406" t="s">
        <v>13757</v>
      </c>
      <c r="P2" s="406" t="s">
        <v>4802</v>
      </c>
      <c r="Q2" s="409">
        <v>6</v>
      </c>
      <c r="R2" s="406" t="s">
        <v>32164</v>
      </c>
      <c r="S2" s="406" t="s">
        <v>32281</v>
      </c>
      <c r="T2" s="406" t="s">
        <v>884</v>
      </c>
      <c r="U2" s="406" t="s">
        <v>319</v>
      </c>
    </row>
    <row r="3" spans="1:21" ht="20.100000000000001" customHeight="1" x14ac:dyDescent="0.25">
      <c r="A3" s="405" t="s">
        <v>310</v>
      </c>
      <c r="B3" s="406" t="s">
        <v>32545</v>
      </c>
      <c r="C3" s="405" t="s">
        <v>327</v>
      </c>
      <c r="D3" s="405"/>
      <c r="E3" s="406" t="s">
        <v>32546</v>
      </c>
      <c r="F3" s="407">
        <v>45278</v>
      </c>
      <c r="G3" s="406" t="s">
        <v>32547</v>
      </c>
      <c r="H3" s="406" t="s">
        <v>32548</v>
      </c>
      <c r="I3" s="406" t="s">
        <v>32549</v>
      </c>
      <c r="J3" s="408">
        <v>0.41935699999999998</v>
      </c>
      <c r="K3" s="408">
        <v>32.486477000000001</v>
      </c>
      <c r="L3" s="406" t="s">
        <v>314</v>
      </c>
      <c r="M3" s="406" t="s">
        <v>361</v>
      </c>
      <c r="N3" s="406" t="s">
        <v>374</v>
      </c>
      <c r="O3" s="406" t="s">
        <v>6877</v>
      </c>
      <c r="P3" s="406" t="s">
        <v>32550</v>
      </c>
      <c r="Q3" s="409">
        <v>9</v>
      </c>
      <c r="R3" s="406" t="s">
        <v>9408</v>
      </c>
      <c r="S3" s="406" t="s">
        <v>27069</v>
      </c>
      <c r="T3" s="405" t="s">
        <v>32102</v>
      </c>
      <c r="U3" s="405" t="s">
        <v>319</v>
      </c>
    </row>
    <row r="4" spans="1:21" ht="20.100000000000001" hidden="1" customHeight="1" x14ac:dyDescent="0.25">
      <c r="A4" s="405" t="s">
        <v>310</v>
      </c>
      <c r="B4" s="412" t="s">
        <v>32785</v>
      </c>
      <c r="C4" s="413" t="s">
        <v>327</v>
      </c>
      <c r="D4" s="413"/>
      <c r="E4" s="412" t="s">
        <v>32546</v>
      </c>
      <c r="F4" s="414">
        <v>45320</v>
      </c>
      <c r="G4" s="412" t="s">
        <v>32786</v>
      </c>
      <c r="H4" s="406" t="s">
        <v>32787</v>
      </c>
      <c r="I4" s="406" t="s">
        <v>32788</v>
      </c>
      <c r="J4" s="408">
        <v>1.9246380000000001</v>
      </c>
      <c r="K4" s="408">
        <v>34.057062000000002</v>
      </c>
      <c r="L4" s="406" t="s">
        <v>6866</v>
      </c>
      <c r="M4" s="406" t="s">
        <v>11355</v>
      </c>
      <c r="N4" s="406" t="s">
        <v>32789</v>
      </c>
      <c r="O4" s="406" t="s">
        <v>32789</v>
      </c>
      <c r="P4" s="406" t="s">
        <v>32790</v>
      </c>
      <c r="Q4" s="409">
        <v>6</v>
      </c>
      <c r="R4" s="406" t="s">
        <v>17977</v>
      </c>
      <c r="S4" s="406" t="s">
        <v>27289</v>
      </c>
      <c r="T4" s="405" t="s">
        <v>32102</v>
      </c>
      <c r="U4" s="405" t="s">
        <v>319</v>
      </c>
    </row>
    <row r="5" spans="1:21" x14ac:dyDescent="0.25">
      <c r="A5" s="405" t="s">
        <v>310</v>
      </c>
      <c r="B5" s="406" t="s">
        <v>32841</v>
      </c>
      <c r="C5" s="405" t="s">
        <v>327</v>
      </c>
      <c r="D5" s="405"/>
      <c r="E5" s="406" t="s">
        <v>32842</v>
      </c>
      <c r="F5" s="407">
        <v>45171</v>
      </c>
      <c r="G5" s="406" t="s">
        <v>32843</v>
      </c>
      <c r="H5" s="406" t="s">
        <v>32844</v>
      </c>
      <c r="I5" s="406" t="s">
        <v>32845</v>
      </c>
      <c r="J5" s="408">
        <v>0.48985600000000001</v>
      </c>
      <c r="K5" s="408">
        <v>33.262714000000003</v>
      </c>
      <c r="L5" s="406" t="s">
        <v>6866</v>
      </c>
      <c r="M5" s="406" t="s">
        <v>9590</v>
      </c>
      <c r="N5" s="406" t="s">
        <v>9591</v>
      </c>
      <c r="O5" s="406" t="s">
        <v>32846</v>
      </c>
      <c r="P5" s="406" t="s">
        <v>15331</v>
      </c>
      <c r="Q5" s="409">
        <v>6</v>
      </c>
      <c r="R5" s="406" t="s">
        <v>32164</v>
      </c>
      <c r="S5" s="406" t="s">
        <v>32493</v>
      </c>
      <c r="T5" s="406" t="s">
        <v>884</v>
      </c>
      <c r="U5" s="406" t="s">
        <v>319</v>
      </c>
    </row>
    <row r="6" spans="1:21" x14ac:dyDescent="0.25">
      <c r="A6" s="405" t="s">
        <v>310</v>
      </c>
      <c r="B6" s="406" t="s">
        <v>32560</v>
      </c>
      <c r="C6" s="405" t="s">
        <v>327</v>
      </c>
      <c r="D6" s="405"/>
      <c r="E6" s="406" t="s">
        <v>32561</v>
      </c>
      <c r="F6" s="407">
        <v>45259</v>
      </c>
      <c r="G6" s="406" t="s">
        <v>32562</v>
      </c>
      <c r="H6" s="406" t="s">
        <v>32563</v>
      </c>
      <c r="I6" s="406" t="s">
        <v>32564</v>
      </c>
      <c r="J6" s="408">
        <v>1.5705020000000001</v>
      </c>
      <c r="K6" s="408">
        <v>33.395668000000001</v>
      </c>
      <c r="L6" s="406" t="s">
        <v>6866</v>
      </c>
      <c r="M6" s="406" t="s">
        <v>9658</v>
      </c>
      <c r="N6" s="406" t="s">
        <v>11058</v>
      </c>
      <c r="O6" s="406" t="s">
        <v>32565</v>
      </c>
      <c r="P6" s="406" t="s">
        <v>32565</v>
      </c>
      <c r="Q6" s="409">
        <v>9</v>
      </c>
      <c r="R6" s="406" t="s">
        <v>5655</v>
      </c>
      <c r="S6" s="406" t="s">
        <v>32566</v>
      </c>
      <c r="T6" s="406" t="s">
        <v>32102</v>
      </c>
      <c r="U6" s="406" t="s">
        <v>319</v>
      </c>
    </row>
    <row r="7" spans="1:21" x14ac:dyDescent="0.25">
      <c r="A7" s="405" t="s">
        <v>310</v>
      </c>
      <c r="B7" s="406" t="s">
        <v>32313</v>
      </c>
      <c r="C7" s="405" t="s">
        <v>327</v>
      </c>
      <c r="D7" s="405"/>
      <c r="E7" s="406" t="s">
        <v>32314</v>
      </c>
      <c r="F7" s="407">
        <v>45177</v>
      </c>
      <c r="G7" s="406" t="s">
        <v>32315</v>
      </c>
      <c r="H7" s="406" t="s">
        <v>32316</v>
      </c>
      <c r="I7" s="406" t="s">
        <v>2913</v>
      </c>
      <c r="J7" s="408">
        <v>-9.9912000000000001E-2</v>
      </c>
      <c r="K7" s="408">
        <v>31.081123000000002</v>
      </c>
      <c r="L7" s="406" t="s">
        <v>590</v>
      </c>
      <c r="M7" s="406" t="s">
        <v>19705</v>
      </c>
      <c r="N7" s="406" t="s">
        <v>32317</v>
      </c>
      <c r="O7" s="406" t="s">
        <v>1215</v>
      </c>
      <c r="P7" s="406" t="s">
        <v>20549</v>
      </c>
      <c r="Q7" s="409">
        <v>13</v>
      </c>
      <c r="R7" s="406" t="s">
        <v>874</v>
      </c>
      <c r="S7" s="406" t="s">
        <v>32248</v>
      </c>
      <c r="T7" s="405" t="s">
        <v>32102</v>
      </c>
      <c r="U7" s="405" t="s">
        <v>319</v>
      </c>
    </row>
    <row r="8" spans="1:21" x14ac:dyDescent="0.25">
      <c r="A8" s="405" t="s">
        <v>310</v>
      </c>
      <c r="B8" s="406" t="s">
        <v>32684</v>
      </c>
      <c r="C8" s="405" t="s">
        <v>327</v>
      </c>
      <c r="D8" s="405"/>
      <c r="E8" s="406" t="s">
        <v>32685</v>
      </c>
      <c r="F8" s="407">
        <v>44941</v>
      </c>
      <c r="G8" s="406" t="s">
        <v>32686</v>
      </c>
      <c r="H8" s="406" t="s">
        <v>32155</v>
      </c>
      <c r="I8" s="406" t="s">
        <v>32154</v>
      </c>
      <c r="J8" s="408">
        <v>0.43116399999999999</v>
      </c>
      <c r="K8" s="408">
        <v>32.644877000000001</v>
      </c>
      <c r="L8" s="406" t="s">
        <v>314</v>
      </c>
      <c r="M8" s="406" t="s">
        <v>361</v>
      </c>
      <c r="N8" s="406" t="s">
        <v>6588</v>
      </c>
      <c r="O8" s="406" t="s">
        <v>363</v>
      </c>
      <c r="P8" s="406" t="s">
        <v>4885</v>
      </c>
      <c r="Q8" s="409">
        <v>9</v>
      </c>
      <c r="R8" s="406" t="s">
        <v>26734</v>
      </c>
      <c r="S8" s="406" t="s">
        <v>32234</v>
      </c>
      <c r="T8" s="405" t="s">
        <v>884</v>
      </c>
      <c r="U8" s="405" t="s">
        <v>319</v>
      </c>
    </row>
    <row r="9" spans="1:21" x14ac:dyDescent="0.25">
      <c r="A9" s="405" t="s">
        <v>310</v>
      </c>
      <c r="B9" s="406" t="s">
        <v>32434</v>
      </c>
      <c r="C9" s="405" t="s">
        <v>327</v>
      </c>
      <c r="D9" s="405"/>
      <c r="E9" s="406" t="s">
        <v>32435</v>
      </c>
      <c r="F9" s="407">
        <v>44877</v>
      </c>
      <c r="G9" s="406" t="s">
        <v>32436</v>
      </c>
      <c r="H9" s="406" t="s">
        <v>32437</v>
      </c>
      <c r="I9" s="406" t="s">
        <v>2913</v>
      </c>
      <c r="J9" s="408">
        <v>0.43297200000000002</v>
      </c>
      <c r="K9" s="408">
        <v>32.563217000000002</v>
      </c>
      <c r="L9" s="406" t="s">
        <v>314</v>
      </c>
      <c r="M9" s="406" t="s">
        <v>361</v>
      </c>
      <c r="N9" s="406" t="s">
        <v>7361</v>
      </c>
      <c r="O9" s="406" t="s">
        <v>1236</v>
      </c>
      <c r="P9" s="406" t="s">
        <v>32438</v>
      </c>
      <c r="Q9" s="409">
        <v>13</v>
      </c>
      <c r="R9" s="406" t="s">
        <v>9408</v>
      </c>
      <c r="S9" s="406" t="s">
        <v>32211</v>
      </c>
      <c r="T9" s="406" t="s">
        <v>32102</v>
      </c>
      <c r="U9" s="406" t="s">
        <v>319</v>
      </c>
    </row>
    <row r="10" spans="1:21" x14ac:dyDescent="0.25">
      <c r="A10" s="405" t="s">
        <v>310</v>
      </c>
      <c r="B10" s="406" t="s">
        <v>32724</v>
      </c>
      <c r="C10" s="405" t="s">
        <v>327</v>
      </c>
      <c r="D10" s="405"/>
      <c r="E10" s="406" t="s">
        <v>32725</v>
      </c>
      <c r="F10" s="407">
        <v>44849</v>
      </c>
      <c r="G10" s="406" t="s">
        <v>32726</v>
      </c>
      <c r="H10" s="406" t="s">
        <v>32727</v>
      </c>
      <c r="I10" s="406" t="s">
        <v>32728</v>
      </c>
      <c r="J10" s="408">
        <v>0.32611800000000002</v>
      </c>
      <c r="K10" s="408">
        <v>32.510309999999997</v>
      </c>
      <c r="L10" s="406" t="s">
        <v>314</v>
      </c>
      <c r="M10" s="406" t="s">
        <v>361</v>
      </c>
      <c r="N10" s="406" t="s">
        <v>374</v>
      </c>
      <c r="O10" s="406" t="s">
        <v>32729</v>
      </c>
      <c r="P10" s="406" t="s">
        <v>1974</v>
      </c>
      <c r="Q10" s="409">
        <v>9</v>
      </c>
      <c r="R10" s="406" t="s">
        <v>32101</v>
      </c>
      <c r="S10" s="406" t="s">
        <v>32730</v>
      </c>
      <c r="T10" s="406" t="s">
        <v>32102</v>
      </c>
      <c r="U10" s="406" t="s">
        <v>319</v>
      </c>
    </row>
    <row r="11" spans="1:21" x14ac:dyDescent="0.25">
      <c r="A11" s="405" t="s">
        <v>310</v>
      </c>
      <c r="B11" s="406" t="s">
        <v>33002</v>
      </c>
      <c r="C11" s="405" t="s">
        <v>327</v>
      </c>
      <c r="D11" s="405"/>
      <c r="E11" s="406" t="s">
        <v>32725</v>
      </c>
      <c r="F11" s="407">
        <v>44864</v>
      </c>
      <c r="G11" s="406" t="s">
        <v>33003</v>
      </c>
      <c r="H11" s="406" t="s">
        <v>19455</v>
      </c>
      <c r="I11" s="406" t="s">
        <v>33004</v>
      </c>
      <c r="J11" s="408">
        <v>3.1691530000000001</v>
      </c>
      <c r="K11" s="408">
        <v>30.901047999999999</v>
      </c>
      <c r="L11" s="406" t="s">
        <v>860</v>
      </c>
      <c r="M11" s="406" t="s">
        <v>19408</v>
      </c>
      <c r="N11" s="406" t="s">
        <v>19409</v>
      </c>
      <c r="O11" s="406" t="s">
        <v>33005</v>
      </c>
      <c r="P11" s="406" t="s">
        <v>19457</v>
      </c>
      <c r="Q11" s="409">
        <v>6</v>
      </c>
      <c r="R11" s="406" t="s">
        <v>7211</v>
      </c>
      <c r="S11" s="406" t="s">
        <v>6918</v>
      </c>
      <c r="T11" s="406" t="s">
        <v>32102</v>
      </c>
      <c r="U11" s="406" t="s">
        <v>319</v>
      </c>
    </row>
    <row r="12" spans="1:21" x14ac:dyDescent="0.25">
      <c r="A12" s="405" t="s">
        <v>310</v>
      </c>
      <c r="B12" s="412" t="s">
        <v>33006</v>
      </c>
      <c r="C12" s="413" t="s">
        <v>327</v>
      </c>
      <c r="D12" s="413"/>
      <c r="E12" s="412" t="s">
        <v>32725</v>
      </c>
      <c r="F12" s="414">
        <v>44858</v>
      </c>
      <c r="G12" s="412" t="s">
        <v>33007</v>
      </c>
      <c r="H12" s="406" t="s">
        <v>33008</v>
      </c>
      <c r="I12" s="406" t="s">
        <v>33009</v>
      </c>
      <c r="J12" s="408">
        <v>3.3924020000000001</v>
      </c>
      <c r="K12" s="408">
        <v>31.002151999999999</v>
      </c>
      <c r="L12" s="406" t="s">
        <v>860</v>
      </c>
      <c r="M12" s="406" t="s">
        <v>19271</v>
      </c>
      <c r="N12" s="406" t="s">
        <v>33010</v>
      </c>
      <c r="O12" s="406" t="s">
        <v>33011</v>
      </c>
      <c r="P12" s="406" t="s">
        <v>33011</v>
      </c>
      <c r="Q12" s="409">
        <v>6</v>
      </c>
      <c r="R12" s="406" t="s">
        <v>7211</v>
      </c>
      <c r="S12" s="406" t="s">
        <v>6918</v>
      </c>
      <c r="T12" s="406" t="s">
        <v>32102</v>
      </c>
      <c r="U12" s="406" t="s">
        <v>319</v>
      </c>
    </row>
    <row r="13" spans="1:21" x14ac:dyDescent="0.25">
      <c r="A13" s="405" t="s">
        <v>310</v>
      </c>
      <c r="B13" s="406" t="s">
        <v>32350</v>
      </c>
      <c r="C13" s="405" t="s">
        <v>327</v>
      </c>
      <c r="D13" s="405"/>
      <c r="E13" s="406" t="s">
        <v>32351</v>
      </c>
      <c r="F13" s="407">
        <v>45092</v>
      </c>
      <c r="G13" s="406" t="s">
        <v>32352</v>
      </c>
      <c r="H13" s="406" t="s">
        <v>32353</v>
      </c>
      <c r="I13" s="406" t="s">
        <v>32354</v>
      </c>
      <c r="J13" s="408">
        <v>0.47249099999999999</v>
      </c>
      <c r="K13" s="408">
        <v>33.255417999999999</v>
      </c>
      <c r="L13" s="406" t="s">
        <v>6866</v>
      </c>
      <c r="M13" s="406" t="s">
        <v>9590</v>
      </c>
      <c r="N13" s="406" t="s">
        <v>32355</v>
      </c>
      <c r="O13" s="406" t="s">
        <v>32356</v>
      </c>
      <c r="P13" s="406" t="s">
        <v>32357</v>
      </c>
      <c r="Q13" s="409">
        <v>13</v>
      </c>
      <c r="R13" s="406" t="s">
        <v>32164</v>
      </c>
      <c r="S13" s="406" t="s">
        <v>6822</v>
      </c>
      <c r="T13" s="406" t="s">
        <v>884</v>
      </c>
      <c r="U13" s="406" t="s">
        <v>319</v>
      </c>
    </row>
    <row r="14" spans="1:21" x14ac:dyDescent="0.25">
      <c r="A14" s="405" t="s">
        <v>310</v>
      </c>
      <c r="B14" s="406" t="s">
        <v>32931</v>
      </c>
      <c r="C14" s="405" t="s">
        <v>327</v>
      </c>
      <c r="D14" s="405"/>
      <c r="E14" s="406" t="s">
        <v>32932</v>
      </c>
      <c r="F14" s="407">
        <v>45065</v>
      </c>
      <c r="G14" s="406" t="s">
        <v>32933</v>
      </c>
      <c r="H14" s="406" t="s">
        <v>32934</v>
      </c>
      <c r="I14" s="406" t="s">
        <v>2913</v>
      </c>
      <c r="J14" s="408">
        <v>0.64166699999999999</v>
      </c>
      <c r="K14" s="408">
        <v>30.331305</v>
      </c>
      <c r="L14" s="406" t="s">
        <v>590</v>
      </c>
      <c r="M14" s="406" t="s">
        <v>20125</v>
      </c>
      <c r="N14" s="406" t="s">
        <v>20126</v>
      </c>
      <c r="O14" s="406" t="s">
        <v>20853</v>
      </c>
      <c r="P14" s="406" t="s">
        <v>20853</v>
      </c>
      <c r="Q14" s="409">
        <v>6</v>
      </c>
      <c r="R14" s="406" t="s">
        <v>32101</v>
      </c>
      <c r="S14" s="406" t="s">
        <v>27278</v>
      </c>
      <c r="T14" s="406" t="s">
        <v>32102</v>
      </c>
      <c r="U14" s="406" t="s">
        <v>319</v>
      </c>
    </row>
    <row r="15" spans="1:21" hidden="1" x14ac:dyDescent="0.25">
      <c r="A15" s="405" t="s">
        <v>310</v>
      </c>
      <c r="B15" s="406" t="s">
        <v>33147</v>
      </c>
      <c r="C15" s="405" t="s">
        <v>327</v>
      </c>
      <c r="D15" s="405"/>
      <c r="E15" s="406" t="s">
        <v>33148</v>
      </c>
      <c r="F15" s="407">
        <v>45307</v>
      </c>
      <c r="G15" s="406" t="s">
        <v>33149</v>
      </c>
      <c r="H15" s="406" t="s">
        <v>33150</v>
      </c>
      <c r="I15" s="406" t="s">
        <v>33151</v>
      </c>
      <c r="J15" s="408">
        <v>1.0523880000000001</v>
      </c>
      <c r="K15" s="408">
        <v>34.161999999999999</v>
      </c>
      <c r="L15" s="406" t="s">
        <v>6866</v>
      </c>
      <c r="M15" s="406" t="s">
        <v>9514</v>
      </c>
      <c r="N15" s="406" t="s">
        <v>9514</v>
      </c>
      <c r="O15" s="406" t="s">
        <v>11457</v>
      </c>
      <c r="P15" s="406" t="s">
        <v>33152</v>
      </c>
      <c r="Q15" s="409">
        <v>4</v>
      </c>
      <c r="R15" s="406" t="s">
        <v>9408</v>
      </c>
      <c r="S15" s="406" t="s">
        <v>27283</v>
      </c>
      <c r="T15" s="406" t="s">
        <v>32102</v>
      </c>
      <c r="U15" s="406" t="s">
        <v>319</v>
      </c>
    </row>
    <row r="16" spans="1:21" x14ac:dyDescent="0.25">
      <c r="A16" s="405" t="s">
        <v>310</v>
      </c>
      <c r="B16" s="406" t="s">
        <v>33225</v>
      </c>
      <c r="C16" s="405" t="s">
        <v>327</v>
      </c>
      <c r="D16" s="405"/>
      <c r="E16" s="406" t="s">
        <v>33226</v>
      </c>
      <c r="F16" s="407">
        <v>45229</v>
      </c>
      <c r="G16" s="406" t="s">
        <v>33227</v>
      </c>
      <c r="H16" s="406" t="s">
        <v>33228</v>
      </c>
      <c r="I16" s="406" t="s">
        <v>33229</v>
      </c>
      <c r="J16" s="408">
        <v>1.721398</v>
      </c>
      <c r="K16" s="408">
        <v>33.626455</v>
      </c>
      <c r="L16" s="406" t="s">
        <v>6866</v>
      </c>
      <c r="M16" s="406" t="s">
        <v>10515</v>
      </c>
      <c r="N16" s="406" t="s">
        <v>33230</v>
      </c>
      <c r="O16" s="406" t="s">
        <v>33231</v>
      </c>
      <c r="P16" s="406" t="s">
        <v>14447</v>
      </c>
      <c r="Q16" s="409">
        <v>4</v>
      </c>
      <c r="R16" s="406" t="s">
        <v>5655</v>
      </c>
      <c r="S16" s="406" t="s">
        <v>32566</v>
      </c>
      <c r="T16" s="406" t="s">
        <v>32102</v>
      </c>
      <c r="U16" s="406" t="s">
        <v>319</v>
      </c>
    </row>
    <row r="17" spans="1:21" x14ac:dyDescent="0.25">
      <c r="A17" s="405" t="s">
        <v>310</v>
      </c>
      <c r="B17" s="412" t="s">
        <v>33013</v>
      </c>
      <c r="C17" s="413" t="s">
        <v>327</v>
      </c>
      <c r="D17" s="413"/>
      <c r="E17" s="412" t="s">
        <v>33014</v>
      </c>
      <c r="F17" s="414">
        <v>44850</v>
      </c>
      <c r="G17" s="412" t="s">
        <v>33015</v>
      </c>
      <c r="H17" s="406" t="s">
        <v>33016</v>
      </c>
      <c r="I17" s="406" t="s">
        <v>33017</v>
      </c>
      <c r="J17" s="408">
        <v>-0.632637</v>
      </c>
      <c r="K17" s="408">
        <v>31.535243000000001</v>
      </c>
      <c r="L17" s="406" t="s">
        <v>314</v>
      </c>
      <c r="M17" s="406" t="s">
        <v>399</v>
      </c>
      <c r="N17" s="406" t="s">
        <v>398</v>
      </c>
      <c r="O17" s="406" t="s">
        <v>399</v>
      </c>
      <c r="P17" s="406" t="s">
        <v>2528</v>
      </c>
      <c r="Q17" s="409">
        <v>6</v>
      </c>
      <c r="R17" s="406" t="s">
        <v>32101</v>
      </c>
      <c r="S17" s="406" t="s">
        <v>27154</v>
      </c>
      <c r="T17" s="405" t="s">
        <v>884</v>
      </c>
      <c r="U17" s="405" t="s">
        <v>319</v>
      </c>
    </row>
    <row r="18" spans="1:21" x14ac:dyDescent="0.25">
      <c r="A18" s="405" t="s">
        <v>310</v>
      </c>
      <c r="B18" s="406" t="s">
        <v>32298</v>
      </c>
      <c r="C18" s="405" t="s">
        <v>327</v>
      </c>
      <c r="D18" s="405"/>
      <c r="E18" s="406" t="s">
        <v>32299</v>
      </c>
      <c r="F18" s="407">
        <v>45188</v>
      </c>
      <c r="G18" s="406" t="s">
        <v>32300</v>
      </c>
      <c r="H18" s="415" t="s">
        <v>32301</v>
      </c>
      <c r="I18" s="406" t="s">
        <v>32302</v>
      </c>
      <c r="J18" s="408">
        <v>-0.47114699999999998</v>
      </c>
      <c r="K18" s="408">
        <v>31.192337999999999</v>
      </c>
      <c r="L18" s="406" t="s">
        <v>314</v>
      </c>
      <c r="M18" s="406" t="s">
        <v>1805</v>
      </c>
      <c r="N18" s="406" t="s">
        <v>1805</v>
      </c>
      <c r="O18" s="406" t="s">
        <v>1805</v>
      </c>
      <c r="P18" s="406" t="s">
        <v>2430</v>
      </c>
      <c r="Q18" s="409">
        <v>13</v>
      </c>
      <c r="R18" s="406" t="s">
        <v>32101</v>
      </c>
      <c r="S18" s="406" t="s">
        <v>27045</v>
      </c>
      <c r="T18" s="405" t="s">
        <v>884</v>
      </c>
      <c r="U18" s="405" t="s">
        <v>319</v>
      </c>
    </row>
    <row r="19" spans="1:21" x14ac:dyDescent="0.25">
      <c r="A19" s="405" t="s">
        <v>310</v>
      </c>
      <c r="B19" s="412" t="s">
        <v>32868</v>
      </c>
      <c r="C19" s="413" t="s">
        <v>327</v>
      </c>
      <c r="D19" s="413"/>
      <c r="E19" s="412" t="s">
        <v>32869</v>
      </c>
      <c r="F19" s="414">
        <v>45144</v>
      </c>
      <c r="G19" s="412" t="s">
        <v>32870</v>
      </c>
      <c r="H19" s="406" t="s">
        <v>32871</v>
      </c>
      <c r="I19" s="406" t="s">
        <v>2913</v>
      </c>
      <c r="J19" s="408">
        <v>-0.84976499999999999</v>
      </c>
      <c r="K19" s="408">
        <v>29.790842999999999</v>
      </c>
      <c r="L19" s="406" t="s">
        <v>590</v>
      </c>
      <c r="M19" s="406" t="s">
        <v>20808</v>
      </c>
      <c r="N19" s="406" t="s">
        <v>32872</v>
      </c>
      <c r="O19" s="406" t="s">
        <v>21489</v>
      </c>
      <c r="P19" s="406" t="s">
        <v>21305</v>
      </c>
      <c r="Q19" s="409">
        <v>6</v>
      </c>
      <c r="R19" s="406" t="s">
        <v>32166</v>
      </c>
      <c r="S19" s="406" t="s">
        <v>32873</v>
      </c>
      <c r="T19" s="405" t="s">
        <v>884</v>
      </c>
      <c r="U19" s="405" t="s">
        <v>319</v>
      </c>
    </row>
    <row r="20" spans="1:21" x14ac:dyDescent="0.25">
      <c r="A20" s="405" t="s">
        <v>310</v>
      </c>
      <c r="B20" s="406" t="s">
        <v>32276</v>
      </c>
      <c r="C20" s="405" t="s">
        <v>327</v>
      </c>
      <c r="D20" s="405"/>
      <c r="E20" s="406" t="s">
        <v>32277</v>
      </c>
      <c r="F20" s="407">
        <v>45238</v>
      </c>
      <c r="G20" s="406" t="s">
        <v>32278</v>
      </c>
      <c r="H20" s="406" t="s">
        <v>32279</v>
      </c>
      <c r="I20" s="406" t="s">
        <v>32280</v>
      </c>
      <c r="J20" s="408">
        <v>0.58822300000000005</v>
      </c>
      <c r="K20" s="408">
        <v>33.444454999999998</v>
      </c>
      <c r="L20" s="406" t="s">
        <v>6866</v>
      </c>
      <c r="M20" s="406" t="s">
        <v>10853</v>
      </c>
      <c r="N20" s="406" t="s">
        <v>16886</v>
      </c>
      <c r="O20" s="406" t="s">
        <v>12832</v>
      </c>
      <c r="P20" s="406" t="s">
        <v>16492</v>
      </c>
      <c r="Q20" s="409">
        <v>13</v>
      </c>
      <c r="R20" s="406" t="s">
        <v>32164</v>
      </c>
      <c r="S20" s="406" t="s">
        <v>32281</v>
      </c>
      <c r="T20" s="405" t="s">
        <v>32102</v>
      </c>
      <c r="U20" s="405" t="s">
        <v>319</v>
      </c>
    </row>
    <row r="21" spans="1:21" x14ac:dyDescent="0.25">
      <c r="A21" s="405" t="s">
        <v>310</v>
      </c>
      <c r="B21" s="406" t="s">
        <v>32860</v>
      </c>
      <c r="C21" s="405" t="s">
        <v>327</v>
      </c>
      <c r="D21" s="405"/>
      <c r="E21" s="406" t="s">
        <v>32861</v>
      </c>
      <c r="F21" s="407">
        <v>45153</v>
      </c>
      <c r="G21" s="406" t="s">
        <v>32862</v>
      </c>
      <c r="H21" s="406" t="s">
        <v>32863</v>
      </c>
      <c r="I21" s="406" t="s">
        <v>32864</v>
      </c>
      <c r="J21" s="408">
        <v>1.880336</v>
      </c>
      <c r="K21" s="408">
        <v>31.941089000000002</v>
      </c>
      <c r="L21" s="406" t="s">
        <v>590</v>
      </c>
      <c r="M21" s="406" t="s">
        <v>32865</v>
      </c>
      <c r="N21" s="406" t="s">
        <v>6003</v>
      </c>
      <c r="O21" s="406" t="s">
        <v>32866</v>
      </c>
      <c r="P21" s="406" t="s">
        <v>32867</v>
      </c>
      <c r="Q21" s="409">
        <v>6</v>
      </c>
      <c r="R21" s="406" t="s">
        <v>26734</v>
      </c>
      <c r="S21" s="406" t="s">
        <v>32234</v>
      </c>
      <c r="T21" s="405" t="s">
        <v>6551</v>
      </c>
      <c r="U21" s="405" t="s">
        <v>2267</v>
      </c>
    </row>
    <row r="22" spans="1:21" x14ac:dyDescent="0.25">
      <c r="A22" s="405" t="s">
        <v>310</v>
      </c>
      <c r="B22" s="406" t="s">
        <v>32648</v>
      </c>
      <c r="C22" s="405" t="s">
        <v>327</v>
      </c>
      <c r="D22" s="405"/>
      <c r="E22" s="406" t="s">
        <v>32649</v>
      </c>
      <c r="F22" s="407">
        <v>45063</v>
      </c>
      <c r="G22" s="406" t="s">
        <v>32650</v>
      </c>
      <c r="H22" s="406" t="s">
        <v>32651</v>
      </c>
      <c r="I22" s="406" t="s">
        <v>32652</v>
      </c>
      <c r="J22" s="408">
        <v>-0.89815900000000004</v>
      </c>
      <c r="K22" s="408">
        <v>30.256677</v>
      </c>
      <c r="L22" s="406" t="s">
        <v>590</v>
      </c>
      <c r="M22" s="406" t="s">
        <v>19659</v>
      </c>
      <c r="N22" s="406" t="s">
        <v>13002</v>
      </c>
      <c r="O22" s="406" t="s">
        <v>32653</v>
      </c>
      <c r="P22" s="406" t="s">
        <v>32654</v>
      </c>
      <c r="Q22" s="409">
        <v>9</v>
      </c>
      <c r="R22" s="406" t="s">
        <v>26711</v>
      </c>
      <c r="S22" s="406" t="s">
        <v>32655</v>
      </c>
      <c r="T22" s="405" t="s">
        <v>6551</v>
      </c>
      <c r="U22" s="405" t="s">
        <v>2267</v>
      </c>
    </row>
    <row r="23" spans="1:21" x14ac:dyDescent="0.25">
      <c r="A23" s="405" t="s">
        <v>310</v>
      </c>
      <c r="B23" s="406" t="s">
        <v>32879</v>
      </c>
      <c r="C23" s="405" t="s">
        <v>327</v>
      </c>
      <c r="D23" s="405"/>
      <c r="E23" s="406" t="s">
        <v>32880</v>
      </c>
      <c r="F23" s="407">
        <v>45137</v>
      </c>
      <c r="G23" s="406" t="s">
        <v>32881</v>
      </c>
      <c r="H23" s="406" t="s">
        <v>32882</v>
      </c>
      <c r="I23" s="406" t="s">
        <v>32883</v>
      </c>
      <c r="J23" s="408">
        <v>1.8723590000000001</v>
      </c>
      <c r="K23" s="408">
        <v>32.063326000000004</v>
      </c>
      <c r="L23" s="406" t="s">
        <v>590</v>
      </c>
      <c r="M23" s="406" t="s">
        <v>591</v>
      </c>
      <c r="N23" s="406" t="s">
        <v>6003</v>
      </c>
      <c r="O23" s="406" t="s">
        <v>591</v>
      </c>
      <c r="P23" s="406" t="s">
        <v>32884</v>
      </c>
      <c r="Q23" s="409">
        <v>6</v>
      </c>
      <c r="R23" s="406" t="s">
        <v>26734</v>
      </c>
      <c r="S23" s="406" t="s">
        <v>32234</v>
      </c>
      <c r="T23" s="405" t="s">
        <v>6551</v>
      </c>
      <c r="U23" s="405" t="s">
        <v>2267</v>
      </c>
    </row>
    <row r="24" spans="1:21" hidden="1" x14ac:dyDescent="0.25">
      <c r="A24" s="405" t="s">
        <v>310</v>
      </c>
      <c r="B24" s="406" t="s">
        <v>32176</v>
      </c>
      <c r="C24" s="405" t="s">
        <v>327</v>
      </c>
      <c r="D24" s="405"/>
      <c r="E24" s="406" t="s">
        <v>32177</v>
      </c>
      <c r="F24" s="407">
        <v>45301</v>
      </c>
      <c r="G24" s="406" t="s">
        <v>32178</v>
      </c>
      <c r="H24" s="406" t="s">
        <v>32179</v>
      </c>
      <c r="I24" s="406" t="s">
        <v>32180</v>
      </c>
      <c r="J24" s="408">
        <v>1.0530250000000001</v>
      </c>
      <c r="K24" s="408">
        <v>32.031942999999998</v>
      </c>
      <c r="L24" s="406" t="s">
        <v>314</v>
      </c>
      <c r="M24" s="406" t="s">
        <v>2297</v>
      </c>
      <c r="N24" s="406" t="s">
        <v>2520</v>
      </c>
      <c r="O24" s="406" t="s">
        <v>32181</v>
      </c>
      <c r="P24" s="406" t="s">
        <v>32182</v>
      </c>
      <c r="Q24" s="409">
        <v>20</v>
      </c>
      <c r="R24" s="406" t="s">
        <v>32101</v>
      </c>
      <c r="S24" s="406" t="s">
        <v>27045</v>
      </c>
      <c r="T24" s="405" t="s">
        <v>6551</v>
      </c>
      <c r="U24" s="405" t="s">
        <v>2267</v>
      </c>
    </row>
    <row r="25" spans="1:21" x14ac:dyDescent="0.25">
      <c r="A25" s="405" t="s">
        <v>310</v>
      </c>
      <c r="B25" s="405" t="s">
        <v>20874</v>
      </c>
      <c r="C25" s="405" t="s">
        <v>327</v>
      </c>
      <c r="D25" s="405"/>
      <c r="E25" s="410">
        <v>41283</v>
      </c>
      <c r="F25" s="410">
        <v>41328</v>
      </c>
      <c r="G25" s="405" t="s">
        <v>20875</v>
      </c>
      <c r="H25" s="405">
        <v>775671805</v>
      </c>
      <c r="I25" s="405"/>
      <c r="J25" s="405">
        <v>0.26747199999999999</v>
      </c>
      <c r="K25" s="405">
        <v>30.604258000000002</v>
      </c>
      <c r="L25" s="405" t="s">
        <v>590</v>
      </c>
      <c r="M25" s="405" t="s">
        <v>19720</v>
      </c>
      <c r="N25" s="405" t="s">
        <v>19721</v>
      </c>
      <c r="O25" s="405" t="s">
        <v>11792</v>
      </c>
      <c r="P25" s="405" t="s">
        <v>20876</v>
      </c>
      <c r="Q25" s="411">
        <v>16</v>
      </c>
      <c r="R25" s="405" t="s">
        <v>874</v>
      </c>
      <c r="S25" s="405" t="s">
        <v>27181</v>
      </c>
      <c r="T25" s="405" t="s">
        <v>6551</v>
      </c>
      <c r="U25" s="405" t="s">
        <v>2267</v>
      </c>
    </row>
    <row r="26" spans="1:21" x14ac:dyDescent="0.25">
      <c r="A26" s="405" t="s">
        <v>310</v>
      </c>
      <c r="B26" s="406" t="s">
        <v>32817</v>
      </c>
      <c r="C26" s="405" t="s">
        <v>327</v>
      </c>
      <c r="D26" s="405"/>
      <c r="E26" s="406" t="s">
        <v>32159</v>
      </c>
      <c r="F26" s="407">
        <v>45211</v>
      </c>
      <c r="G26" s="406" t="s">
        <v>32818</v>
      </c>
      <c r="H26" s="406" t="s">
        <v>32819</v>
      </c>
      <c r="I26" s="406" t="s">
        <v>32820</v>
      </c>
      <c r="J26" s="408">
        <v>0.22062499999999999</v>
      </c>
      <c r="K26" s="408">
        <v>32.322871999999997</v>
      </c>
      <c r="L26" s="406" t="s">
        <v>314</v>
      </c>
      <c r="M26" s="406" t="s">
        <v>321</v>
      </c>
      <c r="N26" s="406" t="s">
        <v>1244</v>
      </c>
      <c r="O26" s="406" t="s">
        <v>32821</v>
      </c>
      <c r="P26" s="406" t="s">
        <v>8361</v>
      </c>
      <c r="Q26" s="409">
        <v>6</v>
      </c>
      <c r="R26" s="406" t="s">
        <v>32101</v>
      </c>
      <c r="S26" s="406" t="s">
        <v>32134</v>
      </c>
      <c r="T26" s="405" t="s">
        <v>6551</v>
      </c>
      <c r="U26" s="405" t="s">
        <v>2267</v>
      </c>
    </row>
    <row r="27" spans="1:21" x14ac:dyDescent="0.25">
      <c r="A27" s="405" t="s">
        <v>310</v>
      </c>
      <c r="B27" s="406" t="s">
        <v>32731</v>
      </c>
      <c r="C27" s="405" t="s">
        <v>327</v>
      </c>
      <c r="D27" s="405"/>
      <c r="E27" s="406" t="s">
        <v>32732</v>
      </c>
      <c r="F27" s="407">
        <v>44844</v>
      </c>
      <c r="G27" s="406" t="s">
        <v>32733</v>
      </c>
      <c r="H27" s="406" t="s">
        <v>32734</v>
      </c>
      <c r="I27" s="406" t="s">
        <v>2913</v>
      </c>
      <c r="J27" s="408">
        <v>0.70999299999999999</v>
      </c>
      <c r="K27" s="408">
        <v>30.247408</v>
      </c>
      <c r="L27" s="406" t="s">
        <v>590</v>
      </c>
      <c r="M27" s="406" t="s">
        <v>20125</v>
      </c>
      <c r="N27" s="406" t="s">
        <v>20126</v>
      </c>
      <c r="O27" s="406" t="s">
        <v>23020</v>
      </c>
      <c r="P27" s="406" t="s">
        <v>32735</v>
      </c>
      <c r="Q27" s="409">
        <v>9</v>
      </c>
      <c r="R27" s="406" t="s">
        <v>32101</v>
      </c>
      <c r="S27" s="406" t="s">
        <v>32736</v>
      </c>
      <c r="T27" s="405" t="s">
        <v>6551</v>
      </c>
      <c r="U27" s="405" t="s">
        <v>2267</v>
      </c>
    </row>
    <row r="28" spans="1:21" x14ac:dyDescent="0.25">
      <c r="A28" s="405" t="s">
        <v>310</v>
      </c>
      <c r="B28" s="406" t="s">
        <v>32324</v>
      </c>
      <c r="C28" s="405" t="s">
        <v>327</v>
      </c>
      <c r="D28" s="405"/>
      <c r="E28" s="406" t="s">
        <v>32325</v>
      </c>
      <c r="F28" s="407">
        <v>45156</v>
      </c>
      <c r="G28" s="406" t="s">
        <v>32326</v>
      </c>
      <c r="H28" s="406" t="s">
        <v>32327</v>
      </c>
      <c r="I28" s="406" t="s">
        <v>2913</v>
      </c>
      <c r="J28" s="408">
        <v>0.33382099999999998</v>
      </c>
      <c r="K28" s="408">
        <v>32.534658</v>
      </c>
      <c r="L28" s="406" t="s">
        <v>314</v>
      </c>
      <c r="M28" s="406" t="s">
        <v>992</v>
      </c>
      <c r="N28" s="406" t="s">
        <v>2327</v>
      </c>
      <c r="O28" s="406" t="s">
        <v>4299</v>
      </c>
      <c r="P28" s="406" t="s">
        <v>1450</v>
      </c>
      <c r="Q28" s="409">
        <v>13</v>
      </c>
      <c r="R28" s="406" t="s">
        <v>32164</v>
      </c>
      <c r="S28" s="406" t="s">
        <v>27044</v>
      </c>
      <c r="T28" s="405" t="s">
        <v>884</v>
      </c>
      <c r="U28" s="405" t="s">
        <v>319</v>
      </c>
    </row>
    <row r="29" spans="1:21" x14ac:dyDescent="0.25">
      <c r="A29" s="405" t="s">
        <v>310</v>
      </c>
      <c r="B29" s="406" t="s">
        <v>32847</v>
      </c>
      <c r="C29" s="405" t="s">
        <v>327</v>
      </c>
      <c r="D29" s="405"/>
      <c r="E29" s="406" t="s">
        <v>32325</v>
      </c>
      <c r="F29" s="407">
        <v>45170</v>
      </c>
      <c r="G29" s="406" t="s">
        <v>32848</v>
      </c>
      <c r="H29" s="406" t="s">
        <v>32849</v>
      </c>
      <c r="I29" s="406" t="s">
        <v>32850</v>
      </c>
      <c r="J29" s="408">
        <v>0.43563800000000003</v>
      </c>
      <c r="K29" s="408">
        <v>33.227684000000004</v>
      </c>
      <c r="L29" s="406" t="s">
        <v>6866</v>
      </c>
      <c r="M29" s="406" t="s">
        <v>9590</v>
      </c>
      <c r="N29" s="406" t="s">
        <v>32851</v>
      </c>
      <c r="O29" s="406" t="s">
        <v>32852</v>
      </c>
      <c r="P29" s="406" t="s">
        <v>32853</v>
      </c>
      <c r="Q29" s="409">
        <v>6</v>
      </c>
      <c r="R29" s="406" t="s">
        <v>32164</v>
      </c>
      <c r="S29" s="406" t="s">
        <v>32854</v>
      </c>
      <c r="T29" s="406" t="s">
        <v>32102</v>
      </c>
      <c r="U29" s="406" t="s">
        <v>319</v>
      </c>
    </row>
    <row r="30" spans="1:21" x14ac:dyDescent="0.25">
      <c r="A30" s="405" t="s">
        <v>310</v>
      </c>
      <c r="B30" s="405" t="s">
        <v>28424</v>
      </c>
      <c r="C30" s="405" t="s">
        <v>327</v>
      </c>
      <c r="D30" s="405"/>
      <c r="E30" s="410">
        <v>41851</v>
      </c>
      <c r="F30" s="410">
        <v>41896</v>
      </c>
      <c r="G30" s="405" t="s">
        <v>5335</v>
      </c>
      <c r="H30" s="405">
        <v>772501131</v>
      </c>
      <c r="I30" s="405"/>
      <c r="J30" s="405">
        <v>0.69413400000000003</v>
      </c>
      <c r="K30" s="405">
        <v>30.697091</v>
      </c>
      <c r="L30" s="405" t="s">
        <v>314</v>
      </c>
      <c r="M30" s="405" t="s">
        <v>2297</v>
      </c>
      <c r="N30" s="405" t="s">
        <v>2297</v>
      </c>
      <c r="O30" s="405" t="s">
        <v>2297</v>
      </c>
      <c r="P30" s="405" t="s">
        <v>961</v>
      </c>
      <c r="Q30" s="411">
        <v>45</v>
      </c>
      <c r="R30" s="405" t="s">
        <v>5336</v>
      </c>
      <c r="S30" s="405" t="s">
        <v>27153</v>
      </c>
      <c r="T30" s="405" t="s">
        <v>32102</v>
      </c>
      <c r="U30" s="405" t="s">
        <v>319</v>
      </c>
    </row>
    <row r="31" spans="1:21" x14ac:dyDescent="0.25">
      <c r="A31" s="405" t="s">
        <v>310</v>
      </c>
      <c r="B31" s="406" t="s">
        <v>32633</v>
      </c>
      <c r="C31" s="405" t="s">
        <v>327</v>
      </c>
      <c r="D31" s="405"/>
      <c r="E31" s="406" t="s">
        <v>32634</v>
      </c>
      <c r="F31" s="407">
        <v>45114</v>
      </c>
      <c r="G31" s="406" t="s">
        <v>32635</v>
      </c>
      <c r="H31" s="406" t="s">
        <v>32636</v>
      </c>
      <c r="I31" s="406" t="s">
        <v>2913</v>
      </c>
      <c r="J31" s="408">
        <v>-7.8007999999999994E-2</v>
      </c>
      <c r="K31" s="408">
        <v>30.783930000000002</v>
      </c>
      <c r="L31" s="406" t="s">
        <v>590</v>
      </c>
      <c r="M31" s="406" t="s">
        <v>2250</v>
      </c>
      <c r="N31" s="406" t="s">
        <v>21142</v>
      </c>
      <c r="O31" s="406" t="s">
        <v>2250</v>
      </c>
      <c r="P31" s="406" t="s">
        <v>32637</v>
      </c>
      <c r="Q31" s="409">
        <v>9</v>
      </c>
      <c r="R31" s="406" t="s">
        <v>874</v>
      </c>
      <c r="S31" s="406" t="s">
        <v>32638</v>
      </c>
      <c r="T31" s="405" t="s">
        <v>32102</v>
      </c>
      <c r="U31" s="405" t="s">
        <v>319</v>
      </c>
    </row>
    <row r="32" spans="1:21" x14ac:dyDescent="0.25">
      <c r="A32" s="405" t="s">
        <v>310</v>
      </c>
      <c r="B32" s="406" t="s">
        <v>32639</v>
      </c>
      <c r="C32" s="405" t="s">
        <v>327</v>
      </c>
      <c r="D32" s="405"/>
      <c r="E32" s="406" t="s">
        <v>32640</v>
      </c>
      <c r="F32" s="407">
        <v>45076</v>
      </c>
      <c r="G32" s="406" t="s">
        <v>32641</v>
      </c>
      <c r="H32" s="406" t="s">
        <v>32642</v>
      </c>
      <c r="I32" s="406" t="s">
        <v>2913</v>
      </c>
      <c r="J32" s="408">
        <v>3.4358E-2</v>
      </c>
      <c r="K32" s="408">
        <v>30.845392</v>
      </c>
      <c r="L32" s="406" t="s">
        <v>590</v>
      </c>
      <c r="M32" s="406" t="s">
        <v>2250</v>
      </c>
      <c r="N32" s="406" t="s">
        <v>24215</v>
      </c>
      <c r="O32" s="406" t="s">
        <v>24215</v>
      </c>
      <c r="P32" s="406" t="s">
        <v>20108</v>
      </c>
      <c r="Q32" s="409">
        <v>9</v>
      </c>
      <c r="R32" s="406" t="s">
        <v>874</v>
      </c>
      <c r="S32" s="406" t="s">
        <v>32643</v>
      </c>
      <c r="T32" s="405" t="s">
        <v>32102</v>
      </c>
      <c r="U32" s="405" t="s">
        <v>319</v>
      </c>
    </row>
    <row r="33" spans="1:21" hidden="1" x14ac:dyDescent="0.25">
      <c r="A33" s="405" t="s">
        <v>310</v>
      </c>
      <c r="B33" s="406" t="s">
        <v>32509</v>
      </c>
      <c r="C33" s="405" t="s">
        <v>327</v>
      </c>
      <c r="D33" s="405"/>
      <c r="E33" s="406" t="s">
        <v>32510</v>
      </c>
      <c r="F33" s="407">
        <v>45307</v>
      </c>
      <c r="G33" s="406" t="s">
        <v>32511</v>
      </c>
      <c r="H33" s="406" t="s">
        <v>32512</v>
      </c>
      <c r="I33" s="406" t="s">
        <v>2913</v>
      </c>
      <c r="J33" s="408">
        <v>-0.111127</v>
      </c>
      <c r="K33" s="408">
        <v>31.942703000000002</v>
      </c>
      <c r="L33" s="406" t="s">
        <v>314</v>
      </c>
      <c r="M33" s="406" t="s">
        <v>900</v>
      </c>
      <c r="N33" s="406" t="s">
        <v>900</v>
      </c>
      <c r="O33" s="406" t="s">
        <v>900</v>
      </c>
      <c r="P33" s="406" t="s">
        <v>900</v>
      </c>
      <c r="Q33" s="409">
        <v>9</v>
      </c>
      <c r="R33" s="406" t="s">
        <v>32101</v>
      </c>
      <c r="S33" s="406" t="s">
        <v>32513</v>
      </c>
      <c r="T33" s="405" t="s">
        <v>32102</v>
      </c>
      <c r="U33" s="405" t="s">
        <v>319</v>
      </c>
    </row>
    <row r="34" spans="1:21" x14ac:dyDescent="0.25">
      <c r="A34" s="405" t="s">
        <v>310</v>
      </c>
      <c r="B34" s="405" t="s">
        <v>320</v>
      </c>
      <c r="C34" s="405" t="s">
        <v>311</v>
      </c>
      <c r="D34" s="405" t="s">
        <v>8196</v>
      </c>
      <c r="E34" s="410" t="s">
        <v>32215</v>
      </c>
      <c r="F34" s="410">
        <v>42037</v>
      </c>
      <c r="G34" s="405" t="s">
        <v>32216</v>
      </c>
      <c r="H34" s="405" t="s">
        <v>32217</v>
      </c>
      <c r="I34" s="405"/>
      <c r="J34" s="405">
        <v>0.25031500000000001</v>
      </c>
      <c r="K34" s="405">
        <v>32.320279999999997</v>
      </c>
      <c r="L34" s="405" t="s">
        <v>314</v>
      </c>
      <c r="M34" s="405" t="s">
        <v>321</v>
      </c>
      <c r="N34" s="405" t="s">
        <v>322</v>
      </c>
      <c r="O34" s="405" t="s">
        <v>323</v>
      </c>
      <c r="P34" s="405" t="s">
        <v>324</v>
      </c>
      <c r="Q34" s="411">
        <v>20</v>
      </c>
      <c r="R34" s="405" t="s">
        <v>325</v>
      </c>
      <c r="S34" s="405" t="s">
        <v>27034</v>
      </c>
      <c r="T34" s="405" t="s">
        <v>32102</v>
      </c>
      <c r="U34" s="405" t="s">
        <v>319</v>
      </c>
    </row>
    <row r="35" spans="1:21" x14ac:dyDescent="0.25">
      <c r="A35" s="405" t="s">
        <v>310</v>
      </c>
      <c r="B35" s="406" t="s">
        <v>33018</v>
      </c>
      <c r="C35" s="405" t="s">
        <v>327</v>
      </c>
      <c r="D35" s="405"/>
      <c r="E35" s="406" t="s">
        <v>32223</v>
      </c>
      <c r="F35" s="407">
        <v>44846</v>
      </c>
      <c r="G35" s="406" t="s">
        <v>33019</v>
      </c>
      <c r="H35" s="406" t="s">
        <v>33020</v>
      </c>
      <c r="I35" s="406" t="s">
        <v>33021</v>
      </c>
      <c r="J35" s="408">
        <v>6.4051999999999998E-2</v>
      </c>
      <c r="K35" s="408">
        <v>32.125017999999997</v>
      </c>
      <c r="L35" s="406" t="s">
        <v>314</v>
      </c>
      <c r="M35" s="406" t="s">
        <v>321</v>
      </c>
      <c r="N35" s="406" t="s">
        <v>1244</v>
      </c>
      <c r="O35" s="406" t="s">
        <v>476</v>
      </c>
      <c r="P35" s="406" t="s">
        <v>33022</v>
      </c>
      <c r="Q35" s="409">
        <v>6</v>
      </c>
      <c r="R35" s="406" t="s">
        <v>32101</v>
      </c>
      <c r="S35" s="406" t="s">
        <v>32266</v>
      </c>
      <c r="T35" s="405" t="s">
        <v>6551</v>
      </c>
      <c r="U35" s="405" t="s">
        <v>2267</v>
      </c>
    </row>
    <row r="36" spans="1:21" x14ac:dyDescent="0.25">
      <c r="A36" s="405" t="s">
        <v>310</v>
      </c>
      <c r="B36" s="406" t="s">
        <v>32919</v>
      </c>
      <c r="C36" s="405" t="s">
        <v>327</v>
      </c>
      <c r="D36" s="405"/>
      <c r="E36" s="406" t="s">
        <v>32920</v>
      </c>
      <c r="F36" s="407">
        <v>45089</v>
      </c>
      <c r="G36" s="406" t="s">
        <v>32921</v>
      </c>
      <c r="H36" s="406" t="s">
        <v>32922</v>
      </c>
      <c r="I36" s="406" t="s">
        <v>32923</v>
      </c>
      <c r="J36" s="408">
        <v>1.880557</v>
      </c>
      <c r="K36" s="408">
        <v>33.247950000000003</v>
      </c>
      <c r="L36" s="406" t="s">
        <v>6866</v>
      </c>
      <c r="M36" s="406" t="s">
        <v>32924</v>
      </c>
      <c r="N36" s="406" t="s">
        <v>16088</v>
      </c>
      <c r="O36" s="406" t="s">
        <v>16088</v>
      </c>
      <c r="P36" s="406" t="s">
        <v>1708</v>
      </c>
      <c r="Q36" s="409">
        <v>6</v>
      </c>
      <c r="R36" s="406" t="s">
        <v>5655</v>
      </c>
      <c r="S36" s="406" t="s">
        <v>32925</v>
      </c>
      <c r="T36" s="405" t="s">
        <v>32102</v>
      </c>
      <c r="U36" s="405" t="s">
        <v>319</v>
      </c>
    </row>
    <row r="37" spans="1:21" x14ac:dyDescent="0.25">
      <c r="A37" s="405" t="s">
        <v>310</v>
      </c>
      <c r="B37" s="406" t="s">
        <v>33255</v>
      </c>
      <c r="C37" s="405" t="s">
        <v>327</v>
      </c>
      <c r="D37" s="405"/>
      <c r="E37" s="406" t="s">
        <v>33256</v>
      </c>
      <c r="F37" s="407">
        <v>44910</v>
      </c>
      <c r="G37" s="406" t="s">
        <v>33257</v>
      </c>
      <c r="H37" s="406" t="s">
        <v>33258</v>
      </c>
      <c r="I37" s="406" t="s">
        <v>33259</v>
      </c>
      <c r="J37" s="408">
        <v>1.039525</v>
      </c>
      <c r="K37" s="408">
        <v>34.168951999999997</v>
      </c>
      <c r="L37" s="406" t="s">
        <v>6866</v>
      </c>
      <c r="M37" s="406" t="s">
        <v>9514</v>
      </c>
      <c r="N37" s="406" t="s">
        <v>9571</v>
      </c>
      <c r="O37" s="406" t="s">
        <v>9780</v>
      </c>
      <c r="P37" s="406" t="s">
        <v>9783</v>
      </c>
      <c r="Q37" s="409">
        <v>4</v>
      </c>
      <c r="R37" s="406" t="s">
        <v>9408</v>
      </c>
      <c r="S37" s="406" t="s">
        <v>33260</v>
      </c>
      <c r="T37" s="405" t="s">
        <v>32102</v>
      </c>
      <c r="U37" s="405" t="s">
        <v>319</v>
      </c>
    </row>
    <row r="38" spans="1:21" x14ac:dyDescent="0.25">
      <c r="A38" s="405" t="s">
        <v>310</v>
      </c>
      <c r="B38" s="406" t="s">
        <v>32829</v>
      </c>
      <c r="C38" s="405" t="s">
        <v>327</v>
      </c>
      <c r="D38" s="405"/>
      <c r="E38" s="406" t="s">
        <v>32830</v>
      </c>
      <c r="F38" s="407">
        <v>45189</v>
      </c>
      <c r="G38" s="406" t="s">
        <v>32831</v>
      </c>
      <c r="H38" s="406" t="s">
        <v>32832</v>
      </c>
      <c r="I38" s="406" t="s">
        <v>32833</v>
      </c>
      <c r="J38" s="408">
        <v>-1.284119</v>
      </c>
      <c r="K38" s="408">
        <v>29.966982000000002</v>
      </c>
      <c r="L38" s="406" t="s">
        <v>590</v>
      </c>
      <c r="M38" s="406" t="s">
        <v>5312</v>
      </c>
      <c r="N38" s="406" t="s">
        <v>20859</v>
      </c>
      <c r="O38" s="406" t="s">
        <v>32834</v>
      </c>
      <c r="P38" s="406" t="s">
        <v>32834</v>
      </c>
      <c r="Q38" s="409">
        <v>6</v>
      </c>
      <c r="R38" s="406" t="s">
        <v>32166</v>
      </c>
      <c r="S38" s="406" t="s">
        <v>32835</v>
      </c>
      <c r="T38" s="405" t="s">
        <v>884</v>
      </c>
      <c r="U38" s="405" t="s">
        <v>319</v>
      </c>
    </row>
    <row r="39" spans="1:21" x14ac:dyDescent="0.25">
      <c r="A39" s="405" t="s">
        <v>310</v>
      </c>
      <c r="B39" s="405" t="s">
        <v>14320</v>
      </c>
      <c r="C39" s="405" t="s">
        <v>327</v>
      </c>
      <c r="D39" s="405"/>
      <c r="E39" s="410">
        <v>42034</v>
      </c>
      <c r="F39" s="410">
        <v>42079</v>
      </c>
      <c r="G39" s="405" t="s">
        <v>14321</v>
      </c>
      <c r="H39" s="405">
        <v>752584391</v>
      </c>
      <c r="I39" s="405"/>
      <c r="J39" s="405">
        <v>0.316417</v>
      </c>
      <c r="K39" s="405">
        <v>32.622808999999997</v>
      </c>
      <c r="L39" s="405" t="s">
        <v>6866</v>
      </c>
      <c r="M39" s="405" t="s">
        <v>14322</v>
      </c>
      <c r="N39" s="405" t="s">
        <v>14323</v>
      </c>
      <c r="O39" s="405" t="s">
        <v>14323</v>
      </c>
      <c r="P39" s="405" t="s">
        <v>14323</v>
      </c>
      <c r="Q39" s="411">
        <v>30</v>
      </c>
      <c r="R39" s="405" t="s">
        <v>353</v>
      </c>
      <c r="S39" s="405" t="s">
        <v>27153</v>
      </c>
      <c r="T39" s="405" t="s">
        <v>32102</v>
      </c>
      <c r="U39" s="405" t="s">
        <v>319</v>
      </c>
    </row>
    <row r="40" spans="1:21" hidden="1" x14ac:dyDescent="0.25">
      <c r="A40" s="405" t="s">
        <v>310</v>
      </c>
      <c r="B40" s="406" t="s">
        <v>32167</v>
      </c>
      <c r="C40" s="405" t="s">
        <v>327</v>
      </c>
      <c r="D40" s="405"/>
      <c r="E40" s="406" t="s">
        <v>32168</v>
      </c>
      <c r="F40" s="407">
        <v>45310</v>
      </c>
      <c r="G40" s="406" t="s">
        <v>32169</v>
      </c>
      <c r="H40" s="406" t="s">
        <v>32170</v>
      </c>
      <c r="I40" s="406" t="s">
        <v>32171</v>
      </c>
      <c r="J40" s="408">
        <v>0.31926500000000002</v>
      </c>
      <c r="K40" s="408">
        <v>32.783242000000001</v>
      </c>
      <c r="L40" s="406" t="s">
        <v>314</v>
      </c>
      <c r="M40" s="406" t="s">
        <v>329</v>
      </c>
      <c r="N40" s="406" t="s">
        <v>32172</v>
      </c>
      <c r="O40" s="406" t="s">
        <v>32173</v>
      </c>
      <c r="P40" s="406" t="s">
        <v>32174</v>
      </c>
      <c r="Q40" s="409">
        <v>20</v>
      </c>
      <c r="R40" s="406" t="s">
        <v>32101</v>
      </c>
      <c r="S40" s="406" t="s">
        <v>32175</v>
      </c>
      <c r="T40" s="405" t="s">
        <v>32102</v>
      </c>
      <c r="U40" s="405" t="s">
        <v>319</v>
      </c>
    </row>
    <row r="41" spans="1:21" hidden="1" x14ac:dyDescent="0.25">
      <c r="A41" s="405" t="s">
        <v>310</v>
      </c>
      <c r="B41" s="406" t="s">
        <v>33153</v>
      </c>
      <c r="C41" s="405" t="s">
        <v>327</v>
      </c>
      <c r="D41" s="405"/>
      <c r="E41" s="406" t="s">
        <v>32168</v>
      </c>
      <c r="F41" s="407">
        <v>45307</v>
      </c>
      <c r="G41" s="406" t="s">
        <v>33154</v>
      </c>
      <c r="H41" s="406" t="s">
        <v>33155</v>
      </c>
      <c r="I41" s="406" t="s">
        <v>2913</v>
      </c>
      <c r="J41" s="408">
        <v>1.26423</v>
      </c>
      <c r="K41" s="408">
        <v>30.802472000000002</v>
      </c>
      <c r="L41" s="406" t="s">
        <v>590</v>
      </c>
      <c r="M41" s="406" t="s">
        <v>7300</v>
      </c>
      <c r="N41" s="406" t="s">
        <v>33120</v>
      </c>
      <c r="O41" s="406" t="s">
        <v>8737</v>
      </c>
      <c r="P41" s="406" t="s">
        <v>33137</v>
      </c>
      <c r="Q41" s="409">
        <v>4</v>
      </c>
      <c r="R41" s="406" t="s">
        <v>32101</v>
      </c>
      <c r="S41" s="406" t="s">
        <v>33133</v>
      </c>
      <c r="T41" s="405" t="s">
        <v>32102</v>
      </c>
      <c r="U41" s="405" t="s">
        <v>319</v>
      </c>
    </row>
    <row r="42" spans="1:21" x14ac:dyDescent="0.25">
      <c r="A42" s="405" t="s">
        <v>310</v>
      </c>
      <c r="B42" s="406" t="s">
        <v>32687</v>
      </c>
      <c r="C42" s="405" t="s">
        <v>327</v>
      </c>
      <c r="D42" s="405"/>
      <c r="E42" s="406" t="s">
        <v>32688</v>
      </c>
      <c r="F42" s="407">
        <v>44938</v>
      </c>
      <c r="G42" s="406" t="s">
        <v>32689</v>
      </c>
      <c r="H42" s="406" t="s">
        <v>32690</v>
      </c>
      <c r="I42" s="406" t="s">
        <v>32691</v>
      </c>
      <c r="J42" s="408">
        <v>0.45131100000000002</v>
      </c>
      <c r="K42" s="408">
        <v>33.212566000000002</v>
      </c>
      <c r="L42" s="406" t="s">
        <v>6866</v>
      </c>
      <c r="M42" s="406" t="s">
        <v>9590</v>
      </c>
      <c r="N42" s="406" t="s">
        <v>32692</v>
      </c>
      <c r="O42" s="406" t="s">
        <v>32693</v>
      </c>
      <c r="P42" s="406" t="s">
        <v>32694</v>
      </c>
      <c r="Q42" s="409">
        <v>9</v>
      </c>
      <c r="R42" s="406" t="s">
        <v>32164</v>
      </c>
      <c r="S42" s="406" t="s">
        <v>27080</v>
      </c>
      <c r="T42" s="405" t="s">
        <v>865</v>
      </c>
      <c r="U42" s="405" t="s">
        <v>866</v>
      </c>
    </row>
    <row r="43" spans="1:21" x14ac:dyDescent="0.25">
      <c r="A43" s="405" t="s">
        <v>310</v>
      </c>
      <c r="B43" s="406" t="s">
        <v>32262</v>
      </c>
      <c r="C43" s="405" t="s">
        <v>327</v>
      </c>
      <c r="D43" s="405"/>
      <c r="E43" s="406" t="s">
        <v>32263</v>
      </c>
      <c r="F43" s="407">
        <v>45270</v>
      </c>
      <c r="G43" s="406" t="s">
        <v>32264</v>
      </c>
      <c r="H43" s="406" t="s">
        <v>32265</v>
      </c>
      <c r="I43" s="406" t="s">
        <v>2913</v>
      </c>
      <c r="J43" s="408">
        <v>1.291398</v>
      </c>
      <c r="K43" s="408">
        <v>30.833513</v>
      </c>
      <c r="L43" s="406" t="s">
        <v>590</v>
      </c>
      <c r="M43" s="406" t="s">
        <v>7300</v>
      </c>
      <c r="N43" s="406" t="s">
        <v>8737</v>
      </c>
      <c r="O43" s="406" t="s">
        <v>3459</v>
      </c>
      <c r="P43" s="406" t="s">
        <v>3459</v>
      </c>
      <c r="Q43" s="409">
        <v>13</v>
      </c>
      <c r="R43" s="406" t="s">
        <v>32101</v>
      </c>
      <c r="S43" s="406" t="s">
        <v>32266</v>
      </c>
      <c r="T43" s="405" t="s">
        <v>32102</v>
      </c>
      <c r="U43" s="405" t="s">
        <v>319</v>
      </c>
    </row>
    <row r="44" spans="1:21" x14ac:dyDescent="0.25">
      <c r="A44" s="405" t="s">
        <v>310</v>
      </c>
      <c r="B44" s="406" t="s">
        <v>32422</v>
      </c>
      <c r="C44" s="405" t="s">
        <v>327</v>
      </c>
      <c r="D44" s="405"/>
      <c r="E44" s="406" t="s">
        <v>32423</v>
      </c>
      <c r="F44" s="407">
        <v>44915</v>
      </c>
      <c r="G44" s="406" t="s">
        <v>32424</v>
      </c>
      <c r="H44" s="406" t="s">
        <v>32425</v>
      </c>
      <c r="I44" s="406" t="s">
        <v>26312</v>
      </c>
      <c r="J44" s="408">
        <v>-0.93020099999999994</v>
      </c>
      <c r="K44" s="408">
        <v>30.469681000000001</v>
      </c>
      <c r="L44" s="406" t="s">
        <v>590</v>
      </c>
      <c r="M44" s="406" t="s">
        <v>7300</v>
      </c>
      <c r="N44" s="406" t="s">
        <v>32426</v>
      </c>
      <c r="O44" s="406" t="s">
        <v>32426</v>
      </c>
      <c r="P44" s="406" t="s">
        <v>32426</v>
      </c>
      <c r="Q44" s="409">
        <v>13</v>
      </c>
      <c r="R44" s="406" t="s">
        <v>32166</v>
      </c>
      <c r="S44" s="406" t="s">
        <v>32427</v>
      </c>
      <c r="T44" s="405" t="s">
        <v>32102</v>
      </c>
      <c r="U44" s="405" t="s">
        <v>319</v>
      </c>
    </row>
    <row r="45" spans="1:21" x14ac:dyDescent="0.25">
      <c r="A45" s="405" t="s">
        <v>310</v>
      </c>
      <c r="B45" s="406" t="s">
        <v>32994</v>
      </c>
      <c r="C45" s="405" t="s">
        <v>327</v>
      </c>
      <c r="D45" s="405"/>
      <c r="E45" s="406" t="s">
        <v>32423</v>
      </c>
      <c r="F45" s="407">
        <v>44917</v>
      </c>
      <c r="G45" s="406" t="s">
        <v>32995</v>
      </c>
      <c r="H45" s="406" t="s">
        <v>32996</v>
      </c>
      <c r="I45" s="406" t="s">
        <v>2913</v>
      </c>
      <c r="J45" s="408">
        <v>5.2374999999999998E-2</v>
      </c>
      <c r="K45" s="408">
        <v>32.029688</v>
      </c>
      <c r="L45" s="406" t="s">
        <v>314</v>
      </c>
      <c r="M45" s="406" t="s">
        <v>321</v>
      </c>
      <c r="N45" s="406" t="s">
        <v>841</v>
      </c>
      <c r="O45" s="406" t="s">
        <v>19733</v>
      </c>
      <c r="P45" s="406" t="s">
        <v>19733</v>
      </c>
      <c r="Q45" s="409">
        <v>6</v>
      </c>
      <c r="R45" s="406" t="s">
        <v>32101</v>
      </c>
      <c r="S45" s="406" t="s">
        <v>32700</v>
      </c>
      <c r="T45" s="405" t="s">
        <v>865</v>
      </c>
      <c r="U45" s="405" t="s">
        <v>866</v>
      </c>
    </row>
    <row r="46" spans="1:21" x14ac:dyDescent="0.25">
      <c r="A46" s="405" t="s">
        <v>310</v>
      </c>
      <c r="B46" s="406" t="s">
        <v>32556</v>
      </c>
      <c r="C46" s="405" t="s">
        <v>327</v>
      </c>
      <c r="D46" s="405"/>
      <c r="E46" s="406" t="s">
        <v>32557</v>
      </c>
      <c r="F46" s="407">
        <v>45261</v>
      </c>
      <c r="G46" s="406" t="s">
        <v>32558</v>
      </c>
      <c r="H46" s="406" t="s">
        <v>32559</v>
      </c>
      <c r="I46" s="406" t="s">
        <v>9444</v>
      </c>
      <c r="J46" s="408">
        <v>0.41319800000000001</v>
      </c>
      <c r="K46" s="408">
        <v>32.598661999999997</v>
      </c>
      <c r="L46" s="406" t="s">
        <v>314</v>
      </c>
      <c r="M46" s="406" t="s">
        <v>361</v>
      </c>
      <c r="N46" s="406" t="s">
        <v>7361</v>
      </c>
      <c r="O46" s="406" t="s">
        <v>410</v>
      </c>
      <c r="P46" s="406" t="s">
        <v>1324</v>
      </c>
      <c r="Q46" s="409">
        <v>9</v>
      </c>
      <c r="R46" s="406" t="s">
        <v>9408</v>
      </c>
      <c r="S46" s="406" t="s">
        <v>27069</v>
      </c>
      <c r="T46" s="405" t="s">
        <v>32102</v>
      </c>
      <c r="U46" s="405" t="s">
        <v>319</v>
      </c>
    </row>
    <row r="47" spans="1:21" x14ac:dyDescent="0.25">
      <c r="A47" s="405" t="s">
        <v>310</v>
      </c>
      <c r="B47" s="406" t="s">
        <v>32567</v>
      </c>
      <c r="C47" s="405" t="s">
        <v>327</v>
      </c>
      <c r="D47" s="405"/>
      <c r="E47" s="406" t="s">
        <v>32568</v>
      </c>
      <c r="F47" s="407">
        <v>45222</v>
      </c>
      <c r="G47" s="406" t="s">
        <v>32569</v>
      </c>
      <c r="H47" s="406" t="s">
        <v>32570</v>
      </c>
      <c r="I47" s="406" t="s">
        <v>2913</v>
      </c>
      <c r="J47" s="408">
        <v>-0.92328900000000003</v>
      </c>
      <c r="K47" s="408">
        <v>30.463654999999999</v>
      </c>
      <c r="L47" s="406" t="s">
        <v>314</v>
      </c>
      <c r="M47" s="406" t="s">
        <v>992</v>
      </c>
      <c r="N47" s="406" t="s">
        <v>5227</v>
      </c>
      <c r="O47" s="406" t="s">
        <v>936</v>
      </c>
      <c r="P47" s="406" t="s">
        <v>936</v>
      </c>
      <c r="Q47" s="409">
        <v>9</v>
      </c>
      <c r="R47" s="406" t="s">
        <v>32166</v>
      </c>
      <c r="S47" s="406" t="s">
        <v>32571</v>
      </c>
      <c r="T47" s="405" t="s">
        <v>865</v>
      </c>
      <c r="U47" s="405" t="s">
        <v>866</v>
      </c>
    </row>
    <row r="48" spans="1:21" x14ac:dyDescent="0.25">
      <c r="A48" s="405" t="s">
        <v>310</v>
      </c>
      <c r="B48" s="406" t="s">
        <v>32621</v>
      </c>
      <c r="C48" s="405" t="s">
        <v>327</v>
      </c>
      <c r="D48" s="405"/>
      <c r="E48" s="406" t="s">
        <v>32622</v>
      </c>
      <c r="F48" s="407">
        <v>45130</v>
      </c>
      <c r="G48" s="406" t="s">
        <v>32623</v>
      </c>
      <c r="H48" s="406" t="s">
        <v>32624</v>
      </c>
      <c r="I48" s="406" t="s">
        <v>2913</v>
      </c>
      <c r="J48" s="408">
        <v>2.0055E-2</v>
      </c>
      <c r="K48" s="408">
        <v>30.759148</v>
      </c>
      <c r="L48" s="406" t="s">
        <v>590</v>
      </c>
      <c r="M48" s="406" t="s">
        <v>2250</v>
      </c>
      <c r="N48" s="406" t="s">
        <v>32625</v>
      </c>
      <c r="O48" s="406" t="s">
        <v>32626</v>
      </c>
      <c r="P48" s="406" t="s">
        <v>32627</v>
      </c>
      <c r="Q48" s="409">
        <v>9</v>
      </c>
      <c r="R48" s="406" t="s">
        <v>874</v>
      </c>
      <c r="S48" s="406" t="s">
        <v>32248</v>
      </c>
      <c r="T48" s="405" t="s">
        <v>865</v>
      </c>
      <c r="U48" s="405" t="s">
        <v>866</v>
      </c>
    </row>
    <row r="49" spans="1:21" x14ac:dyDescent="0.25">
      <c r="A49" s="405" t="s">
        <v>310</v>
      </c>
      <c r="B49" s="406" t="s">
        <v>33242</v>
      </c>
      <c r="C49" s="405" t="s">
        <v>327</v>
      </c>
      <c r="D49" s="405"/>
      <c r="E49" s="406" t="s">
        <v>32622</v>
      </c>
      <c r="F49" s="407">
        <v>45189</v>
      </c>
      <c r="G49" s="406" t="s">
        <v>33243</v>
      </c>
      <c r="H49" s="406" t="s">
        <v>33244</v>
      </c>
      <c r="I49" s="406" t="s">
        <v>33245</v>
      </c>
      <c r="J49" s="408">
        <v>1.880058</v>
      </c>
      <c r="K49" s="408">
        <v>33.299185000000001</v>
      </c>
      <c r="L49" s="406" t="s">
        <v>6866</v>
      </c>
      <c r="M49" s="406" t="s">
        <v>12153</v>
      </c>
      <c r="N49" s="406" t="s">
        <v>16088</v>
      </c>
      <c r="O49" s="406" t="s">
        <v>33246</v>
      </c>
      <c r="P49" s="406" t="s">
        <v>33247</v>
      </c>
      <c r="Q49" s="409">
        <v>4</v>
      </c>
      <c r="R49" s="406" t="s">
        <v>17977</v>
      </c>
      <c r="S49" s="406" t="s">
        <v>27289</v>
      </c>
      <c r="T49" s="405" t="s">
        <v>32102</v>
      </c>
      <c r="U49" s="405" t="s">
        <v>319</v>
      </c>
    </row>
    <row r="50" spans="1:21" x14ac:dyDescent="0.25">
      <c r="A50" s="405" t="s">
        <v>310</v>
      </c>
      <c r="B50" s="406" t="s">
        <v>32669</v>
      </c>
      <c r="C50" s="405" t="s">
        <v>327</v>
      </c>
      <c r="D50" s="405"/>
      <c r="E50" s="406" t="s">
        <v>32670</v>
      </c>
      <c r="F50" s="407">
        <v>45056</v>
      </c>
      <c r="G50" s="406" t="s">
        <v>32671</v>
      </c>
      <c r="H50" s="406" t="s">
        <v>32672</v>
      </c>
      <c r="I50" s="406" t="s">
        <v>2913</v>
      </c>
      <c r="J50" s="408">
        <v>0.29772300000000002</v>
      </c>
      <c r="K50" s="408">
        <v>32.458550000000002</v>
      </c>
      <c r="L50" s="406" t="s">
        <v>314</v>
      </c>
      <c r="M50" s="406" t="s">
        <v>361</v>
      </c>
      <c r="N50" s="406" t="s">
        <v>374</v>
      </c>
      <c r="O50" s="406" t="s">
        <v>32673</v>
      </c>
      <c r="P50" s="406" t="s">
        <v>5393</v>
      </c>
      <c r="Q50" s="409">
        <v>9</v>
      </c>
      <c r="R50" s="406" t="s">
        <v>9408</v>
      </c>
      <c r="S50" s="406" t="s">
        <v>27036</v>
      </c>
      <c r="T50" s="405" t="s">
        <v>865</v>
      </c>
      <c r="U50" s="405" t="s">
        <v>866</v>
      </c>
    </row>
    <row r="51" spans="1:21" hidden="1" x14ac:dyDescent="0.25">
      <c r="A51" s="405" t="s">
        <v>310</v>
      </c>
      <c r="B51" s="406" t="s">
        <v>32118</v>
      </c>
      <c r="C51" s="405" t="s">
        <v>327</v>
      </c>
      <c r="D51" s="405"/>
      <c r="E51" s="406" t="s">
        <v>32119</v>
      </c>
      <c r="F51" s="407">
        <v>45324</v>
      </c>
      <c r="G51" s="406" t="s">
        <v>32120</v>
      </c>
      <c r="H51" s="406" t="s">
        <v>32121</v>
      </c>
      <c r="I51" s="406" t="s">
        <v>2913</v>
      </c>
      <c r="J51" s="408">
        <v>0.34463700000000003</v>
      </c>
      <c r="K51" s="408">
        <v>32.541561999999999</v>
      </c>
      <c r="L51" s="406" t="s">
        <v>314</v>
      </c>
      <c r="M51" s="406" t="s">
        <v>992</v>
      </c>
      <c r="N51" s="406" t="s">
        <v>32122</v>
      </c>
      <c r="O51" s="406" t="s">
        <v>987</v>
      </c>
      <c r="P51" s="406" t="s">
        <v>3412</v>
      </c>
      <c r="Q51" s="409">
        <v>45</v>
      </c>
      <c r="R51" s="406" t="s">
        <v>32101</v>
      </c>
      <c r="S51" s="406" t="s">
        <v>32123</v>
      </c>
      <c r="T51" s="405" t="s">
        <v>865</v>
      </c>
      <c r="U51" s="405" t="s">
        <v>866</v>
      </c>
    </row>
    <row r="52" spans="1:21" hidden="1" x14ac:dyDescent="0.25">
      <c r="A52" s="405" t="s">
        <v>310</v>
      </c>
      <c r="B52" s="406" t="s">
        <v>32781</v>
      </c>
      <c r="C52" s="405" t="s">
        <v>327</v>
      </c>
      <c r="D52" s="405"/>
      <c r="E52" s="406" t="s">
        <v>32119</v>
      </c>
      <c r="F52" s="407">
        <v>45325</v>
      </c>
      <c r="G52" s="406" t="s">
        <v>32782</v>
      </c>
      <c r="H52" s="406" t="s">
        <v>32783</v>
      </c>
      <c r="I52" s="406" t="s">
        <v>32784</v>
      </c>
      <c r="J52" s="408">
        <v>0.32601000000000002</v>
      </c>
      <c r="K52" s="408">
        <v>32.417991999999998</v>
      </c>
      <c r="L52" s="406" t="s">
        <v>314</v>
      </c>
      <c r="M52" s="406" t="s">
        <v>361</v>
      </c>
      <c r="N52" s="406" t="s">
        <v>374</v>
      </c>
      <c r="O52" s="406" t="s">
        <v>2363</v>
      </c>
      <c r="P52" s="406" t="s">
        <v>2617</v>
      </c>
      <c r="Q52" s="409">
        <v>6</v>
      </c>
      <c r="R52" s="406" t="s">
        <v>9408</v>
      </c>
      <c r="S52" s="406" t="s">
        <v>27069</v>
      </c>
      <c r="T52" s="405" t="s">
        <v>865</v>
      </c>
      <c r="U52" s="405" t="s">
        <v>866</v>
      </c>
    </row>
    <row r="53" spans="1:21" x14ac:dyDescent="0.25">
      <c r="A53" s="405" t="s">
        <v>310</v>
      </c>
      <c r="B53" s="405" t="s">
        <v>14370</v>
      </c>
      <c r="C53" s="405" t="s">
        <v>327</v>
      </c>
      <c r="D53" s="405"/>
      <c r="E53" s="410">
        <v>42050</v>
      </c>
      <c r="F53" s="410">
        <v>42095</v>
      </c>
      <c r="G53" s="405" t="s">
        <v>14371</v>
      </c>
      <c r="H53" s="405">
        <v>752584391</v>
      </c>
      <c r="I53" s="405"/>
      <c r="J53" s="405">
        <v>0.316417</v>
      </c>
      <c r="K53" s="405">
        <v>32.622808999999997</v>
      </c>
      <c r="L53" s="405" t="s">
        <v>6866</v>
      </c>
      <c r="M53" s="405" t="s">
        <v>14322</v>
      </c>
      <c r="N53" s="405" t="s">
        <v>14323</v>
      </c>
      <c r="O53" s="405" t="s">
        <v>14323</v>
      </c>
      <c r="P53" s="405" t="s">
        <v>14323</v>
      </c>
      <c r="Q53" s="411">
        <v>30</v>
      </c>
      <c r="R53" s="405" t="s">
        <v>353</v>
      </c>
      <c r="S53" s="405" t="s">
        <v>27051</v>
      </c>
      <c r="T53" s="405" t="s">
        <v>865</v>
      </c>
      <c r="U53" s="405" t="s">
        <v>866</v>
      </c>
    </row>
    <row r="54" spans="1:21" hidden="1" x14ac:dyDescent="0.25">
      <c r="A54" s="405" t="s">
        <v>310</v>
      </c>
      <c r="B54" s="412" t="s">
        <v>32494</v>
      </c>
      <c r="C54" s="413" t="s">
        <v>327</v>
      </c>
      <c r="D54" s="413"/>
      <c r="E54" s="412" t="s">
        <v>32495</v>
      </c>
      <c r="F54" s="414">
        <v>45309</v>
      </c>
      <c r="G54" s="412" t="s">
        <v>32496</v>
      </c>
      <c r="H54" s="406" t="s">
        <v>32497</v>
      </c>
      <c r="I54" s="406" t="s">
        <v>32498</v>
      </c>
      <c r="J54" s="408">
        <v>-0.92239700000000002</v>
      </c>
      <c r="K54" s="408">
        <v>30.085621</v>
      </c>
      <c r="L54" s="406" t="s">
        <v>590</v>
      </c>
      <c r="M54" s="406" t="s">
        <v>19659</v>
      </c>
      <c r="N54" s="406" t="s">
        <v>32499</v>
      </c>
      <c r="O54" s="406" t="s">
        <v>32500</v>
      </c>
      <c r="P54" s="406" t="s">
        <v>19746</v>
      </c>
      <c r="Q54" s="409">
        <v>9</v>
      </c>
      <c r="R54" s="406" t="s">
        <v>26711</v>
      </c>
      <c r="S54" s="406" t="s">
        <v>32501</v>
      </c>
      <c r="T54" s="405" t="s">
        <v>865</v>
      </c>
      <c r="U54" s="405" t="s">
        <v>866</v>
      </c>
    </row>
    <row r="55" spans="1:21" hidden="1" x14ac:dyDescent="0.25">
      <c r="A55" s="405" t="s">
        <v>310</v>
      </c>
      <c r="B55" s="406" t="s">
        <v>33170</v>
      </c>
      <c r="C55" s="405" t="s">
        <v>327</v>
      </c>
      <c r="D55" s="405"/>
      <c r="E55" s="406" t="s">
        <v>32495</v>
      </c>
      <c r="F55" s="407">
        <v>45295</v>
      </c>
      <c r="G55" s="406" t="s">
        <v>33171</v>
      </c>
      <c r="H55" s="406" t="s">
        <v>33172</v>
      </c>
      <c r="I55" s="406" t="s">
        <v>33173</v>
      </c>
      <c r="J55" s="408">
        <v>1.27186</v>
      </c>
      <c r="K55" s="408">
        <v>30.813224999999999</v>
      </c>
      <c r="L55" s="406" t="s">
        <v>590</v>
      </c>
      <c r="M55" s="406" t="s">
        <v>7300</v>
      </c>
      <c r="N55" s="406" t="s">
        <v>33120</v>
      </c>
      <c r="O55" s="406" t="s">
        <v>33174</v>
      </c>
      <c r="P55" s="406" t="s">
        <v>33137</v>
      </c>
      <c r="Q55" s="409">
        <v>4</v>
      </c>
      <c r="R55" s="406" t="s">
        <v>32101</v>
      </c>
      <c r="S55" s="406" t="s">
        <v>33175</v>
      </c>
      <c r="T55" s="405" t="s">
        <v>865</v>
      </c>
      <c r="U55" s="405" t="s">
        <v>866</v>
      </c>
    </row>
    <row r="56" spans="1:21" x14ac:dyDescent="0.25">
      <c r="A56" s="405" t="s">
        <v>310</v>
      </c>
      <c r="B56" s="405" t="s">
        <v>6091</v>
      </c>
      <c r="C56" s="405" t="s">
        <v>311</v>
      </c>
      <c r="D56" s="405" t="s">
        <v>6092</v>
      </c>
      <c r="E56" s="410">
        <v>42062</v>
      </c>
      <c r="F56" s="410">
        <v>42107</v>
      </c>
      <c r="G56" s="405" t="s">
        <v>6093</v>
      </c>
      <c r="H56" s="405">
        <v>772653394</v>
      </c>
      <c r="I56" s="405"/>
      <c r="J56" s="405">
        <v>0.64114800000000005</v>
      </c>
      <c r="K56" s="405">
        <v>32.027228000000001</v>
      </c>
      <c r="L56" s="405" t="s">
        <v>314</v>
      </c>
      <c r="M56" s="405" t="s">
        <v>2537</v>
      </c>
      <c r="N56" s="405" t="s">
        <v>2858</v>
      </c>
      <c r="O56" s="405" t="s">
        <v>6094</v>
      </c>
      <c r="P56" s="405" t="s">
        <v>6095</v>
      </c>
      <c r="Q56" s="411">
        <v>20</v>
      </c>
      <c r="R56" s="405" t="s">
        <v>5336</v>
      </c>
      <c r="S56" s="405" t="s">
        <v>27174</v>
      </c>
      <c r="T56" s="406" t="s">
        <v>32102</v>
      </c>
      <c r="U56" s="406" t="s">
        <v>319</v>
      </c>
    </row>
    <row r="57" spans="1:21" x14ac:dyDescent="0.25">
      <c r="A57" s="405" t="s">
        <v>310</v>
      </c>
      <c r="B57" s="406" t="s">
        <v>33029</v>
      </c>
      <c r="C57" s="405" t="s">
        <v>327</v>
      </c>
      <c r="D57" s="405"/>
      <c r="E57" s="406" t="s">
        <v>33030</v>
      </c>
      <c r="F57" s="407">
        <v>44838</v>
      </c>
      <c r="G57" s="406" t="s">
        <v>33031</v>
      </c>
      <c r="H57" s="406" t="s">
        <v>33032</v>
      </c>
      <c r="I57" s="406" t="s">
        <v>33033</v>
      </c>
      <c r="J57" s="408">
        <v>0.71421500000000004</v>
      </c>
      <c r="K57" s="408">
        <v>30.388425000000002</v>
      </c>
      <c r="L57" s="406" t="s">
        <v>590</v>
      </c>
      <c r="M57" s="406" t="s">
        <v>20125</v>
      </c>
      <c r="N57" s="406" t="s">
        <v>21918</v>
      </c>
      <c r="O57" s="406" t="s">
        <v>20862</v>
      </c>
      <c r="P57" s="406" t="s">
        <v>20128</v>
      </c>
      <c r="Q57" s="409">
        <v>6</v>
      </c>
      <c r="R57" s="406" t="s">
        <v>32101</v>
      </c>
      <c r="S57" s="406" t="s">
        <v>27060</v>
      </c>
      <c r="T57" s="406" t="s">
        <v>32102</v>
      </c>
      <c r="U57" s="406" t="s">
        <v>319</v>
      </c>
    </row>
    <row r="58" spans="1:21" x14ac:dyDescent="0.25">
      <c r="A58" s="405" t="s">
        <v>310</v>
      </c>
      <c r="B58" s="406" t="s">
        <v>32388</v>
      </c>
      <c r="C58" s="405" t="s">
        <v>327</v>
      </c>
      <c r="D58" s="405"/>
      <c r="E58" s="406" t="s">
        <v>32389</v>
      </c>
      <c r="F58" s="407">
        <v>45024</v>
      </c>
      <c r="G58" s="406" t="s">
        <v>32390</v>
      </c>
      <c r="H58" s="406" t="s">
        <v>32391</v>
      </c>
      <c r="I58" s="406" t="s">
        <v>32392</v>
      </c>
      <c r="J58" s="408">
        <v>0.37309300000000001</v>
      </c>
      <c r="K58" s="408">
        <v>32.647317999999999</v>
      </c>
      <c r="L58" s="406" t="s">
        <v>314</v>
      </c>
      <c r="M58" s="406" t="s">
        <v>361</v>
      </c>
      <c r="N58" s="406" t="s">
        <v>618</v>
      </c>
      <c r="O58" s="406" t="s">
        <v>363</v>
      </c>
      <c r="P58" s="406" t="s">
        <v>6290</v>
      </c>
      <c r="Q58" s="409">
        <v>13</v>
      </c>
      <c r="R58" s="406" t="s">
        <v>32101</v>
      </c>
      <c r="S58" s="406" t="s">
        <v>27266</v>
      </c>
      <c r="T58" s="406" t="s">
        <v>32102</v>
      </c>
      <c r="U58" s="406" t="s">
        <v>319</v>
      </c>
    </row>
    <row r="59" spans="1:21" hidden="1" x14ac:dyDescent="0.25">
      <c r="A59" s="405" t="s">
        <v>310</v>
      </c>
      <c r="B59" s="406" t="s">
        <v>32521</v>
      </c>
      <c r="C59" s="405" t="s">
        <v>327</v>
      </c>
      <c r="D59" s="405"/>
      <c r="E59" s="406" t="s">
        <v>32522</v>
      </c>
      <c r="F59" s="407">
        <v>45302</v>
      </c>
      <c r="G59" s="406" t="s">
        <v>32523</v>
      </c>
      <c r="H59" s="406" t="s">
        <v>32524</v>
      </c>
      <c r="I59" s="406" t="s">
        <v>32525</v>
      </c>
      <c r="J59" s="408">
        <v>1.1281950000000001</v>
      </c>
      <c r="K59" s="408">
        <v>33.035783000000002</v>
      </c>
      <c r="L59" s="406" t="s">
        <v>6866</v>
      </c>
      <c r="M59" s="406" t="s">
        <v>3009</v>
      </c>
      <c r="N59" s="406" t="s">
        <v>9612</v>
      </c>
      <c r="O59" s="406" t="s">
        <v>16138</v>
      </c>
      <c r="P59" s="406" t="s">
        <v>32526</v>
      </c>
      <c r="Q59" s="409">
        <v>9</v>
      </c>
      <c r="R59" s="406" t="s">
        <v>32164</v>
      </c>
      <c r="S59" s="406" t="s">
        <v>32493</v>
      </c>
      <c r="T59" s="406" t="s">
        <v>32102</v>
      </c>
      <c r="U59" s="406" t="s">
        <v>319</v>
      </c>
    </row>
    <row r="60" spans="1:21" x14ac:dyDescent="0.25">
      <c r="A60" s="405" t="s">
        <v>310</v>
      </c>
      <c r="B60" s="406" t="s">
        <v>32982</v>
      </c>
      <c r="C60" s="405" t="s">
        <v>327</v>
      </c>
      <c r="D60" s="405"/>
      <c r="E60" s="406" t="s">
        <v>32983</v>
      </c>
      <c r="F60" s="407">
        <v>44925</v>
      </c>
      <c r="G60" s="406" t="s">
        <v>32984</v>
      </c>
      <c r="H60" s="406" t="s">
        <v>32985</v>
      </c>
      <c r="I60" s="406" t="s">
        <v>32986</v>
      </c>
      <c r="J60" s="408">
        <v>-0.57058200000000003</v>
      </c>
      <c r="K60" s="408">
        <v>30.66656</v>
      </c>
      <c r="L60" s="406" t="s">
        <v>590</v>
      </c>
      <c r="M60" s="406" t="s">
        <v>19614</v>
      </c>
      <c r="N60" s="406" t="s">
        <v>32987</v>
      </c>
      <c r="O60" s="406" t="s">
        <v>32988</v>
      </c>
      <c r="P60" s="406" t="s">
        <v>19915</v>
      </c>
      <c r="Q60" s="409">
        <v>6</v>
      </c>
      <c r="R60" s="406" t="s">
        <v>26711</v>
      </c>
      <c r="S60" s="406" t="s">
        <v>32989</v>
      </c>
      <c r="T60" s="406" t="s">
        <v>32102</v>
      </c>
      <c r="U60" s="406" t="s">
        <v>319</v>
      </c>
    </row>
    <row r="61" spans="1:21" x14ac:dyDescent="0.25">
      <c r="A61" s="405" t="s">
        <v>310</v>
      </c>
      <c r="B61" s="406" t="s">
        <v>33200</v>
      </c>
      <c r="C61" s="405" t="s">
        <v>327</v>
      </c>
      <c r="D61" s="405"/>
      <c r="E61" s="406" t="s">
        <v>33201</v>
      </c>
      <c r="F61" s="407">
        <v>45275</v>
      </c>
      <c r="G61" s="406" t="s">
        <v>33202</v>
      </c>
      <c r="H61" s="406" t="s">
        <v>33203</v>
      </c>
      <c r="I61" s="406" t="s">
        <v>2913</v>
      </c>
      <c r="J61" s="408">
        <v>1.1771750000000001</v>
      </c>
      <c r="K61" s="408">
        <v>30.758686999999998</v>
      </c>
      <c r="L61" s="406" t="s">
        <v>590</v>
      </c>
      <c r="M61" s="406" t="s">
        <v>7300</v>
      </c>
      <c r="N61" s="406" t="s">
        <v>33120</v>
      </c>
      <c r="O61" s="406" t="s">
        <v>8737</v>
      </c>
      <c r="P61" s="406" t="s">
        <v>33121</v>
      </c>
      <c r="Q61" s="409">
        <v>4</v>
      </c>
      <c r="R61" s="406" t="s">
        <v>32101</v>
      </c>
      <c r="S61" s="406" t="s">
        <v>33204</v>
      </c>
      <c r="T61" s="406" t="s">
        <v>884</v>
      </c>
      <c r="U61" s="406" t="s">
        <v>319</v>
      </c>
    </row>
    <row r="62" spans="1:21" x14ac:dyDescent="0.25">
      <c r="A62" s="405" t="s">
        <v>310</v>
      </c>
      <c r="B62" s="406" t="s">
        <v>32822</v>
      </c>
      <c r="C62" s="405" t="s">
        <v>327</v>
      </c>
      <c r="D62" s="405"/>
      <c r="E62" s="406" t="s">
        <v>32823</v>
      </c>
      <c r="F62" s="407">
        <v>45203</v>
      </c>
      <c r="G62" s="406" t="s">
        <v>32824</v>
      </c>
      <c r="H62" s="406" t="s">
        <v>32825</v>
      </c>
      <c r="I62" s="406" t="s">
        <v>32826</v>
      </c>
      <c r="J62" s="408">
        <v>-0.26158100000000001</v>
      </c>
      <c r="K62" s="408">
        <v>30.567513999999999</v>
      </c>
      <c r="L62" s="406" t="s">
        <v>590</v>
      </c>
      <c r="M62" s="406" t="s">
        <v>19614</v>
      </c>
      <c r="N62" s="406" t="s">
        <v>32827</v>
      </c>
      <c r="O62" s="406" t="s">
        <v>23608</v>
      </c>
      <c r="P62" s="406" t="s">
        <v>32828</v>
      </c>
      <c r="Q62" s="409">
        <v>6</v>
      </c>
      <c r="R62" s="406" t="s">
        <v>32166</v>
      </c>
      <c r="S62" s="406" t="s">
        <v>27173</v>
      </c>
      <c r="T62" s="406" t="s">
        <v>32212</v>
      </c>
      <c r="U62" s="406" t="s">
        <v>2267</v>
      </c>
    </row>
    <row r="63" spans="1:21" x14ac:dyDescent="0.25">
      <c r="A63" s="405" t="s">
        <v>310</v>
      </c>
      <c r="B63" s="405" t="s">
        <v>5546</v>
      </c>
      <c r="C63" s="405" t="s">
        <v>327</v>
      </c>
      <c r="D63" s="405"/>
      <c r="E63" s="410">
        <v>42063</v>
      </c>
      <c r="F63" s="410">
        <v>42108</v>
      </c>
      <c r="G63" s="405" t="s">
        <v>5547</v>
      </c>
      <c r="H63" s="405">
        <v>772559503</v>
      </c>
      <c r="I63" s="405"/>
      <c r="J63" s="405">
        <v>0.78880300000000003</v>
      </c>
      <c r="K63" s="405">
        <v>33.821317999999998</v>
      </c>
      <c r="L63" s="405" t="s">
        <v>314</v>
      </c>
      <c r="M63" s="405" t="s">
        <v>445</v>
      </c>
      <c r="N63" s="405" t="s">
        <v>445</v>
      </c>
      <c r="O63" s="405" t="s">
        <v>445</v>
      </c>
      <c r="P63" s="405" t="s">
        <v>445</v>
      </c>
      <c r="Q63" s="411">
        <v>30</v>
      </c>
      <c r="R63" s="405" t="s">
        <v>353</v>
      </c>
      <c r="S63" s="405" t="s">
        <v>27034</v>
      </c>
      <c r="T63" s="406" t="s">
        <v>32212</v>
      </c>
      <c r="U63" s="406" t="s">
        <v>2267</v>
      </c>
    </row>
    <row r="64" spans="1:21" x14ac:dyDescent="0.25">
      <c r="A64" s="405" t="s">
        <v>310</v>
      </c>
      <c r="B64" s="406" t="s">
        <v>32935</v>
      </c>
      <c r="C64" s="405" t="s">
        <v>327</v>
      </c>
      <c r="D64" s="405"/>
      <c r="E64" s="406" t="s">
        <v>32936</v>
      </c>
      <c r="F64" s="407">
        <v>45061</v>
      </c>
      <c r="G64" s="406" t="s">
        <v>32937</v>
      </c>
      <c r="H64" s="406" t="s">
        <v>32938</v>
      </c>
      <c r="I64" s="406" t="s">
        <v>32939</v>
      </c>
      <c r="J64" s="408">
        <v>0.92222300000000001</v>
      </c>
      <c r="K64" s="408">
        <v>34.167155000000001</v>
      </c>
      <c r="L64" s="406" t="s">
        <v>6866</v>
      </c>
      <c r="M64" s="406" t="s">
        <v>9514</v>
      </c>
      <c r="N64" s="406" t="s">
        <v>32940</v>
      </c>
      <c r="O64" s="406" t="s">
        <v>10567</v>
      </c>
      <c r="P64" s="406" t="s">
        <v>9924</v>
      </c>
      <c r="Q64" s="409">
        <v>6</v>
      </c>
      <c r="R64" s="406" t="s">
        <v>9408</v>
      </c>
      <c r="S64" s="406" t="s">
        <v>17062</v>
      </c>
      <c r="T64" s="405" t="s">
        <v>6551</v>
      </c>
      <c r="U64" s="405" t="s">
        <v>2267</v>
      </c>
    </row>
    <row r="65" spans="1:21" x14ac:dyDescent="0.25">
      <c r="A65" s="405" t="s">
        <v>310</v>
      </c>
      <c r="B65" s="406" t="s">
        <v>32674</v>
      </c>
      <c r="C65" s="405" t="s">
        <v>327</v>
      </c>
      <c r="D65" s="405"/>
      <c r="E65" s="406" t="s">
        <v>32675</v>
      </c>
      <c r="F65" s="407">
        <v>45011</v>
      </c>
      <c r="G65" s="406" t="s">
        <v>32676</v>
      </c>
      <c r="H65" s="406" t="s">
        <v>32677</v>
      </c>
      <c r="I65" s="406" t="s">
        <v>32678</v>
      </c>
      <c r="J65" s="408">
        <v>0.27505600000000002</v>
      </c>
      <c r="K65" s="408">
        <v>32.590985000000003</v>
      </c>
      <c r="L65" s="406" t="s">
        <v>314</v>
      </c>
      <c r="M65" s="406" t="s">
        <v>992</v>
      </c>
      <c r="N65" s="406" t="s">
        <v>618</v>
      </c>
      <c r="O65" s="406" t="s">
        <v>618</v>
      </c>
      <c r="P65" s="406" t="s">
        <v>8778</v>
      </c>
      <c r="Q65" s="409">
        <v>9</v>
      </c>
      <c r="R65" s="406" t="s">
        <v>32101</v>
      </c>
      <c r="S65" s="406" t="s">
        <v>27069</v>
      </c>
      <c r="T65" s="405" t="s">
        <v>32102</v>
      </c>
      <c r="U65" s="405" t="s">
        <v>319</v>
      </c>
    </row>
    <row r="66" spans="1:21" hidden="1" x14ac:dyDescent="0.25">
      <c r="A66" s="405" t="s">
        <v>310</v>
      </c>
      <c r="B66" s="406" t="s">
        <v>32124</v>
      </c>
      <c r="C66" s="405" t="s">
        <v>327</v>
      </c>
      <c r="D66" s="405"/>
      <c r="E66" s="406" t="s">
        <v>32125</v>
      </c>
      <c r="F66" s="407">
        <v>45301</v>
      </c>
      <c r="G66" s="406" t="s">
        <v>32126</v>
      </c>
      <c r="H66" s="406" t="s">
        <v>32127</v>
      </c>
      <c r="I66" s="406" t="s">
        <v>2913</v>
      </c>
      <c r="J66" s="408">
        <v>0.25503799999999999</v>
      </c>
      <c r="K66" s="408">
        <v>32.634554999999999</v>
      </c>
      <c r="L66" s="406" t="s">
        <v>314</v>
      </c>
      <c r="M66" s="406" t="s">
        <v>329</v>
      </c>
      <c r="N66" s="406" t="s">
        <v>7638</v>
      </c>
      <c r="O66" s="406" t="s">
        <v>329</v>
      </c>
      <c r="P66" s="406" t="s">
        <v>329</v>
      </c>
      <c r="Q66" s="409">
        <v>45</v>
      </c>
      <c r="R66" s="406" t="s">
        <v>32101</v>
      </c>
      <c r="S66" s="406" t="s">
        <v>32123</v>
      </c>
      <c r="T66" s="405" t="s">
        <v>884</v>
      </c>
      <c r="U66" s="405" t="s">
        <v>319</v>
      </c>
    </row>
    <row r="67" spans="1:21" x14ac:dyDescent="0.25">
      <c r="A67" s="405" t="s">
        <v>310</v>
      </c>
      <c r="B67" s="406" t="s">
        <v>32661</v>
      </c>
      <c r="C67" s="405" t="s">
        <v>327</v>
      </c>
      <c r="D67" s="405"/>
      <c r="E67" s="406" t="s">
        <v>32662</v>
      </c>
      <c r="F67" s="407">
        <v>45061</v>
      </c>
      <c r="G67" s="406" t="s">
        <v>32663</v>
      </c>
      <c r="H67" s="406" t="s">
        <v>32664</v>
      </c>
      <c r="I67" s="406" t="s">
        <v>32665</v>
      </c>
      <c r="J67" s="408">
        <v>0.459007</v>
      </c>
      <c r="K67" s="408">
        <v>34.079726999999998</v>
      </c>
      <c r="L67" s="406" t="s">
        <v>6866</v>
      </c>
      <c r="M67" s="406" t="s">
        <v>10390</v>
      </c>
      <c r="N67" s="406" t="s">
        <v>32666</v>
      </c>
      <c r="O67" s="406" t="s">
        <v>32666</v>
      </c>
      <c r="P67" s="406" t="s">
        <v>32667</v>
      </c>
      <c r="Q67" s="409">
        <v>9</v>
      </c>
      <c r="R67" s="406" t="s">
        <v>9408</v>
      </c>
      <c r="S67" s="406" t="s">
        <v>32668</v>
      </c>
      <c r="T67" s="405" t="s">
        <v>6551</v>
      </c>
      <c r="U67" s="405" t="s">
        <v>2267</v>
      </c>
    </row>
    <row r="68" spans="1:21" x14ac:dyDescent="0.25">
      <c r="A68" s="405" t="s">
        <v>310</v>
      </c>
      <c r="B68" s="406" t="s">
        <v>32941</v>
      </c>
      <c r="C68" s="405" t="s">
        <v>327</v>
      </c>
      <c r="D68" s="405"/>
      <c r="E68" s="406" t="s">
        <v>32942</v>
      </c>
      <c r="F68" s="407">
        <v>45035</v>
      </c>
      <c r="G68" s="406" t="s">
        <v>32943</v>
      </c>
      <c r="H68" s="406" t="s">
        <v>32944</v>
      </c>
      <c r="I68" s="406" t="s">
        <v>32945</v>
      </c>
      <c r="J68" s="408">
        <v>0.62605500000000003</v>
      </c>
      <c r="K68" s="408">
        <v>33.816397000000002</v>
      </c>
      <c r="L68" s="406" t="s">
        <v>6866</v>
      </c>
      <c r="M68" s="406" t="s">
        <v>13470</v>
      </c>
      <c r="N68" s="406" t="s">
        <v>15166</v>
      </c>
      <c r="O68" s="406" t="s">
        <v>15166</v>
      </c>
      <c r="P68" s="406" t="s">
        <v>32946</v>
      </c>
      <c r="Q68" s="409">
        <v>6</v>
      </c>
      <c r="R68" s="406" t="s">
        <v>9408</v>
      </c>
      <c r="S68" s="406" t="s">
        <v>32947</v>
      </c>
      <c r="T68" s="405" t="s">
        <v>884</v>
      </c>
      <c r="U68" s="405" t="s">
        <v>319</v>
      </c>
    </row>
    <row r="69" spans="1:21" x14ac:dyDescent="0.25">
      <c r="A69" s="405" t="s">
        <v>310</v>
      </c>
      <c r="B69" s="406" t="s">
        <v>32948</v>
      </c>
      <c r="C69" s="405" t="s">
        <v>327</v>
      </c>
      <c r="D69" s="405"/>
      <c r="E69" s="406" t="s">
        <v>32949</v>
      </c>
      <c r="F69" s="407">
        <v>45025</v>
      </c>
      <c r="G69" s="406" t="s">
        <v>32950</v>
      </c>
      <c r="H69" s="406" t="s">
        <v>32951</v>
      </c>
      <c r="I69" s="406" t="s">
        <v>2913</v>
      </c>
      <c r="J69" s="408">
        <v>0.66149500000000006</v>
      </c>
      <c r="K69" s="408">
        <v>34.138423000000003</v>
      </c>
      <c r="L69" s="406" t="s">
        <v>6866</v>
      </c>
      <c r="M69" s="406" t="s">
        <v>9534</v>
      </c>
      <c r="N69" s="406" t="s">
        <v>32952</v>
      </c>
      <c r="O69" s="406" t="s">
        <v>17895</v>
      </c>
      <c r="P69" s="406" t="s">
        <v>32953</v>
      </c>
      <c r="Q69" s="409">
        <v>6</v>
      </c>
      <c r="R69" s="406" t="s">
        <v>9408</v>
      </c>
      <c r="S69" s="406" t="s">
        <v>27067</v>
      </c>
      <c r="T69" s="405" t="s">
        <v>6551</v>
      </c>
      <c r="U69" s="405" t="s">
        <v>2267</v>
      </c>
    </row>
    <row r="70" spans="1:21" hidden="1" x14ac:dyDescent="0.25">
      <c r="A70" s="405" t="s">
        <v>310</v>
      </c>
      <c r="B70" s="412" t="s">
        <v>32502</v>
      </c>
      <c r="C70" s="413" t="s">
        <v>327</v>
      </c>
      <c r="D70" s="413"/>
      <c r="E70" s="412" t="s">
        <v>32503</v>
      </c>
      <c r="F70" s="414">
        <v>45309</v>
      </c>
      <c r="G70" s="412" t="s">
        <v>32504</v>
      </c>
      <c r="H70" s="406" t="s">
        <v>32505</v>
      </c>
      <c r="I70" s="406" t="s">
        <v>32506</v>
      </c>
      <c r="J70" s="408">
        <v>1.470243</v>
      </c>
      <c r="K70" s="408">
        <v>31.530232999999999</v>
      </c>
      <c r="L70" s="406" t="s">
        <v>590</v>
      </c>
      <c r="M70" s="406" t="s">
        <v>7300</v>
      </c>
      <c r="N70" s="406" t="s">
        <v>7300</v>
      </c>
      <c r="O70" s="406" t="s">
        <v>32507</v>
      </c>
      <c r="P70" s="406" t="s">
        <v>32508</v>
      </c>
      <c r="Q70" s="409">
        <v>9</v>
      </c>
      <c r="R70" s="406" t="s">
        <v>32101</v>
      </c>
      <c r="S70" s="406" t="s">
        <v>32266</v>
      </c>
      <c r="T70" s="405" t="s">
        <v>6551</v>
      </c>
      <c r="U70" s="405" t="s">
        <v>2267</v>
      </c>
    </row>
    <row r="71" spans="1:21" hidden="1" x14ac:dyDescent="0.25">
      <c r="A71" s="405" t="s">
        <v>310</v>
      </c>
      <c r="B71" s="406" t="s">
        <v>33130</v>
      </c>
      <c r="C71" s="405" t="s">
        <v>327</v>
      </c>
      <c r="D71" s="405"/>
      <c r="E71" s="406" t="s">
        <v>32503</v>
      </c>
      <c r="F71" s="407">
        <v>45310</v>
      </c>
      <c r="G71" s="406" t="s">
        <v>33131</v>
      </c>
      <c r="H71" s="406" t="s">
        <v>33132</v>
      </c>
      <c r="I71" s="406" t="s">
        <v>2913</v>
      </c>
      <c r="J71" s="408">
        <v>1.281533</v>
      </c>
      <c r="K71" s="408">
        <v>30.794998</v>
      </c>
      <c r="L71" s="406" t="s">
        <v>590</v>
      </c>
      <c r="M71" s="406" t="s">
        <v>7300</v>
      </c>
      <c r="N71" s="406" t="s">
        <v>33120</v>
      </c>
      <c r="O71" s="406" t="s">
        <v>8737</v>
      </c>
      <c r="P71" s="406" t="s">
        <v>25129</v>
      </c>
      <c r="Q71" s="409">
        <v>4</v>
      </c>
      <c r="R71" s="406" t="s">
        <v>32101</v>
      </c>
      <c r="S71" s="406" t="s">
        <v>33133</v>
      </c>
      <c r="T71" s="405" t="s">
        <v>6551</v>
      </c>
      <c r="U71" s="405" t="s">
        <v>2267</v>
      </c>
    </row>
    <row r="72" spans="1:21" hidden="1" x14ac:dyDescent="0.25">
      <c r="A72" s="405" t="s">
        <v>310</v>
      </c>
      <c r="B72" s="406" t="s">
        <v>33134</v>
      </c>
      <c r="C72" s="405" t="s">
        <v>327</v>
      </c>
      <c r="D72" s="405"/>
      <c r="E72" s="406" t="s">
        <v>32503</v>
      </c>
      <c r="F72" s="407">
        <v>45310</v>
      </c>
      <c r="G72" s="406" t="s">
        <v>33135</v>
      </c>
      <c r="H72" s="406" t="s">
        <v>33136</v>
      </c>
      <c r="I72" s="406" t="s">
        <v>2913</v>
      </c>
      <c r="J72" s="408">
        <v>1.2659720000000001</v>
      </c>
      <c r="K72" s="408">
        <v>30.808192999999999</v>
      </c>
      <c r="L72" s="406" t="s">
        <v>590</v>
      </c>
      <c r="M72" s="406" t="s">
        <v>7300</v>
      </c>
      <c r="N72" s="406" t="s">
        <v>25995</v>
      </c>
      <c r="O72" s="406" t="s">
        <v>8737</v>
      </c>
      <c r="P72" s="406" t="s">
        <v>33137</v>
      </c>
      <c r="Q72" s="409">
        <v>4</v>
      </c>
      <c r="R72" s="406" t="s">
        <v>32101</v>
      </c>
      <c r="S72" s="406" t="s">
        <v>27052</v>
      </c>
      <c r="T72" s="405" t="s">
        <v>884</v>
      </c>
      <c r="U72" s="405" t="s">
        <v>319</v>
      </c>
    </row>
    <row r="73" spans="1:21" hidden="1" x14ac:dyDescent="0.25">
      <c r="A73" s="405" t="s">
        <v>310</v>
      </c>
      <c r="B73" s="406" t="s">
        <v>33138</v>
      </c>
      <c r="C73" s="405" t="s">
        <v>327</v>
      </c>
      <c r="D73" s="405"/>
      <c r="E73" s="406" t="s">
        <v>32503</v>
      </c>
      <c r="F73" s="407">
        <v>45310</v>
      </c>
      <c r="G73" s="406" t="s">
        <v>33139</v>
      </c>
      <c r="H73" s="406" t="s">
        <v>33140</v>
      </c>
      <c r="I73" s="406" t="s">
        <v>33141</v>
      </c>
      <c r="J73" s="408">
        <v>1.1953149999999999</v>
      </c>
      <c r="K73" s="408">
        <v>30.801212</v>
      </c>
      <c r="L73" s="406" t="s">
        <v>590</v>
      </c>
      <c r="M73" s="406" t="s">
        <v>7300</v>
      </c>
      <c r="N73" s="406" t="s">
        <v>33120</v>
      </c>
      <c r="O73" s="406" t="s">
        <v>8737</v>
      </c>
      <c r="P73" s="406" t="s">
        <v>22211</v>
      </c>
      <c r="Q73" s="409">
        <v>4</v>
      </c>
      <c r="R73" s="406" t="s">
        <v>32101</v>
      </c>
      <c r="S73" s="406" t="s">
        <v>32266</v>
      </c>
      <c r="T73" s="405" t="s">
        <v>6551</v>
      </c>
      <c r="U73" s="405" t="s">
        <v>2267</v>
      </c>
    </row>
    <row r="74" spans="1:21" hidden="1" x14ac:dyDescent="0.25">
      <c r="A74" s="405" t="s">
        <v>310</v>
      </c>
      <c r="B74" s="406" t="s">
        <v>33111</v>
      </c>
      <c r="C74" s="405" t="s">
        <v>327</v>
      </c>
      <c r="D74" s="405"/>
      <c r="E74" s="406" t="s">
        <v>33112</v>
      </c>
      <c r="F74" s="407">
        <v>45344</v>
      </c>
      <c r="G74" s="406" t="s">
        <v>33113</v>
      </c>
      <c r="H74" s="406" t="s">
        <v>33114</v>
      </c>
      <c r="I74" s="406" t="s">
        <v>33115</v>
      </c>
      <c r="J74" s="408">
        <v>1.21255</v>
      </c>
      <c r="K74" s="408">
        <v>30.801683000000001</v>
      </c>
      <c r="L74" s="406" t="s">
        <v>590</v>
      </c>
      <c r="M74" s="406" t="s">
        <v>7300</v>
      </c>
      <c r="N74" s="406" t="s">
        <v>8737</v>
      </c>
      <c r="O74" s="406" t="s">
        <v>8737</v>
      </c>
      <c r="P74" s="406" t="s">
        <v>33116</v>
      </c>
      <c r="Q74" s="409">
        <v>4</v>
      </c>
      <c r="R74" s="406" t="s">
        <v>32101</v>
      </c>
      <c r="S74" s="406" t="s">
        <v>27060</v>
      </c>
      <c r="T74" s="405" t="s">
        <v>6551</v>
      </c>
      <c r="U74" s="405" t="s">
        <v>2267</v>
      </c>
    </row>
    <row r="75" spans="1:21" hidden="1" x14ac:dyDescent="0.25">
      <c r="A75" s="405" t="s">
        <v>310</v>
      </c>
      <c r="B75" s="406" t="s">
        <v>33117</v>
      </c>
      <c r="C75" s="405" t="s">
        <v>327</v>
      </c>
      <c r="D75" s="405"/>
      <c r="E75" s="406" t="s">
        <v>33112</v>
      </c>
      <c r="F75" s="407">
        <v>45315</v>
      </c>
      <c r="G75" s="406" t="s">
        <v>33118</v>
      </c>
      <c r="H75" s="406" t="s">
        <v>33119</v>
      </c>
      <c r="I75" s="406" t="s">
        <v>2913</v>
      </c>
      <c r="J75" s="408">
        <v>1.172142</v>
      </c>
      <c r="K75" s="408">
        <v>30.763535000000001</v>
      </c>
      <c r="L75" s="406" t="s">
        <v>590</v>
      </c>
      <c r="M75" s="406" t="s">
        <v>7300</v>
      </c>
      <c r="N75" s="406" t="s">
        <v>33120</v>
      </c>
      <c r="O75" s="406" t="s">
        <v>8737</v>
      </c>
      <c r="P75" s="406" t="s">
        <v>33121</v>
      </c>
      <c r="Q75" s="409">
        <v>4</v>
      </c>
      <c r="R75" s="406" t="s">
        <v>32101</v>
      </c>
      <c r="S75" s="406" t="s">
        <v>27280</v>
      </c>
      <c r="T75" s="405" t="s">
        <v>884</v>
      </c>
      <c r="U75" s="405" t="s">
        <v>319</v>
      </c>
    </row>
    <row r="76" spans="1:21" x14ac:dyDescent="0.25">
      <c r="A76" s="405" t="s">
        <v>310</v>
      </c>
      <c r="B76" s="406" t="s">
        <v>33187</v>
      </c>
      <c r="C76" s="405" t="s">
        <v>327</v>
      </c>
      <c r="D76" s="405"/>
      <c r="E76" s="406" t="s">
        <v>33112</v>
      </c>
      <c r="F76" s="407">
        <v>45279</v>
      </c>
      <c r="G76" s="406" t="s">
        <v>33188</v>
      </c>
      <c r="H76" s="406" t="s">
        <v>33189</v>
      </c>
      <c r="I76" s="406" t="s">
        <v>2913</v>
      </c>
      <c r="J76" s="408">
        <v>1.175605</v>
      </c>
      <c r="K76" s="408">
        <v>30.764923</v>
      </c>
      <c r="L76" s="406" t="s">
        <v>590</v>
      </c>
      <c r="M76" s="406" t="s">
        <v>7300</v>
      </c>
      <c r="N76" s="406" t="s">
        <v>33120</v>
      </c>
      <c r="O76" s="406" t="s">
        <v>8737</v>
      </c>
      <c r="P76" s="406" t="s">
        <v>33121</v>
      </c>
      <c r="Q76" s="409">
        <v>4</v>
      </c>
      <c r="R76" s="406" t="s">
        <v>32101</v>
      </c>
      <c r="S76" s="406" t="s">
        <v>27278</v>
      </c>
      <c r="T76" s="405" t="s">
        <v>884</v>
      </c>
      <c r="U76" s="405" t="s">
        <v>319</v>
      </c>
    </row>
    <row r="77" spans="1:21" x14ac:dyDescent="0.25">
      <c r="A77" s="405" t="s">
        <v>310</v>
      </c>
      <c r="B77" s="406" t="s">
        <v>33213</v>
      </c>
      <c r="C77" s="405" t="s">
        <v>327</v>
      </c>
      <c r="D77" s="405"/>
      <c r="E77" s="406" t="s">
        <v>33112</v>
      </c>
      <c r="F77" s="407">
        <v>45270</v>
      </c>
      <c r="G77" s="406" t="s">
        <v>33214</v>
      </c>
      <c r="H77" s="406" t="s">
        <v>33215</v>
      </c>
      <c r="I77" s="406" t="s">
        <v>2913</v>
      </c>
      <c r="J77" s="408">
        <v>1.1753849999999999</v>
      </c>
      <c r="K77" s="408">
        <v>30.765768000000001</v>
      </c>
      <c r="L77" s="406" t="s">
        <v>590</v>
      </c>
      <c r="M77" s="406" t="s">
        <v>7300</v>
      </c>
      <c r="N77" s="406" t="s">
        <v>33216</v>
      </c>
      <c r="O77" s="406" t="s">
        <v>8737</v>
      </c>
      <c r="P77" s="406" t="s">
        <v>33121</v>
      </c>
      <c r="Q77" s="409">
        <v>4</v>
      </c>
      <c r="R77" s="406" t="s">
        <v>32101</v>
      </c>
      <c r="S77" s="406" t="s">
        <v>33217</v>
      </c>
      <c r="T77" s="405" t="s">
        <v>32102</v>
      </c>
      <c r="U77" s="405" t="s">
        <v>319</v>
      </c>
    </row>
    <row r="78" spans="1:21" x14ac:dyDescent="0.25">
      <c r="A78" s="405" t="s">
        <v>310</v>
      </c>
      <c r="B78" s="405" t="s">
        <v>27633</v>
      </c>
      <c r="C78" s="405" t="s">
        <v>327</v>
      </c>
      <c r="D78" s="405"/>
      <c r="E78" s="410">
        <v>42085</v>
      </c>
      <c r="F78" s="410">
        <v>42130</v>
      </c>
      <c r="G78" s="405" t="s">
        <v>5586</v>
      </c>
      <c r="H78" s="405">
        <v>772121154</v>
      </c>
      <c r="I78" s="405"/>
      <c r="J78" s="405">
        <v>0.19503999999999999</v>
      </c>
      <c r="K78" s="405">
        <v>32.519998000000001</v>
      </c>
      <c r="L78" s="405" t="s">
        <v>314</v>
      </c>
      <c r="M78" s="405" t="s">
        <v>361</v>
      </c>
      <c r="N78" s="405" t="s">
        <v>5587</v>
      </c>
      <c r="O78" s="405" t="s">
        <v>5588</v>
      </c>
      <c r="P78" s="405" t="s">
        <v>5589</v>
      </c>
      <c r="Q78" s="411">
        <v>20</v>
      </c>
      <c r="R78" s="405" t="s">
        <v>5336</v>
      </c>
      <c r="S78" s="405" t="s">
        <v>27054</v>
      </c>
      <c r="T78" s="405" t="s">
        <v>6551</v>
      </c>
      <c r="U78" s="405" t="s">
        <v>2267</v>
      </c>
    </row>
    <row r="79" spans="1:21" x14ac:dyDescent="0.25">
      <c r="A79" s="405" t="s">
        <v>310</v>
      </c>
      <c r="B79" s="406" t="s">
        <v>32695</v>
      </c>
      <c r="C79" s="405" t="s">
        <v>327</v>
      </c>
      <c r="D79" s="405"/>
      <c r="E79" s="406" t="s">
        <v>32696</v>
      </c>
      <c r="F79" s="407">
        <v>44889</v>
      </c>
      <c r="G79" s="406" t="s">
        <v>32697</v>
      </c>
      <c r="H79" s="406" t="s">
        <v>32698</v>
      </c>
      <c r="I79" s="406" t="s">
        <v>32699</v>
      </c>
      <c r="J79" s="408">
        <v>0.54974299999999998</v>
      </c>
      <c r="K79" s="408">
        <v>32.251742999999998</v>
      </c>
      <c r="L79" s="406" t="s">
        <v>314</v>
      </c>
      <c r="M79" s="406" t="s">
        <v>361</v>
      </c>
      <c r="N79" s="406" t="s">
        <v>374</v>
      </c>
      <c r="O79" s="406" t="s">
        <v>662</v>
      </c>
      <c r="P79" s="406" t="s">
        <v>336</v>
      </c>
      <c r="Q79" s="409">
        <v>9</v>
      </c>
      <c r="R79" s="406" t="s">
        <v>32101</v>
      </c>
      <c r="S79" s="406" t="s">
        <v>32700</v>
      </c>
      <c r="T79" s="405" t="s">
        <v>6551</v>
      </c>
      <c r="U79" s="405" t="s">
        <v>2267</v>
      </c>
    </row>
    <row r="80" spans="1:21" x14ac:dyDescent="0.25">
      <c r="A80" s="405" t="s">
        <v>310</v>
      </c>
      <c r="B80" s="406" t="s">
        <v>32449</v>
      </c>
      <c r="C80" s="405" t="s">
        <v>327</v>
      </c>
      <c r="D80" s="405"/>
      <c r="E80" s="406" t="s">
        <v>32450</v>
      </c>
      <c r="F80" s="407">
        <v>44837</v>
      </c>
      <c r="G80" s="406" t="s">
        <v>32451</v>
      </c>
      <c r="H80" s="406" t="s">
        <v>32452</v>
      </c>
      <c r="I80" s="406" t="s">
        <v>2913</v>
      </c>
      <c r="J80" s="408">
        <v>0.64958199999999999</v>
      </c>
      <c r="K80" s="408">
        <v>30.303961999999999</v>
      </c>
      <c r="L80" s="406" t="s">
        <v>590</v>
      </c>
      <c r="M80" s="406" t="s">
        <v>32453</v>
      </c>
      <c r="N80" s="406" t="s">
        <v>21918</v>
      </c>
      <c r="O80" s="406" t="s">
        <v>23515</v>
      </c>
      <c r="P80" s="406" t="s">
        <v>32454</v>
      </c>
      <c r="Q80" s="409">
        <v>13</v>
      </c>
      <c r="R80" s="406" t="s">
        <v>32101</v>
      </c>
      <c r="S80" s="406" t="s">
        <v>32455</v>
      </c>
      <c r="T80" s="405" t="s">
        <v>32102</v>
      </c>
      <c r="U80" s="405" t="s">
        <v>319</v>
      </c>
    </row>
    <row r="81" spans="1:21" x14ac:dyDescent="0.25">
      <c r="A81" s="405" t="s">
        <v>310</v>
      </c>
      <c r="B81" s="406" t="s">
        <v>32709</v>
      </c>
      <c r="C81" s="405" t="s">
        <v>327</v>
      </c>
      <c r="D81" s="405"/>
      <c r="E81" s="406" t="s">
        <v>32450</v>
      </c>
      <c r="F81" s="407">
        <v>44876</v>
      </c>
      <c r="G81" s="406" t="s">
        <v>32710</v>
      </c>
      <c r="H81" s="406" t="s">
        <v>32711</v>
      </c>
      <c r="I81" s="406" t="s">
        <v>2913</v>
      </c>
      <c r="J81" s="408">
        <v>0.46681800000000001</v>
      </c>
      <c r="K81" s="408">
        <v>32.759599999999999</v>
      </c>
      <c r="L81" s="406" t="s">
        <v>314</v>
      </c>
      <c r="M81" s="406" t="s">
        <v>329</v>
      </c>
      <c r="N81" s="406" t="s">
        <v>5950</v>
      </c>
      <c r="O81" s="406" t="s">
        <v>336</v>
      </c>
      <c r="P81" s="406" t="s">
        <v>32712</v>
      </c>
      <c r="Q81" s="409">
        <v>9</v>
      </c>
      <c r="R81" s="406" t="s">
        <v>32101</v>
      </c>
      <c r="S81" s="406" t="s">
        <v>32713</v>
      </c>
      <c r="T81" s="405" t="s">
        <v>6551</v>
      </c>
      <c r="U81" s="405" t="s">
        <v>2267</v>
      </c>
    </row>
    <row r="82" spans="1:21" x14ac:dyDescent="0.25">
      <c r="A82" s="405" t="s">
        <v>310</v>
      </c>
      <c r="B82" s="406" t="s">
        <v>32714</v>
      </c>
      <c r="C82" s="405" t="s">
        <v>327</v>
      </c>
      <c r="D82" s="405"/>
      <c r="E82" s="406" t="s">
        <v>32450</v>
      </c>
      <c r="F82" s="407">
        <v>44861</v>
      </c>
      <c r="G82" s="406" t="s">
        <v>32715</v>
      </c>
      <c r="H82" s="406" t="s">
        <v>32716</v>
      </c>
      <c r="I82" s="406" t="s">
        <v>32717</v>
      </c>
      <c r="J82" s="408">
        <v>0.396698</v>
      </c>
      <c r="K82" s="408">
        <v>32.098509999999997</v>
      </c>
      <c r="L82" s="406" t="s">
        <v>314</v>
      </c>
      <c r="M82" s="406" t="s">
        <v>675</v>
      </c>
      <c r="N82" s="406" t="s">
        <v>675</v>
      </c>
      <c r="O82" s="406" t="s">
        <v>2348</v>
      </c>
      <c r="P82" s="406" t="s">
        <v>672</v>
      </c>
      <c r="Q82" s="409">
        <v>9</v>
      </c>
      <c r="R82" s="406" t="s">
        <v>32101</v>
      </c>
      <c r="S82" s="406" t="s">
        <v>32718</v>
      </c>
      <c r="T82" s="405" t="s">
        <v>32102</v>
      </c>
      <c r="U82" s="405" t="s">
        <v>319</v>
      </c>
    </row>
    <row r="83" spans="1:21" x14ac:dyDescent="0.25">
      <c r="A83" s="405" t="s">
        <v>310</v>
      </c>
      <c r="B83" s="406" t="s">
        <v>32874</v>
      </c>
      <c r="C83" s="405" t="s">
        <v>327</v>
      </c>
      <c r="D83" s="405"/>
      <c r="E83" s="406" t="s">
        <v>32875</v>
      </c>
      <c r="F83" s="407">
        <v>45140</v>
      </c>
      <c r="G83" s="406" t="s">
        <v>32876</v>
      </c>
      <c r="H83" s="406" t="s">
        <v>32877</v>
      </c>
      <c r="I83" s="406" t="s">
        <v>2913</v>
      </c>
      <c r="J83" s="408">
        <v>0.13646</v>
      </c>
      <c r="K83" s="408">
        <v>32.226976999999998</v>
      </c>
      <c r="L83" s="406" t="s">
        <v>314</v>
      </c>
      <c r="M83" s="406" t="s">
        <v>321</v>
      </c>
      <c r="N83" s="406" t="s">
        <v>1244</v>
      </c>
      <c r="O83" s="406" t="s">
        <v>5626</v>
      </c>
      <c r="P83" s="406" t="s">
        <v>2918</v>
      </c>
      <c r="Q83" s="409">
        <v>6</v>
      </c>
      <c r="R83" s="406" t="s">
        <v>32101</v>
      </c>
      <c r="S83" s="406" t="s">
        <v>32878</v>
      </c>
      <c r="T83" s="405" t="s">
        <v>32102</v>
      </c>
      <c r="U83" s="405" t="s">
        <v>319</v>
      </c>
    </row>
    <row r="84" spans="1:21" x14ac:dyDescent="0.25">
      <c r="A84" s="405" t="s">
        <v>310</v>
      </c>
      <c r="B84" s="406" t="s">
        <v>32358</v>
      </c>
      <c r="C84" s="405" t="s">
        <v>327</v>
      </c>
      <c r="D84" s="405"/>
      <c r="E84" s="406" t="s">
        <v>32359</v>
      </c>
      <c r="F84" s="407">
        <v>45091</v>
      </c>
      <c r="G84" s="406" t="s">
        <v>32360</v>
      </c>
      <c r="H84" s="406" t="s">
        <v>32361</v>
      </c>
      <c r="I84" s="406" t="s">
        <v>32362</v>
      </c>
      <c r="J84" s="408">
        <v>0.104215</v>
      </c>
      <c r="K84" s="408">
        <v>32.256610000000002</v>
      </c>
      <c r="L84" s="406" t="s">
        <v>314</v>
      </c>
      <c r="M84" s="406" t="s">
        <v>321</v>
      </c>
      <c r="N84" s="406" t="s">
        <v>5626</v>
      </c>
      <c r="O84" s="406" t="s">
        <v>32363</v>
      </c>
      <c r="P84" s="406" t="s">
        <v>32364</v>
      </c>
      <c r="Q84" s="409">
        <v>13</v>
      </c>
      <c r="R84" s="406" t="s">
        <v>32101</v>
      </c>
      <c r="S84" s="406" t="s">
        <v>32365</v>
      </c>
      <c r="T84" s="405" t="s">
        <v>32102</v>
      </c>
      <c r="U84" s="405" t="s">
        <v>319</v>
      </c>
    </row>
    <row r="85" spans="1:21" x14ac:dyDescent="0.25">
      <c r="A85" s="405" t="s">
        <v>310</v>
      </c>
      <c r="B85" s="406" t="s">
        <v>32961</v>
      </c>
      <c r="C85" s="405" t="s">
        <v>327</v>
      </c>
      <c r="D85" s="405"/>
      <c r="E85" s="406" t="s">
        <v>32962</v>
      </c>
      <c r="F85" s="407">
        <v>45009</v>
      </c>
      <c r="G85" s="406" t="s">
        <v>32963</v>
      </c>
      <c r="H85" s="406" t="s">
        <v>32964</v>
      </c>
      <c r="I85" s="406" t="s">
        <v>32965</v>
      </c>
      <c r="J85" s="408">
        <v>0.43137300000000001</v>
      </c>
      <c r="K85" s="408">
        <v>34.085920000000002</v>
      </c>
      <c r="L85" s="406" t="s">
        <v>6866</v>
      </c>
      <c r="M85" s="406" t="s">
        <v>10390</v>
      </c>
      <c r="N85" s="406" t="s">
        <v>13485</v>
      </c>
      <c r="O85" s="406" t="s">
        <v>32966</v>
      </c>
      <c r="P85" s="406" t="s">
        <v>32967</v>
      </c>
      <c r="Q85" s="409">
        <v>6</v>
      </c>
      <c r="R85" s="406" t="s">
        <v>32968</v>
      </c>
      <c r="S85" s="406" t="s">
        <v>32969</v>
      </c>
      <c r="T85" s="405" t="s">
        <v>32102</v>
      </c>
      <c r="U85" s="405" t="s">
        <v>319</v>
      </c>
    </row>
    <row r="86" spans="1:21" x14ac:dyDescent="0.25">
      <c r="A86" s="405" t="s">
        <v>310</v>
      </c>
      <c r="B86" s="406" t="s">
        <v>32974</v>
      </c>
      <c r="C86" s="405" t="s">
        <v>327</v>
      </c>
      <c r="D86" s="405"/>
      <c r="E86" s="406" t="s">
        <v>32962</v>
      </c>
      <c r="F86" s="407">
        <v>44989</v>
      </c>
      <c r="G86" s="406" t="s">
        <v>32975</v>
      </c>
      <c r="H86" s="406" t="s">
        <v>32976</v>
      </c>
      <c r="I86" s="406" t="s">
        <v>2913</v>
      </c>
      <c r="J86" s="408">
        <v>0.27255800000000002</v>
      </c>
      <c r="K86" s="408">
        <v>32.46134</v>
      </c>
      <c r="L86" s="406" t="s">
        <v>314</v>
      </c>
      <c r="M86" s="406" t="s">
        <v>361</v>
      </c>
      <c r="N86" s="406" t="s">
        <v>374</v>
      </c>
      <c r="O86" s="406" t="s">
        <v>375</v>
      </c>
      <c r="P86" s="406" t="s">
        <v>5393</v>
      </c>
      <c r="Q86" s="409">
        <v>6</v>
      </c>
      <c r="R86" s="406" t="s">
        <v>32101</v>
      </c>
      <c r="S86" s="406" t="s">
        <v>32730</v>
      </c>
      <c r="T86" s="405" t="s">
        <v>32102</v>
      </c>
      <c r="U86" s="405" t="s">
        <v>319</v>
      </c>
    </row>
    <row r="87" spans="1:21" x14ac:dyDescent="0.25">
      <c r="A87" s="405" t="s">
        <v>310</v>
      </c>
      <c r="B87" s="406" t="s">
        <v>32402</v>
      </c>
      <c r="C87" s="405" t="s">
        <v>327</v>
      </c>
      <c r="D87" s="405"/>
      <c r="E87" s="406" t="s">
        <v>32403</v>
      </c>
      <c r="F87" s="407">
        <v>44963</v>
      </c>
      <c r="G87" s="406" t="s">
        <v>32404</v>
      </c>
      <c r="H87" s="406" t="s">
        <v>32405</v>
      </c>
      <c r="I87" s="406" t="s">
        <v>9225</v>
      </c>
      <c r="J87" s="408">
        <v>-0.25792599999999999</v>
      </c>
      <c r="K87" s="408">
        <v>31.731247</v>
      </c>
      <c r="L87" s="406" t="s">
        <v>314</v>
      </c>
      <c r="M87" s="406" t="s">
        <v>382</v>
      </c>
      <c r="N87" s="406" t="s">
        <v>1076</v>
      </c>
      <c r="O87" s="406" t="s">
        <v>411</v>
      </c>
      <c r="P87" s="406" t="s">
        <v>411</v>
      </c>
      <c r="Q87" s="409">
        <v>13</v>
      </c>
      <c r="R87" s="406" t="s">
        <v>9408</v>
      </c>
      <c r="S87" s="406" t="s">
        <v>27265</v>
      </c>
      <c r="T87" s="405" t="s">
        <v>32102</v>
      </c>
      <c r="U87" s="405" t="s">
        <v>319</v>
      </c>
    </row>
    <row r="88" spans="1:21" x14ac:dyDescent="0.25">
      <c r="A88" s="405" t="s">
        <v>310</v>
      </c>
      <c r="B88" s="406" t="s">
        <v>32970</v>
      </c>
      <c r="C88" s="405" t="s">
        <v>327</v>
      </c>
      <c r="D88" s="405"/>
      <c r="E88" s="406" t="s">
        <v>32971</v>
      </c>
      <c r="F88" s="407">
        <v>44999</v>
      </c>
      <c r="G88" s="406" t="s">
        <v>32972</v>
      </c>
      <c r="H88" s="406" t="s">
        <v>32973</v>
      </c>
      <c r="I88" s="406" t="s">
        <v>2913</v>
      </c>
      <c r="J88" s="408">
        <v>1.8863000000000001E-2</v>
      </c>
      <c r="K88" s="408">
        <v>30.957221000000001</v>
      </c>
      <c r="L88" s="406" t="s">
        <v>590</v>
      </c>
      <c r="M88" s="406" t="s">
        <v>19705</v>
      </c>
      <c r="N88" s="406" t="s">
        <v>24794</v>
      </c>
      <c r="O88" s="406" t="s">
        <v>24794</v>
      </c>
      <c r="P88" s="406" t="s">
        <v>24794</v>
      </c>
      <c r="Q88" s="409">
        <v>6</v>
      </c>
      <c r="R88" s="406" t="s">
        <v>32166</v>
      </c>
      <c r="S88" s="406" t="s">
        <v>32571</v>
      </c>
      <c r="T88" s="406" t="s">
        <v>32102</v>
      </c>
      <c r="U88" s="406" t="s">
        <v>319</v>
      </c>
    </row>
    <row r="89" spans="1:21" x14ac:dyDescent="0.25">
      <c r="A89" s="405" t="s">
        <v>310</v>
      </c>
      <c r="B89" s="406" t="s">
        <v>33248</v>
      </c>
      <c r="C89" s="405" t="s">
        <v>327</v>
      </c>
      <c r="D89" s="405"/>
      <c r="E89" s="406" t="s">
        <v>33249</v>
      </c>
      <c r="F89" s="407">
        <v>44938</v>
      </c>
      <c r="G89" s="406" t="s">
        <v>33250</v>
      </c>
      <c r="H89" s="406" t="s">
        <v>33251</v>
      </c>
      <c r="I89" s="406" t="s">
        <v>33252</v>
      </c>
      <c r="J89" s="408">
        <v>0.71880200000000005</v>
      </c>
      <c r="K89" s="408">
        <v>34.205995000000001</v>
      </c>
      <c r="L89" s="406" t="s">
        <v>6866</v>
      </c>
      <c r="M89" s="406" t="s">
        <v>9534</v>
      </c>
      <c r="N89" s="406" t="s">
        <v>32952</v>
      </c>
      <c r="O89" s="406" t="s">
        <v>12298</v>
      </c>
      <c r="P89" s="406" t="s">
        <v>33253</v>
      </c>
      <c r="Q89" s="409">
        <v>4</v>
      </c>
      <c r="R89" s="406" t="s">
        <v>9408</v>
      </c>
      <c r="S89" s="406" t="s">
        <v>33254</v>
      </c>
      <c r="T89" s="406" t="s">
        <v>32102</v>
      </c>
      <c r="U89" s="406" t="s">
        <v>319</v>
      </c>
    </row>
    <row r="90" spans="1:21" x14ac:dyDescent="0.25">
      <c r="A90" s="405" t="s">
        <v>310</v>
      </c>
      <c r="B90" s="405" t="s">
        <v>5593</v>
      </c>
      <c r="C90" s="405" t="s">
        <v>327</v>
      </c>
      <c r="D90" s="405"/>
      <c r="E90" s="410">
        <v>42091</v>
      </c>
      <c r="F90" s="410">
        <v>42136</v>
      </c>
      <c r="G90" s="405" t="s">
        <v>5594</v>
      </c>
      <c r="H90" s="405">
        <v>785589902</v>
      </c>
      <c r="I90" s="405"/>
      <c r="J90" s="405">
        <v>0.93203800000000003</v>
      </c>
      <c r="K90" s="405">
        <v>34.158794999999998</v>
      </c>
      <c r="L90" s="405" t="s">
        <v>314</v>
      </c>
      <c r="M90" s="405" t="s">
        <v>361</v>
      </c>
      <c r="N90" s="405" t="s">
        <v>410</v>
      </c>
      <c r="O90" s="405" t="s">
        <v>410</v>
      </c>
      <c r="P90" s="405" t="s">
        <v>3150</v>
      </c>
      <c r="Q90" s="411">
        <v>30</v>
      </c>
      <c r="R90" s="405" t="s">
        <v>353</v>
      </c>
      <c r="S90" s="405" t="s">
        <v>27247</v>
      </c>
      <c r="T90" s="406" t="s">
        <v>32102</v>
      </c>
      <c r="U90" s="406" t="s">
        <v>319</v>
      </c>
    </row>
    <row r="91" spans="1:21" x14ac:dyDescent="0.25">
      <c r="A91" s="405" t="s">
        <v>310</v>
      </c>
      <c r="B91" s="406" t="s">
        <v>32579</v>
      </c>
      <c r="C91" s="405" t="s">
        <v>327</v>
      </c>
      <c r="D91" s="405"/>
      <c r="E91" s="406" t="s">
        <v>32580</v>
      </c>
      <c r="F91" s="407">
        <v>45209</v>
      </c>
      <c r="G91" s="406" t="s">
        <v>32581</v>
      </c>
      <c r="H91" s="406" t="s">
        <v>32582</v>
      </c>
      <c r="I91" s="406" t="s">
        <v>32583</v>
      </c>
      <c r="J91" s="408">
        <v>-1.008173</v>
      </c>
      <c r="K91" s="408">
        <v>30.190785000000002</v>
      </c>
      <c r="L91" s="406" t="s">
        <v>590</v>
      </c>
      <c r="M91" s="406" t="s">
        <v>19659</v>
      </c>
      <c r="N91" s="406" t="s">
        <v>20548</v>
      </c>
      <c r="O91" s="406" t="s">
        <v>20611</v>
      </c>
      <c r="P91" s="406" t="s">
        <v>20611</v>
      </c>
      <c r="Q91" s="409">
        <v>9</v>
      </c>
      <c r="R91" s="406" t="s">
        <v>32166</v>
      </c>
      <c r="S91" s="406" t="s">
        <v>32571</v>
      </c>
      <c r="T91" s="405" t="s">
        <v>32102</v>
      </c>
      <c r="U91" s="405" t="s">
        <v>319</v>
      </c>
    </row>
    <row r="92" spans="1:21" x14ac:dyDescent="0.25">
      <c r="A92" s="405" t="s">
        <v>310</v>
      </c>
      <c r="B92" s="406" t="s">
        <v>32584</v>
      </c>
      <c r="C92" s="405" t="s">
        <v>327</v>
      </c>
      <c r="D92" s="405"/>
      <c r="E92" s="406" t="s">
        <v>32585</v>
      </c>
      <c r="F92" s="407">
        <v>45191</v>
      </c>
      <c r="G92" s="406" t="s">
        <v>32586</v>
      </c>
      <c r="H92" s="406" t="s">
        <v>32587</v>
      </c>
      <c r="I92" s="406" t="s">
        <v>32588</v>
      </c>
      <c r="J92" s="408">
        <v>0.499913</v>
      </c>
      <c r="K92" s="408">
        <v>33.219034999999998</v>
      </c>
      <c r="L92" s="406" t="s">
        <v>6866</v>
      </c>
      <c r="M92" s="406" t="s">
        <v>9590</v>
      </c>
      <c r="N92" s="406" t="s">
        <v>32589</v>
      </c>
      <c r="O92" s="406" t="s">
        <v>9592</v>
      </c>
      <c r="P92" s="406" t="s">
        <v>7511</v>
      </c>
      <c r="Q92" s="409">
        <v>9</v>
      </c>
      <c r="R92" s="406" t="s">
        <v>32164</v>
      </c>
      <c r="S92" s="406" t="s">
        <v>32165</v>
      </c>
      <c r="T92" s="405" t="s">
        <v>32102</v>
      </c>
      <c r="U92" s="405" t="s">
        <v>319</v>
      </c>
    </row>
    <row r="93" spans="1:21" x14ac:dyDescent="0.25">
      <c r="A93" s="405" t="s">
        <v>310</v>
      </c>
      <c r="B93" s="406" t="s">
        <v>32998</v>
      </c>
      <c r="C93" s="405" t="s">
        <v>327</v>
      </c>
      <c r="D93" s="405"/>
      <c r="E93" s="406" t="s">
        <v>32999</v>
      </c>
      <c r="F93" s="407">
        <v>44873</v>
      </c>
      <c r="G93" s="406" t="s">
        <v>33000</v>
      </c>
      <c r="H93" s="406" t="s">
        <v>9308</v>
      </c>
      <c r="I93" s="406" t="s">
        <v>2913</v>
      </c>
      <c r="J93" s="408">
        <v>0.41361799999999999</v>
      </c>
      <c r="K93" s="408">
        <v>32.444614999999999</v>
      </c>
      <c r="L93" s="406" t="s">
        <v>314</v>
      </c>
      <c r="M93" s="406" t="s">
        <v>361</v>
      </c>
      <c r="N93" s="406" t="s">
        <v>374</v>
      </c>
      <c r="O93" s="406" t="s">
        <v>535</v>
      </c>
      <c r="P93" s="406" t="s">
        <v>7122</v>
      </c>
      <c r="Q93" s="409">
        <v>6</v>
      </c>
      <c r="R93" s="406" t="s">
        <v>32101</v>
      </c>
      <c r="S93" s="406" t="s">
        <v>33001</v>
      </c>
      <c r="T93" s="406" t="s">
        <v>32102</v>
      </c>
      <c r="U93" s="406" t="s">
        <v>319</v>
      </c>
    </row>
    <row r="94" spans="1:21" x14ac:dyDescent="0.25">
      <c r="A94" s="405" t="s">
        <v>310</v>
      </c>
      <c r="B94" s="406" t="s">
        <v>32897</v>
      </c>
      <c r="C94" s="405" t="s">
        <v>327</v>
      </c>
      <c r="D94" s="405"/>
      <c r="E94" s="406" t="s">
        <v>32898</v>
      </c>
      <c r="F94" s="407">
        <v>45117</v>
      </c>
      <c r="G94" s="406" t="s">
        <v>32899</v>
      </c>
      <c r="H94" s="406" t="s">
        <v>32900</v>
      </c>
      <c r="I94" s="406" t="s">
        <v>32901</v>
      </c>
      <c r="J94" s="408">
        <v>1.8539350000000001</v>
      </c>
      <c r="K94" s="408">
        <v>31.904817999999999</v>
      </c>
      <c r="L94" s="406" t="s">
        <v>590</v>
      </c>
      <c r="M94" s="406" t="s">
        <v>591</v>
      </c>
      <c r="N94" s="406" t="s">
        <v>6003</v>
      </c>
      <c r="O94" s="406" t="s">
        <v>32866</v>
      </c>
      <c r="P94" s="406" t="s">
        <v>32867</v>
      </c>
      <c r="Q94" s="409">
        <v>6</v>
      </c>
      <c r="R94" s="406" t="s">
        <v>26734</v>
      </c>
      <c r="S94" s="406" t="s">
        <v>32902</v>
      </c>
      <c r="T94" s="405" t="s">
        <v>884</v>
      </c>
      <c r="U94" s="405" t="s">
        <v>319</v>
      </c>
    </row>
    <row r="95" spans="1:21" x14ac:dyDescent="0.25">
      <c r="A95" s="405" t="s">
        <v>310</v>
      </c>
      <c r="B95" s="406" t="s">
        <v>32318</v>
      </c>
      <c r="C95" s="405" t="s">
        <v>327</v>
      </c>
      <c r="D95" s="405"/>
      <c r="E95" s="406" t="s">
        <v>32319</v>
      </c>
      <c r="F95" s="407">
        <v>45175</v>
      </c>
      <c r="G95" s="406" t="s">
        <v>32320</v>
      </c>
      <c r="H95" s="406" t="s">
        <v>32321</v>
      </c>
      <c r="I95" s="406" t="s">
        <v>32322</v>
      </c>
      <c r="J95" s="408">
        <v>0.47285899999999997</v>
      </c>
      <c r="K95" s="408">
        <v>32.664299999999997</v>
      </c>
      <c r="L95" s="406" t="s">
        <v>314</v>
      </c>
      <c r="M95" s="406" t="s">
        <v>361</v>
      </c>
      <c r="N95" s="406" t="s">
        <v>6588</v>
      </c>
      <c r="O95" s="406" t="s">
        <v>363</v>
      </c>
      <c r="P95" s="406" t="s">
        <v>32323</v>
      </c>
      <c r="Q95" s="409">
        <v>13</v>
      </c>
      <c r="R95" s="406" t="s">
        <v>26734</v>
      </c>
      <c r="S95" s="406" t="s">
        <v>32234</v>
      </c>
      <c r="T95" s="406" t="s">
        <v>32102</v>
      </c>
      <c r="U95" s="406" t="s">
        <v>319</v>
      </c>
    </row>
    <row r="96" spans="1:21" hidden="1" x14ac:dyDescent="0.25">
      <c r="A96" s="405" t="s">
        <v>310</v>
      </c>
      <c r="B96" s="406" t="s">
        <v>33156</v>
      </c>
      <c r="C96" s="405" t="s">
        <v>327</v>
      </c>
      <c r="D96" s="405"/>
      <c r="E96" s="406" t="s">
        <v>33157</v>
      </c>
      <c r="F96" s="407">
        <v>45301</v>
      </c>
      <c r="G96" s="406" t="s">
        <v>33158</v>
      </c>
      <c r="H96" s="406" t="s">
        <v>33159</v>
      </c>
      <c r="I96" s="406" t="s">
        <v>2913</v>
      </c>
      <c r="J96" s="408">
        <v>1.261938</v>
      </c>
      <c r="K96" s="408">
        <v>30.809322000000002</v>
      </c>
      <c r="L96" s="406" t="s">
        <v>590</v>
      </c>
      <c r="M96" s="406" t="s">
        <v>7300</v>
      </c>
      <c r="N96" s="406" t="s">
        <v>8737</v>
      </c>
      <c r="O96" s="406" t="s">
        <v>32426</v>
      </c>
      <c r="P96" s="406" t="s">
        <v>33137</v>
      </c>
      <c r="Q96" s="409">
        <v>4</v>
      </c>
      <c r="R96" s="406" t="s">
        <v>32101</v>
      </c>
      <c r="S96" s="406" t="s">
        <v>27052</v>
      </c>
      <c r="T96" s="406" t="s">
        <v>884</v>
      </c>
      <c r="U96" s="406" t="s">
        <v>319</v>
      </c>
    </row>
    <row r="97" spans="1:21" x14ac:dyDescent="0.25">
      <c r="A97" s="405" t="s">
        <v>310</v>
      </c>
      <c r="B97" s="406" t="s">
        <v>32608</v>
      </c>
      <c r="C97" s="405" t="s">
        <v>327</v>
      </c>
      <c r="D97" s="405"/>
      <c r="E97" s="406" t="s">
        <v>32609</v>
      </c>
      <c r="F97" s="407">
        <v>45153</v>
      </c>
      <c r="G97" s="406" t="s">
        <v>32610</v>
      </c>
      <c r="H97" s="406" t="s">
        <v>32611</v>
      </c>
      <c r="I97" s="406" t="s">
        <v>32612</v>
      </c>
      <c r="J97" s="408">
        <v>0.52283800000000002</v>
      </c>
      <c r="K97" s="408">
        <v>33.342740999999997</v>
      </c>
      <c r="L97" s="406" t="s">
        <v>6866</v>
      </c>
      <c r="M97" s="406" t="s">
        <v>5411</v>
      </c>
      <c r="N97" s="406" t="s">
        <v>10577</v>
      </c>
      <c r="O97" s="406" t="s">
        <v>12550</v>
      </c>
      <c r="P97" s="406" t="s">
        <v>12550</v>
      </c>
      <c r="Q97" s="409">
        <v>9</v>
      </c>
      <c r="R97" s="406" t="s">
        <v>32164</v>
      </c>
      <c r="S97" s="406" t="s">
        <v>32165</v>
      </c>
      <c r="T97" s="406" t="s">
        <v>884</v>
      </c>
      <c r="U97" s="406" t="s">
        <v>319</v>
      </c>
    </row>
    <row r="98" spans="1:21" hidden="1" x14ac:dyDescent="0.25">
      <c r="A98" s="405" t="s">
        <v>310</v>
      </c>
      <c r="B98" s="406" t="s">
        <v>32527</v>
      </c>
      <c r="C98" s="405" t="s">
        <v>327</v>
      </c>
      <c r="D98" s="405"/>
      <c r="E98" s="406" t="s">
        <v>32528</v>
      </c>
      <c r="F98" s="407">
        <v>45300</v>
      </c>
      <c r="G98" s="406" t="s">
        <v>32529</v>
      </c>
      <c r="H98" s="406" t="s">
        <v>32530</v>
      </c>
      <c r="I98" s="406" t="s">
        <v>32531</v>
      </c>
      <c r="J98" s="408">
        <v>1.127901</v>
      </c>
      <c r="K98" s="408">
        <v>33.046152999999997</v>
      </c>
      <c r="L98" s="406" t="s">
        <v>6866</v>
      </c>
      <c r="M98" s="406" t="s">
        <v>3009</v>
      </c>
      <c r="N98" s="406" t="s">
        <v>11632</v>
      </c>
      <c r="O98" s="406" t="s">
        <v>16138</v>
      </c>
      <c r="P98" s="406" t="s">
        <v>32526</v>
      </c>
      <c r="Q98" s="409">
        <v>9</v>
      </c>
      <c r="R98" s="406" t="s">
        <v>32164</v>
      </c>
      <c r="S98" s="406" t="s">
        <v>32493</v>
      </c>
      <c r="T98" s="406" t="s">
        <v>32102</v>
      </c>
      <c r="U98" s="406" t="s">
        <v>319</v>
      </c>
    </row>
    <row r="99" spans="1:21" hidden="1" x14ac:dyDescent="0.25">
      <c r="A99" s="405" t="s">
        <v>310</v>
      </c>
      <c r="B99" s="406" t="s">
        <v>33127</v>
      </c>
      <c r="C99" s="405" t="s">
        <v>327</v>
      </c>
      <c r="D99" s="405"/>
      <c r="E99" s="406" t="s">
        <v>32528</v>
      </c>
      <c r="F99" s="407">
        <v>45311</v>
      </c>
      <c r="G99" s="406" t="s">
        <v>33128</v>
      </c>
      <c r="H99" s="406" t="s">
        <v>33129</v>
      </c>
      <c r="I99" s="406" t="s">
        <v>2913</v>
      </c>
      <c r="J99" s="408">
        <v>1.157673</v>
      </c>
      <c r="K99" s="408">
        <v>30.755607999999999</v>
      </c>
      <c r="L99" s="406" t="s">
        <v>590</v>
      </c>
      <c r="M99" s="406" t="s">
        <v>7300</v>
      </c>
      <c r="N99" s="406" t="s">
        <v>33120</v>
      </c>
      <c r="O99" s="406" t="s">
        <v>8737</v>
      </c>
      <c r="P99" s="406" t="s">
        <v>542</v>
      </c>
      <c r="Q99" s="409">
        <v>4</v>
      </c>
      <c r="R99" s="406" t="s">
        <v>32101</v>
      </c>
      <c r="S99" s="406" t="s">
        <v>32718</v>
      </c>
      <c r="T99" s="406" t="s">
        <v>32102</v>
      </c>
      <c r="U99" s="406" t="s">
        <v>319</v>
      </c>
    </row>
    <row r="100" spans="1:21" hidden="1" x14ac:dyDescent="0.25">
      <c r="A100" s="405" t="s">
        <v>310</v>
      </c>
      <c r="B100" s="406" t="s">
        <v>33165</v>
      </c>
      <c r="C100" s="405" t="s">
        <v>327</v>
      </c>
      <c r="D100" s="405"/>
      <c r="E100" s="406" t="s">
        <v>32528</v>
      </c>
      <c r="F100" s="407">
        <v>45301</v>
      </c>
      <c r="G100" s="406" t="s">
        <v>33166</v>
      </c>
      <c r="H100" s="406" t="s">
        <v>33167</v>
      </c>
      <c r="I100" s="406" t="s">
        <v>2913</v>
      </c>
      <c r="J100" s="408">
        <v>1.2282949999999999</v>
      </c>
      <c r="K100" s="408">
        <v>30.81448</v>
      </c>
      <c r="L100" s="406" t="s">
        <v>590</v>
      </c>
      <c r="M100" s="406" t="s">
        <v>7300</v>
      </c>
      <c r="N100" s="406" t="s">
        <v>33120</v>
      </c>
      <c r="O100" s="406" t="s">
        <v>8737</v>
      </c>
      <c r="P100" s="406" t="s">
        <v>33168</v>
      </c>
      <c r="Q100" s="409">
        <v>4</v>
      </c>
      <c r="R100" s="406" t="s">
        <v>32101</v>
      </c>
      <c r="S100" s="406" t="s">
        <v>33169</v>
      </c>
      <c r="T100" s="406" t="s">
        <v>884</v>
      </c>
      <c r="U100" s="406" t="s">
        <v>319</v>
      </c>
    </row>
    <row r="101" spans="1:21" x14ac:dyDescent="0.25">
      <c r="A101" s="405" t="s">
        <v>310</v>
      </c>
      <c r="B101" s="406" t="s">
        <v>33196</v>
      </c>
      <c r="C101" s="405" t="s">
        <v>327</v>
      </c>
      <c r="D101" s="405"/>
      <c r="E101" s="406" t="s">
        <v>33197</v>
      </c>
      <c r="F101" s="407">
        <v>45276</v>
      </c>
      <c r="G101" s="406" t="s">
        <v>33198</v>
      </c>
      <c r="H101" s="406" t="s">
        <v>33199</v>
      </c>
      <c r="I101" s="406" t="s">
        <v>2913</v>
      </c>
      <c r="J101" s="408">
        <v>1.1762950000000001</v>
      </c>
      <c r="K101" s="408">
        <v>30.766155000000001</v>
      </c>
      <c r="L101" s="406" t="s">
        <v>590</v>
      </c>
      <c r="M101" s="406" t="s">
        <v>7300</v>
      </c>
      <c r="N101" s="406" t="s">
        <v>33120</v>
      </c>
      <c r="O101" s="406" t="s">
        <v>8737</v>
      </c>
      <c r="P101" s="406" t="s">
        <v>33121</v>
      </c>
      <c r="Q101" s="409">
        <v>4</v>
      </c>
      <c r="R101" s="406" t="s">
        <v>32101</v>
      </c>
      <c r="S101" s="406" t="s">
        <v>32266</v>
      </c>
      <c r="T101" s="406" t="s">
        <v>32102</v>
      </c>
      <c r="U101" s="406" t="s">
        <v>319</v>
      </c>
    </row>
    <row r="102" spans="1:21" x14ac:dyDescent="0.25">
      <c r="A102" s="405" t="s">
        <v>310</v>
      </c>
      <c r="B102" s="406" t="s">
        <v>32406</v>
      </c>
      <c r="C102" s="405" t="s">
        <v>327</v>
      </c>
      <c r="D102" s="405"/>
      <c r="E102" s="406" t="s">
        <v>32407</v>
      </c>
      <c r="F102" s="407">
        <v>44920</v>
      </c>
      <c r="G102" s="406" t="s">
        <v>32408</v>
      </c>
      <c r="H102" s="406" t="s">
        <v>32409</v>
      </c>
      <c r="I102" s="406" t="s">
        <v>32410</v>
      </c>
      <c r="J102" s="408">
        <v>0.58442700000000003</v>
      </c>
      <c r="K102" s="408">
        <v>32.671455000000002</v>
      </c>
      <c r="L102" s="406" t="s">
        <v>314</v>
      </c>
      <c r="M102" s="406" t="s">
        <v>959</v>
      </c>
      <c r="N102" s="406" t="s">
        <v>3771</v>
      </c>
      <c r="O102" s="406" t="s">
        <v>2517</v>
      </c>
      <c r="P102" s="406" t="s">
        <v>8963</v>
      </c>
      <c r="Q102" s="409">
        <v>13</v>
      </c>
      <c r="R102" s="406" t="s">
        <v>32101</v>
      </c>
      <c r="S102" s="406" t="s">
        <v>32123</v>
      </c>
      <c r="T102" s="406" t="s">
        <v>884</v>
      </c>
      <c r="U102" s="406" t="s">
        <v>319</v>
      </c>
    </row>
    <row r="103" spans="1:21" x14ac:dyDescent="0.25">
      <c r="A103" s="405" t="s">
        <v>310</v>
      </c>
      <c r="B103" s="406" t="s">
        <v>32891</v>
      </c>
      <c r="C103" s="405" t="s">
        <v>327</v>
      </c>
      <c r="D103" s="405"/>
      <c r="E103" s="406" t="s">
        <v>32407</v>
      </c>
      <c r="F103" s="407">
        <v>45122</v>
      </c>
      <c r="G103" s="406" t="s">
        <v>32892</v>
      </c>
      <c r="H103" s="406" t="s">
        <v>32893</v>
      </c>
      <c r="I103" s="406" t="s">
        <v>32894</v>
      </c>
      <c r="J103" s="408">
        <v>1.160115</v>
      </c>
      <c r="K103" s="408">
        <v>34.325028000000003</v>
      </c>
      <c r="L103" s="406" t="s">
        <v>6866</v>
      </c>
      <c r="M103" s="406" t="s">
        <v>9575</v>
      </c>
      <c r="N103" s="406" t="s">
        <v>9764</v>
      </c>
      <c r="O103" s="406" t="s">
        <v>16916</v>
      </c>
      <c r="P103" s="406" t="s">
        <v>32895</v>
      </c>
      <c r="Q103" s="409">
        <v>6</v>
      </c>
      <c r="R103" s="406" t="s">
        <v>9408</v>
      </c>
      <c r="S103" s="406" t="s">
        <v>32896</v>
      </c>
      <c r="T103" s="406" t="s">
        <v>32102</v>
      </c>
      <c r="U103" s="406" t="s">
        <v>319</v>
      </c>
    </row>
    <row r="104" spans="1:21" x14ac:dyDescent="0.25">
      <c r="A104" s="405" t="s">
        <v>310</v>
      </c>
      <c r="B104" s="406" t="s">
        <v>32990</v>
      </c>
      <c r="C104" s="405" t="s">
        <v>327</v>
      </c>
      <c r="D104" s="405"/>
      <c r="E104" s="406" t="s">
        <v>32407</v>
      </c>
      <c r="F104" s="407">
        <v>44919</v>
      </c>
      <c r="G104" s="406" t="s">
        <v>32991</v>
      </c>
      <c r="H104" s="406" t="s">
        <v>32992</v>
      </c>
      <c r="I104" s="406" t="s">
        <v>32993</v>
      </c>
      <c r="J104" s="408">
        <v>5.28E-2</v>
      </c>
      <c r="K104" s="408">
        <v>32.010356999999999</v>
      </c>
      <c r="L104" s="406" t="s">
        <v>314</v>
      </c>
      <c r="M104" s="406" t="s">
        <v>321</v>
      </c>
      <c r="N104" s="406" t="s">
        <v>841</v>
      </c>
      <c r="O104" s="406" t="s">
        <v>19733</v>
      </c>
      <c r="P104" s="406" t="s">
        <v>842</v>
      </c>
      <c r="Q104" s="409">
        <v>6</v>
      </c>
      <c r="R104" s="406" t="s">
        <v>32101</v>
      </c>
      <c r="S104" s="406" t="s">
        <v>32700</v>
      </c>
      <c r="T104" s="406" t="s">
        <v>884</v>
      </c>
      <c r="U104" s="406" t="s">
        <v>319</v>
      </c>
    </row>
    <row r="105" spans="1:21" x14ac:dyDescent="0.25">
      <c r="A105" s="405" t="s">
        <v>310</v>
      </c>
      <c r="B105" s="406" t="s">
        <v>32292</v>
      </c>
      <c r="C105" s="405" t="s">
        <v>327</v>
      </c>
      <c r="D105" s="405"/>
      <c r="E105" s="406" t="s">
        <v>32293</v>
      </c>
      <c r="F105" s="407">
        <v>45200</v>
      </c>
      <c r="G105" s="406" t="s">
        <v>32294</v>
      </c>
      <c r="H105" s="406" t="s">
        <v>32295</v>
      </c>
      <c r="I105" s="406" t="s">
        <v>32296</v>
      </c>
      <c r="J105" s="408">
        <v>1.1838420000000001</v>
      </c>
      <c r="K105" s="408">
        <v>31.673082999999998</v>
      </c>
      <c r="L105" s="406" t="s">
        <v>590</v>
      </c>
      <c r="M105" s="406" t="s">
        <v>1360</v>
      </c>
      <c r="N105" s="406" t="s">
        <v>1360</v>
      </c>
      <c r="O105" s="406" t="s">
        <v>32297</v>
      </c>
      <c r="P105" s="406" t="s">
        <v>32297</v>
      </c>
      <c r="Q105" s="409">
        <v>13</v>
      </c>
      <c r="R105" s="406" t="s">
        <v>32101</v>
      </c>
      <c r="S105" s="406" t="s">
        <v>27047</v>
      </c>
      <c r="T105" s="406" t="s">
        <v>884</v>
      </c>
      <c r="U105" s="406" t="s">
        <v>319</v>
      </c>
    </row>
    <row r="106" spans="1:21" x14ac:dyDescent="0.25">
      <c r="A106" s="405" t="s">
        <v>310</v>
      </c>
      <c r="B106" s="405" t="s">
        <v>14404</v>
      </c>
      <c r="C106" s="405" t="s">
        <v>327</v>
      </c>
      <c r="D106" s="405"/>
      <c r="E106" s="410">
        <v>42104</v>
      </c>
      <c r="F106" s="410">
        <v>42149</v>
      </c>
      <c r="G106" s="405" t="s">
        <v>14405</v>
      </c>
      <c r="H106" s="405">
        <v>752744555</v>
      </c>
      <c r="I106" s="405">
        <v>772244555</v>
      </c>
      <c r="J106" s="405">
        <v>1.0736950000000001</v>
      </c>
      <c r="K106" s="405">
        <v>34.177349</v>
      </c>
      <c r="L106" s="405" t="s">
        <v>6866</v>
      </c>
      <c r="M106" s="405" t="s">
        <v>9590</v>
      </c>
      <c r="N106" s="405" t="s">
        <v>13500</v>
      </c>
      <c r="O106" s="405" t="s">
        <v>13500</v>
      </c>
      <c r="P106" s="405" t="s">
        <v>13500</v>
      </c>
      <c r="Q106" s="411">
        <v>30</v>
      </c>
      <c r="R106" s="405" t="s">
        <v>353</v>
      </c>
      <c r="S106" s="405" t="s">
        <v>27114</v>
      </c>
      <c r="T106" s="406" t="s">
        <v>884</v>
      </c>
      <c r="U106" s="406" t="s">
        <v>319</v>
      </c>
    </row>
    <row r="107" spans="1:21" x14ac:dyDescent="0.25">
      <c r="A107" s="405" t="s">
        <v>310</v>
      </c>
      <c r="B107" s="406" t="s">
        <v>32446</v>
      </c>
      <c r="C107" s="405" t="s">
        <v>327</v>
      </c>
      <c r="D107" s="405"/>
      <c r="E107" s="406" t="s">
        <v>32152</v>
      </c>
      <c r="F107" s="407">
        <v>44840</v>
      </c>
      <c r="G107" s="406" t="s">
        <v>32447</v>
      </c>
      <c r="H107" s="406" t="s">
        <v>32448</v>
      </c>
      <c r="I107" s="406" t="s">
        <v>2913</v>
      </c>
      <c r="J107" s="408">
        <v>-0.62930799999999998</v>
      </c>
      <c r="K107" s="408">
        <v>31.547294999999998</v>
      </c>
      <c r="L107" s="406" t="s">
        <v>314</v>
      </c>
      <c r="M107" s="406" t="s">
        <v>399</v>
      </c>
      <c r="N107" s="406" t="s">
        <v>399</v>
      </c>
      <c r="O107" s="406" t="s">
        <v>399</v>
      </c>
      <c r="P107" s="406" t="s">
        <v>1226</v>
      </c>
      <c r="Q107" s="409">
        <v>13</v>
      </c>
      <c r="R107" s="406" t="s">
        <v>32101</v>
      </c>
      <c r="S107" s="406" t="s">
        <v>27235</v>
      </c>
      <c r="T107" s="406" t="s">
        <v>884</v>
      </c>
      <c r="U107" s="406" t="s">
        <v>319</v>
      </c>
    </row>
    <row r="108" spans="1:21" x14ac:dyDescent="0.25">
      <c r="A108" s="405" t="s">
        <v>310</v>
      </c>
      <c r="B108" s="406" t="s">
        <v>32701</v>
      </c>
      <c r="C108" s="405" t="s">
        <v>327</v>
      </c>
      <c r="D108" s="405"/>
      <c r="E108" s="406" t="s">
        <v>32152</v>
      </c>
      <c r="F108" s="407">
        <v>44886</v>
      </c>
      <c r="G108" s="406" t="s">
        <v>32702</v>
      </c>
      <c r="H108" s="406" t="s">
        <v>32703</v>
      </c>
      <c r="I108" s="406" t="s">
        <v>32704</v>
      </c>
      <c r="J108" s="408">
        <v>-0.28615699999999999</v>
      </c>
      <c r="K108" s="408">
        <v>31.650981999999999</v>
      </c>
      <c r="L108" s="406" t="s">
        <v>314</v>
      </c>
      <c r="M108" s="406" t="s">
        <v>1080</v>
      </c>
      <c r="N108" s="406" t="s">
        <v>1080</v>
      </c>
      <c r="O108" s="406" t="s">
        <v>1080</v>
      </c>
      <c r="P108" s="406" t="s">
        <v>32133</v>
      </c>
      <c r="Q108" s="409">
        <v>9</v>
      </c>
      <c r="R108" s="406" t="s">
        <v>32101</v>
      </c>
      <c r="S108" s="406" t="s">
        <v>32123</v>
      </c>
      <c r="T108" s="406" t="s">
        <v>884</v>
      </c>
      <c r="U108" s="406" t="s">
        <v>319</v>
      </c>
    </row>
    <row r="109" spans="1:21" x14ac:dyDescent="0.25">
      <c r="A109" s="405" t="s">
        <v>310</v>
      </c>
      <c r="B109" s="406" t="s">
        <v>32737</v>
      </c>
      <c r="C109" s="405" t="s">
        <v>327</v>
      </c>
      <c r="D109" s="405"/>
      <c r="E109" s="406" t="s">
        <v>32152</v>
      </c>
      <c r="F109" s="407">
        <v>44834</v>
      </c>
      <c r="G109" s="406" t="s">
        <v>32738</v>
      </c>
      <c r="H109" s="406" t="s">
        <v>32414</v>
      </c>
      <c r="I109" s="406" t="s">
        <v>2913</v>
      </c>
      <c r="J109" s="408">
        <v>-0.80059100000000005</v>
      </c>
      <c r="K109" s="408">
        <v>30.307445999999999</v>
      </c>
      <c r="L109" s="406" t="s">
        <v>590</v>
      </c>
      <c r="M109" s="406" t="s">
        <v>19659</v>
      </c>
      <c r="N109" s="406" t="s">
        <v>19659</v>
      </c>
      <c r="O109" s="406" t="s">
        <v>32739</v>
      </c>
      <c r="P109" s="406" t="s">
        <v>26399</v>
      </c>
      <c r="Q109" s="409">
        <v>9</v>
      </c>
      <c r="R109" s="406" t="s">
        <v>32101</v>
      </c>
      <c r="S109" s="406" t="s">
        <v>32123</v>
      </c>
      <c r="T109" s="406" t="s">
        <v>32102</v>
      </c>
      <c r="U109" s="406" t="s">
        <v>319</v>
      </c>
    </row>
    <row r="110" spans="1:21" x14ac:dyDescent="0.25">
      <c r="A110" s="405" t="s">
        <v>310</v>
      </c>
      <c r="B110" s="406" t="s">
        <v>32328</v>
      </c>
      <c r="C110" s="405" t="s">
        <v>327</v>
      </c>
      <c r="D110" s="405"/>
      <c r="E110" s="406" t="s">
        <v>32329</v>
      </c>
      <c r="F110" s="407">
        <v>45147</v>
      </c>
      <c r="G110" s="406" t="s">
        <v>32330</v>
      </c>
      <c r="H110" s="406" t="s">
        <v>32331</v>
      </c>
      <c r="I110" s="406" t="s">
        <v>32332</v>
      </c>
      <c r="J110" s="408">
        <v>-0.27412999999999998</v>
      </c>
      <c r="K110" s="408">
        <v>31.805865000000001</v>
      </c>
      <c r="L110" s="406" t="s">
        <v>314</v>
      </c>
      <c r="M110" s="406" t="s">
        <v>382</v>
      </c>
      <c r="N110" s="406" t="s">
        <v>382</v>
      </c>
      <c r="O110" s="406" t="s">
        <v>32333</v>
      </c>
      <c r="P110" s="406" t="s">
        <v>949</v>
      </c>
      <c r="Q110" s="409">
        <v>13</v>
      </c>
      <c r="R110" s="406" t="s">
        <v>32101</v>
      </c>
      <c r="S110" s="406" t="s">
        <v>27045</v>
      </c>
      <c r="T110" s="406" t="s">
        <v>32102</v>
      </c>
      <c r="U110" s="406" t="s">
        <v>319</v>
      </c>
    </row>
    <row r="111" spans="1:21" x14ac:dyDescent="0.25">
      <c r="A111" s="405" t="s">
        <v>310</v>
      </c>
      <c r="B111" s="406" t="s">
        <v>32595</v>
      </c>
      <c r="C111" s="405" t="s">
        <v>327</v>
      </c>
      <c r="D111" s="405"/>
      <c r="E111" s="406" t="s">
        <v>32329</v>
      </c>
      <c r="F111" s="407">
        <v>45167</v>
      </c>
      <c r="G111" s="406" t="s">
        <v>32596</v>
      </c>
      <c r="H111" s="406" t="s">
        <v>32597</v>
      </c>
      <c r="I111" s="406" t="s">
        <v>32598</v>
      </c>
      <c r="J111" s="408">
        <v>0.22251699999999999</v>
      </c>
      <c r="K111" s="408">
        <v>32.325943000000002</v>
      </c>
      <c r="L111" s="406" t="s">
        <v>314</v>
      </c>
      <c r="M111" s="406" t="s">
        <v>321</v>
      </c>
      <c r="N111" s="406" t="s">
        <v>32599</v>
      </c>
      <c r="O111" s="406" t="s">
        <v>32600</v>
      </c>
      <c r="P111" s="406" t="s">
        <v>32601</v>
      </c>
      <c r="Q111" s="409">
        <v>9</v>
      </c>
      <c r="R111" s="406" t="s">
        <v>32101</v>
      </c>
      <c r="S111" s="406" t="s">
        <v>32365</v>
      </c>
      <c r="T111" s="406" t="s">
        <v>32102</v>
      </c>
      <c r="U111" s="406" t="s">
        <v>319</v>
      </c>
    </row>
    <row r="112" spans="1:21" x14ac:dyDescent="0.25">
      <c r="A112" s="405" t="s">
        <v>310</v>
      </c>
      <c r="B112" s="405" t="s">
        <v>5590</v>
      </c>
      <c r="C112" s="405" t="s">
        <v>327</v>
      </c>
      <c r="D112" s="405"/>
      <c r="E112" s="410">
        <v>42109</v>
      </c>
      <c r="F112" s="410">
        <v>42154</v>
      </c>
      <c r="G112" s="405" t="s">
        <v>5591</v>
      </c>
      <c r="H112" s="405">
        <v>712576573</v>
      </c>
      <c r="I112" s="405"/>
      <c r="J112" s="405">
        <v>0.24373800000000001</v>
      </c>
      <c r="K112" s="405">
        <v>30.973427000000001</v>
      </c>
      <c r="L112" s="405" t="s">
        <v>314</v>
      </c>
      <c r="M112" s="405" t="s">
        <v>361</v>
      </c>
      <c r="N112" s="405" t="s">
        <v>5592</v>
      </c>
      <c r="O112" s="405" t="s">
        <v>1098</v>
      </c>
      <c r="P112" s="405" t="s">
        <v>5592</v>
      </c>
      <c r="Q112" s="411">
        <v>30</v>
      </c>
      <c r="R112" s="405" t="s">
        <v>353</v>
      </c>
      <c r="S112" s="405" t="s">
        <v>27246</v>
      </c>
      <c r="T112" s="406" t="s">
        <v>884</v>
      </c>
      <c r="U112" s="406" t="s">
        <v>319</v>
      </c>
    </row>
    <row r="113" spans="1:21" x14ac:dyDescent="0.25">
      <c r="A113" s="405" t="s">
        <v>310</v>
      </c>
      <c r="B113" s="406" t="s">
        <v>32855</v>
      </c>
      <c r="C113" s="405" t="s">
        <v>327</v>
      </c>
      <c r="D113" s="405"/>
      <c r="E113" s="406" t="s">
        <v>32856</v>
      </c>
      <c r="F113" s="407">
        <v>45156</v>
      </c>
      <c r="G113" s="406" t="s">
        <v>32857</v>
      </c>
      <c r="H113" s="406" t="s">
        <v>32858</v>
      </c>
      <c r="I113" s="406" t="s">
        <v>2913</v>
      </c>
      <c r="J113" s="408">
        <v>1.2271000000000001</v>
      </c>
      <c r="K113" s="408">
        <v>30.819755000000001</v>
      </c>
      <c r="L113" s="406" t="s">
        <v>590</v>
      </c>
      <c r="M113" s="406" t="s">
        <v>20125</v>
      </c>
      <c r="N113" s="406" t="s">
        <v>20125</v>
      </c>
      <c r="O113" s="406" t="s">
        <v>20920</v>
      </c>
      <c r="P113" s="406" t="s">
        <v>32859</v>
      </c>
      <c r="Q113" s="409">
        <v>6</v>
      </c>
      <c r="R113" s="406" t="s">
        <v>32101</v>
      </c>
      <c r="S113" s="406" t="s">
        <v>27278</v>
      </c>
      <c r="T113" s="406" t="s">
        <v>32102</v>
      </c>
      <c r="U113" s="406" t="s">
        <v>319</v>
      </c>
    </row>
    <row r="114" spans="1:21" x14ac:dyDescent="0.25">
      <c r="A114" s="405" t="s">
        <v>310</v>
      </c>
      <c r="B114" s="405" t="s">
        <v>28475</v>
      </c>
      <c r="C114" s="405" t="s">
        <v>857</v>
      </c>
      <c r="D114" s="405" t="s">
        <v>21355</v>
      </c>
      <c r="E114" s="410" t="s">
        <v>32768</v>
      </c>
      <c r="F114" s="410">
        <v>41417</v>
      </c>
      <c r="G114" s="405" t="s">
        <v>32769</v>
      </c>
      <c r="H114" s="405" t="s">
        <v>313</v>
      </c>
      <c r="I114" s="405"/>
      <c r="J114" s="405">
        <v>0.27837299999999998</v>
      </c>
      <c r="K114" s="405">
        <v>32.252023999999999</v>
      </c>
      <c r="L114" s="405" t="s">
        <v>314</v>
      </c>
      <c r="M114" s="405" t="s">
        <v>315</v>
      </c>
      <c r="N114" s="405" t="s">
        <v>315</v>
      </c>
      <c r="O114" s="405" t="s">
        <v>316</v>
      </c>
      <c r="P114" s="405" t="s">
        <v>317</v>
      </c>
      <c r="Q114" s="411">
        <v>9</v>
      </c>
      <c r="R114" s="405" t="s">
        <v>318</v>
      </c>
      <c r="S114" s="405" t="s">
        <v>27064</v>
      </c>
      <c r="T114" s="406" t="s">
        <v>884</v>
      </c>
      <c r="U114" s="406" t="s">
        <v>319</v>
      </c>
    </row>
    <row r="115" spans="1:21" x14ac:dyDescent="0.25">
      <c r="A115" s="405" t="s">
        <v>310</v>
      </c>
      <c r="B115" s="406" t="s">
        <v>32372</v>
      </c>
      <c r="C115" s="405" t="s">
        <v>327</v>
      </c>
      <c r="D115" s="405"/>
      <c r="E115" s="406" t="s">
        <v>32373</v>
      </c>
      <c r="F115" s="407">
        <v>45072</v>
      </c>
      <c r="G115" s="406" t="s">
        <v>32374</v>
      </c>
      <c r="H115" s="406" t="s">
        <v>32375</v>
      </c>
      <c r="I115" s="406" t="s">
        <v>32376</v>
      </c>
      <c r="J115" s="408">
        <v>-0.37397799999999998</v>
      </c>
      <c r="K115" s="408">
        <v>31.216643000000001</v>
      </c>
      <c r="L115" s="406" t="s">
        <v>314</v>
      </c>
      <c r="M115" s="406" t="s">
        <v>1189</v>
      </c>
      <c r="N115" s="406" t="s">
        <v>1189</v>
      </c>
      <c r="O115" s="406" t="s">
        <v>1189</v>
      </c>
      <c r="P115" s="406" t="s">
        <v>1189</v>
      </c>
      <c r="Q115" s="409">
        <v>13</v>
      </c>
      <c r="R115" s="406" t="s">
        <v>32101</v>
      </c>
      <c r="S115" s="406" t="s">
        <v>27154</v>
      </c>
      <c r="T115" s="406" t="s">
        <v>32102</v>
      </c>
      <c r="U115" s="406" t="s">
        <v>319</v>
      </c>
    </row>
    <row r="116" spans="1:21" x14ac:dyDescent="0.25">
      <c r="A116" s="405" t="s">
        <v>310</v>
      </c>
      <c r="B116" s="405" t="s">
        <v>5622</v>
      </c>
      <c r="C116" s="405" t="s">
        <v>327</v>
      </c>
      <c r="D116" s="405"/>
      <c r="E116" s="410">
        <v>42118</v>
      </c>
      <c r="F116" s="410">
        <v>42163</v>
      </c>
      <c r="G116" s="405" t="s">
        <v>5623</v>
      </c>
      <c r="H116" s="405">
        <v>774389405</v>
      </c>
      <c r="I116" s="405"/>
      <c r="J116" s="405">
        <v>0.42167199999999999</v>
      </c>
      <c r="K116" s="405">
        <v>32.551349999999999</v>
      </c>
      <c r="L116" s="405" t="s">
        <v>314</v>
      </c>
      <c r="M116" s="405" t="s">
        <v>992</v>
      </c>
      <c r="N116" s="405" t="s">
        <v>618</v>
      </c>
      <c r="O116" s="405" t="s">
        <v>618</v>
      </c>
      <c r="P116" s="405" t="s">
        <v>5624</v>
      </c>
      <c r="Q116" s="411">
        <v>20</v>
      </c>
      <c r="R116" s="405" t="s">
        <v>353</v>
      </c>
      <c r="S116" s="405" t="s">
        <v>27114</v>
      </c>
      <c r="T116" s="406" t="s">
        <v>32102</v>
      </c>
      <c r="U116" s="406" t="s">
        <v>319</v>
      </c>
    </row>
    <row r="117" spans="1:21" x14ac:dyDescent="0.25">
      <c r="A117" s="405" t="s">
        <v>310</v>
      </c>
      <c r="B117" s="405" t="s">
        <v>29133</v>
      </c>
      <c r="C117" s="405" t="s">
        <v>327</v>
      </c>
      <c r="D117" s="405"/>
      <c r="E117" s="410">
        <v>42154</v>
      </c>
      <c r="F117" s="410">
        <v>42199</v>
      </c>
      <c r="G117" s="405" t="s">
        <v>5637</v>
      </c>
      <c r="H117" s="405">
        <v>759498439</v>
      </c>
      <c r="I117" s="405"/>
      <c r="J117" s="405">
        <v>0.353993</v>
      </c>
      <c r="K117" s="405">
        <v>32.721826999999998</v>
      </c>
      <c r="L117" s="405" t="s">
        <v>314</v>
      </c>
      <c r="M117" s="405" t="s">
        <v>329</v>
      </c>
      <c r="N117" s="405" t="s">
        <v>1107</v>
      </c>
      <c r="O117" s="405" t="s">
        <v>787</v>
      </c>
      <c r="P117" s="405" t="s">
        <v>5638</v>
      </c>
      <c r="Q117" s="411">
        <v>30</v>
      </c>
      <c r="R117" s="405" t="s">
        <v>5336</v>
      </c>
      <c r="S117" s="405" t="s">
        <v>27049</v>
      </c>
      <c r="T117" s="406" t="s">
        <v>32102</v>
      </c>
      <c r="U117" s="406" t="s">
        <v>319</v>
      </c>
    </row>
    <row r="118" spans="1:21" hidden="1" x14ac:dyDescent="0.25">
      <c r="A118" s="405" t="s">
        <v>310</v>
      </c>
      <c r="B118" s="406" t="s">
        <v>32796</v>
      </c>
      <c r="C118" s="405" t="s">
        <v>327</v>
      </c>
      <c r="D118" s="405"/>
      <c r="E118" s="406" t="s">
        <v>32797</v>
      </c>
      <c r="F118" s="407">
        <v>45294</v>
      </c>
      <c r="G118" s="406" t="s">
        <v>32798</v>
      </c>
      <c r="H118" s="406" t="s">
        <v>32563</v>
      </c>
      <c r="I118" s="406" t="s">
        <v>32799</v>
      </c>
      <c r="J118" s="408">
        <v>1.5705070000000001</v>
      </c>
      <c r="K118" s="408">
        <v>33.395527000000001</v>
      </c>
      <c r="L118" s="406" t="s">
        <v>6866</v>
      </c>
      <c r="M118" s="406" t="s">
        <v>9658</v>
      </c>
      <c r="N118" s="406" t="s">
        <v>11058</v>
      </c>
      <c r="O118" s="406" t="s">
        <v>32565</v>
      </c>
      <c r="P118" s="406" t="s">
        <v>32565</v>
      </c>
      <c r="Q118" s="409">
        <v>6</v>
      </c>
      <c r="R118" s="406" t="s">
        <v>5655</v>
      </c>
      <c r="S118" s="406" t="s">
        <v>27289</v>
      </c>
      <c r="T118" s="406" t="s">
        <v>884</v>
      </c>
      <c r="U118" s="406" t="s">
        <v>319</v>
      </c>
    </row>
    <row r="119" spans="1:21" x14ac:dyDescent="0.25">
      <c r="A119" s="405" t="s">
        <v>310</v>
      </c>
      <c r="B119" s="406" t="s">
        <v>33180</v>
      </c>
      <c r="C119" s="405" t="s">
        <v>327</v>
      </c>
      <c r="D119" s="405"/>
      <c r="E119" s="406" t="s">
        <v>32797</v>
      </c>
      <c r="F119" s="407">
        <v>45289</v>
      </c>
      <c r="G119" s="406" t="s">
        <v>33181</v>
      </c>
      <c r="H119" s="406" t="s">
        <v>33182</v>
      </c>
      <c r="I119" s="406" t="s">
        <v>33183</v>
      </c>
      <c r="J119" s="408">
        <v>1.2738430000000001</v>
      </c>
      <c r="K119" s="408">
        <v>30.818097000000002</v>
      </c>
      <c r="L119" s="406" t="s">
        <v>590</v>
      </c>
      <c r="M119" s="406" t="s">
        <v>7300</v>
      </c>
      <c r="N119" s="406" t="s">
        <v>33120</v>
      </c>
      <c r="O119" s="406" t="s">
        <v>33174</v>
      </c>
      <c r="P119" s="406" t="s">
        <v>3459</v>
      </c>
      <c r="Q119" s="409">
        <v>4</v>
      </c>
      <c r="R119" s="406" t="s">
        <v>32101</v>
      </c>
      <c r="S119" s="406" t="s">
        <v>27181</v>
      </c>
      <c r="T119" s="406" t="s">
        <v>32212</v>
      </c>
      <c r="U119" s="406" t="s">
        <v>2267</v>
      </c>
    </row>
    <row r="120" spans="1:21" x14ac:dyDescent="0.25">
      <c r="A120" s="405" t="s">
        <v>310</v>
      </c>
      <c r="B120" s="406" t="s">
        <v>33190</v>
      </c>
      <c r="C120" s="405" t="s">
        <v>327</v>
      </c>
      <c r="D120" s="405"/>
      <c r="E120" s="406" t="s">
        <v>33191</v>
      </c>
      <c r="F120" s="407">
        <v>45277</v>
      </c>
      <c r="G120" s="406" t="s">
        <v>33192</v>
      </c>
      <c r="H120" s="406" t="s">
        <v>33193</v>
      </c>
      <c r="I120" s="406" t="s">
        <v>33194</v>
      </c>
      <c r="J120" s="408">
        <v>1.17513</v>
      </c>
      <c r="K120" s="408">
        <v>30.764025</v>
      </c>
      <c r="L120" s="406" t="s">
        <v>590</v>
      </c>
      <c r="M120" s="406" t="s">
        <v>7300</v>
      </c>
      <c r="N120" s="406" t="s">
        <v>33120</v>
      </c>
      <c r="O120" s="406" t="s">
        <v>26360</v>
      </c>
      <c r="P120" s="406" t="s">
        <v>33121</v>
      </c>
      <c r="Q120" s="409">
        <v>4</v>
      </c>
      <c r="R120" s="406" t="s">
        <v>32101</v>
      </c>
      <c r="S120" s="406" t="s">
        <v>33195</v>
      </c>
      <c r="T120" s="406" t="s">
        <v>32102</v>
      </c>
      <c r="U120" s="406" t="s">
        <v>319</v>
      </c>
    </row>
    <row r="121" spans="1:21" x14ac:dyDescent="0.25">
      <c r="A121" s="405" t="s">
        <v>310</v>
      </c>
      <c r="B121" s="406" t="s">
        <v>32411</v>
      </c>
      <c r="C121" s="405" t="s">
        <v>327</v>
      </c>
      <c r="D121" s="405"/>
      <c r="E121" s="406" t="s">
        <v>32412</v>
      </c>
      <c r="F121" s="407">
        <v>44918</v>
      </c>
      <c r="G121" s="406" t="s">
        <v>32413</v>
      </c>
      <c r="H121" s="406" t="s">
        <v>32414</v>
      </c>
      <c r="I121" s="406" t="s">
        <v>2913</v>
      </c>
      <c r="J121" s="408">
        <v>-0.80067299999999997</v>
      </c>
      <c r="K121" s="408">
        <v>30.307486999999998</v>
      </c>
      <c r="L121" s="406" t="s">
        <v>590</v>
      </c>
      <c r="M121" s="406" t="s">
        <v>19659</v>
      </c>
      <c r="N121" s="406" t="s">
        <v>19659</v>
      </c>
      <c r="O121" s="406" t="s">
        <v>19969</v>
      </c>
      <c r="P121" s="406" t="s">
        <v>26399</v>
      </c>
      <c r="Q121" s="409">
        <v>13</v>
      </c>
      <c r="R121" s="406" t="s">
        <v>32101</v>
      </c>
      <c r="S121" s="406" t="s">
        <v>32123</v>
      </c>
      <c r="T121" s="406" t="s">
        <v>32102</v>
      </c>
      <c r="U121" s="406" t="s">
        <v>319</v>
      </c>
    </row>
    <row r="122" spans="1:21" x14ac:dyDescent="0.25">
      <c r="A122" s="405" t="s">
        <v>310</v>
      </c>
      <c r="B122" s="406" t="s">
        <v>32800</v>
      </c>
      <c r="C122" s="405" t="s">
        <v>327</v>
      </c>
      <c r="D122" s="405"/>
      <c r="E122" s="406" t="s">
        <v>32801</v>
      </c>
      <c r="F122" s="407">
        <v>45219</v>
      </c>
      <c r="G122" s="406" t="s">
        <v>32802</v>
      </c>
      <c r="H122" s="406" t="s">
        <v>32803</v>
      </c>
      <c r="I122" s="406" t="s">
        <v>32804</v>
      </c>
      <c r="J122" s="408">
        <v>-0.41009800000000002</v>
      </c>
      <c r="K122" s="408">
        <v>31.156185000000001</v>
      </c>
      <c r="L122" s="406" t="s">
        <v>314</v>
      </c>
      <c r="M122" s="406" t="s">
        <v>1805</v>
      </c>
      <c r="N122" s="406" t="s">
        <v>1805</v>
      </c>
      <c r="O122" s="406" t="s">
        <v>1805</v>
      </c>
      <c r="P122" s="406" t="s">
        <v>1805</v>
      </c>
      <c r="Q122" s="409">
        <v>6</v>
      </c>
      <c r="R122" s="406" t="s">
        <v>32101</v>
      </c>
      <c r="S122" s="406" t="s">
        <v>32123</v>
      </c>
      <c r="T122" s="406" t="s">
        <v>32102</v>
      </c>
      <c r="U122" s="406" t="s">
        <v>319</v>
      </c>
    </row>
    <row r="123" spans="1:21" x14ac:dyDescent="0.25">
      <c r="A123" s="405" t="s">
        <v>310</v>
      </c>
      <c r="B123" s="406" t="s">
        <v>32719</v>
      </c>
      <c r="C123" s="405" t="s">
        <v>327</v>
      </c>
      <c r="D123" s="405"/>
      <c r="E123" s="406" t="s">
        <v>32720</v>
      </c>
      <c r="F123" s="407">
        <v>44849</v>
      </c>
      <c r="G123" s="406" t="s">
        <v>32721</v>
      </c>
      <c r="H123" s="406" t="s">
        <v>32722</v>
      </c>
      <c r="I123" s="406" t="s">
        <v>2913</v>
      </c>
      <c r="J123" s="408">
        <v>8.5050000000000004E-3</v>
      </c>
      <c r="K123" s="408">
        <v>30.909648000000001</v>
      </c>
      <c r="L123" s="406" t="s">
        <v>590</v>
      </c>
      <c r="M123" s="406" t="s">
        <v>2250</v>
      </c>
      <c r="N123" s="406" t="s">
        <v>24215</v>
      </c>
      <c r="O123" s="406" t="s">
        <v>24215</v>
      </c>
      <c r="P123" s="406" t="s">
        <v>32723</v>
      </c>
      <c r="Q123" s="409">
        <v>9</v>
      </c>
      <c r="R123" s="406" t="s">
        <v>874</v>
      </c>
      <c r="S123" s="406" t="s">
        <v>32248</v>
      </c>
      <c r="T123" s="406" t="s">
        <v>884</v>
      </c>
      <c r="U123" s="406" t="s">
        <v>319</v>
      </c>
    </row>
    <row r="124" spans="1:21" x14ac:dyDescent="0.25">
      <c r="A124" s="405" t="s">
        <v>310</v>
      </c>
      <c r="B124" s="406" t="s">
        <v>32811</v>
      </c>
      <c r="C124" s="405" t="s">
        <v>327</v>
      </c>
      <c r="D124" s="405"/>
      <c r="E124" s="406" t="s">
        <v>32812</v>
      </c>
      <c r="F124" s="407">
        <v>45217</v>
      </c>
      <c r="G124" s="406" t="s">
        <v>32813</v>
      </c>
      <c r="H124" s="406" t="s">
        <v>32814</v>
      </c>
      <c r="I124" s="406" t="s">
        <v>2913</v>
      </c>
      <c r="J124" s="408">
        <v>-0.30085800000000001</v>
      </c>
      <c r="K124" s="408">
        <v>31.781427000000001</v>
      </c>
      <c r="L124" s="406" t="s">
        <v>314</v>
      </c>
      <c r="M124" s="406" t="s">
        <v>399</v>
      </c>
      <c r="N124" s="406" t="s">
        <v>399</v>
      </c>
      <c r="O124" s="406" t="s">
        <v>399</v>
      </c>
      <c r="P124" s="406" t="s">
        <v>32815</v>
      </c>
      <c r="Q124" s="409">
        <v>6</v>
      </c>
      <c r="R124" s="406" t="s">
        <v>32101</v>
      </c>
      <c r="S124" s="406" t="s">
        <v>32816</v>
      </c>
      <c r="T124" s="405" t="s">
        <v>32102</v>
      </c>
      <c r="U124" s="405" t="s">
        <v>319</v>
      </c>
    </row>
    <row r="125" spans="1:21" x14ac:dyDescent="0.25">
      <c r="A125" s="405" t="s">
        <v>310</v>
      </c>
      <c r="B125" s="406" t="s">
        <v>33218</v>
      </c>
      <c r="C125" s="405" t="s">
        <v>327</v>
      </c>
      <c r="D125" s="405"/>
      <c r="E125" s="406" t="s">
        <v>33219</v>
      </c>
      <c r="F125" s="407">
        <v>45241</v>
      </c>
      <c r="G125" s="406" t="s">
        <v>33220</v>
      </c>
      <c r="H125" s="406" t="s">
        <v>33221</v>
      </c>
      <c r="I125" s="406" t="s">
        <v>33222</v>
      </c>
      <c r="J125" s="408">
        <v>1.0314380000000001</v>
      </c>
      <c r="K125" s="408">
        <v>34.186798000000003</v>
      </c>
      <c r="L125" s="406" t="s">
        <v>6866</v>
      </c>
      <c r="M125" s="406" t="s">
        <v>9514</v>
      </c>
      <c r="N125" s="406" t="s">
        <v>9571</v>
      </c>
      <c r="O125" s="406" t="s">
        <v>9571</v>
      </c>
      <c r="P125" s="406" t="s">
        <v>33223</v>
      </c>
      <c r="Q125" s="409">
        <v>4</v>
      </c>
      <c r="R125" s="406" t="s">
        <v>9408</v>
      </c>
      <c r="S125" s="406" t="s">
        <v>33224</v>
      </c>
      <c r="T125" s="405" t="s">
        <v>884</v>
      </c>
      <c r="U125" s="405" t="s">
        <v>319</v>
      </c>
    </row>
    <row r="126" spans="1:21" x14ac:dyDescent="0.25">
      <c r="A126" s="405" t="s">
        <v>310</v>
      </c>
      <c r="B126" s="412" t="s">
        <v>32344</v>
      </c>
      <c r="C126" s="413" t="s">
        <v>327</v>
      </c>
      <c r="D126" s="413"/>
      <c r="E126" s="412" t="s">
        <v>32345</v>
      </c>
      <c r="F126" s="414">
        <v>45116</v>
      </c>
      <c r="G126" s="412" t="s">
        <v>32346</v>
      </c>
      <c r="H126" s="406" t="s">
        <v>32347</v>
      </c>
      <c r="I126" s="406" t="s">
        <v>32348</v>
      </c>
      <c r="J126" s="408">
        <v>0.419518</v>
      </c>
      <c r="K126" s="408">
        <v>32.597270000000002</v>
      </c>
      <c r="L126" s="406" t="s">
        <v>314</v>
      </c>
      <c r="M126" s="406" t="s">
        <v>361</v>
      </c>
      <c r="N126" s="406" t="s">
        <v>410</v>
      </c>
      <c r="O126" s="406" t="s">
        <v>5924</v>
      </c>
      <c r="P126" s="406" t="s">
        <v>1324</v>
      </c>
      <c r="Q126" s="409">
        <v>13</v>
      </c>
      <c r="R126" s="406" t="s">
        <v>32101</v>
      </c>
      <c r="S126" s="406" t="s">
        <v>32349</v>
      </c>
      <c r="T126" s="405" t="s">
        <v>32102</v>
      </c>
      <c r="U126" s="405" t="s">
        <v>319</v>
      </c>
    </row>
    <row r="127" spans="1:21" x14ac:dyDescent="0.25">
      <c r="A127" s="405" t="s">
        <v>310</v>
      </c>
      <c r="B127" s="412" t="s">
        <v>32885</v>
      </c>
      <c r="C127" s="413" t="s">
        <v>327</v>
      </c>
      <c r="D127" s="413"/>
      <c r="E127" s="412" t="s">
        <v>32345</v>
      </c>
      <c r="F127" s="414">
        <v>45132</v>
      </c>
      <c r="G127" s="412" t="s">
        <v>32886</v>
      </c>
      <c r="H127" s="406" t="s">
        <v>32887</v>
      </c>
      <c r="I127" s="406" t="s">
        <v>32888</v>
      </c>
      <c r="J127" s="408">
        <v>1.870601</v>
      </c>
      <c r="K127" s="408">
        <v>31.932200000000002</v>
      </c>
      <c r="L127" s="406" t="s">
        <v>590</v>
      </c>
      <c r="M127" s="406" t="s">
        <v>19608</v>
      </c>
      <c r="N127" s="406" t="s">
        <v>21347</v>
      </c>
      <c r="O127" s="406" t="s">
        <v>32866</v>
      </c>
      <c r="P127" s="406" t="s">
        <v>32889</v>
      </c>
      <c r="Q127" s="409">
        <v>6</v>
      </c>
      <c r="R127" s="406" t="s">
        <v>26734</v>
      </c>
      <c r="S127" s="406" t="s">
        <v>32890</v>
      </c>
      <c r="T127" s="406" t="s">
        <v>32102</v>
      </c>
      <c r="U127" s="406" t="s">
        <v>319</v>
      </c>
    </row>
    <row r="128" spans="1:21" hidden="1" x14ac:dyDescent="0.25">
      <c r="A128" s="405" t="s">
        <v>310</v>
      </c>
      <c r="B128" s="412" t="s">
        <v>33122</v>
      </c>
      <c r="C128" s="413" t="s">
        <v>327</v>
      </c>
      <c r="D128" s="413"/>
      <c r="E128" s="412" t="s">
        <v>33123</v>
      </c>
      <c r="F128" s="414">
        <v>45311</v>
      </c>
      <c r="G128" s="412" t="s">
        <v>33124</v>
      </c>
      <c r="H128" s="406" t="s">
        <v>33125</v>
      </c>
      <c r="I128" s="406" t="s">
        <v>2913</v>
      </c>
      <c r="J128" s="408">
        <v>1.289455</v>
      </c>
      <c r="K128" s="408">
        <v>30.823941999999999</v>
      </c>
      <c r="L128" s="406" t="s">
        <v>590</v>
      </c>
      <c r="M128" s="406" t="s">
        <v>7300</v>
      </c>
      <c r="N128" s="406" t="s">
        <v>8736</v>
      </c>
      <c r="O128" s="406" t="s">
        <v>8737</v>
      </c>
      <c r="P128" s="406" t="s">
        <v>33126</v>
      </c>
      <c r="Q128" s="409">
        <v>4</v>
      </c>
      <c r="R128" s="406" t="s">
        <v>32101</v>
      </c>
      <c r="S128" s="406" t="s">
        <v>27181</v>
      </c>
      <c r="T128" s="406" t="s">
        <v>884</v>
      </c>
      <c r="U128" s="406" t="s">
        <v>319</v>
      </c>
    </row>
    <row r="129" spans="1:21" hidden="1" x14ac:dyDescent="0.25">
      <c r="A129" s="405" t="s">
        <v>310</v>
      </c>
      <c r="B129" s="412" t="s">
        <v>32235</v>
      </c>
      <c r="C129" s="413" t="s">
        <v>327</v>
      </c>
      <c r="D129" s="413"/>
      <c r="E129" s="412" t="s">
        <v>32236</v>
      </c>
      <c r="F129" s="414">
        <v>45339</v>
      </c>
      <c r="G129" s="412" t="s">
        <v>32237</v>
      </c>
      <c r="H129" s="406" t="s">
        <v>32238</v>
      </c>
      <c r="I129" s="406" t="s">
        <v>32239</v>
      </c>
      <c r="J129" s="408">
        <v>1.6866939999999999</v>
      </c>
      <c r="K129" s="408">
        <v>33.557012</v>
      </c>
      <c r="L129" s="406" t="s">
        <v>6866</v>
      </c>
      <c r="M129" s="406" t="s">
        <v>10515</v>
      </c>
      <c r="N129" s="406" t="s">
        <v>9881</v>
      </c>
      <c r="O129" s="406" t="s">
        <v>32240</v>
      </c>
      <c r="P129" s="406" t="s">
        <v>32241</v>
      </c>
      <c r="Q129" s="409">
        <v>13</v>
      </c>
      <c r="R129" s="406" t="s">
        <v>17977</v>
      </c>
      <c r="S129" s="406" t="s">
        <v>27289</v>
      </c>
      <c r="T129" s="406" t="s">
        <v>32102</v>
      </c>
      <c r="U129" s="406" t="s">
        <v>319</v>
      </c>
    </row>
    <row r="130" spans="1:21" x14ac:dyDescent="0.25">
      <c r="A130" s="405" t="s">
        <v>310</v>
      </c>
      <c r="B130" s="406" t="s">
        <v>33176</v>
      </c>
      <c r="C130" s="405" t="s">
        <v>327</v>
      </c>
      <c r="D130" s="405"/>
      <c r="E130" s="406" t="s">
        <v>32236</v>
      </c>
      <c r="F130" s="407">
        <v>45289</v>
      </c>
      <c r="G130" s="406" t="s">
        <v>33177</v>
      </c>
      <c r="H130" s="406" t="s">
        <v>33178</v>
      </c>
      <c r="I130" s="406" t="s">
        <v>33179</v>
      </c>
      <c r="J130" s="408">
        <v>1.174553</v>
      </c>
      <c r="K130" s="408">
        <v>30.761520000000001</v>
      </c>
      <c r="L130" s="406" t="s">
        <v>590</v>
      </c>
      <c r="M130" s="406" t="s">
        <v>7300</v>
      </c>
      <c r="N130" s="406" t="s">
        <v>25995</v>
      </c>
      <c r="O130" s="406" t="s">
        <v>8737</v>
      </c>
      <c r="P130" s="406" t="s">
        <v>33121</v>
      </c>
      <c r="Q130" s="409">
        <v>4</v>
      </c>
      <c r="R130" s="406" t="s">
        <v>32101</v>
      </c>
      <c r="S130" s="406" t="s">
        <v>27047</v>
      </c>
      <c r="T130" s="406" t="s">
        <v>884</v>
      </c>
      <c r="U130" s="406" t="s">
        <v>319</v>
      </c>
    </row>
    <row r="131" spans="1:21" x14ac:dyDescent="0.25">
      <c r="A131" s="405" t="s">
        <v>310</v>
      </c>
      <c r="B131" s="406" t="s">
        <v>33184</v>
      </c>
      <c r="C131" s="405" t="s">
        <v>327</v>
      </c>
      <c r="D131" s="405"/>
      <c r="E131" s="406" t="s">
        <v>32236</v>
      </c>
      <c r="F131" s="407">
        <v>45286</v>
      </c>
      <c r="G131" s="406" t="s">
        <v>33185</v>
      </c>
      <c r="H131" s="406" t="s">
        <v>33186</v>
      </c>
      <c r="I131" s="406" t="s">
        <v>2913</v>
      </c>
      <c r="J131" s="408">
        <v>1.1711530000000001</v>
      </c>
      <c r="K131" s="408">
        <v>30.764693000000001</v>
      </c>
      <c r="L131" s="406" t="s">
        <v>590</v>
      </c>
      <c r="M131" s="406" t="s">
        <v>7300</v>
      </c>
      <c r="N131" s="406" t="s">
        <v>33120</v>
      </c>
      <c r="O131" s="406" t="s">
        <v>8737</v>
      </c>
      <c r="P131" s="406" t="s">
        <v>33121</v>
      </c>
      <c r="Q131" s="409">
        <v>4</v>
      </c>
      <c r="R131" s="406" t="s">
        <v>32101</v>
      </c>
      <c r="S131" s="406" t="s">
        <v>32718</v>
      </c>
      <c r="T131" s="405" t="s">
        <v>884</v>
      </c>
      <c r="U131" s="405" t="s">
        <v>319</v>
      </c>
    </row>
    <row r="132" spans="1:21" x14ac:dyDescent="0.25">
      <c r="A132" s="405" t="s">
        <v>310</v>
      </c>
      <c r="B132" s="406" t="s">
        <v>33205</v>
      </c>
      <c r="C132" s="405" t="s">
        <v>327</v>
      </c>
      <c r="D132" s="405"/>
      <c r="E132" s="406" t="s">
        <v>32236</v>
      </c>
      <c r="F132" s="407">
        <v>45272</v>
      </c>
      <c r="G132" s="406" t="s">
        <v>33206</v>
      </c>
      <c r="H132" s="406" t="s">
        <v>33179</v>
      </c>
      <c r="I132" s="406" t="s">
        <v>33179</v>
      </c>
      <c r="J132" s="408">
        <v>1.1766479999999999</v>
      </c>
      <c r="K132" s="408">
        <v>30.771809999999999</v>
      </c>
      <c r="L132" s="406" t="s">
        <v>590</v>
      </c>
      <c r="M132" s="406" t="s">
        <v>7300</v>
      </c>
      <c r="N132" s="406" t="s">
        <v>33120</v>
      </c>
      <c r="O132" s="406" t="s">
        <v>8737</v>
      </c>
      <c r="P132" s="406" t="s">
        <v>33121</v>
      </c>
      <c r="Q132" s="409">
        <v>4</v>
      </c>
      <c r="R132" s="406" t="s">
        <v>32101</v>
      </c>
      <c r="S132" s="406" t="s">
        <v>32134</v>
      </c>
      <c r="T132" s="405" t="s">
        <v>32212</v>
      </c>
      <c r="U132" s="405" t="s">
        <v>2267</v>
      </c>
    </row>
    <row r="133" spans="1:21" x14ac:dyDescent="0.25">
      <c r="A133" s="405" t="s">
        <v>310</v>
      </c>
      <c r="B133" s="406" t="s">
        <v>32282</v>
      </c>
      <c r="C133" s="405" t="s">
        <v>327</v>
      </c>
      <c r="D133" s="405"/>
      <c r="E133" s="406" t="s">
        <v>32283</v>
      </c>
      <c r="F133" s="407">
        <v>45218</v>
      </c>
      <c r="G133" s="406" t="s">
        <v>32284</v>
      </c>
      <c r="H133" s="406" t="s">
        <v>32285</v>
      </c>
      <c r="I133" s="406" t="s">
        <v>2913</v>
      </c>
      <c r="J133" s="408">
        <v>0.25270300000000001</v>
      </c>
      <c r="K133" s="408">
        <v>32.609349999999999</v>
      </c>
      <c r="L133" s="406" t="s">
        <v>314</v>
      </c>
      <c r="M133" s="406" t="s">
        <v>992</v>
      </c>
      <c r="N133" s="406" t="s">
        <v>32122</v>
      </c>
      <c r="O133" s="406" t="s">
        <v>618</v>
      </c>
      <c r="P133" s="406" t="s">
        <v>32286</v>
      </c>
      <c r="Q133" s="409">
        <v>13</v>
      </c>
      <c r="R133" s="406" t="s">
        <v>32101</v>
      </c>
      <c r="S133" s="406" t="s">
        <v>32266</v>
      </c>
      <c r="T133" s="406" t="s">
        <v>884</v>
      </c>
      <c r="U133" s="406" t="s">
        <v>319</v>
      </c>
    </row>
    <row r="134" spans="1:21" x14ac:dyDescent="0.25">
      <c r="A134" s="405" t="s">
        <v>310</v>
      </c>
      <c r="B134" s="406" t="s">
        <v>32428</v>
      </c>
      <c r="C134" s="405" t="s">
        <v>327</v>
      </c>
      <c r="D134" s="405"/>
      <c r="E134" s="406" t="s">
        <v>32429</v>
      </c>
      <c r="F134" s="407">
        <v>44881</v>
      </c>
      <c r="G134" s="406" t="s">
        <v>32430</v>
      </c>
      <c r="H134" s="406" t="s">
        <v>32431</v>
      </c>
      <c r="I134" s="406" t="s">
        <v>32432</v>
      </c>
      <c r="J134" s="408">
        <v>0.88758300000000001</v>
      </c>
      <c r="K134" s="408">
        <v>31.814088000000002</v>
      </c>
      <c r="L134" s="406" t="s">
        <v>314</v>
      </c>
      <c r="M134" s="406" t="s">
        <v>2297</v>
      </c>
      <c r="N134" s="406" t="s">
        <v>2297</v>
      </c>
      <c r="O134" s="406" t="s">
        <v>8747</v>
      </c>
      <c r="P134" s="406" t="s">
        <v>32433</v>
      </c>
      <c r="Q134" s="409">
        <v>13</v>
      </c>
      <c r="R134" s="406" t="s">
        <v>32101</v>
      </c>
      <c r="S134" s="406" t="s">
        <v>32349</v>
      </c>
      <c r="T134" s="406" t="s">
        <v>32212</v>
      </c>
      <c r="U134" s="406" t="s">
        <v>2267</v>
      </c>
    </row>
    <row r="135" spans="1:21" x14ac:dyDescent="0.25">
      <c r="A135" s="405" t="s">
        <v>310</v>
      </c>
      <c r="B135" s="406" t="s">
        <v>32267</v>
      </c>
      <c r="C135" s="405" t="s">
        <v>327</v>
      </c>
      <c r="D135" s="405"/>
      <c r="E135" s="406" t="s">
        <v>32268</v>
      </c>
      <c r="F135" s="407">
        <v>45245</v>
      </c>
      <c r="G135" s="406" t="s">
        <v>32269</v>
      </c>
      <c r="H135" s="406" t="s">
        <v>32270</v>
      </c>
      <c r="I135" s="406" t="s">
        <v>32271</v>
      </c>
      <c r="J135" s="408">
        <v>1.7419279999999999</v>
      </c>
      <c r="K135" s="408">
        <v>33.623797000000003</v>
      </c>
      <c r="L135" s="406" t="s">
        <v>6866</v>
      </c>
      <c r="M135" s="406" t="s">
        <v>10515</v>
      </c>
      <c r="N135" s="406" t="s">
        <v>32272</v>
      </c>
      <c r="O135" s="406" t="s">
        <v>32273</v>
      </c>
      <c r="P135" s="406" t="s">
        <v>32274</v>
      </c>
      <c r="Q135" s="409">
        <v>13</v>
      </c>
      <c r="R135" s="406" t="s">
        <v>5655</v>
      </c>
      <c r="S135" s="406" t="s">
        <v>32275</v>
      </c>
      <c r="T135" s="405" t="s">
        <v>32212</v>
      </c>
      <c r="U135" s="405" t="s">
        <v>2267</v>
      </c>
    </row>
    <row r="136" spans="1:21" x14ac:dyDescent="0.25">
      <c r="A136" s="405" t="s">
        <v>310</v>
      </c>
      <c r="B136" s="406" t="s">
        <v>32590</v>
      </c>
      <c r="C136" s="405" t="s">
        <v>327</v>
      </c>
      <c r="D136" s="405"/>
      <c r="E136" s="406" t="s">
        <v>32591</v>
      </c>
      <c r="F136" s="407">
        <v>45178</v>
      </c>
      <c r="G136" s="406" t="s">
        <v>32592</v>
      </c>
      <c r="H136" s="406" t="s">
        <v>32593</v>
      </c>
      <c r="I136" s="406" t="s">
        <v>2913</v>
      </c>
      <c r="J136" s="408">
        <v>-8.9272000000000004E-2</v>
      </c>
      <c r="K136" s="408">
        <v>31.037372000000001</v>
      </c>
      <c r="L136" s="406" t="s">
        <v>590</v>
      </c>
      <c r="M136" s="406" t="s">
        <v>19705</v>
      </c>
      <c r="N136" s="406" t="s">
        <v>1215</v>
      </c>
      <c r="O136" s="406" t="s">
        <v>1215</v>
      </c>
      <c r="P136" s="406" t="s">
        <v>32594</v>
      </c>
      <c r="Q136" s="409">
        <v>9</v>
      </c>
      <c r="R136" s="406" t="s">
        <v>874</v>
      </c>
      <c r="S136" s="406" t="s">
        <v>32248</v>
      </c>
      <c r="T136" s="405" t="s">
        <v>884</v>
      </c>
      <c r="U136" s="405" t="s">
        <v>319</v>
      </c>
    </row>
    <row r="137" spans="1:21" x14ac:dyDescent="0.25">
      <c r="A137" s="405" t="s">
        <v>310</v>
      </c>
      <c r="B137" s="406" t="s">
        <v>32303</v>
      </c>
      <c r="C137" s="405" t="s">
        <v>327</v>
      </c>
      <c r="D137" s="405"/>
      <c r="E137" s="406" t="s">
        <v>32304</v>
      </c>
      <c r="F137" s="407">
        <v>45188</v>
      </c>
      <c r="G137" s="406" t="s">
        <v>32305</v>
      </c>
      <c r="H137" s="406" t="s">
        <v>32306</v>
      </c>
      <c r="I137" s="406" t="s">
        <v>32307</v>
      </c>
      <c r="J137" s="408">
        <v>-0.80986899999999995</v>
      </c>
      <c r="K137" s="408">
        <v>30.311674</v>
      </c>
      <c r="L137" s="406" t="s">
        <v>590</v>
      </c>
      <c r="M137" s="406" t="s">
        <v>19659</v>
      </c>
      <c r="N137" s="406" t="s">
        <v>19659</v>
      </c>
      <c r="O137" s="406" t="s">
        <v>19969</v>
      </c>
      <c r="P137" s="406" t="s">
        <v>26399</v>
      </c>
      <c r="Q137" s="409">
        <v>13</v>
      </c>
      <c r="R137" s="406" t="s">
        <v>32101</v>
      </c>
      <c r="S137" s="406" t="s">
        <v>32123</v>
      </c>
      <c r="T137" s="405" t="s">
        <v>32102</v>
      </c>
      <c r="U137" s="405" t="s">
        <v>319</v>
      </c>
    </row>
    <row r="138" spans="1:21" x14ac:dyDescent="0.25">
      <c r="A138" s="405" t="s">
        <v>310</v>
      </c>
      <c r="B138" s="412" t="s">
        <v>32613</v>
      </c>
      <c r="C138" s="413" t="s">
        <v>327</v>
      </c>
      <c r="D138" s="413"/>
      <c r="E138" s="412" t="s">
        <v>32614</v>
      </c>
      <c r="F138" s="414">
        <v>45132</v>
      </c>
      <c r="G138" s="412" t="s">
        <v>32615</v>
      </c>
      <c r="H138" s="406" t="s">
        <v>32616</v>
      </c>
      <c r="I138" s="406" t="s">
        <v>32617</v>
      </c>
      <c r="J138" s="408">
        <v>0.808647</v>
      </c>
      <c r="K138" s="408">
        <v>33.515096999999997</v>
      </c>
      <c r="L138" s="406" t="s">
        <v>6866</v>
      </c>
      <c r="M138" s="406" t="s">
        <v>10853</v>
      </c>
      <c r="N138" s="406" t="s">
        <v>32618</v>
      </c>
      <c r="O138" s="406" t="s">
        <v>32619</v>
      </c>
      <c r="P138" s="406" t="s">
        <v>32620</v>
      </c>
      <c r="Q138" s="409">
        <v>9</v>
      </c>
      <c r="R138" s="406" t="s">
        <v>32164</v>
      </c>
      <c r="S138" s="406" t="s">
        <v>32281</v>
      </c>
      <c r="T138" s="405" t="s">
        <v>884</v>
      </c>
      <c r="U138" s="405" t="s">
        <v>319</v>
      </c>
    </row>
    <row r="139" spans="1:21" x14ac:dyDescent="0.25">
      <c r="A139" s="405" t="s">
        <v>310</v>
      </c>
      <c r="B139" s="406" t="s">
        <v>33232</v>
      </c>
      <c r="C139" s="405" t="s">
        <v>327</v>
      </c>
      <c r="D139" s="405"/>
      <c r="E139" s="406" t="s">
        <v>33233</v>
      </c>
      <c r="F139" s="407">
        <v>45209</v>
      </c>
      <c r="G139" s="406" t="s">
        <v>33234</v>
      </c>
      <c r="H139" s="406" t="s">
        <v>33235</v>
      </c>
      <c r="I139" s="406" t="s">
        <v>33236</v>
      </c>
      <c r="J139" s="408">
        <v>1.104082</v>
      </c>
      <c r="K139" s="408">
        <v>34.194274999999998</v>
      </c>
      <c r="L139" s="406" t="s">
        <v>6866</v>
      </c>
      <c r="M139" s="406" t="s">
        <v>9514</v>
      </c>
      <c r="N139" s="406" t="s">
        <v>9530</v>
      </c>
      <c r="O139" s="406" t="s">
        <v>9530</v>
      </c>
      <c r="P139" s="406" t="s">
        <v>14621</v>
      </c>
      <c r="Q139" s="409">
        <v>4</v>
      </c>
      <c r="R139" s="406" t="s">
        <v>9408</v>
      </c>
      <c r="S139" s="406" t="s">
        <v>17062</v>
      </c>
      <c r="T139" s="405" t="s">
        <v>884</v>
      </c>
      <c r="U139" s="405" t="s">
        <v>319</v>
      </c>
    </row>
    <row r="140" spans="1:21" x14ac:dyDescent="0.25">
      <c r="A140" s="405" t="s">
        <v>310</v>
      </c>
      <c r="B140" s="405" t="s">
        <v>5687</v>
      </c>
      <c r="C140" s="405" t="s">
        <v>327</v>
      </c>
      <c r="D140" s="405"/>
      <c r="E140" s="410">
        <v>42173</v>
      </c>
      <c r="F140" s="410">
        <v>42218</v>
      </c>
      <c r="G140" s="405" t="s">
        <v>5688</v>
      </c>
      <c r="H140" s="405">
        <v>772618283</v>
      </c>
      <c r="I140" s="405"/>
      <c r="J140" s="405">
        <v>0.188113</v>
      </c>
      <c r="K140" s="405">
        <v>32.463095000000003</v>
      </c>
      <c r="L140" s="405" t="s">
        <v>314</v>
      </c>
      <c r="M140" s="405" t="s">
        <v>361</v>
      </c>
      <c r="N140" s="405" t="s">
        <v>5689</v>
      </c>
      <c r="O140" s="405" t="s">
        <v>5689</v>
      </c>
      <c r="P140" s="405" t="s">
        <v>5690</v>
      </c>
      <c r="Q140" s="411">
        <v>20</v>
      </c>
      <c r="R140" s="405" t="s">
        <v>525</v>
      </c>
      <c r="S140" s="405" t="s">
        <v>27245</v>
      </c>
      <c r="T140" s="406" t="s">
        <v>32102</v>
      </c>
      <c r="U140" s="406" t="s">
        <v>319</v>
      </c>
    </row>
    <row r="141" spans="1:21" x14ac:dyDescent="0.25">
      <c r="A141" s="405" t="s">
        <v>310</v>
      </c>
      <c r="B141" s="405" t="s">
        <v>28253</v>
      </c>
      <c r="C141" s="405" t="s">
        <v>327</v>
      </c>
      <c r="D141" s="405"/>
      <c r="E141" s="410">
        <v>42195</v>
      </c>
      <c r="F141" s="410">
        <v>42240</v>
      </c>
      <c r="G141" s="405" t="s">
        <v>5662</v>
      </c>
      <c r="H141" s="405">
        <v>702443284</v>
      </c>
      <c r="I141" s="405"/>
      <c r="J141" s="405">
        <v>0.35439799999999999</v>
      </c>
      <c r="K141" s="405">
        <v>32.767007999999997</v>
      </c>
      <c r="L141" s="405" t="s">
        <v>314</v>
      </c>
      <c r="M141" s="405" t="s">
        <v>329</v>
      </c>
      <c r="N141" s="405" t="s">
        <v>5663</v>
      </c>
      <c r="O141" s="405" t="s">
        <v>5663</v>
      </c>
      <c r="P141" s="405" t="s">
        <v>5664</v>
      </c>
      <c r="Q141" s="411">
        <v>30</v>
      </c>
      <c r="R141" s="405" t="s">
        <v>5665</v>
      </c>
      <c r="S141" s="405" t="s">
        <v>27110</v>
      </c>
      <c r="T141" s="406" t="s">
        <v>32102</v>
      </c>
      <c r="U141" s="406" t="s">
        <v>319</v>
      </c>
    </row>
    <row r="142" spans="1:21" x14ac:dyDescent="0.25">
      <c r="A142" s="405" t="s">
        <v>310</v>
      </c>
      <c r="B142" s="406" t="s">
        <v>32393</v>
      </c>
      <c r="C142" s="405" t="s">
        <v>327</v>
      </c>
      <c r="D142" s="405"/>
      <c r="E142" s="406" t="s">
        <v>32394</v>
      </c>
      <c r="F142" s="407">
        <v>44999</v>
      </c>
      <c r="G142" s="406" t="s">
        <v>32395</v>
      </c>
      <c r="H142" s="406" t="s">
        <v>32396</v>
      </c>
      <c r="I142" s="406" t="s">
        <v>32397</v>
      </c>
      <c r="J142" s="408">
        <v>0.45790500000000001</v>
      </c>
      <c r="K142" s="408">
        <v>34.079602000000001</v>
      </c>
      <c r="L142" s="406" t="s">
        <v>6866</v>
      </c>
      <c r="M142" s="406" t="s">
        <v>10390</v>
      </c>
      <c r="N142" s="406" t="s">
        <v>32398</v>
      </c>
      <c r="O142" s="406" t="s">
        <v>32399</v>
      </c>
      <c r="P142" s="406" t="s">
        <v>32400</v>
      </c>
      <c r="Q142" s="409">
        <v>13</v>
      </c>
      <c r="R142" s="406" t="s">
        <v>9408</v>
      </c>
      <c r="S142" s="406" t="s">
        <v>32401</v>
      </c>
      <c r="T142" s="406" t="s">
        <v>884</v>
      </c>
      <c r="U142" s="406" t="s">
        <v>319</v>
      </c>
    </row>
    <row r="143" spans="1:21" x14ac:dyDescent="0.25">
      <c r="A143" s="405" t="s">
        <v>310</v>
      </c>
      <c r="B143" s="406" t="s">
        <v>32680</v>
      </c>
      <c r="C143" s="405" t="s">
        <v>327</v>
      </c>
      <c r="D143" s="405"/>
      <c r="E143" s="406" t="s">
        <v>32394</v>
      </c>
      <c r="F143" s="407">
        <v>44984</v>
      </c>
      <c r="G143" s="406" t="s">
        <v>32681</v>
      </c>
      <c r="H143" s="406" t="s">
        <v>32682</v>
      </c>
      <c r="I143" s="406" t="s">
        <v>32683</v>
      </c>
      <c r="J143" s="408">
        <v>0.39854000000000001</v>
      </c>
      <c r="K143" s="408">
        <v>32.566797999999999</v>
      </c>
      <c r="L143" s="406" t="s">
        <v>314</v>
      </c>
      <c r="M143" s="406" t="s">
        <v>992</v>
      </c>
      <c r="N143" s="406" t="s">
        <v>5924</v>
      </c>
      <c r="O143" s="406" t="s">
        <v>936</v>
      </c>
      <c r="P143" s="406" t="s">
        <v>2041</v>
      </c>
      <c r="Q143" s="409">
        <v>9</v>
      </c>
      <c r="R143" s="406" t="s">
        <v>32101</v>
      </c>
      <c r="S143" s="406" t="s">
        <v>32123</v>
      </c>
      <c r="T143" s="406" t="s">
        <v>884</v>
      </c>
      <c r="U143" s="406" t="s">
        <v>319</v>
      </c>
    </row>
    <row r="144" spans="1:21" x14ac:dyDescent="0.25">
      <c r="A144" s="405" t="s">
        <v>310</v>
      </c>
      <c r="B144" s="406" t="s">
        <v>32926</v>
      </c>
      <c r="C144" s="405" t="s">
        <v>327</v>
      </c>
      <c r="D144" s="405"/>
      <c r="E144" s="406" t="s">
        <v>32927</v>
      </c>
      <c r="F144" s="407">
        <v>45075</v>
      </c>
      <c r="G144" s="406" t="s">
        <v>32928</v>
      </c>
      <c r="H144" s="406" t="s">
        <v>32929</v>
      </c>
      <c r="I144" s="406" t="s">
        <v>32930</v>
      </c>
      <c r="J144" s="408">
        <v>1.595907</v>
      </c>
      <c r="K144" s="408">
        <v>33.435813000000003</v>
      </c>
      <c r="L144" s="406" t="s">
        <v>6866</v>
      </c>
      <c r="M144" s="406" t="s">
        <v>10515</v>
      </c>
      <c r="N144" s="406" t="s">
        <v>10515</v>
      </c>
      <c r="O144" s="406" t="s">
        <v>10515</v>
      </c>
      <c r="P144" s="406" t="s">
        <v>11312</v>
      </c>
      <c r="Q144" s="409">
        <v>6</v>
      </c>
      <c r="R144" s="406" t="s">
        <v>5655</v>
      </c>
      <c r="S144" s="406" t="s">
        <v>27289</v>
      </c>
      <c r="T144" s="405" t="s">
        <v>884</v>
      </c>
      <c r="U144" s="405" t="s">
        <v>319</v>
      </c>
    </row>
    <row r="145" spans="1:21" x14ac:dyDescent="0.25">
      <c r="A145" s="405" t="s">
        <v>310</v>
      </c>
      <c r="B145" s="406" t="s">
        <v>32977</v>
      </c>
      <c r="C145" s="405" t="s">
        <v>327</v>
      </c>
      <c r="D145" s="405"/>
      <c r="E145" s="406" t="s">
        <v>32927</v>
      </c>
      <c r="F145" s="407">
        <v>44988</v>
      </c>
      <c r="G145" s="406" t="s">
        <v>32978</v>
      </c>
      <c r="H145" s="406" t="s">
        <v>32979</v>
      </c>
      <c r="I145" s="406" t="s">
        <v>32980</v>
      </c>
      <c r="J145" s="408">
        <v>0.885745</v>
      </c>
      <c r="K145" s="408">
        <v>32.473739999999999</v>
      </c>
      <c r="L145" s="406" t="s">
        <v>314</v>
      </c>
      <c r="M145" s="406" t="s">
        <v>959</v>
      </c>
      <c r="N145" s="406" t="s">
        <v>9817</v>
      </c>
      <c r="O145" s="406" t="s">
        <v>6270</v>
      </c>
      <c r="P145" s="406" t="s">
        <v>32981</v>
      </c>
      <c r="Q145" s="409">
        <v>6</v>
      </c>
      <c r="R145" s="406" t="s">
        <v>5921</v>
      </c>
      <c r="S145" s="406" t="s">
        <v>32960</v>
      </c>
      <c r="T145" s="405" t="s">
        <v>884</v>
      </c>
      <c r="U145" s="405" t="s">
        <v>319</v>
      </c>
    </row>
    <row r="146" spans="1:21" hidden="1" x14ac:dyDescent="0.25">
      <c r="A146" s="405" t="s">
        <v>310</v>
      </c>
      <c r="B146" s="406" t="s">
        <v>33142</v>
      </c>
      <c r="C146" s="405" t="s">
        <v>327</v>
      </c>
      <c r="D146" s="405"/>
      <c r="E146" s="406" t="s">
        <v>33143</v>
      </c>
      <c r="F146" s="407">
        <v>45309</v>
      </c>
      <c r="G146" s="406" t="s">
        <v>33144</v>
      </c>
      <c r="H146" s="406" t="s">
        <v>33145</v>
      </c>
      <c r="I146" s="406" t="s">
        <v>33146</v>
      </c>
      <c r="J146" s="408">
        <v>1.280797</v>
      </c>
      <c r="K146" s="408">
        <v>30.795193000000001</v>
      </c>
      <c r="L146" s="406" t="s">
        <v>590</v>
      </c>
      <c r="M146" s="406" t="s">
        <v>7300</v>
      </c>
      <c r="N146" s="406" t="s">
        <v>25995</v>
      </c>
      <c r="O146" s="406" t="s">
        <v>8737</v>
      </c>
      <c r="P146" s="406" t="s">
        <v>25129</v>
      </c>
      <c r="Q146" s="409">
        <v>4</v>
      </c>
      <c r="R146" s="406" t="s">
        <v>32101</v>
      </c>
      <c r="S146" s="406" t="s">
        <v>27154</v>
      </c>
      <c r="T146" s="405" t="s">
        <v>884</v>
      </c>
      <c r="U146" s="405" t="s">
        <v>319</v>
      </c>
    </row>
    <row r="147" spans="1:21" x14ac:dyDescent="0.25">
      <c r="A147" s="405" t="s">
        <v>310</v>
      </c>
      <c r="B147" s="406" t="s">
        <v>33207</v>
      </c>
      <c r="C147" s="405" t="s">
        <v>327</v>
      </c>
      <c r="D147" s="405"/>
      <c r="E147" s="406" t="s">
        <v>33208</v>
      </c>
      <c r="F147" s="407">
        <v>45271</v>
      </c>
      <c r="G147" s="406" t="s">
        <v>33209</v>
      </c>
      <c r="H147" s="406" t="s">
        <v>33210</v>
      </c>
      <c r="I147" s="406" t="s">
        <v>2913</v>
      </c>
      <c r="J147" s="408">
        <v>1.2215400000000001</v>
      </c>
      <c r="K147" s="408">
        <v>30.896885000000001</v>
      </c>
      <c r="L147" s="406" t="s">
        <v>590</v>
      </c>
      <c r="M147" s="406" t="s">
        <v>7300</v>
      </c>
      <c r="N147" s="406" t="s">
        <v>33120</v>
      </c>
      <c r="O147" s="406" t="s">
        <v>8737</v>
      </c>
      <c r="P147" s="406" t="s">
        <v>33211</v>
      </c>
      <c r="Q147" s="409">
        <v>4</v>
      </c>
      <c r="R147" s="406" t="s">
        <v>32101</v>
      </c>
      <c r="S147" s="406" t="s">
        <v>33212</v>
      </c>
      <c r="T147" s="405" t="s">
        <v>884</v>
      </c>
      <c r="U147" s="405" t="s">
        <v>319</v>
      </c>
    </row>
    <row r="148" spans="1:21" x14ac:dyDescent="0.25">
      <c r="A148" s="405" t="s">
        <v>310</v>
      </c>
      <c r="B148" s="406" t="s">
        <v>32415</v>
      </c>
      <c r="C148" s="405" t="s">
        <v>327</v>
      </c>
      <c r="D148" s="405"/>
      <c r="E148" s="406" t="s">
        <v>32416</v>
      </c>
      <c r="F148" s="407">
        <v>44917</v>
      </c>
      <c r="G148" s="406" t="s">
        <v>32417</v>
      </c>
      <c r="H148" s="406" t="s">
        <v>32418</v>
      </c>
      <c r="I148" s="406" t="s">
        <v>32419</v>
      </c>
      <c r="J148" s="408">
        <v>0.486205</v>
      </c>
      <c r="K148" s="408">
        <v>32.504024999999999</v>
      </c>
      <c r="L148" s="406" t="s">
        <v>314</v>
      </c>
      <c r="M148" s="406" t="s">
        <v>361</v>
      </c>
      <c r="N148" s="406" t="s">
        <v>374</v>
      </c>
      <c r="O148" s="406" t="s">
        <v>523</v>
      </c>
      <c r="P148" s="406" t="s">
        <v>32420</v>
      </c>
      <c r="Q148" s="409">
        <v>13</v>
      </c>
      <c r="R148" s="406" t="s">
        <v>32101</v>
      </c>
      <c r="S148" s="406" t="s">
        <v>32421</v>
      </c>
      <c r="T148" s="405" t="s">
        <v>884</v>
      </c>
      <c r="U148" s="405" t="s">
        <v>319</v>
      </c>
    </row>
    <row r="149" spans="1:21" x14ac:dyDescent="0.25">
      <c r="A149" s="405" t="s">
        <v>310</v>
      </c>
      <c r="B149" s="405" t="s">
        <v>5728</v>
      </c>
      <c r="C149" s="405" t="s">
        <v>327</v>
      </c>
      <c r="D149" s="405"/>
      <c r="E149" s="410">
        <v>42215</v>
      </c>
      <c r="F149" s="410">
        <v>42260</v>
      </c>
      <c r="G149" s="405" t="s">
        <v>5729</v>
      </c>
      <c r="H149" s="405">
        <v>772779810</v>
      </c>
      <c r="I149" s="405"/>
      <c r="J149" s="405">
        <v>0.369952</v>
      </c>
      <c r="K149" s="405">
        <v>32.690604999999998</v>
      </c>
      <c r="L149" s="405" t="s">
        <v>314</v>
      </c>
      <c r="M149" s="405" t="s">
        <v>329</v>
      </c>
      <c r="N149" s="405" t="s">
        <v>4387</v>
      </c>
      <c r="O149" s="405" t="s">
        <v>4387</v>
      </c>
      <c r="P149" s="405" t="s">
        <v>4387</v>
      </c>
      <c r="Q149" s="411">
        <v>30</v>
      </c>
      <c r="R149" s="405" t="s">
        <v>5665</v>
      </c>
      <c r="S149" s="405" t="s">
        <v>27051</v>
      </c>
      <c r="T149" s="405" t="s">
        <v>32102</v>
      </c>
      <c r="U149" s="405" t="s">
        <v>319</v>
      </c>
    </row>
    <row r="150" spans="1:21" x14ac:dyDescent="0.25">
      <c r="A150" s="405" t="s">
        <v>310</v>
      </c>
      <c r="B150" s="406" t="s">
        <v>33237</v>
      </c>
      <c r="C150" s="405" t="s">
        <v>327</v>
      </c>
      <c r="D150" s="405"/>
      <c r="E150" s="406" t="s">
        <v>32129</v>
      </c>
      <c r="F150" s="407">
        <v>45209</v>
      </c>
      <c r="G150" s="406" t="s">
        <v>33238</v>
      </c>
      <c r="H150" s="406" t="s">
        <v>33239</v>
      </c>
      <c r="I150" s="406" t="s">
        <v>33240</v>
      </c>
      <c r="J150" s="408">
        <v>0.70041799999999999</v>
      </c>
      <c r="K150" s="408">
        <v>34.171872999999998</v>
      </c>
      <c r="L150" s="406" t="s">
        <v>6866</v>
      </c>
      <c r="M150" s="406" t="s">
        <v>9534</v>
      </c>
      <c r="N150" s="406" t="s">
        <v>9881</v>
      </c>
      <c r="O150" s="406" t="s">
        <v>10066</v>
      </c>
      <c r="P150" s="406" t="s">
        <v>10283</v>
      </c>
      <c r="Q150" s="409">
        <v>4</v>
      </c>
      <c r="R150" s="406" t="s">
        <v>9408</v>
      </c>
      <c r="S150" s="406" t="s">
        <v>33241</v>
      </c>
      <c r="T150" s="405" t="s">
        <v>884</v>
      </c>
      <c r="U150" s="405" t="s">
        <v>319</v>
      </c>
    </row>
    <row r="151" spans="1:21" x14ac:dyDescent="0.25">
      <c r="A151" s="405" t="s">
        <v>310</v>
      </c>
      <c r="B151" s="406" t="s">
        <v>32456</v>
      </c>
      <c r="C151" s="405" t="s">
        <v>327</v>
      </c>
      <c r="D151" s="405"/>
      <c r="E151" s="406" t="s">
        <v>32457</v>
      </c>
      <c r="F151" s="407">
        <v>44825</v>
      </c>
      <c r="G151" s="406" t="s">
        <v>32458</v>
      </c>
      <c r="H151" s="406" t="s">
        <v>32459</v>
      </c>
      <c r="I151" s="406" t="s">
        <v>32460</v>
      </c>
      <c r="J151" s="408">
        <v>0.42296299999999998</v>
      </c>
      <c r="K151" s="408">
        <v>32.421723</v>
      </c>
      <c r="L151" s="406" t="s">
        <v>314</v>
      </c>
      <c r="M151" s="406" t="s">
        <v>361</v>
      </c>
      <c r="N151" s="406" t="s">
        <v>374</v>
      </c>
      <c r="O151" s="406" t="s">
        <v>535</v>
      </c>
      <c r="P151" s="406" t="s">
        <v>32461</v>
      </c>
      <c r="Q151" s="409">
        <v>13</v>
      </c>
      <c r="R151" s="406" t="s">
        <v>32101</v>
      </c>
      <c r="S151" s="406" t="s">
        <v>27193</v>
      </c>
      <c r="T151" s="405" t="s">
        <v>884</v>
      </c>
      <c r="U151" s="405" t="s">
        <v>319</v>
      </c>
    </row>
    <row r="152" spans="1:21" x14ac:dyDescent="0.25">
      <c r="A152" s="405" t="s">
        <v>310</v>
      </c>
      <c r="B152" s="412" t="s">
        <v>32805</v>
      </c>
      <c r="C152" s="413" t="s">
        <v>327</v>
      </c>
      <c r="D152" s="413"/>
      <c r="E152" s="412" t="s">
        <v>32806</v>
      </c>
      <c r="F152" s="414">
        <v>45217</v>
      </c>
      <c r="G152" s="412" t="s">
        <v>32807</v>
      </c>
      <c r="H152" s="406" t="s">
        <v>32808</v>
      </c>
      <c r="I152" s="406" t="s">
        <v>32809</v>
      </c>
      <c r="J152" s="408">
        <v>0.66081800000000002</v>
      </c>
      <c r="K152" s="408">
        <v>33.731695000000002</v>
      </c>
      <c r="L152" s="406" t="s">
        <v>6866</v>
      </c>
      <c r="M152" s="406" t="s">
        <v>13470</v>
      </c>
      <c r="N152" s="406" t="s">
        <v>32810</v>
      </c>
      <c r="O152" s="406" t="s">
        <v>5138</v>
      </c>
      <c r="P152" s="406" t="s">
        <v>5138</v>
      </c>
      <c r="Q152" s="409">
        <v>6</v>
      </c>
      <c r="R152" s="406" t="s">
        <v>32164</v>
      </c>
      <c r="S152" s="406" t="s">
        <v>32281</v>
      </c>
      <c r="T152" s="405" t="s">
        <v>32102</v>
      </c>
      <c r="U152" s="405" t="s">
        <v>319</v>
      </c>
    </row>
    <row r="153" spans="1:21" x14ac:dyDescent="0.25">
      <c r="A153" s="405" t="s">
        <v>310</v>
      </c>
      <c r="B153" s="406" t="s">
        <v>32903</v>
      </c>
      <c r="C153" s="405" t="s">
        <v>327</v>
      </c>
      <c r="D153" s="405"/>
      <c r="E153" s="406" t="s">
        <v>32904</v>
      </c>
      <c r="F153" s="407">
        <v>45117</v>
      </c>
      <c r="G153" s="406" t="s">
        <v>32905</v>
      </c>
      <c r="H153" s="406" t="s">
        <v>32906</v>
      </c>
      <c r="I153" s="406" t="s">
        <v>32555</v>
      </c>
      <c r="J153" s="408">
        <v>-0.25774399999999997</v>
      </c>
      <c r="K153" s="408">
        <v>31.731417</v>
      </c>
      <c r="L153" s="406" t="s">
        <v>314</v>
      </c>
      <c r="M153" s="406" t="s">
        <v>382</v>
      </c>
      <c r="N153" s="406" t="s">
        <v>1481</v>
      </c>
      <c r="O153" s="406" t="s">
        <v>1082</v>
      </c>
      <c r="P153" s="406" t="s">
        <v>516</v>
      </c>
      <c r="Q153" s="409">
        <v>6</v>
      </c>
      <c r="R153" s="406" t="s">
        <v>9408</v>
      </c>
      <c r="S153" s="406" t="s">
        <v>27265</v>
      </c>
      <c r="T153" s="405" t="s">
        <v>884</v>
      </c>
      <c r="U153" s="405" t="s">
        <v>319</v>
      </c>
    </row>
    <row r="154" spans="1:21" x14ac:dyDescent="0.25">
      <c r="A154" s="405" t="s">
        <v>310</v>
      </c>
      <c r="B154" s="405" t="s">
        <v>9367</v>
      </c>
      <c r="C154" s="405" t="s">
        <v>327</v>
      </c>
      <c r="D154" s="405"/>
      <c r="E154" s="410" t="s">
        <v>33034</v>
      </c>
      <c r="F154" s="410">
        <v>44688</v>
      </c>
      <c r="G154" s="405" t="s">
        <v>33035</v>
      </c>
      <c r="H154" s="405" t="s">
        <v>9368</v>
      </c>
      <c r="I154" s="405"/>
      <c r="J154" s="405">
        <v>9.8513000000000003E-2</v>
      </c>
      <c r="K154" s="405">
        <v>32.212204999999997</v>
      </c>
      <c r="L154" s="405" t="s">
        <v>314</v>
      </c>
      <c r="M154" s="405" t="s">
        <v>321</v>
      </c>
      <c r="N154" s="405" t="s">
        <v>2472</v>
      </c>
      <c r="O154" s="405" t="s">
        <v>321</v>
      </c>
      <c r="P154" s="405" t="s">
        <v>9369</v>
      </c>
      <c r="Q154" s="411">
        <v>6</v>
      </c>
      <c r="R154" s="405" t="s">
        <v>32101</v>
      </c>
      <c r="S154" s="405" t="s">
        <v>27065</v>
      </c>
      <c r="T154" s="405" t="s">
        <v>884</v>
      </c>
      <c r="U154" s="405" t="s">
        <v>319</v>
      </c>
    </row>
    <row r="155" spans="1:21" x14ac:dyDescent="0.25">
      <c r="A155" s="405" t="s">
        <v>310</v>
      </c>
      <c r="B155" s="406" t="s">
        <v>32539</v>
      </c>
      <c r="C155" s="405" t="s">
        <v>327</v>
      </c>
      <c r="D155" s="405"/>
      <c r="E155" s="406" t="s">
        <v>32540</v>
      </c>
      <c r="F155" s="407">
        <v>45282</v>
      </c>
      <c r="G155" s="406" t="s">
        <v>32541</v>
      </c>
      <c r="H155" s="406" t="s">
        <v>32542</v>
      </c>
      <c r="I155" s="406" t="s">
        <v>32543</v>
      </c>
      <c r="J155" s="408">
        <v>1.1780839999999999</v>
      </c>
      <c r="K155" s="408">
        <v>32.978274999999996</v>
      </c>
      <c r="L155" s="406" t="s">
        <v>6866</v>
      </c>
      <c r="M155" s="406" t="s">
        <v>3009</v>
      </c>
      <c r="N155" s="406" t="s">
        <v>11632</v>
      </c>
      <c r="O155" s="406" t="s">
        <v>16138</v>
      </c>
      <c r="P155" s="406" t="s">
        <v>32544</v>
      </c>
      <c r="Q155" s="409">
        <v>9</v>
      </c>
      <c r="R155" s="406" t="s">
        <v>32164</v>
      </c>
      <c r="S155" s="406" t="s">
        <v>32281</v>
      </c>
      <c r="T155" s="405" t="s">
        <v>32102</v>
      </c>
      <c r="U155" s="405" t="s">
        <v>319</v>
      </c>
    </row>
    <row r="156" spans="1:21" x14ac:dyDescent="0.25">
      <c r="A156" s="405" t="s">
        <v>310</v>
      </c>
      <c r="B156" s="406" t="s">
        <v>32308</v>
      </c>
      <c r="C156" s="405" t="s">
        <v>327</v>
      </c>
      <c r="D156" s="405"/>
      <c r="E156" s="406" t="s">
        <v>32309</v>
      </c>
      <c r="F156" s="407">
        <v>45179</v>
      </c>
      <c r="G156" s="406" t="s">
        <v>32310</v>
      </c>
      <c r="H156" s="406" t="s">
        <v>32311</v>
      </c>
      <c r="I156" s="406" t="s">
        <v>2913</v>
      </c>
      <c r="J156" s="408">
        <v>0.48199799999999998</v>
      </c>
      <c r="K156" s="408">
        <v>32.276933</v>
      </c>
      <c r="L156" s="406" t="s">
        <v>314</v>
      </c>
      <c r="M156" s="406" t="s">
        <v>361</v>
      </c>
      <c r="N156" s="406" t="s">
        <v>374</v>
      </c>
      <c r="O156" s="406" t="s">
        <v>662</v>
      </c>
      <c r="P156" s="406" t="s">
        <v>32312</v>
      </c>
      <c r="Q156" s="409">
        <v>13</v>
      </c>
      <c r="R156" s="406" t="s">
        <v>9408</v>
      </c>
      <c r="S156" s="406" t="s">
        <v>32206</v>
      </c>
      <c r="T156" s="405" t="s">
        <v>884</v>
      </c>
      <c r="U156" s="405" t="s">
        <v>319</v>
      </c>
    </row>
    <row r="157" spans="1:21" x14ac:dyDescent="0.25">
      <c r="A157" s="405" t="s">
        <v>310</v>
      </c>
      <c r="B157" s="406" t="s">
        <v>32439</v>
      </c>
      <c r="C157" s="405" t="s">
        <v>327</v>
      </c>
      <c r="D157" s="405"/>
      <c r="E157" s="406" t="s">
        <v>32440</v>
      </c>
      <c r="F157" s="407">
        <v>44844</v>
      </c>
      <c r="G157" s="406" t="s">
        <v>32441</v>
      </c>
      <c r="H157" s="406" t="s">
        <v>32442</v>
      </c>
      <c r="I157" s="406" t="s">
        <v>32443</v>
      </c>
      <c r="J157" s="408">
        <v>0.54348799999999997</v>
      </c>
      <c r="K157" s="408">
        <v>32.448726999999998</v>
      </c>
      <c r="L157" s="406" t="s">
        <v>314</v>
      </c>
      <c r="M157" s="406" t="s">
        <v>361</v>
      </c>
      <c r="N157" s="406" t="s">
        <v>374</v>
      </c>
      <c r="O157" s="406" t="s">
        <v>8107</v>
      </c>
      <c r="P157" s="406" t="s">
        <v>32444</v>
      </c>
      <c r="Q157" s="409">
        <v>13</v>
      </c>
      <c r="R157" s="406" t="s">
        <v>32101</v>
      </c>
      <c r="S157" s="406" t="s">
        <v>32445</v>
      </c>
      <c r="T157" s="405" t="s">
        <v>884</v>
      </c>
      <c r="U157" s="405" t="s">
        <v>319</v>
      </c>
    </row>
    <row r="158" spans="1:21" x14ac:dyDescent="0.25">
      <c r="A158" s="405" t="s">
        <v>310</v>
      </c>
      <c r="B158" s="406" t="s">
        <v>32740</v>
      </c>
      <c r="C158" s="405" t="s">
        <v>327</v>
      </c>
      <c r="D158" s="405"/>
      <c r="E158" s="406" t="s">
        <v>32440</v>
      </c>
      <c r="F158" s="407">
        <v>44824</v>
      </c>
      <c r="G158" s="406" t="s">
        <v>32741</v>
      </c>
      <c r="H158" s="406" t="s">
        <v>32742</v>
      </c>
      <c r="I158" s="406" t="s">
        <v>32743</v>
      </c>
      <c r="J158" s="408">
        <v>0.575187</v>
      </c>
      <c r="K158" s="408">
        <v>34.082953000000003</v>
      </c>
      <c r="L158" s="406" t="s">
        <v>6866</v>
      </c>
      <c r="M158" s="406" t="s">
        <v>10390</v>
      </c>
      <c r="N158" s="406" t="s">
        <v>12103</v>
      </c>
      <c r="O158" s="406" t="s">
        <v>32744</v>
      </c>
      <c r="P158" s="406" t="s">
        <v>32745</v>
      </c>
      <c r="Q158" s="409">
        <v>9</v>
      </c>
      <c r="R158" s="406" t="s">
        <v>9408</v>
      </c>
      <c r="S158" s="406" t="s">
        <v>27067</v>
      </c>
      <c r="T158" s="405" t="s">
        <v>884</v>
      </c>
      <c r="U158" s="405" t="s">
        <v>319</v>
      </c>
    </row>
    <row r="159" spans="1:21" x14ac:dyDescent="0.25">
      <c r="A159" s="405" t="s">
        <v>310</v>
      </c>
      <c r="B159" s="405" t="s">
        <v>28306</v>
      </c>
      <c r="C159" s="405" t="s">
        <v>327</v>
      </c>
      <c r="D159" s="405"/>
      <c r="E159" s="410">
        <v>42282</v>
      </c>
      <c r="F159" s="410">
        <v>42327</v>
      </c>
      <c r="G159" s="405" t="s">
        <v>5787</v>
      </c>
      <c r="H159" s="405">
        <v>704215250</v>
      </c>
      <c r="I159" s="405"/>
      <c r="J159" s="405">
        <v>0.28216999999999998</v>
      </c>
      <c r="K159" s="405">
        <v>32.447246999999997</v>
      </c>
      <c r="L159" s="405" t="s">
        <v>314</v>
      </c>
      <c r="M159" s="405" t="s">
        <v>321</v>
      </c>
      <c r="N159" s="405" t="s">
        <v>375</v>
      </c>
      <c r="O159" s="405" t="s">
        <v>375</v>
      </c>
      <c r="P159" s="405" t="s">
        <v>375</v>
      </c>
      <c r="Q159" s="411">
        <v>30</v>
      </c>
      <c r="R159" s="405" t="s">
        <v>5665</v>
      </c>
      <c r="S159" s="405" t="s">
        <v>27051</v>
      </c>
      <c r="T159" s="405" t="s">
        <v>32102</v>
      </c>
      <c r="U159" s="405" t="s">
        <v>319</v>
      </c>
    </row>
    <row r="160" spans="1:21" hidden="1" x14ac:dyDescent="0.25">
      <c r="A160" s="405" t="s">
        <v>310</v>
      </c>
      <c r="B160" s="412" t="s">
        <v>32514</v>
      </c>
      <c r="C160" s="413" t="s">
        <v>327</v>
      </c>
      <c r="D160" s="413"/>
      <c r="E160" s="412" t="s">
        <v>32515</v>
      </c>
      <c r="F160" s="414">
        <v>45306</v>
      </c>
      <c r="G160" s="412" t="s">
        <v>32516</v>
      </c>
      <c r="H160" s="406" t="s">
        <v>32517</v>
      </c>
      <c r="I160" s="406" t="s">
        <v>32518</v>
      </c>
      <c r="J160" s="408">
        <v>1.108412</v>
      </c>
      <c r="K160" s="408">
        <v>33.107104999999997</v>
      </c>
      <c r="L160" s="406" t="s">
        <v>6866</v>
      </c>
      <c r="M160" s="406" t="s">
        <v>3009</v>
      </c>
      <c r="N160" s="406" t="s">
        <v>11632</v>
      </c>
      <c r="O160" s="406" t="s">
        <v>16138</v>
      </c>
      <c r="P160" s="406" t="s">
        <v>32519</v>
      </c>
      <c r="Q160" s="409">
        <v>9</v>
      </c>
      <c r="R160" s="406" t="s">
        <v>32164</v>
      </c>
      <c r="S160" s="406" t="s">
        <v>32520</v>
      </c>
      <c r="T160" s="405" t="s">
        <v>884</v>
      </c>
      <c r="U160" s="405" t="s">
        <v>319</v>
      </c>
    </row>
    <row r="161" spans="1:21" x14ac:dyDescent="0.25">
      <c r="A161" s="405" t="s">
        <v>310</v>
      </c>
      <c r="B161" s="406" t="s">
        <v>32551</v>
      </c>
      <c r="C161" s="405" t="s">
        <v>327</v>
      </c>
      <c r="D161" s="405"/>
      <c r="E161" s="406" t="s">
        <v>32552</v>
      </c>
      <c r="F161" s="407">
        <v>45269</v>
      </c>
      <c r="G161" s="406" t="s">
        <v>32553</v>
      </c>
      <c r="H161" s="406" t="s">
        <v>32554</v>
      </c>
      <c r="I161" s="406" t="s">
        <v>32555</v>
      </c>
      <c r="J161" s="408">
        <v>-0.47028399999999998</v>
      </c>
      <c r="K161" s="408">
        <v>31.662956999999999</v>
      </c>
      <c r="L161" s="406" t="s">
        <v>314</v>
      </c>
      <c r="M161" s="406" t="s">
        <v>399</v>
      </c>
      <c r="N161" s="406" t="s">
        <v>6781</v>
      </c>
      <c r="O161" s="406" t="s">
        <v>949</v>
      </c>
      <c r="P161" s="406" t="s">
        <v>2111</v>
      </c>
      <c r="Q161" s="409">
        <v>9</v>
      </c>
      <c r="R161" s="406" t="s">
        <v>9408</v>
      </c>
      <c r="S161" s="406" t="s">
        <v>27265</v>
      </c>
      <c r="T161" s="405" t="s">
        <v>884</v>
      </c>
      <c r="U161" s="405" t="s">
        <v>319</v>
      </c>
    </row>
    <row r="162" spans="1:21" x14ac:dyDescent="0.25">
      <c r="A162" s="405" t="s">
        <v>310</v>
      </c>
      <c r="B162" s="406" t="s">
        <v>32287</v>
      </c>
      <c r="C162" s="405" t="s">
        <v>327</v>
      </c>
      <c r="D162" s="405"/>
      <c r="E162" s="406" t="s">
        <v>32288</v>
      </c>
      <c r="F162" s="407">
        <v>45209</v>
      </c>
      <c r="G162" s="406" t="s">
        <v>32289</v>
      </c>
      <c r="H162" s="406" t="s">
        <v>32290</v>
      </c>
      <c r="I162" s="406" t="s">
        <v>2913</v>
      </c>
      <c r="J162" s="408">
        <v>0.54922700000000002</v>
      </c>
      <c r="K162" s="408">
        <v>32.628228</v>
      </c>
      <c r="L162" s="406" t="s">
        <v>314</v>
      </c>
      <c r="M162" s="406" t="s">
        <v>361</v>
      </c>
      <c r="N162" s="406" t="s">
        <v>6178</v>
      </c>
      <c r="O162" s="406" t="s">
        <v>433</v>
      </c>
      <c r="P162" s="406" t="s">
        <v>3606</v>
      </c>
      <c r="Q162" s="409">
        <v>13</v>
      </c>
      <c r="R162" s="406" t="s">
        <v>9408</v>
      </c>
      <c r="S162" s="406" t="s">
        <v>32291</v>
      </c>
      <c r="T162" s="405" t="s">
        <v>884</v>
      </c>
      <c r="U162" s="405" t="s">
        <v>319</v>
      </c>
    </row>
    <row r="163" spans="1:21" x14ac:dyDescent="0.25">
      <c r="A163" s="405" t="s">
        <v>310</v>
      </c>
      <c r="B163" s="406" t="s">
        <v>32602</v>
      </c>
      <c r="C163" s="405" t="s">
        <v>327</v>
      </c>
      <c r="D163" s="405"/>
      <c r="E163" s="406" t="s">
        <v>32288</v>
      </c>
      <c r="F163" s="407">
        <v>45158</v>
      </c>
      <c r="G163" s="406" t="s">
        <v>32603</v>
      </c>
      <c r="H163" s="406" t="s">
        <v>32604</v>
      </c>
      <c r="I163" s="406" t="s">
        <v>32605</v>
      </c>
      <c r="J163" s="408">
        <v>0.53035200000000005</v>
      </c>
      <c r="K163" s="408">
        <v>30.321672</v>
      </c>
      <c r="L163" s="406" t="s">
        <v>590</v>
      </c>
      <c r="M163" s="406" t="s">
        <v>20125</v>
      </c>
      <c r="N163" s="406" t="s">
        <v>24863</v>
      </c>
      <c r="O163" s="406" t="s">
        <v>20136</v>
      </c>
      <c r="P163" s="406" t="s">
        <v>32606</v>
      </c>
      <c r="Q163" s="409">
        <v>9</v>
      </c>
      <c r="R163" s="406" t="s">
        <v>6013</v>
      </c>
      <c r="S163" s="406" t="s">
        <v>32607</v>
      </c>
      <c r="T163" s="405" t="s">
        <v>884</v>
      </c>
      <c r="U163" s="405" t="s">
        <v>319</v>
      </c>
    </row>
    <row r="164" spans="1:21" x14ac:dyDescent="0.25">
      <c r="A164" s="405" t="s">
        <v>310</v>
      </c>
      <c r="B164" s="406" t="s">
        <v>32656</v>
      </c>
      <c r="C164" s="405" t="s">
        <v>327</v>
      </c>
      <c r="D164" s="405"/>
      <c r="E164" s="406" t="s">
        <v>32657</v>
      </c>
      <c r="F164" s="407">
        <v>45061</v>
      </c>
      <c r="G164" s="406" t="s">
        <v>32658</v>
      </c>
      <c r="H164" s="406" t="s">
        <v>32659</v>
      </c>
      <c r="I164" s="406" t="s">
        <v>8561</v>
      </c>
      <c r="J164" s="408">
        <v>-0.62831499999999996</v>
      </c>
      <c r="K164" s="408">
        <v>31.545565</v>
      </c>
      <c r="L164" s="406" t="s">
        <v>314</v>
      </c>
      <c r="M164" s="406" t="s">
        <v>398</v>
      </c>
      <c r="N164" s="406" t="s">
        <v>6012</v>
      </c>
      <c r="O164" s="406" t="s">
        <v>1564</v>
      </c>
      <c r="P164" s="406" t="s">
        <v>6328</v>
      </c>
      <c r="Q164" s="409">
        <v>9</v>
      </c>
      <c r="R164" s="406" t="s">
        <v>9408</v>
      </c>
      <c r="S164" s="406" t="s">
        <v>32660</v>
      </c>
      <c r="T164" s="405" t="s">
        <v>884</v>
      </c>
      <c r="U164" s="405" t="s">
        <v>319</v>
      </c>
    </row>
    <row r="165" spans="1:21" hidden="1" x14ac:dyDescent="0.25">
      <c r="A165" s="405" t="s">
        <v>310</v>
      </c>
      <c r="B165" s="406" t="s">
        <v>33160</v>
      </c>
      <c r="C165" s="405" t="s">
        <v>327</v>
      </c>
      <c r="D165" s="405"/>
      <c r="E165" s="406" t="s">
        <v>33161</v>
      </c>
      <c r="F165" s="407">
        <v>45301</v>
      </c>
      <c r="G165" s="406" t="s">
        <v>33162</v>
      </c>
      <c r="H165" s="406" t="s">
        <v>33163</v>
      </c>
      <c r="I165" s="406" t="s">
        <v>2913</v>
      </c>
      <c r="J165" s="408">
        <v>1.2323</v>
      </c>
      <c r="K165" s="408">
        <v>30.817371999999999</v>
      </c>
      <c r="L165" s="406" t="s">
        <v>590</v>
      </c>
      <c r="M165" s="406" t="s">
        <v>7300</v>
      </c>
      <c r="N165" s="406" t="s">
        <v>33120</v>
      </c>
      <c r="O165" s="406" t="s">
        <v>8737</v>
      </c>
      <c r="P165" s="406" t="s">
        <v>33164</v>
      </c>
      <c r="Q165" s="409">
        <v>4</v>
      </c>
      <c r="R165" s="406" t="s">
        <v>32101</v>
      </c>
      <c r="S165" s="406" t="s">
        <v>27154</v>
      </c>
      <c r="T165" s="405" t="s">
        <v>884</v>
      </c>
      <c r="U165" s="405" t="s">
        <v>319</v>
      </c>
    </row>
    <row r="166" spans="1:21" x14ac:dyDescent="0.25">
      <c r="A166" s="405" t="s">
        <v>310</v>
      </c>
      <c r="B166" s="405" t="s">
        <v>28813</v>
      </c>
      <c r="C166" s="405" t="s">
        <v>327</v>
      </c>
      <c r="D166" s="405"/>
      <c r="E166" s="410">
        <v>42316</v>
      </c>
      <c r="F166" s="410">
        <v>42361</v>
      </c>
      <c r="G166" s="405" t="s">
        <v>18959</v>
      </c>
      <c r="H166" s="405">
        <v>788727511</v>
      </c>
      <c r="I166" s="405"/>
      <c r="J166" s="405">
        <v>2.2737599999999998</v>
      </c>
      <c r="K166" s="405">
        <v>33.175355000000003</v>
      </c>
      <c r="L166" s="405" t="s">
        <v>860</v>
      </c>
      <c r="M166" s="405" t="s">
        <v>18376</v>
      </c>
      <c r="N166" s="405" t="s">
        <v>18960</v>
      </c>
      <c r="O166" s="405" t="s">
        <v>18960</v>
      </c>
      <c r="P166" s="405" t="s">
        <v>18960</v>
      </c>
      <c r="Q166" s="411">
        <v>30</v>
      </c>
      <c r="R166" s="405" t="s">
        <v>5665</v>
      </c>
      <c r="S166" s="405" t="s">
        <v>27051</v>
      </c>
      <c r="T166" s="405" t="s">
        <v>884</v>
      </c>
      <c r="U166" s="405" t="s">
        <v>319</v>
      </c>
    </row>
    <row r="167" spans="1:21" x14ac:dyDescent="0.25">
      <c r="A167" s="405" t="s">
        <v>310</v>
      </c>
      <c r="B167" s="406" t="s">
        <v>32705</v>
      </c>
      <c r="C167" s="405" t="s">
        <v>327</v>
      </c>
      <c r="D167" s="405"/>
      <c r="E167" s="406" t="s">
        <v>32228</v>
      </c>
      <c r="F167" s="407">
        <v>44877</v>
      </c>
      <c r="G167" s="406" t="s">
        <v>32706</v>
      </c>
      <c r="H167" s="406" t="s">
        <v>32707</v>
      </c>
      <c r="I167" s="406" t="s">
        <v>32708</v>
      </c>
      <c r="J167" s="408">
        <v>-0.28422999999999998</v>
      </c>
      <c r="K167" s="408">
        <v>31.727329999999998</v>
      </c>
      <c r="L167" s="406" t="s">
        <v>314</v>
      </c>
      <c r="M167" s="406" t="s">
        <v>32333</v>
      </c>
      <c r="N167" s="406" t="s">
        <v>2265</v>
      </c>
      <c r="O167" s="406" t="s">
        <v>1265</v>
      </c>
      <c r="P167" s="406" t="s">
        <v>7392</v>
      </c>
      <c r="Q167" s="409">
        <v>9</v>
      </c>
      <c r="R167" s="406" t="s">
        <v>32101</v>
      </c>
      <c r="S167" s="406" t="s">
        <v>32513</v>
      </c>
      <c r="T167" s="405" t="s">
        <v>884</v>
      </c>
      <c r="U167" s="405" t="s">
        <v>319</v>
      </c>
    </row>
    <row r="168" spans="1:21" x14ac:dyDescent="0.25">
      <c r="A168" s="405" t="s">
        <v>310</v>
      </c>
      <c r="B168" s="406" t="s">
        <v>33023</v>
      </c>
      <c r="C168" s="405" t="s">
        <v>327</v>
      </c>
      <c r="D168" s="405"/>
      <c r="E168" s="406" t="s">
        <v>33024</v>
      </c>
      <c r="F168" s="407">
        <v>44846</v>
      </c>
      <c r="G168" s="406" t="s">
        <v>33025</v>
      </c>
      <c r="H168" s="406" t="s">
        <v>33026</v>
      </c>
      <c r="I168" s="406" t="s">
        <v>26768</v>
      </c>
      <c r="J168" s="408">
        <v>0.77304200000000001</v>
      </c>
      <c r="K168" s="408">
        <v>31.946660000000001</v>
      </c>
      <c r="L168" s="406" t="s">
        <v>590</v>
      </c>
      <c r="M168" s="406" t="s">
        <v>2537</v>
      </c>
      <c r="N168" s="406" t="s">
        <v>6389</v>
      </c>
      <c r="O168" s="406" t="s">
        <v>26743</v>
      </c>
      <c r="P168" s="406" t="s">
        <v>33027</v>
      </c>
      <c r="Q168" s="409">
        <v>6</v>
      </c>
      <c r="R168" s="406" t="s">
        <v>7211</v>
      </c>
      <c r="S168" s="406" t="s">
        <v>27100</v>
      </c>
      <c r="T168" s="405" t="s">
        <v>884</v>
      </c>
      <c r="U168" s="405" t="s">
        <v>319</v>
      </c>
    </row>
    <row r="169" spans="1:21" x14ac:dyDescent="0.25">
      <c r="A169" s="405" t="s">
        <v>310</v>
      </c>
      <c r="B169" s="406" t="s">
        <v>32628</v>
      </c>
      <c r="C169" s="405" t="s">
        <v>327</v>
      </c>
      <c r="D169" s="405"/>
      <c r="E169" s="406" t="s">
        <v>32629</v>
      </c>
      <c r="F169" s="407">
        <v>45119</v>
      </c>
      <c r="G169" s="406" t="s">
        <v>32630</v>
      </c>
      <c r="H169" s="406" t="s">
        <v>32631</v>
      </c>
      <c r="I169" s="406" t="s">
        <v>32632</v>
      </c>
      <c r="J169" s="408">
        <v>0.19549800000000001</v>
      </c>
      <c r="K169" s="408">
        <v>32.297252999999998</v>
      </c>
      <c r="L169" s="406" t="s">
        <v>314</v>
      </c>
      <c r="M169" s="406" t="s">
        <v>321</v>
      </c>
      <c r="N169" s="406" t="s">
        <v>519</v>
      </c>
      <c r="O169" s="406" t="s">
        <v>6175</v>
      </c>
      <c r="P169" s="406" t="s">
        <v>6175</v>
      </c>
      <c r="Q169" s="409">
        <v>9</v>
      </c>
      <c r="R169" s="406" t="s">
        <v>32101</v>
      </c>
      <c r="S169" s="406" t="s">
        <v>32365</v>
      </c>
      <c r="T169" s="405" t="s">
        <v>884</v>
      </c>
      <c r="U169" s="405" t="s">
        <v>319</v>
      </c>
    </row>
    <row r="170" spans="1:21" x14ac:dyDescent="0.25">
      <c r="A170" s="405" t="s">
        <v>310</v>
      </c>
      <c r="B170" s="406" t="s">
        <v>32366</v>
      </c>
      <c r="C170" s="405" t="s">
        <v>327</v>
      </c>
      <c r="D170" s="405"/>
      <c r="E170" s="406" t="s">
        <v>32367</v>
      </c>
      <c r="F170" s="407">
        <v>45076</v>
      </c>
      <c r="G170" s="406" t="s">
        <v>32368</v>
      </c>
      <c r="H170" s="406" t="s">
        <v>32369</v>
      </c>
      <c r="I170" s="406" t="s">
        <v>32370</v>
      </c>
      <c r="J170" s="408">
        <v>0.25950800000000002</v>
      </c>
      <c r="K170" s="408">
        <v>32.457087999999999</v>
      </c>
      <c r="L170" s="406" t="s">
        <v>314</v>
      </c>
      <c r="M170" s="406" t="s">
        <v>361</v>
      </c>
      <c r="N170" s="406" t="s">
        <v>374</v>
      </c>
      <c r="O170" s="406" t="s">
        <v>375</v>
      </c>
      <c r="P170" s="406" t="s">
        <v>32371</v>
      </c>
      <c r="Q170" s="409">
        <v>13</v>
      </c>
      <c r="R170" s="406" t="s">
        <v>9408</v>
      </c>
      <c r="S170" s="406" t="s">
        <v>27187</v>
      </c>
      <c r="T170" s="405" t="s">
        <v>884</v>
      </c>
      <c r="U170" s="405" t="s">
        <v>319</v>
      </c>
    </row>
    <row r="171" spans="1:21" x14ac:dyDescent="0.25">
      <c r="A171" s="405" t="s">
        <v>310</v>
      </c>
      <c r="B171" s="406" t="s">
        <v>32383</v>
      </c>
      <c r="C171" s="405" t="s">
        <v>327</v>
      </c>
      <c r="D171" s="405"/>
      <c r="E171" s="406" t="s">
        <v>32367</v>
      </c>
      <c r="F171" s="407">
        <v>45058</v>
      </c>
      <c r="G171" s="406" t="s">
        <v>32384</v>
      </c>
      <c r="H171" s="406" t="s">
        <v>32385</v>
      </c>
      <c r="I171" s="406" t="s">
        <v>32386</v>
      </c>
      <c r="J171" s="408">
        <v>0.35116999999999998</v>
      </c>
      <c r="K171" s="408">
        <v>32.745694999999998</v>
      </c>
      <c r="L171" s="406" t="s">
        <v>314</v>
      </c>
      <c r="M171" s="406" t="s">
        <v>329</v>
      </c>
      <c r="N171" s="406" t="s">
        <v>32387</v>
      </c>
      <c r="O171" s="406" t="s">
        <v>329</v>
      </c>
      <c r="P171" s="406" t="s">
        <v>395</v>
      </c>
      <c r="Q171" s="409">
        <v>13</v>
      </c>
      <c r="R171" s="406" t="s">
        <v>32101</v>
      </c>
      <c r="S171" s="406" t="s">
        <v>27266</v>
      </c>
      <c r="T171" s="405" t="s">
        <v>884</v>
      </c>
      <c r="U171" s="405" t="s">
        <v>319</v>
      </c>
    </row>
    <row r="172" spans="1:21" hidden="1" x14ac:dyDescent="0.25">
      <c r="A172" s="405" t="s">
        <v>310</v>
      </c>
      <c r="B172" s="406" t="s">
        <v>32242</v>
      </c>
      <c r="C172" s="405" t="s">
        <v>327</v>
      </c>
      <c r="D172" s="405"/>
      <c r="E172" s="406" t="s">
        <v>32243</v>
      </c>
      <c r="F172" s="407">
        <v>45324</v>
      </c>
      <c r="G172" s="406" t="s">
        <v>32244</v>
      </c>
      <c r="H172" s="406" t="s">
        <v>32245</v>
      </c>
      <c r="I172" s="406" t="s">
        <v>2913</v>
      </c>
      <c r="J172" s="408">
        <v>1.8037000000000001E-2</v>
      </c>
      <c r="K172" s="408">
        <v>31.002972</v>
      </c>
      <c r="L172" s="406" t="s">
        <v>590</v>
      </c>
      <c r="M172" s="406" t="s">
        <v>19705</v>
      </c>
      <c r="N172" s="406" t="s">
        <v>19705</v>
      </c>
      <c r="O172" s="406" t="s">
        <v>32246</v>
      </c>
      <c r="P172" s="406" t="s">
        <v>32247</v>
      </c>
      <c r="Q172" s="409">
        <v>13</v>
      </c>
      <c r="R172" s="406" t="s">
        <v>874</v>
      </c>
      <c r="S172" s="406" t="s">
        <v>32248</v>
      </c>
      <c r="T172" s="405" t="s">
        <v>884</v>
      </c>
      <c r="U172" s="405" t="s">
        <v>319</v>
      </c>
    </row>
    <row r="173" spans="1:21" hidden="1" x14ac:dyDescent="0.25">
      <c r="A173" s="405" t="s">
        <v>310</v>
      </c>
      <c r="B173" s="406" t="s">
        <v>32487</v>
      </c>
      <c r="C173" s="405" t="s">
        <v>327</v>
      </c>
      <c r="D173" s="405"/>
      <c r="E173" s="406" t="s">
        <v>32488</v>
      </c>
      <c r="F173" s="407">
        <v>45319</v>
      </c>
      <c r="G173" s="406" t="s">
        <v>32489</v>
      </c>
      <c r="H173" s="406" t="s">
        <v>32490</v>
      </c>
      <c r="I173" s="406" t="s">
        <v>32491</v>
      </c>
      <c r="J173" s="408">
        <v>1.1021289999999999</v>
      </c>
      <c r="K173" s="408">
        <v>32.972442999999998</v>
      </c>
      <c r="L173" s="406" t="s">
        <v>6866</v>
      </c>
      <c r="M173" s="406" t="s">
        <v>3009</v>
      </c>
      <c r="N173" s="406" t="s">
        <v>11632</v>
      </c>
      <c r="O173" s="406" t="s">
        <v>16138</v>
      </c>
      <c r="P173" s="406" t="s">
        <v>32492</v>
      </c>
      <c r="Q173" s="409">
        <v>9</v>
      </c>
      <c r="R173" s="406" t="s">
        <v>32164</v>
      </c>
      <c r="S173" s="406" t="s">
        <v>32493</v>
      </c>
      <c r="T173" s="405" t="s">
        <v>884</v>
      </c>
      <c r="U173" s="405" t="s">
        <v>319</v>
      </c>
    </row>
    <row r="174" spans="1:21" x14ac:dyDescent="0.25">
      <c r="A174" s="405" t="s">
        <v>310</v>
      </c>
      <c r="B174" s="406" t="s">
        <v>32254</v>
      </c>
      <c r="C174" s="405" t="s">
        <v>327</v>
      </c>
      <c r="D174" s="405"/>
      <c r="E174" s="406" t="s">
        <v>32255</v>
      </c>
      <c r="F174" s="407">
        <v>45275</v>
      </c>
      <c r="G174" s="406" t="s">
        <v>32256</v>
      </c>
      <c r="H174" s="406" t="s">
        <v>32257</v>
      </c>
      <c r="I174" s="406" t="s">
        <v>32258</v>
      </c>
      <c r="J174" s="408">
        <v>1.769147</v>
      </c>
      <c r="K174" s="408">
        <v>33.589275000000001</v>
      </c>
      <c r="L174" s="406" t="s">
        <v>6866</v>
      </c>
      <c r="M174" s="406" t="s">
        <v>10515</v>
      </c>
      <c r="N174" s="406" t="s">
        <v>32259</v>
      </c>
      <c r="O174" s="406" t="s">
        <v>10526</v>
      </c>
      <c r="P174" s="406" t="s">
        <v>32260</v>
      </c>
      <c r="Q174" s="409">
        <v>13</v>
      </c>
      <c r="R174" s="406" t="s">
        <v>17977</v>
      </c>
      <c r="S174" s="406" t="s">
        <v>32261</v>
      </c>
      <c r="T174" s="405" t="s">
        <v>884</v>
      </c>
      <c r="U174" s="405" t="s">
        <v>319</v>
      </c>
    </row>
    <row r="175" spans="1:21" x14ac:dyDescent="0.25">
      <c r="A175" s="405" t="s">
        <v>310</v>
      </c>
      <c r="B175" s="406" t="s">
        <v>32339</v>
      </c>
      <c r="C175" s="405" t="s">
        <v>327</v>
      </c>
      <c r="D175" s="405"/>
      <c r="E175" s="406" t="s">
        <v>32340</v>
      </c>
      <c r="F175" s="407">
        <v>45118</v>
      </c>
      <c r="G175" s="406" t="s">
        <v>32341</v>
      </c>
      <c r="H175" s="406" t="s">
        <v>32342</v>
      </c>
      <c r="I175" s="406" t="s">
        <v>32343</v>
      </c>
      <c r="J175" s="408">
        <v>0.41530800000000001</v>
      </c>
      <c r="K175" s="408">
        <v>32.592885000000003</v>
      </c>
      <c r="L175" s="406" t="s">
        <v>314</v>
      </c>
      <c r="M175" s="406" t="s">
        <v>361</v>
      </c>
      <c r="N175" s="406" t="s">
        <v>410</v>
      </c>
      <c r="O175" s="406" t="s">
        <v>962</v>
      </c>
      <c r="P175" s="406" t="s">
        <v>962</v>
      </c>
      <c r="Q175" s="409">
        <v>13</v>
      </c>
      <c r="R175" s="406" t="s">
        <v>9408</v>
      </c>
      <c r="S175" s="406" t="s">
        <v>27281</v>
      </c>
      <c r="T175" s="405" t="s">
        <v>32102</v>
      </c>
      <c r="U175" s="405" t="s">
        <v>319</v>
      </c>
    </row>
    <row r="176" spans="1:21" x14ac:dyDescent="0.25">
      <c r="A176" s="405" t="s">
        <v>310</v>
      </c>
      <c r="B176" s="406" t="s">
        <v>32644</v>
      </c>
      <c r="C176" s="405" t="s">
        <v>327</v>
      </c>
      <c r="D176" s="405"/>
      <c r="E176" s="406" t="s">
        <v>32340</v>
      </c>
      <c r="F176" s="407">
        <v>45067</v>
      </c>
      <c r="G176" s="406" t="s">
        <v>32645</v>
      </c>
      <c r="H176" s="406" t="s">
        <v>32646</v>
      </c>
      <c r="I176" s="406" t="s">
        <v>2913</v>
      </c>
      <c r="J176" s="408">
        <v>-4.8244000000000002E-2</v>
      </c>
      <c r="K176" s="408">
        <v>30.755648999999998</v>
      </c>
      <c r="L176" s="406" t="s">
        <v>590</v>
      </c>
      <c r="M176" s="406" t="s">
        <v>2250</v>
      </c>
      <c r="N176" s="406" t="s">
        <v>2250</v>
      </c>
      <c r="O176" s="406" t="s">
        <v>2250</v>
      </c>
      <c r="P176" s="406" t="s">
        <v>32647</v>
      </c>
      <c r="Q176" s="409">
        <v>9</v>
      </c>
      <c r="R176" s="406" t="s">
        <v>874</v>
      </c>
      <c r="S176" s="406" t="s">
        <v>32248</v>
      </c>
      <c r="T176" s="405" t="s">
        <v>884</v>
      </c>
      <c r="U176" s="405" t="s">
        <v>319</v>
      </c>
    </row>
    <row r="177" spans="1:21" x14ac:dyDescent="0.25">
      <c r="A177" s="405" t="s">
        <v>310</v>
      </c>
      <c r="B177" s="406" t="s">
        <v>32907</v>
      </c>
      <c r="C177" s="405" t="s">
        <v>327</v>
      </c>
      <c r="D177" s="405"/>
      <c r="E177" s="406" t="s">
        <v>32908</v>
      </c>
      <c r="F177" s="407">
        <v>45114</v>
      </c>
      <c r="G177" s="406" t="s">
        <v>32909</v>
      </c>
      <c r="H177" s="406" t="s">
        <v>32910</v>
      </c>
      <c r="I177" s="406" t="s">
        <v>2913</v>
      </c>
      <c r="J177" s="408">
        <v>0.31131799999999998</v>
      </c>
      <c r="K177" s="408">
        <v>32.546962000000001</v>
      </c>
      <c r="L177" s="406" t="s">
        <v>314</v>
      </c>
      <c r="M177" s="406" t="s">
        <v>361</v>
      </c>
      <c r="N177" s="406" t="s">
        <v>374</v>
      </c>
      <c r="O177" s="406" t="s">
        <v>32911</v>
      </c>
      <c r="P177" s="406" t="s">
        <v>32912</v>
      </c>
      <c r="Q177" s="409">
        <v>6</v>
      </c>
      <c r="R177" s="406" t="s">
        <v>9408</v>
      </c>
      <c r="S177" s="406" t="s">
        <v>32913</v>
      </c>
      <c r="T177" s="405" t="s">
        <v>884</v>
      </c>
      <c r="U177" s="405" t="s">
        <v>319</v>
      </c>
    </row>
    <row r="178" spans="1:21" x14ac:dyDescent="0.25">
      <c r="A178" s="405" t="s">
        <v>310</v>
      </c>
      <c r="B178" s="406" t="s">
        <v>32914</v>
      </c>
      <c r="C178" s="405" t="s">
        <v>327</v>
      </c>
      <c r="D178" s="405"/>
      <c r="E178" s="406" t="s">
        <v>32908</v>
      </c>
      <c r="F178" s="407">
        <v>45114</v>
      </c>
      <c r="G178" s="406" t="s">
        <v>32915</v>
      </c>
      <c r="H178" s="406" t="s">
        <v>32916</v>
      </c>
      <c r="I178" s="406" t="s">
        <v>2913</v>
      </c>
      <c r="J178" s="408">
        <v>0.35155700000000001</v>
      </c>
      <c r="K178" s="408">
        <v>32.587237000000002</v>
      </c>
      <c r="L178" s="406" t="s">
        <v>314</v>
      </c>
      <c r="M178" s="406" t="s">
        <v>361</v>
      </c>
      <c r="N178" s="406" t="s">
        <v>374</v>
      </c>
      <c r="O178" s="406" t="s">
        <v>32917</v>
      </c>
      <c r="P178" s="406" t="s">
        <v>32918</v>
      </c>
      <c r="Q178" s="409">
        <v>6</v>
      </c>
      <c r="R178" s="406" t="s">
        <v>9408</v>
      </c>
      <c r="S178" s="406" t="s">
        <v>32913</v>
      </c>
      <c r="T178" s="405" t="s">
        <v>884</v>
      </c>
      <c r="U178" s="405" t="s">
        <v>319</v>
      </c>
    </row>
    <row r="179" spans="1:21" x14ac:dyDescent="0.25">
      <c r="A179" s="405" t="s">
        <v>310</v>
      </c>
      <c r="B179" s="406" t="s">
        <v>32334</v>
      </c>
      <c r="C179" s="405" t="s">
        <v>327</v>
      </c>
      <c r="D179" s="405"/>
      <c r="E179" s="406" t="s">
        <v>32335</v>
      </c>
      <c r="F179" s="407">
        <v>45125</v>
      </c>
      <c r="G179" s="406" t="s">
        <v>32336</v>
      </c>
      <c r="H179" s="406" t="s">
        <v>32337</v>
      </c>
      <c r="I179" s="406" t="s">
        <v>32338</v>
      </c>
      <c r="J179" s="408">
        <v>-0.33736699999999997</v>
      </c>
      <c r="K179" s="408">
        <v>31.682735000000001</v>
      </c>
      <c r="L179" s="406" t="s">
        <v>314</v>
      </c>
      <c r="M179" s="406" t="s">
        <v>382</v>
      </c>
      <c r="N179" s="406" t="s">
        <v>32333</v>
      </c>
      <c r="O179" s="406" t="s">
        <v>1190</v>
      </c>
      <c r="P179" s="406" t="s">
        <v>3150</v>
      </c>
      <c r="Q179" s="409">
        <v>13</v>
      </c>
      <c r="R179" s="406" t="s">
        <v>32101</v>
      </c>
      <c r="S179" s="406" t="s">
        <v>27293</v>
      </c>
      <c r="T179" s="405" t="s">
        <v>884</v>
      </c>
      <c r="U179" s="405" t="s">
        <v>319</v>
      </c>
    </row>
    <row r="180" spans="1:21" x14ac:dyDescent="0.25">
      <c r="A180" s="405" t="s">
        <v>310</v>
      </c>
      <c r="B180" s="406" t="s">
        <v>32377</v>
      </c>
      <c r="C180" s="405" t="s">
        <v>327</v>
      </c>
      <c r="D180" s="405"/>
      <c r="E180" s="406" t="s">
        <v>32378</v>
      </c>
      <c r="F180" s="407">
        <v>45061</v>
      </c>
      <c r="G180" s="406" t="s">
        <v>32379</v>
      </c>
      <c r="H180" s="406" t="s">
        <v>32380</v>
      </c>
      <c r="I180" s="406" t="s">
        <v>32381</v>
      </c>
      <c r="J180" s="408">
        <v>0.29825699999999999</v>
      </c>
      <c r="K180" s="408">
        <v>32.465510999999999</v>
      </c>
      <c r="L180" s="406" t="s">
        <v>314</v>
      </c>
      <c r="M180" s="406" t="s">
        <v>361</v>
      </c>
      <c r="N180" s="406" t="s">
        <v>374</v>
      </c>
      <c r="O180" s="406" t="s">
        <v>32382</v>
      </c>
      <c r="P180" s="406" t="s">
        <v>5393</v>
      </c>
      <c r="Q180" s="409">
        <v>13</v>
      </c>
      <c r="R180" s="406" t="s">
        <v>9408</v>
      </c>
      <c r="S180" s="406" t="s">
        <v>32211</v>
      </c>
      <c r="T180" s="405" t="s">
        <v>884</v>
      </c>
      <c r="U180" s="405" t="s">
        <v>319</v>
      </c>
    </row>
    <row r="181" spans="1:21" hidden="1" x14ac:dyDescent="0.25">
      <c r="A181" s="405" t="s">
        <v>310</v>
      </c>
      <c r="B181" s="406" t="s">
        <v>32532</v>
      </c>
      <c r="C181" s="405" t="s">
        <v>327</v>
      </c>
      <c r="D181" s="405"/>
      <c r="E181" s="406" t="s">
        <v>32533</v>
      </c>
      <c r="F181" s="407">
        <v>45298</v>
      </c>
      <c r="G181" s="406" t="s">
        <v>32534</v>
      </c>
      <c r="H181" s="406" t="s">
        <v>32535</v>
      </c>
      <c r="I181" s="406" t="s">
        <v>32536</v>
      </c>
      <c r="J181" s="408">
        <v>1.099038</v>
      </c>
      <c r="K181" s="408">
        <v>33.036408999999999</v>
      </c>
      <c r="L181" s="406" t="s">
        <v>6866</v>
      </c>
      <c r="M181" s="406" t="s">
        <v>3009</v>
      </c>
      <c r="N181" s="406" t="s">
        <v>11632</v>
      </c>
      <c r="O181" s="406" t="s">
        <v>16138</v>
      </c>
      <c r="P181" s="406" t="s">
        <v>32537</v>
      </c>
      <c r="Q181" s="409">
        <v>9</v>
      </c>
      <c r="R181" s="406" t="s">
        <v>32164</v>
      </c>
      <c r="S181" s="406" t="s">
        <v>32538</v>
      </c>
      <c r="T181" s="405" t="s">
        <v>32102</v>
      </c>
      <c r="U181" s="405" t="s">
        <v>319</v>
      </c>
    </row>
    <row r="182" spans="1:21" x14ac:dyDescent="0.25">
      <c r="A182" s="405" t="s">
        <v>310</v>
      </c>
      <c r="B182" s="406" t="s">
        <v>32775</v>
      </c>
      <c r="C182" s="405" t="s">
        <v>327</v>
      </c>
      <c r="D182" s="405"/>
      <c r="E182" s="406" t="s">
        <v>32776</v>
      </c>
      <c r="F182" s="407">
        <v>44849</v>
      </c>
      <c r="G182" s="406" t="s">
        <v>32777</v>
      </c>
      <c r="H182" s="406" t="s">
        <v>32778</v>
      </c>
      <c r="I182" s="406" t="s">
        <v>32779</v>
      </c>
      <c r="J182" s="408">
        <v>8.831E-2</v>
      </c>
      <c r="K182" s="408">
        <v>32.354259999999996</v>
      </c>
      <c r="L182" s="406" t="s">
        <v>314</v>
      </c>
      <c r="M182" s="406" t="s">
        <v>361</v>
      </c>
      <c r="N182" s="406" t="s">
        <v>374</v>
      </c>
      <c r="O182" s="406" t="s">
        <v>2091</v>
      </c>
      <c r="P182" s="406" t="s">
        <v>32780</v>
      </c>
      <c r="Q182" s="409">
        <v>7</v>
      </c>
      <c r="R182" s="406" t="s">
        <v>32101</v>
      </c>
      <c r="S182" s="406" t="s">
        <v>27055</v>
      </c>
      <c r="T182" s="405" t="s">
        <v>884</v>
      </c>
      <c r="U182" s="405" t="s">
        <v>319</v>
      </c>
    </row>
    <row r="183" spans="1:21" x14ac:dyDescent="0.25">
      <c r="A183" s="405" t="s">
        <v>310</v>
      </c>
      <c r="B183" s="406" t="s">
        <v>32954</v>
      </c>
      <c r="C183" s="405" t="s">
        <v>327</v>
      </c>
      <c r="D183" s="405"/>
      <c r="E183" s="406" t="s">
        <v>32955</v>
      </c>
      <c r="F183" s="407">
        <v>45023</v>
      </c>
      <c r="G183" s="406" t="s">
        <v>32956</v>
      </c>
      <c r="H183" s="406" t="s">
        <v>32957</v>
      </c>
      <c r="I183" s="406" t="s">
        <v>32958</v>
      </c>
      <c r="J183" s="408">
        <v>1.0518179999999999</v>
      </c>
      <c r="K183" s="408">
        <v>32.512239999999998</v>
      </c>
      <c r="L183" s="406" t="s">
        <v>314</v>
      </c>
      <c r="M183" s="406" t="s">
        <v>959</v>
      </c>
      <c r="N183" s="406" t="s">
        <v>2513</v>
      </c>
      <c r="O183" s="406" t="s">
        <v>2513</v>
      </c>
      <c r="P183" s="406" t="s">
        <v>32959</v>
      </c>
      <c r="Q183" s="409">
        <v>6</v>
      </c>
      <c r="R183" s="406" t="s">
        <v>5921</v>
      </c>
      <c r="S183" s="406" t="s">
        <v>32960</v>
      </c>
      <c r="T183" s="405" t="s">
        <v>884</v>
      </c>
      <c r="U183" s="405" t="s">
        <v>319</v>
      </c>
    </row>
    <row r="184" spans="1:21" x14ac:dyDescent="0.25">
      <c r="A184" s="405" t="s">
        <v>310</v>
      </c>
      <c r="B184" s="405" t="s">
        <v>22298</v>
      </c>
      <c r="C184" s="405" t="s">
        <v>327</v>
      </c>
      <c r="D184" s="405"/>
      <c r="E184" s="410">
        <v>42382</v>
      </c>
      <c r="F184" s="410">
        <v>42427</v>
      </c>
      <c r="G184" s="405" t="s">
        <v>22299</v>
      </c>
      <c r="H184" s="405">
        <v>772361021</v>
      </c>
      <c r="I184" s="405"/>
      <c r="J184" s="405">
        <v>50.405799999999999</v>
      </c>
      <c r="K184" s="405" t="s">
        <v>22300</v>
      </c>
      <c r="L184" s="405" t="s">
        <v>590</v>
      </c>
      <c r="M184" s="405" t="s">
        <v>19725</v>
      </c>
      <c r="N184" s="405" t="s">
        <v>20013</v>
      </c>
      <c r="O184" s="405" t="s">
        <v>20013</v>
      </c>
      <c r="P184" s="405" t="s">
        <v>20013</v>
      </c>
      <c r="Q184" s="411">
        <v>30</v>
      </c>
      <c r="R184" s="405" t="s">
        <v>32166</v>
      </c>
      <c r="S184" s="405" t="s">
        <v>27401</v>
      </c>
      <c r="T184" s="405" t="s">
        <v>884</v>
      </c>
      <c r="U184" s="405" t="s">
        <v>319</v>
      </c>
    </row>
    <row r="185" spans="1:21" x14ac:dyDescent="0.25">
      <c r="A185" s="405" t="s">
        <v>310</v>
      </c>
      <c r="B185" s="405" t="s">
        <v>5948</v>
      </c>
      <c r="C185" s="405" t="s">
        <v>327</v>
      </c>
      <c r="D185" s="405"/>
      <c r="E185" s="410">
        <v>42406</v>
      </c>
      <c r="F185" s="410">
        <v>42451</v>
      </c>
      <c r="G185" s="405" t="s">
        <v>5949</v>
      </c>
      <c r="H185" s="405">
        <v>787254199</v>
      </c>
      <c r="I185" s="405"/>
      <c r="J185" s="405">
        <v>32.488999999999997</v>
      </c>
      <c r="K185" s="405">
        <v>0.28139999999999998</v>
      </c>
      <c r="L185" s="405" t="s">
        <v>314</v>
      </c>
      <c r="M185" s="405" t="s">
        <v>329</v>
      </c>
      <c r="N185" s="405" t="s">
        <v>5950</v>
      </c>
      <c r="O185" s="405" t="s">
        <v>546</v>
      </c>
      <c r="P185" s="405" t="s">
        <v>5951</v>
      </c>
      <c r="Q185" s="411">
        <v>30</v>
      </c>
      <c r="R185" s="405" t="s">
        <v>5903</v>
      </c>
      <c r="S185" s="405" t="s">
        <v>27153</v>
      </c>
      <c r="T185" s="405" t="s">
        <v>884</v>
      </c>
      <c r="U185" s="405" t="s">
        <v>319</v>
      </c>
    </row>
    <row r="186" spans="1:21" x14ac:dyDescent="0.25">
      <c r="A186" s="405" t="s">
        <v>310</v>
      </c>
      <c r="B186" s="406" t="s">
        <v>32836</v>
      </c>
      <c r="C186" s="405" t="s">
        <v>327</v>
      </c>
      <c r="D186" s="405"/>
      <c r="E186" s="406" t="s">
        <v>32837</v>
      </c>
      <c r="F186" s="407">
        <v>45172</v>
      </c>
      <c r="G186" s="406" t="s">
        <v>32838</v>
      </c>
      <c r="H186" s="406" t="s">
        <v>32839</v>
      </c>
      <c r="I186" s="406" t="s">
        <v>2913</v>
      </c>
      <c r="J186" s="408">
        <v>1.112697</v>
      </c>
      <c r="K186" s="408">
        <v>34.177709999999998</v>
      </c>
      <c r="L186" s="406" t="s">
        <v>6866</v>
      </c>
      <c r="M186" s="406" t="s">
        <v>9514</v>
      </c>
      <c r="N186" s="406" t="s">
        <v>9530</v>
      </c>
      <c r="O186" s="406" t="s">
        <v>9530</v>
      </c>
      <c r="P186" s="406" t="s">
        <v>32840</v>
      </c>
      <c r="Q186" s="409">
        <v>6</v>
      </c>
      <c r="R186" s="406" t="s">
        <v>9408</v>
      </c>
      <c r="S186" s="406" t="s">
        <v>27283</v>
      </c>
      <c r="T186" s="405" t="s">
        <v>884</v>
      </c>
      <c r="U186" s="405" t="s">
        <v>319</v>
      </c>
    </row>
    <row r="187" spans="1:21" hidden="1" x14ac:dyDescent="0.25">
      <c r="A187" s="405" t="s">
        <v>310</v>
      </c>
      <c r="B187" s="412" t="s">
        <v>32249</v>
      </c>
      <c r="C187" s="413" t="s">
        <v>327</v>
      </c>
      <c r="D187" s="413"/>
      <c r="E187" s="417">
        <v>45282</v>
      </c>
      <c r="F187" s="417">
        <v>45293</v>
      </c>
      <c r="G187" s="412" t="s">
        <v>32250</v>
      </c>
      <c r="H187" s="406" t="s">
        <v>32251</v>
      </c>
      <c r="I187" s="406" t="s">
        <v>32252</v>
      </c>
      <c r="J187" s="408">
        <v>0.43989800000000001</v>
      </c>
      <c r="K187" s="408">
        <v>32.580067999999997</v>
      </c>
      <c r="L187" s="406" t="s">
        <v>314</v>
      </c>
      <c r="M187" s="406" t="s">
        <v>361</v>
      </c>
      <c r="N187" s="406" t="s">
        <v>32253</v>
      </c>
      <c r="O187" s="406" t="s">
        <v>421</v>
      </c>
      <c r="P187" s="406" t="s">
        <v>410</v>
      </c>
      <c r="Q187" s="409">
        <v>13</v>
      </c>
      <c r="R187" s="406" t="s">
        <v>9408</v>
      </c>
      <c r="S187" s="406" t="s">
        <v>27069</v>
      </c>
      <c r="T187" s="405" t="s">
        <v>884</v>
      </c>
      <c r="U187" s="405" t="s">
        <v>319</v>
      </c>
    </row>
    <row r="188" spans="1:21" x14ac:dyDescent="0.25">
      <c r="A188" s="405" t="s">
        <v>310</v>
      </c>
      <c r="B188" s="406" t="s">
        <v>32572</v>
      </c>
      <c r="C188" s="405" t="s">
        <v>327</v>
      </c>
      <c r="D188" s="405"/>
      <c r="E188" s="416">
        <v>45179</v>
      </c>
      <c r="F188" s="416">
        <v>45219</v>
      </c>
      <c r="G188" s="406" t="s">
        <v>32573</v>
      </c>
      <c r="H188" s="406" t="s">
        <v>32574</v>
      </c>
      <c r="I188" s="406" t="s">
        <v>32575</v>
      </c>
      <c r="J188" s="408">
        <v>-0.92336200000000002</v>
      </c>
      <c r="K188" s="408">
        <v>30.463749</v>
      </c>
      <c r="L188" s="406" t="s">
        <v>590</v>
      </c>
      <c r="M188" s="406" t="s">
        <v>445</v>
      </c>
      <c r="N188" s="406" t="s">
        <v>32576</v>
      </c>
      <c r="O188" s="406" t="s">
        <v>32577</v>
      </c>
      <c r="P188" s="406" t="s">
        <v>32578</v>
      </c>
      <c r="Q188" s="409">
        <v>9</v>
      </c>
      <c r="R188" s="406" t="s">
        <v>32166</v>
      </c>
      <c r="S188" s="406" t="s">
        <v>32571</v>
      </c>
      <c r="T188" s="405" t="s">
        <v>884</v>
      </c>
      <c r="U188" s="405" t="s">
        <v>319</v>
      </c>
    </row>
    <row r="189" spans="1:21" x14ac:dyDescent="0.25">
      <c r="A189" s="405" t="s">
        <v>310</v>
      </c>
      <c r="B189" s="405" t="s">
        <v>9470</v>
      </c>
      <c r="C189" s="405" t="s">
        <v>327</v>
      </c>
      <c r="D189" s="405"/>
      <c r="E189" s="410">
        <v>44967</v>
      </c>
      <c r="F189" s="410">
        <v>44976</v>
      </c>
      <c r="G189" s="405" t="s">
        <v>9471</v>
      </c>
      <c r="H189" s="405" t="s">
        <v>9472</v>
      </c>
      <c r="I189" s="405"/>
      <c r="J189" s="405">
        <v>0.42280800000000002</v>
      </c>
      <c r="K189" s="405">
        <v>32.422669999999997</v>
      </c>
      <c r="L189" s="405" t="s">
        <v>314</v>
      </c>
      <c r="M189" s="405" t="s">
        <v>361</v>
      </c>
      <c r="N189" s="405" t="s">
        <v>535</v>
      </c>
      <c r="O189" s="405" t="s">
        <v>535</v>
      </c>
      <c r="P189" s="405" t="s">
        <v>1701</v>
      </c>
      <c r="Q189" s="411">
        <v>6</v>
      </c>
      <c r="R189" s="405" t="s">
        <v>32101</v>
      </c>
      <c r="S189" s="405" t="s">
        <v>27069</v>
      </c>
      <c r="T189" s="405" t="s">
        <v>32102</v>
      </c>
      <c r="U189" s="405" t="s">
        <v>319</v>
      </c>
    </row>
    <row r="190" spans="1:21" x14ac:dyDescent="0.25">
      <c r="A190" s="405" t="s">
        <v>310</v>
      </c>
      <c r="B190" s="405" t="s">
        <v>26978</v>
      </c>
      <c r="C190" s="405" t="s">
        <v>327</v>
      </c>
      <c r="D190" s="405"/>
      <c r="E190" s="410">
        <v>44960</v>
      </c>
      <c r="F190" s="410">
        <v>44977</v>
      </c>
      <c r="G190" s="405" t="s">
        <v>26979</v>
      </c>
      <c r="H190" s="405" t="s">
        <v>26980</v>
      </c>
      <c r="I190" s="405"/>
      <c r="J190" s="405">
        <v>1.2274</v>
      </c>
      <c r="K190" s="405">
        <v>32.246872000000003</v>
      </c>
      <c r="L190" s="405" t="s">
        <v>590</v>
      </c>
      <c r="M190" s="405" t="s">
        <v>2297</v>
      </c>
      <c r="N190" s="405" t="s">
        <v>26981</v>
      </c>
      <c r="O190" s="405" t="s">
        <v>26982</v>
      </c>
      <c r="P190" s="405" t="s">
        <v>26982</v>
      </c>
      <c r="Q190" s="411">
        <v>7</v>
      </c>
      <c r="R190" s="405" t="s">
        <v>9490</v>
      </c>
      <c r="S190" s="405" t="s">
        <v>27105</v>
      </c>
      <c r="T190" s="405" t="s">
        <v>32102</v>
      </c>
      <c r="U190" s="405" t="s">
        <v>319</v>
      </c>
    </row>
    <row r="191" spans="1:21" x14ac:dyDescent="0.25">
      <c r="A191" s="405" t="s">
        <v>310</v>
      </c>
      <c r="B191" s="405" t="s">
        <v>26983</v>
      </c>
      <c r="C191" s="405" t="s">
        <v>327</v>
      </c>
      <c r="D191" s="405"/>
      <c r="E191" s="410">
        <v>44960</v>
      </c>
      <c r="F191" s="410">
        <v>44977</v>
      </c>
      <c r="G191" s="405" t="s">
        <v>26984</v>
      </c>
      <c r="H191" s="405" t="s">
        <v>26985</v>
      </c>
      <c r="I191" s="405"/>
      <c r="J191" s="405">
        <v>1.227395</v>
      </c>
      <c r="K191" s="405">
        <v>32.246865999999997</v>
      </c>
      <c r="L191" s="405" t="s">
        <v>590</v>
      </c>
      <c r="M191" s="405" t="s">
        <v>2297</v>
      </c>
      <c r="N191" s="405" t="s">
        <v>26981</v>
      </c>
      <c r="O191" s="405" t="s">
        <v>26982</v>
      </c>
      <c r="P191" s="405" t="s">
        <v>26982</v>
      </c>
      <c r="Q191" s="411">
        <v>7</v>
      </c>
      <c r="R191" s="405" t="s">
        <v>9490</v>
      </c>
      <c r="S191" s="405" t="s">
        <v>27105</v>
      </c>
      <c r="T191" s="405" t="s">
        <v>884</v>
      </c>
      <c r="U191" s="405" t="s">
        <v>319</v>
      </c>
    </row>
    <row r="192" spans="1:21" x14ac:dyDescent="0.25">
      <c r="A192" s="405" t="s">
        <v>310</v>
      </c>
      <c r="B192" s="405" t="s">
        <v>26973</v>
      </c>
      <c r="C192" s="405" t="s">
        <v>327</v>
      </c>
      <c r="D192" s="405"/>
      <c r="E192" s="410">
        <v>44960</v>
      </c>
      <c r="F192" s="410">
        <v>44976</v>
      </c>
      <c r="G192" s="405" t="s">
        <v>26974</v>
      </c>
      <c r="H192" s="405" t="s">
        <v>26975</v>
      </c>
      <c r="I192" s="405"/>
      <c r="J192" s="405">
        <v>1.179861</v>
      </c>
      <c r="K192" s="405">
        <v>31.834021</v>
      </c>
      <c r="L192" s="405" t="s">
        <v>590</v>
      </c>
      <c r="M192" s="405" t="s">
        <v>2537</v>
      </c>
      <c r="N192" s="405" t="s">
        <v>26760</v>
      </c>
      <c r="O192" s="405" t="s">
        <v>26976</v>
      </c>
      <c r="P192" s="405" t="s">
        <v>26977</v>
      </c>
      <c r="Q192" s="411">
        <v>7</v>
      </c>
      <c r="R192" s="405" t="s">
        <v>9490</v>
      </c>
      <c r="S192" s="405" t="s">
        <v>27070</v>
      </c>
      <c r="T192" s="405" t="s">
        <v>884</v>
      </c>
      <c r="U192" s="405" t="s">
        <v>319</v>
      </c>
    </row>
    <row r="193" spans="1:21" x14ac:dyDescent="0.25">
      <c r="A193" s="405" t="s">
        <v>310</v>
      </c>
      <c r="B193" s="405" t="s">
        <v>26969</v>
      </c>
      <c r="C193" s="405" t="s">
        <v>327</v>
      </c>
      <c r="D193" s="405"/>
      <c r="E193" s="410">
        <v>44959</v>
      </c>
      <c r="F193" s="410">
        <v>44976</v>
      </c>
      <c r="G193" s="405" t="s">
        <v>26970</v>
      </c>
      <c r="H193" s="405" t="s">
        <v>26971</v>
      </c>
      <c r="I193" s="405"/>
      <c r="J193" s="405">
        <v>0.91803999999999997</v>
      </c>
      <c r="K193" s="405">
        <v>31.763178</v>
      </c>
      <c r="L193" s="405" t="s">
        <v>590</v>
      </c>
      <c r="M193" s="405" t="s">
        <v>2537</v>
      </c>
      <c r="N193" s="405" t="s">
        <v>5564</v>
      </c>
      <c r="O193" s="405" t="s">
        <v>26972</v>
      </c>
      <c r="P193" s="405" t="s">
        <v>9398</v>
      </c>
      <c r="Q193" s="411">
        <v>7</v>
      </c>
      <c r="R193" s="405" t="s">
        <v>9490</v>
      </c>
      <c r="S193" s="405" t="s">
        <v>27070</v>
      </c>
      <c r="T193" s="405" t="s">
        <v>884</v>
      </c>
      <c r="U193" s="405" t="s">
        <v>319</v>
      </c>
    </row>
    <row r="194" spans="1:21" x14ac:dyDescent="0.25">
      <c r="A194" s="405" t="s">
        <v>310</v>
      </c>
      <c r="B194" s="405" t="s">
        <v>9498</v>
      </c>
      <c r="C194" s="405" t="s">
        <v>327</v>
      </c>
      <c r="D194" s="405"/>
      <c r="E194" s="410">
        <v>44958</v>
      </c>
      <c r="F194" s="410">
        <v>44977</v>
      </c>
      <c r="G194" s="405" t="s">
        <v>9499</v>
      </c>
      <c r="H194" s="405" t="s">
        <v>9500</v>
      </c>
      <c r="I194" s="405"/>
      <c r="J194" s="405">
        <v>1.2046950000000001</v>
      </c>
      <c r="K194" s="405">
        <v>32.886595999999997</v>
      </c>
      <c r="L194" s="405" t="s">
        <v>314</v>
      </c>
      <c r="M194" s="405" t="s">
        <v>502</v>
      </c>
      <c r="N194" s="405" t="s">
        <v>5471</v>
      </c>
      <c r="O194" s="405" t="s">
        <v>9501</v>
      </c>
      <c r="P194" s="405" t="s">
        <v>9502</v>
      </c>
      <c r="Q194" s="411">
        <v>7</v>
      </c>
      <c r="R194" s="405" t="s">
        <v>9490</v>
      </c>
      <c r="S194" s="405" t="s">
        <v>27071</v>
      </c>
      <c r="T194" s="405" t="s">
        <v>32102</v>
      </c>
      <c r="U194" s="405" t="s">
        <v>319</v>
      </c>
    </row>
    <row r="195" spans="1:21" x14ac:dyDescent="0.25">
      <c r="A195" s="405" t="s">
        <v>310</v>
      </c>
      <c r="B195" s="405" t="s">
        <v>9486</v>
      </c>
      <c r="C195" s="405" t="s">
        <v>327</v>
      </c>
      <c r="D195" s="405"/>
      <c r="E195" s="410">
        <v>44955</v>
      </c>
      <c r="F195" s="410">
        <v>44977</v>
      </c>
      <c r="G195" s="405" t="s">
        <v>9487</v>
      </c>
      <c r="H195" s="405" t="s">
        <v>9488</v>
      </c>
      <c r="I195" s="405"/>
      <c r="J195" s="405">
        <v>0.689716</v>
      </c>
      <c r="K195" s="405">
        <v>32.907311999999997</v>
      </c>
      <c r="L195" s="405" t="s">
        <v>314</v>
      </c>
      <c r="M195" s="405" t="s">
        <v>502</v>
      </c>
      <c r="N195" s="405" t="s">
        <v>9489</v>
      </c>
      <c r="O195" s="405" t="s">
        <v>2154</v>
      </c>
      <c r="P195" s="405" t="s">
        <v>3354</v>
      </c>
      <c r="Q195" s="411">
        <v>7</v>
      </c>
      <c r="R195" s="405" t="s">
        <v>9490</v>
      </c>
      <c r="S195" s="405" t="s">
        <v>27070</v>
      </c>
      <c r="T195" s="405" t="s">
        <v>884</v>
      </c>
      <c r="U195" s="405" t="s">
        <v>319</v>
      </c>
    </row>
    <row r="196" spans="1:21" x14ac:dyDescent="0.25">
      <c r="A196" s="405" t="s">
        <v>310</v>
      </c>
      <c r="B196" s="405" t="s">
        <v>9491</v>
      </c>
      <c r="C196" s="405" t="s">
        <v>327</v>
      </c>
      <c r="D196" s="405"/>
      <c r="E196" s="410">
        <v>44955</v>
      </c>
      <c r="F196" s="410">
        <v>44977</v>
      </c>
      <c r="G196" s="405" t="s">
        <v>9492</v>
      </c>
      <c r="H196" s="405" t="s">
        <v>9493</v>
      </c>
      <c r="I196" s="405"/>
      <c r="J196" s="405">
        <v>0.689716</v>
      </c>
      <c r="K196" s="405">
        <v>32.907311999999997</v>
      </c>
      <c r="L196" s="405" t="s">
        <v>314</v>
      </c>
      <c r="M196" s="405" t="s">
        <v>502</v>
      </c>
      <c r="N196" s="405" t="s">
        <v>909</v>
      </c>
      <c r="O196" s="405" t="s">
        <v>2154</v>
      </c>
      <c r="P196" s="405" t="s">
        <v>3354</v>
      </c>
      <c r="Q196" s="411">
        <v>7</v>
      </c>
      <c r="R196" s="405" t="s">
        <v>9490</v>
      </c>
      <c r="S196" s="405" t="s">
        <v>27070</v>
      </c>
      <c r="T196" s="405" t="s">
        <v>884</v>
      </c>
      <c r="U196" s="405" t="s">
        <v>319</v>
      </c>
    </row>
    <row r="197" spans="1:21" x14ac:dyDescent="0.25">
      <c r="A197" s="405" t="s">
        <v>310</v>
      </c>
      <c r="B197" s="405" t="s">
        <v>9482</v>
      </c>
      <c r="C197" s="405" t="s">
        <v>327</v>
      </c>
      <c r="D197" s="405"/>
      <c r="E197" s="410">
        <v>44955</v>
      </c>
      <c r="F197" s="410">
        <v>44960</v>
      </c>
      <c r="G197" s="405" t="s">
        <v>9483</v>
      </c>
      <c r="H197" s="405" t="s">
        <v>9484</v>
      </c>
      <c r="I197" s="405"/>
      <c r="J197" s="405">
        <v>0.51521799999999995</v>
      </c>
      <c r="K197" s="405">
        <v>32.679727</v>
      </c>
      <c r="L197" s="405" t="s">
        <v>314</v>
      </c>
      <c r="M197" s="405" t="s">
        <v>329</v>
      </c>
      <c r="N197" s="405" t="s">
        <v>336</v>
      </c>
      <c r="O197" s="405" t="s">
        <v>9485</v>
      </c>
      <c r="P197" s="405" t="s">
        <v>9485</v>
      </c>
      <c r="Q197" s="411">
        <v>6</v>
      </c>
      <c r="R197" s="405" t="s">
        <v>32164</v>
      </c>
      <c r="S197" s="405" t="s">
        <v>27054</v>
      </c>
      <c r="T197" s="405" t="s">
        <v>32102</v>
      </c>
      <c r="U197" s="405" t="s">
        <v>319</v>
      </c>
    </row>
    <row r="198" spans="1:21" x14ac:dyDescent="0.25">
      <c r="A198" s="405" t="s">
        <v>310</v>
      </c>
      <c r="B198" s="405" t="s">
        <v>26990</v>
      </c>
      <c r="C198" s="405" t="s">
        <v>327</v>
      </c>
      <c r="D198" s="405"/>
      <c r="E198" s="410">
        <v>44954</v>
      </c>
      <c r="F198" s="410">
        <v>44978</v>
      </c>
      <c r="G198" s="405" t="s">
        <v>26991</v>
      </c>
      <c r="H198" s="405" t="s">
        <v>26992</v>
      </c>
      <c r="I198" s="405"/>
      <c r="J198" s="405">
        <v>0.526563</v>
      </c>
      <c r="K198" s="405">
        <v>32.232833999999997</v>
      </c>
      <c r="L198" s="405" t="s">
        <v>590</v>
      </c>
      <c r="M198" s="405" t="s">
        <v>361</v>
      </c>
      <c r="N198" s="405" t="s">
        <v>662</v>
      </c>
      <c r="O198" s="405" t="s">
        <v>26993</v>
      </c>
      <c r="P198" s="405" t="s">
        <v>26994</v>
      </c>
      <c r="Q198" s="411">
        <v>7</v>
      </c>
      <c r="R198" s="405" t="s">
        <v>9490</v>
      </c>
      <c r="S198" s="405" t="s">
        <v>27070</v>
      </c>
      <c r="T198" s="405" t="s">
        <v>884</v>
      </c>
      <c r="U198" s="405" t="s">
        <v>319</v>
      </c>
    </row>
    <row r="199" spans="1:21" x14ac:dyDescent="0.25">
      <c r="A199" s="405" t="s">
        <v>310</v>
      </c>
      <c r="B199" s="405" t="s">
        <v>27005</v>
      </c>
      <c r="C199" s="405" t="s">
        <v>327</v>
      </c>
      <c r="D199" s="405"/>
      <c r="E199" s="410">
        <v>44952</v>
      </c>
      <c r="F199" s="410">
        <v>44978</v>
      </c>
      <c r="G199" s="405" t="s">
        <v>27006</v>
      </c>
      <c r="H199" s="405" t="s">
        <v>27007</v>
      </c>
      <c r="I199" s="405"/>
      <c r="J199" s="405">
        <v>0.76409300000000002</v>
      </c>
      <c r="K199" s="405">
        <v>32.072792999999997</v>
      </c>
      <c r="L199" s="405" t="s">
        <v>590</v>
      </c>
      <c r="M199" s="405" t="s">
        <v>2537</v>
      </c>
      <c r="N199" s="405" t="s">
        <v>2858</v>
      </c>
      <c r="O199" s="405" t="s">
        <v>2758</v>
      </c>
      <c r="P199" s="405" t="s">
        <v>2758</v>
      </c>
      <c r="Q199" s="411">
        <v>7</v>
      </c>
      <c r="R199" s="405" t="s">
        <v>9490</v>
      </c>
      <c r="S199" s="405" t="s">
        <v>27070</v>
      </c>
      <c r="T199" s="405" t="s">
        <v>884</v>
      </c>
      <c r="U199" s="405" t="s">
        <v>319</v>
      </c>
    </row>
    <row r="200" spans="1:21" x14ac:dyDescent="0.25">
      <c r="A200" s="405" t="s">
        <v>310</v>
      </c>
      <c r="B200" s="405" t="s">
        <v>27000</v>
      </c>
      <c r="C200" s="405" t="s">
        <v>327</v>
      </c>
      <c r="D200" s="405"/>
      <c r="E200" s="410">
        <v>44951</v>
      </c>
      <c r="F200" s="410">
        <v>44978</v>
      </c>
      <c r="G200" s="405" t="s">
        <v>27001</v>
      </c>
      <c r="H200" s="405" t="s">
        <v>27002</v>
      </c>
      <c r="I200" s="405"/>
      <c r="J200" s="405">
        <v>0.87028000000000005</v>
      </c>
      <c r="K200" s="405">
        <v>32.209899</v>
      </c>
      <c r="L200" s="405" t="s">
        <v>590</v>
      </c>
      <c r="M200" s="405" t="s">
        <v>2537</v>
      </c>
      <c r="N200" s="405" t="s">
        <v>2758</v>
      </c>
      <c r="O200" s="405" t="s">
        <v>27003</v>
      </c>
      <c r="P200" s="405" t="s">
        <v>27004</v>
      </c>
      <c r="Q200" s="411">
        <v>7</v>
      </c>
      <c r="R200" s="405" t="s">
        <v>9490</v>
      </c>
      <c r="S200" s="405" t="s">
        <v>27070</v>
      </c>
      <c r="T200" s="405" t="s">
        <v>884</v>
      </c>
      <c r="U200" s="405" t="s">
        <v>319</v>
      </c>
    </row>
    <row r="201" spans="1:21" x14ac:dyDescent="0.25">
      <c r="A201" s="405" t="s">
        <v>310</v>
      </c>
      <c r="B201" s="405" t="s">
        <v>9473</v>
      </c>
      <c r="C201" s="405" t="s">
        <v>327</v>
      </c>
      <c r="D201" s="405"/>
      <c r="E201" s="410">
        <v>44950</v>
      </c>
      <c r="F201" s="410">
        <v>44963</v>
      </c>
      <c r="G201" s="405" t="s">
        <v>9474</v>
      </c>
      <c r="H201" s="405" t="s">
        <v>9475</v>
      </c>
      <c r="I201" s="405"/>
      <c r="J201" s="405">
        <v>0.62625699999999995</v>
      </c>
      <c r="K201" s="405">
        <v>32.346730000000001</v>
      </c>
      <c r="L201" s="405" t="s">
        <v>314</v>
      </c>
      <c r="M201" s="405" t="s">
        <v>2297</v>
      </c>
      <c r="N201" s="405" t="s">
        <v>5792</v>
      </c>
      <c r="O201" s="405" t="s">
        <v>9476</v>
      </c>
      <c r="P201" s="405" t="s">
        <v>9477</v>
      </c>
      <c r="Q201" s="411">
        <v>13</v>
      </c>
      <c r="R201" s="405" t="s">
        <v>32101</v>
      </c>
      <c r="S201" s="405" t="s">
        <v>27069</v>
      </c>
      <c r="T201" s="405" t="s">
        <v>884</v>
      </c>
      <c r="U201" s="405" t="s">
        <v>319</v>
      </c>
    </row>
    <row r="202" spans="1:21" x14ac:dyDescent="0.25">
      <c r="A202" s="405" t="s">
        <v>310</v>
      </c>
      <c r="B202" s="405" t="s">
        <v>26995</v>
      </c>
      <c r="C202" s="405" t="s">
        <v>327</v>
      </c>
      <c r="D202" s="405"/>
      <c r="E202" s="410">
        <v>44950</v>
      </c>
      <c r="F202" s="410">
        <v>44978</v>
      </c>
      <c r="G202" s="405" t="s">
        <v>26996</v>
      </c>
      <c r="H202" s="405" t="s">
        <v>26997</v>
      </c>
      <c r="I202" s="405"/>
      <c r="J202" s="405">
        <v>0.73727200000000004</v>
      </c>
      <c r="K202" s="405">
        <v>32.145882999999998</v>
      </c>
      <c r="L202" s="405" t="s">
        <v>590</v>
      </c>
      <c r="M202" s="405" t="s">
        <v>2537</v>
      </c>
      <c r="N202" s="405" t="s">
        <v>2858</v>
      </c>
      <c r="O202" s="405" t="s">
        <v>26998</v>
      </c>
      <c r="P202" s="405" t="s">
        <v>26999</v>
      </c>
      <c r="Q202" s="411">
        <v>7</v>
      </c>
      <c r="R202" s="405" t="s">
        <v>9490</v>
      </c>
      <c r="S202" s="405" t="s">
        <v>27070</v>
      </c>
      <c r="T202" s="405" t="s">
        <v>884</v>
      </c>
      <c r="U202" s="405" t="s">
        <v>319</v>
      </c>
    </row>
    <row r="203" spans="1:21" x14ac:dyDescent="0.25">
      <c r="A203" s="405" t="s">
        <v>310</v>
      </c>
      <c r="B203" s="405" t="s">
        <v>26986</v>
      </c>
      <c r="C203" s="405" t="s">
        <v>327</v>
      </c>
      <c r="D203" s="405"/>
      <c r="E203" s="410">
        <v>44929</v>
      </c>
      <c r="F203" s="410">
        <v>44977</v>
      </c>
      <c r="G203" s="405" t="s">
        <v>26987</v>
      </c>
      <c r="H203" s="405" t="s">
        <v>26988</v>
      </c>
      <c r="I203" s="405"/>
      <c r="J203" s="405">
        <v>1.036583</v>
      </c>
      <c r="K203" s="405">
        <v>32.106212999999997</v>
      </c>
      <c r="L203" s="405" t="s">
        <v>590</v>
      </c>
      <c r="M203" s="405" t="s">
        <v>7300</v>
      </c>
      <c r="N203" s="405" t="s">
        <v>2520</v>
      </c>
      <c r="O203" s="405" t="s">
        <v>9381</v>
      </c>
      <c r="P203" s="405" t="s">
        <v>26989</v>
      </c>
      <c r="Q203" s="411">
        <v>7</v>
      </c>
      <c r="R203" s="405" t="s">
        <v>9490</v>
      </c>
      <c r="S203" s="405" t="s">
        <v>27071</v>
      </c>
      <c r="T203" s="405" t="s">
        <v>884</v>
      </c>
      <c r="U203" s="405" t="s">
        <v>319</v>
      </c>
    </row>
    <row r="204" spans="1:21" x14ac:dyDescent="0.25">
      <c r="A204" s="405" t="s">
        <v>310</v>
      </c>
      <c r="B204" s="413" t="s">
        <v>18203</v>
      </c>
      <c r="C204" s="413" t="s">
        <v>327</v>
      </c>
      <c r="D204" s="413"/>
      <c r="E204" s="418">
        <v>44920</v>
      </c>
      <c r="F204" s="418">
        <v>44951</v>
      </c>
      <c r="G204" s="413" t="s">
        <v>18204</v>
      </c>
      <c r="H204" s="405" t="s">
        <v>18205</v>
      </c>
      <c r="I204" s="405"/>
      <c r="J204" s="405">
        <v>2.525468</v>
      </c>
      <c r="K204" s="405">
        <v>34.361806999999999</v>
      </c>
      <c r="L204" s="405" t="s">
        <v>6866</v>
      </c>
      <c r="M204" s="405" t="s">
        <v>16584</v>
      </c>
      <c r="N204" s="405" t="s">
        <v>18206</v>
      </c>
      <c r="O204" s="405" t="s">
        <v>18201</v>
      </c>
      <c r="P204" s="405" t="s">
        <v>18202</v>
      </c>
      <c r="Q204" s="411">
        <v>6</v>
      </c>
      <c r="R204" s="405" t="s">
        <v>7211</v>
      </c>
      <c r="S204" s="405" t="s">
        <v>27091</v>
      </c>
      <c r="T204" s="405" t="s">
        <v>884</v>
      </c>
      <c r="U204" s="405" t="s">
        <v>319</v>
      </c>
    </row>
    <row r="205" spans="1:21" x14ac:dyDescent="0.25">
      <c r="A205" s="405" t="s">
        <v>310</v>
      </c>
      <c r="B205" s="405" t="s">
        <v>9446</v>
      </c>
      <c r="C205" s="405" t="s">
        <v>327</v>
      </c>
      <c r="D205" s="405"/>
      <c r="E205" s="410">
        <v>44919</v>
      </c>
      <c r="F205" s="410">
        <v>44925</v>
      </c>
      <c r="G205" s="405" t="s">
        <v>9447</v>
      </c>
      <c r="H205" s="405" t="s">
        <v>9448</v>
      </c>
      <c r="I205" s="405"/>
      <c r="J205" s="405">
        <v>0.27382699999999999</v>
      </c>
      <c r="K205" s="405">
        <v>32.533625000000001</v>
      </c>
      <c r="L205" s="405" t="s">
        <v>314</v>
      </c>
      <c r="M205" s="405" t="s">
        <v>992</v>
      </c>
      <c r="N205" s="405" t="s">
        <v>9449</v>
      </c>
      <c r="O205" s="405" t="s">
        <v>1341</v>
      </c>
      <c r="P205" s="405" t="s">
        <v>7948</v>
      </c>
      <c r="Q205" s="411">
        <v>9</v>
      </c>
      <c r="R205" s="405" t="s">
        <v>32101</v>
      </c>
      <c r="S205" s="405" t="s">
        <v>27068</v>
      </c>
      <c r="T205" s="405" t="s">
        <v>884</v>
      </c>
      <c r="U205" s="405" t="s">
        <v>319</v>
      </c>
    </row>
    <row r="206" spans="1:21" x14ac:dyDescent="0.25">
      <c r="A206" s="405" t="s">
        <v>310</v>
      </c>
      <c r="B206" s="405" t="s">
        <v>26944</v>
      </c>
      <c r="C206" s="405" t="s">
        <v>327</v>
      </c>
      <c r="D206" s="405"/>
      <c r="E206" s="410">
        <v>44917</v>
      </c>
      <c r="F206" s="410">
        <v>44933</v>
      </c>
      <c r="G206" s="405" t="s">
        <v>26945</v>
      </c>
      <c r="H206" s="405" t="s">
        <v>26946</v>
      </c>
      <c r="I206" s="405"/>
      <c r="J206" s="405">
        <v>-0.87258000000000002</v>
      </c>
      <c r="K206" s="405">
        <v>29.759664999999998</v>
      </c>
      <c r="L206" s="405" t="s">
        <v>590</v>
      </c>
      <c r="M206" s="405" t="s">
        <v>20808</v>
      </c>
      <c r="N206" s="405" t="s">
        <v>23390</v>
      </c>
      <c r="O206" s="405" t="s">
        <v>20810</v>
      </c>
      <c r="P206" s="405" t="s">
        <v>20763</v>
      </c>
      <c r="Q206" s="411">
        <v>9</v>
      </c>
      <c r="R206" s="405" t="s">
        <v>26711</v>
      </c>
      <c r="S206" s="405" t="s">
        <v>27095</v>
      </c>
      <c r="T206" s="405" t="s">
        <v>884</v>
      </c>
      <c r="U206" s="405" t="s">
        <v>319</v>
      </c>
    </row>
    <row r="207" spans="1:21" x14ac:dyDescent="0.25">
      <c r="A207" s="405" t="s">
        <v>310</v>
      </c>
      <c r="B207" s="405" t="s">
        <v>9478</v>
      </c>
      <c r="C207" s="405" t="s">
        <v>327</v>
      </c>
      <c r="D207" s="405"/>
      <c r="E207" s="410">
        <v>44914</v>
      </c>
      <c r="F207" s="410">
        <v>44981</v>
      </c>
      <c r="G207" s="405" t="s">
        <v>9479</v>
      </c>
      <c r="H207" s="405" t="s">
        <v>9480</v>
      </c>
      <c r="I207" s="405"/>
      <c r="J207" s="405">
        <v>0.536663</v>
      </c>
      <c r="K207" s="405">
        <v>32.419400000000003</v>
      </c>
      <c r="L207" s="405" t="s">
        <v>314</v>
      </c>
      <c r="M207" s="405" t="s">
        <v>361</v>
      </c>
      <c r="N207" s="405" t="s">
        <v>9149</v>
      </c>
      <c r="O207" s="405" t="s">
        <v>9481</v>
      </c>
      <c r="P207" s="405" t="s">
        <v>467</v>
      </c>
      <c r="Q207" s="411">
        <v>6</v>
      </c>
      <c r="R207" s="405" t="s">
        <v>32101</v>
      </c>
      <c r="S207" s="405" t="s">
        <v>27069</v>
      </c>
      <c r="T207" s="405" t="s">
        <v>32102</v>
      </c>
      <c r="U207" s="405" t="s">
        <v>319</v>
      </c>
    </row>
    <row r="208" spans="1:21" x14ac:dyDescent="0.25">
      <c r="A208" s="405" t="s">
        <v>310</v>
      </c>
      <c r="B208" s="405" t="s">
        <v>26959</v>
      </c>
      <c r="C208" s="405" t="s">
        <v>327</v>
      </c>
      <c r="D208" s="405"/>
      <c r="E208" s="410">
        <v>44911</v>
      </c>
      <c r="F208" s="410">
        <v>44943</v>
      </c>
      <c r="G208" s="405" t="s">
        <v>26960</v>
      </c>
      <c r="H208" s="405" t="s">
        <v>26961</v>
      </c>
      <c r="I208" s="405"/>
      <c r="J208" s="405">
        <v>-0.24395700000000001</v>
      </c>
      <c r="K208" s="405">
        <v>30.712786999999999</v>
      </c>
      <c r="L208" s="405" t="s">
        <v>590</v>
      </c>
      <c r="M208" s="405" t="s">
        <v>19705</v>
      </c>
      <c r="N208" s="405" t="s">
        <v>21675</v>
      </c>
      <c r="O208" s="405" t="s">
        <v>26245</v>
      </c>
      <c r="P208" s="405" t="s">
        <v>26962</v>
      </c>
      <c r="Q208" s="411">
        <v>9</v>
      </c>
      <c r="R208" s="405" t="s">
        <v>874</v>
      </c>
      <c r="S208" s="405" t="s">
        <v>27063</v>
      </c>
      <c r="T208" s="405" t="s">
        <v>884</v>
      </c>
      <c r="U208" s="405" t="s">
        <v>319</v>
      </c>
    </row>
    <row r="209" spans="1:21" x14ac:dyDescent="0.25">
      <c r="A209" s="405" t="s">
        <v>310</v>
      </c>
      <c r="B209" s="405" t="s">
        <v>18144</v>
      </c>
      <c r="C209" s="405" t="s">
        <v>327</v>
      </c>
      <c r="D209" s="405"/>
      <c r="E209" s="410">
        <v>44911</v>
      </c>
      <c r="F209" s="410">
        <v>44911</v>
      </c>
      <c r="G209" s="405" t="s">
        <v>18145</v>
      </c>
      <c r="H209" s="405" t="s">
        <v>18146</v>
      </c>
      <c r="I209" s="405"/>
      <c r="J209" s="405">
        <v>0.54904500000000001</v>
      </c>
      <c r="K209" s="405">
        <v>34.053133000000003</v>
      </c>
      <c r="L209" s="405" t="s">
        <v>6866</v>
      </c>
      <c r="M209" s="405" t="s">
        <v>10390</v>
      </c>
      <c r="N209" s="405" t="s">
        <v>15191</v>
      </c>
      <c r="O209" s="405" t="s">
        <v>12372</v>
      </c>
      <c r="P209" s="405" t="s">
        <v>18147</v>
      </c>
      <c r="Q209" s="411">
        <v>9</v>
      </c>
      <c r="R209" s="405" t="s">
        <v>5655</v>
      </c>
      <c r="S209" s="405" t="s">
        <v>27087</v>
      </c>
      <c r="T209" s="405" t="s">
        <v>884</v>
      </c>
      <c r="U209" s="405" t="s">
        <v>319</v>
      </c>
    </row>
    <row r="210" spans="1:21" x14ac:dyDescent="0.25">
      <c r="A210" s="405" t="s">
        <v>310</v>
      </c>
      <c r="B210" s="405" t="s">
        <v>18217</v>
      </c>
      <c r="C210" s="405" t="s">
        <v>327</v>
      </c>
      <c r="D210" s="405"/>
      <c r="E210" s="410">
        <v>44911</v>
      </c>
      <c r="F210" s="410">
        <v>44936</v>
      </c>
      <c r="G210" s="405" t="s">
        <v>18218</v>
      </c>
      <c r="H210" s="405" t="s">
        <v>18219</v>
      </c>
      <c r="I210" s="405"/>
      <c r="J210" s="405">
        <v>1.147025</v>
      </c>
      <c r="K210" s="405">
        <v>34.407038</v>
      </c>
      <c r="L210" s="405" t="s">
        <v>6866</v>
      </c>
      <c r="M210" s="405" t="s">
        <v>9575</v>
      </c>
      <c r="N210" s="405" t="s">
        <v>9576</v>
      </c>
      <c r="O210" s="405" t="s">
        <v>18220</v>
      </c>
      <c r="P210" s="405" t="s">
        <v>18221</v>
      </c>
      <c r="Q210" s="411">
        <v>4</v>
      </c>
      <c r="R210" s="405" t="s">
        <v>17977</v>
      </c>
      <c r="S210" s="405" t="s">
        <v>27082</v>
      </c>
      <c r="T210" s="405" t="s">
        <v>884</v>
      </c>
      <c r="U210" s="405" t="s">
        <v>319</v>
      </c>
    </row>
    <row r="211" spans="1:21" x14ac:dyDescent="0.25">
      <c r="A211" s="405" t="s">
        <v>310</v>
      </c>
      <c r="B211" s="405" t="s">
        <v>26956</v>
      </c>
      <c r="C211" s="405" t="s">
        <v>327</v>
      </c>
      <c r="D211" s="405"/>
      <c r="E211" s="410">
        <v>44905</v>
      </c>
      <c r="F211" s="410">
        <v>44947</v>
      </c>
      <c r="G211" s="405" t="s">
        <v>26957</v>
      </c>
      <c r="H211" s="405" t="s">
        <v>26958</v>
      </c>
      <c r="I211" s="405"/>
      <c r="J211" s="405">
        <v>-0.113832</v>
      </c>
      <c r="K211" s="405">
        <v>31.039356999999999</v>
      </c>
      <c r="L211" s="405" t="s">
        <v>590</v>
      </c>
      <c r="M211" s="405" t="s">
        <v>19705</v>
      </c>
      <c r="N211" s="405" t="s">
        <v>1215</v>
      </c>
      <c r="O211" s="405" t="s">
        <v>1310</v>
      </c>
      <c r="P211" s="405" t="s">
        <v>1310</v>
      </c>
      <c r="Q211" s="411">
        <v>9</v>
      </c>
      <c r="R211" s="405" t="s">
        <v>874</v>
      </c>
      <c r="S211" s="405" t="s">
        <v>27035</v>
      </c>
      <c r="T211" s="405" t="s">
        <v>884</v>
      </c>
      <c r="U211" s="405" t="s">
        <v>319</v>
      </c>
    </row>
    <row r="212" spans="1:21" x14ac:dyDescent="0.25">
      <c r="A212" s="405" t="s">
        <v>310</v>
      </c>
      <c r="B212" s="405" t="s">
        <v>26947</v>
      </c>
      <c r="C212" s="405" t="s">
        <v>327</v>
      </c>
      <c r="D212" s="405"/>
      <c r="E212" s="410">
        <v>44902</v>
      </c>
      <c r="F212" s="410">
        <v>44946</v>
      </c>
      <c r="G212" s="405" t="s">
        <v>26948</v>
      </c>
      <c r="H212" s="405" t="s">
        <v>26949</v>
      </c>
      <c r="I212" s="405"/>
      <c r="J212" s="405">
        <v>3.2636999999999999E-2</v>
      </c>
      <c r="K212" s="405">
        <v>30.886862000000001</v>
      </c>
      <c r="L212" s="405" t="s">
        <v>590</v>
      </c>
      <c r="M212" s="405" t="s">
        <v>2250</v>
      </c>
      <c r="N212" s="405" t="s">
        <v>24215</v>
      </c>
      <c r="O212" s="405" t="s">
        <v>24215</v>
      </c>
      <c r="P212" s="405" t="s">
        <v>26950</v>
      </c>
      <c r="Q212" s="411">
        <v>9</v>
      </c>
      <c r="R212" s="405" t="s">
        <v>874</v>
      </c>
      <c r="S212" s="405" t="s">
        <v>27035</v>
      </c>
      <c r="T212" s="405" t="s">
        <v>32102</v>
      </c>
      <c r="U212" s="405" t="s">
        <v>319</v>
      </c>
    </row>
    <row r="213" spans="1:21" x14ac:dyDescent="0.25">
      <c r="A213" s="405" t="s">
        <v>310</v>
      </c>
      <c r="B213" s="405" t="s">
        <v>18213</v>
      </c>
      <c r="C213" s="405" t="s">
        <v>327</v>
      </c>
      <c r="D213" s="405"/>
      <c r="E213" s="410">
        <v>44901</v>
      </c>
      <c r="F213" s="410">
        <v>44951</v>
      </c>
      <c r="G213" s="405" t="s">
        <v>18214</v>
      </c>
      <c r="H213" s="405" t="s">
        <v>18215</v>
      </c>
      <c r="I213" s="405"/>
      <c r="J213" s="405">
        <v>2.4852479999999999</v>
      </c>
      <c r="K213" s="405">
        <v>34.381126999999999</v>
      </c>
      <c r="L213" s="405" t="s">
        <v>6866</v>
      </c>
      <c r="M213" s="405" t="s">
        <v>16584</v>
      </c>
      <c r="N213" s="405" t="s">
        <v>18210</v>
      </c>
      <c r="O213" s="405" t="s">
        <v>18216</v>
      </c>
      <c r="P213" s="405" t="s">
        <v>18212</v>
      </c>
      <c r="Q213" s="411">
        <v>6</v>
      </c>
      <c r="R213" s="405" t="s">
        <v>7211</v>
      </c>
      <c r="S213" s="405" t="s">
        <v>27091</v>
      </c>
      <c r="T213" s="405" t="s">
        <v>884</v>
      </c>
      <c r="U213" s="405" t="s">
        <v>319</v>
      </c>
    </row>
    <row r="214" spans="1:21" x14ac:dyDescent="0.25">
      <c r="A214" s="405" t="s">
        <v>310</v>
      </c>
      <c r="B214" s="405" t="s">
        <v>18207</v>
      </c>
      <c r="C214" s="405" t="s">
        <v>327</v>
      </c>
      <c r="D214" s="405"/>
      <c r="E214" s="410">
        <v>44901</v>
      </c>
      <c r="F214" s="410">
        <v>44951</v>
      </c>
      <c r="G214" s="405" t="s">
        <v>18208</v>
      </c>
      <c r="H214" s="405" t="s">
        <v>18209</v>
      </c>
      <c r="I214" s="405"/>
      <c r="J214" s="405">
        <v>2.4864600000000001</v>
      </c>
      <c r="K214" s="405">
        <v>34.381386999999997</v>
      </c>
      <c r="L214" s="405" t="s">
        <v>6866</v>
      </c>
      <c r="M214" s="405" t="s">
        <v>16584</v>
      </c>
      <c r="N214" s="405" t="s">
        <v>18210</v>
      </c>
      <c r="O214" s="405" t="s">
        <v>18211</v>
      </c>
      <c r="P214" s="405" t="s">
        <v>18212</v>
      </c>
      <c r="Q214" s="411">
        <v>6</v>
      </c>
      <c r="R214" s="405" t="s">
        <v>7211</v>
      </c>
      <c r="S214" s="405" t="s">
        <v>27091</v>
      </c>
      <c r="T214" s="405" t="s">
        <v>884</v>
      </c>
      <c r="U214" s="405" t="s">
        <v>319</v>
      </c>
    </row>
    <row r="215" spans="1:21" x14ac:dyDescent="0.25">
      <c r="A215" s="405" t="s">
        <v>310</v>
      </c>
      <c r="B215" s="405" t="s">
        <v>18197</v>
      </c>
      <c r="C215" s="405" t="s">
        <v>327</v>
      </c>
      <c r="D215" s="405"/>
      <c r="E215" s="410">
        <v>44900</v>
      </c>
      <c r="F215" s="410">
        <v>44951</v>
      </c>
      <c r="G215" s="405" t="s">
        <v>18198</v>
      </c>
      <c r="H215" s="405" t="s">
        <v>18199</v>
      </c>
      <c r="I215" s="405"/>
      <c r="J215" s="405">
        <v>2.5257670000000001</v>
      </c>
      <c r="K215" s="405">
        <v>34.362141999999999</v>
      </c>
      <c r="L215" s="405" t="s">
        <v>6866</v>
      </c>
      <c r="M215" s="405" t="s">
        <v>16584</v>
      </c>
      <c r="N215" s="405" t="s">
        <v>18200</v>
      </c>
      <c r="O215" s="405" t="s">
        <v>18201</v>
      </c>
      <c r="P215" s="405" t="s">
        <v>18202</v>
      </c>
      <c r="Q215" s="411">
        <v>6</v>
      </c>
      <c r="R215" s="405" t="s">
        <v>7211</v>
      </c>
      <c r="S215" s="405" t="s">
        <v>27091</v>
      </c>
      <c r="T215" s="405" t="s">
        <v>884</v>
      </c>
      <c r="U215" s="405" t="s">
        <v>319</v>
      </c>
    </row>
    <row r="216" spans="1:21" x14ac:dyDescent="0.25">
      <c r="A216" s="405" t="s">
        <v>310</v>
      </c>
      <c r="B216" s="413" t="s">
        <v>18185</v>
      </c>
      <c r="C216" s="413" t="s">
        <v>327</v>
      </c>
      <c r="D216" s="413"/>
      <c r="E216" s="418">
        <v>44899</v>
      </c>
      <c r="F216" s="418">
        <v>44951</v>
      </c>
      <c r="G216" s="413" t="s">
        <v>18186</v>
      </c>
      <c r="H216" s="405" t="s">
        <v>18187</v>
      </c>
      <c r="I216" s="405"/>
      <c r="J216" s="405">
        <v>1.8661220000000001</v>
      </c>
      <c r="K216" s="405">
        <v>34.571807</v>
      </c>
      <c r="L216" s="405" t="s">
        <v>6866</v>
      </c>
      <c r="M216" s="405" t="s">
        <v>11461</v>
      </c>
      <c r="N216" s="405" t="s">
        <v>18188</v>
      </c>
      <c r="O216" s="405" t="s">
        <v>18189</v>
      </c>
      <c r="P216" s="405" t="s">
        <v>18190</v>
      </c>
      <c r="Q216" s="411">
        <v>6</v>
      </c>
      <c r="R216" s="405" t="s">
        <v>7211</v>
      </c>
      <c r="S216" s="405" t="s">
        <v>27091</v>
      </c>
      <c r="T216" s="405" t="s">
        <v>884</v>
      </c>
      <c r="U216" s="405" t="s">
        <v>319</v>
      </c>
    </row>
    <row r="217" spans="1:21" x14ac:dyDescent="0.25">
      <c r="A217" s="405" t="s">
        <v>310</v>
      </c>
      <c r="B217" s="405" t="s">
        <v>18191</v>
      </c>
      <c r="C217" s="405" t="s">
        <v>327</v>
      </c>
      <c r="D217" s="405"/>
      <c r="E217" s="410">
        <v>44899</v>
      </c>
      <c r="F217" s="410">
        <v>44951</v>
      </c>
      <c r="G217" s="405" t="s">
        <v>18192</v>
      </c>
      <c r="H217" s="405" t="s">
        <v>18193</v>
      </c>
      <c r="I217" s="405"/>
      <c r="J217" s="405">
        <v>1.8370120000000001</v>
      </c>
      <c r="K217" s="405">
        <v>34.616135</v>
      </c>
      <c r="L217" s="405" t="s">
        <v>6866</v>
      </c>
      <c r="M217" s="405" t="s">
        <v>11461</v>
      </c>
      <c r="N217" s="405" t="s">
        <v>18194</v>
      </c>
      <c r="O217" s="405" t="s">
        <v>18195</v>
      </c>
      <c r="P217" s="405" t="s">
        <v>18196</v>
      </c>
      <c r="Q217" s="411">
        <v>6</v>
      </c>
      <c r="R217" s="405" t="s">
        <v>7211</v>
      </c>
      <c r="S217" s="405" t="s">
        <v>27091</v>
      </c>
      <c r="T217" s="405" t="s">
        <v>884</v>
      </c>
      <c r="U217" s="405" t="s">
        <v>319</v>
      </c>
    </row>
    <row r="218" spans="1:21" x14ac:dyDescent="0.25">
      <c r="A218" s="405" t="s">
        <v>310</v>
      </c>
      <c r="B218" s="413" t="s">
        <v>18175</v>
      </c>
      <c r="C218" s="413" t="s">
        <v>327</v>
      </c>
      <c r="D218" s="413"/>
      <c r="E218" s="418">
        <v>44898</v>
      </c>
      <c r="F218" s="418">
        <v>44951</v>
      </c>
      <c r="G218" s="413" t="s">
        <v>18176</v>
      </c>
      <c r="H218" s="405" t="s">
        <v>18177</v>
      </c>
      <c r="I218" s="405"/>
      <c r="J218" s="405">
        <v>1.8858969999999999</v>
      </c>
      <c r="K218" s="405">
        <v>34.615817999999997</v>
      </c>
      <c r="L218" s="405" t="s">
        <v>6866</v>
      </c>
      <c r="M218" s="405" t="s">
        <v>11461</v>
      </c>
      <c r="N218" s="405" t="s">
        <v>18178</v>
      </c>
      <c r="O218" s="405" t="s">
        <v>18179</v>
      </c>
      <c r="P218" s="405" t="s">
        <v>18180</v>
      </c>
      <c r="Q218" s="411">
        <v>6</v>
      </c>
      <c r="R218" s="405" t="s">
        <v>7211</v>
      </c>
      <c r="S218" s="405" t="s">
        <v>27091</v>
      </c>
      <c r="T218" s="405" t="s">
        <v>884</v>
      </c>
      <c r="U218" s="405" t="s">
        <v>319</v>
      </c>
    </row>
    <row r="219" spans="1:21" x14ac:dyDescent="0.25">
      <c r="A219" s="405" t="s">
        <v>310</v>
      </c>
      <c r="B219" s="405" t="s">
        <v>18181</v>
      </c>
      <c r="C219" s="405" t="s">
        <v>327</v>
      </c>
      <c r="D219" s="405"/>
      <c r="E219" s="410">
        <v>44898</v>
      </c>
      <c r="F219" s="410">
        <v>44951</v>
      </c>
      <c r="G219" s="405" t="s">
        <v>18182</v>
      </c>
      <c r="H219" s="405" t="s">
        <v>18183</v>
      </c>
      <c r="I219" s="405"/>
      <c r="J219" s="405">
        <v>1.883507</v>
      </c>
      <c r="K219" s="405">
        <v>34.612268</v>
      </c>
      <c r="L219" s="405" t="s">
        <v>6866</v>
      </c>
      <c r="M219" s="405" t="s">
        <v>11461</v>
      </c>
      <c r="N219" s="405" t="s">
        <v>18184</v>
      </c>
      <c r="O219" s="405" t="s">
        <v>18179</v>
      </c>
      <c r="P219" s="405" t="s">
        <v>18180</v>
      </c>
      <c r="Q219" s="411">
        <v>6</v>
      </c>
      <c r="R219" s="405" t="s">
        <v>7211</v>
      </c>
      <c r="S219" s="405" t="s">
        <v>27091</v>
      </c>
      <c r="T219" s="405" t="s">
        <v>884</v>
      </c>
      <c r="U219" s="405" t="s">
        <v>319</v>
      </c>
    </row>
    <row r="220" spans="1:21" x14ac:dyDescent="0.25">
      <c r="A220" s="405" t="s">
        <v>310</v>
      </c>
      <c r="B220" s="405" t="s">
        <v>19601</v>
      </c>
      <c r="C220" s="405" t="s">
        <v>327</v>
      </c>
      <c r="D220" s="405"/>
      <c r="E220" s="410">
        <v>44897</v>
      </c>
      <c r="F220" s="410">
        <v>44952</v>
      </c>
      <c r="G220" s="405" t="s">
        <v>19602</v>
      </c>
      <c r="H220" s="405" t="s">
        <v>19603</v>
      </c>
      <c r="I220" s="405"/>
      <c r="J220" s="405">
        <v>0.24989700000000001</v>
      </c>
      <c r="K220" s="405">
        <v>32.557606999999997</v>
      </c>
      <c r="L220" s="405" t="s">
        <v>860</v>
      </c>
      <c r="M220" s="405" t="s">
        <v>18623</v>
      </c>
      <c r="N220" s="405" t="s">
        <v>19604</v>
      </c>
      <c r="O220" s="405" t="s">
        <v>19605</v>
      </c>
      <c r="P220" s="405" t="s">
        <v>19606</v>
      </c>
      <c r="Q220" s="411">
        <v>6</v>
      </c>
      <c r="R220" s="405" t="s">
        <v>7211</v>
      </c>
      <c r="S220" s="405" t="s">
        <v>27094</v>
      </c>
      <c r="T220" s="405" t="s">
        <v>884</v>
      </c>
      <c r="U220" s="405" t="s">
        <v>319</v>
      </c>
    </row>
    <row r="221" spans="1:21" x14ac:dyDescent="0.25">
      <c r="A221" s="405" t="s">
        <v>310</v>
      </c>
      <c r="B221" s="405" t="s">
        <v>18170</v>
      </c>
      <c r="C221" s="405" t="s">
        <v>327</v>
      </c>
      <c r="D221" s="405"/>
      <c r="E221" s="410">
        <v>44897</v>
      </c>
      <c r="F221" s="410">
        <v>44950</v>
      </c>
      <c r="G221" s="405" t="s">
        <v>18171</v>
      </c>
      <c r="H221" s="405" t="s">
        <v>18172</v>
      </c>
      <c r="I221" s="405"/>
      <c r="J221" s="405">
        <v>2.5262370000000001</v>
      </c>
      <c r="K221" s="405">
        <v>34.639453000000003</v>
      </c>
      <c r="L221" s="405" t="s">
        <v>6866</v>
      </c>
      <c r="M221" s="405" t="s">
        <v>16319</v>
      </c>
      <c r="N221" s="405" t="s">
        <v>18173</v>
      </c>
      <c r="O221" s="405" t="s">
        <v>18174</v>
      </c>
      <c r="P221" s="405" t="s">
        <v>18174</v>
      </c>
      <c r="Q221" s="411">
        <v>6</v>
      </c>
      <c r="R221" s="405" t="s">
        <v>7211</v>
      </c>
      <c r="S221" s="405" t="s">
        <v>27090</v>
      </c>
      <c r="T221" s="405" t="s">
        <v>884</v>
      </c>
      <c r="U221" s="405" t="s">
        <v>319</v>
      </c>
    </row>
    <row r="222" spans="1:21" x14ac:dyDescent="0.25">
      <c r="A222" s="405" t="s">
        <v>310</v>
      </c>
      <c r="B222" s="405" t="s">
        <v>18152</v>
      </c>
      <c r="C222" s="405" t="s">
        <v>327</v>
      </c>
      <c r="D222" s="405"/>
      <c r="E222" s="410">
        <v>44896</v>
      </c>
      <c r="F222" s="410">
        <v>44929</v>
      </c>
      <c r="G222" s="405" t="s">
        <v>18153</v>
      </c>
      <c r="H222" s="405" t="s">
        <v>18154</v>
      </c>
      <c r="I222" s="405"/>
      <c r="J222" s="405">
        <v>0.62905</v>
      </c>
      <c r="K222" s="405">
        <v>33.442501999999998</v>
      </c>
      <c r="L222" s="405" t="s">
        <v>6866</v>
      </c>
      <c r="M222" s="405" t="s">
        <v>10853</v>
      </c>
      <c r="N222" s="405" t="s">
        <v>4802</v>
      </c>
      <c r="O222" s="405" t="s">
        <v>12832</v>
      </c>
      <c r="P222" s="405" t="s">
        <v>18155</v>
      </c>
      <c r="Q222" s="411">
        <v>13</v>
      </c>
      <c r="R222" s="405" t="s">
        <v>32164</v>
      </c>
      <c r="S222" s="405" t="s">
        <v>27054</v>
      </c>
      <c r="T222" s="405" t="s">
        <v>884</v>
      </c>
      <c r="U222" s="405" t="s">
        <v>319</v>
      </c>
    </row>
    <row r="223" spans="1:21" x14ac:dyDescent="0.25">
      <c r="A223" s="405" t="s">
        <v>310</v>
      </c>
      <c r="B223" s="413" t="s">
        <v>18156</v>
      </c>
      <c r="C223" s="413" t="s">
        <v>327</v>
      </c>
      <c r="D223" s="413"/>
      <c r="E223" s="418">
        <v>44896</v>
      </c>
      <c r="F223" s="418">
        <v>44950</v>
      </c>
      <c r="G223" s="413" t="s">
        <v>18157</v>
      </c>
      <c r="H223" s="405" t="s">
        <v>18158</v>
      </c>
      <c r="I223" s="405"/>
      <c r="J223" s="405">
        <v>2.5290020000000002</v>
      </c>
      <c r="K223" s="405">
        <v>34.671553000000003</v>
      </c>
      <c r="L223" s="405" t="s">
        <v>6866</v>
      </c>
      <c r="M223" s="405" t="s">
        <v>16319</v>
      </c>
      <c r="N223" s="405" t="s">
        <v>18159</v>
      </c>
      <c r="O223" s="405" t="s">
        <v>18160</v>
      </c>
      <c r="P223" s="405" t="s">
        <v>18161</v>
      </c>
      <c r="Q223" s="411">
        <v>6</v>
      </c>
      <c r="R223" s="405" t="s">
        <v>7211</v>
      </c>
      <c r="S223" s="405" t="s">
        <v>27089</v>
      </c>
      <c r="T223" s="405" t="s">
        <v>884</v>
      </c>
      <c r="U223" s="405" t="s">
        <v>319</v>
      </c>
    </row>
    <row r="224" spans="1:21" x14ac:dyDescent="0.25">
      <c r="A224" s="405" t="s">
        <v>310</v>
      </c>
      <c r="B224" s="405" t="s">
        <v>18162</v>
      </c>
      <c r="C224" s="405" t="s">
        <v>327</v>
      </c>
      <c r="D224" s="405"/>
      <c r="E224" s="410">
        <v>44896</v>
      </c>
      <c r="F224" s="410">
        <v>44950</v>
      </c>
      <c r="G224" s="405" t="s">
        <v>18163</v>
      </c>
      <c r="H224" s="405" t="s">
        <v>18164</v>
      </c>
      <c r="I224" s="405"/>
      <c r="J224" s="405">
        <v>2.5276770000000002</v>
      </c>
      <c r="K224" s="405">
        <v>34.671475000000001</v>
      </c>
      <c r="L224" s="405" t="s">
        <v>6866</v>
      </c>
      <c r="M224" s="405" t="s">
        <v>16319</v>
      </c>
      <c r="N224" s="405" t="s">
        <v>18159</v>
      </c>
      <c r="O224" s="405" t="s">
        <v>18165</v>
      </c>
      <c r="P224" s="405" t="s">
        <v>18161</v>
      </c>
      <c r="Q224" s="411">
        <v>6</v>
      </c>
      <c r="R224" s="405" t="s">
        <v>7211</v>
      </c>
      <c r="S224" s="405" t="s">
        <v>27089</v>
      </c>
      <c r="T224" s="405" t="s">
        <v>884</v>
      </c>
      <c r="U224" s="405" t="s">
        <v>319</v>
      </c>
    </row>
    <row r="225" spans="1:21" x14ac:dyDescent="0.25">
      <c r="A225" s="405" t="s">
        <v>310</v>
      </c>
      <c r="B225" s="405" t="s">
        <v>18166</v>
      </c>
      <c r="C225" s="405" t="s">
        <v>327</v>
      </c>
      <c r="D225" s="405"/>
      <c r="E225" s="410">
        <v>44896</v>
      </c>
      <c r="F225" s="410">
        <v>44950</v>
      </c>
      <c r="G225" s="405" t="s">
        <v>18167</v>
      </c>
      <c r="H225" s="405" t="s">
        <v>18168</v>
      </c>
      <c r="I225" s="405"/>
      <c r="J225" s="405">
        <v>2.5307219999999999</v>
      </c>
      <c r="K225" s="405">
        <v>34.679127000000001</v>
      </c>
      <c r="L225" s="405" t="s">
        <v>6866</v>
      </c>
      <c r="M225" s="405" t="s">
        <v>16319</v>
      </c>
      <c r="N225" s="405" t="s">
        <v>18159</v>
      </c>
      <c r="O225" s="405" t="s">
        <v>18160</v>
      </c>
      <c r="P225" s="405" t="s">
        <v>18169</v>
      </c>
      <c r="Q225" s="411">
        <v>6</v>
      </c>
      <c r="R225" s="405" t="s">
        <v>7211</v>
      </c>
      <c r="S225" s="405" t="s">
        <v>27089</v>
      </c>
      <c r="T225" s="405" t="s">
        <v>884</v>
      </c>
      <c r="U225" s="405" t="s">
        <v>319</v>
      </c>
    </row>
    <row r="226" spans="1:21" x14ac:dyDescent="0.25">
      <c r="A226" s="405" t="s">
        <v>310</v>
      </c>
      <c r="B226" s="405" t="s">
        <v>18071</v>
      </c>
      <c r="C226" s="405" t="s">
        <v>327</v>
      </c>
      <c r="D226" s="405"/>
      <c r="E226" s="410">
        <v>44892</v>
      </c>
      <c r="F226" s="410">
        <v>44915</v>
      </c>
      <c r="G226" s="405" t="s">
        <v>18072</v>
      </c>
      <c r="H226" s="405" t="s">
        <v>18073</v>
      </c>
      <c r="I226" s="405"/>
      <c r="J226" s="405">
        <v>1.1580779999999999</v>
      </c>
      <c r="K226" s="405">
        <v>34.294375000000002</v>
      </c>
      <c r="L226" s="405" t="s">
        <v>6866</v>
      </c>
      <c r="M226" s="405" t="s">
        <v>9575</v>
      </c>
      <c r="N226" s="405" t="s">
        <v>9576</v>
      </c>
      <c r="O226" s="405" t="s">
        <v>18074</v>
      </c>
      <c r="P226" s="405" t="s">
        <v>8228</v>
      </c>
      <c r="Q226" s="411">
        <v>6</v>
      </c>
      <c r="R226" s="405" t="s">
        <v>17977</v>
      </c>
      <c r="S226" s="405" t="s">
        <v>27078</v>
      </c>
      <c r="T226" s="405" t="s">
        <v>884</v>
      </c>
      <c r="U226" s="405" t="s">
        <v>319</v>
      </c>
    </row>
    <row r="227" spans="1:21" x14ac:dyDescent="0.25">
      <c r="A227" s="405" t="s">
        <v>310</v>
      </c>
      <c r="B227" s="405" t="s">
        <v>18112</v>
      </c>
      <c r="C227" s="405" t="s">
        <v>327</v>
      </c>
      <c r="D227" s="405"/>
      <c r="E227" s="410">
        <v>44891</v>
      </c>
      <c r="F227" s="410">
        <v>44913</v>
      </c>
      <c r="G227" s="405" t="s">
        <v>18113</v>
      </c>
      <c r="H227" s="405" t="s">
        <v>18114</v>
      </c>
      <c r="I227" s="405"/>
      <c r="J227" s="405">
        <v>1.133035</v>
      </c>
      <c r="K227" s="405">
        <v>34.350853000000001</v>
      </c>
      <c r="L227" s="405" t="s">
        <v>6866</v>
      </c>
      <c r="M227" s="405" t="s">
        <v>9575</v>
      </c>
      <c r="N227" s="405" t="s">
        <v>9576</v>
      </c>
      <c r="O227" s="405" t="s">
        <v>18038</v>
      </c>
      <c r="P227" s="405" t="s">
        <v>18115</v>
      </c>
      <c r="Q227" s="411">
        <v>4</v>
      </c>
      <c r="R227" s="405" t="s">
        <v>17977</v>
      </c>
      <c r="S227" s="405" t="s">
        <v>27072</v>
      </c>
      <c r="T227" s="405" t="s">
        <v>884</v>
      </c>
      <c r="U227" s="405" t="s">
        <v>319</v>
      </c>
    </row>
    <row r="228" spans="1:21" x14ac:dyDescent="0.25">
      <c r="A228" s="405" t="s">
        <v>310</v>
      </c>
      <c r="B228" s="405" t="s">
        <v>26915</v>
      </c>
      <c r="C228" s="405" t="s">
        <v>327</v>
      </c>
      <c r="D228" s="405"/>
      <c r="E228" s="410">
        <v>44890</v>
      </c>
      <c r="F228" s="410">
        <v>44919</v>
      </c>
      <c r="G228" s="405" t="s">
        <v>26916</v>
      </c>
      <c r="H228" s="405" t="s">
        <v>26917</v>
      </c>
      <c r="I228" s="405"/>
      <c r="J228" s="405">
        <v>-0.16148999999999999</v>
      </c>
      <c r="K228" s="405">
        <v>30.497917999999999</v>
      </c>
      <c r="L228" s="405" t="s">
        <v>590</v>
      </c>
      <c r="M228" s="405" t="s">
        <v>870</v>
      </c>
      <c r="N228" s="405" t="s">
        <v>19756</v>
      </c>
      <c r="O228" s="405" t="s">
        <v>1791</v>
      </c>
      <c r="P228" s="405" t="s">
        <v>26918</v>
      </c>
      <c r="Q228" s="411">
        <v>9</v>
      </c>
      <c r="R228" s="405" t="s">
        <v>874</v>
      </c>
      <c r="S228" s="405" t="s">
        <v>27104</v>
      </c>
      <c r="T228" s="405" t="s">
        <v>884</v>
      </c>
      <c r="U228" s="405" t="s">
        <v>319</v>
      </c>
    </row>
    <row r="229" spans="1:21" x14ac:dyDescent="0.25">
      <c r="A229" s="405" t="s">
        <v>310</v>
      </c>
      <c r="B229" s="405" t="s">
        <v>26939</v>
      </c>
      <c r="C229" s="405" t="s">
        <v>327</v>
      </c>
      <c r="D229" s="405"/>
      <c r="E229" s="410">
        <v>44885</v>
      </c>
      <c r="F229" s="410">
        <v>44957</v>
      </c>
      <c r="G229" s="405" t="s">
        <v>26940</v>
      </c>
      <c r="H229" s="405" t="s">
        <v>26941</v>
      </c>
      <c r="I229" s="405"/>
      <c r="J229" s="405">
        <v>-4.5370000000000001E-2</v>
      </c>
      <c r="K229" s="405">
        <v>29.834873000000002</v>
      </c>
      <c r="L229" s="405" t="s">
        <v>590</v>
      </c>
      <c r="M229" s="405" t="s">
        <v>21087</v>
      </c>
      <c r="N229" s="405" t="s">
        <v>26942</v>
      </c>
      <c r="O229" s="405" t="s">
        <v>25156</v>
      </c>
      <c r="P229" s="405" t="s">
        <v>26943</v>
      </c>
      <c r="Q229" s="411">
        <v>9</v>
      </c>
      <c r="R229" s="405" t="s">
        <v>32166</v>
      </c>
      <c r="S229" s="405" t="s">
        <v>27102</v>
      </c>
      <c r="T229" s="405" t="s">
        <v>884</v>
      </c>
      <c r="U229" s="405" t="s">
        <v>319</v>
      </c>
    </row>
    <row r="230" spans="1:21" x14ac:dyDescent="0.25">
      <c r="A230" s="405" t="s">
        <v>310</v>
      </c>
      <c r="B230" s="405" t="s">
        <v>18227</v>
      </c>
      <c r="C230" s="405" t="s">
        <v>327</v>
      </c>
      <c r="D230" s="405"/>
      <c r="E230" s="410">
        <v>44885</v>
      </c>
      <c r="F230" s="410">
        <v>44939</v>
      </c>
      <c r="G230" s="405" t="s">
        <v>18228</v>
      </c>
      <c r="H230" s="405" t="s">
        <v>18229</v>
      </c>
      <c r="I230" s="405"/>
      <c r="J230" s="405">
        <v>1.126822</v>
      </c>
      <c r="K230" s="405">
        <v>34.351373000000002</v>
      </c>
      <c r="L230" s="405" t="s">
        <v>6866</v>
      </c>
      <c r="M230" s="405" t="s">
        <v>9575</v>
      </c>
      <c r="N230" s="405" t="s">
        <v>9576</v>
      </c>
      <c r="O230" s="405" t="s">
        <v>9576</v>
      </c>
      <c r="P230" s="405" t="s">
        <v>18102</v>
      </c>
      <c r="Q230" s="411">
        <v>4</v>
      </c>
      <c r="R230" s="405" t="s">
        <v>17977</v>
      </c>
      <c r="S230" s="405" t="s">
        <v>27082</v>
      </c>
      <c r="T230" s="405" t="s">
        <v>884</v>
      </c>
      <c r="U230" s="405" t="s">
        <v>319</v>
      </c>
    </row>
    <row r="231" spans="1:21" x14ac:dyDescent="0.25">
      <c r="A231" s="405" t="s">
        <v>310</v>
      </c>
      <c r="B231" s="405" t="s">
        <v>18055</v>
      </c>
      <c r="C231" s="405" t="s">
        <v>327</v>
      </c>
      <c r="D231" s="405"/>
      <c r="E231" s="410">
        <v>44883</v>
      </c>
      <c r="F231" s="410">
        <v>44914</v>
      </c>
      <c r="G231" s="405" t="s">
        <v>18056</v>
      </c>
      <c r="H231" s="405" t="s">
        <v>18057</v>
      </c>
      <c r="I231" s="405"/>
      <c r="J231" s="405">
        <v>1.129912</v>
      </c>
      <c r="K231" s="405">
        <v>34.296652000000002</v>
      </c>
      <c r="L231" s="405" t="s">
        <v>6866</v>
      </c>
      <c r="M231" s="405" t="s">
        <v>9575</v>
      </c>
      <c r="N231" s="405" t="s">
        <v>9576</v>
      </c>
      <c r="O231" s="405" t="s">
        <v>9576</v>
      </c>
      <c r="P231" s="405" t="s">
        <v>18058</v>
      </c>
      <c r="Q231" s="411">
        <v>6</v>
      </c>
      <c r="R231" s="405" t="s">
        <v>17977</v>
      </c>
      <c r="S231" s="405" t="s">
        <v>27081</v>
      </c>
      <c r="T231" s="405" t="s">
        <v>884</v>
      </c>
      <c r="U231" s="405" t="s">
        <v>319</v>
      </c>
    </row>
    <row r="232" spans="1:21" x14ac:dyDescent="0.25">
      <c r="A232" s="405" t="s">
        <v>310</v>
      </c>
      <c r="B232" s="405" t="s">
        <v>18128</v>
      </c>
      <c r="C232" s="405" t="s">
        <v>327</v>
      </c>
      <c r="D232" s="405"/>
      <c r="E232" s="410">
        <v>44883</v>
      </c>
      <c r="F232" s="410">
        <v>44913</v>
      </c>
      <c r="G232" s="405" t="s">
        <v>18129</v>
      </c>
      <c r="H232" s="405" t="s">
        <v>18130</v>
      </c>
      <c r="I232" s="405"/>
      <c r="J232" s="405">
        <v>1.1428830000000001</v>
      </c>
      <c r="K232" s="405">
        <v>34.335867</v>
      </c>
      <c r="L232" s="405" t="s">
        <v>6866</v>
      </c>
      <c r="M232" s="405" t="s">
        <v>9575</v>
      </c>
      <c r="N232" s="405" t="s">
        <v>9576</v>
      </c>
      <c r="O232" s="405" t="s">
        <v>17974</v>
      </c>
      <c r="P232" s="405" t="s">
        <v>18131</v>
      </c>
      <c r="Q232" s="411">
        <v>4</v>
      </c>
      <c r="R232" s="405" t="s">
        <v>17977</v>
      </c>
      <c r="S232" s="405" t="s">
        <v>27078</v>
      </c>
      <c r="T232" s="405" t="s">
        <v>884</v>
      </c>
      <c r="U232" s="405" t="s">
        <v>319</v>
      </c>
    </row>
    <row r="233" spans="1:21" x14ac:dyDescent="0.25">
      <c r="A233" s="405" t="s">
        <v>310</v>
      </c>
      <c r="B233" s="405" t="s">
        <v>26951</v>
      </c>
      <c r="C233" s="405" t="s">
        <v>327</v>
      </c>
      <c r="D233" s="405"/>
      <c r="E233" s="410">
        <v>44882</v>
      </c>
      <c r="F233" s="410">
        <v>44941</v>
      </c>
      <c r="G233" s="405" t="s">
        <v>26952</v>
      </c>
      <c r="H233" s="405" t="s">
        <v>26953</v>
      </c>
      <c r="I233" s="405"/>
      <c r="J233" s="405">
        <v>7.7342999999999995E-2</v>
      </c>
      <c r="K233" s="405">
        <v>31.020795</v>
      </c>
      <c r="L233" s="405" t="s">
        <v>590</v>
      </c>
      <c r="M233" s="405" t="s">
        <v>2250</v>
      </c>
      <c r="N233" s="405" t="s">
        <v>7810</v>
      </c>
      <c r="O233" s="405" t="s">
        <v>26954</v>
      </c>
      <c r="P233" s="405" t="s">
        <v>26955</v>
      </c>
      <c r="Q233" s="411">
        <v>9</v>
      </c>
      <c r="R233" s="405" t="s">
        <v>874</v>
      </c>
      <c r="S233" s="405" t="s">
        <v>27035</v>
      </c>
      <c r="T233" s="405" t="s">
        <v>884</v>
      </c>
      <c r="U233" s="405" t="s">
        <v>319</v>
      </c>
    </row>
    <row r="234" spans="1:21" x14ac:dyDescent="0.25">
      <c r="A234" s="405" t="s">
        <v>310</v>
      </c>
      <c r="B234" s="405" t="s">
        <v>18075</v>
      </c>
      <c r="C234" s="405" t="s">
        <v>327</v>
      </c>
      <c r="D234" s="405"/>
      <c r="E234" s="410">
        <v>44882</v>
      </c>
      <c r="F234" s="410">
        <v>44905</v>
      </c>
      <c r="G234" s="405" t="s">
        <v>18076</v>
      </c>
      <c r="H234" s="405" t="s">
        <v>18077</v>
      </c>
      <c r="I234" s="405"/>
      <c r="J234" s="405">
        <v>1.139643</v>
      </c>
      <c r="K234" s="405">
        <v>34.284002000000001</v>
      </c>
      <c r="L234" s="405" t="s">
        <v>6866</v>
      </c>
      <c r="M234" s="405" t="s">
        <v>9575</v>
      </c>
      <c r="N234" s="405" t="s">
        <v>9576</v>
      </c>
      <c r="O234" s="405" t="s">
        <v>18078</v>
      </c>
      <c r="P234" s="405" t="s">
        <v>18079</v>
      </c>
      <c r="Q234" s="411">
        <v>6</v>
      </c>
      <c r="R234" s="405" t="s">
        <v>17977</v>
      </c>
      <c r="S234" s="405" t="s">
        <v>27075</v>
      </c>
      <c r="T234" s="405" t="s">
        <v>884</v>
      </c>
      <c r="U234" s="405" t="s">
        <v>319</v>
      </c>
    </row>
    <row r="235" spans="1:21" x14ac:dyDescent="0.25">
      <c r="A235" s="405" t="s">
        <v>310</v>
      </c>
      <c r="B235" s="405" t="s">
        <v>26844</v>
      </c>
      <c r="C235" s="405" t="s">
        <v>327</v>
      </c>
      <c r="D235" s="405"/>
      <c r="E235" s="410">
        <v>44881</v>
      </c>
      <c r="F235" s="410">
        <v>44893</v>
      </c>
      <c r="G235" s="405" t="s">
        <v>26845</v>
      </c>
      <c r="H235" s="405" t="s">
        <v>26846</v>
      </c>
      <c r="I235" s="405"/>
      <c r="J235" s="405">
        <v>-4.9946999999999998E-2</v>
      </c>
      <c r="K235" s="405">
        <v>31.425606999999999</v>
      </c>
      <c r="L235" s="405" t="s">
        <v>590</v>
      </c>
      <c r="M235" s="405" t="s">
        <v>343</v>
      </c>
      <c r="N235" s="405" t="s">
        <v>6527</v>
      </c>
      <c r="O235" s="405" t="s">
        <v>26847</v>
      </c>
      <c r="P235" s="405" t="s">
        <v>26848</v>
      </c>
      <c r="Q235" s="411">
        <v>6</v>
      </c>
      <c r="R235" s="405" t="s">
        <v>7211</v>
      </c>
      <c r="S235" s="405" t="s">
        <v>27101</v>
      </c>
      <c r="T235" s="405" t="s">
        <v>884</v>
      </c>
      <c r="U235" s="405" t="s">
        <v>319</v>
      </c>
    </row>
    <row r="236" spans="1:21" x14ac:dyDescent="0.25">
      <c r="A236" s="405" t="s">
        <v>310</v>
      </c>
      <c r="B236" s="405" t="s">
        <v>18084</v>
      </c>
      <c r="C236" s="405" t="s">
        <v>327</v>
      </c>
      <c r="D236" s="405"/>
      <c r="E236" s="410">
        <v>44881</v>
      </c>
      <c r="F236" s="410">
        <v>44915</v>
      </c>
      <c r="G236" s="405" t="s">
        <v>18085</v>
      </c>
      <c r="H236" s="405" t="s">
        <v>18086</v>
      </c>
      <c r="I236" s="405"/>
      <c r="J236" s="405">
        <v>1.132792</v>
      </c>
      <c r="K236" s="405">
        <v>34.350307000000001</v>
      </c>
      <c r="L236" s="405" t="s">
        <v>6866</v>
      </c>
      <c r="M236" s="405" t="s">
        <v>9575</v>
      </c>
      <c r="N236" s="405" t="s">
        <v>9576</v>
      </c>
      <c r="O236" s="405" t="s">
        <v>17992</v>
      </c>
      <c r="P236" s="405" t="s">
        <v>18087</v>
      </c>
      <c r="Q236" s="411">
        <v>4</v>
      </c>
      <c r="R236" s="405" t="s">
        <v>17977</v>
      </c>
      <c r="S236" s="405" t="s">
        <v>27082</v>
      </c>
      <c r="T236" s="405" t="s">
        <v>884</v>
      </c>
      <c r="U236" s="405" t="s">
        <v>319</v>
      </c>
    </row>
    <row r="237" spans="1:21" x14ac:dyDescent="0.25">
      <c r="A237" s="405" t="s">
        <v>310</v>
      </c>
      <c r="B237" s="405" t="s">
        <v>26921</v>
      </c>
      <c r="C237" s="405" t="s">
        <v>311</v>
      </c>
      <c r="D237" s="405" t="s">
        <v>32997</v>
      </c>
      <c r="E237" s="410">
        <v>44880</v>
      </c>
      <c r="F237" s="410">
        <v>44898</v>
      </c>
      <c r="G237" s="405" t="s">
        <v>26922</v>
      </c>
      <c r="H237" s="405" t="s">
        <v>26923</v>
      </c>
      <c r="I237" s="405"/>
      <c r="J237" s="405">
        <v>-0.13413800000000001</v>
      </c>
      <c r="K237" s="405">
        <v>31.537483000000002</v>
      </c>
      <c r="L237" s="405" t="s">
        <v>590</v>
      </c>
      <c r="M237" s="405" t="s">
        <v>343</v>
      </c>
      <c r="N237" s="405" t="s">
        <v>6527</v>
      </c>
      <c r="O237" s="405" t="s">
        <v>26848</v>
      </c>
      <c r="P237" s="405" t="s">
        <v>26847</v>
      </c>
      <c r="Q237" s="411">
        <v>6</v>
      </c>
      <c r="R237" s="405" t="s">
        <v>7211</v>
      </c>
      <c r="S237" s="405" t="s">
        <v>27101</v>
      </c>
      <c r="T237" s="405" t="s">
        <v>884</v>
      </c>
      <c r="U237" s="405" t="s">
        <v>319</v>
      </c>
    </row>
    <row r="238" spans="1:21" x14ac:dyDescent="0.25">
      <c r="A238" s="405" t="s">
        <v>310</v>
      </c>
      <c r="B238" s="405" t="s">
        <v>26865</v>
      </c>
      <c r="C238" s="405" t="s">
        <v>327</v>
      </c>
      <c r="D238" s="405"/>
      <c r="E238" s="410">
        <v>44880</v>
      </c>
      <c r="F238" s="410">
        <v>44895</v>
      </c>
      <c r="G238" s="405" t="s">
        <v>26866</v>
      </c>
      <c r="H238" s="405" t="s">
        <v>26867</v>
      </c>
      <c r="I238" s="405"/>
      <c r="J238" s="405">
        <v>0.42000300000000002</v>
      </c>
      <c r="K238" s="405">
        <v>30.250904999999999</v>
      </c>
      <c r="L238" s="405" t="s">
        <v>590</v>
      </c>
      <c r="M238" s="405" t="s">
        <v>24733</v>
      </c>
      <c r="N238" s="405" t="s">
        <v>24733</v>
      </c>
      <c r="O238" s="405" t="s">
        <v>20868</v>
      </c>
      <c r="P238" s="405" t="s">
        <v>26868</v>
      </c>
      <c r="Q238" s="411">
        <v>6</v>
      </c>
      <c r="R238" s="405" t="s">
        <v>9408</v>
      </c>
      <c r="S238" s="405" t="s">
        <v>27042</v>
      </c>
      <c r="T238" s="405" t="s">
        <v>884</v>
      </c>
      <c r="U238" s="405" t="s">
        <v>319</v>
      </c>
    </row>
    <row r="239" spans="1:21" x14ac:dyDescent="0.25">
      <c r="A239" s="405" t="s">
        <v>310</v>
      </c>
      <c r="B239" s="405" t="s">
        <v>18008</v>
      </c>
      <c r="C239" s="405" t="s">
        <v>327</v>
      </c>
      <c r="D239" s="405"/>
      <c r="E239" s="410">
        <v>44879</v>
      </c>
      <c r="F239" s="410">
        <v>44895</v>
      </c>
      <c r="G239" s="405" t="s">
        <v>18009</v>
      </c>
      <c r="H239" s="405" t="s">
        <v>18010</v>
      </c>
      <c r="I239" s="405"/>
      <c r="J239" s="405">
        <v>1.025285</v>
      </c>
      <c r="K239" s="405">
        <v>32.969166999999999</v>
      </c>
      <c r="L239" s="405" t="s">
        <v>6866</v>
      </c>
      <c r="M239" s="405" t="s">
        <v>3009</v>
      </c>
      <c r="N239" s="405" t="s">
        <v>11632</v>
      </c>
      <c r="O239" s="405" t="s">
        <v>10403</v>
      </c>
      <c r="P239" s="405" t="s">
        <v>18011</v>
      </c>
      <c r="Q239" s="411">
        <v>9</v>
      </c>
      <c r="R239" s="405" t="s">
        <v>32164</v>
      </c>
      <c r="S239" s="405" t="s">
        <v>27054</v>
      </c>
      <c r="T239" s="405" t="s">
        <v>884</v>
      </c>
      <c r="U239" s="405" t="s">
        <v>319</v>
      </c>
    </row>
    <row r="240" spans="1:21" x14ac:dyDescent="0.25">
      <c r="A240" s="405" t="s">
        <v>310</v>
      </c>
      <c r="B240" s="405" t="s">
        <v>18222</v>
      </c>
      <c r="C240" s="405" t="s">
        <v>327</v>
      </c>
      <c r="D240" s="405"/>
      <c r="E240" s="410">
        <v>44879</v>
      </c>
      <c r="F240" s="410">
        <v>44939</v>
      </c>
      <c r="G240" s="405" t="s">
        <v>18223</v>
      </c>
      <c r="H240" s="405" t="s">
        <v>18224</v>
      </c>
      <c r="I240" s="405"/>
      <c r="J240" s="405">
        <v>1.212018</v>
      </c>
      <c r="K240" s="405">
        <v>34.304144999999998</v>
      </c>
      <c r="L240" s="405" t="s">
        <v>6866</v>
      </c>
      <c r="M240" s="405" t="s">
        <v>9575</v>
      </c>
      <c r="N240" s="405" t="s">
        <v>9576</v>
      </c>
      <c r="O240" s="405" t="s">
        <v>18225</v>
      </c>
      <c r="P240" s="405" t="s">
        <v>18226</v>
      </c>
      <c r="Q240" s="411">
        <v>4</v>
      </c>
      <c r="R240" s="405" t="s">
        <v>17977</v>
      </c>
      <c r="S240" s="405" t="s">
        <v>27092</v>
      </c>
      <c r="T240" s="405" t="s">
        <v>32102</v>
      </c>
      <c r="U240" s="405" t="s">
        <v>319</v>
      </c>
    </row>
    <row r="241" spans="1:21" x14ac:dyDescent="0.25">
      <c r="A241" s="405" t="s">
        <v>310</v>
      </c>
      <c r="B241" s="405" t="s">
        <v>18092</v>
      </c>
      <c r="C241" s="405" t="s">
        <v>327</v>
      </c>
      <c r="D241" s="405"/>
      <c r="E241" s="410">
        <v>44879</v>
      </c>
      <c r="F241" s="410">
        <v>44913</v>
      </c>
      <c r="G241" s="405" t="s">
        <v>18093</v>
      </c>
      <c r="H241" s="405" t="s">
        <v>18094</v>
      </c>
      <c r="I241" s="405"/>
      <c r="J241" s="405">
        <v>1.1974849999999999</v>
      </c>
      <c r="K241" s="405">
        <v>34.325052999999997</v>
      </c>
      <c r="L241" s="405" t="s">
        <v>6866</v>
      </c>
      <c r="M241" s="405" t="s">
        <v>9575</v>
      </c>
      <c r="N241" s="405" t="s">
        <v>9576</v>
      </c>
      <c r="O241" s="405" t="s">
        <v>10224</v>
      </c>
      <c r="P241" s="405" t="s">
        <v>10285</v>
      </c>
      <c r="Q241" s="411">
        <v>4</v>
      </c>
      <c r="R241" s="405" t="s">
        <v>17977</v>
      </c>
      <c r="S241" s="405" t="s">
        <v>27084</v>
      </c>
      <c r="T241" s="405" t="s">
        <v>884</v>
      </c>
      <c r="U241" s="405" t="s">
        <v>319</v>
      </c>
    </row>
    <row r="242" spans="1:21" x14ac:dyDescent="0.25">
      <c r="A242" s="405" t="s">
        <v>310</v>
      </c>
      <c r="B242" s="405" t="s">
        <v>9467</v>
      </c>
      <c r="C242" s="405" t="s">
        <v>327</v>
      </c>
      <c r="D242" s="405"/>
      <c r="E242" s="410">
        <v>44877</v>
      </c>
      <c r="F242" s="410">
        <v>44923</v>
      </c>
      <c r="G242" s="405" t="s">
        <v>9468</v>
      </c>
      <c r="H242" s="405" t="s">
        <v>9469</v>
      </c>
      <c r="I242" s="405"/>
      <c r="J242" s="405">
        <v>0.75161999999999995</v>
      </c>
      <c r="K242" s="405">
        <v>32.370041000000001</v>
      </c>
      <c r="L242" s="405" t="s">
        <v>314</v>
      </c>
      <c r="M242" s="405" t="s">
        <v>2297</v>
      </c>
      <c r="N242" s="405" t="s">
        <v>8277</v>
      </c>
      <c r="O242" s="405" t="s">
        <v>2297</v>
      </c>
      <c r="P242" s="405" t="s">
        <v>2342</v>
      </c>
      <c r="Q242" s="411">
        <v>6</v>
      </c>
      <c r="R242" s="405" t="s">
        <v>9408</v>
      </c>
      <c r="S242" s="405" t="s">
        <v>27038</v>
      </c>
      <c r="T242" s="405" t="s">
        <v>884</v>
      </c>
      <c r="U242" s="405" t="s">
        <v>319</v>
      </c>
    </row>
    <row r="243" spans="1:21" x14ac:dyDescent="0.25">
      <c r="A243" s="405" t="s">
        <v>310</v>
      </c>
      <c r="B243" s="405" t="s">
        <v>29015</v>
      </c>
      <c r="C243" s="405" t="s">
        <v>327</v>
      </c>
      <c r="D243" s="405"/>
      <c r="E243" s="410">
        <v>44876</v>
      </c>
      <c r="F243" s="410">
        <v>44888</v>
      </c>
      <c r="G243" s="405" t="s">
        <v>26834</v>
      </c>
      <c r="H243" s="405" t="s">
        <v>26835</v>
      </c>
      <c r="I243" s="405"/>
      <c r="J243" s="405">
        <v>-0.31881500000000002</v>
      </c>
      <c r="K243" s="405">
        <v>31.194348000000002</v>
      </c>
      <c r="L243" s="405" t="s">
        <v>590</v>
      </c>
      <c r="M243" s="405" t="s">
        <v>19614</v>
      </c>
      <c r="N243" s="405" t="s">
        <v>26791</v>
      </c>
      <c r="O243" s="405" t="s">
        <v>3715</v>
      </c>
      <c r="P243" s="405" t="s">
        <v>3715</v>
      </c>
      <c r="Q243" s="411">
        <v>6</v>
      </c>
      <c r="R243" s="405" t="s">
        <v>7211</v>
      </c>
      <c r="S243" s="405" t="s">
        <v>6918</v>
      </c>
      <c r="T243" s="405" t="s">
        <v>884</v>
      </c>
      <c r="U243" s="405" t="s">
        <v>319</v>
      </c>
    </row>
    <row r="244" spans="1:21" x14ac:dyDescent="0.25">
      <c r="A244" s="405" t="s">
        <v>310</v>
      </c>
      <c r="B244" s="405" t="s">
        <v>18065</v>
      </c>
      <c r="C244" s="405" t="s">
        <v>327</v>
      </c>
      <c r="D244" s="405"/>
      <c r="E244" s="410">
        <v>44876</v>
      </c>
      <c r="F244" s="410">
        <v>44914</v>
      </c>
      <c r="G244" s="405" t="s">
        <v>18066</v>
      </c>
      <c r="H244" s="405" t="s">
        <v>18067</v>
      </c>
      <c r="I244" s="405"/>
      <c r="J244" s="405">
        <v>1.13289</v>
      </c>
      <c r="K244" s="405">
        <v>34.262245</v>
      </c>
      <c r="L244" s="405" t="s">
        <v>6866</v>
      </c>
      <c r="M244" s="405" t="s">
        <v>9575</v>
      </c>
      <c r="N244" s="405" t="s">
        <v>18068</v>
      </c>
      <c r="O244" s="405" t="s">
        <v>18069</v>
      </c>
      <c r="P244" s="405" t="s">
        <v>18070</v>
      </c>
      <c r="Q244" s="411">
        <v>4</v>
      </c>
      <c r="R244" s="405" t="s">
        <v>17977</v>
      </c>
      <c r="S244" s="405" t="s">
        <v>27077</v>
      </c>
      <c r="T244" s="405" t="s">
        <v>884</v>
      </c>
      <c r="U244" s="405" t="s">
        <v>319</v>
      </c>
    </row>
    <row r="245" spans="1:21" x14ac:dyDescent="0.25">
      <c r="A245" s="405" t="s">
        <v>310</v>
      </c>
      <c r="B245" s="405" t="s">
        <v>9454</v>
      </c>
      <c r="C245" s="405" t="s">
        <v>327</v>
      </c>
      <c r="D245" s="405"/>
      <c r="E245" s="410">
        <v>44875</v>
      </c>
      <c r="F245" s="410">
        <v>44905</v>
      </c>
      <c r="G245" s="405" t="s">
        <v>9455</v>
      </c>
      <c r="H245" s="405" t="s">
        <v>9456</v>
      </c>
      <c r="I245" s="405"/>
      <c r="J245" s="405">
        <v>0.83926500000000004</v>
      </c>
      <c r="K245" s="405">
        <v>32.305669999999999</v>
      </c>
      <c r="L245" s="405" t="s">
        <v>314</v>
      </c>
      <c r="M245" s="405" t="s">
        <v>2297</v>
      </c>
      <c r="N245" s="405" t="s">
        <v>7248</v>
      </c>
      <c r="O245" s="405" t="s">
        <v>9457</v>
      </c>
      <c r="P245" s="405" t="s">
        <v>5943</v>
      </c>
      <c r="Q245" s="411">
        <v>13</v>
      </c>
      <c r="R245" s="405" t="s">
        <v>9408</v>
      </c>
      <c r="S245" s="405" t="s">
        <v>27039</v>
      </c>
      <c r="T245" s="405" t="s">
        <v>884</v>
      </c>
      <c r="U245" s="405" t="s">
        <v>319</v>
      </c>
    </row>
    <row r="246" spans="1:21" x14ac:dyDescent="0.25">
      <c r="A246" s="405" t="s">
        <v>310</v>
      </c>
      <c r="B246" s="405" t="s">
        <v>9458</v>
      </c>
      <c r="C246" s="405" t="s">
        <v>327</v>
      </c>
      <c r="D246" s="405"/>
      <c r="E246" s="410">
        <v>44875</v>
      </c>
      <c r="F246" s="410">
        <v>44902</v>
      </c>
      <c r="G246" s="405" t="s">
        <v>9459</v>
      </c>
      <c r="H246" s="405" t="s">
        <v>9460</v>
      </c>
      <c r="I246" s="405"/>
      <c r="J246" s="405">
        <v>0.45224999999999999</v>
      </c>
      <c r="K246" s="405">
        <v>32.736351999999997</v>
      </c>
      <c r="L246" s="405" t="s">
        <v>314</v>
      </c>
      <c r="M246" s="405" t="s">
        <v>329</v>
      </c>
      <c r="N246" s="405" t="s">
        <v>5950</v>
      </c>
      <c r="O246" s="405" t="s">
        <v>787</v>
      </c>
      <c r="P246" s="405" t="s">
        <v>9461</v>
      </c>
      <c r="Q246" s="411">
        <v>13</v>
      </c>
      <c r="R246" s="405" t="s">
        <v>9408</v>
      </c>
      <c r="S246" s="405" t="s">
        <v>27040</v>
      </c>
      <c r="T246" s="405" t="s">
        <v>884</v>
      </c>
      <c r="U246" s="405" t="s">
        <v>319</v>
      </c>
    </row>
    <row r="247" spans="1:21" x14ac:dyDescent="0.25">
      <c r="A247" s="405" t="s">
        <v>310</v>
      </c>
      <c r="B247" s="405" t="s">
        <v>26919</v>
      </c>
      <c r="C247" s="405" t="s">
        <v>327</v>
      </c>
      <c r="D247" s="405"/>
      <c r="E247" s="410">
        <v>44875</v>
      </c>
      <c r="F247" s="410">
        <v>44920</v>
      </c>
      <c r="G247" s="405" t="s">
        <v>26920</v>
      </c>
      <c r="H247" s="405" t="s">
        <v>26828</v>
      </c>
      <c r="I247" s="405"/>
      <c r="J247" s="405">
        <v>-0.24627499999999999</v>
      </c>
      <c r="K247" s="405">
        <v>30.613195000000001</v>
      </c>
      <c r="L247" s="405" t="s">
        <v>590</v>
      </c>
      <c r="M247" s="405" t="s">
        <v>19705</v>
      </c>
      <c r="N247" s="405" t="s">
        <v>20108</v>
      </c>
      <c r="O247" s="405" t="s">
        <v>26829</v>
      </c>
      <c r="P247" s="405" t="s">
        <v>19950</v>
      </c>
      <c r="Q247" s="411">
        <v>9</v>
      </c>
      <c r="R247" s="405" t="s">
        <v>874</v>
      </c>
      <c r="S247" s="405" t="s">
        <v>27035</v>
      </c>
      <c r="T247" s="405" t="s">
        <v>884</v>
      </c>
      <c r="U247" s="405" t="s">
        <v>319</v>
      </c>
    </row>
    <row r="248" spans="1:21" x14ac:dyDescent="0.25">
      <c r="A248" s="405" t="s">
        <v>310</v>
      </c>
      <c r="B248" s="405" t="s">
        <v>18139</v>
      </c>
      <c r="C248" s="405" t="s">
        <v>327</v>
      </c>
      <c r="D248" s="405"/>
      <c r="E248" s="410">
        <v>44875</v>
      </c>
      <c r="F248" s="410">
        <v>44900</v>
      </c>
      <c r="G248" s="405" t="s">
        <v>18140</v>
      </c>
      <c r="H248" s="405" t="s">
        <v>18141</v>
      </c>
      <c r="I248" s="405"/>
      <c r="J248" s="405">
        <v>1.1302129999999999</v>
      </c>
      <c r="K248" s="405">
        <v>34.269865000000003</v>
      </c>
      <c r="L248" s="405" t="s">
        <v>6866</v>
      </c>
      <c r="M248" s="405" t="s">
        <v>9575</v>
      </c>
      <c r="N248" s="405" t="s">
        <v>18142</v>
      </c>
      <c r="O248" s="405" t="s">
        <v>18143</v>
      </c>
      <c r="P248" s="405" t="s">
        <v>18030</v>
      </c>
      <c r="Q248" s="411">
        <v>4</v>
      </c>
      <c r="R248" s="405" t="s">
        <v>17977</v>
      </c>
      <c r="S248" s="405" t="s">
        <v>27074</v>
      </c>
      <c r="T248" s="405" t="s">
        <v>884</v>
      </c>
      <c r="U248" s="405" t="s">
        <v>319</v>
      </c>
    </row>
    <row r="249" spans="1:21" x14ac:dyDescent="0.25">
      <c r="A249" s="405" t="s">
        <v>310</v>
      </c>
      <c r="B249" s="413" t="s">
        <v>26830</v>
      </c>
      <c r="C249" s="413" t="s">
        <v>327</v>
      </c>
      <c r="D249" s="413"/>
      <c r="E249" s="418">
        <v>44874</v>
      </c>
      <c r="F249" s="418">
        <v>44883</v>
      </c>
      <c r="G249" s="413" t="s">
        <v>26831</v>
      </c>
      <c r="H249" s="405" t="s">
        <v>26832</v>
      </c>
      <c r="I249" s="405"/>
      <c r="J249" s="405">
        <v>-0.23898</v>
      </c>
      <c r="K249" s="405">
        <v>31.228459999999998</v>
      </c>
      <c r="L249" s="405" t="s">
        <v>590</v>
      </c>
      <c r="M249" s="405" t="s">
        <v>19614</v>
      </c>
      <c r="N249" s="405" t="s">
        <v>3796</v>
      </c>
      <c r="O249" s="405" t="s">
        <v>26779</v>
      </c>
      <c r="P249" s="405" t="s">
        <v>26833</v>
      </c>
      <c r="Q249" s="411">
        <v>6</v>
      </c>
      <c r="R249" s="405" t="s">
        <v>7211</v>
      </c>
      <c r="S249" s="405" t="s">
        <v>27094</v>
      </c>
      <c r="T249" s="405" t="s">
        <v>32102</v>
      </c>
      <c r="U249" s="405" t="s">
        <v>319</v>
      </c>
    </row>
    <row r="250" spans="1:21" x14ac:dyDescent="0.25">
      <c r="A250" s="405" t="s">
        <v>310</v>
      </c>
      <c r="B250" s="405" t="s">
        <v>18136</v>
      </c>
      <c r="C250" s="405" t="s">
        <v>327</v>
      </c>
      <c r="D250" s="405"/>
      <c r="E250" s="410">
        <v>44874</v>
      </c>
      <c r="F250" s="410">
        <v>44919</v>
      </c>
      <c r="G250" s="405" t="s">
        <v>18137</v>
      </c>
      <c r="H250" s="405" t="s">
        <v>18138</v>
      </c>
      <c r="I250" s="405"/>
      <c r="J250" s="405">
        <v>1.1496379999999999</v>
      </c>
      <c r="K250" s="405">
        <v>34.334848000000001</v>
      </c>
      <c r="L250" s="405" t="s">
        <v>6866</v>
      </c>
      <c r="M250" s="405" t="s">
        <v>9575</v>
      </c>
      <c r="N250" s="405" t="s">
        <v>17974</v>
      </c>
      <c r="O250" s="405" t="s">
        <v>17974</v>
      </c>
      <c r="P250" s="405" t="s">
        <v>18135</v>
      </c>
      <c r="Q250" s="411">
        <v>4</v>
      </c>
      <c r="R250" s="405" t="s">
        <v>17977</v>
      </c>
      <c r="S250" s="405" t="s">
        <v>27081</v>
      </c>
      <c r="T250" s="405" t="s">
        <v>884</v>
      </c>
      <c r="U250" s="405" t="s">
        <v>319</v>
      </c>
    </row>
    <row r="251" spans="1:21" x14ac:dyDescent="0.25">
      <c r="A251" s="405" t="s">
        <v>310</v>
      </c>
      <c r="B251" s="405" t="s">
        <v>26924</v>
      </c>
      <c r="C251" s="405" t="s">
        <v>327</v>
      </c>
      <c r="D251" s="405"/>
      <c r="E251" s="410">
        <v>44870</v>
      </c>
      <c r="F251" s="410">
        <v>44905</v>
      </c>
      <c r="G251" s="405" t="s">
        <v>26925</v>
      </c>
      <c r="H251" s="405" t="s">
        <v>26926</v>
      </c>
      <c r="I251" s="405"/>
      <c r="J251" s="405">
        <v>0.90295300000000001</v>
      </c>
      <c r="K251" s="405">
        <v>30.187059000000001</v>
      </c>
      <c r="L251" s="405" t="s">
        <v>590</v>
      </c>
      <c r="M251" s="405" t="s">
        <v>24720</v>
      </c>
      <c r="N251" s="405" t="s">
        <v>26927</v>
      </c>
      <c r="O251" s="405" t="s">
        <v>26928</v>
      </c>
      <c r="P251" s="405" t="s">
        <v>26929</v>
      </c>
      <c r="Q251" s="411">
        <v>6</v>
      </c>
      <c r="R251" s="405" t="s">
        <v>9408</v>
      </c>
      <c r="S251" s="405" t="s">
        <v>27044</v>
      </c>
      <c r="T251" s="405" t="s">
        <v>884</v>
      </c>
      <c r="U251" s="405" t="s">
        <v>319</v>
      </c>
    </row>
    <row r="252" spans="1:21" x14ac:dyDescent="0.25">
      <c r="A252" s="405" t="s">
        <v>310</v>
      </c>
      <c r="B252" s="405" t="s">
        <v>18080</v>
      </c>
      <c r="C252" s="405" t="s">
        <v>327</v>
      </c>
      <c r="D252" s="405"/>
      <c r="E252" s="410">
        <v>44868</v>
      </c>
      <c r="F252" s="410">
        <v>44915</v>
      </c>
      <c r="G252" s="405" t="s">
        <v>18081</v>
      </c>
      <c r="H252" s="405" t="s">
        <v>18082</v>
      </c>
      <c r="I252" s="405"/>
      <c r="J252" s="405">
        <v>1.126703</v>
      </c>
      <c r="K252" s="405">
        <v>34.343735000000002</v>
      </c>
      <c r="L252" s="405" t="s">
        <v>6866</v>
      </c>
      <c r="M252" s="405" t="s">
        <v>9575</v>
      </c>
      <c r="N252" s="405" t="s">
        <v>9576</v>
      </c>
      <c r="O252" s="405" t="s">
        <v>17992</v>
      </c>
      <c r="P252" s="405" t="s">
        <v>18083</v>
      </c>
      <c r="Q252" s="411">
        <v>4</v>
      </c>
      <c r="R252" s="405" t="s">
        <v>17977</v>
      </c>
      <c r="S252" s="405" t="s">
        <v>27082</v>
      </c>
      <c r="T252" s="405" t="s">
        <v>884</v>
      </c>
      <c r="U252" s="405" t="s">
        <v>319</v>
      </c>
    </row>
    <row r="253" spans="1:21" x14ac:dyDescent="0.25">
      <c r="A253" s="405" t="s">
        <v>310</v>
      </c>
      <c r="B253" s="405" t="s">
        <v>9442</v>
      </c>
      <c r="C253" s="405" t="s">
        <v>327</v>
      </c>
      <c r="D253" s="405"/>
      <c r="E253" s="410">
        <v>44867</v>
      </c>
      <c r="F253" s="410">
        <v>44877</v>
      </c>
      <c r="G253" s="405" t="s">
        <v>9443</v>
      </c>
      <c r="H253" s="405" t="s">
        <v>9444</v>
      </c>
      <c r="I253" s="405"/>
      <c r="J253" s="405">
        <v>0.412827</v>
      </c>
      <c r="K253" s="405">
        <v>32.598911999999999</v>
      </c>
      <c r="L253" s="405" t="s">
        <v>314</v>
      </c>
      <c r="M253" s="405" t="s">
        <v>361</v>
      </c>
      <c r="N253" s="405" t="s">
        <v>9445</v>
      </c>
      <c r="O253" s="405" t="s">
        <v>410</v>
      </c>
      <c r="P253" s="405" t="s">
        <v>1324</v>
      </c>
      <c r="Q253" s="411">
        <v>9</v>
      </c>
      <c r="R253" s="405" t="s">
        <v>32101</v>
      </c>
      <c r="S253" s="405" t="s">
        <v>27068</v>
      </c>
      <c r="T253" s="405" t="s">
        <v>884</v>
      </c>
      <c r="U253" s="405" t="s">
        <v>319</v>
      </c>
    </row>
    <row r="254" spans="1:21" x14ac:dyDescent="0.25">
      <c r="A254" s="405" t="s">
        <v>310</v>
      </c>
      <c r="B254" s="405" t="s">
        <v>18095</v>
      </c>
      <c r="C254" s="405" t="s">
        <v>327</v>
      </c>
      <c r="D254" s="405"/>
      <c r="E254" s="410">
        <v>44864</v>
      </c>
      <c r="F254" s="410">
        <v>44896</v>
      </c>
      <c r="G254" s="405" t="s">
        <v>18096</v>
      </c>
      <c r="H254" s="405" t="s">
        <v>18097</v>
      </c>
      <c r="I254" s="405"/>
      <c r="J254" s="405">
        <v>1.1213230000000001</v>
      </c>
      <c r="K254" s="405">
        <v>34.358592000000002</v>
      </c>
      <c r="L254" s="405" t="s">
        <v>6866</v>
      </c>
      <c r="M254" s="405" t="s">
        <v>9575</v>
      </c>
      <c r="N254" s="405" t="s">
        <v>9576</v>
      </c>
      <c r="O254" s="405" t="s">
        <v>18038</v>
      </c>
      <c r="P254" s="405" t="s">
        <v>18098</v>
      </c>
      <c r="Q254" s="411">
        <v>4</v>
      </c>
      <c r="R254" s="405" t="s">
        <v>17977</v>
      </c>
      <c r="S254" s="405" t="s">
        <v>27078</v>
      </c>
      <c r="T254" s="405" t="s">
        <v>32102</v>
      </c>
      <c r="U254" s="405" t="s">
        <v>319</v>
      </c>
    </row>
    <row r="255" spans="1:21" x14ac:dyDescent="0.25">
      <c r="A255" s="405" t="s">
        <v>310</v>
      </c>
      <c r="B255" s="405" t="s">
        <v>18088</v>
      </c>
      <c r="C255" s="405" t="s">
        <v>327</v>
      </c>
      <c r="D255" s="405"/>
      <c r="E255" s="410">
        <v>44863</v>
      </c>
      <c r="F255" s="410">
        <v>44915</v>
      </c>
      <c r="G255" s="405" t="s">
        <v>18089</v>
      </c>
      <c r="H255" s="405" t="s">
        <v>18090</v>
      </c>
      <c r="I255" s="405"/>
      <c r="J255" s="405">
        <v>1.1273120000000001</v>
      </c>
      <c r="K255" s="405">
        <v>34.352155000000003</v>
      </c>
      <c r="L255" s="405" t="s">
        <v>6866</v>
      </c>
      <c r="M255" s="405" t="s">
        <v>9575</v>
      </c>
      <c r="N255" s="405" t="s">
        <v>9576</v>
      </c>
      <c r="O255" s="405" t="s">
        <v>17992</v>
      </c>
      <c r="P255" s="405" t="s">
        <v>18091</v>
      </c>
      <c r="Q255" s="411">
        <v>4</v>
      </c>
      <c r="R255" s="405" t="s">
        <v>17977</v>
      </c>
      <c r="S255" s="405" t="s">
        <v>27083</v>
      </c>
      <c r="T255" s="405" t="s">
        <v>884</v>
      </c>
      <c r="U255" s="405" t="s">
        <v>319</v>
      </c>
    </row>
    <row r="256" spans="1:21" x14ac:dyDescent="0.25">
      <c r="A256" s="405" t="s">
        <v>310</v>
      </c>
      <c r="B256" s="405" t="s">
        <v>18124</v>
      </c>
      <c r="C256" s="405" t="s">
        <v>327</v>
      </c>
      <c r="D256" s="405"/>
      <c r="E256" s="410">
        <v>44862</v>
      </c>
      <c r="F256" s="410">
        <v>44905</v>
      </c>
      <c r="G256" s="405" t="s">
        <v>18125</v>
      </c>
      <c r="H256" s="405" t="s">
        <v>18126</v>
      </c>
      <c r="I256" s="405"/>
      <c r="J256" s="405">
        <v>1.1304000000000001</v>
      </c>
      <c r="K256" s="405">
        <v>34.344332000000001</v>
      </c>
      <c r="L256" s="405" t="s">
        <v>6866</v>
      </c>
      <c r="M256" s="405" t="s">
        <v>9575</v>
      </c>
      <c r="N256" s="405" t="s">
        <v>9576</v>
      </c>
      <c r="O256" s="405" t="s">
        <v>18038</v>
      </c>
      <c r="P256" s="405" t="s">
        <v>18127</v>
      </c>
      <c r="Q256" s="411">
        <v>4</v>
      </c>
      <c r="R256" s="405" t="s">
        <v>17977</v>
      </c>
      <c r="S256" s="405" t="s">
        <v>27083</v>
      </c>
      <c r="T256" s="405" t="s">
        <v>884</v>
      </c>
      <c r="U256" s="405" t="s">
        <v>319</v>
      </c>
    </row>
    <row r="257" spans="1:21" x14ac:dyDescent="0.25">
      <c r="A257" s="405" t="s">
        <v>310</v>
      </c>
      <c r="B257" s="405" t="s">
        <v>26849</v>
      </c>
      <c r="C257" s="405" t="s">
        <v>327</v>
      </c>
      <c r="D257" s="405"/>
      <c r="E257" s="410">
        <v>44861</v>
      </c>
      <c r="F257" s="410">
        <v>44880</v>
      </c>
      <c r="G257" s="405" t="s">
        <v>26850</v>
      </c>
      <c r="H257" s="405" t="s">
        <v>26851</v>
      </c>
      <c r="I257" s="405"/>
      <c r="J257" s="405">
        <v>-3.7201999999999999E-2</v>
      </c>
      <c r="K257" s="405">
        <v>31.477117</v>
      </c>
      <c r="L257" s="405" t="s">
        <v>590</v>
      </c>
      <c r="M257" s="405" t="s">
        <v>343</v>
      </c>
      <c r="N257" s="405" t="s">
        <v>6527</v>
      </c>
      <c r="O257" s="405" t="s">
        <v>26852</v>
      </c>
      <c r="P257" s="405" t="s">
        <v>26853</v>
      </c>
      <c r="Q257" s="411">
        <v>6</v>
      </c>
      <c r="R257" s="405" t="s">
        <v>7211</v>
      </c>
      <c r="S257" s="405" t="s">
        <v>27103</v>
      </c>
      <c r="T257" s="405" t="s">
        <v>884</v>
      </c>
      <c r="U257" s="405" t="s">
        <v>319</v>
      </c>
    </row>
    <row r="258" spans="1:21" x14ac:dyDescent="0.25">
      <c r="A258" s="405" t="s">
        <v>310</v>
      </c>
      <c r="B258" s="405" t="s">
        <v>9450</v>
      </c>
      <c r="C258" s="405" t="s">
        <v>327</v>
      </c>
      <c r="D258" s="405"/>
      <c r="E258" s="410">
        <v>44859</v>
      </c>
      <c r="F258" s="410">
        <v>44904</v>
      </c>
      <c r="G258" s="405" t="s">
        <v>9451</v>
      </c>
      <c r="H258" s="405" t="s">
        <v>9452</v>
      </c>
      <c r="I258" s="405"/>
      <c r="J258" s="405">
        <v>0.52268000000000003</v>
      </c>
      <c r="K258" s="405">
        <v>32.843404999999997</v>
      </c>
      <c r="L258" s="405" t="s">
        <v>314</v>
      </c>
      <c r="M258" s="405" t="s">
        <v>329</v>
      </c>
      <c r="N258" s="405" t="s">
        <v>528</v>
      </c>
      <c r="O258" s="405" t="s">
        <v>9453</v>
      </c>
      <c r="P258" s="405" t="s">
        <v>9453</v>
      </c>
      <c r="Q258" s="411">
        <v>6</v>
      </c>
      <c r="R258" s="405" t="s">
        <v>5921</v>
      </c>
      <c r="S258" s="405" t="s">
        <v>32960</v>
      </c>
      <c r="T258" s="405" t="s">
        <v>32102</v>
      </c>
      <c r="U258" s="405" t="s">
        <v>319</v>
      </c>
    </row>
    <row r="259" spans="1:21" x14ac:dyDescent="0.25">
      <c r="A259" s="405" t="s">
        <v>310</v>
      </c>
      <c r="B259" s="405" t="s">
        <v>18016</v>
      </c>
      <c r="C259" s="405" t="s">
        <v>327</v>
      </c>
      <c r="D259" s="405"/>
      <c r="E259" s="410">
        <v>44859</v>
      </c>
      <c r="F259" s="410">
        <v>44895</v>
      </c>
      <c r="G259" s="405" t="s">
        <v>18017</v>
      </c>
      <c r="H259" s="405" t="s">
        <v>18018</v>
      </c>
      <c r="I259" s="405"/>
      <c r="J259" s="405">
        <v>1.1286</v>
      </c>
      <c r="K259" s="405">
        <v>34.276117999999997</v>
      </c>
      <c r="L259" s="405" t="s">
        <v>6866</v>
      </c>
      <c r="M259" s="405" t="s">
        <v>9575</v>
      </c>
      <c r="N259" s="405" t="s">
        <v>9576</v>
      </c>
      <c r="O259" s="405" t="s">
        <v>18019</v>
      </c>
      <c r="P259" s="405" t="s">
        <v>18020</v>
      </c>
      <c r="Q259" s="411">
        <v>4</v>
      </c>
      <c r="R259" s="405" t="s">
        <v>17977</v>
      </c>
      <c r="S259" s="405" t="s">
        <v>27074</v>
      </c>
      <c r="T259" s="405" t="s">
        <v>884</v>
      </c>
      <c r="U259" s="405" t="s">
        <v>319</v>
      </c>
    </row>
    <row r="260" spans="1:21" x14ac:dyDescent="0.25">
      <c r="A260" s="405" t="s">
        <v>310</v>
      </c>
      <c r="B260" s="413" t="s">
        <v>18021</v>
      </c>
      <c r="C260" s="413" t="s">
        <v>327</v>
      </c>
      <c r="D260" s="413"/>
      <c r="E260" s="418">
        <v>44859</v>
      </c>
      <c r="F260" s="418">
        <v>44875</v>
      </c>
      <c r="G260" s="413" t="s">
        <v>18022</v>
      </c>
      <c r="H260" s="405" t="s">
        <v>18023</v>
      </c>
      <c r="I260" s="405"/>
      <c r="J260" s="405">
        <v>1.1312979999999999</v>
      </c>
      <c r="K260" s="405">
        <v>34.271374999999999</v>
      </c>
      <c r="L260" s="405" t="s">
        <v>6866</v>
      </c>
      <c r="M260" s="405" t="s">
        <v>9575</v>
      </c>
      <c r="N260" s="405" t="s">
        <v>18024</v>
      </c>
      <c r="O260" s="405" t="s">
        <v>18025</v>
      </c>
      <c r="P260" s="405" t="s">
        <v>18026</v>
      </c>
      <c r="Q260" s="411">
        <v>4</v>
      </c>
      <c r="R260" s="405" t="s">
        <v>17977</v>
      </c>
      <c r="S260" s="405" t="s">
        <v>27077</v>
      </c>
      <c r="T260" s="405" t="s">
        <v>884</v>
      </c>
      <c r="U260" s="405" t="s">
        <v>319</v>
      </c>
    </row>
    <row r="261" spans="1:21" x14ac:dyDescent="0.25">
      <c r="A261" s="405" t="s">
        <v>310</v>
      </c>
      <c r="B261" s="405" t="s">
        <v>18027</v>
      </c>
      <c r="C261" s="405" t="s">
        <v>327</v>
      </c>
      <c r="D261" s="405"/>
      <c r="E261" s="410">
        <v>44856</v>
      </c>
      <c r="F261" s="410">
        <v>44877</v>
      </c>
      <c r="G261" s="405" t="s">
        <v>18028</v>
      </c>
      <c r="H261" s="405" t="s">
        <v>18029</v>
      </c>
      <c r="I261" s="405"/>
      <c r="J261" s="405">
        <v>1.1308149999999999</v>
      </c>
      <c r="K261" s="405">
        <v>34.269692999999997</v>
      </c>
      <c r="L261" s="405" t="s">
        <v>6866</v>
      </c>
      <c r="M261" s="405" t="s">
        <v>9575</v>
      </c>
      <c r="N261" s="405" t="s">
        <v>9576</v>
      </c>
      <c r="O261" s="405" t="s">
        <v>18024</v>
      </c>
      <c r="P261" s="405" t="s">
        <v>18030</v>
      </c>
      <c r="Q261" s="411">
        <v>4</v>
      </c>
      <c r="R261" s="405" t="s">
        <v>17977</v>
      </c>
      <c r="S261" s="405" t="s">
        <v>27074</v>
      </c>
      <c r="T261" s="405" t="s">
        <v>32102</v>
      </c>
      <c r="U261" s="405" t="s">
        <v>319</v>
      </c>
    </row>
    <row r="262" spans="1:21" x14ac:dyDescent="0.25">
      <c r="A262" s="405" t="s">
        <v>310</v>
      </c>
      <c r="B262" s="405" t="s">
        <v>18132</v>
      </c>
      <c r="C262" s="405" t="s">
        <v>327</v>
      </c>
      <c r="D262" s="405"/>
      <c r="E262" s="410">
        <v>44855</v>
      </c>
      <c r="F262" s="410">
        <v>44905</v>
      </c>
      <c r="G262" s="405" t="s">
        <v>18133</v>
      </c>
      <c r="H262" s="405" t="s">
        <v>18134</v>
      </c>
      <c r="I262" s="405"/>
      <c r="J262" s="405">
        <v>1.1472720000000001</v>
      </c>
      <c r="K262" s="405">
        <v>34.334671999999998</v>
      </c>
      <c r="L262" s="405" t="s">
        <v>6866</v>
      </c>
      <c r="M262" s="405" t="s">
        <v>9575</v>
      </c>
      <c r="N262" s="405" t="s">
        <v>9576</v>
      </c>
      <c r="O262" s="405" t="s">
        <v>17974</v>
      </c>
      <c r="P262" s="405" t="s">
        <v>18135</v>
      </c>
      <c r="Q262" s="411">
        <v>4</v>
      </c>
      <c r="R262" s="405" t="s">
        <v>17977</v>
      </c>
      <c r="S262" s="405" t="s">
        <v>27082</v>
      </c>
      <c r="T262" s="405" t="s">
        <v>32102</v>
      </c>
      <c r="U262" s="405" t="s">
        <v>319</v>
      </c>
    </row>
    <row r="263" spans="1:21" x14ac:dyDescent="0.25">
      <c r="A263" s="405" t="s">
        <v>310</v>
      </c>
      <c r="B263" s="405" t="s">
        <v>18116</v>
      </c>
      <c r="C263" s="405" t="s">
        <v>327</v>
      </c>
      <c r="D263" s="405"/>
      <c r="E263" s="410">
        <v>44855</v>
      </c>
      <c r="F263" s="410">
        <v>44904</v>
      </c>
      <c r="G263" s="405" t="s">
        <v>18117</v>
      </c>
      <c r="H263" s="405" t="s">
        <v>18118</v>
      </c>
      <c r="I263" s="405"/>
      <c r="J263" s="405">
        <v>1.1270100000000001</v>
      </c>
      <c r="K263" s="405">
        <v>34.354841999999998</v>
      </c>
      <c r="L263" s="405" t="s">
        <v>6866</v>
      </c>
      <c r="M263" s="405" t="s">
        <v>9575</v>
      </c>
      <c r="N263" s="405" t="s">
        <v>9576</v>
      </c>
      <c r="O263" s="405" t="s">
        <v>18038</v>
      </c>
      <c r="P263" s="405" t="s">
        <v>18119</v>
      </c>
      <c r="Q263" s="411">
        <v>4</v>
      </c>
      <c r="R263" s="405" t="s">
        <v>17977</v>
      </c>
      <c r="S263" s="405" t="s">
        <v>27083</v>
      </c>
      <c r="T263" s="405" t="s">
        <v>884</v>
      </c>
      <c r="U263" s="405" t="s">
        <v>319</v>
      </c>
    </row>
    <row r="264" spans="1:21" x14ac:dyDescent="0.25">
      <c r="A264" s="405" t="s">
        <v>310</v>
      </c>
      <c r="B264" s="405" t="s">
        <v>26965</v>
      </c>
      <c r="C264" s="405" t="s">
        <v>327</v>
      </c>
      <c r="D264" s="405"/>
      <c r="E264" s="410">
        <v>44854</v>
      </c>
      <c r="F264" s="410">
        <v>44931</v>
      </c>
      <c r="G264" s="405" t="s">
        <v>26966</v>
      </c>
      <c r="H264" s="405" t="s">
        <v>26967</v>
      </c>
      <c r="I264" s="405"/>
      <c r="J264" s="405">
        <v>0.70368799999999998</v>
      </c>
      <c r="K264" s="405">
        <v>30.289166000000002</v>
      </c>
      <c r="L264" s="405" t="s">
        <v>590</v>
      </c>
      <c r="M264" s="405" t="s">
        <v>20125</v>
      </c>
      <c r="N264" s="405" t="s">
        <v>20125</v>
      </c>
      <c r="O264" s="405" t="s">
        <v>20585</v>
      </c>
      <c r="P264" s="405" t="s">
        <v>26968</v>
      </c>
      <c r="Q264" s="411">
        <v>13</v>
      </c>
      <c r="R264" s="405" t="s">
        <v>9408</v>
      </c>
      <c r="S264" s="405" t="s">
        <v>27041</v>
      </c>
      <c r="T264" s="405" t="s">
        <v>884</v>
      </c>
      <c r="U264" s="405" t="s">
        <v>319</v>
      </c>
    </row>
    <row r="265" spans="1:21" x14ac:dyDescent="0.25">
      <c r="A265" s="405" t="s">
        <v>310</v>
      </c>
      <c r="B265" s="405" t="s">
        <v>26904</v>
      </c>
      <c r="C265" s="405" t="s">
        <v>327</v>
      </c>
      <c r="D265" s="405"/>
      <c r="E265" s="410">
        <v>44854</v>
      </c>
      <c r="F265" s="410">
        <v>44900</v>
      </c>
      <c r="G265" s="405" t="s">
        <v>26905</v>
      </c>
      <c r="H265" s="405" t="s">
        <v>26906</v>
      </c>
      <c r="I265" s="405"/>
      <c r="J265" s="405">
        <v>-5.3163000000000002E-2</v>
      </c>
      <c r="K265" s="405">
        <v>31.088832</v>
      </c>
      <c r="L265" s="405" t="s">
        <v>590</v>
      </c>
      <c r="M265" s="405" t="s">
        <v>19705</v>
      </c>
      <c r="N265" s="405" t="s">
        <v>1215</v>
      </c>
      <c r="O265" s="405" t="s">
        <v>1310</v>
      </c>
      <c r="P265" s="405" t="s">
        <v>411</v>
      </c>
      <c r="Q265" s="411">
        <v>9</v>
      </c>
      <c r="R265" s="405" t="s">
        <v>874</v>
      </c>
      <c r="S265" s="405" t="s">
        <v>27063</v>
      </c>
      <c r="T265" s="405" t="s">
        <v>32102</v>
      </c>
      <c r="U265" s="405" t="s">
        <v>319</v>
      </c>
    </row>
    <row r="266" spans="1:21" x14ac:dyDescent="0.25">
      <c r="A266" s="405" t="s">
        <v>310</v>
      </c>
      <c r="B266" s="405" t="s">
        <v>18051</v>
      </c>
      <c r="C266" s="405" t="s">
        <v>327</v>
      </c>
      <c r="D266" s="405"/>
      <c r="E266" s="410">
        <v>44854</v>
      </c>
      <c r="F266" s="410">
        <v>44914</v>
      </c>
      <c r="G266" s="405" t="s">
        <v>18052</v>
      </c>
      <c r="H266" s="405" t="s">
        <v>18053</v>
      </c>
      <c r="I266" s="405"/>
      <c r="J266" s="405">
        <v>1.1151150000000001</v>
      </c>
      <c r="K266" s="405">
        <v>34.264592999999998</v>
      </c>
      <c r="L266" s="405" t="s">
        <v>6866</v>
      </c>
      <c r="M266" s="405" t="s">
        <v>9575</v>
      </c>
      <c r="N266" s="405" t="s">
        <v>9576</v>
      </c>
      <c r="O266" s="405" t="s">
        <v>18019</v>
      </c>
      <c r="P266" s="405" t="s">
        <v>18054</v>
      </c>
      <c r="Q266" s="411">
        <v>6</v>
      </c>
      <c r="R266" s="405" t="s">
        <v>17977</v>
      </c>
      <c r="S266" s="405" t="s">
        <v>27077</v>
      </c>
      <c r="T266" s="405" t="s">
        <v>884</v>
      </c>
      <c r="U266" s="405" t="s">
        <v>319</v>
      </c>
    </row>
    <row r="267" spans="1:21" x14ac:dyDescent="0.25">
      <c r="A267" s="405" t="s">
        <v>310</v>
      </c>
      <c r="B267" s="405" t="s">
        <v>18108</v>
      </c>
      <c r="C267" s="405" t="s">
        <v>327</v>
      </c>
      <c r="D267" s="405"/>
      <c r="E267" s="410">
        <v>44854</v>
      </c>
      <c r="F267" s="410">
        <v>44900</v>
      </c>
      <c r="G267" s="405" t="s">
        <v>18109</v>
      </c>
      <c r="H267" s="405" t="s">
        <v>18110</v>
      </c>
      <c r="I267" s="405"/>
      <c r="J267" s="405">
        <v>1.13293</v>
      </c>
      <c r="K267" s="405">
        <v>34.348314999999999</v>
      </c>
      <c r="L267" s="405" t="s">
        <v>6866</v>
      </c>
      <c r="M267" s="405" t="s">
        <v>9575</v>
      </c>
      <c r="N267" s="405" t="s">
        <v>9576</v>
      </c>
      <c r="O267" s="405" t="s">
        <v>18038</v>
      </c>
      <c r="P267" s="405" t="s">
        <v>18111</v>
      </c>
      <c r="Q267" s="411">
        <v>4</v>
      </c>
      <c r="R267" s="405" t="s">
        <v>17977</v>
      </c>
      <c r="S267" s="405" t="s">
        <v>27085</v>
      </c>
      <c r="T267" s="405" t="s">
        <v>884</v>
      </c>
      <c r="U267" s="405" t="s">
        <v>319</v>
      </c>
    </row>
    <row r="268" spans="1:21" x14ac:dyDescent="0.25">
      <c r="A268" s="405" t="s">
        <v>310</v>
      </c>
      <c r="B268" s="405" t="s">
        <v>26881</v>
      </c>
      <c r="C268" s="405" t="s">
        <v>327</v>
      </c>
      <c r="D268" s="405"/>
      <c r="E268" s="410">
        <v>44853</v>
      </c>
      <c r="F268" s="410">
        <v>44902</v>
      </c>
      <c r="G268" s="405" t="s">
        <v>26882</v>
      </c>
      <c r="H268" s="405" t="s">
        <v>26883</v>
      </c>
      <c r="I268" s="405"/>
      <c r="J268" s="405">
        <v>-0.26791199999999998</v>
      </c>
      <c r="K268" s="405">
        <v>30.608858999999999</v>
      </c>
      <c r="L268" s="405" t="s">
        <v>590</v>
      </c>
      <c r="M268" s="405" t="s">
        <v>19614</v>
      </c>
      <c r="N268" s="405" t="s">
        <v>26884</v>
      </c>
      <c r="O268" s="405" t="s">
        <v>20108</v>
      </c>
      <c r="P268" s="405" t="s">
        <v>26885</v>
      </c>
      <c r="Q268" s="411">
        <v>9</v>
      </c>
      <c r="R268" s="405" t="s">
        <v>32166</v>
      </c>
      <c r="S268" s="405" t="s">
        <v>27102</v>
      </c>
      <c r="T268" s="405" t="s">
        <v>32102</v>
      </c>
      <c r="U268" s="405" t="s">
        <v>319</v>
      </c>
    </row>
    <row r="269" spans="1:21" x14ac:dyDescent="0.25">
      <c r="A269" s="405" t="s">
        <v>310</v>
      </c>
      <c r="B269" s="405" t="s">
        <v>27726</v>
      </c>
      <c r="C269" s="405" t="s">
        <v>327</v>
      </c>
      <c r="D269" s="405"/>
      <c r="E269" s="410">
        <v>42538</v>
      </c>
      <c r="F269" s="410">
        <v>42583</v>
      </c>
      <c r="G269" s="405" t="s">
        <v>18974</v>
      </c>
      <c r="H269" s="405">
        <v>772339960</v>
      </c>
      <c r="I269" s="405"/>
      <c r="J269" s="405">
        <v>0.85316499999999995</v>
      </c>
      <c r="K269" s="405">
        <v>31.116249</v>
      </c>
      <c r="L269" s="405" t="s">
        <v>860</v>
      </c>
      <c r="M269" s="405" t="s">
        <v>853</v>
      </c>
      <c r="N269" s="405" t="s">
        <v>18975</v>
      </c>
      <c r="O269" s="405" t="s">
        <v>18976</v>
      </c>
      <c r="P269" s="405" t="s">
        <v>18977</v>
      </c>
      <c r="Q269" s="411">
        <v>20</v>
      </c>
      <c r="R269" s="405" t="s">
        <v>5665</v>
      </c>
      <c r="S269" s="405" t="s">
        <v>27179</v>
      </c>
      <c r="T269" s="405" t="s">
        <v>884</v>
      </c>
      <c r="U269" s="405" t="s">
        <v>319</v>
      </c>
    </row>
    <row r="270" spans="1:21" x14ac:dyDescent="0.25">
      <c r="A270" s="405" t="s">
        <v>310</v>
      </c>
      <c r="B270" s="405" t="s">
        <v>26788</v>
      </c>
      <c r="C270" s="405" t="s">
        <v>327</v>
      </c>
      <c r="D270" s="405"/>
      <c r="E270" s="410">
        <v>44852</v>
      </c>
      <c r="F270" s="410">
        <v>44862</v>
      </c>
      <c r="G270" s="405" t="s">
        <v>26789</v>
      </c>
      <c r="H270" s="405" t="s">
        <v>26790</v>
      </c>
      <c r="I270" s="405"/>
      <c r="J270" s="405">
        <v>-0.31686999999999999</v>
      </c>
      <c r="K270" s="405">
        <v>31.191617999999998</v>
      </c>
      <c r="L270" s="405" t="s">
        <v>590</v>
      </c>
      <c r="M270" s="405" t="s">
        <v>19614</v>
      </c>
      <c r="N270" s="405" t="s">
        <v>26791</v>
      </c>
      <c r="O270" s="405" t="s">
        <v>8723</v>
      </c>
      <c r="P270" s="405" t="s">
        <v>26792</v>
      </c>
      <c r="Q270" s="411">
        <v>6</v>
      </c>
      <c r="R270" s="405" t="s">
        <v>7211</v>
      </c>
      <c r="S270" s="405" t="s">
        <v>6918</v>
      </c>
      <c r="T270" s="405" t="s">
        <v>32102</v>
      </c>
      <c r="U270" s="405" t="s">
        <v>319</v>
      </c>
    </row>
    <row r="271" spans="1:21" x14ac:dyDescent="0.25">
      <c r="A271" s="405" t="s">
        <v>310</v>
      </c>
      <c r="B271" s="413" t="s">
        <v>18012</v>
      </c>
      <c r="C271" s="413" t="s">
        <v>327</v>
      </c>
      <c r="D271" s="413"/>
      <c r="E271" s="418">
        <v>44850</v>
      </c>
      <c r="F271" s="418">
        <v>44867</v>
      </c>
      <c r="G271" s="413" t="s">
        <v>18013</v>
      </c>
      <c r="H271" s="405" t="s">
        <v>18014</v>
      </c>
      <c r="I271" s="405"/>
      <c r="J271" s="405">
        <v>0.85595699999999997</v>
      </c>
      <c r="K271" s="405">
        <v>33.063066999999997</v>
      </c>
      <c r="L271" s="405" t="s">
        <v>6866</v>
      </c>
      <c r="M271" s="405" t="s">
        <v>3009</v>
      </c>
      <c r="N271" s="405" t="s">
        <v>17028</v>
      </c>
      <c r="O271" s="405" t="s">
        <v>12865</v>
      </c>
      <c r="P271" s="405" t="s">
        <v>18015</v>
      </c>
      <c r="Q271" s="411">
        <v>9</v>
      </c>
      <c r="R271" s="405" t="s">
        <v>32164</v>
      </c>
      <c r="S271" s="405" t="s">
        <v>27054</v>
      </c>
      <c r="T271" s="405" t="s">
        <v>32102</v>
      </c>
      <c r="U271" s="405" t="s">
        <v>319</v>
      </c>
    </row>
    <row r="272" spans="1:21" x14ac:dyDescent="0.25">
      <c r="A272" s="405" t="s">
        <v>310</v>
      </c>
      <c r="B272" s="405" t="s">
        <v>18120</v>
      </c>
      <c r="C272" s="405" t="s">
        <v>327</v>
      </c>
      <c r="D272" s="405"/>
      <c r="E272" s="410">
        <v>44850</v>
      </c>
      <c r="F272" s="410">
        <v>44901</v>
      </c>
      <c r="G272" s="405" t="s">
        <v>18121</v>
      </c>
      <c r="H272" s="405" t="s">
        <v>18122</v>
      </c>
      <c r="I272" s="405"/>
      <c r="J272" s="405">
        <v>1.1243179999999999</v>
      </c>
      <c r="K272" s="405">
        <v>34.353287999999999</v>
      </c>
      <c r="L272" s="405" t="s">
        <v>6866</v>
      </c>
      <c r="M272" s="405" t="s">
        <v>9575</v>
      </c>
      <c r="N272" s="405" t="s">
        <v>9576</v>
      </c>
      <c r="O272" s="405" t="s">
        <v>17992</v>
      </c>
      <c r="P272" s="405" t="s">
        <v>18123</v>
      </c>
      <c r="Q272" s="411">
        <v>4</v>
      </c>
      <c r="R272" s="405" t="s">
        <v>17977</v>
      </c>
      <c r="S272" s="405" t="s">
        <v>27086</v>
      </c>
      <c r="T272" s="405" t="s">
        <v>32102</v>
      </c>
      <c r="U272" s="405" t="s">
        <v>319</v>
      </c>
    </row>
    <row r="273" spans="1:21" x14ac:dyDescent="0.25">
      <c r="A273" s="405" t="s">
        <v>310</v>
      </c>
      <c r="B273" s="405" t="s">
        <v>26707</v>
      </c>
      <c r="C273" s="405" t="s">
        <v>327</v>
      </c>
      <c r="D273" s="405"/>
      <c r="E273" s="410">
        <v>44849</v>
      </c>
      <c r="F273" s="410">
        <v>44862</v>
      </c>
      <c r="G273" s="405" t="s">
        <v>26708</v>
      </c>
      <c r="H273" s="405" t="s">
        <v>26709</v>
      </c>
      <c r="I273" s="405"/>
      <c r="J273" s="405">
        <v>-0.85003700000000004</v>
      </c>
      <c r="K273" s="405">
        <v>29.930273</v>
      </c>
      <c r="L273" s="405" t="s">
        <v>590</v>
      </c>
      <c r="M273" s="405" t="s">
        <v>19619</v>
      </c>
      <c r="N273" s="405" t="s">
        <v>19620</v>
      </c>
      <c r="O273" s="405" t="s">
        <v>2430</v>
      </c>
      <c r="P273" s="405" t="s">
        <v>26710</v>
      </c>
      <c r="Q273" s="411">
        <v>13</v>
      </c>
      <c r="R273" s="405" t="s">
        <v>26711</v>
      </c>
      <c r="S273" s="405" t="s">
        <v>27095</v>
      </c>
      <c r="T273" s="405" t="s">
        <v>884</v>
      </c>
      <c r="U273" s="405" t="s">
        <v>319</v>
      </c>
    </row>
    <row r="274" spans="1:21" x14ac:dyDescent="0.25">
      <c r="A274" s="405" t="s">
        <v>310</v>
      </c>
      <c r="B274" s="405" t="s">
        <v>26803</v>
      </c>
      <c r="C274" s="405" t="s">
        <v>327</v>
      </c>
      <c r="D274" s="405"/>
      <c r="E274" s="410">
        <v>44849</v>
      </c>
      <c r="F274" s="410">
        <v>44881</v>
      </c>
      <c r="G274" s="405" t="s">
        <v>26804</v>
      </c>
      <c r="H274" s="405" t="s">
        <v>26805</v>
      </c>
      <c r="I274" s="405"/>
      <c r="J274" s="405">
        <v>-0.65313200000000005</v>
      </c>
      <c r="K274" s="405">
        <v>30.484183999999999</v>
      </c>
      <c r="L274" s="405" t="s">
        <v>590</v>
      </c>
      <c r="M274" s="405" t="s">
        <v>25683</v>
      </c>
      <c r="N274" s="405" t="s">
        <v>20015</v>
      </c>
      <c r="O274" s="405" t="s">
        <v>20015</v>
      </c>
      <c r="P274" s="405" t="s">
        <v>19625</v>
      </c>
      <c r="Q274" s="411">
        <v>9</v>
      </c>
      <c r="R274" s="405" t="s">
        <v>32166</v>
      </c>
      <c r="S274" s="405" t="s">
        <v>27102</v>
      </c>
      <c r="T274" s="405" t="s">
        <v>884</v>
      </c>
      <c r="U274" s="405" t="s">
        <v>319</v>
      </c>
    </row>
    <row r="275" spans="1:21" x14ac:dyDescent="0.25">
      <c r="A275" s="405" t="s">
        <v>310</v>
      </c>
      <c r="B275" s="405" t="s">
        <v>18099</v>
      </c>
      <c r="C275" s="405" t="s">
        <v>327</v>
      </c>
      <c r="D275" s="405"/>
      <c r="E275" s="410">
        <v>44849</v>
      </c>
      <c r="F275" s="410">
        <v>44897</v>
      </c>
      <c r="G275" s="405" t="s">
        <v>18100</v>
      </c>
      <c r="H275" s="405" t="s">
        <v>18101</v>
      </c>
      <c r="I275" s="405"/>
      <c r="J275" s="405">
        <v>1.130253</v>
      </c>
      <c r="K275" s="405">
        <v>34.349823000000001</v>
      </c>
      <c r="L275" s="405" t="s">
        <v>6866</v>
      </c>
      <c r="M275" s="405" t="s">
        <v>9575</v>
      </c>
      <c r="N275" s="405" t="s">
        <v>9576</v>
      </c>
      <c r="O275" s="405" t="s">
        <v>17992</v>
      </c>
      <c r="P275" s="405" t="s">
        <v>18102</v>
      </c>
      <c r="Q275" s="411">
        <v>4</v>
      </c>
      <c r="R275" s="405" t="s">
        <v>17977</v>
      </c>
      <c r="S275" s="405" t="s">
        <v>27085</v>
      </c>
      <c r="T275" s="405" t="s">
        <v>32102</v>
      </c>
      <c r="U275" s="405" t="s">
        <v>319</v>
      </c>
    </row>
    <row r="276" spans="1:21" x14ac:dyDescent="0.25">
      <c r="A276" s="405" t="s">
        <v>310</v>
      </c>
      <c r="B276" s="413" t="s">
        <v>17998</v>
      </c>
      <c r="C276" s="413" t="s">
        <v>327</v>
      </c>
      <c r="D276" s="413"/>
      <c r="E276" s="418">
        <v>44846</v>
      </c>
      <c r="F276" s="418">
        <v>44862</v>
      </c>
      <c r="G276" s="413" t="s">
        <v>17999</v>
      </c>
      <c r="H276" s="405" t="s">
        <v>18000</v>
      </c>
      <c r="I276" s="405"/>
      <c r="J276" s="405">
        <v>1.3894329999999999</v>
      </c>
      <c r="K276" s="405">
        <v>34.334833000000003</v>
      </c>
      <c r="L276" s="405" t="s">
        <v>6866</v>
      </c>
      <c r="M276" s="405" t="s">
        <v>9550</v>
      </c>
      <c r="N276" s="405" t="s">
        <v>18001</v>
      </c>
      <c r="O276" s="405" t="s">
        <v>18002</v>
      </c>
      <c r="P276" s="405" t="s">
        <v>18003</v>
      </c>
      <c r="Q276" s="411">
        <v>9</v>
      </c>
      <c r="R276" s="405" t="s">
        <v>17977</v>
      </c>
      <c r="S276" s="405" t="s">
        <v>27072</v>
      </c>
      <c r="T276" s="405" t="s">
        <v>884</v>
      </c>
      <c r="U276" s="405" t="s">
        <v>319</v>
      </c>
    </row>
    <row r="277" spans="1:21" x14ac:dyDescent="0.25">
      <c r="A277" s="405" t="s">
        <v>310</v>
      </c>
      <c r="B277" s="405" t="s">
        <v>26739</v>
      </c>
      <c r="C277" s="405" t="s">
        <v>327</v>
      </c>
      <c r="D277" s="405"/>
      <c r="E277" s="410">
        <v>44845</v>
      </c>
      <c r="F277" s="410">
        <v>44860</v>
      </c>
      <c r="G277" s="405" t="s">
        <v>26740</v>
      </c>
      <c r="H277" s="405" t="s">
        <v>26741</v>
      </c>
      <c r="I277" s="405"/>
      <c r="J277" s="405">
        <v>1.1934009999999999</v>
      </c>
      <c r="K277" s="405">
        <v>31.792425999999999</v>
      </c>
      <c r="L277" s="405" t="s">
        <v>590</v>
      </c>
      <c r="M277" s="405" t="s">
        <v>7300</v>
      </c>
      <c r="N277" s="405" t="s">
        <v>3545</v>
      </c>
      <c r="O277" s="405" t="s">
        <v>1360</v>
      </c>
      <c r="P277" s="405" t="s">
        <v>3549</v>
      </c>
      <c r="Q277" s="411">
        <v>7</v>
      </c>
      <c r="R277" s="405" t="s">
        <v>9490</v>
      </c>
      <c r="S277" s="405" t="s">
        <v>27070</v>
      </c>
      <c r="T277" s="405" t="s">
        <v>884</v>
      </c>
      <c r="U277" s="405" t="s">
        <v>319</v>
      </c>
    </row>
    <row r="278" spans="1:21" x14ac:dyDescent="0.25">
      <c r="A278" s="405" t="s">
        <v>310</v>
      </c>
      <c r="B278" s="405" t="s">
        <v>9462</v>
      </c>
      <c r="C278" s="405" t="s">
        <v>327</v>
      </c>
      <c r="D278" s="405"/>
      <c r="E278" s="410">
        <v>44845</v>
      </c>
      <c r="F278" s="410">
        <v>44915</v>
      </c>
      <c r="G278" s="405" t="s">
        <v>9463</v>
      </c>
      <c r="H278" s="405" t="s">
        <v>9464</v>
      </c>
      <c r="I278" s="405"/>
      <c r="J278" s="405">
        <v>0.73097500000000004</v>
      </c>
      <c r="K278" s="405">
        <v>32.269204999999999</v>
      </c>
      <c r="L278" s="405" t="s">
        <v>314</v>
      </c>
      <c r="M278" s="405" t="s">
        <v>2297</v>
      </c>
      <c r="N278" s="405" t="s">
        <v>7248</v>
      </c>
      <c r="O278" s="405" t="s">
        <v>9465</v>
      </c>
      <c r="P278" s="405" t="s">
        <v>9466</v>
      </c>
      <c r="Q278" s="411">
        <v>6</v>
      </c>
      <c r="R278" s="405" t="s">
        <v>9408</v>
      </c>
      <c r="S278" s="405" t="s">
        <v>27038</v>
      </c>
      <c r="T278" s="405" t="s">
        <v>884</v>
      </c>
      <c r="U278" s="405" t="s">
        <v>319</v>
      </c>
    </row>
    <row r="279" spans="1:21" x14ac:dyDescent="0.25">
      <c r="A279" s="405" t="s">
        <v>310</v>
      </c>
      <c r="B279" s="405" t="s">
        <v>26861</v>
      </c>
      <c r="C279" s="405" t="s">
        <v>327</v>
      </c>
      <c r="D279" s="405"/>
      <c r="E279" s="410">
        <v>44845</v>
      </c>
      <c r="F279" s="410">
        <v>44875</v>
      </c>
      <c r="G279" s="405" t="s">
        <v>26862</v>
      </c>
      <c r="H279" s="405" t="s">
        <v>26863</v>
      </c>
      <c r="I279" s="405"/>
      <c r="J279" s="405">
        <v>0.40748000000000001</v>
      </c>
      <c r="K279" s="405">
        <v>30.226734</v>
      </c>
      <c r="L279" s="405" t="s">
        <v>590</v>
      </c>
      <c r="M279" s="405" t="s">
        <v>24733</v>
      </c>
      <c r="N279" s="405" t="s">
        <v>24733</v>
      </c>
      <c r="O279" s="405" t="s">
        <v>20868</v>
      </c>
      <c r="P279" s="405" t="s">
        <v>26864</v>
      </c>
      <c r="Q279" s="411">
        <v>6</v>
      </c>
      <c r="R279" s="405" t="s">
        <v>9408</v>
      </c>
      <c r="S279" s="405" t="s">
        <v>27042</v>
      </c>
      <c r="T279" s="405" t="s">
        <v>32102</v>
      </c>
      <c r="U279" s="405" t="s">
        <v>319</v>
      </c>
    </row>
    <row r="280" spans="1:21" x14ac:dyDescent="0.25">
      <c r="A280" s="405" t="s">
        <v>310</v>
      </c>
      <c r="B280" s="405" t="s">
        <v>17994</v>
      </c>
      <c r="C280" s="405" t="s">
        <v>327</v>
      </c>
      <c r="D280" s="405"/>
      <c r="E280" s="410">
        <v>44845</v>
      </c>
      <c r="F280" s="410">
        <v>44858</v>
      </c>
      <c r="G280" s="405" t="s">
        <v>17995</v>
      </c>
      <c r="H280" s="405" t="s">
        <v>17996</v>
      </c>
      <c r="I280" s="405"/>
      <c r="J280" s="405">
        <v>1.127845</v>
      </c>
      <c r="K280" s="405">
        <v>34.349865000000001</v>
      </c>
      <c r="L280" s="405" t="s">
        <v>6866</v>
      </c>
      <c r="M280" s="405" t="s">
        <v>9575</v>
      </c>
      <c r="N280" s="405" t="s">
        <v>9576</v>
      </c>
      <c r="O280" s="405" t="s">
        <v>17992</v>
      </c>
      <c r="P280" s="405" t="s">
        <v>17997</v>
      </c>
      <c r="Q280" s="411">
        <v>6</v>
      </c>
      <c r="R280" s="405" t="s">
        <v>17977</v>
      </c>
      <c r="S280" s="405" t="s">
        <v>27075</v>
      </c>
      <c r="T280" s="405" t="s">
        <v>32102</v>
      </c>
      <c r="U280" s="405" t="s">
        <v>319</v>
      </c>
    </row>
    <row r="281" spans="1:21" x14ac:dyDescent="0.25">
      <c r="A281" s="405" t="s">
        <v>310</v>
      </c>
      <c r="B281" s="405" t="s">
        <v>17989</v>
      </c>
      <c r="C281" s="405" t="s">
        <v>327</v>
      </c>
      <c r="D281" s="405"/>
      <c r="E281" s="410">
        <v>44845</v>
      </c>
      <c r="F281" s="410">
        <v>44864</v>
      </c>
      <c r="G281" s="405" t="s">
        <v>17990</v>
      </c>
      <c r="H281" s="405" t="s">
        <v>17991</v>
      </c>
      <c r="I281" s="405"/>
      <c r="J281" s="405">
        <v>1.122965</v>
      </c>
      <c r="K281" s="405">
        <v>34.348748000000001</v>
      </c>
      <c r="L281" s="405" t="s">
        <v>6866</v>
      </c>
      <c r="M281" s="405" t="s">
        <v>9575</v>
      </c>
      <c r="N281" s="405" t="s">
        <v>9576</v>
      </c>
      <c r="O281" s="405" t="s">
        <v>17992</v>
      </c>
      <c r="P281" s="405" t="s">
        <v>17993</v>
      </c>
      <c r="Q281" s="411">
        <v>4</v>
      </c>
      <c r="R281" s="405" t="s">
        <v>17977</v>
      </c>
      <c r="S281" s="405" t="s">
        <v>27074</v>
      </c>
      <c r="T281" s="405" t="s">
        <v>884</v>
      </c>
      <c r="U281" s="405" t="s">
        <v>319</v>
      </c>
    </row>
    <row r="282" spans="1:21" x14ac:dyDescent="0.25">
      <c r="A282" s="405" t="s">
        <v>310</v>
      </c>
      <c r="B282" s="405" t="s">
        <v>26806</v>
      </c>
      <c r="C282" s="405" t="s">
        <v>327</v>
      </c>
      <c r="D282" s="405"/>
      <c r="E282" s="410">
        <v>44844</v>
      </c>
      <c r="F282" s="410">
        <v>44875</v>
      </c>
      <c r="G282" s="405" t="s">
        <v>26807</v>
      </c>
      <c r="H282" s="405" t="s">
        <v>26808</v>
      </c>
      <c r="I282" s="405"/>
      <c r="J282" s="405">
        <v>-0.50436700000000001</v>
      </c>
      <c r="K282" s="405">
        <v>30.070208000000001</v>
      </c>
      <c r="L282" s="405" t="s">
        <v>590</v>
      </c>
      <c r="M282" s="405" t="s">
        <v>19625</v>
      </c>
      <c r="N282" s="405" t="s">
        <v>22016</v>
      </c>
      <c r="O282" s="405" t="s">
        <v>19639</v>
      </c>
      <c r="P282" s="405" t="s">
        <v>26809</v>
      </c>
      <c r="Q282" s="411">
        <v>9</v>
      </c>
      <c r="R282" s="405" t="s">
        <v>883</v>
      </c>
      <c r="S282" s="405" t="s">
        <v>27096</v>
      </c>
      <c r="T282" s="405" t="s">
        <v>884</v>
      </c>
      <c r="U282" s="405" t="s">
        <v>319</v>
      </c>
    </row>
    <row r="283" spans="1:21" x14ac:dyDescent="0.25">
      <c r="A283" s="405" t="s">
        <v>310</v>
      </c>
      <c r="B283" s="405" t="s">
        <v>26854</v>
      </c>
      <c r="C283" s="405" t="s">
        <v>327</v>
      </c>
      <c r="D283" s="405"/>
      <c r="E283" s="410">
        <v>44844</v>
      </c>
      <c r="F283" s="410">
        <v>44870</v>
      </c>
      <c r="G283" s="405" t="s">
        <v>26855</v>
      </c>
      <c r="H283" s="405" t="s">
        <v>26856</v>
      </c>
      <c r="I283" s="405"/>
      <c r="J283" s="405">
        <v>0.73307699999999998</v>
      </c>
      <c r="K283" s="405">
        <v>30.337240000000001</v>
      </c>
      <c r="L283" s="405" t="s">
        <v>590</v>
      </c>
      <c r="M283" s="405" t="s">
        <v>20125</v>
      </c>
      <c r="N283" s="405" t="s">
        <v>20125</v>
      </c>
      <c r="O283" s="405" t="s">
        <v>20862</v>
      </c>
      <c r="P283" s="405" t="s">
        <v>26000</v>
      </c>
      <c r="Q283" s="411">
        <v>6</v>
      </c>
      <c r="R283" s="405" t="s">
        <v>9408</v>
      </c>
      <c r="S283" s="405" t="s">
        <v>27041</v>
      </c>
      <c r="T283" s="405" t="s">
        <v>32102</v>
      </c>
      <c r="U283" s="405" t="s">
        <v>319</v>
      </c>
    </row>
    <row r="284" spans="1:21" x14ac:dyDescent="0.25">
      <c r="A284" s="405" t="s">
        <v>310</v>
      </c>
      <c r="B284" s="405" t="s">
        <v>26770</v>
      </c>
      <c r="C284" s="405" t="s">
        <v>327</v>
      </c>
      <c r="D284" s="405"/>
      <c r="E284" s="410">
        <v>44844</v>
      </c>
      <c r="F284" s="410">
        <v>44858</v>
      </c>
      <c r="G284" s="405" t="s">
        <v>26771</v>
      </c>
      <c r="H284" s="405" t="s">
        <v>26772</v>
      </c>
      <c r="I284" s="405"/>
      <c r="J284" s="405">
        <v>-0.27742299999999998</v>
      </c>
      <c r="K284" s="405">
        <v>31.26314</v>
      </c>
      <c r="L284" s="405" t="s">
        <v>590</v>
      </c>
      <c r="M284" s="405" t="s">
        <v>19614</v>
      </c>
      <c r="N284" s="405" t="s">
        <v>3796</v>
      </c>
      <c r="O284" s="405" t="s">
        <v>3796</v>
      </c>
      <c r="P284" s="405" t="s">
        <v>3796</v>
      </c>
      <c r="Q284" s="411">
        <v>6</v>
      </c>
      <c r="R284" s="405" t="s">
        <v>7211</v>
      </c>
      <c r="S284" s="405" t="s">
        <v>27094</v>
      </c>
      <c r="T284" s="405" t="s">
        <v>32102</v>
      </c>
      <c r="U284" s="405" t="s">
        <v>319</v>
      </c>
    </row>
    <row r="285" spans="1:21" x14ac:dyDescent="0.25">
      <c r="A285" s="405" t="s">
        <v>310</v>
      </c>
      <c r="B285" s="405" t="s">
        <v>18031</v>
      </c>
      <c r="C285" s="405" t="s">
        <v>327</v>
      </c>
      <c r="D285" s="405"/>
      <c r="E285" s="410">
        <v>44844</v>
      </c>
      <c r="F285" s="410">
        <v>44866</v>
      </c>
      <c r="G285" s="405" t="s">
        <v>18032</v>
      </c>
      <c r="H285" s="405" t="s">
        <v>18033</v>
      </c>
      <c r="I285" s="405"/>
      <c r="J285" s="405">
        <v>1.127022</v>
      </c>
      <c r="K285" s="405">
        <v>34.260885000000002</v>
      </c>
      <c r="L285" s="405" t="s">
        <v>6866</v>
      </c>
      <c r="M285" s="405" t="s">
        <v>9575</v>
      </c>
      <c r="N285" s="405" t="s">
        <v>9576</v>
      </c>
      <c r="O285" s="405" t="s">
        <v>18024</v>
      </c>
      <c r="P285" s="405" t="s">
        <v>18034</v>
      </c>
      <c r="Q285" s="411">
        <v>4</v>
      </c>
      <c r="R285" s="405" t="s">
        <v>17977</v>
      </c>
      <c r="S285" s="405" t="s">
        <v>27078</v>
      </c>
      <c r="T285" s="405" t="s">
        <v>884</v>
      </c>
      <c r="U285" s="405" t="s">
        <v>319</v>
      </c>
    </row>
    <row r="286" spans="1:21" x14ac:dyDescent="0.25">
      <c r="A286" s="405" t="s">
        <v>310</v>
      </c>
      <c r="B286" s="405" t="s">
        <v>26836</v>
      </c>
      <c r="C286" s="405" t="s">
        <v>311</v>
      </c>
      <c r="D286" s="405" t="s">
        <v>32997</v>
      </c>
      <c r="E286" s="410">
        <v>44843</v>
      </c>
      <c r="F286" s="410">
        <v>44893</v>
      </c>
      <c r="G286" s="405" t="s">
        <v>26837</v>
      </c>
      <c r="H286" s="405" t="s">
        <v>26838</v>
      </c>
      <c r="I286" s="405"/>
      <c r="J286" s="405">
        <v>-0.27119500000000002</v>
      </c>
      <c r="K286" s="405">
        <v>31.221236999999999</v>
      </c>
      <c r="L286" s="405" t="s">
        <v>590</v>
      </c>
      <c r="M286" s="405" t="s">
        <v>19614</v>
      </c>
      <c r="N286" s="405" t="s">
        <v>26791</v>
      </c>
      <c r="O286" s="405" t="s">
        <v>3715</v>
      </c>
      <c r="P286" s="405" t="s">
        <v>3715</v>
      </c>
      <c r="Q286" s="411">
        <v>6</v>
      </c>
      <c r="R286" s="405" t="s">
        <v>7211</v>
      </c>
      <c r="S286" s="405" t="s">
        <v>6918</v>
      </c>
      <c r="T286" s="405" t="s">
        <v>884</v>
      </c>
      <c r="U286" s="405" t="s">
        <v>319</v>
      </c>
    </row>
    <row r="287" spans="1:21" x14ac:dyDescent="0.25">
      <c r="A287" s="405" t="s">
        <v>310</v>
      </c>
      <c r="B287" s="405" t="s">
        <v>26799</v>
      </c>
      <c r="C287" s="405" t="s">
        <v>327</v>
      </c>
      <c r="D287" s="405"/>
      <c r="E287" s="410">
        <v>44843</v>
      </c>
      <c r="F287" s="410">
        <v>44852</v>
      </c>
      <c r="G287" s="405" t="s">
        <v>26800</v>
      </c>
      <c r="H287" s="405" t="s">
        <v>26801</v>
      </c>
      <c r="I287" s="405"/>
      <c r="J287" s="405">
        <v>-6.1241999999999998E-2</v>
      </c>
      <c r="K287" s="405">
        <v>31.531077</v>
      </c>
      <c r="L287" s="405" t="s">
        <v>590</v>
      </c>
      <c r="M287" s="405" t="s">
        <v>343</v>
      </c>
      <c r="N287" s="405" t="s">
        <v>26796</v>
      </c>
      <c r="O287" s="405" t="s">
        <v>26802</v>
      </c>
      <c r="P287" s="405" t="s">
        <v>4391</v>
      </c>
      <c r="Q287" s="411">
        <v>6</v>
      </c>
      <c r="R287" s="405" t="s">
        <v>7211</v>
      </c>
      <c r="S287" s="405" t="s">
        <v>27101</v>
      </c>
      <c r="T287" s="405" t="s">
        <v>884</v>
      </c>
      <c r="U287" s="405" t="s">
        <v>319</v>
      </c>
    </row>
    <row r="288" spans="1:21" x14ac:dyDescent="0.25">
      <c r="A288" s="405" t="s">
        <v>310</v>
      </c>
      <c r="B288" s="405" t="s">
        <v>26720</v>
      </c>
      <c r="C288" s="405" t="s">
        <v>327</v>
      </c>
      <c r="D288" s="405"/>
      <c r="E288" s="410">
        <v>44842</v>
      </c>
      <c r="F288" s="410">
        <v>44859</v>
      </c>
      <c r="G288" s="405" t="s">
        <v>26721</v>
      </c>
      <c r="H288" s="405" t="s">
        <v>26722</v>
      </c>
      <c r="I288" s="405"/>
      <c r="J288" s="405">
        <v>-0.200488</v>
      </c>
      <c r="K288" s="405">
        <v>30.510612999999999</v>
      </c>
      <c r="L288" s="405" t="s">
        <v>590</v>
      </c>
      <c r="M288" s="405" t="s">
        <v>870</v>
      </c>
      <c r="N288" s="405" t="s">
        <v>870</v>
      </c>
      <c r="O288" s="405" t="s">
        <v>26723</v>
      </c>
      <c r="P288" s="405" t="s">
        <v>26724</v>
      </c>
      <c r="Q288" s="411">
        <v>13</v>
      </c>
      <c r="R288" s="405" t="s">
        <v>883</v>
      </c>
      <c r="S288" s="405" t="s">
        <v>27097</v>
      </c>
      <c r="T288" s="405" t="s">
        <v>884</v>
      </c>
      <c r="U288" s="405" t="s">
        <v>319</v>
      </c>
    </row>
    <row r="289" spans="1:21" x14ac:dyDescent="0.25">
      <c r="A289" s="405" t="s">
        <v>310</v>
      </c>
      <c r="B289" s="405" t="s">
        <v>26826</v>
      </c>
      <c r="C289" s="405" t="s">
        <v>327</v>
      </c>
      <c r="D289" s="405"/>
      <c r="E289" s="410">
        <v>44842</v>
      </c>
      <c r="F289" s="410">
        <v>44876</v>
      </c>
      <c r="G289" s="405" t="s">
        <v>26827</v>
      </c>
      <c r="H289" s="405" t="s">
        <v>26828</v>
      </c>
      <c r="I289" s="405"/>
      <c r="J289" s="405">
        <v>-0.247727</v>
      </c>
      <c r="K289" s="405">
        <v>30.608433000000002</v>
      </c>
      <c r="L289" s="405" t="s">
        <v>590</v>
      </c>
      <c r="M289" s="405" t="s">
        <v>19705</v>
      </c>
      <c r="N289" s="405" t="s">
        <v>26829</v>
      </c>
      <c r="O289" s="405" t="s">
        <v>26829</v>
      </c>
      <c r="P289" s="405" t="s">
        <v>26829</v>
      </c>
      <c r="Q289" s="411">
        <v>9</v>
      </c>
      <c r="R289" s="405" t="s">
        <v>874</v>
      </c>
      <c r="S289" s="405" t="s">
        <v>27063</v>
      </c>
      <c r="T289" s="405" t="s">
        <v>884</v>
      </c>
      <c r="U289" s="405" t="s">
        <v>319</v>
      </c>
    </row>
    <row r="290" spans="1:21" x14ac:dyDescent="0.25">
      <c r="A290" s="405" t="s">
        <v>310</v>
      </c>
      <c r="B290" s="405" t="s">
        <v>18035</v>
      </c>
      <c r="C290" s="405" t="s">
        <v>327</v>
      </c>
      <c r="D290" s="405"/>
      <c r="E290" s="410">
        <v>44842</v>
      </c>
      <c r="F290" s="410">
        <v>44893</v>
      </c>
      <c r="G290" s="405" t="s">
        <v>18036</v>
      </c>
      <c r="H290" s="405" t="s">
        <v>18037</v>
      </c>
      <c r="I290" s="405"/>
      <c r="J290" s="405">
        <v>1.1259749999999999</v>
      </c>
      <c r="K290" s="405">
        <v>34.352128</v>
      </c>
      <c r="L290" s="405" t="s">
        <v>6866</v>
      </c>
      <c r="M290" s="405" t="s">
        <v>9575</v>
      </c>
      <c r="N290" s="405" t="s">
        <v>9576</v>
      </c>
      <c r="O290" s="405" t="s">
        <v>18038</v>
      </c>
      <c r="P290" s="405" t="s">
        <v>18039</v>
      </c>
      <c r="Q290" s="411">
        <v>4</v>
      </c>
      <c r="R290" s="405" t="s">
        <v>17977</v>
      </c>
      <c r="S290" s="405" t="s">
        <v>27079</v>
      </c>
      <c r="T290" s="405" t="s">
        <v>884</v>
      </c>
      <c r="U290" s="405" t="s">
        <v>319</v>
      </c>
    </row>
    <row r="291" spans="1:21" x14ac:dyDescent="0.25">
      <c r="A291" s="405" t="s">
        <v>310</v>
      </c>
      <c r="B291" s="405" t="s">
        <v>26735</v>
      </c>
      <c r="C291" s="405" t="s">
        <v>327</v>
      </c>
      <c r="D291" s="405"/>
      <c r="E291" s="410">
        <v>44840</v>
      </c>
      <c r="F291" s="410">
        <v>44855</v>
      </c>
      <c r="G291" s="405" t="s">
        <v>26736</v>
      </c>
      <c r="H291" s="405" t="s">
        <v>26737</v>
      </c>
      <c r="I291" s="405"/>
      <c r="J291" s="405">
        <v>1.4440230000000001</v>
      </c>
      <c r="K291" s="405">
        <v>31.347963</v>
      </c>
      <c r="L291" s="405" t="s">
        <v>590</v>
      </c>
      <c r="M291" s="405" t="s">
        <v>7300</v>
      </c>
      <c r="N291" s="405" t="s">
        <v>17919</v>
      </c>
      <c r="O291" s="405" t="s">
        <v>26738</v>
      </c>
      <c r="P291" s="405" t="s">
        <v>20093</v>
      </c>
      <c r="Q291" s="411">
        <v>7</v>
      </c>
      <c r="R291" s="405" t="s">
        <v>9490</v>
      </c>
      <c r="S291" s="405" t="s">
        <v>27070</v>
      </c>
      <c r="T291" s="405" t="s">
        <v>884</v>
      </c>
      <c r="U291" s="405" t="s">
        <v>319</v>
      </c>
    </row>
    <row r="292" spans="1:21" x14ac:dyDescent="0.25">
      <c r="A292" s="405" t="s">
        <v>310</v>
      </c>
      <c r="B292" s="405" t="s">
        <v>26872</v>
      </c>
      <c r="C292" s="405" t="s">
        <v>327</v>
      </c>
      <c r="D292" s="405"/>
      <c r="E292" s="410">
        <v>44839</v>
      </c>
      <c r="F292" s="410">
        <v>44872</v>
      </c>
      <c r="G292" s="405" t="s">
        <v>26873</v>
      </c>
      <c r="H292" s="405" t="s">
        <v>26874</v>
      </c>
      <c r="I292" s="405"/>
      <c r="J292" s="405">
        <v>0.62908900000000001</v>
      </c>
      <c r="K292" s="405">
        <v>30.521253000000002</v>
      </c>
      <c r="L292" s="405" t="s">
        <v>590</v>
      </c>
      <c r="M292" s="405" t="s">
        <v>20426</v>
      </c>
      <c r="N292" s="405" t="s">
        <v>20426</v>
      </c>
      <c r="O292" s="405" t="s">
        <v>26875</v>
      </c>
      <c r="P292" s="405" t="s">
        <v>26876</v>
      </c>
      <c r="Q292" s="411">
        <v>13</v>
      </c>
      <c r="R292" s="405" t="s">
        <v>9408</v>
      </c>
      <c r="S292" s="405" t="s">
        <v>27041</v>
      </c>
      <c r="T292" s="405" t="s">
        <v>884</v>
      </c>
      <c r="U292" s="405" t="s">
        <v>319</v>
      </c>
    </row>
    <row r="293" spans="1:21" x14ac:dyDescent="0.25">
      <c r="A293" s="405" t="s">
        <v>310</v>
      </c>
      <c r="B293" s="405" t="s">
        <v>26930</v>
      </c>
      <c r="C293" s="405" t="s">
        <v>327</v>
      </c>
      <c r="D293" s="405"/>
      <c r="E293" s="410">
        <v>44839</v>
      </c>
      <c r="F293" s="410">
        <v>44907</v>
      </c>
      <c r="G293" s="405" t="s">
        <v>26931</v>
      </c>
      <c r="H293" s="405" t="s">
        <v>26932</v>
      </c>
      <c r="I293" s="405"/>
      <c r="J293" s="405">
        <v>0.60515200000000002</v>
      </c>
      <c r="K293" s="405">
        <v>30.602371999999999</v>
      </c>
      <c r="L293" s="405" t="s">
        <v>590</v>
      </c>
      <c r="M293" s="405" t="s">
        <v>20426</v>
      </c>
      <c r="N293" s="405" t="s">
        <v>20426</v>
      </c>
      <c r="O293" s="405" t="s">
        <v>20744</v>
      </c>
      <c r="P293" s="405" t="s">
        <v>26933</v>
      </c>
      <c r="Q293" s="411">
        <v>6</v>
      </c>
      <c r="R293" s="405" t="s">
        <v>9408</v>
      </c>
      <c r="S293" s="405" t="s">
        <v>27042</v>
      </c>
      <c r="T293" s="405" t="s">
        <v>884</v>
      </c>
      <c r="U293" s="405" t="s">
        <v>319</v>
      </c>
    </row>
    <row r="294" spans="1:21" x14ac:dyDescent="0.25">
      <c r="A294" s="405" t="s">
        <v>310</v>
      </c>
      <c r="B294" s="405" t="s">
        <v>26934</v>
      </c>
      <c r="C294" s="405" t="s">
        <v>327</v>
      </c>
      <c r="D294" s="405"/>
      <c r="E294" s="410">
        <v>44839</v>
      </c>
      <c r="F294" s="410">
        <v>44907</v>
      </c>
      <c r="G294" s="405" t="s">
        <v>26935</v>
      </c>
      <c r="H294" s="405" t="s">
        <v>26936</v>
      </c>
      <c r="I294" s="405"/>
      <c r="J294" s="405">
        <v>0.53047</v>
      </c>
      <c r="K294" s="405">
        <v>32.486333999999999</v>
      </c>
      <c r="L294" s="405" t="s">
        <v>590</v>
      </c>
      <c r="M294" s="405" t="s">
        <v>24720</v>
      </c>
      <c r="N294" s="405" t="s">
        <v>24720</v>
      </c>
      <c r="O294" s="405" t="s">
        <v>26937</v>
      </c>
      <c r="P294" s="405" t="s">
        <v>26938</v>
      </c>
      <c r="Q294" s="411">
        <v>6</v>
      </c>
      <c r="R294" s="405" t="s">
        <v>9408</v>
      </c>
      <c r="S294" s="405" t="s">
        <v>27042</v>
      </c>
      <c r="T294" s="405" t="s">
        <v>884</v>
      </c>
      <c r="U294" s="405" t="s">
        <v>319</v>
      </c>
    </row>
    <row r="295" spans="1:21" x14ac:dyDescent="0.25">
      <c r="A295" s="405" t="s">
        <v>310</v>
      </c>
      <c r="B295" s="405" t="s">
        <v>26857</v>
      </c>
      <c r="C295" s="405" t="s">
        <v>327</v>
      </c>
      <c r="D295" s="405"/>
      <c r="E295" s="410">
        <v>44839</v>
      </c>
      <c r="F295" s="410">
        <v>44876</v>
      </c>
      <c r="G295" s="405" t="s">
        <v>26858</v>
      </c>
      <c r="H295" s="405" t="s">
        <v>26859</v>
      </c>
      <c r="I295" s="405"/>
      <c r="J295" s="405">
        <v>0.57326200000000005</v>
      </c>
      <c r="K295" s="405">
        <v>30.193054</v>
      </c>
      <c r="L295" s="405" t="s">
        <v>590</v>
      </c>
      <c r="M295" s="405" t="s">
        <v>24733</v>
      </c>
      <c r="N295" s="405" t="s">
        <v>20966</v>
      </c>
      <c r="O295" s="405" t="s">
        <v>20966</v>
      </c>
      <c r="P295" s="405" t="s">
        <v>26860</v>
      </c>
      <c r="Q295" s="411">
        <v>6</v>
      </c>
      <c r="R295" s="405" t="s">
        <v>9408</v>
      </c>
      <c r="S295" s="405" t="s">
        <v>27042</v>
      </c>
      <c r="T295" s="405" t="s">
        <v>884</v>
      </c>
      <c r="U295" s="405" t="s">
        <v>319</v>
      </c>
    </row>
    <row r="296" spans="1:21" x14ac:dyDescent="0.25">
      <c r="A296" s="405" t="s">
        <v>310</v>
      </c>
      <c r="B296" s="405" t="s">
        <v>26810</v>
      </c>
      <c r="C296" s="405" t="s">
        <v>311</v>
      </c>
      <c r="D296" s="405" t="s">
        <v>6148</v>
      </c>
      <c r="E296" s="410">
        <v>44836</v>
      </c>
      <c r="F296" s="410">
        <v>44880</v>
      </c>
      <c r="G296" s="405" t="s">
        <v>26811</v>
      </c>
      <c r="H296" s="405" t="s">
        <v>26812</v>
      </c>
      <c r="I296" s="405"/>
      <c r="J296" s="405">
        <v>-0.88507000000000002</v>
      </c>
      <c r="K296" s="405">
        <v>30.023385000000001</v>
      </c>
      <c r="L296" s="405" t="s">
        <v>590</v>
      </c>
      <c r="M296" s="405" t="s">
        <v>19619</v>
      </c>
      <c r="N296" s="405" t="s">
        <v>19620</v>
      </c>
      <c r="O296" s="405" t="s">
        <v>26813</v>
      </c>
      <c r="P296" s="405" t="s">
        <v>26814</v>
      </c>
      <c r="Q296" s="411">
        <v>9</v>
      </c>
      <c r="R296" s="405" t="s">
        <v>6013</v>
      </c>
      <c r="S296" s="405" t="s">
        <v>27098</v>
      </c>
      <c r="T296" s="405" t="s">
        <v>884</v>
      </c>
      <c r="U296" s="405" t="s">
        <v>319</v>
      </c>
    </row>
    <row r="297" spans="1:21" x14ac:dyDescent="0.25">
      <c r="A297" s="405" t="s">
        <v>310</v>
      </c>
      <c r="B297" s="413" t="s">
        <v>26716</v>
      </c>
      <c r="C297" s="413" t="s">
        <v>327</v>
      </c>
      <c r="D297" s="413"/>
      <c r="E297" s="418">
        <v>44834</v>
      </c>
      <c r="F297" s="418">
        <v>44855</v>
      </c>
      <c r="G297" s="413" t="s">
        <v>26717</v>
      </c>
      <c r="H297" s="405" t="s">
        <v>26718</v>
      </c>
      <c r="I297" s="405"/>
      <c r="J297" s="405">
        <v>-0.60701000000000005</v>
      </c>
      <c r="K297" s="405">
        <v>30.223811999999999</v>
      </c>
      <c r="L297" s="405" t="s">
        <v>590</v>
      </c>
      <c r="M297" s="405" t="s">
        <v>19625</v>
      </c>
      <c r="N297" s="405" t="s">
        <v>20342</v>
      </c>
      <c r="O297" s="405" t="s">
        <v>20275</v>
      </c>
      <c r="P297" s="405" t="s">
        <v>26719</v>
      </c>
      <c r="Q297" s="411">
        <v>13</v>
      </c>
      <c r="R297" s="405" t="s">
        <v>883</v>
      </c>
      <c r="S297" s="405" t="s">
        <v>27096</v>
      </c>
      <c r="T297" s="405" t="s">
        <v>884</v>
      </c>
      <c r="U297" s="405" t="s">
        <v>319</v>
      </c>
    </row>
    <row r="298" spans="1:21" x14ac:dyDescent="0.25">
      <c r="A298" s="405" t="s">
        <v>310</v>
      </c>
      <c r="B298" s="413" t="s">
        <v>19581</v>
      </c>
      <c r="C298" s="413" t="s">
        <v>327</v>
      </c>
      <c r="D298" s="413"/>
      <c r="E298" s="418">
        <v>44832</v>
      </c>
      <c r="F298" s="418">
        <v>44857</v>
      </c>
      <c r="G298" s="413" t="s">
        <v>19582</v>
      </c>
      <c r="H298" s="405" t="s">
        <v>19534</v>
      </c>
      <c r="I298" s="405"/>
      <c r="J298" s="405">
        <v>3.4702730000000002</v>
      </c>
      <c r="K298" s="405">
        <v>31.250091999999999</v>
      </c>
      <c r="L298" s="405" t="s">
        <v>860</v>
      </c>
      <c r="M298" s="405" t="s">
        <v>19131</v>
      </c>
      <c r="N298" s="405" t="s">
        <v>19516</v>
      </c>
      <c r="O298" s="405" t="s">
        <v>19583</v>
      </c>
      <c r="P298" s="405" t="s">
        <v>19584</v>
      </c>
      <c r="Q298" s="411">
        <v>6</v>
      </c>
      <c r="R298" s="405" t="s">
        <v>7211</v>
      </c>
      <c r="S298" s="405" t="s">
        <v>6918</v>
      </c>
      <c r="T298" s="405" t="s">
        <v>32102</v>
      </c>
      <c r="U298" s="405" t="s">
        <v>319</v>
      </c>
    </row>
    <row r="299" spans="1:21" x14ac:dyDescent="0.25">
      <c r="A299" s="405" t="s">
        <v>310</v>
      </c>
      <c r="B299" s="405" t="s">
        <v>19575</v>
      </c>
      <c r="C299" s="405" t="s">
        <v>327</v>
      </c>
      <c r="D299" s="405"/>
      <c r="E299" s="410">
        <v>44831</v>
      </c>
      <c r="F299" s="410">
        <v>44864</v>
      </c>
      <c r="G299" s="405" t="s">
        <v>19576</v>
      </c>
      <c r="H299" s="405" t="s">
        <v>19549</v>
      </c>
      <c r="I299" s="405"/>
      <c r="J299" s="405">
        <v>3.39107</v>
      </c>
      <c r="K299" s="405">
        <v>31.034938</v>
      </c>
      <c r="L299" s="405" t="s">
        <v>860</v>
      </c>
      <c r="M299" s="405" t="s">
        <v>19271</v>
      </c>
      <c r="N299" s="405" t="s">
        <v>19403</v>
      </c>
      <c r="O299" s="405" t="s">
        <v>19577</v>
      </c>
      <c r="P299" s="405" t="s">
        <v>19551</v>
      </c>
      <c r="Q299" s="411">
        <v>6</v>
      </c>
      <c r="R299" s="405" t="s">
        <v>7211</v>
      </c>
      <c r="S299" s="405" t="s">
        <v>6918</v>
      </c>
      <c r="T299" s="405" t="s">
        <v>884</v>
      </c>
      <c r="U299" s="405" t="s">
        <v>319</v>
      </c>
    </row>
    <row r="300" spans="1:21" x14ac:dyDescent="0.25">
      <c r="A300" s="405" t="s">
        <v>310</v>
      </c>
      <c r="B300" s="405" t="s">
        <v>19572</v>
      </c>
      <c r="C300" s="405" t="s">
        <v>327</v>
      </c>
      <c r="D300" s="405"/>
      <c r="E300" s="410">
        <v>44831</v>
      </c>
      <c r="F300" s="410">
        <v>44864</v>
      </c>
      <c r="G300" s="405" t="s">
        <v>19573</v>
      </c>
      <c r="H300" s="405" t="s">
        <v>19451</v>
      </c>
      <c r="I300" s="405"/>
      <c r="J300" s="405">
        <v>3.1526580000000002</v>
      </c>
      <c r="K300" s="405">
        <v>30.937635</v>
      </c>
      <c r="L300" s="405" t="s">
        <v>860</v>
      </c>
      <c r="M300" s="405" t="s">
        <v>19408</v>
      </c>
      <c r="N300" s="405" t="s">
        <v>19409</v>
      </c>
      <c r="O300" s="405" t="s">
        <v>19574</v>
      </c>
      <c r="P300" s="405" t="s">
        <v>19163</v>
      </c>
      <c r="Q300" s="411">
        <v>6</v>
      </c>
      <c r="R300" s="405" t="s">
        <v>7211</v>
      </c>
      <c r="S300" s="405" t="s">
        <v>6918</v>
      </c>
      <c r="T300" s="405" t="s">
        <v>884</v>
      </c>
      <c r="U300" s="405" t="s">
        <v>319</v>
      </c>
    </row>
    <row r="301" spans="1:21" x14ac:dyDescent="0.25">
      <c r="A301" s="405" t="s">
        <v>310</v>
      </c>
      <c r="B301" s="405" t="s">
        <v>19578</v>
      </c>
      <c r="C301" s="405" t="s">
        <v>327</v>
      </c>
      <c r="D301" s="405"/>
      <c r="E301" s="410">
        <v>44829</v>
      </c>
      <c r="F301" s="410">
        <v>44859</v>
      </c>
      <c r="G301" s="405" t="s">
        <v>19579</v>
      </c>
      <c r="H301" s="405" t="s">
        <v>19394</v>
      </c>
      <c r="I301" s="405"/>
      <c r="J301" s="405">
        <v>3.3946969999999999</v>
      </c>
      <c r="K301" s="405">
        <v>31.016916999999999</v>
      </c>
      <c r="L301" s="405" t="s">
        <v>860</v>
      </c>
      <c r="M301" s="405" t="s">
        <v>19271</v>
      </c>
      <c r="N301" s="405" t="s">
        <v>19397</v>
      </c>
      <c r="O301" s="405" t="s">
        <v>19580</v>
      </c>
      <c r="P301" s="405" t="s">
        <v>19398</v>
      </c>
      <c r="Q301" s="411">
        <v>6</v>
      </c>
      <c r="R301" s="405" t="s">
        <v>7211</v>
      </c>
      <c r="S301" s="405" t="s">
        <v>6918</v>
      </c>
      <c r="T301" s="405" t="s">
        <v>884</v>
      </c>
      <c r="U301" s="405" t="s">
        <v>319</v>
      </c>
    </row>
    <row r="302" spans="1:21" x14ac:dyDescent="0.25">
      <c r="A302" s="405" t="s">
        <v>310</v>
      </c>
      <c r="B302" s="405" t="s">
        <v>26818</v>
      </c>
      <c r="C302" s="405" t="s">
        <v>327</v>
      </c>
      <c r="D302" s="405"/>
      <c r="E302" s="410">
        <v>44828</v>
      </c>
      <c r="F302" s="410">
        <v>44875</v>
      </c>
      <c r="G302" s="405" t="s">
        <v>26819</v>
      </c>
      <c r="H302" s="405" t="s">
        <v>26820</v>
      </c>
      <c r="I302" s="405"/>
      <c r="J302" s="405">
        <v>0.11126</v>
      </c>
      <c r="K302" s="405">
        <v>30.877321999999999</v>
      </c>
      <c r="L302" s="405" t="s">
        <v>590</v>
      </c>
      <c r="M302" s="405" t="s">
        <v>2250</v>
      </c>
      <c r="N302" s="405" t="s">
        <v>24215</v>
      </c>
      <c r="O302" s="405" t="s">
        <v>26821</v>
      </c>
      <c r="P302" s="405" t="s">
        <v>20161</v>
      </c>
      <c r="Q302" s="411">
        <v>9</v>
      </c>
      <c r="R302" s="405" t="s">
        <v>874</v>
      </c>
      <c r="S302" s="405" t="s">
        <v>27063</v>
      </c>
      <c r="T302" s="405" t="s">
        <v>884</v>
      </c>
      <c r="U302" s="405" t="s">
        <v>319</v>
      </c>
    </row>
    <row r="303" spans="1:21" x14ac:dyDescent="0.25">
      <c r="A303" s="405" t="s">
        <v>310</v>
      </c>
      <c r="B303" s="405" t="s">
        <v>17984</v>
      </c>
      <c r="C303" s="405" t="s">
        <v>327</v>
      </c>
      <c r="D303" s="405"/>
      <c r="E303" s="410">
        <v>44828</v>
      </c>
      <c r="F303" s="410">
        <v>44844</v>
      </c>
      <c r="G303" s="405" t="s">
        <v>17985</v>
      </c>
      <c r="H303" s="405" t="s">
        <v>17986</v>
      </c>
      <c r="I303" s="405"/>
      <c r="J303" s="405">
        <v>0.582117</v>
      </c>
      <c r="K303" s="405">
        <v>33.455058000000001</v>
      </c>
      <c r="L303" s="405" t="s">
        <v>6866</v>
      </c>
      <c r="M303" s="405" t="s">
        <v>10853</v>
      </c>
      <c r="N303" s="405" t="s">
        <v>17987</v>
      </c>
      <c r="O303" s="405" t="s">
        <v>17988</v>
      </c>
      <c r="P303" s="405" t="s">
        <v>3412</v>
      </c>
      <c r="Q303" s="411">
        <v>6</v>
      </c>
      <c r="R303" s="405" t="s">
        <v>32164</v>
      </c>
      <c r="S303" s="405" t="s">
        <v>27054</v>
      </c>
      <c r="T303" s="405" t="s">
        <v>884</v>
      </c>
      <c r="U303" s="405" t="s">
        <v>319</v>
      </c>
    </row>
    <row r="304" spans="1:21" x14ac:dyDescent="0.25">
      <c r="A304" s="405" t="s">
        <v>310</v>
      </c>
      <c r="B304" s="405" t="s">
        <v>26776</v>
      </c>
      <c r="C304" s="405" t="s">
        <v>327</v>
      </c>
      <c r="D304" s="405"/>
      <c r="E304" s="410">
        <v>44828</v>
      </c>
      <c r="F304" s="410">
        <v>44843</v>
      </c>
      <c r="G304" s="405" t="s">
        <v>26777</v>
      </c>
      <c r="H304" s="405" t="s">
        <v>26778</v>
      </c>
      <c r="I304" s="405"/>
      <c r="J304" s="405">
        <v>-0.25388699999999997</v>
      </c>
      <c r="K304" s="405">
        <v>31.216452</v>
      </c>
      <c r="L304" s="405" t="s">
        <v>590</v>
      </c>
      <c r="M304" s="405" t="s">
        <v>19614</v>
      </c>
      <c r="N304" s="405" t="s">
        <v>3796</v>
      </c>
      <c r="O304" s="405" t="s">
        <v>26779</v>
      </c>
      <c r="P304" s="405" t="s">
        <v>26780</v>
      </c>
      <c r="Q304" s="411">
        <v>6</v>
      </c>
      <c r="R304" s="405" t="s">
        <v>7211</v>
      </c>
      <c r="S304" s="405" t="s">
        <v>6918</v>
      </c>
      <c r="T304" s="405" t="s">
        <v>884</v>
      </c>
      <c r="U304" s="405" t="s">
        <v>319</v>
      </c>
    </row>
    <row r="305" spans="1:21" x14ac:dyDescent="0.25">
      <c r="A305" s="405" t="s">
        <v>310</v>
      </c>
      <c r="B305" s="405" t="s">
        <v>26784</v>
      </c>
      <c r="C305" s="405" t="s">
        <v>327</v>
      </c>
      <c r="D305" s="405"/>
      <c r="E305" s="410">
        <v>44827</v>
      </c>
      <c r="F305" s="410">
        <v>44842</v>
      </c>
      <c r="G305" s="405" t="s">
        <v>26785</v>
      </c>
      <c r="H305" s="405" t="s">
        <v>26786</v>
      </c>
      <c r="I305" s="405"/>
      <c r="J305" s="405">
        <v>-0.33307799999999999</v>
      </c>
      <c r="K305" s="405">
        <v>31.150807</v>
      </c>
      <c r="L305" s="405" t="s">
        <v>590</v>
      </c>
      <c r="M305" s="405" t="s">
        <v>19614</v>
      </c>
      <c r="N305" s="405" t="s">
        <v>1120</v>
      </c>
      <c r="O305" s="405" t="s">
        <v>8723</v>
      </c>
      <c r="P305" s="405" t="s">
        <v>26787</v>
      </c>
      <c r="Q305" s="411">
        <v>6</v>
      </c>
      <c r="R305" s="405" t="s">
        <v>7211</v>
      </c>
      <c r="S305" s="405" t="s">
        <v>6918</v>
      </c>
      <c r="T305" s="405" t="s">
        <v>884</v>
      </c>
      <c r="U305" s="405" t="s">
        <v>319</v>
      </c>
    </row>
    <row r="306" spans="1:21" x14ac:dyDescent="0.25">
      <c r="A306" s="405" t="s">
        <v>310</v>
      </c>
      <c r="B306" s="405" t="s">
        <v>26815</v>
      </c>
      <c r="C306" s="405" t="s">
        <v>327</v>
      </c>
      <c r="D306" s="405"/>
      <c r="E306" s="410">
        <v>44826</v>
      </c>
      <c r="F306" s="410">
        <v>44895</v>
      </c>
      <c r="G306" s="405" t="s">
        <v>26816</v>
      </c>
      <c r="H306" s="405" t="s">
        <v>26817</v>
      </c>
      <c r="I306" s="405"/>
      <c r="J306" s="405">
        <v>-0.53652500000000003</v>
      </c>
      <c r="K306" s="405">
        <v>30.546797000000002</v>
      </c>
      <c r="L306" s="405" t="s">
        <v>590</v>
      </c>
      <c r="M306" s="405" t="s">
        <v>19614</v>
      </c>
      <c r="N306" s="405" t="s">
        <v>20063</v>
      </c>
      <c r="O306" s="405" t="s">
        <v>24887</v>
      </c>
      <c r="P306" s="405" t="s">
        <v>24346</v>
      </c>
      <c r="Q306" s="411">
        <v>9</v>
      </c>
      <c r="R306" s="405" t="s">
        <v>874</v>
      </c>
      <c r="S306" s="405" t="s">
        <v>27035</v>
      </c>
      <c r="T306" s="405" t="s">
        <v>32102</v>
      </c>
      <c r="U306" s="405" t="s">
        <v>319</v>
      </c>
    </row>
    <row r="307" spans="1:21" x14ac:dyDescent="0.25">
      <c r="A307" s="405" t="s">
        <v>310</v>
      </c>
      <c r="B307" s="405" t="s">
        <v>26886</v>
      </c>
      <c r="C307" s="405" t="s">
        <v>327</v>
      </c>
      <c r="D307" s="405"/>
      <c r="E307" s="410">
        <v>44825</v>
      </c>
      <c r="F307" s="410">
        <v>44900</v>
      </c>
      <c r="G307" s="405" t="s">
        <v>26887</v>
      </c>
      <c r="H307" s="405" t="s">
        <v>26888</v>
      </c>
      <c r="I307" s="405"/>
      <c r="J307" s="405">
        <v>-0.87440300000000004</v>
      </c>
      <c r="K307" s="405">
        <v>29.980197</v>
      </c>
      <c r="L307" s="405" t="s">
        <v>590</v>
      </c>
      <c r="M307" s="405" t="s">
        <v>19619</v>
      </c>
      <c r="N307" s="405" t="s">
        <v>19620</v>
      </c>
      <c r="O307" s="405" t="s">
        <v>2430</v>
      </c>
      <c r="P307" s="405" t="s">
        <v>25094</v>
      </c>
      <c r="Q307" s="411">
        <v>9</v>
      </c>
      <c r="R307" s="405" t="s">
        <v>6013</v>
      </c>
      <c r="S307" s="405" t="s">
        <v>27098</v>
      </c>
      <c r="T307" s="405" t="s">
        <v>884</v>
      </c>
      <c r="U307" s="405" t="s">
        <v>319</v>
      </c>
    </row>
    <row r="308" spans="1:21" x14ac:dyDescent="0.25">
      <c r="A308" s="405" t="s">
        <v>310</v>
      </c>
      <c r="B308" s="405" t="s">
        <v>28428</v>
      </c>
      <c r="C308" s="405" t="s">
        <v>327</v>
      </c>
      <c r="D308" s="405"/>
      <c r="E308" s="410">
        <v>44824</v>
      </c>
      <c r="F308" s="410">
        <v>44854</v>
      </c>
      <c r="G308" s="405" t="s">
        <v>33012</v>
      </c>
      <c r="H308" s="405" t="s">
        <v>26742</v>
      </c>
      <c r="I308" s="405"/>
      <c r="J308" s="405">
        <v>0.86211199999999999</v>
      </c>
      <c r="K308" s="405">
        <v>31.913364999999999</v>
      </c>
      <c r="L308" s="405" t="s">
        <v>590</v>
      </c>
      <c r="M308" s="405" t="s">
        <v>2537</v>
      </c>
      <c r="N308" s="405" t="s">
        <v>26743</v>
      </c>
      <c r="O308" s="405" t="s">
        <v>26744</v>
      </c>
      <c r="P308" s="405" t="s">
        <v>26745</v>
      </c>
      <c r="Q308" s="411">
        <v>6</v>
      </c>
      <c r="R308" s="405" t="s">
        <v>7211</v>
      </c>
      <c r="S308" s="405" t="s">
        <v>27100</v>
      </c>
      <c r="T308" s="405" t="s">
        <v>884</v>
      </c>
      <c r="U308" s="405" t="s">
        <v>319</v>
      </c>
    </row>
    <row r="309" spans="1:21" x14ac:dyDescent="0.25">
      <c r="A309" s="405" t="s">
        <v>310</v>
      </c>
      <c r="B309" s="405" t="s">
        <v>19597</v>
      </c>
      <c r="C309" s="405" t="s">
        <v>327</v>
      </c>
      <c r="D309" s="405"/>
      <c r="E309" s="410">
        <v>44823</v>
      </c>
      <c r="F309" s="410">
        <v>44909</v>
      </c>
      <c r="G309" s="405" t="s">
        <v>19598</v>
      </c>
      <c r="H309" s="405" t="s">
        <v>19420</v>
      </c>
      <c r="I309" s="405"/>
      <c r="J309" s="405">
        <v>3.2246169999999998</v>
      </c>
      <c r="K309" s="405">
        <v>30.962230000000002</v>
      </c>
      <c r="L309" s="405" t="s">
        <v>860</v>
      </c>
      <c r="M309" s="405" t="s">
        <v>19408</v>
      </c>
      <c r="N309" s="405" t="s">
        <v>19599</v>
      </c>
      <c r="O309" s="405" t="s">
        <v>19600</v>
      </c>
      <c r="P309" s="405" t="s">
        <v>19421</v>
      </c>
      <c r="Q309" s="411">
        <v>6</v>
      </c>
      <c r="R309" s="405" t="s">
        <v>7211</v>
      </c>
      <c r="S309" s="405" t="s">
        <v>6918</v>
      </c>
      <c r="T309" s="405" t="s">
        <v>884</v>
      </c>
      <c r="U309" s="405" t="s">
        <v>319</v>
      </c>
    </row>
    <row r="310" spans="1:21" x14ac:dyDescent="0.25">
      <c r="A310" s="405" t="s">
        <v>310</v>
      </c>
      <c r="B310" s="405" t="s">
        <v>18044</v>
      </c>
      <c r="C310" s="405" t="s">
        <v>327</v>
      </c>
      <c r="D310" s="405"/>
      <c r="E310" s="410">
        <v>44823</v>
      </c>
      <c r="F310" s="410">
        <v>44900</v>
      </c>
      <c r="G310" s="405" t="s">
        <v>18045</v>
      </c>
      <c r="H310" s="405" t="s">
        <v>18046</v>
      </c>
      <c r="I310" s="405"/>
      <c r="J310" s="405">
        <v>0.46083000000000002</v>
      </c>
      <c r="K310" s="405">
        <v>33.471305000000001</v>
      </c>
      <c r="L310" s="405" t="s">
        <v>6866</v>
      </c>
      <c r="M310" s="405" t="s">
        <v>5411</v>
      </c>
      <c r="N310" s="405" t="s">
        <v>17092</v>
      </c>
      <c r="O310" s="405" t="s">
        <v>17399</v>
      </c>
      <c r="P310" s="405" t="s">
        <v>18047</v>
      </c>
      <c r="Q310" s="411">
        <v>6</v>
      </c>
      <c r="R310" s="405" t="s">
        <v>32164</v>
      </c>
      <c r="S310" s="405" t="s">
        <v>27080</v>
      </c>
      <c r="T310" s="405" t="s">
        <v>884</v>
      </c>
      <c r="U310" s="405" t="s">
        <v>319</v>
      </c>
    </row>
    <row r="311" spans="1:21" x14ac:dyDescent="0.25">
      <c r="A311" s="405" t="s">
        <v>310</v>
      </c>
      <c r="B311" s="405" t="s">
        <v>26912</v>
      </c>
      <c r="C311" s="405" t="s">
        <v>327</v>
      </c>
      <c r="D311" s="405"/>
      <c r="E311" s="410">
        <v>44820</v>
      </c>
      <c r="F311" s="410">
        <v>44910</v>
      </c>
      <c r="G311" s="405" t="s">
        <v>26913</v>
      </c>
      <c r="H311" s="405" t="s">
        <v>26914</v>
      </c>
      <c r="I311" s="405"/>
      <c r="J311" s="405">
        <v>-0.117448</v>
      </c>
      <c r="K311" s="405">
        <v>30.703123000000001</v>
      </c>
      <c r="L311" s="405" t="s">
        <v>590</v>
      </c>
      <c r="M311" s="405" t="s">
        <v>2250</v>
      </c>
      <c r="N311" s="405" t="s">
        <v>2250</v>
      </c>
      <c r="O311" s="405" t="s">
        <v>20379</v>
      </c>
      <c r="P311" s="405" t="s">
        <v>21235</v>
      </c>
      <c r="Q311" s="411">
        <v>9</v>
      </c>
      <c r="R311" s="405" t="s">
        <v>874</v>
      </c>
      <c r="S311" s="405" t="s">
        <v>27035</v>
      </c>
      <c r="T311" s="405" t="s">
        <v>884</v>
      </c>
      <c r="U311" s="405" t="s">
        <v>319</v>
      </c>
    </row>
    <row r="312" spans="1:21" x14ac:dyDescent="0.25">
      <c r="A312" s="405" t="s">
        <v>310</v>
      </c>
      <c r="B312" s="405" t="s">
        <v>26822</v>
      </c>
      <c r="C312" s="405" t="s">
        <v>327</v>
      </c>
      <c r="D312" s="405"/>
      <c r="E312" s="410">
        <v>44820</v>
      </c>
      <c r="F312" s="410">
        <v>44873</v>
      </c>
      <c r="G312" s="405" t="s">
        <v>26823</v>
      </c>
      <c r="H312" s="405" t="s">
        <v>26824</v>
      </c>
      <c r="I312" s="405"/>
      <c r="J312" s="405">
        <v>-0.138127</v>
      </c>
      <c r="K312" s="405">
        <v>30.708514999999998</v>
      </c>
      <c r="L312" s="405" t="s">
        <v>590</v>
      </c>
      <c r="M312" s="405" t="s">
        <v>2250</v>
      </c>
      <c r="N312" s="405" t="s">
        <v>2250</v>
      </c>
      <c r="O312" s="405" t="s">
        <v>20379</v>
      </c>
      <c r="P312" s="405" t="s">
        <v>26825</v>
      </c>
      <c r="Q312" s="411">
        <v>9</v>
      </c>
      <c r="R312" s="405" t="s">
        <v>874</v>
      </c>
      <c r="S312" s="405" t="s">
        <v>27098</v>
      </c>
      <c r="T312" s="405" t="s">
        <v>884</v>
      </c>
      <c r="U312" s="405" t="s">
        <v>319</v>
      </c>
    </row>
    <row r="313" spans="1:21" x14ac:dyDescent="0.25">
      <c r="A313" s="405" t="s">
        <v>310</v>
      </c>
      <c r="B313" s="405" t="s">
        <v>26712</v>
      </c>
      <c r="C313" s="405" t="s">
        <v>327</v>
      </c>
      <c r="D313" s="405"/>
      <c r="E313" s="410">
        <v>44820</v>
      </c>
      <c r="F313" s="410">
        <v>44844</v>
      </c>
      <c r="G313" s="405" t="s">
        <v>26713</v>
      </c>
      <c r="H313" s="405" t="s">
        <v>26714</v>
      </c>
      <c r="I313" s="405"/>
      <c r="J313" s="405">
        <v>-0.45426299999999997</v>
      </c>
      <c r="K313" s="405">
        <v>30.095552999999999</v>
      </c>
      <c r="L313" s="405" t="s">
        <v>590</v>
      </c>
      <c r="M313" s="405" t="s">
        <v>19625</v>
      </c>
      <c r="N313" s="405" t="s">
        <v>22016</v>
      </c>
      <c r="O313" s="405" t="s">
        <v>22044</v>
      </c>
      <c r="P313" s="405" t="s">
        <v>26715</v>
      </c>
      <c r="Q313" s="411">
        <v>9</v>
      </c>
      <c r="R313" s="405" t="s">
        <v>883</v>
      </c>
      <c r="S313" s="405" t="s">
        <v>27096</v>
      </c>
      <c r="T313" s="405" t="s">
        <v>884</v>
      </c>
      <c r="U313" s="405" t="s">
        <v>319</v>
      </c>
    </row>
    <row r="314" spans="1:21" x14ac:dyDescent="0.25">
      <c r="A314" s="405" t="s">
        <v>310</v>
      </c>
      <c r="B314" s="405" t="s">
        <v>26773</v>
      </c>
      <c r="C314" s="405" t="s">
        <v>327</v>
      </c>
      <c r="D314" s="405"/>
      <c r="E314" s="410">
        <v>44816</v>
      </c>
      <c r="F314" s="410">
        <v>44838</v>
      </c>
      <c r="G314" s="405" t="s">
        <v>26774</v>
      </c>
      <c r="H314" s="405" t="s">
        <v>26775</v>
      </c>
      <c r="I314" s="405"/>
      <c r="J314" s="405">
        <v>-0.30949300000000002</v>
      </c>
      <c r="K314" s="405">
        <v>31.24663</v>
      </c>
      <c r="L314" s="405" t="s">
        <v>590</v>
      </c>
      <c r="M314" s="405" t="s">
        <v>19614</v>
      </c>
      <c r="N314" s="405" t="s">
        <v>3796</v>
      </c>
      <c r="O314" s="405" t="s">
        <v>3796</v>
      </c>
      <c r="P314" s="405" t="s">
        <v>21345</v>
      </c>
      <c r="Q314" s="411">
        <v>6</v>
      </c>
      <c r="R314" s="405" t="s">
        <v>7211</v>
      </c>
      <c r="S314" s="405" t="s">
        <v>27094</v>
      </c>
      <c r="T314" s="405" t="s">
        <v>884</v>
      </c>
      <c r="U314" s="405" t="s">
        <v>319</v>
      </c>
    </row>
    <row r="315" spans="1:21" x14ac:dyDescent="0.25">
      <c r="A315" s="405" t="s">
        <v>310</v>
      </c>
      <c r="B315" s="405" t="s">
        <v>26877</v>
      </c>
      <c r="C315" s="405" t="s">
        <v>327</v>
      </c>
      <c r="D315" s="405"/>
      <c r="E315" s="410">
        <v>44815</v>
      </c>
      <c r="F315" s="410">
        <v>44870</v>
      </c>
      <c r="G315" s="405" t="s">
        <v>26878</v>
      </c>
      <c r="H315" s="405" t="s">
        <v>26879</v>
      </c>
      <c r="I315" s="405"/>
      <c r="J315" s="405">
        <v>0.65221499999999999</v>
      </c>
      <c r="K315" s="405">
        <v>30.453409000000001</v>
      </c>
      <c r="L315" s="405" t="s">
        <v>590</v>
      </c>
      <c r="M315" s="405" t="s">
        <v>20426</v>
      </c>
      <c r="N315" s="405" t="s">
        <v>20426</v>
      </c>
      <c r="O315" s="405" t="s">
        <v>21386</v>
      </c>
      <c r="P315" s="405" t="s">
        <v>26880</v>
      </c>
      <c r="Q315" s="411">
        <v>6</v>
      </c>
      <c r="R315" s="405" t="s">
        <v>9408</v>
      </c>
      <c r="S315" s="405" t="s">
        <v>27035</v>
      </c>
      <c r="T315" s="405" t="s">
        <v>32102</v>
      </c>
      <c r="U315" s="405" t="s">
        <v>319</v>
      </c>
    </row>
    <row r="316" spans="1:21" x14ac:dyDescent="0.25">
      <c r="A316" s="405" t="s">
        <v>310</v>
      </c>
      <c r="B316" s="405" t="s">
        <v>9438</v>
      </c>
      <c r="C316" s="405" t="s">
        <v>327</v>
      </c>
      <c r="D316" s="405"/>
      <c r="E316" s="410">
        <v>44815</v>
      </c>
      <c r="F316" s="410">
        <v>44854</v>
      </c>
      <c r="G316" s="405" t="s">
        <v>9439</v>
      </c>
      <c r="H316" s="405" t="s">
        <v>9440</v>
      </c>
      <c r="I316" s="405"/>
      <c r="J316" s="405">
        <v>0.84258299999999997</v>
      </c>
      <c r="K316" s="405">
        <v>32.358446999999998</v>
      </c>
      <c r="L316" s="405" t="s">
        <v>314</v>
      </c>
      <c r="M316" s="405" t="s">
        <v>329</v>
      </c>
      <c r="N316" s="405" t="s">
        <v>7999</v>
      </c>
      <c r="O316" s="405" t="s">
        <v>7999</v>
      </c>
      <c r="P316" s="405" t="s">
        <v>9441</v>
      </c>
      <c r="Q316" s="411">
        <v>6</v>
      </c>
      <c r="R316" s="405" t="s">
        <v>9408</v>
      </c>
      <c r="S316" s="405" t="s">
        <v>27038</v>
      </c>
      <c r="T316" s="405" t="s">
        <v>884</v>
      </c>
      <c r="U316" s="405" t="s">
        <v>319</v>
      </c>
    </row>
    <row r="317" spans="1:21" x14ac:dyDescent="0.25">
      <c r="A317" s="405" t="s">
        <v>310</v>
      </c>
      <c r="B317" s="405" t="s">
        <v>9409</v>
      </c>
      <c r="C317" s="405" t="s">
        <v>327</v>
      </c>
      <c r="D317" s="405"/>
      <c r="E317" s="410">
        <v>44815</v>
      </c>
      <c r="F317" s="410">
        <v>44826</v>
      </c>
      <c r="G317" s="405" t="s">
        <v>9410</v>
      </c>
      <c r="H317" s="405" t="s">
        <v>9411</v>
      </c>
      <c r="I317" s="405"/>
      <c r="J317" s="405">
        <v>0.45461000000000001</v>
      </c>
      <c r="K317" s="405">
        <v>32.529153000000001</v>
      </c>
      <c r="L317" s="405" t="s">
        <v>314</v>
      </c>
      <c r="M317" s="405" t="s">
        <v>361</v>
      </c>
      <c r="N317" s="405" t="s">
        <v>1290</v>
      </c>
      <c r="O317" s="405" t="s">
        <v>1290</v>
      </c>
      <c r="P317" s="405" t="s">
        <v>9412</v>
      </c>
      <c r="Q317" s="411">
        <v>6</v>
      </c>
      <c r="R317" s="405" t="s">
        <v>9408</v>
      </c>
      <c r="S317" s="405" t="s">
        <v>27035</v>
      </c>
      <c r="T317" s="405" t="s">
        <v>884</v>
      </c>
      <c r="U317" s="405" t="s">
        <v>319</v>
      </c>
    </row>
    <row r="318" spans="1:21" x14ac:dyDescent="0.25">
      <c r="A318" s="405" t="s">
        <v>310</v>
      </c>
      <c r="B318" s="405" t="s">
        <v>26900</v>
      </c>
      <c r="C318" s="405" t="s">
        <v>327</v>
      </c>
      <c r="D318" s="405"/>
      <c r="E318" s="410">
        <v>44814</v>
      </c>
      <c r="F318" s="410">
        <v>44900</v>
      </c>
      <c r="G318" s="405" t="s">
        <v>26901</v>
      </c>
      <c r="H318" s="405" t="s">
        <v>26902</v>
      </c>
      <c r="I318" s="405"/>
      <c r="J318" s="405">
        <v>-0.15087500000000001</v>
      </c>
      <c r="K318" s="405">
        <v>30.945505000000001</v>
      </c>
      <c r="L318" s="405" t="s">
        <v>590</v>
      </c>
      <c r="M318" s="405" t="s">
        <v>19705</v>
      </c>
      <c r="N318" s="405" t="s">
        <v>19707</v>
      </c>
      <c r="O318" s="405" t="s">
        <v>26903</v>
      </c>
      <c r="P318" s="405" t="s">
        <v>26903</v>
      </c>
      <c r="Q318" s="411">
        <v>9</v>
      </c>
      <c r="R318" s="405" t="s">
        <v>874</v>
      </c>
      <c r="S318" s="405" t="s">
        <v>27063</v>
      </c>
      <c r="T318" s="405" t="s">
        <v>884</v>
      </c>
      <c r="U318" s="405" t="s">
        <v>319</v>
      </c>
    </row>
    <row r="319" spans="1:21" x14ac:dyDescent="0.25">
      <c r="A319" s="405" t="s">
        <v>310</v>
      </c>
      <c r="B319" s="405" t="s">
        <v>26907</v>
      </c>
      <c r="C319" s="405" t="s">
        <v>327</v>
      </c>
      <c r="D319" s="405"/>
      <c r="E319" s="410">
        <v>44814</v>
      </c>
      <c r="F319" s="410">
        <v>44897</v>
      </c>
      <c r="G319" s="405" t="s">
        <v>26908</v>
      </c>
      <c r="H319" s="405" t="s">
        <v>26909</v>
      </c>
      <c r="I319" s="405"/>
      <c r="J319" s="405">
        <v>-0.19177</v>
      </c>
      <c r="K319" s="405">
        <v>30.922418</v>
      </c>
      <c r="L319" s="405" t="s">
        <v>590</v>
      </c>
      <c r="M319" s="405" t="s">
        <v>19705</v>
      </c>
      <c r="N319" s="405" t="s">
        <v>19707</v>
      </c>
      <c r="O319" s="405" t="s">
        <v>26910</v>
      </c>
      <c r="P319" s="405" t="s">
        <v>26911</v>
      </c>
      <c r="Q319" s="411">
        <v>9</v>
      </c>
      <c r="R319" s="405" t="s">
        <v>874</v>
      </c>
      <c r="S319" s="405" t="s">
        <v>27098</v>
      </c>
      <c r="T319" s="405" t="s">
        <v>884</v>
      </c>
      <c r="U319" s="405" t="s">
        <v>319</v>
      </c>
    </row>
    <row r="320" spans="1:21" x14ac:dyDescent="0.25">
      <c r="A320" s="405" t="s">
        <v>310</v>
      </c>
      <c r="B320" s="405" t="s">
        <v>26725</v>
      </c>
      <c r="C320" s="405" t="s">
        <v>327</v>
      </c>
      <c r="D320" s="405"/>
      <c r="E320" s="410">
        <v>44814</v>
      </c>
      <c r="F320" s="410">
        <v>44859</v>
      </c>
      <c r="G320" s="405" t="s">
        <v>26726</v>
      </c>
      <c r="H320" s="405" t="s">
        <v>26727</v>
      </c>
      <c r="I320" s="405"/>
      <c r="J320" s="405">
        <v>-0.79925000000000002</v>
      </c>
      <c r="K320" s="405">
        <v>29.865431999999998</v>
      </c>
      <c r="L320" s="405" t="s">
        <v>590</v>
      </c>
      <c r="M320" s="405" t="s">
        <v>19619</v>
      </c>
      <c r="N320" s="405" t="s">
        <v>19793</v>
      </c>
      <c r="O320" s="405" t="s">
        <v>19794</v>
      </c>
      <c r="P320" s="405" t="s">
        <v>26728</v>
      </c>
      <c r="Q320" s="411">
        <v>6</v>
      </c>
      <c r="R320" s="405" t="s">
        <v>6013</v>
      </c>
      <c r="S320" s="405" t="s">
        <v>27098</v>
      </c>
      <c r="T320" s="405" t="s">
        <v>884</v>
      </c>
      <c r="U320" s="405" t="s">
        <v>319</v>
      </c>
    </row>
    <row r="321" spans="1:21" x14ac:dyDescent="0.25">
      <c r="A321" s="405" t="s">
        <v>310</v>
      </c>
      <c r="B321" s="405" t="s">
        <v>9434</v>
      </c>
      <c r="C321" s="405" t="s">
        <v>327</v>
      </c>
      <c r="D321" s="405"/>
      <c r="E321" s="410">
        <v>44814</v>
      </c>
      <c r="F321" s="410">
        <v>44849</v>
      </c>
      <c r="G321" s="405" t="s">
        <v>9435</v>
      </c>
      <c r="H321" s="405" t="s">
        <v>9436</v>
      </c>
      <c r="I321" s="405"/>
      <c r="J321" s="405">
        <v>0.42835200000000001</v>
      </c>
      <c r="K321" s="405">
        <v>33.137329999999999</v>
      </c>
      <c r="L321" s="405" t="s">
        <v>314</v>
      </c>
      <c r="M321" s="405" t="s">
        <v>349</v>
      </c>
      <c r="N321" s="405" t="s">
        <v>487</v>
      </c>
      <c r="O321" s="405" t="s">
        <v>6302</v>
      </c>
      <c r="P321" s="405" t="s">
        <v>9437</v>
      </c>
      <c r="Q321" s="411">
        <v>6</v>
      </c>
      <c r="R321" s="405" t="s">
        <v>32164</v>
      </c>
      <c r="S321" s="405" t="s">
        <v>27067</v>
      </c>
      <c r="T321" s="405" t="s">
        <v>884</v>
      </c>
      <c r="U321" s="405" t="s">
        <v>319</v>
      </c>
    </row>
    <row r="322" spans="1:21" x14ac:dyDescent="0.25">
      <c r="A322" s="405" t="s">
        <v>310</v>
      </c>
      <c r="B322" s="413" t="s">
        <v>26729</v>
      </c>
      <c r="C322" s="413" t="s">
        <v>327</v>
      </c>
      <c r="D322" s="413"/>
      <c r="E322" s="418">
        <v>44814</v>
      </c>
      <c r="F322" s="418">
        <v>44839</v>
      </c>
      <c r="G322" s="413" t="s">
        <v>26730</v>
      </c>
      <c r="H322" s="405" t="s">
        <v>26731</v>
      </c>
      <c r="I322" s="405"/>
      <c r="J322" s="405">
        <v>0.60985999999999996</v>
      </c>
      <c r="K322" s="405">
        <v>30.200876999999998</v>
      </c>
      <c r="L322" s="405" t="s">
        <v>590</v>
      </c>
      <c r="M322" s="405" t="s">
        <v>20125</v>
      </c>
      <c r="N322" s="405" t="s">
        <v>26732</v>
      </c>
      <c r="O322" s="405" t="s">
        <v>26733</v>
      </c>
      <c r="P322" s="405" t="s">
        <v>26490</v>
      </c>
      <c r="Q322" s="411">
        <v>6</v>
      </c>
      <c r="R322" s="405" t="s">
        <v>26734</v>
      </c>
      <c r="S322" s="405" t="s">
        <v>27099</v>
      </c>
      <c r="T322" s="405" t="s">
        <v>884</v>
      </c>
      <c r="U322" s="405" t="s">
        <v>319</v>
      </c>
    </row>
    <row r="323" spans="1:21" x14ac:dyDescent="0.25">
      <c r="A323" s="405" t="s">
        <v>310</v>
      </c>
      <c r="B323" s="405" t="s">
        <v>9395</v>
      </c>
      <c r="C323" s="405" t="s">
        <v>327</v>
      </c>
      <c r="D323" s="405"/>
      <c r="E323" s="410">
        <v>44814</v>
      </c>
      <c r="F323" s="410">
        <v>44826</v>
      </c>
      <c r="G323" s="405" t="s">
        <v>9396</v>
      </c>
      <c r="H323" s="405" t="s">
        <v>9397</v>
      </c>
      <c r="I323" s="405"/>
      <c r="J323" s="405">
        <v>1.1209830000000001</v>
      </c>
      <c r="K323" s="405">
        <v>32.465125</v>
      </c>
      <c r="L323" s="405" t="s">
        <v>314</v>
      </c>
      <c r="M323" s="405" t="s">
        <v>2512</v>
      </c>
      <c r="N323" s="405" t="s">
        <v>8926</v>
      </c>
      <c r="O323" s="405" t="s">
        <v>9398</v>
      </c>
      <c r="P323" s="405" t="s">
        <v>9398</v>
      </c>
      <c r="Q323" s="411">
        <v>6</v>
      </c>
      <c r="R323" s="405" t="s">
        <v>7211</v>
      </c>
      <c r="S323" s="405" t="s">
        <v>6918</v>
      </c>
      <c r="T323" s="405" t="s">
        <v>884</v>
      </c>
      <c r="U323" s="405" t="s">
        <v>319</v>
      </c>
    </row>
    <row r="324" spans="1:21" x14ac:dyDescent="0.25">
      <c r="A324" s="405" t="s">
        <v>310</v>
      </c>
      <c r="B324" s="405" t="s">
        <v>18004</v>
      </c>
      <c r="C324" s="405" t="s">
        <v>327</v>
      </c>
      <c r="D324" s="405"/>
      <c r="E324" s="410">
        <v>44814</v>
      </c>
      <c r="F324" s="410">
        <v>44864</v>
      </c>
      <c r="G324" s="405" t="s">
        <v>18005</v>
      </c>
      <c r="H324" s="405" t="s">
        <v>18006</v>
      </c>
      <c r="I324" s="405"/>
      <c r="J324" s="405">
        <v>1.1287050000000001</v>
      </c>
      <c r="K324" s="405">
        <v>34.341211999999999</v>
      </c>
      <c r="L324" s="405" t="s">
        <v>6866</v>
      </c>
      <c r="M324" s="405" t="s">
        <v>9575</v>
      </c>
      <c r="N324" s="405" t="s">
        <v>9576</v>
      </c>
      <c r="O324" s="405" t="s">
        <v>17992</v>
      </c>
      <c r="P324" s="405" t="s">
        <v>18007</v>
      </c>
      <c r="Q324" s="411">
        <v>4</v>
      </c>
      <c r="R324" s="405" t="s">
        <v>17977</v>
      </c>
      <c r="S324" s="405" t="s">
        <v>27076</v>
      </c>
      <c r="T324" s="405" t="s">
        <v>884</v>
      </c>
      <c r="U324" s="405" t="s">
        <v>319</v>
      </c>
    </row>
    <row r="325" spans="1:21" x14ac:dyDescent="0.25">
      <c r="A325" s="405" t="s">
        <v>310</v>
      </c>
      <c r="B325" s="405" t="s">
        <v>9413</v>
      </c>
      <c r="C325" s="405" t="s">
        <v>327</v>
      </c>
      <c r="D325" s="405"/>
      <c r="E325" s="410">
        <v>44813</v>
      </c>
      <c r="F325" s="410">
        <v>44825</v>
      </c>
      <c r="G325" s="405" t="s">
        <v>9414</v>
      </c>
      <c r="H325" s="405" t="s">
        <v>9415</v>
      </c>
      <c r="I325" s="405"/>
      <c r="J325" s="405">
        <v>0.63199300000000003</v>
      </c>
      <c r="K325" s="405">
        <v>32.634608999999998</v>
      </c>
      <c r="L325" s="405" t="s">
        <v>314</v>
      </c>
      <c r="M325" s="405" t="s">
        <v>959</v>
      </c>
      <c r="N325" s="405" t="s">
        <v>694</v>
      </c>
      <c r="O325" s="405" t="s">
        <v>9416</v>
      </c>
      <c r="P325" s="405" t="s">
        <v>9417</v>
      </c>
      <c r="Q325" s="411">
        <v>13</v>
      </c>
      <c r="R325" s="405" t="s">
        <v>9408</v>
      </c>
      <c r="S325" s="405" t="s">
        <v>27036</v>
      </c>
      <c r="T325" s="405" t="s">
        <v>884</v>
      </c>
      <c r="U325" s="405" t="s">
        <v>319</v>
      </c>
    </row>
    <row r="326" spans="1:21" x14ac:dyDescent="0.25">
      <c r="A326" s="405" t="s">
        <v>310</v>
      </c>
      <c r="B326" s="405" t="s">
        <v>26895</v>
      </c>
      <c r="C326" s="405" t="s">
        <v>327</v>
      </c>
      <c r="D326" s="405"/>
      <c r="E326" s="410">
        <v>44813</v>
      </c>
      <c r="F326" s="410">
        <v>44907</v>
      </c>
      <c r="G326" s="405" t="s">
        <v>26896</v>
      </c>
      <c r="H326" s="405" t="s">
        <v>26897</v>
      </c>
      <c r="I326" s="405"/>
      <c r="J326" s="405">
        <v>-0.39621000000000001</v>
      </c>
      <c r="K326" s="405">
        <v>30.588259999999998</v>
      </c>
      <c r="L326" s="405" t="s">
        <v>590</v>
      </c>
      <c r="M326" s="405" t="s">
        <v>19614</v>
      </c>
      <c r="N326" s="405" t="s">
        <v>25351</v>
      </c>
      <c r="O326" s="405" t="s">
        <v>26898</v>
      </c>
      <c r="P326" s="405" t="s">
        <v>26899</v>
      </c>
      <c r="Q326" s="411">
        <v>9</v>
      </c>
      <c r="R326" s="405" t="s">
        <v>874</v>
      </c>
      <c r="S326" s="405" t="s">
        <v>27063</v>
      </c>
      <c r="T326" s="405" t="s">
        <v>32102</v>
      </c>
      <c r="U326" s="405" t="s">
        <v>319</v>
      </c>
    </row>
    <row r="327" spans="1:21" x14ac:dyDescent="0.25">
      <c r="A327" s="405" t="s">
        <v>310</v>
      </c>
      <c r="B327" s="405" t="s">
        <v>18148</v>
      </c>
      <c r="C327" s="405" t="s">
        <v>327</v>
      </c>
      <c r="D327" s="405"/>
      <c r="E327" s="410">
        <v>44811</v>
      </c>
      <c r="F327" s="410">
        <v>44914</v>
      </c>
      <c r="G327" s="405" t="s">
        <v>18149</v>
      </c>
      <c r="H327" s="405" t="s">
        <v>18150</v>
      </c>
      <c r="I327" s="405"/>
      <c r="J327" s="405">
        <v>1.0549980000000001</v>
      </c>
      <c r="K327" s="405">
        <v>34.193938000000003</v>
      </c>
      <c r="L327" s="405" t="s">
        <v>6866</v>
      </c>
      <c r="M327" s="405" t="s">
        <v>10390</v>
      </c>
      <c r="N327" s="405" t="s">
        <v>18151</v>
      </c>
      <c r="O327" s="405" t="s">
        <v>9714</v>
      </c>
      <c r="P327" s="405" t="s">
        <v>9714</v>
      </c>
      <c r="Q327" s="411">
        <v>6</v>
      </c>
      <c r="R327" s="405" t="s">
        <v>5655</v>
      </c>
      <c r="S327" s="405" t="s">
        <v>27088</v>
      </c>
      <c r="T327" s="405" t="s">
        <v>884</v>
      </c>
      <c r="U327" s="405" t="s">
        <v>319</v>
      </c>
    </row>
    <row r="328" spans="1:21" x14ac:dyDescent="0.25">
      <c r="A328" s="405" t="s">
        <v>310</v>
      </c>
      <c r="B328" s="405" t="s">
        <v>26793</v>
      </c>
      <c r="C328" s="405" t="s">
        <v>327</v>
      </c>
      <c r="D328" s="405"/>
      <c r="E328" s="410">
        <v>44811</v>
      </c>
      <c r="F328" s="410">
        <v>44859</v>
      </c>
      <c r="G328" s="405" t="s">
        <v>26794</v>
      </c>
      <c r="H328" s="405" t="s">
        <v>26795</v>
      </c>
      <c r="I328" s="405"/>
      <c r="J328" s="405">
        <v>-8.7137000000000006E-2</v>
      </c>
      <c r="K328" s="405">
        <v>31.470417000000001</v>
      </c>
      <c r="L328" s="405" t="s">
        <v>590</v>
      </c>
      <c r="M328" s="405" t="s">
        <v>343</v>
      </c>
      <c r="N328" s="405" t="s">
        <v>26796</v>
      </c>
      <c r="O328" s="405" t="s">
        <v>26797</v>
      </c>
      <c r="P328" s="405" t="s">
        <v>26798</v>
      </c>
      <c r="Q328" s="411">
        <v>6</v>
      </c>
      <c r="R328" s="405" t="s">
        <v>7211</v>
      </c>
      <c r="S328" s="405" t="s">
        <v>6918</v>
      </c>
      <c r="T328" s="405" t="s">
        <v>884</v>
      </c>
      <c r="U328" s="405" t="s">
        <v>319</v>
      </c>
    </row>
    <row r="329" spans="1:21" x14ac:dyDescent="0.25">
      <c r="A329" s="405" t="s">
        <v>310</v>
      </c>
      <c r="B329" s="405" t="s">
        <v>9403</v>
      </c>
      <c r="C329" s="405" t="s">
        <v>327</v>
      </c>
      <c r="D329" s="405"/>
      <c r="E329" s="410">
        <v>44809</v>
      </c>
      <c r="F329" s="410">
        <v>44824</v>
      </c>
      <c r="G329" s="405" t="s">
        <v>9404</v>
      </c>
      <c r="H329" s="405" t="s">
        <v>9405</v>
      </c>
      <c r="I329" s="405"/>
      <c r="J329" s="405">
        <v>0.46821200000000002</v>
      </c>
      <c r="K329" s="405">
        <v>32.493831999999998</v>
      </c>
      <c r="L329" s="405" t="s">
        <v>314</v>
      </c>
      <c r="M329" s="405" t="s">
        <v>361</v>
      </c>
      <c r="N329" s="405" t="s">
        <v>523</v>
      </c>
      <c r="O329" s="405" t="s">
        <v>9406</v>
      </c>
      <c r="P329" s="405" t="s">
        <v>9407</v>
      </c>
      <c r="Q329" s="411">
        <v>6</v>
      </c>
      <c r="R329" s="405" t="s">
        <v>9408</v>
      </c>
      <c r="S329" s="405" t="s">
        <v>27034</v>
      </c>
      <c r="T329" s="405" t="s">
        <v>884</v>
      </c>
      <c r="U329" s="405" t="s">
        <v>319</v>
      </c>
    </row>
    <row r="330" spans="1:21" x14ac:dyDescent="0.25">
      <c r="A330" s="405" t="s">
        <v>310</v>
      </c>
      <c r="B330" s="413" t="s">
        <v>26869</v>
      </c>
      <c r="C330" s="413" t="s">
        <v>327</v>
      </c>
      <c r="D330" s="413"/>
      <c r="E330" s="418">
        <v>44807</v>
      </c>
      <c r="F330" s="418">
        <v>44875</v>
      </c>
      <c r="G330" s="413" t="s">
        <v>26870</v>
      </c>
      <c r="H330" s="405" t="s">
        <v>26871</v>
      </c>
      <c r="I330" s="405"/>
      <c r="J330" s="405">
        <v>0.65752100000000002</v>
      </c>
      <c r="K330" s="405">
        <v>30.280047</v>
      </c>
      <c r="L330" s="405" t="s">
        <v>590</v>
      </c>
      <c r="M330" s="405" t="s">
        <v>20125</v>
      </c>
      <c r="N330" s="405" t="s">
        <v>20125</v>
      </c>
      <c r="O330" s="405" t="s">
        <v>20125</v>
      </c>
      <c r="P330" s="405" t="s">
        <v>672</v>
      </c>
      <c r="Q330" s="411">
        <v>13</v>
      </c>
      <c r="R330" s="405" t="s">
        <v>9408</v>
      </c>
      <c r="S330" s="405" t="s">
        <v>27043</v>
      </c>
      <c r="T330" s="405" t="s">
        <v>884</v>
      </c>
      <c r="U330" s="405" t="s">
        <v>319</v>
      </c>
    </row>
    <row r="331" spans="1:21" x14ac:dyDescent="0.25">
      <c r="A331" s="405" t="s">
        <v>310</v>
      </c>
      <c r="B331" s="405" t="s">
        <v>17980</v>
      </c>
      <c r="C331" s="405" t="s">
        <v>327</v>
      </c>
      <c r="D331" s="405"/>
      <c r="E331" s="410">
        <v>44807</v>
      </c>
      <c r="F331" s="410">
        <v>44828</v>
      </c>
      <c r="G331" s="405" t="s">
        <v>17981</v>
      </c>
      <c r="H331" s="405" t="s">
        <v>17982</v>
      </c>
      <c r="I331" s="405"/>
      <c r="J331" s="405">
        <v>0.70628299999999999</v>
      </c>
      <c r="K331" s="405">
        <v>34.191963000000001</v>
      </c>
      <c r="L331" s="405" t="s">
        <v>6866</v>
      </c>
      <c r="M331" s="405" t="s">
        <v>9534</v>
      </c>
      <c r="N331" s="405" t="s">
        <v>17983</v>
      </c>
      <c r="O331" s="405" t="s">
        <v>10466</v>
      </c>
      <c r="P331" s="405" t="s">
        <v>12298</v>
      </c>
      <c r="Q331" s="411">
        <v>9</v>
      </c>
      <c r="R331" s="405" t="s">
        <v>32164</v>
      </c>
      <c r="S331" s="405" t="s">
        <v>27073</v>
      </c>
      <c r="T331" s="405" t="s">
        <v>884</v>
      </c>
      <c r="U331" s="405" t="s">
        <v>319</v>
      </c>
    </row>
    <row r="332" spans="1:21" x14ac:dyDescent="0.25">
      <c r="A332" s="405" t="s">
        <v>310</v>
      </c>
      <c r="B332" s="405" t="s">
        <v>9418</v>
      </c>
      <c r="C332" s="405" t="s">
        <v>327</v>
      </c>
      <c r="D332" s="405"/>
      <c r="E332" s="410">
        <v>44804</v>
      </c>
      <c r="F332" s="410">
        <v>44810</v>
      </c>
      <c r="G332" s="405" t="s">
        <v>9419</v>
      </c>
      <c r="H332" s="405" t="s">
        <v>9420</v>
      </c>
      <c r="I332" s="405"/>
      <c r="J332" s="405">
        <v>0.49890600000000002</v>
      </c>
      <c r="K332" s="405">
        <v>32.637642</v>
      </c>
      <c r="L332" s="405" t="s">
        <v>314</v>
      </c>
      <c r="M332" s="405" t="s">
        <v>361</v>
      </c>
      <c r="N332" s="405" t="s">
        <v>9421</v>
      </c>
      <c r="O332" s="405" t="s">
        <v>9422</v>
      </c>
      <c r="P332" s="405" t="s">
        <v>9423</v>
      </c>
      <c r="Q332" s="411">
        <v>13</v>
      </c>
      <c r="R332" s="405" t="s">
        <v>9408</v>
      </c>
      <c r="S332" s="405" t="s">
        <v>27034</v>
      </c>
      <c r="T332" s="405" t="s">
        <v>884</v>
      </c>
      <c r="U332" s="405" t="s">
        <v>319</v>
      </c>
    </row>
    <row r="333" spans="1:21" x14ac:dyDescent="0.25">
      <c r="A333" s="405" t="s">
        <v>310</v>
      </c>
      <c r="B333" s="413" t="s">
        <v>19590</v>
      </c>
      <c r="C333" s="413" t="s">
        <v>327</v>
      </c>
      <c r="D333" s="413"/>
      <c r="E333" s="418">
        <v>44804</v>
      </c>
      <c r="F333" s="418">
        <v>44875</v>
      </c>
      <c r="G333" s="413" t="s">
        <v>19591</v>
      </c>
      <c r="H333" s="405" t="s">
        <v>19592</v>
      </c>
      <c r="I333" s="405"/>
      <c r="J333" s="405">
        <v>2.7519969999999998</v>
      </c>
      <c r="K333" s="405">
        <v>32.296011999999997</v>
      </c>
      <c r="L333" s="405" t="s">
        <v>860</v>
      </c>
      <c r="M333" s="405" t="s">
        <v>853</v>
      </c>
      <c r="N333" s="405" t="s">
        <v>19593</v>
      </c>
      <c r="O333" s="405" t="s">
        <v>19594</v>
      </c>
      <c r="P333" s="405" t="s">
        <v>19595</v>
      </c>
      <c r="Q333" s="411">
        <v>6</v>
      </c>
      <c r="R333" s="405" t="s">
        <v>19596</v>
      </c>
      <c r="S333" s="405" t="s">
        <v>27093</v>
      </c>
      <c r="T333" s="405" t="s">
        <v>884</v>
      </c>
      <c r="U333" s="405" t="s">
        <v>319</v>
      </c>
    </row>
    <row r="334" spans="1:21" x14ac:dyDescent="0.25">
      <c r="A334" s="405" t="s">
        <v>310</v>
      </c>
      <c r="B334" s="405" t="s">
        <v>9399</v>
      </c>
      <c r="C334" s="405" t="s">
        <v>327</v>
      </c>
      <c r="D334" s="405"/>
      <c r="E334" s="410">
        <v>44789</v>
      </c>
      <c r="F334" s="410">
        <v>44806</v>
      </c>
      <c r="G334" s="405" t="s">
        <v>9400</v>
      </c>
      <c r="H334" s="405" t="s">
        <v>9401</v>
      </c>
      <c r="I334" s="405"/>
      <c r="J334" s="405">
        <v>1.506262</v>
      </c>
      <c r="K334" s="405">
        <v>32.405653000000001</v>
      </c>
      <c r="L334" s="405" t="s">
        <v>314</v>
      </c>
      <c r="M334" s="405" t="s">
        <v>2512</v>
      </c>
      <c r="N334" s="405" t="s">
        <v>2512</v>
      </c>
      <c r="O334" s="405" t="s">
        <v>9393</v>
      </c>
      <c r="P334" s="405" t="s">
        <v>9402</v>
      </c>
      <c r="Q334" s="411">
        <v>6</v>
      </c>
      <c r="R334" s="405" t="s">
        <v>7211</v>
      </c>
      <c r="S334" s="405" t="s">
        <v>27066</v>
      </c>
      <c r="T334" s="405" t="s">
        <v>884</v>
      </c>
      <c r="U334" s="405" t="s">
        <v>319</v>
      </c>
    </row>
    <row r="335" spans="1:21" x14ac:dyDescent="0.25">
      <c r="A335" s="405" t="s">
        <v>310</v>
      </c>
      <c r="B335" s="405" t="s">
        <v>9424</v>
      </c>
      <c r="C335" s="405" t="s">
        <v>327</v>
      </c>
      <c r="D335" s="405"/>
      <c r="E335" s="410">
        <v>44788</v>
      </c>
      <c r="F335" s="410">
        <v>44809</v>
      </c>
      <c r="G335" s="405" t="s">
        <v>9425</v>
      </c>
      <c r="H335" s="405" t="s">
        <v>9426</v>
      </c>
      <c r="I335" s="405"/>
      <c r="J335" s="405">
        <v>0.42977799999999999</v>
      </c>
      <c r="K335" s="405">
        <v>32.457911000000003</v>
      </c>
      <c r="L335" s="405" t="s">
        <v>314</v>
      </c>
      <c r="M335" s="405" t="s">
        <v>361</v>
      </c>
      <c r="N335" s="405" t="s">
        <v>374</v>
      </c>
      <c r="O335" s="405" t="s">
        <v>535</v>
      </c>
      <c r="P335" s="405" t="s">
        <v>2822</v>
      </c>
      <c r="Q335" s="411">
        <v>9</v>
      </c>
      <c r="R335" s="405" t="s">
        <v>9408</v>
      </c>
      <c r="S335" s="405" t="s">
        <v>27037</v>
      </c>
      <c r="T335" s="405" t="s">
        <v>32102</v>
      </c>
      <c r="U335" s="405" t="s">
        <v>319</v>
      </c>
    </row>
    <row r="336" spans="1:21" x14ac:dyDescent="0.25">
      <c r="A336" s="405" t="s">
        <v>310</v>
      </c>
      <c r="B336" s="405" t="s">
        <v>33028</v>
      </c>
      <c r="C336" s="405" t="s">
        <v>327</v>
      </c>
      <c r="D336" s="405"/>
      <c r="E336" s="410">
        <v>44788</v>
      </c>
      <c r="F336" s="410">
        <v>44846</v>
      </c>
      <c r="G336" s="405" t="s">
        <v>26963</v>
      </c>
      <c r="H336" s="405" t="s">
        <v>26964</v>
      </c>
      <c r="I336" s="405"/>
      <c r="J336" s="405">
        <v>0.841283</v>
      </c>
      <c r="K336" s="405">
        <v>31.902488000000002</v>
      </c>
      <c r="L336" s="405" t="s">
        <v>590</v>
      </c>
      <c r="M336" s="405" t="s">
        <v>2537</v>
      </c>
      <c r="N336" s="405" t="s">
        <v>26743</v>
      </c>
      <c r="O336" s="405" t="s">
        <v>26744</v>
      </c>
      <c r="P336" s="405" t="s">
        <v>26745</v>
      </c>
      <c r="Q336" s="411">
        <v>6</v>
      </c>
      <c r="R336" s="405" t="s">
        <v>7211</v>
      </c>
      <c r="S336" s="405" t="s">
        <v>27100</v>
      </c>
      <c r="T336" s="405" t="s">
        <v>884</v>
      </c>
      <c r="U336" s="405" t="s">
        <v>319</v>
      </c>
    </row>
    <row r="337" spans="1:21" x14ac:dyDescent="0.25">
      <c r="A337" s="405" t="s">
        <v>310</v>
      </c>
      <c r="B337" s="405" t="s">
        <v>9378</v>
      </c>
      <c r="C337" s="405" t="s">
        <v>327</v>
      </c>
      <c r="D337" s="405"/>
      <c r="E337" s="410">
        <v>44783</v>
      </c>
      <c r="F337" s="410">
        <v>44798</v>
      </c>
      <c r="G337" s="405" t="s">
        <v>9379</v>
      </c>
      <c r="H337" s="405" t="s">
        <v>9380</v>
      </c>
      <c r="I337" s="405"/>
      <c r="J337" s="405">
        <v>1.1632279999999999</v>
      </c>
      <c r="K337" s="405">
        <v>32.503957</v>
      </c>
      <c r="L337" s="405" t="s">
        <v>314</v>
      </c>
      <c r="M337" s="405" t="s">
        <v>2512</v>
      </c>
      <c r="N337" s="405" t="s">
        <v>2512</v>
      </c>
      <c r="O337" s="405" t="s">
        <v>9381</v>
      </c>
      <c r="P337" s="405" t="s">
        <v>1609</v>
      </c>
      <c r="Q337" s="411">
        <v>6</v>
      </c>
      <c r="R337" s="405" t="s">
        <v>7211</v>
      </c>
      <c r="S337" s="405" t="s">
        <v>27066</v>
      </c>
      <c r="T337" s="405" t="s">
        <v>884</v>
      </c>
      <c r="U337" s="405" t="s">
        <v>319</v>
      </c>
    </row>
    <row r="338" spans="1:21" x14ac:dyDescent="0.25">
      <c r="A338" s="405" t="s">
        <v>310</v>
      </c>
      <c r="B338" s="405" t="s">
        <v>9427</v>
      </c>
      <c r="C338" s="405" t="s">
        <v>327</v>
      </c>
      <c r="D338" s="405"/>
      <c r="E338" s="410">
        <v>44781</v>
      </c>
      <c r="F338" s="410">
        <v>44824</v>
      </c>
      <c r="G338" s="405" t="s">
        <v>9428</v>
      </c>
      <c r="H338" s="405" t="s">
        <v>9429</v>
      </c>
      <c r="I338" s="405"/>
      <c r="J338" s="405">
        <v>0.34045999999999998</v>
      </c>
      <c r="K338" s="405">
        <v>32.749602000000003</v>
      </c>
      <c r="L338" s="405" t="s">
        <v>314</v>
      </c>
      <c r="M338" s="405" t="s">
        <v>329</v>
      </c>
      <c r="N338" s="405" t="s">
        <v>330</v>
      </c>
      <c r="O338" s="405" t="s">
        <v>9430</v>
      </c>
      <c r="P338" s="405" t="s">
        <v>9430</v>
      </c>
      <c r="Q338" s="411">
        <v>13</v>
      </c>
      <c r="R338" s="405" t="s">
        <v>9408</v>
      </c>
      <c r="S338" s="405" t="s">
        <v>27037</v>
      </c>
      <c r="T338" s="405" t="s">
        <v>884</v>
      </c>
      <c r="U338" s="405" t="s">
        <v>319</v>
      </c>
    </row>
    <row r="339" spans="1:21" x14ac:dyDescent="0.25">
      <c r="A339" s="405" t="s">
        <v>310</v>
      </c>
      <c r="B339" s="405" t="s">
        <v>26749</v>
      </c>
      <c r="C339" s="405" t="s">
        <v>327</v>
      </c>
      <c r="D339" s="405"/>
      <c r="E339" s="410">
        <v>44780</v>
      </c>
      <c r="F339" s="410">
        <v>44846</v>
      </c>
      <c r="G339" s="405" t="s">
        <v>26750</v>
      </c>
      <c r="H339" s="405" t="s">
        <v>26751</v>
      </c>
      <c r="I339" s="405"/>
      <c r="J339" s="405">
        <v>0.76259299999999997</v>
      </c>
      <c r="K339" s="405">
        <v>32.104528000000002</v>
      </c>
      <c r="L339" s="405" t="s">
        <v>590</v>
      </c>
      <c r="M339" s="405" t="s">
        <v>2537</v>
      </c>
      <c r="N339" s="405" t="s">
        <v>6389</v>
      </c>
      <c r="O339" s="405" t="s">
        <v>2758</v>
      </c>
      <c r="P339" s="405" t="s">
        <v>26752</v>
      </c>
      <c r="Q339" s="411">
        <v>6</v>
      </c>
      <c r="R339" s="405" t="s">
        <v>7211</v>
      </c>
      <c r="S339" s="405" t="s">
        <v>27100</v>
      </c>
      <c r="T339" s="405" t="s">
        <v>884</v>
      </c>
      <c r="U339" s="405" t="s">
        <v>319</v>
      </c>
    </row>
    <row r="340" spans="1:21" x14ac:dyDescent="0.25">
      <c r="A340" s="405" t="s">
        <v>310</v>
      </c>
      <c r="B340" s="405" t="s">
        <v>26757</v>
      </c>
      <c r="C340" s="405" t="s">
        <v>327</v>
      </c>
      <c r="D340" s="405"/>
      <c r="E340" s="410">
        <v>44780</v>
      </c>
      <c r="F340" s="410">
        <v>44846</v>
      </c>
      <c r="G340" s="405" t="s">
        <v>26758</v>
      </c>
      <c r="H340" s="405" t="s">
        <v>26759</v>
      </c>
      <c r="I340" s="405"/>
      <c r="J340" s="405">
        <v>0.90021200000000001</v>
      </c>
      <c r="K340" s="405">
        <v>31.859818000000001</v>
      </c>
      <c r="L340" s="405" t="s">
        <v>590</v>
      </c>
      <c r="M340" s="405" t="s">
        <v>2537</v>
      </c>
      <c r="N340" s="405" t="s">
        <v>5564</v>
      </c>
      <c r="O340" s="405" t="s">
        <v>26760</v>
      </c>
      <c r="P340" s="405" t="s">
        <v>26761</v>
      </c>
      <c r="Q340" s="411">
        <v>6</v>
      </c>
      <c r="R340" s="405" t="s">
        <v>7211</v>
      </c>
      <c r="S340" s="405" t="s">
        <v>27100</v>
      </c>
      <c r="T340" s="405" t="s">
        <v>884</v>
      </c>
      <c r="U340" s="405" t="s">
        <v>319</v>
      </c>
    </row>
    <row r="341" spans="1:21" x14ac:dyDescent="0.25">
      <c r="A341" s="405" t="s">
        <v>310</v>
      </c>
      <c r="B341" s="405" t="s">
        <v>26753</v>
      </c>
      <c r="C341" s="405" t="s">
        <v>327</v>
      </c>
      <c r="D341" s="405"/>
      <c r="E341" s="410">
        <v>44780</v>
      </c>
      <c r="F341" s="410">
        <v>44846</v>
      </c>
      <c r="G341" s="405" t="s">
        <v>26754</v>
      </c>
      <c r="H341" s="405" t="s">
        <v>26755</v>
      </c>
      <c r="I341" s="405"/>
      <c r="J341" s="405">
        <v>0.80881999999999998</v>
      </c>
      <c r="K341" s="405">
        <v>31.977073000000001</v>
      </c>
      <c r="L341" s="405" t="s">
        <v>590</v>
      </c>
      <c r="M341" s="405" t="s">
        <v>2537</v>
      </c>
      <c r="N341" s="405" t="s">
        <v>6389</v>
      </c>
      <c r="O341" s="405" t="s">
        <v>26743</v>
      </c>
      <c r="P341" s="405" t="s">
        <v>26756</v>
      </c>
      <c r="Q341" s="411">
        <v>6</v>
      </c>
      <c r="R341" s="405" t="s">
        <v>7211</v>
      </c>
      <c r="S341" s="405" t="s">
        <v>27100</v>
      </c>
      <c r="T341" s="405" t="s">
        <v>884</v>
      </c>
      <c r="U341" s="405" t="s">
        <v>319</v>
      </c>
    </row>
    <row r="342" spans="1:21" x14ac:dyDescent="0.25">
      <c r="A342" s="405" t="s">
        <v>310</v>
      </c>
      <c r="B342" s="405" t="s">
        <v>26762</v>
      </c>
      <c r="C342" s="405" t="s">
        <v>327</v>
      </c>
      <c r="D342" s="405"/>
      <c r="E342" s="410">
        <v>44779</v>
      </c>
      <c r="F342" s="410">
        <v>44846</v>
      </c>
      <c r="G342" s="405" t="s">
        <v>26763</v>
      </c>
      <c r="H342" s="405" t="s">
        <v>26764</v>
      </c>
      <c r="I342" s="405"/>
      <c r="J342" s="405">
        <v>0.74313700000000005</v>
      </c>
      <c r="K342" s="405">
        <v>31.96604</v>
      </c>
      <c r="L342" s="405" t="s">
        <v>590</v>
      </c>
      <c r="M342" s="405" t="s">
        <v>2537</v>
      </c>
      <c r="N342" s="405" t="s">
        <v>6389</v>
      </c>
      <c r="O342" s="405" t="s">
        <v>26743</v>
      </c>
      <c r="P342" s="405" t="s">
        <v>26765</v>
      </c>
      <c r="Q342" s="411">
        <v>6</v>
      </c>
      <c r="R342" s="405" t="s">
        <v>7211</v>
      </c>
      <c r="S342" s="405" t="s">
        <v>27100</v>
      </c>
      <c r="T342" s="405" t="s">
        <v>884</v>
      </c>
      <c r="U342" s="405" t="s">
        <v>319</v>
      </c>
    </row>
    <row r="343" spans="1:21" x14ac:dyDescent="0.25">
      <c r="A343" s="405" t="s">
        <v>310</v>
      </c>
      <c r="B343" s="405" t="s">
        <v>26746</v>
      </c>
      <c r="C343" s="405" t="s">
        <v>327</v>
      </c>
      <c r="D343" s="405"/>
      <c r="E343" s="410">
        <v>44778</v>
      </c>
      <c r="F343" s="410">
        <v>44846</v>
      </c>
      <c r="G343" s="405" t="s">
        <v>26747</v>
      </c>
      <c r="H343" s="405" t="s">
        <v>26748</v>
      </c>
      <c r="I343" s="405"/>
      <c r="J343" s="405">
        <v>0.71980999999999995</v>
      </c>
      <c r="K343" s="405">
        <v>32.177418000000003</v>
      </c>
      <c r="L343" s="405" t="s">
        <v>590</v>
      </c>
      <c r="M343" s="405" t="s">
        <v>2537</v>
      </c>
      <c r="N343" s="405" t="s">
        <v>6389</v>
      </c>
      <c r="O343" s="405" t="s">
        <v>2858</v>
      </c>
      <c r="P343" s="405" t="s">
        <v>6003</v>
      </c>
      <c r="Q343" s="411">
        <v>6</v>
      </c>
      <c r="R343" s="405" t="s">
        <v>7211</v>
      </c>
      <c r="S343" s="405" t="s">
        <v>27100</v>
      </c>
      <c r="T343" s="405" t="s">
        <v>884</v>
      </c>
      <c r="U343" s="405" t="s">
        <v>319</v>
      </c>
    </row>
    <row r="344" spans="1:21" x14ac:dyDescent="0.25">
      <c r="A344" s="405" t="s">
        <v>310</v>
      </c>
      <c r="B344" s="405" t="s">
        <v>26766</v>
      </c>
      <c r="C344" s="405" t="s">
        <v>327</v>
      </c>
      <c r="D344" s="405"/>
      <c r="E344" s="410">
        <v>44778</v>
      </c>
      <c r="F344" s="410">
        <v>44846</v>
      </c>
      <c r="G344" s="405" t="s">
        <v>26767</v>
      </c>
      <c r="H344" s="405" t="s">
        <v>26768</v>
      </c>
      <c r="I344" s="405"/>
      <c r="J344" s="405">
        <v>0.79476599999999997</v>
      </c>
      <c r="K344" s="405">
        <v>31.940023</v>
      </c>
      <c r="L344" s="405" t="s">
        <v>590</v>
      </c>
      <c r="M344" s="405" t="s">
        <v>2537</v>
      </c>
      <c r="N344" s="405" t="s">
        <v>6389</v>
      </c>
      <c r="O344" s="405" t="s">
        <v>26743</v>
      </c>
      <c r="P344" s="405" t="s">
        <v>26769</v>
      </c>
      <c r="Q344" s="411">
        <v>6</v>
      </c>
      <c r="R344" s="405" t="s">
        <v>7211</v>
      </c>
      <c r="S344" s="405" t="s">
        <v>27100</v>
      </c>
      <c r="T344" s="405" t="s">
        <v>884</v>
      </c>
      <c r="U344" s="405" t="s">
        <v>319</v>
      </c>
    </row>
    <row r="345" spans="1:21" x14ac:dyDescent="0.25">
      <c r="A345" s="405" t="s">
        <v>310</v>
      </c>
      <c r="B345" s="405" t="s">
        <v>9382</v>
      </c>
      <c r="C345" s="405" t="s">
        <v>311</v>
      </c>
      <c r="D345" s="405" t="s">
        <v>32997</v>
      </c>
      <c r="E345" s="410">
        <v>44778</v>
      </c>
      <c r="F345" s="410">
        <v>44799</v>
      </c>
      <c r="G345" s="405" t="s">
        <v>9383</v>
      </c>
      <c r="H345" s="405" t="s">
        <v>9384</v>
      </c>
      <c r="I345" s="405"/>
      <c r="J345" s="405">
        <v>1.1726799999999999</v>
      </c>
      <c r="K345" s="405">
        <v>32.600327</v>
      </c>
      <c r="L345" s="405" t="s">
        <v>314</v>
      </c>
      <c r="M345" s="405" t="s">
        <v>2512</v>
      </c>
      <c r="N345" s="405" t="s">
        <v>2512</v>
      </c>
      <c r="O345" s="405" t="s">
        <v>3906</v>
      </c>
      <c r="P345" s="405" t="s">
        <v>9385</v>
      </c>
      <c r="Q345" s="411">
        <v>6</v>
      </c>
      <c r="R345" s="405" t="s">
        <v>7211</v>
      </c>
      <c r="S345" s="405" t="s">
        <v>27066</v>
      </c>
      <c r="T345" s="405" t="s">
        <v>884</v>
      </c>
      <c r="U345" s="405" t="s">
        <v>319</v>
      </c>
    </row>
    <row r="346" spans="1:21" x14ac:dyDescent="0.25">
      <c r="A346" s="405" t="s">
        <v>310</v>
      </c>
      <c r="B346" s="405" t="s">
        <v>9386</v>
      </c>
      <c r="C346" s="405" t="s">
        <v>327</v>
      </c>
      <c r="D346" s="405"/>
      <c r="E346" s="410">
        <v>44776</v>
      </c>
      <c r="F346" s="410">
        <v>44793</v>
      </c>
      <c r="G346" s="405" t="s">
        <v>9387</v>
      </c>
      <c r="H346" s="405" t="s">
        <v>9388</v>
      </c>
      <c r="I346" s="405"/>
      <c r="J346" s="405">
        <v>1.3186800000000001</v>
      </c>
      <c r="K346" s="405">
        <v>32.384763</v>
      </c>
      <c r="L346" s="405" t="s">
        <v>314</v>
      </c>
      <c r="M346" s="405" t="s">
        <v>2512</v>
      </c>
      <c r="N346" s="405" t="s">
        <v>2512</v>
      </c>
      <c r="O346" s="405" t="s">
        <v>3906</v>
      </c>
      <c r="P346" s="405" t="s">
        <v>9389</v>
      </c>
      <c r="Q346" s="411">
        <v>6</v>
      </c>
      <c r="R346" s="405" t="s">
        <v>7211</v>
      </c>
      <c r="S346" s="405" t="s">
        <v>27066</v>
      </c>
      <c r="T346" s="405" t="s">
        <v>884</v>
      </c>
      <c r="U346" s="405" t="s">
        <v>319</v>
      </c>
    </row>
    <row r="347" spans="1:21" x14ac:dyDescent="0.25">
      <c r="A347" s="405" t="s">
        <v>310</v>
      </c>
      <c r="B347" s="405" t="s">
        <v>9390</v>
      </c>
      <c r="C347" s="405" t="s">
        <v>327</v>
      </c>
      <c r="D347" s="405"/>
      <c r="E347" s="410">
        <v>44768</v>
      </c>
      <c r="F347" s="410">
        <v>44783</v>
      </c>
      <c r="G347" s="405" t="s">
        <v>9391</v>
      </c>
      <c r="H347" s="405" t="s">
        <v>9392</v>
      </c>
      <c r="I347" s="405"/>
      <c r="J347" s="405">
        <v>1.523898</v>
      </c>
      <c r="K347" s="405">
        <v>32.338160000000002</v>
      </c>
      <c r="L347" s="405" t="s">
        <v>314</v>
      </c>
      <c r="M347" s="405" t="s">
        <v>2512</v>
      </c>
      <c r="N347" s="405" t="s">
        <v>2512</v>
      </c>
      <c r="O347" s="405" t="s">
        <v>9393</v>
      </c>
      <c r="P347" s="405" t="s">
        <v>9394</v>
      </c>
      <c r="Q347" s="411">
        <v>6</v>
      </c>
      <c r="R347" s="405" t="s">
        <v>7211</v>
      </c>
      <c r="S347" s="405" t="s">
        <v>27066</v>
      </c>
      <c r="T347" s="405" t="s">
        <v>884</v>
      </c>
      <c r="U347" s="405" t="s">
        <v>319</v>
      </c>
    </row>
    <row r="348" spans="1:21" x14ac:dyDescent="0.25">
      <c r="A348" s="405" t="s">
        <v>310</v>
      </c>
      <c r="B348" s="405" t="s">
        <v>26839</v>
      </c>
      <c r="C348" s="405" t="s">
        <v>327</v>
      </c>
      <c r="D348" s="405"/>
      <c r="E348" s="410">
        <v>44765</v>
      </c>
      <c r="F348" s="410">
        <v>44878</v>
      </c>
      <c r="G348" s="405" t="s">
        <v>26840</v>
      </c>
      <c r="H348" s="405" t="s">
        <v>26841</v>
      </c>
      <c r="I348" s="405"/>
      <c r="J348" s="405">
        <v>-0.13406499999999999</v>
      </c>
      <c r="K348" s="405">
        <v>31.537469999999999</v>
      </c>
      <c r="L348" s="405" t="s">
        <v>590</v>
      </c>
      <c r="M348" s="405" t="s">
        <v>343</v>
      </c>
      <c r="N348" s="405" t="s">
        <v>26796</v>
      </c>
      <c r="O348" s="405" t="s">
        <v>26842</v>
      </c>
      <c r="P348" s="405" t="s">
        <v>26843</v>
      </c>
      <c r="Q348" s="411">
        <v>6</v>
      </c>
      <c r="R348" s="405" t="s">
        <v>7211</v>
      </c>
      <c r="S348" s="405" t="s">
        <v>27101</v>
      </c>
      <c r="T348" s="405" t="s">
        <v>884</v>
      </c>
      <c r="U348" s="405" t="s">
        <v>319</v>
      </c>
    </row>
    <row r="349" spans="1:21" x14ac:dyDescent="0.25">
      <c r="A349" s="405" t="s">
        <v>310</v>
      </c>
      <c r="B349" s="405" t="s">
        <v>18040</v>
      </c>
      <c r="C349" s="405" t="s">
        <v>327</v>
      </c>
      <c r="D349" s="405"/>
      <c r="E349" s="410">
        <v>44752</v>
      </c>
      <c r="F349" s="410">
        <v>44902</v>
      </c>
      <c r="G349" s="405" t="s">
        <v>18041</v>
      </c>
      <c r="H349" s="405" t="s">
        <v>18042</v>
      </c>
      <c r="I349" s="405"/>
      <c r="J349" s="405">
        <v>0.605715</v>
      </c>
      <c r="K349" s="405">
        <v>33.476787999999999</v>
      </c>
      <c r="L349" s="405" t="s">
        <v>6866</v>
      </c>
      <c r="M349" s="405" t="s">
        <v>10853</v>
      </c>
      <c r="N349" s="405" t="s">
        <v>18043</v>
      </c>
      <c r="O349" s="405" t="s">
        <v>7426</v>
      </c>
      <c r="P349" s="405" t="s">
        <v>8040</v>
      </c>
      <c r="Q349" s="411">
        <v>6</v>
      </c>
      <c r="R349" s="405" t="s">
        <v>32164</v>
      </c>
      <c r="S349" s="405" t="s">
        <v>27054</v>
      </c>
      <c r="T349" s="405" t="s">
        <v>884</v>
      </c>
      <c r="U349" s="405" t="s">
        <v>319</v>
      </c>
    </row>
    <row r="350" spans="1:21" x14ac:dyDescent="0.25">
      <c r="A350" s="405" t="s">
        <v>310</v>
      </c>
      <c r="B350" s="405" t="s">
        <v>9374</v>
      </c>
      <c r="C350" s="405" t="s">
        <v>327</v>
      </c>
      <c r="D350" s="405"/>
      <c r="E350" s="410">
        <v>44752</v>
      </c>
      <c r="F350" s="410">
        <v>44768</v>
      </c>
      <c r="G350" s="405" t="s">
        <v>9375</v>
      </c>
      <c r="H350" s="405" t="s">
        <v>9376</v>
      </c>
      <c r="I350" s="405"/>
      <c r="J350" s="405">
        <v>1.526187</v>
      </c>
      <c r="K350" s="405">
        <v>32.437260000000002</v>
      </c>
      <c r="L350" s="405" t="s">
        <v>314</v>
      </c>
      <c r="M350" s="405" t="s">
        <v>2512</v>
      </c>
      <c r="N350" s="405" t="s">
        <v>2512</v>
      </c>
      <c r="O350" s="405" t="s">
        <v>3903</v>
      </c>
      <c r="P350" s="405" t="s">
        <v>9377</v>
      </c>
      <c r="Q350" s="411">
        <v>6</v>
      </c>
      <c r="R350" s="405" t="s">
        <v>7211</v>
      </c>
      <c r="S350" s="405" t="s">
        <v>27066</v>
      </c>
      <c r="T350" s="405" t="s">
        <v>884</v>
      </c>
      <c r="U350" s="405" t="s">
        <v>319</v>
      </c>
    </row>
    <row r="351" spans="1:21" x14ac:dyDescent="0.25">
      <c r="A351" s="405" t="s">
        <v>310</v>
      </c>
      <c r="B351" s="405" t="s">
        <v>9370</v>
      </c>
      <c r="C351" s="405" t="s">
        <v>327</v>
      </c>
      <c r="D351" s="405"/>
      <c r="E351" s="410">
        <v>44751</v>
      </c>
      <c r="F351" s="410">
        <v>44760</v>
      </c>
      <c r="G351" s="405" t="s">
        <v>9371</v>
      </c>
      <c r="H351" s="405" t="s">
        <v>9372</v>
      </c>
      <c r="I351" s="405"/>
      <c r="J351" s="405">
        <v>1.5000899999999999</v>
      </c>
      <c r="K351" s="405">
        <v>32.469670000000001</v>
      </c>
      <c r="L351" s="405" t="s">
        <v>314</v>
      </c>
      <c r="M351" s="405" t="s">
        <v>2512</v>
      </c>
      <c r="N351" s="405" t="s">
        <v>2512</v>
      </c>
      <c r="O351" s="405" t="s">
        <v>3903</v>
      </c>
      <c r="P351" s="405" t="s">
        <v>9373</v>
      </c>
      <c r="Q351" s="411">
        <v>6</v>
      </c>
      <c r="R351" s="405" t="s">
        <v>7211</v>
      </c>
      <c r="S351" s="405" t="s">
        <v>27066</v>
      </c>
      <c r="T351" s="405" t="s">
        <v>884</v>
      </c>
      <c r="U351" s="405" t="s">
        <v>319</v>
      </c>
    </row>
    <row r="352" spans="1:21" x14ac:dyDescent="0.25">
      <c r="A352" s="405" t="s">
        <v>310</v>
      </c>
      <c r="B352" s="405" t="s">
        <v>17971</v>
      </c>
      <c r="C352" s="405" t="s">
        <v>327</v>
      </c>
      <c r="D352" s="405"/>
      <c r="E352" s="410">
        <v>44670</v>
      </c>
      <c r="F352" s="410">
        <v>44701</v>
      </c>
      <c r="G352" s="405" t="s">
        <v>17972</v>
      </c>
      <c r="H352" s="405" t="s">
        <v>17973</v>
      </c>
      <c r="I352" s="405"/>
      <c r="J352" s="405">
        <v>1.1560049999999999</v>
      </c>
      <c r="K352" s="405">
        <v>34.339793</v>
      </c>
      <c r="L352" s="405" t="s">
        <v>6866</v>
      </c>
      <c r="M352" s="405" t="s">
        <v>9575</v>
      </c>
      <c r="N352" s="405" t="s">
        <v>17974</v>
      </c>
      <c r="O352" s="405" t="s">
        <v>17975</v>
      </c>
      <c r="P352" s="405" t="s">
        <v>17976</v>
      </c>
      <c r="Q352" s="411">
        <v>4</v>
      </c>
      <c r="R352" s="405" t="s">
        <v>17977</v>
      </c>
      <c r="S352" s="405" t="s">
        <v>27072</v>
      </c>
      <c r="T352" s="405" t="s">
        <v>884</v>
      </c>
      <c r="U352" s="405" t="s">
        <v>319</v>
      </c>
    </row>
    <row r="353" spans="1:21" x14ac:dyDescent="0.25">
      <c r="A353" s="405" t="s">
        <v>310</v>
      </c>
      <c r="B353" s="405" t="s">
        <v>17978</v>
      </c>
      <c r="C353" s="405" t="s">
        <v>327</v>
      </c>
      <c r="D353" s="405"/>
      <c r="E353" s="410">
        <v>44664</v>
      </c>
      <c r="F353" s="410">
        <v>44690</v>
      </c>
      <c r="G353" s="405" t="s">
        <v>17979</v>
      </c>
      <c r="H353" s="405" t="s">
        <v>17973</v>
      </c>
      <c r="I353" s="405"/>
      <c r="J353" s="405">
        <v>1.156145</v>
      </c>
      <c r="K353" s="405">
        <v>34.340415</v>
      </c>
      <c r="L353" s="405" t="s">
        <v>6866</v>
      </c>
      <c r="M353" s="405" t="s">
        <v>9575</v>
      </c>
      <c r="N353" s="405" t="s">
        <v>17974</v>
      </c>
      <c r="O353" s="405" t="s">
        <v>17975</v>
      </c>
      <c r="P353" s="405" t="s">
        <v>17976</v>
      </c>
      <c r="Q353" s="411">
        <v>4</v>
      </c>
      <c r="R353" s="405" t="s">
        <v>17977</v>
      </c>
      <c r="S353" s="405" t="s">
        <v>27072</v>
      </c>
      <c r="T353" s="405" t="s">
        <v>32102</v>
      </c>
      <c r="U353" s="405" t="s">
        <v>319</v>
      </c>
    </row>
    <row r="354" spans="1:21" x14ac:dyDescent="0.25">
      <c r="A354" s="405" t="s">
        <v>310</v>
      </c>
      <c r="B354" s="405" t="s">
        <v>9364</v>
      </c>
      <c r="C354" s="405" t="s">
        <v>327</v>
      </c>
      <c r="D354" s="405"/>
      <c r="E354" s="410">
        <v>44650</v>
      </c>
      <c r="F354" s="410">
        <v>44663</v>
      </c>
      <c r="G354" s="405" t="s">
        <v>9365</v>
      </c>
      <c r="H354" s="405" t="s">
        <v>9366</v>
      </c>
      <c r="I354" s="405" t="s">
        <v>9362</v>
      </c>
      <c r="J354" s="405">
        <v>0.180122</v>
      </c>
      <c r="K354" s="405">
        <v>33.013860000000001</v>
      </c>
      <c r="L354" s="405" t="s">
        <v>314</v>
      </c>
      <c r="M354" s="405" t="s">
        <v>349</v>
      </c>
      <c r="N354" s="405" t="s">
        <v>549</v>
      </c>
      <c r="O354" s="405" t="s">
        <v>473</v>
      </c>
      <c r="P354" s="405" t="s">
        <v>9363</v>
      </c>
      <c r="Q354" s="411">
        <v>6</v>
      </c>
      <c r="R354" s="405" t="s">
        <v>32101</v>
      </c>
      <c r="S354" s="405" t="s">
        <v>27069</v>
      </c>
      <c r="T354" s="405" t="s">
        <v>884</v>
      </c>
      <c r="U354" s="405" t="s">
        <v>319</v>
      </c>
    </row>
    <row r="355" spans="1:21" x14ac:dyDescent="0.25">
      <c r="A355" s="405" t="s">
        <v>310</v>
      </c>
      <c r="B355" s="405" t="s">
        <v>9351</v>
      </c>
      <c r="C355" s="405" t="s">
        <v>327</v>
      </c>
      <c r="D355" s="405"/>
      <c r="E355" s="410">
        <v>44648</v>
      </c>
      <c r="F355" s="410">
        <v>44651</v>
      </c>
      <c r="G355" s="405" t="s">
        <v>9352</v>
      </c>
      <c r="H355" s="405" t="s">
        <v>9353</v>
      </c>
      <c r="I355" s="405" t="s">
        <v>2913</v>
      </c>
      <c r="J355" s="405">
        <v>0.37744</v>
      </c>
      <c r="K355" s="405">
        <v>32.806972999999999</v>
      </c>
      <c r="L355" s="405" t="s">
        <v>314</v>
      </c>
      <c r="M355" s="405" t="s">
        <v>329</v>
      </c>
      <c r="N355" s="405" t="s">
        <v>329</v>
      </c>
      <c r="O355" s="405" t="s">
        <v>9354</v>
      </c>
      <c r="P355" s="405" t="s">
        <v>6310</v>
      </c>
      <c r="Q355" s="411">
        <v>9</v>
      </c>
      <c r="R355" s="405" t="s">
        <v>32101</v>
      </c>
      <c r="S355" s="405" t="s">
        <v>27186</v>
      </c>
      <c r="T355" s="405" t="s">
        <v>884</v>
      </c>
      <c r="U355" s="405" t="s">
        <v>319</v>
      </c>
    </row>
    <row r="356" spans="1:21" x14ac:dyDescent="0.25">
      <c r="A356" s="405" t="s">
        <v>310</v>
      </c>
      <c r="B356" s="405" t="s">
        <v>9359</v>
      </c>
      <c r="C356" s="405" t="s">
        <v>327</v>
      </c>
      <c r="D356" s="405"/>
      <c r="E356" s="410">
        <v>44647</v>
      </c>
      <c r="F356" s="410">
        <v>44650</v>
      </c>
      <c r="G356" s="405" t="s">
        <v>9360</v>
      </c>
      <c r="H356" s="405" t="s">
        <v>9361</v>
      </c>
      <c r="I356" s="405" t="s">
        <v>9362</v>
      </c>
      <c r="J356" s="405">
        <v>0.179947</v>
      </c>
      <c r="K356" s="405">
        <v>33.012973000000002</v>
      </c>
      <c r="L356" s="405" t="s">
        <v>314</v>
      </c>
      <c r="M356" s="405" t="s">
        <v>349</v>
      </c>
      <c r="N356" s="405" t="s">
        <v>473</v>
      </c>
      <c r="O356" s="405" t="s">
        <v>9363</v>
      </c>
      <c r="P356" s="405" t="s">
        <v>9363</v>
      </c>
      <c r="Q356" s="411">
        <v>6</v>
      </c>
      <c r="R356" s="405" t="s">
        <v>32101</v>
      </c>
      <c r="S356" s="405" t="s">
        <v>27069</v>
      </c>
      <c r="T356" s="405" t="s">
        <v>884</v>
      </c>
      <c r="U356" s="405" t="s">
        <v>319</v>
      </c>
    </row>
    <row r="357" spans="1:21" x14ac:dyDescent="0.25">
      <c r="A357" s="405" t="s">
        <v>310</v>
      </c>
      <c r="B357" s="405" t="s">
        <v>9355</v>
      </c>
      <c r="C357" s="405" t="s">
        <v>327</v>
      </c>
      <c r="D357" s="405"/>
      <c r="E357" s="410">
        <v>44645</v>
      </c>
      <c r="F357" s="410">
        <v>44651</v>
      </c>
      <c r="G357" s="405" t="s">
        <v>9356</v>
      </c>
      <c r="H357" s="405" t="s">
        <v>9357</v>
      </c>
      <c r="I357" s="405" t="s">
        <v>2913</v>
      </c>
      <c r="J357" s="405">
        <v>0.35220699999999999</v>
      </c>
      <c r="K357" s="405">
        <v>33.136870000000002</v>
      </c>
      <c r="L357" s="405" t="s">
        <v>314</v>
      </c>
      <c r="M357" s="405" t="s">
        <v>349</v>
      </c>
      <c r="N357" s="405" t="s">
        <v>7638</v>
      </c>
      <c r="O357" s="405" t="s">
        <v>1836</v>
      </c>
      <c r="P357" s="405" t="s">
        <v>9358</v>
      </c>
      <c r="Q357" s="411">
        <v>6</v>
      </c>
      <c r="R357" s="405" t="s">
        <v>32101</v>
      </c>
      <c r="S357" s="405" t="s">
        <v>27069</v>
      </c>
      <c r="T357" s="405" t="s">
        <v>32102</v>
      </c>
      <c r="U357" s="405" t="s">
        <v>319</v>
      </c>
    </row>
    <row r="358" spans="1:21" x14ac:dyDescent="0.25">
      <c r="A358" s="405" t="s">
        <v>310</v>
      </c>
      <c r="B358" s="405" t="s">
        <v>9342</v>
      </c>
      <c r="C358" s="405" t="s">
        <v>327</v>
      </c>
      <c r="D358" s="405"/>
      <c r="E358" s="410">
        <v>44634</v>
      </c>
      <c r="F358" s="410">
        <v>44651</v>
      </c>
      <c r="G358" s="405" t="s">
        <v>9343</v>
      </c>
      <c r="H358" s="405" t="s">
        <v>9344</v>
      </c>
      <c r="I358" s="405" t="s">
        <v>2913</v>
      </c>
      <c r="J358" s="405">
        <v>-0.31585000000000002</v>
      </c>
      <c r="K358" s="405">
        <v>31.740722000000002</v>
      </c>
      <c r="L358" s="405" t="s">
        <v>314</v>
      </c>
      <c r="M358" s="405" t="s">
        <v>339</v>
      </c>
      <c r="N358" s="405" t="s">
        <v>9345</v>
      </c>
      <c r="O358" s="405" t="s">
        <v>6323</v>
      </c>
      <c r="P358" s="405" t="s">
        <v>9345</v>
      </c>
      <c r="Q358" s="411">
        <v>6</v>
      </c>
      <c r="R358" s="405" t="s">
        <v>32101</v>
      </c>
      <c r="S358" s="405" t="s">
        <v>27186</v>
      </c>
      <c r="T358" s="405" t="s">
        <v>32102</v>
      </c>
      <c r="U358" s="405" t="s">
        <v>319</v>
      </c>
    </row>
    <row r="359" spans="1:21" x14ac:dyDescent="0.25">
      <c r="A359" s="405" t="s">
        <v>310</v>
      </c>
      <c r="B359" s="405" t="s">
        <v>9337</v>
      </c>
      <c r="C359" s="405" t="s">
        <v>327</v>
      </c>
      <c r="D359" s="405"/>
      <c r="E359" s="410">
        <v>44632</v>
      </c>
      <c r="F359" s="410">
        <v>44646</v>
      </c>
      <c r="G359" s="405" t="s">
        <v>9338</v>
      </c>
      <c r="H359" s="405" t="s">
        <v>9339</v>
      </c>
      <c r="I359" s="405" t="s">
        <v>9340</v>
      </c>
      <c r="J359" s="405">
        <v>0.27447500000000002</v>
      </c>
      <c r="K359" s="405">
        <v>32.512037999999997</v>
      </c>
      <c r="L359" s="405" t="s">
        <v>314</v>
      </c>
      <c r="M359" s="405" t="s">
        <v>361</v>
      </c>
      <c r="N359" s="405" t="s">
        <v>3398</v>
      </c>
      <c r="O359" s="405" t="s">
        <v>375</v>
      </c>
      <c r="P359" s="405" t="s">
        <v>9341</v>
      </c>
      <c r="Q359" s="411">
        <v>6</v>
      </c>
      <c r="R359" s="405" t="s">
        <v>9242</v>
      </c>
      <c r="S359" s="405" t="s">
        <v>27193</v>
      </c>
      <c r="T359" s="405" t="s">
        <v>884</v>
      </c>
      <c r="U359" s="405" t="s">
        <v>319</v>
      </c>
    </row>
    <row r="360" spans="1:21" x14ac:dyDescent="0.25">
      <c r="A360" s="405" t="s">
        <v>310</v>
      </c>
      <c r="B360" s="405" t="s">
        <v>9346</v>
      </c>
      <c r="C360" s="405" t="s">
        <v>327</v>
      </c>
      <c r="D360" s="405"/>
      <c r="E360" s="410">
        <v>44620</v>
      </c>
      <c r="F360" s="410">
        <v>44650</v>
      </c>
      <c r="G360" s="405" t="s">
        <v>9347</v>
      </c>
      <c r="H360" s="405" t="s">
        <v>9348</v>
      </c>
      <c r="I360" s="405" t="s">
        <v>9349</v>
      </c>
      <c r="J360" s="405">
        <v>0.38091799999999998</v>
      </c>
      <c r="K360" s="405">
        <v>32.252313000000001</v>
      </c>
      <c r="L360" s="405" t="s">
        <v>314</v>
      </c>
      <c r="M360" s="405" t="s">
        <v>675</v>
      </c>
      <c r="N360" s="405" t="s">
        <v>675</v>
      </c>
      <c r="O360" s="405" t="s">
        <v>9350</v>
      </c>
      <c r="P360" s="405" t="s">
        <v>1374</v>
      </c>
      <c r="Q360" s="411">
        <v>13</v>
      </c>
      <c r="R360" s="405" t="s">
        <v>32101</v>
      </c>
      <c r="S360" s="405" t="s">
        <v>27069</v>
      </c>
      <c r="T360" s="405" t="s">
        <v>884</v>
      </c>
      <c r="U360" s="405" t="s">
        <v>319</v>
      </c>
    </row>
    <row r="361" spans="1:21" x14ac:dyDescent="0.25">
      <c r="A361" s="405" t="s">
        <v>310</v>
      </c>
      <c r="B361" s="405" t="s">
        <v>17966</v>
      </c>
      <c r="C361" s="405" t="s">
        <v>327</v>
      </c>
      <c r="D361" s="405"/>
      <c r="E361" s="410">
        <v>44620</v>
      </c>
      <c r="F361" s="410">
        <v>44621</v>
      </c>
      <c r="G361" s="405" t="s">
        <v>17967</v>
      </c>
      <c r="H361" s="405" t="s">
        <v>17968</v>
      </c>
      <c r="I361" s="405" t="s">
        <v>17969</v>
      </c>
      <c r="J361" s="405">
        <v>1.230083</v>
      </c>
      <c r="K361" s="405">
        <v>34.315488000000002</v>
      </c>
      <c r="L361" s="405" t="s">
        <v>6866</v>
      </c>
      <c r="M361" s="405" t="s">
        <v>9575</v>
      </c>
      <c r="N361" s="405" t="s">
        <v>9576</v>
      </c>
      <c r="O361" s="405" t="s">
        <v>10888</v>
      </c>
      <c r="P361" s="405" t="s">
        <v>17970</v>
      </c>
      <c r="Q361" s="411">
        <v>6</v>
      </c>
      <c r="R361" s="405" t="s">
        <v>17977</v>
      </c>
      <c r="S361" s="405" t="s">
        <v>27072</v>
      </c>
      <c r="T361" s="405" t="s">
        <v>884</v>
      </c>
      <c r="U361" s="405" t="s">
        <v>319</v>
      </c>
    </row>
    <row r="362" spans="1:21" x14ac:dyDescent="0.25">
      <c r="A362" s="405" t="s">
        <v>310</v>
      </c>
      <c r="B362" s="405" t="s">
        <v>17960</v>
      </c>
      <c r="C362" s="405" t="s">
        <v>327</v>
      </c>
      <c r="D362" s="405"/>
      <c r="E362" s="410">
        <v>44611</v>
      </c>
      <c r="F362" s="410">
        <v>44640</v>
      </c>
      <c r="G362" s="405" t="s">
        <v>17961</v>
      </c>
      <c r="H362" s="405" t="s">
        <v>17962</v>
      </c>
      <c r="I362" s="405" t="s">
        <v>17963</v>
      </c>
      <c r="J362" s="405">
        <v>1.23058</v>
      </c>
      <c r="K362" s="405">
        <v>34.746203000000001</v>
      </c>
      <c r="L362" s="405" t="s">
        <v>6866</v>
      </c>
      <c r="M362" s="405" t="s">
        <v>10163</v>
      </c>
      <c r="N362" s="405" t="s">
        <v>10164</v>
      </c>
      <c r="O362" s="405" t="s">
        <v>17964</v>
      </c>
      <c r="P362" s="405" t="s">
        <v>17965</v>
      </c>
      <c r="Q362" s="411">
        <v>4</v>
      </c>
      <c r="R362" s="405" t="s">
        <v>17977</v>
      </c>
      <c r="S362" s="405" t="s">
        <v>27056</v>
      </c>
      <c r="T362" s="405" t="s">
        <v>884</v>
      </c>
      <c r="U362" s="405" t="s">
        <v>319</v>
      </c>
    </row>
    <row r="363" spans="1:21" x14ac:dyDescent="0.25">
      <c r="A363" s="405" t="s">
        <v>310</v>
      </c>
      <c r="B363" s="405" t="s">
        <v>26698</v>
      </c>
      <c r="C363" s="405" t="s">
        <v>327</v>
      </c>
      <c r="D363" s="405"/>
      <c r="E363" s="410">
        <v>44602</v>
      </c>
      <c r="F363" s="410">
        <v>44612</v>
      </c>
      <c r="G363" s="405" t="s">
        <v>26699</v>
      </c>
      <c r="H363" s="405" t="s">
        <v>26700</v>
      </c>
      <c r="I363" s="405" t="s">
        <v>26701</v>
      </c>
      <c r="J363" s="405">
        <v>-0.97434399999999999</v>
      </c>
      <c r="K363" s="405">
        <v>30.203486000000002</v>
      </c>
      <c r="L363" s="405" t="s">
        <v>590</v>
      </c>
      <c r="M363" s="405" t="s">
        <v>19659</v>
      </c>
      <c r="N363" s="405" t="s">
        <v>19968</v>
      </c>
      <c r="O363" s="405" t="s">
        <v>26702</v>
      </c>
      <c r="P363" s="405" t="s">
        <v>2084</v>
      </c>
      <c r="Q363" s="411">
        <v>13</v>
      </c>
      <c r="R363" s="405" t="s">
        <v>6013</v>
      </c>
      <c r="S363" s="405" t="s">
        <v>27065</v>
      </c>
      <c r="T363" s="405" t="s">
        <v>884</v>
      </c>
      <c r="U363" s="405" t="s">
        <v>319</v>
      </c>
    </row>
    <row r="364" spans="1:21" x14ac:dyDescent="0.25">
      <c r="A364" s="405" t="s">
        <v>310</v>
      </c>
      <c r="B364" s="405" t="s">
        <v>17928</v>
      </c>
      <c r="C364" s="405" t="s">
        <v>327</v>
      </c>
      <c r="D364" s="405"/>
      <c r="E364" s="410">
        <v>44600</v>
      </c>
      <c r="F364" s="410">
        <v>44608</v>
      </c>
      <c r="G364" s="405" t="s">
        <v>17929</v>
      </c>
      <c r="H364" s="405" t="s">
        <v>17930</v>
      </c>
      <c r="I364" s="405" t="s">
        <v>17931</v>
      </c>
      <c r="J364" s="405">
        <v>1.3279399999999999</v>
      </c>
      <c r="K364" s="405">
        <v>34.383602000000003</v>
      </c>
      <c r="L364" s="405" t="s">
        <v>6866</v>
      </c>
      <c r="M364" s="405" t="s">
        <v>9685</v>
      </c>
      <c r="N364" s="405" t="s">
        <v>9686</v>
      </c>
      <c r="O364" s="405" t="s">
        <v>17932</v>
      </c>
      <c r="P364" s="405" t="s">
        <v>17933</v>
      </c>
      <c r="Q364" s="411">
        <v>4</v>
      </c>
      <c r="R364" s="405" t="s">
        <v>17977</v>
      </c>
      <c r="S364" s="405" t="s">
        <v>27374</v>
      </c>
      <c r="T364" s="405" t="s">
        <v>32102</v>
      </c>
      <c r="U364" s="405" t="s">
        <v>319</v>
      </c>
    </row>
    <row r="365" spans="1:21" x14ac:dyDescent="0.25">
      <c r="A365" s="405" t="s">
        <v>310</v>
      </c>
      <c r="B365" s="405" t="s">
        <v>17934</v>
      </c>
      <c r="C365" s="405" t="s">
        <v>327</v>
      </c>
      <c r="D365" s="405"/>
      <c r="E365" s="410">
        <v>44600</v>
      </c>
      <c r="F365" s="410">
        <v>44608</v>
      </c>
      <c r="G365" s="405" t="s">
        <v>17935</v>
      </c>
      <c r="H365" s="405" t="s">
        <v>17936</v>
      </c>
      <c r="I365" s="405" t="s">
        <v>2913</v>
      </c>
      <c r="J365" s="405">
        <v>1.38948</v>
      </c>
      <c r="K365" s="405">
        <v>34.425044999999997</v>
      </c>
      <c r="L365" s="405" t="s">
        <v>6866</v>
      </c>
      <c r="M365" s="405" t="s">
        <v>9685</v>
      </c>
      <c r="N365" s="405" t="s">
        <v>17919</v>
      </c>
      <c r="O365" s="405" t="s">
        <v>14943</v>
      </c>
      <c r="P365" s="405" t="s">
        <v>16002</v>
      </c>
      <c r="Q365" s="411">
        <v>4</v>
      </c>
      <c r="R365" s="405" t="s">
        <v>17977</v>
      </c>
      <c r="S365" s="405" t="s">
        <v>27056</v>
      </c>
      <c r="T365" s="405" t="s">
        <v>884</v>
      </c>
      <c r="U365" s="405" t="s">
        <v>319</v>
      </c>
    </row>
    <row r="366" spans="1:21" x14ac:dyDescent="0.25">
      <c r="A366" s="405" t="s">
        <v>310</v>
      </c>
      <c r="B366" s="405" t="s">
        <v>19002</v>
      </c>
      <c r="C366" s="405" t="s">
        <v>327</v>
      </c>
      <c r="D366" s="405"/>
      <c r="E366" s="410">
        <v>42631</v>
      </c>
      <c r="F366" s="410">
        <v>42676</v>
      </c>
      <c r="G366" s="405" t="s">
        <v>19003</v>
      </c>
      <c r="H366" s="405">
        <v>788326488</v>
      </c>
      <c r="I366" s="405"/>
      <c r="J366" s="405">
        <v>2.4754870000000002</v>
      </c>
      <c r="K366" s="405">
        <v>32.993983</v>
      </c>
      <c r="L366" s="405" t="s">
        <v>860</v>
      </c>
      <c r="M366" s="405" t="s">
        <v>18234</v>
      </c>
      <c r="N366" s="405" t="s">
        <v>19004</v>
      </c>
      <c r="O366" s="405" t="s">
        <v>19004</v>
      </c>
      <c r="P366" s="405" t="s">
        <v>19005</v>
      </c>
      <c r="Q366" s="411">
        <v>30</v>
      </c>
      <c r="R366" s="405" t="s">
        <v>5665</v>
      </c>
      <c r="S366" s="405" t="s">
        <v>27051</v>
      </c>
      <c r="T366" s="405" t="s">
        <v>884</v>
      </c>
      <c r="U366" s="405" t="s">
        <v>319</v>
      </c>
    </row>
    <row r="367" spans="1:21" x14ac:dyDescent="0.25">
      <c r="A367" s="405" t="s">
        <v>310</v>
      </c>
      <c r="B367" s="405" t="s">
        <v>9334</v>
      </c>
      <c r="C367" s="405" t="s">
        <v>327</v>
      </c>
      <c r="D367" s="405"/>
      <c r="E367" s="410">
        <v>44591</v>
      </c>
      <c r="F367" s="410">
        <v>44620</v>
      </c>
      <c r="G367" s="405" t="s">
        <v>9335</v>
      </c>
      <c r="H367" s="405" t="s">
        <v>9336</v>
      </c>
      <c r="I367" s="405" t="s">
        <v>2913</v>
      </c>
      <c r="J367" s="405">
        <v>0.215665</v>
      </c>
      <c r="K367" s="405">
        <v>32.328167999999998</v>
      </c>
      <c r="L367" s="405" t="s">
        <v>314</v>
      </c>
      <c r="M367" s="405" t="s">
        <v>321</v>
      </c>
      <c r="N367" s="405" t="s">
        <v>2472</v>
      </c>
      <c r="O367" s="405" t="s">
        <v>1886</v>
      </c>
      <c r="P367" s="405" t="s">
        <v>997</v>
      </c>
      <c r="Q367" s="411">
        <v>9</v>
      </c>
      <c r="R367" s="405" t="s">
        <v>32101</v>
      </c>
      <c r="S367" s="405" t="s">
        <v>27181</v>
      </c>
      <c r="T367" s="405" t="s">
        <v>884</v>
      </c>
      <c r="U367" s="405" t="s">
        <v>319</v>
      </c>
    </row>
    <row r="368" spans="1:21" x14ac:dyDescent="0.25">
      <c r="A368" s="405" t="s">
        <v>310</v>
      </c>
      <c r="B368" s="405" t="s">
        <v>26690</v>
      </c>
      <c r="C368" s="405" t="s">
        <v>327</v>
      </c>
      <c r="D368" s="405"/>
      <c r="E368" s="410">
        <v>44588</v>
      </c>
      <c r="F368" s="410">
        <v>44607</v>
      </c>
      <c r="G368" s="405" t="s">
        <v>26691</v>
      </c>
      <c r="H368" s="405" t="s">
        <v>26692</v>
      </c>
      <c r="I368" s="405" t="s">
        <v>2913</v>
      </c>
      <c r="J368" s="405">
        <v>-1.2344250000000001</v>
      </c>
      <c r="K368" s="405">
        <v>30.228186999999998</v>
      </c>
      <c r="L368" s="405" t="s">
        <v>590</v>
      </c>
      <c r="M368" s="405" t="s">
        <v>25097</v>
      </c>
      <c r="N368" s="405" t="s">
        <v>25097</v>
      </c>
      <c r="O368" s="405" t="s">
        <v>25713</v>
      </c>
      <c r="P368" s="405" t="s">
        <v>557</v>
      </c>
      <c r="Q368" s="411">
        <v>13</v>
      </c>
      <c r="R368" s="405" t="s">
        <v>6572</v>
      </c>
      <c r="S368" s="405" t="s">
        <v>27095</v>
      </c>
      <c r="T368" s="405" t="s">
        <v>32102</v>
      </c>
      <c r="U368" s="405" t="s">
        <v>319</v>
      </c>
    </row>
    <row r="369" spans="1:21" x14ac:dyDescent="0.25">
      <c r="A369" s="405" t="s">
        <v>310</v>
      </c>
      <c r="B369" s="405" t="s">
        <v>26681</v>
      </c>
      <c r="C369" s="405" t="s">
        <v>327</v>
      </c>
      <c r="D369" s="405"/>
      <c r="E369" s="410">
        <v>44583</v>
      </c>
      <c r="F369" s="410">
        <v>44612</v>
      </c>
      <c r="G369" s="405" t="s">
        <v>26682</v>
      </c>
      <c r="H369" s="405" t="s">
        <v>26683</v>
      </c>
      <c r="I369" s="405" t="s">
        <v>26683</v>
      </c>
      <c r="J369" s="405">
        <v>-0.87634999999999996</v>
      </c>
      <c r="K369" s="405">
        <v>30.368590999999999</v>
      </c>
      <c r="L369" s="405" t="s">
        <v>590</v>
      </c>
      <c r="M369" s="405" t="s">
        <v>19659</v>
      </c>
      <c r="N369" s="405" t="s">
        <v>19968</v>
      </c>
      <c r="O369" s="405" t="s">
        <v>19701</v>
      </c>
      <c r="P369" s="405" t="s">
        <v>26684</v>
      </c>
      <c r="Q369" s="411">
        <v>9</v>
      </c>
      <c r="R369" s="405" t="s">
        <v>6397</v>
      </c>
      <c r="S369" s="405" t="s">
        <v>22880</v>
      </c>
      <c r="T369" s="405" t="s">
        <v>884</v>
      </c>
      <c r="U369" s="405" t="s">
        <v>319</v>
      </c>
    </row>
    <row r="370" spans="1:21" x14ac:dyDescent="0.25">
      <c r="A370" s="405" t="s">
        <v>310</v>
      </c>
      <c r="B370" s="405" t="s">
        <v>26703</v>
      </c>
      <c r="C370" s="405" t="s">
        <v>327</v>
      </c>
      <c r="D370" s="405"/>
      <c r="E370" s="410">
        <v>44574</v>
      </c>
      <c r="F370" s="410">
        <v>44595</v>
      </c>
      <c r="G370" s="405" t="s">
        <v>26704</v>
      </c>
      <c r="H370" s="405" t="s">
        <v>26672</v>
      </c>
      <c r="I370" s="405" t="s">
        <v>26673</v>
      </c>
      <c r="J370" s="405">
        <v>-0.51963000000000004</v>
      </c>
      <c r="K370" s="405">
        <v>30.991441999999999</v>
      </c>
      <c r="L370" s="405" t="s">
        <v>590</v>
      </c>
      <c r="M370" s="405" t="s">
        <v>19705</v>
      </c>
      <c r="N370" s="405" t="s">
        <v>19705</v>
      </c>
      <c r="O370" s="405" t="s">
        <v>26705</v>
      </c>
      <c r="P370" s="405" t="s">
        <v>26706</v>
      </c>
      <c r="Q370" s="411">
        <v>13</v>
      </c>
      <c r="R370" s="405" t="s">
        <v>32101</v>
      </c>
      <c r="S370" s="405" t="s">
        <v>27065</v>
      </c>
      <c r="T370" s="405" t="s">
        <v>884</v>
      </c>
      <c r="U370" s="405" t="s">
        <v>319</v>
      </c>
    </row>
    <row r="371" spans="1:21" x14ac:dyDescent="0.25">
      <c r="A371" s="405" t="s">
        <v>310</v>
      </c>
      <c r="B371" s="405" t="s">
        <v>22790</v>
      </c>
      <c r="C371" s="405" t="s">
        <v>327</v>
      </c>
      <c r="D371" s="405"/>
      <c r="E371" s="410">
        <v>42643</v>
      </c>
      <c r="F371" s="410">
        <v>42688</v>
      </c>
      <c r="G371" s="405" t="s">
        <v>22791</v>
      </c>
      <c r="H371" s="405">
        <v>772551484</v>
      </c>
      <c r="I371" s="405"/>
      <c r="J371" s="405">
        <v>1.680633</v>
      </c>
      <c r="K371" s="405">
        <v>31.704317</v>
      </c>
      <c r="L371" s="405" t="s">
        <v>590</v>
      </c>
      <c r="M371" s="405" t="s">
        <v>19608</v>
      </c>
      <c r="N371" s="405" t="s">
        <v>19783</v>
      </c>
      <c r="O371" s="405" t="s">
        <v>22792</v>
      </c>
      <c r="P371" s="405" t="s">
        <v>22793</v>
      </c>
      <c r="Q371" s="411">
        <v>30</v>
      </c>
      <c r="R371" s="405" t="s">
        <v>22785</v>
      </c>
      <c r="S371" s="405" t="s">
        <v>27126</v>
      </c>
      <c r="T371" s="405" t="s">
        <v>884</v>
      </c>
      <c r="U371" s="405" t="s">
        <v>319</v>
      </c>
    </row>
    <row r="372" spans="1:21" x14ac:dyDescent="0.25">
      <c r="A372" s="405" t="s">
        <v>310</v>
      </c>
      <c r="B372" s="405" t="s">
        <v>9317</v>
      </c>
      <c r="C372" s="405" t="s">
        <v>327</v>
      </c>
      <c r="D372" s="405"/>
      <c r="E372" s="410">
        <v>44573</v>
      </c>
      <c r="F372" s="410">
        <v>44588</v>
      </c>
      <c r="G372" s="405" t="s">
        <v>9318</v>
      </c>
      <c r="H372" s="405" t="s">
        <v>9319</v>
      </c>
      <c r="I372" s="405" t="s">
        <v>2913</v>
      </c>
      <c r="J372" s="405">
        <v>-0.38132199999999999</v>
      </c>
      <c r="K372" s="405">
        <v>31.482679999999998</v>
      </c>
      <c r="L372" s="405" t="s">
        <v>314</v>
      </c>
      <c r="M372" s="405" t="s">
        <v>1189</v>
      </c>
      <c r="N372" s="405" t="s">
        <v>1189</v>
      </c>
      <c r="O372" s="405" t="s">
        <v>1189</v>
      </c>
      <c r="P372" s="405" t="s">
        <v>2864</v>
      </c>
      <c r="Q372" s="411">
        <v>13</v>
      </c>
      <c r="R372" s="405" t="s">
        <v>32101</v>
      </c>
      <c r="S372" s="405" t="s">
        <v>27137</v>
      </c>
      <c r="T372" s="405" t="s">
        <v>884</v>
      </c>
      <c r="U372" s="405" t="s">
        <v>319</v>
      </c>
    </row>
    <row r="373" spans="1:21" x14ac:dyDescent="0.25">
      <c r="A373" s="405" t="s">
        <v>310</v>
      </c>
      <c r="B373" s="405" t="s">
        <v>19503</v>
      </c>
      <c r="C373" s="405" t="s">
        <v>327</v>
      </c>
      <c r="D373" s="405"/>
      <c r="E373" s="410">
        <v>44572</v>
      </c>
      <c r="F373" s="410">
        <v>44606</v>
      </c>
      <c r="G373" s="405" t="s">
        <v>19504</v>
      </c>
      <c r="H373" s="405" t="s">
        <v>19505</v>
      </c>
      <c r="I373" s="405" t="s">
        <v>19506</v>
      </c>
      <c r="J373" s="405">
        <v>2.4268779999999999</v>
      </c>
      <c r="K373" s="405">
        <v>30.915662999999999</v>
      </c>
      <c r="L373" s="405" t="s">
        <v>860</v>
      </c>
      <c r="M373" s="405" t="s">
        <v>19461</v>
      </c>
      <c r="N373" s="405" t="s">
        <v>19462</v>
      </c>
      <c r="O373" s="405" t="s">
        <v>19472</v>
      </c>
      <c r="P373" s="405" t="s">
        <v>19507</v>
      </c>
      <c r="Q373" s="411">
        <v>6</v>
      </c>
      <c r="R373" s="405" t="s">
        <v>7211</v>
      </c>
      <c r="S373" s="405" t="s">
        <v>27091</v>
      </c>
      <c r="T373" s="405" t="s">
        <v>884</v>
      </c>
      <c r="U373" s="405" t="s">
        <v>319</v>
      </c>
    </row>
    <row r="374" spans="1:21" x14ac:dyDescent="0.25">
      <c r="A374" s="405" t="s">
        <v>310</v>
      </c>
      <c r="B374" s="405" t="s">
        <v>19489</v>
      </c>
      <c r="C374" s="405" t="s">
        <v>327</v>
      </c>
      <c r="D374" s="405"/>
      <c r="E374" s="410">
        <v>44572</v>
      </c>
      <c r="F374" s="410">
        <v>44606</v>
      </c>
      <c r="G374" s="405" t="s">
        <v>19490</v>
      </c>
      <c r="H374" s="405" t="s">
        <v>19491</v>
      </c>
      <c r="I374" s="405" t="s">
        <v>19492</v>
      </c>
      <c r="J374" s="405">
        <v>2.39175</v>
      </c>
      <c r="K374" s="405">
        <v>30.859698000000002</v>
      </c>
      <c r="L374" s="405" t="s">
        <v>860</v>
      </c>
      <c r="M374" s="405" t="s">
        <v>19461</v>
      </c>
      <c r="N374" s="405" t="s">
        <v>19462</v>
      </c>
      <c r="O374" s="405" t="s">
        <v>19487</v>
      </c>
      <c r="P374" s="405" t="s">
        <v>19493</v>
      </c>
      <c r="Q374" s="411">
        <v>6</v>
      </c>
      <c r="R374" s="405" t="s">
        <v>7211</v>
      </c>
      <c r="S374" s="405" t="s">
        <v>27091</v>
      </c>
      <c r="T374" s="405" t="s">
        <v>884</v>
      </c>
      <c r="U374" s="405" t="s">
        <v>319</v>
      </c>
    </row>
    <row r="375" spans="1:21" x14ac:dyDescent="0.25">
      <c r="A375" s="405" t="s">
        <v>310</v>
      </c>
      <c r="B375" s="405" t="s">
        <v>6247</v>
      </c>
      <c r="C375" s="405" t="s">
        <v>327</v>
      </c>
      <c r="D375" s="405"/>
      <c r="E375" s="410">
        <v>42753</v>
      </c>
      <c r="F375" s="410">
        <v>42798</v>
      </c>
      <c r="G375" s="405" t="s">
        <v>6248</v>
      </c>
      <c r="H375" s="405">
        <v>702803429</v>
      </c>
      <c r="I375" s="405">
        <v>787344715</v>
      </c>
      <c r="J375" s="405">
        <v>0.17</v>
      </c>
      <c r="K375" s="405">
        <v>32.374200000000002</v>
      </c>
      <c r="L375" s="405" t="s">
        <v>314</v>
      </c>
      <c r="M375" s="405" t="s">
        <v>992</v>
      </c>
      <c r="N375" s="405" t="s">
        <v>6249</v>
      </c>
      <c r="O375" s="405" t="s">
        <v>611</v>
      </c>
      <c r="P375" s="405" t="s">
        <v>611</v>
      </c>
      <c r="Q375" s="411">
        <v>30</v>
      </c>
      <c r="R375" s="405" t="s">
        <v>5665</v>
      </c>
      <c r="S375" s="405" t="s">
        <v>27051</v>
      </c>
      <c r="T375" s="405" t="s">
        <v>884</v>
      </c>
      <c r="U375" s="405" t="s">
        <v>319</v>
      </c>
    </row>
    <row r="376" spans="1:21" x14ac:dyDescent="0.25">
      <c r="A376" s="405" t="s">
        <v>310</v>
      </c>
      <c r="B376" s="405" t="s">
        <v>9287</v>
      </c>
      <c r="C376" s="405" t="s">
        <v>327</v>
      </c>
      <c r="D376" s="405"/>
      <c r="E376" s="410">
        <v>44571</v>
      </c>
      <c r="F376" s="410">
        <v>44583</v>
      </c>
      <c r="G376" s="405" t="s">
        <v>9288</v>
      </c>
      <c r="H376" s="405" t="s">
        <v>9289</v>
      </c>
      <c r="I376" s="405" t="s">
        <v>2913</v>
      </c>
      <c r="J376" s="405">
        <v>0.33178600000000003</v>
      </c>
      <c r="K376" s="405">
        <v>32.526783999999999</v>
      </c>
      <c r="L376" s="405" t="s">
        <v>314</v>
      </c>
      <c r="M376" s="405" t="s">
        <v>321</v>
      </c>
      <c r="N376" s="405" t="s">
        <v>1244</v>
      </c>
      <c r="O376" s="405" t="s">
        <v>9290</v>
      </c>
      <c r="P376" s="405" t="s">
        <v>8796</v>
      </c>
      <c r="Q376" s="411">
        <v>12</v>
      </c>
      <c r="R376" s="405" t="s">
        <v>32157</v>
      </c>
      <c r="S376" s="405" t="s">
        <v>27055</v>
      </c>
      <c r="T376" s="405" t="s">
        <v>884</v>
      </c>
      <c r="U376" s="405" t="s">
        <v>319</v>
      </c>
    </row>
    <row r="377" spans="1:21" x14ac:dyDescent="0.25">
      <c r="A377" s="405" t="s">
        <v>310</v>
      </c>
      <c r="B377" s="405" t="s">
        <v>26670</v>
      </c>
      <c r="C377" s="405" t="s">
        <v>327</v>
      </c>
      <c r="D377" s="405"/>
      <c r="E377" s="410">
        <v>44571</v>
      </c>
      <c r="F377" s="410">
        <v>44581</v>
      </c>
      <c r="G377" s="405" t="s">
        <v>26671</v>
      </c>
      <c r="H377" s="405" t="s">
        <v>26672</v>
      </c>
      <c r="I377" s="405" t="s">
        <v>26673</v>
      </c>
      <c r="J377" s="405">
        <v>-0.538887</v>
      </c>
      <c r="K377" s="405">
        <v>30.846053000000001</v>
      </c>
      <c r="L377" s="405" t="s">
        <v>590</v>
      </c>
      <c r="M377" s="405" t="s">
        <v>19705</v>
      </c>
      <c r="N377" s="405" t="s">
        <v>19705</v>
      </c>
      <c r="O377" s="405" t="s">
        <v>26674</v>
      </c>
      <c r="P377" s="405" t="s">
        <v>26675</v>
      </c>
      <c r="Q377" s="411">
        <v>13</v>
      </c>
      <c r="R377" s="405" t="s">
        <v>32101</v>
      </c>
      <c r="S377" s="405" t="s">
        <v>27132</v>
      </c>
      <c r="T377" s="405" t="s">
        <v>884</v>
      </c>
      <c r="U377" s="405" t="s">
        <v>319</v>
      </c>
    </row>
    <row r="378" spans="1:21" x14ac:dyDescent="0.25">
      <c r="A378" s="405" t="s">
        <v>310</v>
      </c>
      <c r="B378" s="405" t="s">
        <v>19483</v>
      </c>
      <c r="C378" s="405" t="s">
        <v>327</v>
      </c>
      <c r="D378" s="405"/>
      <c r="E378" s="410">
        <v>44571</v>
      </c>
      <c r="F378" s="410">
        <v>44606</v>
      </c>
      <c r="G378" s="405" t="s">
        <v>19484</v>
      </c>
      <c r="H378" s="405" t="s">
        <v>19485</v>
      </c>
      <c r="I378" s="405" t="s">
        <v>19486</v>
      </c>
      <c r="J378" s="405">
        <v>2.4253179999999999</v>
      </c>
      <c r="K378" s="405">
        <v>30.876268</v>
      </c>
      <c r="L378" s="405" t="s">
        <v>860</v>
      </c>
      <c r="M378" s="405" t="s">
        <v>19461</v>
      </c>
      <c r="N378" s="405" t="s">
        <v>19462</v>
      </c>
      <c r="O378" s="405" t="s">
        <v>19487</v>
      </c>
      <c r="P378" s="405" t="s">
        <v>19488</v>
      </c>
      <c r="Q378" s="411">
        <v>6</v>
      </c>
      <c r="R378" s="405" t="s">
        <v>7211</v>
      </c>
      <c r="S378" s="405" t="s">
        <v>27091</v>
      </c>
      <c r="T378" s="405" t="s">
        <v>884</v>
      </c>
      <c r="U378" s="405" t="s">
        <v>319</v>
      </c>
    </row>
    <row r="379" spans="1:21" x14ac:dyDescent="0.25">
      <c r="A379" s="405" t="s">
        <v>310</v>
      </c>
      <c r="B379" s="405" t="s">
        <v>9309</v>
      </c>
      <c r="C379" s="405" t="s">
        <v>327</v>
      </c>
      <c r="D379" s="405"/>
      <c r="E379" s="410">
        <v>44571</v>
      </c>
      <c r="F379" s="410">
        <v>44581</v>
      </c>
      <c r="G379" s="405" t="s">
        <v>9310</v>
      </c>
      <c r="H379" s="405" t="s">
        <v>9311</v>
      </c>
      <c r="I379" s="405" t="s">
        <v>2913</v>
      </c>
      <c r="J379" s="405">
        <v>3.617E-3</v>
      </c>
      <c r="K379" s="405">
        <v>32.043508000000003</v>
      </c>
      <c r="L379" s="405" t="s">
        <v>314</v>
      </c>
      <c r="M379" s="405" t="s">
        <v>321</v>
      </c>
      <c r="N379" s="405" t="s">
        <v>2472</v>
      </c>
      <c r="O379" s="405" t="s">
        <v>2436</v>
      </c>
      <c r="P379" s="405" t="s">
        <v>4940</v>
      </c>
      <c r="Q379" s="411">
        <v>6</v>
      </c>
      <c r="R379" s="405" t="s">
        <v>32101</v>
      </c>
      <c r="S379" s="405" t="s">
        <v>27243</v>
      </c>
      <c r="T379" s="405" t="s">
        <v>884</v>
      </c>
      <c r="U379" s="405" t="s">
        <v>319</v>
      </c>
    </row>
    <row r="380" spans="1:21" x14ac:dyDescent="0.25">
      <c r="A380" s="405" t="s">
        <v>310</v>
      </c>
      <c r="B380" s="405" t="s">
        <v>19468</v>
      </c>
      <c r="C380" s="405" t="s">
        <v>327</v>
      </c>
      <c r="D380" s="405"/>
      <c r="E380" s="410">
        <v>44570</v>
      </c>
      <c r="F380" s="410">
        <v>44606</v>
      </c>
      <c r="G380" s="405" t="s">
        <v>19469</v>
      </c>
      <c r="H380" s="405" t="s">
        <v>19470</v>
      </c>
      <c r="I380" s="405" t="s">
        <v>19471</v>
      </c>
      <c r="J380" s="405">
        <v>2.477878</v>
      </c>
      <c r="K380" s="405">
        <v>30.858737999999999</v>
      </c>
      <c r="L380" s="405" t="s">
        <v>860</v>
      </c>
      <c r="M380" s="405" t="s">
        <v>19461</v>
      </c>
      <c r="N380" s="405" t="s">
        <v>19462</v>
      </c>
      <c r="O380" s="405" t="s">
        <v>19472</v>
      </c>
      <c r="P380" s="405" t="s">
        <v>19473</v>
      </c>
      <c r="Q380" s="411">
        <v>6</v>
      </c>
      <c r="R380" s="405" t="s">
        <v>7211</v>
      </c>
      <c r="S380" s="405" t="s">
        <v>27091</v>
      </c>
      <c r="T380" s="405" t="s">
        <v>32102</v>
      </c>
      <c r="U380" s="405" t="s">
        <v>319</v>
      </c>
    </row>
    <row r="381" spans="1:21" x14ac:dyDescent="0.25">
      <c r="A381" s="405" t="s">
        <v>310</v>
      </c>
      <c r="B381" s="405" t="s">
        <v>19478</v>
      </c>
      <c r="C381" s="405" t="s">
        <v>327</v>
      </c>
      <c r="D381" s="405"/>
      <c r="E381" s="410">
        <v>44570</v>
      </c>
      <c r="F381" s="410">
        <v>44606</v>
      </c>
      <c r="G381" s="405" t="s">
        <v>19479</v>
      </c>
      <c r="H381" s="405" t="s">
        <v>19480</v>
      </c>
      <c r="I381" s="405" t="s">
        <v>19481</v>
      </c>
      <c r="J381" s="405">
        <v>2.44835</v>
      </c>
      <c r="K381" s="405">
        <v>30.855812</v>
      </c>
      <c r="L381" s="405" t="s">
        <v>860</v>
      </c>
      <c r="M381" s="405" t="s">
        <v>19461</v>
      </c>
      <c r="N381" s="405" t="s">
        <v>19462</v>
      </c>
      <c r="O381" s="405" t="s">
        <v>19472</v>
      </c>
      <c r="P381" s="405" t="s">
        <v>19482</v>
      </c>
      <c r="Q381" s="411">
        <v>6</v>
      </c>
      <c r="R381" s="405" t="s">
        <v>7211</v>
      </c>
      <c r="S381" s="405" t="s">
        <v>27091</v>
      </c>
      <c r="T381" s="405" t="s">
        <v>884</v>
      </c>
      <c r="U381" s="405" t="s">
        <v>319</v>
      </c>
    </row>
    <row r="382" spans="1:21" x14ac:dyDescent="0.25">
      <c r="A382" s="405" t="s">
        <v>310</v>
      </c>
      <c r="B382" s="405" t="s">
        <v>26634</v>
      </c>
      <c r="C382" s="405" t="s">
        <v>327</v>
      </c>
      <c r="D382" s="405"/>
      <c r="E382" s="410">
        <v>44570</v>
      </c>
      <c r="F382" s="410">
        <v>44590</v>
      </c>
      <c r="G382" s="405" t="s">
        <v>26635</v>
      </c>
      <c r="H382" s="405" t="s">
        <v>26636</v>
      </c>
      <c r="I382" s="405" t="s">
        <v>2913</v>
      </c>
      <c r="J382" s="405">
        <v>-0.79122000000000003</v>
      </c>
      <c r="K382" s="405">
        <v>29.801649999999999</v>
      </c>
      <c r="L382" s="405" t="s">
        <v>590</v>
      </c>
      <c r="M382" s="405" t="s">
        <v>20808</v>
      </c>
      <c r="N382" s="405" t="s">
        <v>23390</v>
      </c>
      <c r="O382" s="405" t="s">
        <v>26637</v>
      </c>
      <c r="P382" s="405" t="s">
        <v>26638</v>
      </c>
      <c r="Q382" s="411">
        <v>6</v>
      </c>
      <c r="R382" s="405" t="s">
        <v>6572</v>
      </c>
      <c r="S382" s="405" t="s">
        <v>27434</v>
      </c>
      <c r="T382" s="405" t="s">
        <v>884</v>
      </c>
      <c r="U382" s="405" t="s">
        <v>319</v>
      </c>
    </row>
    <row r="383" spans="1:21" x14ac:dyDescent="0.25">
      <c r="A383" s="405" t="s">
        <v>310</v>
      </c>
      <c r="B383" s="405" t="s">
        <v>26650</v>
      </c>
      <c r="C383" s="405" t="s">
        <v>327</v>
      </c>
      <c r="D383" s="405"/>
      <c r="E383" s="410">
        <v>44570</v>
      </c>
      <c r="F383" s="410">
        <v>44590</v>
      </c>
      <c r="G383" s="405" t="s">
        <v>26651</v>
      </c>
      <c r="H383" s="405" t="s">
        <v>26652</v>
      </c>
      <c r="I383" s="405" t="s">
        <v>2913</v>
      </c>
      <c r="J383" s="405">
        <v>-0.79297799999999996</v>
      </c>
      <c r="K383" s="405">
        <v>29.800702999999999</v>
      </c>
      <c r="L383" s="405" t="s">
        <v>590</v>
      </c>
      <c r="M383" s="405" t="s">
        <v>20808</v>
      </c>
      <c r="N383" s="405" t="s">
        <v>23390</v>
      </c>
      <c r="O383" s="405" t="s">
        <v>21489</v>
      </c>
      <c r="P383" s="405" t="s">
        <v>26638</v>
      </c>
      <c r="Q383" s="411">
        <v>6</v>
      </c>
      <c r="R383" s="405" t="s">
        <v>6572</v>
      </c>
      <c r="S383" s="405" t="s">
        <v>27280</v>
      </c>
      <c r="T383" s="405" t="s">
        <v>32102</v>
      </c>
      <c r="U383" s="405" t="s">
        <v>319</v>
      </c>
    </row>
    <row r="384" spans="1:21" x14ac:dyDescent="0.25">
      <c r="A384" s="405" t="s">
        <v>310</v>
      </c>
      <c r="B384" s="405" t="s">
        <v>19458</v>
      </c>
      <c r="C384" s="405" t="s">
        <v>327</v>
      </c>
      <c r="D384" s="405"/>
      <c r="E384" s="410">
        <v>44569</v>
      </c>
      <c r="F384" s="410">
        <v>44606</v>
      </c>
      <c r="G384" s="405" t="s">
        <v>19459</v>
      </c>
      <c r="H384" s="405" t="s">
        <v>19460</v>
      </c>
      <c r="I384" s="405" t="s">
        <v>2913</v>
      </c>
      <c r="J384" s="405">
        <v>2.4855</v>
      </c>
      <c r="K384" s="405">
        <v>30.884218000000001</v>
      </c>
      <c r="L384" s="405" t="s">
        <v>860</v>
      </c>
      <c r="M384" s="405" t="s">
        <v>19461</v>
      </c>
      <c r="N384" s="405" t="s">
        <v>19462</v>
      </c>
      <c r="O384" s="405" t="s">
        <v>19463</v>
      </c>
      <c r="P384" s="405" t="s">
        <v>19464</v>
      </c>
      <c r="Q384" s="411">
        <v>6</v>
      </c>
      <c r="R384" s="405" t="s">
        <v>7211</v>
      </c>
      <c r="S384" s="405" t="s">
        <v>27091</v>
      </c>
      <c r="T384" s="405" t="s">
        <v>884</v>
      </c>
      <c r="U384" s="405" t="s">
        <v>319</v>
      </c>
    </row>
    <row r="385" spans="1:21" x14ac:dyDescent="0.25">
      <c r="A385" s="405" t="s">
        <v>310</v>
      </c>
      <c r="B385" s="405" t="s">
        <v>19494</v>
      </c>
      <c r="C385" s="405" t="s">
        <v>327</v>
      </c>
      <c r="D385" s="405"/>
      <c r="E385" s="410">
        <v>44569</v>
      </c>
      <c r="F385" s="410">
        <v>44606</v>
      </c>
      <c r="G385" s="405" t="s">
        <v>19495</v>
      </c>
      <c r="H385" s="405" t="s">
        <v>19496</v>
      </c>
      <c r="I385" s="405" t="s">
        <v>19497</v>
      </c>
      <c r="J385" s="405">
        <v>2.4090120000000002</v>
      </c>
      <c r="K385" s="405">
        <v>30.898038</v>
      </c>
      <c r="L385" s="405" t="s">
        <v>860</v>
      </c>
      <c r="M385" s="405" t="s">
        <v>19461</v>
      </c>
      <c r="N385" s="405" t="s">
        <v>19462</v>
      </c>
      <c r="O385" s="405" t="s">
        <v>19487</v>
      </c>
      <c r="P385" s="405" t="s">
        <v>19498</v>
      </c>
      <c r="Q385" s="411">
        <v>6</v>
      </c>
      <c r="R385" s="405" t="s">
        <v>7211</v>
      </c>
      <c r="S385" s="405" t="s">
        <v>27091</v>
      </c>
      <c r="T385" s="405" t="s">
        <v>884</v>
      </c>
      <c r="U385" s="405" t="s">
        <v>319</v>
      </c>
    </row>
    <row r="386" spans="1:21" x14ac:dyDescent="0.25">
      <c r="A386" s="405" t="s">
        <v>310</v>
      </c>
      <c r="B386" s="405" t="s">
        <v>9306</v>
      </c>
      <c r="C386" s="405" t="s">
        <v>327</v>
      </c>
      <c r="D386" s="405"/>
      <c r="E386" s="410">
        <v>44567</v>
      </c>
      <c r="F386" s="410">
        <v>44590</v>
      </c>
      <c r="G386" s="405" t="s">
        <v>9307</v>
      </c>
      <c r="H386" s="405" t="s">
        <v>9308</v>
      </c>
      <c r="I386" s="405" t="s">
        <v>2913</v>
      </c>
      <c r="J386" s="405">
        <v>0.41345799999999999</v>
      </c>
      <c r="K386" s="405">
        <v>32.445247999999999</v>
      </c>
      <c r="L386" s="405" t="s">
        <v>314</v>
      </c>
      <c r="M386" s="405" t="s">
        <v>361</v>
      </c>
      <c r="N386" s="405" t="s">
        <v>374</v>
      </c>
      <c r="O386" s="405" t="s">
        <v>535</v>
      </c>
      <c r="P386" s="405" t="s">
        <v>7122</v>
      </c>
      <c r="Q386" s="411">
        <v>6</v>
      </c>
      <c r="R386" s="405" t="s">
        <v>32101</v>
      </c>
      <c r="S386" s="405" t="s">
        <v>27053</v>
      </c>
      <c r="T386" s="405" t="s">
        <v>884</v>
      </c>
      <c r="U386" s="405" t="s">
        <v>319</v>
      </c>
    </row>
    <row r="387" spans="1:21" x14ac:dyDescent="0.25">
      <c r="A387" s="405" t="s">
        <v>310</v>
      </c>
      <c r="B387" s="405" t="s">
        <v>23346</v>
      </c>
      <c r="C387" s="405" t="s">
        <v>327</v>
      </c>
      <c r="D387" s="405"/>
      <c r="E387" s="410">
        <v>42955</v>
      </c>
      <c r="F387" s="410">
        <v>43000</v>
      </c>
      <c r="G387" s="405" t="s">
        <v>23347</v>
      </c>
      <c r="H387" s="405">
        <v>782600658</v>
      </c>
      <c r="I387" s="405"/>
      <c r="J387" s="405">
        <v>0.32133800000000001</v>
      </c>
      <c r="K387" s="405">
        <v>30.444578</v>
      </c>
      <c r="L387" s="405" t="s">
        <v>590</v>
      </c>
      <c r="M387" s="405" t="s">
        <v>19720</v>
      </c>
      <c r="N387" s="405" t="s">
        <v>7352</v>
      </c>
      <c r="O387" s="405" t="s">
        <v>20294</v>
      </c>
      <c r="P387" s="405" t="s">
        <v>20294</v>
      </c>
      <c r="Q387" s="411">
        <v>45</v>
      </c>
      <c r="R387" s="405" t="s">
        <v>6013</v>
      </c>
      <c r="S387" s="405" t="s">
        <v>27243</v>
      </c>
      <c r="T387" s="405" t="s">
        <v>884</v>
      </c>
      <c r="U387" s="405" t="s">
        <v>319</v>
      </c>
    </row>
    <row r="388" spans="1:21" x14ac:dyDescent="0.25">
      <c r="A388" s="405" t="s">
        <v>310</v>
      </c>
      <c r="B388" s="405" t="s">
        <v>19532</v>
      </c>
      <c r="C388" s="405" t="s">
        <v>327</v>
      </c>
      <c r="D388" s="405"/>
      <c r="E388" s="410">
        <v>44565</v>
      </c>
      <c r="F388" s="410">
        <v>44609</v>
      </c>
      <c r="G388" s="405" t="s">
        <v>19533</v>
      </c>
      <c r="H388" s="405" t="s">
        <v>19534</v>
      </c>
      <c r="I388" s="405" t="s">
        <v>19323</v>
      </c>
      <c r="J388" s="405">
        <v>3.2015880000000001</v>
      </c>
      <c r="K388" s="405">
        <v>31.453713</v>
      </c>
      <c r="L388" s="405" t="s">
        <v>860</v>
      </c>
      <c r="M388" s="405" t="s">
        <v>19131</v>
      </c>
      <c r="N388" s="405" t="s">
        <v>19372</v>
      </c>
      <c r="O388" s="405" t="s">
        <v>19516</v>
      </c>
      <c r="P388" s="405" t="s">
        <v>19535</v>
      </c>
      <c r="Q388" s="411">
        <v>6</v>
      </c>
      <c r="R388" s="405" t="s">
        <v>7211</v>
      </c>
      <c r="S388" s="405" t="s">
        <v>27091</v>
      </c>
      <c r="T388" s="405" t="s">
        <v>884</v>
      </c>
      <c r="U388" s="405" t="s">
        <v>319</v>
      </c>
    </row>
    <row r="389" spans="1:21" x14ac:dyDescent="0.25">
      <c r="A389" s="405" t="s">
        <v>310</v>
      </c>
      <c r="B389" s="405" t="s">
        <v>19522</v>
      </c>
      <c r="C389" s="405" t="s">
        <v>327</v>
      </c>
      <c r="D389" s="405"/>
      <c r="E389" s="410">
        <v>44565</v>
      </c>
      <c r="F389" s="410">
        <v>44609</v>
      </c>
      <c r="G389" s="405" t="s">
        <v>19523</v>
      </c>
      <c r="H389" s="405" t="s">
        <v>19524</v>
      </c>
      <c r="I389" s="405" t="s">
        <v>2913</v>
      </c>
      <c r="J389" s="405">
        <v>3.3221020000000001</v>
      </c>
      <c r="K389" s="405">
        <v>31.324535000000001</v>
      </c>
      <c r="L389" s="405" t="s">
        <v>860</v>
      </c>
      <c r="M389" s="405" t="s">
        <v>19131</v>
      </c>
      <c r="N389" s="405" t="s">
        <v>19372</v>
      </c>
      <c r="O389" s="405" t="s">
        <v>19516</v>
      </c>
      <c r="P389" s="405" t="s">
        <v>19525</v>
      </c>
      <c r="Q389" s="411">
        <v>6</v>
      </c>
      <c r="R389" s="405" t="s">
        <v>7211</v>
      </c>
      <c r="S389" s="405" t="s">
        <v>27091</v>
      </c>
      <c r="T389" s="405" t="s">
        <v>884</v>
      </c>
      <c r="U389" s="405" t="s">
        <v>319</v>
      </c>
    </row>
    <row r="390" spans="1:21" x14ac:dyDescent="0.25">
      <c r="A390" s="405" t="s">
        <v>310</v>
      </c>
      <c r="B390" s="405" t="s">
        <v>19513</v>
      </c>
      <c r="C390" s="405" t="s">
        <v>327</v>
      </c>
      <c r="D390" s="405"/>
      <c r="E390" s="410">
        <v>44565</v>
      </c>
      <c r="F390" s="410">
        <v>44609</v>
      </c>
      <c r="G390" s="405" t="s">
        <v>19514</v>
      </c>
      <c r="H390" s="405" t="s">
        <v>19515</v>
      </c>
      <c r="I390" s="405" t="s">
        <v>2913</v>
      </c>
      <c r="J390" s="405">
        <v>3.275048</v>
      </c>
      <c r="K390" s="405">
        <v>31.388290000000001</v>
      </c>
      <c r="L390" s="405" t="s">
        <v>860</v>
      </c>
      <c r="M390" s="405" t="s">
        <v>19131</v>
      </c>
      <c r="N390" s="405" t="s">
        <v>19372</v>
      </c>
      <c r="O390" s="405" t="s">
        <v>19516</v>
      </c>
      <c r="P390" s="405" t="s">
        <v>19517</v>
      </c>
      <c r="Q390" s="411">
        <v>6</v>
      </c>
      <c r="R390" s="405" t="s">
        <v>7211</v>
      </c>
      <c r="S390" s="405" t="s">
        <v>27091</v>
      </c>
      <c r="T390" s="405" t="s">
        <v>32102</v>
      </c>
      <c r="U390" s="405" t="s">
        <v>319</v>
      </c>
    </row>
    <row r="391" spans="1:21" x14ac:dyDescent="0.25">
      <c r="A391" s="405" t="s">
        <v>310</v>
      </c>
      <c r="B391" s="405" t="s">
        <v>19518</v>
      </c>
      <c r="C391" s="405" t="s">
        <v>327</v>
      </c>
      <c r="D391" s="405"/>
      <c r="E391" s="410">
        <v>44564</v>
      </c>
      <c r="F391" s="410">
        <v>44609</v>
      </c>
      <c r="G391" s="405" t="s">
        <v>19519</v>
      </c>
      <c r="H391" s="405" t="s">
        <v>19520</v>
      </c>
      <c r="I391" s="405" t="s">
        <v>19521</v>
      </c>
      <c r="J391" s="405">
        <v>3.3259820000000002</v>
      </c>
      <c r="K391" s="405">
        <v>31.36571</v>
      </c>
      <c r="L391" s="405" t="s">
        <v>860</v>
      </c>
      <c r="M391" s="405" t="s">
        <v>19131</v>
      </c>
      <c r="N391" s="405" t="s">
        <v>19372</v>
      </c>
      <c r="O391" s="405" t="s">
        <v>19516</v>
      </c>
      <c r="P391" s="405" t="s">
        <v>18459</v>
      </c>
      <c r="Q391" s="411">
        <v>6</v>
      </c>
      <c r="R391" s="405" t="s">
        <v>7211</v>
      </c>
      <c r="S391" s="405" t="s">
        <v>27091</v>
      </c>
      <c r="T391" s="405" t="s">
        <v>884</v>
      </c>
      <c r="U391" s="405" t="s">
        <v>319</v>
      </c>
    </row>
    <row r="392" spans="1:21" x14ac:dyDescent="0.25">
      <c r="A392" s="405" t="s">
        <v>310</v>
      </c>
      <c r="B392" s="405" t="s">
        <v>17952</v>
      </c>
      <c r="C392" s="405" t="s">
        <v>327</v>
      </c>
      <c r="D392" s="405"/>
      <c r="E392" s="410">
        <v>44564</v>
      </c>
      <c r="F392" s="410">
        <v>44596</v>
      </c>
      <c r="G392" s="405" t="s">
        <v>17953</v>
      </c>
      <c r="H392" s="405" t="s">
        <v>17954</v>
      </c>
      <c r="I392" s="405" t="s">
        <v>17955</v>
      </c>
      <c r="J392" s="405">
        <v>1.362527</v>
      </c>
      <c r="K392" s="405">
        <v>34.389290000000003</v>
      </c>
      <c r="L392" s="405" t="s">
        <v>6866</v>
      </c>
      <c r="M392" s="405" t="s">
        <v>9685</v>
      </c>
      <c r="N392" s="405" t="s">
        <v>9686</v>
      </c>
      <c r="O392" s="405" t="s">
        <v>9709</v>
      </c>
      <c r="P392" s="405" t="s">
        <v>11327</v>
      </c>
      <c r="Q392" s="411">
        <v>4</v>
      </c>
      <c r="R392" s="405" t="s">
        <v>17977</v>
      </c>
      <c r="S392" s="405" t="s">
        <v>27318</v>
      </c>
      <c r="T392" s="405" t="s">
        <v>884</v>
      </c>
      <c r="U392" s="405" t="s">
        <v>319</v>
      </c>
    </row>
    <row r="393" spans="1:21" x14ac:dyDescent="0.25">
      <c r="A393" s="405" t="s">
        <v>310</v>
      </c>
      <c r="B393" s="413" t="s">
        <v>19526</v>
      </c>
      <c r="C393" s="413" t="s">
        <v>327</v>
      </c>
      <c r="D393" s="413"/>
      <c r="E393" s="418">
        <v>44563</v>
      </c>
      <c r="F393" s="418">
        <v>44609</v>
      </c>
      <c r="G393" s="413" t="s">
        <v>19527</v>
      </c>
      <c r="H393" s="405" t="s">
        <v>19528</v>
      </c>
      <c r="I393" s="405" t="s">
        <v>19529</v>
      </c>
      <c r="J393" s="405">
        <v>3.6126819999999999</v>
      </c>
      <c r="K393" s="405">
        <v>31.146443000000001</v>
      </c>
      <c r="L393" s="405" t="s">
        <v>860</v>
      </c>
      <c r="M393" s="405" t="s">
        <v>19131</v>
      </c>
      <c r="N393" s="405" t="s">
        <v>19372</v>
      </c>
      <c r="O393" s="405" t="s">
        <v>19530</v>
      </c>
      <c r="P393" s="405" t="s">
        <v>19531</v>
      </c>
      <c r="Q393" s="411">
        <v>6</v>
      </c>
      <c r="R393" s="405" t="s">
        <v>7211</v>
      </c>
      <c r="S393" s="405" t="s">
        <v>27091</v>
      </c>
      <c r="T393" s="405" t="s">
        <v>884</v>
      </c>
      <c r="U393" s="405" t="s">
        <v>319</v>
      </c>
    </row>
    <row r="394" spans="1:21" x14ac:dyDescent="0.25">
      <c r="A394" s="405" t="s">
        <v>310</v>
      </c>
      <c r="B394" s="405" t="s">
        <v>19542</v>
      </c>
      <c r="C394" s="405" t="s">
        <v>327</v>
      </c>
      <c r="D394" s="405"/>
      <c r="E394" s="410">
        <v>44563</v>
      </c>
      <c r="F394" s="410">
        <v>44609</v>
      </c>
      <c r="G394" s="405" t="s">
        <v>19543</v>
      </c>
      <c r="H394" s="405" t="s">
        <v>19544</v>
      </c>
      <c r="I394" s="405" t="s">
        <v>19545</v>
      </c>
      <c r="J394" s="405">
        <v>3.6024880000000001</v>
      </c>
      <c r="K394" s="405">
        <v>31.146515000000001</v>
      </c>
      <c r="L394" s="405" t="s">
        <v>860</v>
      </c>
      <c r="M394" s="405" t="s">
        <v>19131</v>
      </c>
      <c r="N394" s="405" t="s">
        <v>19372</v>
      </c>
      <c r="O394" s="405" t="s">
        <v>19530</v>
      </c>
      <c r="P394" s="405" t="s">
        <v>19546</v>
      </c>
      <c r="Q394" s="411">
        <v>6</v>
      </c>
      <c r="R394" s="405" t="s">
        <v>7211</v>
      </c>
      <c r="S394" s="405" t="s">
        <v>27091</v>
      </c>
      <c r="T394" s="405" t="s">
        <v>884</v>
      </c>
      <c r="U394" s="405" t="s">
        <v>319</v>
      </c>
    </row>
    <row r="395" spans="1:21" x14ac:dyDescent="0.25">
      <c r="A395" s="405" t="s">
        <v>310</v>
      </c>
      <c r="B395" s="405" t="s">
        <v>19562</v>
      </c>
      <c r="C395" s="405" t="s">
        <v>327</v>
      </c>
      <c r="D395" s="405"/>
      <c r="E395" s="410">
        <v>44563</v>
      </c>
      <c r="F395" s="410">
        <v>44609</v>
      </c>
      <c r="G395" s="405" t="s">
        <v>19563</v>
      </c>
      <c r="H395" s="405" t="s">
        <v>19564</v>
      </c>
      <c r="I395" s="405" t="s">
        <v>19565</v>
      </c>
      <c r="J395" s="405">
        <v>3.619958</v>
      </c>
      <c r="K395" s="405">
        <v>31.108922</v>
      </c>
      <c r="L395" s="405" t="s">
        <v>860</v>
      </c>
      <c r="M395" s="405" t="s">
        <v>19131</v>
      </c>
      <c r="N395" s="405" t="s">
        <v>19372</v>
      </c>
      <c r="O395" s="405" t="s">
        <v>19530</v>
      </c>
      <c r="P395" s="405" t="s">
        <v>19566</v>
      </c>
      <c r="Q395" s="411">
        <v>6</v>
      </c>
      <c r="R395" s="405" t="s">
        <v>7211</v>
      </c>
      <c r="S395" s="405" t="s">
        <v>27091</v>
      </c>
      <c r="T395" s="405" t="s">
        <v>884</v>
      </c>
      <c r="U395" s="405" t="s">
        <v>319</v>
      </c>
    </row>
    <row r="396" spans="1:21" x14ac:dyDescent="0.25">
      <c r="A396" s="405" t="s">
        <v>310</v>
      </c>
      <c r="B396" s="405" t="s">
        <v>17921</v>
      </c>
      <c r="C396" s="405" t="s">
        <v>327</v>
      </c>
      <c r="D396" s="405"/>
      <c r="E396" s="410">
        <v>44563</v>
      </c>
      <c r="F396" s="410">
        <v>44591</v>
      </c>
      <c r="G396" s="405" t="s">
        <v>17922</v>
      </c>
      <c r="H396" s="405" t="s">
        <v>17923</v>
      </c>
      <c r="I396" s="405" t="s">
        <v>2913</v>
      </c>
      <c r="J396" s="405">
        <v>0.90276299999999998</v>
      </c>
      <c r="K396" s="405">
        <v>33.727938000000002</v>
      </c>
      <c r="L396" s="405" t="s">
        <v>6866</v>
      </c>
      <c r="M396" s="405" t="s">
        <v>13470</v>
      </c>
      <c r="N396" s="405" t="s">
        <v>13470</v>
      </c>
      <c r="O396" s="405" t="s">
        <v>13470</v>
      </c>
      <c r="P396" s="405" t="s">
        <v>13470</v>
      </c>
      <c r="Q396" s="411">
        <v>6</v>
      </c>
      <c r="R396" s="405" t="s">
        <v>32101</v>
      </c>
      <c r="S396" s="405" t="s">
        <v>27275</v>
      </c>
      <c r="T396" s="405" t="s">
        <v>884</v>
      </c>
      <c r="U396" s="405" t="s">
        <v>319</v>
      </c>
    </row>
    <row r="397" spans="1:21" x14ac:dyDescent="0.25">
      <c r="A397" s="405" t="s">
        <v>310</v>
      </c>
      <c r="B397" s="413" t="s">
        <v>19538</v>
      </c>
      <c r="C397" s="413" t="s">
        <v>327</v>
      </c>
      <c r="D397" s="413"/>
      <c r="E397" s="418">
        <v>44562</v>
      </c>
      <c r="F397" s="418">
        <v>44609</v>
      </c>
      <c r="G397" s="413" t="s">
        <v>19539</v>
      </c>
      <c r="H397" s="405" t="s">
        <v>19540</v>
      </c>
      <c r="I397" s="405" t="s">
        <v>19541</v>
      </c>
      <c r="J397" s="405">
        <v>3.6262249999999998</v>
      </c>
      <c r="K397" s="405">
        <v>31.108256999999998</v>
      </c>
      <c r="L397" s="405" t="s">
        <v>860</v>
      </c>
      <c r="M397" s="405" t="s">
        <v>18944</v>
      </c>
      <c r="N397" s="405" t="s">
        <v>19372</v>
      </c>
      <c r="O397" s="405" t="s">
        <v>19530</v>
      </c>
      <c r="P397" s="405" t="s">
        <v>363</v>
      </c>
      <c r="Q397" s="411">
        <v>6</v>
      </c>
      <c r="R397" s="405" t="s">
        <v>7211</v>
      </c>
      <c r="S397" s="405" t="s">
        <v>27091</v>
      </c>
      <c r="T397" s="405" t="s">
        <v>884</v>
      </c>
      <c r="U397" s="405" t="s">
        <v>319</v>
      </c>
    </row>
    <row r="398" spans="1:21" x14ac:dyDescent="0.25">
      <c r="A398" s="405" t="s">
        <v>310</v>
      </c>
      <c r="B398" s="405" t="s">
        <v>19499</v>
      </c>
      <c r="C398" s="405" t="s">
        <v>327</v>
      </c>
      <c r="D398" s="405"/>
      <c r="E398" s="410">
        <v>44562</v>
      </c>
      <c r="F398" s="410">
        <v>44606</v>
      </c>
      <c r="G398" s="405" t="s">
        <v>19500</v>
      </c>
      <c r="H398" s="405" t="s">
        <v>19501</v>
      </c>
      <c r="I398" s="405" t="s">
        <v>19501</v>
      </c>
      <c r="J398" s="405">
        <v>2.4499819999999999</v>
      </c>
      <c r="K398" s="405">
        <v>30.894157</v>
      </c>
      <c r="L398" s="405" t="s">
        <v>860</v>
      </c>
      <c r="M398" s="405" t="s">
        <v>19461</v>
      </c>
      <c r="N398" s="405" t="s">
        <v>19462</v>
      </c>
      <c r="O398" s="405" t="s">
        <v>19472</v>
      </c>
      <c r="P398" s="405" t="s">
        <v>19502</v>
      </c>
      <c r="Q398" s="411">
        <v>6</v>
      </c>
      <c r="R398" s="405" t="s">
        <v>7211</v>
      </c>
      <c r="S398" s="405" t="s">
        <v>27091</v>
      </c>
      <c r="T398" s="405" t="s">
        <v>32102</v>
      </c>
      <c r="U398" s="405" t="s">
        <v>319</v>
      </c>
    </row>
    <row r="399" spans="1:21" x14ac:dyDescent="0.25">
      <c r="A399" s="405" t="s">
        <v>310</v>
      </c>
      <c r="B399" s="405" t="s">
        <v>26685</v>
      </c>
      <c r="C399" s="405" t="s">
        <v>327</v>
      </c>
      <c r="D399" s="405"/>
      <c r="E399" s="410">
        <v>44562</v>
      </c>
      <c r="F399" s="410">
        <v>44597</v>
      </c>
      <c r="G399" s="405" t="s">
        <v>26686</v>
      </c>
      <c r="H399" s="405" t="s">
        <v>26687</v>
      </c>
      <c r="I399" s="405" t="s">
        <v>2913</v>
      </c>
      <c r="J399" s="405">
        <v>1.6939789999999999</v>
      </c>
      <c r="K399" s="405">
        <v>31.697990999999998</v>
      </c>
      <c r="L399" s="405" t="s">
        <v>590</v>
      </c>
      <c r="M399" s="405" t="s">
        <v>19608</v>
      </c>
      <c r="N399" s="405" t="s">
        <v>26688</v>
      </c>
      <c r="O399" s="405" t="s">
        <v>13002</v>
      </c>
      <c r="P399" s="405" t="s">
        <v>26689</v>
      </c>
      <c r="Q399" s="411">
        <v>6</v>
      </c>
      <c r="R399" s="405" t="s">
        <v>6397</v>
      </c>
      <c r="S399" s="405" t="s">
        <v>22880</v>
      </c>
      <c r="T399" s="405" t="s">
        <v>32102</v>
      </c>
      <c r="U399" s="405" t="s">
        <v>319</v>
      </c>
    </row>
    <row r="400" spans="1:21" x14ac:dyDescent="0.25">
      <c r="A400" s="405" t="s">
        <v>310</v>
      </c>
      <c r="B400" s="413" t="s">
        <v>19557</v>
      </c>
      <c r="C400" s="413" t="s">
        <v>327</v>
      </c>
      <c r="D400" s="413"/>
      <c r="E400" s="418">
        <v>44561</v>
      </c>
      <c r="F400" s="418">
        <v>44608</v>
      </c>
      <c r="G400" s="413" t="s">
        <v>19558</v>
      </c>
      <c r="H400" s="405" t="s">
        <v>19559</v>
      </c>
      <c r="I400" s="405" t="s">
        <v>19560</v>
      </c>
      <c r="J400" s="405">
        <v>3.546338</v>
      </c>
      <c r="K400" s="405">
        <v>31.041587</v>
      </c>
      <c r="L400" s="405" t="s">
        <v>860</v>
      </c>
      <c r="M400" s="405" t="s">
        <v>19271</v>
      </c>
      <c r="N400" s="405" t="s">
        <v>19396</v>
      </c>
      <c r="O400" s="405" t="s">
        <v>19397</v>
      </c>
      <c r="P400" s="405" t="s">
        <v>19561</v>
      </c>
      <c r="Q400" s="411">
        <v>6</v>
      </c>
      <c r="R400" s="405" t="s">
        <v>7211</v>
      </c>
      <c r="S400" s="405" t="s">
        <v>27091</v>
      </c>
      <c r="T400" s="405" t="s">
        <v>884</v>
      </c>
      <c r="U400" s="405" t="s">
        <v>319</v>
      </c>
    </row>
    <row r="401" spans="1:21" x14ac:dyDescent="0.25">
      <c r="A401" s="405" t="s">
        <v>310</v>
      </c>
      <c r="B401" s="405" t="s">
        <v>9298</v>
      </c>
      <c r="C401" s="405" t="s">
        <v>327</v>
      </c>
      <c r="D401" s="405"/>
      <c r="E401" s="410">
        <v>44560</v>
      </c>
      <c r="F401" s="410">
        <v>44574</v>
      </c>
      <c r="G401" s="405" t="s">
        <v>9299</v>
      </c>
      <c r="H401" s="405" t="s">
        <v>9300</v>
      </c>
      <c r="I401" s="405" t="s">
        <v>2913</v>
      </c>
      <c r="J401" s="405">
        <v>-2.9402999999999999E-2</v>
      </c>
      <c r="K401" s="405">
        <v>32.014012000000001</v>
      </c>
      <c r="L401" s="405" t="s">
        <v>314</v>
      </c>
      <c r="M401" s="405" t="s">
        <v>321</v>
      </c>
      <c r="N401" s="405" t="s">
        <v>1854</v>
      </c>
      <c r="O401" s="405" t="s">
        <v>8796</v>
      </c>
      <c r="P401" s="405" t="s">
        <v>6062</v>
      </c>
      <c r="Q401" s="411">
        <v>9</v>
      </c>
      <c r="R401" s="405" t="s">
        <v>32101</v>
      </c>
      <c r="S401" s="405" t="s">
        <v>27243</v>
      </c>
      <c r="T401" s="405" t="s">
        <v>884</v>
      </c>
      <c r="U401" s="405" t="s">
        <v>319</v>
      </c>
    </row>
    <row r="402" spans="1:21" x14ac:dyDescent="0.25">
      <c r="A402" s="405" t="s">
        <v>310</v>
      </c>
      <c r="B402" s="413" t="s">
        <v>19436</v>
      </c>
      <c r="C402" s="413" t="s">
        <v>327</v>
      </c>
      <c r="D402" s="413"/>
      <c r="E402" s="418">
        <v>44559</v>
      </c>
      <c r="F402" s="418">
        <v>44605</v>
      </c>
      <c r="G402" s="413" t="s">
        <v>19437</v>
      </c>
      <c r="H402" s="405" t="s">
        <v>19438</v>
      </c>
      <c r="I402" s="405" t="s">
        <v>2913</v>
      </c>
      <c r="J402" s="405">
        <v>3.2595730000000001</v>
      </c>
      <c r="K402" s="405">
        <v>30.945687</v>
      </c>
      <c r="L402" s="405" t="s">
        <v>860</v>
      </c>
      <c r="M402" s="405" t="s">
        <v>19408</v>
      </c>
      <c r="N402" s="405" t="s">
        <v>19408</v>
      </c>
      <c r="O402" s="405" t="s">
        <v>19409</v>
      </c>
      <c r="P402" s="405" t="s">
        <v>19439</v>
      </c>
      <c r="Q402" s="411">
        <v>6</v>
      </c>
      <c r="R402" s="405" t="s">
        <v>7211</v>
      </c>
      <c r="S402" s="405" t="s">
        <v>27091</v>
      </c>
      <c r="T402" s="405" t="s">
        <v>32102</v>
      </c>
      <c r="U402" s="405" t="s">
        <v>6890</v>
      </c>
    </row>
    <row r="403" spans="1:21" x14ac:dyDescent="0.25">
      <c r="A403" s="405" t="s">
        <v>310</v>
      </c>
      <c r="B403" s="405" t="s">
        <v>17915</v>
      </c>
      <c r="C403" s="405" t="s">
        <v>327</v>
      </c>
      <c r="D403" s="405"/>
      <c r="E403" s="410">
        <v>44559</v>
      </c>
      <c r="F403" s="410">
        <v>44580</v>
      </c>
      <c r="G403" s="405" t="s">
        <v>17916</v>
      </c>
      <c r="H403" s="405" t="s">
        <v>17917</v>
      </c>
      <c r="I403" s="405" t="s">
        <v>17918</v>
      </c>
      <c r="J403" s="405">
        <v>1.3913519999999999</v>
      </c>
      <c r="K403" s="405">
        <v>34.430307999999997</v>
      </c>
      <c r="L403" s="405" t="s">
        <v>6866</v>
      </c>
      <c r="M403" s="405" t="s">
        <v>9685</v>
      </c>
      <c r="N403" s="405" t="s">
        <v>9686</v>
      </c>
      <c r="O403" s="405" t="s">
        <v>17919</v>
      </c>
      <c r="P403" s="405" t="s">
        <v>17920</v>
      </c>
      <c r="Q403" s="411">
        <v>4</v>
      </c>
      <c r="R403" s="405" t="s">
        <v>17977</v>
      </c>
      <c r="S403" s="405" t="s">
        <v>27318</v>
      </c>
      <c r="T403" s="405" t="s">
        <v>884</v>
      </c>
      <c r="U403" s="405" t="s">
        <v>319</v>
      </c>
    </row>
    <row r="404" spans="1:21" x14ac:dyDescent="0.25">
      <c r="A404" s="405" t="s">
        <v>310</v>
      </c>
      <c r="B404" s="405" t="s">
        <v>19428</v>
      </c>
      <c r="C404" s="405" t="s">
        <v>327</v>
      </c>
      <c r="D404" s="405"/>
      <c r="E404" s="410">
        <v>44558</v>
      </c>
      <c r="F404" s="410">
        <v>44610</v>
      </c>
      <c r="G404" s="405" t="s">
        <v>19429</v>
      </c>
      <c r="H404" s="405" t="s">
        <v>19430</v>
      </c>
      <c r="I404" s="405" t="s">
        <v>19431</v>
      </c>
      <c r="J404" s="405">
        <v>3.308675</v>
      </c>
      <c r="K404" s="405">
        <v>30.930734999999999</v>
      </c>
      <c r="L404" s="405" t="s">
        <v>860</v>
      </c>
      <c r="M404" s="405" t="s">
        <v>19408</v>
      </c>
      <c r="N404" s="405" t="s">
        <v>19408</v>
      </c>
      <c r="O404" s="405" t="s">
        <v>19409</v>
      </c>
      <c r="P404" s="405" t="s">
        <v>19432</v>
      </c>
      <c r="Q404" s="411">
        <v>6</v>
      </c>
      <c r="R404" s="405" t="s">
        <v>7211</v>
      </c>
      <c r="S404" s="405" t="s">
        <v>27091</v>
      </c>
      <c r="T404" s="405" t="s">
        <v>32102</v>
      </c>
      <c r="U404" s="405" t="s">
        <v>319</v>
      </c>
    </row>
    <row r="405" spans="1:21" x14ac:dyDescent="0.25">
      <c r="A405" s="405" t="s">
        <v>310</v>
      </c>
      <c r="B405" s="413" t="s">
        <v>19405</v>
      </c>
      <c r="C405" s="413" t="s">
        <v>327</v>
      </c>
      <c r="D405" s="413"/>
      <c r="E405" s="418">
        <v>44558</v>
      </c>
      <c r="F405" s="418">
        <v>44605</v>
      </c>
      <c r="G405" s="413" t="s">
        <v>19406</v>
      </c>
      <c r="H405" s="405" t="s">
        <v>19407</v>
      </c>
      <c r="I405" s="405" t="s">
        <v>2913</v>
      </c>
      <c r="J405" s="405">
        <v>3.2536930000000002</v>
      </c>
      <c r="K405" s="405">
        <v>30.922272</v>
      </c>
      <c r="L405" s="405" t="s">
        <v>860</v>
      </c>
      <c r="M405" s="405" t="s">
        <v>19408</v>
      </c>
      <c r="N405" s="405" t="s">
        <v>19409</v>
      </c>
      <c r="O405" s="405" t="s">
        <v>19410</v>
      </c>
      <c r="P405" s="405" t="s">
        <v>19411</v>
      </c>
      <c r="Q405" s="411">
        <v>6</v>
      </c>
      <c r="R405" s="405" t="s">
        <v>7211</v>
      </c>
      <c r="S405" s="405" t="s">
        <v>27091</v>
      </c>
      <c r="T405" s="405" t="s">
        <v>32102</v>
      </c>
      <c r="U405" s="405" t="s">
        <v>319</v>
      </c>
    </row>
    <row r="406" spans="1:21" x14ac:dyDescent="0.25">
      <c r="A406" s="405" t="s">
        <v>310</v>
      </c>
      <c r="B406" s="405" t="s">
        <v>19448</v>
      </c>
      <c r="C406" s="405" t="s">
        <v>327</v>
      </c>
      <c r="D406" s="405"/>
      <c r="E406" s="410">
        <v>44558</v>
      </c>
      <c r="F406" s="410">
        <v>44605</v>
      </c>
      <c r="G406" s="405" t="s">
        <v>19449</v>
      </c>
      <c r="H406" s="405" t="s">
        <v>19450</v>
      </c>
      <c r="I406" s="405" t="s">
        <v>19451</v>
      </c>
      <c r="J406" s="405">
        <v>3.2286519999999999</v>
      </c>
      <c r="K406" s="405">
        <v>30.912382999999998</v>
      </c>
      <c r="L406" s="405" t="s">
        <v>860</v>
      </c>
      <c r="M406" s="405" t="s">
        <v>19408</v>
      </c>
      <c r="N406" s="405" t="s">
        <v>19408</v>
      </c>
      <c r="O406" s="405" t="s">
        <v>19409</v>
      </c>
      <c r="P406" s="405" t="s">
        <v>19452</v>
      </c>
      <c r="Q406" s="411">
        <v>6</v>
      </c>
      <c r="R406" s="405" t="s">
        <v>7211</v>
      </c>
      <c r="S406" s="405" t="s">
        <v>27091</v>
      </c>
      <c r="T406" s="405" t="s">
        <v>884</v>
      </c>
      <c r="U406" s="405" t="s">
        <v>319</v>
      </c>
    </row>
    <row r="407" spans="1:21" x14ac:dyDescent="0.25">
      <c r="A407" s="405" t="s">
        <v>310</v>
      </c>
      <c r="B407" s="405" t="s">
        <v>19453</v>
      </c>
      <c r="C407" s="405" t="s">
        <v>327</v>
      </c>
      <c r="D407" s="405"/>
      <c r="E407" s="410">
        <v>44558</v>
      </c>
      <c r="F407" s="410">
        <v>44605</v>
      </c>
      <c r="G407" s="405" t="s">
        <v>19454</v>
      </c>
      <c r="H407" s="405" t="s">
        <v>19455</v>
      </c>
      <c r="I407" s="405" t="s">
        <v>19456</v>
      </c>
      <c r="J407" s="405">
        <v>3.1715979999999999</v>
      </c>
      <c r="K407" s="405">
        <v>30.918253</v>
      </c>
      <c r="L407" s="405" t="s">
        <v>860</v>
      </c>
      <c r="M407" s="405" t="s">
        <v>19408</v>
      </c>
      <c r="N407" s="405" t="s">
        <v>19408</v>
      </c>
      <c r="O407" s="405" t="s">
        <v>19409</v>
      </c>
      <c r="P407" s="405" t="s">
        <v>19457</v>
      </c>
      <c r="Q407" s="411">
        <v>6</v>
      </c>
      <c r="R407" s="405" t="s">
        <v>7211</v>
      </c>
      <c r="S407" s="405" t="s">
        <v>27091</v>
      </c>
      <c r="T407" s="405" t="s">
        <v>884</v>
      </c>
      <c r="U407" s="405" t="s">
        <v>319</v>
      </c>
    </row>
    <row r="408" spans="1:21" x14ac:dyDescent="0.25">
      <c r="A408" s="405" t="s">
        <v>310</v>
      </c>
      <c r="B408" s="405" t="s">
        <v>26693</v>
      </c>
      <c r="C408" s="405" t="s">
        <v>327</v>
      </c>
      <c r="D408" s="405"/>
      <c r="E408" s="410">
        <v>44557</v>
      </c>
      <c r="F408" s="410">
        <v>44604</v>
      </c>
      <c r="G408" s="405" t="s">
        <v>26694</v>
      </c>
      <c r="H408" s="405" t="s">
        <v>26695</v>
      </c>
      <c r="I408" s="405" t="s">
        <v>26696</v>
      </c>
      <c r="J408" s="405">
        <v>0.619676</v>
      </c>
      <c r="K408" s="405">
        <v>30.312017999999998</v>
      </c>
      <c r="L408" s="405" t="s">
        <v>590</v>
      </c>
      <c r="M408" s="405" t="s">
        <v>20125</v>
      </c>
      <c r="N408" s="405" t="s">
        <v>24863</v>
      </c>
      <c r="O408" s="405" t="s">
        <v>20853</v>
      </c>
      <c r="P408" s="405" t="s">
        <v>26697</v>
      </c>
      <c r="Q408" s="411">
        <v>9</v>
      </c>
      <c r="R408" s="405" t="s">
        <v>6013</v>
      </c>
      <c r="S408" s="405" t="s">
        <v>27205</v>
      </c>
      <c r="T408" s="405" t="s">
        <v>884</v>
      </c>
      <c r="U408" s="405" t="s">
        <v>319</v>
      </c>
    </row>
    <row r="409" spans="1:21" x14ac:dyDescent="0.25">
      <c r="A409" s="405" t="s">
        <v>310</v>
      </c>
      <c r="B409" s="413" t="s">
        <v>19422</v>
      </c>
      <c r="C409" s="413" t="s">
        <v>327</v>
      </c>
      <c r="D409" s="413"/>
      <c r="E409" s="418">
        <v>44557</v>
      </c>
      <c r="F409" s="418">
        <v>44605</v>
      </c>
      <c r="G409" s="413" t="s">
        <v>19423</v>
      </c>
      <c r="H409" s="405" t="s">
        <v>19424</v>
      </c>
      <c r="I409" s="405" t="s">
        <v>19425</v>
      </c>
      <c r="J409" s="405">
        <v>3.2144300000000001</v>
      </c>
      <c r="K409" s="405">
        <v>30.946906999999999</v>
      </c>
      <c r="L409" s="405" t="s">
        <v>860</v>
      </c>
      <c r="M409" s="405" t="s">
        <v>19408</v>
      </c>
      <c r="N409" s="405" t="s">
        <v>19408</v>
      </c>
      <c r="O409" s="405" t="s">
        <v>19426</v>
      </c>
      <c r="P409" s="405" t="s">
        <v>19427</v>
      </c>
      <c r="Q409" s="411">
        <v>6</v>
      </c>
      <c r="R409" s="405" t="s">
        <v>7211</v>
      </c>
      <c r="S409" s="405" t="s">
        <v>27091</v>
      </c>
      <c r="T409" s="405" t="s">
        <v>884</v>
      </c>
      <c r="U409" s="405" t="s">
        <v>319</v>
      </c>
    </row>
    <row r="410" spans="1:21" x14ac:dyDescent="0.25">
      <c r="A410" s="405" t="s">
        <v>310</v>
      </c>
      <c r="B410" s="405" t="s">
        <v>19417</v>
      </c>
      <c r="C410" s="405" t="s">
        <v>327</v>
      </c>
      <c r="D410" s="405"/>
      <c r="E410" s="410">
        <v>44557</v>
      </c>
      <c r="F410" s="410">
        <v>44605</v>
      </c>
      <c r="G410" s="405" t="s">
        <v>19418</v>
      </c>
      <c r="H410" s="405" t="s">
        <v>19419</v>
      </c>
      <c r="I410" s="405" t="s">
        <v>19420</v>
      </c>
      <c r="J410" s="405">
        <v>3.2248619999999999</v>
      </c>
      <c r="K410" s="405">
        <v>30.962008000000001</v>
      </c>
      <c r="L410" s="405" t="s">
        <v>860</v>
      </c>
      <c r="M410" s="405" t="s">
        <v>19408</v>
      </c>
      <c r="N410" s="405" t="s">
        <v>19408</v>
      </c>
      <c r="O410" s="405" t="s">
        <v>19410</v>
      </c>
      <c r="P410" s="405" t="s">
        <v>19421</v>
      </c>
      <c r="Q410" s="411">
        <v>6</v>
      </c>
      <c r="R410" s="405" t="s">
        <v>7211</v>
      </c>
      <c r="S410" s="405" t="s">
        <v>27091</v>
      </c>
      <c r="T410" s="405" t="s">
        <v>32102</v>
      </c>
      <c r="U410" s="405" t="s">
        <v>319</v>
      </c>
    </row>
    <row r="411" spans="1:21" x14ac:dyDescent="0.25">
      <c r="A411" s="405" t="s">
        <v>310</v>
      </c>
      <c r="B411" s="413" t="s">
        <v>19412</v>
      </c>
      <c r="C411" s="413" t="s">
        <v>327</v>
      </c>
      <c r="D411" s="413"/>
      <c r="E411" s="418">
        <v>44556</v>
      </c>
      <c r="F411" s="418">
        <v>44605</v>
      </c>
      <c r="G411" s="413" t="s">
        <v>19413</v>
      </c>
      <c r="H411" s="405" t="s">
        <v>19414</v>
      </c>
      <c r="I411" s="405" t="s">
        <v>19415</v>
      </c>
      <c r="J411" s="405">
        <v>3.229355</v>
      </c>
      <c r="K411" s="405">
        <v>30.946646999999999</v>
      </c>
      <c r="L411" s="405" t="s">
        <v>860</v>
      </c>
      <c r="M411" s="405" t="s">
        <v>19408</v>
      </c>
      <c r="N411" s="405" t="s">
        <v>19408</v>
      </c>
      <c r="O411" s="405" t="s">
        <v>19410</v>
      </c>
      <c r="P411" s="405" t="s">
        <v>19416</v>
      </c>
      <c r="Q411" s="411">
        <v>6</v>
      </c>
      <c r="R411" s="405" t="s">
        <v>7211</v>
      </c>
      <c r="S411" s="405" t="s">
        <v>27091</v>
      </c>
      <c r="T411" s="405" t="s">
        <v>32102</v>
      </c>
      <c r="U411" s="405" t="s">
        <v>6890</v>
      </c>
    </row>
    <row r="412" spans="1:21" x14ac:dyDescent="0.25">
      <c r="A412" s="405" t="s">
        <v>310</v>
      </c>
      <c r="B412" s="405" t="s">
        <v>24126</v>
      </c>
      <c r="C412" s="405" t="s">
        <v>327</v>
      </c>
      <c r="D412" s="405"/>
      <c r="E412" s="410">
        <v>43240</v>
      </c>
      <c r="F412" s="410">
        <v>43255</v>
      </c>
      <c r="G412" s="405" t="s">
        <v>24127</v>
      </c>
      <c r="H412" s="405">
        <v>778877713</v>
      </c>
      <c r="I412" s="405">
        <v>782143888</v>
      </c>
      <c r="J412" s="405">
        <v>0.50800000000000001</v>
      </c>
      <c r="K412" s="405">
        <v>30.753</v>
      </c>
      <c r="L412" s="405" t="s">
        <v>590</v>
      </c>
      <c r="M412" s="405" t="s">
        <v>19659</v>
      </c>
      <c r="N412" s="405" t="s">
        <v>24128</v>
      </c>
      <c r="O412" s="405" t="s">
        <v>19604</v>
      </c>
      <c r="P412" s="405" t="s">
        <v>24129</v>
      </c>
      <c r="Q412" s="411">
        <v>30</v>
      </c>
      <c r="R412" s="405" t="s">
        <v>5858</v>
      </c>
      <c r="S412" s="405" t="s">
        <v>27181</v>
      </c>
      <c r="T412" s="405" t="s">
        <v>884</v>
      </c>
      <c r="U412" s="405" t="s">
        <v>319</v>
      </c>
    </row>
    <row r="413" spans="1:21" x14ac:dyDescent="0.25">
      <c r="A413" s="405" t="s">
        <v>310</v>
      </c>
      <c r="B413" s="405" t="s">
        <v>19552</v>
      </c>
      <c r="C413" s="405" t="s">
        <v>327</v>
      </c>
      <c r="D413" s="405"/>
      <c r="E413" s="410">
        <v>44553</v>
      </c>
      <c r="F413" s="410">
        <v>44608</v>
      </c>
      <c r="G413" s="405" t="s">
        <v>19553</v>
      </c>
      <c r="H413" s="405" t="s">
        <v>19554</v>
      </c>
      <c r="I413" s="405" t="s">
        <v>19555</v>
      </c>
      <c r="J413" s="405">
        <v>3.5572349999999999</v>
      </c>
      <c r="K413" s="405">
        <v>31.080946999999998</v>
      </c>
      <c r="L413" s="405" t="s">
        <v>860</v>
      </c>
      <c r="M413" s="405" t="s">
        <v>19271</v>
      </c>
      <c r="N413" s="405" t="s">
        <v>19396</v>
      </c>
      <c r="O413" s="405" t="s">
        <v>19397</v>
      </c>
      <c r="P413" s="405" t="s">
        <v>19556</v>
      </c>
      <c r="Q413" s="411">
        <v>6</v>
      </c>
      <c r="R413" s="405" t="s">
        <v>7211</v>
      </c>
      <c r="S413" s="405" t="s">
        <v>27091</v>
      </c>
      <c r="T413" s="405" t="s">
        <v>884</v>
      </c>
      <c r="U413" s="405" t="s">
        <v>319</v>
      </c>
    </row>
    <row r="414" spans="1:21" x14ac:dyDescent="0.25">
      <c r="A414" s="405" t="s">
        <v>310</v>
      </c>
      <c r="B414" s="405" t="s">
        <v>19440</v>
      </c>
      <c r="C414" s="405" t="s">
        <v>327</v>
      </c>
      <c r="D414" s="405"/>
      <c r="E414" s="410">
        <v>44553</v>
      </c>
      <c r="F414" s="410">
        <v>44608</v>
      </c>
      <c r="G414" s="405" t="s">
        <v>19441</v>
      </c>
      <c r="H414" s="405" t="s">
        <v>19442</v>
      </c>
      <c r="I414" s="405" t="s">
        <v>19443</v>
      </c>
      <c r="J414" s="405">
        <v>3.6408179999999999</v>
      </c>
      <c r="K414" s="405">
        <v>31.031932000000001</v>
      </c>
      <c r="L414" s="405" t="s">
        <v>860</v>
      </c>
      <c r="M414" s="405" t="s">
        <v>19271</v>
      </c>
      <c r="N414" s="405" t="s">
        <v>19396</v>
      </c>
      <c r="O414" s="405" t="s">
        <v>19397</v>
      </c>
      <c r="P414" s="405" t="s">
        <v>19444</v>
      </c>
      <c r="Q414" s="411">
        <v>6</v>
      </c>
      <c r="R414" s="405" t="s">
        <v>7211</v>
      </c>
      <c r="S414" s="405" t="s">
        <v>27091</v>
      </c>
      <c r="T414" s="405" t="s">
        <v>884</v>
      </c>
      <c r="U414" s="405" t="s">
        <v>319</v>
      </c>
    </row>
    <row r="415" spans="1:21" x14ac:dyDescent="0.25">
      <c r="A415" s="405" t="s">
        <v>310</v>
      </c>
      <c r="B415" s="413" t="s">
        <v>19567</v>
      </c>
      <c r="C415" s="413" t="s">
        <v>327</v>
      </c>
      <c r="D415" s="413"/>
      <c r="E415" s="418">
        <v>44551</v>
      </c>
      <c r="F415" s="418">
        <v>44607</v>
      </c>
      <c r="G415" s="413" t="s">
        <v>19568</v>
      </c>
      <c r="H415" s="405" t="s">
        <v>19569</v>
      </c>
      <c r="I415" s="405" t="s">
        <v>19570</v>
      </c>
      <c r="J415" s="405">
        <v>3.3709030000000002</v>
      </c>
      <c r="K415" s="405">
        <v>31.065926999999999</v>
      </c>
      <c r="L415" s="405" t="s">
        <v>860</v>
      </c>
      <c r="M415" s="405" t="s">
        <v>19271</v>
      </c>
      <c r="N415" s="405" t="s">
        <v>19271</v>
      </c>
      <c r="O415" s="405" t="s">
        <v>19403</v>
      </c>
      <c r="P415" s="405" t="s">
        <v>19571</v>
      </c>
      <c r="Q415" s="411">
        <v>6</v>
      </c>
      <c r="R415" s="405" t="s">
        <v>7211</v>
      </c>
      <c r="S415" s="405" t="s">
        <v>27091</v>
      </c>
      <c r="T415" s="405" t="s">
        <v>884</v>
      </c>
      <c r="U415" s="405" t="s">
        <v>319</v>
      </c>
    </row>
    <row r="416" spans="1:21" x14ac:dyDescent="0.25">
      <c r="A416" s="405" t="s">
        <v>310</v>
      </c>
      <c r="B416" s="405" t="s">
        <v>17908</v>
      </c>
      <c r="C416" s="405" t="s">
        <v>327</v>
      </c>
      <c r="D416" s="405"/>
      <c r="E416" s="410">
        <v>44550</v>
      </c>
      <c r="F416" s="410">
        <v>44566</v>
      </c>
      <c r="G416" s="405" t="s">
        <v>17909</v>
      </c>
      <c r="H416" s="405" t="s">
        <v>17910</v>
      </c>
      <c r="I416" s="405" t="s">
        <v>2913</v>
      </c>
      <c r="J416" s="405">
        <v>0.73869200000000002</v>
      </c>
      <c r="K416" s="405">
        <v>33.150925000000001</v>
      </c>
      <c r="L416" s="405" t="s">
        <v>6866</v>
      </c>
      <c r="M416" s="405" t="s">
        <v>3009</v>
      </c>
      <c r="N416" s="405" t="s">
        <v>9842</v>
      </c>
      <c r="O416" s="405" t="s">
        <v>10016</v>
      </c>
      <c r="P416" s="405" t="s">
        <v>17911</v>
      </c>
      <c r="Q416" s="411">
        <v>6</v>
      </c>
      <c r="R416" s="405" t="s">
        <v>32164</v>
      </c>
      <c r="S416" s="405" t="s">
        <v>27080</v>
      </c>
      <c r="T416" s="405" t="s">
        <v>884</v>
      </c>
      <c r="U416" s="405" t="s">
        <v>319</v>
      </c>
    </row>
    <row r="417" spans="1:21" x14ac:dyDescent="0.25">
      <c r="A417" s="405" t="s">
        <v>310</v>
      </c>
      <c r="B417" s="405" t="s">
        <v>19508</v>
      </c>
      <c r="C417" s="405" t="s">
        <v>327</v>
      </c>
      <c r="D417" s="405"/>
      <c r="E417" s="410">
        <v>44549</v>
      </c>
      <c r="F417" s="410">
        <v>44607</v>
      </c>
      <c r="G417" s="405" t="s">
        <v>19509</v>
      </c>
      <c r="H417" s="405" t="s">
        <v>19510</v>
      </c>
      <c r="I417" s="405" t="s">
        <v>19511</v>
      </c>
      <c r="J417" s="405">
        <v>3.3919299999999999</v>
      </c>
      <c r="K417" s="405">
        <v>31.033052000000001</v>
      </c>
      <c r="L417" s="405" t="s">
        <v>860</v>
      </c>
      <c r="M417" s="405" t="s">
        <v>19271</v>
      </c>
      <c r="N417" s="405" t="s">
        <v>19271</v>
      </c>
      <c r="O417" s="405" t="s">
        <v>19403</v>
      </c>
      <c r="P417" s="405" t="s">
        <v>19512</v>
      </c>
      <c r="Q417" s="411">
        <v>6</v>
      </c>
      <c r="R417" s="405" t="s">
        <v>7211</v>
      </c>
      <c r="S417" s="405" t="s">
        <v>27091</v>
      </c>
      <c r="T417" s="405" t="s">
        <v>884</v>
      </c>
      <c r="U417" s="405" t="s">
        <v>319</v>
      </c>
    </row>
    <row r="418" spans="1:21" x14ac:dyDescent="0.25">
      <c r="A418" s="405" t="s">
        <v>310</v>
      </c>
      <c r="B418" s="405" t="s">
        <v>26661</v>
      </c>
      <c r="C418" s="405" t="s">
        <v>327</v>
      </c>
      <c r="D418" s="405"/>
      <c r="E418" s="410">
        <v>44546</v>
      </c>
      <c r="F418" s="410">
        <v>44570</v>
      </c>
      <c r="G418" s="405" t="s">
        <v>26662</v>
      </c>
      <c r="H418" s="405" t="s">
        <v>26663</v>
      </c>
      <c r="I418" s="405" t="s">
        <v>26664</v>
      </c>
      <c r="J418" s="405">
        <v>-0.775115</v>
      </c>
      <c r="K418" s="405">
        <v>29.810372000000001</v>
      </c>
      <c r="L418" s="405" t="s">
        <v>590</v>
      </c>
      <c r="M418" s="405" t="s">
        <v>20808</v>
      </c>
      <c r="N418" s="405" t="s">
        <v>25823</v>
      </c>
      <c r="O418" s="405" t="s">
        <v>19965</v>
      </c>
      <c r="P418" s="405" t="s">
        <v>26665</v>
      </c>
      <c r="Q418" s="411">
        <v>6</v>
      </c>
      <c r="R418" s="405" t="s">
        <v>6572</v>
      </c>
      <c r="S418" s="405" t="s">
        <v>27280</v>
      </c>
      <c r="T418" s="405" t="s">
        <v>32102</v>
      </c>
      <c r="U418" s="405" t="s">
        <v>319</v>
      </c>
    </row>
    <row r="419" spans="1:21" x14ac:dyDescent="0.25">
      <c r="A419" s="405" t="s">
        <v>310</v>
      </c>
      <c r="B419" s="405" t="s">
        <v>19770</v>
      </c>
      <c r="C419" s="405" t="s">
        <v>311</v>
      </c>
      <c r="D419" s="405" t="s">
        <v>8702</v>
      </c>
      <c r="E419" s="410">
        <v>44545</v>
      </c>
      <c r="F419" s="410">
        <v>44557</v>
      </c>
      <c r="G419" s="405" t="s">
        <v>19771</v>
      </c>
      <c r="H419" s="405">
        <v>782510363</v>
      </c>
      <c r="I419" s="405" t="s">
        <v>19772</v>
      </c>
      <c r="J419" s="405">
        <v>1.982502</v>
      </c>
      <c r="K419" s="405">
        <v>32.546852000000001</v>
      </c>
      <c r="L419" s="405" t="s">
        <v>860</v>
      </c>
      <c r="M419" s="405" t="s">
        <v>861</v>
      </c>
      <c r="N419" s="405" t="s">
        <v>19773</v>
      </c>
      <c r="O419" s="405" t="s">
        <v>19774</v>
      </c>
      <c r="P419" s="405" t="s">
        <v>19775</v>
      </c>
      <c r="Q419" s="411">
        <v>6</v>
      </c>
      <c r="R419" s="405" t="s">
        <v>9242</v>
      </c>
      <c r="S419" s="405" t="s">
        <v>27193</v>
      </c>
      <c r="T419" s="405" t="s">
        <v>32102</v>
      </c>
      <c r="U419" s="405" t="s">
        <v>319</v>
      </c>
    </row>
    <row r="420" spans="1:21" x14ac:dyDescent="0.25">
      <c r="A420" s="405" t="s">
        <v>310</v>
      </c>
      <c r="B420" s="405" t="s">
        <v>17924</v>
      </c>
      <c r="C420" s="405" t="s">
        <v>327</v>
      </c>
      <c r="D420" s="405"/>
      <c r="E420" s="410">
        <v>44543</v>
      </c>
      <c r="F420" s="410">
        <v>44581</v>
      </c>
      <c r="G420" s="405" t="s">
        <v>17925</v>
      </c>
      <c r="H420" s="405" t="s">
        <v>17926</v>
      </c>
      <c r="I420" s="405" t="s">
        <v>2913</v>
      </c>
      <c r="J420" s="405">
        <v>1.2002569999999999</v>
      </c>
      <c r="K420" s="405">
        <v>33.736645000000003</v>
      </c>
      <c r="L420" s="405" t="s">
        <v>6866</v>
      </c>
      <c r="M420" s="405" t="s">
        <v>9509</v>
      </c>
      <c r="N420" s="405" t="s">
        <v>9509</v>
      </c>
      <c r="O420" s="405" t="s">
        <v>9509</v>
      </c>
      <c r="P420" s="405" t="s">
        <v>17927</v>
      </c>
      <c r="Q420" s="411">
        <v>13</v>
      </c>
      <c r="R420" s="405" t="s">
        <v>17977</v>
      </c>
      <c r="S420" s="405" t="s">
        <v>27243</v>
      </c>
      <c r="T420" s="405" t="s">
        <v>32212</v>
      </c>
      <c r="U420" s="405" t="s">
        <v>2267</v>
      </c>
    </row>
    <row r="421" spans="1:21" x14ac:dyDescent="0.25">
      <c r="A421" s="405" t="s">
        <v>310</v>
      </c>
      <c r="B421" s="405" t="s">
        <v>19392</v>
      </c>
      <c r="C421" s="405" t="s">
        <v>327</v>
      </c>
      <c r="D421" s="405"/>
      <c r="E421" s="410">
        <v>44542</v>
      </c>
      <c r="F421" s="410">
        <v>44608</v>
      </c>
      <c r="G421" s="405" t="s">
        <v>19393</v>
      </c>
      <c r="H421" s="405" t="s">
        <v>19394</v>
      </c>
      <c r="I421" s="405" t="s">
        <v>19395</v>
      </c>
      <c r="J421" s="405">
        <v>3.51315</v>
      </c>
      <c r="K421" s="405">
        <v>31.012758000000002</v>
      </c>
      <c r="L421" s="405" t="s">
        <v>860</v>
      </c>
      <c r="M421" s="405" t="s">
        <v>19271</v>
      </c>
      <c r="N421" s="405" t="s">
        <v>19396</v>
      </c>
      <c r="O421" s="405" t="s">
        <v>19397</v>
      </c>
      <c r="P421" s="405" t="s">
        <v>19398</v>
      </c>
      <c r="Q421" s="411">
        <v>6</v>
      </c>
      <c r="R421" s="405" t="s">
        <v>7211</v>
      </c>
      <c r="S421" s="405" t="s">
        <v>27091</v>
      </c>
      <c r="T421" s="405" t="s">
        <v>884</v>
      </c>
      <c r="U421" s="405" t="s">
        <v>319</v>
      </c>
    </row>
    <row r="422" spans="1:21" x14ac:dyDescent="0.25">
      <c r="A422" s="405" t="s">
        <v>310</v>
      </c>
      <c r="B422" s="413" t="s">
        <v>19399</v>
      </c>
      <c r="C422" s="413" t="s">
        <v>327</v>
      </c>
      <c r="D422" s="413"/>
      <c r="E422" s="418">
        <v>44542</v>
      </c>
      <c r="F422" s="418">
        <v>44607</v>
      </c>
      <c r="G422" s="413" t="s">
        <v>19400</v>
      </c>
      <c r="H422" s="405" t="s">
        <v>19401</v>
      </c>
      <c r="I422" s="405" t="s">
        <v>19402</v>
      </c>
      <c r="J422" s="405">
        <v>3.3708550000000002</v>
      </c>
      <c r="K422" s="405">
        <v>31.035712</v>
      </c>
      <c r="L422" s="405" t="s">
        <v>860</v>
      </c>
      <c r="M422" s="405" t="s">
        <v>19271</v>
      </c>
      <c r="N422" s="405" t="s">
        <v>19271</v>
      </c>
      <c r="O422" s="405" t="s">
        <v>19403</v>
      </c>
      <c r="P422" s="405" t="s">
        <v>19404</v>
      </c>
      <c r="Q422" s="411">
        <v>6</v>
      </c>
      <c r="R422" s="405" t="s">
        <v>7211</v>
      </c>
      <c r="S422" s="405" t="s">
        <v>27091</v>
      </c>
      <c r="T422" s="405" t="s">
        <v>884</v>
      </c>
      <c r="U422" s="405" t="s">
        <v>319</v>
      </c>
    </row>
    <row r="423" spans="1:21" x14ac:dyDescent="0.25">
      <c r="A423" s="405" t="s">
        <v>310</v>
      </c>
      <c r="B423" s="405" t="s">
        <v>19547</v>
      </c>
      <c r="C423" s="405" t="s">
        <v>327</v>
      </c>
      <c r="D423" s="405"/>
      <c r="E423" s="410">
        <v>44542</v>
      </c>
      <c r="F423" s="410">
        <v>44607</v>
      </c>
      <c r="G423" s="405" t="s">
        <v>19548</v>
      </c>
      <c r="H423" s="405" t="s">
        <v>19549</v>
      </c>
      <c r="I423" s="405" t="s">
        <v>19550</v>
      </c>
      <c r="J423" s="405">
        <v>3.3837449999999998</v>
      </c>
      <c r="K423" s="405">
        <v>31.005109999999998</v>
      </c>
      <c r="L423" s="405" t="s">
        <v>860</v>
      </c>
      <c r="M423" s="405" t="s">
        <v>19271</v>
      </c>
      <c r="N423" s="405" t="s">
        <v>19271</v>
      </c>
      <c r="O423" s="405" t="s">
        <v>19403</v>
      </c>
      <c r="P423" s="405" t="s">
        <v>19551</v>
      </c>
      <c r="Q423" s="411">
        <v>6</v>
      </c>
      <c r="R423" s="405" t="s">
        <v>7211</v>
      </c>
      <c r="S423" s="405" t="s">
        <v>27091</v>
      </c>
      <c r="T423" s="405" t="s">
        <v>884</v>
      </c>
      <c r="U423" s="405" t="s">
        <v>319</v>
      </c>
    </row>
    <row r="424" spans="1:21" x14ac:dyDescent="0.25">
      <c r="A424" s="405" t="s">
        <v>310</v>
      </c>
      <c r="B424" s="405" t="s">
        <v>17942</v>
      </c>
      <c r="C424" s="405" t="s">
        <v>327</v>
      </c>
      <c r="D424" s="405"/>
      <c r="E424" s="410">
        <v>44540</v>
      </c>
      <c r="F424" s="410">
        <v>44600</v>
      </c>
      <c r="G424" s="405" t="s">
        <v>17943</v>
      </c>
      <c r="H424" s="405" t="s">
        <v>17944</v>
      </c>
      <c r="I424" s="405" t="s">
        <v>17945</v>
      </c>
      <c r="J424" s="405">
        <v>1.391608</v>
      </c>
      <c r="K424" s="405">
        <v>34.466520000000003</v>
      </c>
      <c r="L424" s="405" t="s">
        <v>6866</v>
      </c>
      <c r="M424" s="405" t="s">
        <v>9685</v>
      </c>
      <c r="N424" s="405" t="s">
        <v>17946</v>
      </c>
      <c r="O424" s="405" t="s">
        <v>15669</v>
      </c>
      <c r="P424" s="405" t="s">
        <v>17823</v>
      </c>
      <c r="Q424" s="411">
        <v>4</v>
      </c>
      <c r="R424" s="405" t="s">
        <v>17977</v>
      </c>
      <c r="S424" s="405" t="s">
        <v>27056</v>
      </c>
      <c r="T424" s="405" t="s">
        <v>32102</v>
      </c>
      <c r="U424" s="405" t="s">
        <v>6890</v>
      </c>
    </row>
    <row r="425" spans="1:21" x14ac:dyDescent="0.25">
      <c r="A425" s="405" t="s">
        <v>310</v>
      </c>
      <c r="B425" s="405" t="s">
        <v>17937</v>
      </c>
      <c r="C425" s="405" t="s">
        <v>327</v>
      </c>
      <c r="D425" s="405"/>
      <c r="E425" s="410">
        <v>44538</v>
      </c>
      <c r="F425" s="410">
        <v>44594</v>
      </c>
      <c r="G425" s="405" t="s">
        <v>17938</v>
      </c>
      <c r="H425" s="405" t="s">
        <v>17939</v>
      </c>
      <c r="I425" s="405" t="s">
        <v>17940</v>
      </c>
      <c r="J425" s="405">
        <v>1.3819999999999999</v>
      </c>
      <c r="K425" s="405">
        <v>34.470886999999998</v>
      </c>
      <c r="L425" s="405" t="s">
        <v>6866</v>
      </c>
      <c r="M425" s="405" t="s">
        <v>9685</v>
      </c>
      <c r="N425" s="405" t="s">
        <v>12361</v>
      </c>
      <c r="O425" s="405" t="s">
        <v>4327</v>
      </c>
      <c r="P425" s="405" t="s">
        <v>17941</v>
      </c>
      <c r="Q425" s="411">
        <v>4</v>
      </c>
      <c r="R425" s="405" t="s">
        <v>17977</v>
      </c>
      <c r="S425" s="405" t="s">
        <v>27072</v>
      </c>
      <c r="T425" s="405" t="s">
        <v>884</v>
      </c>
      <c r="U425" s="405" t="s">
        <v>319</v>
      </c>
    </row>
    <row r="426" spans="1:21" x14ac:dyDescent="0.25">
      <c r="A426" s="405" t="s">
        <v>310</v>
      </c>
      <c r="B426" s="405" t="s">
        <v>17947</v>
      </c>
      <c r="C426" s="405" t="s">
        <v>327</v>
      </c>
      <c r="D426" s="405"/>
      <c r="E426" s="410">
        <v>44534</v>
      </c>
      <c r="F426" s="410">
        <v>44595</v>
      </c>
      <c r="G426" s="405" t="s">
        <v>17948</v>
      </c>
      <c r="H426" s="405" t="s">
        <v>17949</v>
      </c>
      <c r="I426" s="405" t="s">
        <v>17950</v>
      </c>
      <c r="J426" s="405">
        <v>1.335882</v>
      </c>
      <c r="K426" s="405">
        <v>34.388717</v>
      </c>
      <c r="L426" s="405" t="s">
        <v>6866</v>
      </c>
      <c r="M426" s="405" t="s">
        <v>9685</v>
      </c>
      <c r="N426" s="405" t="s">
        <v>9686</v>
      </c>
      <c r="O426" s="405" t="s">
        <v>14983</v>
      </c>
      <c r="P426" s="405" t="s">
        <v>17951</v>
      </c>
      <c r="Q426" s="411">
        <v>4</v>
      </c>
      <c r="R426" s="405" t="s">
        <v>17977</v>
      </c>
      <c r="S426" s="405" t="s">
        <v>27353</v>
      </c>
      <c r="T426" s="405" t="s">
        <v>884</v>
      </c>
      <c r="U426" s="405" t="s">
        <v>319</v>
      </c>
    </row>
    <row r="427" spans="1:21" x14ac:dyDescent="0.25">
      <c r="A427" s="405" t="s">
        <v>310</v>
      </c>
      <c r="B427" s="405" t="s">
        <v>9243</v>
      </c>
      <c r="C427" s="405" t="s">
        <v>327</v>
      </c>
      <c r="D427" s="405"/>
      <c r="E427" s="410">
        <v>44532</v>
      </c>
      <c r="F427" s="410">
        <v>44560</v>
      </c>
      <c r="G427" s="405" t="s">
        <v>9244</v>
      </c>
      <c r="H427" s="405" t="s">
        <v>9245</v>
      </c>
      <c r="I427" s="405" t="s">
        <v>9246</v>
      </c>
      <c r="J427" s="405">
        <v>0.460648</v>
      </c>
      <c r="K427" s="405">
        <v>32.610252000000003</v>
      </c>
      <c r="L427" s="405" t="s">
        <v>314</v>
      </c>
      <c r="M427" s="405" t="s">
        <v>361</v>
      </c>
      <c r="N427" s="405" t="s">
        <v>7361</v>
      </c>
      <c r="O427" s="405" t="s">
        <v>433</v>
      </c>
      <c r="P427" s="405" t="s">
        <v>424</v>
      </c>
      <c r="Q427" s="411">
        <v>6</v>
      </c>
      <c r="R427" s="405" t="s">
        <v>4176</v>
      </c>
      <c r="S427" s="405" t="s">
        <v>27293</v>
      </c>
      <c r="T427" s="405" t="s">
        <v>884</v>
      </c>
      <c r="U427" s="405" t="s">
        <v>319</v>
      </c>
    </row>
    <row r="428" spans="1:21" x14ac:dyDescent="0.25">
      <c r="A428" s="405" t="s">
        <v>310</v>
      </c>
      <c r="B428" s="405" t="s">
        <v>17956</v>
      </c>
      <c r="C428" s="405" t="s">
        <v>327</v>
      </c>
      <c r="D428" s="405"/>
      <c r="E428" s="410">
        <v>44531</v>
      </c>
      <c r="F428" s="410">
        <v>44621</v>
      </c>
      <c r="G428" s="405" t="s">
        <v>17957</v>
      </c>
      <c r="H428" s="405" t="s">
        <v>17958</v>
      </c>
      <c r="I428" s="405" t="s">
        <v>17959</v>
      </c>
      <c r="J428" s="405">
        <v>1.3944799999999999</v>
      </c>
      <c r="K428" s="405">
        <v>34.470238000000002</v>
      </c>
      <c r="L428" s="405" t="s">
        <v>6866</v>
      </c>
      <c r="M428" s="405" t="s">
        <v>9685</v>
      </c>
      <c r="N428" s="405" t="s">
        <v>17946</v>
      </c>
      <c r="O428" s="405" t="s">
        <v>4327</v>
      </c>
      <c r="P428" s="405" t="s">
        <v>17891</v>
      </c>
      <c r="Q428" s="411">
        <v>4</v>
      </c>
      <c r="R428" s="405" t="s">
        <v>17977</v>
      </c>
      <c r="S428" s="405" t="s">
        <v>27072</v>
      </c>
      <c r="T428" s="405" t="s">
        <v>884</v>
      </c>
      <c r="U428" s="405" t="s">
        <v>319</v>
      </c>
    </row>
    <row r="429" spans="1:21" x14ac:dyDescent="0.25">
      <c r="A429" s="405" t="s">
        <v>310</v>
      </c>
      <c r="B429" s="405" t="s">
        <v>27916</v>
      </c>
      <c r="C429" s="405" t="s">
        <v>311</v>
      </c>
      <c r="D429" s="405" t="s">
        <v>9525</v>
      </c>
      <c r="E429" s="410">
        <v>43308</v>
      </c>
      <c r="F429" s="410">
        <v>43312</v>
      </c>
      <c r="G429" s="405" t="s">
        <v>888</v>
      </c>
      <c r="H429" s="405">
        <v>773048711</v>
      </c>
      <c r="I429" s="405"/>
      <c r="J429" s="405">
        <v>0.70013700000000001</v>
      </c>
      <c r="K429" s="405">
        <v>30.759087999999998</v>
      </c>
      <c r="L429" s="405" t="s">
        <v>590</v>
      </c>
      <c r="M429" s="405" t="s">
        <v>879</v>
      </c>
      <c r="N429" s="405" t="s">
        <v>880</v>
      </c>
      <c r="O429" s="405" t="s">
        <v>881</v>
      </c>
      <c r="P429" s="405" t="s">
        <v>889</v>
      </c>
      <c r="Q429" s="411">
        <v>30</v>
      </c>
      <c r="R429" s="405" t="s">
        <v>32166</v>
      </c>
      <c r="S429" s="405" t="s">
        <v>27132</v>
      </c>
      <c r="T429" s="405" t="s">
        <v>884</v>
      </c>
      <c r="U429" s="405" t="s">
        <v>319</v>
      </c>
    </row>
    <row r="430" spans="1:21" x14ac:dyDescent="0.25">
      <c r="A430" s="405" t="s">
        <v>310</v>
      </c>
      <c r="B430" s="405" t="s">
        <v>28230</v>
      </c>
      <c r="C430" s="405" t="s">
        <v>327</v>
      </c>
      <c r="D430" s="405"/>
      <c r="E430" s="410">
        <v>44528</v>
      </c>
      <c r="F430" s="410">
        <v>44547</v>
      </c>
      <c r="G430" s="405" t="s">
        <v>9281</v>
      </c>
      <c r="H430" s="405" t="s">
        <v>9282</v>
      </c>
      <c r="I430" s="405" t="s">
        <v>9283</v>
      </c>
      <c r="J430" s="405">
        <v>0.32385700000000001</v>
      </c>
      <c r="K430" s="405">
        <v>32.299413000000001</v>
      </c>
      <c r="L430" s="405" t="s">
        <v>314</v>
      </c>
      <c r="M430" s="405" t="s">
        <v>321</v>
      </c>
      <c r="N430" s="405" t="s">
        <v>9284</v>
      </c>
      <c r="O430" s="405" t="s">
        <v>5509</v>
      </c>
      <c r="P430" s="405" t="s">
        <v>505</v>
      </c>
      <c r="Q430" s="411">
        <v>9</v>
      </c>
      <c r="R430" s="405" t="s">
        <v>4176</v>
      </c>
      <c r="S430" s="405" t="s">
        <v>27053</v>
      </c>
      <c r="T430" s="405" t="s">
        <v>884</v>
      </c>
      <c r="U430" s="405" t="s">
        <v>319</v>
      </c>
    </row>
    <row r="431" spans="1:21" x14ac:dyDescent="0.25">
      <c r="A431" s="405" t="s">
        <v>310</v>
      </c>
      <c r="B431" s="405" t="s">
        <v>17879</v>
      </c>
      <c r="C431" s="405" t="s">
        <v>327</v>
      </c>
      <c r="D431" s="405"/>
      <c r="E431" s="410">
        <v>44527</v>
      </c>
      <c r="F431" s="410">
        <v>44557</v>
      </c>
      <c r="G431" s="405" t="s">
        <v>17880</v>
      </c>
      <c r="H431" s="405">
        <v>772417566</v>
      </c>
      <c r="I431" s="405" t="s">
        <v>17881</v>
      </c>
      <c r="J431" s="405">
        <v>2.0048499999999998</v>
      </c>
      <c r="K431" s="405">
        <v>33.621232999999997</v>
      </c>
      <c r="L431" s="405" t="s">
        <v>6866</v>
      </c>
      <c r="M431" s="405" t="s">
        <v>10495</v>
      </c>
      <c r="N431" s="405" t="s">
        <v>10495</v>
      </c>
      <c r="O431" s="405" t="s">
        <v>17882</v>
      </c>
      <c r="P431" s="405" t="s">
        <v>17883</v>
      </c>
      <c r="Q431" s="411">
        <v>9</v>
      </c>
      <c r="R431" s="405" t="s">
        <v>5655</v>
      </c>
      <c r="S431" s="405" t="s">
        <v>27373</v>
      </c>
      <c r="T431" s="405" t="s">
        <v>32102</v>
      </c>
      <c r="U431" s="405" t="s">
        <v>319</v>
      </c>
    </row>
    <row r="432" spans="1:21" x14ac:dyDescent="0.25">
      <c r="A432" s="405" t="s">
        <v>310</v>
      </c>
      <c r="B432" s="405" t="s">
        <v>17884</v>
      </c>
      <c r="C432" s="405" t="s">
        <v>327</v>
      </c>
      <c r="D432" s="405"/>
      <c r="E432" s="410">
        <v>44527</v>
      </c>
      <c r="F432" s="410">
        <v>44544</v>
      </c>
      <c r="G432" s="405" t="s">
        <v>17885</v>
      </c>
      <c r="H432" s="405">
        <v>772829236</v>
      </c>
      <c r="I432" s="405">
        <v>776636788</v>
      </c>
      <c r="J432" s="405">
        <v>1.3919870000000001</v>
      </c>
      <c r="K432" s="405">
        <v>34.459057999999999</v>
      </c>
      <c r="L432" s="405" t="s">
        <v>6866</v>
      </c>
      <c r="M432" s="405" t="s">
        <v>9685</v>
      </c>
      <c r="N432" s="405" t="s">
        <v>9685</v>
      </c>
      <c r="O432" s="405" t="s">
        <v>13002</v>
      </c>
      <c r="P432" s="405" t="s">
        <v>17886</v>
      </c>
      <c r="Q432" s="411">
        <v>6</v>
      </c>
      <c r="R432" s="405" t="s">
        <v>17977</v>
      </c>
      <c r="S432" s="405" t="s">
        <v>27357</v>
      </c>
      <c r="T432" s="405" t="s">
        <v>884</v>
      </c>
      <c r="U432" s="405" t="s">
        <v>319</v>
      </c>
    </row>
    <row r="433" spans="1:21" x14ac:dyDescent="0.25">
      <c r="A433" s="405" t="s">
        <v>310</v>
      </c>
      <c r="B433" s="405" t="s">
        <v>17900</v>
      </c>
      <c r="C433" s="405" t="s">
        <v>327</v>
      </c>
      <c r="D433" s="405"/>
      <c r="E433" s="410">
        <v>44527</v>
      </c>
      <c r="F433" s="410">
        <v>44539</v>
      </c>
      <c r="G433" s="405" t="s">
        <v>17901</v>
      </c>
      <c r="H433" s="405" t="s">
        <v>17902</v>
      </c>
      <c r="I433" s="405" t="s">
        <v>17903</v>
      </c>
      <c r="J433" s="405">
        <v>1.38822</v>
      </c>
      <c r="K433" s="405">
        <v>34.464844999999997</v>
      </c>
      <c r="L433" s="405" t="s">
        <v>6866</v>
      </c>
      <c r="M433" s="405" t="s">
        <v>9685</v>
      </c>
      <c r="N433" s="405" t="s">
        <v>9686</v>
      </c>
      <c r="O433" s="405" t="s">
        <v>15669</v>
      </c>
      <c r="P433" s="405" t="s">
        <v>16826</v>
      </c>
      <c r="Q433" s="411">
        <v>4</v>
      </c>
      <c r="R433" s="405" t="s">
        <v>17977</v>
      </c>
      <c r="S433" s="405" t="s">
        <v>27056</v>
      </c>
      <c r="T433" s="405" t="s">
        <v>884</v>
      </c>
      <c r="U433" s="405" t="s">
        <v>319</v>
      </c>
    </row>
    <row r="434" spans="1:21" x14ac:dyDescent="0.25">
      <c r="A434" s="405" t="s">
        <v>310</v>
      </c>
      <c r="B434" s="405" t="s">
        <v>9285</v>
      </c>
      <c r="C434" s="405" t="s">
        <v>327</v>
      </c>
      <c r="D434" s="405"/>
      <c r="E434" s="410">
        <v>44525</v>
      </c>
      <c r="F434" s="410">
        <v>44540</v>
      </c>
      <c r="G434" s="405" t="s">
        <v>9286</v>
      </c>
      <c r="H434" s="405">
        <v>772369126</v>
      </c>
      <c r="I434" s="405" t="s">
        <v>2913</v>
      </c>
      <c r="J434" s="405">
        <v>0.520675</v>
      </c>
      <c r="K434" s="405">
        <v>32.274303000000003</v>
      </c>
      <c r="L434" s="405" t="s">
        <v>314</v>
      </c>
      <c r="M434" s="405" t="s">
        <v>361</v>
      </c>
      <c r="N434" s="405" t="s">
        <v>374</v>
      </c>
      <c r="O434" s="405" t="s">
        <v>662</v>
      </c>
      <c r="P434" s="405" t="s">
        <v>6039</v>
      </c>
      <c r="Q434" s="411">
        <v>7</v>
      </c>
      <c r="R434" s="405" t="s">
        <v>32101</v>
      </c>
      <c r="S434" s="405" t="s">
        <v>27055</v>
      </c>
      <c r="T434" s="405" t="s">
        <v>884</v>
      </c>
      <c r="U434" s="405" t="s">
        <v>319</v>
      </c>
    </row>
    <row r="435" spans="1:21" x14ac:dyDescent="0.25">
      <c r="A435" s="405" t="s">
        <v>310</v>
      </c>
      <c r="B435" s="405" t="s">
        <v>9187</v>
      </c>
      <c r="C435" s="405" t="s">
        <v>327</v>
      </c>
      <c r="D435" s="405"/>
      <c r="E435" s="410">
        <v>44523</v>
      </c>
      <c r="F435" s="410">
        <v>44529</v>
      </c>
      <c r="G435" s="405" t="s">
        <v>9188</v>
      </c>
      <c r="H435" s="405" t="s">
        <v>9189</v>
      </c>
      <c r="I435" s="405" t="s">
        <v>2913</v>
      </c>
      <c r="J435" s="405">
        <v>0.41816500000000001</v>
      </c>
      <c r="K435" s="405">
        <v>32.654634999999999</v>
      </c>
      <c r="L435" s="405" t="s">
        <v>314</v>
      </c>
      <c r="M435" s="405" t="s">
        <v>361</v>
      </c>
      <c r="N435" s="405" t="s">
        <v>5924</v>
      </c>
      <c r="O435" s="405" t="s">
        <v>363</v>
      </c>
      <c r="P435" s="405" t="s">
        <v>4594</v>
      </c>
      <c r="Q435" s="411">
        <v>6</v>
      </c>
      <c r="R435" s="405" t="s">
        <v>32101</v>
      </c>
      <c r="S435" s="405" t="s">
        <v>27068</v>
      </c>
      <c r="T435" s="405" t="s">
        <v>32102</v>
      </c>
      <c r="U435" s="405" t="s">
        <v>319</v>
      </c>
    </row>
    <row r="436" spans="1:21" x14ac:dyDescent="0.25">
      <c r="A436" s="405" t="s">
        <v>310</v>
      </c>
      <c r="B436" s="405" t="s">
        <v>17856</v>
      </c>
      <c r="C436" s="405" t="s">
        <v>327</v>
      </c>
      <c r="D436" s="405"/>
      <c r="E436" s="410">
        <v>44523</v>
      </c>
      <c r="F436" s="410">
        <v>44529</v>
      </c>
      <c r="G436" s="405" t="s">
        <v>17857</v>
      </c>
      <c r="H436" s="405" t="s">
        <v>17858</v>
      </c>
      <c r="I436" s="405" t="s">
        <v>17859</v>
      </c>
      <c r="J436" s="405">
        <v>1.38554</v>
      </c>
      <c r="K436" s="405">
        <v>34.468572000000002</v>
      </c>
      <c r="L436" s="405" t="s">
        <v>6866</v>
      </c>
      <c r="M436" s="405" t="s">
        <v>9685</v>
      </c>
      <c r="N436" s="405" t="s">
        <v>9880</v>
      </c>
      <c r="O436" s="405" t="s">
        <v>4327</v>
      </c>
      <c r="P436" s="405" t="s">
        <v>17851</v>
      </c>
      <c r="Q436" s="411">
        <v>4</v>
      </c>
      <c r="R436" s="405" t="s">
        <v>17977</v>
      </c>
      <c r="S436" s="405" t="s">
        <v>27072</v>
      </c>
      <c r="T436" s="405" t="s">
        <v>884</v>
      </c>
      <c r="U436" s="405" t="s">
        <v>319</v>
      </c>
    </row>
    <row r="437" spans="1:21" x14ac:dyDescent="0.25">
      <c r="A437" s="405" t="s">
        <v>310</v>
      </c>
      <c r="B437" s="405" t="s">
        <v>9256</v>
      </c>
      <c r="C437" s="405" t="s">
        <v>327</v>
      </c>
      <c r="D437" s="405"/>
      <c r="E437" s="410">
        <v>44520</v>
      </c>
      <c r="F437" s="410">
        <v>44534</v>
      </c>
      <c r="G437" s="405" t="s">
        <v>9257</v>
      </c>
      <c r="H437" s="405">
        <v>750985353</v>
      </c>
      <c r="I437" s="405" t="s">
        <v>9258</v>
      </c>
      <c r="J437" s="405">
        <v>0.20877000000000001</v>
      </c>
      <c r="K437" s="405">
        <v>32.342526999999997</v>
      </c>
      <c r="L437" s="405" t="s">
        <v>314</v>
      </c>
      <c r="M437" s="405" t="s">
        <v>321</v>
      </c>
      <c r="N437" s="405" t="s">
        <v>2472</v>
      </c>
      <c r="O437" s="405" t="s">
        <v>1886</v>
      </c>
      <c r="P437" s="405" t="s">
        <v>9259</v>
      </c>
      <c r="Q437" s="411">
        <v>9</v>
      </c>
      <c r="R437" s="405" t="s">
        <v>32101</v>
      </c>
      <c r="S437" s="405" t="s">
        <v>27275</v>
      </c>
      <c r="T437" s="405" t="s">
        <v>32102</v>
      </c>
      <c r="U437" s="405" t="s">
        <v>319</v>
      </c>
    </row>
    <row r="438" spans="1:21" x14ac:dyDescent="0.25">
      <c r="A438" s="405" t="s">
        <v>310</v>
      </c>
      <c r="B438" s="405" t="s">
        <v>9253</v>
      </c>
      <c r="C438" s="405" t="s">
        <v>327</v>
      </c>
      <c r="D438" s="405"/>
      <c r="E438" s="410">
        <v>44519</v>
      </c>
      <c r="F438" s="410">
        <v>44535</v>
      </c>
      <c r="G438" s="405" t="s">
        <v>9254</v>
      </c>
      <c r="H438" s="405">
        <v>752967117</v>
      </c>
      <c r="I438" s="405" t="s">
        <v>2913</v>
      </c>
      <c r="J438" s="405">
        <v>0.16845199999999999</v>
      </c>
      <c r="K438" s="405">
        <v>32.472667999999999</v>
      </c>
      <c r="L438" s="405" t="s">
        <v>314</v>
      </c>
      <c r="M438" s="405" t="s">
        <v>361</v>
      </c>
      <c r="N438" s="405" t="s">
        <v>2496</v>
      </c>
      <c r="O438" s="405" t="s">
        <v>4689</v>
      </c>
      <c r="P438" s="405" t="s">
        <v>9255</v>
      </c>
      <c r="Q438" s="411">
        <v>6</v>
      </c>
      <c r="R438" s="405" t="s">
        <v>32101</v>
      </c>
      <c r="S438" s="405" t="s">
        <v>27243</v>
      </c>
      <c r="T438" s="405" t="s">
        <v>32102</v>
      </c>
      <c r="U438" s="405" t="s">
        <v>319</v>
      </c>
    </row>
    <row r="439" spans="1:21" x14ac:dyDescent="0.25">
      <c r="A439" s="405" t="s">
        <v>310</v>
      </c>
      <c r="B439" s="405" t="s">
        <v>17828</v>
      </c>
      <c r="C439" s="405" t="s">
        <v>327</v>
      </c>
      <c r="D439" s="405"/>
      <c r="E439" s="410">
        <v>44518</v>
      </c>
      <c r="F439" s="410">
        <v>44529</v>
      </c>
      <c r="G439" s="405" t="s">
        <v>17829</v>
      </c>
      <c r="H439" s="405" t="s">
        <v>17830</v>
      </c>
      <c r="I439" s="405" t="s">
        <v>17831</v>
      </c>
      <c r="J439" s="405">
        <v>1.3914979999999999</v>
      </c>
      <c r="K439" s="405">
        <v>34.466762000000003</v>
      </c>
      <c r="L439" s="405" t="s">
        <v>6866</v>
      </c>
      <c r="M439" s="405" t="s">
        <v>9685</v>
      </c>
      <c r="N439" s="405" t="s">
        <v>17832</v>
      </c>
      <c r="O439" s="405" t="s">
        <v>17833</v>
      </c>
      <c r="P439" s="405" t="s">
        <v>17823</v>
      </c>
      <c r="Q439" s="411">
        <v>4</v>
      </c>
      <c r="R439" s="405" t="s">
        <v>17977</v>
      </c>
      <c r="S439" s="405" t="s">
        <v>27056</v>
      </c>
      <c r="T439" s="405" t="s">
        <v>884</v>
      </c>
      <c r="U439" s="405" t="s">
        <v>319</v>
      </c>
    </row>
    <row r="440" spans="1:21" x14ac:dyDescent="0.25">
      <c r="A440" s="405" t="s">
        <v>310</v>
      </c>
      <c r="B440" s="405" t="s">
        <v>17848</v>
      </c>
      <c r="C440" s="405" t="s">
        <v>327</v>
      </c>
      <c r="D440" s="405"/>
      <c r="E440" s="410">
        <v>44518</v>
      </c>
      <c r="F440" s="410">
        <v>44529</v>
      </c>
      <c r="G440" s="405" t="s">
        <v>17849</v>
      </c>
      <c r="H440" s="405" t="s">
        <v>17850</v>
      </c>
      <c r="I440" s="405" t="s">
        <v>2913</v>
      </c>
      <c r="J440" s="405">
        <v>1.3874930000000001</v>
      </c>
      <c r="K440" s="405">
        <v>34.471449999999997</v>
      </c>
      <c r="L440" s="405" t="s">
        <v>6866</v>
      </c>
      <c r="M440" s="405" t="s">
        <v>9685</v>
      </c>
      <c r="N440" s="405" t="s">
        <v>9880</v>
      </c>
      <c r="O440" s="405" t="s">
        <v>2958</v>
      </c>
      <c r="P440" s="405" t="s">
        <v>17851</v>
      </c>
      <c r="Q440" s="411">
        <v>4</v>
      </c>
      <c r="R440" s="405" t="s">
        <v>17977</v>
      </c>
      <c r="S440" s="405" t="s">
        <v>27289</v>
      </c>
      <c r="T440" s="405" t="s">
        <v>884</v>
      </c>
      <c r="U440" s="405" t="s">
        <v>319</v>
      </c>
    </row>
    <row r="441" spans="1:21" x14ac:dyDescent="0.25">
      <c r="A441" s="405" t="s">
        <v>310</v>
      </c>
      <c r="B441" s="405" t="s">
        <v>24415</v>
      </c>
      <c r="C441" s="405" t="s">
        <v>327</v>
      </c>
      <c r="D441" s="405"/>
      <c r="E441" s="410">
        <v>43298</v>
      </c>
      <c r="F441" s="410">
        <v>43313</v>
      </c>
      <c r="G441" s="405" t="s">
        <v>24416</v>
      </c>
      <c r="H441" s="405">
        <v>772963856</v>
      </c>
      <c r="I441" s="405">
        <v>700579204</v>
      </c>
      <c r="J441" s="405" t="s">
        <v>24417</v>
      </c>
      <c r="K441" s="405">
        <v>30.135235000000002</v>
      </c>
      <c r="L441" s="405" t="s">
        <v>590</v>
      </c>
      <c r="M441" s="405" t="s">
        <v>19625</v>
      </c>
      <c r="N441" s="405" t="s">
        <v>19978</v>
      </c>
      <c r="O441" s="405" t="s">
        <v>19979</v>
      </c>
      <c r="P441" s="405" t="s">
        <v>24418</v>
      </c>
      <c r="Q441" s="411">
        <v>30</v>
      </c>
      <c r="R441" s="405" t="s">
        <v>5858</v>
      </c>
      <c r="S441" s="405" t="s">
        <v>27132</v>
      </c>
      <c r="T441" s="405" t="s">
        <v>884</v>
      </c>
      <c r="U441" s="405" t="s">
        <v>319</v>
      </c>
    </row>
    <row r="442" spans="1:21" x14ac:dyDescent="0.25">
      <c r="A442" s="405" t="s">
        <v>310</v>
      </c>
      <c r="B442" s="405" t="s">
        <v>9222</v>
      </c>
      <c r="C442" s="405" t="s">
        <v>327</v>
      </c>
      <c r="D442" s="405"/>
      <c r="E442" s="410">
        <v>44516</v>
      </c>
      <c r="F442" s="410">
        <v>44528</v>
      </c>
      <c r="G442" s="405" t="s">
        <v>9223</v>
      </c>
      <c r="H442" s="405" t="s">
        <v>9224</v>
      </c>
      <c r="I442" s="405" t="s">
        <v>9225</v>
      </c>
      <c r="J442" s="405">
        <v>-0.31333</v>
      </c>
      <c r="K442" s="405">
        <v>31.739377999999999</v>
      </c>
      <c r="L442" s="405" t="s">
        <v>314</v>
      </c>
      <c r="M442" s="405" t="s">
        <v>382</v>
      </c>
      <c r="N442" s="405" t="s">
        <v>9226</v>
      </c>
      <c r="O442" s="405" t="s">
        <v>894</v>
      </c>
      <c r="P442" s="405" t="s">
        <v>411</v>
      </c>
      <c r="Q442" s="411">
        <v>13</v>
      </c>
      <c r="R442" s="405" t="s">
        <v>402</v>
      </c>
      <c r="S442" s="405" t="s">
        <v>27265</v>
      </c>
      <c r="T442" s="405" t="s">
        <v>32102</v>
      </c>
      <c r="U442" s="405" t="s">
        <v>6890</v>
      </c>
    </row>
    <row r="443" spans="1:21" x14ac:dyDescent="0.25">
      <c r="A443" s="405" t="s">
        <v>310</v>
      </c>
      <c r="B443" s="405" t="s">
        <v>7040</v>
      </c>
      <c r="C443" s="405" t="s">
        <v>327</v>
      </c>
      <c r="D443" s="405"/>
      <c r="E443" s="410">
        <v>43358</v>
      </c>
      <c r="F443" s="410">
        <v>43373</v>
      </c>
      <c r="G443" s="405" t="s">
        <v>7041</v>
      </c>
      <c r="H443" s="405">
        <v>712265884</v>
      </c>
      <c r="I443" s="405"/>
      <c r="J443" s="405">
        <v>1.1054600000000001</v>
      </c>
      <c r="K443" s="405">
        <v>32.860126999999999</v>
      </c>
      <c r="L443" s="405" t="s">
        <v>314</v>
      </c>
      <c r="M443" s="405" t="s">
        <v>502</v>
      </c>
      <c r="N443" s="405" t="s">
        <v>428</v>
      </c>
      <c r="O443" s="405" t="s">
        <v>428</v>
      </c>
      <c r="P443" s="405" t="s">
        <v>7042</v>
      </c>
      <c r="Q443" s="411">
        <v>40</v>
      </c>
      <c r="R443" s="405" t="s">
        <v>5903</v>
      </c>
      <c r="S443" s="405" t="s">
        <v>27153</v>
      </c>
      <c r="T443" s="405" t="s">
        <v>884</v>
      </c>
      <c r="U443" s="405" t="s">
        <v>319</v>
      </c>
    </row>
    <row r="444" spans="1:21" x14ac:dyDescent="0.25">
      <c r="A444" s="405" t="s">
        <v>310</v>
      </c>
      <c r="B444" s="405" t="s">
        <v>7074</v>
      </c>
      <c r="C444" s="405" t="s">
        <v>327</v>
      </c>
      <c r="D444" s="405"/>
      <c r="E444" s="410">
        <v>43317</v>
      </c>
      <c r="F444" s="410">
        <v>43402</v>
      </c>
      <c r="G444" s="405" t="s">
        <v>7075</v>
      </c>
      <c r="H444" s="405">
        <v>770593503</v>
      </c>
      <c r="I444" s="405">
        <v>754356338</v>
      </c>
      <c r="J444" s="405">
        <v>1.4120999999999999</v>
      </c>
      <c r="K444" s="405">
        <v>31.414000000000001</v>
      </c>
      <c r="L444" s="405" t="s">
        <v>314</v>
      </c>
      <c r="M444" s="405" t="s">
        <v>959</v>
      </c>
      <c r="N444" s="405" t="s">
        <v>7076</v>
      </c>
      <c r="O444" s="405" t="s">
        <v>4032</v>
      </c>
      <c r="P444" s="405" t="s">
        <v>5240</v>
      </c>
      <c r="Q444" s="411">
        <v>45</v>
      </c>
      <c r="R444" s="405" t="s">
        <v>6397</v>
      </c>
      <c r="S444" s="405" t="s">
        <v>22880</v>
      </c>
      <c r="T444" s="405" t="s">
        <v>884</v>
      </c>
      <c r="U444" s="405" t="s">
        <v>319</v>
      </c>
    </row>
    <row r="445" spans="1:21" x14ac:dyDescent="0.25">
      <c r="A445" s="405" t="s">
        <v>310</v>
      </c>
      <c r="B445" s="405" t="s">
        <v>17860</v>
      </c>
      <c r="C445" s="405" t="s">
        <v>327</v>
      </c>
      <c r="D445" s="405"/>
      <c r="E445" s="410">
        <v>44513</v>
      </c>
      <c r="F445" s="410">
        <v>44519</v>
      </c>
      <c r="G445" s="405" t="s">
        <v>17861</v>
      </c>
      <c r="H445" s="405" t="s">
        <v>17862</v>
      </c>
      <c r="I445" s="405" t="s">
        <v>17863</v>
      </c>
      <c r="J445" s="405">
        <v>1.3869849999999999</v>
      </c>
      <c r="K445" s="405">
        <v>34.465184999999998</v>
      </c>
      <c r="L445" s="405" t="s">
        <v>6866</v>
      </c>
      <c r="M445" s="405" t="s">
        <v>9685</v>
      </c>
      <c r="N445" s="405" t="s">
        <v>15669</v>
      </c>
      <c r="O445" s="405" t="s">
        <v>15669</v>
      </c>
      <c r="P445" s="405" t="s">
        <v>17864</v>
      </c>
      <c r="Q445" s="411">
        <v>4</v>
      </c>
      <c r="R445" s="405" t="s">
        <v>17977</v>
      </c>
      <c r="S445" s="405" t="s">
        <v>27072</v>
      </c>
      <c r="T445" s="405" t="s">
        <v>884</v>
      </c>
      <c r="U445" s="405" t="s">
        <v>319</v>
      </c>
    </row>
    <row r="446" spans="1:21" x14ac:dyDescent="0.25">
      <c r="A446" s="405" t="s">
        <v>310</v>
      </c>
      <c r="B446" s="405" t="s">
        <v>9233</v>
      </c>
      <c r="C446" s="405" t="s">
        <v>327</v>
      </c>
      <c r="D446" s="405"/>
      <c r="E446" s="410">
        <v>44512</v>
      </c>
      <c r="F446" s="410">
        <v>44525</v>
      </c>
      <c r="G446" s="405" t="s">
        <v>9234</v>
      </c>
      <c r="H446" s="405" t="s">
        <v>9235</v>
      </c>
      <c r="I446" s="405" t="s">
        <v>2913</v>
      </c>
      <c r="J446" s="405">
        <v>0.28394799999999998</v>
      </c>
      <c r="K446" s="405">
        <v>32.487479999999998</v>
      </c>
      <c r="L446" s="405" t="s">
        <v>314</v>
      </c>
      <c r="M446" s="405" t="s">
        <v>361</v>
      </c>
      <c r="N446" s="405" t="s">
        <v>374</v>
      </c>
      <c r="O446" s="405" t="s">
        <v>375</v>
      </c>
      <c r="P446" s="405" t="s">
        <v>6307</v>
      </c>
      <c r="Q446" s="411">
        <v>6</v>
      </c>
      <c r="R446" s="405" t="s">
        <v>32101</v>
      </c>
      <c r="S446" s="405" t="s">
        <v>27055</v>
      </c>
      <c r="T446" s="405" t="s">
        <v>884</v>
      </c>
      <c r="U446" s="405" t="s">
        <v>319</v>
      </c>
    </row>
    <row r="447" spans="1:21" x14ac:dyDescent="0.25">
      <c r="A447" s="405" t="s">
        <v>310</v>
      </c>
      <c r="B447" s="405" t="s">
        <v>9239</v>
      </c>
      <c r="C447" s="405" t="s">
        <v>327</v>
      </c>
      <c r="D447" s="405"/>
      <c r="E447" s="410">
        <v>44510</v>
      </c>
      <c r="F447" s="410">
        <v>44533</v>
      </c>
      <c r="G447" s="405" t="s">
        <v>9240</v>
      </c>
      <c r="H447" s="405">
        <v>777791278</v>
      </c>
      <c r="I447" s="405" t="s">
        <v>2913</v>
      </c>
      <c r="J447" s="405">
        <v>0.39316200000000001</v>
      </c>
      <c r="K447" s="405">
        <v>32.747267000000001</v>
      </c>
      <c r="L447" s="405" t="s">
        <v>314</v>
      </c>
      <c r="M447" s="405" t="s">
        <v>329</v>
      </c>
      <c r="N447" s="405" t="s">
        <v>329</v>
      </c>
      <c r="O447" s="405" t="s">
        <v>546</v>
      </c>
      <c r="P447" s="405" t="s">
        <v>9241</v>
      </c>
      <c r="Q447" s="411">
        <v>6</v>
      </c>
      <c r="R447" s="405" t="s">
        <v>9242</v>
      </c>
      <c r="S447" s="405" t="s">
        <v>27193</v>
      </c>
      <c r="T447" s="405" t="s">
        <v>884</v>
      </c>
      <c r="U447" s="405" t="s">
        <v>319</v>
      </c>
    </row>
    <row r="448" spans="1:21" x14ac:dyDescent="0.25">
      <c r="A448" s="405" t="s">
        <v>310</v>
      </c>
      <c r="B448" s="405" t="s">
        <v>17912</v>
      </c>
      <c r="C448" s="405" t="s">
        <v>327</v>
      </c>
      <c r="D448" s="405"/>
      <c r="E448" s="410">
        <v>44510</v>
      </c>
      <c r="F448" s="410">
        <v>44579</v>
      </c>
      <c r="G448" s="405" t="s">
        <v>17913</v>
      </c>
      <c r="H448" s="405" t="s">
        <v>17914</v>
      </c>
      <c r="I448" s="405" t="s">
        <v>2913</v>
      </c>
      <c r="J448" s="405">
        <v>1.4153180000000001</v>
      </c>
      <c r="K448" s="405">
        <v>34.586908000000001</v>
      </c>
      <c r="L448" s="405" t="s">
        <v>6866</v>
      </c>
      <c r="M448" s="405" t="s">
        <v>9705</v>
      </c>
      <c r="N448" s="405" t="s">
        <v>9705</v>
      </c>
      <c r="O448" s="405" t="s">
        <v>10311</v>
      </c>
      <c r="P448" s="405" t="s">
        <v>17878</v>
      </c>
      <c r="Q448" s="411">
        <v>4</v>
      </c>
      <c r="R448" s="405" t="s">
        <v>17977</v>
      </c>
      <c r="S448" s="405" t="s">
        <v>27357</v>
      </c>
      <c r="T448" s="405" t="s">
        <v>884</v>
      </c>
      <c r="U448" s="405" t="s">
        <v>319</v>
      </c>
    </row>
    <row r="449" spans="1:21" x14ac:dyDescent="0.25">
      <c r="A449" s="405" t="s">
        <v>310</v>
      </c>
      <c r="B449" s="405" t="s">
        <v>9179</v>
      </c>
      <c r="C449" s="405" t="s">
        <v>327</v>
      </c>
      <c r="D449" s="405"/>
      <c r="E449" s="410">
        <v>44509</v>
      </c>
      <c r="F449" s="410">
        <v>44527</v>
      </c>
      <c r="G449" s="405" t="s">
        <v>9180</v>
      </c>
      <c r="H449" s="405">
        <v>774001917</v>
      </c>
      <c r="I449" s="405" t="s">
        <v>9181</v>
      </c>
      <c r="J449" s="405">
        <v>0.368645</v>
      </c>
      <c r="K449" s="405">
        <v>32.542385000000003</v>
      </c>
      <c r="L449" s="405" t="s">
        <v>314</v>
      </c>
      <c r="M449" s="405" t="s">
        <v>361</v>
      </c>
      <c r="N449" s="405" t="s">
        <v>374</v>
      </c>
      <c r="O449" s="405" t="s">
        <v>469</v>
      </c>
      <c r="P449" s="405" t="s">
        <v>9182</v>
      </c>
      <c r="Q449" s="411">
        <v>9</v>
      </c>
      <c r="R449" s="405" t="s">
        <v>32101</v>
      </c>
      <c r="S449" s="405" t="s">
        <v>27041</v>
      </c>
      <c r="T449" s="405" t="s">
        <v>884</v>
      </c>
      <c r="U449" s="405" t="s">
        <v>319</v>
      </c>
    </row>
    <row r="450" spans="1:21" x14ac:dyDescent="0.25">
      <c r="A450" s="405" t="s">
        <v>310</v>
      </c>
      <c r="B450" s="405" t="s">
        <v>17820</v>
      </c>
      <c r="C450" s="405" t="s">
        <v>327</v>
      </c>
      <c r="D450" s="405"/>
      <c r="E450" s="410">
        <v>44508</v>
      </c>
      <c r="F450" s="410">
        <v>44525</v>
      </c>
      <c r="G450" s="405" t="s">
        <v>17821</v>
      </c>
      <c r="H450" s="405" t="s">
        <v>17822</v>
      </c>
      <c r="I450" s="405" t="s">
        <v>2913</v>
      </c>
      <c r="J450" s="405">
        <v>1.3919079999999999</v>
      </c>
      <c r="K450" s="405">
        <v>34.465612</v>
      </c>
      <c r="L450" s="405" t="s">
        <v>6866</v>
      </c>
      <c r="M450" s="405" t="s">
        <v>9685</v>
      </c>
      <c r="N450" s="405" t="s">
        <v>11342</v>
      </c>
      <c r="O450" s="405" t="s">
        <v>15669</v>
      </c>
      <c r="P450" s="405" t="s">
        <v>17823</v>
      </c>
      <c r="Q450" s="411">
        <v>4</v>
      </c>
      <c r="R450" s="405" t="s">
        <v>17977</v>
      </c>
      <c r="S450" s="405" t="s">
        <v>27056</v>
      </c>
      <c r="T450" s="405" t="s">
        <v>884</v>
      </c>
      <c r="U450" s="405" t="s">
        <v>319</v>
      </c>
    </row>
    <row r="451" spans="1:21" x14ac:dyDescent="0.25">
      <c r="A451" s="405" t="s">
        <v>310</v>
      </c>
      <c r="B451" s="405" t="s">
        <v>17904</v>
      </c>
      <c r="C451" s="405" t="s">
        <v>327</v>
      </c>
      <c r="D451" s="405"/>
      <c r="E451" s="410">
        <v>44503</v>
      </c>
      <c r="F451" s="410">
        <v>44531</v>
      </c>
      <c r="G451" s="405" t="s">
        <v>17905</v>
      </c>
      <c r="H451" s="405" t="s">
        <v>17906</v>
      </c>
      <c r="I451" s="405" t="s">
        <v>17907</v>
      </c>
      <c r="J451" s="405">
        <v>1.391167</v>
      </c>
      <c r="K451" s="405">
        <v>34.464511999999999</v>
      </c>
      <c r="L451" s="405" t="s">
        <v>6866</v>
      </c>
      <c r="M451" s="405" t="s">
        <v>9685</v>
      </c>
      <c r="N451" s="405" t="s">
        <v>9880</v>
      </c>
      <c r="O451" s="405" t="s">
        <v>15669</v>
      </c>
      <c r="P451" s="405" t="s">
        <v>17823</v>
      </c>
      <c r="Q451" s="411">
        <v>4</v>
      </c>
      <c r="R451" s="405" t="s">
        <v>17977</v>
      </c>
      <c r="S451" s="405" t="s">
        <v>27056</v>
      </c>
      <c r="T451" s="405" t="s">
        <v>884</v>
      </c>
      <c r="U451" s="405" t="s">
        <v>319</v>
      </c>
    </row>
    <row r="452" spans="1:21" x14ac:dyDescent="0.25">
      <c r="A452" s="405" t="s">
        <v>310</v>
      </c>
      <c r="B452" s="405" t="s">
        <v>9168</v>
      </c>
      <c r="C452" s="405" t="s">
        <v>327</v>
      </c>
      <c r="D452" s="405"/>
      <c r="E452" s="410">
        <v>44501</v>
      </c>
      <c r="F452" s="410">
        <v>44530</v>
      </c>
      <c r="G452" s="405" t="s">
        <v>9169</v>
      </c>
      <c r="H452" s="405" t="s">
        <v>9170</v>
      </c>
      <c r="I452" s="405" t="s">
        <v>2913</v>
      </c>
      <c r="J452" s="405">
        <v>0.31209599999999998</v>
      </c>
      <c r="K452" s="405">
        <v>32.527876999999997</v>
      </c>
      <c r="L452" s="405" t="s">
        <v>314</v>
      </c>
      <c r="M452" s="405" t="s">
        <v>992</v>
      </c>
      <c r="N452" s="405" t="s">
        <v>5924</v>
      </c>
      <c r="O452" s="405" t="s">
        <v>1340</v>
      </c>
      <c r="P452" s="405" t="s">
        <v>9171</v>
      </c>
      <c r="Q452" s="411">
        <v>6</v>
      </c>
      <c r="R452" s="405" t="s">
        <v>4176</v>
      </c>
      <c r="S452" s="405" t="s">
        <v>27286</v>
      </c>
      <c r="T452" s="405" t="s">
        <v>884</v>
      </c>
      <c r="U452" s="405" t="s">
        <v>319</v>
      </c>
    </row>
    <row r="453" spans="1:21" x14ac:dyDescent="0.25">
      <c r="A453" s="405" t="s">
        <v>310</v>
      </c>
      <c r="B453" s="405" t="s">
        <v>17808</v>
      </c>
      <c r="C453" s="405" t="s">
        <v>327</v>
      </c>
      <c r="D453" s="405"/>
      <c r="E453" s="410">
        <v>44501</v>
      </c>
      <c r="F453" s="410">
        <v>44508</v>
      </c>
      <c r="G453" s="405" t="s">
        <v>17809</v>
      </c>
      <c r="H453" s="405" t="s">
        <v>17810</v>
      </c>
      <c r="I453" s="405" t="s">
        <v>2913</v>
      </c>
      <c r="J453" s="405">
        <v>0.86436100000000005</v>
      </c>
      <c r="K453" s="405">
        <v>33.722296</v>
      </c>
      <c r="L453" s="405" t="s">
        <v>6866</v>
      </c>
      <c r="M453" s="405" t="s">
        <v>5345</v>
      </c>
      <c r="N453" s="405" t="s">
        <v>17811</v>
      </c>
      <c r="O453" s="405" t="s">
        <v>16389</v>
      </c>
      <c r="P453" s="405" t="s">
        <v>12075</v>
      </c>
      <c r="Q453" s="411">
        <v>6</v>
      </c>
      <c r="R453" s="405" t="s">
        <v>32164</v>
      </c>
      <c r="S453" s="405" t="s">
        <v>27054</v>
      </c>
      <c r="T453" s="405" t="s">
        <v>884</v>
      </c>
      <c r="U453" s="405" t="s">
        <v>319</v>
      </c>
    </row>
    <row r="454" spans="1:21" x14ac:dyDescent="0.25">
      <c r="A454" s="405" t="s">
        <v>310</v>
      </c>
      <c r="B454" s="405" t="s">
        <v>17896</v>
      </c>
      <c r="C454" s="405" t="s">
        <v>327</v>
      </c>
      <c r="D454" s="405"/>
      <c r="E454" s="410">
        <v>44501</v>
      </c>
      <c r="F454" s="410">
        <v>44533</v>
      </c>
      <c r="G454" s="405" t="s">
        <v>17897</v>
      </c>
      <c r="H454" s="405" t="s">
        <v>17898</v>
      </c>
      <c r="I454" s="405" t="s">
        <v>17899</v>
      </c>
      <c r="J454" s="405">
        <v>1.3895219999999999</v>
      </c>
      <c r="K454" s="405">
        <v>34.464987000000001</v>
      </c>
      <c r="L454" s="405" t="s">
        <v>6866</v>
      </c>
      <c r="M454" s="405" t="s">
        <v>9685</v>
      </c>
      <c r="N454" s="405" t="s">
        <v>9686</v>
      </c>
      <c r="O454" s="405" t="s">
        <v>15669</v>
      </c>
      <c r="P454" s="405" t="s">
        <v>16826</v>
      </c>
      <c r="Q454" s="411">
        <v>4</v>
      </c>
      <c r="R454" s="405" t="s">
        <v>17977</v>
      </c>
      <c r="S454" s="405" t="s">
        <v>27072</v>
      </c>
      <c r="T454" s="405" t="s">
        <v>884</v>
      </c>
      <c r="U454" s="405" t="s">
        <v>319</v>
      </c>
    </row>
    <row r="455" spans="1:21" x14ac:dyDescent="0.25">
      <c r="A455" s="405" t="s">
        <v>310</v>
      </c>
      <c r="B455" s="405" t="s">
        <v>9153</v>
      </c>
      <c r="C455" s="405" t="s">
        <v>327</v>
      </c>
      <c r="D455" s="405"/>
      <c r="E455" s="410">
        <v>44498</v>
      </c>
      <c r="F455" s="410">
        <v>44510</v>
      </c>
      <c r="G455" s="405" t="s">
        <v>9154</v>
      </c>
      <c r="H455" s="405" t="s">
        <v>9155</v>
      </c>
      <c r="I455" s="405" t="s">
        <v>2913</v>
      </c>
      <c r="J455" s="405">
        <v>0.26095699999999999</v>
      </c>
      <c r="K455" s="405">
        <v>32.608431000000003</v>
      </c>
      <c r="L455" s="405" t="s">
        <v>314</v>
      </c>
      <c r="M455" s="405" t="s">
        <v>992</v>
      </c>
      <c r="N455" s="405" t="s">
        <v>5924</v>
      </c>
      <c r="O455" s="405" t="s">
        <v>9156</v>
      </c>
      <c r="P455" s="405" t="s">
        <v>9157</v>
      </c>
      <c r="Q455" s="411">
        <v>6</v>
      </c>
      <c r="R455" s="405" t="s">
        <v>4176</v>
      </c>
      <c r="S455" s="405" t="s">
        <v>27286</v>
      </c>
      <c r="T455" s="405" t="s">
        <v>884</v>
      </c>
      <c r="U455" s="405" t="s">
        <v>319</v>
      </c>
    </row>
    <row r="456" spans="1:21" x14ac:dyDescent="0.25">
      <c r="A456" s="405" t="s">
        <v>310</v>
      </c>
      <c r="B456" s="405" t="s">
        <v>28536</v>
      </c>
      <c r="C456" s="405" t="s">
        <v>327</v>
      </c>
      <c r="D456" s="405"/>
      <c r="E456" s="410">
        <v>44498</v>
      </c>
      <c r="F456" s="410">
        <v>44529</v>
      </c>
      <c r="G456" s="405" t="s">
        <v>9194</v>
      </c>
      <c r="H456" s="405" t="s">
        <v>9195</v>
      </c>
      <c r="I456" s="405" t="s">
        <v>2913</v>
      </c>
      <c r="J456" s="405">
        <v>0.406837</v>
      </c>
      <c r="K456" s="405">
        <v>32.566378</v>
      </c>
      <c r="L456" s="405" t="s">
        <v>314</v>
      </c>
      <c r="M456" s="405" t="s">
        <v>361</v>
      </c>
      <c r="N456" s="405" t="s">
        <v>362</v>
      </c>
      <c r="O456" s="405" t="s">
        <v>9134</v>
      </c>
      <c r="P456" s="405" t="s">
        <v>1537</v>
      </c>
      <c r="Q456" s="411">
        <v>9</v>
      </c>
      <c r="R456" s="405" t="s">
        <v>5903</v>
      </c>
      <c r="S456" s="405" t="s">
        <v>27292</v>
      </c>
      <c r="T456" s="405" t="s">
        <v>884</v>
      </c>
      <c r="U456" s="405" t="s">
        <v>319</v>
      </c>
    </row>
    <row r="457" spans="1:21" x14ac:dyDescent="0.25">
      <c r="A457" s="405" t="s">
        <v>310</v>
      </c>
      <c r="B457" s="405" t="s">
        <v>9183</v>
      </c>
      <c r="C457" s="405" t="s">
        <v>327</v>
      </c>
      <c r="D457" s="405"/>
      <c r="E457" s="410">
        <v>44497</v>
      </c>
      <c r="F457" s="410">
        <v>44505</v>
      </c>
      <c r="G457" s="405" t="s">
        <v>9184</v>
      </c>
      <c r="H457" s="405" t="s">
        <v>9185</v>
      </c>
      <c r="I457" s="405" t="s">
        <v>2913</v>
      </c>
      <c r="J457" s="405">
        <v>0.42337000000000002</v>
      </c>
      <c r="K457" s="405">
        <v>32.409982999999997</v>
      </c>
      <c r="L457" s="405" t="s">
        <v>314</v>
      </c>
      <c r="M457" s="405" t="s">
        <v>361</v>
      </c>
      <c r="N457" s="405" t="s">
        <v>374</v>
      </c>
      <c r="O457" s="405" t="s">
        <v>9186</v>
      </c>
      <c r="P457" s="405" t="s">
        <v>6337</v>
      </c>
      <c r="Q457" s="411">
        <v>12</v>
      </c>
      <c r="R457" s="405" t="s">
        <v>32101</v>
      </c>
      <c r="S457" s="405" t="s">
        <v>27055</v>
      </c>
      <c r="T457" s="405" t="s">
        <v>884</v>
      </c>
      <c r="U457" s="405" t="s">
        <v>319</v>
      </c>
    </row>
    <row r="458" spans="1:21" x14ac:dyDescent="0.25">
      <c r="A458" s="405" t="s">
        <v>310</v>
      </c>
      <c r="B458" s="405" t="s">
        <v>9160</v>
      </c>
      <c r="C458" s="405" t="s">
        <v>327</v>
      </c>
      <c r="D458" s="405"/>
      <c r="E458" s="410">
        <v>44497</v>
      </c>
      <c r="F458" s="410">
        <v>44501</v>
      </c>
      <c r="G458" s="405" t="s">
        <v>9161</v>
      </c>
      <c r="H458" s="405" t="s">
        <v>9162</v>
      </c>
      <c r="I458" s="405" t="s">
        <v>9163</v>
      </c>
      <c r="J458" s="405">
        <v>0.365703</v>
      </c>
      <c r="K458" s="405">
        <v>32.616909999999997</v>
      </c>
      <c r="L458" s="405" t="s">
        <v>314</v>
      </c>
      <c r="M458" s="405" t="s">
        <v>992</v>
      </c>
      <c r="N458" s="405" t="s">
        <v>5924</v>
      </c>
      <c r="O458" s="405" t="s">
        <v>987</v>
      </c>
      <c r="P458" s="405" t="s">
        <v>9164</v>
      </c>
      <c r="Q458" s="411">
        <v>6</v>
      </c>
      <c r="R458" s="405" t="s">
        <v>4176</v>
      </c>
      <c r="S458" s="405" t="s">
        <v>27286</v>
      </c>
      <c r="T458" s="405" t="s">
        <v>32102</v>
      </c>
      <c r="U458" s="405" t="s">
        <v>319</v>
      </c>
    </row>
    <row r="459" spans="1:21" x14ac:dyDescent="0.25">
      <c r="A459" s="405" t="s">
        <v>310</v>
      </c>
      <c r="B459" s="405" t="s">
        <v>17783</v>
      </c>
      <c r="C459" s="405" t="s">
        <v>327</v>
      </c>
      <c r="D459" s="405"/>
      <c r="E459" s="410">
        <v>44497</v>
      </c>
      <c r="F459" s="410">
        <v>44528</v>
      </c>
      <c r="G459" s="405" t="s">
        <v>17784</v>
      </c>
      <c r="H459" s="405" t="s">
        <v>17785</v>
      </c>
      <c r="I459" s="405" t="s">
        <v>2913</v>
      </c>
      <c r="J459" s="405">
        <v>1.4753179999999999</v>
      </c>
      <c r="K459" s="405">
        <v>33.815767999999998</v>
      </c>
      <c r="L459" s="405" t="s">
        <v>6866</v>
      </c>
      <c r="M459" s="405" t="s">
        <v>10012</v>
      </c>
      <c r="N459" s="405" t="s">
        <v>10012</v>
      </c>
      <c r="O459" s="405" t="s">
        <v>10012</v>
      </c>
      <c r="P459" s="405" t="s">
        <v>17786</v>
      </c>
      <c r="Q459" s="411">
        <v>9</v>
      </c>
      <c r="R459" s="405" t="s">
        <v>5655</v>
      </c>
      <c r="S459" s="405" t="s">
        <v>27294</v>
      </c>
      <c r="T459" s="405" t="s">
        <v>32102</v>
      </c>
      <c r="U459" s="405" t="s">
        <v>6890</v>
      </c>
    </row>
    <row r="460" spans="1:21" x14ac:dyDescent="0.25">
      <c r="A460" s="405" t="s">
        <v>310</v>
      </c>
      <c r="B460" s="405" t="s">
        <v>9165</v>
      </c>
      <c r="C460" s="405" t="s">
        <v>327</v>
      </c>
      <c r="D460" s="405"/>
      <c r="E460" s="410">
        <v>44496</v>
      </c>
      <c r="F460" s="410">
        <v>44501</v>
      </c>
      <c r="G460" s="405" t="s">
        <v>9166</v>
      </c>
      <c r="H460" s="405" t="s">
        <v>9167</v>
      </c>
      <c r="I460" s="405" t="s">
        <v>2913</v>
      </c>
      <c r="J460" s="405">
        <v>0.35548800000000003</v>
      </c>
      <c r="K460" s="405">
        <v>32.566678000000003</v>
      </c>
      <c r="L460" s="405" t="s">
        <v>314</v>
      </c>
      <c r="M460" s="405" t="s">
        <v>992</v>
      </c>
      <c r="N460" s="405" t="s">
        <v>5924</v>
      </c>
      <c r="O460" s="405" t="s">
        <v>936</v>
      </c>
      <c r="P460" s="405" t="s">
        <v>7608</v>
      </c>
      <c r="Q460" s="411">
        <v>6</v>
      </c>
      <c r="R460" s="405" t="s">
        <v>4176</v>
      </c>
      <c r="S460" s="405" t="s">
        <v>27286</v>
      </c>
      <c r="T460" s="405" t="s">
        <v>884</v>
      </c>
      <c r="U460" s="405" t="s">
        <v>319</v>
      </c>
    </row>
    <row r="461" spans="1:21" x14ac:dyDescent="0.25">
      <c r="A461" s="405" t="s">
        <v>310</v>
      </c>
      <c r="B461" s="405" t="s">
        <v>9146</v>
      </c>
      <c r="C461" s="405" t="s">
        <v>327</v>
      </c>
      <c r="D461" s="405"/>
      <c r="E461" s="410">
        <v>44496</v>
      </c>
      <c r="F461" s="410">
        <v>44516</v>
      </c>
      <c r="G461" s="405" t="s">
        <v>9147</v>
      </c>
      <c r="H461" s="405">
        <v>706090689</v>
      </c>
      <c r="I461" s="405" t="s">
        <v>9148</v>
      </c>
      <c r="J461" s="405">
        <v>0.56170200000000003</v>
      </c>
      <c r="K461" s="405">
        <v>32.368257</v>
      </c>
      <c r="L461" s="405" t="s">
        <v>314</v>
      </c>
      <c r="M461" s="405" t="s">
        <v>361</v>
      </c>
      <c r="N461" s="405" t="s">
        <v>5838</v>
      </c>
      <c r="O461" s="405" t="s">
        <v>9149</v>
      </c>
      <c r="P461" s="405" t="s">
        <v>4036</v>
      </c>
      <c r="Q461" s="411">
        <v>9</v>
      </c>
      <c r="R461" s="405" t="s">
        <v>6798</v>
      </c>
      <c r="S461" s="405" t="s">
        <v>27049</v>
      </c>
      <c r="T461" s="405" t="s">
        <v>884</v>
      </c>
      <c r="U461" s="405" t="s">
        <v>319</v>
      </c>
    </row>
    <row r="462" spans="1:21" x14ac:dyDescent="0.25">
      <c r="A462" s="405" t="s">
        <v>310</v>
      </c>
      <c r="B462" s="405" t="s">
        <v>17869</v>
      </c>
      <c r="C462" s="405" t="s">
        <v>327</v>
      </c>
      <c r="D462" s="405"/>
      <c r="E462" s="410">
        <v>44496</v>
      </c>
      <c r="F462" s="410">
        <v>44526</v>
      </c>
      <c r="G462" s="405" t="s">
        <v>17870</v>
      </c>
      <c r="H462" s="405" t="s">
        <v>17871</v>
      </c>
      <c r="I462" s="405" t="s">
        <v>17872</v>
      </c>
      <c r="J462" s="405">
        <v>1.391535</v>
      </c>
      <c r="K462" s="405">
        <v>34.465220000000002</v>
      </c>
      <c r="L462" s="405" t="s">
        <v>6866</v>
      </c>
      <c r="M462" s="405" t="s">
        <v>9685</v>
      </c>
      <c r="N462" s="405" t="s">
        <v>9880</v>
      </c>
      <c r="O462" s="405" t="s">
        <v>17873</v>
      </c>
      <c r="P462" s="405" t="s">
        <v>17823</v>
      </c>
      <c r="Q462" s="411">
        <v>6</v>
      </c>
      <c r="R462" s="405" t="s">
        <v>17977</v>
      </c>
      <c r="S462" s="405" t="s">
        <v>27056</v>
      </c>
      <c r="T462" s="405" t="s">
        <v>884</v>
      </c>
      <c r="U462" s="405" t="s">
        <v>319</v>
      </c>
    </row>
    <row r="463" spans="1:21" x14ac:dyDescent="0.25">
      <c r="A463" s="405" t="s">
        <v>310</v>
      </c>
      <c r="B463" s="405" t="s">
        <v>17802</v>
      </c>
      <c r="C463" s="405" t="s">
        <v>327</v>
      </c>
      <c r="D463" s="405"/>
      <c r="E463" s="410">
        <v>44496</v>
      </c>
      <c r="F463" s="410">
        <v>44504</v>
      </c>
      <c r="G463" s="405" t="s">
        <v>17803</v>
      </c>
      <c r="H463" s="405" t="s">
        <v>17804</v>
      </c>
      <c r="I463" s="405" t="s">
        <v>17805</v>
      </c>
      <c r="J463" s="405">
        <v>0.961372</v>
      </c>
      <c r="K463" s="405">
        <v>33.738422</v>
      </c>
      <c r="L463" s="405" t="s">
        <v>6866</v>
      </c>
      <c r="M463" s="405" t="s">
        <v>5345</v>
      </c>
      <c r="N463" s="405" t="s">
        <v>17761</v>
      </c>
      <c r="O463" s="405" t="s">
        <v>17806</v>
      </c>
      <c r="P463" s="405" t="s">
        <v>17807</v>
      </c>
      <c r="Q463" s="411">
        <v>6</v>
      </c>
      <c r="R463" s="405" t="s">
        <v>32164</v>
      </c>
      <c r="S463" s="405" t="s">
        <v>27174</v>
      </c>
      <c r="T463" s="405" t="s">
        <v>884</v>
      </c>
      <c r="U463" s="405" t="s">
        <v>319</v>
      </c>
    </row>
    <row r="464" spans="1:21" x14ac:dyDescent="0.25">
      <c r="A464" s="405" t="s">
        <v>310</v>
      </c>
      <c r="B464" s="405" t="s">
        <v>17874</v>
      </c>
      <c r="C464" s="405" t="s">
        <v>327</v>
      </c>
      <c r="D464" s="405"/>
      <c r="E464" s="410">
        <v>44496</v>
      </c>
      <c r="F464" s="410">
        <v>44515</v>
      </c>
      <c r="G464" s="405" t="s">
        <v>17875</v>
      </c>
      <c r="H464" s="405" t="s">
        <v>17876</v>
      </c>
      <c r="I464" s="405" t="s">
        <v>17877</v>
      </c>
      <c r="J464" s="405">
        <v>1.413543</v>
      </c>
      <c r="K464" s="405">
        <v>34.585149999999999</v>
      </c>
      <c r="L464" s="405" t="s">
        <v>6866</v>
      </c>
      <c r="M464" s="405" t="s">
        <v>9705</v>
      </c>
      <c r="N464" s="405" t="s">
        <v>9705</v>
      </c>
      <c r="O464" s="405" t="s">
        <v>10311</v>
      </c>
      <c r="P464" s="405" t="s">
        <v>17878</v>
      </c>
      <c r="Q464" s="411">
        <v>4</v>
      </c>
      <c r="R464" s="405" t="s">
        <v>17977</v>
      </c>
      <c r="S464" s="405" t="s">
        <v>27357</v>
      </c>
      <c r="T464" s="405" t="s">
        <v>884</v>
      </c>
      <c r="U464" s="405" t="s">
        <v>319</v>
      </c>
    </row>
    <row r="465" spans="1:21" x14ac:dyDescent="0.25">
      <c r="A465" s="405" t="s">
        <v>310</v>
      </c>
      <c r="B465" s="405" t="s">
        <v>17797</v>
      </c>
      <c r="C465" s="405" t="s">
        <v>327</v>
      </c>
      <c r="D465" s="405"/>
      <c r="E465" s="410">
        <v>44495</v>
      </c>
      <c r="F465" s="410">
        <v>44507</v>
      </c>
      <c r="G465" s="405" t="s">
        <v>17798</v>
      </c>
      <c r="H465" s="405" t="s">
        <v>17799</v>
      </c>
      <c r="I465" s="405" t="s">
        <v>17800</v>
      </c>
      <c r="J465" s="405">
        <v>0.87266200000000005</v>
      </c>
      <c r="K465" s="405">
        <v>33.763131999999999</v>
      </c>
      <c r="L465" s="405" t="s">
        <v>6866</v>
      </c>
      <c r="M465" s="405" t="s">
        <v>5345</v>
      </c>
      <c r="N465" s="405" t="s">
        <v>17790</v>
      </c>
      <c r="O465" s="405" t="s">
        <v>13286</v>
      </c>
      <c r="P465" s="405" t="s">
        <v>17801</v>
      </c>
      <c r="Q465" s="411">
        <v>6</v>
      </c>
      <c r="R465" s="405" t="s">
        <v>32164</v>
      </c>
      <c r="S465" s="405" t="s">
        <v>27054</v>
      </c>
      <c r="T465" s="405" t="s">
        <v>884</v>
      </c>
      <c r="U465" s="405" t="s">
        <v>319</v>
      </c>
    </row>
    <row r="466" spans="1:21" x14ac:dyDescent="0.25">
      <c r="A466" s="405" t="s">
        <v>310</v>
      </c>
      <c r="B466" s="405" t="s">
        <v>17865</v>
      </c>
      <c r="C466" s="405" t="s">
        <v>327</v>
      </c>
      <c r="D466" s="405"/>
      <c r="E466" s="410">
        <v>44495</v>
      </c>
      <c r="F466" s="410">
        <v>44526</v>
      </c>
      <c r="G466" s="405" t="s">
        <v>17866</v>
      </c>
      <c r="H466" s="405" t="s">
        <v>17867</v>
      </c>
      <c r="I466" s="405" t="s">
        <v>2913</v>
      </c>
      <c r="J466" s="405">
        <v>1.4153530000000001</v>
      </c>
      <c r="K466" s="405">
        <v>34.527966999999997</v>
      </c>
      <c r="L466" s="405" t="s">
        <v>6866</v>
      </c>
      <c r="M466" s="405" t="s">
        <v>9705</v>
      </c>
      <c r="N466" s="405" t="s">
        <v>9705</v>
      </c>
      <c r="O466" s="405" t="s">
        <v>17868</v>
      </c>
      <c r="P466" s="405" t="s">
        <v>15735</v>
      </c>
      <c r="Q466" s="411">
        <v>4</v>
      </c>
      <c r="R466" s="405" t="s">
        <v>17977</v>
      </c>
      <c r="S466" s="405" t="s">
        <v>27289</v>
      </c>
      <c r="T466" s="405" t="s">
        <v>32102</v>
      </c>
      <c r="U466" s="405" t="s">
        <v>319</v>
      </c>
    </row>
    <row r="467" spans="1:21" x14ac:dyDescent="0.25">
      <c r="A467" s="405" t="s">
        <v>310</v>
      </c>
      <c r="B467" s="405" t="s">
        <v>17834</v>
      </c>
      <c r="C467" s="405" t="s">
        <v>327</v>
      </c>
      <c r="D467" s="405"/>
      <c r="E467" s="410">
        <v>44495</v>
      </c>
      <c r="F467" s="410">
        <v>44526</v>
      </c>
      <c r="G467" s="405" t="s">
        <v>17835</v>
      </c>
      <c r="H467" s="405" t="s">
        <v>17836</v>
      </c>
      <c r="I467" s="405" t="s">
        <v>17837</v>
      </c>
      <c r="J467" s="405">
        <v>1.389848</v>
      </c>
      <c r="K467" s="405">
        <v>34.465007999999997</v>
      </c>
      <c r="L467" s="405" t="s">
        <v>6866</v>
      </c>
      <c r="M467" s="405" t="s">
        <v>9685</v>
      </c>
      <c r="N467" s="405" t="s">
        <v>11342</v>
      </c>
      <c r="O467" s="405" t="s">
        <v>4327</v>
      </c>
      <c r="P467" s="405" t="s">
        <v>17838</v>
      </c>
      <c r="Q467" s="411">
        <v>4</v>
      </c>
      <c r="R467" s="405" t="s">
        <v>17977</v>
      </c>
      <c r="S467" s="405" t="s">
        <v>27072</v>
      </c>
      <c r="T467" s="405" t="s">
        <v>884</v>
      </c>
      <c r="U467" s="405" t="s">
        <v>319</v>
      </c>
    </row>
    <row r="468" spans="1:21" x14ac:dyDescent="0.25">
      <c r="A468" s="405" t="s">
        <v>310</v>
      </c>
      <c r="B468" s="405" t="s">
        <v>26656</v>
      </c>
      <c r="C468" s="405" t="s">
        <v>327</v>
      </c>
      <c r="D468" s="405"/>
      <c r="E468" s="410">
        <v>44491</v>
      </c>
      <c r="F468" s="410">
        <v>44570</v>
      </c>
      <c r="G468" s="405" t="s">
        <v>26657</v>
      </c>
      <c r="H468" s="405" t="s">
        <v>26658</v>
      </c>
      <c r="I468" s="405" t="s">
        <v>26659</v>
      </c>
      <c r="J468" s="405">
        <v>-0.80179800000000001</v>
      </c>
      <c r="K468" s="405">
        <v>29.802894999999999</v>
      </c>
      <c r="L468" s="405" t="s">
        <v>590</v>
      </c>
      <c r="M468" s="405" t="s">
        <v>20808</v>
      </c>
      <c r="N468" s="405" t="s">
        <v>23390</v>
      </c>
      <c r="O468" s="405" t="s">
        <v>25717</v>
      </c>
      <c r="P468" s="405" t="s">
        <v>26660</v>
      </c>
      <c r="Q468" s="411">
        <v>13</v>
      </c>
      <c r="R468" s="405" t="s">
        <v>6572</v>
      </c>
      <c r="S468" s="405" t="s">
        <v>27453</v>
      </c>
      <c r="T468" s="405" t="s">
        <v>884</v>
      </c>
      <c r="U468" s="405" t="s">
        <v>319</v>
      </c>
    </row>
    <row r="469" spans="1:21" x14ac:dyDescent="0.25">
      <c r="A469" s="405" t="s">
        <v>310</v>
      </c>
      <c r="B469" s="405" t="s">
        <v>26621</v>
      </c>
      <c r="C469" s="405" t="s">
        <v>327</v>
      </c>
      <c r="D469" s="405"/>
      <c r="E469" s="410">
        <v>44491</v>
      </c>
      <c r="F469" s="410">
        <v>44520</v>
      </c>
      <c r="G469" s="405" t="s">
        <v>26622</v>
      </c>
      <c r="H469" s="405">
        <v>786379935</v>
      </c>
      <c r="I469" s="405" t="s">
        <v>26623</v>
      </c>
      <c r="J469" s="405">
        <v>3.290098</v>
      </c>
      <c r="K469" s="405">
        <v>32.882561000000003</v>
      </c>
      <c r="L469" s="405" t="s">
        <v>590</v>
      </c>
      <c r="M469" s="405" t="s">
        <v>1360</v>
      </c>
      <c r="N469" s="405" t="s">
        <v>26624</v>
      </c>
      <c r="O469" s="405" t="s">
        <v>26624</v>
      </c>
      <c r="P469" s="405" t="s">
        <v>26625</v>
      </c>
      <c r="Q469" s="411">
        <v>9</v>
      </c>
      <c r="R469" s="405" t="s">
        <v>9242</v>
      </c>
      <c r="S469" s="405" t="s">
        <v>27093</v>
      </c>
      <c r="T469" s="405" t="s">
        <v>32102</v>
      </c>
      <c r="U469" s="405" t="s">
        <v>319</v>
      </c>
    </row>
    <row r="470" spans="1:21" x14ac:dyDescent="0.25">
      <c r="A470" s="405" t="s">
        <v>310</v>
      </c>
      <c r="B470" s="405" t="s">
        <v>9175</v>
      </c>
      <c r="C470" s="405" t="s">
        <v>327</v>
      </c>
      <c r="D470" s="405"/>
      <c r="E470" s="410">
        <v>44491</v>
      </c>
      <c r="F470" s="410">
        <v>44505</v>
      </c>
      <c r="G470" s="405" t="s">
        <v>9176</v>
      </c>
      <c r="H470" s="405" t="s">
        <v>9177</v>
      </c>
      <c r="I470" s="405" t="s">
        <v>9178</v>
      </c>
      <c r="J470" s="405">
        <v>0.25435200000000002</v>
      </c>
      <c r="K470" s="405">
        <v>32.537452000000002</v>
      </c>
      <c r="L470" s="405" t="s">
        <v>314</v>
      </c>
      <c r="M470" s="405" t="s">
        <v>361</v>
      </c>
      <c r="N470" s="405" t="s">
        <v>374</v>
      </c>
      <c r="O470" s="405" t="s">
        <v>375</v>
      </c>
      <c r="P470" s="405" t="s">
        <v>6601</v>
      </c>
      <c r="Q470" s="411">
        <v>9</v>
      </c>
      <c r="R470" s="405" t="s">
        <v>32101</v>
      </c>
      <c r="S470" s="405" t="s">
        <v>27290</v>
      </c>
      <c r="T470" s="405" t="s">
        <v>884</v>
      </c>
      <c r="U470" s="405" t="s">
        <v>319</v>
      </c>
    </row>
    <row r="471" spans="1:21" x14ac:dyDescent="0.25">
      <c r="A471" s="405" t="s">
        <v>310</v>
      </c>
      <c r="B471" s="405" t="s">
        <v>9058</v>
      </c>
      <c r="C471" s="405" t="s">
        <v>327</v>
      </c>
      <c r="D471" s="405"/>
      <c r="E471" s="410">
        <v>44490</v>
      </c>
      <c r="F471" s="410">
        <v>44495</v>
      </c>
      <c r="G471" s="405" t="s">
        <v>9059</v>
      </c>
      <c r="H471" s="405" t="s">
        <v>9060</v>
      </c>
      <c r="I471" s="405" t="s">
        <v>9061</v>
      </c>
      <c r="J471" s="405">
        <v>0.27936</v>
      </c>
      <c r="K471" s="405">
        <v>33.14472</v>
      </c>
      <c r="L471" s="405" t="s">
        <v>314</v>
      </c>
      <c r="M471" s="405" t="s">
        <v>349</v>
      </c>
      <c r="N471" s="405" t="s">
        <v>350</v>
      </c>
      <c r="O471" s="405" t="s">
        <v>1062</v>
      </c>
      <c r="P471" s="405" t="s">
        <v>9062</v>
      </c>
      <c r="Q471" s="411">
        <v>9</v>
      </c>
      <c r="R471" s="405" t="s">
        <v>32164</v>
      </c>
      <c r="S471" s="405" t="s">
        <v>27174</v>
      </c>
      <c r="T471" s="405" t="s">
        <v>884</v>
      </c>
      <c r="U471" s="405" t="s">
        <v>319</v>
      </c>
    </row>
    <row r="472" spans="1:21" x14ac:dyDescent="0.25">
      <c r="A472" s="405" t="s">
        <v>310</v>
      </c>
      <c r="B472" s="405" t="s">
        <v>17763</v>
      </c>
      <c r="C472" s="405" t="s">
        <v>327</v>
      </c>
      <c r="D472" s="405"/>
      <c r="E472" s="410">
        <v>44490</v>
      </c>
      <c r="F472" s="410">
        <v>44500</v>
      </c>
      <c r="G472" s="405" t="s">
        <v>17764</v>
      </c>
      <c r="H472" s="405">
        <v>773010017</v>
      </c>
      <c r="I472" s="405" t="s">
        <v>17765</v>
      </c>
      <c r="J472" s="405">
        <v>0.89563000000000004</v>
      </c>
      <c r="K472" s="405">
        <v>33.723360999999997</v>
      </c>
      <c r="L472" s="405" t="s">
        <v>6866</v>
      </c>
      <c r="M472" s="405" t="s">
        <v>5345</v>
      </c>
      <c r="N472" s="405" t="s">
        <v>17761</v>
      </c>
      <c r="O472" s="405" t="s">
        <v>16389</v>
      </c>
      <c r="P472" s="405" t="s">
        <v>16389</v>
      </c>
      <c r="Q472" s="411">
        <v>6</v>
      </c>
      <c r="R472" s="405" t="s">
        <v>32164</v>
      </c>
      <c r="S472" s="405" t="s">
        <v>27276</v>
      </c>
      <c r="T472" s="405" t="s">
        <v>884</v>
      </c>
      <c r="U472" s="405" t="s">
        <v>319</v>
      </c>
    </row>
    <row r="473" spans="1:21" x14ac:dyDescent="0.25">
      <c r="A473" s="405" t="s">
        <v>310</v>
      </c>
      <c r="B473" s="405" t="s">
        <v>17758</v>
      </c>
      <c r="C473" s="405" t="s">
        <v>327</v>
      </c>
      <c r="D473" s="405"/>
      <c r="E473" s="410">
        <v>44490</v>
      </c>
      <c r="F473" s="410">
        <v>44499</v>
      </c>
      <c r="G473" s="405" t="s">
        <v>17759</v>
      </c>
      <c r="H473" s="405">
        <v>778694811</v>
      </c>
      <c r="I473" s="405" t="s">
        <v>17760</v>
      </c>
      <c r="J473" s="405">
        <v>1.0137179999999999</v>
      </c>
      <c r="K473" s="405">
        <v>33.755782000000004</v>
      </c>
      <c r="L473" s="405" t="s">
        <v>6866</v>
      </c>
      <c r="M473" s="405" t="s">
        <v>5345</v>
      </c>
      <c r="N473" s="405" t="s">
        <v>17761</v>
      </c>
      <c r="O473" s="405" t="s">
        <v>17762</v>
      </c>
      <c r="P473" s="405" t="s">
        <v>12010</v>
      </c>
      <c r="Q473" s="411">
        <v>6</v>
      </c>
      <c r="R473" s="405" t="s">
        <v>32164</v>
      </c>
      <c r="S473" s="405" t="s">
        <v>27174</v>
      </c>
      <c r="T473" s="405" t="s">
        <v>884</v>
      </c>
      <c r="U473" s="405" t="s">
        <v>319</v>
      </c>
    </row>
    <row r="474" spans="1:21" x14ac:dyDescent="0.25">
      <c r="A474" s="405" t="s">
        <v>310</v>
      </c>
      <c r="B474" s="405" t="s">
        <v>17753</v>
      </c>
      <c r="C474" s="405" t="s">
        <v>327</v>
      </c>
      <c r="D474" s="405"/>
      <c r="E474" s="410">
        <v>44489</v>
      </c>
      <c r="F474" s="410">
        <v>44496</v>
      </c>
      <c r="G474" s="405" t="s">
        <v>17754</v>
      </c>
      <c r="H474" s="405">
        <v>708313987</v>
      </c>
      <c r="I474" s="405" t="s">
        <v>17755</v>
      </c>
      <c r="J474" s="405">
        <v>0.81794599999999995</v>
      </c>
      <c r="K474" s="405">
        <v>33.861632999999998</v>
      </c>
      <c r="L474" s="405" t="s">
        <v>6866</v>
      </c>
      <c r="M474" s="405" t="s">
        <v>5345</v>
      </c>
      <c r="N474" s="405" t="s">
        <v>12058</v>
      </c>
      <c r="O474" s="405" t="s">
        <v>17756</v>
      </c>
      <c r="P474" s="405" t="s">
        <v>17757</v>
      </c>
      <c r="Q474" s="411">
        <v>6</v>
      </c>
      <c r="R474" s="405" t="s">
        <v>32164</v>
      </c>
      <c r="S474" s="405" t="s">
        <v>27054</v>
      </c>
      <c r="T474" s="405" t="s">
        <v>884</v>
      </c>
      <c r="U474" s="405" t="s">
        <v>319</v>
      </c>
    </row>
    <row r="475" spans="1:21" x14ac:dyDescent="0.25">
      <c r="A475" s="405" t="s">
        <v>310</v>
      </c>
      <c r="B475" s="405" t="s">
        <v>17887</v>
      </c>
      <c r="C475" s="405" t="s">
        <v>327</v>
      </c>
      <c r="D475" s="405"/>
      <c r="E475" s="410">
        <v>44489</v>
      </c>
      <c r="F475" s="410">
        <v>44533</v>
      </c>
      <c r="G475" s="405" t="s">
        <v>17888</v>
      </c>
      <c r="H475" s="405" t="s">
        <v>17889</v>
      </c>
      <c r="I475" s="405" t="s">
        <v>17890</v>
      </c>
      <c r="J475" s="405">
        <v>1.4022399999999999</v>
      </c>
      <c r="K475" s="405">
        <v>34.471395000000001</v>
      </c>
      <c r="L475" s="405" t="s">
        <v>6866</v>
      </c>
      <c r="M475" s="405" t="s">
        <v>9685</v>
      </c>
      <c r="N475" s="405" t="s">
        <v>9686</v>
      </c>
      <c r="O475" s="405" t="s">
        <v>2958</v>
      </c>
      <c r="P475" s="405" t="s">
        <v>17891</v>
      </c>
      <c r="Q475" s="411">
        <v>4</v>
      </c>
      <c r="R475" s="405" t="s">
        <v>17977</v>
      </c>
      <c r="S475" s="405" t="s">
        <v>27289</v>
      </c>
      <c r="T475" s="405" t="s">
        <v>884</v>
      </c>
      <c r="U475" s="405" t="s">
        <v>319</v>
      </c>
    </row>
    <row r="476" spans="1:21" x14ac:dyDescent="0.25">
      <c r="A476" s="405" t="s">
        <v>310</v>
      </c>
      <c r="B476" s="405" t="s">
        <v>17839</v>
      </c>
      <c r="C476" s="405" t="s">
        <v>327</v>
      </c>
      <c r="D476" s="405"/>
      <c r="E476" s="410">
        <v>44489</v>
      </c>
      <c r="F476" s="410">
        <v>44515</v>
      </c>
      <c r="G476" s="405" t="s">
        <v>17840</v>
      </c>
      <c r="H476" s="405" t="s">
        <v>17841</v>
      </c>
      <c r="I476" s="405" t="s">
        <v>17842</v>
      </c>
      <c r="J476" s="405">
        <v>1.4169179999999999</v>
      </c>
      <c r="K476" s="405">
        <v>34.582210000000003</v>
      </c>
      <c r="L476" s="405" t="s">
        <v>6866</v>
      </c>
      <c r="M476" s="405" t="s">
        <v>9705</v>
      </c>
      <c r="N476" s="405" t="s">
        <v>9705</v>
      </c>
      <c r="O476" s="405" t="s">
        <v>10311</v>
      </c>
      <c r="P476" s="405" t="s">
        <v>16823</v>
      </c>
      <c r="Q476" s="411">
        <v>4</v>
      </c>
      <c r="R476" s="405" t="s">
        <v>17977</v>
      </c>
      <c r="S476" s="405" t="s">
        <v>27357</v>
      </c>
      <c r="T476" s="405" t="s">
        <v>32102</v>
      </c>
      <c r="U476" s="405" t="s">
        <v>319</v>
      </c>
    </row>
    <row r="477" spans="1:21" x14ac:dyDescent="0.25">
      <c r="A477" s="405" t="s">
        <v>310</v>
      </c>
      <c r="B477" s="405" t="s">
        <v>17843</v>
      </c>
      <c r="C477" s="405" t="s">
        <v>327</v>
      </c>
      <c r="D477" s="405"/>
      <c r="E477" s="410">
        <v>44489</v>
      </c>
      <c r="F477" s="410">
        <v>44515</v>
      </c>
      <c r="G477" s="405" t="s">
        <v>17844</v>
      </c>
      <c r="H477" s="405" t="s">
        <v>17845</v>
      </c>
      <c r="I477" s="405" t="s">
        <v>2913</v>
      </c>
      <c r="J477" s="405">
        <v>1.390817</v>
      </c>
      <c r="K477" s="405">
        <v>34.463912000000001</v>
      </c>
      <c r="L477" s="405" t="s">
        <v>6866</v>
      </c>
      <c r="M477" s="405" t="s">
        <v>9685</v>
      </c>
      <c r="N477" s="405" t="s">
        <v>9686</v>
      </c>
      <c r="O477" s="405" t="s">
        <v>15669</v>
      </c>
      <c r="P477" s="405" t="s">
        <v>16826</v>
      </c>
      <c r="Q477" s="411">
        <v>4</v>
      </c>
      <c r="R477" s="405" t="s">
        <v>17977</v>
      </c>
      <c r="S477" s="405" t="s">
        <v>27072</v>
      </c>
      <c r="T477" s="405" t="s">
        <v>884</v>
      </c>
      <c r="U477" s="405" t="s">
        <v>319</v>
      </c>
    </row>
    <row r="478" spans="1:21" x14ac:dyDescent="0.25">
      <c r="A478" s="405" t="s">
        <v>310</v>
      </c>
      <c r="B478" s="405" t="s">
        <v>17787</v>
      </c>
      <c r="C478" s="405" t="s">
        <v>327</v>
      </c>
      <c r="D478" s="405"/>
      <c r="E478" s="410">
        <v>44488</v>
      </c>
      <c r="F478" s="410">
        <v>44507</v>
      </c>
      <c r="G478" s="405" t="s">
        <v>17788</v>
      </c>
      <c r="H478" s="405" t="s">
        <v>17789</v>
      </c>
      <c r="I478" s="405" t="s">
        <v>2913</v>
      </c>
      <c r="J478" s="405">
        <v>0.90490099999999996</v>
      </c>
      <c r="K478" s="405">
        <v>33.636384999999997</v>
      </c>
      <c r="L478" s="405" t="s">
        <v>6866</v>
      </c>
      <c r="M478" s="405" t="s">
        <v>5345</v>
      </c>
      <c r="N478" s="405" t="s">
        <v>17790</v>
      </c>
      <c r="O478" s="405" t="s">
        <v>17791</v>
      </c>
      <c r="P478" s="405" t="s">
        <v>17792</v>
      </c>
      <c r="Q478" s="411">
        <v>6</v>
      </c>
      <c r="R478" s="405" t="s">
        <v>32164</v>
      </c>
      <c r="S478" s="405" t="s">
        <v>27054</v>
      </c>
      <c r="T478" s="405" t="s">
        <v>32102</v>
      </c>
      <c r="U478" s="405" t="s">
        <v>319</v>
      </c>
    </row>
    <row r="479" spans="1:21" x14ac:dyDescent="0.25">
      <c r="A479" s="405" t="s">
        <v>310</v>
      </c>
      <c r="B479" s="405" t="s">
        <v>7120</v>
      </c>
      <c r="C479" s="405" t="s">
        <v>327</v>
      </c>
      <c r="D479" s="405"/>
      <c r="E479" s="410">
        <v>43407</v>
      </c>
      <c r="F479" s="410">
        <v>43422</v>
      </c>
      <c r="G479" s="405" t="s">
        <v>7121</v>
      </c>
      <c r="H479" s="405">
        <v>705143316</v>
      </c>
      <c r="I479" s="405"/>
      <c r="J479" s="405">
        <v>0.413302</v>
      </c>
      <c r="K479" s="405">
        <v>32.444958</v>
      </c>
      <c r="L479" s="405" t="s">
        <v>314</v>
      </c>
      <c r="M479" s="405" t="s">
        <v>361</v>
      </c>
      <c r="N479" s="405" t="s">
        <v>374</v>
      </c>
      <c r="O479" s="405" t="s">
        <v>535</v>
      </c>
      <c r="P479" s="405" t="s">
        <v>7122</v>
      </c>
      <c r="Q479" s="411">
        <v>20</v>
      </c>
      <c r="R479" s="405" t="s">
        <v>5903</v>
      </c>
      <c r="S479" s="405" t="s">
        <v>27153</v>
      </c>
      <c r="T479" s="405" t="s">
        <v>884</v>
      </c>
      <c r="U479" s="405" t="s">
        <v>319</v>
      </c>
    </row>
    <row r="480" spans="1:21" x14ac:dyDescent="0.25">
      <c r="A480" s="405" t="s">
        <v>310</v>
      </c>
      <c r="B480" s="405" t="s">
        <v>26589</v>
      </c>
      <c r="C480" s="405" t="s">
        <v>327</v>
      </c>
      <c r="D480" s="405"/>
      <c r="E480" s="410">
        <v>44487</v>
      </c>
      <c r="F480" s="410">
        <v>44498</v>
      </c>
      <c r="G480" s="405" t="s">
        <v>26590</v>
      </c>
      <c r="H480" s="405" t="s">
        <v>26591</v>
      </c>
      <c r="I480" s="405" t="s">
        <v>2913</v>
      </c>
      <c r="J480" s="405">
        <v>9.0869999999999996E-3</v>
      </c>
      <c r="K480" s="405">
        <v>31.002005</v>
      </c>
      <c r="L480" s="405" t="s">
        <v>590</v>
      </c>
      <c r="M480" s="405" t="s">
        <v>19705</v>
      </c>
      <c r="N480" s="405" t="s">
        <v>19706</v>
      </c>
      <c r="O480" s="405" t="s">
        <v>24794</v>
      </c>
      <c r="P480" s="405" t="s">
        <v>20823</v>
      </c>
      <c r="Q480" s="411">
        <v>13</v>
      </c>
      <c r="R480" s="405" t="s">
        <v>32166</v>
      </c>
      <c r="S480" s="405" t="s">
        <v>27132</v>
      </c>
      <c r="T480" s="405" t="s">
        <v>884</v>
      </c>
      <c r="U480" s="405" t="s">
        <v>319</v>
      </c>
    </row>
    <row r="481" spans="1:21" x14ac:dyDescent="0.25">
      <c r="A481" s="405" t="s">
        <v>310</v>
      </c>
      <c r="B481" s="405" t="s">
        <v>9141</v>
      </c>
      <c r="C481" s="405" t="s">
        <v>327</v>
      </c>
      <c r="D481" s="405"/>
      <c r="E481" s="410">
        <v>44485</v>
      </c>
      <c r="F481" s="410">
        <v>44516</v>
      </c>
      <c r="G481" s="405" t="s">
        <v>9142</v>
      </c>
      <c r="H481" s="405" t="s">
        <v>9143</v>
      </c>
      <c r="I481" s="405" t="s">
        <v>2913</v>
      </c>
      <c r="J481" s="405">
        <v>0.48762299999999997</v>
      </c>
      <c r="K481" s="405">
        <v>32.639245000000003</v>
      </c>
      <c r="L481" s="405" t="s">
        <v>314</v>
      </c>
      <c r="M481" s="405" t="s">
        <v>361</v>
      </c>
      <c r="N481" s="405" t="s">
        <v>411</v>
      </c>
      <c r="O481" s="405" t="s">
        <v>9144</v>
      </c>
      <c r="P481" s="405" t="s">
        <v>9145</v>
      </c>
      <c r="Q481" s="411">
        <v>6</v>
      </c>
      <c r="R481" s="405" t="s">
        <v>5655</v>
      </c>
      <c r="S481" s="405" t="s">
        <v>27289</v>
      </c>
      <c r="T481" s="405" t="s">
        <v>865</v>
      </c>
      <c r="U481" s="405" t="s">
        <v>866</v>
      </c>
    </row>
    <row r="482" spans="1:21" x14ac:dyDescent="0.25">
      <c r="A482" s="405" t="s">
        <v>310</v>
      </c>
      <c r="B482" s="405" t="s">
        <v>24916</v>
      </c>
      <c r="C482" s="405" t="s">
        <v>327</v>
      </c>
      <c r="D482" s="405"/>
      <c r="E482" s="410">
        <v>43508</v>
      </c>
      <c r="F482" s="410">
        <v>43511</v>
      </c>
      <c r="G482" s="405" t="s">
        <v>24917</v>
      </c>
      <c r="H482" s="405">
        <v>753471638</v>
      </c>
      <c r="I482" s="405"/>
      <c r="J482" s="405">
        <v>7.4732999999999994E-2</v>
      </c>
      <c r="K482" s="405">
        <v>30.655093000000001</v>
      </c>
      <c r="L482" s="405" t="s">
        <v>590</v>
      </c>
      <c r="M482" s="405" t="s">
        <v>19705</v>
      </c>
      <c r="N482" s="405" t="s">
        <v>2250</v>
      </c>
      <c r="O482" s="405" t="s">
        <v>24868</v>
      </c>
      <c r="P482" s="405" t="s">
        <v>2427</v>
      </c>
      <c r="Q482" s="411">
        <v>40</v>
      </c>
      <c r="R482" s="405" t="s">
        <v>874</v>
      </c>
      <c r="S482" s="405" t="s">
        <v>27153</v>
      </c>
      <c r="T482" s="405" t="s">
        <v>884</v>
      </c>
      <c r="U482" s="405" t="s">
        <v>319</v>
      </c>
    </row>
    <row r="483" spans="1:21" x14ac:dyDescent="0.25">
      <c r="A483" s="405" t="s">
        <v>310</v>
      </c>
      <c r="B483" s="405" t="s">
        <v>26579</v>
      </c>
      <c r="C483" s="405" t="s">
        <v>327</v>
      </c>
      <c r="D483" s="405"/>
      <c r="E483" s="410">
        <v>44484</v>
      </c>
      <c r="F483" s="410">
        <v>44494</v>
      </c>
      <c r="G483" s="405" t="s">
        <v>26580</v>
      </c>
      <c r="H483" s="405" t="s">
        <v>26581</v>
      </c>
      <c r="I483" s="405" t="s">
        <v>2913</v>
      </c>
      <c r="J483" s="405">
        <v>0.16330500000000001</v>
      </c>
      <c r="K483" s="405">
        <v>30.444206000000001</v>
      </c>
      <c r="L483" s="405" t="s">
        <v>590</v>
      </c>
      <c r="M483" s="405" t="s">
        <v>19720</v>
      </c>
      <c r="N483" s="405" t="s">
        <v>26582</v>
      </c>
      <c r="O483" s="405" t="s">
        <v>23988</v>
      </c>
      <c r="P483" s="405" t="s">
        <v>26583</v>
      </c>
      <c r="Q483" s="411">
        <v>9</v>
      </c>
      <c r="R483" s="405" t="s">
        <v>6013</v>
      </c>
      <c r="S483" s="405" t="s">
        <v>27278</v>
      </c>
      <c r="T483" s="405" t="s">
        <v>32102</v>
      </c>
      <c r="U483" s="405" t="s">
        <v>319</v>
      </c>
    </row>
    <row r="484" spans="1:21" x14ac:dyDescent="0.25">
      <c r="A484" s="405" t="s">
        <v>310</v>
      </c>
      <c r="B484" s="405" t="s">
        <v>17793</v>
      </c>
      <c r="C484" s="405" t="s">
        <v>327</v>
      </c>
      <c r="D484" s="405"/>
      <c r="E484" s="410">
        <v>44484</v>
      </c>
      <c r="F484" s="410">
        <v>44515</v>
      </c>
      <c r="G484" s="405" t="s">
        <v>17794</v>
      </c>
      <c r="H484" s="405">
        <v>772354695</v>
      </c>
      <c r="I484" s="405" t="s">
        <v>2913</v>
      </c>
      <c r="J484" s="405">
        <v>0.82919100000000001</v>
      </c>
      <c r="K484" s="405">
        <v>33.043018000000004</v>
      </c>
      <c r="L484" s="405" t="s">
        <v>6866</v>
      </c>
      <c r="M484" s="405" t="s">
        <v>3009</v>
      </c>
      <c r="N484" s="405" t="s">
        <v>9842</v>
      </c>
      <c r="O484" s="405" t="s">
        <v>17795</v>
      </c>
      <c r="P484" s="405" t="s">
        <v>17796</v>
      </c>
      <c r="Q484" s="411">
        <v>6</v>
      </c>
      <c r="R484" s="405" t="s">
        <v>32164</v>
      </c>
      <c r="S484" s="405" t="s">
        <v>27080</v>
      </c>
      <c r="T484" s="405" t="s">
        <v>32212</v>
      </c>
      <c r="U484" s="405" t="s">
        <v>2267</v>
      </c>
    </row>
    <row r="485" spans="1:21" x14ac:dyDescent="0.25">
      <c r="A485" s="405" t="s">
        <v>310</v>
      </c>
      <c r="B485" s="405" t="s">
        <v>9150</v>
      </c>
      <c r="C485" s="405" t="s">
        <v>327</v>
      </c>
      <c r="D485" s="405"/>
      <c r="E485" s="410">
        <v>44483</v>
      </c>
      <c r="F485" s="410">
        <v>44514</v>
      </c>
      <c r="G485" s="405" t="s">
        <v>9151</v>
      </c>
      <c r="H485" s="405" t="s">
        <v>9152</v>
      </c>
      <c r="I485" s="405" t="s">
        <v>2913</v>
      </c>
      <c r="J485" s="405">
        <v>0.39326</v>
      </c>
      <c r="K485" s="405">
        <v>32.603119999999997</v>
      </c>
      <c r="L485" s="405" t="s">
        <v>314</v>
      </c>
      <c r="M485" s="405" t="s">
        <v>992</v>
      </c>
      <c r="N485" s="405" t="s">
        <v>5924</v>
      </c>
      <c r="O485" s="405" t="s">
        <v>987</v>
      </c>
      <c r="P485" s="405" t="s">
        <v>993</v>
      </c>
      <c r="Q485" s="411">
        <v>6</v>
      </c>
      <c r="R485" s="405" t="s">
        <v>4176</v>
      </c>
      <c r="S485" s="405" t="s">
        <v>27286</v>
      </c>
      <c r="T485" s="405" t="s">
        <v>884</v>
      </c>
      <c r="U485" s="405" t="s">
        <v>319</v>
      </c>
    </row>
    <row r="486" spans="1:21" x14ac:dyDescent="0.25">
      <c r="A486" s="405" t="s">
        <v>310</v>
      </c>
      <c r="B486" s="405" t="s">
        <v>9324</v>
      </c>
      <c r="C486" s="405" t="s">
        <v>327</v>
      </c>
      <c r="D486" s="405"/>
      <c r="E486" s="410">
        <v>44481</v>
      </c>
      <c r="F486" s="410">
        <v>44573</v>
      </c>
      <c r="G486" s="405" t="s">
        <v>9325</v>
      </c>
      <c r="H486" s="405">
        <v>782739415</v>
      </c>
      <c r="I486" s="405" t="s">
        <v>9326</v>
      </c>
      <c r="J486" s="405">
        <v>0.35774800000000001</v>
      </c>
      <c r="K486" s="405">
        <v>32.110593000000001</v>
      </c>
      <c r="L486" s="405" t="s">
        <v>314</v>
      </c>
      <c r="M486" s="405" t="s">
        <v>675</v>
      </c>
      <c r="N486" s="405" t="s">
        <v>9327</v>
      </c>
      <c r="O486" s="405" t="s">
        <v>9328</v>
      </c>
      <c r="P486" s="405" t="s">
        <v>2896</v>
      </c>
      <c r="Q486" s="411">
        <v>6</v>
      </c>
      <c r="R486" s="405" t="s">
        <v>5921</v>
      </c>
      <c r="S486" s="405" t="s">
        <v>32960</v>
      </c>
      <c r="T486" s="405" t="s">
        <v>32102</v>
      </c>
      <c r="U486" s="405" t="s">
        <v>319</v>
      </c>
    </row>
    <row r="487" spans="1:21" x14ac:dyDescent="0.25">
      <c r="A487" s="405" t="s">
        <v>310</v>
      </c>
      <c r="B487" s="405" t="s">
        <v>17779</v>
      </c>
      <c r="C487" s="405" t="s">
        <v>327</v>
      </c>
      <c r="D487" s="405"/>
      <c r="E487" s="410">
        <v>44481</v>
      </c>
      <c r="F487" s="410">
        <v>44491</v>
      </c>
      <c r="G487" s="405" t="s">
        <v>17780</v>
      </c>
      <c r="H487" s="405" t="s">
        <v>17781</v>
      </c>
      <c r="I487" s="405" t="s">
        <v>2913</v>
      </c>
      <c r="J487" s="405">
        <v>0.47126499999999999</v>
      </c>
      <c r="K487" s="405">
        <v>34.089725000000001</v>
      </c>
      <c r="L487" s="405" t="s">
        <v>6866</v>
      </c>
      <c r="M487" s="405" t="s">
        <v>10390</v>
      </c>
      <c r="N487" s="405" t="s">
        <v>10390</v>
      </c>
      <c r="O487" s="405" t="s">
        <v>10390</v>
      </c>
      <c r="P487" s="405" t="s">
        <v>17782</v>
      </c>
      <c r="Q487" s="411">
        <v>6</v>
      </c>
      <c r="R487" s="405" t="s">
        <v>32101</v>
      </c>
      <c r="S487" s="405" t="s">
        <v>27041</v>
      </c>
      <c r="T487" s="405" t="s">
        <v>865</v>
      </c>
      <c r="U487" s="405" t="s">
        <v>866</v>
      </c>
    </row>
    <row r="488" spans="1:21" x14ac:dyDescent="0.25">
      <c r="A488" s="405" t="s">
        <v>310</v>
      </c>
      <c r="B488" s="405" t="s">
        <v>26592</v>
      </c>
      <c r="C488" s="405" t="s">
        <v>327</v>
      </c>
      <c r="D488" s="405"/>
      <c r="E488" s="410">
        <v>44479</v>
      </c>
      <c r="F488" s="410">
        <v>44497</v>
      </c>
      <c r="G488" s="405" t="s">
        <v>26593</v>
      </c>
      <c r="H488" s="405" t="s">
        <v>26594</v>
      </c>
      <c r="I488" s="405" t="s">
        <v>2913</v>
      </c>
      <c r="J488" s="405">
        <v>-0.33898299999999998</v>
      </c>
      <c r="K488" s="405">
        <v>31.707757999999998</v>
      </c>
      <c r="L488" s="405" t="s">
        <v>590</v>
      </c>
      <c r="M488" s="405" t="s">
        <v>19614</v>
      </c>
      <c r="N488" s="405" t="s">
        <v>19615</v>
      </c>
      <c r="O488" s="405" t="s">
        <v>20253</v>
      </c>
      <c r="P488" s="405" t="s">
        <v>26595</v>
      </c>
      <c r="Q488" s="411">
        <v>9</v>
      </c>
      <c r="R488" s="405" t="s">
        <v>32101</v>
      </c>
      <c r="S488" s="405" t="s">
        <v>27065</v>
      </c>
      <c r="T488" s="405" t="s">
        <v>32102</v>
      </c>
      <c r="U488" s="405" t="s">
        <v>319</v>
      </c>
    </row>
    <row r="489" spans="1:21" x14ac:dyDescent="0.25">
      <c r="A489" s="405" t="s">
        <v>310</v>
      </c>
      <c r="B489" s="405" t="s">
        <v>16549</v>
      </c>
      <c r="C489" s="405" t="s">
        <v>327</v>
      </c>
      <c r="D489" s="405"/>
      <c r="E489" s="410">
        <v>43520</v>
      </c>
      <c r="F489" s="410">
        <v>43530</v>
      </c>
      <c r="G489" s="405" t="s">
        <v>16550</v>
      </c>
      <c r="H489" s="405">
        <v>757670794</v>
      </c>
      <c r="I489" s="405">
        <v>755703239</v>
      </c>
      <c r="J489" s="405">
        <v>1.1339999999999999</v>
      </c>
      <c r="K489" s="405">
        <v>34.223999999999997</v>
      </c>
      <c r="L489" s="405" t="s">
        <v>16357</v>
      </c>
      <c r="M489" s="405" t="s">
        <v>9550</v>
      </c>
      <c r="N489" s="405" t="s">
        <v>16547</v>
      </c>
      <c r="O489" s="405" t="s">
        <v>16547</v>
      </c>
      <c r="P489" s="405" t="s">
        <v>16548</v>
      </c>
      <c r="Q489" s="411">
        <v>20</v>
      </c>
      <c r="R489" s="405" t="s">
        <v>6871</v>
      </c>
      <c r="S489" s="405" t="s">
        <v>27142</v>
      </c>
      <c r="T489" s="405" t="s">
        <v>32102</v>
      </c>
      <c r="U489" s="405" t="s">
        <v>319</v>
      </c>
    </row>
    <row r="490" spans="1:21" x14ac:dyDescent="0.25">
      <c r="A490" s="405" t="s">
        <v>310</v>
      </c>
      <c r="B490" s="405" t="s">
        <v>9236</v>
      </c>
      <c r="C490" s="405" t="s">
        <v>327</v>
      </c>
      <c r="D490" s="405"/>
      <c r="E490" s="410">
        <v>44478</v>
      </c>
      <c r="F490" s="410">
        <v>44532</v>
      </c>
      <c r="G490" s="405" t="s">
        <v>9237</v>
      </c>
      <c r="H490" s="405">
        <v>772380162</v>
      </c>
      <c r="I490" s="405" t="s">
        <v>9238</v>
      </c>
      <c r="J490" s="405">
        <v>0.473495</v>
      </c>
      <c r="K490" s="405">
        <v>32.742584999999998</v>
      </c>
      <c r="L490" s="405" t="s">
        <v>314</v>
      </c>
      <c r="M490" s="405" t="s">
        <v>329</v>
      </c>
      <c r="N490" s="405" t="s">
        <v>5950</v>
      </c>
      <c r="O490" s="405" t="s">
        <v>336</v>
      </c>
      <c r="P490" s="405" t="s">
        <v>5823</v>
      </c>
      <c r="Q490" s="411">
        <v>6</v>
      </c>
      <c r="R490" s="405" t="s">
        <v>6798</v>
      </c>
      <c r="S490" s="405" t="s">
        <v>27049</v>
      </c>
      <c r="T490" s="405" t="s">
        <v>884</v>
      </c>
      <c r="U490" s="405" t="s">
        <v>319</v>
      </c>
    </row>
    <row r="491" spans="1:21" x14ac:dyDescent="0.25">
      <c r="A491" s="405" t="s">
        <v>310</v>
      </c>
      <c r="B491" s="405" t="s">
        <v>26584</v>
      </c>
      <c r="C491" s="405" t="s">
        <v>327</v>
      </c>
      <c r="D491" s="405"/>
      <c r="E491" s="410">
        <v>44477</v>
      </c>
      <c r="F491" s="410">
        <v>44487</v>
      </c>
      <c r="G491" s="405" t="s">
        <v>26585</v>
      </c>
      <c r="H491" s="405" t="s">
        <v>26586</v>
      </c>
      <c r="I491" s="405" t="s">
        <v>26587</v>
      </c>
      <c r="J491" s="405">
        <v>0.38409399999999999</v>
      </c>
      <c r="K491" s="405">
        <v>30.985302000000001</v>
      </c>
      <c r="L491" s="405" t="s">
        <v>590</v>
      </c>
      <c r="M491" s="405" t="s">
        <v>20757</v>
      </c>
      <c r="N491" s="405" t="s">
        <v>26588</v>
      </c>
      <c r="O491" s="405" t="s">
        <v>22734</v>
      </c>
      <c r="P491" s="405" t="s">
        <v>25002</v>
      </c>
      <c r="Q491" s="411">
        <v>9</v>
      </c>
      <c r="R491" s="405" t="s">
        <v>6013</v>
      </c>
      <c r="S491" s="405" t="s">
        <v>27060</v>
      </c>
      <c r="T491" s="405" t="s">
        <v>32102</v>
      </c>
      <c r="U491" s="405" t="s">
        <v>319</v>
      </c>
    </row>
    <row r="492" spans="1:21" x14ac:dyDescent="0.25">
      <c r="A492" s="405" t="s">
        <v>310</v>
      </c>
      <c r="B492" s="405" t="s">
        <v>26576</v>
      </c>
      <c r="C492" s="405" t="s">
        <v>327</v>
      </c>
      <c r="D492" s="405"/>
      <c r="E492" s="410">
        <v>44477</v>
      </c>
      <c r="F492" s="410">
        <v>44486</v>
      </c>
      <c r="G492" s="405" t="s">
        <v>26577</v>
      </c>
      <c r="H492" s="405" t="s">
        <v>26578</v>
      </c>
      <c r="I492" s="405" t="s">
        <v>2913</v>
      </c>
      <c r="J492" s="405">
        <v>1.4024E-2</v>
      </c>
      <c r="K492" s="405">
        <v>29.896525</v>
      </c>
      <c r="L492" s="405" t="s">
        <v>590</v>
      </c>
      <c r="M492" s="405" t="s">
        <v>21087</v>
      </c>
      <c r="N492" s="405" t="s">
        <v>21515</v>
      </c>
      <c r="O492" s="405" t="s">
        <v>21933</v>
      </c>
      <c r="P492" s="405" t="s">
        <v>21932</v>
      </c>
      <c r="Q492" s="411">
        <v>9</v>
      </c>
      <c r="R492" s="405" t="s">
        <v>6013</v>
      </c>
      <c r="S492" s="405" t="s">
        <v>27278</v>
      </c>
      <c r="T492" s="405" t="s">
        <v>32102</v>
      </c>
      <c r="U492" s="405" t="s">
        <v>319</v>
      </c>
    </row>
    <row r="493" spans="1:21" x14ac:dyDescent="0.25">
      <c r="A493" s="405" t="s">
        <v>310</v>
      </c>
      <c r="B493" s="405" t="s">
        <v>7842</v>
      </c>
      <c r="C493" s="405" t="s">
        <v>311</v>
      </c>
      <c r="D493" s="405" t="s">
        <v>1789</v>
      </c>
      <c r="E493" s="410">
        <v>43467</v>
      </c>
      <c r="F493" s="410">
        <v>43531</v>
      </c>
      <c r="G493" s="405" t="s">
        <v>7843</v>
      </c>
      <c r="H493" s="405">
        <v>772212154</v>
      </c>
      <c r="I493" s="405"/>
      <c r="J493" s="405">
        <v>0.71362700000000001</v>
      </c>
      <c r="K493" s="405">
        <v>32.715302000000001</v>
      </c>
      <c r="L493" s="405" t="s">
        <v>314</v>
      </c>
      <c r="M493" s="405" t="s">
        <v>959</v>
      </c>
      <c r="N493" s="405" t="s">
        <v>960</v>
      </c>
      <c r="O493" s="405" t="s">
        <v>2921</v>
      </c>
      <c r="P493" s="405" t="s">
        <v>7844</v>
      </c>
      <c r="Q493" s="411">
        <v>40</v>
      </c>
      <c r="R493" s="405" t="s">
        <v>5903</v>
      </c>
      <c r="S493" s="405" t="s">
        <v>27153</v>
      </c>
      <c r="T493" s="405" t="s">
        <v>32102</v>
      </c>
      <c r="U493" s="405" t="s">
        <v>319</v>
      </c>
    </row>
    <row r="494" spans="1:21" x14ac:dyDescent="0.25">
      <c r="A494" s="405" t="s">
        <v>310</v>
      </c>
      <c r="B494" s="405" t="s">
        <v>9070</v>
      </c>
      <c r="C494" s="405" t="s">
        <v>327</v>
      </c>
      <c r="D494" s="405"/>
      <c r="E494" s="410">
        <v>44474</v>
      </c>
      <c r="F494" s="410">
        <v>44491</v>
      </c>
      <c r="G494" s="405" t="s">
        <v>9071</v>
      </c>
      <c r="H494" s="405" t="s">
        <v>9072</v>
      </c>
      <c r="I494" s="405" t="s">
        <v>2913</v>
      </c>
      <c r="J494" s="405">
        <v>0.525173</v>
      </c>
      <c r="K494" s="405">
        <v>32.663594000000003</v>
      </c>
      <c r="L494" s="405" t="s">
        <v>314</v>
      </c>
      <c r="M494" s="405" t="s">
        <v>329</v>
      </c>
      <c r="N494" s="405" t="s">
        <v>9073</v>
      </c>
      <c r="O494" s="405" t="s">
        <v>336</v>
      </c>
      <c r="P494" s="405" t="s">
        <v>4880</v>
      </c>
      <c r="Q494" s="411">
        <v>12</v>
      </c>
      <c r="R494" s="405" t="s">
        <v>4176</v>
      </c>
      <c r="S494" s="405" t="s">
        <v>27286</v>
      </c>
      <c r="T494" s="405" t="s">
        <v>884</v>
      </c>
      <c r="U494" s="405" t="s">
        <v>319</v>
      </c>
    </row>
    <row r="495" spans="1:21" x14ac:dyDescent="0.25">
      <c r="A495" s="405" t="s">
        <v>310</v>
      </c>
      <c r="B495" s="405" t="s">
        <v>26626</v>
      </c>
      <c r="C495" s="405" t="s">
        <v>327</v>
      </c>
      <c r="D495" s="405"/>
      <c r="E495" s="410">
        <v>44472</v>
      </c>
      <c r="F495" s="410">
        <v>44503</v>
      </c>
      <c r="G495" s="405" t="s">
        <v>26627</v>
      </c>
      <c r="H495" s="405" t="s">
        <v>26628</v>
      </c>
      <c r="I495" s="405" t="s">
        <v>2913</v>
      </c>
      <c r="J495" s="405">
        <v>0.68742700000000001</v>
      </c>
      <c r="K495" s="405">
        <v>30.196272</v>
      </c>
      <c r="L495" s="405" t="s">
        <v>590</v>
      </c>
      <c r="M495" s="405" t="s">
        <v>20125</v>
      </c>
      <c r="N495" s="405" t="s">
        <v>26629</v>
      </c>
      <c r="O495" s="405" t="s">
        <v>666</v>
      </c>
      <c r="P495" s="405" t="s">
        <v>26211</v>
      </c>
      <c r="Q495" s="411">
        <v>9</v>
      </c>
      <c r="R495" s="405" t="s">
        <v>6013</v>
      </c>
      <c r="S495" s="405" t="s">
        <v>27278</v>
      </c>
      <c r="T495" s="405" t="s">
        <v>884</v>
      </c>
      <c r="U495" s="405" t="s">
        <v>319</v>
      </c>
    </row>
    <row r="496" spans="1:21" x14ac:dyDescent="0.25">
      <c r="A496" s="405" t="s">
        <v>310</v>
      </c>
      <c r="B496" s="405" t="s">
        <v>16545</v>
      </c>
      <c r="C496" s="405" t="s">
        <v>327</v>
      </c>
      <c r="D496" s="405"/>
      <c r="E496" s="410">
        <v>43485</v>
      </c>
      <c r="F496" s="410">
        <v>43534</v>
      </c>
      <c r="G496" s="405" t="s">
        <v>16546</v>
      </c>
      <c r="H496" s="405">
        <v>750959004</v>
      </c>
      <c r="I496" s="405">
        <v>757670794</v>
      </c>
      <c r="J496" s="405">
        <v>1.1337999999999999</v>
      </c>
      <c r="K496" s="405">
        <v>34.214500000000001</v>
      </c>
      <c r="L496" s="405" t="s">
        <v>16357</v>
      </c>
      <c r="M496" s="405" t="s">
        <v>9550</v>
      </c>
      <c r="N496" s="405" t="s">
        <v>16547</v>
      </c>
      <c r="O496" s="405" t="s">
        <v>16547</v>
      </c>
      <c r="P496" s="405" t="s">
        <v>16548</v>
      </c>
      <c r="Q496" s="411">
        <v>16</v>
      </c>
      <c r="R496" s="405" t="s">
        <v>6871</v>
      </c>
      <c r="S496" s="405" t="s">
        <v>27142</v>
      </c>
      <c r="T496" s="405" t="s">
        <v>884</v>
      </c>
      <c r="U496" s="405" t="s">
        <v>319</v>
      </c>
    </row>
    <row r="497" spans="1:21" x14ac:dyDescent="0.25">
      <c r="A497" s="405" t="s">
        <v>310</v>
      </c>
      <c r="B497" s="405" t="s">
        <v>7875</v>
      </c>
      <c r="C497" s="405" t="s">
        <v>311</v>
      </c>
      <c r="D497" s="405" t="s">
        <v>839</v>
      </c>
      <c r="E497" s="410">
        <v>43530</v>
      </c>
      <c r="F497" s="410">
        <v>43541</v>
      </c>
      <c r="G497" s="405" t="s">
        <v>7876</v>
      </c>
      <c r="H497" s="405">
        <v>773461202</v>
      </c>
      <c r="I497" s="405"/>
      <c r="J497" s="405">
        <v>0.30143500000000001</v>
      </c>
      <c r="K497" s="405">
        <v>32.584707999999999</v>
      </c>
      <c r="L497" s="405" t="s">
        <v>314</v>
      </c>
      <c r="M497" s="405" t="s">
        <v>992</v>
      </c>
      <c r="N497" s="405" t="s">
        <v>618</v>
      </c>
      <c r="O497" s="405" t="s">
        <v>618</v>
      </c>
      <c r="P497" s="405" t="s">
        <v>7877</v>
      </c>
      <c r="Q497" s="411">
        <v>30</v>
      </c>
      <c r="R497" s="405" t="s">
        <v>32101</v>
      </c>
      <c r="S497" s="405" t="s">
        <v>27186</v>
      </c>
      <c r="T497" s="405" t="s">
        <v>32102</v>
      </c>
      <c r="U497" s="405" t="s">
        <v>319</v>
      </c>
    </row>
    <row r="498" spans="1:21" x14ac:dyDescent="0.25">
      <c r="A498" s="405" t="s">
        <v>310</v>
      </c>
      <c r="B498" s="405" t="s">
        <v>26570</v>
      </c>
      <c r="C498" s="405" t="s">
        <v>327</v>
      </c>
      <c r="D498" s="405"/>
      <c r="E498" s="410">
        <v>44469</v>
      </c>
      <c r="F498" s="410">
        <v>44478</v>
      </c>
      <c r="G498" s="405" t="s">
        <v>26571</v>
      </c>
      <c r="H498" s="405" t="s">
        <v>26572</v>
      </c>
      <c r="I498" s="405" t="s">
        <v>2913</v>
      </c>
      <c r="J498" s="405">
        <v>-0.81199500000000002</v>
      </c>
      <c r="K498" s="405">
        <v>29.799517000000002</v>
      </c>
      <c r="L498" s="405" t="s">
        <v>590</v>
      </c>
      <c r="M498" s="405" t="s">
        <v>20808</v>
      </c>
      <c r="N498" s="405" t="s">
        <v>26573</v>
      </c>
      <c r="O498" s="405" t="s">
        <v>26574</v>
      </c>
      <c r="P498" s="405" t="s">
        <v>26575</v>
      </c>
      <c r="Q498" s="411">
        <v>13</v>
      </c>
      <c r="R498" s="405" t="s">
        <v>6572</v>
      </c>
      <c r="S498" s="405" t="s">
        <v>27453</v>
      </c>
      <c r="T498" s="405" t="s">
        <v>884</v>
      </c>
      <c r="U498" s="405" t="s">
        <v>319</v>
      </c>
    </row>
    <row r="499" spans="1:21" x14ac:dyDescent="0.25">
      <c r="A499" s="405" t="s">
        <v>310</v>
      </c>
      <c r="B499" s="405" t="s">
        <v>26630</v>
      </c>
      <c r="C499" s="405" t="s">
        <v>327</v>
      </c>
      <c r="D499" s="405"/>
      <c r="E499" s="410">
        <v>44469</v>
      </c>
      <c r="F499" s="410">
        <v>44567</v>
      </c>
      <c r="G499" s="405" t="s">
        <v>26631</v>
      </c>
      <c r="H499" s="405" t="s">
        <v>26632</v>
      </c>
      <c r="I499" s="405" t="s">
        <v>26633</v>
      </c>
      <c r="J499" s="405">
        <v>-0.86993299999999996</v>
      </c>
      <c r="K499" s="405">
        <v>30.268878000000001</v>
      </c>
      <c r="L499" s="405" t="s">
        <v>590</v>
      </c>
      <c r="M499" s="405" t="s">
        <v>879</v>
      </c>
      <c r="N499" s="405" t="s">
        <v>880</v>
      </c>
      <c r="O499" s="405" t="s">
        <v>881</v>
      </c>
      <c r="P499" s="405" t="s">
        <v>882</v>
      </c>
      <c r="Q499" s="411">
        <v>9</v>
      </c>
      <c r="R499" s="405" t="s">
        <v>6572</v>
      </c>
      <c r="S499" s="405" t="s">
        <v>27434</v>
      </c>
      <c r="T499" s="405" t="s">
        <v>884</v>
      </c>
      <c r="U499" s="405" t="s">
        <v>319</v>
      </c>
    </row>
    <row r="500" spans="1:21" x14ac:dyDescent="0.25">
      <c r="A500" s="405" t="s">
        <v>310</v>
      </c>
      <c r="B500" s="405" t="s">
        <v>16595</v>
      </c>
      <c r="C500" s="405" t="s">
        <v>327</v>
      </c>
      <c r="D500" s="405"/>
      <c r="E500" s="410">
        <v>43553</v>
      </c>
      <c r="F500" s="410">
        <v>43569</v>
      </c>
      <c r="G500" s="405" t="s">
        <v>16596</v>
      </c>
      <c r="H500" s="405">
        <v>778097293</v>
      </c>
      <c r="I500" s="405"/>
      <c r="J500" s="405">
        <v>1.053383</v>
      </c>
      <c r="K500" s="405">
        <v>34.349027</v>
      </c>
      <c r="L500" s="405" t="s">
        <v>6866</v>
      </c>
      <c r="M500" s="405" t="s">
        <v>6867</v>
      </c>
      <c r="N500" s="405" t="s">
        <v>6868</v>
      </c>
      <c r="O500" s="405" t="s">
        <v>16597</v>
      </c>
      <c r="P500" s="405" t="s">
        <v>6869</v>
      </c>
      <c r="Q500" s="411">
        <v>20</v>
      </c>
      <c r="R500" s="405" t="s">
        <v>5903</v>
      </c>
      <c r="S500" s="405" t="s">
        <v>27153</v>
      </c>
      <c r="T500" s="405" t="s">
        <v>32102</v>
      </c>
      <c r="U500" s="405" t="s">
        <v>319</v>
      </c>
    </row>
    <row r="501" spans="1:21" x14ac:dyDescent="0.25">
      <c r="A501" s="405" t="s">
        <v>310</v>
      </c>
      <c r="B501" s="405" t="s">
        <v>26653</v>
      </c>
      <c r="C501" s="405" t="s">
        <v>327</v>
      </c>
      <c r="D501" s="405"/>
      <c r="E501" s="410">
        <v>44468</v>
      </c>
      <c r="F501" s="410">
        <v>44570</v>
      </c>
      <c r="G501" s="405" t="s">
        <v>26654</v>
      </c>
      <c r="H501" s="405" t="s">
        <v>26655</v>
      </c>
      <c r="I501" s="405" t="s">
        <v>2913</v>
      </c>
      <c r="J501" s="405">
        <v>-0.77507499999999996</v>
      </c>
      <c r="K501" s="405">
        <v>29.810365000000001</v>
      </c>
      <c r="L501" s="405" t="s">
        <v>590</v>
      </c>
      <c r="M501" s="405" t="s">
        <v>19625</v>
      </c>
      <c r="N501" s="405" t="s">
        <v>20342</v>
      </c>
      <c r="O501" s="405" t="s">
        <v>22017</v>
      </c>
      <c r="P501" s="405" t="s">
        <v>20560</v>
      </c>
      <c r="Q501" s="411">
        <v>13</v>
      </c>
      <c r="R501" s="405" t="s">
        <v>6572</v>
      </c>
      <c r="S501" s="405" t="s">
        <v>27280</v>
      </c>
      <c r="T501" s="405" t="s">
        <v>32102</v>
      </c>
      <c r="U501" s="405" t="s">
        <v>319</v>
      </c>
    </row>
    <row r="502" spans="1:21" x14ac:dyDescent="0.25">
      <c r="A502" s="405" t="s">
        <v>310</v>
      </c>
      <c r="B502" s="405" t="s">
        <v>17774</v>
      </c>
      <c r="C502" s="405" t="s">
        <v>327</v>
      </c>
      <c r="D502" s="405"/>
      <c r="E502" s="410">
        <v>44468</v>
      </c>
      <c r="F502" s="410">
        <v>44487</v>
      </c>
      <c r="G502" s="405" t="s">
        <v>17775</v>
      </c>
      <c r="H502" s="405" t="s">
        <v>17776</v>
      </c>
      <c r="I502" s="405" t="s">
        <v>17777</v>
      </c>
      <c r="J502" s="405">
        <v>1.1749149999999999</v>
      </c>
      <c r="K502" s="405">
        <v>34.217917999999997</v>
      </c>
      <c r="L502" s="405" t="s">
        <v>6866</v>
      </c>
      <c r="M502" s="405" t="s">
        <v>9575</v>
      </c>
      <c r="N502" s="405" t="s">
        <v>9852</v>
      </c>
      <c r="O502" s="405" t="s">
        <v>9962</v>
      </c>
      <c r="P502" s="405" t="s">
        <v>17778</v>
      </c>
      <c r="Q502" s="411">
        <v>6</v>
      </c>
      <c r="R502" s="405" t="s">
        <v>17977</v>
      </c>
      <c r="S502" s="405" t="s">
        <v>27294</v>
      </c>
      <c r="T502" s="405" t="s">
        <v>884</v>
      </c>
      <c r="U502" s="405" t="s">
        <v>319</v>
      </c>
    </row>
    <row r="503" spans="1:21" x14ac:dyDescent="0.25">
      <c r="A503" s="405" t="s">
        <v>310</v>
      </c>
      <c r="B503" s="405" t="s">
        <v>9190</v>
      </c>
      <c r="C503" s="405" t="s">
        <v>327</v>
      </c>
      <c r="D503" s="405"/>
      <c r="E503" s="410">
        <v>44467</v>
      </c>
      <c r="F503" s="410">
        <v>44509</v>
      </c>
      <c r="G503" s="405" t="s">
        <v>9191</v>
      </c>
      <c r="H503" s="405" t="s">
        <v>9192</v>
      </c>
      <c r="I503" s="405" t="s">
        <v>9193</v>
      </c>
      <c r="J503" s="405">
        <v>0.31050499999999998</v>
      </c>
      <c r="K503" s="405">
        <v>32.525083000000002</v>
      </c>
      <c r="L503" s="405" t="s">
        <v>314</v>
      </c>
      <c r="M503" s="405" t="s">
        <v>361</v>
      </c>
      <c r="N503" s="405" t="s">
        <v>5924</v>
      </c>
      <c r="O503" s="405" t="s">
        <v>469</v>
      </c>
      <c r="P503" s="405" t="s">
        <v>817</v>
      </c>
      <c r="Q503" s="411">
        <v>4</v>
      </c>
      <c r="R503" s="405" t="s">
        <v>6561</v>
      </c>
      <c r="S503" s="405" t="s">
        <v>27291</v>
      </c>
      <c r="T503" s="405" t="s">
        <v>884</v>
      </c>
      <c r="U503" s="405" t="s">
        <v>319</v>
      </c>
    </row>
    <row r="504" spans="1:21" x14ac:dyDescent="0.25">
      <c r="A504" s="405" t="s">
        <v>310</v>
      </c>
      <c r="B504" s="405" t="s">
        <v>62</v>
      </c>
      <c r="C504" s="405" t="s">
        <v>327</v>
      </c>
      <c r="D504" s="405"/>
      <c r="E504" s="410">
        <v>43526</v>
      </c>
      <c r="F504" s="410">
        <v>43591</v>
      </c>
      <c r="G504" s="405" t="s">
        <v>7357</v>
      </c>
      <c r="H504" s="405">
        <v>752622644</v>
      </c>
      <c r="I504" s="405"/>
      <c r="J504" s="405" t="s">
        <v>7334</v>
      </c>
      <c r="K504" s="405">
        <v>34.189390000000003</v>
      </c>
      <c r="L504" s="405" t="s">
        <v>314</v>
      </c>
      <c r="M504" s="405" t="s">
        <v>361</v>
      </c>
      <c r="N504" s="405" t="s">
        <v>374</v>
      </c>
      <c r="O504" s="405" t="s">
        <v>374</v>
      </c>
      <c r="P504" s="405" t="s">
        <v>7358</v>
      </c>
      <c r="Q504" s="411">
        <v>30</v>
      </c>
      <c r="R504" s="405" t="s">
        <v>5903</v>
      </c>
      <c r="S504" s="405" t="s">
        <v>27153</v>
      </c>
      <c r="T504" s="405" t="s">
        <v>884</v>
      </c>
      <c r="U504" s="405" t="s">
        <v>319</v>
      </c>
    </row>
    <row r="505" spans="1:21" x14ac:dyDescent="0.25">
      <c r="A505" s="405" t="s">
        <v>310</v>
      </c>
      <c r="B505" s="405" t="s">
        <v>9129</v>
      </c>
      <c r="C505" s="405" t="s">
        <v>327</v>
      </c>
      <c r="D505" s="405"/>
      <c r="E505" s="410">
        <v>44466</v>
      </c>
      <c r="F505" s="410">
        <v>44474</v>
      </c>
      <c r="G505" s="405" t="s">
        <v>9130</v>
      </c>
      <c r="H505" s="405" t="s">
        <v>9131</v>
      </c>
      <c r="I505" s="405" t="s">
        <v>2913</v>
      </c>
      <c r="J505" s="405">
        <v>0.65130500000000002</v>
      </c>
      <c r="K505" s="405">
        <v>32.800916999999998</v>
      </c>
      <c r="L505" s="405" t="s">
        <v>314</v>
      </c>
      <c r="M505" s="405" t="s">
        <v>329</v>
      </c>
      <c r="N505" s="405" t="s">
        <v>329</v>
      </c>
      <c r="O505" s="405" t="s">
        <v>4548</v>
      </c>
      <c r="P505" s="405" t="s">
        <v>2266</v>
      </c>
      <c r="Q505" s="411">
        <v>13</v>
      </c>
      <c r="R505" s="405" t="s">
        <v>32101</v>
      </c>
      <c r="S505" s="405" t="s">
        <v>27186</v>
      </c>
      <c r="T505" s="405" t="s">
        <v>32102</v>
      </c>
      <c r="U505" s="405" t="s">
        <v>319</v>
      </c>
    </row>
    <row r="506" spans="1:21" x14ac:dyDescent="0.25">
      <c r="A506" s="405" t="s">
        <v>310</v>
      </c>
      <c r="B506" s="405" t="s">
        <v>9218</v>
      </c>
      <c r="C506" s="405" t="s">
        <v>327</v>
      </c>
      <c r="D506" s="405"/>
      <c r="E506" s="410">
        <v>44464</v>
      </c>
      <c r="F506" s="410">
        <v>44521</v>
      </c>
      <c r="G506" s="405" t="s">
        <v>9219</v>
      </c>
      <c r="H506" s="405" t="s">
        <v>9220</v>
      </c>
      <c r="I506" s="405" t="s">
        <v>9221</v>
      </c>
      <c r="J506" s="405">
        <v>0.34088200000000002</v>
      </c>
      <c r="K506" s="405">
        <v>32.827216999999997</v>
      </c>
      <c r="L506" s="405" t="s">
        <v>314</v>
      </c>
      <c r="M506" s="405" t="s">
        <v>329</v>
      </c>
      <c r="N506" s="405" t="s">
        <v>803</v>
      </c>
      <c r="O506" s="405" t="s">
        <v>653</v>
      </c>
      <c r="P506" s="405" t="s">
        <v>2234</v>
      </c>
      <c r="Q506" s="411">
        <v>6</v>
      </c>
      <c r="R506" s="405" t="s">
        <v>5921</v>
      </c>
      <c r="S506" s="405" t="s">
        <v>32960</v>
      </c>
      <c r="T506" s="405" t="s">
        <v>32102</v>
      </c>
      <c r="U506" s="405" t="s">
        <v>319</v>
      </c>
    </row>
    <row r="507" spans="1:21" x14ac:dyDescent="0.25">
      <c r="A507" s="405" t="s">
        <v>310</v>
      </c>
      <c r="B507" s="405" t="s">
        <v>17733</v>
      </c>
      <c r="C507" s="405" t="s">
        <v>327</v>
      </c>
      <c r="D507" s="405"/>
      <c r="E507" s="410">
        <v>44464</v>
      </c>
      <c r="F507" s="410">
        <v>44475</v>
      </c>
      <c r="G507" s="405" t="s">
        <v>17734</v>
      </c>
      <c r="H507" s="405" t="s">
        <v>17735</v>
      </c>
      <c r="I507" s="405" t="s">
        <v>17736</v>
      </c>
      <c r="J507" s="405">
        <v>1.544697</v>
      </c>
      <c r="K507" s="405">
        <v>33.468322999999998</v>
      </c>
      <c r="L507" s="405" t="s">
        <v>6866</v>
      </c>
      <c r="M507" s="405" t="s">
        <v>9658</v>
      </c>
      <c r="N507" s="405" t="s">
        <v>11057</v>
      </c>
      <c r="O507" s="405" t="s">
        <v>13335</v>
      </c>
      <c r="P507" s="405" t="s">
        <v>13335</v>
      </c>
      <c r="Q507" s="411">
        <v>4</v>
      </c>
      <c r="R507" s="405" t="s">
        <v>5655</v>
      </c>
      <c r="S507" s="405" t="s">
        <v>27289</v>
      </c>
      <c r="T507" s="405" t="s">
        <v>884</v>
      </c>
      <c r="U507" s="405" t="s">
        <v>319</v>
      </c>
    </row>
    <row r="508" spans="1:21" x14ac:dyDescent="0.25">
      <c r="A508" s="405" t="s">
        <v>310</v>
      </c>
      <c r="B508" s="405" t="s">
        <v>9136</v>
      </c>
      <c r="C508" s="405" t="s">
        <v>327</v>
      </c>
      <c r="D508" s="405"/>
      <c r="E508" s="410">
        <v>44463</v>
      </c>
      <c r="F508" s="410">
        <v>44474</v>
      </c>
      <c r="G508" s="405" t="s">
        <v>9137</v>
      </c>
      <c r="H508" s="405" t="s">
        <v>9138</v>
      </c>
      <c r="I508" s="405" t="s">
        <v>9139</v>
      </c>
      <c r="J508" s="405">
        <v>0.34775800000000001</v>
      </c>
      <c r="K508" s="405">
        <v>32.377487000000002</v>
      </c>
      <c r="L508" s="405" t="s">
        <v>314</v>
      </c>
      <c r="M508" s="405" t="s">
        <v>321</v>
      </c>
      <c r="N508" s="405" t="s">
        <v>322</v>
      </c>
      <c r="O508" s="405" t="s">
        <v>1310</v>
      </c>
      <c r="P508" s="405" t="s">
        <v>9140</v>
      </c>
      <c r="Q508" s="411">
        <v>12</v>
      </c>
      <c r="R508" s="405" t="s">
        <v>32101</v>
      </c>
      <c r="S508" s="405" t="s">
        <v>27055</v>
      </c>
      <c r="T508" s="405" t="s">
        <v>32102</v>
      </c>
      <c r="U508" s="405" t="s">
        <v>319</v>
      </c>
    </row>
    <row r="509" spans="1:21" x14ac:dyDescent="0.25">
      <c r="A509" s="405" t="s">
        <v>310</v>
      </c>
      <c r="B509" s="405" t="s">
        <v>9039</v>
      </c>
      <c r="C509" s="405" t="s">
        <v>327</v>
      </c>
      <c r="D509" s="405"/>
      <c r="E509" s="410">
        <v>44461</v>
      </c>
      <c r="F509" s="410">
        <v>44469</v>
      </c>
      <c r="G509" s="405" t="s">
        <v>9040</v>
      </c>
      <c r="H509" s="405" t="s">
        <v>9041</v>
      </c>
      <c r="I509" s="405" t="s">
        <v>9042</v>
      </c>
      <c r="J509" s="405">
        <v>-2.0065E-2</v>
      </c>
      <c r="K509" s="405">
        <v>32.036025000000002</v>
      </c>
      <c r="L509" s="405" t="s">
        <v>314</v>
      </c>
      <c r="M509" s="405" t="s">
        <v>321</v>
      </c>
      <c r="N509" s="405" t="s">
        <v>1854</v>
      </c>
      <c r="O509" s="405" t="s">
        <v>2436</v>
      </c>
      <c r="P509" s="405" t="s">
        <v>9043</v>
      </c>
      <c r="Q509" s="411">
        <v>9</v>
      </c>
      <c r="R509" s="405" t="s">
        <v>32101</v>
      </c>
      <c r="S509" s="405" t="s">
        <v>27217</v>
      </c>
      <c r="T509" s="405" t="s">
        <v>884</v>
      </c>
      <c r="U509" s="405" t="s">
        <v>319</v>
      </c>
    </row>
    <row r="510" spans="1:21" x14ac:dyDescent="0.25">
      <c r="A510" s="405" t="s">
        <v>310</v>
      </c>
      <c r="B510" s="405" t="s">
        <v>26612</v>
      </c>
      <c r="C510" s="405" t="s">
        <v>327</v>
      </c>
      <c r="D510" s="405"/>
      <c r="E510" s="410">
        <v>44461</v>
      </c>
      <c r="F510" s="410">
        <v>44497</v>
      </c>
      <c r="G510" s="405" t="s">
        <v>26613</v>
      </c>
      <c r="H510" s="405" t="s">
        <v>26614</v>
      </c>
      <c r="I510" s="405" t="s">
        <v>26615</v>
      </c>
      <c r="J510" s="405">
        <v>-1.121175</v>
      </c>
      <c r="K510" s="405">
        <v>29.680472999999999</v>
      </c>
      <c r="L510" s="405" t="s">
        <v>590</v>
      </c>
      <c r="M510" s="405" t="s">
        <v>20070</v>
      </c>
      <c r="N510" s="405" t="s">
        <v>26120</v>
      </c>
      <c r="O510" s="405" t="s">
        <v>24115</v>
      </c>
      <c r="P510" s="405" t="s">
        <v>20073</v>
      </c>
      <c r="Q510" s="411">
        <v>6</v>
      </c>
      <c r="R510" s="405" t="s">
        <v>24106</v>
      </c>
      <c r="S510" s="405" t="s">
        <v>27454</v>
      </c>
      <c r="T510" s="405" t="s">
        <v>32102</v>
      </c>
      <c r="U510" s="405" t="s">
        <v>319</v>
      </c>
    </row>
    <row r="511" spans="1:21" x14ac:dyDescent="0.25">
      <c r="A511" s="405" t="s">
        <v>310</v>
      </c>
      <c r="B511" s="405" t="s">
        <v>17425</v>
      </c>
      <c r="C511" s="405" t="s">
        <v>327</v>
      </c>
      <c r="D511" s="405"/>
      <c r="E511" s="410">
        <v>44460</v>
      </c>
      <c r="F511" s="410">
        <v>44478</v>
      </c>
      <c r="G511" s="405" t="s">
        <v>17426</v>
      </c>
      <c r="H511" s="405" t="s">
        <v>17427</v>
      </c>
      <c r="I511" s="405" t="s">
        <v>17428</v>
      </c>
      <c r="J511" s="405">
        <v>1.591153</v>
      </c>
      <c r="K511" s="405">
        <v>33.888272000000001</v>
      </c>
      <c r="L511" s="405" t="s">
        <v>6866</v>
      </c>
      <c r="M511" s="405" t="s">
        <v>10012</v>
      </c>
      <c r="N511" s="405" t="s">
        <v>10012</v>
      </c>
      <c r="O511" s="405" t="s">
        <v>17429</v>
      </c>
      <c r="P511" s="405" t="s">
        <v>17430</v>
      </c>
      <c r="Q511" s="411">
        <v>6</v>
      </c>
      <c r="R511" s="405" t="s">
        <v>17977</v>
      </c>
      <c r="S511" s="405" t="s">
        <v>27056</v>
      </c>
      <c r="T511" s="405" t="s">
        <v>32102</v>
      </c>
      <c r="U511" s="405" t="s">
        <v>319</v>
      </c>
    </row>
    <row r="512" spans="1:21" x14ac:dyDescent="0.25">
      <c r="A512" s="405" t="s">
        <v>310</v>
      </c>
      <c r="B512" s="405" t="s">
        <v>26557</v>
      </c>
      <c r="C512" s="405" t="s">
        <v>327</v>
      </c>
      <c r="D512" s="405"/>
      <c r="E512" s="410">
        <v>44460</v>
      </c>
      <c r="F512" s="410">
        <v>44477</v>
      </c>
      <c r="G512" s="405" t="s">
        <v>26558</v>
      </c>
      <c r="H512" s="405" t="s">
        <v>26559</v>
      </c>
      <c r="I512" s="405" t="s">
        <v>2913</v>
      </c>
      <c r="J512" s="405">
        <v>-0.88563199999999997</v>
      </c>
      <c r="K512" s="405">
        <v>29.805569999999999</v>
      </c>
      <c r="L512" s="405" t="s">
        <v>590</v>
      </c>
      <c r="M512" s="405" t="s">
        <v>20808</v>
      </c>
      <c r="N512" s="405" t="s">
        <v>25663</v>
      </c>
      <c r="O512" s="405" t="s">
        <v>23326</v>
      </c>
      <c r="P512" s="405" t="s">
        <v>25178</v>
      </c>
      <c r="Q512" s="411">
        <v>6</v>
      </c>
      <c r="R512" s="405" t="s">
        <v>6572</v>
      </c>
      <c r="S512" s="405" t="s">
        <v>27137</v>
      </c>
      <c r="T512" s="405" t="s">
        <v>32102</v>
      </c>
      <c r="U512" s="405" t="s">
        <v>319</v>
      </c>
    </row>
    <row r="513" spans="1:21" x14ac:dyDescent="0.25">
      <c r="A513" s="405" t="s">
        <v>310</v>
      </c>
      <c r="B513" s="405" t="s">
        <v>26616</v>
      </c>
      <c r="C513" s="405" t="s">
        <v>327</v>
      </c>
      <c r="D513" s="405"/>
      <c r="E513" s="410">
        <v>44459</v>
      </c>
      <c r="F513" s="410">
        <v>44470</v>
      </c>
      <c r="G513" s="405" t="s">
        <v>26617</v>
      </c>
      <c r="H513" s="405" t="s">
        <v>26618</v>
      </c>
      <c r="I513" s="405" t="s">
        <v>2913</v>
      </c>
      <c r="J513" s="405">
        <v>-8.0808000000000005E-2</v>
      </c>
      <c r="K513" s="405">
        <v>30.804465</v>
      </c>
      <c r="L513" s="405" t="s">
        <v>590</v>
      </c>
      <c r="M513" s="405" t="s">
        <v>2250</v>
      </c>
      <c r="N513" s="405" t="s">
        <v>2250</v>
      </c>
      <c r="O513" s="405" t="s">
        <v>26619</v>
      </c>
      <c r="P513" s="405" t="s">
        <v>26620</v>
      </c>
      <c r="Q513" s="411">
        <v>13</v>
      </c>
      <c r="R513" s="405" t="s">
        <v>874</v>
      </c>
      <c r="S513" s="405" t="s">
        <v>27405</v>
      </c>
      <c r="T513" s="405" t="s">
        <v>32102</v>
      </c>
      <c r="U513" s="405" t="s">
        <v>319</v>
      </c>
    </row>
    <row r="514" spans="1:21" x14ac:dyDescent="0.25">
      <c r="A514" s="405" t="s">
        <v>310</v>
      </c>
      <c r="B514" s="405" t="s">
        <v>9116</v>
      </c>
      <c r="C514" s="405" t="s">
        <v>327</v>
      </c>
      <c r="D514" s="405"/>
      <c r="E514" s="410">
        <v>44459</v>
      </c>
      <c r="F514" s="410">
        <v>44498</v>
      </c>
      <c r="G514" s="405" t="s">
        <v>9117</v>
      </c>
      <c r="H514" s="405" t="s">
        <v>9118</v>
      </c>
      <c r="I514" s="405" t="s">
        <v>9119</v>
      </c>
      <c r="J514" s="405">
        <v>0.83788300000000004</v>
      </c>
      <c r="K514" s="405">
        <v>32.278272999999999</v>
      </c>
      <c r="L514" s="405" t="s">
        <v>314</v>
      </c>
      <c r="M514" s="405" t="s">
        <v>2297</v>
      </c>
      <c r="N514" s="405" t="s">
        <v>8277</v>
      </c>
      <c r="O514" s="405" t="s">
        <v>7999</v>
      </c>
      <c r="P514" s="405" t="s">
        <v>4699</v>
      </c>
      <c r="Q514" s="411">
        <v>6</v>
      </c>
      <c r="R514" s="405" t="s">
        <v>7211</v>
      </c>
      <c r="S514" s="405" t="s">
        <v>27091</v>
      </c>
      <c r="T514" s="405" t="s">
        <v>884</v>
      </c>
      <c r="U514" s="405" t="s">
        <v>319</v>
      </c>
    </row>
    <row r="515" spans="1:21" x14ac:dyDescent="0.25">
      <c r="A515" s="405" t="s">
        <v>310</v>
      </c>
      <c r="B515" s="405" t="s">
        <v>9112</v>
      </c>
      <c r="C515" s="405" t="s">
        <v>327</v>
      </c>
      <c r="D515" s="405"/>
      <c r="E515" s="410">
        <v>44459</v>
      </c>
      <c r="F515" s="410">
        <v>44497</v>
      </c>
      <c r="G515" s="405" t="s">
        <v>9113</v>
      </c>
      <c r="H515" s="405" t="s">
        <v>9114</v>
      </c>
      <c r="I515" s="405" t="s">
        <v>9115</v>
      </c>
      <c r="J515" s="405">
        <v>1.1230169999999999</v>
      </c>
      <c r="K515" s="405">
        <v>31.924800000000001</v>
      </c>
      <c r="L515" s="405" t="s">
        <v>314</v>
      </c>
      <c r="M515" s="405" t="s">
        <v>2297</v>
      </c>
      <c r="N515" s="405" t="s">
        <v>7248</v>
      </c>
      <c r="O515" s="405" t="s">
        <v>2520</v>
      </c>
      <c r="P515" s="405" t="s">
        <v>913</v>
      </c>
      <c r="Q515" s="411">
        <v>6</v>
      </c>
      <c r="R515" s="405" t="s">
        <v>7211</v>
      </c>
      <c r="S515" s="405" t="s">
        <v>27091</v>
      </c>
      <c r="T515" s="405" t="s">
        <v>884</v>
      </c>
      <c r="U515" s="405" t="s">
        <v>319</v>
      </c>
    </row>
    <row r="516" spans="1:21" x14ac:dyDescent="0.25">
      <c r="A516" s="405" t="s">
        <v>310</v>
      </c>
      <c r="B516" s="405" t="s">
        <v>9097</v>
      </c>
      <c r="C516" s="405" t="s">
        <v>327</v>
      </c>
      <c r="D516" s="405"/>
      <c r="E516" s="410">
        <v>44459</v>
      </c>
      <c r="F516" s="410">
        <v>44496</v>
      </c>
      <c r="G516" s="405" t="s">
        <v>9098</v>
      </c>
      <c r="H516" s="405" t="s">
        <v>9099</v>
      </c>
      <c r="I516" s="405" t="s">
        <v>9100</v>
      </c>
      <c r="J516" s="405">
        <v>1.1937450000000001</v>
      </c>
      <c r="K516" s="405">
        <v>31.990894999999998</v>
      </c>
      <c r="L516" s="405" t="s">
        <v>314</v>
      </c>
      <c r="M516" s="405" t="s">
        <v>2297</v>
      </c>
      <c r="N516" s="405" t="s">
        <v>7248</v>
      </c>
      <c r="O516" s="405" t="s">
        <v>9084</v>
      </c>
      <c r="P516" s="405" t="s">
        <v>9101</v>
      </c>
      <c r="Q516" s="411">
        <v>6</v>
      </c>
      <c r="R516" s="405" t="s">
        <v>7211</v>
      </c>
      <c r="S516" s="405" t="s">
        <v>27091</v>
      </c>
      <c r="T516" s="405" t="s">
        <v>884</v>
      </c>
      <c r="U516" s="405" t="s">
        <v>319</v>
      </c>
    </row>
    <row r="517" spans="1:21" x14ac:dyDescent="0.25">
      <c r="A517" s="405" t="s">
        <v>310</v>
      </c>
      <c r="B517" s="405" t="s">
        <v>17707</v>
      </c>
      <c r="C517" s="405" t="s">
        <v>327</v>
      </c>
      <c r="D517" s="405"/>
      <c r="E517" s="410">
        <v>44459</v>
      </c>
      <c r="F517" s="410">
        <v>44465</v>
      </c>
      <c r="G517" s="405" t="s">
        <v>17708</v>
      </c>
      <c r="H517" s="405" t="s">
        <v>17709</v>
      </c>
      <c r="I517" s="405" t="s">
        <v>2913</v>
      </c>
      <c r="J517" s="405">
        <v>2.3699949999999999</v>
      </c>
      <c r="K517" s="405">
        <v>34.521583</v>
      </c>
      <c r="L517" s="405" t="s">
        <v>6866</v>
      </c>
      <c r="M517" s="405" t="s">
        <v>16584</v>
      </c>
      <c r="N517" s="405" t="s">
        <v>16586</v>
      </c>
      <c r="O517" s="405" t="s">
        <v>16586</v>
      </c>
      <c r="P517" s="405" t="s">
        <v>17710</v>
      </c>
      <c r="Q517" s="411">
        <v>6</v>
      </c>
      <c r="R517" s="405" t="s">
        <v>7269</v>
      </c>
      <c r="S517" s="405" t="s">
        <v>27039</v>
      </c>
      <c r="T517" s="405" t="s">
        <v>884</v>
      </c>
      <c r="U517" s="405" t="s">
        <v>319</v>
      </c>
    </row>
    <row r="518" spans="1:21" x14ac:dyDescent="0.25">
      <c r="A518" s="405" t="s">
        <v>310</v>
      </c>
      <c r="B518" s="405" t="s">
        <v>17711</v>
      </c>
      <c r="C518" s="405" t="s">
        <v>327</v>
      </c>
      <c r="D518" s="405"/>
      <c r="E518" s="410">
        <v>44459</v>
      </c>
      <c r="F518" s="410">
        <v>44465</v>
      </c>
      <c r="G518" s="405" t="s">
        <v>17712</v>
      </c>
      <c r="H518" s="405" t="s">
        <v>17713</v>
      </c>
      <c r="I518" s="405" t="s">
        <v>2913</v>
      </c>
      <c r="J518" s="405">
        <v>2.3717869999999999</v>
      </c>
      <c r="K518" s="405">
        <v>34.519198000000003</v>
      </c>
      <c r="L518" s="405" t="s">
        <v>6866</v>
      </c>
      <c r="M518" s="405" t="s">
        <v>16584</v>
      </c>
      <c r="N518" s="405" t="s">
        <v>16586</v>
      </c>
      <c r="O518" s="405" t="s">
        <v>16586</v>
      </c>
      <c r="P518" s="405" t="s">
        <v>17714</v>
      </c>
      <c r="Q518" s="411">
        <v>6</v>
      </c>
      <c r="R518" s="405" t="s">
        <v>7269</v>
      </c>
      <c r="S518" s="405" t="s">
        <v>27181</v>
      </c>
      <c r="T518" s="405" t="s">
        <v>884</v>
      </c>
      <c r="U518" s="405" t="s">
        <v>319</v>
      </c>
    </row>
    <row r="519" spans="1:21" x14ac:dyDescent="0.25">
      <c r="A519" s="405" t="s">
        <v>310</v>
      </c>
      <c r="B519" s="405" t="s">
        <v>9107</v>
      </c>
      <c r="C519" s="405" t="s">
        <v>327</v>
      </c>
      <c r="D519" s="405"/>
      <c r="E519" s="410">
        <v>44458</v>
      </c>
      <c r="F519" s="410">
        <v>44497</v>
      </c>
      <c r="G519" s="405" t="s">
        <v>9108</v>
      </c>
      <c r="H519" s="405" t="s">
        <v>9109</v>
      </c>
      <c r="I519" s="405" t="s">
        <v>9110</v>
      </c>
      <c r="J519" s="405">
        <v>1.343655</v>
      </c>
      <c r="K519" s="405">
        <v>31.854559999999999</v>
      </c>
      <c r="L519" s="405" t="s">
        <v>314</v>
      </c>
      <c r="M519" s="405" t="s">
        <v>2297</v>
      </c>
      <c r="N519" s="405" t="s">
        <v>7248</v>
      </c>
      <c r="O519" s="405" t="s">
        <v>1215</v>
      </c>
      <c r="P519" s="405" t="s">
        <v>9111</v>
      </c>
      <c r="Q519" s="411">
        <v>6</v>
      </c>
      <c r="R519" s="405" t="s">
        <v>7211</v>
      </c>
      <c r="S519" s="405" t="s">
        <v>27091</v>
      </c>
      <c r="T519" s="405" t="s">
        <v>884</v>
      </c>
      <c r="U519" s="405" t="s">
        <v>319</v>
      </c>
    </row>
    <row r="520" spans="1:21" x14ac:dyDescent="0.25">
      <c r="A520" s="405" t="s">
        <v>310</v>
      </c>
      <c r="B520" s="405" t="s">
        <v>9086</v>
      </c>
      <c r="C520" s="405" t="s">
        <v>327</v>
      </c>
      <c r="D520" s="405"/>
      <c r="E520" s="410">
        <v>44458</v>
      </c>
      <c r="F520" s="410">
        <v>44496</v>
      </c>
      <c r="G520" s="405" t="s">
        <v>9087</v>
      </c>
      <c r="H520" s="405" t="s">
        <v>9088</v>
      </c>
      <c r="I520" s="405" t="s">
        <v>9089</v>
      </c>
      <c r="J520" s="405">
        <v>1.0969720000000001</v>
      </c>
      <c r="K520" s="405">
        <v>32.025894999999998</v>
      </c>
      <c r="L520" s="405" t="s">
        <v>314</v>
      </c>
      <c r="M520" s="405" t="s">
        <v>2297</v>
      </c>
      <c r="N520" s="405" t="s">
        <v>7248</v>
      </c>
      <c r="O520" s="405" t="s">
        <v>9090</v>
      </c>
      <c r="P520" s="405" t="s">
        <v>9091</v>
      </c>
      <c r="Q520" s="411">
        <v>6</v>
      </c>
      <c r="R520" s="405" t="s">
        <v>7211</v>
      </c>
      <c r="S520" s="405" t="s">
        <v>27091</v>
      </c>
      <c r="T520" s="405" t="s">
        <v>884</v>
      </c>
      <c r="U520" s="405" t="s">
        <v>319</v>
      </c>
    </row>
    <row r="521" spans="1:21" x14ac:dyDescent="0.25">
      <c r="A521" s="405" t="s">
        <v>310</v>
      </c>
      <c r="B521" s="405" t="s">
        <v>9102</v>
      </c>
      <c r="C521" s="405" t="s">
        <v>327</v>
      </c>
      <c r="D521" s="405"/>
      <c r="E521" s="410">
        <v>44457</v>
      </c>
      <c r="F521" s="410">
        <v>44497</v>
      </c>
      <c r="G521" s="405" t="s">
        <v>9103</v>
      </c>
      <c r="H521" s="405" t="s">
        <v>9104</v>
      </c>
      <c r="I521" s="405" t="s">
        <v>9105</v>
      </c>
      <c r="J521" s="405">
        <v>1.3982319999999999</v>
      </c>
      <c r="K521" s="405">
        <v>32.030597</v>
      </c>
      <c r="L521" s="405" t="s">
        <v>314</v>
      </c>
      <c r="M521" s="405" t="s">
        <v>2297</v>
      </c>
      <c r="N521" s="405" t="s">
        <v>7248</v>
      </c>
      <c r="O521" s="405" t="s">
        <v>1215</v>
      </c>
      <c r="P521" s="405" t="s">
        <v>9106</v>
      </c>
      <c r="Q521" s="411">
        <v>6</v>
      </c>
      <c r="R521" s="405" t="s">
        <v>7211</v>
      </c>
      <c r="S521" s="405" t="s">
        <v>27091</v>
      </c>
      <c r="T521" s="405" t="s">
        <v>884</v>
      </c>
      <c r="U521" s="405" t="s">
        <v>319</v>
      </c>
    </row>
    <row r="522" spans="1:21" x14ac:dyDescent="0.25">
      <c r="A522" s="405" t="s">
        <v>310</v>
      </c>
      <c r="B522" s="405" t="s">
        <v>9092</v>
      </c>
      <c r="C522" s="405" t="s">
        <v>327</v>
      </c>
      <c r="D522" s="405"/>
      <c r="E522" s="410">
        <v>44456</v>
      </c>
      <c r="F522" s="410">
        <v>44496</v>
      </c>
      <c r="G522" s="405" t="s">
        <v>9093</v>
      </c>
      <c r="H522" s="405" t="s">
        <v>9094</v>
      </c>
      <c r="I522" s="405" t="s">
        <v>9095</v>
      </c>
      <c r="J522" s="405">
        <v>1.2178629999999999</v>
      </c>
      <c r="K522" s="405">
        <v>32.088915</v>
      </c>
      <c r="L522" s="405" t="s">
        <v>314</v>
      </c>
      <c r="M522" s="405" t="s">
        <v>2297</v>
      </c>
      <c r="N522" s="405" t="s">
        <v>7248</v>
      </c>
      <c r="O522" s="405" t="s">
        <v>9084</v>
      </c>
      <c r="P522" s="405" t="s">
        <v>9096</v>
      </c>
      <c r="Q522" s="411">
        <v>6</v>
      </c>
      <c r="R522" s="405" t="s">
        <v>7211</v>
      </c>
      <c r="S522" s="405" t="s">
        <v>27091</v>
      </c>
      <c r="T522" s="405" t="s">
        <v>884</v>
      </c>
      <c r="U522" s="405" t="s">
        <v>319</v>
      </c>
    </row>
    <row r="523" spans="1:21" x14ac:dyDescent="0.25">
      <c r="A523" s="405" t="s">
        <v>310</v>
      </c>
      <c r="B523" s="405" t="s">
        <v>9079</v>
      </c>
      <c r="C523" s="405" t="s">
        <v>327</v>
      </c>
      <c r="D523" s="405"/>
      <c r="E523" s="410">
        <v>44456</v>
      </c>
      <c r="F523" s="410">
        <v>44496</v>
      </c>
      <c r="G523" s="405" t="s">
        <v>9080</v>
      </c>
      <c r="H523" s="405" t="s">
        <v>9081</v>
      </c>
      <c r="I523" s="405" t="s">
        <v>9082</v>
      </c>
      <c r="J523" s="405">
        <v>1.173168</v>
      </c>
      <c r="K523" s="405">
        <v>32.019188</v>
      </c>
      <c r="L523" s="405" t="s">
        <v>314</v>
      </c>
      <c r="M523" s="405" t="s">
        <v>2297</v>
      </c>
      <c r="N523" s="405" t="s">
        <v>9083</v>
      </c>
      <c r="O523" s="405" t="s">
        <v>9084</v>
      </c>
      <c r="P523" s="405" t="s">
        <v>9085</v>
      </c>
      <c r="Q523" s="411">
        <v>6</v>
      </c>
      <c r="R523" s="405" t="s">
        <v>7211</v>
      </c>
      <c r="S523" s="405" t="s">
        <v>27091</v>
      </c>
      <c r="T523" s="405" t="s">
        <v>32102</v>
      </c>
      <c r="U523" s="405" t="s">
        <v>319</v>
      </c>
    </row>
    <row r="524" spans="1:21" x14ac:dyDescent="0.25">
      <c r="A524" s="405" t="s">
        <v>310</v>
      </c>
      <c r="B524" s="405" t="s">
        <v>17704</v>
      </c>
      <c r="C524" s="405" t="s">
        <v>327</v>
      </c>
      <c r="D524" s="405"/>
      <c r="E524" s="410">
        <v>44455</v>
      </c>
      <c r="F524" s="410">
        <v>44465</v>
      </c>
      <c r="G524" s="405" t="s">
        <v>17705</v>
      </c>
      <c r="H524" s="405" t="s">
        <v>17690</v>
      </c>
      <c r="I524" s="405" t="s">
        <v>2913</v>
      </c>
      <c r="J524" s="405">
        <v>2.3723429999999999</v>
      </c>
      <c r="K524" s="405">
        <v>34.525683000000001</v>
      </c>
      <c r="L524" s="405" t="s">
        <v>6866</v>
      </c>
      <c r="M524" s="405" t="s">
        <v>16584</v>
      </c>
      <c r="N524" s="405" t="s">
        <v>16586</v>
      </c>
      <c r="O524" s="405" t="s">
        <v>16586</v>
      </c>
      <c r="P524" s="405" t="s">
        <v>17706</v>
      </c>
      <c r="Q524" s="411">
        <v>6</v>
      </c>
      <c r="R524" s="405" t="s">
        <v>7269</v>
      </c>
      <c r="S524" s="405" t="s">
        <v>27202</v>
      </c>
      <c r="T524" s="405" t="s">
        <v>32102</v>
      </c>
      <c r="U524" s="405" t="s">
        <v>319</v>
      </c>
    </row>
    <row r="525" spans="1:21" x14ac:dyDescent="0.25">
      <c r="A525" s="405" t="s">
        <v>310</v>
      </c>
      <c r="B525" s="405" t="s">
        <v>26535</v>
      </c>
      <c r="C525" s="405" t="s">
        <v>327</v>
      </c>
      <c r="D525" s="405"/>
      <c r="E525" s="410">
        <v>44454</v>
      </c>
      <c r="F525" s="410">
        <v>44468</v>
      </c>
      <c r="G525" s="405" t="s">
        <v>26536</v>
      </c>
      <c r="H525" s="405" t="s">
        <v>26537</v>
      </c>
      <c r="I525" s="405" t="s">
        <v>26538</v>
      </c>
      <c r="J525" s="405">
        <v>1.6048E-2</v>
      </c>
      <c r="K525" s="405">
        <v>29.890740000000001</v>
      </c>
      <c r="L525" s="405" t="s">
        <v>590</v>
      </c>
      <c r="M525" s="405" t="s">
        <v>21087</v>
      </c>
      <c r="N525" s="405" t="s">
        <v>21515</v>
      </c>
      <c r="O525" s="405" t="s">
        <v>21336</v>
      </c>
      <c r="P525" s="405" t="s">
        <v>21336</v>
      </c>
      <c r="Q525" s="411">
        <v>9</v>
      </c>
      <c r="R525" s="405" t="s">
        <v>7224</v>
      </c>
      <c r="S525" s="405" t="s">
        <v>27243</v>
      </c>
      <c r="T525" s="405" t="s">
        <v>32102</v>
      </c>
      <c r="U525" s="405" t="s">
        <v>319</v>
      </c>
    </row>
    <row r="526" spans="1:21" x14ac:dyDescent="0.25">
      <c r="A526" s="405" t="s">
        <v>310</v>
      </c>
      <c r="B526" s="405" t="s">
        <v>19292</v>
      </c>
      <c r="C526" s="405" t="s">
        <v>327</v>
      </c>
      <c r="D526" s="405"/>
      <c r="E526" s="410">
        <v>44453</v>
      </c>
      <c r="F526" s="410">
        <v>44467</v>
      </c>
      <c r="G526" s="405" t="s">
        <v>19293</v>
      </c>
      <c r="H526" s="405" t="s">
        <v>19294</v>
      </c>
      <c r="I526" s="405" t="s">
        <v>19295</v>
      </c>
      <c r="J526" s="405">
        <v>2.8735529999999998</v>
      </c>
      <c r="K526" s="405">
        <v>30.984400000000001</v>
      </c>
      <c r="L526" s="405" t="s">
        <v>860</v>
      </c>
      <c r="M526" s="405" t="s">
        <v>19025</v>
      </c>
      <c r="N526" s="405" t="s">
        <v>19064</v>
      </c>
      <c r="O526" s="405" t="s">
        <v>19296</v>
      </c>
      <c r="P526" s="405" t="s">
        <v>19297</v>
      </c>
      <c r="Q526" s="411">
        <v>6</v>
      </c>
      <c r="R526" s="405" t="s">
        <v>4176</v>
      </c>
      <c r="S526" s="405" t="s">
        <v>27281</v>
      </c>
      <c r="T526" s="405" t="s">
        <v>884</v>
      </c>
      <c r="U526" s="405" t="s">
        <v>319</v>
      </c>
    </row>
    <row r="527" spans="1:21" x14ac:dyDescent="0.25">
      <c r="A527" s="405" t="s">
        <v>310</v>
      </c>
      <c r="B527" s="405" t="s">
        <v>17740</v>
      </c>
      <c r="C527" s="405" t="s">
        <v>327</v>
      </c>
      <c r="D527" s="405"/>
      <c r="E527" s="410">
        <v>44452</v>
      </c>
      <c r="F527" s="410">
        <v>44482</v>
      </c>
      <c r="G527" s="405" t="s">
        <v>17741</v>
      </c>
      <c r="H527" s="405" t="s">
        <v>17742</v>
      </c>
      <c r="I527" s="405" t="s">
        <v>17743</v>
      </c>
      <c r="J527" s="405">
        <v>1.050821</v>
      </c>
      <c r="K527" s="405">
        <v>34.189357999999999</v>
      </c>
      <c r="L527" s="405" t="s">
        <v>6866</v>
      </c>
      <c r="M527" s="405" t="s">
        <v>9514</v>
      </c>
      <c r="N527" s="405" t="s">
        <v>12948</v>
      </c>
      <c r="O527" s="405" t="s">
        <v>9714</v>
      </c>
      <c r="P527" s="405" t="s">
        <v>17744</v>
      </c>
      <c r="Q527" s="411">
        <v>4</v>
      </c>
      <c r="R527" s="405" t="s">
        <v>7224</v>
      </c>
      <c r="S527" s="405" t="s">
        <v>27283</v>
      </c>
      <c r="T527" s="405" t="s">
        <v>32102</v>
      </c>
      <c r="U527" s="405" t="s">
        <v>319</v>
      </c>
    </row>
    <row r="528" spans="1:21" x14ac:dyDescent="0.25">
      <c r="A528" s="405" t="s">
        <v>310</v>
      </c>
      <c r="B528" s="405" t="s">
        <v>9120</v>
      </c>
      <c r="C528" s="405" t="s">
        <v>327</v>
      </c>
      <c r="D528" s="405"/>
      <c r="E528" s="410">
        <v>44451</v>
      </c>
      <c r="F528" s="410">
        <v>44473</v>
      </c>
      <c r="G528" s="405" t="s">
        <v>9121</v>
      </c>
      <c r="H528" s="405" t="s">
        <v>9122</v>
      </c>
      <c r="I528" s="405" t="s">
        <v>2913</v>
      </c>
      <c r="J528" s="405">
        <v>0.39106200000000002</v>
      </c>
      <c r="K528" s="405">
        <v>32.476215000000003</v>
      </c>
      <c r="L528" s="405" t="s">
        <v>314</v>
      </c>
      <c r="M528" s="405" t="s">
        <v>361</v>
      </c>
      <c r="N528" s="405" t="s">
        <v>374</v>
      </c>
      <c r="O528" s="405" t="s">
        <v>361</v>
      </c>
      <c r="P528" s="405" t="s">
        <v>361</v>
      </c>
      <c r="Q528" s="411">
        <v>9</v>
      </c>
      <c r="R528" s="405" t="s">
        <v>32101</v>
      </c>
      <c r="S528" s="405" t="s">
        <v>27132</v>
      </c>
      <c r="T528" s="405" t="s">
        <v>32102</v>
      </c>
      <c r="U528" s="405" t="s">
        <v>319</v>
      </c>
    </row>
    <row r="529" spans="1:21" x14ac:dyDescent="0.25">
      <c r="A529" s="405" t="s">
        <v>310</v>
      </c>
      <c r="B529" s="405" t="s">
        <v>26606</v>
      </c>
      <c r="C529" s="405" t="s">
        <v>327</v>
      </c>
      <c r="D529" s="405"/>
      <c r="E529" s="410">
        <v>44451</v>
      </c>
      <c r="F529" s="410">
        <v>44488</v>
      </c>
      <c r="G529" s="405" t="s">
        <v>26607</v>
      </c>
      <c r="H529" s="405" t="s">
        <v>26608</v>
      </c>
      <c r="I529" s="405" t="s">
        <v>2913</v>
      </c>
      <c r="J529" s="405">
        <v>-1.1208830000000001</v>
      </c>
      <c r="K529" s="405">
        <v>29.680353</v>
      </c>
      <c r="L529" s="405" t="s">
        <v>590</v>
      </c>
      <c r="M529" s="405" t="s">
        <v>20070</v>
      </c>
      <c r="N529" s="405" t="s">
        <v>26120</v>
      </c>
      <c r="O529" s="405" t="s">
        <v>24115</v>
      </c>
      <c r="P529" s="405" t="s">
        <v>20073</v>
      </c>
      <c r="Q529" s="411">
        <v>6</v>
      </c>
      <c r="R529" s="405" t="s">
        <v>24106</v>
      </c>
      <c r="S529" s="405" t="s">
        <v>27454</v>
      </c>
      <c r="T529" s="405" t="s">
        <v>32102</v>
      </c>
      <c r="U529" s="405" t="s">
        <v>319</v>
      </c>
    </row>
    <row r="530" spans="1:21" x14ac:dyDescent="0.25">
      <c r="A530" s="405" t="s">
        <v>310</v>
      </c>
      <c r="B530" s="405" t="s">
        <v>17816</v>
      </c>
      <c r="C530" s="405" t="s">
        <v>327</v>
      </c>
      <c r="D530" s="405"/>
      <c r="E530" s="410">
        <v>44449</v>
      </c>
      <c r="F530" s="410">
        <v>44506</v>
      </c>
      <c r="G530" s="405" t="s">
        <v>17817</v>
      </c>
      <c r="H530" s="405" t="s">
        <v>17818</v>
      </c>
      <c r="I530" s="405" t="s">
        <v>2913</v>
      </c>
      <c r="J530" s="405">
        <v>0.46648000000000001</v>
      </c>
      <c r="K530" s="405">
        <v>33.676347</v>
      </c>
      <c r="L530" s="405" t="s">
        <v>6866</v>
      </c>
      <c r="M530" s="405" t="s">
        <v>13470</v>
      </c>
      <c r="N530" s="405" t="s">
        <v>15155</v>
      </c>
      <c r="O530" s="405" t="s">
        <v>14315</v>
      </c>
      <c r="P530" s="405" t="s">
        <v>17819</v>
      </c>
      <c r="Q530" s="411">
        <v>9</v>
      </c>
      <c r="R530" s="405" t="s">
        <v>32164</v>
      </c>
      <c r="S530" s="405" t="s">
        <v>27044</v>
      </c>
      <c r="T530" s="405" t="s">
        <v>884</v>
      </c>
      <c r="U530" s="405" t="s">
        <v>319</v>
      </c>
    </row>
    <row r="531" spans="1:21" x14ac:dyDescent="0.25">
      <c r="A531" s="405" t="s">
        <v>310</v>
      </c>
      <c r="B531" s="405" t="s">
        <v>17723</v>
      </c>
      <c r="C531" s="405" t="s">
        <v>327</v>
      </c>
      <c r="D531" s="405"/>
      <c r="E531" s="410">
        <v>44449</v>
      </c>
      <c r="F531" s="410">
        <v>44469</v>
      </c>
      <c r="G531" s="405" t="s">
        <v>17724</v>
      </c>
      <c r="H531" s="405" t="s">
        <v>17725</v>
      </c>
      <c r="I531" s="405" t="s">
        <v>2913</v>
      </c>
      <c r="J531" s="405">
        <v>2.4359600000000001</v>
      </c>
      <c r="K531" s="405">
        <v>34.484572999999997</v>
      </c>
      <c r="L531" s="405" t="s">
        <v>6866</v>
      </c>
      <c r="M531" s="405" t="s">
        <v>16584</v>
      </c>
      <c r="N531" s="405" t="s">
        <v>17508</v>
      </c>
      <c r="O531" s="405" t="s">
        <v>17508</v>
      </c>
      <c r="P531" s="405" t="s">
        <v>17508</v>
      </c>
      <c r="Q531" s="411">
        <v>9</v>
      </c>
      <c r="R531" s="405" t="s">
        <v>7269</v>
      </c>
      <c r="S531" s="405" t="s">
        <v>27039</v>
      </c>
      <c r="T531" s="405" t="s">
        <v>32102</v>
      </c>
      <c r="U531" s="405" t="s">
        <v>319</v>
      </c>
    </row>
    <row r="532" spans="1:21" x14ac:dyDescent="0.25">
      <c r="A532" s="405" t="s">
        <v>310</v>
      </c>
      <c r="B532" s="405" t="s">
        <v>26562</v>
      </c>
      <c r="C532" s="405" t="s">
        <v>327</v>
      </c>
      <c r="D532" s="405"/>
      <c r="E532" s="410">
        <v>44449</v>
      </c>
      <c r="F532" s="410">
        <v>44477</v>
      </c>
      <c r="G532" s="405" t="s">
        <v>26563</v>
      </c>
      <c r="H532" s="405" t="s">
        <v>26564</v>
      </c>
      <c r="I532" s="405" t="s">
        <v>26565</v>
      </c>
      <c r="J532" s="405">
        <v>-0.87660700000000003</v>
      </c>
      <c r="K532" s="405">
        <v>29.821863</v>
      </c>
      <c r="L532" s="405" t="s">
        <v>590</v>
      </c>
      <c r="M532" s="405" t="s">
        <v>20808</v>
      </c>
      <c r="N532" s="405" t="s">
        <v>23390</v>
      </c>
      <c r="O532" s="405" t="s">
        <v>26566</v>
      </c>
      <c r="P532" s="405" t="s">
        <v>25373</v>
      </c>
      <c r="Q532" s="411">
        <v>6</v>
      </c>
      <c r="R532" s="405" t="s">
        <v>6572</v>
      </c>
      <c r="S532" s="405" t="s">
        <v>27095</v>
      </c>
      <c r="T532" s="405" t="s">
        <v>884</v>
      </c>
      <c r="U532" s="405" t="s">
        <v>319</v>
      </c>
    </row>
    <row r="533" spans="1:21" x14ac:dyDescent="0.25">
      <c r="A533" s="405" t="s">
        <v>310</v>
      </c>
      <c r="B533" s="405" t="s">
        <v>17700</v>
      </c>
      <c r="C533" s="405" t="s">
        <v>327</v>
      </c>
      <c r="D533" s="405"/>
      <c r="E533" s="410">
        <v>44449</v>
      </c>
      <c r="F533" s="410">
        <v>44465</v>
      </c>
      <c r="G533" s="405" t="s">
        <v>17701</v>
      </c>
      <c r="H533" s="405" t="s">
        <v>17702</v>
      </c>
      <c r="I533" s="405" t="s">
        <v>17703</v>
      </c>
      <c r="J533" s="405">
        <v>2.3685879999999999</v>
      </c>
      <c r="K533" s="405">
        <v>34.528227000000001</v>
      </c>
      <c r="L533" s="405" t="s">
        <v>6866</v>
      </c>
      <c r="M533" s="405" t="s">
        <v>16584</v>
      </c>
      <c r="N533" s="405" t="s">
        <v>16586</v>
      </c>
      <c r="O533" s="405" t="s">
        <v>16586</v>
      </c>
      <c r="P533" s="405" t="s">
        <v>17699</v>
      </c>
      <c r="Q533" s="411">
        <v>6</v>
      </c>
      <c r="R533" s="405" t="s">
        <v>7269</v>
      </c>
      <c r="S533" s="405" t="s">
        <v>27372</v>
      </c>
      <c r="T533" s="405" t="s">
        <v>884</v>
      </c>
      <c r="U533" s="405" t="s">
        <v>319</v>
      </c>
    </row>
    <row r="534" spans="1:21" x14ac:dyDescent="0.25">
      <c r="A534" s="405" t="s">
        <v>310</v>
      </c>
      <c r="B534" s="405" t="s">
        <v>17692</v>
      </c>
      <c r="C534" s="405" t="s">
        <v>327</v>
      </c>
      <c r="D534" s="405"/>
      <c r="E534" s="410">
        <v>44449</v>
      </c>
      <c r="F534" s="410">
        <v>44465</v>
      </c>
      <c r="G534" s="405" t="s">
        <v>17693</v>
      </c>
      <c r="H534" s="405" t="s">
        <v>17694</v>
      </c>
      <c r="I534" s="405" t="s">
        <v>2913</v>
      </c>
      <c r="J534" s="405">
        <v>2.5148700000000002</v>
      </c>
      <c r="K534" s="405">
        <v>34.656585</v>
      </c>
      <c r="L534" s="405" t="s">
        <v>6866</v>
      </c>
      <c r="M534" s="405" t="s">
        <v>16319</v>
      </c>
      <c r="N534" s="405" t="s">
        <v>16320</v>
      </c>
      <c r="O534" s="405" t="s">
        <v>16320</v>
      </c>
      <c r="P534" s="405" t="s">
        <v>17695</v>
      </c>
      <c r="Q534" s="411">
        <v>6</v>
      </c>
      <c r="R534" s="405" t="s">
        <v>7269</v>
      </c>
      <c r="S534" s="405" t="s">
        <v>27039</v>
      </c>
      <c r="T534" s="405" t="s">
        <v>884</v>
      </c>
      <c r="U534" s="405" t="s">
        <v>319</v>
      </c>
    </row>
    <row r="535" spans="1:21" x14ac:dyDescent="0.25">
      <c r="A535" s="405" t="s">
        <v>310</v>
      </c>
      <c r="B535" s="405" t="s">
        <v>19300</v>
      </c>
      <c r="C535" s="405" t="s">
        <v>327</v>
      </c>
      <c r="D535" s="405"/>
      <c r="E535" s="410">
        <v>44449</v>
      </c>
      <c r="F535" s="410">
        <v>44456</v>
      </c>
      <c r="G535" s="405" t="s">
        <v>19301</v>
      </c>
      <c r="H535" s="405" t="s">
        <v>19302</v>
      </c>
      <c r="I535" s="405" t="s">
        <v>19303</v>
      </c>
      <c r="J535" s="405">
        <v>3.0261670000000001</v>
      </c>
      <c r="K535" s="405">
        <v>30.922364999999999</v>
      </c>
      <c r="L535" s="405" t="s">
        <v>860</v>
      </c>
      <c r="M535" s="405" t="s">
        <v>19025</v>
      </c>
      <c r="N535" s="405" t="s">
        <v>19283</v>
      </c>
      <c r="O535" s="405" t="s">
        <v>19304</v>
      </c>
      <c r="P535" s="405" t="s">
        <v>19305</v>
      </c>
      <c r="Q535" s="411">
        <v>6</v>
      </c>
      <c r="R535" s="405" t="s">
        <v>4176</v>
      </c>
      <c r="S535" s="405" t="s">
        <v>27059</v>
      </c>
      <c r="T535" s="405" t="s">
        <v>32102</v>
      </c>
      <c r="U535" s="405" t="s">
        <v>319</v>
      </c>
    </row>
    <row r="536" spans="1:21" x14ac:dyDescent="0.25">
      <c r="A536" s="405" t="s">
        <v>310</v>
      </c>
      <c r="B536" s="405" t="s">
        <v>17766</v>
      </c>
      <c r="C536" s="405" t="s">
        <v>327</v>
      </c>
      <c r="D536" s="405"/>
      <c r="E536" s="410">
        <v>44447</v>
      </c>
      <c r="F536" s="410">
        <v>44494</v>
      </c>
      <c r="G536" s="405" t="s">
        <v>17767</v>
      </c>
      <c r="H536" s="405" t="s">
        <v>17768</v>
      </c>
      <c r="I536" s="405" t="s">
        <v>2913</v>
      </c>
      <c r="J536" s="405">
        <v>1.0365489999999999</v>
      </c>
      <c r="K536" s="405">
        <v>33.201734000000002</v>
      </c>
      <c r="L536" s="405" t="s">
        <v>6866</v>
      </c>
      <c r="M536" s="405" t="s">
        <v>9520</v>
      </c>
      <c r="N536" s="405" t="s">
        <v>9520</v>
      </c>
      <c r="O536" s="405" t="s">
        <v>10449</v>
      </c>
      <c r="P536" s="405" t="s">
        <v>17769</v>
      </c>
      <c r="Q536" s="411">
        <v>13</v>
      </c>
      <c r="R536" s="405" t="s">
        <v>32164</v>
      </c>
      <c r="S536" s="405" t="s">
        <v>27054</v>
      </c>
      <c r="T536" s="405" t="s">
        <v>32102</v>
      </c>
      <c r="U536" s="405" t="s">
        <v>319</v>
      </c>
    </row>
    <row r="537" spans="1:21" x14ac:dyDescent="0.25">
      <c r="A537" s="405" t="s">
        <v>310</v>
      </c>
      <c r="B537" s="405" t="s">
        <v>9034</v>
      </c>
      <c r="C537" s="405" t="s">
        <v>327</v>
      </c>
      <c r="D537" s="405"/>
      <c r="E537" s="410">
        <v>44447</v>
      </c>
      <c r="F537" s="410">
        <v>44456</v>
      </c>
      <c r="G537" s="405" t="s">
        <v>9035</v>
      </c>
      <c r="H537" s="405" t="s">
        <v>9036</v>
      </c>
      <c r="I537" s="405" t="s">
        <v>9037</v>
      </c>
      <c r="J537" s="405">
        <v>0.37508799999999998</v>
      </c>
      <c r="K537" s="405">
        <v>32.762822</v>
      </c>
      <c r="L537" s="405" t="s">
        <v>314</v>
      </c>
      <c r="M537" s="405" t="s">
        <v>329</v>
      </c>
      <c r="N537" s="405" t="s">
        <v>329</v>
      </c>
      <c r="O537" s="405" t="s">
        <v>329</v>
      </c>
      <c r="P537" s="405" t="s">
        <v>9038</v>
      </c>
      <c r="Q537" s="411">
        <v>9</v>
      </c>
      <c r="R537" s="405" t="s">
        <v>32101</v>
      </c>
      <c r="S537" s="405" t="s">
        <v>27288</v>
      </c>
      <c r="T537" s="405" t="s">
        <v>884</v>
      </c>
      <c r="U537" s="405" t="s">
        <v>319</v>
      </c>
    </row>
    <row r="538" spans="1:21" x14ac:dyDescent="0.25">
      <c r="A538" s="405" t="s">
        <v>310</v>
      </c>
      <c r="B538" s="405" t="s">
        <v>17696</v>
      </c>
      <c r="C538" s="405" t="s">
        <v>327</v>
      </c>
      <c r="D538" s="405"/>
      <c r="E538" s="410">
        <v>44447</v>
      </c>
      <c r="F538" s="410">
        <v>44465</v>
      </c>
      <c r="G538" s="405" t="s">
        <v>17697</v>
      </c>
      <c r="H538" s="405" t="s">
        <v>17698</v>
      </c>
      <c r="I538" s="405" t="s">
        <v>2913</v>
      </c>
      <c r="J538" s="405">
        <v>2.3659870000000001</v>
      </c>
      <c r="K538" s="405">
        <v>34.529496999999999</v>
      </c>
      <c r="L538" s="405" t="s">
        <v>6866</v>
      </c>
      <c r="M538" s="405" t="s">
        <v>16319</v>
      </c>
      <c r="N538" s="405" t="s">
        <v>16586</v>
      </c>
      <c r="O538" s="405" t="s">
        <v>16586</v>
      </c>
      <c r="P538" s="405" t="s">
        <v>17699</v>
      </c>
      <c r="Q538" s="411">
        <v>6</v>
      </c>
      <c r="R538" s="405" t="s">
        <v>7269</v>
      </c>
      <c r="S538" s="405" t="s">
        <v>27181</v>
      </c>
      <c r="T538" s="405" t="s">
        <v>32102</v>
      </c>
      <c r="U538" s="405" t="s">
        <v>319</v>
      </c>
    </row>
    <row r="539" spans="1:21" x14ac:dyDescent="0.25">
      <c r="A539" s="405" t="s">
        <v>310</v>
      </c>
      <c r="B539" s="405" t="s">
        <v>19286</v>
      </c>
      <c r="C539" s="405" t="s">
        <v>327</v>
      </c>
      <c r="D539" s="405"/>
      <c r="E539" s="410">
        <v>44445</v>
      </c>
      <c r="F539" s="410">
        <v>44463</v>
      </c>
      <c r="G539" s="405" t="s">
        <v>19287</v>
      </c>
      <c r="H539" s="405" t="s">
        <v>19288</v>
      </c>
      <c r="I539" s="405" t="s">
        <v>19289</v>
      </c>
      <c r="J539" s="405">
        <v>3.4958900000000002</v>
      </c>
      <c r="K539" s="405">
        <v>30.940657999999999</v>
      </c>
      <c r="L539" s="405" t="s">
        <v>860</v>
      </c>
      <c r="M539" s="405" t="s">
        <v>19271</v>
      </c>
      <c r="N539" s="405" t="s">
        <v>19271</v>
      </c>
      <c r="O539" s="405" t="s">
        <v>19290</v>
      </c>
      <c r="P539" s="405" t="s">
        <v>19291</v>
      </c>
      <c r="Q539" s="411">
        <v>6</v>
      </c>
      <c r="R539" s="405" t="s">
        <v>4176</v>
      </c>
      <c r="S539" s="405" t="s">
        <v>27053</v>
      </c>
      <c r="T539" s="405" t="s">
        <v>32102</v>
      </c>
      <c r="U539" s="405" t="s">
        <v>319</v>
      </c>
    </row>
    <row r="540" spans="1:21" x14ac:dyDescent="0.25">
      <c r="A540" s="405" t="s">
        <v>310</v>
      </c>
      <c r="B540" s="405" t="s">
        <v>8989</v>
      </c>
      <c r="C540" s="405" t="s">
        <v>327</v>
      </c>
      <c r="D540" s="405"/>
      <c r="E540" s="410">
        <v>44443</v>
      </c>
      <c r="F540" s="410">
        <v>44454</v>
      </c>
      <c r="G540" s="405" t="s">
        <v>8990</v>
      </c>
      <c r="H540" s="405" t="s">
        <v>8991</v>
      </c>
      <c r="I540" s="405" t="s">
        <v>2913</v>
      </c>
      <c r="J540" s="405">
        <v>8.4315000000000001E-2</v>
      </c>
      <c r="K540" s="405">
        <v>32.496575</v>
      </c>
      <c r="L540" s="405" t="s">
        <v>314</v>
      </c>
      <c r="M540" s="405" t="s">
        <v>361</v>
      </c>
      <c r="N540" s="405" t="s">
        <v>374</v>
      </c>
      <c r="O540" s="405" t="s">
        <v>6982</v>
      </c>
      <c r="P540" s="405" t="s">
        <v>8992</v>
      </c>
      <c r="Q540" s="411">
        <v>4</v>
      </c>
      <c r="R540" s="405" t="s">
        <v>7224</v>
      </c>
      <c r="S540" s="405" t="s">
        <v>27041</v>
      </c>
      <c r="T540" s="405" t="s">
        <v>32102</v>
      </c>
      <c r="U540" s="405" t="s">
        <v>319</v>
      </c>
    </row>
    <row r="541" spans="1:21" x14ac:dyDescent="0.25">
      <c r="A541" s="405" t="s">
        <v>310</v>
      </c>
      <c r="B541" s="405" t="s">
        <v>26552</v>
      </c>
      <c r="C541" s="405" t="s">
        <v>327</v>
      </c>
      <c r="D541" s="405"/>
      <c r="E541" s="410">
        <v>44442</v>
      </c>
      <c r="F541" s="410">
        <v>44497</v>
      </c>
      <c r="G541" s="405" t="s">
        <v>26553</v>
      </c>
      <c r="H541" s="405" t="s">
        <v>26554</v>
      </c>
      <c r="I541" s="405" t="s">
        <v>26555</v>
      </c>
      <c r="J541" s="405">
        <v>1.549455</v>
      </c>
      <c r="K541" s="405">
        <v>31.63241</v>
      </c>
      <c r="L541" s="405" t="s">
        <v>590</v>
      </c>
      <c r="M541" s="405" t="s">
        <v>19608</v>
      </c>
      <c r="N541" s="405" t="s">
        <v>20218</v>
      </c>
      <c r="O541" s="405" t="s">
        <v>20219</v>
      </c>
      <c r="P541" s="405" t="s">
        <v>26556</v>
      </c>
      <c r="Q541" s="411">
        <v>9</v>
      </c>
      <c r="R541" s="405" t="s">
        <v>6397</v>
      </c>
      <c r="S541" s="405" t="s">
        <v>22880</v>
      </c>
      <c r="T541" s="405" t="s">
        <v>32102</v>
      </c>
      <c r="U541" s="405" t="s">
        <v>319</v>
      </c>
    </row>
    <row r="542" spans="1:21" x14ac:dyDescent="0.25">
      <c r="A542" s="405" t="s">
        <v>310</v>
      </c>
      <c r="B542" s="405" t="s">
        <v>17726</v>
      </c>
      <c r="C542" s="405" t="s">
        <v>327</v>
      </c>
      <c r="D542" s="405"/>
      <c r="E542" s="410">
        <v>44441</v>
      </c>
      <c r="F542" s="410">
        <v>44469</v>
      </c>
      <c r="G542" s="405" t="s">
        <v>17727</v>
      </c>
      <c r="H542" s="405" t="s">
        <v>17728</v>
      </c>
      <c r="I542" s="405" t="s">
        <v>2913</v>
      </c>
      <c r="J542" s="405">
        <v>2.5066999999999999</v>
      </c>
      <c r="K542" s="405">
        <v>34.652163000000002</v>
      </c>
      <c r="L542" s="405" t="s">
        <v>6866</v>
      </c>
      <c r="M542" s="405" t="s">
        <v>16319</v>
      </c>
      <c r="N542" s="405" t="s">
        <v>16325</v>
      </c>
      <c r="O542" s="405" t="s">
        <v>16320</v>
      </c>
      <c r="P542" s="405" t="s">
        <v>16325</v>
      </c>
      <c r="Q542" s="411">
        <v>6</v>
      </c>
      <c r="R542" s="405" t="s">
        <v>7269</v>
      </c>
      <c r="S542" s="405" t="s">
        <v>27205</v>
      </c>
      <c r="T542" s="405" t="s">
        <v>884</v>
      </c>
      <c r="U542" s="405" t="s">
        <v>319</v>
      </c>
    </row>
    <row r="543" spans="1:21" x14ac:dyDescent="0.25">
      <c r="A543" s="405" t="s">
        <v>310</v>
      </c>
      <c r="B543" s="405" t="s">
        <v>17671</v>
      </c>
      <c r="C543" s="405" t="s">
        <v>327</v>
      </c>
      <c r="D543" s="405"/>
      <c r="E543" s="410">
        <v>44441</v>
      </c>
      <c r="F543" s="410">
        <v>44464</v>
      </c>
      <c r="G543" s="405" t="s">
        <v>17672</v>
      </c>
      <c r="H543" s="405" t="s">
        <v>17673</v>
      </c>
      <c r="I543" s="405" t="s">
        <v>2913</v>
      </c>
      <c r="J543" s="405">
        <v>2.5295000000000001</v>
      </c>
      <c r="K543" s="405">
        <v>34.644945</v>
      </c>
      <c r="L543" s="405" t="s">
        <v>6866</v>
      </c>
      <c r="M543" s="405" t="s">
        <v>16319</v>
      </c>
      <c r="N543" s="405" t="s">
        <v>16320</v>
      </c>
      <c r="O543" s="405" t="s">
        <v>16320</v>
      </c>
      <c r="P543" s="405" t="s">
        <v>16321</v>
      </c>
      <c r="Q543" s="411">
        <v>6</v>
      </c>
      <c r="R543" s="405" t="s">
        <v>7269</v>
      </c>
      <c r="S543" s="405" t="s">
        <v>27205</v>
      </c>
      <c r="T543" s="405" t="s">
        <v>32102</v>
      </c>
      <c r="U543" s="405" t="s">
        <v>319</v>
      </c>
    </row>
    <row r="544" spans="1:21" x14ac:dyDescent="0.25">
      <c r="A544" s="405" t="s">
        <v>310</v>
      </c>
      <c r="B544" s="405" t="s">
        <v>17684</v>
      </c>
      <c r="C544" s="405" t="s">
        <v>327</v>
      </c>
      <c r="D544" s="405"/>
      <c r="E544" s="410">
        <v>44441</v>
      </c>
      <c r="F544" s="410">
        <v>44464</v>
      </c>
      <c r="G544" s="405" t="s">
        <v>17685</v>
      </c>
      <c r="H544" s="405" t="s">
        <v>17686</v>
      </c>
      <c r="I544" s="405" t="s">
        <v>2913</v>
      </c>
      <c r="J544" s="405">
        <v>2.5147379999999999</v>
      </c>
      <c r="K544" s="405">
        <v>34.580613</v>
      </c>
      <c r="L544" s="405" t="s">
        <v>6866</v>
      </c>
      <c r="M544" s="405" t="s">
        <v>16319</v>
      </c>
      <c r="N544" s="405" t="s">
        <v>16320</v>
      </c>
      <c r="O544" s="405" t="s">
        <v>16320</v>
      </c>
      <c r="P544" s="405" t="s">
        <v>17687</v>
      </c>
      <c r="Q544" s="411">
        <v>6</v>
      </c>
      <c r="R544" s="405" t="s">
        <v>7269</v>
      </c>
      <c r="S544" s="405" t="s">
        <v>27039</v>
      </c>
      <c r="T544" s="405" t="s">
        <v>32102</v>
      </c>
      <c r="U544" s="405" t="s">
        <v>319</v>
      </c>
    </row>
    <row r="545" spans="1:21" x14ac:dyDescent="0.25">
      <c r="A545" s="405" t="s">
        <v>310</v>
      </c>
      <c r="B545" s="405" t="s">
        <v>17674</v>
      </c>
      <c r="C545" s="405" t="s">
        <v>327</v>
      </c>
      <c r="D545" s="405"/>
      <c r="E545" s="410">
        <v>44441</v>
      </c>
      <c r="F545" s="410">
        <v>44464</v>
      </c>
      <c r="G545" s="405" t="s">
        <v>17675</v>
      </c>
      <c r="H545" s="405" t="s">
        <v>17676</v>
      </c>
      <c r="I545" s="405" t="s">
        <v>17677</v>
      </c>
      <c r="J545" s="405">
        <v>2.5244620000000002</v>
      </c>
      <c r="K545" s="405">
        <v>34.634591999999998</v>
      </c>
      <c r="L545" s="405" t="s">
        <v>6866</v>
      </c>
      <c r="M545" s="405" t="s">
        <v>16319</v>
      </c>
      <c r="N545" s="405" t="s">
        <v>16320</v>
      </c>
      <c r="O545" s="405" t="s">
        <v>16320</v>
      </c>
      <c r="P545" s="405" t="s">
        <v>17678</v>
      </c>
      <c r="Q545" s="411">
        <v>6</v>
      </c>
      <c r="R545" s="405" t="s">
        <v>7269</v>
      </c>
      <c r="S545" s="405" t="s">
        <v>27202</v>
      </c>
      <c r="T545" s="405" t="s">
        <v>32102</v>
      </c>
      <c r="U545" s="405" t="s">
        <v>319</v>
      </c>
    </row>
    <row r="546" spans="1:21" x14ac:dyDescent="0.25">
      <c r="A546" s="405" t="s">
        <v>310</v>
      </c>
      <c r="B546" s="405" t="s">
        <v>17679</v>
      </c>
      <c r="C546" s="405" t="s">
        <v>327</v>
      </c>
      <c r="D546" s="405"/>
      <c r="E546" s="410">
        <v>44441</v>
      </c>
      <c r="F546" s="410">
        <v>44464</v>
      </c>
      <c r="G546" s="405" t="s">
        <v>17680</v>
      </c>
      <c r="H546" s="405" t="s">
        <v>17681</v>
      </c>
      <c r="I546" s="405" t="s">
        <v>17682</v>
      </c>
      <c r="J546" s="405">
        <v>2.5088530000000002</v>
      </c>
      <c r="K546" s="405">
        <v>34.583976999999997</v>
      </c>
      <c r="L546" s="405" t="s">
        <v>6866</v>
      </c>
      <c r="M546" s="405" t="s">
        <v>16319</v>
      </c>
      <c r="N546" s="405" t="s">
        <v>16320</v>
      </c>
      <c r="O546" s="405" t="s">
        <v>16320</v>
      </c>
      <c r="P546" s="405" t="s">
        <v>17683</v>
      </c>
      <c r="Q546" s="411">
        <v>6</v>
      </c>
      <c r="R546" s="405" t="s">
        <v>7269</v>
      </c>
      <c r="S546" s="405" t="s">
        <v>27181</v>
      </c>
      <c r="T546" s="405" t="s">
        <v>32102</v>
      </c>
      <c r="U546" s="405" t="s">
        <v>319</v>
      </c>
    </row>
    <row r="547" spans="1:21" x14ac:dyDescent="0.25">
      <c r="A547" s="405" t="s">
        <v>310</v>
      </c>
      <c r="B547" s="405" t="s">
        <v>19274</v>
      </c>
      <c r="C547" s="405" t="s">
        <v>327</v>
      </c>
      <c r="D547" s="405"/>
      <c r="E547" s="410">
        <v>44441</v>
      </c>
      <c r="F547" s="410">
        <v>44456</v>
      </c>
      <c r="G547" s="405" t="s">
        <v>19275</v>
      </c>
      <c r="H547" s="405" t="s">
        <v>19276</v>
      </c>
      <c r="I547" s="405" t="s">
        <v>19277</v>
      </c>
      <c r="J547" s="405">
        <v>2.948032</v>
      </c>
      <c r="K547" s="405">
        <v>30.899438</v>
      </c>
      <c r="L547" s="405" t="s">
        <v>860</v>
      </c>
      <c r="M547" s="405" t="s">
        <v>19025</v>
      </c>
      <c r="N547" s="405" t="s">
        <v>19064</v>
      </c>
      <c r="O547" s="405" t="s">
        <v>19064</v>
      </c>
      <c r="P547" s="405" t="s">
        <v>19278</v>
      </c>
      <c r="Q547" s="411">
        <v>6</v>
      </c>
      <c r="R547" s="405" t="s">
        <v>4176</v>
      </c>
      <c r="S547" s="405" t="s">
        <v>27281</v>
      </c>
      <c r="T547" s="405" t="s">
        <v>32102</v>
      </c>
      <c r="U547" s="405" t="s">
        <v>319</v>
      </c>
    </row>
    <row r="548" spans="1:21" x14ac:dyDescent="0.25">
      <c r="A548" s="405" t="s">
        <v>310</v>
      </c>
      <c r="B548" s="405" t="s">
        <v>19279</v>
      </c>
      <c r="C548" s="405" t="s">
        <v>327</v>
      </c>
      <c r="D548" s="405"/>
      <c r="E548" s="410">
        <v>44441</v>
      </c>
      <c r="F548" s="410">
        <v>44456</v>
      </c>
      <c r="G548" s="405" t="s">
        <v>19280</v>
      </c>
      <c r="H548" s="405" t="s">
        <v>19281</v>
      </c>
      <c r="I548" s="405" t="s">
        <v>19282</v>
      </c>
      <c r="J548" s="405">
        <v>3.0017830000000001</v>
      </c>
      <c r="K548" s="405">
        <v>30.909423</v>
      </c>
      <c r="L548" s="405" t="s">
        <v>860</v>
      </c>
      <c r="M548" s="405" t="s">
        <v>19025</v>
      </c>
      <c r="N548" s="405" t="s">
        <v>19283</v>
      </c>
      <c r="O548" s="405" t="s">
        <v>19284</v>
      </c>
      <c r="P548" s="405" t="s">
        <v>19285</v>
      </c>
      <c r="Q548" s="411">
        <v>6</v>
      </c>
      <c r="R548" s="405" t="s">
        <v>4176</v>
      </c>
      <c r="S548" s="405" t="s">
        <v>27059</v>
      </c>
      <c r="T548" s="405" t="s">
        <v>32102</v>
      </c>
      <c r="U548" s="405" t="s">
        <v>319</v>
      </c>
    </row>
    <row r="549" spans="1:21" x14ac:dyDescent="0.25">
      <c r="A549" s="405" t="s">
        <v>310</v>
      </c>
      <c r="B549" s="405" t="s">
        <v>19268</v>
      </c>
      <c r="C549" s="405" t="s">
        <v>327</v>
      </c>
      <c r="D549" s="405"/>
      <c r="E549" s="410">
        <v>44439</v>
      </c>
      <c r="F549" s="410">
        <v>44459</v>
      </c>
      <c r="G549" s="405" t="s">
        <v>19269</v>
      </c>
      <c r="H549" s="405" t="s">
        <v>19270</v>
      </c>
      <c r="I549" s="405" t="s">
        <v>2913</v>
      </c>
      <c r="J549" s="405">
        <v>3.3684780000000001</v>
      </c>
      <c r="K549" s="405">
        <v>30.963303</v>
      </c>
      <c r="L549" s="405" t="s">
        <v>860</v>
      </c>
      <c r="M549" s="405" t="s">
        <v>19271</v>
      </c>
      <c r="N549" s="405" t="s">
        <v>19271</v>
      </c>
      <c r="O549" s="405" t="s">
        <v>19272</v>
      </c>
      <c r="P549" s="405" t="s">
        <v>19273</v>
      </c>
      <c r="Q549" s="411">
        <v>6</v>
      </c>
      <c r="R549" s="405" t="s">
        <v>4176</v>
      </c>
      <c r="S549" s="405" t="s">
        <v>27053</v>
      </c>
      <c r="T549" s="405" t="s">
        <v>32102</v>
      </c>
      <c r="U549" s="405" t="s">
        <v>319</v>
      </c>
    </row>
    <row r="550" spans="1:21" x14ac:dyDescent="0.25">
      <c r="A550" s="405" t="s">
        <v>310</v>
      </c>
      <c r="B550" s="405" t="s">
        <v>17729</v>
      </c>
      <c r="C550" s="405" t="s">
        <v>327</v>
      </c>
      <c r="D550" s="405"/>
      <c r="E550" s="410">
        <v>44439</v>
      </c>
      <c r="F550" s="410">
        <v>44463</v>
      </c>
      <c r="G550" s="405" t="s">
        <v>17730</v>
      </c>
      <c r="H550" s="405" t="s">
        <v>17731</v>
      </c>
      <c r="I550" s="405" t="s">
        <v>2913</v>
      </c>
      <c r="J550" s="405">
        <v>1.526203</v>
      </c>
      <c r="K550" s="405">
        <v>33.743143000000003</v>
      </c>
      <c r="L550" s="405" t="s">
        <v>6866</v>
      </c>
      <c r="M550" s="405" t="s">
        <v>10012</v>
      </c>
      <c r="N550" s="405" t="s">
        <v>10012</v>
      </c>
      <c r="O550" s="405" t="s">
        <v>10267</v>
      </c>
      <c r="P550" s="405" t="s">
        <v>17732</v>
      </c>
      <c r="Q550" s="411">
        <v>4</v>
      </c>
      <c r="R550" s="405" t="s">
        <v>17977</v>
      </c>
      <c r="S550" s="405" t="s">
        <v>27072</v>
      </c>
      <c r="T550" s="405" t="s">
        <v>32102</v>
      </c>
      <c r="U550" s="405" t="s">
        <v>319</v>
      </c>
    </row>
    <row r="551" spans="1:21" x14ac:dyDescent="0.25">
      <c r="A551" s="405" t="s">
        <v>310</v>
      </c>
      <c r="B551" s="405" t="s">
        <v>9027</v>
      </c>
      <c r="C551" s="405" t="s">
        <v>327</v>
      </c>
      <c r="D551" s="405"/>
      <c r="E551" s="410">
        <v>44438</v>
      </c>
      <c r="F551" s="410">
        <v>44443</v>
      </c>
      <c r="G551" s="405" t="s">
        <v>9028</v>
      </c>
      <c r="H551" s="405" t="s">
        <v>9029</v>
      </c>
      <c r="I551" s="405" t="s">
        <v>9030</v>
      </c>
      <c r="J551" s="405">
        <v>-4.7287999999999997E-2</v>
      </c>
      <c r="K551" s="405">
        <v>31.990649999999999</v>
      </c>
      <c r="L551" s="405" t="s">
        <v>314</v>
      </c>
      <c r="M551" s="405" t="s">
        <v>321</v>
      </c>
      <c r="N551" s="405" t="s">
        <v>1854</v>
      </c>
      <c r="O551" s="405" t="s">
        <v>2436</v>
      </c>
      <c r="P551" s="405" t="s">
        <v>9026</v>
      </c>
      <c r="Q551" s="411">
        <v>13</v>
      </c>
      <c r="R551" s="405" t="s">
        <v>32101</v>
      </c>
      <c r="S551" s="405" t="s">
        <v>27132</v>
      </c>
      <c r="T551" s="405" t="s">
        <v>884</v>
      </c>
      <c r="U551" s="405" t="s">
        <v>319</v>
      </c>
    </row>
    <row r="552" spans="1:21" x14ac:dyDescent="0.25">
      <c r="A552" s="405" t="s">
        <v>310</v>
      </c>
      <c r="B552" s="405" t="s">
        <v>9023</v>
      </c>
      <c r="C552" s="405" t="s">
        <v>327</v>
      </c>
      <c r="D552" s="405"/>
      <c r="E552" s="410">
        <v>44437</v>
      </c>
      <c r="F552" s="410">
        <v>44443</v>
      </c>
      <c r="G552" s="405" t="s">
        <v>9024</v>
      </c>
      <c r="H552" s="405" t="s">
        <v>9025</v>
      </c>
      <c r="I552" s="405" t="s">
        <v>2913</v>
      </c>
      <c r="J552" s="405">
        <v>-4.3520000000000003E-2</v>
      </c>
      <c r="K552" s="405">
        <v>32.001531999999997</v>
      </c>
      <c r="L552" s="405" t="s">
        <v>314</v>
      </c>
      <c r="M552" s="405" t="s">
        <v>321</v>
      </c>
      <c r="N552" s="405" t="s">
        <v>1854</v>
      </c>
      <c r="O552" s="405" t="s">
        <v>2436</v>
      </c>
      <c r="P552" s="405" t="s">
        <v>9026</v>
      </c>
      <c r="Q552" s="411">
        <v>13</v>
      </c>
      <c r="R552" s="405" t="s">
        <v>32101</v>
      </c>
      <c r="S552" s="405" t="s">
        <v>27065</v>
      </c>
      <c r="T552" s="405" t="s">
        <v>884</v>
      </c>
      <c r="U552" s="405" t="s">
        <v>319</v>
      </c>
    </row>
    <row r="553" spans="1:21" x14ac:dyDescent="0.25">
      <c r="A553" s="405" t="s">
        <v>310</v>
      </c>
      <c r="B553" s="405" t="s">
        <v>26531</v>
      </c>
      <c r="C553" s="405" t="s">
        <v>327</v>
      </c>
      <c r="D553" s="405"/>
      <c r="E553" s="410">
        <v>44436</v>
      </c>
      <c r="F553" s="410">
        <v>44444</v>
      </c>
      <c r="G553" s="405" t="s">
        <v>26532</v>
      </c>
      <c r="H553" s="405" t="s">
        <v>26533</v>
      </c>
      <c r="I553" s="405" t="s">
        <v>26534</v>
      </c>
      <c r="J553" s="405">
        <v>-0.89197300000000002</v>
      </c>
      <c r="K553" s="405">
        <v>29.997492000000001</v>
      </c>
      <c r="L553" s="405" t="s">
        <v>590</v>
      </c>
      <c r="M553" s="405" t="s">
        <v>19619</v>
      </c>
      <c r="N553" s="405" t="s">
        <v>19620</v>
      </c>
      <c r="O553" s="405" t="s">
        <v>2430</v>
      </c>
      <c r="P553" s="405" t="s">
        <v>20488</v>
      </c>
      <c r="Q553" s="411">
        <v>9</v>
      </c>
      <c r="R553" s="405" t="s">
        <v>6572</v>
      </c>
      <c r="S553" s="405" t="s">
        <v>27095</v>
      </c>
      <c r="T553" s="405" t="s">
        <v>32102</v>
      </c>
      <c r="U553" s="405" t="s">
        <v>319</v>
      </c>
    </row>
    <row r="554" spans="1:21" x14ac:dyDescent="0.25">
      <c r="A554" s="405" t="s">
        <v>310</v>
      </c>
      <c r="B554" s="405" t="s">
        <v>17661</v>
      </c>
      <c r="C554" s="405" t="s">
        <v>327</v>
      </c>
      <c r="D554" s="405"/>
      <c r="E554" s="410">
        <v>44436</v>
      </c>
      <c r="F554" s="410">
        <v>44446</v>
      </c>
      <c r="G554" s="405" t="s">
        <v>17662</v>
      </c>
      <c r="H554" s="405" t="s">
        <v>17663</v>
      </c>
      <c r="I554" s="405" t="s">
        <v>17664</v>
      </c>
      <c r="J554" s="405">
        <v>1.536108</v>
      </c>
      <c r="K554" s="405">
        <v>33.354413000000001</v>
      </c>
      <c r="L554" s="405" t="s">
        <v>6866</v>
      </c>
      <c r="M554" s="405" t="s">
        <v>9658</v>
      </c>
      <c r="N554" s="405" t="s">
        <v>11058</v>
      </c>
      <c r="O554" s="405" t="s">
        <v>11057</v>
      </c>
      <c r="P554" s="405" t="s">
        <v>17665</v>
      </c>
      <c r="Q554" s="411">
        <v>6</v>
      </c>
      <c r="R554" s="405" t="s">
        <v>5655</v>
      </c>
      <c r="S554" s="405" t="s">
        <v>27289</v>
      </c>
      <c r="T554" s="405" t="s">
        <v>32102</v>
      </c>
      <c r="U554" s="405" t="s">
        <v>319</v>
      </c>
    </row>
    <row r="555" spans="1:21" x14ac:dyDescent="0.25">
      <c r="A555" s="405" t="s">
        <v>310</v>
      </c>
      <c r="B555" s="405" t="s">
        <v>26544</v>
      </c>
      <c r="C555" s="405" t="s">
        <v>327</v>
      </c>
      <c r="D555" s="405"/>
      <c r="E555" s="410">
        <v>44434</v>
      </c>
      <c r="F555" s="410">
        <v>44458</v>
      </c>
      <c r="G555" s="405" t="s">
        <v>26545</v>
      </c>
      <c r="H555" s="405" t="s">
        <v>26546</v>
      </c>
      <c r="I555" s="405" t="s">
        <v>26547</v>
      </c>
      <c r="J555" s="405">
        <v>0.55119700000000005</v>
      </c>
      <c r="K555" s="405">
        <v>30.873041000000001</v>
      </c>
      <c r="L555" s="405" t="s">
        <v>590</v>
      </c>
      <c r="M555" s="405" t="s">
        <v>20757</v>
      </c>
      <c r="N555" s="405" t="s">
        <v>20757</v>
      </c>
      <c r="O555" s="405" t="s">
        <v>26548</v>
      </c>
      <c r="P555" s="405" t="s">
        <v>19875</v>
      </c>
      <c r="Q555" s="411">
        <v>13</v>
      </c>
      <c r="R555" s="405" t="s">
        <v>32101</v>
      </c>
      <c r="S555" s="405" t="s">
        <v>27275</v>
      </c>
      <c r="T555" s="405" t="s">
        <v>884</v>
      </c>
      <c r="U555" s="405" t="s">
        <v>319</v>
      </c>
    </row>
    <row r="556" spans="1:21" x14ac:dyDescent="0.25">
      <c r="A556" s="405" t="s">
        <v>310</v>
      </c>
      <c r="B556" s="405" t="s">
        <v>26539</v>
      </c>
      <c r="C556" s="405" t="s">
        <v>327</v>
      </c>
      <c r="D556" s="405"/>
      <c r="E556" s="410">
        <v>44434</v>
      </c>
      <c r="F556" s="410">
        <v>44445</v>
      </c>
      <c r="G556" s="405" t="s">
        <v>26540</v>
      </c>
      <c r="H556" s="405" t="s">
        <v>26541</v>
      </c>
      <c r="I556" s="405" t="s">
        <v>26542</v>
      </c>
      <c r="J556" s="405">
        <v>-0.13320899999999999</v>
      </c>
      <c r="K556" s="405">
        <v>30.511177</v>
      </c>
      <c r="L556" s="405" t="s">
        <v>590</v>
      </c>
      <c r="M556" s="405" t="s">
        <v>870</v>
      </c>
      <c r="N556" s="405" t="s">
        <v>870</v>
      </c>
      <c r="O556" s="405" t="s">
        <v>19842</v>
      </c>
      <c r="P556" s="405" t="s">
        <v>26543</v>
      </c>
      <c r="Q556" s="411">
        <v>9</v>
      </c>
      <c r="R556" s="405" t="s">
        <v>32101</v>
      </c>
      <c r="S556" s="405" t="s">
        <v>27275</v>
      </c>
      <c r="T556" s="405" t="s">
        <v>32102</v>
      </c>
      <c r="U556" s="405" t="s">
        <v>319</v>
      </c>
    </row>
    <row r="557" spans="1:21" x14ac:dyDescent="0.25">
      <c r="A557" s="405" t="s">
        <v>310</v>
      </c>
      <c r="B557" s="405" t="s">
        <v>17737</v>
      </c>
      <c r="C557" s="405" t="s">
        <v>327</v>
      </c>
      <c r="D557" s="405"/>
      <c r="E557" s="410">
        <v>44434</v>
      </c>
      <c r="F557" s="410">
        <v>44477</v>
      </c>
      <c r="G557" s="405" t="s">
        <v>17738</v>
      </c>
      <c r="H557" s="405" t="s">
        <v>17739</v>
      </c>
      <c r="I557" s="405" t="s">
        <v>2913</v>
      </c>
      <c r="J557" s="405">
        <v>1.0428120000000001</v>
      </c>
      <c r="K557" s="405">
        <v>34.175057000000002</v>
      </c>
      <c r="L557" s="405" t="s">
        <v>6866</v>
      </c>
      <c r="M557" s="405" t="s">
        <v>16584</v>
      </c>
      <c r="N557" s="405" t="s">
        <v>16909</v>
      </c>
      <c r="O557" s="405" t="s">
        <v>9780</v>
      </c>
      <c r="P557" s="405" t="s">
        <v>17288</v>
      </c>
      <c r="Q557" s="411">
        <v>6</v>
      </c>
      <c r="R557" s="405" t="s">
        <v>6871</v>
      </c>
      <c r="S557" s="405" t="s">
        <v>27074</v>
      </c>
      <c r="T557" s="405" t="s">
        <v>32102</v>
      </c>
      <c r="U557" s="405" t="s">
        <v>319</v>
      </c>
    </row>
    <row r="558" spans="1:21" x14ac:dyDescent="0.25">
      <c r="A558" s="405" t="s">
        <v>310</v>
      </c>
      <c r="B558" s="405" t="s">
        <v>8993</v>
      </c>
      <c r="C558" s="405" t="s">
        <v>327</v>
      </c>
      <c r="D558" s="405"/>
      <c r="E558" s="410">
        <v>44433</v>
      </c>
      <c r="F558" s="410">
        <v>44466</v>
      </c>
      <c r="G558" s="405" t="s">
        <v>8994</v>
      </c>
      <c r="H558" s="405" t="s">
        <v>8995</v>
      </c>
      <c r="I558" s="405" t="s">
        <v>2913</v>
      </c>
      <c r="J558" s="405">
        <v>0.37471700000000002</v>
      </c>
      <c r="K558" s="405">
        <v>32.662356000000003</v>
      </c>
      <c r="L558" s="405" t="s">
        <v>314</v>
      </c>
      <c r="M558" s="405" t="s">
        <v>361</v>
      </c>
      <c r="N558" s="405" t="s">
        <v>363</v>
      </c>
      <c r="O558" s="405" t="s">
        <v>363</v>
      </c>
      <c r="P558" s="405" t="s">
        <v>6611</v>
      </c>
      <c r="Q558" s="411">
        <v>9</v>
      </c>
      <c r="R558" s="405" t="s">
        <v>32164</v>
      </c>
      <c r="S558" s="405" t="s">
        <v>27174</v>
      </c>
      <c r="T558" s="405" t="s">
        <v>884</v>
      </c>
      <c r="U558" s="405" t="s">
        <v>319</v>
      </c>
    </row>
    <row r="559" spans="1:21" x14ac:dyDescent="0.25">
      <c r="A559" s="405" t="s">
        <v>310</v>
      </c>
      <c r="B559" s="405" t="s">
        <v>9196</v>
      </c>
      <c r="C559" s="405" t="s">
        <v>327</v>
      </c>
      <c r="D559" s="405"/>
      <c r="E559" s="410">
        <v>44430</v>
      </c>
      <c r="F559" s="410">
        <v>44523</v>
      </c>
      <c r="G559" s="405" t="s">
        <v>9197</v>
      </c>
      <c r="H559" s="405" t="s">
        <v>9198</v>
      </c>
      <c r="I559" s="405" t="s">
        <v>9199</v>
      </c>
      <c r="J559" s="405">
        <v>0.18956799999999999</v>
      </c>
      <c r="K559" s="405">
        <v>32.519615000000002</v>
      </c>
      <c r="L559" s="405" t="s">
        <v>314</v>
      </c>
      <c r="M559" s="405" t="s">
        <v>361</v>
      </c>
      <c r="N559" s="405" t="s">
        <v>1682</v>
      </c>
      <c r="O559" s="405" t="s">
        <v>9200</v>
      </c>
      <c r="P559" s="405" t="s">
        <v>9201</v>
      </c>
      <c r="Q559" s="411">
        <v>13</v>
      </c>
      <c r="R559" s="405" t="s">
        <v>5665</v>
      </c>
      <c r="S559" s="405" t="s">
        <v>27051</v>
      </c>
      <c r="T559" s="405" t="s">
        <v>884</v>
      </c>
      <c r="U559" s="405" t="s">
        <v>319</v>
      </c>
    </row>
    <row r="560" spans="1:21" x14ac:dyDescent="0.25">
      <c r="A560" s="405" t="s">
        <v>310</v>
      </c>
      <c r="B560" s="405" t="s">
        <v>9815</v>
      </c>
      <c r="C560" s="405" t="s">
        <v>311</v>
      </c>
      <c r="D560" s="405" t="s">
        <v>5973</v>
      </c>
      <c r="E560" s="410">
        <v>44428</v>
      </c>
      <c r="F560" s="410">
        <v>44474</v>
      </c>
      <c r="G560" s="405" t="s">
        <v>9816</v>
      </c>
      <c r="H560" s="405" t="s">
        <v>9033</v>
      </c>
      <c r="I560" s="405" t="s">
        <v>2913</v>
      </c>
      <c r="J560" s="405">
        <v>0.71791300000000002</v>
      </c>
      <c r="K560" s="405">
        <v>32.529659000000002</v>
      </c>
      <c r="L560" s="405" t="s">
        <v>314</v>
      </c>
      <c r="M560" s="405" t="s">
        <v>959</v>
      </c>
      <c r="N560" s="405" t="s">
        <v>9817</v>
      </c>
      <c r="O560" s="405" t="s">
        <v>1094</v>
      </c>
      <c r="P560" s="405" t="s">
        <v>9818</v>
      </c>
      <c r="Q560" s="411">
        <v>9</v>
      </c>
      <c r="R560" s="405" t="s">
        <v>32101</v>
      </c>
      <c r="S560" s="405" t="s">
        <v>27251</v>
      </c>
      <c r="T560" s="405" t="s">
        <v>32102</v>
      </c>
      <c r="U560" s="405" t="s">
        <v>319</v>
      </c>
    </row>
    <row r="561" spans="1:21" x14ac:dyDescent="0.25">
      <c r="A561" s="405" t="s">
        <v>310</v>
      </c>
      <c r="B561" s="405" t="s">
        <v>17688</v>
      </c>
      <c r="C561" s="405" t="s">
        <v>327</v>
      </c>
      <c r="D561" s="405"/>
      <c r="E561" s="410">
        <v>44428</v>
      </c>
      <c r="F561" s="410">
        <v>44464</v>
      </c>
      <c r="G561" s="405" t="s">
        <v>17689</v>
      </c>
      <c r="H561" s="405" t="s">
        <v>17690</v>
      </c>
      <c r="I561" s="405" t="s">
        <v>2913</v>
      </c>
      <c r="J561" s="405">
        <v>2.4784700000000002</v>
      </c>
      <c r="K561" s="405">
        <v>34.606650000000002</v>
      </c>
      <c r="L561" s="405" t="s">
        <v>6866</v>
      </c>
      <c r="M561" s="405" t="s">
        <v>16319</v>
      </c>
      <c r="N561" s="405" t="s">
        <v>16320</v>
      </c>
      <c r="O561" s="405" t="s">
        <v>16320</v>
      </c>
      <c r="P561" s="405" t="s">
        <v>17691</v>
      </c>
      <c r="Q561" s="411">
        <v>6</v>
      </c>
      <c r="R561" s="405" t="s">
        <v>7269</v>
      </c>
      <c r="S561" s="405" t="s">
        <v>27202</v>
      </c>
      <c r="T561" s="405" t="s">
        <v>32102</v>
      </c>
      <c r="U561" s="405" t="s">
        <v>319</v>
      </c>
    </row>
    <row r="562" spans="1:21" x14ac:dyDescent="0.25">
      <c r="A562" s="405" t="s">
        <v>310</v>
      </c>
      <c r="B562" s="405" t="s">
        <v>8968</v>
      </c>
      <c r="C562" s="405" t="s">
        <v>327</v>
      </c>
      <c r="D562" s="405"/>
      <c r="E562" s="410">
        <v>44428</v>
      </c>
      <c r="F562" s="410">
        <v>44438</v>
      </c>
      <c r="G562" s="405" t="s">
        <v>8969</v>
      </c>
      <c r="H562" s="405" t="s">
        <v>8970</v>
      </c>
      <c r="I562" s="405" t="s">
        <v>8971</v>
      </c>
      <c r="J562" s="405">
        <v>0.46355800000000003</v>
      </c>
      <c r="K562" s="405">
        <v>32.516392000000003</v>
      </c>
      <c r="L562" s="405" t="s">
        <v>314</v>
      </c>
      <c r="M562" s="405" t="s">
        <v>361</v>
      </c>
      <c r="N562" s="405" t="s">
        <v>374</v>
      </c>
      <c r="O562" s="405" t="s">
        <v>523</v>
      </c>
      <c r="P562" s="405" t="s">
        <v>3334</v>
      </c>
      <c r="Q562" s="411">
        <v>6</v>
      </c>
      <c r="R562" s="405" t="s">
        <v>32101</v>
      </c>
      <c r="S562" s="405" t="s">
        <v>27065</v>
      </c>
      <c r="T562" s="405" t="s">
        <v>32102</v>
      </c>
      <c r="U562" s="405" t="s">
        <v>319</v>
      </c>
    </row>
    <row r="563" spans="1:21" x14ac:dyDescent="0.25">
      <c r="A563" s="405" t="s">
        <v>310</v>
      </c>
      <c r="B563" s="405" t="s">
        <v>17666</v>
      </c>
      <c r="C563" s="405" t="s">
        <v>327</v>
      </c>
      <c r="D563" s="405"/>
      <c r="E563" s="410">
        <v>44428</v>
      </c>
      <c r="F563" s="410">
        <v>44441</v>
      </c>
      <c r="G563" s="405" t="s">
        <v>17667</v>
      </c>
      <c r="H563" s="405" t="s">
        <v>17668</v>
      </c>
      <c r="I563" s="405" t="s">
        <v>2913</v>
      </c>
      <c r="J563" s="405">
        <v>0.89296200000000003</v>
      </c>
      <c r="K563" s="405">
        <v>34.271265</v>
      </c>
      <c r="L563" s="405" t="s">
        <v>6866</v>
      </c>
      <c r="M563" s="405" t="s">
        <v>9763</v>
      </c>
      <c r="N563" s="405" t="s">
        <v>9764</v>
      </c>
      <c r="O563" s="405" t="s">
        <v>17669</v>
      </c>
      <c r="P563" s="405" t="s">
        <v>17670</v>
      </c>
      <c r="Q563" s="411">
        <v>4</v>
      </c>
      <c r="R563" s="405" t="s">
        <v>6871</v>
      </c>
      <c r="S563" s="405" t="s">
        <v>27074</v>
      </c>
      <c r="T563" s="405" t="s">
        <v>32102</v>
      </c>
      <c r="U563" s="405" t="s">
        <v>319</v>
      </c>
    </row>
    <row r="564" spans="1:21" x14ac:dyDescent="0.25">
      <c r="A564" s="405" t="s">
        <v>310</v>
      </c>
      <c r="B564" s="405" t="s">
        <v>19373</v>
      </c>
      <c r="C564" s="405" t="s">
        <v>327</v>
      </c>
      <c r="D564" s="405"/>
      <c r="E564" s="410">
        <v>44427</v>
      </c>
      <c r="F564" s="410">
        <v>44484</v>
      </c>
      <c r="G564" s="405" t="s">
        <v>19374</v>
      </c>
      <c r="H564" s="405" t="s">
        <v>19375</v>
      </c>
      <c r="I564" s="405" t="s">
        <v>19376</v>
      </c>
      <c r="J564" s="405">
        <v>3.2705899999999999</v>
      </c>
      <c r="K564" s="405">
        <v>31.541972999999999</v>
      </c>
      <c r="L564" s="405" t="s">
        <v>860</v>
      </c>
      <c r="M564" s="405" t="s">
        <v>19352</v>
      </c>
      <c r="N564" s="405" t="s">
        <v>19370</v>
      </c>
      <c r="O564" s="405" t="s">
        <v>19371</v>
      </c>
      <c r="P564" s="405" t="s">
        <v>19377</v>
      </c>
      <c r="Q564" s="411">
        <v>6</v>
      </c>
      <c r="R564" s="405" t="s">
        <v>7211</v>
      </c>
      <c r="S564" s="405" t="s">
        <v>27091</v>
      </c>
      <c r="T564" s="405" t="s">
        <v>884</v>
      </c>
      <c r="U564" s="405" t="s">
        <v>319</v>
      </c>
    </row>
    <row r="565" spans="1:21" x14ac:dyDescent="0.25">
      <c r="A565" s="405" t="s">
        <v>310</v>
      </c>
      <c r="B565" s="405" t="s">
        <v>19366</v>
      </c>
      <c r="C565" s="405" t="s">
        <v>327</v>
      </c>
      <c r="D565" s="405"/>
      <c r="E565" s="410">
        <v>44427</v>
      </c>
      <c r="F565" s="410">
        <v>44484</v>
      </c>
      <c r="G565" s="405" t="s">
        <v>19367</v>
      </c>
      <c r="H565" s="405" t="s">
        <v>19368</v>
      </c>
      <c r="I565" s="405" t="s">
        <v>19369</v>
      </c>
      <c r="J565" s="405">
        <v>3.2780130000000001</v>
      </c>
      <c r="K565" s="405">
        <v>31.539262999999998</v>
      </c>
      <c r="L565" s="405" t="s">
        <v>860</v>
      </c>
      <c r="M565" s="405" t="s">
        <v>19352</v>
      </c>
      <c r="N565" s="405" t="s">
        <v>19370</v>
      </c>
      <c r="O565" s="405" t="s">
        <v>19371</v>
      </c>
      <c r="P565" s="405" t="s">
        <v>19372</v>
      </c>
      <c r="Q565" s="411">
        <v>6</v>
      </c>
      <c r="R565" s="405" t="s">
        <v>7211</v>
      </c>
      <c r="S565" s="405" t="s">
        <v>27091</v>
      </c>
      <c r="T565" s="405" t="s">
        <v>884</v>
      </c>
      <c r="U565" s="405" t="s">
        <v>319</v>
      </c>
    </row>
    <row r="566" spans="1:21" x14ac:dyDescent="0.25">
      <c r="A566" s="405" t="s">
        <v>310</v>
      </c>
      <c r="B566" s="405" t="s">
        <v>19381</v>
      </c>
      <c r="C566" s="405" t="s">
        <v>327</v>
      </c>
      <c r="D566" s="405"/>
      <c r="E566" s="410">
        <v>44426</v>
      </c>
      <c r="F566" s="410">
        <v>44484</v>
      </c>
      <c r="G566" s="405" t="s">
        <v>19382</v>
      </c>
      <c r="H566" s="405" t="s">
        <v>19383</v>
      </c>
      <c r="I566" s="405" t="s">
        <v>19384</v>
      </c>
      <c r="J566" s="405">
        <v>3.3480379999999998</v>
      </c>
      <c r="K566" s="405">
        <v>31.596914999999999</v>
      </c>
      <c r="L566" s="405" t="s">
        <v>860</v>
      </c>
      <c r="M566" s="405" t="s">
        <v>19352</v>
      </c>
      <c r="N566" s="405" t="s">
        <v>19370</v>
      </c>
      <c r="O566" s="405" t="s">
        <v>19371</v>
      </c>
      <c r="P566" s="405" t="s">
        <v>19385</v>
      </c>
      <c r="Q566" s="411">
        <v>6</v>
      </c>
      <c r="R566" s="405" t="s">
        <v>7211</v>
      </c>
      <c r="S566" s="405" t="s">
        <v>27091</v>
      </c>
      <c r="T566" s="405" t="s">
        <v>884</v>
      </c>
      <c r="U566" s="405" t="s">
        <v>319</v>
      </c>
    </row>
    <row r="567" spans="1:21" x14ac:dyDescent="0.25">
      <c r="A567" s="405" t="s">
        <v>310</v>
      </c>
      <c r="B567" s="405" t="s">
        <v>19361</v>
      </c>
      <c r="C567" s="405" t="s">
        <v>327</v>
      </c>
      <c r="D567" s="405"/>
      <c r="E567" s="410">
        <v>44425</v>
      </c>
      <c r="F567" s="410">
        <v>44484</v>
      </c>
      <c r="G567" s="405" t="s">
        <v>19362</v>
      </c>
      <c r="H567" s="405" t="s">
        <v>19363</v>
      </c>
      <c r="I567" s="405" t="s">
        <v>19364</v>
      </c>
      <c r="J567" s="405">
        <v>3.5563229999999999</v>
      </c>
      <c r="K567" s="405">
        <v>31.767513000000001</v>
      </c>
      <c r="L567" s="405" t="s">
        <v>860</v>
      </c>
      <c r="M567" s="405" t="s">
        <v>19352</v>
      </c>
      <c r="N567" s="405" t="s">
        <v>19353</v>
      </c>
      <c r="O567" s="405" t="s">
        <v>19354</v>
      </c>
      <c r="P567" s="405" t="s">
        <v>19365</v>
      </c>
      <c r="Q567" s="411">
        <v>6</v>
      </c>
      <c r="R567" s="405" t="s">
        <v>7211</v>
      </c>
      <c r="S567" s="405" t="s">
        <v>27091</v>
      </c>
      <c r="T567" s="405" t="s">
        <v>32102</v>
      </c>
      <c r="U567" s="405" t="s">
        <v>319</v>
      </c>
    </row>
    <row r="568" spans="1:21" x14ac:dyDescent="0.25">
      <c r="A568" s="405" t="s">
        <v>310</v>
      </c>
      <c r="B568" s="405" t="s">
        <v>19386</v>
      </c>
      <c r="C568" s="405" t="s">
        <v>327</v>
      </c>
      <c r="D568" s="405"/>
      <c r="E568" s="410">
        <v>44424</v>
      </c>
      <c r="F568" s="410">
        <v>44484</v>
      </c>
      <c r="G568" s="405" t="s">
        <v>19387</v>
      </c>
      <c r="H568" s="405" t="s">
        <v>19388</v>
      </c>
      <c r="I568" s="405" t="s">
        <v>19389</v>
      </c>
      <c r="J568" s="405">
        <v>3.5735519999999998</v>
      </c>
      <c r="K568" s="405">
        <v>31.829705000000001</v>
      </c>
      <c r="L568" s="405" t="s">
        <v>860</v>
      </c>
      <c r="M568" s="405" t="s">
        <v>19352</v>
      </c>
      <c r="N568" s="405" t="s">
        <v>19353</v>
      </c>
      <c r="O568" s="405" t="s">
        <v>19390</v>
      </c>
      <c r="P568" s="405" t="s">
        <v>19391</v>
      </c>
      <c r="Q568" s="411">
        <v>6</v>
      </c>
      <c r="R568" s="405" t="s">
        <v>7211</v>
      </c>
      <c r="S568" s="405" t="s">
        <v>27091</v>
      </c>
      <c r="T568" s="405" t="s">
        <v>32102</v>
      </c>
      <c r="U568" s="405" t="s">
        <v>319</v>
      </c>
    </row>
    <row r="569" spans="1:21" x14ac:dyDescent="0.25">
      <c r="A569" s="405" t="s">
        <v>310</v>
      </c>
      <c r="B569" s="405" t="s">
        <v>19356</v>
      </c>
      <c r="C569" s="405" t="s">
        <v>327</v>
      </c>
      <c r="D569" s="405"/>
      <c r="E569" s="410">
        <v>44424</v>
      </c>
      <c r="F569" s="410">
        <v>44484</v>
      </c>
      <c r="G569" s="405" t="s">
        <v>19357</v>
      </c>
      <c r="H569" s="405" t="s">
        <v>19358</v>
      </c>
      <c r="I569" s="405" t="s">
        <v>19359</v>
      </c>
      <c r="J569" s="405">
        <v>3.5607700000000002</v>
      </c>
      <c r="K569" s="405">
        <v>31.811678000000001</v>
      </c>
      <c r="L569" s="405" t="s">
        <v>860</v>
      </c>
      <c r="M569" s="405" t="s">
        <v>19352</v>
      </c>
      <c r="N569" s="405" t="s">
        <v>19353</v>
      </c>
      <c r="O569" s="405" t="s">
        <v>19354</v>
      </c>
      <c r="P569" s="405" t="s">
        <v>19360</v>
      </c>
      <c r="Q569" s="411">
        <v>6</v>
      </c>
      <c r="R569" s="405" t="s">
        <v>7211</v>
      </c>
      <c r="S569" s="405" t="s">
        <v>27091</v>
      </c>
      <c r="T569" s="405" t="s">
        <v>32102</v>
      </c>
      <c r="U569" s="405" t="s">
        <v>319</v>
      </c>
    </row>
    <row r="570" spans="1:21" x14ac:dyDescent="0.25">
      <c r="A570" s="405" t="s">
        <v>310</v>
      </c>
      <c r="B570" s="405" t="s">
        <v>19348</v>
      </c>
      <c r="C570" s="405" t="s">
        <v>327</v>
      </c>
      <c r="D570" s="405"/>
      <c r="E570" s="410">
        <v>44424</v>
      </c>
      <c r="F570" s="410">
        <v>44484</v>
      </c>
      <c r="G570" s="405" t="s">
        <v>19349</v>
      </c>
      <c r="H570" s="405" t="s">
        <v>19350</v>
      </c>
      <c r="I570" s="405" t="s">
        <v>19351</v>
      </c>
      <c r="J570" s="405">
        <v>3.5771730000000002</v>
      </c>
      <c r="K570" s="405">
        <v>31.830024999999999</v>
      </c>
      <c r="L570" s="405" t="s">
        <v>860</v>
      </c>
      <c r="M570" s="405" t="s">
        <v>19352</v>
      </c>
      <c r="N570" s="405" t="s">
        <v>19353</v>
      </c>
      <c r="O570" s="405" t="s">
        <v>19354</v>
      </c>
      <c r="P570" s="405" t="s">
        <v>19355</v>
      </c>
      <c r="Q570" s="411">
        <v>6</v>
      </c>
      <c r="R570" s="405" t="s">
        <v>7211</v>
      </c>
      <c r="S570" s="405" t="s">
        <v>27091</v>
      </c>
      <c r="T570" s="405" t="s">
        <v>32102</v>
      </c>
      <c r="U570" s="405" t="s">
        <v>319</v>
      </c>
    </row>
    <row r="571" spans="1:21" x14ac:dyDescent="0.25">
      <c r="A571" s="405" t="s">
        <v>310</v>
      </c>
      <c r="B571" s="405" t="s">
        <v>19342</v>
      </c>
      <c r="C571" s="405" t="s">
        <v>327</v>
      </c>
      <c r="D571" s="405"/>
      <c r="E571" s="410">
        <v>44424</v>
      </c>
      <c r="F571" s="410">
        <v>44466</v>
      </c>
      <c r="G571" s="405" t="s">
        <v>19343</v>
      </c>
      <c r="H571" s="405" t="s">
        <v>19344</v>
      </c>
      <c r="I571" s="405" t="s">
        <v>19345</v>
      </c>
      <c r="J571" s="405">
        <v>3.3853270000000002</v>
      </c>
      <c r="K571" s="405">
        <v>31.871700000000001</v>
      </c>
      <c r="L571" s="405" t="s">
        <v>860</v>
      </c>
      <c r="M571" s="405" t="s">
        <v>18944</v>
      </c>
      <c r="N571" s="405" t="s">
        <v>19310</v>
      </c>
      <c r="O571" s="405" t="s">
        <v>19340</v>
      </c>
      <c r="P571" s="405" t="s">
        <v>19346</v>
      </c>
      <c r="Q571" s="411">
        <v>6</v>
      </c>
      <c r="R571" s="405" t="s">
        <v>7211</v>
      </c>
      <c r="S571" s="405" t="s">
        <v>27091</v>
      </c>
      <c r="T571" s="405" t="s">
        <v>32102</v>
      </c>
      <c r="U571" s="405" t="s">
        <v>319</v>
      </c>
    </row>
    <row r="572" spans="1:21" x14ac:dyDescent="0.25">
      <c r="A572" s="405" t="s">
        <v>310</v>
      </c>
      <c r="B572" s="405" t="s">
        <v>9202</v>
      </c>
      <c r="C572" s="405" t="s">
        <v>327</v>
      </c>
      <c r="D572" s="405"/>
      <c r="E572" s="410">
        <v>44423</v>
      </c>
      <c r="F572" s="410">
        <v>44521</v>
      </c>
      <c r="G572" s="405" t="s">
        <v>9203</v>
      </c>
      <c r="H572" s="405" t="s">
        <v>9204</v>
      </c>
      <c r="I572" s="405" t="s">
        <v>9205</v>
      </c>
      <c r="J572" s="405">
        <v>0.320245</v>
      </c>
      <c r="K572" s="405">
        <v>32.797747999999999</v>
      </c>
      <c r="L572" s="405" t="s">
        <v>314</v>
      </c>
      <c r="M572" s="405" t="s">
        <v>361</v>
      </c>
      <c r="N572" s="405" t="s">
        <v>803</v>
      </c>
      <c r="O572" s="405" t="s">
        <v>653</v>
      </c>
      <c r="P572" s="405" t="s">
        <v>9206</v>
      </c>
      <c r="Q572" s="411">
        <v>6</v>
      </c>
      <c r="R572" s="405" t="s">
        <v>5921</v>
      </c>
      <c r="S572" s="405" t="s">
        <v>32960</v>
      </c>
      <c r="T572" s="405" t="s">
        <v>32102</v>
      </c>
      <c r="U572" s="405" t="s">
        <v>319</v>
      </c>
    </row>
    <row r="573" spans="1:21" x14ac:dyDescent="0.25">
      <c r="A573" s="405" t="s">
        <v>310</v>
      </c>
      <c r="B573" s="405" t="s">
        <v>19321</v>
      </c>
      <c r="C573" s="405" t="s">
        <v>327</v>
      </c>
      <c r="D573" s="405"/>
      <c r="E573" s="410">
        <v>44423</v>
      </c>
      <c r="F573" s="410">
        <v>44466</v>
      </c>
      <c r="G573" s="405" t="s">
        <v>19322</v>
      </c>
      <c r="H573" s="405" t="s">
        <v>19323</v>
      </c>
      <c r="I573" s="405" t="s">
        <v>2913</v>
      </c>
      <c r="J573" s="405">
        <v>3.3721619999999999</v>
      </c>
      <c r="K573" s="405">
        <v>31.697102000000001</v>
      </c>
      <c r="L573" s="405" t="s">
        <v>860</v>
      </c>
      <c r="M573" s="405" t="s">
        <v>18944</v>
      </c>
      <c r="N573" s="405" t="s">
        <v>19310</v>
      </c>
      <c r="O573" s="405" t="s">
        <v>19311</v>
      </c>
      <c r="P573" s="405" t="s">
        <v>19324</v>
      </c>
      <c r="Q573" s="411">
        <v>6</v>
      </c>
      <c r="R573" s="405" t="s">
        <v>7211</v>
      </c>
      <c r="S573" s="405" t="s">
        <v>27091</v>
      </c>
      <c r="T573" s="405" t="s">
        <v>884</v>
      </c>
      <c r="U573" s="405" t="s">
        <v>319</v>
      </c>
    </row>
    <row r="574" spans="1:21" x14ac:dyDescent="0.25">
      <c r="A574" s="405" t="s">
        <v>310</v>
      </c>
      <c r="B574" s="405" t="s">
        <v>19336</v>
      </c>
      <c r="C574" s="405" t="s">
        <v>327</v>
      </c>
      <c r="D574" s="405"/>
      <c r="E574" s="410">
        <v>44423</v>
      </c>
      <c r="F574" s="410">
        <v>44452</v>
      </c>
      <c r="G574" s="405" t="s">
        <v>19337</v>
      </c>
      <c r="H574" s="405" t="s">
        <v>19338</v>
      </c>
      <c r="I574" s="405" t="s">
        <v>19339</v>
      </c>
      <c r="J574" s="405">
        <v>3.2737120000000002</v>
      </c>
      <c r="K574" s="405">
        <v>31.891157</v>
      </c>
      <c r="L574" s="405" t="s">
        <v>860</v>
      </c>
      <c r="M574" s="405" t="s">
        <v>18944</v>
      </c>
      <c r="N574" s="405" t="s">
        <v>19310</v>
      </c>
      <c r="O574" s="405" t="s">
        <v>19340</v>
      </c>
      <c r="P574" s="405" t="s">
        <v>19341</v>
      </c>
      <c r="Q574" s="411">
        <v>6</v>
      </c>
      <c r="R574" s="405" t="s">
        <v>7211</v>
      </c>
      <c r="S574" s="405" t="s">
        <v>27091</v>
      </c>
      <c r="T574" s="405" t="s">
        <v>32102</v>
      </c>
      <c r="U574" s="405" t="s">
        <v>319</v>
      </c>
    </row>
    <row r="575" spans="1:21" x14ac:dyDescent="0.25">
      <c r="A575" s="405" t="s">
        <v>310</v>
      </c>
      <c r="B575" s="405" t="s">
        <v>19331</v>
      </c>
      <c r="C575" s="405" t="s">
        <v>327</v>
      </c>
      <c r="D575" s="405"/>
      <c r="E575" s="410">
        <v>44423</v>
      </c>
      <c r="F575" s="410">
        <v>44452</v>
      </c>
      <c r="G575" s="405" t="s">
        <v>19332</v>
      </c>
      <c r="H575" s="405" t="s">
        <v>19333</v>
      </c>
      <c r="I575" s="405" t="s">
        <v>19334</v>
      </c>
      <c r="J575" s="405">
        <v>3.296322</v>
      </c>
      <c r="K575" s="405">
        <v>31.849782999999999</v>
      </c>
      <c r="L575" s="405" t="s">
        <v>860</v>
      </c>
      <c r="M575" s="405" t="s">
        <v>18944</v>
      </c>
      <c r="N575" s="405" t="s">
        <v>19310</v>
      </c>
      <c r="O575" s="405" t="s">
        <v>19329</v>
      </c>
      <c r="P575" s="405" t="s">
        <v>19335</v>
      </c>
      <c r="Q575" s="411">
        <v>6</v>
      </c>
      <c r="R575" s="405" t="s">
        <v>7211</v>
      </c>
      <c r="S575" s="405" t="s">
        <v>27091</v>
      </c>
      <c r="T575" s="405" t="s">
        <v>32102</v>
      </c>
      <c r="U575" s="405" t="s">
        <v>319</v>
      </c>
    </row>
    <row r="576" spans="1:21" x14ac:dyDescent="0.25">
      <c r="A576" s="405" t="s">
        <v>310</v>
      </c>
      <c r="B576" s="405" t="s">
        <v>19325</v>
      </c>
      <c r="C576" s="405" t="s">
        <v>327</v>
      </c>
      <c r="D576" s="405"/>
      <c r="E576" s="410">
        <v>44423</v>
      </c>
      <c r="F576" s="410">
        <v>44452</v>
      </c>
      <c r="G576" s="405" t="s">
        <v>19326</v>
      </c>
      <c r="H576" s="405" t="s">
        <v>19327</v>
      </c>
      <c r="I576" s="405" t="s">
        <v>19328</v>
      </c>
      <c r="J576" s="405">
        <v>3.309437</v>
      </c>
      <c r="K576" s="405">
        <v>31.838483</v>
      </c>
      <c r="L576" s="405" t="s">
        <v>860</v>
      </c>
      <c r="M576" s="405" t="s">
        <v>18944</v>
      </c>
      <c r="N576" s="405" t="s">
        <v>19310</v>
      </c>
      <c r="O576" s="405" t="s">
        <v>19329</v>
      </c>
      <c r="P576" s="405" t="s">
        <v>19330</v>
      </c>
      <c r="Q576" s="411">
        <v>6</v>
      </c>
      <c r="R576" s="405" t="s">
        <v>7211</v>
      </c>
      <c r="S576" s="405" t="s">
        <v>27091</v>
      </c>
      <c r="T576" s="405" t="s">
        <v>884</v>
      </c>
      <c r="U576" s="405" t="s">
        <v>319</v>
      </c>
    </row>
    <row r="577" spans="1:21" x14ac:dyDescent="0.25">
      <c r="A577" s="405" t="s">
        <v>310</v>
      </c>
      <c r="B577" s="405" t="s">
        <v>26507</v>
      </c>
      <c r="C577" s="405" t="s">
        <v>327</v>
      </c>
      <c r="D577" s="405"/>
      <c r="E577" s="410">
        <v>44423</v>
      </c>
      <c r="F577" s="410">
        <v>44437</v>
      </c>
      <c r="G577" s="405" t="s">
        <v>26508</v>
      </c>
      <c r="H577" s="405" t="s">
        <v>26509</v>
      </c>
      <c r="I577" s="405" t="s">
        <v>2913</v>
      </c>
      <c r="J577" s="405">
        <v>0.49355700000000002</v>
      </c>
      <c r="K577" s="405">
        <v>32.476787999999999</v>
      </c>
      <c r="L577" s="405" t="s">
        <v>590</v>
      </c>
      <c r="M577" s="405" t="s">
        <v>19608</v>
      </c>
      <c r="N577" s="405" t="s">
        <v>26510</v>
      </c>
      <c r="O577" s="405" t="s">
        <v>19608</v>
      </c>
      <c r="P577" s="405" t="s">
        <v>26511</v>
      </c>
      <c r="Q577" s="411">
        <v>6</v>
      </c>
      <c r="R577" s="405" t="s">
        <v>32157</v>
      </c>
      <c r="S577" s="405" t="s">
        <v>27062</v>
      </c>
      <c r="T577" s="405" t="s">
        <v>32102</v>
      </c>
      <c r="U577" s="405" t="s">
        <v>319</v>
      </c>
    </row>
    <row r="578" spans="1:21" x14ac:dyDescent="0.25">
      <c r="A578" s="405" t="s">
        <v>310</v>
      </c>
      <c r="B578" s="405" t="s">
        <v>19313</v>
      </c>
      <c r="C578" s="405" t="s">
        <v>327</v>
      </c>
      <c r="D578" s="405"/>
      <c r="E578" s="410">
        <v>44422</v>
      </c>
      <c r="F578" s="410">
        <v>44466</v>
      </c>
      <c r="G578" s="405" t="s">
        <v>19314</v>
      </c>
      <c r="H578" s="405" t="s">
        <v>19315</v>
      </c>
      <c r="I578" s="405" t="s">
        <v>2913</v>
      </c>
      <c r="J578" s="405">
        <v>3.32456</v>
      </c>
      <c r="K578" s="405">
        <v>31.689343000000001</v>
      </c>
      <c r="L578" s="405" t="s">
        <v>860</v>
      </c>
      <c r="M578" s="405" t="s">
        <v>18944</v>
      </c>
      <c r="N578" s="405" t="s">
        <v>19310</v>
      </c>
      <c r="O578" s="405" t="s">
        <v>19311</v>
      </c>
      <c r="P578" s="405" t="s">
        <v>19316</v>
      </c>
      <c r="Q578" s="411">
        <v>6</v>
      </c>
      <c r="R578" s="405" t="s">
        <v>7211</v>
      </c>
      <c r="S578" s="405" t="s">
        <v>27091</v>
      </c>
      <c r="T578" s="405" t="s">
        <v>884</v>
      </c>
      <c r="U578" s="405" t="s">
        <v>319</v>
      </c>
    </row>
    <row r="579" spans="1:21" x14ac:dyDescent="0.25">
      <c r="A579" s="405" t="s">
        <v>310</v>
      </c>
      <c r="B579" s="405" t="s">
        <v>19306</v>
      </c>
      <c r="C579" s="405" t="s">
        <v>327</v>
      </c>
      <c r="D579" s="405"/>
      <c r="E579" s="410">
        <v>44422</v>
      </c>
      <c r="F579" s="410">
        <v>44466</v>
      </c>
      <c r="G579" s="405" t="s">
        <v>19307</v>
      </c>
      <c r="H579" s="405" t="s">
        <v>19308</v>
      </c>
      <c r="I579" s="405" t="s">
        <v>19309</v>
      </c>
      <c r="J579" s="405">
        <v>3.3384420000000001</v>
      </c>
      <c r="K579" s="405">
        <v>31.700367</v>
      </c>
      <c r="L579" s="405" t="s">
        <v>860</v>
      </c>
      <c r="M579" s="405" t="s">
        <v>18944</v>
      </c>
      <c r="N579" s="405" t="s">
        <v>19310</v>
      </c>
      <c r="O579" s="405" t="s">
        <v>19311</v>
      </c>
      <c r="P579" s="405" t="s">
        <v>19312</v>
      </c>
      <c r="Q579" s="411">
        <v>6</v>
      </c>
      <c r="R579" s="405" t="s">
        <v>7211</v>
      </c>
      <c r="S579" s="405" t="s">
        <v>27091</v>
      </c>
      <c r="T579" s="405" t="s">
        <v>32102</v>
      </c>
      <c r="U579" s="405" t="s">
        <v>319</v>
      </c>
    </row>
    <row r="580" spans="1:21" x14ac:dyDescent="0.25">
      <c r="A580" s="405" t="s">
        <v>310</v>
      </c>
      <c r="B580" s="405" t="s">
        <v>26504</v>
      </c>
      <c r="C580" s="405" t="s">
        <v>327</v>
      </c>
      <c r="D580" s="405"/>
      <c r="E580" s="410">
        <v>44421</v>
      </c>
      <c r="F580" s="410">
        <v>44438</v>
      </c>
      <c r="G580" s="405" t="s">
        <v>26505</v>
      </c>
      <c r="H580" s="405" t="s">
        <v>26506</v>
      </c>
      <c r="I580" s="405" t="s">
        <v>26506</v>
      </c>
      <c r="J580" s="405">
        <v>-0.782497</v>
      </c>
      <c r="K580" s="405">
        <v>29.805078000000002</v>
      </c>
      <c r="L580" s="405" t="s">
        <v>590</v>
      </c>
      <c r="M580" s="405" t="s">
        <v>20808</v>
      </c>
      <c r="N580" s="405" t="s">
        <v>25663</v>
      </c>
      <c r="O580" s="405" t="s">
        <v>25427</v>
      </c>
      <c r="P580" s="405" t="s">
        <v>19938</v>
      </c>
      <c r="Q580" s="411">
        <v>9</v>
      </c>
      <c r="R580" s="405" t="s">
        <v>5858</v>
      </c>
      <c r="S580" s="405" t="s">
        <v>27227</v>
      </c>
      <c r="T580" s="405" t="s">
        <v>32102</v>
      </c>
      <c r="U580" s="405" t="s">
        <v>319</v>
      </c>
    </row>
    <row r="581" spans="1:21" x14ac:dyDescent="0.25">
      <c r="A581" s="405" t="s">
        <v>310</v>
      </c>
      <c r="B581" s="405" t="s">
        <v>19257</v>
      </c>
      <c r="C581" s="405" t="s">
        <v>327</v>
      </c>
      <c r="D581" s="405"/>
      <c r="E581" s="410">
        <v>44421</v>
      </c>
      <c r="F581" s="410">
        <v>44437</v>
      </c>
      <c r="G581" s="405" t="s">
        <v>19258</v>
      </c>
      <c r="H581" s="405" t="s">
        <v>19259</v>
      </c>
      <c r="I581" s="405" t="s">
        <v>19260</v>
      </c>
      <c r="J581" s="405">
        <v>3.2946979999999999</v>
      </c>
      <c r="K581" s="405">
        <v>32.760663000000001</v>
      </c>
      <c r="L581" s="405" t="s">
        <v>860</v>
      </c>
      <c r="M581" s="405" t="s">
        <v>19018</v>
      </c>
      <c r="N581" s="405" t="s">
        <v>19261</v>
      </c>
      <c r="O581" s="405" t="s">
        <v>19262</v>
      </c>
      <c r="P581" s="405" t="s">
        <v>19252</v>
      </c>
      <c r="Q581" s="411">
        <v>9</v>
      </c>
      <c r="R581" s="405" t="s">
        <v>9242</v>
      </c>
      <c r="S581" s="405" t="s">
        <v>27390</v>
      </c>
      <c r="T581" s="405" t="s">
        <v>32102</v>
      </c>
      <c r="U581" s="405" t="s">
        <v>319</v>
      </c>
    </row>
    <row r="582" spans="1:21" x14ac:dyDescent="0.25">
      <c r="A582" s="405" t="s">
        <v>310</v>
      </c>
      <c r="B582" s="405" t="s">
        <v>19253</v>
      </c>
      <c r="C582" s="405" t="s">
        <v>327</v>
      </c>
      <c r="D582" s="405"/>
      <c r="E582" s="410">
        <v>44421</v>
      </c>
      <c r="F582" s="410">
        <v>44437</v>
      </c>
      <c r="G582" s="405" t="s">
        <v>19254</v>
      </c>
      <c r="H582" s="405" t="s">
        <v>19255</v>
      </c>
      <c r="I582" s="405" t="s">
        <v>2913</v>
      </c>
      <c r="J582" s="405">
        <v>3.293857</v>
      </c>
      <c r="K582" s="405">
        <v>32.763210999999998</v>
      </c>
      <c r="L582" s="405" t="s">
        <v>860</v>
      </c>
      <c r="M582" s="405" t="s">
        <v>19018</v>
      </c>
      <c r="N582" s="405" t="s">
        <v>19256</v>
      </c>
      <c r="O582" s="405" t="s">
        <v>19251</v>
      </c>
      <c r="P582" s="405" t="s">
        <v>19252</v>
      </c>
      <c r="Q582" s="411">
        <v>9</v>
      </c>
      <c r="R582" s="405" t="s">
        <v>9242</v>
      </c>
      <c r="S582" s="405" t="s">
        <v>27389</v>
      </c>
      <c r="T582" s="405" t="s">
        <v>32102</v>
      </c>
      <c r="U582" s="405" t="s">
        <v>319</v>
      </c>
    </row>
    <row r="583" spans="1:21" x14ac:dyDescent="0.25">
      <c r="A583" s="405" t="s">
        <v>310</v>
      </c>
      <c r="B583" s="405" t="s">
        <v>9812</v>
      </c>
      <c r="C583" s="405" t="s">
        <v>311</v>
      </c>
      <c r="D583" s="405" t="s">
        <v>5973</v>
      </c>
      <c r="E583" s="410">
        <v>44420</v>
      </c>
      <c r="F583" s="410">
        <v>44472</v>
      </c>
      <c r="G583" s="405" t="s">
        <v>9813</v>
      </c>
      <c r="H583" s="405" t="s">
        <v>9033</v>
      </c>
      <c r="I583" s="405" t="s">
        <v>2913</v>
      </c>
      <c r="J583" s="405">
        <v>0.45993800000000001</v>
      </c>
      <c r="K583" s="405">
        <v>32.528778000000003</v>
      </c>
      <c r="L583" s="405" t="s">
        <v>314</v>
      </c>
      <c r="M583" s="405" t="s">
        <v>361</v>
      </c>
      <c r="N583" s="405" t="s">
        <v>361</v>
      </c>
      <c r="O583" s="405" t="s">
        <v>523</v>
      </c>
      <c r="P583" s="405" t="s">
        <v>9814</v>
      </c>
      <c r="Q583" s="411">
        <v>13</v>
      </c>
      <c r="R583" s="405" t="s">
        <v>32101</v>
      </c>
      <c r="S583" s="405" t="s">
        <v>5986</v>
      </c>
      <c r="T583" s="405" t="s">
        <v>884</v>
      </c>
      <c r="U583" s="405" t="s">
        <v>319</v>
      </c>
    </row>
    <row r="584" spans="1:21" x14ac:dyDescent="0.25">
      <c r="A584" s="405" t="s">
        <v>310</v>
      </c>
      <c r="B584" s="405" t="s">
        <v>19247</v>
      </c>
      <c r="C584" s="405" t="s">
        <v>327</v>
      </c>
      <c r="D584" s="405"/>
      <c r="E584" s="410">
        <v>44420</v>
      </c>
      <c r="F584" s="410">
        <v>44437</v>
      </c>
      <c r="G584" s="405" t="s">
        <v>19248</v>
      </c>
      <c r="H584" s="405" t="s">
        <v>19249</v>
      </c>
      <c r="I584" s="405" t="s">
        <v>19250</v>
      </c>
      <c r="J584" s="405">
        <v>3.2923960000000001</v>
      </c>
      <c r="K584" s="405">
        <v>32.762352</v>
      </c>
      <c r="L584" s="405" t="s">
        <v>860</v>
      </c>
      <c r="M584" s="405" t="s">
        <v>19018</v>
      </c>
      <c r="N584" s="405" t="s">
        <v>19251</v>
      </c>
      <c r="O584" s="405" t="s">
        <v>19251</v>
      </c>
      <c r="P584" s="405" t="s">
        <v>19252</v>
      </c>
      <c r="Q584" s="411">
        <v>9</v>
      </c>
      <c r="R584" s="405" t="s">
        <v>9242</v>
      </c>
      <c r="S584" s="405" t="s">
        <v>27388</v>
      </c>
      <c r="T584" s="405" t="s">
        <v>32102</v>
      </c>
      <c r="U584" s="405" t="s">
        <v>319</v>
      </c>
    </row>
    <row r="585" spans="1:21" x14ac:dyDescent="0.25">
      <c r="A585" s="405" t="s">
        <v>310</v>
      </c>
      <c r="B585" s="405" t="s">
        <v>8901</v>
      </c>
      <c r="C585" s="405" t="s">
        <v>327</v>
      </c>
      <c r="D585" s="405"/>
      <c r="E585" s="410">
        <v>44418</v>
      </c>
      <c r="F585" s="410">
        <v>44437</v>
      </c>
      <c r="G585" s="405" t="s">
        <v>8902</v>
      </c>
      <c r="H585" s="405" t="s">
        <v>8903</v>
      </c>
      <c r="I585" s="405" t="s">
        <v>8904</v>
      </c>
      <c r="J585" s="405">
        <v>0.33418799999999999</v>
      </c>
      <c r="K585" s="405">
        <v>32.529252999999997</v>
      </c>
      <c r="L585" s="405" t="s">
        <v>314</v>
      </c>
      <c r="M585" s="405" t="s">
        <v>361</v>
      </c>
      <c r="N585" s="405" t="s">
        <v>3590</v>
      </c>
      <c r="O585" s="405" t="s">
        <v>3635</v>
      </c>
      <c r="P585" s="405" t="s">
        <v>8905</v>
      </c>
      <c r="Q585" s="411">
        <v>13</v>
      </c>
      <c r="R585" s="405" t="s">
        <v>32157</v>
      </c>
      <c r="S585" s="405" t="s">
        <v>27048</v>
      </c>
      <c r="T585" s="405" t="s">
        <v>884</v>
      </c>
      <c r="U585" s="405" t="s">
        <v>319</v>
      </c>
    </row>
    <row r="586" spans="1:21" x14ac:dyDescent="0.25">
      <c r="A586" s="405" t="s">
        <v>310</v>
      </c>
      <c r="B586" s="405" t="s">
        <v>9016</v>
      </c>
      <c r="C586" s="405" t="s">
        <v>327</v>
      </c>
      <c r="D586" s="405"/>
      <c r="E586" s="410">
        <v>44418</v>
      </c>
      <c r="F586" s="410">
        <v>44467</v>
      </c>
      <c r="G586" s="405" t="s">
        <v>9017</v>
      </c>
      <c r="H586" s="405" t="s">
        <v>9018</v>
      </c>
      <c r="I586" s="405" t="s">
        <v>2913</v>
      </c>
      <c r="J586" s="405">
        <v>0.36443199999999998</v>
      </c>
      <c r="K586" s="405">
        <v>32.528098</v>
      </c>
      <c r="L586" s="405" t="s">
        <v>314</v>
      </c>
      <c r="M586" s="405" t="s">
        <v>361</v>
      </c>
      <c r="N586" s="405" t="s">
        <v>6178</v>
      </c>
      <c r="O586" s="405" t="s">
        <v>1290</v>
      </c>
      <c r="P586" s="405" t="s">
        <v>9019</v>
      </c>
      <c r="Q586" s="411">
        <v>12</v>
      </c>
      <c r="R586" s="405" t="s">
        <v>32157</v>
      </c>
      <c r="S586" s="405" t="s">
        <v>27055</v>
      </c>
      <c r="T586" s="405" t="s">
        <v>865</v>
      </c>
      <c r="U586" s="405" t="s">
        <v>866</v>
      </c>
    </row>
    <row r="587" spans="1:21" x14ac:dyDescent="0.25">
      <c r="A587" s="405" t="s">
        <v>310</v>
      </c>
      <c r="B587" s="405" t="s">
        <v>8921</v>
      </c>
      <c r="C587" s="405" t="s">
        <v>327</v>
      </c>
      <c r="D587" s="405"/>
      <c r="E587" s="410">
        <v>44418</v>
      </c>
      <c r="F587" s="410">
        <v>44433</v>
      </c>
      <c r="G587" s="405" t="s">
        <v>8922</v>
      </c>
      <c r="H587" s="405" t="s">
        <v>8923</v>
      </c>
      <c r="I587" s="405" t="s">
        <v>8924</v>
      </c>
      <c r="J587" s="405">
        <v>0.46467000000000003</v>
      </c>
      <c r="K587" s="405">
        <v>32.522402999999997</v>
      </c>
      <c r="L587" s="405" t="s">
        <v>314</v>
      </c>
      <c r="M587" s="405" t="s">
        <v>2512</v>
      </c>
      <c r="N587" s="405" t="s">
        <v>8925</v>
      </c>
      <c r="O587" s="405" t="s">
        <v>8926</v>
      </c>
      <c r="P587" s="405" t="s">
        <v>1067</v>
      </c>
      <c r="Q587" s="411">
        <v>9</v>
      </c>
      <c r="R587" s="405" t="s">
        <v>32157</v>
      </c>
      <c r="S587" s="405" t="s">
        <v>27034</v>
      </c>
      <c r="T587" s="405" t="s">
        <v>884</v>
      </c>
      <c r="U587" s="405" t="s">
        <v>319</v>
      </c>
    </row>
    <row r="588" spans="1:21" x14ac:dyDescent="0.25">
      <c r="A588" s="405" t="s">
        <v>310</v>
      </c>
      <c r="B588" s="405" t="s">
        <v>8974</v>
      </c>
      <c r="C588" s="405" t="s">
        <v>327</v>
      </c>
      <c r="D588" s="405"/>
      <c r="E588" s="410">
        <v>44416</v>
      </c>
      <c r="F588" s="410">
        <v>44429</v>
      </c>
      <c r="G588" s="405" t="s">
        <v>8975</v>
      </c>
      <c r="H588" s="405" t="s">
        <v>8976</v>
      </c>
      <c r="I588" s="405" t="s">
        <v>8977</v>
      </c>
      <c r="J588" s="405">
        <v>0.32992700000000003</v>
      </c>
      <c r="K588" s="405">
        <v>32.528675</v>
      </c>
      <c r="L588" s="405" t="s">
        <v>314</v>
      </c>
      <c r="M588" s="405" t="s">
        <v>992</v>
      </c>
      <c r="N588" s="405" t="s">
        <v>1340</v>
      </c>
      <c r="O588" s="405" t="s">
        <v>1450</v>
      </c>
      <c r="P588" s="405" t="s">
        <v>8978</v>
      </c>
      <c r="Q588" s="411">
        <v>13</v>
      </c>
      <c r="R588" s="405" t="s">
        <v>5665</v>
      </c>
      <c r="S588" s="405" t="s">
        <v>27051</v>
      </c>
      <c r="T588" s="405" t="s">
        <v>32102</v>
      </c>
      <c r="U588" s="405" t="s">
        <v>319</v>
      </c>
    </row>
    <row r="589" spans="1:21" x14ac:dyDescent="0.25">
      <c r="A589" s="405" t="s">
        <v>310</v>
      </c>
      <c r="B589" s="405" t="s">
        <v>8951</v>
      </c>
      <c r="C589" s="405" t="s">
        <v>327</v>
      </c>
      <c r="D589" s="405"/>
      <c r="E589" s="410">
        <v>44416</v>
      </c>
      <c r="F589" s="410">
        <v>44427</v>
      </c>
      <c r="G589" s="405" t="s">
        <v>8952</v>
      </c>
      <c r="H589" s="405" t="s">
        <v>8953</v>
      </c>
      <c r="I589" s="405" t="s">
        <v>2913</v>
      </c>
      <c r="J589" s="405">
        <v>0.45889200000000002</v>
      </c>
      <c r="K589" s="405">
        <v>33.159032000000003</v>
      </c>
      <c r="L589" s="405" t="s">
        <v>314</v>
      </c>
      <c r="M589" s="405" t="s">
        <v>349</v>
      </c>
      <c r="N589" s="405" t="s">
        <v>349</v>
      </c>
      <c r="O589" s="405" t="s">
        <v>1113</v>
      </c>
      <c r="P589" s="405" t="s">
        <v>7714</v>
      </c>
      <c r="Q589" s="411">
        <v>9</v>
      </c>
      <c r="R589" s="405" t="s">
        <v>32101</v>
      </c>
      <c r="S589" s="405" t="s">
        <v>27186</v>
      </c>
      <c r="T589" s="405" t="s">
        <v>32102</v>
      </c>
      <c r="U589" s="405" t="s">
        <v>319</v>
      </c>
    </row>
    <row r="590" spans="1:21" x14ac:dyDescent="0.25">
      <c r="A590" s="405" t="s">
        <v>310</v>
      </c>
      <c r="B590" s="405" t="s">
        <v>9063</v>
      </c>
      <c r="C590" s="405" t="s">
        <v>327</v>
      </c>
      <c r="D590" s="405"/>
      <c r="E590" s="410">
        <v>44416</v>
      </c>
      <c r="F590" s="410">
        <v>44479</v>
      </c>
      <c r="G590" s="405" t="s">
        <v>9064</v>
      </c>
      <c r="H590" s="405" t="s">
        <v>9065</v>
      </c>
      <c r="I590" s="405" t="s">
        <v>2913</v>
      </c>
      <c r="J590" s="405">
        <v>0.24981100000000001</v>
      </c>
      <c r="K590" s="405">
        <v>32.294300999999997</v>
      </c>
      <c r="L590" s="405" t="s">
        <v>314</v>
      </c>
      <c r="M590" s="405" t="s">
        <v>321</v>
      </c>
      <c r="N590" s="405" t="s">
        <v>322</v>
      </c>
      <c r="O590" s="405" t="s">
        <v>322</v>
      </c>
      <c r="P590" s="405" t="s">
        <v>9066</v>
      </c>
      <c r="Q590" s="411">
        <v>6</v>
      </c>
      <c r="R590" s="405" t="s">
        <v>32164</v>
      </c>
      <c r="S590" s="405" t="s">
        <v>27054</v>
      </c>
      <c r="T590" s="405" t="s">
        <v>32102</v>
      </c>
      <c r="U590" s="405" t="s">
        <v>319</v>
      </c>
    </row>
    <row r="591" spans="1:21" x14ac:dyDescent="0.25">
      <c r="A591" s="405" t="s">
        <v>310</v>
      </c>
      <c r="B591" s="405" t="s">
        <v>17621</v>
      </c>
      <c r="C591" s="405" t="s">
        <v>327</v>
      </c>
      <c r="D591" s="405"/>
      <c r="E591" s="410">
        <v>44416</v>
      </c>
      <c r="F591" s="410">
        <v>44438</v>
      </c>
      <c r="G591" s="405" t="s">
        <v>17622</v>
      </c>
      <c r="H591" s="405" t="s">
        <v>17623</v>
      </c>
      <c r="I591" s="405" t="s">
        <v>2913</v>
      </c>
      <c r="J591" s="405">
        <v>1.0756570000000001</v>
      </c>
      <c r="K591" s="405">
        <v>34.207746999999998</v>
      </c>
      <c r="L591" s="405" t="s">
        <v>6866</v>
      </c>
      <c r="M591" s="405" t="s">
        <v>9514</v>
      </c>
      <c r="N591" s="405" t="s">
        <v>17624</v>
      </c>
      <c r="O591" s="405" t="s">
        <v>12168</v>
      </c>
      <c r="P591" s="405" t="s">
        <v>17625</v>
      </c>
      <c r="Q591" s="411">
        <v>4</v>
      </c>
      <c r="R591" s="405" t="s">
        <v>6871</v>
      </c>
      <c r="S591" s="405" t="s">
        <v>27371</v>
      </c>
      <c r="T591" s="405" t="s">
        <v>32102</v>
      </c>
      <c r="U591" s="405" t="s">
        <v>319</v>
      </c>
    </row>
    <row r="592" spans="1:21" x14ac:dyDescent="0.25">
      <c r="A592" s="405" t="s">
        <v>310</v>
      </c>
      <c r="B592" s="405" t="s">
        <v>8996</v>
      </c>
      <c r="C592" s="405" t="s">
        <v>327</v>
      </c>
      <c r="D592" s="405"/>
      <c r="E592" s="410">
        <v>44415</v>
      </c>
      <c r="F592" s="410">
        <v>44466</v>
      </c>
      <c r="G592" s="405" t="s">
        <v>8997</v>
      </c>
      <c r="H592" s="405" t="s">
        <v>8998</v>
      </c>
      <c r="I592" s="405" t="s">
        <v>2913</v>
      </c>
      <c r="J592" s="405">
        <v>0.29885</v>
      </c>
      <c r="K592" s="405">
        <v>32.310053000000003</v>
      </c>
      <c r="L592" s="405" t="s">
        <v>314</v>
      </c>
      <c r="M592" s="405" t="s">
        <v>321</v>
      </c>
      <c r="N592" s="405" t="s">
        <v>8999</v>
      </c>
      <c r="O592" s="405" t="s">
        <v>2473</v>
      </c>
      <c r="P592" s="405" t="s">
        <v>9000</v>
      </c>
      <c r="Q592" s="411">
        <v>6</v>
      </c>
      <c r="R592" s="405" t="s">
        <v>32164</v>
      </c>
      <c r="S592" s="405" t="s">
        <v>27054</v>
      </c>
      <c r="T592" s="405" t="s">
        <v>865</v>
      </c>
      <c r="U592" s="405" t="s">
        <v>866</v>
      </c>
    </row>
    <row r="593" spans="1:21" x14ac:dyDescent="0.25">
      <c r="A593" s="405" t="s">
        <v>310</v>
      </c>
      <c r="B593" s="405" t="s">
        <v>9020</v>
      </c>
      <c r="C593" s="405" t="s">
        <v>327</v>
      </c>
      <c r="D593" s="405"/>
      <c r="E593" s="410">
        <v>44413</v>
      </c>
      <c r="F593" s="410">
        <v>44441</v>
      </c>
      <c r="G593" s="405" t="s">
        <v>9021</v>
      </c>
      <c r="H593" s="405" t="s">
        <v>9022</v>
      </c>
      <c r="I593" s="405" t="s">
        <v>2913</v>
      </c>
      <c r="J593" s="405">
        <v>0.52957699999999996</v>
      </c>
      <c r="K593" s="405">
        <v>32.616908000000002</v>
      </c>
      <c r="L593" s="405" t="s">
        <v>314</v>
      </c>
      <c r="M593" s="405" t="s">
        <v>361</v>
      </c>
      <c r="N593" s="405" t="s">
        <v>5924</v>
      </c>
      <c r="O593" s="405" t="s">
        <v>363</v>
      </c>
      <c r="P593" s="405" t="s">
        <v>8191</v>
      </c>
      <c r="Q593" s="411">
        <v>13</v>
      </c>
      <c r="R593" s="405" t="s">
        <v>32157</v>
      </c>
      <c r="S593" s="405" t="s">
        <v>27035</v>
      </c>
      <c r="T593" s="405" t="s">
        <v>865</v>
      </c>
      <c r="U593" s="405" t="s">
        <v>866</v>
      </c>
    </row>
    <row r="594" spans="1:21" x14ac:dyDescent="0.25">
      <c r="A594" s="405" t="s">
        <v>310</v>
      </c>
      <c r="B594" s="405" t="s">
        <v>8878</v>
      </c>
      <c r="C594" s="405" t="s">
        <v>327</v>
      </c>
      <c r="D594" s="405"/>
      <c r="E594" s="410">
        <v>44413</v>
      </c>
      <c r="F594" s="410">
        <v>44415</v>
      </c>
      <c r="G594" s="405" t="s">
        <v>8879</v>
      </c>
      <c r="H594" s="405" t="s">
        <v>8880</v>
      </c>
      <c r="I594" s="405" t="s">
        <v>8881</v>
      </c>
      <c r="J594" s="405">
        <v>0.39876499999999998</v>
      </c>
      <c r="K594" s="405">
        <v>32.587209999999999</v>
      </c>
      <c r="L594" s="405" t="s">
        <v>314</v>
      </c>
      <c r="M594" s="405" t="s">
        <v>992</v>
      </c>
      <c r="N594" s="405" t="s">
        <v>5924</v>
      </c>
      <c r="O594" s="405" t="s">
        <v>936</v>
      </c>
      <c r="P594" s="405" t="s">
        <v>8882</v>
      </c>
      <c r="Q594" s="411">
        <v>9</v>
      </c>
      <c r="R594" s="405" t="s">
        <v>7269</v>
      </c>
      <c r="S594" s="405" t="s">
        <v>27048</v>
      </c>
      <c r="T594" s="405" t="s">
        <v>32102</v>
      </c>
      <c r="U594" s="405" t="s">
        <v>319</v>
      </c>
    </row>
    <row r="595" spans="1:21" x14ac:dyDescent="0.25">
      <c r="A595" s="405" t="s">
        <v>310</v>
      </c>
      <c r="B595" s="405" t="s">
        <v>17626</v>
      </c>
      <c r="C595" s="405" t="s">
        <v>327</v>
      </c>
      <c r="D595" s="405"/>
      <c r="E595" s="410">
        <v>44413</v>
      </c>
      <c r="F595" s="410">
        <v>44433</v>
      </c>
      <c r="G595" s="405" t="s">
        <v>17627</v>
      </c>
      <c r="H595" s="405" t="s">
        <v>17628</v>
      </c>
      <c r="I595" s="405" t="s">
        <v>17629</v>
      </c>
      <c r="J595" s="405">
        <v>0.72664799999999996</v>
      </c>
      <c r="K595" s="405">
        <v>34.072215</v>
      </c>
      <c r="L595" s="405" t="s">
        <v>6866</v>
      </c>
      <c r="M595" s="405" t="s">
        <v>9534</v>
      </c>
      <c r="N595" s="405" t="s">
        <v>10085</v>
      </c>
      <c r="O595" s="405" t="s">
        <v>17630</v>
      </c>
      <c r="P595" s="405" t="s">
        <v>17631</v>
      </c>
      <c r="Q595" s="411">
        <v>4</v>
      </c>
      <c r="R595" s="405" t="s">
        <v>7224</v>
      </c>
      <c r="S595" s="405" t="s">
        <v>27067</v>
      </c>
      <c r="T595" s="405" t="s">
        <v>865</v>
      </c>
      <c r="U595" s="405" t="s">
        <v>866</v>
      </c>
    </row>
    <row r="596" spans="1:21" x14ac:dyDescent="0.25">
      <c r="A596" s="405" t="s">
        <v>310</v>
      </c>
      <c r="B596" s="405" t="s">
        <v>9053</v>
      </c>
      <c r="C596" s="405" t="s">
        <v>327</v>
      </c>
      <c r="D596" s="405"/>
      <c r="E596" s="410">
        <v>44411</v>
      </c>
      <c r="F596" s="410">
        <v>44472</v>
      </c>
      <c r="G596" s="405" t="s">
        <v>9054</v>
      </c>
      <c r="H596" s="405" t="s">
        <v>9055</v>
      </c>
      <c r="I596" s="405" t="s">
        <v>9056</v>
      </c>
      <c r="J596" s="405">
        <v>0.68218199999999996</v>
      </c>
      <c r="K596" s="405">
        <v>32.559221999999998</v>
      </c>
      <c r="L596" s="405" t="s">
        <v>314</v>
      </c>
      <c r="M596" s="405" t="s">
        <v>959</v>
      </c>
      <c r="N596" s="405" t="s">
        <v>959</v>
      </c>
      <c r="O596" s="405" t="s">
        <v>1094</v>
      </c>
      <c r="P596" s="405" t="s">
        <v>9057</v>
      </c>
      <c r="Q596" s="411">
        <v>9</v>
      </c>
      <c r="R596" s="405" t="s">
        <v>6798</v>
      </c>
      <c r="S596" s="405" t="s">
        <v>27049</v>
      </c>
      <c r="T596" s="405" t="s">
        <v>32102</v>
      </c>
      <c r="U596" s="405" t="s">
        <v>319</v>
      </c>
    </row>
    <row r="597" spans="1:21" x14ac:dyDescent="0.25">
      <c r="A597" s="405" t="s">
        <v>310</v>
      </c>
      <c r="B597" s="405" t="s">
        <v>87</v>
      </c>
      <c r="C597" s="405" t="s">
        <v>327</v>
      </c>
      <c r="D597" s="405"/>
      <c r="E597" s="410">
        <v>44411</v>
      </c>
      <c r="F597" s="410">
        <v>44425</v>
      </c>
      <c r="G597" s="405" t="s">
        <v>17658</v>
      </c>
      <c r="H597" s="405" t="s">
        <v>17659</v>
      </c>
      <c r="I597" s="405" t="s">
        <v>17660</v>
      </c>
      <c r="J597" s="405">
        <v>0.93136399999999997</v>
      </c>
      <c r="K597" s="405">
        <v>33.125838000000002</v>
      </c>
      <c r="L597" s="405" t="s">
        <v>6866</v>
      </c>
      <c r="M597" s="405" t="s">
        <v>3009</v>
      </c>
      <c r="N597" s="405" t="s">
        <v>9521</v>
      </c>
      <c r="O597" s="405" t="s">
        <v>9520</v>
      </c>
      <c r="P597" s="405" t="s">
        <v>7363</v>
      </c>
      <c r="Q597" s="411">
        <v>9</v>
      </c>
      <c r="R597" s="405" t="s">
        <v>17657</v>
      </c>
      <c r="S597" s="405" t="s">
        <v>27080</v>
      </c>
      <c r="T597" s="405" t="s">
        <v>865</v>
      </c>
      <c r="U597" s="405" t="s">
        <v>866</v>
      </c>
    </row>
    <row r="598" spans="1:21" x14ac:dyDescent="0.25">
      <c r="A598" s="405" t="s">
        <v>310</v>
      </c>
      <c r="B598" s="405" t="s">
        <v>9031</v>
      </c>
      <c r="C598" s="405" t="s">
        <v>327</v>
      </c>
      <c r="D598" s="405"/>
      <c r="E598" s="410">
        <v>44410</v>
      </c>
      <c r="F598" s="410">
        <v>44468</v>
      </c>
      <c r="G598" s="405" t="s">
        <v>9032</v>
      </c>
      <c r="H598" s="405" t="s">
        <v>9033</v>
      </c>
      <c r="I598" s="405" t="s">
        <v>2913</v>
      </c>
      <c r="J598" s="405">
        <v>0.140569</v>
      </c>
      <c r="K598" s="405">
        <v>32.571019</v>
      </c>
      <c r="L598" s="405" t="s">
        <v>314</v>
      </c>
      <c r="M598" s="405" t="s">
        <v>361</v>
      </c>
      <c r="N598" s="405" t="s">
        <v>361</v>
      </c>
      <c r="O598" s="405" t="s">
        <v>638</v>
      </c>
      <c r="P598" s="405" t="s">
        <v>7319</v>
      </c>
      <c r="Q598" s="411">
        <v>13</v>
      </c>
      <c r="R598" s="405" t="s">
        <v>32101</v>
      </c>
      <c r="S598" s="405" t="s">
        <v>5986</v>
      </c>
      <c r="T598" s="405" t="s">
        <v>32102</v>
      </c>
      <c r="U598" s="405" t="s">
        <v>319</v>
      </c>
    </row>
    <row r="599" spans="1:21" x14ac:dyDescent="0.25">
      <c r="A599" s="405" t="s">
        <v>310</v>
      </c>
      <c r="B599" s="405" t="s">
        <v>17715</v>
      </c>
      <c r="C599" s="405" t="s">
        <v>327</v>
      </c>
      <c r="D599" s="405"/>
      <c r="E599" s="410">
        <v>44410</v>
      </c>
      <c r="F599" s="410">
        <v>44467</v>
      </c>
      <c r="G599" s="405" t="s">
        <v>17716</v>
      </c>
      <c r="H599" s="405" t="s">
        <v>17717</v>
      </c>
      <c r="I599" s="405" t="s">
        <v>2913</v>
      </c>
      <c r="J599" s="405">
        <v>2.4895399999999999</v>
      </c>
      <c r="K599" s="405">
        <v>34.607467</v>
      </c>
      <c r="L599" s="405" t="s">
        <v>6866</v>
      </c>
      <c r="M599" s="405" t="s">
        <v>16319</v>
      </c>
      <c r="N599" s="405" t="s">
        <v>16320</v>
      </c>
      <c r="O599" s="405" t="s">
        <v>16320</v>
      </c>
      <c r="P599" s="405" t="s">
        <v>17691</v>
      </c>
      <c r="Q599" s="411">
        <v>6</v>
      </c>
      <c r="R599" s="405" t="s">
        <v>7269</v>
      </c>
      <c r="S599" s="405" t="s">
        <v>27181</v>
      </c>
      <c r="T599" s="405" t="s">
        <v>32102</v>
      </c>
      <c r="U599" s="405" t="s">
        <v>319</v>
      </c>
    </row>
    <row r="600" spans="1:21" x14ac:dyDescent="0.25">
      <c r="A600" s="405" t="s">
        <v>310</v>
      </c>
      <c r="B600" s="405" t="s">
        <v>26523</v>
      </c>
      <c r="C600" s="405" t="s">
        <v>327</v>
      </c>
      <c r="D600" s="405"/>
      <c r="E600" s="410">
        <v>44410</v>
      </c>
      <c r="F600" s="410">
        <v>44436</v>
      </c>
      <c r="G600" s="405" t="s">
        <v>26524</v>
      </c>
      <c r="H600" s="405" t="s">
        <v>26525</v>
      </c>
      <c r="I600" s="405" t="s">
        <v>26526</v>
      </c>
      <c r="J600" s="405">
        <v>-1.2547269999999999</v>
      </c>
      <c r="K600" s="405">
        <v>29.728746999999998</v>
      </c>
      <c r="L600" s="405" t="s">
        <v>590</v>
      </c>
      <c r="M600" s="405" t="s">
        <v>20070</v>
      </c>
      <c r="N600" s="405" t="s">
        <v>25919</v>
      </c>
      <c r="O600" s="405" t="s">
        <v>24104</v>
      </c>
      <c r="P600" s="405" t="s">
        <v>26040</v>
      </c>
      <c r="Q600" s="411">
        <v>6</v>
      </c>
      <c r="R600" s="405" t="s">
        <v>24106</v>
      </c>
      <c r="S600" s="405" t="s">
        <v>27452</v>
      </c>
      <c r="T600" s="405" t="s">
        <v>884</v>
      </c>
      <c r="U600" s="405" t="s">
        <v>319</v>
      </c>
    </row>
    <row r="601" spans="1:21" x14ac:dyDescent="0.25">
      <c r="A601" s="405" t="s">
        <v>310</v>
      </c>
      <c r="B601" s="405" t="s">
        <v>17647</v>
      </c>
      <c r="C601" s="405" t="s">
        <v>327</v>
      </c>
      <c r="D601" s="405"/>
      <c r="E601" s="410">
        <v>44410</v>
      </c>
      <c r="F601" s="410">
        <v>44437</v>
      </c>
      <c r="G601" s="405" t="s">
        <v>17648</v>
      </c>
      <c r="H601" s="405" t="s">
        <v>17649</v>
      </c>
      <c r="I601" s="405" t="s">
        <v>2913</v>
      </c>
      <c r="J601" s="405">
        <v>1.386137</v>
      </c>
      <c r="K601" s="405">
        <v>34.502862999999998</v>
      </c>
      <c r="L601" s="405" t="s">
        <v>6866</v>
      </c>
      <c r="M601" s="405" t="s">
        <v>9705</v>
      </c>
      <c r="N601" s="405" t="s">
        <v>9705</v>
      </c>
      <c r="O601" s="405" t="s">
        <v>17650</v>
      </c>
      <c r="P601" s="405" t="s">
        <v>17651</v>
      </c>
      <c r="Q601" s="411">
        <v>4</v>
      </c>
      <c r="R601" s="405" t="s">
        <v>17977</v>
      </c>
      <c r="S601" s="405" t="s">
        <v>27318</v>
      </c>
      <c r="T601" s="405" t="s">
        <v>865</v>
      </c>
      <c r="U601" s="405" t="s">
        <v>866</v>
      </c>
    </row>
    <row r="602" spans="1:21" x14ac:dyDescent="0.25">
      <c r="A602" s="405" t="s">
        <v>310</v>
      </c>
      <c r="B602" s="405" t="s">
        <v>8983</v>
      </c>
      <c r="C602" s="405" t="s">
        <v>327</v>
      </c>
      <c r="D602" s="405"/>
      <c r="E602" s="410">
        <v>44408</v>
      </c>
      <c r="F602" s="410">
        <v>44417</v>
      </c>
      <c r="G602" s="405" t="s">
        <v>8984</v>
      </c>
      <c r="H602" s="405" t="s">
        <v>8076</v>
      </c>
      <c r="I602" s="405" t="s">
        <v>2913</v>
      </c>
      <c r="J602" s="405">
        <v>0.61584399999999995</v>
      </c>
      <c r="K602" s="405">
        <v>32.545935999999998</v>
      </c>
      <c r="L602" s="405" t="s">
        <v>314</v>
      </c>
      <c r="M602" s="405" t="s">
        <v>959</v>
      </c>
      <c r="N602" s="405" t="s">
        <v>960</v>
      </c>
      <c r="O602" s="405" t="s">
        <v>961</v>
      </c>
      <c r="P602" s="405" t="s">
        <v>5882</v>
      </c>
      <c r="Q602" s="411">
        <v>9</v>
      </c>
      <c r="R602" s="405" t="s">
        <v>4176</v>
      </c>
      <c r="S602" s="405" t="s">
        <v>27286</v>
      </c>
      <c r="T602" s="405" t="s">
        <v>865</v>
      </c>
      <c r="U602" s="405" t="s">
        <v>866</v>
      </c>
    </row>
    <row r="603" spans="1:21" x14ac:dyDescent="0.25">
      <c r="A603" s="405" t="s">
        <v>310</v>
      </c>
      <c r="B603" s="405" t="s">
        <v>17612</v>
      </c>
      <c r="C603" s="405" t="s">
        <v>327</v>
      </c>
      <c r="D603" s="405"/>
      <c r="E603" s="410">
        <v>44408</v>
      </c>
      <c r="F603" s="410">
        <v>44410</v>
      </c>
      <c r="G603" s="405" t="s">
        <v>17613</v>
      </c>
      <c r="H603" s="405" t="s">
        <v>17614</v>
      </c>
      <c r="I603" s="405" t="s">
        <v>2913</v>
      </c>
      <c r="J603" s="405">
        <v>1.6049169999999999</v>
      </c>
      <c r="K603" s="405">
        <v>33.397067999999997</v>
      </c>
      <c r="L603" s="405" t="s">
        <v>6866</v>
      </c>
      <c r="M603" s="405" t="s">
        <v>9658</v>
      </c>
      <c r="N603" s="405" t="s">
        <v>14307</v>
      </c>
      <c r="O603" s="405" t="s">
        <v>9658</v>
      </c>
      <c r="P603" s="405" t="s">
        <v>17615</v>
      </c>
      <c r="Q603" s="411">
        <v>6</v>
      </c>
      <c r="R603" s="405" t="s">
        <v>5655</v>
      </c>
      <c r="S603" s="405" t="s">
        <v>27289</v>
      </c>
      <c r="T603" s="405" t="s">
        <v>32102</v>
      </c>
      <c r="U603" s="405" t="s">
        <v>319</v>
      </c>
    </row>
    <row r="604" spans="1:21" x14ac:dyDescent="0.25">
      <c r="A604" s="405" t="s">
        <v>310</v>
      </c>
      <c r="B604" s="405" t="s">
        <v>9008</v>
      </c>
      <c r="C604" s="405" t="s">
        <v>327</v>
      </c>
      <c r="D604" s="405"/>
      <c r="E604" s="410">
        <v>44407</v>
      </c>
      <c r="F604" s="410">
        <v>44440</v>
      </c>
      <c r="G604" s="405" t="s">
        <v>9009</v>
      </c>
      <c r="H604" s="405" t="s">
        <v>9010</v>
      </c>
      <c r="I604" s="405" t="s">
        <v>2913</v>
      </c>
      <c r="J604" s="405">
        <v>0.28236699999999998</v>
      </c>
      <c r="K604" s="405">
        <v>32.309531</v>
      </c>
      <c r="L604" s="405" t="s">
        <v>314</v>
      </c>
      <c r="M604" s="405" t="s">
        <v>321</v>
      </c>
      <c r="N604" s="405" t="s">
        <v>9011</v>
      </c>
      <c r="O604" s="405" t="s">
        <v>9011</v>
      </c>
      <c r="P604" s="405" t="s">
        <v>9000</v>
      </c>
      <c r="Q604" s="411">
        <v>6</v>
      </c>
      <c r="R604" s="405" t="s">
        <v>32164</v>
      </c>
      <c r="S604" s="405" t="s">
        <v>27054</v>
      </c>
      <c r="T604" s="405" t="s">
        <v>865</v>
      </c>
      <c r="U604" s="405" t="s">
        <v>866</v>
      </c>
    </row>
    <row r="605" spans="1:21" x14ac:dyDescent="0.25">
      <c r="A605" s="405" t="s">
        <v>310</v>
      </c>
      <c r="B605" s="405" t="s">
        <v>8956</v>
      </c>
      <c r="C605" s="405" t="s">
        <v>327</v>
      </c>
      <c r="D605" s="405"/>
      <c r="E605" s="410">
        <v>44407</v>
      </c>
      <c r="F605" s="410">
        <v>44422</v>
      </c>
      <c r="G605" s="405" t="s">
        <v>8957</v>
      </c>
      <c r="H605" s="405" t="s">
        <v>8958</v>
      </c>
      <c r="I605" s="405" t="s">
        <v>2913</v>
      </c>
      <c r="J605" s="405">
        <v>0.169572</v>
      </c>
      <c r="K605" s="405">
        <v>32.477587</v>
      </c>
      <c r="L605" s="405" t="s">
        <v>314</v>
      </c>
      <c r="M605" s="405" t="s">
        <v>361</v>
      </c>
      <c r="N605" s="405" t="s">
        <v>374</v>
      </c>
      <c r="O605" s="405" t="s">
        <v>8172</v>
      </c>
      <c r="P605" s="405" t="s">
        <v>8959</v>
      </c>
      <c r="Q605" s="411">
        <v>6</v>
      </c>
      <c r="R605" s="405" t="s">
        <v>32101</v>
      </c>
      <c r="S605" s="405" t="s">
        <v>27065</v>
      </c>
      <c r="T605" s="405" t="s">
        <v>32102</v>
      </c>
      <c r="U605" s="405" t="s">
        <v>319</v>
      </c>
    </row>
    <row r="606" spans="1:21" x14ac:dyDescent="0.25">
      <c r="A606" s="405" t="s">
        <v>310</v>
      </c>
      <c r="B606" s="405" t="s">
        <v>9646</v>
      </c>
      <c r="C606" s="405" t="s">
        <v>311</v>
      </c>
      <c r="D606" s="405" t="s">
        <v>9647</v>
      </c>
      <c r="E606" s="410">
        <v>44405</v>
      </c>
      <c r="F606" s="410">
        <v>44421</v>
      </c>
      <c r="G606" s="405" t="s">
        <v>9648</v>
      </c>
      <c r="H606" s="405" t="s">
        <v>9649</v>
      </c>
      <c r="I606" s="405" t="s">
        <v>9650</v>
      </c>
      <c r="J606" s="405">
        <v>0.34843800000000003</v>
      </c>
      <c r="K606" s="405">
        <v>32.576844999999999</v>
      </c>
      <c r="L606" s="405" t="s">
        <v>314</v>
      </c>
      <c r="M606" s="405" t="s">
        <v>992</v>
      </c>
      <c r="N606" s="405" t="s">
        <v>9651</v>
      </c>
      <c r="O606" s="405" t="s">
        <v>9652</v>
      </c>
      <c r="P606" s="405" t="s">
        <v>9653</v>
      </c>
      <c r="Q606" s="411">
        <v>9</v>
      </c>
      <c r="R606" s="405" t="s">
        <v>4176</v>
      </c>
      <c r="S606" s="405" t="s">
        <v>27059</v>
      </c>
      <c r="T606" s="405" t="s">
        <v>865</v>
      </c>
      <c r="U606" s="405" t="s">
        <v>866</v>
      </c>
    </row>
    <row r="607" spans="1:21" x14ac:dyDescent="0.25">
      <c r="A607" s="405" t="s">
        <v>310</v>
      </c>
      <c r="B607" s="405" t="s">
        <v>8927</v>
      </c>
      <c r="C607" s="405" t="s">
        <v>327</v>
      </c>
      <c r="D607" s="405"/>
      <c r="E607" s="410">
        <v>44404</v>
      </c>
      <c r="F607" s="410">
        <v>44428</v>
      </c>
      <c r="G607" s="405" t="s">
        <v>8928</v>
      </c>
      <c r="H607" s="405" t="s">
        <v>8929</v>
      </c>
      <c r="I607" s="405" t="s">
        <v>2913</v>
      </c>
      <c r="J607" s="405">
        <v>0.65817499999999995</v>
      </c>
      <c r="K607" s="405">
        <v>32.728966999999997</v>
      </c>
      <c r="L607" s="405" t="s">
        <v>314</v>
      </c>
      <c r="M607" s="405" t="s">
        <v>959</v>
      </c>
      <c r="N607" s="405" t="s">
        <v>960</v>
      </c>
      <c r="O607" s="405" t="s">
        <v>961</v>
      </c>
      <c r="P607" s="405" t="s">
        <v>8930</v>
      </c>
      <c r="Q607" s="411">
        <v>9</v>
      </c>
      <c r="R607" s="405" t="s">
        <v>32157</v>
      </c>
      <c r="S607" s="405" t="s">
        <v>27036</v>
      </c>
      <c r="T607" s="405" t="s">
        <v>32102</v>
      </c>
      <c r="U607" s="405" t="s">
        <v>319</v>
      </c>
    </row>
    <row r="608" spans="1:21" x14ac:dyDescent="0.25">
      <c r="A608" s="405" t="s">
        <v>310</v>
      </c>
      <c r="B608" s="405" t="s">
        <v>8979</v>
      </c>
      <c r="C608" s="405" t="s">
        <v>327</v>
      </c>
      <c r="D608" s="405"/>
      <c r="E608" s="410">
        <v>44403</v>
      </c>
      <c r="F608" s="410">
        <v>44412</v>
      </c>
      <c r="G608" s="405" t="s">
        <v>8980</v>
      </c>
      <c r="H608" s="405" t="s">
        <v>8981</v>
      </c>
      <c r="I608" s="405" t="s">
        <v>8982</v>
      </c>
      <c r="J608" s="405">
        <v>0.41114899999999999</v>
      </c>
      <c r="K608" s="405">
        <v>32.61909</v>
      </c>
      <c r="L608" s="405" t="s">
        <v>314</v>
      </c>
      <c r="M608" s="405" t="s">
        <v>361</v>
      </c>
      <c r="N608" s="405" t="s">
        <v>5924</v>
      </c>
      <c r="O608" s="405" t="s">
        <v>410</v>
      </c>
      <c r="P608" s="405" t="s">
        <v>1324</v>
      </c>
      <c r="Q608" s="411">
        <v>12</v>
      </c>
      <c r="R608" s="405" t="s">
        <v>4176</v>
      </c>
      <c r="S608" s="405" t="s">
        <v>27286</v>
      </c>
      <c r="T608" s="405" t="s">
        <v>32102</v>
      </c>
      <c r="U608" s="405" t="s">
        <v>319</v>
      </c>
    </row>
    <row r="609" spans="1:21" x14ac:dyDescent="0.25">
      <c r="A609" s="405" t="s">
        <v>310</v>
      </c>
      <c r="B609" s="405" t="s">
        <v>17616</v>
      </c>
      <c r="C609" s="405" t="s">
        <v>327</v>
      </c>
      <c r="D609" s="405"/>
      <c r="E609" s="410">
        <v>44402</v>
      </c>
      <c r="F609" s="410">
        <v>44429</v>
      </c>
      <c r="G609" s="405" t="s">
        <v>17617</v>
      </c>
      <c r="H609" s="405" t="s">
        <v>17618</v>
      </c>
      <c r="I609" s="405" t="s">
        <v>17619</v>
      </c>
      <c r="J609" s="405">
        <v>1.5235430000000001</v>
      </c>
      <c r="K609" s="405">
        <v>33.612422000000002</v>
      </c>
      <c r="L609" s="405" t="s">
        <v>6866</v>
      </c>
      <c r="M609" s="405" t="s">
        <v>9658</v>
      </c>
      <c r="N609" s="405" t="s">
        <v>11263</v>
      </c>
      <c r="O609" s="405" t="s">
        <v>14954</v>
      </c>
      <c r="P609" s="405" t="s">
        <v>17620</v>
      </c>
      <c r="Q609" s="411">
        <v>4</v>
      </c>
      <c r="R609" s="405" t="s">
        <v>5655</v>
      </c>
      <c r="S609" s="405" t="s">
        <v>27289</v>
      </c>
      <c r="T609" s="405" t="s">
        <v>865</v>
      </c>
      <c r="U609" s="405" t="s">
        <v>866</v>
      </c>
    </row>
    <row r="610" spans="1:21" x14ac:dyDescent="0.25">
      <c r="A610" s="405" t="s">
        <v>310</v>
      </c>
      <c r="B610" s="405" t="s">
        <v>17652</v>
      </c>
      <c r="C610" s="405" t="s">
        <v>327</v>
      </c>
      <c r="D610" s="405"/>
      <c r="E610" s="410">
        <v>44401</v>
      </c>
      <c r="F610" s="410">
        <v>44419</v>
      </c>
      <c r="G610" s="405" t="s">
        <v>17653</v>
      </c>
      <c r="H610" s="405" t="s">
        <v>17654</v>
      </c>
      <c r="I610" s="405" t="s">
        <v>17655</v>
      </c>
      <c r="J610" s="405">
        <v>0.93262599999999996</v>
      </c>
      <c r="K610" s="405">
        <v>33.125135</v>
      </c>
      <c r="L610" s="405" t="s">
        <v>6866</v>
      </c>
      <c r="M610" s="405" t="s">
        <v>1113</v>
      </c>
      <c r="N610" s="405" t="s">
        <v>1836</v>
      </c>
      <c r="O610" s="405" t="s">
        <v>1836</v>
      </c>
      <c r="P610" s="405" t="s">
        <v>17656</v>
      </c>
      <c r="Q610" s="411">
        <v>9</v>
      </c>
      <c r="R610" s="405" t="s">
        <v>17657</v>
      </c>
      <c r="S610" s="405" t="s">
        <v>27080</v>
      </c>
      <c r="T610" s="405" t="s">
        <v>865</v>
      </c>
      <c r="U610" s="405" t="s">
        <v>866</v>
      </c>
    </row>
    <row r="611" spans="1:21" x14ac:dyDescent="0.25">
      <c r="A611" s="405" t="s">
        <v>310</v>
      </c>
      <c r="B611" s="405" t="s">
        <v>17643</v>
      </c>
      <c r="C611" s="405" t="s">
        <v>327</v>
      </c>
      <c r="D611" s="405"/>
      <c r="E611" s="410">
        <v>44400</v>
      </c>
      <c r="F611" s="410">
        <v>44423</v>
      </c>
      <c r="G611" s="405" t="s">
        <v>17644</v>
      </c>
      <c r="H611" s="405" t="s">
        <v>17645</v>
      </c>
      <c r="I611" s="405" t="s">
        <v>2913</v>
      </c>
      <c r="J611" s="405">
        <v>1.5014730000000001</v>
      </c>
      <c r="K611" s="405">
        <v>33.469450000000002</v>
      </c>
      <c r="L611" s="405" t="s">
        <v>6866</v>
      </c>
      <c r="M611" s="405" t="s">
        <v>9658</v>
      </c>
      <c r="N611" s="405" t="s">
        <v>9658</v>
      </c>
      <c r="O611" s="405" t="s">
        <v>14307</v>
      </c>
      <c r="P611" s="405" t="s">
        <v>17646</v>
      </c>
      <c r="Q611" s="411">
        <v>4</v>
      </c>
      <c r="R611" s="405" t="s">
        <v>17977</v>
      </c>
      <c r="S611" s="405" t="s">
        <v>27357</v>
      </c>
      <c r="T611" s="405" t="s">
        <v>32102</v>
      </c>
      <c r="U611" s="405" t="s">
        <v>319</v>
      </c>
    </row>
    <row r="612" spans="1:21" x14ac:dyDescent="0.25">
      <c r="A612" s="405" t="s">
        <v>310</v>
      </c>
      <c r="B612" s="405" t="s">
        <v>8945</v>
      </c>
      <c r="C612" s="405" t="s">
        <v>327</v>
      </c>
      <c r="D612" s="405"/>
      <c r="E612" s="410">
        <v>44399</v>
      </c>
      <c r="F612" s="410">
        <v>44427</v>
      </c>
      <c r="G612" s="405" t="s">
        <v>8946</v>
      </c>
      <c r="H612" s="405" t="s">
        <v>8947</v>
      </c>
      <c r="I612" s="405" t="s">
        <v>8948</v>
      </c>
      <c r="J612" s="405">
        <v>0.29767700000000002</v>
      </c>
      <c r="K612" s="405">
        <v>32.875408</v>
      </c>
      <c r="L612" s="405" t="s">
        <v>314</v>
      </c>
      <c r="M612" s="405" t="s">
        <v>329</v>
      </c>
      <c r="N612" s="405" t="s">
        <v>7638</v>
      </c>
      <c r="O612" s="405" t="s">
        <v>653</v>
      </c>
      <c r="P612" s="405" t="s">
        <v>339</v>
      </c>
      <c r="Q612" s="411">
        <v>6</v>
      </c>
      <c r="R612" s="405" t="s">
        <v>32101</v>
      </c>
      <c r="S612" s="405" t="s">
        <v>27287</v>
      </c>
      <c r="T612" s="405" t="s">
        <v>32102</v>
      </c>
      <c r="U612" s="405" t="s">
        <v>319</v>
      </c>
    </row>
    <row r="613" spans="1:21" x14ac:dyDescent="0.25">
      <c r="A613" s="405" t="s">
        <v>310</v>
      </c>
      <c r="B613" s="405" t="s">
        <v>17639</v>
      </c>
      <c r="C613" s="405" t="s">
        <v>327</v>
      </c>
      <c r="D613" s="405"/>
      <c r="E613" s="410">
        <v>44399</v>
      </c>
      <c r="F613" s="410">
        <v>44422</v>
      </c>
      <c r="G613" s="405" t="s">
        <v>17640</v>
      </c>
      <c r="H613" s="405" t="s">
        <v>17641</v>
      </c>
      <c r="I613" s="405" t="s">
        <v>2913</v>
      </c>
      <c r="J613" s="405">
        <v>1.557957</v>
      </c>
      <c r="K613" s="405">
        <v>34.052957999999997</v>
      </c>
      <c r="L613" s="405" t="s">
        <v>6866</v>
      </c>
      <c r="M613" s="405" t="s">
        <v>10029</v>
      </c>
      <c r="N613" s="405" t="s">
        <v>16383</v>
      </c>
      <c r="O613" s="405" t="s">
        <v>17642</v>
      </c>
      <c r="P613" s="405" t="s">
        <v>14047</v>
      </c>
      <c r="Q613" s="411">
        <v>4</v>
      </c>
      <c r="R613" s="405" t="s">
        <v>17977</v>
      </c>
      <c r="S613" s="405" t="s">
        <v>27289</v>
      </c>
      <c r="T613" s="405" t="s">
        <v>865</v>
      </c>
      <c r="U613" s="405" t="s">
        <v>866</v>
      </c>
    </row>
    <row r="614" spans="1:21" x14ac:dyDescent="0.25">
      <c r="A614" s="405" t="s">
        <v>310</v>
      </c>
      <c r="B614" s="405" t="s">
        <v>17636</v>
      </c>
      <c r="C614" s="405" t="s">
        <v>327</v>
      </c>
      <c r="D614" s="405"/>
      <c r="E614" s="410">
        <v>44396</v>
      </c>
      <c r="F614" s="410">
        <v>44432</v>
      </c>
      <c r="G614" s="405" t="s">
        <v>17637</v>
      </c>
      <c r="H614" s="405" t="s">
        <v>17638</v>
      </c>
      <c r="I614" s="405" t="s">
        <v>2913</v>
      </c>
      <c r="J614" s="405">
        <v>0.63329500000000005</v>
      </c>
      <c r="K614" s="405">
        <v>33.516441999999998</v>
      </c>
      <c r="L614" s="405" t="s">
        <v>6866</v>
      </c>
      <c r="M614" s="405" t="s">
        <v>10853</v>
      </c>
      <c r="N614" s="405" t="s">
        <v>13757</v>
      </c>
      <c r="O614" s="405" t="s">
        <v>13757</v>
      </c>
      <c r="P614" s="405" t="s">
        <v>13757</v>
      </c>
      <c r="Q614" s="411">
        <v>9</v>
      </c>
      <c r="R614" s="405" t="s">
        <v>32101</v>
      </c>
      <c r="S614" s="405" t="s">
        <v>27060</v>
      </c>
      <c r="T614" s="405" t="s">
        <v>32102</v>
      </c>
      <c r="U614" s="405" t="s">
        <v>319</v>
      </c>
    </row>
    <row r="615" spans="1:21" x14ac:dyDescent="0.25">
      <c r="A615" s="405" t="s">
        <v>310</v>
      </c>
      <c r="B615" s="405" t="s">
        <v>19243</v>
      </c>
      <c r="C615" s="405" t="s">
        <v>327</v>
      </c>
      <c r="D615" s="405"/>
      <c r="E615" s="410">
        <v>44395</v>
      </c>
      <c r="F615" s="410">
        <v>44414</v>
      </c>
      <c r="G615" s="405" t="s">
        <v>19244</v>
      </c>
      <c r="H615" s="405">
        <v>772659958</v>
      </c>
      <c r="I615" s="405" t="s">
        <v>2913</v>
      </c>
      <c r="J615" s="405">
        <v>2.8118799999999999</v>
      </c>
      <c r="K615" s="405">
        <v>32.309187999999999</v>
      </c>
      <c r="L615" s="405" t="s">
        <v>860</v>
      </c>
      <c r="M615" s="405" t="s">
        <v>853</v>
      </c>
      <c r="N615" s="405" t="s">
        <v>19237</v>
      </c>
      <c r="O615" s="405" t="s">
        <v>19245</v>
      </c>
      <c r="P615" s="405" t="s">
        <v>19246</v>
      </c>
      <c r="Q615" s="411">
        <v>6</v>
      </c>
      <c r="R615" s="405" t="s">
        <v>9242</v>
      </c>
      <c r="S615" s="405" t="s">
        <v>27387</v>
      </c>
      <c r="T615" s="405" t="s">
        <v>32102</v>
      </c>
      <c r="U615" s="405" t="s">
        <v>319</v>
      </c>
    </row>
    <row r="616" spans="1:21" x14ac:dyDescent="0.25">
      <c r="A616" s="405" t="s">
        <v>310</v>
      </c>
      <c r="B616" s="405" t="s">
        <v>19263</v>
      </c>
      <c r="C616" s="405" t="s">
        <v>327</v>
      </c>
      <c r="D616" s="405"/>
      <c r="E616" s="410">
        <v>44394</v>
      </c>
      <c r="F616" s="410">
        <v>44431</v>
      </c>
      <c r="G616" s="405" t="s">
        <v>19264</v>
      </c>
      <c r="H616" s="405" t="s">
        <v>19265</v>
      </c>
      <c r="I616" s="405" t="s">
        <v>2913</v>
      </c>
      <c r="J616" s="405">
        <v>17.622468000000001</v>
      </c>
      <c r="K616" s="405">
        <v>21.297013</v>
      </c>
      <c r="L616" s="405" t="s">
        <v>860</v>
      </c>
      <c r="M616" s="405" t="s">
        <v>18349</v>
      </c>
      <c r="N616" s="405" t="s">
        <v>19266</v>
      </c>
      <c r="O616" s="405" t="s">
        <v>19266</v>
      </c>
      <c r="P616" s="405" t="s">
        <v>19267</v>
      </c>
      <c r="Q616" s="411">
        <v>9</v>
      </c>
      <c r="R616" s="405" t="s">
        <v>9242</v>
      </c>
      <c r="S616" s="405" t="s">
        <v>27391</v>
      </c>
      <c r="T616" s="405" t="s">
        <v>32102</v>
      </c>
      <c r="U616" s="405" t="s">
        <v>319</v>
      </c>
    </row>
    <row r="617" spans="1:21" x14ac:dyDescent="0.25">
      <c r="A617" s="405" t="s">
        <v>310</v>
      </c>
      <c r="B617" s="405" t="s">
        <v>26496</v>
      </c>
      <c r="C617" s="405" t="s">
        <v>327</v>
      </c>
      <c r="D617" s="405"/>
      <c r="E617" s="410">
        <v>44394</v>
      </c>
      <c r="F617" s="410">
        <v>44406</v>
      </c>
      <c r="G617" s="405" t="s">
        <v>26497</v>
      </c>
      <c r="H617" s="405" t="s">
        <v>26498</v>
      </c>
      <c r="I617" s="405" t="s">
        <v>2913</v>
      </c>
      <c r="J617" s="405">
        <v>-0.54245399999999999</v>
      </c>
      <c r="K617" s="405">
        <v>30.400055999999999</v>
      </c>
      <c r="L617" s="405" t="s">
        <v>590</v>
      </c>
      <c r="M617" s="405" t="s">
        <v>19725</v>
      </c>
      <c r="N617" s="405" t="s">
        <v>22130</v>
      </c>
      <c r="O617" s="405" t="s">
        <v>19938</v>
      </c>
      <c r="P617" s="405" t="s">
        <v>25231</v>
      </c>
      <c r="Q617" s="411">
        <v>9</v>
      </c>
      <c r="R617" s="405" t="s">
        <v>32101</v>
      </c>
      <c r="S617" s="405" t="s">
        <v>27280</v>
      </c>
      <c r="T617" s="405" t="s">
        <v>865</v>
      </c>
      <c r="U617" s="405" t="s">
        <v>866</v>
      </c>
    </row>
    <row r="618" spans="1:21" x14ac:dyDescent="0.25">
      <c r="A618" s="405" t="s">
        <v>310</v>
      </c>
      <c r="B618" s="405" t="s">
        <v>8960</v>
      </c>
      <c r="C618" s="405" t="s">
        <v>327</v>
      </c>
      <c r="D618" s="405"/>
      <c r="E618" s="410">
        <v>44393</v>
      </c>
      <c r="F618" s="410">
        <v>44418</v>
      </c>
      <c r="G618" s="405" t="s">
        <v>8961</v>
      </c>
      <c r="H618" s="405" t="s">
        <v>8962</v>
      </c>
      <c r="I618" s="405" t="s">
        <v>2913</v>
      </c>
      <c r="J618" s="405">
        <v>0.591812</v>
      </c>
      <c r="K618" s="405">
        <v>32.678367999999999</v>
      </c>
      <c r="L618" s="405" t="s">
        <v>314</v>
      </c>
      <c r="M618" s="405" t="s">
        <v>959</v>
      </c>
      <c r="N618" s="405" t="s">
        <v>8963</v>
      </c>
      <c r="O618" s="405" t="s">
        <v>961</v>
      </c>
      <c r="P618" s="405" t="s">
        <v>8964</v>
      </c>
      <c r="Q618" s="411">
        <v>9</v>
      </c>
      <c r="R618" s="405" t="s">
        <v>32101</v>
      </c>
      <c r="S618" s="405" t="s">
        <v>27275</v>
      </c>
      <c r="T618" s="405" t="s">
        <v>865</v>
      </c>
      <c r="U618" s="405" t="s">
        <v>866</v>
      </c>
    </row>
    <row r="619" spans="1:21" x14ac:dyDescent="0.25">
      <c r="A619" s="405" t="s">
        <v>310</v>
      </c>
      <c r="B619" s="405" t="s">
        <v>8873</v>
      </c>
      <c r="C619" s="405" t="s">
        <v>327</v>
      </c>
      <c r="D619" s="405"/>
      <c r="E619" s="410">
        <v>44393</v>
      </c>
      <c r="F619" s="410">
        <v>44404</v>
      </c>
      <c r="G619" s="405" t="s">
        <v>8874</v>
      </c>
      <c r="H619" s="405" t="s">
        <v>8875</v>
      </c>
      <c r="I619" s="405" t="s">
        <v>8876</v>
      </c>
      <c r="J619" s="405">
        <v>-0.33905000000000002</v>
      </c>
      <c r="K619" s="405">
        <v>32.296427999999999</v>
      </c>
      <c r="L619" s="405" t="s">
        <v>314</v>
      </c>
      <c r="M619" s="405" t="s">
        <v>694</v>
      </c>
      <c r="N619" s="405" t="s">
        <v>4874</v>
      </c>
      <c r="O619" s="405" t="s">
        <v>694</v>
      </c>
      <c r="P619" s="405" t="s">
        <v>8877</v>
      </c>
      <c r="Q619" s="411">
        <v>9</v>
      </c>
      <c r="R619" s="405" t="s">
        <v>32101</v>
      </c>
      <c r="S619" s="405" t="s">
        <v>27065</v>
      </c>
      <c r="T619" s="405" t="s">
        <v>32102</v>
      </c>
      <c r="U619" s="405" t="s">
        <v>319</v>
      </c>
    </row>
    <row r="620" spans="1:21" x14ac:dyDescent="0.25">
      <c r="A620" s="405" t="s">
        <v>310</v>
      </c>
      <c r="B620" s="405" t="s">
        <v>8869</v>
      </c>
      <c r="C620" s="405" t="s">
        <v>327</v>
      </c>
      <c r="D620" s="405"/>
      <c r="E620" s="410">
        <v>44391</v>
      </c>
      <c r="F620" s="410">
        <v>44404</v>
      </c>
      <c r="G620" s="405" t="s">
        <v>8870</v>
      </c>
      <c r="H620" s="405" t="s">
        <v>8871</v>
      </c>
      <c r="I620" s="405" t="s">
        <v>2913</v>
      </c>
      <c r="J620" s="405">
        <v>-0.124085</v>
      </c>
      <c r="K620" s="405">
        <v>31.750616999999998</v>
      </c>
      <c r="L620" s="405" t="s">
        <v>314</v>
      </c>
      <c r="M620" s="405" t="s">
        <v>900</v>
      </c>
      <c r="N620" s="405" t="s">
        <v>900</v>
      </c>
      <c r="O620" s="405" t="s">
        <v>900</v>
      </c>
      <c r="P620" s="405" t="s">
        <v>8872</v>
      </c>
      <c r="Q620" s="411">
        <v>9</v>
      </c>
      <c r="R620" s="405" t="s">
        <v>32101</v>
      </c>
      <c r="S620" s="405" t="s">
        <v>27186</v>
      </c>
      <c r="T620" s="405" t="s">
        <v>32102</v>
      </c>
      <c r="U620" s="405" t="s">
        <v>319</v>
      </c>
    </row>
    <row r="621" spans="1:21" x14ac:dyDescent="0.25">
      <c r="A621" s="405" t="s">
        <v>310</v>
      </c>
      <c r="B621" s="405" t="s">
        <v>17632</v>
      </c>
      <c r="C621" s="405" t="s">
        <v>327</v>
      </c>
      <c r="D621" s="405"/>
      <c r="E621" s="410">
        <v>44391</v>
      </c>
      <c r="F621" s="410">
        <v>44411</v>
      </c>
      <c r="G621" s="405" t="s">
        <v>17633</v>
      </c>
      <c r="H621" s="405" t="s">
        <v>17634</v>
      </c>
      <c r="I621" s="405" t="s">
        <v>17635</v>
      </c>
      <c r="J621" s="405">
        <v>0.53817999999999999</v>
      </c>
      <c r="K621" s="405">
        <v>33.728723000000002</v>
      </c>
      <c r="L621" s="405" t="s">
        <v>6866</v>
      </c>
      <c r="M621" s="405" t="s">
        <v>13470</v>
      </c>
      <c r="N621" s="405" t="s">
        <v>17496</v>
      </c>
      <c r="O621" s="405" t="s">
        <v>16485</v>
      </c>
      <c r="P621" s="405" t="s">
        <v>17038</v>
      </c>
      <c r="Q621" s="411">
        <v>6</v>
      </c>
      <c r="R621" s="405" t="s">
        <v>32164</v>
      </c>
      <c r="S621" s="405" t="s">
        <v>27044</v>
      </c>
      <c r="T621" s="405" t="s">
        <v>865</v>
      </c>
      <c r="U621" s="405" t="s">
        <v>866</v>
      </c>
    </row>
    <row r="622" spans="1:21" x14ac:dyDescent="0.25">
      <c r="A622" s="405" t="s">
        <v>310</v>
      </c>
      <c r="B622" s="405" t="s">
        <v>26519</v>
      </c>
      <c r="C622" s="405" t="s">
        <v>327</v>
      </c>
      <c r="D622" s="405"/>
      <c r="E622" s="410">
        <v>44390</v>
      </c>
      <c r="F622" s="410">
        <v>44432</v>
      </c>
      <c r="G622" s="405" t="s">
        <v>26520</v>
      </c>
      <c r="H622" s="405" t="s">
        <v>26521</v>
      </c>
      <c r="I622" s="405" t="s">
        <v>26522</v>
      </c>
      <c r="J622" s="405">
        <v>-0.39785199999999998</v>
      </c>
      <c r="K622" s="405">
        <v>31.168994999999999</v>
      </c>
      <c r="L622" s="405" t="s">
        <v>590</v>
      </c>
      <c r="M622" s="405" t="s">
        <v>1805</v>
      </c>
      <c r="N622" s="405" t="s">
        <v>7400</v>
      </c>
      <c r="O622" s="405" t="s">
        <v>7400</v>
      </c>
      <c r="P622" s="405" t="s">
        <v>2975</v>
      </c>
      <c r="Q622" s="411">
        <v>13</v>
      </c>
      <c r="R622" s="405" t="s">
        <v>24106</v>
      </c>
      <c r="S622" s="405" t="s">
        <v>27132</v>
      </c>
      <c r="T622" s="405" t="s">
        <v>865</v>
      </c>
      <c r="U622" s="405" t="s">
        <v>866</v>
      </c>
    </row>
    <row r="623" spans="1:21" x14ac:dyDescent="0.25">
      <c r="A623" s="405" t="s">
        <v>310</v>
      </c>
      <c r="B623" s="405" t="s">
        <v>8918</v>
      </c>
      <c r="C623" s="405" t="s">
        <v>327</v>
      </c>
      <c r="D623" s="405"/>
      <c r="E623" s="410">
        <v>44389</v>
      </c>
      <c r="F623" s="410">
        <v>44419</v>
      </c>
      <c r="G623" s="405" t="s">
        <v>8919</v>
      </c>
      <c r="H623" s="405" t="s">
        <v>8920</v>
      </c>
      <c r="I623" s="405" t="s">
        <v>2913</v>
      </c>
      <c r="J623" s="405">
        <v>0.36055199999999998</v>
      </c>
      <c r="K623" s="405">
        <v>32.974148</v>
      </c>
      <c r="L623" s="405" t="s">
        <v>314</v>
      </c>
      <c r="M623" s="405" t="s">
        <v>349</v>
      </c>
      <c r="N623" s="405" t="s">
        <v>6408</v>
      </c>
      <c r="O623" s="405" t="s">
        <v>351</v>
      </c>
      <c r="P623" s="405" t="s">
        <v>6366</v>
      </c>
      <c r="Q623" s="411">
        <v>13</v>
      </c>
      <c r="R623" s="405" t="s">
        <v>32157</v>
      </c>
      <c r="S623" s="405" t="s">
        <v>27035</v>
      </c>
      <c r="T623" s="405" t="s">
        <v>32102</v>
      </c>
      <c r="U623" s="405" t="s">
        <v>319</v>
      </c>
    </row>
    <row r="624" spans="1:21" x14ac:dyDescent="0.25">
      <c r="A624" s="405" t="s">
        <v>310</v>
      </c>
      <c r="B624" s="405" t="s">
        <v>8910</v>
      </c>
      <c r="C624" s="405" t="s">
        <v>327</v>
      </c>
      <c r="D624" s="405"/>
      <c r="E624" s="410">
        <v>44387</v>
      </c>
      <c r="F624" s="410">
        <v>44413</v>
      </c>
      <c r="G624" s="405" t="s">
        <v>8911</v>
      </c>
      <c r="H624" s="405" t="s">
        <v>8912</v>
      </c>
      <c r="I624" s="405" t="s">
        <v>2913</v>
      </c>
      <c r="J624" s="405">
        <v>0.44134299999999999</v>
      </c>
      <c r="K624" s="405">
        <v>32.357028</v>
      </c>
      <c r="L624" s="405" t="s">
        <v>314</v>
      </c>
      <c r="M624" s="405" t="s">
        <v>675</v>
      </c>
      <c r="N624" s="405" t="s">
        <v>1734</v>
      </c>
      <c r="O624" s="405" t="s">
        <v>1734</v>
      </c>
      <c r="P624" s="405" t="s">
        <v>8913</v>
      </c>
      <c r="Q624" s="411">
        <v>9</v>
      </c>
      <c r="R624" s="405" t="s">
        <v>32157</v>
      </c>
      <c r="S624" s="405" t="s">
        <v>27035</v>
      </c>
      <c r="T624" s="405" t="s">
        <v>32102</v>
      </c>
      <c r="U624" s="405" t="s">
        <v>319</v>
      </c>
    </row>
    <row r="625" spans="1:21" x14ac:dyDescent="0.25">
      <c r="A625" s="405" t="s">
        <v>310</v>
      </c>
      <c r="B625" s="405" t="s">
        <v>8942</v>
      </c>
      <c r="C625" s="405" t="s">
        <v>327</v>
      </c>
      <c r="D625" s="405"/>
      <c r="E625" s="410">
        <v>44387</v>
      </c>
      <c r="F625" s="410">
        <v>44419</v>
      </c>
      <c r="G625" s="405" t="s">
        <v>8943</v>
      </c>
      <c r="H625" s="405" t="s">
        <v>8944</v>
      </c>
      <c r="I625" s="405" t="s">
        <v>2913</v>
      </c>
      <c r="J625" s="405">
        <v>0.30323299999999997</v>
      </c>
      <c r="K625" s="405">
        <v>32.495142999999999</v>
      </c>
      <c r="L625" s="405" t="s">
        <v>314</v>
      </c>
      <c r="M625" s="405" t="s">
        <v>361</v>
      </c>
      <c r="N625" s="405" t="s">
        <v>374</v>
      </c>
      <c r="O625" s="405" t="s">
        <v>1276</v>
      </c>
      <c r="P625" s="405" t="s">
        <v>4173</v>
      </c>
      <c r="Q625" s="411">
        <v>6</v>
      </c>
      <c r="R625" s="405" t="s">
        <v>32101</v>
      </c>
      <c r="S625" s="405" t="s">
        <v>27193</v>
      </c>
      <c r="T625" s="405" t="s">
        <v>865</v>
      </c>
      <c r="U625" s="405" t="s">
        <v>866</v>
      </c>
    </row>
    <row r="626" spans="1:21" x14ac:dyDescent="0.25">
      <c r="A626" s="405" t="s">
        <v>310</v>
      </c>
      <c r="B626" s="405" t="s">
        <v>9004</v>
      </c>
      <c r="C626" s="405" t="s">
        <v>327</v>
      </c>
      <c r="D626" s="405"/>
      <c r="E626" s="410">
        <v>44385</v>
      </c>
      <c r="F626" s="410">
        <v>44440</v>
      </c>
      <c r="G626" s="405" t="s">
        <v>9005</v>
      </c>
      <c r="H626" s="405" t="s">
        <v>9006</v>
      </c>
      <c r="I626" s="405" t="s">
        <v>2913</v>
      </c>
      <c r="J626" s="405">
        <v>0.53208699999999998</v>
      </c>
      <c r="K626" s="405">
        <v>32.471853000000003</v>
      </c>
      <c r="L626" s="405" t="s">
        <v>314</v>
      </c>
      <c r="M626" s="405" t="s">
        <v>361</v>
      </c>
      <c r="N626" s="405" t="s">
        <v>523</v>
      </c>
      <c r="O626" s="405" t="s">
        <v>523</v>
      </c>
      <c r="P626" s="405" t="s">
        <v>9007</v>
      </c>
      <c r="Q626" s="411">
        <v>6</v>
      </c>
      <c r="R626" s="405" t="s">
        <v>32164</v>
      </c>
      <c r="S626" s="405" t="s">
        <v>27054</v>
      </c>
      <c r="T626" s="405" t="s">
        <v>32212</v>
      </c>
      <c r="U626" s="405" t="s">
        <v>2267</v>
      </c>
    </row>
    <row r="627" spans="1:21" x14ac:dyDescent="0.25">
      <c r="A627" s="405" t="s">
        <v>310</v>
      </c>
      <c r="B627" s="405" t="s">
        <v>28113</v>
      </c>
      <c r="C627" s="405" t="s">
        <v>327</v>
      </c>
      <c r="D627" s="405"/>
      <c r="E627" s="410">
        <v>44384</v>
      </c>
      <c r="F627" s="410">
        <v>44426</v>
      </c>
      <c r="G627" s="405" t="s">
        <v>8972</v>
      </c>
      <c r="H627" s="405" t="s">
        <v>8973</v>
      </c>
      <c r="I627" s="405" t="s">
        <v>2913</v>
      </c>
      <c r="J627" s="405">
        <v>0.475352</v>
      </c>
      <c r="K627" s="405">
        <v>32.620373000000001</v>
      </c>
      <c r="L627" s="405" t="s">
        <v>314</v>
      </c>
      <c r="M627" s="405" t="s">
        <v>361</v>
      </c>
      <c r="N627" s="405" t="s">
        <v>4961</v>
      </c>
      <c r="O627" s="405" t="s">
        <v>7443</v>
      </c>
      <c r="P627" s="405" t="s">
        <v>7853</v>
      </c>
      <c r="Q627" s="411">
        <v>12</v>
      </c>
      <c r="R627" s="405" t="s">
        <v>5903</v>
      </c>
      <c r="S627" s="405" t="s">
        <v>27153</v>
      </c>
      <c r="T627" s="405" t="s">
        <v>865</v>
      </c>
      <c r="U627" s="405" t="s">
        <v>866</v>
      </c>
    </row>
    <row r="628" spans="1:21" x14ac:dyDescent="0.25">
      <c r="A628" s="405" t="s">
        <v>310</v>
      </c>
      <c r="B628" s="405" t="s">
        <v>9277</v>
      </c>
      <c r="C628" s="405" t="s">
        <v>327</v>
      </c>
      <c r="D628" s="405"/>
      <c r="E628" s="410">
        <v>44384</v>
      </c>
      <c r="F628" s="410">
        <v>44542</v>
      </c>
      <c r="G628" s="405" t="s">
        <v>9278</v>
      </c>
      <c r="H628" s="405">
        <v>772509879</v>
      </c>
      <c r="I628" s="405" t="s">
        <v>9279</v>
      </c>
      <c r="J628" s="405">
        <v>0.40670400000000001</v>
      </c>
      <c r="K628" s="405">
        <v>32.648974000000003</v>
      </c>
      <c r="L628" s="405" t="s">
        <v>314</v>
      </c>
      <c r="M628" s="405" t="s">
        <v>361</v>
      </c>
      <c r="N628" s="405" t="s">
        <v>5924</v>
      </c>
      <c r="O628" s="405" t="s">
        <v>9280</v>
      </c>
      <c r="P628" s="405" t="s">
        <v>2114</v>
      </c>
      <c r="Q628" s="411">
        <v>6</v>
      </c>
      <c r="R628" s="405" t="s">
        <v>5921</v>
      </c>
      <c r="S628" s="405" t="s">
        <v>32960</v>
      </c>
      <c r="T628" s="405" t="s">
        <v>32102</v>
      </c>
      <c r="U628" s="405" t="s">
        <v>319</v>
      </c>
    </row>
    <row r="629" spans="1:21" x14ac:dyDescent="0.25">
      <c r="A629" s="405" t="s">
        <v>310</v>
      </c>
      <c r="B629" s="405" t="s">
        <v>9001</v>
      </c>
      <c r="C629" s="405" t="s">
        <v>327</v>
      </c>
      <c r="D629" s="405"/>
      <c r="E629" s="410">
        <v>44384</v>
      </c>
      <c r="F629" s="410">
        <v>44449</v>
      </c>
      <c r="G629" s="405" t="s">
        <v>9002</v>
      </c>
      <c r="H629" s="405" t="s">
        <v>9003</v>
      </c>
      <c r="I629" s="405" t="s">
        <v>2913</v>
      </c>
      <c r="J629" s="405">
        <v>0.30174600000000001</v>
      </c>
      <c r="K629" s="405">
        <v>32.582901</v>
      </c>
      <c r="L629" s="405" t="s">
        <v>314</v>
      </c>
      <c r="M629" s="405" t="s">
        <v>992</v>
      </c>
      <c r="N629" s="405" t="s">
        <v>618</v>
      </c>
      <c r="O629" s="405" t="s">
        <v>618</v>
      </c>
      <c r="P629" s="405" t="s">
        <v>7877</v>
      </c>
      <c r="Q629" s="411">
        <v>6</v>
      </c>
      <c r="R629" s="405" t="s">
        <v>32164</v>
      </c>
      <c r="S629" s="405" t="s">
        <v>27054</v>
      </c>
      <c r="T629" s="405" t="s">
        <v>865</v>
      </c>
      <c r="U629" s="405" t="s">
        <v>866</v>
      </c>
    </row>
    <row r="630" spans="1:21" x14ac:dyDescent="0.25">
      <c r="A630" s="405" t="s">
        <v>310</v>
      </c>
      <c r="B630" s="405" t="s">
        <v>19688</v>
      </c>
      <c r="C630" s="405" t="s">
        <v>311</v>
      </c>
      <c r="D630" s="405" t="s">
        <v>19689</v>
      </c>
      <c r="E630" s="410">
        <v>44383</v>
      </c>
      <c r="F630" s="410">
        <v>44418</v>
      </c>
      <c r="G630" s="405" t="s">
        <v>19690</v>
      </c>
      <c r="H630" s="405" t="s">
        <v>19691</v>
      </c>
      <c r="I630" s="405" t="s">
        <v>2913</v>
      </c>
      <c r="J630" s="405">
        <v>3.2771279999999998</v>
      </c>
      <c r="K630" s="405">
        <v>33.227162</v>
      </c>
      <c r="L630" s="405" t="s">
        <v>860</v>
      </c>
      <c r="M630" s="405" t="s">
        <v>19018</v>
      </c>
      <c r="N630" s="405" t="s">
        <v>19692</v>
      </c>
      <c r="O630" s="405" t="s">
        <v>19692</v>
      </c>
      <c r="P630" s="405" t="s">
        <v>19693</v>
      </c>
      <c r="Q630" s="411">
        <v>9</v>
      </c>
      <c r="R630" s="405" t="s">
        <v>9242</v>
      </c>
      <c r="S630" s="405" t="s">
        <v>27392</v>
      </c>
      <c r="T630" s="405" t="s">
        <v>865</v>
      </c>
      <c r="U630" s="405" t="s">
        <v>866</v>
      </c>
    </row>
    <row r="631" spans="1:21" x14ac:dyDescent="0.25">
      <c r="A631" s="405" t="s">
        <v>310</v>
      </c>
      <c r="B631" s="405" t="s">
        <v>17608</v>
      </c>
      <c r="C631" s="405" t="s">
        <v>327</v>
      </c>
      <c r="D631" s="405"/>
      <c r="E631" s="410">
        <v>44382</v>
      </c>
      <c r="F631" s="410">
        <v>44401</v>
      </c>
      <c r="G631" s="405" t="s">
        <v>17609</v>
      </c>
      <c r="H631" s="405" t="s">
        <v>17610</v>
      </c>
      <c r="I631" s="405" t="s">
        <v>2913</v>
      </c>
      <c r="J631" s="405">
        <v>0.99433199999999999</v>
      </c>
      <c r="K631" s="405">
        <v>34.169130000000003</v>
      </c>
      <c r="L631" s="405" t="s">
        <v>6866</v>
      </c>
      <c r="M631" s="405" t="s">
        <v>9514</v>
      </c>
      <c r="N631" s="405" t="s">
        <v>9571</v>
      </c>
      <c r="O631" s="405" t="s">
        <v>9571</v>
      </c>
      <c r="P631" s="405" t="s">
        <v>17611</v>
      </c>
      <c r="Q631" s="411">
        <v>12</v>
      </c>
      <c r="R631" s="405" t="s">
        <v>6871</v>
      </c>
      <c r="S631" s="405" t="s">
        <v>27371</v>
      </c>
      <c r="T631" s="405" t="s">
        <v>32102</v>
      </c>
      <c r="U631" s="405" t="s">
        <v>319</v>
      </c>
    </row>
    <row r="632" spans="1:21" x14ac:dyDescent="0.25">
      <c r="A632" s="405" t="s">
        <v>310</v>
      </c>
      <c r="B632" s="405" t="s">
        <v>26515</v>
      </c>
      <c r="C632" s="405" t="s">
        <v>327</v>
      </c>
      <c r="D632" s="405"/>
      <c r="E632" s="410">
        <v>44379</v>
      </c>
      <c r="F632" s="410">
        <v>44428</v>
      </c>
      <c r="G632" s="405" t="s">
        <v>26516</v>
      </c>
      <c r="H632" s="405" t="s">
        <v>26517</v>
      </c>
      <c r="I632" s="405" t="s">
        <v>26518</v>
      </c>
      <c r="J632" s="405">
        <v>-1.1273519999999999</v>
      </c>
      <c r="K632" s="405">
        <v>29.684782999999999</v>
      </c>
      <c r="L632" s="405" t="s">
        <v>590</v>
      </c>
      <c r="M632" s="405" t="s">
        <v>20070</v>
      </c>
      <c r="N632" s="405" t="s">
        <v>26120</v>
      </c>
      <c r="O632" s="405" t="s">
        <v>24115</v>
      </c>
      <c r="P632" s="405" t="s">
        <v>25209</v>
      </c>
      <c r="Q632" s="411">
        <v>6</v>
      </c>
      <c r="R632" s="405" t="s">
        <v>24106</v>
      </c>
      <c r="S632" s="405" t="s">
        <v>27452</v>
      </c>
      <c r="T632" s="405" t="s">
        <v>32102</v>
      </c>
      <c r="U632" s="405" t="s">
        <v>319</v>
      </c>
    </row>
    <row r="633" spans="1:21" x14ac:dyDescent="0.25">
      <c r="A633" s="405" t="s">
        <v>310</v>
      </c>
      <c r="B633" s="405" t="s">
        <v>25194</v>
      </c>
      <c r="C633" s="405" t="s">
        <v>327</v>
      </c>
      <c r="D633" s="405"/>
      <c r="E633" s="410">
        <v>43622</v>
      </c>
      <c r="F633" s="410">
        <v>43656</v>
      </c>
      <c r="G633" s="405" t="s">
        <v>25195</v>
      </c>
      <c r="H633" s="405">
        <v>700544544</v>
      </c>
      <c r="I633" s="405">
        <v>772455103</v>
      </c>
      <c r="J633" s="405" t="s">
        <v>7334</v>
      </c>
      <c r="K633" s="405">
        <v>34.189390000000003</v>
      </c>
      <c r="L633" s="405" t="s">
        <v>590</v>
      </c>
      <c r="M633" s="405" t="s">
        <v>19705</v>
      </c>
      <c r="N633" s="405" t="s">
        <v>19705</v>
      </c>
      <c r="O633" s="405" t="s">
        <v>19705</v>
      </c>
      <c r="P633" s="405" t="s">
        <v>25029</v>
      </c>
      <c r="Q633" s="411">
        <v>20</v>
      </c>
      <c r="R633" s="405" t="s">
        <v>5903</v>
      </c>
      <c r="S633" s="405" t="s">
        <v>27153</v>
      </c>
      <c r="T633" s="405" t="s">
        <v>32212</v>
      </c>
      <c r="U633" s="405" t="s">
        <v>2267</v>
      </c>
    </row>
    <row r="634" spans="1:21" x14ac:dyDescent="0.25">
      <c r="A634" s="405" t="s">
        <v>310</v>
      </c>
      <c r="B634" s="405" t="s">
        <v>19239</v>
      </c>
      <c r="C634" s="405" t="s">
        <v>327</v>
      </c>
      <c r="D634" s="405"/>
      <c r="E634" s="410">
        <v>44377</v>
      </c>
      <c r="F634" s="410">
        <v>44408</v>
      </c>
      <c r="G634" s="405" t="s">
        <v>19240</v>
      </c>
      <c r="H634" s="405">
        <v>772154246</v>
      </c>
      <c r="I634" s="405">
        <v>774907488</v>
      </c>
      <c r="J634" s="405">
        <v>2.2230490000000001</v>
      </c>
      <c r="K634" s="405">
        <v>32.990623999999997</v>
      </c>
      <c r="L634" s="405" t="s">
        <v>860</v>
      </c>
      <c r="M634" s="405" t="s">
        <v>18234</v>
      </c>
      <c r="N634" s="405" t="s">
        <v>19241</v>
      </c>
      <c r="O634" s="405" t="s">
        <v>18253</v>
      </c>
      <c r="P634" s="405" t="s">
        <v>19242</v>
      </c>
      <c r="Q634" s="411">
        <v>13</v>
      </c>
      <c r="R634" s="405" t="s">
        <v>9242</v>
      </c>
      <c r="S634" s="405" t="s">
        <v>27264</v>
      </c>
      <c r="T634" s="405" t="s">
        <v>32102</v>
      </c>
      <c r="U634" s="405" t="s">
        <v>319</v>
      </c>
    </row>
    <row r="635" spans="1:21" x14ac:dyDescent="0.25">
      <c r="A635" s="405" t="s">
        <v>310</v>
      </c>
      <c r="B635" s="405" t="s">
        <v>8865</v>
      </c>
      <c r="C635" s="405" t="s">
        <v>327</v>
      </c>
      <c r="D635" s="405"/>
      <c r="E635" s="410">
        <v>44377</v>
      </c>
      <c r="F635" s="410">
        <v>44381</v>
      </c>
      <c r="G635" s="405" t="s">
        <v>8866</v>
      </c>
      <c r="H635" s="405">
        <v>772527700</v>
      </c>
      <c r="I635" s="405" t="s">
        <v>2913</v>
      </c>
      <c r="J635" s="405">
        <v>0.39821000000000001</v>
      </c>
      <c r="K635" s="405">
        <v>32.480609000000001</v>
      </c>
      <c r="L635" s="405" t="s">
        <v>314</v>
      </c>
      <c r="M635" s="405" t="s">
        <v>361</v>
      </c>
      <c r="N635" s="405" t="s">
        <v>374</v>
      </c>
      <c r="O635" s="405" t="s">
        <v>535</v>
      </c>
      <c r="P635" s="405" t="s">
        <v>7122</v>
      </c>
      <c r="Q635" s="411">
        <v>9</v>
      </c>
      <c r="R635" s="405" t="s">
        <v>32101</v>
      </c>
      <c r="S635" s="405" t="s">
        <v>27045</v>
      </c>
      <c r="T635" s="405" t="s">
        <v>865</v>
      </c>
      <c r="U635" s="405" t="s">
        <v>866</v>
      </c>
    </row>
    <row r="636" spans="1:21" x14ac:dyDescent="0.25">
      <c r="A636" s="405" t="s">
        <v>310</v>
      </c>
      <c r="B636" s="405" t="s">
        <v>26471</v>
      </c>
      <c r="C636" s="405" t="s">
        <v>327</v>
      </c>
      <c r="D636" s="405"/>
      <c r="E636" s="410">
        <v>44373</v>
      </c>
      <c r="F636" s="410">
        <v>44405</v>
      </c>
      <c r="G636" s="405" t="s">
        <v>26472</v>
      </c>
      <c r="H636" s="405">
        <v>772510609</v>
      </c>
      <c r="I636" s="405">
        <v>773239733</v>
      </c>
      <c r="J636" s="405">
        <v>-0.86989000000000005</v>
      </c>
      <c r="K636" s="405">
        <v>30.268757999999998</v>
      </c>
      <c r="L636" s="405" t="s">
        <v>590</v>
      </c>
      <c r="M636" s="405" t="s">
        <v>19659</v>
      </c>
      <c r="N636" s="405" t="s">
        <v>26473</v>
      </c>
      <c r="O636" s="405" t="s">
        <v>23508</v>
      </c>
      <c r="P636" s="405" t="s">
        <v>26474</v>
      </c>
      <c r="Q636" s="411">
        <v>13</v>
      </c>
      <c r="R636" s="405" t="s">
        <v>6572</v>
      </c>
      <c r="S636" s="405" t="s">
        <v>27434</v>
      </c>
      <c r="T636" s="405" t="s">
        <v>32102</v>
      </c>
      <c r="U636" s="405" t="s">
        <v>319</v>
      </c>
    </row>
    <row r="637" spans="1:21" x14ac:dyDescent="0.25">
      <c r="A637" s="405" t="s">
        <v>310</v>
      </c>
      <c r="B637" s="405" t="s">
        <v>17587</v>
      </c>
      <c r="C637" s="405" t="s">
        <v>327</v>
      </c>
      <c r="D637" s="405"/>
      <c r="E637" s="410">
        <v>44372</v>
      </c>
      <c r="F637" s="410">
        <v>44377</v>
      </c>
      <c r="G637" s="405" t="s">
        <v>17588</v>
      </c>
      <c r="H637" s="405">
        <v>774545857</v>
      </c>
      <c r="I637" s="405">
        <v>754181353</v>
      </c>
      <c r="J637" s="405">
        <v>1.217743</v>
      </c>
      <c r="K637" s="405">
        <v>34.314863000000003</v>
      </c>
      <c r="L637" s="405" t="s">
        <v>6866</v>
      </c>
      <c r="M637" s="405" t="s">
        <v>9575</v>
      </c>
      <c r="N637" s="405" t="s">
        <v>9629</v>
      </c>
      <c r="O637" s="405" t="s">
        <v>17589</v>
      </c>
      <c r="P637" s="405" t="s">
        <v>17590</v>
      </c>
      <c r="Q637" s="411">
        <v>9</v>
      </c>
      <c r="R637" s="405" t="s">
        <v>5655</v>
      </c>
      <c r="S637" s="405" t="s">
        <v>27371</v>
      </c>
      <c r="T637" s="405" t="s">
        <v>32102</v>
      </c>
      <c r="U637" s="405" t="s">
        <v>319</v>
      </c>
    </row>
    <row r="638" spans="1:21" x14ac:dyDescent="0.25">
      <c r="A638" s="405" t="s">
        <v>310</v>
      </c>
      <c r="B638" s="405" t="s">
        <v>26480</v>
      </c>
      <c r="C638" s="405" t="s">
        <v>327</v>
      </c>
      <c r="D638" s="405"/>
      <c r="E638" s="410">
        <v>44370</v>
      </c>
      <c r="F638" s="410">
        <v>44379</v>
      </c>
      <c r="G638" s="405" t="s">
        <v>26481</v>
      </c>
      <c r="H638" s="405">
        <v>781488646</v>
      </c>
      <c r="I638" s="405" t="s">
        <v>2913</v>
      </c>
      <c r="J638" s="405">
        <v>-1.0080530000000001</v>
      </c>
      <c r="K638" s="405">
        <v>30.19042</v>
      </c>
      <c r="L638" s="405" t="s">
        <v>590</v>
      </c>
      <c r="M638" s="405" t="s">
        <v>19659</v>
      </c>
      <c r="N638" s="405" t="s">
        <v>26482</v>
      </c>
      <c r="O638" s="405" t="s">
        <v>26483</v>
      </c>
      <c r="P638" s="405" t="s">
        <v>26484</v>
      </c>
      <c r="Q638" s="411">
        <v>9</v>
      </c>
      <c r="R638" s="405" t="s">
        <v>32166</v>
      </c>
      <c r="S638" s="405" t="s">
        <v>27102</v>
      </c>
      <c r="T638" s="405" t="s">
        <v>32102</v>
      </c>
      <c r="U638" s="405" t="s">
        <v>319</v>
      </c>
    </row>
    <row r="639" spans="1:21" x14ac:dyDescent="0.25">
      <c r="A639" s="405" t="s">
        <v>310</v>
      </c>
      <c r="B639" s="405" t="s">
        <v>8827</v>
      </c>
      <c r="C639" s="405" t="s">
        <v>327</v>
      </c>
      <c r="D639" s="405"/>
      <c r="E639" s="410">
        <v>44369</v>
      </c>
      <c r="F639" s="410">
        <v>44377</v>
      </c>
      <c r="G639" s="405" t="s">
        <v>8828</v>
      </c>
      <c r="H639" s="405">
        <v>704025795</v>
      </c>
      <c r="I639" s="405">
        <v>773384489</v>
      </c>
      <c r="J639" s="405">
        <v>0.80231699999999995</v>
      </c>
      <c r="K639" s="405">
        <v>32.606382000000004</v>
      </c>
      <c r="L639" s="405" t="s">
        <v>314</v>
      </c>
      <c r="M639" s="405" t="s">
        <v>959</v>
      </c>
      <c r="N639" s="405" t="s">
        <v>8829</v>
      </c>
      <c r="O639" s="405" t="s">
        <v>8830</v>
      </c>
      <c r="P639" s="405" t="s">
        <v>1537</v>
      </c>
      <c r="Q639" s="411">
        <v>12</v>
      </c>
      <c r="R639" s="405" t="s">
        <v>32101</v>
      </c>
      <c r="S639" s="405" t="s">
        <v>27285</v>
      </c>
      <c r="T639" s="405" t="s">
        <v>32102</v>
      </c>
      <c r="U639" s="405" t="s">
        <v>319</v>
      </c>
    </row>
    <row r="640" spans="1:21" x14ac:dyDescent="0.25">
      <c r="A640" s="405" t="s">
        <v>310</v>
      </c>
      <c r="B640" s="405" t="s">
        <v>26492</v>
      </c>
      <c r="C640" s="405" t="s">
        <v>327</v>
      </c>
      <c r="D640" s="405"/>
      <c r="E640" s="410">
        <v>44366</v>
      </c>
      <c r="F640" s="410">
        <v>44403</v>
      </c>
      <c r="G640" s="405" t="s">
        <v>26493</v>
      </c>
      <c r="H640" s="405">
        <v>773452872</v>
      </c>
      <c r="I640" s="405">
        <v>773266068</v>
      </c>
      <c r="J640" s="405">
        <v>0.80323800000000001</v>
      </c>
      <c r="K640" s="405">
        <v>30.233422000000001</v>
      </c>
      <c r="L640" s="405" t="s">
        <v>590</v>
      </c>
      <c r="M640" s="405" t="s">
        <v>24720</v>
      </c>
      <c r="N640" s="405" t="s">
        <v>24720</v>
      </c>
      <c r="O640" s="405" t="s">
        <v>26494</v>
      </c>
      <c r="P640" s="405" t="s">
        <v>26495</v>
      </c>
      <c r="Q640" s="411">
        <v>9</v>
      </c>
      <c r="R640" s="405" t="s">
        <v>32101</v>
      </c>
      <c r="S640" s="405" t="s">
        <v>27060</v>
      </c>
      <c r="T640" s="405" t="s">
        <v>32212</v>
      </c>
      <c r="U640" s="405" t="s">
        <v>2267</v>
      </c>
    </row>
    <row r="641" spans="1:21" x14ac:dyDescent="0.25">
      <c r="A641" s="405" t="s">
        <v>310</v>
      </c>
      <c r="B641" s="405" t="s">
        <v>26435</v>
      </c>
      <c r="C641" s="405" t="s">
        <v>327</v>
      </c>
      <c r="D641" s="405"/>
      <c r="E641" s="410">
        <v>44365</v>
      </c>
      <c r="F641" s="410">
        <v>44372</v>
      </c>
      <c r="G641" s="405" t="s">
        <v>26436</v>
      </c>
      <c r="H641" s="405" t="s">
        <v>26437</v>
      </c>
      <c r="I641" s="405" t="s">
        <v>2913</v>
      </c>
      <c r="J641" s="405">
        <v>-0.53815299999999999</v>
      </c>
      <c r="K641" s="405">
        <v>30.767562000000002</v>
      </c>
      <c r="L641" s="405" t="s">
        <v>590</v>
      </c>
      <c r="M641" s="405" t="s">
        <v>19614</v>
      </c>
      <c r="N641" s="405" t="s">
        <v>19614</v>
      </c>
      <c r="O641" s="405" t="s">
        <v>20253</v>
      </c>
      <c r="P641" s="405" t="s">
        <v>25340</v>
      </c>
      <c r="Q641" s="411">
        <v>9</v>
      </c>
      <c r="R641" s="405" t="s">
        <v>883</v>
      </c>
      <c r="S641" s="405" t="s">
        <v>27104</v>
      </c>
      <c r="T641" s="405" t="s">
        <v>32102</v>
      </c>
      <c r="U641" s="405" t="s">
        <v>319</v>
      </c>
    </row>
    <row r="642" spans="1:21" x14ac:dyDescent="0.25">
      <c r="A642" s="405" t="s">
        <v>310</v>
      </c>
      <c r="B642" s="405" t="s">
        <v>17770</v>
      </c>
      <c r="C642" s="405" t="s">
        <v>327</v>
      </c>
      <c r="D642" s="405"/>
      <c r="E642" s="410">
        <v>44364</v>
      </c>
      <c r="F642" s="410">
        <v>44487</v>
      </c>
      <c r="G642" s="405" t="s">
        <v>17771</v>
      </c>
      <c r="H642" s="405" t="s">
        <v>17772</v>
      </c>
      <c r="I642" s="405" t="s">
        <v>2913</v>
      </c>
      <c r="J642" s="405">
        <v>1.145502</v>
      </c>
      <c r="K642" s="405">
        <v>34.238374999999998</v>
      </c>
      <c r="L642" s="405" t="s">
        <v>6866</v>
      </c>
      <c r="M642" s="405" t="s">
        <v>9575</v>
      </c>
      <c r="N642" s="405" t="s">
        <v>9852</v>
      </c>
      <c r="O642" s="405" t="s">
        <v>9577</v>
      </c>
      <c r="P642" s="405" t="s">
        <v>17773</v>
      </c>
      <c r="Q642" s="411">
        <v>9</v>
      </c>
      <c r="R642" s="405" t="s">
        <v>17977</v>
      </c>
      <c r="S642" s="405" t="s">
        <v>27294</v>
      </c>
      <c r="T642" s="405" t="s">
        <v>32102</v>
      </c>
      <c r="U642" s="405" t="s">
        <v>319</v>
      </c>
    </row>
    <row r="643" spans="1:21" x14ac:dyDescent="0.25">
      <c r="A643" s="405" t="s">
        <v>310</v>
      </c>
      <c r="B643" s="405" t="s">
        <v>8939</v>
      </c>
      <c r="C643" s="405" t="s">
        <v>327</v>
      </c>
      <c r="D643" s="405"/>
      <c r="E643" s="410">
        <v>44364</v>
      </c>
      <c r="F643" s="410">
        <v>44413</v>
      </c>
      <c r="G643" s="405" t="s">
        <v>8940</v>
      </c>
      <c r="H643" s="405">
        <v>752284067</v>
      </c>
      <c r="I643" s="405" t="s">
        <v>2913</v>
      </c>
      <c r="J643" s="405">
        <v>0.51915999999999995</v>
      </c>
      <c r="K643" s="405">
        <v>32.316462999999999</v>
      </c>
      <c r="L643" s="405" t="s">
        <v>314</v>
      </c>
      <c r="M643" s="405" t="s">
        <v>361</v>
      </c>
      <c r="N643" s="405" t="s">
        <v>374</v>
      </c>
      <c r="O643" s="405" t="s">
        <v>8107</v>
      </c>
      <c r="P643" s="405" t="s">
        <v>8941</v>
      </c>
      <c r="Q643" s="411">
        <v>9</v>
      </c>
      <c r="R643" s="405" t="s">
        <v>32101</v>
      </c>
      <c r="S643" s="405" t="s">
        <v>27045</v>
      </c>
      <c r="T643" s="405" t="s">
        <v>32102</v>
      </c>
      <c r="U643" s="405" t="s">
        <v>319</v>
      </c>
    </row>
    <row r="644" spans="1:21" x14ac:dyDescent="0.25">
      <c r="A644" s="405" t="s">
        <v>310</v>
      </c>
      <c r="B644" s="405" t="s">
        <v>9207</v>
      </c>
      <c r="C644" s="405" t="s">
        <v>327</v>
      </c>
      <c r="D644" s="405"/>
      <c r="E644" s="410">
        <v>44364</v>
      </c>
      <c r="F644" s="410">
        <v>44521</v>
      </c>
      <c r="G644" s="405" t="s">
        <v>9208</v>
      </c>
      <c r="H644" s="405" t="s">
        <v>9209</v>
      </c>
      <c r="I644" s="405" t="s">
        <v>9210</v>
      </c>
      <c r="J644" s="405">
        <v>0.47757500000000003</v>
      </c>
      <c r="K644" s="405">
        <v>32.619425</v>
      </c>
      <c r="L644" s="405" t="s">
        <v>314</v>
      </c>
      <c r="M644" s="405" t="s">
        <v>361</v>
      </c>
      <c r="N644" s="405" t="s">
        <v>9211</v>
      </c>
      <c r="O644" s="405" t="s">
        <v>9212</v>
      </c>
      <c r="P644" s="405" t="s">
        <v>7497</v>
      </c>
      <c r="Q644" s="411">
        <v>6</v>
      </c>
      <c r="R644" s="405" t="s">
        <v>5921</v>
      </c>
      <c r="S644" s="405" t="s">
        <v>32960</v>
      </c>
      <c r="T644" s="405" t="s">
        <v>32102</v>
      </c>
      <c r="U644" s="405" t="s">
        <v>319</v>
      </c>
    </row>
    <row r="645" spans="1:21" x14ac:dyDescent="0.25">
      <c r="A645" s="405" t="s">
        <v>310</v>
      </c>
      <c r="B645" s="405" t="s">
        <v>8846</v>
      </c>
      <c r="C645" s="405" t="s">
        <v>327</v>
      </c>
      <c r="D645" s="405"/>
      <c r="E645" s="410">
        <v>44363</v>
      </c>
      <c r="F645" s="410">
        <v>44398</v>
      </c>
      <c r="G645" s="405" t="s">
        <v>8847</v>
      </c>
      <c r="H645" s="405" t="s">
        <v>8848</v>
      </c>
      <c r="I645" s="405" t="s">
        <v>2913</v>
      </c>
      <c r="J645" s="405">
        <v>0.22086800000000001</v>
      </c>
      <c r="K645" s="405">
        <v>32.450037000000002</v>
      </c>
      <c r="L645" s="405" t="s">
        <v>314</v>
      </c>
      <c r="M645" s="405" t="s">
        <v>361</v>
      </c>
      <c r="N645" s="405" t="s">
        <v>1682</v>
      </c>
      <c r="O645" s="405" t="s">
        <v>375</v>
      </c>
      <c r="P645" s="405" t="s">
        <v>8849</v>
      </c>
      <c r="Q645" s="411">
        <v>9</v>
      </c>
      <c r="R645" s="405" t="s">
        <v>4176</v>
      </c>
      <c r="S645" s="405" t="s">
        <v>27053</v>
      </c>
      <c r="T645" s="405" t="s">
        <v>32212</v>
      </c>
      <c r="U645" s="405" t="s">
        <v>2267</v>
      </c>
    </row>
    <row r="646" spans="1:21" x14ac:dyDescent="0.25">
      <c r="A646" s="405" t="s">
        <v>310</v>
      </c>
      <c r="B646" s="405" t="s">
        <v>8935</v>
      </c>
      <c r="C646" s="405" t="s">
        <v>327</v>
      </c>
      <c r="D646" s="405"/>
      <c r="E646" s="410">
        <v>44362</v>
      </c>
      <c r="F646" s="410">
        <v>44423</v>
      </c>
      <c r="G646" s="405" t="s">
        <v>8936</v>
      </c>
      <c r="H646" s="405" t="s">
        <v>8937</v>
      </c>
      <c r="I646" s="405" t="s">
        <v>8938</v>
      </c>
      <c r="J646" s="405">
        <v>0.33404699999999998</v>
      </c>
      <c r="K646" s="405">
        <v>32.529449999999997</v>
      </c>
      <c r="L646" s="405" t="s">
        <v>314</v>
      </c>
      <c r="M646" s="405" t="s">
        <v>329</v>
      </c>
      <c r="N646" s="405" t="s">
        <v>330</v>
      </c>
      <c r="O646" s="405" t="s">
        <v>787</v>
      </c>
      <c r="P646" s="405" t="s">
        <v>7995</v>
      </c>
      <c r="Q646" s="411">
        <v>13</v>
      </c>
      <c r="R646" s="405" t="s">
        <v>32157</v>
      </c>
      <c r="S646" s="405" t="s">
        <v>27036</v>
      </c>
      <c r="T646" s="405" t="s">
        <v>32102</v>
      </c>
      <c r="U646" s="405" t="s">
        <v>319</v>
      </c>
    </row>
    <row r="647" spans="1:21" x14ac:dyDescent="0.25">
      <c r="A647" s="405" t="s">
        <v>310</v>
      </c>
      <c r="B647" s="405" t="s">
        <v>17745</v>
      </c>
      <c r="C647" s="405" t="s">
        <v>327</v>
      </c>
      <c r="D647" s="405"/>
      <c r="E647" s="410">
        <v>44362</v>
      </c>
      <c r="F647" s="410">
        <v>44484</v>
      </c>
      <c r="G647" s="405" t="s">
        <v>17746</v>
      </c>
      <c r="H647" s="405" t="s">
        <v>17747</v>
      </c>
      <c r="I647" s="405" t="s">
        <v>17748</v>
      </c>
      <c r="J647" s="405">
        <v>0.68589500000000003</v>
      </c>
      <c r="K647" s="405">
        <v>33.479954999999997</v>
      </c>
      <c r="L647" s="405" t="s">
        <v>6866</v>
      </c>
      <c r="M647" s="405" t="s">
        <v>10853</v>
      </c>
      <c r="N647" s="405" t="s">
        <v>17179</v>
      </c>
      <c r="O647" s="405" t="s">
        <v>10854</v>
      </c>
      <c r="P647" s="405" t="s">
        <v>17749</v>
      </c>
      <c r="Q647" s="411">
        <v>4</v>
      </c>
      <c r="R647" s="405" t="s">
        <v>32164</v>
      </c>
      <c r="S647" s="405" t="s">
        <v>27054</v>
      </c>
      <c r="T647" s="405" t="s">
        <v>865</v>
      </c>
      <c r="U647" s="405" t="s">
        <v>866</v>
      </c>
    </row>
    <row r="648" spans="1:21" x14ac:dyDescent="0.25">
      <c r="A648" s="405" t="s">
        <v>310</v>
      </c>
      <c r="B648" s="405" t="s">
        <v>8850</v>
      </c>
      <c r="C648" s="405" t="s">
        <v>327</v>
      </c>
      <c r="D648" s="405"/>
      <c r="E648" s="410">
        <v>44361</v>
      </c>
      <c r="F648" s="410">
        <v>44386</v>
      </c>
      <c r="G648" s="405" t="s">
        <v>8851</v>
      </c>
      <c r="H648" s="405">
        <v>782339285</v>
      </c>
      <c r="I648" s="405">
        <v>701339228</v>
      </c>
      <c r="J648" s="405">
        <v>0.540547</v>
      </c>
      <c r="K648" s="405">
        <v>32.434930000000001</v>
      </c>
      <c r="L648" s="405" t="s">
        <v>314</v>
      </c>
      <c r="M648" s="405" t="s">
        <v>361</v>
      </c>
      <c r="N648" s="405" t="s">
        <v>374</v>
      </c>
      <c r="O648" s="405" t="s">
        <v>8107</v>
      </c>
      <c r="P648" s="405" t="s">
        <v>8852</v>
      </c>
      <c r="Q648" s="411">
        <v>9</v>
      </c>
      <c r="R648" s="405" t="s">
        <v>32101</v>
      </c>
      <c r="S648" s="405" t="s">
        <v>27275</v>
      </c>
      <c r="T648" s="405" t="s">
        <v>32102</v>
      </c>
      <c r="U648" s="405" t="s">
        <v>319</v>
      </c>
    </row>
    <row r="649" spans="1:21" x14ac:dyDescent="0.25">
      <c r="A649" s="405" t="s">
        <v>310</v>
      </c>
      <c r="B649" s="405" t="s">
        <v>9067</v>
      </c>
      <c r="C649" s="405" t="s">
        <v>327</v>
      </c>
      <c r="D649" s="405"/>
      <c r="E649" s="410">
        <v>44358</v>
      </c>
      <c r="F649" s="410">
        <v>44494</v>
      </c>
      <c r="G649" s="405" t="s">
        <v>9068</v>
      </c>
      <c r="H649" s="405" t="s">
        <v>9069</v>
      </c>
      <c r="I649" s="405" t="s">
        <v>7921</v>
      </c>
      <c r="J649" s="405">
        <v>-0.25618600000000002</v>
      </c>
      <c r="K649" s="405">
        <v>31.820377000000001</v>
      </c>
      <c r="L649" s="405" t="s">
        <v>314</v>
      </c>
      <c r="M649" s="405" t="s">
        <v>382</v>
      </c>
      <c r="N649" s="405" t="s">
        <v>2091</v>
      </c>
      <c r="O649" s="405" t="s">
        <v>1076</v>
      </c>
      <c r="P649" s="405" t="s">
        <v>2091</v>
      </c>
      <c r="Q649" s="411">
        <v>9</v>
      </c>
      <c r="R649" s="405" t="s">
        <v>5986</v>
      </c>
      <c r="S649" s="405" t="s">
        <v>5986</v>
      </c>
      <c r="T649" s="405" t="s">
        <v>32102</v>
      </c>
      <c r="U649" s="405" t="s">
        <v>319</v>
      </c>
    </row>
    <row r="650" spans="1:21" x14ac:dyDescent="0.25">
      <c r="A650" s="405" t="s">
        <v>310</v>
      </c>
      <c r="B650" s="405" t="s">
        <v>9265</v>
      </c>
      <c r="C650" s="405" t="s">
        <v>327</v>
      </c>
      <c r="D650" s="405"/>
      <c r="E650" s="410">
        <v>44357</v>
      </c>
      <c r="F650" s="410">
        <v>44537</v>
      </c>
      <c r="G650" s="405" t="s">
        <v>9266</v>
      </c>
      <c r="H650" s="405" t="s">
        <v>9267</v>
      </c>
      <c r="I650" s="405" t="s">
        <v>9268</v>
      </c>
      <c r="J650" s="405">
        <v>0.25126199999999999</v>
      </c>
      <c r="K650" s="405">
        <v>32.578415</v>
      </c>
      <c r="L650" s="405" t="s">
        <v>314</v>
      </c>
      <c r="M650" s="405" t="s">
        <v>361</v>
      </c>
      <c r="N650" s="405" t="s">
        <v>9269</v>
      </c>
      <c r="O650" s="405" t="s">
        <v>9270</v>
      </c>
      <c r="P650" s="405" t="s">
        <v>9271</v>
      </c>
      <c r="Q650" s="411">
        <v>9</v>
      </c>
      <c r="R650" s="405" t="s">
        <v>5665</v>
      </c>
      <c r="S650" s="405" t="s">
        <v>27051</v>
      </c>
      <c r="T650" s="405" t="s">
        <v>32102</v>
      </c>
      <c r="U650" s="405" t="s">
        <v>319</v>
      </c>
    </row>
    <row r="651" spans="1:21" x14ac:dyDescent="0.25">
      <c r="A651" s="405" t="s">
        <v>310</v>
      </c>
      <c r="B651" s="405" t="s">
        <v>9044</v>
      </c>
      <c r="C651" s="405" t="s">
        <v>327</v>
      </c>
      <c r="D651" s="405"/>
      <c r="E651" s="410">
        <v>44357</v>
      </c>
      <c r="F651" s="410">
        <v>44450</v>
      </c>
      <c r="G651" s="405" t="s">
        <v>9045</v>
      </c>
      <c r="H651" s="405" t="s">
        <v>9046</v>
      </c>
      <c r="I651" s="405" t="s">
        <v>9047</v>
      </c>
      <c r="J651" s="405">
        <v>0.89674799999999999</v>
      </c>
      <c r="K651" s="405">
        <v>32.300609999999999</v>
      </c>
      <c r="L651" s="405" t="s">
        <v>314</v>
      </c>
      <c r="M651" s="405" t="s">
        <v>2297</v>
      </c>
      <c r="N651" s="405" t="s">
        <v>9048</v>
      </c>
      <c r="O651" s="405" t="s">
        <v>7999</v>
      </c>
      <c r="P651" s="405" t="s">
        <v>9048</v>
      </c>
      <c r="Q651" s="411">
        <v>6</v>
      </c>
      <c r="R651" s="405" t="s">
        <v>5921</v>
      </c>
      <c r="S651" s="405" t="s">
        <v>32960</v>
      </c>
      <c r="T651" s="405" t="s">
        <v>32102</v>
      </c>
      <c r="U651" s="405" t="s">
        <v>319</v>
      </c>
    </row>
    <row r="652" spans="1:21" x14ac:dyDescent="0.25">
      <c r="A652" s="405" t="s">
        <v>310</v>
      </c>
      <c r="B652" s="405" t="s">
        <v>26499</v>
      </c>
      <c r="C652" s="405" t="s">
        <v>327</v>
      </c>
      <c r="D652" s="405"/>
      <c r="E652" s="410">
        <v>44353</v>
      </c>
      <c r="F652" s="410">
        <v>44402</v>
      </c>
      <c r="G652" s="405" t="s">
        <v>26500</v>
      </c>
      <c r="H652" s="405" t="s">
        <v>26501</v>
      </c>
      <c r="I652" s="405" t="s">
        <v>26502</v>
      </c>
      <c r="J652" s="405">
        <v>-1.1209530000000001</v>
      </c>
      <c r="K652" s="405">
        <v>29.707432000000001</v>
      </c>
      <c r="L652" s="405" t="s">
        <v>590</v>
      </c>
      <c r="M652" s="405" t="s">
        <v>20070</v>
      </c>
      <c r="N652" s="405" t="s">
        <v>26120</v>
      </c>
      <c r="O652" s="405" t="s">
        <v>26503</v>
      </c>
      <c r="P652" s="405" t="s">
        <v>25891</v>
      </c>
      <c r="Q652" s="411">
        <v>9</v>
      </c>
      <c r="R652" s="405" t="s">
        <v>24106</v>
      </c>
      <c r="S652" s="405" t="s">
        <v>27438</v>
      </c>
      <c r="T652" s="405" t="s">
        <v>32212</v>
      </c>
      <c r="U652" s="405" t="s">
        <v>2267</v>
      </c>
    </row>
    <row r="653" spans="1:21" x14ac:dyDescent="0.25">
      <c r="A653" s="405" t="s">
        <v>310</v>
      </c>
      <c r="B653" s="405" t="s">
        <v>25794</v>
      </c>
      <c r="C653" s="405" t="s">
        <v>327</v>
      </c>
      <c r="D653" s="405"/>
      <c r="E653" s="410">
        <v>43785</v>
      </c>
      <c r="F653" s="410">
        <v>43840</v>
      </c>
      <c r="G653" s="405" t="s">
        <v>25795</v>
      </c>
      <c r="H653" s="405">
        <v>772508961</v>
      </c>
      <c r="I653" s="405">
        <v>393000061</v>
      </c>
      <c r="J653" s="405">
        <v>1.0086280000000001</v>
      </c>
      <c r="K653" s="405">
        <v>34.145156999999998</v>
      </c>
      <c r="L653" s="405" t="s">
        <v>590</v>
      </c>
      <c r="M653" s="405" t="s">
        <v>19614</v>
      </c>
      <c r="N653" s="405" t="s">
        <v>20230</v>
      </c>
      <c r="O653" s="405" t="s">
        <v>20063</v>
      </c>
      <c r="P653" s="405" t="s">
        <v>25796</v>
      </c>
      <c r="Q653" s="411">
        <v>20</v>
      </c>
      <c r="R653" s="405" t="s">
        <v>5665</v>
      </c>
      <c r="S653" s="405" t="s">
        <v>27051</v>
      </c>
      <c r="T653" s="405" t="s">
        <v>32102</v>
      </c>
      <c r="U653" s="405" t="s">
        <v>319</v>
      </c>
    </row>
    <row r="654" spans="1:21" x14ac:dyDescent="0.25">
      <c r="A654" s="405" t="s">
        <v>310</v>
      </c>
      <c r="B654" s="405" t="s">
        <v>26438</v>
      </c>
      <c r="C654" s="405" t="s">
        <v>327</v>
      </c>
      <c r="D654" s="405"/>
      <c r="E654" s="410">
        <v>44352</v>
      </c>
      <c r="F654" s="410">
        <v>44372</v>
      </c>
      <c r="G654" s="405" t="s">
        <v>26439</v>
      </c>
      <c r="H654" s="405" t="s">
        <v>26440</v>
      </c>
      <c r="I654" s="405" t="s">
        <v>2913</v>
      </c>
      <c r="J654" s="405">
        <v>-4.3000000000000002E-5</v>
      </c>
      <c r="K654" s="405">
        <v>30.961016000000001</v>
      </c>
      <c r="L654" s="405" t="s">
        <v>590</v>
      </c>
      <c r="M654" s="405" t="s">
        <v>2250</v>
      </c>
      <c r="N654" s="405" t="s">
        <v>2250</v>
      </c>
      <c r="O654" s="405" t="s">
        <v>24215</v>
      </c>
      <c r="P654" s="405" t="s">
        <v>24216</v>
      </c>
      <c r="Q654" s="411">
        <v>9</v>
      </c>
      <c r="R654" s="405" t="s">
        <v>874</v>
      </c>
      <c r="S654" s="405" t="s">
        <v>27405</v>
      </c>
      <c r="T654" s="405" t="s">
        <v>32102</v>
      </c>
      <c r="U654" s="405" t="s">
        <v>319</v>
      </c>
    </row>
    <row r="655" spans="1:21" x14ac:dyDescent="0.25">
      <c r="A655" s="405" t="s">
        <v>310</v>
      </c>
      <c r="B655" s="405" t="s">
        <v>8895</v>
      </c>
      <c r="C655" s="405" t="s">
        <v>327</v>
      </c>
      <c r="D655" s="405"/>
      <c r="E655" s="410">
        <v>44350</v>
      </c>
      <c r="F655" s="410">
        <v>44412</v>
      </c>
      <c r="G655" s="405" t="s">
        <v>8896</v>
      </c>
      <c r="H655" s="405">
        <v>775055096</v>
      </c>
      <c r="I655" s="405" t="s">
        <v>2913</v>
      </c>
      <c r="J655" s="405">
        <v>-0.31669199999999997</v>
      </c>
      <c r="K655" s="405">
        <v>32.229505000000003</v>
      </c>
      <c r="L655" s="405" t="s">
        <v>314</v>
      </c>
      <c r="M655" s="405" t="s">
        <v>694</v>
      </c>
      <c r="N655" s="405" t="s">
        <v>7523</v>
      </c>
      <c r="O655" s="405" t="s">
        <v>3730</v>
      </c>
      <c r="P655" s="405" t="s">
        <v>8897</v>
      </c>
      <c r="Q655" s="411">
        <v>12</v>
      </c>
      <c r="R655" s="405" t="s">
        <v>4176</v>
      </c>
      <c r="S655" s="405" t="s">
        <v>27286</v>
      </c>
      <c r="T655" s="405" t="s">
        <v>32102</v>
      </c>
      <c r="U655" s="405" t="s">
        <v>319</v>
      </c>
    </row>
    <row r="656" spans="1:21" x14ac:dyDescent="0.25">
      <c r="A656" s="405" t="s">
        <v>310</v>
      </c>
      <c r="B656" s="405" t="s">
        <v>27650</v>
      </c>
      <c r="C656" s="405" t="s">
        <v>327</v>
      </c>
      <c r="D656" s="405"/>
      <c r="E656" s="410">
        <v>43863</v>
      </c>
      <c r="F656" s="410">
        <v>43893</v>
      </c>
      <c r="G656" s="405" t="s">
        <v>8141</v>
      </c>
      <c r="H656" s="405">
        <v>755754660</v>
      </c>
      <c r="I656" s="405"/>
      <c r="J656" s="405">
        <v>32.415999999999997</v>
      </c>
      <c r="K656" s="405">
        <v>0.16120000000000001</v>
      </c>
      <c r="L656" s="405" t="s">
        <v>314</v>
      </c>
      <c r="M656" s="405" t="s">
        <v>329</v>
      </c>
      <c r="N656" s="405" t="s">
        <v>909</v>
      </c>
      <c r="O656" s="405" t="s">
        <v>2188</v>
      </c>
      <c r="P656" s="405" t="s">
        <v>8142</v>
      </c>
      <c r="Q656" s="411">
        <v>30</v>
      </c>
      <c r="R656" s="405" t="s">
        <v>5903</v>
      </c>
      <c r="S656" s="405" t="s">
        <v>27243</v>
      </c>
      <c r="T656" s="405" t="s">
        <v>32102</v>
      </c>
      <c r="U656" s="405" t="s">
        <v>319</v>
      </c>
    </row>
    <row r="657" spans="1:21" x14ac:dyDescent="0.25">
      <c r="A657" s="405" t="s">
        <v>310</v>
      </c>
      <c r="B657" s="405" t="s">
        <v>26432</v>
      </c>
      <c r="C657" s="405" t="s">
        <v>327</v>
      </c>
      <c r="D657" s="405"/>
      <c r="E657" s="410">
        <v>44348</v>
      </c>
      <c r="F657" s="410">
        <v>44361</v>
      </c>
      <c r="G657" s="405" t="s">
        <v>26433</v>
      </c>
      <c r="H657" s="405" t="s">
        <v>26434</v>
      </c>
      <c r="I657" s="405" t="s">
        <v>2913</v>
      </c>
      <c r="J657" s="405">
        <v>-0.54274699999999998</v>
      </c>
      <c r="K657" s="405">
        <v>30.768725</v>
      </c>
      <c r="L657" s="405" t="s">
        <v>590</v>
      </c>
      <c r="M657" s="405" t="s">
        <v>19614</v>
      </c>
      <c r="N657" s="405" t="s">
        <v>19614</v>
      </c>
      <c r="O657" s="405" t="s">
        <v>20253</v>
      </c>
      <c r="P657" s="405" t="s">
        <v>25340</v>
      </c>
      <c r="Q657" s="411">
        <v>13</v>
      </c>
      <c r="R657" s="405" t="s">
        <v>883</v>
      </c>
      <c r="S657" s="405" t="s">
        <v>27104</v>
      </c>
      <c r="T657" s="405" t="s">
        <v>32102</v>
      </c>
      <c r="U657" s="405" t="s">
        <v>319</v>
      </c>
    </row>
    <row r="658" spans="1:21" x14ac:dyDescent="0.25">
      <c r="A658" s="405" t="s">
        <v>310</v>
      </c>
      <c r="B658" s="405" t="s">
        <v>8222</v>
      </c>
      <c r="C658" s="405" t="s">
        <v>327</v>
      </c>
      <c r="D658" s="405"/>
      <c r="E658" s="410">
        <v>43955</v>
      </c>
      <c r="F658" s="410">
        <v>44016</v>
      </c>
      <c r="G658" s="405" t="s">
        <v>8223</v>
      </c>
      <c r="H658" s="405">
        <v>773295078</v>
      </c>
      <c r="I658" s="405" t="s">
        <v>2913</v>
      </c>
      <c r="J658" s="405">
        <v>0.41596499999999997</v>
      </c>
      <c r="K658" s="405">
        <v>32.649135000000001</v>
      </c>
      <c r="L658" s="405" t="s">
        <v>314</v>
      </c>
      <c r="M658" s="405" t="s">
        <v>361</v>
      </c>
      <c r="N658" s="405" t="s">
        <v>374</v>
      </c>
      <c r="O658" s="405" t="s">
        <v>363</v>
      </c>
      <c r="P658" s="405" t="s">
        <v>363</v>
      </c>
      <c r="Q658" s="411">
        <v>35</v>
      </c>
      <c r="R658" s="405" t="s">
        <v>32101</v>
      </c>
      <c r="S658" s="405" t="s">
        <v>27034</v>
      </c>
      <c r="T658" s="405" t="s">
        <v>865</v>
      </c>
      <c r="U658" s="405" t="s">
        <v>866</v>
      </c>
    </row>
    <row r="659" spans="1:21" x14ac:dyDescent="0.25">
      <c r="A659" s="405" t="s">
        <v>310</v>
      </c>
      <c r="B659" s="405" t="s">
        <v>17595</v>
      </c>
      <c r="C659" s="405" t="s">
        <v>327</v>
      </c>
      <c r="D659" s="405"/>
      <c r="E659" s="410">
        <v>44346</v>
      </c>
      <c r="F659" s="410">
        <v>44370</v>
      </c>
      <c r="G659" s="405" t="s">
        <v>17596</v>
      </c>
      <c r="H659" s="405">
        <v>772642431</v>
      </c>
      <c r="I659" s="405" t="s">
        <v>2913</v>
      </c>
      <c r="J659" s="405">
        <v>1.0921879999999999</v>
      </c>
      <c r="K659" s="405">
        <v>34.173605000000002</v>
      </c>
      <c r="L659" s="405" t="s">
        <v>6866</v>
      </c>
      <c r="M659" s="405" t="s">
        <v>9514</v>
      </c>
      <c r="N659" s="405" t="s">
        <v>17597</v>
      </c>
      <c r="O659" s="405" t="s">
        <v>17598</v>
      </c>
      <c r="P659" s="405" t="s">
        <v>13514</v>
      </c>
      <c r="Q659" s="411">
        <v>9</v>
      </c>
      <c r="R659" s="405" t="s">
        <v>6871</v>
      </c>
      <c r="S659" s="405" t="s">
        <v>17062</v>
      </c>
      <c r="T659" s="405" t="s">
        <v>865</v>
      </c>
      <c r="U659" s="405" t="s">
        <v>866</v>
      </c>
    </row>
    <row r="660" spans="1:21" x14ac:dyDescent="0.25">
      <c r="A660" s="405" t="s">
        <v>310</v>
      </c>
      <c r="B660" s="405" t="s">
        <v>8820</v>
      </c>
      <c r="C660" s="405" t="s">
        <v>327</v>
      </c>
      <c r="D660" s="405"/>
      <c r="E660" s="410">
        <v>44343</v>
      </c>
      <c r="F660" s="410">
        <v>44353</v>
      </c>
      <c r="G660" s="405" t="s">
        <v>8821</v>
      </c>
      <c r="H660" s="405">
        <v>771400383</v>
      </c>
      <c r="I660" s="405" t="s">
        <v>2913</v>
      </c>
      <c r="J660" s="405">
        <v>0.28710200000000002</v>
      </c>
      <c r="K660" s="405">
        <v>32.506627999999999</v>
      </c>
      <c r="L660" s="405" t="s">
        <v>314</v>
      </c>
      <c r="M660" s="405" t="s">
        <v>361</v>
      </c>
      <c r="N660" s="405" t="s">
        <v>374</v>
      </c>
      <c r="O660" s="405" t="s">
        <v>375</v>
      </c>
      <c r="P660" s="405" t="s">
        <v>1276</v>
      </c>
      <c r="Q660" s="411">
        <v>6</v>
      </c>
      <c r="R660" s="405" t="s">
        <v>32101</v>
      </c>
      <c r="S660" s="405" t="s">
        <v>27193</v>
      </c>
      <c r="T660" s="405" t="s">
        <v>865</v>
      </c>
      <c r="U660" s="405" t="s">
        <v>866</v>
      </c>
    </row>
    <row r="661" spans="1:21" x14ac:dyDescent="0.25">
      <c r="A661" s="405" t="s">
        <v>310</v>
      </c>
      <c r="B661" s="405" t="s">
        <v>26429</v>
      </c>
      <c r="C661" s="405" t="s">
        <v>327</v>
      </c>
      <c r="D661" s="405"/>
      <c r="E661" s="410">
        <v>44342</v>
      </c>
      <c r="F661" s="410">
        <v>44362</v>
      </c>
      <c r="G661" s="405" t="s">
        <v>26430</v>
      </c>
      <c r="H661" s="405">
        <v>700446502</v>
      </c>
      <c r="I661" s="405" t="s">
        <v>2913</v>
      </c>
      <c r="J661" s="405">
        <v>-0.209675</v>
      </c>
      <c r="K661" s="405">
        <v>30.872792</v>
      </c>
      <c r="L661" s="405" t="s">
        <v>590</v>
      </c>
      <c r="M661" s="405" t="s">
        <v>19705</v>
      </c>
      <c r="N661" s="405" t="s">
        <v>19706</v>
      </c>
      <c r="O661" s="405" t="s">
        <v>19707</v>
      </c>
      <c r="P661" s="405" t="s">
        <v>26431</v>
      </c>
      <c r="Q661" s="411">
        <v>13</v>
      </c>
      <c r="R661" s="405" t="s">
        <v>32166</v>
      </c>
      <c r="S661" s="405" t="s">
        <v>27132</v>
      </c>
      <c r="T661" s="405" t="s">
        <v>32102</v>
      </c>
      <c r="U661" s="405" t="s">
        <v>319</v>
      </c>
    </row>
    <row r="662" spans="1:21" x14ac:dyDescent="0.25">
      <c r="A662" s="405" t="s">
        <v>310</v>
      </c>
      <c r="B662" s="405" t="s">
        <v>17584</v>
      </c>
      <c r="C662" s="405" t="s">
        <v>327</v>
      </c>
      <c r="D662" s="405"/>
      <c r="E662" s="410">
        <v>44342</v>
      </c>
      <c r="F662" s="410">
        <v>44356</v>
      </c>
      <c r="G662" s="405" t="s">
        <v>17585</v>
      </c>
      <c r="H662" s="405" t="s">
        <v>17586</v>
      </c>
      <c r="I662" s="405" t="s">
        <v>2913</v>
      </c>
      <c r="J662" s="405">
        <v>1.6044050000000001</v>
      </c>
      <c r="K662" s="405">
        <v>33.422902000000001</v>
      </c>
      <c r="L662" s="405" t="s">
        <v>6866</v>
      </c>
      <c r="M662" s="405" t="s">
        <v>9658</v>
      </c>
      <c r="N662" s="405" t="s">
        <v>9658</v>
      </c>
      <c r="O662" s="405" t="s">
        <v>14307</v>
      </c>
      <c r="P662" s="405" t="s">
        <v>13069</v>
      </c>
      <c r="Q662" s="411">
        <v>4</v>
      </c>
      <c r="R662" s="405" t="s">
        <v>5655</v>
      </c>
      <c r="S662" s="405" t="s">
        <v>27289</v>
      </c>
      <c r="T662" s="405" t="s">
        <v>32102</v>
      </c>
      <c r="U662" s="405" t="s">
        <v>319</v>
      </c>
    </row>
    <row r="663" spans="1:21" x14ac:dyDescent="0.25">
      <c r="A663" s="405" t="s">
        <v>310</v>
      </c>
      <c r="B663" s="405" t="s">
        <v>26412</v>
      </c>
      <c r="C663" s="405" t="s">
        <v>327</v>
      </c>
      <c r="D663" s="405"/>
      <c r="E663" s="410">
        <v>44341</v>
      </c>
      <c r="F663" s="410">
        <v>44347</v>
      </c>
      <c r="G663" s="405" t="s">
        <v>26413</v>
      </c>
      <c r="H663" s="405" t="s">
        <v>26414</v>
      </c>
      <c r="I663" s="405" t="s">
        <v>2913</v>
      </c>
      <c r="J663" s="405">
        <v>-0.30858200000000002</v>
      </c>
      <c r="K663" s="405">
        <v>30.714758</v>
      </c>
      <c r="L663" s="405" t="s">
        <v>590</v>
      </c>
      <c r="M663" s="405" t="s">
        <v>19705</v>
      </c>
      <c r="N663" s="405" t="s">
        <v>23750</v>
      </c>
      <c r="O663" s="405" t="s">
        <v>21675</v>
      </c>
      <c r="P663" s="405" t="s">
        <v>26415</v>
      </c>
      <c r="Q663" s="411">
        <v>9</v>
      </c>
      <c r="R663" s="405" t="s">
        <v>874</v>
      </c>
      <c r="S663" s="405" t="s">
        <v>27405</v>
      </c>
      <c r="T663" s="405" t="s">
        <v>865</v>
      </c>
      <c r="U663" s="405" t="s">
        <v>866</v>
      </c>
    </row>
    <row r="664" spans="1:21" x14ac:dyDescent="0.25">
      <c r="A664" s="405" t="s">
        <v>310</v>
      </c>
      <c r="B664" s="405" t="s">
        <v>17591</v>
      </c>
      <c r="C664" s="405" t="s">
        <v>327</v>
      </c>
      <c r="D664" s="405"/>
      <c r="E664" s="410">
        <v>44340</v>
      </c>
      <c r="F664" s="410">
        <v>44370</v>
      </c>
      <c r="G664" s="405" t="s">
        <v>17592</v>
      </c>
      <c r="H664" s="405">
        <v>772556172</v>
      </c>
      <c r="I664" s="405">
        <v>706378490</v>
      </c>
      <c r="J664" s="405">
        <v>0.79588800000000004</v>
      </c>
      <c r="K664" s="405">
        <v>33.500186999999997</v>
      </c>
      <c r="L664" s="405" t="s">
        <v>6866</v>
      </c>
      <c r="M664" s="405" t="s">
        <v>10853</v>
      </c>
      <c r="N664" s="405" t="s">
        <v>4802</v>
      </c>
      <c r="O664" s="405" t="s">
        <v>17593</v>
      </c>
      <c r="P664" s="405" t="s">
        <v>17594</v>
      </c>
      <c r="Q664" s="411">
        <v>6</v>
      </c>
      <c r="R664" s="405" t="s">
        <v>6871</v>
      </c>
      <c r="S664" s="405" t="s">
        <v>27371</v>
      </c>
      <c r="T664" s="405" t="s">
        <v>32102</v>
      </c>
      <c r="U664" s="405" t="s">
        <v>319</v>
      </c>
    </row>
    <row r="665" spans="1:21" x14ac:dyDescent="0.25">
      <c r="A665" s="405" t="s">
        <v>310</v>
      </c>
      <c r="B665" s="405" t="s">
        <v>17534</v>
      </c>
      <c r="C665" s="405" t="s">
        <v>327</v>
      </c>
      <c r="D665" s="405"/>
      <c r="E665" s="410">
        <v>44340</v>
      </c>
      <c r="F665" s="410">
        <v>44347</v>
      </c>
      <c r="G665" s="405" t="s">
        <v>17535</v>
      </c>
      <c r="H665" s="405" t="s">
        <v>17536</v>
      </c>
      <c r="I665" s="405" t="s">
        <v>17537</v>
      </c>
      <c r="J665" s="405">
        <v>0.61189800000000005</v>
      </c>
      <c r="K665" s="405">
        <v>33.627457999999997</v>
      </c>
      <c r="L665" s="405" t="s">
        <v>6866</v>
      </c>
      <c r="M665" s="405" t="s">
        <v>13470</v>
      </c>
      <c r="N665" s="405" t="s">
        <v>17538</v>
      </c>
      <c r="O665" s="405" t="s">
        <v>17539</v>
      </c>
      <c r="P665" s="405" t="s">
        <v>17539</v>
      </c>
      <c r="Q665" s="411">
        <v>6</v>
      </c>
      <c r="R665" s="405" t="s">
        <v>7224</v>
      </c>
      <c r="S665" s="405" t="s">
        <v>27067</v>
      </c>
      <c r="T665" s="405" t="s">
        <v>32102</v>
      </c>
      <c r="U665" s="405" t="s">
        <v>319</v>
      </c>
    </row>
    <row r="666" spans="1:21" x14ac:dyDescent="0.25">
      <c r="A666" s="405" t="s">
        <v>310</v>
      </c>
      <c r="B666" s="405" t="s">
        <v>27472</v>
      </c>
      <c r="C666" s="405" t="s">
        <v>327</v>
      </c>
      <c r="D666" s="405"/>
      <c r="E666" s="410">
        <v>44339</v>
      </c>
      <c r="F666" s="410">
        <v>44358</v>
      </c>
      <c r="G666" s="405" t="s">
        <v>17603</v>
      </c>
      <c r="H666" s="405">
        <v>787386674</v>
      </c>
      <c r="I666" s="405">
        <v>759058820</v>
      </c>
      <c r="J666" s="405">
        <v>1.671297</v>
      </c>
      <c r="K666" s="405">
        <v>33.569968000000003</v>
      </c>
      <c r="L666" s="405" t="s">
        <v>6866</v>
      </c>
      <c r="M666" s="405" t="s">
        <v>10515</v>
      </c>
      <c r="N666" s="405" t="s">
        <v>10515</v>
      </c>
      <c r="O666" s="405" t="s">
        <v>17604</v>
      </c>
      <c r="P666" s="405" t="s">
        <v>17605</v>
      </c>
      <c r="Q666" s="411">
        <v>9</v>
      </c>
      <c r="R666" s="405" t="s">
        <v>5903</v>
      </c>
      <c r="S666" s="405" t="s">
        <v>27357</v>
      </c>
      <c r="T666" s="405" t="s">
        <v>32102</v>
      </c>
      <c r="U666" s="405" t="s">
        <v>319</v>
      </c>
    </row>
    <row r="667" spans="1:21" x14ac:dyDescent="0.25">
      <c r="A667" s="405" t="s">
        <v>310</v>
      </c>
      <c r="B667" s="405" t="s">
        <v>26400</v>
      </c>
      <c r="C667" s="405" t="s">
        <v>327</v>
      </c>
      <c r="D667" s="405"/>
      <c r="E667" s="410">
        <v>44338</v>
      </c>
      <c r="F667" s="410">
        <v>44344</v>
      </c>
      <c r="G667" s="405" t="s">
        <v>26401</v>
      </c>
      <c r="H667" s="405" t="s">
        <v>26402</v>
      </c>
      <c r="I667" s="405" t="s">
        <v>2913</v>
      </c>
      <c r="J667" s="405">
        <v>-0.60641999999999996</v>
      </c>
      <c r="K667" s="405">
        <v>30.684863</v>
      </c>
      <c r="L667" s="405" t="s">
        <v>590</v>
      </c>
      <c r="M667" s="405" t="s">
        <v>19614</v>
      </c>
      <c r="N667" s="405" t="s">
        <v>19614</v>
      </c>
      <c r="O667" s="405" t="s">
        <v>26403</v>
      </c>
      <c r="P667" s="405" t="s">
        <v>26404</v>
      </c>
      <c r="Q667" s="411">
        <v>9</v>
      </c>
      <c r="R667" s="405" t="s">
        <v>883</v>
      </c>
      <c r="S667" s="405" t="s">
        <v>27104</v>
      </c>
      <c r="T667" s="405" t="s">
        <v>32102</v>
      </c>
      <c r="U667" s="405" t="s">
        <v>319</v>
      </c>
    </row>
    <row r="668" spans="1:21" x14ac:dyDescent="0.25">
      <c r="A668" s="405" t="s">
        <v>310</v>
      </c>
      <c r="B668" s="405" t="s">
        <v>17580</v>
      </c>
      <c r="C668" s="405" t="s">
        <v>327</v>
      </c>
      <c r="D668" s="405"/>
      <c r="E668" s="410">
        <v>44337</v>
      </c>
      <c r="F668" s="410">
        <v>44345</v>
      </c>
      <c r="G668" s="405" t="s">
        <v>17581</v>
      </c>
      <c r="H668" s="405" t="s">
        <v>17582</v>
      </c>
      <c r="I668" s="405" t="s">
        <v>2913</v>
      </c>
      <c r="J668" s="405">
        <v>1.338857</v>
      </c>
      <c r="K668" s="405">
        <v>34.668112999999998</v>
      </c>
      <c r="L668" s="405" t="s">
        <v>6866</v>
      </c>
      <c r="M668" s="405" t="s">
        <v>10163</v>
      </c>
      <c r="N668" s="405" t="s">
        <v>17583</v>
      </c>
      <c r="O668" s="405" t="s">
        <v>12081</v>
      </c>
      <c r="P668" s="405" t="s">
        <v>16703</v>
      </c>
      <c r="Q668" s="411">
        <v>4</v>
      </c>
      <c r="R668" s="405" t="s">
        <v>17977</v>
      </c>
      <c r="S668" s="405" t="s">
        <v>27289</v>
      </c>
      <c r="T668" s="405" t="s">
        <v>32102</v>
      </c>
      <c r="U668" s="405" t="s">
        <v>319</v>
      </c>
    </row>
    <row r="669" spans="1:21" x14ac:dyDescent="0.25">
      <c r="A669" s="405" t="s">
        <v>310</v>
      </c>
      <c r="B669" s="405" t="s">
        <v>8931</v>
      </c>
      <c r="C669" s="405" t="s">
        <v>327</v>
      </c>
      <c r="D669" s="405"/>
      <c r="E669" s="410">
        <v>44336</v>
      </c>
      <c r="F669" s="410">
        <v>44433</v>
      </c>
      <c r="G669" s="405" t="s">
        <v>8932</v>
      </c>
      <c r="H669" s="405" t="s">
        <v>8933</v>
      </c>
      <c r="I669" s="405" t="s">
        <v>8934</v>
      </c>
      <c r="J669" s="405">
        <v>0.423043</v>
      </c>
      <c r="K669" s="405">
        <v>32.586015000000003</v>
      </c>
      <c r="L669" s="405" t="s">
        <v>314</v>
      </c>
      <c r="M669" s="405" t="s">
        <v>361</v>
      </c>
      <c r="N669" s="405" t="s">
        <v>7361</v>
      </c>
      <c r="O669" s="405" t="s">
        <v>6807</v>
      </c>
      <c r="P669" s="405" t="s">
        <v>1337</v>
      </c>
      <c r="Q669" s="411">
        <v>13</v>
      </c>
      <c r="R669" s="405" t="s">
        <v>32157</v>
      </c>
      <c r="S669" s="405" t="s">
        <v>27036</v>
      </c>
      <c r="T669" s="405" t="s">
        <v>32102</v>
      </c>
      <c r="U669" s="405" t="s">
        <v>319</v>
      </c>
    </row>
    <row r="670" spans="1:21" x14ac:dyDescent="0.25">
      <c r="A670" s="405" t="s">
        <v>310</v>
      </c>
      <c r="B670" s="405" t="s">
        <v>8762</v>
      </c>
      <c r="C670" s="405" t="s">
        <v>327</v>
      </c>
      <c r="D670" s="405"/>
      <c r="E670" s="410">
        <v>44336</v>
      </c>
      <c r="F670" s="410">
        <v>44342</v>
      </c>
      <c r="G670" s="405" t="s">
        <v>8763</v>
      </c>
      <c r="H670" s="405" t="s">
        <v>8764</v>
      </c>
      <c r="I670" s="405" t="s">
        <v>2913</v>
      </c>
      <c r="J670" s="405">
        <v>0.287462</v>
      </c>
      <c r="K670" s="405">
        <v>32.506692999999999</v>
      </c>
      <c r="L670" s="405" t="s">
        <v>314</v>
      </c>
      <c r="M670" s="405" t="s">
        <v>361</v>
      </c>
      <c r="N670" s="405" t="s">
        <v>375</v>
      </c>
      <c r="O670" s="405" t="s">
        <v>375</v>
      </c>
      <c r="P670" s="405" t="s">
        <v>1276</v>
      </c>
      <c r="Q670" s="411">
        <v>6</v>
      </c>
      <c r="R670" s="405" t="s">
        <v>32101</v>
      </c>
      <c r="S670" s="405" t="s">
        <v>27193</v>
      </c>
      <c r="T670" s="405" t="s">
        <v>32102</v>
      </c>
      <c r="U670" s="405" t="s">
        <v>319</v>
      </c>
    </row>
    <row r="671" spans="1:21" x14ac:dyDescent="0.25">
      <c r="A671" s="405" t="s">
        <v>310</v>
      </c>
      <c r="B671" s="405" t="s">
        <v>26416</v>
      </c>
      <c r="C671" s="405" t="s">
        <v>327</v>
      </c>
      <c r="D671" s="405"/>
      <c r="E671" s="410">
        <v>44336</v>
      </c>
      <c r="F671" s="410">
        <v>44342</v>
      </c>
      <c r="G671" s="405" t="s">
        <v>26417</v>
      </c>
      <c r="H671" s="405" t="s">
        <v>26418</v>
      </c>
      <c r="I671" s="405" t="s">
        <v>2913</v>
      </c>
      <c r="J671" s="405">
        <v>-1.281927</v>
      </c>
      <c r="K671" s="405">
        <v>29.697842999999999</v>
      </c>
      <c r="L671" s="405" t="s">
        <v>590</v>
      </c>
      <c r="M671" s="405" t="s">
        <v>20070</v>
      </c>
      <c r="N671" s="405" t="s">
        <v>26419</v>
      </c>
      <c r="O671" s="405" t="s">
        <v>7426</v>
      </c>
      <c r="P671" s="405" t="s">
        <v>26420</v>
      </c>
      <c r="Q671" s="411">
        <v>6</v>
      </c>
      <c r="R671" s="405" t="s">
        <v>24106</v>
      </c>
      <c r="S671" s="405" t="s">
        <v>27438</v>
      </c>
      <c r="T671" s="405" t="s">
        <v>32102</v>
      </c>
      <c r="U671" s="405" t="s">
        <v>319</v>
      </c>
    </row>
    <row r="672" spans="1:21" x14ac:dyDescent="0.25">
      <c r="A672" s="405" t="s">
        <v>310</v>
      </c>
      <c r="B672" s="405" t="s">
        <v>8798</v>
      </c>
      <c r="C672" s="405" t="s">
        <v>327</v>
      </c>
      <c r="D672" s="405"/>
      <c r="E672" s="410">
        <v>44335</v>
      </c>
      <c r="F672" s="410">
        <v>44364</v>
      </c>
      <c r="G672" s="405" t="s">
        <v>8799</v>
      </c>
      <c r="H672" s="405" t="s">
        <v>8800</v>
      </c>
      <c r="I672" s="405" t="s">
        <v>8801</v>
      </c>
      <c r="J672" s="405">
        <v>0.25833499999999998</v>
      </c>
      <c r="K672" s="405">
        <v>32.389927</v>
      </c>
      <c r="L672" s="405" t="s">
        <v>314</v>
      </c>
      <c r="M672" s="405" t="s">
        <v>321</v>
      </c>
      <c r="N672" s="405" t="s">
        <v>1244</v>
      </c>
      <c r="O672" s="405" t="s">
        <v>519</v>
      </c>
      <c r="P672" s="405" t="s">
        <v>7539</v>
      </c>
      <c r="Q672" s="411">
        <v>13</v>
      </c>
      <c r="R672" s="405" t="s">
        <v>32101</v>
      </c>
      <c r="S672" s="405" t="s">
        <v>5986</v>
      </c>
      <c r="T672" s="405" t="s">
        <v>32102</v>
      </c>
      <c r="U672" s="405" t="s">
        <v>319</v>
      </c>
    </row>
    <row r="673" spans="1:21" x14ac:dyDescent="0.25">
      <c r="A673" s="405" t="s">
        <v>310</v>
      </c>
      <c r="B673" s="405" t="s">
        <v>8985</v>
      </c>
      <c r="C673" s="405" t="s">
        <v>327</v>
      </c>
      <c r="D673" s="405"/>
      <c r="E673" s="410">
        <v>44334</v>
      </c>
      <c r="F673" s="410">
        <v>44423</v>
      </c>
      <c r="G673" s="405" t="s">
        <v>8986</v>
      </c>
      <c r="H673" s="405" t="s">
        <v>8987</v>
      </c>
      <c r="I673" s="405" t="s">
        <v>8988</v>
      </c>
      <c r="J673" s="405">
        <v>0.37480200000000002</v>
      </c>
      <c r="K673" s="405">
        <v>32.873136000000002</v>
      </c>
      <c r="L673" s="405" t="s">
        <v>314</v>
      </c>
      <c r="M673" s="405" t="s">
        <v>329</v>
      </c>
      <c r="N673" s="405" t="s">
        <v>329</v>
      </c>
      <c r="O673" s="405" t="s">
        <v>529</v>
      </c>
      <c r="P673" s="405" t="s">
        <v>1456</v>
      </c>
      <c r="Q673" s="411">
        <v>6</v>
      </c>
      <c r="R673" s="405" t="s">
        <v>4176</v>
      </c>
      <c r="S673" s="405" t="s">
        <v>27286</v>
      </c>
      <c r="T673" s="405" t="s">
        <v>32102</v>
      </c>
      <c r="U673" s="405" t="s">
        <v>319</v>
      </c>
    </row>
    <row r="674" spans="1:21" x14ac:dyDescent="0.25">
      <c r="A674" s="405" t="s">
        <v>310</v>
      </c>
      <c r="B674" s="405" t="s">
        <v>26488</v>
      </c>
      <c r="C674" s="405" t="s">
        <v>327</v>
      </c>
      <c r="D674" s="405"/>
      <c r="E674" s="410">
        <v>44332</v>
      </c>
      <c r="F674" s="410">
        <v>44378</v>
      </c>
      <c r="G674" s="405" t="s">
        <v>26489</v>
      </c>
      <c r="H674" s="405">
        <v>781474438</v>
      </c>
      <c r="I674" s="405">
        <v>752218107</v>
      </c>
      <c r="J674" s="405">
        <v>0.59486799999999995</v>
      </c>
      <c r="K674" s="405">
        <v>30.220632999999999</v>
      </c>
      <c r="L674" s="405" t="s">
        <v>590</v>
      </c>
      <c r="M674" s="405" t="s">
        <v>20125</v>
      </c>
      <c r="N674" s="405" t="s">
        <v>26490</v>
      </c>
      <c r="O674" s="405" t="s">
        <v>26490</v>
      </c>
      <c r="P674" s="405" t="s">
        <v>26491</v>
      </c>
      <c r="Q674" s="411">
        <v>12</v>
      </c>
      <c r="R674" s="405" t="s">
        <v>32101</v>
      </c>
      <c r="S674" s="405" t="s">
        <v>27055</v>
      </c>
      <c r="T674" s="405" t="s">
        <v>32102</v>
      </c>
      <c r="U674" s="405" t="s">
        <v>319</v>
      </c>
    </row>
    <row r="675" spans="1:21" x14ac:dyDescent="0.25">
      <c r="A675" s="405" t="s">
        <v>310</v>
      </c>
      <c r="B675" s="405" t="s">
        <v>26425</v>
      </c>
      <c r="C675" s="405" t="s">
        <v>327</v>
      </c>
      <c r="D675" s="405"/>
      <c r="E675" s="410">
        <v>44332</v>
      </c>
      <c r="F675" s="410">
        <v>44351</v>
      </c>
      <c r="G675" s="405" t="s">
        <v>26426</v>
      </c>
      <c r="H675" s="405">
        <v>771947738</v>
      </c>
      <c r="I675" s="405" t="s">
        <v>26427</v>
      </c>
      <c r="J675" s="405">
        <v>-0.66239300000000001</v>
      </c>
      <c r="K675" s="405">
        <v>29.914691999999999</v>
      </c>
      <c r="L675" s="405" t="s">
        <v>590</v>
      </c>
      <c r="M675" s="405" t="s">
        <v>19619</v>
      </c>
      <c r="N675" s="405" t="s">
        <v>19793</v>
      </c>
      <c r="O675" s="405" t="s">
        <v>20033</v>
      </c>
      <c r="P675" s="405" t="s">
        <v>26428</v>
      </c>
      <c r="Q675" s="411">
        <v>9</v>
      </c>
      <c r="R675" s="405" t="s">
        <v>5858</v>
      </c>
      <c r="S675" s="405" t="s">
        <v>27451</v>
      </c>
      <c r="T675" s="405" t="s">
        <v>32102</v>
      </c>
      <c r="U675" s="405" t="s">
        <v>319</v>
      </c>
    </row>
    <row r="676" spans="1:21" x14ac:dyDescent="0.25">
      <c r="A676" s="405" t="s">
        <v>310</v>
      </c>
      <c r="B676" s="405" t="s">
        <v>8771</v>
      </c>
      <c r="C676" s="405" t="s">
        <v>327</v>
      </c>
      <c r="D676" s="405"/>
      <c r="E676" s="410">
        <v>44332</v>
      </c>
      <c r="F676" s="410">
        <v>44342</v>
      </c>
      <c r="G676" s="405" t="s">
        <v>8772</v>
      </c>
      <c r="H676" s="405" t="s">
        <v>8773</v>
      </c>
      <c r="I676" s="405" t="s">
        <v>2913</v>
      </c>
      <c r="J676" s="405">
        <v>0.12026299999999999</v>
      </c>
      <c r="K676" s="405">
        <v>32.228752999999998</v>
      </c>
      <c r="L676" s="405" t="s">
        <v>314</v>
      </c>
      <c r="M676" s="405" t="s">
        <v>321</v>
      </c>
      <c r="N676" s="405" t="s">
        <v>1244</v>
      </c>
      <c r="O676" s="405" t="s">
        <v>5626</v>
      </c>
      <c r="P676" s="405" t="s">
        <v>8774</v>
      </c>
      <c r="Q676" s="411">
        <v>9</v>
      </c>
      <c r="R676" s="405" t="s">
        <v>32101</v>
      </c>
      <c r="S676" s="405" t="s">
        <v>27065</v>
      </c>
      <c r="T676" s="405" t="s">
        <v>32102</v>
      </c>
      <c r="U676" s="405" t="s">
        <v>319</v>
      </c>
    </row>
    <row r="677" spans="1:21" x14ac:dyDescent="0.25">
      <c r="A677" s="405" t="s">
        <v>310</v>
      </c>
      <c r="B677" s="405" t="s">
        <v>26549</v>
      </c>
      <c r="C677" s="405" t="s">
        <v>327</v>
      </c>
      <c r="D677" s="405"/>
      <c r="E677" s="410">
        <v>44331</v>
      </c>
      <c r="F677" s="410">
        <v>44464</v>
      </c>
      <c r="G677" s="405" t="s">
        <v>26550</v>
      </c>
      <c r="H677" s="405" t="s">
        <v>26551</v>
      </c>
      <c r="I677" s="405" t="s">
        <v>2913</v>
      </c>
      <c r="J677" s="405">
        <v>-9.6915000000000001E-2</v>
      </c>
      <c r="K677" s="405">
        <v>31.038245</v>
      </c>
      <c r="L677" s="405" t="s">
        <v>590</v>
      </c>
      <c r="M677" s="405" t="s">
        <v>19705</v>
      </c>
      <c r="N677" s="405" t="s">
        <v>19706</v>
      </c>
      <c r="O677" s="405" t="s">
        <v>1215</v>
      </c>
      <c r="P677" s="405" t="s">
        <v>20759</v>
      </c>
      <c r="Q677" s="411">
        <v>9</v>
      </c>
      <c r="R677" s="405" t="s">
        <v>874</v>
      </c>
      <c r="S677" s="405" t="s">
        <v>27405</v>
      </c>
      <c r="T677" s="405" t="s">
        <v>32102</v>
      </c>
      <c r="U677" s="405" t="s">
        <v>319</v>
      </c>
    </row>
    <row r="678" spans="1:21" x14ac:dyDescent="0.25">
      <c r="A678" s="405" t="s">
        <v>310</v>
      </c>
      <c r="B678" s="405" t="s">
        <v>26512</v>
      </c>
      <c r="C678" s="405" t="s">
        <v>327</v>
      </c>
      <c r="D678" s="405"/>
      <c r="E678" s="410">
        <v>44331</v>
      </c>
      <c r="F678" s="410">
        <v>44433</v>
      </c>
      <c r="G678" s="405" t="s">
        <v>26513</v>
      </c>
      <c r="H678" s="405" t="s">
        <v>26514</v>
      </c>
      <c r="I678" s="405" t="s">
        <v>2913</v>
      </c>
      <c r="J678" s="405">
        <v>-0.80783199999999999</v>
      </c>
      <c r="K678" s="405">
        <v>30.306761999999999</v>
      </c>
      <c r="L678" s="405" t="s">
        <v>590</v>
      </c>
      <c r="M678" s="405" t="s">
        <v>19659</v>
      </c>
      <c r="N678" s="405" t="s">
        <v>19664</v>
      </c>
      <c r="O678" s="405" t="s">
        <v>19969</v>
      </c>
      <c r="P678" s="405" t="s">
        <v>26399</v>
      </c>
      <c r="Q678" s="411">
        <v>9</v>
      </c>
      <c r="R678" s="405" t="s">
        <v>32166</v>
      </c>
      <c r="S678" s="405" t="s">
        <v>27102</v>
      </c>
      <c r="T678" s="405" t="s">
        <v>32102</v>
      </c>
      <c r="U678" s="405" t="s">
        <v>319</v>
      </c>
    </row>
    <row r="679" spans="1:21" x14ac:dyDescent="0.25">
      <c r="A679" s="405" t="s">
        <v>310</v>
      </c>
      <c r="B679" s="405" t="s">
        <v>17577</v>
      </c>
      <c r="C679" s="405" t="s">
        <v>327</v>
      </c>
      <c r="D679" s="405"/>
      <c r="E679" s="410">
        <v>44330</v>
      </c>
      <c r="F679" s="410">
        <v>44335</v>
      </c>
      <c r="G679" s="405" t="s">
        <v>17578</v>
      </c>
      <c r="H679" s="405">
        <v>778915486</v>
      </c>
      <c r="I679" s="405" t="s">
        <v>2913</v>
      </c>
      <c r="J679" s="405">
        <v>1.3510720000000001</v>
      </c>
      <c r="K679" s="405">
        <v>34.669708</v>
      </c>
      <c r="L679" s="405" t="s">
        <v>6866</v>
      </c>
      <c r="M679" s="405" t="s">
        <v>10163</v>
      </c>
      <c r="N679" s="405" t="s">
        <v>10163</v>
      </c>
      <c r="O679" s="405" t="s">
        <v>14939</v>
      </c>
      <c r="P679" s="405" t="s">
        <v>17579</v>
      </c>
      <c r="Q679" s="411">
        <v>4</v>
      </c>
      <c r="R679" s="405" t="s">
        <v>17977</v>
      </c>
      <c r="S679" s="405" t="s">
        <v>27289</v>
      </c>
      <c r="T679" s="405" t="s">
        <v>32102</v>
      </c>
      <c r="U679" s="405" t="s">
        <v>319</v>
      </c>
    </row>
    <row r="680" spans="1:21" x14ac:dyDescent="0.25">
      <c r="A680" s="405" t="s">
        <v>310</v>
      </c>
      <c r="B680" s="405" t="s">
        <v>17606</v>
      </c>
      <c r="C680" s="405" t="s">
        <v>327</v>
      </c>
      <c r="D680" s="405"/>
      <c r="E680" s="410">
        <v>44329</v>
      </c>
      <c r="F680" s="410">
        <v>44362</v>
      </c>
      <c r="G680" s="405" t="s">
        <v>17607</v>
      </c>
      <c r="H680" s="405">
        <v>785880423</v>
      </c>
      <c r="I680" s="405">
        <v>752202812</v>
      </c>
      <c r="J680" s="405">
        <v>1.3983669999999999</v>
      </c>
      <c r="K680" s="405">
        <v>34.503672000000002</v>
      </c>
      <c r="L680" s="405" t="s">
        <v>6866</v>
      </c>
      <c r="M680" s="405" t="s">
        <v>9705</v>
      </c>
      <c r="N680" s="405" t="s">
        <v>9705</v>
      </c>
      <c r="O680" s="405" t="s">
        <v>9706</v>
      </c>
      <c r="P680" s="405" t="s">
        <v>10168</v>
      </c>
      <c r="Q680" s="411">
        <v>4</v>
      </c>
      <c r="R680" s="405" t="s">
        <v>17977</v>
      </c>
      <c r="S680" s="405" t="s">
        <v>27318</v>
      </c>
      <c r="T680" s="405" t="s">
        <v>32102</v>
      </c>
      <c r="U680" s="405" t="s">
        <v>319</v>
      </c>
    </row>
    <row r="681" spans="1:21" x14ac:dyDescent="0.25">
      <c r="A681" s="405" t="s">
        <v>310</v>
      </c>
      <c r="B681" s="405" t="s">
        <v>17568</v>
      </c>
      <c r="C681" s="405" t="s">
        <v>327</v>
      </c>
      <c r="D681" s="405"/>
      <c r="E681" s="410">
        <v>44329</v>
      </c>
      <c r="F681" s="410">
        <v>44342</v>
      </c>
      <c r="G681" s="405" t="s">
        <v>17569</v>
      </c>
      <c r="H681" s="405" t="s">
        <v>17570</v>
      </c>
      <c r="I681" s="405" t="s">
        <v>2913</v>
      </c>
      <c r="J681" s="405">
        <v>1.410868</v>
      </c>
      <c r="K681" s="405">
        <v>34.58146</v>
      </c>
      <c r="L681" s="405" t="s">
        <v>6866</v>
      </c>
      <c r="M681" s="405" t="s">
        <v>9705</v>
      </c>
      <c r="N681" s="405" t="s">
        <v>9705</v>
      </c>
      <c r="O681" s="405" t="s">
        <v>10311</v>
      </c>
      <c r="P681" s="405" t="s">
        <v>17571</v>
      </c>
      <c r="Q681" s="411">
        <v>4</v>
      </c>
      <c r="R681" s="405" t="s">
        <v>17977</v>
      </c>
      <c r="S681" s="405" t="s">
        <v>27353</v>
      </c>
      <c r="T681" s="405" t="s">
        <v>32102</v>
      </c>
      <c r="U681" s="405" t="s">
        <v>319</v>
      </c>
    </row>
    <row r="682" spans="1:21" x14ac:dyDescent="0.25">
      <c r="A682" s="405" t="s">
        <v>310</v>
      </c>
      <c r="B682" s="405" t="s">
        <v>17572</v>
      </c>
      <c r="C682" s="405" t="s">
        <v>327</v>
      </c>
      <c r="D682" s="405"/>
      <c r="E682" s="410">
        <v>44329</v>
      </c>
      <c r="F682" s="410">
        <v>44340</v>
      </c>
      <c r="G682" s="405" t="s">
        <v>17573</v>
      </c>
      <c r="H682" s="405" t="s">
        <v>17574</v>
      </c>
      <c r="I682" s="405" t="s">
        <v>17575</v>
      </c>
      <c r="J682" s="405">
        <v>1.3434699999999999</v>
      </c>
      <c r="K682" s="405">
        <v>34.650398000000003</v>
      </c>
      <c r="L682" s="405" t="s">
        <v>6866</v>
      </c>
      <c r="M682" s="405" t="s">
        <v>10163</v>
      </c>
      <c r="N682" s="405" t="s">
        <v>17576</v>
      </c>
      <c r="O682" s="405" t="s">
        <v>12081</v>
      </c>
      <c r="P682" s="405" t="s">
        <v>16348</v>
      </c>
      <c r="Q682" s="411">
        <v>4</v>
      </c>
      <c r="R682" s="405" t="s">
        <v>17977</v>
      </c>
      <c r="S682" s="405" t="s">
        <v>27056</v>
      </c>
      <c r="T682" s="405" t="s">
        <v>32102</v>
      </c>
      <c r="U682" s="405" t="s">
        <v>319</v>
      </c>
    </row>
    <row r="683" spans="1:21" x14ac:dyDescent="0.25">
      <c r="A683" s="405" t="s">
        <v>310</v>
      </c>
      <c r="B683" s="405" t="s">
        <v>8767</v>
      </c>
      <c r="C683" s="405" t="s">
        <v>327</v>
      </c>
      <c r="D683" s="405"/>
      <c r="E683" s="410">
        <v>44328</v>
      </c>
      <c r="F683" s="410">
        <v>44334</v>
      </c>
      <c r="G683" s="405" t="s">
        <v>8768</v>
      </c>
      <c r="H683" s="405" t="s">
        <v>8769</v>
      </c>
      <c r="I683" s="405" t="s">
        <v>2913</v>
      </c>
      <c r="J683" s="405">
        <v>0.41206700000000002</v>
      </c>
      <c r="K683" s="405">
        <v>32.057139999999997</v>
      </c>
      <c r="L683" s="405" t="s">
        <v>314</v>
      </c>
      <c r="M683" s="405" t="s">
        <v>675</v>
      </c>
      <c r="N683" s="405" t="s">
        <v>675</v>
      </c>
      <c r="O683" s="405" t="s">
        <v>1066</v>
      </c>
      <c r="P683" s="405" t="s">
        <v>8770</v>
      </c>
      <c r="Q683" s="411">
        <v>6</v>
      </c>
      <c r="R683" s="405" t="s">
        <v>32101</v>
      </c>
      <c r="S683" s="405" t="s">
        <v>27243</v>
      </c>
      <c r="T683" s="405" t="s">
        <v>32102</v>
      </c>
      <c r="U683" s="405" t="s">
        <v>319</v>
      </c>
    </row>
    <row r="684" spans="1:21" x14ac:dyDescent="0.25">
      <c r="A684" s="405" t="s">
        <v>310</v>
      </c>
      <c r="B684" s="405" t="s">
        <v>8831</v>
      </c>
      <c r="C684" s="405" t="s">
        <v>327</v>
      </c>
      <c r="D684" s="405"/>
      <c r="E684" s="410">
        <v>44327</v>
      </c>
      <c r="F684" s="410">
        <v>44354</v>
      </c>
      <c r="G684" s="405" t="s">
        <v>8832</v>
      </c>
      <c r="H684" s="405" t="s">
        <v>8833</v>
      </c>
      <c r="I684" s="405" t="s">
        <v>8834</v>
      </c>
      <c r="J684" s="405">
        <v>0.31068099999999998</v>
      </c>
      <c r="K684" s="405">
        <v>32.525300000000001</v>
      </c>
      <c r="L684" s="405" t="s">
        <v>314</v>
      </c>
      <c r="M684" s="405" t="s">
        <v>992</v>
      </c>
      <c r="N684" s="405" t="s">
        <v>936</v>
      </c>
      <c r="O684" s="405" t="s">
        <v>8098</v>
      </c>
      <c r="P684" s="405" t="s">
        <v>8835</v>
      </c>
      <c r="Q684" s="411">
        <v>13</v>
      </c>
      <c r="R684" s="405" t="s">
        <v>8073</v>
      </c>
      <c r="S684" s="405" t="s">
        <v>27210</v>
      </c>
      <c r="T684" s="405" t="s">
        <v>32102</v>
      </c>
      <c r="U684" s="405" t="s">
        <v>319</v>
      </c>
    </row>
    <row r="685" spans="1:21" x14ac:dyDescent="0.25">
      <c r="A685" s="405" t="s">
        <v>310</v>
      </c>
      <c r="B685" s="405" t="s">
        <v>9542</v>
      </c>
      <c r="C685" s="405" t="s">
        <v>311</v>
      </c>
      <c r="D685" s="405" t="s">
        <v>2127</v>
      </c>
      <c r="E685" s="410">
        <v>44326</v>
      </c>
      <c r="F685" s="410">
        <v>44341</v>
      </c>
      <c r="G685" s="405" t="s">
        <v>9543</v>
      </c>
      <c r="H685" s="405" t="s">
        <v>9544</v>
      </c>
      <c r="I685" s="405" t="s">
        <v>8124</v>
      </c>
      <c r="J685" s="405">
        <v>0.44876500000000002</v>
      </c>
      <c r="K685" s="405">
        <v>31.995799999999999</v>
      </c>
      <c r="L685" s="405" t="s">
        <v>314</v>
      </c>
      <c r="M685" s="405" t="s">
        <v>675</v>
      </c>
      <c r="N685" s="405" t="s">
        <v>5584</v>
      </c>
      <c r="O685" s="405" t="s">
        <v>1248</v>
      </c>
      <c r="P685" s="405" t="s">
        <v>9545</v>
      </c>
      <c r="Q685" s="411">
        <v>13</v>
      </c>
      <c r="R685" s="405" t="s">
        <v>32101</v>
      </c>
      <c r="S685" s="405" t="s">
        <v>27193</v>
      </c>
      <c r="T685" s="405" t="s">
        <v>32102</v>
      </c>
      <c r="U685" s="405" t="s">
        <v>319</v>
      </c>
    </row>
    <row r="686" spans="1:21" x14ac:dyDescent="0.25">
      <c r="A686" s="405" t="s">
        <v>310</v>
      </c>
      <c r="B686" s="405" t="s">
        <v>25962</v>
      </c>
      <c r="C686" s="405" t="s">
        <v>327</v>
      </c>
      <c r="D686" s="405"/>
      <c r="E686" s="410">
        <v>43939</v>
      </c>
      <c r="F686" s="410">
        <v>44056</v>
      </c>
      <c r="G686" s="405" t="s">
        <v>25963</v>
      </c>
      <c r="H686" s="405">
        <v>778694697</v>
      </c>
      <c r="I686" s="405" t="s">
        <v>2913</v>
      </c>
      <c r="J686" s="405">
        <v>-0.19703000000000001</v>
      </c>
      <c r="K686" s="405">
        <v>30.897708000000002</v>
      </c>
      <c r="L686" s="405" t="s">
        <v>590</v>
      </c>
      <c r="M686" s="405" t="s">
        <v>19705</v>
      </c>
      <c r="N686" s="405" t="s">
        <v>19706</v>
      </c>
      <c r="O686" s="405" t="s">
        <v>22900</v>
      </c>
      <c r="P686" s="405" t="s">
        <v>19730</v>
      </c>
      <c r="Q686" s="411">
        <v>30</v>
      </c>
      <c r="R686" s="405" t="s">
        <v>32166</v>
      </c>
      <c r="S686" s="405" t="s">
        <v>27102</v>
      </c>
      <c r="T686" s="405" t="s">
        <v>32102</v>
      </c>
      <c r="U686" s="405" t="s">
        <v>319</v>
      </c>
    </row>
    <row r="687" spans="1:21" x14ac:dyDescent="0.25">
      <c r="A687" s="405" t="s">
        <v>310</v>
      </c>
      <c r="B687" s="405" t="s">
        <v>8898</v>
      </c>
      <c r="C687" s="405" t="s">
        <v>327</v>
      </c>
      <c r="D687" s="405"/>
      <c r="E687" s="410">
        <v>44322</v>
      </c>
      <c r="F687" s="410">
        <v>44434</v>
      </c>
      <c r="G687" s="405" t="s">
        <v>8899</v>
      </c>
      <c r="H687" s="405">
        <v>757553634</v>
      </c>
      <c r="I687" s="405" t="s">
        <v>2913</v>
      </c>
      <c r="J687" s="405">
        <v>0.18523800000000001</v>
      </c>
      <c r="K687" s="405">
        <v>33.061618000000003</v>
      </c>
      <c r="L687" s="405" t="s">
        <v>314</v>
      </c>
      <c r="M687" s="405" t="s">
        <v>349</v>
      </c>
      <c r="N687" s="405" t="s">
        <v>349</v>
      </c>
      <c r="O687" s="405" t="s">
        <v>686</v>
      </c>
      <c r="P687" s="405" t="s">
        <v>8900</v>
      </c>
      <c r="Q687" s="411">
        <v>6</v>
      </c>
      <c r="R687" s="405" t="s">
        <v>32101</v>
      </c>
      <c r="S687" s="405" t="s">
        <v>27186</v>
      </c>
      <c r="T687" s="405" t="s">
        <v>32102</v>
      </c>
      <c r="U687" s="405" t="s">
        <v>319</v>
      </c>
    </row>
    <row r="688" spans="1:21" x14ac:dyDescent="0.25">
      <c r="A688" s="405" t="s">
        <v>310</v>
      </c>
      <c r="B688" s="405" t="s">
        <v>8853</v>
      </c>
      <c r="C688" s="405" t="s">
        <v>327</v>
      </c>
      <c r="D688" s="405"/>
      <c r="E688" s="410">
        <v>44321</v>
      </c>
      <c r="F688" s="410">
        <v>44402</v>
      </c>
      <c r="G688" s="405" t="s">
        <v>8854</v>
      </c>
      <c r="H688" s="405" t="s">
        <v>8855</v>
      </c>
      <c r="I688" s="405" t="s">
        <v>8856</v>
      </c>
      <c r="J688" s="405">
        <v>0.33407199999999998</v>
      </c>
      <c r="K688" s="405">
        <v>32.529319999999998</v>
      </c>
      <c r="L688" s="405" t="s">
        <v>314</v>
      </c>
      <c r="M688" s="405" t="s">
        <v>361</v>
      </c>
      <c r="N688" s="405" t="s">
        <v>374</v>
      </c>
      <c r="O688" s="405" t="s">
        <v>8857</v>
      </c>
      <c r="P688" s="405" t="s">
        <v>8858</v>
      </c>
      <c r="Q688" s="411">
        <v>13</v>
      </c>
      <c r="R688" s="405" t="s">
        <v>32157</v>
      </c>
      <c r="S688" s="405" t="s">
        <v>27045</v>
      </c>
      <c r="T688" s="405" t="s">
        <v>32102</v>
      </c>
      <c r="U688" s="405" t="s">
        <v>319</v>
      </c>
    </row>
    <row r="689" spans="1:21" x14ac:dyDescent="0.25">
      <c r="A689" s="405" t="s">
        <v>310</v>
      </c>
      <c r="B689" s="405" t="s">
        <v>8817</v>
      </c>
      <c r="C689" s="405" t="s">
        <v>327</v>
      </c>
      <c r="D689" s="405"/>
      <c r="E689" s="410">
        <v>44321</v>
      </c>
      <c r="F689" s="410">
        <v>44358</v>
      </c>
      <c r="G689" s="405" t="s">
        <v>8818</v>
      </c>
      <c r="H689" s="405" t="s">
        <v>8819</v>
      </c>
      <c r="I689" s="405" t="s">
        <v>2913</v>
      </c>
      <c r="J689" s="405">
        <v>0.39676299999999998</v>
      </c>
      <c r="K689" s="405">
        <v>32.587603000000001</v>
      </c>
      <c r="L689" s="405" t="s">
        <v>314</v>
      </c>
      <c r="M689" s="405" t="s">
        <v>992</v>
      </c>
      <c r="N689" s="405" t="s">
        <v>936</v>
      </c>
      <c r="O689" s="405" t="s">
        <v>5902</v>
      </c>
      <c r="P689" s="405" t="s">
        <v>5917</v>
      </c>
      <c r="Q689" s="411">
        <v>13</v>
      </c>
      <c r="R689" s="405" t="s">
        <v>32157</v>
      </c>
      <c r="S689" s="405" t="s">
        <v>27035</v>
      </c>
      <c r="T689" s="405" t="s">
        <v>32102</v>
      </c>
      <c r="U689" s="405" t="s">
        <v>319</v>
      </c>
    </row>
    <row r="690" spans="1:21" x14ac:dyDescent="0.25">
      <c r="A690" s="405" t="s">
        <v>310</v>
      </c>
      <c r="B690" s="405" t="s">
        <v>8775</v>
      </c>
      <c r="C690" s="405" t="s">
        <v>327</v>
      </c>
      <c r="D690" s="405"/>
      <c r="E690" s="410">
        <v>44321</v>
      </c>
      <c r="F690" s="410">
        <v>44336</v>
      </c>
      <c r="G690" s="405" t="s">
        <v>8776</v>
      </c>
      <c r="H690" s="405">
        <v>782119333</v>
      </c>
      <c r="I690" s="405" t="s">
        <v>2913</v>
      </c>
      <c r="J690" s="405">
        <v>0.27482299999999998</v>
      </c>
      <c r="K690" s="405">
        <v>32.596153000000001</v>
      </c>
      <c r="L690" s="405" t="s">
        <v>314</v>
      </c>
      <c r="M690" s="405" t="s">
        <v>361</v>
      </c>
      <c r="N690" s="405" t="s">
        <v>8777</v>
      </c>
      <c r="O690" s="405" t="s">
        <v>618</v>
      </c>
      <c r="P690" s="405" t="s">
        <v>8778</v>
      </c>
      <c r="Q690" s="411">
        <v>6</v>
      </c>
      <c r="R690" s="405" t="s">
        <v>32157</v>
      </c>
      <c r="S690" s="405" t="s">
        <v>414</v>
      </c>
      <c r="T690" s="405" t="s">
        <v>32102</v>
      </c>
      <c r="U690" s="405" t="s">
        <v>319</v>
      </c>
    </row>
    <row r="691" spans="1:21" x14ac:dyDescent="0.25">
      <c r="A691" s="405" t="s">
        <v>310</v>
      </c>
      <c r="B691" s="405" t="s">
        <v>26475</v>
      </c>
      <c r="C691" s="405" t="s">
        <v>327</v>
      </c>
      <c r="D691" s="405"/>
      <c r="E691" s="410">
        <v>44320</v>
      </c>
      <c r="F691" s="410">
        <v>44402</v>
      </c>
      <c r="G691" s="405" t="s">
        <v>26476</v>
      </c>
      <c r="H691" s="405" t="s">
        <v>26477</v>
      </c>
      <c r="I691" s="405" t="s">
        <v>2913</v>
      </c>
      <c r="J691" s="405">
        <v>-0.38847700000000002</v>
      </c>
      <c r="K691" s="405">
        <v>31.098555000000001</v>
      </c>
      <c r="L691" s="405" t="s">
        <v>590</v>
      </c>
      <c r="M691" s="405" t="s">
        <v>19705</v>
      </c>
      <c r="N691" s="405" t="s">
        <v>19706</v>
      </c>
      <c r="O691" s="405" t="s">
        <v>26478</v>
      </c>
      <c r="P691" s="405" t="s">
        <v>26479</v>
      </c>
      <c r="Q691" s="411">
        <v>13</v>
      </c>
      <c r="R691" s="405" t="s">
        <v>32157</v>
      </c>
      <c r="S691" s="405" t="s">
        <v>27046</v>
      </c>
      <c r="T691" s="405" t="s">
        <v>32102</v>
      </c>
      <c r="U691" s="405" t="s">
        <v>319</v>
      </c>
    </row>
    <row r="692" spans="1:21" x14ac:dyDescent="0.25">
      <c r="A692" s="405" t="s">
        <v>310</v>
      </c>
      <c r="B692" s="405" t="s">
        <v>8839</v>
      </c>
      <c r="C692" s="405" t="s">
        <v>327</v>
      </c>
      <c r="D692" s="405"/>
      <c r="E692" s="410">
        <v>44320</v>
      </c>
      <c r="F692" s="410">
        <v>44372</v>
      </c>
      <c r="G692" s="405" t="s">
        <v>8840</v>
      </c>
      <c r="H692" s="405">
        <v>701532083</v>
      </c>
      <c r="I692" s="405">
        <v>701532083</v>
      </c>
      <c r="J692" s="405">
        <v>0.32588699999999998</v>
      </c>
      <c r="K692" s="405">
        <v>32.551653000000002</v>
      </c>
      <c r="L692" s="405" t="s">
        <v>314</v>
      </c>
      <c r="M692" s="405" t="s">
        <v>992</v>
      </c>
      <c r="N692" s="405" t="s">
        <v>5924</v>
      </c>
      <c r="O692" s="405" t="s">
        <v>2327</v>
      </c>
      <c r="P692" s="405" t="s">
        <v>8841</v>
      </c>
      <c r="Q692" s="411">
        <v>6</v>
      </c>
      <c r="R692" s="405" t="s">
        <v>32101</v>
      </c>
      <c r="S692" s="405" t="s">
        <v>27285</v>
      </c>
      <c r="T692" s="405" t="s">
        <v>32102</v>
      </c>
      <c r="U692" s="405" t="s">
        <v>319</v>
      </c>
    </row>
    <row r="693" spans="1:21" x14ac:dyDescent="0.25">
      <c r="A693" s="405" t="s">
        <v>310</v>
      </c>
      <c r="B693" s="405" t="s">
        <v>26462</v>
      </c>
      <c r="C693" s="405" t="s">
        <v>327</v>
      </c>
      <c r="D693" s="405"/>
      <c r="E693" s="410">
        <v>44318</v>
      </c>
      <c r="F693" s="410">
        <v>44381</v>
      </c>
      <c r="G693" s="405" t="s">
        <v>26463</v>
      </c>
      <c r="H693" s="405" t="s">
        <v>26464</v>
      </c>
      <c r="I693" s="405" t="s">
        <v>2913</v>
      </c>
      <c r="J693" s="405">
        <v>1.685055</v>
      </c>
      <c r="K693" s="405">
        <v>31.703541999999999</v>
      </c>
      <c r="L693" s="405" t="s">
        <v>590</v>
      </c>
      <c r="M693" s="405" t="s">
        <v>19608</v>
      </c>
      <c r="N693" s="405" t="s">
        <v>19783</v>
      </c>
      <c r="O693" s="405" t="s">
        <v>26465</v>
      </c>
      <c r="P693" s="405" t="s">
        <v>26466</v>
      </c>
      <c r="Q693" s="411">
        <v>9</v>
      </c>
      <c r="R693" s="405" t="s">
        <v>6397</v>
      </c>
      <c r="S693" s="405" t="s">
        <v>22880</v>
      </c>
      <c r="T693" s="405" t="s">
        <v>32102</v>
      </c>
      <c r="U693" s="405" t="s">
        <v>319</v>
      </c>
    </row>
    <row r="694" spans="1:21" x14ac:dyDescent="0.25">
      <c r="A694" s="405" t="s">
        <v>310</v>
      </c>
      <c r="B694" s="405" t="s">
        <v>8792</v>
      </c>
      <c r="C694" s="405" t="s">
        <v>327</v>
      </c>
      <c r="D694" s="405"/>
      <c r="E694" s="410">
        <v>44316</v>
      </c>
      <c r="F694" s="410">
        <v>44350</v>
      </c>
      <c r="G694" s="405" t="s">
        <v>8793</v>
      </c>
      <c r="H694" s="405" t="s">
        <v>8794</v>
      </c>
      <c r="I694" s="405" t="s">
        <v>8795</v>
      </c>
      <c r="J694" s="405">
        <v>-3.9527E-2</v>
      </c>
      <c r="K694" s="405">
        <v>31.992132999999999</v>
      </c>
      <c r="L694" s="405" t="s">
        <v>314</v>
      </c>
      <c r="M694" s="405" t="s">
        <v>321</v>
      </c>
      <c r="N694" s="405" t="s">
        <v>6512</v>
      </c>
      <c r="O694" s="405" t="s">
        <v>8796</v>
      </c>
      <c r="P694" s="405" t="s">
        <v>8797</v>
      </c>
      <c r="Q694" s="411">
        <v>13</v>
      </c>
      <c r="R694" s="405" t="s">
        <v>32101</v>
      </c>
      <c r="S694" s="405" t="s">
        <v>27060</v>
      </c>
      <c r="T694" s="405" t="s">
        <v>32102</v>
      </c>
      <c r="U694" s="405" t="s">
        <v>319</v>
      </c>
    </row>
    <row r="695" spans="1:21" x14ac:dyDescent="0.25">
      <c r="A695" s="405" t="s">
        <v>310</v>
      </c>
      <c r="B695" s="405" t="s">
        <v>26405</v>
      </c>
      <c r="C695" s="405" t="s">
        <v>327</v>
      </c>
      <c r="D695" s="405"/>
      <c r="E695" s="410">
        <v>44316</v>
      </c>
      <c r="F695" s="410">
        <v>44345</v>
      </c>
      <c r="G695" s="405" t="s">
        <v>26406</v>
      </c>
      <c r="H695" s="405" t="s">
        <v>26407</v>
      </c>
      <c r="I695" s="405" t="s">
        <v>2913</v>
      </c>
      <c r="J695" s="405">
        <v>1.1956180000000001</v>
      </c>
      <c r="K695" s="405">
        <v>30.793472000000001</v>
      </c>
      <c r="L695" s="405" t="s">
        <v>590</v>
      </c>
      <c r="M695" s="405" t="s">
        <v>8736</v>
      </c>
      <c r="N695" s="405" t="s">
        <v>8736</v>
      </c>
      <c r="O695" s="405" t="s">
        <v>8737</v>
      </c>
      <c r="P695" s="405" t="s">
        <v>26324</v>
      </c>
      <c r="Q695" s="411">
        <v>8</v>
      </c>
      <c r="R695" s="405" t="s">
        <v>32101</v>
      </c>
      <c r="S695" s="405" t="s">
        <v>27280</v>
      </c>
      <c r="T695" s="405" t="s">
        <v>32102</v>
      </c>
      <c r="U695" s="405" t="s">
        <v>319</v>
      </c>
    </row>
    <row r="696" spans="1:21" x14ac:dyDescent="0.25">
      <c r="A696" s="405" t="s">
        <v>310</v>
      </c>
      <c r="B696" s="405" t="s">
        <v>26408</v>
      </c>
      <c r="C696" s="405" t="s">
        <v>327</v>
      </c>
      <c r="D696" s="405"/>
      <c r="E696" s="410">
        <v>44316</v>
      </c>
      <c r="F696" s="410">
        <v>44335</v>
      </c>
      <c r="G696" s="405" t="s">
        <v>26409</v>
      </c>
      <c r="H696" s="405" t="s">
        <v>26410</v>
      </c>
      <c r="I696" s="405" t="s">
        <v>26411</v>
      </c>
      <c r="J696" s="405">
        <v>1.2697849999999999</v>
      </c>
      <c r="K696" s="405">
        <v>31.072628000000002</v>
      </c>
      <c r="L696" s="405" t="s">
        <v>590</v>
      </c>
      <c r="M696" s="405" t="s">
        <v>8736</v>
      </c>
      <c r="N696" s="405" t="s">
        <v>8736</v>
      </c>
      <c r="O696" s="405" t="s">
        <v>21577</v>
      </c>
      <c r="P696" s="405" t="s">
        <v>2634</v>
      </c>
      <c r="Q696" s="411">
        <v>8</v>
      </c>
      <c r="R696" s="405" t="s">
        <v>32101</v>
      </c>
      <c r="S696" s="405" t="s">
        <v>27045</v>
      </c>
      <c r="T696" s="405" t="s">
        <v>32102</v>
      </c>
      <c r="U696" s="405" t="s">
        <v>319</v>
      </c>
    </row>
    <row r="697" spans="1:21" x14ac:dyDescent="0.25">
      <c r="A697" s="405" t="s">
        <v>310</v>
      </c>
      <c r="B697" s="405" t="s">
        <v>17564</v>
      </c>
      <c r="C697" s="405" t="s">
        <v>327</v>
      </c>
      <c r="D697" s="405"/>
      <c r="E697" s="410">
        <v>44316</v>
      </c>
      <c r="F697" s="410">
        <v>44328</v>
      </c>
      <c r="G697" s="405" t="s">
        <v>17565</v>
      </c>
      <c r="H697" s="405" t="s">
        <v>17566</v>
      </c>
      <c r="I697" s="405" t="s">
        <v>2913</v>
      </c>
      <c r="J697" s="405">
        <v>1.416398</v>
      </c>
      <c r="K697" s="405">
        <v>34.526429999999998</v>
      </c>
      <c r="L697" s="405" t="s">
        <v>6866</v>
      </c>
      <c r="M697" s="405" t="s">
        <v>9705</v>
      </c>
      <c r="N697" s="405" t="s">
        <v>15735</v>
      </c>
      <c r="O697" s="405" t="s">
        <v>16170</v>
      </c>
      <c r="P697" s="405" t="s">
        <v>17567</v>
      </c>
      <c r="Q697" s="411">
        <v>4</v>
      </c>
      <c r="R697" s="405" t="s">
        <v>17977</v>
      </c>
      <c r="S697" s="405" t="s">
        <v>27318</v>
      </c>
      <c r="T697" s="405" t="s">
        <v>32102</v>
      </c>
      <c r="U697" s="405" t="s">
        <v>319</v>
      </c>
    </row>
    <row r="698" spans="1:21" x14ac:dyDescent="0.25">
      <c r="A698" s="405" t="s">
        <v>310</v>
      </c>
      <c r="B698" s="405" t="s">
        <v>26396</v>
      </c>
      <c r="C698" s="405" t="s">
        <v>327</v>
      </c>
      <c r="D698" s="405"/>
      <c r="E698" s="410">
        <v>44315</v>
      </c>
      <c r="F698" s="410">
        <v>44326</v>
      </c>
      <c r="G698" s="405" t="s">
        <v>26397</v>
      </c>
      <c r="H698" s="405" t="s">
        <v>26398</v>
      </c>
      <c r="I698" s="405" t="s">
        <v>2913</v>
      </c>
      <c r="J698" s="405">
        <v>-0.80036200000000002</v>
      </c>
      <c r="K698" s="405">
        <v>30.310894999999999</v>
      </c>
      <c r="L698" s="405" t="s">
        <v>590</v>
      </c>
      <c r="M698" s="405" t="s">
        <v>19659</v>
      </c>
      <c r="N698" s="405" t="s">
        <v>19664</v>
      </c>
      <c r="O698" s="405" t="s">
        <v>19969</v>
      </c>
      <c r="P698" s="405" t="s">
        <v>26399</v>
      </c>
      <c r="Q698" s="411">
        <v>13</v>
      </c>
      <c r="R698" s="405" t="s">
        <v>32166</v>
      </c>
      <c r="S698" s="405" t="s">
        <v>27132</v>
      </c>
      <c r="T698" s="405" t="s">
        <v>32102</v>
      </c>
      <c r="U698" s="405" t="s">
        <v>319</v>
      </c>
    </row>
    <row r="699" spans="1:21" x14ac:dyDescent="0.25">
      <c r="A699" s="405" t="s">
        <v>310</v>
      </c>
      <c r="B699" s="405" t="s">
        <v>19234</v>
      </c>
      <c r="C699" s="405" t="s">
        <v>327</v>
      </c>
      <c r="D699" s="405"/>
      <c r="E699" s="410">
        <v>44315</v>
      </c>
      <c r="F699" s="410">
        <v>44395</v>
      </c>
      <c r="G699" s="405" t="s">
        <v>19235</v>
      </c>
      <c r="H699" s="405" t="s">
        <v>19236</v>
      </c>
      <c r="I699" s="405" t="s">
        <v>2913</v>
      </c>
      <c r="J699" s="405">
        <v>2.8113169999999998</v>
      </c>
      <c r="K699" s="405">
        <v>32.310408000000002</v>
      </c>
      <c r="L699" s="405" t="s">
        <v>860</v>
      </c>
      <c r="M699" s="405" t="s">
        <v>853</v>
      </c>
      <c r="N699" s="405" t="s">
        <v>19237</v>
      </c>
      <c r="O699" s="405" t="s">
        <v>18740</v>
      </c>
      <c r="P699" s="405" t="s">
        <v>19238</v>
      </c>
      <c r="Q699" s="411">
        <v>4</v>
      </c>
      <c r="R699" s="405" t="s">
        <v>9242</v>
      </c>
      <c r="S699" s="405" t="s">
        <v>27386</v>
      </c>
      <c r="T699" s="405" t="s">
        <v>32102</v>
      </c>
      <c r="U699" s="405" t="s">
        <v>319</v>
      </c>
    </row>
    <row r="700" spans="1:21" x14ac:dyDescent="0.25">
      <c r="A700" s="405" t="s">
        <v>310</v>
      </c>
      <c r="B700" s="405" t="s">
        <v>17540</v>
      </c>
      <c r="C700" s="405" t="s">
        <v>327</v>
      </c>
      <c r="D700" s="405"/>
      <c r="E700" s="410">
        <v>44315</v>
      </c>
      <c r="F700" s="410">
        <v>44327</v>
      </c>
      <c r="G700" s="405" t="s">
        <v>17541</v>
      </c>
      <c r="H700" s="405" t="s">
        <v>17542</v>
      </c>
      <c r="I700" s="405" t="s">
        <v>17543</v>
      </c>
      <c r="J700" s="405">
        <v>1.3800330000000001</v>
      </c>
      <c r="K700" s="405">
        <v>34.406922000000002</v>
      </c>
      <c r="L700" s="405" t="s">
        <v>6866</v>
      </c>
      <c r="M700" s="405" t="s">
        <v>9685</v>
      </c>
      <c r="N700" s="405" t="s">
        <v>9686</v>
      </c>
      <c r="O700" s="405" t="s">
        <v>9687</v>
      </c>
      <c r="P700" s="405" t="s">
        <v>9876</v>
      </c>
      <c r="Q700" s="411">
        <v>4</v>
      </c>
      <c r="R700" s="405" t="s">
        <v>17977</v>
      </c>
      <c r="S700" s="405" t="s">
        <v>27056</v>
      </c>
      <c r="T700" s="405" t="s">
        <v>32102</v>
      </c>
      <c r="U700" s="405" t="s">
        <v>319</v>
      </c>
    </row>
    <row r="701" spans="1:21" x14ac:dyDescent="0.25">
      <c r="A701" s="405" t="s">
        <v>310</v>
      </c>
      <c r="B701" s="405" t="s">
        <v>17553</v>
      </c>
      <c r="C701" s="405" t="s">
        <v>327</v>
      </c>
      <c r="D701" s="405"/>
      <c r="E701" s="410">
        <v>44315</v>
      </c>
      <c r="F701" s="410">
        <v>44322</v>
      </c>
      <c r="G701" s="405" t="s">
        <v>17554</v>
      </c>
      <c r="H701" s="405" t="s">
        <v>17555</v>
      </c>
      <c r="I701" s="405" t="s">
        <v>17556</v>
      </c>
      <c r="J701" s="405">
        <v>1.3834850000000001</v>
      </c>
      <c r="K701" s="405">
        <v>34.418453</v>
      </c>
      <c r="L701" s="405" t="s">
        <v>6866</v>
      </c>
      <c r="M701" s="405" t="s">
        <v>9685</v>
      </c>
      <c r="N701" s="405" t="s">
        <v>9686</v>
      </c>
      <c r="O701" s="405" t="s">
        <v>9687</v>
      </c>
      <c r="P701" s="405" t="s">
        <v>16416</v>
      </c>
      <c r="Q701" s="411">
        <v>4</v>
      </c>
      <c r="R701" s="405" t="s">
        <v>17977</v>
      </c>
      <c r="S701" s="405" t="s">
        <v>27289</v>
      </c>
      <c r="T701" s="405" t="s">
        <v>32102</v>
      </c>
      <c r="U701" s="405" t="s">
        <v>319</v>
      </c>
    </row>
    <row r="702" spans="1:21" x14ac:dyDescent="0.25">
      <c r="A702" s="405" t="s">
        <v>310</v>
      </c>
      <c r="B702" s="405" t="s">
        <v>17549</v>
      </c>
      <c r="C702" s="405" t="s">
        <v>327</v>
      </c>
      <c r="D702" s="405"/>
      <c r="E702" s="410">
        <v>44314</v>
      </c>
      <c r="F702" s="410">
        <v>44334</v>
      </c>
      <c r="G702" s="405" t="s">
        <v>17550</v>
      </c>
      <c r="H702" s="405" t="s">
        <v>17551</v>
      </c>
      <c r="I702" s="405" t="s">
        <v>17552</v>
      </c>
      <c r="J702" s="405">
        <v>1.371685</v>
      </c>
      <c r="K702" s="405">
        <v>34.399971999999998</v>
      </c>
      <c r="L702" s="405" t="s">
        <v>6866</v>
      </c>
      <c r="M702" s="405" t="s">
        <v>9685</v>
      </c>
      <c r="N702" s="405" t="s">
        <v>9686</v>
      </c>
      <c r="O702" s="405" t="s">
        <v>9709</v>
      </c>
      <c r="P702" s="405" t="s">
        <v>12362</v>
      </c>
      <c r="Q702" s="411">
        <v>4</v>
      </c>
      <c r="R702" s="405" t="s">
        <v>17977</v>
      </c>
      <c r="S702" s="405" t="s">
        <v>27357</v>
      </c>
      <c r="T702" s="405" t="s">
        <v>32102</v>
      </c>
      <c r="U702" s="405" t="s">
        <v>319</v>
      </c>
    </row>
    <row r="703" spans="1:21" x14ac:dyDescent="0.25">
      <c r="A703" s="405" t="s">
        <v>310</v>
      </c>
      <c r="B703" s="405" t="s">
        <v>17544</v>
      </c>
      <c r="C703" s="405" t="s">
        <v>327</v>
      </c>
      <c r="D703" s="405"/>
      <c r="E703" s="410">
        <v>44314</v>
      </c>
      <c r="F703" s="410">
        <v>44321</v>
      </c>
      <c r="G703" s="405" t="s">
        <v>17545</v>
      </c>
      <c r="H703" s="405" t="s">
        <v>17546</v>
      </c>
      <c r="I703" s="405" t="s">
        <v>17547</v>
      </c>
      <c r="J703" s="405">
        <v>1.3385800000000001</v>
      </c>
      <c r="K703" s="405">
        <v>34.389532000000003</v>
      </c>
      <c r="L703" s="405" t="s">
        <v>6866</v>
      </c>
      <c r="M703" s="405" t="s">
        <v>9685</v>
      </c>
      <c r="N703" s="405" t="s">
        <v>9686</v>
      </c>
      <c r="O703" s="405" t="s">
        <v>14983</v>
      </c>
      <c r="P703" s="405" t="s">
        <v>17548</v>
      </c>
      <c r="Q703" s="411">
        <v>4</v>
      </c>
      <c r="R703" s="405" t="s">
        <v>17977</v>
      </c>
      <c r="S703" s="405" t="s">
        <v>27353</v>
      </c>
      <c r="T703" s="405" t="s">
        <v>32102</v>
      </c>
      <c r="U703" s="405" t="s">
        <v>319</v>
      </c>
    </row>
    <row r="704" spans="1:21" x14ac:dyDescent="0.25">
      <c r="A704" s="405" t="s">
        <v>310</v>
      </c>
      <c r="B704" s="405" t="s">
        <v>8890</v>
      </c>
      <c r="C704" s="405" t="s">
        <v>327</v>
      </c>
      <c r="D704" s="405"/>
      <c r="E704" s="410">
        <v>44307</v>
      </c>
      <c r="F704" s="410">
        <v>44427</v>
      </c>
      <c r="G704" s="405" t="s">
        <v>8891</v>
      </c>
      <c r="H704" s="405" t="s">
        <v>8892</v>
      </c>
      <c r="I704" s="405" t="s">
        <v>8893</v>
      </c>
      <c r="J704" s="405">
        <v>-0.32824500000000001</v>
      </c>
      <c r="K704" s="405">
        <v>31.719577000000001</v>
      </c>
      <c r="L704" s="405" t="s">
        <v>314</v>
      </c>
      <c r="M704" s="405" t="s">
        <v>382</v>
      </c>
      <c r="N704" s="405" t="s">
        <v>2914</v>
      </c>
      <c r="O704" s="405" t="s">
        <v>8894</v>
      </c>
      <c r="P704" s="405" t="s">
        <v>8894</v>
      </c>
      <c r="Q704" s="411">
        <v>12</v>
      </c>
      <c r="R704" s="405" t="s">
        <v>4176</v>
      </c>
      <c r="S704" s="405" t="s">
        <v>27286</v>
      </c>
      <c r="T704" s="405" t="s">
        <v>32102</v>
      </c>
      <c r="U704" s="405" t="s">
        <v>319</v>
      </c>
    </row>
    <row r="705" spans="1:21" x14ac:dyDescent="0.25">
      <c r="A705" s="405" t="s">
        <v>310</v>
      </c>
      <c r="B705" s="405" t="s">
        <v>26781</v>
      </c>
      <c r="C705" s="405" t="s">
        <v>311</v>
      </c>
      <c r="D705" s="405" t="s">
        <v>26782</v>
      </c>
      <c r="E705" s="410">
        <v>44306</v>
      </c>
      <c r="F705" s="410">
        <v>44352</v>
      </c>
      <c r="G705" s="405" t="s">
        <v>26783</v>
      </c>
      <c r="H705" s="405">
        <v>777761256</v>
      </c>
      <c r="I705" s="405" t="s">
        <v>2913</v>
      </c>
      <c r="J705" s="405">
        <v>-0.824855</v>
      </c>
      <c r="K705" s="405">
        <v>30.274304999999998</v>
      </c>
      <c r="L705" s="405" t="s">
        <v>590</v>
      </c>
      <c r="M705" s="405" t="s">
        <v>19659</v>
      </c>
      <c r="N705" s="405" t="s">
        <v>19604</v>
      </c>
      <c r="O705" s="405" t="s">
        <v>19660</v>
      </c>
      <c r="P705" s="405" t="s">
        <v>19639</v>
      </c>
      <c r="Q705" s="411">
        <v>9</v>
      </c>
      <c r="R705" s="405" t="s">
        <v>32166</v>
      </c>
      <c r="S705" s="405" t="s">
        <v>27160</v>
      </c>
      <c r="T705" s="405" t="s">
        <v>32102</v>
      </c>
      <c r="U705" s="405" t="s">
        <v>319</v>
      </c>
    </row>
    <row r="706" spans="1:21" x14ac:dyDescent="0.25">
      <c r="A706" s="405" t="s">
        <v>310</v>
      </c>
      <c r="B706" s="405" t="s">
        <v>8744</v>
      </c>
      <c r="C706" s="405" t="s">
        <v>327</v>
      </c>
      <c r="D706" s="405"/>
      <c r="E706" s="410">
        <v>44306</v>
      </c>
      <c r="F706" s="410">
        <v>44315</v>
      </c>
      <c r="G706" s="405" t="s">
        <v>8745</v>
      </c>
      <c r="H706" s="405" t="s">
        <v>8746</v>
      </c>
      <c r="I706" s="405" t="s">
        <v>2913</v>
      </c>
      <c r="J706" s="405">
        <v>0.70698700000000003</v>
      </c>
      <c r="K706" s="405">
        <v>32.729520000000001</v>
      </c>
      <c r="L706" s="405" t="s">
        <v>314</v>
      </c>
      <c r="M706" s="405" t="s">
        <v>959</v>
      </c>
      <c r="N706" s="405" t="s">
        <v>2921</v>
      </c>
      <c r="O706" s="405" t="s">
        <v>2921</v>
      </c>
      <c r="P706" s="405" t="s">
        <v>8747</v>
      </c>
      <c r="Q706" s="411">
        <v>9</v>
      </c>
      <c r="R706" s="405" t="s">
        <v>32101</v>
      </c>
      <c r="S706" s="405" t="s">
        <v>27243</v>
      </c>
      <c r="T706" s="405" t="s">
        <v>32102</v>
      </c>
      <c r="U706" s="405" t="s">
        <v>319</v>
      </c>
    </row>
    <row r="707" spans="1:21" x14ac:dyDescent="0.25">
      <c r="A707" s="405" t="s">
        <v>310</v>
      </c>
      <c r="B707" s="405" t="s">
        <v>26447</v>
      </c>
      <c r="C707" s="405" t="s">
        <v>327</v>
      </c>
      <c r="D707" s="405"/>
      <c r="E707" s="410">
        <v>44306</v>
      </c>
      <c r="F707" s="410">
        <v>44359</v>
      </c>
      <c r="G707" s="405" t="s">
        <v>26448</v>
      </c>
      <c r="H707" s="405" t="s">
        <v>26449</v>
      </c>
      <c r="I707" s="405" t="s">
        <v>26450</v>
      </c>
      <c r="J707" s="405">
        <v>-1.1200479999999999</v>
      </c>
      <c r="K707" s="405">
        <v>29.659742000000001</v>
      </c>
      <c r="L707" s="405" t="s">
        <v>590</v>
      </c>
      <c r="M707" s="405" t="s">
        <v>20070</v>
      </c>
      <c r="N707" s="405" t="s">
        <v>26120</v>
      </c>
      <c r="O707" s="405" t="s">
        <v>24115</v>
      </c>
      <c r="P707" s="405" t="s">
        <v>20077</v>
      </c>
      <c r="Q707" s="411">
        <v>6</v>
      </c>
      <c r="R707" s="405" t="s">
        <v>24106</v>
      </c>
      <c r="S707" s="405" t="s">
        <v>27452</v>
      </c>
      <c r="T707" s="405" t="s">
        <v>32102</v>
      </c>
      <c r="U707" s="405" t="s">
        <v>319</v>
      </c>
    </row>
    <row r="708" spans="1:21" x14ac:dyDescent="0.25">
      <c r="A708" s="405" t="s">
        <v>310</v>
      </c>
      <c r="B708" s="405" t="s">
        <v>26329</v>
      </c>
      <c r="C708" s="405" t="s">
        <v>327</v>
      </c>
      <c r="D708" s="405"/>
      <c r="E708" s="410">
        <v>44305</v>
      </c>
      <c r="F708" s="410">
        <v>44313</v>
      </c>
      <c r="G708" s="405" t="s">
        <v>26330</v>
      </c>
      <c r="H708" s="405" t="s">
        <v>26331</v>
      </c>
      <c r="I708" s="405" t="s">
        <v>2913</v>
      </c>
      <c r="J708" s="405">
        <v>1.3503970000000001</v>
      </c>
      <c r="K708" s="405">
        <v>30.91938</v>
      </c>
      <c r="L708" s="405" t="s">
        <v>590</v>
      </c>
      <c r="M708" s="405" t="s">
        <v>8736</v>
      </c>
      <c r="N708" s="405" t="s">
        <v>8736</v>
      </c>
      <c r="O708" s="405" t="s">
        <v>8737</v>
      </c>
      <c r="P708" s="405" t="s">
        <v>8738</v>
      </c>
      <c r="Q708" s="411">
        <v>13</v>
      </c>
      <c r="R708" s="405" t="s">
        <v>32101</v>
      </c>
      <c r="S708" s="405" t="s">
        <v>27065</v>
      </c>
      <c r="T708" s="405" t="s">
        <v>32102</v>
      </c>
      <c r="U708" s="405" t="s">
        <v>319</v>
      </c>
    </row>
    <row r="709" spans="1:21" x14ac:dyDescent="0.25">
      <c r="A709" s="405" t="s">
        <v>310</v>
      </c>
      <c r="B709" s="405" t="s">
        <v>8695</v>
      </c>
      <c r="C709" s="405" t="s">
        <v>327</v>
      </c>
      <c r="D709" s="405"/>
      <c r="E709" s="410">
        <v>44303</v>
      </c>
      <c r="F709" s="410">
        <v>44312</v>
      </c>
      <c r="G709" s="405" t="s">
        <v>8696</v>
      </c>
      <c r="H709" s="405" t="s">
        <v>8697</v>
      </c>
      <c r="I709" s="405" t="s">
        <v>2913</v>
      </c>
      <c r="J709" s="405">
        <v>-0.86987499999999995</v>
      </c>
      <c r="K709" s="405">
        <v>30.268822</v>
      </c>
      <c r="L709" s="405" t="s">
        <v>314</v>
      </c>
      <c r="M709" s="405" t="s">
        <v>361</v>
      </c>
      <c r="N709" s="405" t="s">
        <v>8698</v>
      </c>
      <c r="O709" s="405" t="s">
        <v>8699</v>
      </c>
      <c r="P709" s="405" t="s">
        <v>8700</v>
      </c>
      <c r="Q709" s="411">
        <v>9</v>
      </c>
      <c r="R709" s="405" t="s">
        <v>6572</v>
      </c>
      <c r="S709" s="405" t="s">
        <v>27193</v>
      </c>
      <c r="T709" s="405" t="s">
        <v>32102</v>
      </c>
      <c r="U709" s="405" t="s">
        <v>319</v>
      </c>
    </row>
    <row r="710" spans="1:21" x14ac:dyDescent="0.25">
      <c r="A710" s="405" t="s">
        <v>310</v>
      </c>
      <c r="B710" s="405" t="s">
        <v>17530</v>
      </c>
      <c r="C710" s="405" t="s">
        <v>327</v>
      </c>
      <c r="D710" s="405"/>
      <c r="E710" s="410">
        <v>44303</v>
      </c>
      <c r="F710" s="410">
        <v>44333</v>
      </c>
      <c r="G710" s="405" t="s">
        <v>17531</v>
      </c>
      <c r="H710" s="405" t="s">
        <v>17532</v>
      </c>
      <c r="I710" s="405" t="s">
        <v>17533</v>
      </c>
      <c r="J710" s="405">
        <v>0.69194500000000003</v>
      </c>
      <c r="K710" s="405">
        <v>34.104264999999998</v>
      </c>
      <c r="L710" s="405" t="s">
        <v>6866</v>
      </c>
      <c r="M710" s="405" t="s">
        <v>9534</v>
      </c>
      <c r="N710" s="405" t="s">
        <v>9997</v>
      </c>
      <c r="O710" s="405" t="s">
        <v>9770</v>
      </c>
      <c r="P710" s="405" t="s">
        <v>9522</v>
      </c>
      <c r="Q710" s="411">
        <v>6</v>
      </c>
      <c r="R710" s="405" t="s">
        <v>7224</v>
      </c>
      <c r="S710" s="405" t="s">
        <v>27310</v>
      </c>
      <c r="T710" s="405" t="s">
        <v>32102</v>
      </c>
      <c r="U710" s="405" t="s">
        <v>319</v>
      </c>
    </row>
    <row r="711" spans="1:21" x14ac:dyDescent="0.25">
      <c r="A711" s="405" t="s">
        <v>310</v>
      </c>
      <c r="B711" s="405" t="s">
        <v>26391</v>
      </c>
      <c r="C711" s="405" t="s">
        <v>327</v>
      </c>
      <c r="D711" s="405"/>
      <c r="E711" s="410">
        <v>44302</v>
      </c>
      <c r="F711" s="410">
        <v>44341</v>
      </c>
      <c r="G711" s="405" t="s">
        <v>26392</v>
      </c>
      <c r="H711" s="405" t="s">
        <v>26393</v>
      </c>
      <c r="I711" s="405" t="s">
        <v>26394</v>
      </c>
      <c r="J711" s="405">
        <v>-0.79670200000000002</v>
      </c>
      <c r="K711" s="405">
        <v>29.801335000000002</v>
      </c>
      <c r="L711" s="405" t="s">
        <v>590</v>
      </c>
      <c r="M711" s="405" t="s">
        <v>20808</v>
      </c>
      <c r="N711" s="405" t="s">
        <v>23390</v>
      </c>
      <c r="O711" s="405" t="s">
        <v>21489</v>
      </c>
      <c r="P711" s="405" t="s">
        <v>26395</v>
      </c>
      <c r="Q711" s="411">
        <v>9</v>
      </c>
      <c r="R711" s="405" t="s">
        <v>5858</v>
      </c>
      <c r="S711" s="405" t="s">
        <v>27440</v>
      </c>
      <c r="T711" s="405" t="s">
        <v>32102</v>
      </c>
      <c r="U711" s="405" t="s">
        <v>319</v>
      </c>
    </row>
    <row r="712" spans="1:21" x14ac:dyDescent="0.25">
      <c r="A712" s="405" t="s">
        <v>310</v>
      </c>
      <c r="B712" s="405" t="s">
        <v>26378</v>
      </c>
      <c r="C712" s="405" t="s">
        <v>327</v>
      </c>
      <c r="D712" s="405"/>
      <c r="E712" s="410">
        <v>44302</v>
      </c>
      <c r="F712" s="410">
        <v>44311</v>
      </c>
      <c r="G712" s="405" t="s">
        <v>26379</v>
      </c>
      <c r="H712" s="405" t="s">
        <v>26380</v>
      </c>
      <c r="I712" s="405" t="s">
        <v>2913</v>
      </c>
      <c r="J712" s="405">
        <v>-5.4316000000000003E-2</v>
      </c>
      <c r="K712" s="405">
        <v>30.782716000000001</v>
      </c>
      <c r="L712" s="405" t="s">
        <v>590</v>
      </c>
      <c r="M712" s="405" t="s">
        <v>2250</v>
      </c>
      <c r="N712" s="405" t="s">
        <v>2250</v>
      </c>
      <c r="O712" s="405" t="s">
        <v>26381</v>
      </c>
      <c r="P712" s="405" t="s">
        <v>26382</v>
      </c>
      <c r="Q712" s="411">
        <v>9</v>
      </c>
      <c r="R712" s="405" t="s">
        <v>874</v>
      </c>
      <c r="S712" s="405" t="s">
        <v>27405</v>
      </c>
      <c r="T712" s="405" t="s">
        <v>32102</v>
      </c>
      <c r="U712" s="405" t="s">
        <v>319</v>
      </c>
    </row>
    <row r="713" spans="1:21" x14ac:dyDescent="0.25">
      <c r="A713" s="405" t="s">
        <v>310</v>
      </c>
      <c r="B713" s="405" t="s">
        <v>26313</v>
      </c>
      <c r="C713" s="405" t="s">
        <v>327</v>
      </c>
      <c r="D713" s="405"/>
      <c r="E713" s="410">
        <v>44302</v>
      </c>
      <c r="F713" s="410">
        <v>44313</v>
      </c>
      <c r="G713" s="405" t="s">
        <v>26314</v>
      </c>
      <c r="H713" s="405" t="s">
        <v>26315</v>
      </c>
      <c r="I713" s="405" t="s">
        <v>2913</v>
      </c>
      <c r="J713" s="405">
        <v>-0.78003999999999996</v>
      </c>
      <c r="K713" s="405">
        <v>29.792608000000001</v>
      </c>
      <c r="L713" s="405" t="s">
        <v>590</v>
      </c>
      <c r="M713" s="405" t="s">
        <v>20808</v>
      </c>
      <c r="N713" s="405" t="s">
        <v>23390</v>
      </c>
      <c r="O713" s="405" t="s">
        <v>20169</v>
      </c>
      <c r="P713" s="405" t="s">
        <v>26316</v>
      </c>
      <c r="Q713" s="411">
        <v>6</v>
      </c>
      <c r="R713" s="405" t="s">
        <v>6572</v>
      </c>
      <c r="S713" s="405" t="s">
        <v>27095</v>
      </c>
      <c r="T713" s="405" t="s">
        <v>32102</v>
      </c>
      <c r="U713" s="405" t="s">
        <v>319</v>
      </c>
    </row>
    <row r="714" spans="1:21" x14ac:dyDescent="0.25">
      <c r="A714" s="405" t="s">
        <v>310</v>
      </c>
      <c r="B714" s="405" t="s">
        <v>26383</v>
      </c>
      <c r="C714" s="405" t="s">
        <v>327</v>
      </c>
      <c r="D714" s="405"/>
      <c r="E714" s="410">
        <v>44301</v>
      </c>
      <c r="F714" s="410">
        <v>44311</v>
      </c>
      <c r="G714" s="405" t="s">
        <v>26384</v>
      </c>
      <c r="H714" s="405" t="s">
        <v>26385</v>
      </c>
      <c r="I714" s="405" t="s">
        <v>2913</v>
      </c>
      <c r="J714" s="405">
        <v>-2.1923999999999999E-2</v>
      </c>
      <c r="K714" s="405">
        <v>30.739484999999998</v>
      </c>
      <c r="L714" s="405" t="s">
        <v>590</v>
      </c>
      <c r="M714" s="405" t="s">
        <v>2250</v>
      </c>
      <c r="N714" s="405" t="s">
        <v>2250</v>
      </c>
      <c r="O714" s="405" t="s">
        <v>26381</v>
      </c>
      <c r="P714" s="405" t="s">
        <v>26386</v>
      </c>
      <c r="Q714" s="411">
        <v>9</v>
      </c>
      <c r="R714" s="405" t="s">
        <v>874</v>
      </c>
      <c r="S714" s="405" t="s">
        <v>27181</v>
      </c>
      <c r="T714" s="405" t="s">
        <v>32102</v>
      </c>
      <c r="U714" s="405" t="s">
        <v>319</v>
      </c>
    </row>
    <row r="715" spans="1:21" x14ac:dyDescent="0.25">
      <c r="A715" s="405" t="s">
        <v>310</v>
      </c>
      <c r="B715" s="405" t="s">
        <v>8739</v>
      </c>
      <c r="C715" s="405" t="s">
        <v>327</v>
      </c>
      <c r="D715" s="405"/>
      <c r="E715" s="410">
        <v>44300</v>
      </c>
      <c r="F715" s="410">
        <v>44306</v>
      </c>
      <c r="G715" s="405" t="s">
        <v>8740</v>
      </c>
      <c r="H715" s="405" t="s">
        <v>8741</v>
      </c>
      <c r="I715" s="405" t="s">
        <v>8742</v>
      </c>
      <c r="J715" s="405">
        <v>0.25551699999999999</v>
      </c>
      <c r="K715" s="405">
        <v>32.246828000000001</v>
      </c>
      <c r="L715" s="405" t="s">
        <v>314</v>
      </c>
      <c r="M715" s="405" t="s">
        <v>321</v>
      </c>
      <c r="N715" s="405" t="s">
        <v>1244</v>
      </c>
      <c r="O715" s="405" t="s">
        <v>316</v>
      </c>
      <c r="P715" s="405" t="s">
        <v>8743</v>
      </c>
      <c r="Q715" s="411">
        <v>6</v>
      </c>
      <c r="R715" s="405" t="s">
        <v>32101</v>
      </c>
      <c r="S715" s="405" t="s">
        <v>27193</v>
      </c>
      <c r="T715" s="405" t="s">
        <v>32102</v>
      </c>
      <c r="U715" s="405" t="s">
        <v>319</v>
      </c>
    </row>
    <row r="716" spans="1:21" x14ac:dyDescent="0.25">
      <c r="A716" s="405" t="s">
        <v>310</v>
      </c>
      <c r="B716" s="405" t="s">
        <v>17523</v>
      </c>
      <c r="C716" s="405" t="s">
        <v>327</v>
      </c>
      <c r="D716" s="405"/>
      <c r="E716" s="410">
        <v>44298</v>
      </c>
      <c r="F716" s="410">
        <v>44306</v>
      </c>
      <c r="G716" s="405" t="s">
        <v>17524</v>
      </c>
      <c r="H716" s="405" t="s">
        <v>17525</v>
      </c>
      <c r="I716" s="405" t="s">
        <v>17526</v>
      </c>
      <c r="J716" s="405">
        <v>0.91886000000000001</v>
      </c>
      <c r="K716" s="405">
        <v>33.423347</v>
      </c>
      <c r="L716" s="405" t="s">
        <v>6866</v>
      </c>
      <c r="M716" s="405" t="s">
        <v>1120</v>
      </c>
      <c r="N716" s="405" t="s">
        <v>3009</v>
      </c>
      <c r="O716" s="405" t="s">
        <v>17527</v>
      </c>
      <c r="P716" s="405" t="s">
        <v>12010</v>
      </c>
      <c r="Q716" s="411">
        <v>13</v>
      </c>
      <c r="R716" s="405" t="s">
        <v>32101</v>
      </c>
      <c r="S716" s="405" t="s">
        <v>27243</v>
      </c>
      <c r="T716" s="405" t="s">
        <v>32102</v>
      </c>
      <c r="U716" s="405" t="s">
        <v>319</v>
      </c>
    </row>
    <row r="717" spans="1:21" x14ac:dyDescent="0.25">
      <c r="A717" s="405" t="s">
        <v>310</v>
      </c>
      <c r="B717" s="405" t="s">
        <v>8813</v>
      </c>
      <c r="C717" s="405" t="s">
        <v>327</v>
      </c>
      <c r="D717" s="405"/>
      <c r="E717" s="410">
        <v>44296</v>
      </c>
      <c r="F717" s="410">
        <v>44362</v>
      </c>
      <c r="G717" s="405" t="s">
        <v>8814</v>
      </c>
      <c r="H717" s="405">
        <v>701239767</v>
      </c>
      <c r="I717" s="405">
        <v>778939199</v>
      </c>
      <c r="J717" s="405">
        <v>0.35625299999999999</v>
      </c>
      <c r="K717" s="405">
        <v>32.586804999999998</v>
      </c>
      <c r="L717" s="405" t="s">
        <v>314</v>
      </c>
      <c r="M717" s="405" t="s">
        <v>349</v>
      </c>
      <c r="N717" s="405" t="s">
        <v>8815</v>
      </c>
      <c r="O717" s="405" t="s">
        <v>656</v>
      </c>
      <c r="P717" s="405" t="s">
        <v>8816</v>
      </c>
      <c r="Q717" s="411">
        <v>13</v>
      </c>
      <c r="R717" s="405" t="s">
        <v>32157</v>
      </c>
      <c r="S717" s="405" t="s">
        <v>27035</v>
      </c>
      <c r="T717" s="405" t="s">
        <v>32102</v>
      </c>
      <c r="U717" s="405" t="s">
        <v>319</v>
      </c>
    </row>
    <row r="718" spans="1:21" x14ac:dyDescent="0.25">
      <c r="A718" s="405" t="s">
        <v>310</v>
      </c>
      <c r="B718" s="405" t="s">
        <v>8759</v>
      </c>
      <c r="C718" s="405" t="s">
        <v>327</v>
      </c>
      <c r="D718" s="405"/>
      <c r="E718" s="410">
        <v>44295</v>
      </c>
      <c r="F718" s="410">
        <v>44333</v>
      </c>
      <c r="G718" s="405" t="s">
        <v>8760</v>
      </c>
      <c r="H718" s="405" t="s">
        <v>8761</v>
      </c>
      <c r="I718" s="405" t="s">
        <v>2913</v>
      </c>
      <c r="J718" s="405">
        <v>0.27308700000000002</v>
      </c>
      <c r="K718" s="405">
        <v>32.466188000000002</v>
      </c>
      <c r="L718" s="405" t="s">
        <v>314</v>
      </c>
      <c r="M718" s="405" t="s">
        <v>361</v>
      </c>
      <c r="N718" s="405" t="s">
        <v>375</v>
      </c>
      <c r="O718" s="405" t="s">
        <v>375</v>
      </c>
      <c r="P718" s="405" t="s">
        <v>4995</v>
      </c>
      <c r="Q718" s="411">
        <v>6</v>
      </c>
      <c r="R718" s="405" t="s">
        <v>32101</v>
      </c>
      <c r="S718" s="405" t="s">
        <v>27034</v>
      </c>
      <c r="T718" s="405" t="s">
        <v>32102</v>
      </c>
      <c r="U718" s="405" t="s">
        <v>319</v>
      </c>
    </row>
    <row r="719" spans="1:21" x14ac:dyDescent="0.25">
      <c r="A719" s="405" t="s">
        <v>310</v>
      </c>
      <c r="B719" s="405" t="s">
        <v>8842</v>
      </c>
      <c r="C719" s="405" t="s">
        <v>327</v>
      </c>
      <c r="D719" s="405"/>
      <c r="E719" s="410">
        <v>44293</v>
      </c>
      <c r="F719" s="410">
        <v>44385</v>
      </c>
      <c r="G719" s="405" t="s">
        <v>8843</v>
      </c>
      <c r="H719" s="405">
        <v>701479597</v>
      </c>
      <c r="I719" s="405">
        <v>774594163</v>
      </c>
      <c r="J719" s="405">
        <v>-0.66140699999999997</v>
      </c>
      <c r="K719" s="405">
        <v>31.486654999999999</v>
      </c>
      <c r="L719" s="405" t="s">
        <v>314</v>
      </c>
      <c r="M719" s="405" t="s">
        <v>398</v>
      </c>
      <c r="N719" s="405" t="s">
        <v>8844</v>
      </c>
      <c r="O719" s="405" t="s">
        <v>1225</v>
      </c>
      <c r="P719" s="405" t="s">
        <v>8845</v>
      </c>
      <c r="Q719" s="411">
        <v>13</v>
      </c>
      <c r="R719" s="405" t="s">
        <v>5986</v>
      </c>
      <c r="S719" s="405" t="s">
        <v>5986</v>
      </c>
      <c r="T719" s="405" t="s">
        <v>32102</v>
      </c>
      <c r="U719" s="405" t="s">
        <v>319</v>
      </c>
    </row>
    <row r="720" spans="1:21" x14ac:dyDescent="0.25">
      <c r="A720" s="405" t="s">
        <v>310</v>
      </c>
      <c r="B720" s="405" t="s">
        <v>8779</v>
      </c>
      <c r="C720" s="405" t="s">
        <v>327</v>
      </c>
      <c r="D720" s="405"/>
      <c r="E720" s="410">
        <v>44293</v>
      </c>
      <c r="F720" s="410">
        <v>44334</v>
      </c>
      <c r="G720" s="405" t="s">
        <v>8780</v>
      </c>
      <c r="H720" s="405" t="s">
        <v>8781</v>
      </c>
      <c r="I720" s="405" t="s">
        <v>2913</v>
      </c>
      <c r="J720" s="405">
        <v>1.408717</v>
      </c>
      <c r="K720" s="405">
        <v>32.261296999999999</v>
      </c>
      <c r="L720" s="405" t="s">
        <v>314</v>
      </c>
      <c r="M720" s="405" t="s">
        <v>591</v>
      </c>
      <c r="N720" s="405" t="s">
        <v>8782</v>
      </c>
      <c r="O720" s="405" t="s">
        <v>8783</v>
      </c>
      <c r="P720" s="405" t="s">
        <v>8784</v>
      </c>
      <c r="Q720" s="411">
        <v>13</v>
      </c>
      <c r="R720" s="405" t="s">
        <v>32157</v>
      </c>
      <c r="S720" s="405" t="s">
        <v>27046</v>
      </c>
      <c r="T720" s="405" t="s">
        <v>32102</v>
      </c>
      <c r="U720" s="405" t="s">
        <v>319</v>
      </c>
    </row>
    <row r="721" spans="1:21" x14ac:dyDescent="0.25">
      <c r="A721" s="405" t="s">
        <v>310</v>
      </c>
      <c r="B721" s="405" t="s">
        <v>26375</v>
      </c>
      <c r="C721" s="405" t="s">
        <v>327</v>
      </c>
      <c r="D721" s="405"/>
      <c r="E721" s="410">
        <v>44292</v>
      </c>
      <c r="F721" s="410">
        <v>44302</v>
      </c>
      <c r="G721" s="405" t="s">
        <v>26376</v>
      </c>
      <c r="H721" s="405" t="s">
        <v>26377</v>
      </c>
      <c r="I721" s="405" t="s">
        <v>2913</v>
      </c>
      <c r="J721" s="405">
        <v>0.18781600000000001</v>
      </c>
      <c r="K721" s="405">
        <v>30.452866</v>
      </c>
      <c r="L721" s="405" t="s">
        <v>590</v>
      </c>
      <c r="M721" s="405" t="s">
        <v>7352</v>
      </c>
      <c r="N721" s="405" t="s">
        <v>22346</v>
      </c>
      <c r="O721" s="405" t="s">
        <v>11792</v>
      </c>
      <c r="P721" s="405" t="s">
        <v>672</v>
      </c>
      <c r="Q721" s="411">
        <v>9</v>
      </c>
      <c r="R721" s="405" t="s">
        <v>6013</v>
      </c>
      <c r="S721" s="405" t="s">
        <v>27181</v>
      </c>
      <c r="T721" s="405" t="s">
        <v>32102</v>
      </c>
      <c r="U721" s="405" t="s">
        <v>319</v>
      </c>
    </row>
    <row r="722" spans="1:21" x14ac:dyDescent="0.25">
      <c r="A722" s="405" t="s">
        <v>310</v>
      </c>
      <c r="B722" s="405" t="s">
        <v>8681</v>
      </c>
      <c r="C722" s="405" t="s">
        <v>327</v>
      </c>
      <c r="D722" s="405"/>
      <c r="E722" s="410">
        <v>44291</v>
      </c>
      <c r="F722" s="410">
        <v>44314</v>
      </c>
      <c r="G722" s="405" t="s">
        <v>8682</v>
      </c>
      <c r="H722" s="405" t="s">
        <v>8683</v>
      </c>
      <c r="I722" s="405" t="s">
        <v>2913</v>
      </c>
      <c r="J722" s="405">
        <v>0.16408500000000001</v>
      </c>
      <c r="K722" s="405">
        <v>32.428359999999998</v>
      </c>
      <c r="L722" s="405" t="s">
        <v>314</v>
      </c>
      <c r="M722" s="405" t="s">
        <v>361</v>
      </c>
      <c r="N722" s="405" t="s">
        <v>2091</v>
      </c>
      <c r="O722" s="405" t="s">
        <v>8684</v>
      </c>
      <c r="P722" s="405" t="s">
        <v>8685</v>
      </c>
      <c r="Q722" s="411">
        <v>9</v>
      </c>
      <c r="R722" s="405" t="s">
        <v>7269</v>
      </c>
      <c r="S722" s="405" t="s">
        <v>27039</v>
      </c>
      <c r="T722" s="405" t="s">
        <v>32102</v>
      </c>
      <c r="U722" s="405" t="s">
        <v>319</v>
      </c>
    </row>
    <row r="723" spans="1:21" x14ac:dyDescent="0.25">
      <c r="A723" s="405" t="s">
        <v>310</v>
      </c>
      <c r="B723" s="405" t="s">
        <v>8809</v>
      </c>
      <c r="C723" s="405" t="s">
        <v>327</v>
      </c>
      <c r="D723" s="405"/>
      <c r="E723" s="410">
        <v>44290</v>
      </c>
      <c r="F723" s="410">
        <v>44357</v>
      </c>
      <c r="G723" s="405" t="s">
        <v>8810</v>
      </c>
      <c r="H723" s="405" t="s">
        <v>8811</v>
      </c>
      <c r="I723" s="405" t="s">
        <v>2913</v>
      </c>
      <c r="J723" s="405">
        <v>0.34918700000000003</v>
      </c>
      <c r="K723" s="405">
        <v>32.762309999999999</v>
      </c>
      <c r="L723" s="405" t="s">
        <v>314</v>
      </c>
      <c r="M723" s="405" t="s">
        <v>349</v>
      </c>
      <c r="N723" s="405" t="s">
        <v>5950</v>
      </c>
      <c r="O723" s="405" t="s">
        <v>2176</v>
      </c>
      <c r="P723" s="405" t="s">
        <v>8812</v>
      </c>
      <c r="Q723" s="411">
        <v>13</v>
      </c>
      <c r="R723" s="405" t="s">
        <v>32157</v>
      </c>
      <c r="S723" s="405" t="s">
        <v>27049</v>
      </c>
      <c r="T723" s="405" t="s">
        <v>32102</v>
      </c>
      <c r="U723" s="405" t="s">
        <v>319</v>
      </c>
    </row>
    <row r="724" spans="1:21" x14ac:dyDescent="0.25">
      <c r="A724" s="405" t="s">
        <v>310</v>
      </c>
      <c r="B724" s="405" t="s">
        <v>8690</v>
      </c>
      <c r="C724" s="405" t="s">
        <v>327</v>
      </c>
      <c r="D724" s="405"/>
      <c r="E724" s="410">
        <v>44288</v>
      </c>
      <c r="F724" s="410">
        <v>44302</v>
      </c>
      <c r="G724" s="405" t="s">
        <v>8691</v>
      </c>
      <c r="H724" s="405" t="s">
        <v>8692</v>
      </c>
      <c r="I724" s="405" t="s">
        <v>8693</v>
      </c>
      <c r="J724" s="405">
        <v>0.62407199999999996</v>
      </c>
      <c r="K724" s="405">
        <v>32.61589</v>
      </c>
      <c r="L724" s="405" t="s">
        <v>314</v>
      </c>
      <c r="M724" s="405" t="s">
        <v>959</v>
      </c>
      <c r="N724" s="405" t="s">
        <v>960</v>
      </c>
      <c r="O724" s="405" t="s">
        <v>961</v>
      </c>
      <c r="P724" s="405" t="s">
        <v>8694</v>
      </c>
      <c r="Q724" s="411">
        <v>13</v>
      </c>
      <c r="R724" s="405" t="s">
        <v>4176</v>
      </c>
      <c r="S724" s="405" t="s">
        <v>27059</v>
      </c>
      <c r="T724" s="405" t="s">
        <v>32102</v>
      </c>
      <c r="U724" s="405" t="s">
        <v>319</v>
      </c>
    </row>
    <row r="725" spans="1:21" x14ac:dyDescent="0.25">
      <c r="A725" s="405" t="s">
        <v>310</v>
      </c>
      <c r="B725" s="405" t="s">
        <v>26325</v>
      </c>
      <c r="C725" s="405" t="s">
        <v>327</v>
      </c>
      <c r="D725" s="405"/>
      <c r="E725" s="410">
        <v>44288</v>
      </c>
      <c r="F725" s="410">
        <v>44308</v>
      </c>
      <c r="G725" s="405" t="s">
        <v>26326</v>
      </c>
      <c r="H725" s="405" t="s">
        <v>26327</v>
      </c>
      <c r="I725" s="405" t="s">
        <v>2913</v>
      </c>
      <c r="J725" s="405">
        <v>1.31176</v>
      </c>
      <c r="K725" s="405">
        <v>30.927643</v>
      </c>
      <c r="L725" s="405" t="s">
        <v>590</v>
      </c>
      <c r="M725" s="405" t="s">
        <v>8736</v>
      </c>
      <c r="N725" s="405" t="s">
        <v>8736</v>
      </c>
      <c r="O725" s="405" t="s">
        <v>21577</v>
      </c>
      <c r="P725" s="405" t="s">
        <v>26328</v>
      </c>
      <c r="Q725" s="411">
        <v>9</v>
      </c>
      <c r="R725" s="405" t="s">
        <v>32101</v>
      </c>
      <c r="S725" s="405" t="s">
        <v>27065</v>
      </c>
      <c r="T725" s="405" t="s">
        <v>32102</v>
      </c>
      <c r="U725" s="405" t="s">
        <v>319</v>
      </c>
    </row>
    <row r="726" spans="1:21" x14ac:dyDescent="0.25">
      <c r="A726" s="405" t="s">
        <v>310</v>
      </c>
      <c r="B726" s="405" t="s">
        <v>8677</v>
      </c>
      <c r="C726" s="405" t="s">
        <v>327</v>
      </c>
      <c r="D726" s="405"/>
      <c r="E726" s="410">
        <v>44287</v>
      </c>
      <c r="F726" s="410">
        <v>44292</v>
      </c>
      <c r="G726" s="405" t="s">
        <v>8678</v>
      </c>
      <c r="H726" s="405" t="s">
        <v>8679</v>
      </c>
      <c r="I726" s="405" t="s">
        <v>2913</v>
      </c>
      <c r="J726" s="405">
        <v>0.80443699999999996</v>
      </c>
      <c r="K726" s="405">
        <v>32.507052999999999</v>
      </c>
      <c r="L726" s="405" t="s">
        <v>314</v>
      </c>
      <c r="M726" s="405" t="s">
        <v>959</v>
      </c>
      <c r="N726" s="405" t="s">
        <v>6270</v>
      </c>
      <c r="O726" s="405" t="s">
        <v>8680</v>
      </c>
      <c r="P726" s="405" t="s">
        <v>4374</v>
      </c>
      <c r="Q726" s="411">
        <v>6</v>
      </c>
      <c r="R726" s="405" t="s">
        <v>7211</v>
      </c>
      <c r="S726" s="405" t="s">
        <v>6918</v>
      </c>
      <c r="T726" s="405" t="s">
        <v>32102</v>
      </c>
      <c r="U726" s="405" t="s">
        <v>319</v>
      </c>
    </row>
    <row r="727" spans="1:21" x14ac:dyDescent="0.25">
      <c r="A727" s="405" t="s">
        <v>310</v>
      </c>
      <c r="B727" s="405" t="s">
        <v>26370</v>
      </c>
      <c r="C727" s="405" t="s">
        <v>327</v>
      </c>
      <c r="D727" s="405"/>
      <c r="E727" s="410">
        <v>44285</v>
      </c>
      <c r="F727" s="410">
        <v>44296</v>
      </c>
      <c r="G727" s="405" t="s">
        <v>26371</v>
      </c>
      <c r="H727" s="405" t="s">
        <v>26372</v>
      </c>
      <c r="I727" s="405" t="s">
        <v>26373</v>
      </c>
      <c r="J727" s="405">
        <v>1.3238160000000001</v>
      </c>
      <c r="K727" s="405">
        <v>30.888110999999999</v>
      </c>
      <c r="L727" s="405" t="s">
        <v>590</v>
      </c>
      <c r="M727" s="405" t="s">
        <v>8736</v>
      </c>
      <c r="N727" s="405" t="s">
        <v>20450</v>
      </c>
      <c r="O727" s="405" t="s">
        <v>26374</v>
      </c>
      <c r="P727" s="405" t="s">
        <v>24785</v>
      </c>
      <c r="Q727" s="411">
        <v>8</v>
      </c>
      <c r="R727" s="405" t="s">
        <v>6013</v>
      </c>
      <c r="S727" s="405" t="s">
        <v>27065</v>
      </c>
      <c r="T727" s="405" t="s">
        <v>32102</v>
      </c>
      <c r="U727" s="405" t="s">
        <v>319</v>
      </c>
    </row>
    <row r="728" spans="1:21" x14ac:dyDescent="0.25">
      <c r="A728" s="405" t="s">
        <v>310</v>
      </c>
      <c r="B728" s="405" t="s">
        <v>8673</v>
      </c>
      <c r="C728" s="405" t="s">
        <v>327</v>
      </c>
      <c r="D728" s="405"/>
      <c r="E728" s="410">
        <v>44285</v>
      </c>
      <c r="F728" s="410">
        <v>44291</v>
      </c>
      <c r="G728" s="405" t="s">
        <v>8674</v>
      </c>
      <c r="H728" s="405" t="s">
        <v>8675</v>
      </c>
      <c r="I728" s="405" t="s">
        <v>2913</v>
      </c>
      <c r="J728" s="405">
        <v>0.80422000000000005</v>
      </c>
      <c r="K728" s="405">
        <v>32.507033</v>
      </c>
      <c r="L728" s="405" t="s">
        <v>314</v>
      </c>
      <c r="M728" s="405" t="s">
        <v>959</v>
      </c>
      <c r="N728" s="405" t="s">
        <v>1094</v>
      </c>
      <c r="O728" s="405" t="s">
        <v>1094</v>
      </c>
      <c r="P728" s="405" t="s">
        <v>8676</v>
      </c>
      <c r="Q728" s="411">
        <v>6</v>
      </c>
      <c r="R728" s="405" t="s">
        <v>7211</v>
      </c>
      <c r="S728" s="405" t="s">
        <v>6918</v>
      </c>
      <c r="T728" s="405" t="s">
        <v>32102</v>
      </c>
      <c r="U728" s="405" t="s">
        <v>319</v>
      </c>
    </row>
    <row r="729" spans="1:21" x14ac:dyDescent="0.25">
      <c r="A729" s="405" t="s">
        <v>310</v>
      </c>
      <c r="B729" s="405" t="s">
        <v>26366</v>
      </c>
      <c r="C729" s="405" t="s">
        <v>327</v>
      </c>
      <c r="D729" s="405"/>
      <c r="E729" s="410">
        <v>44284</v>
      </c>
      <c r="F729" s="410">
        <v>44294</v>
      </c>
      <c r="G729" s="405" t="s">
        <v>26367</v>
      </c>
      <c r="H729" s="405" t="s">
        <v>26368</v>
      </c>
      <c r="I729" s="405" t="s">
        <v>26369</v>
      </c>
      <c r="J729" s="405">
        <v>1.3200179999999999</v>
      </c>
      <c r="K729" s="405">
        <v>30.918603000000001</v>
      </c>
      <c r="L729" s="405" t="s">
        <v>590</v>
      </c>
      <c r="M729" s="405" t="s">
        <v>8736</v>
      </c>
      <c r="N729" s="405" t="s">
        <v>20450</v>
      </c>
      <c r="O729" s="405" t="s">
        <v>26360</v>
      </c>
      <c r="P729" s="405" t="s">
        <v>22580</v>
      </c>
      <c r="Q729" s="411">
        <v>8</v>
      </c>
      <c r="R729" s="405" t="s">
        <v>6013</v>
      </c>
      <c r="S729" s="405" t="s">
        <v>27280</v>
      </c>
      <c r="T729" s="405" t="s">
        <v>32102</v>
      </c>
      <c r="U729" s="405" t="s">
        <v>319</v>
      </c>
    </row>
    <row r="730" spans="1:21" x14ac:dyDescent="0.25">
      <c r="A730" s="405" t="s">
        <v>310</v>
      </c>
      <c r="B730" s="405" t="s">
        <v>8669</v>
      </c>
      <c r="C730" s="405" t="s">
        <v>327</v>
      </c>
      <c r="D730" s="405"/>
      <c r="E730" s="410">
        <v>44284</v>
      </c>
      <c r="F730" s="410">
        <v>44291</v>
      </c>
      <c r="G730" s="405" t="s">
        <v>8670</v>
      </c>
      <c r="H730" s="405" t="s">
        <v>8671</v>
      </c>
      <c r="I730" s="405" t="s">
        <v>2913</v>
      </c>
      <c r="J730" s="405">
        <v>0.80433299999999996</v>
      </c>
      <c r="K730" s="405">
        <v>32.507066999999999</v>
      </c>
      <c r="L730" s="405" t="s">
        <v>314</v>
      </c>
      <c r="M730" s="405" t="s">
        <v>959</v>
      </c>
      <c r="N730" s="405" t="s">
        <v>960</v>
      </c>
      <c r="O730" s="405" t="s">
        <v>4400</v>
      </c>
      <c r="P730" s="405" t="s">
        <v>8672</v>
      </c>
      <c r="Q730" s="411">
        <v>6</v>
      </c>
      <c r="R730" s="405" t="s">
        <v>7211</v>
      </c>
      <c r="S730" s="405" t="s">
        <v>6918</v>
      </c>
      <c r="T730" s="405" t="s">
        <v>32102</v>
      </c>
      <c r="U730" s="405" t="s">
        <v>319</v>
      </c>
    </row>
    <row r="731" spans="1:21" x14ac:dyDescent="0.25">
      <c r="A731" s="405" t="s">
        <v>310</v>
      </c>
      <c r="B731" s="405" t="s">
        <v>26387</v>
      </c>
      <c r="C731" s="405" t="s">
        <v>327</v>
      </c>
      <c r="D731" s="405"/>
      <c r="E731" s="410">
        <v>44283</v>
      </c>
      <c r="F731" s="410">
        <v>44291</v>
      </c>
      <c r="G731" s="405" t="s">
        <v>26388</v>
      </c>
      <c r="H731" s="405">
        <v>782588819</v>
      </c>
      <c r="I731" s="405" t="s">
        <v>2913</v>
      </c>
      <c r="J731" s="405">
        <v>-0.11434999999999999</v>
      </c>
      <c r="K731" s="405">
        <v>31.015339999999998</v>
      </c>
      <c r="L731" s="405" t="s">
        <v>590</v>
      </c>
      <c r="M731" s="405" t="s">
        <v>19705</v>
      </c>
      <c r="N731" s="405" t="s">
        <v>26389</v>
      </c>
      <c r="O731" s="405" t="s">
        <v>1215</v>
      </c>
      <c r="P731" s="405" t="s">
        <v>26390</v>
      </c>
      <c r="Q731" s="411">
        <v>9</v>
      </c>
      <c r="R731" s="405" t="s">
        <v>874</v>
      </c>
      <c r="S731" s="405" t="s">
        <v>27405</v>
      </c>
      <c r="T731" s="405" t="s">
        <v>32102</v>
      </c>
      <c r="U731" s="405" t="s">
        <v>319</v>
      </c>
    </row>
    <row r="732" spans="1:21" x14ac:dyDescent="0.25">
      <c r="A732" s="405" t="s">
        <v>310</v>
      </c>
      <c r="B732" s="405" t="s">
        <v>26356</v>
      </c>
      <c r="C732" s="405" t="s">
        <v>327</v>
      </c>
      <c r="D732" s="405"/>
      <c r="E732" s="410">
        <v>44283</v>
      </c>
      <c r="F732" s="410">
        <v>44293</v>
      </c>
      <c r="G732" s="405" t="s">
        <v>26357</v>
      </c>
      <c r="H732" s="405" t="s">
        <v>26358</v>
      </c>
      <c r="I732" s="405" t="s">
        <v>26359</v>
      </c>
      <c r="J732" s="405">
        <v>1.242183</v>
      </c>
      <c r="K732" s="405">
        <v>30.997848999999999</v>
      </c>
      <c r="L732" s="405" t="s">
        <v>590</v>
      </c>
      <c r="M732" s="405" t="s">
        <v>8736</v>
      </c>
      <c r="N732" s="405" t="s">
        <v>20450</v>
      </c>
      <c r="O732" s="405" t="s">
        <v>26360</v>
      </c>
      <c r="P732" s="405" t="s">
        <v>26361</v>
      </c>
      <c r="Q732" s="411">
        <v>8</v>
      </c>
      <c r="R732" s="405" t="s">
        <v>6013</v>
      </c>
      <c r="S732" s="405" t="s">
        <v>27181</v>
      </c>
      <c r="T732" s="405" t="s">
        <v>32102</v>
      </c>
      <c r="U732" s="405" t="s">
        <v>319</v>
      </c>
    </row>
    <row r="733" spans="1:21" x14ac:dyDescent="0.25">
      <c r="A733" s="405" t="s">
        <v>310</v>
      </c>
      <c r="B733" s="405" t="s">
        <v>26362</v>
      </c>
      <c r="C733" s="405" t="s">
        <v>327</v>
      </c>
      <c r="D733" s="405"/>
      <c r="E733" s="410">
        <v>44283</v>
      </c>
      <c r="F733" s="410">
        <v>44293</v>
      </c>
      <c r="G733" s="405" t="s">
        <v>26363</v>
      </c>
      <c r="H733" s="405" t="s">
        <v>26364</v>
      </c>
      <c r="I733" s="405" t="s">
        <v>26365</v>
      </c>
      <c r="J733" s="405">
        <v>1.311056</v>
      </c>
      <c r="K733" s="405">
        <v>30.890263000000001</v>
      </c>
      <c r="L733" s="405" t="s">
        <v>590</v>
      </c>
      <c r="M733" s="405" t="s">
        <v>8736</v>
      </c>
      <c r="N733" s="405" t="s">
        <v>26360</v>
      </c>
      <c r="O733" s="405" t="s">
        <v>20450</v>
      </c>
      <c r="P733" s="405" t="s">
        <v>8738</v>
      </c>
      <c r="Q733" s="411">
        <v>8</v>
      </c>
      <c r="R733" s="405" t="s">
        <v>6013</v>
      </c>
      <c r="S733" s="405" t="s">
        <v>27186</v>
      </c>
      <c r="T733" s="405" t="s">
        <v>32102</v>
      </c>
      <c r="U733" s="405" t="s">
        <v>319</v>
      </c>
    </row>
    <row r="734" spans="1:21" x14ac:dyDescent="0.25">
      <c r="A734" s="405" t="s">
        <v>310</v>
      </c>
      <c r="B734" s="405" t="s">
        <v>8664</v>
      </c>
      <c r="C734" s="405" t="s">
        <v>327</v>
      </c>
      <c r="D734" s="405"/>
      <c r="E734" s="410">
        <v>44283</v>
      </c>
      <c r="F734" s="410">
        <v>44291</v>
      </c>
      <c r="G734" s="405" t="s">
        <v>8665</v>
      </c>
      <c r="H734" s="405" t="s">
        <v>8666</v>
      </c>
      <c r="I734" s="405" t="s">
        <v>2913</v>
      </c>
      <c r="J734" s="405">
        <v>0.80435000000000001</v>
      </c>
      <c r="K734" s="405">
        <v>32.507114999999999</v>
      </c>
      <c r="L734" s="405" t="s">
        <v>314</v>
      </c>
      <c r="M734" s="405" t="s">
        <v>959</v>
      </c>
      <c r="N734" s="405" t="s">
        <v>1094</v>
      </c>
      <c r="O734" s="405" t="s">
        <v>7623</v>
      </c>
      <c r="P734" s="405" t="s">
        <v>6311</v>
      </c>
      <c r="Q734" s="411">
        <v>6</v>
      </c>
      <c r="R734" s="405" t="s">
        <v>7211</v>
      </c>
      <c r="S734" s="405" t="s">
        <v>6918</v>
      </c>
      <c r="T734" s="405" t="s">
        <v>32102</v>
      </c>
      <c r="U734" s="405" t="s">
        <v>319</v>
      </c>
    </row>
    <row r="735" spans="1:21" x14ac:dyDescent="0.25">
      <c r="A735" s="405" t="s">
        <v>310</v>
      </c>
      <c r="B735" s="405" t="s">
        <v>8660</v>
      </c>
      <c r="C735" s="405" t="s">
        <v>327</v>
      </c>
      <c r="D735" s="405"/>
      <c r="E735" s="410">
        <v>44283</v>
      </c>
      <c r="F735" s="410">
        <v>44288</v>
      </c>
      <c r="G735" s="405" t="s">
        <v>8661</v>
      </c>
      <c r="H735" s="405" t="s">
        <v>8662</v>
      </c>
      <c r="I735" s="405" t="s">
        <v>2913</v>
      </c>
      <c r="J735" s="405">
        <v>0.80415499999999995</v>
      </c>
      <c r="K735" s="405">
        <v>32.506970000000003</v>
      </c>
      <c r="L735" s="405" t="s">
        <v>314</v>
      </c>
      <c r="M735" s="405" t="s">
        <v>959</v>
      </c>
      <c r="N735" s="405" t="s">
        <v>1094</v>
      </c>
      <c r="O735" s="405" t="s">
        <v>7623</v>
      </c>
      <c r="P735" s="405" t="s">
        <v>8663</v>
      </c>
      <c r="Q735" s="411">
        <v>6</v>
      </c>
      <c r="R735" s="405" t="s">
        <v>7211</v>
      </c>
      <c r="S735" s="405" t="s">
        <v>6918</v>
      </c>
      <c r="T735" s="405" t="s">
        <v>32102</v>
      </c>
      <c r="U735" s="405" t="s">
        <v>319</v>
      </c>
    </row>
    <row r="736" spans="1:21" x14ac:dyDescent="0.25">
      <c r="A736" s="405" t="s">
        <v>310</v>
      </c>
      <c r="B736" s="405" t="s">
        <v>8657</v>
      </c>
      <c r="C736" s="405" t="s">
        <v>327</v>
      </c>
      <c r="D736" s="405"/>
      <c r="E736" s="410">
        <v>44282</v>
      </c>
      <c r="F736" s="410">
        <v>44315</v>
      </c>
      <c r="G736" s="405" t="s">
        <v>8658</v>
      </c>
      <c r="H736" s="405" t="s">
        <v>8659</v>
      </c>
      <c r="I736" s="405" t="s">
        <v>2913</v>
      </c>
      <c r="J736" s="405">
        <v>0.54749800000000004</v>
      </c>
      <c r="K736" s="405">
        <v>32.739573</v>
      </c>
      <c r="L736" s="405" t="s">
        <v>314</v>
      </c>
      <c r="M736" s="405" t="s">
        <v>329</v>
      </c>
      <c r="N736" s="405" t="s">
        <v>528</v>
      </c>
      <c r="O736" s="405" t="s">
        <v>2228</v>
      </c>
      <c r="P736" s="405" t="s">
        <v>1945</v>
      </c>
      <c r="Q736" s="411">
        <v>6</v>
      </c>
      <c r="R736" s="405" t="s">
        <v>6798</v>
      </c>
      <c r="S736" s="405" t="s">
        <v>27049</v>
      </c>
      <c r="T736" s="405" t="s">
        <v>32102</v>
      </c>
      <c r="U736" s="405" t="s">
        <v>319</v>
      </c>
    </row>
    <row r="737" spans="1:21" x14ac:dyDescent="0.25">
      <c r="A737" s="405" t="s">
        <v>310</v>
      </c>
      <c r="B737" s="405" t="s">
        <v>8578</v>
      </c>
      <c r="C737" s="405" t="s">
        <v>327</v>
      </c>
      <c r="D737" s="405"/>
      <c r="E737" s="410">
        <v>44225</v>
      </c>
      <c r="F737" s="410">
        <v>44231</v>
      </c>
      <c r="G737" s="405" t="s">
        <v>8579</v>
      </c>
      <c r="H737" s="405" t="s">
        <v>8580</v>
      </c>
      <c r="I737" s="405" t="s">
        <v>2913</v>
      </c>
      <c r="J737" s="405">
        <v>0.35872500000000002</v>
      </c>
      <c r="K737" s="405">
        <v>32.239995</v>
      </c>
      <c r="L737" s="405" t="s">
        <v>314</v>
      </c>
      <c r="M737" s="405" t="s">
        <v>675</v>
      </c>
      <c r="N737" s="405" t="s">
        <v>675</v>
      </c>
      <c r="O737" s="405" t="s">
        <v>4499</v>
      </c>
      <c r="P737" s="405" t="s">
        <v>1845</v>
      </c>
      <c r="Q737" s="411">
        <v>20</v>
      </c>
      <c r="R737" s="405" t="s">
        <v>32101</v>
      </c>
      <c r="S737" s="405" t="s">
        <v>27275</v>
      </c>
      <c r="T737" s="405" t="s">
        <v>32102</v>
      </c>
      <c r="U737" s="405" t="s">
        <v>319</v>
      </c>
    </row>
    <row r="738" spans="1:21" x14ac:dyDescent="0.25">
      <c r="A738" s="405" t="s">
        <v>310</v>
      </c>
      <c r="B738" s="405" t="s">
        <v>8732</v>
      </c>
      <c r="C738" s="405" t="s">
        <v>327</v>
      </c>
      <c r="D738" s="405"/>
      <c r="E738" s="410">
        <v>44279</v>
      </c>
      <c r="F738" s="410">
        <v>44302</v>
      </c>
      <c r="G738" s="405" t="s">
        <v>8733</v>
      </c>
      <c r="H738" s="405" t="s">
        <v>8734</v>
      </c>
      <c r="I738" s="405" t="s">
        <v>8735</v>
      </c>
      <c r="J738" s="405">
        <v>1.3204180000000001</v>
      </c>
      <c r="K738" s="405">
        <v>30.898098000000001</v>
      </c>
      <c r="L738" s="405" t="s">
        <v>314</v>
      </c>
      <c r="M738" s="405" t="s">
        <v>8736</v>
      </c>
      <c r="N738" s="405" t="s">
        <v>8736</v>
      </c>
      <c r="O738" s="405" t="s">
        <v>8737</v>
      </c>
      <c r="P738" s="405" t="s">
        <v>8738</v>
      </c>
      <c r="Q738" s="411">
        <v>8</v>
      </c>
      <c r="R738" s="405" t="s">
        <v>32101</v>
      </c>
      <c r="S738" s="405" t="s">
        <v>27045</v>
      </c>
      <c r="T738" s="405" t="s">
        <v>32102</v>
      </c>
      <c r="U738" s="405" t="s">
        <v>319</v>
      </c>
    </row>
    <row r="739" spans="1:21" x14ac:dyDescent="0.25">
      <c r="A739" s="405" t="s">
        <v>310</v>
      </c>
      <c r="B739" s="405" t="s">
        <v>27</v>
      </c>
      <c r="C739" s="405" t="s">
        <v>327</v>
      </c>
      <c r="D739" s="405"/>
      <c r="E739" s="410">
        <v>44278</v>
      </c>
      <c r="F739" s="410">
        <v>44285</v>
      </c>
      <c r="G739" s="405" t="s">
        <v>26264</v>
      </c>
      <c r="H739" s="405" t="s">
        <v>26265</v>
      </c>
      <c r="I739" s="405" t="s">
        <v>26266</v>
      </c>
      <c r="J739" s="405">
        <v>-0.80413000000000001</v>
      </c>
      <c r="K739" s="405">
        <v>30.308672999999999</v>
      </c>
      <c r="L739" s="405" t="s">
        <v>590</v>
      </c>
      <c r="M739" s="405" t="s">
        <v>19659</v>
      </c>
      <c r="N739" s="405" t="s">
        <v>19664</v>
      </c>
      <c r="O739" s="405" t="s">
        <v>19969</v>
      </c>
      <c r="P739" s="405" t="s">
        <v>19915</v>
      </c>
      <c r="Q739" s="411">
        <v>13</v>
      </c>
      <c r="R739" s="405" t="s">
        <v>32166</v>
      </c>
      <c r="S739" s="405" t="s">
        <v>27132</v>
      </c>
      <c r="T739" s="405" t="s">
        <v>32102</v>
      </c>
      <c r="U739" s="405" t="s">
        <v>319</v>
      </c>
    </row>
    <row r="740" spans="1:21" x14ac:dyDescent="0.25">
      <c r="A740" s="405" t="s">
        <v>310</v>
      </c>
      <c r="B740" s="405" t="s">
        <v>26321</v>
      </c>
      <c r="C740" s="405" t="s">
        <v>327</v>
      </c>
      <c r="D740" s="405"/>
      <c r="E740" s="410">
        <v>44277</v>
      </c>
      <c r="F740" s="410">
        <v>44305</v>
      </c>
      <c r="G740" s="405" t="s">
        <v>26322</v>
      </c>
      <c r="H740" s="405" t="s">
        <v>26323</v>
      </c>
      <c r="I740" s="405" t="s">
        <v>2913</v>
      </c>
      <c r="J740" s="405">
        <v>1.202853</v>
      </c>
      <c r="K740" s="405">
        <v>30.794070000000001</v>
      </c>
      <c r="L740" s="405" t="s">
        <v>590</v>
      </c>
      <c r="M740" s="405" t="s">
        <v>8736</v>
      </c>
      <c r="N740" s="405" t="s">
        <v>8736</v>
      </c>
      <c r="O740" s="405" t="s">
        <v>8737</v>
      </c>
      <c r="P740" s="405" t="s">
        <v>26324</v>
      </c>
      <c r="Q740" s="411">
        <v>8</v>
      </c>
      <c r="R740" s="405" t="s">
        <v>32101</v>
      </c>
      <c r="S740" s="405" t="s">
        <v>27281</v>
      </c>
      <c r="T740" s="405" t="s">
        <v>32102</v>
      </c>
      <c r="U740" s="405" t="s">
        <v>319</v>
      </c>
    </row>
    <row r="741" spans="1:21" x14ac:dyDescent="0.25">
      <c r="A741" s="405" t="s">
        <v>310</v>
      </c>
      <c r="B741" s="405" t="s">
        <v>26676</v>
      </c>
      <c r="C741" s="405" t="s">
        <v>311</v>
      </c>
      <c r="D741" s="405" t="s">
        <v>1142</v>
      </c>
      <c r="E741" s="410">
        <v>44277</v>
      </c>
      <c r="F741" s="410">
        <v>44304</v>
      </c>
      <c r="G741" s="405" t="s">
        <v>26677</v>
      </c>
      <c r="H741" s="405" t="s">
        <v>26678</v>
      </c>
      <c r="I741" s="405" t="s">
        <v>26679</v>
      </c>
      <c r="J741" s="405">
        <v>1.3089219999999999</v>
      </c>
      <c r="K741" s="405">
        <v>30.864307</v>
      </c>
      <c r="L741" s="405" t="s">
        <v>590</v>
      </c>
      <c r="M741" s="405" t="s">
        <v>8736</v>
      </c>
      <c r="N741" s="405" t="s">
        <v>8736</v>
      </c>
      <c r="O741" s="405" t="s">
        <v>8737</v>
      </c>
      <c r="P741" s="405" t="s">
        <v>26680</v>
      </c>
      <c r="Q741" s="411">
        <v>8</v>
      </c>
      <c r="R741" s="405" t="s">
        <v>32101</v>
      </c>
      <c r="S741" s="405" t="s">
        <v>27053</v>
      </c>
      <c r="T741" s="405" t="s">
        <v>32102</v>
      </c>
      <c r="U741" s="405" t="s">
        <v>319</v>
      </c>
    </row>
    <row r="742" spans="1:21" x14ac:dyDescent="0.25">
      <c r="A742" s="405" t="s">
        <v>310</v>
      </c>
      <c r="B742" s="405" t="s">
        <v>26643</v>
      </c>
      <c r="C742" s="405" t="s">
        <v>311</v>
      </c>
      <c r="D742" s="405" t="s">
        <v>9525</v>
      </c>
      <c r="E742" s="410">
        <v>44239</v>
      </c>
      <c r="F742" s="410">
        <v>44265</v>
      </c>
      <c r="G742" s="405" t="s">
        <v>26644</v>
      </c>
      <c r="H742" s="405" t="s">
        <v>26641</v>
      </c>
      <c r="I742" s="405" t="s">
        <v>26642</v>
      </c>
      <c r="J742" s="405">
        <v>-0.597418</v>
      </c>
      <c r="K742" s="405">
        <v>30.59967</v>
      </c>
      <c r="L742" s="405" t="s">
        <v>590</v>
      </c>
      <c r="M742" s="405" t="s">
        <v>19614</v>
      </c>
      <c r="N742" s="405" t="s">
        <v>19614</v>
      </c>
      <c r="O742" s="405" t="s">
        <v>19614</v>
      </c>
      <c r="P742" s="405" t="s">
        <v>21622</v>
      </c>
      <c r="Q742" s="411">
        <v>15</v>
      </c>
      <c r="R742" s="405" t="s">
        <v>32101</v>
      </c>
      <c r="S742" s="405" t="s">
        <v>27243</v>
      </c>
      <c r="T742" s="405" t="s">
        <v>32102</v>
      </c>
      <c r="U742" s="405" t="s">
        <v>319</v>
      </c>
    </row>
    <row r="743" spans="1:21" x14ac:dyDescent="0.25">
      <c r="A743" s="405" t="s">
        <v>310</v>
      </c>
      <c r="B743" s="405" t="s">
        <v>26276</v>
      </c>
      <c r="C743" s="405" t="s">
        <v>327</v>
      </c>
      <c r="D743" s="405"/>
      <c r="E743" s="410">
        <v>44275</v>
      </c>
      <c r="F743" s="410">
        <v>44284</v>
      </c>
      <c r="G743" s="405" t="s">
        <v>26277</v>
      </c>
      <c r="H743" s="405" t="s">
        <v>26278</v>
      </c>
      <c r="I743" s="405" t="s">
        <v>26279</v>
      </c>
      <c r="J743" s="405">
        <v>-0.758772</v>
      </c>
      <c r="K743" s="405">
        <v>29.902101999999999</v>
      </c>
      <c r="L743" s="405" t="s">
        <v>590</v>
      </c>
      <c r="M743" s="405" t="s">
        <v>19619</v>
      </c>
      <c r="N743" s="405" t="s">
        <v>19793</v>
      </c>
      <c r="O743" s="405" t="s">
        <v>19794</v>
      </c>
      <c r="P743" s="405" t="s">
        <v>26280</v>
      </c>
      <c r="Q743" s="411">
        <v>13</v>
      </c>
      <c r="R743" s="405" t="s">
        <v>6572</v>
      </c>
      <c r="S743" s="405" t="s">
        <v>27095</v>
      </c>
      <c r="T743" s="405" t="s">
        <v>32102</v>
      </c>
      <c r="U743" s="405" t="s">
        <v>319</v>
      </c>
    </row>
    <row r="744" spans="1:21" x14ac:dyDescent="0.25">
      <c r="A744" s="405" t="s">
        <v>310</v>
      </c>
      <c r="B744" s="405" t="s">
        <v>26259</v>
      </c>
      <c r="C744" s="405" t="s">
        <v>327</v>
      </c>
      <c r="D744" s="405"/>
      <c r="E744" s="410">
        <v>44275</v>
      </c>
      <c r="F744" s="410">
        <v>44284</v>
      </c>
      <c r="G744" s="405" t="s">
        <v>26260</v>
      </c>
      <c r="H744" s="405" t="s">
        <v>26261</v>
      </c>
      <c r="I744" s="405" t="s">
        <v>26262</v>
      </c>
      <c r="J744" s="405">
        <v>-0.65689500000000001</v>
      </c>
      <c r="K744" s="405">
        <v>30.032662999999999</v>
      </c>
      <c r="L744" s="405" t="s">
        <v>590</v>
      </c>
      <c r="M744" s="405" t="s">
        <v>20032</v>
      </c>
      <c r="N744" s="405" t="s">
        <v>20033</v>
      </c>
      <c r="O744" s="405" t="s">
        <v>20032</v>
      </c>
      <c r="P744" s="405" t="s">
        <v>26263</v>
      </c>
      <c r="Q744" s="411">
        <v>13</v>
      </c>
      <c r="R744" s="405" t="s">
        <v>32166</v>
      </c>
      <c r="S744" s="405" t="s">
        <v>27065</v>
      </c>
      <c r="T744" s="405" t="s">
        <v>32102</v>
      </c>
      <c r="U744" s="405" t="s">
        <v>319</v>
      </c>
    </row>
    <row r="745" spans="1:21" x14ac:dyDescent="0.25">
      <c r="A745" s="405" t="s">
        <v>310</v>
      </c>
      <c r="B745" s="405" t="s">
        <v>26304</v>
      </c>
      <c r="C745" s="405" t="s">
        <v>327</v>
      </c>
      <c r="D745" s="405"/>
      <c r="E745" s="410">
        <v>44275</v>
      </c>
      <c r="F745" s="410">
        <v>44286</v>
      </c>
      <c r="G745" s="405" t="s">
        <v>26305</v>
      </c>
      <c r="H745" s="405" t="s">
        <v>26306</v>
      </c>
      <c r="I745" s="405" t="s">
        <v>26307</v>
      </c>
      <c r="J745" s="405">
        <v>-0.62972799999999995</v>
      </c>
      <c r="K745" s="405">
        <v>30.658995000000001</v>
      </c>
      <c r="L745" s="405" t="s">
        <v>590</v>
      </c>
      <c r="M745" s="405" t="s">
        <v>19614</v>
      </c>
      <c r="N745" s="405" t="s">
        <v>10031</v>
      </c>
      <c r="O745" s="405" t="s">
        <v>23816</v>
      </c>
      <c r="P745" s="405" t="s">
        <v>26308</v>
      </c>
      <c r="Q745" s="411">
        <v>9</v>
      </c>
      <c r="R745" s="405" t="s">
        <v>874</v>
      </c>
      <c r="S745" s="405" t="s">
        <v>27063</v>
      </c>
      <c r="T745" s="405" t="s">
        <v>32102</v>
      </c>
      <c r="U745" s="405" t="s">
        <v>319</v>
      </c>
    </row>
    <row r="746" spans="1:21" x14ac:dyDescent="0.25">
      <c r="A746" s="405" t="s">
        <v>310</v>
      </c>
      <c r="B746" s="405" t="s">
        <v>26349</v>
      </c>
      <c r="C746" s="405" t="s">
        <v>327</v>
      </c>
      <c r="D746" s="405"/>
      <c r="E746" s="410">
        <v>44275</v>
      </c>
      <c r="F746" s="410">
        <v>44299</v>
      </c>
      <c r="G746" s="405" t="s">
        <v>26350</v>
      </c>
      <c r="H746" s="405" t="s">
        <v>26351</v>
      </c>
      <c r="I746" s="405" t="s">
        <v>2913</v>
      </c>
      <c r="J746" s="405">
        <v>0.59727200000000003</v>
      </c>
      <c r="K746" s="405">
        <v>31.067803000000001</v>
      </c>
      <c r="L746" s="405" t="s">
        <v>590</v>
      </c>
      <c r="M746" s="405" t="s">
        <v>20757</v>
      </c>
      <c r="N746" s="405" t="s">
        <v>24588</v>
      </c>
      <c r="O746" s="405" t="s">
        <v>26341</v>
      </c>
      <c r="P746" s="405" t="s">
        <v>3168</v>
      </c>
      <c r="Q746" s="411">
        <v>6</v>
      </c>
      <c r="R746" s="405" t="s">
        <v>32157</v>
      </c>
      <c r="S746" s="405" t="s">
        <v>27061</v>
      </c>
      <c r="T746" s="405" t="s">
        <v>32102</v>
      </c>
      <c r="U746" s="405" t="s">
        <v>319</v>
      </c>
    </row>
    <row r="747" spans="1:21" x14ac:dyDescent="0.25">
      <c r="A747" s="405" t="s">
        <v>310</v>
      </c>
      <c r="B747" s="405" t="s">
        <v>8716</v>
      </c>
      <c r="C747" s="405" t="s">
        <v>327</v>
      </c>
      <c r="D747" s="405"/>
      <c r="E747" s="410">
        <v>44275</v>
      </c>
      <c r="F747" s="410">
        <v>44298</v>
      </c>
      <c r="G747" s="405" t="s">
        <v>8717</v>
      </c>
      <c r="H747" s="405" t="s">
        <v>8718</v>
      </c>
      <c r="I747" s="405" t="s">
        <v>8719</v>
      </c>
      <c r="J747" s="405">
        <v>0.53390000000000004</v>
      </c>
      <c r="K747" s="405">
        <v>32.390129999999999</v>
      </c>
      <c r="L747" s="405" t="s">
        <v>314</v>
      </c>
      <c r="M747" s="405" t="s">
        <v>361</v>
      </c>
      <c r="N747" s="405" t="s">
        <v>374</v>
      </c>
      <c r="O747" s="405" t="s">
        <v>8107</v>
      </c>
      <c r="P747" s="405" t="s">
        <v>1963</v>
      </c>
      <c r="Q747" s="411">
        <v>6</v>
      </c>
      <c r="R747" s="405" t="s">
        <v>32101</v>
      </c>
      <c r="S747" s="405" t="s">
        <v>27060</v>
      </c>
      <c r="T747" s="405" t="s">
        <v>32102</v>
      </c>
      <c r="U747" s="405" t="s">
        <v>319</v>
      </c>
    </row>
    <row r="748" spans="1:21" x14ac:dyDescent="0.25">
      <c r="A748" s="405" t="s">
        <v>310</v>
      </c>
      <c r="B748" s="405" t="s">
        <v>8652</v>
      </c>
      <c r="C748" s="405" t="s">
        <v>327</v>
      </c>
      <c r="D748" s="405"/>
      <c r="E748" s="410">
        <v>44274</v>
      </c>
      <c r="F748" s="410">
        <v>44282</v>
      </c>
      <c r="G748" s="405" t="s">
        <v>8653</v>
      </c>
      <c r="H748" s="405" t="s">
        <v>8654</v>
      </c>
      <c r="I748" s="405" t="s">
        <v>2913</v>
      </c>
      <c r="J748" s="405">
        <v>1.2381629999999999</v>
      </c>
      <c r="K748" s="405">
        <v>32.515875000000001</v>
      </c>
      <c r="L748" s="405" t="s">
        <v>314</v>
      </c>
      <c r="M748" s="405" t="s">
        <v>2512</v>
      </c>
      <c r="N748" s="405" t="s">
        <v>8655</v>
      </c>
      <c r="O748" s="405" t="s">
        <v>3906</v>
      </c>
      <c r="P748" s="405" t="s">
        <v>8656</v>
      </c>
      <c r="Q748" s="411">
        <v>9</v>
      </c>
      <c r="R748" s="405" t="s">
        <v>17977</v>
      </c>
      <c r="S748" s="405" t="s">
        <v>27056</v>
      </c>
      <c r="T748" s="405" t="s">
        <v>32102</v>
      </c>
      <c r="U748" s="405" t="s">
        <v>319</v>
      </c>
    </row>
    <row r="749" spans="1:21" x14ac:dyDescent="0.25">
      <c r="A749" s="405" t="s">
        <v>310</v>
      </c>
      <c r="B749" s="405" t="s">
        <v>26271</v>
      </c>
      <c r="C749" s="405" t="s">
        <v>327</v>
      </c>
      <c r="D749" s="405"/>
      <c r="E749" s="410">
        <v>44273</v>
      </c>
      <c r="F749" s="410">
        <v>44284</v>
      </c>
      <c r="G749" s="405" t="s">
        <v>26272</v>
      </c>
      <c r="H749" s="405" t="s">
        <v>26273</v>
      </c>
      <c r="I749" s="405" t="s">
        <v>2913</v>
      </c>
      <c r="J749" s="405">
        <v>-0.76066</v>
      </c>
      <c r="K749" s="405">
        <v>29.922072</v>
      </c>
      <c r="L749" s="405" t="s">
        <v>590</v>
      </c>
      <c r="M749" s="405" t="s">
        <v>19619</v>
      </c>
      <c r="N749" s="405" t="s">
        <v>26274</v>
      </c>
      <c r="O749" s="405" t="s">
        <v>9881</v>
      </c>
      <c r="P749" s="405" t="s">
        <v>26275</v>
      </c>
      <c r="Q749" s="411">
        <v>9</v>
      </c>
      <c r="R749" s="405" t="s">
        <v>6572</v>
      </c>
      <c r="S749" s="405" t="s">
        <v>27280</v>
      </c>
      <c r="T749" s="405" t="s">
        <v>32102</v>
      </c>
      <c r="U749" s="405" t="s">
        <v>319</v>
      </c>
    </row>
    <row r="750" spans="1:21" x14ac:dyDescent="0.25">
      <c r="A750" s="405" t="s">
        <v>310</v>
      </c>
      <c r="B750" s="405" t="s">
        <v>26317</v>
      </c>
      <c r="C750" s="405" t="s">
        <v>327</v>
      </c>
      <c r="D750" s="405"/>
      <c r="E750" s="410">
        <v>44273</v>
      </c>
      <c r="F750" s="410">
        <v>44288</v>
      </c>
      <c r="G750" s="405" t="s">
        <v>26318</v>
      </c>
      <c r="H750" s="405" t="s">
        <v>26319</v>
      </c>
      <c r="I750" s="405" t="s">
        <v>2913</v>
      </c>
      <c r="J750" s="405">
        <v>1.3080719999999999</v>
      </c>
      <c r="K750" s="405">
        <v>30.88373</v>
      </c>
      <c r="L750" s="405" t="s">
        <v>590</v>
      </c>
      <c r="M750" s="405" t="s">
        <v>8736</v>
      </c>
      <c r="N750" s="405" t="s">
        <v>8736</v>
      </c>
      <c r="O750" s="405" t="s">
        <v>8737</v>
      </c>
      <c r="P750" s="405" t="s">
        <v>26320</v>
      </c>
      <c r="Q750" s="411">
        <v>8</v>
      </c>
      <c r="R750" s="405" t="s">
        <v>32101</v>
      </c>
      <c r="S750" s="405" t="s">
        <v>27039</v>
      </c>
      <c r="T750" s="405" t="s">
        <v>32102</v>
      </c>
      <c r="U750" s="405" t="s">
        <v>319</v>
      </c>
    </row>
    <row r="751" spans="1:21" x14ac:dyDescent="0.25">
      <c r="A751" s="405" t="s">
        <v>310</v>
      </c>
      <c r="B751" s="405" t="s">
        <v>8704</v>
      </c>
      <c r="C751" s="405" t="s">
        <v>327</v>
      </c>
      <c r="D751" s="405"/>
      <c r="E751" s="410">
        <v>44271</v>
      </c>
      <c r="F751" s="410">
        <v>44289</v>
      </c>
      <c r="G751" s="405" t="s">
        <v>8705</v>
      </c>
      <c r="H751" s="405" t="s">
        <v>8706</v>
      </c>
      <c r="I751" s="405" t="s">
        <v>2913</v>
      </c>
      <c r="J751" s="405">
        <v>0.29930800000000002</v>
      </c>
      <c r="K751" s="405">
        <v>31.670853000000001</v>
      </c>
      <c r="L751" s="405" t="s">
        <v>314</v>
      </c>
      <c r="M751" s="405" t="s">
        <v>339</v>
      </c>
      <c r="N751" s="405" t="s">
        <v>1662</v>
      </c>
      <c r="O751" s="405" t="s">
        <v>1662</v>
      </c>
      <c r="P751" s="405" t="s">
        <v>8707</v>
      </c>
      <c r="Q751" s="411">
        <v>13</v>
      </c>
      <c r="R751" s="405" t="s">
        <v>32101</v>
      </c>
      <c r="S751" s="405" t="s">
        <v>27053</v>
      </c>
      <c r="T751" s="405" t="s">
        <v>32102</v>
      </c>
      <c r="U751" s="405" t="s">
        <v>319</v>
      </c>
    </row>
    <row r="752" spans="1:21" x14ac:dyDescent="0.25">
      <c r="A752" s="405" t="s">
        <v>310</v>
      </c>
      <c r="B752" s="405" t="s">
        <v>8729</v>
      </c>
      <c r="C752" s="405" t="s">
        <v>327</v>
      </c>
      <c r="D752" s="405"/>
      <c r="E752" s="410">
        <v>44271</v>
      </c>
      <c r="F752" s="410">
        <v>44301</v>
      </c>
      <c r="G752" s="405" t="s">
        <v>8730</v>
      </c>
      <c r="H752" s="405" t="s">
        <v>8731</v>
      </c>
      <c r="I752" s="405" t="s">
        <v>2913</v>
      </c>
      <c r="J752" s="405">
        <v>0.237737</v>
      </c>
      <c r="K752" s="405">
        <v>32.340780000000002</v>
      </c>
      <c r="L752" s="405" t="s">
        <v>314</v>
      </c>
      <c r="M752" s="405" t="s">
        <v>321</v>
      </c>
      <c r="N752" s="405" t="s">
        <v>1244</v>
      </c>
      <c r="O752" s="405" t="s">
        <v>1886</v>
      </c>
      <c r="P752" s="405" t="s">
        <v>3168</v>
      </c>
      <c r="Q752" s="411">
        <v>9</v>
      </c>
      <c r="R752" s="405" t="s">
        <v>32101</v>
      </c>
      <c r="S752" s="405" t="s">
        <v>27034</v>
      </c>
      <c r="T752" s="405" t="s">
        <v>32102</v>
      </c>
      <c r="U752" s="405" t="s">
        <v>319</v>
      </c>
    </row>
    <row r="753" spans="1:21" x14ac:dyDescent="0.25">
      <c r="A753" s="405" t="s">
        <v>310</v>
      </c>
      <c r="B753" s="405" t="s">
        <v>26309</v>
      </c>
      <c r="C753" s="405" t="s">
        <v>327</v>
      </c>
      <c r="D753" s="405"/>
      <c r="E753" s="410">
        <v>44269</v>
      </c>
      <c r="F753" s="410">
        <v>44306</v>
      </c>
      <c r="G753" s="405" t="s">
        <v>26310</v>
      </c>
      <c r="H753" s="405" t="s">
        <v>26311</v>
      </c>
      <c r="I753" s="405" t="s">
        <v>26312</v>
      </c>
      <c r="J753" s="405">
        <v>-0.75939299999999998</v>
      </c>
      <c r="K753" s="405">
        <v>30.163633000000001</v>
      </c>
      <c r="L753" s="405" t="s">
        <v>590</v>
      </c>
      <c r="M753" s="405" t="s">
        <v>19659</v>
      </c>
      <c r="N753" s="405" t="s">
        <v>19604</v>
      </c>
      <c r="O753" s="405" t="s">
        <v>25257</v>
      </c>
      <c r="P753" s="405" t="s">
        <v>25257</v>
      </c>
      <c r="Q753" s="411">
        <v>9</v>
      </c>
      <c r="R753" s="405" t="s">
        <v>32166</v>
      </c>
      <c r="S753" s="405" t="s">
        <v>27399</v>
      </c>
      <c r="T753" s="405" t="s">
        <v>32102</v>
      </c>
      <c r="U753" s="405" t="s">
        <v>319</v>
      </c>
    </row>
    <row r="754" spans="1:21" x14ac:dyDescent="0.25">
      <c r="A754" s="405" t="s">
        <v>310</v>
      </c>
      <c r="B754" s="405" t="s">
        <v>26294</v>
      </c>
      <c r="C754" s="405" t="s">
        <v>327</v>
      </c>
      <c r="D754" s="405"/>
      <c r="E754" s="410">
        <v>44268</v>
      </c>
      <c r="F754" s="410">
        <v>44281</v>
      </c>
      <c r="G754" s="405" t="s">
        <v>26295</v>
      </c>
      <c r="H754" s="405" t="s">
        <v>26296</v>
      </c>
      <c r="I754" s="405" t="s">
        <v>26297</v>
      </c>
      <c r="J754" s="405">
        <v>-0.88959699999999997</v>
      </c>
      <c r="K754" s="405">
        <v>30.939091999999999</v>
      </c>
      <c r="L754" s="405" t="s">
        <v>590</v>
      </c>
      <c r="M754" s="405" t="s">
        <v>879</v>
      </c>
      <c r="N754" s="405" t="s">
        <v>26298</v>
      </c>
      <c r="O754" s="405" t="s">
        <v>21350</v>
      </c>
      <c r="P754" s="405" t="s">
        <v>26299</v>
      </c>
      <c r="Q754" s="411">
        <v>9</v>
      </c>
      <c r="R754" s="405" t="s">
        <v>5665</v>
      </c>
      <c r="S754" s="405" t="s">
        <v>27051</v>
      </c>
      <c r="T754" s="405" t="s">
        <v>32102</v>
      </c>
      <c r="U754" s="405" t="s">
        <v>319</v>
      </c>
    </row>
    <row r="755" spans="1:21" x14ac:dyDescent="0.25">
      <c r="A755" s="405" t="s">
        <v>310</v>
      </c>
      <c r="B755" s="405" t="s">
        <v>17518</v>
      </c>
      <c r="C755" s="405" t="s">
        <v>327</v>
      </c>
      <c r="D755" s="405"/>
      <c r="E755" s="410">
        <v>44268</v>
      </c>
      <c r="F755" s="410">
        <v>44277</v>
      </c>
      <c r="G755" s="405" t="s">
        <v>17519</v>
      </c>
      <c r="H755" s="405" t="s">
        <v>17520</v>
      </c>
      <c r="I755" s="405" t="s">
        <v>17521</v>
      </c>
      <c r="J755" s="405">
        <v>1.2658020000000001</v>
      </c>
      <c r="K755" s="405">
        <v>34.328040000000001</v>
      </c>
      <c r="L755" s="405" t="s">
        <v>6866</v>
      </c>
      <c r="M755" s="405" t="s">
        <v>9550</v>
      </c>
      <c r="N755" s="405" t="s">
        <v>17319</v>
      </c>
      <c r="O755" s="405" t="s">
        <v>14815</v>
      </c>
      <c r="P755" s="405" t="s">
        <v>17522</v>
      </c>
      <c r="Q755" s="411">
        <v>6</v>
      </c>
      <c r="R755" s="405" t="s">
        <v>17977</v>
      </c>
      <c r="S755" s="405" t="s">
        <v>27259</v>
      </c>
      <c r="T755" s="405" t="s">
        <v>32102</v>
      </c>
      <c r="U755" s="405" t="s">
        <v>319</v>
      </c>
    </row>
    <row r="756" spans="1:21" x14ac:dyDescent="0.25">
      <c r="A756" s="405" t="s">
        <v>310</v>
      </c>
      <c r="B756" s="405" t="s">
        <v>26337</v>
      </c>
      <c r="C756" s="405" t="s">
        <v>327</v>
      </c>
      <c r="D756" s="405"/>
      <c r="E756" s="410">
        <v>44266</v>
      </c>
      <c r="F756" s="410">
        <v>44299</v>
      </c>
      <c r="G756" s="405" t="s">
        <v>26338</v>
      </c>
      <c r="H756" s="405" t="s">
        <v>26339</v>
      </c>
      <c r="I756" s="405" t="s">
        <v>26340</v>
      </c>
      <c r="J756" s="405">
        <v>0.56557999999999997</v>
      </c>
      <c r="K756" s="405">
        <v>31.072351999999999</v>
      </c>
      <c r="L756" s="405" t="s">
        <v>590</v>
      </c>
      <c r="M756" s="405" t="s">
        <v>20757</v>
      </c>
      <c r="N756" s="405" t="s">
        <v>24588</v>
      </c>
      <c r="O756" s="405" t="s">
        <v>26341</v>
      </c>
      <c r="P756" s="405" t="s">
        <v>26342</v>
      </c>
      <c r="Q756" s="411">
        <v>6</v>
      </c>
      <c r="R756" s="405" t="s">
        <v>32157</v>
      </c>
      <c r="S756" s="405" t="s">
        <v>27061</v>
      </c>
      <c r="T756" s="405" t="s">
        <v>32102</v>
      </c>
      <c r="U756" s="405" t="s">
        <v>319</v>
      </c>
    </row>
    <row r="757" spans="1:21" x14ac:dyDescent="0.25">
      <c r="A757" s="405" t="s">
        <v>310</v>
      </c>
      <c r="B757" s="405" t="s">
        <v>8152</v>
      </c>
      <c r="C757" s="405" t="s">
        <v>327</v>
      </c>
      <c r="D757" s="405"/>
      <c r="E757" s="410">
        <v>44265</v>
      </c>
      <c r="F757" s="410">
        <v>44289</v>
      </c>
      <c r="G757" s="405" t="s">
        <v>8153</v>
      </c>
      <c r="H757" s="405" t="s">
        <v>8154</v>
      </c>
      <c r="I757" s="405" t="s">
        <v>8155</v>
      </c>
      <c r="J757" s="405">
        <v>0.18489700000000001</v>
      </c>
      <c r="K757" s="405">
        <v>32.475479999999997</v>
      </c>
      <c r="L757" s="405" t="s">
        <v>314</v>
      </c>
      <c r="M757" s="405" t="s">
        <v>361</v>
      </c>
      <c r="N757" s="405" t="s">
        <v>6357</v>
      </c>
      <c r="O757" s="405" t="s">
        <v>8156</v>
      </c>
      <c r="P757" s="405" t="s">
        <v>8157</v>
      </c>
      <c r="Q757" s="411">
        <v>13</v>
      </c>
      <c r="R757" s="405" t="s">
        <v>5665</v>
      </c>
      <c r="S757" s="405" t="s">
        <v>27051</v>
      </c>
      <c r="T757" s="405" t="s">
        <v>32102</v>
      </c>
      <c r="U757" s="405" t="s">
        <v>319</v>
      </c>
    </row>
    <row r="758" spans="1:21" x14ac:dyDescent="0.25">
      <c r="A758" s="405" t="s">
        <v>310</v>
      </c>
      <c r="B758" s="405" t="s">
        <v>8712</v>
      </c>
      <c r="C758" s="405" t="s">
        <v>327</v>
      </c>
      <c r="D758" s="405"/>
      <c r="E758" s="410">
        <v>44265</v>
      </c>
      <c r="F758" s="410">
        <v>44298</v>
      </c>
      <c r="G758" s="405" t="s">
        <v>8713</v>
      </c>
      <c r="H758" s="405" t="s">
        <v>8714</v>
      </c>
      <c r="I758" s="405" t="s">
        <v>8715</v>
      </c>
      <c r="J758" s="405">
        <v>0.53254699999999999</v>
      </c>
      <c r="K758" s="405">
        <v>32.392997000000001</v>
      </c>
      <c r="L758" s="405" t="s">
        <v>314</v>
      </c>
      <c r="M758" s="405" t="s">
        <v>361</v>
      </c>
      <c r="N758" s="405" t="s">
        <v>374</v>
      </c>
      <c r="O758" s="405" t="s">
        <v>8107</v>
      </c>
      <c r="P758" s="405" t="s">
        <v>1963</v>
      </c>
      <c r="Q758" s="411">
        <v>6</v>
      </c>
      <c r="R758" s="405" t="s">
        <v>32101</v>
      </c>
      <c r="S758" s="405" t="s">
        <v>27060</v>
      </c>
      <c r="T758" s="405" t="s">
        <v>32102</v>
      </c>
      <c r="U758" s="405" t="s">
        <v>319</v>
      </c>
    </row>
    <row r="759" spans="1:21" x14ac:dyDescent="0.25">
      <c r="A759" s="405" t="s">
        <v>310</v>
      </c>
      <c r="B759" s="405" t="s">
        <v>9494</v>
      </c>
      <c r="C759" s="405" t="s">
        <v>327</v>
      </c>
      <c r="D759" s="405"/>
      <c r="E759" s="410">
        <v>44264</v>
      </c>
      <c r="F759" s="410">
        <v>44293</v>
      </c>
      <c r="G759" s="405" t="s">
        <v>9495</v>
      </c>
      <c r="H759" s="405" t="s">
        <v>9496</v>
      </c>
      <c r="I759" s="405" t="s">
        <v>9497</v>
      </c>
      <c r="J759" s="405">
        <v>0.29414499999999999</v>
      </c>
      <c r="K759" s="405">
        <v>32.519558000000004</v>
      </c>
      <c r="L759" s="405" t="s">
        <v>314</v>
      </c>
      <c r="M759" s="405" t="s">
        <v>361</v>
      </c>
      <c r="N759" s="405" t="s">
        <v>361</v>
      </c>
      <c r="O759" s="405" t="s">
        <v>375</v>
      </c>
      <c r="P759" s="405" t="s">
        <v>5659</v>
      </c>
      <c r="Q759" s="411">
        <v>13</v>
      </c>
      <c r="R759" s="405" t="s">
        <v>32101</v>
      </c>
      <c r="S759" s="405" t="s">
        <v>27193</v>
      </c>
      <c r="T759" s="405" t="s">
        <v>32102</v>
      </c>
      <c r="U759" s="405" t="s">
        <v>319</v>
      </c>
    </row>
    <row r="760" spans="1:21" x14ac:dyDescent="0.25">
      <c r="A760" s="405" t="s">
        <v>310</v>
      </c>
      <c r="B760" s="405" t="s">
        <v>8647</v>
      </c>
      <c r="C760" s="405" t="s">
        <v>327</v>
      </c>
      <c r="D760" s="405"/>
      <c r="E760" s="410">
        <v>44263</v>
      </c>
      <c r="F760" s="410">
        <v>44276</v>
      </c>
      <c r="G760" s="405" t="s">
        <v>8648</v>
      </c>
      <c r="H760" s="405" t="s">
        <v>8649</v>
      </c>
      <c r="I760" s="405" t="s">
        <v>8650</v>
      </c>
      <c r="J760" s="405">
        <v>1.307893</v>
      </c>
      <c r="K760" s="405">
        <v>32.273539999999997</v>
      </c>
      <c r="L760" s="405" t="s">
        <v>314</v>
      </c>
      <c r="M760" s="405" t="s">
        <v>2512</v>
      </c>
      <c r="N760" s="405" t="s">
        <v>2589</v>
      </c>
      <c r="O760" s="405" t="s">
        <v>2590</v>
      </c>
      <c r="P760" s="405" t="s">
        <v>8651</v>
      </c>
      <c r="Q760" s="411">
        <v>9</v>
      </c>
      <c r="R760" s="405" t="s">
        <v>17977</v>
      </c>
      <c r="S760" s="405" t="s">
        <v>27056</v>
      </c>
      <c r="T760" s="405" t="s">
        <v>32102</v>
      </c>
      <c r="U760" s="405" t="s">
        <v>319</v>
      </c>
    </row>
    <row r="761" spans="1:21" x14ac:dyDescent="0.25">
      <c r="A761" s="405" t="s">
        <v>310</v>
      </c>
      <c r="B761" s="405" t="s">
        <v>26332</v>
      </c>
      <c r="C761" s="405" t="s">
        <v>327</v>
      </c>
      <c r="D761" s="405"/>
      <c r="E761" s="410">
        <v>44263</v>
      </c>
      <c r="F761" s="410">
        <v>44301</v>
      </c>
      <c r="G761" s="405" t="s">
        <v>26333</v>
      </c>
      <c r="H761" s="405" t="s">
        <v>26334</v>
      </c>
      <c r="I761" s="405" t="s">
        <v>26335</v>
      </c>
      <c r="J761" s="405">
        <v>0.33429500000000001</v>
      </c>
      <c r="K761" s="405">
        <v>32.529480999999997</v>
      </c>
      <c r="L761" s="405" t="s">
        <v>590</v>
      </c>
      <c r="M761" s="405" t="s">
        <v>20757</v>
      </c>
      <c r="N761" s="405" t="s">
        <v>24588</v>
      </c>
      <c r="O761" s="405" t="s">
        <v>26336</v>
      </c>
      <c r="P761" s="405" t="s">
        <v>24879</v>
      </c>
      <c r="Q761" s="411">
        <v>6</v>
      </c>
      <c r="R761" s="405" t="s">
        <v>32157</v>
      </c>
      <c r="S761" s="405" t="s">
        <v>27041</v>
      </c>
      <c r="T761" s="405" t="s">
        <v>32102</v>
      </c>
      <c r="U761" s="405" t="s">
        <v>319</v>
      </c>
    </row>
    <row r="762" spans="1:21" x14ac:dyDescent="0.25">
      <c r="A762" s="405" t="s">
        <v>310</v>
      </c>
      <c r="B762" s="405" t="s">
        <v>8807</v>
      </c>
      <c r="C762" s="405" t="s">
        <v>327</v>
      </c>
      <c r="D762" s="405"/>
      <c r="E762" s="410">
        <v>44262</v>
      </c>
      <c r="F762" s="410">
        <v>44364</v>
      </c>
      <c r="G762" s="405" t="s">
        <v>8808</v>
      </c>
      <c r="H762" s="405">
        <v>702909764</v>
      </c>
      <c r="I762" s="405">
        <v>701912607</v>
      </c>
      <c r="J762" s="405">
        <v>0.422122</v>
      </c>
      <c r="K762" s="405">
        <v>32.536442000000001</v>
      </c>
      <c r="L762" s="405" t="s">
        <v>314</v>
      </c>
      <c r="M762" s="405" t="s">
        <v>361</v>
      </c>
      <c r="N762" s="405" t="s">
        <v>1290</v>
      </c>
      <c r="O762" s="405" t="s">
        <v>469</v>
      </c>
      <c r="P762" s="405" t="s">
        <v>1206</v>
      </c>
      <c r="Q762" s="411">
        <v>13</v>
      </c>
      <c r="R762" s="405" t="s">
        <v>32157</v>
      </c>
      <c r="S762" s="405" t="s">
        <v>27035</v>
      </c>
      <c r="T762" s="405" t="s">
        <v>32102</v>
      </c>
      <c r="U762" s="405" t="s">
        <v>319</v>
      </c>
    </row>
    <row r="763" spans="1:21" x14ac:dyDescent="0.25">
      <c r="A763" s="405" t="s">
        <v>310</v>
      </c>
      <c r="B763" s="405" t="s">
        <v>26421</v>
      </c>
      <c r="C763" s="405" t="s">
        <v>327</v>
      </c>
      <c r="D763" s="405"/>
      <c r="E763" s="410">
        <v>44261</v>
      </c>
      <c r="F763" s="410">
        <v>44320</v>
      </c>
      <c r="G763" s="405" t="s">
        <v>26422</v>
      </c>
      <c r="H763" s="405" t="s">
        <v>26423</v>
      </c>
      <c r="I763" s="405" t="s">
        <v>26424</v>
      </c>
      <c r="J763" s="405">
        <v>-1.2795369999999999</v>
      </c>
      <c r="K763" s="405">
        <v>29.695647999999998</v>
      </c>
      <c r="L763" s="405" t="s">
        <v>590</v>
      </c>
      <c r="M763" s="405" t="s">
        <v>20070</v>
      </c>
      <c r="N763" s="405" t="s">
        <v>26250</v>
      </c>
      <c r="O763" s="405" t="s">
        <v>11728</v>
      </c>
      <c r="P763" s="405" t="s">
        <v>26420</v>
      </c>
      <c r="Q763" s="411">
        <v>6</v>
      </c>
      <c r="R763" s="405" t="s">
        <v>24106</v>
      </c>
      <c r="S763" s="405" t="s">
        <v>27102</v>
      </c>
      <c r="T763" s="405" t="s">
        <v>32102</v>
      </c>
      <c r="U763" s="405" t="s">
        <v>319</v>
      </c>
    </row>
    <row r="764" spans="1:21" x14ac:dyDescent="0.25">
      <c r="A764" s="405" t="s">
        <v>310</v>
      </c>
      <c r="B764" s="405" t="s">
        <v>8859</v>
      </c>
      <c r="C764" s="405" t="s">
        <v>327</v>
      </c>
      <c r="D764" s="405"/>
      <c r="E764" s="410">
        <v>44259</v>
      </c>
      <c r="F764" s="410">
        <v>44387</v>
      </c>
      <c r="G764" s="405" t="s">
        <v>8860</v>
      </c>
      <c r="H764" s="405" t="s">
        <v>8861</v>
      </c>
      <c r="I764" s="405" t="s">
        <v>8862</v>
      </c>
      <c r="J764" s="405">
        <v>0.33501399999999998</v>
      </c>
      <c r="K764" s="405">
        <v>32.529671999999998</v>
      </c>
      <c r="L764" s="405" t="s">
        <v>314</v>
      </c>
      <c r="M764" s="405" t="s">
        <v>361</v>
      </c>
      <c r="N764" s="405" t="s">
        <v>374</v>
      </c>
      <c r="O764" s="405" t="s">
        <v>363</v>
      </c>
      <c r="P764" s="405" t="s">
        <v>2114</v>
      </c>
      <c r="Q764" s="411">
        <v>13</v>
      </c>
      <c r="R764" s="405" t="s">
        <v>32157</v>
      </c>
      <c r="S764" s="405" t="s">
        <v>27035</v>
      </c>
      <c r="T764" s="405" t="s">
        <v>32102</v>
      </c>
      <c r="U764" s="405" t="s">
        <v>319</v>
      </c>
    </row>
    <row r="765" spans="1:21" x14ac:dyDescent="0.25">
      <c r="A765" s="405" t="s">
        <v>310</v>
      </c>
      <c r="B765" s="405" t="s">
        <v>8621</v>
      </c>
      <c r="C765" s="405" t="s">
        <v>327</v>
      </c>
      <c r="D765" s="405"/>
      <c r="E765" s="410">
        <v>44258</v>
      </c>
      <c r="F765" s="410">
        <v>44269</v>
      </c>
      <c r="G765" s="405" t="s">
        <v>8622</v>
      </c>
      <c r="H765" s="405" t="s">
        <v>8623</v>
      </c>
      <c r="I765" s="405" t="s">
        <v>2913</v>
      </c>
      <c r="J765" s="405">
        <v>0.409246</v>
      </c>
      <c r="K765" s="405">
        <v>32.600364999999996</v>
      </c>
      <c r="L765" s="405" t="s">
        <v>314</v>
      </c>
      <c r="M765" s="405" t="s">
        <v>361</v>
      </c>
      <c r="N765" s="405" t="s">
        <v>8624</v>
      </c>
      <c r="O765" s="405" t="s">
        <v>7443</v>
      </c>
      <c r="P765" s="405" t="s">
        <v>8625</v>
      </c>
      <c r="Q765" s="411">
        <v>9</v>
      </c>
      <c r="R765" s="405" t="s">
        <v>32164</v>
      </c>
      <c r="S765" s="405" t="s">
        <v>27174</v>
      </c>
      <c r="T765" s="405" t="s">
        <v>32102</v>
      </c>
      <c r="U765" s="405" t="s">
        <v>319</v>
      </c>
    </row>
    <row r="766" spans="1:21" x14ac:dyDescent="0.25">
      <c r="A766" s="405" t="s">
        <v>310</v>
      </c>
      <c r="B766" s="405" t="s">
        <v>8788</v>
      </c>
      <c r="C766" s="405" t="s">
        <v>327</v>
      </c>
      <c r="D766" s="405"/>
      <c r="E766" s="410">
        <v>44258</v>
      </c>
      <c r="F766" s="410">
        <v>44327</v>
      </c>
      <c r="G766" s="405" t="s">
        <v>8789</v>
      </c>
      <c r="H766" s="405" t="s">
        <v>8790</v>
      </c>
      <c r="I766" s="405" t="s">
        <v>8791</v>
      </c>
      <c r="J766" s="405">
        <v>0.467613</v>
      </c>
      <c r="K766" s="405">
        <v>32.606838000000003</v>
      </c>
      <c r="L766" s="405" t="s">
        <v>314</v>
      </c>
      <c r="M766" s="405" t="s">
        <v>361</v>
      </c>
      <c r="N766" s="405" t="s">
        <v>7361</v>
      </c>
      <c r="O766" s="405" t="s">
        <v>6198</v>
      </c>
      <c r="P766" s="405" t="s">
        <v>424</v>
      </c>
      <c r="Q766" s="411">
        <v>6</v>
      </c>
      <c r="R766" s="405" t="s">
        <v>32157</v>
      </c>
      <c r="S766" s="405" t="s">
        <v>27035</v>
      </c>
      <c r="T766" s="405" t="s">
        <v>32102</v>
      </c>
      <c r="U766" s="405" t="s">
        <v>319</v>
      </c>
    </row>
    <row r="767" spans="1:21" x14ac:dyDescent="0.25">
      <c r="A767" s="405" t="s">
        <v>310</v>
      </c>
      <c r="B767" s="405" t="s">
        <v>26283</v>
      </c>
      <c r="C767" s="405" t="s">
        <v>327</v>
      </c>
      <c r="D767" s="405"/>
      <c r="E767" s="410">
        <v>44257</v>
      </c>
      <c r="F767" s="410">
        <v>44279</v>
      </c>
      <c r="G767" s="405" t="s">
        <v>26284</v>
      </c>
      <c r="H767" s="405" t="s">
        <v>26285</v>
      </c>
      <c r="I767" s="405" t="s">
        <v>2913</v>
      </c>
      <c r="J767" s="405">
        <v>-0.430674</v>
      </c>
      <c r="K767" s="405">
        <v>30.519991999999998</v>
      </c>
      <c r="L767" s="405" t="s">
        <v>590</v>
      </c>
      <c r="M767" s="405" t="s">
        <v>19614</v>
      </c>
      <c r="N767" s="405" t="s">
        <v>19615</v>
      </c>
      <c r="O767" s="405" t="s">
        <v>19650</v>
      </c>
      <c r="P767" s="405" t="s">
        <v>20132</v>
      </c>
      <c r="Q767" s="411">
        <v>13</v>
      </c>
      <c r="R767" s="405" t="s">
        <v>883</v>
      </c>
      <c r="S767" s="405" t="s">
        <v>27097</v>
      </c>
      <c r="T767" s="405" t="s">
        <v>32102</v>
      </c>
      <c r="U767" s="405" t="s">
        <v>319</v>
      </c>
    </row>
    <row r="768" spans="1:21" x14ac:dyDescent="0.25">
      <c r="A768" s="405" t="s">
        <v>310</v>
      </c>
      <c r="B768" s="405" t="s">
        <v>17599</v>
      </c>
      <c r="C768" s="405" t="s">
        <v>327</v>
      </c>
      <c r="D768" s="405"/>
      <c r="E768" s="410">
        <v>44256</v>
      </c>
      <c r="F768" s="410">
        <v>44356</v>
      </c>
      <c r="G768" s="405" t="s">
        <v>17600</v>
      </c>
      <c r="H768" s="405" t="s">
        <v>17601</v>
      </c>
      <c r="I768" s="405" t="s">
        <v>2913</v>
      </c>
      <c r="J768" s="405">
        <v>0.36082500000000001</v>
      </c>
      <c r="K768" s="405">
        <v>32.973512999999997</v>
      </c>
      <c r="L768" s="405" t="s">
        <v>6866</v>
      </c>
      <c r="M768" s="405" t="s">
        <v>3009</v>
      </c>
      <c r="N768" s="405" t="s">
        <v>17028</v>
      </c>
      <c r="O768" s="405" t="s">
        <v>10783</v>
      </c>
      <c r="P768" s="405" t="s">
        <v>17602</v>
      </c>
      <c r="Q768" s="411">
        <v>6</v>
      </c>
      <c r="R768" s="405" t="s">
        <v>32157</v>
      </c>
      <c r="S768" s="405" t="s">
        <v>27035</v>
      </c>
      <c r="T768" s="405" t="s">
        <v>32102</v>
      </c>
      <c r="U768" s="405" t="s">
        <v>319</v>
      </c>
    </row>
    <row r="769" spans="1:21" x14ac:dyDescent="0.25">
      <c r="A769" s="405" t="s">
        <v>310</v>
      </c>
      <c r="B769" s="405" t="s">
        <v>26601</v>
      </c>
      <c r="C769" s="405" t="s">
        <v>311</v>
      </c>
      <c r="D769" s="405" t="s">
        <v>9525</v>
      </c>
      <c r="E769" s="410">
        <v>44256</v>
      </c>
      <c r="F769" s="410">
        <v>44274</v>
      </c>
      <c r="G769" s="405" t="s">
        <v>26602</v>
      </c>
      <c r="H769" s="405" t="s">
        <v>26603</v>
      </c>
      <c r="I769" s="405" t="s">
        <v>26604</v>
      </c>
      <c r="J769" s="405">
        <v>-0.60048199999999996</v>
      </c>
      <c r="K769" s="405">
        <v>30.695727000000002</v>
      </c>
      <c r="L769" s="405" t="s">
        <v>590</v>
      </c>
      <c r="M769" s="405" t="s">
        <v>19614</v>
      </c>
      <c r="N769" s="405" t="s">
        <v>26191</v>
      </c>
      <c r="O769" s="405" t="s">
        <v>19974</v>
      </c>
      <c r="P769" s="405" t="s">
        <v>26605</v>
      </c>
      <c r="Q769" s="411">
        <v>6</v>
      </c>
      <c r="R769" s="405" t="s">
        <v>5858</v>
      </c>
      <c r="S769" s="405" t="s">
        <v>27132</v>
      </c>
      <c r="T769" s="405" t="s">
        <v>32102</v>
      </c>
      <c r="U769" s="405" t="s">
        <v>319</v>
      </c>
    </row>
    <row r="770" spans="1:21" x14ac:dyDescent="0.25">
      <c r="A770" s="405" t="s">
        <v>310</v>
      </c>
      <c r="B770" s="405" t="s">
        <v>8618</v>
      </c>
      <c r="C770" s="405" t="s">
        <v>327</v>
      </c>
      <c r="D770" s="405"/>
      <c r="E770" s="410">
        <v>44256</v>
      </c>
      <c r="F770" s="410">
        <v>44270</v>
      </c>
      <c r="G770" s="405" t="s">
        <v>8619</v>
      </c>
      <c r="H770" s="405" t="s">
        <v>8620</v>
      </c>
      <c r="I770" s="405" t="s">
        <v>2913</v>
      </c>
      <c r="J770" s="405">
        <v>0.80440500000000004</v>
      </c>
      <c r="K770" s="405">
        <v>32.507106999999998</v>
      </c>
      <c r="L770" s="405" t="s">
        <v>314</v>
      </c>
      <c r="M770" s="405" t="s">
        <v>959</v>
      </c>
      <c r="N770" s="405" t="s">
        <v>1094</v>
      </c>
      <c r="O770" s="405" t="s">
        <v>1094</v>
      </c>
      <c r="P770" s="405" t="s">
        <v>2022</v>
      </c>
      <c r="Q770" s="411">
        <v>6</v>
      </c>
      <c r="R770" s="405" t="s">
        <v>7211</v>
      </c>
      <c r="S770" s="405" t="s">
        <v>6918</v>
      </c>
      <c r="T770" s="405" t="s">
        <v>32102</v>
      </c>
      <c r="U770" s="405" t="s">
        <v>319</v>
      </c>
    </row>
    <row r="771" spans="1:21" x14ac:dyDescent="0.25">
      <c r="A771" s="405" t="s">
        <v>310</v>
      </c>
      <c r="B771" s="405" t="s">
        <v>75</v>
      </c>
      <c r="C771" s="405" t="s">
        <v>327</v>
      </c>
      <c r="D771" s="405"/>
      <c r="E771" s="410">
        <v>44255</v>
      </c>
      <c r="F771" s="410">
        <v>44267</v>
      </c>
      <c r="G771" s="405" t="s">
        <v>8634</v>
      </c>
      <c r="H771" s="405" t="s">
        <v>8635</v>
      </c>
      <c r="I771" s="405" t="s">
        <v>8636</v>
      </c>
      <c r="J771" s="405">
        <v>0.41078300000000001</v>
      </c>
      <c r="K771" s="405">
        <v>32.500447999999999</v>
      </c>
      <c r="L771" s="405" t="s">
        <v>314</v>
      </c>
      <c r="M771" s="405" t="s">
        <v>361</v>
      </c>
      <c r="N771" s="405" t="s">
        <v>374</v>
      </c>
      <c r="O771" s="405" t="s">
        <v>6538</v>
      </c>
      <c r="P771" s="405" t="s">
        <v>6538</v>
      </c>
      <c r="Q771" s="411">
        <v>9</v>
      </c>
      <c r="R771" s="405" t="s">
        <v>32101</v>
      </c>
      <c r="S771" s="405" t="s">
        <v>27243</v>
      </c>
      <c r="T771" s="405" t="s">
        <v>32102</v>
      </c>
      <c r="U771" s="405" t="s">
        <v>319</v>
      </c>
    </row>
    <row r="772" spans="1:21" x14ac:dyDescent="0.25">
      <c r="A772" s="405" t="s">
        <v>310</v>
      </c>
      <c r="B772" s="405" t="s">
        <v>8637</v>
      </c>
      <c r="C772" s="405" t="s">
        <v>327</v>
      </c>
      <c r="D772" s="405"/>
      <c r="E772" s="410">
        <v>44254</v>
      </c>
      <c r="F772" s="410">
        <v>44263</v>
      </c>
      <c r="G772" s="405" t="s">
        <v>8638</v>
      </c>
      <c r="H772" s="405" t="s">
        <v>8639</v>
      </c>
      <c r="I772" s="405" t="s">
        <v>2913</v>
      </c>
      <c r="J772" s="405">
        <v>0.47253499999999998</v>
      </c>
      <c r="K772" s="405">
        <v>32.427382000000001</v>
      </c>
      <c r="L772" s="405" t="s">
        <v>314</v>
      </c>
      <c r="M772" s="405" t="s">
        <v>361</v>
      </c>
      <c r="N772" s="405" t="s">
        <v>374</v>
      </c>
      <c r="O772" s="405" t="s">
        <v>535</v>
      </c>
      <c r="P772" s="405" t="s">
        <v>7645</v>
      </c>
      <c r="Q772" s="411">
        <v>13</v>
      </c>
      <c r="R772" s="405" t="s">
        <v>32157</v>
      </c>
      <c r="S772" s="405" t="s">
        <v>27048</v>
      </c>
      <c r="T772" s="405" t="s">
        <v>32102</v>
      </c>
      <c r="U772" s="405" t="s">
        <v>319</v>
      </c>
    </row>
    <row r="773" spans="1:21" x14ac:dyDescent="0.25">
      <c r="A773" s="405" t="s">
        <v>310</v>
      </c>
      <c r="B773" s="405" t="s">
        <v>17510</v>
      </c>
      <c r="C773" s="405" t="s">
        <v>327</v>
      </c>
      <c r="D773" s="405"/>
      <c r="E773" s="410">
        <v>44251</v>
      </c>
      <c r="F773" s="410">
        <v>44266</v>
      </c>
      <c r="G773" s="405" t="s">
        <v>17511</v>
      </c>
      <c r="H773" s="405" t="s">
        <v>17512</v>
      </c>
      <c r="I773" s="405" t="s">
        <v>17513</v>
      </c>
      <c r="J773" s="405">
        <v>0.61594499999999996</v>
      </c>
      <c r="K773" s="405">
        <v>33.650334000000001</v>
      </c>
      <c r="L773" s="405" t="s">
        <v>6866</v>
      </c>
      <c r="M773" s="405" t="s">
        <v>10853</v>
      </c>
      <c r="N773" s="405" t="s">
        <v>15097</v>
      </c>
      <c r="O773" s="405" t="s">
        <v>17514</v>
      </c>
      <c r="P773" s="405" t="s">
        <v>17515</v>
      </c>
      <c r="Q773" s="411">
        <v>9</v>
      </c>
      <c r="R773" s="405" t="s">
        <v>32164</v>
      </c>
      <c r="S773" s="405" t="s">
        <v>27054</v>
      </c>
      <c r="T773" s="405" t="s">
        <v>32102</v>
      </c>
      <c r="U773" s="405" t="s">
        <v>319</v>
      </c>
    </row>
    <row r="774" spans="1:21" x14ac:dyDescent="0.25">
      <c r="A774" s="405" t="s">
        <v>310</v>
      </c>
      <c r="B774" s="405" t="s">
        <v>26527</v>
      </c>
      <c r="C774" s="405" t="s">
        <v>311</v>
      </c>
      <c r="D774" s="405" t="s">
        <v>9525</v>
      </c>
      <c r="E774" s="410">
        <v>44250</v>
      </c>
      <c r="F774" s="410">
        <v>44254</v>
      </c>
      <c r="G774" s="405" t="s">
        <v>26528</v>
      </c>
      <c r="H774" s="405" t="s">
        <v>26529</v>
      </c>
      <c r="I774" s="405" t="s">
        <v>26530</v>
      </c>
      <c r="J774" s="405">
        <v>-0.64992499999999997</v>
      </c>
      <c r="K774" s="405">
        <v>30.658487000000001</v>
      </c>
      <c r="L774" s="405" t="s">
        <v>590</v>
      </c>
      <c r="M774" s="405" t="s">
        <v>879</v>
      </c>
      <c r="N774" s="405" t="s">
        <v>880</v>
      </c>
      <c r="O774" s="405" t="s">
        <v>22248</v>
      </c>
      <c r="P774" s="405" t="s">
        <v>1524</v>
      </c>
      <c r="Q774" s="411">
        <v>6</v>
      </c>
      <c r="R774" s="405" t="s">
        <v>5858</v>
      </c>
      <c r="S774" s="405" t="s">
        <v>27132</v>
      </c>
      <c r="T774" s="405" t="s">
        <v>32102</v>
      </c>
      <c r="U774" s="405" t="s">
        <v>319</v>
      </c>
    </row>
    <row r="775" spans="1:21" x14ac:dyDescent="0.25">
      <c r="A775" s="405" t="s">
        <v>310</v>
      </c>
      <c r="B775" s="405" t="s">
        <v>26241</v>
      </c>
      <c r="C775" s="405" t="s">
        <v>327</v>
      </c>
      <c r="D775" s="405"/>
      <c r="E775" s="410">
        <v>44248</v>
      </c>
      <c r="F775" s="410">
        <v>44255</v>
      </c>
      <c r="G775" s="405" t="s">
        <v>26242</v>
      </c>
      <c r="H775" s="405" t="s">
        <v>26243</v>
      </c>
      <c r="I775" s="405" t="s">
        <v>26244</v>
      </c>
      <c r="J775" s="405">
        <v>-0.22800100000000001</v>
      </c>
      <c r="K775" s="405">
        <v>30.778274</v>
      </c>
      <c r="L775" s="405" t="s">
        <v>590</v>
      </c>
      <c r="M775" s="405" t="s">
        <v>19705</v>
      </c>
      <c r="N775" s="405" t="s">
        <v>21675</v>
      </c>
      <c r="O775" s="405" t="s">
        <v>26245</v>
      </c>
      <c r="P775" s="405" t="s">
        <v>19707</v>
      </c>
      <c r="Q775" s="411">
        <v>9</v>
      </c>
      <c r="R775" s="405" t="s">
        <v>6013</v>
      </c>
      <c r="S775" s="405" t="s">
        <v>27065</v>
      </c>
      <c r="T775" s="405" t="s">
        <v>32102</v>
      </c>
      <c r="U775" s="405" t="s">
        <v>319</v>
      </c>
    </row>
    <row r="776" spans="1:21" x14ac:dyDescent="0.25">
      <c r="A776" s="405" t="s">
        <v>310</v>
      </c>
      <c r="B776" s="405" t="s">
        <v>26343</v>
      </c>
      <c r="C776" s="405" t="s">
        <v>327</v>
      </c>
      <c r="D776" s="405"/>
      <c r="E776" s="410">
        <v>44248</v>
      </c>
      <c r="F776" s="410">
        <v>44299</v>
      </c>
      <c r="G776" s="405" t="s">
        <v>26344</v>
      </c>
      <c r="H776" s="405" t="s">
        <v>26345</v>
      </c>
      <c r="I776" s="405" t="s">
        <v>26346</v>
      </c>
      <c r="J776" s="405">
        <v>0.53262299999999996</v>
      </c>
      <c r="K776" s="405">
        <v>30.948011999999999</v>
      </c>
      <c r="L776" s="405" t="s">
        <v>590</v>
      </c>
      <c r="M776" s="405" t="s">
        <v>20757</v>
      </c>
      <c r="N776" s="405" t="s">
        <v>26291</v>
      </c>
      <c r="O776" s="405" t="s">
        <v>26347</v>
      </c>
      <c r="P776" s="405" t="s">
        <v>26348</v>
      </c>
      <c r="Q776" s="411">
        <v>6</v>
      </c>
      <c r="R776" s="405" t="s">
        <v>32157</v>
      </c>
      <c r="S776" s="405" t="s">
        <v>27041</v>
      </c>
      <c r="T776" s="405" t="s">
        <v>32102</v>
      </c>
      <c r="U776" s="405" t="s">
        <v>319</v>
      </c>
    </row>
    <row r="777" spans="1:21" x14ac:dyDescent="0.25">
      <c r="A777" s="405" t="s">
        <v>310</v>
      </c>
      <c r="B777" s="405" t="s">
        <v>8686</v>
      </c>
      <c r="C777" s="405" t="s">
        <v>327</v>
      </c>
      <c r="D777" s="405"/>
      <c r="E777" s="410">
        <v>44247</v>
      </c>
      <c r="F777" s="410">
        <v>44306</v>
      </c>
      <c r="G777" s="405" t="s">
        <v>8687</v>
      </c>
      <c r="H777" s="405" t="s">
        <v>8688</v>
      </c>
      <c r="I777" s="405" t="s">
        <v>8689</v>
      </c>
      <c r="J777" s="405">
        <v>0.27635799999999999</v>
      </c>
      <c r="K777" s="405">
        <v>32.504378000000003</v>
      </c>
      <c r="L777" s="405" t="s">
        <v>314</v>
      </c>
      <c r="M777" s="405" t="s">
        <v>361</v>
      </c>
      <c r="N777" s="405" t="s">
        <v>361</v>
      </c>
      <c r="O777" s="405" t="s">
        <v>1276</v>
      </c>
      <c r="P777" s="405" t="s">
        <v>1881</v>
      </c>
      <c r="Q777" s="411">
        <v>13</v>
      </c>
      <c r="R777" s="405" t="s">
        <v>5986</v>
      </c>
      <c r="S777" s="405" t="s">
        <v>27039</v>
      </c>
      <c r="T777" s="405" t="s">
        <v>32102</v>
      </c>
      <c r="U777" s="405" t="s">
        <v>319</v>
      </c>
    </row>
    <row r="778" spans="1:21" x14ac:dyDescent="0.25">
      <c r="A778" s="405" t="s">
        <v>310</v>
      </c>
      <c r="B778" s="405" t="s">
        <v>26609</v>
      </c>
      <c r="C778" s="405" t="s">
        <v>327</v>
      </c>
      <c r="D778" s="405"/>
      <c r="E778" s="410">
        <v>44247</v>
      </c>
      <c r="F778" s="410">
        <v>44276</v>
      </c>
      <c r="G778" s="405" t="s">
        <v>26610</v>
      </c>
      <c r="H778" s="405" t="s">
        <v>26611</v>
      </c>
      <c r="I778" s="405" t="s">
        <v>2913</v>
      </c>
      <c r="J778" s="405">
        <v>0.64254800000000001</v>
      </c>
      <c r="K778" s="405">
        <v>30.584341999999999</v>
      </c>
      <c r="L778" s="405" t="s">
        <v>590</v>
      </c>
      <c r="M778" s="405" t="s">
        <v>20757</v>
      </c>
      <c r="N778" s="405" t="s">
        <v>20757</v>
      </c>
      <c r="O778" s="405" t="s">
        <v>26347</v>
      </c>
      <c r="P778" s="405" t="s">
        <v>26347</v>
      </c>
      <c r="Q778" s="411">
        <v>9</v>
      </c>
      <c r="R778" s="405" t="s">
        <v>32166</v>
      </c>
      <c r="S778" s="405" t="s">
        <v>27450</v>
      </c>
      <c r="T778" s="405" t="s">
        <v>32102</v>
      </c>
      <c r="U778" s="405" t="s">
        <v>319</v>
      </c>
    </row>
    <row r="779" spans="1:21" x14ac:dyDescent="0.25">
      <c r="A779" s="405" t="s">
        <v>310</v>
      </c>
      <c r="B779" s="405" t="s">
        <v>8630</v>
      </c>
      <c r="C779" s="405" t="s">
        <v>327</v>
      </c>
      <c r="D779" s="405"/>
      <c r="E779" s="410">
        <v>44247</v>
      </c>
      <c r="F779" s="410">
        <v>44275</v>
      </c>
      <c r="G779" s="405" t="s">
        <v>8631</v>
      </c>
      <c r="H779" s="405" t="s">
        <v>8632</v>
      </c>
      <c r="I779" s="405" t="s">
        <v>2913</v>
      </c>
      <c r="J779" s="405">
        <v>-0.408835</v>
      </c>
      <c r="K779" s="405">
        <v>31.657698</v>
      </c>
      <c r="L779" s="405" t="s">
        <v>314</v>
      </c>
      <c r="M779" s="405" t="s">
        <v>382</v>
      </c>
      <c r="N779" s="405" t="s">
        <v>988</v>
      </c>
      <c r="O779" s="405" t="s">
        <v>894</v>
      </c>
      <c r="P779" s="405" t="s">
        <v>8633</v>
      </c>
      <c r="Q779" s="411">
        <v>9</v>
      </c>
      <c r="R779" s="405" t="s">
        <v>32101</v>
      </c>
      <c r="S779" s="405" t="s">
        <v>27060</v>
      </c>
      <c r="T779" s="405" t="s">
        <v>32102</v>
      </c>
      <c r="U779" s="405" t="s">
        <v>319</v>
      </c>
    </row>
    <row r="780" spans="1:21" x14ac:dyDescent="0.25">
      <c r="A780" s="405" t="s">
        <v>310</v>
      </c>
      <c r="B780" s="405" t="s">
        <v>26223</v>
      </c>
      <c r="C780" s="405" t="s">
        <v>327</v>
      </c>
      <c r="D780" s="405"/>
      <c r="E780" s="410">
        <v>44247</v>
      </c>
      <c r="F780" s="410">
        <v>44250</v>
      </c>
      <c r="G780" s="405" t="s">
        <v>26224</v>
      </c>
      <c r="H780" s="405" t="s">
        <v>26225</v>
      </c>
      <c r="I780" s="405" t="s">
        <v>2913</v>
      </c>
      <c r="J780" s="405">
        <v>-0.70828999999999998</v>
      </c>
      <c r="K780" s="405">
        <v>30.70186</v>
      </c>
      <c r="L780" s="405" t="s">
        <v>590</v>
      </c>
      <c r="M780" s="405" t="s">
        <v>879</v>
      </c>
      <c r="N780" s="405" t="s">
        <v>26027</v>
      </c>
      <c r="O780" s="405" t="s">
        <v>22197</v>
      </c>
      <c r="P780" s="405" t="s">
        <v>26226</v>
      </c>
      <c r="Q780" s="411">
        <v>9</v>
      </c>
      <c r="R780" s="405" t="s">
        <v>5665</v>
      </c>
      <c r="S780" s="405" t="s">
        <v>27051</v>
      </c>
      <c r="T780" s="405" t="s">
        <v>32102</v>
      </c>
      <c r="U780" s="405" t="s">
        <v>319</v>
      </c>
    </row>
    <row r="781" spans="1:21" x14ac:dyDescent="0.25">
      <c r="A781" s="405" t="s">
        <v>310</v>
      </c>
      <c r="B781" s="405" t="s">
        <v>26645</v>
      </c>
      <c r="C781" s="405" t="s">
        <v>311</v>
      </c>
      <c r="D781" s="405" t="s">
        <v>9525</v>
      </c>
      <c r="E781" s="410">
        <v>44247</v>
      </c>
      <c r="F781" s="410">
        <v>44271</v>
      </c>
      <c r="G781" s="405" t="s">
        <v>26646</v>
      </c>
      <c r="H781" s="405" t="s">
        <v>26647</v>
      </c>
      <c r="I781" s="405" t="s">
        <v>26648</v>
      </c>
      <c r="J781" s="405">
        <v>-0.60051299999999996</v>
      </c>
      <c r="K781" s="405">
        <v>30.695792000000001</v>
      </c>
      <c r="L781" s="405" t="s">
        <v>590</v>
      </c>
      <c r="M781" s="405" t="s">
        <v>19614</v>
      </c>
      <c r="N781" s="405" t="s">
        <v>19614</v>
      </c>
      <c r="O781" s="405" t="s">
        <v>19974</v>
      </c>
      <c r="P781" s="405" t="s">
        <v>26649</v>
      </c>
      <c r="Q781" s="411">
        <v>6</v>
      </c>
      <c r="R781" s="405" t="s">
        <v>32101</v>
      </c>
      <c r="S781" s="405" t="s">
        <v>27243</v>
      </c>
      <c r="T781" s="405" t="s">
        <v>32102</v>
      </c>
      <c r="U781" s="405" t="s">
        <v>319</v>
      </c>
    </row>
    <row r="782" spans="1:21" x14ac:dyDescent="0.25">
      <c r="A782" s="405" t="s">
        <v>310</v>
      </c>
      <c r="B782" s="405" t="s">
        <v>26267</v>
      </c>
      <c r="C782" s="405" t="s">
        <v>327</v>
      </c>
      <c r="D782" s="405"/>
      <c r="E782" s="410">
        <v>44246</v>
      </c>
      <c r="F782" s="410">
        <v>44280</v>
      </c>
      <c r="G782" s="405" t="s">
        <v>26268</v>
      </c>
      <c r="H782" s="405" t="s">
        <v>26269</v>
      </c>
      <c r="I782" s="405" t="s">
        <v>2913</v>
      </c>
      <c r="J782" s="405">
        <v>-0.43103799999999998</v>
      </c>
      <c r="K782" s="405">
        <v>30.578216999999999</v>
      </c>
      <c r="L782" s="405" t="s">
        <v>590</v>
      </c>
      <c r="M782" s="405" t="s">
        <v>19614</v>
      </c>
      <c r="N782" s="405" t="s">
        <v>19615</v>
      </c>
      <c r="O782" s="405" t="s">
        <v>21192</v>
      </c>
      <c r="P782" s="405" t="s">
        <v>26270</v>
      </c>
      <c r="Q782" s="411">
        <v>9</v>
      </c>
      <c r="R782" s="405" t="s">
        <v>32166</v>
      </c>
      <c r="S782" s="405" t="s">
        <v>27399</v>
      </c>
      <c r="T782" s="405" t="s">
        <v>32102</v>
      </c>
      <c r="U782" s="405" t="s">
        <v>319</v>
      </c>
    </row>
    <row r="783" spans="1:21" x14ac:dyDescent="0.25">
      <c r="A783" s="405" t="s">
        <v>310</v>
      </c>
      <c r="B783" s="405" t="s">
        <v>26560</v>
      </c>
      <c r="C783" s="405" t="s">
        <v>311</v>
      </c>
      <c r="D783" s="405" t="s">
        <v>2127</v>
      </c>
      <c r="E783" s="410">
        <v>44245</v>
      </c>
      <c r="F783" s="410">
        <v>44249</v>
      </c>
      <c r="G783" s="405" t="s">
        <v>26561</v>
      </c>
      <c r="H783" s="405" t="s">
        <v>26302</v>
      </c>
      <c r="I783" s="405" t="s">
        <v>2913</v>
      </c>
      <c r="J783" s="405">
        <v>-0.59748500000000004</v>
      </c>
      <c r="K783" s="405">
        <v>30.599512000000001</v>
      </c>
      <c r="L783" s="405" t="s">
        <v>590</v>
      </c>
      <c r="M783" s="405" t="s">
        <v>19725</v>
      </c>
      <c r="N783" s="405" t="s">
        <v>26303</v>
      </c>
      <c r="O783" s="405" t="s">
        <v>19992</v>
      </c>
      <c r="P783" s="405" t="s">
        <v>19992</v>
      </c>
      <c r="Q783" s="411">
        <v>6</v>
      </c>
      <c r="R783" s="405" t="s">
        <v>5903</v>
      </c>
      <c r="S783" s="405" t="s">
        <v>27153</v>
      </c>
      <c r="T783" s="405" t="s">
        <v>32102</v>
      </c>
      <c r="U783" s="405" t="s">
        <v>319</v>
      </c>
    </row>
    <row r="784" spans="1:21" x14ac:dyDescent="0.25">
      <c r="A784" s="405" t="s">
        <v>310</v>
      </c>
      <c r="B784" s="405" t="s">
        <v>26200</v>
      </c>
      <c r="C784" s="405" t="s">
        <v>327</v>
      </c>
      <c r="D784" s="405"/>
      <c r="E784" s="410">
        <v>44245</v>
      </c>
      <c r="F784" s="410">
        <v>44252</v>
      </c>
      <c r="G784" s="405" t="s">
        <v>26201</v>
      </c>
      <c r="H784" s="405" t="s">
        <v>26202</v>
      </c>
      <c r="I784" s="405" t="s">
        <v>2913</v>
      </c>
      <c r="J784" s="405">
        <v>-0.81204299999999996</v>
      </c>
      <c r="K784" s="405">
        <v>29.940342000000001</v>
      </c>
      <c r="L784" s="405" t="s">
        <v>590</v>
      </c>
      <c r="M784" s="405" t="s">
        <v>20808</v>
      </c>
      <c r="N784" s="405" t="s">
        <v>25110</v>
      </c>
      <c r="O784" s="405" t="s">
        <v>22780</v>
      </c>
      <c r="P784" s="405" t="s">
        <v>25655</v>
      </c>
      <c r="Q784" s="411">
        <v>9</v>
      </c>
      <c r="R784" s="405" t="s">
        <v>6572</v>
      </c>
      <c r="S784" s="405" t="s">
        <v>27154</v>
      </c>
      <c r="T784" s="405" t="s">
        <v>32102</v>
      </c>
      <c r="U784" s="405" t="s">
        <v>319</v>
      </c>
    </row>
    <row r="785" spans="1:21" x14ac:dyDescent="0.25">
      <c r="A785" s="405" t="s">
        <v>310</v>
      </c>
      <c r="B785" s="405" t="s">
        <v>26187</v>
      </c>
      <c r="C785" s="405" t="s">
        <v>327</v>
      </c>
      <c r="D785" s="405"/>
      <c r="E785" s="410">
        <v>44245</v>
      </c>
      <c r="F785" s="410">
        <v>44254</v>
      </c>
      <c r="G785" s="405" t="s">
        <v>26188</v>
      </c>
      <c r="H785" s="405" t="s">
        <v>26189</v>
      </c>
      <c r="I785" s="405" t="s">
        <v>26190</v>
      </c>
      <c r="J785" s="405">
        <v>0.31902999999999998</v>
      </c>
      <c r="K785" s="405">
        <v>32.558309000000001</v>
      </c>
      <c r="L785" s="405" t="s">
        <v>590</v>
      </c>
      <c r="M785" s="405" t="s">
        <v>19614</v>
      </c>
      <c r="N785" s="405" t="s">
        <v>26191</v>
      </c>
      <c r="O785" s="405" t="s">
        <v>19911</v>
      </c>
      <c r="P785" s="405" t="s">
        <v>26192</v>
      </c>
      <c r="Q785" s="411">
        <v>6</v>
      </c>
      <c r="R785" s="405" t="s">
        <v>5858</v>
      </c>
      <c r="S785" s="405" t="s">
        <v>27132</v>
      </c>
      <c r="T785" s="405" t="s">
        <v>32102</v>
      </c>
      <c r="U785" s="405" t="s">
        <v>319</v>
      </c>
    </row>
    <row r="786" spans="1:21" x14ac:dyDescent="0.25">
      <c r="A786" s="405" t="s">
        <v>310</v>
      </c>
      <c r="B786" s="405" t="s">
        <v>8597</v>
      </c>
      <c r="C786" s="405" t="s">
        <v>327</v>
      </c>
      <c r="D786" s="405"/>
      <c r="E786" s="410">
        <v>44244</v>
      </c>
      <c r="F786" s="410">
        <v>44250</v>
      </c>
      <c r="G786" s="405" t="s">
        <v>8598</v>
      </c>
      <c r="H786" s="405" t="s">
        <v>8599</v>
      </c>
      <c r="I786" s="405" t="s">
        <v>2913</v>
      </c>
      <c r="J786" s="405">
        <v>0.74995199999999995</v>
      </c>
      <c r="K786" s="405">
        <v>32.410828000000002</v>
      </c>
      <c r="L786" s="405" t="s">
        <v>314</v>
      </c>
      <c r="M786" s="405" t="s">
        <v>2297</v>
      </c>
      <c r="N786" s="405" t="s">
        <v>960</v>
      </c>
      <c r="O786" s="405" t="s">
        <v>8600</v>
      </c>
      <c r="P786" s="405" t="s">
        <v>8601</v>
      </c>
      <c r="Q786" s="411">
        <v>12</v>
      </c>
      <c r="R786" s="405" t="s">
        <v>5903</v>
      </c>
      <c r="S786" s="405" t="s">
        <v>27153</v>
      </c>
      <c r="T786" s="405" t="s">
        <v>32102</v>
      </c>
      <c r="U786" s="405" t="s">
        <v>319</v>
      </c>
    </row>
    <row r="787" spans="1:21" x14ac:dyDescent="0.25">
      <c r="A787" s="405" t="s">
        <v>310</v>
      </c>
      <c r="B787" s="405" t="s">
        <v>26300</v>
      </c>
      <c r="C787" s="405" t="s">
        <v>327</v>
      </c>
      <c r="D787" s="405"/>
      <c r="E787" s="410">
        <v>44243</v>
      </c>
      <c r="F787" s="410">
        <v>44271</v>
      </c>
      <c r="G787" s="405" t="s">
        <v>26301</v>
      </c>
      <c r="H787" s="405" t="s">
        <v>26302</v>
      </c>
      <c r="I787" s="405" t="s">
        <v>2913</v>
      </c>
      <c r="J787" s="405">
        <v>-0.54622999999999999</v>
      </c>
      <c r="K787" s="405">
        <v>30.400651</v>
      </c>
      <c r="L787" s="405" t="s">
        <v>590</v>
      </c>
      <c r="M787" s="405" t="s">
        <v>19725</v>
      </c>
      <c r="N787" s="405" t="s">
        <v>26303</v>
      </c>
      <c r="O787" s="405" t="s">
        <v>19992</v>
      </c>
      <c r="P787" s="405" t="s">
        <v>19992</v>
      </c>
      <c r="Q787" s="411">
        <v>6</v>
      </c>
      <c r="R787" s="405" t="s">
        <v>6013</v>
      </c>
      <c r="S787" s="405" t="s">
        <v>27065</v>
      </c>
      <c r="T787" s="405" t="s">
        <v>32102</v>
      </c>
      <c r="U787" s="405" t="s">
        <v>319</v>
      </c>
    </row>
    <row r="788" spans="1:21" x14ac:dyDescent="0.25">
      <c r="A788" s="405" t="s">
        <v>310</v>
      </c>
      <c r="B788" s="405" t="s">
        <v>8614</v>
      </c>
      <c r="C788" s="405" t="s">
        <v>327</v>
      </c>
      <c r="D788" s="405"/>
      <c r="E788" s="410">
        <v>44243</v>
      </c>
      <c r="F788" s="410">
        <v>44271</v>
      </c>
      <c r="G788" s="405" t="s">
        <v>8615</v>
      </c>
      <c r="H788" s="405" t="s">
        <v>8616</v>
      </c>
      <c r="I788" s="405" t="s">
        <v>8617</v>
      </c>
      <c r="J788" s="405">
        <v>0.42653000000000002</v>
      </c>
      <c r="K788" s="405">
        <v>32.798667000000002</v>
      </c>
      <c r="L788" s="405" t="s">
        <v>314</v>
      </c>
      <c r="M788" s="405" t="s">
        <v>329</v>
      </c>
      <c r="N788" s="405" t="s">
        <v>5950</v>
      </c>
      <c r="O788" s="405" t="s">
        <v>546</v>
      </c>
      <c r="P788" s="405" t="s">
        <v>791</v>
      </c>
      <c r="Q788" s="411">
        <v>6</v>
      </c>
      <c r="R788" s="405" t="s">
        <v>6798</v>
      </c>
      <c r="S788" s="405" t="s">
        <v>27049</v>
      </c>
      <c r="T788" s="405" t="s">
        <v>32102</v>
      </c>
      <c r="U788" s="405" t="s">
        <v>319</v>
      </c>
    </row>
    <row r="789" spans="1:21" x14ac:dyDescent="0.25">
      <c r="A789" s="405" t="s">
        <v>310</v>
      </c>
      <c r="B789" s="405" t="s">
        <v>28260</v>
      </c>
      <c r="C789" s="405" t="s">
        <v>311</v>
      </c>
      <c r="D789" s="405" t="s">
        <v>9525</v>
      </c>
      <c r="E789" s="410">
        <v>44241</v>
      </c>
      <c r="F789" s="410">
        <v>44247</v>
      </c>
      <c r="G789" s="405" t="s">
        <v>26567</v>
      </c>
      <c r="H789" s="405" t="s">
        <v>26568</v>
      </c>
      <c r="I789" s="405" t="s">
        <v>2913</v>
      </c>
      <c r="J789" s="405">
        <v>-0.46111000000000002</v>
      </c>
      <c r="K789" s="405">
        <v>30.406572000000001</v>
      </c>
      <c r="L789" s="405" t="s">
        <v>590</v>
      </c>
      <c r="M789" s="405" t="s">
        <v>19614</v>
      </c>
      <c r="N789" s="405" t="s">
        <v>26569</v>
      </c>
      <c r="O789" s="405" t="s">
        <v>26031</v>
      </c>
      <c r="P789" s="405" t="s">
        <v>26222</v>
      </c>
      <c r="Q789" s="411">
        <v>6</v>
      </c>
      <c r="R789" s="405" t="s">
        <v>5903</v>
      </c>
      <c r="S789" s="405" t="s">
        <v>27153</v>
      </c>
      <c r="T789" s="405" t="s">
        <v>32102</v>
      </c>
      <c r="U789" s="405" t="s">
        <v>319</v>
      </c>
    </row>
    <row r="790" spans="1:21" x14ac:dyDescent="0.25">
      <c r="A790" s="405" t="s">
        <v>310</v>
      </c>
      <c r="B790" s="405" t="s">
        <v>28603</v>
      </c>
      <c r="C790" s="405" t="s">
        <v>327</v>
      </c>
      <c r="D790" s="405"/>
      <c r="E790" s="410">
        <v>44241</v>
      </c>
      <c r="F790" s="410">
        <v>44247</v>
      </c>
      <c r="G790" s="405" t="s">
        <v>26220</v>
      </c>
      <c r="H790" s="405" t="s">
        <v>26221</v>
      </c>
      <c r="I790" s="405" t="s">
        <v>2913</v>
      </c>
      <c r="J790" s="405">
        <v>-0.60559200000000002</v>
      </c>
      <c r="K790" s="405">
        <v>30.612324999999998</v>
      </c>
      <c r="L790" s="405" t="s">
        <v>590</v>
      </c>
      <c r="M790" s="405" t="s">
        <v>19614</v>
      </c>
      <c r="N790" s="405" t="s">
        <v>26031</v>
      </c>
      <c r="O790" s="405" t="s">
        <v>16603</v>
      </c>
      <c r="P790" s="405" t="s">
        <v>26222</v>
      </c>
      <c r="Q790" s="411">
        <v>6</v>
      </c>
      <c r="R790" s="405" t="s">
        <v>5903</v>
      </c>
      <c r="S790" s="405" t="s">
        <v>27153</v>
      </c>
      <c r="T790" s="405" t="s">
        <v>32102</v>
      </c>
      <c r="U790" s="405" t="s">
        <v>319</v>
      </c>
    </row>
    <row r="791" spans="1:21" x14ac:dyDescent="0.25">
      <c r="A791" s="405" t="s">
        <v>310</v>
      </c>
      <c r="B791" s="405" t="s">
        <v>8725</v>
      </c>
      <c r="C791" s="405" t="s">
        <v>327</v>
      </c>
      <c r="D791" s="405"/>
      <c r="E791" s="410">
        <v>44279</v>
      </c>
      <c r="F791" s="410">
        <v>44299</v>
      </c>
      <c r="G791" s="405" t="s">
        <v>8726</v>
      </c>
      <c r="H791" s="405" t="s">
        <v>8727</v>
      </c>
      <c r="I791" s="405" t="s">
        <v>8728</v>
      </c>
      <c r="J791" s="405">
        <v>0.33828000000000003</v>
      </c>
      <c r="K791" s="405">
        <v>32.789363000000002</v>
      </c>
      <c r="L791" s="405" t="s">
        <v>314</v>
      </c>
      <c r="M791" s="405" t="s">
        <v>329</v>
      </c>
      <c r="N791" s="405" t="s">
        <v>329</v>
      </c>
      <c r="O791" s="405" t="s">
        <v>653</v>
      </c>
      <c r="P791" s="405" t="s">
        <v>3001</v>
      </c>
      <c r="Q791" s="411">
        <v>20</v>
      </c>
      <c r="R791" s="405" t="s">
        <v>32101</v>
      </c>
      <c r="S791" s="405" t="s">
        <v>27243</v>
      </c>
      <c r="T791" s="405" t="s">
        <v>32102</v>
      </c>
      <c r="U791" s="405" t="s">
        <v>319</v>
      </c>
    </row>
    <row r="792" spans="1:21" x14ac:dyDescent="0.25">
      <c r="A792" s="405" t="s">
        <v>310</v>
      </c>
      <c r="B792" s="405" t="s">
        <v>19230</v>
      </c>
      <c r="C792" s="405" t="s">
        <v>327</v>
      </c>
      <c r="D792" s="405"/>
      <c r="E792" s="410">
        <v>44239</v>
      </c>
      <c r="F792" s="410">
        <v>44375</v>
      </c>
      <c r="G792" s="405" t="s">
        <v>19231</v>
      </c>
      <c r="H792" s="405">
        <v>772539049</v>
      </c>
      <c r="I792" s="405" t="s">
        <v>2913</v>
      </c>
      <c r="J792" s="405">
        <v>2.2418719999999999</v>
      </c>
      <c r="K792" s="405">
        <v>32.950710000000001</v>
      </c>
      <c r="L792" s="405" t="s">
        <v>860</v>
      </c>
      <c r="M792" s="405" t="s">
        <v>861</v>
      </c>
      <c r="N792" s="405" t="s">
        <v>19232</v>
      </c>
      <c r="O792" s="405" t="s">
        <v>19233</v>
      </c>
      <c r="P792" s="405" t="s">
        <v>19233</v>
      </c>
      <c r="Q792" s="411">
        <v>13</v>
      </c>
      <c r="R792" s="405" t="s">
        <v>32101</v>
      </c>
      <c r="S792" s="405" t="s">
        <v>27193</v>
      </c>
      <c r="T792" s="405" t="s">
        <v>32102</v>
      </c>
      <c r="U792" s="405" t="s">
        <v>319</v>
      </c>
    </row>
    <row r="793" spans="1:21" x14ac:dyDescent="0.25">
      <c r="A793" s="405" t="s">
        <v>310</v>
      </c>
      <c r="B793" s="405" t="s">
        <v>17492</v>
      </c>
      <c r="C793" s="405" t="s">
        <v>327</v>
      </c>
      <c r="D793" s="405"/>
      <c r="E793" s="410">
        <v>44237</v>
      </c>
      <c r="F793" s="410">
        <v>44245</v>
      </c>
      <c r="G793" s="405" t="s">
        <v>17493</v>
      </c>
      <c r="H793" s="405" t="s">
        <v>17494</v>
      </c>
      <c r="I793" s="405" t="s">
        <v>17495</v>
      </c>
      <c r="J793" s="405">
        <v>0.58647899999999997</v>
      </c>
      <c r="K793" s="405">
        <v>33.749153</v>
      </c>
      <c r="L793" s="405" t="s">
        <v>6866</v>
      </c>
      <c r="M793" s="405" t="s">
        <v>13470</v>
      </c>
      <c r="N793" s="405" t="s">
        <v>17496</v>
      </c>
      <c r="O793" s="405" t="s">
        <v>17497</v>
      </c>
      <c r="P793" s="405" t="s">
        <v>17498</v>
      </c>
      <c r="Q793" s="411">
        <v>12</v>
      </c>
      <c r="R793" s="405" t="s">
        <v>32164</v>
      </c>
      <c r="S793" s="405" t="s">
        <v>27276</v>
      </c>
      <c r="T793" s="405" t="s">
        <v>32102</v>
      </c>
      <c r="U793" s="405" t="s">
        <v>319</v>
      </c>
    </row>
    <row r="794" spans="1:21" x14ac:dyDescent="0.25">
      <c r="A794" s="405" t="s">
        <v>310</v>
      </c>
      <c r="B794" s="405" t="s">
        <v>26203</v>
      </c>
      <c r="C794" s="405" t="s">
        <v>327</v>
      </c>
      <c r="D794" s="405"/>
      <c r="E794" s="410">
        <v>44234</v>
      </c>
      <c r="F794" s="410">
        <v>44245</v>
      </c>
      <c r="G794" s="405" t="s">
        <v>26204</v>
      </c>
      <c r="H794" s="405" t="s">
        <v>26205</v>
      </c>
      <c r="I794" s="405" t="s">
        <v>2913</v>
      </c>
      <c r="J794" s="405">
        <v>-0.885687</v>
      </c>
      <c r="K794" s="405">
        <v>30.270212999999998</v>
      </c>
      <c r="L794" s="405" t="s">
        <v>590</v>
      </c>
      <c r="M794" s="405" t="s">
        <v>19659</v>
      </c>
      <c r="N794" s="405" t="s">
        <v>19681</v>
      </c>
      <c r="O794" s="405" t="s">
        <v>6748</v>
      </c>
      <c r="P794" s="405" t="s">
        <v>19934</v>
      </c>
      <c r="Q794" s="411">
        <v>9</v>
      </c>
      <c r="R794" s="405" t="s">
        <v>6572</v>
      </c>
      <c r="S794" s="405" t="s">
        <v>27434</v>
      </c>
      <c r="T794" s="405" t="s">
        <v>32102</v>
      </c>
      <c r="U794" s="405" t="s">
        <v>319</v>
      </c>
    </row>
    <row r="795" spans="1:21" x14ac:dyDescent="0.25">
      <c r="A795" s="405" t="s">
        <v>310</v>
      </c>
      <c r="B795" s="405" t="s">
        <v>19220</v>
      </c>
      <c r="C795" s="405" t="s">
        <v>327</v>
      </c>
      <c r="D795" s="405"/>
      <c r="E795" s="410">
        <v>44234</v>
      </c>
      <c r="F795" s="410">
        <v>44248</v>
      </c>
      <c r="G795" s="405" t="s">
        <v>19221</v>
      </c>
      <c r="H795" s="405" t="s">
        <v>19222</v>
      </c>
      <c r="I795" s="405"/>
      <c r="J795" s="405">
        <v>2.3061430000000001</v>
      </c>
      <c r="K795" s="405">
        <v>31.173722999999999</v>
      </c>
      <c r="L795" s="405" t="s">
        <v>860</v>
      </c>
      <c r="M795" s="405" t="s">
        <v>19144</v>
      </c>
      <c r="N795" s="405" t="s">
        <v>19156</v>
      </c>
      <c r="O795" s="405" t="s">
        <v>19145</v>
      </c>
      <c r="P795" s="405" t="s">
        <v>19223</v>
      </c>
      <c r="Q795" s="411">
        <v>6</v>
      </c>
      <c r="R795" s="405" t="s">
        <v>7211</v>
      </c>
      <c r="S795" s="405" t="s">
        <v>6918</v>
      </c>
      <c r="T795" s="405" t="s">
        <v>32102</v>
      </c>
      <c r="U795" s="405" t="s">
        <v>319</v>
      </c>
    </row>
    <row r="796" spans="1:21" x14ac:dyDescent="0.25">
      <c r="A796" s="405" t="s">
        <v>310</v>
      </c>
      <c r="B796" s="405" t="s">
        <v>26288</v>
      </c>
      <c r="C796" s="405" t="s">
        <v>327</v>
      </c>
      <c r="D796" s="405"/>
      <c r="E796" s="410">
        <v>44233</v>
      </c>
      <c r="F796" s="410">
        <v>44269</v>
      </c>
      <c r="G796" s="405" t="s">
        <v>26289</v>
      </c>
      <c r="H796" s="405" t="s">
        <v>26290</v>
      </c>
      <c r="I796" s="405" t="s">
        <v>2913</v>
      </c>
      <c r="J796" s="405">
        <v>0.452517</v>
      </c>
      <c r="K796" s="405">
        <v>31.051262999999999</v>
      </c>
      <c r="L796" s="405" t="s">
        <v>590</v>
      </c>
      <c r="M796" s="405" t="s">
        <v>20757</v>
      </c>
      <c r="N796" s="405" t="s">
        <v>26291</v>
      </c>
      <c r="O796" s="405" t="s">
        <v>26292</v>
      </c>
      <c r="P796" s="405" t="s">
        <v>26293</v>
      </c>
      <c r="Q796" s="411">
        <v>6</v>
      </c>
      <c r="R796" s="405" t="s">
        <v>32157</v>
      </c>
      <c r="S796" s="405" t="s">
        <v>27041</v>
      </c>
      <c r="T796" s="405" t="s">
        <v>32102</v>
      </c>
      <c r="U796" s="405" t="s">
        <v>319</v>
      </c>
    </row>
    <row r="797" spans="1:21" x14ac:dyDescent="0.25">
      <c r="A797" s="405" t="s">
        <v>310</v>
      </c>
      <c r="B797" s="405" t="s">
        <v>19224</v>
      </c>
      <c r="C797" s="405" t="s">
        <v>327</v>
      </c>
      <c r="D797" s="405"/>
      <c r="E797" s="410">
        <v>44231</v>
      </c>
      <c r="F797" s="410">
        <v>44270</v>
      </c>
      <c r="G797" s="405" t="s">
        <v>19225</v>
      </c>
      <c r="H797" s="405">
        <v>772644417</v>
      </c>
      <c r="I797" s="405" t="s">
        <v>19226</v>
      </c>
      <c r="J797" s="405">
        <v>0.33419500000000002</v>
      </c>
      <c r="K797" s="405">
        <v>32.529505999999998</v>
      </c>
      <c r="L797" s="405" t="s">
        <v>860</v>
      </c>
      <c r="M797" s="405" t="s">
        <v>19144</v>
      </c>
      <c r="N797" s="405" t="s">
        <v>19227</v>
      </c>
      <c r="O797" s="405" t="s">
        <v>19228</v>
      </c>
      <c r="P797" s="405" t="s">
        <v>19229</v>
      </c>
      <c r="Q797" s="411">
        <v>13</v>
      </c>
      <c r="R797" s="405" t="s">
        <v>32157</v>
      </c>
      <c r="S797" s="405" t="s">
        <v>27034</v>
      </c>
      <c r="T797" s="405" t="s">
        <v>32102</v>
      </c>
      <c r="U797" s="405" t="s">
        <v>319</v>
      </c>
    </row>
    <row r="798" spans="1:21" x14ac:dyDescent="0.25">
      <c r="A798" s="405" t="s">
        <v>310</v>
      </c>
      <c r="B798" s="405" t="s">
        <v>26639</v>
      </c>
      <c r="C798" s="405" t="s">
        <v>311</v>
      </c>
      <c r="D798" s="405" t="s">
        <v>9525</v>
      </c>
      <c r="E798" s="410">
        <v>44231</v>
      </c>
      <c r="F798" s="410">
        <v>44265</v>
      </c>
      <c r="G798" s="405" t="s">
        <v>26640</v>
      </c>
      <c r="H798" s="405" t="s">
        <v>26641</v>
      </c>
      <c r="I798" s="405" t="s">
        <v>26642</v>
      </c>
      <c r="J798" s="405">
        <v>-0.59743199999999996</v>
      </c>
      <c r="K798" s="405">
        <v>30.599553</v>
      </c>
      <c r="L798" s="405" t="s">
        <v>590</v>
      </c>
      <c r="M798" s="405" t="s">
        <v>19614</v>
      </c>
      <c r="N798" s="405" t="s">
        <v>19614</v>
      </c>
      <c r="O798" s="405" t="s">
        <v>19614</v>
      </c>
      <c r="P798" s="405" t="s">
        <v>21622</v>
      </c>
      <c r="Q798" s="411">
        <v>9</v>
      </c>
      <c r="R798" s="405" t="s">
        <v>32101</v>
      </c>
      <c r="S798" s="405" t="s">
        <v>27243</v>
      </c>
      <c r="T798" s="405" t="s">
        <v>32102</v>
      </c>
      <c r="U798" s="405" t="s">
        <v>319</v>
      </c>
    </row>
    <row r="799" spans="1:21" x14ac:dyDescent="0.25">
      <c r="A799" s="405" t="s">
        <v>310</v>
      </c>
      <c r="B799" s="405" t="s">
        <v>19196</v>
      </c>
      <c r="C799" s="405" t="s">
        <v>327</v>
      </c>
      <c r="D799" s="405"/>
      <c r="E799" s="410">
        <v>44230</v>
      </c>
      <c r="F799" s="410">
        <v>44239</v>
      </c>
      <c r="G799" s="405" t="s">
        <v>19197</v>
      </c>
      <c r="H799" s="405" t="s">
        <v>19198</v>
      </c>
      <c r="I799" s="405" t="s">
        <v>2913</v>
      </c>
      <c r="J799" s="405">
        <v>3.0209570000000001</v>
      </c>
      <c r="K799" s="405">
        <v>31.197469999999999</v>
      </c>
      <c r="L799" s="405" t="s">
        <v>860</v>
      </c>
      <c r="M799" s="405" t="s">
        <v>19025</v>
      </c>
      <c r="N799" s="405" t="s">
        <v>19199</v>
      </c>
      <c r="O799" s="405" t="s">
        <v>19188</v>
      </c>
      <c r="P799" s="405" t="s">
        <v>19195</v>
      </c>
      <c r="Q799" s="411">
        <v>6</v>
      </c>
      <c r="R799" s="405" t="s">
        <v>7211</v>
      </c>
      <c r="S799" s="405" t="s">
        <v>6918</v>
      </c>
      <c r="T799" s="405" t="s">
        <v>32102</v>
      </c>
      <c r="U799" s="405" t="s">
        <v>319</v>
      </c>
    </row>
    <row r="800" spans="1:21" x14ac:dyDescent="0.25">
      <c r="A800" s="405" t="s">
        <v>310</v>
      </c>
      <c r="B800" s="405" t="s">
        <v>8642</v>
      </c>
      <c r="C800" s="405" t="s">
        <v>327</v>
      </c>
      <c r="D800" s="405"/>
      <c r="E800" s="410">
        <v>44229</v>
      </c>
      <c r="F800" s="410">
        <v>44266</v>
      </c>
      <c r="G800" s="405" t="s">
        <v>8643</v>
      </c>
      <c r="H800" s="405" t="s">
        <v>8644</v>
      </c>
      <c r="I800" s="405" t="s">
        <v>2913</v>
      </c>
      <c r="J800" s="405">
        <v>0.49874800000000002</v>
      </c>
      <c r="K800" s="405">
        <v>32.613768</v>
      </c>
      <c r="L800" s="405" t="s">
        <v>314</v>
      </c>
      <c r="M800" s="405" t="s">
        <v>361</v>
      </c>
      <c r="N800" s="405" t="s">
        <v>6178</v>
      </c>
      <c r="O800" s="405" t="s">
        <v>8645</v>
      </c>
      <c r="P800" s="405" t="s">
        <v>8646</v>
      </c>
      <c r="Q800" s="411">
        <v>13</v>
      </c>
      <c r="R800" s="405" t="s">
        <v>32157</v>
      </c>
      <c r="S800" s="405" t="s">
        <v>27041</v>
      </c>
      <c r="T800" s="405" t="s">
        <v>32102</v>
      </c>
      <c r="U800" s="405" t="s">
        <v>319</v>
      </c>
    </row>
    <row r="801" spans="1:21" x14ac:dyDescent="0.25">
      <c r="A801" s="405" t="s">
        <v>310</v>
      </c>
      <c r="B801" s="405" t="s">
        <v>19191</v>
      </c>
      <c r="C801" s="405" t="s">
        <v>327</v>
      </c>
      <c r="D801" s="405"/>
      <c r="E801" s="410">
        <v>44229</v>
      </c>
      <c r="F801" s="410">
        <v>44237</v>
      </c>
      <c r="G801" s="405" t="s">
        <v>19192</v>
      </c>
      <c r="H801" s="405" t="s">
        <v>19193</v>
      </c>
      <c r="I801" s="405" t="s">
        <v>2913</v>
      </c>
      <c r="J801" s="405">
        <v>2.999568</v>
      </c>
      <c r="K801" s="405">
        <v>31.206332</v>
      </c>
      <c r="L801" s="405" t="s">
        <v>860</v>
      </c>
      <c r="M801" s="405" t="s">
        <v>19025</v>
      </c>
      <c r="N801" s="405" t="s">
        <v>19194</v>
      </c>
      <c r="O801" s="405" t="s">
        <v>19188</v>
      </c>
      <c r="P801" s="405" t="s">
        <v>19195</v>
      </c>
      <c r="Q801" s="411">
        <v>6</v>
      </c>
      <c r="R801" s="405" t="s">
        <v>7211</v>
      </c>
      <c r="S801" s="405" t="s">
        <v>6918</v>
      </c>
      <c r="T801" s="405" t="s">
        <v>32102</v>
      </c>
      <c r="U801" s="405" t="s">
        <v>319</v>
      </c>
    </row>
    <row r="802" spans="1:21" x14ac:dyDescent="0.25">
      <c r="A802" s="405" t="s">
        <v>310</v>
      </c>
      <c r="B802" s="405" t="s">
        <v>19185</v>
      </c>
      <c r="C802" s="405" t="s">
        <v>327</v>
      </c>
      <c r="D802" s="405"/>
      <c r="E802" s="410">
        <v>44229</v>
      </c>
      <c r="F802" s="410">
        <v>44232</v>
      </c>
      <c r="G802" s="405" t="s">
        <v>19186</v>
      </c>
      <c r="H802" s="405" t="s">
        <v>19187</v>
      </c>
      <c r="I802" s="405" t="s">
        <v>2913</v>
      </c>
      <c r="J802" s="405">
        <v>2.9574319999999998</v>
      </c>
      <c r="K802" s="405">
        <v>31.382285</v>
      </c>
      <c r="L802" s="405" t="s">
        <v>860</v>
      </c>
      <c r="M802" s="405" t="s">
        <v>19025</v>
      </c>
      <c r="N802" s="405" t="s">
        <v>19188</v>
      </c>
      <c r="O802" s="405" t="s">
        <v>19189</v>
      </c>
      <c r="P802" s="405" t="s">
        <v>19190</v>
      </c>
      <c r="Q802" s="411">
        <v>6</v>
      </c>
      <c r="R802" s="405" t="s">
        <v>7211</v>
      </c>
      <c r="S802" s="405" t="s">
        <v>6918</v>
      </c>
      <c r="T802" s="405" t="s">
        <v>32102</v>
      </c>
      <c r="U802" s="405" t="s">
        <v>319</v>
      </c>
    </row>
    <row r="803" spans="1:21" x14ac:dyDescent="0.25">
      <c r="A803" s="405" t="s">
        <v>310</v>
      </c>
      <c r="B803" s="405" t="s">
        <v>19178</v>
      </c>
      <c r="C803" s="405" t="s">
        <v>327</v>
      </c>
      <c r="D803" s="405"/>
      <c r="E803" s="410">
        <v>44228</v>
      </c>
      <c r="F803" s="410">
        <v>44238</v>
      </c>
      <c r="G803" s="405" t="s">
        <v>19179</v>
      </c>
      <c r="H803" s="405" t="s">
        <v>19180</v>
      </c>
      <c r="I803" s="405" t="s">
        <v>2913</v>
      </c>
      <c r="J803" s="405">
        <v>2.97349</v>
      </c>
      <c r="K803" s="405">
        <v>31.388400000000001</v>
      </c>
      <c r="L803" s="405" t="s">
        <v>860</v>
      </c>
      <c r="M803" s="405" t="s">
        <v>19025</v>
      </c>
      <c r="N803" s="405" t="s">
        <v>19181</v>
      </c>
      <c r="O803" s="405" t="s">
        <v>19163</v>
      </c>
      <c r="P803" s="405" t="s">
        <v>16321</v>
      </c>
      <c r="Q803" s="411">
        <v>6</v>
      </c>
      <c r="R803" s="405" t="s">
        <v>7211</v>
      </c>
      <c r="S803" s="405" t="s">
        <v>6918</v>
      </c>
      <c r="T803" s="405" t="s">
        <v>32102</v>
      </c>
      <c r="U803" s="405" t="s">
        <v>319</v>
      </c>
    </row>
    <row r="804" spans="1:21" x14ac:dyDescent="0.25">
      <c r="A804" s="405" t="s">
        <v>310</v>
      </c>
      <c r="B804" s="405" t="s">
        <v>19174</v>
      </c>
      <c r="C804" s="405" t="s">
        <v>327</v>
      </c>
      <c r="D804" s="405"/>
      <c r="E804" s="410">
        <v>44227</v>
      </c>
      <c r="F804" s="410">
        <v>44232</v>
      </c>
      <c r="G804" s="405" t="s">
        <v>19175</v>
      </c>
      <c r="H804" s="405" t="s">
        <v>19176</v>
      </c>
      <c r="I804" s="405" t="s">
        <v>2913</v>
      </c>
      <c r="J804" s="405">
        <v>3.0920700000000001</v>
      </c>
      <c r="K804" s="405">
        <v>30.880468</v>
      </c>
      <c r="L804" s="405" t="s">
        <v>860</v>
      </c>
      <c r="M804" s="405" t="s">
        <v>19025</v>
      </c>
      <c r="N804" s="405" t="s">
        <v>19168</v>
      </c>
      <c r="O804" s="405" t="s">
        <v>19163</v>
      </c>
      <c r="P804" s="405" t="s">
        <v>19177</v>
      </c>
      <c r="Q804" s="411">
        <v>6</v>
      </c>
      <c r="R804" s="405" t="s">
        <v>7211</v>
      </c>
      <c r="S804" s="405" t="s">
        <v>6918</v>
      </c>
      <c r="T804" s="405" t="s">
        <v>32102</v>
      </c>
      <c r="U804" s="405" t="s">
        <v>319</v>
      </c>
    </row>
    <row r="805" spans="1:21" x14ac:dyDescent="0.25">
      <c r="A805" s="405" t="s">
        <v>310</v>
      </c>
      <c r="B805" s="405" t="s">
        <v>19170</v>
      </c>
      <c r="C805" s="405" t="s">
        <v>327</v>
      </c>
      <c r="D805" s="405"/>
      <c r="E805" s="410">
        <v>44227</v>
      </c>
      <c r="F805" s="410">
        <v>44232</v>
      </c>
      <c r="G805" s="405" t="s">
        <v>19171</v>
      </c>
      <c r="H805" s="405" t="s">
        <v>19172</v>
      </c>
      <c r="I805" s="405" t="s">
        <v>2913</v>
      </c>
      <c r="J805" s="405">
        <v>3.1179250000000001</v>
      </c>
      <c r="K805" s="405">
        <v>30.859597999999998</v>
      </c>
      <c r="L805" s="405" t="s">
        <v>860</v>
      </c>
      <c r="M805" s="405" t="s">
        <v>19025</v>
      </c>
      <c r="N805" s="405" t="s">
        <v>19168</v>
      </c>
      <c r="O805" s="405" t="s">
        <v>19163</v>
      </c>
      <c r="P805" s="405" t="s">
        <v>19173</v>
      </c>
      <c r="Q805" s="411">
        <v>6</v>
      </c>
      <c r="R805" s="405" t="s">
        <v>7211</v>
      </c>
      <c r="S805" s="405" t="s">
        <v>6918</v>
      </c>
      <c r="T805" s="405" t="s">
        <v>32102</v>
      </c>
      <c r="U805" s="405" t="s">
        <v>319</v>
      </c>
    </row>
    <row r="806" spans="1:21" x14ac:dyDescent="0.25">
      <c r="A806" s="405" t="s">
        <v>310</v>
      </c>
      <c r="B806" s="405" t="s">
        <v>17504</v>
      </c>
      <c r="C806" s="405" t="s">
        <v>327</v>
      </c>
      <c r="D806" s="405"/>
      <c r="E806" s="410">
        <v>44226</v>
      </c>
      <c r="F806" s="410">
        <v>44242</v>
      </c>
      <c r="G806" s="405" t="s">
        <v>17505</v>
      </c>
      <c r="H806" s="405" t="s">
        <v>17506</v>
      </c>
      <c r="I806" s="405" t="s">
        <v>17507</v>
      </c>
      <c r="J806" s="405">
        <v>1.502202</v>
      </c>
      <c r="K806" s="405">
        <v>34.171728000000002</v>
      </c>
      <c r="L806" s="405" t="s">
        <v>6866</v>
      </c>
      <c r="M806" s="405" t="s">
        <v>9504</v>
      </c>
      <c r="N806" s="405" t="s">
        <v>9504</v>
      </c>
      <c r="O806" s="405" t="s">
        <v>17508</v>
      </c>
      <c r="P806" s="405" t="s">
        <v>17509</v>
      </c>
      <c r="Q806" s="411">
        <v>9</v>
      </c>
      <c r="R806" s="405" t="s">
        <v>17977</v>
      </c>
      <c r="S806" s="405" t="s">
        <v>27056</v>
      </c>
      <c r="T806" s="405" t="s">
        <v>32102</v>
      </c>
      <c r="U806" s="405" t="s">
        <v>319</v>
      </c>
    </row>
    <row r="807" spans="1:21" x14ac:dyDescent="0.25">
      <c r="A807" s="405" t="s">
        <v>310</v>
      </c>
      <c r="B807" s="405" t="s">
        <v>19165</v>
      </c>
      <c r="C807" s="405" t="s">
        <v>327</v>
      </c>
      <c r="D807" s="405"/>
      <c r="E807" s="410">
        <v>44226</v>
      </c>
      <c r="F807" s="410">
        <v>44232</v>
      </c>
      <c r="G807" s="405" t="s">
        <v>19166</v>
      </c>
      <c r="H807" s="405" t="s">
        <v>19167</v>
      </c>
      <c r="I807" s="405" t="s">
        <v>2913</v>
      </c>
      <c r="J807" s="405">
        <v>3.1201080000000001</v>
      </c>
      <c r="K807" s="405">
        <v>30.873512000000002</v>
      </c>
      <c r="L807" s="405" t="s">
        <v>860</v>
      </c>
      <c r="M807" s="405" t="s">
        <v>19025</v>
      </c>
      <c r="N807" s="405" t="s">
        <v>19168</v>
      </c>
      <c r="O807" s="405" t="s">
        <v>19163</v>
      </c>
      <c r="P807" s="405" t="s">
        <v>19169</v>
      </c>
      <c r="Q807" s="411">
        <v>6</v>
      </c>
      <c r="R807" s="405" t="s">
        <v>7211</v>
      </c>
      <c r="S807" s="405" t="s">
        <v>6918</v>
      </c>
      <c r="T807" s="405" t="s">
        <v>32102</v>
      </c>
      <c r="U807" s="405" t="s">
        <v>319</v>
      </c>
    </row>
    <row r="808" spans="1:21" x14ac:dyDescent="0.25">
      <c r="A808" s="405" t="s">
        <v>310</v>
      </c>
      <c r="B808" s="405" t="s">
        <v>9524</v>
      </c>
      <c r="C808" s="405" t="s">
        <v>311</v>
      </c>
      <c r="D808" s="405" t="s">
        <v>9525</v>
      </c>
      <c r="E808" s="410">
        <v>44275</v>
      </c>
      <c r="F808" s="410">
        <v>44336</v>
      </c>
      <c r="G808" s="405" t="s">
        <v>9526</v>
      </c>
      <c r="H808" s="405" t="s">
        <v>8291</v>
      </c>
      <c r="I808" s="405" t="s">
        <v>2913</v>
      </c>
      <c r="J808" s="405">
        <v>0.41602800000000001</v>
      </c>
      <c r="K808" s="405">
        <v>32.649107000000001</v>
      </c>
      <c r="L808" s="405" t="s">
        <v>314</v>
      </c>
      <c r="M808" s="405" t="s">
        <v>361</v>
      </c>
      <c r="N808" s="405" t="s">
        <v>363</v>
      </c>
      <c r="O808" s="405" t="s">
        <v>363</v>
      </c>
      <c r="P808" s="405" t="s">
        <v>4885</v>
      </c>
      <c r="Q808" s="411">
        <v>55</v>
      </c>
      <c r="R808" s="405" t="s">
        <v>32101</v>
      </c>
      <c r="S808" s="405" t="s">
        <v>27034</v>
      </c>
      <c r="T808" s="405" t="s">
        <v>32102</v>
      </c>
      <c r="U808" s="405" t="s">
        <v>319</v>
      </c>
    </row>
    <row r="809" spans="1:21" x14ac:dyDescent="0.25">
      <c r="A809" s="405" t="s">
        <v>310</v>
      </c>
      <c r="B809" s="405" t="s">
        <v>19159</v>
      </c>
      <c r="C809" s="405" t="s">
        <v>327</v>
      </c>
      <c r="D809" s="405"/>
      <c r="E809" s="410">
        <v>44225</v>
      </c>
      <c r="F809" s="410">
        <v>44232</v>
      </c>
      <c r="G809" s="405" t="s">
        <v>19160</v>
      </c>
      <c r="H809" s="405" t="s">
        <v>19161</v>
      </c>
      <c r="I809" s="405" t="s">
        <v>2913</v>
      </c>
      <c r="J809" s="405">
        <v>3.099167</v>
      </c>
      <c r="K809" s="405">
        <v>30.889312</v>
      </c>
      <c r="L809" s="405" t="s">
        <v>860</v>
      </c>
      <c r="M809" s="405" t="s">
        <v>19025</v>
      </c>
      <c r="N809" s="405" t="s">
        <v>19162</v>
      </c>
      <c r="O809" s="405" t="s">
        <v>19163</v>
      </c>
      <c r="P809" s="405" t="s">
        <v>19164</v>
      </c>
      <c r="Q809" s="411">
        <v>6</v>
      </c>
      <c r="R809" s="405" t="s">
        <v>7211</v>
      </c>
      <c r="S809" s="405" t="s">
        <v>6918</v>
      </c>
      <c r="T809" s="405" t="s">
        <v>32102</v>
      </c>
      <c r="U809" s="405" t="s">
        <v>319</v>
      </c>
    </row>
    <row r="810" spans="1:21" x14ac:dyDescent="0.25">
      <c r="A810" s="405" t="s">
        <v>310</v>
      </c>
      <c r="B810" s="405" t="s">
        <v>19206</v>
      </c>
      <c r="C810" s="405" t="s">
        <v>327</v>
      </c>
      <c r="D810" s="405"/>
      <c r="E810" s="410">
        <v>44225</v>
      </c>
      <c r="F810" s="410">
        <v>44232</v>
      </c>
      <c r="G810" s="405" t="s">
        <v>19207</v>
      </c>
      <c r="H810" s="405" t="s">
        <v>19208</v>
      </c>
      <c r="I810" s="405" t="s">
        <v>2913</v>
      </c>
      <c r="J810" s="405">
        <v>3.017582</v>
      </c>
      <c r="K810" s="405">
        <v>30.915870000000002</v>
      </c>
      <c r="L810" s="405" t="s">
        <v>860</v>
      </c>
      <c r="M810" s="405" t="s">
        <v>19144</v>
      </c>
      <c r="N810" s="405" t="s">
        <v>19209</v>
      </c>
      <c r="O810" s="405" t="s">
        <v>19145</v>
      </c>
      <c r="P810" s="405" t="s">
        <v>19210</v>
      </c>
      <c r="Q810" s="411">
        <v>6</v>
      </c>
      <c r="R810" s="405" t="s">
        <v>7211</v>
      </c>
      <c r="S810" s="405" t="s">
        <v>6918</v>
      </c>
      <c r="T810" s="405" t="s">
        <v>32102</v>
      </c>
      <c r="U810" s="405" t="s">
        <v>319</v>
      </c>
    </row>
    <row r="811" spans="1:21" x14ac:dyDescent="0.25">
      <c r="A811" s="405" t="s">
        <v>310</v>
      </c>
      <c r="B811" s="405" t="s">
        <v>19211</v>
      </c>
      <c r="C811" s="405" t="s">
        <v>327</v>
      </c>
      <c r="D811" s="405"/>
      <c r="E811" s="410">
        <v>44224</v>
      </c>
      <c r="F811" s="410">
        <v>44247</v>
      </c>
      <c r="G811" s="405" t="s">
        <v>19212</v>
      </c>
      <c r="H811" s="405" t="s">
        <v>19213</v>
      </c>
      <c r="I811" s="405" t="s">
        <v>2913</v>
      </c>
      <c r="J811" s="405">
        <v>2.3505319999999998</v>
      </c>
      <c r="K811" s="405">
        <v>31.136315</v>
      </c>
      <c r="L811" s="405" t="s">
        <v>860</v>
      </c>
      <c r="M811" s="405" t="s">
        <v>19144</v>
      </c>
      <c r="N811" s="405" t="s">
        <v>19214</v>
      </c>
      <c r="O811" s="405" t="s">
        <v>19145</v>
      </c>
      <c r="P811" s="405" t="s">
        <v>19215</v>
      </c>
      <c r="Q811" s="411">
        <v>6</v>
      </c>
      <c r="R811" s="405" t="s">
        <v>7211</v>
      </c>
      <c r="S811" s="405" t="s">
        <v>6918</v>
      </c>
      <c r="T811" s="405" t="s">
        <v>32102</v>
      </c>
      <c r="U811" s="405" t="s">
        <v>319</v>
      </c>
    </row>
    <row r="812" spans="1:21" x14ac:dyDescent="0.25">
      <c r="A812" s="405" t="s">
        <v>310</v>
      </c>
      <c r="B812" s="405" t="s">
        <v>19200</v>
      </c>
      <c r="C812" s="405" t="s">
        <v>327</v>
      </c>
      <c r="D812" s="405"/>
      <c r="E812" s="410">
        <v>44223</v>
      </c>
      <c r="F812" s="410">
        <v>44242</v>
      </c>
      <c r="G812" s="405" t="s">
        <v>19201</v>
      </c>
      <c r="H812" s="405" t="s">
        <v>19202</v>
      </c>
      <c r="I812" s="405" t="s">
        <v>19203</v>
      </c>
      <c r="J812" s="405">
        <v>2.42577</v>
      </c>
      <c r="K812" s="405">
        <v>31.098949999999999</v>
      </c>
      <c r="L812" s="405" t="s">
        <v>860</v>
      </c>
      <c r="M812" s="405" t="s">
        <v>19144</v>
      </c>
      <c r="N812" s="405" t="s">
        <v>19204</v>
      </c>
      <c r="O812" s="405" t="s">
        <v>19145</v>
      </c>
      <c r="P812" s="405" t="s">
        <v>19205</v>
      </c>
      <c r="Q812" s="411">
        <v>6</v>
      </c>
      <c r="R812" s="405" t="s">
        <v>7211</v>
      </c>
      <c r="S812" s="405" t="s">
        <v>6918</v>
      </c>
      <c r="T812" s="405" t="s">
        <v>32102</v>
      </c>
      <c r="U812" s="405" t="s">
        <v>319</v>
      </c>
    </row>
    <row r="813" spans="1:21" x14ac:dyDescent="0.25">
      <c r="A813" s="405" t="s">
        <v>310</v>
      </c>
      <c r="B813" s="405" t="s">
        <v>19216</v>
      </c>
      <c r="C813" s="405" t="s">
        <v>327</v>
      </c>
      <c r="D813" s="405"/>
      <c r="E813" s="410">
        <v>44223</v>
      </c>
      <c r="F813" s="410">
        <v>44242</v>
      </c>
      <c r="G813" s="405" t="s">
        <v>19217</v>
      </c>
      <c r="H813" s="405" t="s">
        <v>19218</v>
      </c>
      <c r="I813" s="405" t="s">
        <v>2913</v>
      </c>
      <c r="J813" s="405">
        <v>2.37873</v>
      </c>
      <c r="K813" s="405">
        <v>31.105653</v>
      </c>
      <c r="L813" s="405" t="s">
        <v>860</v>
      </c>
      <c r="M813" s="405" t="s">
        <v>19144</v>
      </c>
      <c r="N813" s="405" t="s">
        <v>19209</v>
      </c>
      <c r="O813" s="405" t="s">
        <v>19145</v>
      </c>
      <c r="P813" s="405" t="s">
        <v>19219</v>
      </c>
      <c r="Q813" s="411">
        <v>6</v>
      </c>
      <c r="R813" s="405" t="s">
        <v>7211</v>
      </c>
      <c r="S813" s="405" t="s">
        <v>6918</v>
      </c>
      <c r="T813" s="405" t="s">
        <v>32102</v>
      </c>
      <c r="U813" s="405" t="s">
        <v>319</v>
      </c>
    </row>
    <row r="814" spans="1:21" x14ac:dyDescent="0.25">
      <c r="A814" s="405" t="s">
        <v>310</v>
      </c>
      <c r="B814" s="405" t="s">
        <v>26206</v>
      </c>
      <c r="C814" s="405" t="s">
        <v>327</v>
      </c>
      <c r="D814" s="405"/>
      <c r="E814" s="410">
        <v>44222</v>
      </c>
      <c r="F814" s="410">
        <v>44235</v>
      </c>
      <c r="G814" s="405" t="s">
        <v>26207</v>
      </c>
      <c r="H814" s="405" t="s">
        <v>26208</v>
      </c>
      <c r="I814" s="405" t="s">
        <v>26208</v>
      </c>
      <c r="J814" s="405">
        <v>0.65608500000000003</v>
      </c>
      <c r="K814" s="405">
        <v>30.235911999999999</v>
      </c>
      <c r="L814" s="405" t="s">
        <v>590</v>
      </c>
      <c r="M814" s="405" t="s">
        <v>21917</v>
      </c>
      <c r="N814" s="405" t="s">
        <v>26209</v>
      </c>
      <c r="O814" s="405" t="s">
        <v>26210</v>
      </c>
      <c r="P814" s="405" t="s">
        <v>26211</v>
      </c>
      <c r="Q814" s="411">
        <v>9</v>
      </c>
      <c r="R814" s="405" t="s">
        <v>32101</v>
      </c>
      <c r="S814" s="405" t="s">
        <v>27278</v>
      </c>
      <c r="T814" s="405" t="s">
        <v>32102</v>
      </c>
      <c r="U814" s="405" t="s">
        <v>319</v>
      </c>
    </row>
    <row r="815" spans="1:21" x14ac:dyDescent="0.25">
      <c r="A815" s="405" t="s">
        <v>310</v>
      </c>
      <c r="B815" s="405" t="s">
        <v>19141</v>
      </c>
      <c r="C815" s="405" t="s">
        <v>327</v>
      </c>
      <c r="D815" s="405"/>
      <c r="E815" s="410">
        <v>44222</v>
      </c>
      <c r="F815" s="410">
        <v>44242</v>
      </c>
      <c r="G815" s="405" t="s">
        <v>19142</v>
      </c>
      <c r="H815" s="405" t="s">
        <v>19143</v>
      </c>
      <c r="I815" s="405" t="s">
        <v>2913</v>
      </c>
      <c r="J815" s="405">
        <v>2.3177680000000001</v>
      </c>
      <c r="K815" s="405">
        <v>31.156694999999999</v>
      </c>
      <c r="L815" s="405" t="s">
        <v>860</v>
      </c>
      <c r="M815" s="405" t="s">
        <v>19144</v>
      </c>
      <c r="N815" s="405" t="s">
        <v>19145</v>
      </c>
      <c r="O815" s="405" t="s">
        <v>19146</v>
      </c>
      <c r="P815" s="405" t="s">
        <v>19147</v>
      </c>
      <c r="Q815" s="411">
        <v>6</v>
      </c>
      <c r="R815" s="405" t="s">
        <v>7211</v>
      </c>
      <c r="S815" s="405" t="s">
        <v>6918</v>
      </c>
      <c r="T815" s="405" t="s">
        <v>32102</v>
      </c>
      <c r="U815" s="405" t="s">
        <v>319</v>
      </c>
    </row>
    <row r="816" spans="1:21" x14ac:dyDescent="0.25">
      <c r="A816" s="405" t="s">
        <v>310</v>
      </c>
      <c r="B816" s="405" t="s">
        <v>19149</v>
      </c>
      <c r="C816" s="405" t="s">
        <v>327</v>
      </c>
      <c r="D816" s="405"/>
      <c r="E816" s="410">
        <v>44222</v>
      </c>
      <c r="F816" s="410">
        <v>44242</v>
      </c>
      <c r="G816" s="405" t="s">
        <v>19150</v>
      </c>
      <c r="H816" s="405" t="s">
        <v>19151</v>
      </c>
      <c r="I816" s="405" t="s">
        <v>2913</v>
      </c>
      <c r="J816" s="405">
        <v>2.3097819999999998</v>
      </c>
      <c r="K816" s="405">
        <v>31.166488000000001</v>
      </c>
      <c r="L816" s="405" t="s">
        <v>860</v>
      </c>
      <c r="M816" s="405" t="s">
        <v>19144</v>
      </c>
      <c r="N816" s="405" t="s">
        <v>19145</v>
      </c>
      <c r="O816" s="405" t="s">
        <v>19146</v>
      </c>
      <c r="P816" s="405" t="s">
        <v>19152</v>
      </c>
      <c r="Q816" s="411">
        <v>6</v>
      </c>
      <c r="R816" s="405" t="s">
        <v>7211</v>
      </c>
      <c r="S816" s="405" t="s">
        <v>6918</v>
      </c>
      <c r="T816" s="405" t="s">
        <v>32102</v>
      </c>
      <c r="U816" s="405" t="s">
        <v>319</v>
      </c>
    </row>
    <row r="817" spans="1:21" x14ac:dyDescent="0.25">
      <c r="A817" s="405" t="s">
        <v>310</v>
      </c>
      <c r="B817" s="405" t="s">
        <v>19153</v>
      </c>
      <c r="C817" s="405" t="s">
        <v>327</v>
      </c>
      <c r="D817" s="405"/>
      <c r="E817" s="410">
        <v>44222</v>
      </c>
      <c r="F817" s="410">
        <v>44242</v>
      </c>
      <c r="G817" s="405" t="s">
        <v>19154</v>
      </c>
      <c r="H817" s="405" t="s">
        <v>19155</v>
      </c>
      <c r="I817" s="405" t="s">
        <v>2913</v>
      </c>
      <c r="J817" s="405">
        <v>2.2815349999999999</v>
      </c>
      <c r="K817" s="405">
        <v>31.162437000000001</v>
      </c>
      <c r="L817" s="405" t="s">
        <v>860</v>
      </c>
      <c r="M817" s="405" t="s">
        <v>19144</v>
      </c>
      <c r="N817" s="405" t="s">
        <v>19156</v>
      </c>
      <c r="O817" s="405" t="s">
        <v>19157</v>
      </c>
      <c r="P817" s="405" t="s">
        <v>19158</v>
      </c>
      <c r="Q817" s="411">
        <v>6</v>
      </c>
      <c r="R817" s="405" t="s">
        <v>7211</v>
      </c>
      <c r="S817" s="405" t="s">
        <v>6918</v>
      </c>
      <c r="T817" s="405" t="s">
        <v>32102</v>
      </c>
      <c r="U817" s="405" t="s">
        <v>319</v>
      </c>
    </row>
    <row r="818" spans="1:21" x14ac:dyDescent="0.25">
      <c r="A818" s="405" t="s">
        <v>310</v>
      </c>
      <c r="B818" s="405" t="s">
        <v>8608</v>
      </c>
      <c r="C818" s="405" t="s">
        <v>327</v>
      </c>
      <c r="D818" s="405"/>
      <c r="E818" s="410">
        <v>44218</v>
      </c>
      <c r="F818" s="410">
        <v>44247</v>
      </c>
      <c r="G818" s="405" t="s">
        <v>8609</v>
      </c>
      <c r="H818" s="405" t="s">
        <v>8610</v>
      </c>
      <c r="I818" s="405" t="s">
        <v>8611</v>
      </c>
      <c r="J818" s="405">
        <v>0.59145000000000003</v>
      </c>
      <c r="K818" s="405">
        <v>33.019215000000003</v>
      </c>
      <c r="L818" s="405" t="s">
        <v>314</v>
      </c>
      <c r="M818" s="405" t="s">
        <v>502</v>
      </c>
      <c r="N818" s="405" t="s">
        <v>5469</v>
      </c>
      <c r="O818" s="405" t="s">
        <v>8612</v>
      </c>
      <c r="P818" s="405" t="s">
        <v>8613</v>
      </c>
      <c r="Q818" s="411">
        <v>9</v>
      </c>
      <c r="R818" s="405" t="s">
        <v>402</v>
      </c>
      <c r="S818" s="405" t="s">
        <v>27186</v>
      </c>
      <c r="T818" s="405" t="s">
        <v>32102</v>
      </c>
      <c r="U818" s="405" t="s">
        <v>319</v>
      </c>
    </row>
    <row r="819" spans="1:21" x14ac:dyDescent="0.25">
      <c r="A819" s="405" t="s">
        <v>310</v>
      </c>
      <c r="B819" s="405" t="s">
        <v>26255</v>
      </c>
      <c r="C819" s="405" t="s">
        <v>327</v>
      </c>
      <c r="D819" s="405"/>
      <c r="E819" s="410">
        <v>44217</v>
      </c>
      <c r="F819" s="410">
        <v>44262</v>
      </c>
      <c r="G819" s="405" t="s">
        <v>26256</v>
      </c>
      <c r="H819" s="405" t="s">
        <v>26257</v>
      </c>
      <c r="I819" s="405" t="s">
        <v>26258</v>
      </c>
      <c r="J819" s="405">
        <v>0.64944999999999997</v>
      </c>
      <c r="K819" s="405">
        <v>30.666122000000001</v>
      </c>
      <c r="L819" s="405" t="s">
        <v>590</v>
      </c>
      <c r="M819" s="405" t="s">
        <v>20426</v>
      </c>
      <c r="N819" s="405" t="s">
        <v>20537</v>
      </c>
      <c r="O819" s="405" t="s">
        <v>22036</v>
      </c>
      <c r="P819" s="405" t="s">
        <v>19707</v>
      </c>
      <c r="Q819" s="411">
        <v>9</v>
      </c>
      <c r="R819" s="405" t="s">
        <v>32166</v>
      </c>
      <c r="S819" s="405" t="s">
        <v>27132</v>
      </c>
      <c r="T819" s="405" t="s">
        <v>32102</v>
      </c>
      <c r="U819" s="405" t="s">
        <v>319</v>
      </c>
    </row>
    <row r="820" spans="1:21" x14ac:dyDescent="0.25">
      <c r="A820" s="405" t="s">
        <v>310</v>
      </c>
      <c r="B820" s="405" t="s">
        <v>17528</v>
      </c>
      <c r="C820" s="405" t="s">
        <v>327</v>
      </c>
      <c r="D820" s="405"/>
      <c r="E820" s="410">
        <v>44217</v>
      </c>
      <c r="F820" s="410">
        <v>44344</v>
      </c>
      <c r="G820" s="405" t="s">
        <v>17529</v>
      </c>
      <c r="H820" s="405">
        <v>772424109</v>
      </c>
      <c r="I820" s="405" t="s">
        <v>2913</v>
      </c>
      <c r="J820" s="405">
        <v>1.019862</v>
      </c>
      <c r="K820" s="405">
        <v>34.179994999999998</v>
      </c>
      <c r="L820" s="405" t="s">
        <v>6866</v>
      </c>
      <c r="M820" s="405" t="s">
        <v>9514</v>
      </c>
      <c r="N820" s="405" t="s">
        <v>16909</v>
      </c>
      <c r="O820" s="405" t="s">
        <v>9571</v>
      </c>
      <c r="P820" s="405" t="s">
        <v>10327</v>
      </c>
      <c r="Q820" s="411">
        <v>6</v>
      </c>
      <c r="R820" s="405" t="s">
        <v>6871</v>
      </c>
      <c r="S820" s="405" t="s">
        <v>27074</v>
      </c>
      <c r="T820" s="405" t="s">
        <v>32102</v>
      </c>
      <c r="U820" s="405" t="s">
        <v>319</v>
      </c>
    </row>
    <row r="821" spans="1:21" x14ac:dyDescent="0.25">
      <c r="A821" s="405" t="s">
        <v>310</v>
      </c>
      <c r="B821" s="405" t="s">
        <v>26216</v>
      </c>
      <c r="C821" s="405" t="s">
        <v>327</v>
      </c>
      <c r="D821" s="405"/>
      <c r="E821" s="410">
        <v>44217</v>
      </c>
      <c r="F821" s="410">
        <v>44233</v>
      </c>
      <c r="G821" s="405" t="s">
        <v>26217</v>
      </c>
      <c r="H821" s="405" t="s">
        <v>26218</v>
      </c>
      <c r="I821" s="405" t="s">
        <v>26219</v>
      </c>
      <c r="J821" s="405">
        <v>1.0481</v>
      </c>
      <c r="K821" s="405">
        <v>30.533487000000001</v>
      </c>
      <c r="L821" s="405" t="s">
        <v>590</v>
      </c>
      <c r="M821" s="405" t="s">
        <v>24720</v>
      </c>
      <c r="N821" s="405" t="s">
        <v>24720</v>
      </c>
      <c r="O821" s="405" t="s">
        <v>22033</v>
      </c>
      <c r="P821" s="405" t="s">
        <v>24720</v>
      </c>
      <c r="Q821" s="411">
        <v>6</v>
      </c>
      <c r="R821" s="405" t="s">
        <v>32101</v>
      </c>
      <c r="S821" s="405" t="s">
        <v>27060</v>
      </c>
      <c r="T821" s="405" t="s">
        <v>32102</v>
      </c>
      <c r="U821" s="405" t="s">
        <v>319</v>
      </c>
    </row>
    <row r="822" spans="1:21" x14ac:dyDescent="0.25">
      <c r="A822" s="405" t="s">
        <v>310</v>
      </c>
      <c r="B822" s="405" t="s">
        <v>17474</v>
      </c>
      <c r="C822" s="405" t="s">
        <v>327</v>
      </c>
      <c r="D822" s="405"/>
      <c r="E822" s="410">
        <v>44217</v>
      </c>
      <c r="F822" s="410">
        <v>44221</v>
      </c>
      <c r="G822" s="405" t="s">
        <v>17475</v>
      </c>
      <c r="H822" s="405" t="s">
        <v>17476</v>
      </c>
      <c r="I822" s="405" t="s">
        <v>17477</v>
      </c>
      <c r="J822" s="405">
        <v>1.472003</v>
      </c>
      <c r="K822" s="405">
        <v>33.873165</v>
      </c>
      <c r="L822" s="405" t="s">
        <v>6866</v>
      </c>
      <c r="M822" s="405" t="s">
        <v>10029</v>
      </c>
      <c r="N822" s="405" t="s">
        <v>17478</v>
      </c>
      <c r="O822" s="405" t="s">
        <v>11388</v>
      </c>
      <c r="P822" s="405" t="s">
        <v>11388</v>
      </c>
      <c r="Q822" s="411">
        <v>6</v>
      </c>
      <c r="R822" s="405" t="s">
        <v>7224</v>
      </c>
      <c r="S822" s="405" t="s">
        <v>27067</v>
      </c>
      <c r="T822" s="405" t="s">
        <v>32102</v>
      </c>
      <c r="U822" s="405" t="s">
        <v>319</v>
      </c>
    </row>
    <row r="823" spans="1:21" x14ac:dyDescent="0.25">
      <c r="A823" s="405" t="s">
        <v>310</v>
      </c>
      <c r="B823" s="405" t="s">
        <v>26212</v>
      </c>
      <c r="C823" s="405" t="s">
        <v>327</v>
      </c>
      <c r="D823" s="405"/>
      <c r="E823" s="410">
        <v>44216</v>
      </c>
      <c r="F823" s="410">
        <v>44233</v>
      </c>
      <c r="G823" s="405" t="s">
        <v>26213</v>
      </c>
      <c r="H823" s="405" t="s">
        <v>26214</v>
      </c>
      <c r="I823" s="405">
        <v>789686671</v>
      </c>
      <c r="J823" s="405">
        <v>0.6804</v>
      </c>
      <c r="K823" s="405">
        <v>30.283180999999999</v>
      </c>
      <c r="L823" s="405" t="s">
        <v>590</v>
      </c>
      <c r="M823" s="405" t="s">
        <v>21917</v>
      </c>
      <c r="N823" s="405" t="s">
        <v>26209</v>
      </c>
      <c r="O823" s="405" t="s">
        <v>26209</v>
      </c>
      <c r="P823" s="405" t="s">
        <v>26215</v>
      </c>
      <c r="Q823" s="411">
        <v>9</v>
      </c>
      <c r="R823" s="405" t="s">
        <v>32101</v>
      </c>
      <c r="S823" s="405" t="s">
        <v>27243</v>
      </c>
      <c r="T823" s="405" t="s">
        <v>32102</v>
      </c>
      <c r="U823" s="405" t="s">
        <v>319</v>
      </c>
    </row>
    <row r="824" spans="1:21" x14ac:dyDescent="0.25">
      <c r="A824" s="405" t="s">
        <v>310</v>
      </c>
      <c r="B824" s="405" t="s">
        <v>8581</v>
      </c>
      <c r="C824" s="405" t="s">
        <v>327</v>
      </c>
      <c r="D824" s="405"/>
      <c r="E824" s="410">
        <v>44215</v>
      </c>
      <c r="F824" s="410">
        <v>44235</v>
      </c>
      <c r="G824" s="405" t="s">
        <v>8582</v>
      </c>
      <c r="H824" s="405" t="s">
        <v>8583</v>
      </c>
      <c r="I824" s="405" t="s">
        <v>8584</v>
      </c>
      <c r="J824" s="405">
        <v>0.39024799999999998</v>
      </c>
      <c r="K824" s="405">
        <v>32.465940000000003</v>
      </c>
      <c r="L824" s="405" t="s">
        <v>314</v>
      </c>
      <c r="M824" s="405" t="s">
        <v>361</v>
      </c>
      <c r="N824" s="405" t="s">
        <v>374</v>
      </c>
      <c r="O824" s="405" t="s">
        <v>361</v>
      </c>
      <c r="P824" s="405" t="s">
        <v>8585</v>
      </c>
      <c r="Q824" s="411">
        <v>13</v>
      </c>
      <c r="R824" s="405" t="s">
        <v>32101</v>
      </c>
      <c r="S824" s="405" t="s">
        <v>27053</v>
      </c>
      <c r="T824" s="405" t="s">
        <v>32102</v>
      </c>
      <c r="U824" s="405" t="s">
        <v>319</v>
      </c>
    </row>
    <row r="825" spans="1:21" x14ac:dyDescent="0.25">
      <c r="A825" s="405" t="s">
        <v>310</v>
      </c>
      <c r="B825" s="405" t="s">
        <v>8572</v>
      </c>
      <c r="C825" s="405" t="s">
        <v>327</v>
      </c>
      <c r="D825" s="405"/>
      <c r="E825" s="410">
        <v>44212</v>
      </c>
      <c r="F825" s="410">
        <v>44234</v>
      </c>
      <c r="G825" s="405" t="s">
        <v>8573</v>
      </c>
      <c r="H825" s="405" t="s">
        <v>8574</v>
      </c>
      <c r="I825" s="405" t="s">
        <v>8575</v>
      </c>
      <c r="J825" s="405">
        <v>0.36017199999999999</v>
      </c>
      <c r="K825" s="405">
        <v>32.537011999999997</v>
      </c>
      <c r="L825" s="405" t="s">
        <v>314</v>
      </c>
      <c r="M825" s="405" t="s">
        <v>361</v>
      </c>
      <c r="N825" s="405" t="s">
        <v>1290</v>
      </c>
      <c r="O825" s="405" t="s">
        <v>469</v>
      </c>
      <c r="P825" s="405" t="s">
        <v>469</v>
      </c>
      <c r="Q825" s="411">
        <v>9</v>
      </c>
      <c r="R825" s="405" t="s">
        <v>32101</v>
      </c>
      <c r="S825" s="405" t="s">
        <v>27193</v>
      </c>
      <c r="T825" s="405" t="s">
        <v>32102</v>
      </c>
      <c r="U825" s="405" t="s">
        <v>319</v>
      </c>
    </row>
    <row r="826" spans="1:21" x14ac:dyDescent="0.25">
      <c r="A826" s="405" t="s">
        <v>310</v>
      </c>
      <c r="B826" s="405" t="s">
        <v>17485</v>
      </c>
      <c r="C826" s="405" t="s">
        <v>327</v>
      </c>
      <c r="D826" s="405"/>
      <c r="E826" s="410">
        <v>44212</v>
      </c>
      <c r="F826" s="410">
        <v>44216</v>
      </c>
      <c r="G826" s="405" t="s">
        <v>17486</v>
      </c>
      <c r="H826" s="405" t="s">
        <v>17487</v>
      </c>
      <c r="I826" s="405" t="s">
        <v>17488</v>
      </c>
      <c r="J826" s="405">
        <v>1.071688</v>
      </c>
      <c r="K826" s="405">
        <v>34.120539999999998</v>
      </c>
      <c r="L826" s="405" t="s">
        <v>6866</v>
      </c>
      <c r="M826" s="405" t="s">
        <v>9676</v>
      </c>
      <c r="N826" s="405" t="s">
        <v>17489</v>
      </c>
      <c r="O826" s="405" t="s">
        <v>17490</v>
      </c>
      <c r="P826" s="405" t="s">
        <v>17491</v>
      </c>
      <c r="Q826" s="411">
        <v>6</v>
      </c>
      <c r="R826" s="405" t="s">
        <v>17977</v>
      </c>
      <c r="S826" s="405" t="s">
        <v>27259</v>
      </c>
      <c r="T826" s="405" t="s">
        <v>32102</v>
      </c>
      <c r="U826" s="405" t="s">
        <v>319</v>
      </c>
    </row>
    <row r="827" spans="1:21" x14ac:dyDescent="0.25">
      <c r="A827" s="405" t="s">
        <v>310</v>
      </c>
      <c r="B827" s="405" t="s">
        <v>26252</v>
      </c>
      <c r="C827" s="405" t="s">
        <v>327</v>
      </c>
      <c r="D827" s="405"/>
      <c r="E827" s="410">
        <v>44210</v>
      </c>
      <c r="F827" s="410">
        <v>44242</v>
      </c>
      <c r="G827" s="405" t="s">
        <v>26253</v>
      </c>
      <c r="H827" s="405" t="s">
        <v>26254</v>
      </c>
      <c r="I827" s="405" t="s">
        <v>2913</v>
      </c>
      <c r="J827" s="405">
        <v>-1.2748649999999999</v>
      </c>
      <c r="K827" s="405">
        <v>29.70242</v>
      </c>
      <c r="L827" s="405" t="s">
        <v>590</v>
      </c>
      <c r="M827" s="405" t="s">
        <v>20070</v>
      </c>
      <c r="N827" s="405" t="s">
        <v>26250</v>
      </c>
      <c r="O827" s="405" t="s">
        <v>11728</v>
      </c>
      <c r="P827" s="405" t="s">
        <v>26011</v>
      </c>
      <c r="Q827" s="411">
        <v>6</v>
      </c>
      <c r="R827" s="405" t="s">
        <v>24106</v>
      </c>
      <c r="S827" s="405" t="s">
        <v>27102</v>
      </c>
      <c r="T827" s="405" t="s">
        <v>32102</v>
      </c>
      <c r="U827" s="405" t="s">
        <v>319</v>
      </c>
    </row>
    <row r="828" spans="1:21" x14ac:dyDescent="0.25">
      <c r="A828" s="405" t="s">
        <v>310</v>
      </c>
      <c r="B828" s="405" t="s">
        <v>9260</v>
      </c>
      <c r="C828" s="405" t="s">
        <v>311</v>
      </c>
      <c r="D828" s="405" t="s">
        <v>9261</v>
      </c>
      <c r="E828" s="410">
        <v>44209</v>
      </c>
      <c r="F828" s="410">
        <v>44211</v>
      </c>
      <c r="G828" s="405" t="s">
        <v>9262</v>
      </c>
      <c r="H828" s="405" t="s">
        <v>9263</v>
      </c>
      <c r="I828" s="405" t="s">
        <v>8551</v>
      </c>
      <c r="J828" s="405">
        <v>-0.182507</v>
      </c>
      <c r="K828" s="405">
        <v>31.829059999999998</v>
      </c>
      <c r="L828" s="405" t="s">
        <v>314</v>
      </c>
      <c r="M828" s="405" t="s">
        <v>900</v>
      </c>
      <c r="N828" s="405" t="s">
        <v>3379</v>
      </c>
      <c r="O828" s="405" t="s">
        <v>9264</v>
      </c>
      <c r="P828" s="405" t="s">
        <v>9264</v>
      </c>
      <c r="Q828" s="411">
        <v>6</v>
      </c>
      <c r="R828" s="405" t="s">
        <v>7211</v>
      </c>
      <c r="S828" s="405" t="s">
        <v>6918</v>
      </c>
      <c r="T828" s="405" t="s">
        <v>32102</v>
      </c>
      <c r="U828" s="405" t="s">
        <v>319</v>
      </c>
    </row>
    <row r="829" spans="1:21" x14ac:dyDescent="0.25">
      <c r="A829" s="405" t="s">
        <v>310</v>
      </c>
      <c r="B829" s="405" t="s">
        <v>17479</v>
      </c>
      <c r="C829" s="405" t="s">
        <v>327</v>
      </c>
      <c r="D829" s="405"/>
      <c r="E829" s="410">
        <v>44206</v>
      </c>
      <c r="F829" s="410">
        <v>44215</v>
      </c>
      <c r="G829" s="405" t="s">
        <v>17480</v>
      </c>
      <c r="H829" s="405" t="s">
        <v>17481</v>
      </c>
      <c r="I829" s="405" t="s">
        <v>17482</v>
      </c>
      <c r="J829" s="405">
        <v>0.52877200000000002</v>
      </c>
      <c r="K829" s="405">
        <v>33.390515000000001</v>
      </c>
      <c r="L829" s="405" t="s">
        <v>6866</v>
      </c>
      <c r="M829" s="405" t="s">
        <v>5411</v>
      </c>
      <c r="N829" s="405" t="s">
        <v>17092</v>
      </c>
      <c r="O829" s="405" t="s">
        <v>5412</v>
      </c>
      <c r="P829" s="405" t="s">
        <v>5412</v>
      </c>
      <c r="Q829" s="411">
        <v>6</v>
      </c>
      <c r="R829" s="405" t="s">
        <v>32164</v>
      </c>
      <c r="S829" s="405" t="s">
        <v>27276</v>
      </c>
      <c r="T829" s="405" t="s">
        <v>32102</v>
      </c>
      <c r="U829" s="405" t="s">
        <v>319</v>
      </c>
    </row>
    <row r="830" spans="1:21" x14ac:dyDescent="0.25">
      <c r="A830" s="405" t="s">
        <v>310</v>
      </c>
      <c r="B830" s="405" t="s">
        <v>26246</v>
      </c>
      <c r="C830" s="405" t="s">
        <v>327</v>
      </c>
      <c r="D830" s="405"/>
      <c r="E830" s="410">
        <v>44204</v>
      </c>
      <c r="F830" s="410">
        <v>44242</v>
      </c>
      <c r="G830" s="405" t="s">
        <v>26247</v>
      </c>
      <c r="H830" s="405" t="s">
        <v>26248</v>
      </c>
      <c r="I830" s="405" t="s">
        <v>2913</v>
      </c>
      <c r="J830" s="405">
        <v>-1.2836069999999999</v>
      </c>
      <c r="K830" s="405">
        <v>29.694220000000001</v>
      </c>
      <c r="L830" s="405" t="s">
        <v>590</v>
      </c>
      <c r="M830" s="405" t="s">
        <v>20070</v>
      </c>
      <c r="N830" s="405" t="s">
        <v>26249</v>
      </c>
      <c r="O830" s="405" t="s">
        <v>26250</v>
      </c>
      <c r="P830" s="405" t="s">
        <v>26251</v>
      </c>
      <c r="Q830" s="411">
        <v>6</v>
      </c>
      <c r="R830" s="405" t="s">
        <v>24106</v>
      </c>
      <c r="S830" s="405" t="s">
        <v>27102</v>
      </c>
      <c r="T830" s="405" t="s">
        <v>32102</v>
      </c>
      <c r="U830" s="405" t="s">
        <v>319</v>
      </c>
    </row>
    <row r="831" spans="1:21" x14ac:dyDescent="0.25">
      <c r="A831" s="405" t="s">
        <v>310</v>
      </c>
      <c r="B831" s="405" t="s">
        <v>8508</v>
      </c>
      <c r="C831" s="405" t="s">
        <v>327</v>
      </c>
      <c r="D831" s="405"/>
      <c r="E831" s="410">
        <v>44203</v>
      </c>
      <c r="F831" s="410">
        <v>44213</v>
      </c>
      <c r="G831" s="405" t="s">
        <v>8509</v>
      </c>
      <c r="H831" s="405" t="s">
        <v>8510</v>
      </c>
      <c r="I831" s="405" t="s">
        <v>8511</v>
      </c>
      <c r="J831" s="405">
        <v>0.20916000000000001</v>
      </c>
      <c r="K831" s="405">
        <v>32.533582000000003</v>
      </c>
      <c r="L831" s="405" t="s">
        <v>314</v>
      </c>
      <c r="M831" s="405" t="s">
        <v>361</v>
      </c>
      <c r="N831" s="405" t="s">
        <v>2298</v>
      </c>
      <c r="O831" s="405" t="s">
        <v>4689</v>
      </c>
      <c r="P831" s="405" t="s">
        <v>8512</v>
      </c>
      <c r="Q831" s="411">
        <v>9</v>
      </c>
      <c r="R831" s="405" t="s">
        <v>7211</v>
      </c>
      <c r="S831" s="405" t="s">
        <v>6918</v>
      </c>
      <c r="T831" s="405" t="s">
        <v>32102</v>
      </c>
      <c r="U831" s="405" t="s">
        <v>319</v>
      </c>
    </row>
    <row r="832" spans="1:21" x14ac:dyDescent="0.25">
      <c r="A832" s="405" t="s">
        <v>310</v>
      </c>
      <c r="B832" s="405" t="s">
        <v>8626</v>
      </c>
      <c r="C832" s="405" t="s">
        <v>327</v>
      </c>
      <c r="D832" s="405"/>
      <c r="E832" s="410">
        <v>44202</v>
      </c>
      <c r="F832" s="410">
        <v>44267</v>
      </c>
      <c r="G832" s="405" t="s">
        <v>8627</v>
      </c>
      <c r="H832" s="405" t="s">
        <v>8628</v>
      </c>
      <c r="I832" s="405" t="s">
        <v>2913</v>
      </c>
      <c r="J832" s="405">
        <v>0.49213800000000002</v>
      </c>
      <c r="K832" s="405">
        <v>32.498998</v>
      </c>
      <c r="L832" s="405" t="s">
        <v>314</v>
      </c>
      <c r="M832" s="405" t="s">
        <v>361</v>
      </c>
      <c r="N832" s="405" t="s">
        <v>1290</v>
      </c>
      <c r="O832" s="405" t="s">
        <v>523</v>
      </c>
      <c r="P832" s="405" t="s">
        <v>8629</v>
      </c>
      <c r="Q832" s="411">
        <v>9</v>
      </c>
      <c r="R832" s="405" t="s">
        <v>32101</v>
      </c>
      <c r="S832" s="405" t="s">
        <v>27060</v>
      </c>
      <c r="T832" s="405" t="s">
        <v>32102</v>
      </c>
      <c r="U832" s="405" t="s">
        <v>319</v>
      </c>
    </row>
    <row r="833" spans="1:21" x14ac:dyDescent="0.25">
      <c r="A833" s="405" t="s">
        <v>310</v>
      </c>
      <c r="B833" s="405" t="s">
        <v>8553</v>
      </c>
      <c r="C833" s="405" t="s">
        <v>327</v>
      </c>
      <c r="D833" s="405"/>
      <c r="E833" s="410">
        <v>44198</v>
      </c>
      <c r="F833" s="410">
        <v>44249</v>
      </c>
      <c r="G833" s="405" t="s">
        <v>8554</v>
      </c>
      <c r="H833" s="405" t="s">
        <v>8555</v>
      </c>
      <c r="I833" s="405" t="s">
        <v>8556</v>
      </c>
      <c r="J833" s="405">
        <v>-0.33211800000000002</v>
      </c>
      <c r="K833" s="405">
        <v>31.755835999999999</v>
      </c>
      <c r="L833" s="405" t="s">
        <v>314</v>
      </c>
      <c r="M833" s="405" t="s">
        <v>382</v>
      </c>
      <c r="N833" s="405" t="s">
        <v>1265</v>
      </c>
      <c r="O833" s="405" t="s">
        <v>1076</v>
      </c>
      <c r="P833" s="405" t="s">
        <v>8557</v>
      </c>
      <c r="Q833" s="411">
        <v>13</v>
      </c>
      <c r="R833" s="405" t="s">
        <v>5986</v>
      </c>
      <c r="S833" s="405" t="s">
        <v>5986</v>
      </c>
      <c r="T833" s="405" t="s">
        <v>32102</v>
      </c>
      <c r="U833" s="405" t="s">
        <v>319</v>
      </c>
    </row>
    <row r="834" spans="1:21" x14ac:dyDescent="0.25">
      <c r="A834" s="405" t="s">
        <v>310</v>
      </c>
      <c r="B834" s="405" t="s">
        <v>28015</v>
      </c>
      <c r="C834" s="405" t="s">
        <v>327</v>
      </c>
      <c r="D834" s="405"/>
      <c r="E834" s="410">
        <v>44198</v>
      </c>
      <c r="F834" s="410">
        <v>44210</v>
      </c>
      <c r="G834" s="405" t="s">
        <v>8549</v>
      </c>
      <c r="H834" s="405" t="s">
        <v>8550</v>
      </c>
      <c r="I834" s="405" t="s">
        <v>8551</v>
      </c>
      <c r="J834" s="405">
        <v>-0.18260000000000001</v>
      </c>
      <c r="K834" s="405">
        <v>31.828945000000001</v>
      </c>
      <c r="L834" s="405" t="s">
        <v>314</v>
      </c>
      <c r="M834" s="405" t="s">
        <v>900</v>
      </c>
      <c r="N834" s="405" t="s">
        <v>8552</v>
      </c>
      <c r="O834" s="405" t="s">
        <v>900</v>
      </c>
      <c r="P834" s="405" t="s">
        <v>8552</v>
      </c>
      <c r="Q834" s="411">
        <v>6</v>
      </c>
      <c r="R834" s="405" t="s">
        <v>7211</v>
      </c>
      <c r="S834" s="405" t="s">
        <v>6918</v>
      </c>
      <c r="T834" s="405" t="s">
        <v>32102</v>
      </c>
      <c r="U834" s="405" t="s">
        <v>319</v>
      </c>
    </row>
    <row r="835" spans="1:21" x14ac:dyDescent="0.25">
      <c r="A835" s="405" t="s">
        <v>310</v>
      </c>
      <c r="B835" s="405" t="s">
        <v>8504</v>
      </c>
      <c r="C835" s="405" t="s">
        <v>327</v>
      </c>
      <c r="D835" s="405"/>
      <c r="E835" s="410">
        <v>44197</v>
      </c>
      <c r="F835" s="410">
        <v>44206</v>
      </c>
      <c r="G835" s="405" t="s">
        <v>8505</v>
      </c>
      <c r="H835" s="405" t="s">
        <v>8506</v>
      </c>
      <c r="I835" s="405" t="s">
        <v>2913</v>
      </c>
      <c r="J835" s="405">
        <v>-6.2203000000000001E-2</v>
      </c>
      <c r="K835" s="405">
        <v>31.860596999999999</v>
      </c>
      <c r="L835" s="405" t="s">
        <v>314</v>
      </c>
      <c r="M835" s="405" t="s">
        <v>900</v>
      </c>
      <c r="N835" s="405" t="s">
        <v>8507</v>
      </c>
      <c r="O835" s="405" t="s">
        <v>1302</v>
      </c>
      <c r="P835" s="405" t="s">
        <v>2891</v>
      </c>
      <c r="Q835" s="411">
        <v>6</v>
      </c>
      <c r="R835" s="405" t="s">
        <v>7211</v>
      </c>
      <c r="S835" s="405" t="s">
        <v>6918</v>
      </c>
      <c r="T835" s="405" t="s">
        <v>32102</v>
      </c>
      <c r="U835" s="405" t="s">
        <v>319</v>
      </c>
    </row>
    <row r="836" spans="1:21" x14ac:dyDescent="0.25">
      <c r="A836" s="405" t="s">
        <v>310</v>
      </c>
      <c r="B836" s="405" t="s">
        <v>17470</v>
      </c>
      <c r="C836" s="405" t="s">
        <v>327</v>
      </c>
      <c r="D836" s="405"/>
      <c r="E836" s="410">
        <v>44195</v>
      </c>
      <c r="F836" s="410">
        <v>44222</v>
      </c>
      <c r="G836" s="405" t="s">
        <v>17471</v>
      </c>
      <c r="H836" s="405" t="s">
        <v>17472</v>
      </c>
      <c r="I836" s="405" t="s">
        <v>17472</v>
      </c>
      <c r="J836" s="405">
        <v>1.577828</v>
      </c>
      <c r="K836" s="405">
        <v>33.349532000000004</v>
      </c>
      <c r="L836" s="405" t="s">
        <v>6866</v>
      </c>
      <c r="M836" s="405" t="s">
        <v>9658</v>
      </c>
      <c r="N836" s="405" t="s">
        <v>11057</v>
      </c>
      <c r="O836" s="405" t="s">
        <v>11057</v>
      </c>
      <c r="P836" s="405" t="s">
        <v>17473</v>
      </c>
      <c r="Q836" s="411">
        <v>9</v>
      </c>
      <c r="R836" s="405" t="s">
        <v>5655</v>
      </c>
      <c r="S836" s="405" t="s">
        <v>27357</v>
      </c>
      <c r="T836" s="405" t="s">
        <v>32102</v>
      </c>
      <c r="U836" s="405" t="s">
        <v>319</v>
      </c>
    </row>
    <row r="837" spans="1:21" x14ac:dyDescent="0.25">
      <c r="A837" s="405" t="s">
        <v>310</v>
      </c>
      <c r="B837" s="405" t="s">
        <v>8481</v>
      </c>
      <c r="C837" s="405" t="s">
        <v>327</v>
      </c>
      <c r="D837" s="405"/>
      <c r="E837" s="410">
        <v>44195</v>
      </c>
      <c r="F837" s="410">
        <v>44208</v>
      </c>
      <c r="G837" s="405" t="s">
        <v>8482</v>
      </c>
      <c r="H837" s="405" t="s">
        <v>8483</v>
      </c>
      <c r="I837" s="405" t="s">
        <v>8484</v>
      </c>
      <c r="J837" s="405">
        <v>-0.19536999999999999</v>
      </c>
      <c r="K837" s="405">
        <v>31.814450000000001</v>
      </c>
      <c r="L837" s="405" t="s">
        <v>314</v>
      </c>
      <c r="M837" s="405" t="s">
        <v>900</v>
      </c>
      <c r="N837" s="405" t="s">
        <v>8485</v>
      </c>
      <c r="O837" s="405" t="s">
        <v>1302</v>
      </c>
      <c r="P837" s="405" t="s">
        <v>4041</v>
      </c>
      <c r="Q837" s="411">
        <v>6</v>
      </c>
      <c r="R837" s="405" t="s">
        <v>7211</v>
      </c>
      <c r="S837" s="405" t="s">
        <v>6918</v>
      </c>
      <c r="T837" s="405" t="s">
        <v>32102</v>
      </c>
      <c r="U837" s="405" t="s">
        <v>319</v>
      </c>
    </row>
    <row r="838" spans="1:21" x14ac:dyDescent="0.25">
      <c r="A838" s="405" t="s">
        <v>310</v>
      </c>
      <c r="B838" s="405" t="s">
        <v>9272</v>
      </c>
      <c r="C838" s="405" t="s">
        <v>857</v>
      </c>
      <c r="D838" s="405" t="s">
        <v>33036</v>
      </c>
      <c r="E838" s="410">
        <v>44195</v>
      </c>
      <c r="F838" s="410">
        <v>44208</v>
      </c>
      <c r="G838" s="405" t="s">
        <v>9273</v>
      </c>
      <c r="H838" s="405" t="s">
        <v>9274</v>
      </c>
      <c r="I838" s="405" t="s">
        <v>9275</v>
      </c>
      <c r="J838" s="405">
        <v>-0.106318</v>
      </c>
      <c r="K838" s="405">
        <v>31.720537</v>
      </c>
      <c r="L838" s="405" t="s">
        <v>314</v>
      </c>
      <c r="M838" s="405" t="s">
        <v>900</v>
      </c>
      <c r="N838" s="405" t="s">
        <v>5422</v>
      </c>
      <c r="O838" s="405" t="s">
        <v>4083</v>
      </c>
      <c r="P838" s="405" t="s">
        <v>9276</v>
      </c>
      <c r="Q838" s="411">
        <v>6</v>
      </c>
      <c r="R838" s="405" t="s">
        <v>7211</v>
      </c>
      <c r="S838" s="405" t="s">
        <v>6918</v>
      </c>
      <c r="T838" s="405" t="s">
        <v>32102</v>
      </c>
      <c r="U838" s="405" t="s">
        <v>319</v>
      </c>
    </row>
    <row r="839" spans="1:21" x14ac:dyDescent="0.25">
      <c r="A839" s="405" t="s">
        <v>310</v>
      </c>
      <c r="B839" s="405" t="s">
        <v>8486</v>
      </c>
      <c r="C839" s="405" t="s">
        <v>327</v>
      </c>
      <c r="D839" s="405"/>
      <c r="E839" s="410">
        <v>44194</v>
      </c>
      <c r="F839" s="410">
        <v>44208</v>
      </c>
      <c r="G839" s="405" t="s">
        <v>8487</v>
      </c>
      <c r="H839" s="405" t="s">
        <v>8488</v>
      </c>
      <c r="I839" s="405" t="s">
        <v>2913</v>
      </c>
      <c r="J839" s="405">
        <v>-5.8443000000000002E-2</v>
      </c>
      <c r="K839" s="405">
        <v>31.718378000000001</v>
      </c>
      <c r="L839" s="405" t="s">
        <v>314</v>
      </c>
      <c r="M839" s="405" t="s">
        <v>900</v>
      </c>
      <c r="N839" s="405" t="s">
        <v>4492</v>
      </c>
      <c r="O839" s="405" t="s">
        <v>5422</v>
      </c>
      <c r="P839" s="405" t="s">
        <v>4492</v>
      </c>
      <c r="Q839" s="411">
        <v>6</v>
      </c>
      <c r="R839" s="405" t="s">
        <v>7211</v>
      </c>
      <c r="S839" s="405" t="s">
        <v>6918</v>
      </c>
      <c r="T839" s="405" t="s">
        <v>32102</v>
      </c>
      <c r="U839" s="405" t="s">
        <v>319</v>
      </c>
    </row>
    <row r="840" spans="1:21" x14ac:dyDescent="0.25">
      <c r="A840" s="405" t="s">
        <v>310</v>
      </c>
      <c r="B840" s="405" t="s">
        <v>8526</v>
      </c>
      <c r="C840" s="405" t="s">
        <v>327</v>
      </c>
      <c r="D840" s="405"/>
      <c r="E840" s="410">
        <v>44194</v>
      </c>
      <c r="F840" s="410">
        <v>44200</v>
      </c>
      <c r="G840" s="405" t="s">
        <v>8527</v>
      </c>
      <c r="H840" s="405" t="s">
        <v>8528</v>
      </c>
      <c r="I840" s="405" t="s">
        <v>2913</v>
      </c>
      <c r="J840" s="405">
        <v>0.39794000000000002</v>
      </c>
      <c r="K840" s="405">
        <v>32.053384999999999</v>
      </c>
      <c r="L840" s="405" t="s">
        <v>314</v>
      </c>
      <c r="M840" s="405" t="s">
        <v>675</v>
      </c>
      <c r="N840" s="405" t="s">
        <v>675</v>
      </c>
      <c r="O840" s="405" t="s">
        <v>1066</v>
      </c>
      <c r="P840" s="405" t="s">
        <v>4004</v>
      </c>
      <c r="Q840" s="411">
        <v>6</v>
      </c>
      <c r="R840" s="405" t="s">
        <v>32101</v>
      </c>
      <c r="S840" s="405" t="s">
        <v>414</v>
      </c>
      <c r="T840" s="405" t="s">
        <v>32102</v>
      </c>
      <c r="U840" s="405" t="s">
        <v>319</v>
      </c>
    </row>
    <row r="841" spans="1:21" x14ac:dyDescent="0.25">
      <c r="A841" s="405" t="s">
        <v>310</v>
      </c>
      <c r="B841" s="405" t="s">
        <v>9320</v>
      </c>
      <c r="C841" s="405" t="s">
        <v>311</v>
      </c>
      <c r="D841" s="405" t="s">
        <v>32462</v>
      </c>
      <c r="E841" s="410">
        <v>44193</v>
      </c>
      <c r="F841" s="410">
        <v>44201</v>
      </c>
      <c r="G841" s="405" t="s">
        <v>9321</v>
      </c>
      <c r="H841" s="405">
        <v>754665648</v>
      </c>
      <c r="I841" s="405" t="s">
        <v>9322</v>
      </c>
      <c r="J841" s="405">
        <v>0.35690300000000003</v>
      </c>
      <c r="K841" s="405">
        <v>32.530057999999997</v>
      </c>
      <c r="L841" s="405" t="s">
        <v>314</v>
      </c>
      <c r="M841" s="405" t="s">
        <v>398</v>
      </c>
      <c r="N841" s="405" t="s">
        <v>5856</v>
      </c>
      <c r="O841" s="405" t="s">
        <v>6003</v>
      </c>
      <c r="P841" s="405" t="s">
        <v>9323</v>
      </c>
      <c r="Q841" s="411">
        <v>13</v>
      </c>
      <c r="R841" s="405" t="s">
        <v>32157</v>
      </c>
      <c r="S841" s="405" t="s">
        <v>27034</v>
      </c>
      <c r="T841" s="405" t="s">
        <v>32102</v>
      </c>
      <c r="U841" s="405" t="s">
        <v>319</v>
      </c>
    </row>
    <row r="842" spans="1:21" x14ac:dyDescent="0.25">
      <c r="A842" s="405" t="s">
        <v>310</v>
      </c>
      <c r="B842" s="405" t="s">
        <v>8489</v>
      </c>
      <c r="C842" s="405" t="s">
        <v>327</v>
      </c>
      <c r="D842" s="405"/>
      <c r="E842" s="410">
        <v>44193</v>
      </c>
      <c r="F842" s="410">
        <v>44208</v>
      </c>
      <c r="G842" s="405" t="s">
        <v>8490</v>
      </c>
      <c r="H842" s="405" t="s">
        <v>8491</v>
      </c>
      <c r="I842" s="405" t="s">
        <v>2913</v>
      </c>
      <c r="J842" s="405">
        <v>0.12871099999999999</v>
      </c>
      <c r="K842" s="405">
        <v>31.951398999999999</v>
      </c>
      <c r="L842" s="405" t="s">
        <v>314</v>
      </c>
      <c r="M842" s="405" t="s">
        <v>900</v>
      </c>
      <c r="N842" s="405" t="s">
        <v>8492</v>
      </c>
      <c r="O842" s="405" t="s">
        <v>3520</v>
      </c>
      <c r="P842" s="405" t="s">
        <v>8493</v>
      </c>
      <c r="Q842" s="411">
        <v>6</v>
      </c>
      <c r="R842" s="405" t="s">
        <v>7211</v>
      </c>
      <c r="S842" s="405" t="s">
        <v>6918</v>
      </c>
      <c r="T842" s="405" t="s">
        <v>32102</v>
      </c>
      <c r="U842" s="405" t="s">
        <v>319</v>
      </c>
    </row>
    <row r="843" spans="1:21" x14ac:dyDescent="0.25">
      <c r="A843" s="405" t="s">
        <v>310</v>
      </c>
      <c r="B843" s="405" t="s">
        <v>8494</v>
      </c>
      <c r="C843" s="405" t="s">
        <v>327</v>
      </c>
      <c r="D843" s="405"/>
      <c r="E843" s="410">
        <v>44193</v>
      </c>
      <c r="F843" s="410">
        <v>44208</v>
      </c>
      <c r="G843" s="405" t="s">
        <v>8495</v>
      </c>
      <c r="H843" s="405" t="s">
        <v>8496</v>
      </c>
      <c r="I843" s="405" t="s">
        <v>8496</v>
      </c>
      <c r="J843" s="405">
        <v>-1.3668E-2</v>
      </c>
      <c r="K843" s="405">
        <v>31.793775</v>
      </c>
      <c r="L843" s="405" t="s">
        <v>314</v>
      </c>
      <c r="M843" s="405" t="s">
        <v>900</v>
      </c>
      <c r="N843" s="405" t="s">
        <v>8497</v>
      </c>
      <c r="O843" s="405" t="s">
        <v>8498</v>
      </c>
      <c r="P843" s="405" t="s">
        <v>8499</v>
      </c>
      <c r="Q843" s="411">
        <v>6</v>
      </c>
      <c r="R843" s="405" t="s">
        <v>7211</v>
      </c>
      <c r="S843" s="405" t="s">
        <v>6918</v>
      </c>
      <c r="T843" s="405" t="s">
        <v>32102</v>
      </c>
      <c r="U843" s="405" t="s">
        <v>319</v>
      </c>
    </row>
    <row r="844" spans="1:21" x14ac:dyDescent="0.25">
      <c r="A844" s="405" t="s">
        <v>310</v>
      </c>
      <c r="B844" s="405" t="s">
        <v>8569</v>
      </c>
      <c r="C844" s="405" t="s">
        <v>327</v>
      </c>
      <c r="D844" s="405"/>
      <c r="E844" s="410">
        <v>44187</v>
      </c>
      <c r="F844" s="410">
        <v>44240</v>
      </c>
      <c r="G844" s="405" t="s">
        <v>8570</v>
      </c>
      <c r="H844" s="405" t="s">
        <v>8571</v>
      </c>
      <c r="I844" s="405" t="s">
        <v>2913</v>
      </c>
      <c r="J844" s="405">
        <v>0.18307200000000001</v>
      </c>
      <c r="K844" s="405">
        <v>32.486212000000002</v>
      </c>
      <c r="L844" s="405" t="s">
        <v>314</v>
      </c>
      <c r="M844" s="405" t="s">
        <v>361</v>
      </c>
      <c r="N844" s="405" t="s">
        <v>374</v>
      </c>
      <c r="O844" s="405" t="s">
        <v>4689</v>
      </c>
      <c r="P844" s="405" t="s">
        <v>5603</v>
      </c>
      <c r="Q844" s="411">
        <v>9</v>
      </c>
      <c r="R844" s="405" t="s">
        <v>32101</v>
      </c>
      <c r="S844" s="405" t="s">
        <v>27181</v>
      </c>
      <c r="T844" s="405" t="s">
        <v>32102</v>
      </c>
      <c r="U844" s="405" t="s">
        <v>319</v>
      </c>
    </row>
    <row r="845" spans="1:21" x14ac:dyDescent="0.25">
      <c r="A845" s="405" t="s">
        <v>310</v>
      </c>
      <c r="B845" s="405" t="s">
        <v>26171</v>
      </c>
      <c r="C845" s="405" t="s">
        <v>327</v>
      </c>
      <c r="D845" s="405"/>
      <c r="E845" s="410">
        <v>44187</v>
      </c>
      <c r="F845" s="410">
        <v>44221</v>
      </c>
      <c r="G845" s="405" t="s">
        <v>26172</v>
      </c>
      <c r="H845" s="405" t="s">
        <v>26173</v>
      </c>
      <c r="I845" s="405" t="s">
        <v>26174</v>
      </c>
      <c r="J845" s="405">
        <v>-0.86989700000000003</v>
      </c>
      <c r="K845" s="405">
        <v>30.268768000000001</v>
      </c>
      <c r="L845" s="405" t="s">
        <v>590</v>
      </c>
      <c r="M845" s="405" t="s">
        <v>19725</v>
      </c>
      <c r="N845" s="405" t="s">
        <v>23350</v>
      </c>
      <c r="O845" s="405" t="s">
        <v>19797</v>
      </c>
      <c r="P845" s="405" t="s">
        <v>26175</v>
      </c>
      <c r="Q845" s="411">
        <v>9</v>
      </c>
      <c r="R845" s="405" t="s">
        <v>6572</v>
      </c>
      <c r="S845" s="405" t="s">
        <v>27434</v>
      </c>
      <c r="T845" s="405" t="s">
        <v>32102</v>
      </c>
      <c r="U845" s="405" t="s">
        <v>319</v>
      </c>
    </row>
    <row r="846" spans="1:21" x14ac:dyDescent="0.25">
      <c r="A846" s="405" t="s">
        <v>310</v>
      </c>
      <c r="B846" s="405" t="s">
        <v>8500</v>
      </c>
      <c r="C846" s="405" t="s">
        <v>327</v>
      </c>
      <c r="D846" s="405"/>
      <c r="E846" s="410">
        <v>44187</v>
      </c>
      <c r="F846" s="410">
        <v>44202</v>
      </c>
      <c r="G846" s="405" t="s">
        <v>8501</v>
      </c>
      <c r="H846" s="405" t="s">
        <v>8502</v>
      </c>
      <c r="I846" s="405" t="s">
        <v>2913</v>
      </c>
      <c r="J846" s="405">
        <v>-1.3583E-2</v>
      </c>
      <c r="K846" s="405">
        <v>31.793793000000001</v>
      </c>
      <c r="L846" s="405" t="s">
        <v>314</v>
      </c>
      <c r="M846" s="405" t="s">
        <v>900</v>
      </c>
      <c r="N846" s="405" t="s">
        <v>8503</v>
      </c>
      <c r="O846" s="405" t="s">
        <v>3520</v>
      </c>
      <c r="P846" s="405" t="s">
        <v>8498</v>
      </c>
      <c r="Q846" s="411">
        <v>9</v>
      </c>
      <c r="R846" s="405" t="s">
        <v>7211</v>
      </c>
      <c r="S846" s="405" t="s">
        <v>6918</v>
      </c>
      <c r="T846" s="405" t="s">
        <v>32102</v>
      </c>
      <c r="U846" s="405" t="s">
        <v>319</v>
      </c>
    </row>
    <row r="847" spans="1:21" x14ac:dyDescent="0.25">
      <c r="A847" s="405" t="s">
        <v>310</v>
      </c>
      <c r="B847" s="405" t="s">
        <v>26176</v>
      </c>
      <c r="C847" s="405" t="s">
        <v>327</v>
      </c>
      <c r="D847" s="405"/>
      <c r="E847" s="410">
        <v>44185</v>
      </c>
      <c r="F847" s="410">
        <v>44203</v>
      </c>
      <c r="G847" s="405" t="s">
        <v>26177</v>
      </c>
      <c r="H847" s="405" t="s">
        <v>26178</v>
      </c>
      <c r="I847" s="405" t="s">
        <v>26179</v>
      </c>
      <c r="J847" s="405">
        <v>-0.823488</v>
      </c>
      <c r="K847" s="405">
        <v>30.121818000000001</v>
      </c>
      <c r="L847" s="405" t="s">
        <v>590</v>
      </c>
      <c r="M847" s="405" t="s">
        <v>19659</v>
      </c>
      <c r="N847" s="405" t="s">
        <v>19604</v>
      </c>
      <c r="O847" s="405" t="s">
        <v>26180</v>
      </c>
      <c r="P847" s="405" t="s">
        <v>26181</v>
      </c>
      <c r="Q847" s="411">
        <v>13</v>
      </c>
      <c r="R847" s="405" t="s">
        <v>6572</v>
      </c>
      <c r="S847" s="405" t="s">
        <v>27132</v>
      </c>
      <c r="T847" s="405" t="s">
        <v>32102</v>
      </c>
      <c r="U847" s="405" t="s">
        <v>319</v>
      </c>
    </row>
    <row r="848" spans="1:21" x14ac:dyDescent="0.25">
      <c r="A848" s="405" t="s">
        <v>310</v>
      </c>
      <c r="B848" s="405" t="s">
        <v>9301</v>
      </c>
      <c r="C848" s="405" t="s">
        <v>311</v>
      </c>
      <c r="D848" s="405" t="s">
        <v>1789</v>
      </c>
      <c r="E848" s="410">
        <v>44185</v>
      </c>
      <c r="F848" s="410">
        <v>44207</v>
      </c>
      <c r="G848" s="405" t="s">
        <v>9302</v>
      </c>
      <c r="H848" s="405" t="s">
        <v>9303</v>
      </c>
      <c r="I848" s="405" t="s">
        <v>8449</v>
      </c>
      <c r="J848" s="405">
        <v>0.35572700000000002</v>
      </c>
      <c r="K848" s="405">
        <v>32.595731999999998</v>
      </c>
      <c r="L848" s="405" t="s">
        <v>314</v>
      </c>
      <c r="M848" s="405" t="s">
        <v>992</v>
      </c>
      <c r="N848" s="405" t="s">
        <v>987</v>
      </c>
      <c r="O848" s="405" t="s">
        <v>9304</v>
      </c>
      <c r="P848" s="405" t="s">
        <v>9305</v>
      </c>
      <c r="Q848" s="411">
        <v>9</v>
      </c>
      <c r="R848" s="405" t="s">
        <v>4176</v>
      </c>
      <c r="S848" s="405" t="s">
        <v>27053</v>
      </c>
      <c r="T848" s="405" t="s">
        <v>32102</v>
      </c>
      <c r="U848" s="405" t="s">
        <v>319</v>
      </c>
    </row>
    <row r="849" spans="1:21" x14ac:dyDescent="0.25">
      <c r="A849" s="405" t="s">
        <v>310</v>
      </c>
      <c r="B849" s="405" t="s">
        <v>8470</v>
      </c>
      <c r="C849" s="405" t="s">
        <v>327</v>
      </c>
      <c r="D849" s="405"/>
      <c r="E849" s="410">
        <v>44185</v>
      </c>
      <c r="F849" s="410">
        <v>44194</v>
      </c>
      <c r="G849" s="405" t="s">
        <v>8471</v>
      </c>
      <c r="H849" s="405" t="s">
        <v>8472</v>
      </c>
      <c r="I849" s="405"/>
      <c r="J849" s="405">
        <v>0.41227200000000003</v>
      </c>
      <c r="K849" s="405">
        <v>33.120992000000001</v>
      </c>
      <c r="L849" s="405" t="s">
        <v>314</v>
      </c>
      <c r="M849" s="405" t="s">
        <v>349</v>
      </c>
      <c r="N849" s="405" t="s">
        <v>349</v>
      </c>
      <c r="O849" s="405" t="s">
        <v>656</v>
      </c>
      <c r="P849" s="405" t="s">
        <v>8473</v>
      </c>
      <c r="Q849" s="411">
        <v>9</v>
      </c>
      <c r="R849" s="405" t="s">
        <v>32101</v>
      </c>
      <c r="S849" s="405" t="s">
        <v>27284</v>
      </c>
      <c r="T849" s="405" t="s">
        <v>32102</v>
      </c>
      <c r="U849" s="405" t="s">
        <v>319</v>
      </c>
    </row>
    <row r="850" spans="1:21" x14ac:dyDescent="0.25">
      <c r="A850" s="405" t="s">
        <v>310</v>
      </c>
      <c r="B850" s="405" t="s">
        <v>9247</v>
      </c>
      <c r="C850" s="405" t="s">
        <v>311</v>
      </c>
      <c r="D850" s="405" t="s">
        <v>2127</v>
      </c>
      <c r="E850" s="410">
        <v>44185</v>
      </c>
      <c r="F850" s="410">
        <v>44194</v>
      </c>
      <c r="G850" s="405" t="s">
        <v>9248</v>
      </c>
      <c r="H850" s="405" t="s">
        <v>8468</v>
      </c>
      <c r="I850" s="405" t="s">
        <v>8469</v>
      </c>
      <c r="J850" s="405">
        <v>8.2466999999999999E-2</v>
      </c>
      <c r="K850" s="405">
        <v>32.242052000000001</v>
      </c>
      <c r="L850" s="405" t="s">
        <v>314</v>
      </c>
      <c r="M850" s="405" t="s">
        <v>321</v>
      </c>
      <c r="N850" s="405" t="s">
        <v>2472</v>
      </c>
      <c r="O850" s="405" t="s">
        <v>5626</v>
      </c>
      <c r="P850" s="405" t="s">
        <v>1372</v>
      </c>
      <c r="Q850" s="411">
        <v>6</v>
      </c>
      <c r="R850" s="405" t="s">
        <v>32101</v>
      </c>
      <c r="S850" s="405" t="s">
        <v>27275</v>
      </c>
      <c r="T850" s="405" t="s">
        <v>32102</v>
      </c>
      <c r="U850" s="405" t="s">
        <v>319</v>
      </c>
    </row>
    <row r="851" spans="1:21" x14ac:dyDescent="0.25">
      <c r="A851" s="405" t="s">
        <v>310</v>
      </c>
      <c r="B851" s="405" t="s">
        <v>26197</v>
      </c>
      <c r="C851" s="405" t="s">
        <v>327</v>
      </c>
      <c r="D851" s="405"/>
      <c r="E851" s="410">
        <v>44184</v>
      </c>
      <c r="F851" s="410">
        <v>44242</v>
      </c>
      <c r="G851" s="405" t="s">
        <v>26198</v>
      </c>
      <c r="H851" s="405" t="s">
        <v>26199</v>
      </c>
      <c r="I851" s="405" t="s">
        <v>2913</v>
      </c>
      <c r="J851" s="405">
        <v>-0.68374299999999999</v>
      </c>
      <c r="K851" s="405">
        <v>29.950755000000001</v>
      </c>
      <c r="L851" s="405" t="s">
        <v>590</v>
      </c>
      <c r="M851" s="405" t="s">
        <v>19619</v>
      </c>
      <c r="N851" s="405" t="s">
        <v>19793</v>
      </c>
      <c r="O851" s="405" t="s">
        <v>20033</v>
      </c>
      <c r="P851" s="405" t="s">
        <v>23053</v>
      </c>
      <c r="Q851" s="411">
        <v>9</v>
      </c>
      <c r="R851" s="405" t="s">
        <v>6572</v>
      </c>
      <c r="S851" s="405" t="s">
        <v>27095</v>
      </c>
      <c r="T851" s="405" t="s">
        <v>32102</v>
      </c>
      <c r="U851" s="405" t="s">
        <v>319</v>
      </c>
    </row>
    <row r="852" spans="1:21" x14ac:dyDescent="0.25">
      <c r="A852" s="405" t="s">
        <v>310</v>
      </c>
      <c r="B852" s="405" t="s">
        <v>8523</v>
      </c>
      <c r="C852" s="405" t="s">
        <v>327</v>
      </c>
      <c r="D852" s="405"/>
      <c r="E852" s="410">
        <v>44183</v>
      </c>
      <c r="F852" s="410">
        <v>44203</v>
      </c>
      <c r="G852" s="405" t="s">
        <v>8524</v>
      </c>
      <c r="H852" s="405" t="s">
        <v>8525</v>
      </c>
      <c r="I852" s="405" t="s">
        <v>2913</v>
      </c>
      <c r="J852" s="405">
        <v>0.29100999999999999</v>
      </c>
      <c r="K852" s="405">
        <v>32.515267000000001</v>
      </c>
      <c r="L852" s="405" t="s">
        <v>314</v>
      </c>
      <c r="M852" s="405" t="s">
        <v>361</v>
      </c>
      <c r="N852" s="405" t="s">
        <v>374</v>
      </c>
      <c r="O852" s="405" t="s">
        <v>1276</v>
      </c>
      <c r="P852" s="405" t="s">
        <v>5659</v>
      </c>
      <c r="Q852" s="411">
        <v>6</v>
      </c>
      <c r="R852" s="405" t="s">
        <v>32101</v>
      </c>
      <c r="S852" s="405" t="s">
        <v>414</v>
      </c>
      <c r="T852" s="405" t="s">
        <v>32102</v>
      </c>
      <c r="U852" s="405" t="s">
        <v>319</v>
      </c>
    </row>
    <row r="853" spans="1:21" x14ac:dyDescent="0.25">
      <c r="A853" s="405" t="s">
        <v>310</v>
      </c>
      <c r="B853" s="405" t="s">
        <v>8458</v>
      </c>
      <c r="C853" s="405" t="s">
        <v>327</v>
      </c>
      <c r="D853" s="405"/>
      <c r="E853" s="410">
        <v>44183</v>
      </c>
      <c r="F853" s="410">
        <v>44193</v>
      </c>
      <c r="G853" s="405" t="s">
        <v>8459</v>
      </c>
      <c r="H853" s="405" t="s">
        <v>8460</v>
      </c>
      <c r="I853" s="405" t="s">
        <v>8461</v>
      </c>
      <c r="J853" s="405">
        <v>0.13031499999999999</v>
      </c>
      <c r="K853" s="405">
        <v>32.172975000000001</v>
      </c>
      <c r="L853" s="405" t="s">
        <v>314</v>
      </c>
      <c r="M853" s="405" t="s">
        <v>321</v>
      </c>
      <c r="N853" s="405" t="s">
        <v>1244</v>
      </c>
      <c r="O853" s="405" t="s">
        <v>6702</v>
      </c>
      <c r="P853" s="405" t="s">
        <v>1537</v>
      </c>
      <c r="Q853" s="411">
        <v>6</v>
      </c>
      <c r="R853" s="405" t="s">
        <v>32101</v>
      </c>
      <c r="S853" s="405" t="s">
        <v>27193</v>
      </c>
      <c r="T853" s="405" t="s">
        <v>32102</v>
      </c>
      <c r="U853" s="405" t="s">
        <v>319</v>
      </c>
    </row>
    <row r="854" spans="1:21" x14ac:dyDescent="0.25">
      <c r="A854" s="405" t="s">
        <v>310</v>
      </c>
      <c r="B854" s="405" t="s">
        <v>8591</v>
      </c>
      <c r="C854" s="405" t="s">
        <v>327</v>
      </c>
      <c r="D854" s="405"/>
      <c r="E854" s="410">
        <v>44182</v>
      </c>
      <c r="F854" s="410">
        <v>44247</v>
      </c>
      <c r="G854" s="405" t="s">
        <v>8592</v>
      </c>
      <c r="H854" s="405" t="s">
        <v>8593</v>
      </c>
      <c r="I854" s="405" t="s">
        <v>2913</v>
      </c>
      <c r="J854" s="405">
        <v>0.37907200000000002</v>
      </c>
      <c r="K854" s="405">
        <v>32.709453000000003</v>
      </c>
      <c r="L854" s="405" t="s">
        <v>314</v>
      </c>
      <c r="M854" s="405" t="s">
        <v>329</v>
      </c>
      <c r="N854" s="405" t="s">
        <v>330</v>
      </c>
      <c r="O854" s="405" t="s">
        <v>787</v>
      </c>
      <c r="P854" s="405" t="s">
        <v>7500</v>
      </c>
      <c r="Q854" s="411">
        <v>13</v>
      </c>
      <c r="R854" s="405" t="s">
        <v>32157</v>
      </c>
      <c r="S854" s="405" t="s">
        <v>27045</v>
      </c>
      <c r="T854" s="405" t="s">
        <v>32102</v>
      </c>
      <c r="U854" s="405" t="s">
        <v>319</v>
      </c>
    </row>
    <row r="855" spans="1:21" x14ac:dyDescent="0.25">
      <c r="A855" s="405" t="s">
        <v>310</v>
      </c>
      <c r="B855" s="405" t="s">
        <v>8533</v>
      </c>
      <c r="C855" s="405" t="s">
        <v>327</v>
      </c>
      <c r="D855" s="405"/>
      <c r="E855" s="410">
        <v>44182</v>
      </c>
      <c r="F855" s="410">
        <v>44198</v>
      </c>
      <c r="G855" s="405" t="s">
        <v>8534</v>
      </c>
      <c r="H855" s="405" t="s">
        <v>8535</v>
      </c>
      <c r="I855" s="405" t="s">
        <v>8536</v>
      </c>
      <c r="J855" s="405">
        <v>0.54414200000000001</v>
      </c>
      <c r="K855" s="405">
        <v>32.682223</v>
      </c>
      <c r="L855" s="405" t="s">
        <v>314</v>
      </c>
      <c r="M855" s="405" t="s">
        <v>329</v>
      </c>
      <c r="N855" s="405" t="s">
        <v>5950</v>
      </c>
      <c r="O855" s="405" t="s">
        <v>336</v>
      </c>
      <c r="P855" s="405" t="s">
        <v>8537</v>
      </c>
      <c r="Q855" s="411">
        <v>9</v>
      </c>
      <c r="R855" s="405" t="s">
        <v>32157</v>
      </c>
      <c r="S855" s="405" t="s">
        <v>414</v>
      </c>
      <c r="T855" s="405" t="s">
        <v>32102</v>
      </c>
      <c r="U855" s="405" t="s">
        <v>319</v>
      </c>
    </row>
    <row r="856" spans="1:21" x14ac:dyDescent="0.25">
      <c r="A856" s="405" t="s">
        <v>310</v>
      </c>
      <c r="B856" s="405" t="s">
        <v>17452</v>
      </c>
      <c r="C856" s="405" t="s">
        <v>327</v>
      </c>
      <c r="D856" s="405"/>
      <c r="E856" s="410">
        <v>44182</v>
      </c>
      <c r="F856" s="410">
        <v>44192</v>
      </c>
      <c r="G856" s="405" t="s">
        <v>17453</v>
      </c>
      <c r="H856" s="405" t="s">
        <v>17454</v>
      </c>
      <c r="I856" s="405" t="s">
        <v>17455</v>
      </c>
      <c r="J856" s="405">
        <v>1.222043</v>
      </c>
      <c r="K856" s="405">
        <v>34.229038000000003</v>
      </c>
      <c r="L856" s="405" t="s">
        <v>6866</v>
      </c>
      <c r="M856" s="405" t="s">
        <v>9575</v>
      </c>
      <c r="N856" s="405" t="s">
        <v>17456</v>
      </c>
      <c r="O856" s="405" t="s">
        <v>9853</v>
      </c>
      <c r="P856" s="405" t="s">
        <v>17457</v>
      </c>
      <c r="Q856" s="411">
        <v>9</v>
      </c>
      <c r="R856" s="405" t="s">
        <v>7224</v>
      </c>
      <c r="S856" s="405" t="s">
        <v>27200</v>
      </c>
      <c r="T856" s="405" t="s">
        <v>32102</v>
      </c>
      <c r="U856" s="405" t="s">
        <v>319</v>
      </c>
    </row>
    <row r="857" spans="1:21" x14ac:dyDescent="0.25">
      <c r="A857" s="405" t="s">
        <v>310</v>
      </c>
      <c r="B857" s="405" t="s">
        <v>8586</v>
      </c>
      <c r="C857" s="405" t="s">
        <v>327</v>
      </c>
      <c r="D857" s="405"/>
      <c r="E857" s="410">
        <v>44177</v>
      </c>
      <c r="F857" s="410">
        <v>44238</v>
      </c>
      <c r="G857" s="405" t="s">
        <v>8587</v>
      </c>
      <c r="H857" s="405" t="s">
        <v>8588</v>
      </c>
      <c r="I857" s="405" t="s">
        <v>8589</v>
      </c>
      <c r="J857" s="405">
        <v>0.48733500000000002</v>
      </c>
      <c r="K857" s="405">
        <v>32.529727000000001</v>
      </c>
      <c r="L857" s="405" t="s">
        <v>314</v>
      </c>
      <c r="M857" s="405" t="s">
        <v>361</v>
      </c>
      <c r="N857" s="405" t="s">
        <v>8590</v>
      </c>
      <c r="O857" s="405" t="s">
        <v>596</v>
      </c>
      <c r="P857" s="405" t="s">
        <v>596</v>
      </c>
      <c r="Q857" s="411">
        <v>13</v>
      </c>
      <c r="R857" s="405" t="s">
        <v>32157</v>
      </c>
      <c r="S857" s="405" t="s">
        <v>27047</v>
      </c>
      <c r="T857" s="405" t="s">
        <v>32102</v>
      </c>
      <c r="U857" s="405" t="s">
        <v>319</v>
      </c>
    </row>
    <row r="858" spans="1:21" x14ac:dyDescent="0.25">
      <c r="A858" s="405" t="s">
        <v>310</v>
      </c>
      <c r="B858" s="405" t="s">
        <v>8558</v>
      </c>
      <c r="C858" s="405" t="s">
        <v>327</v>
      </c>
      <c r="D858" s="405"/>
      <c r="E858" s="410">
        <v>44177</v>
      </c>
      <c r="F858" s="410">
        <v>44255</v>
      </c>
      <c r="G858" s="405" t="s">
        <v>8559</v>
      </c>
      <c r="H858" s="405" t="s">
        <v>8560</v>
      </c>
      <c r="I858" s="405" t="s">
        <v>8561</v>
      </c>
      <c r="J858" s="405">
        <v>-0.66681900000000005</v>
      </c>
      <c r="K858" s="405">
        <v>31.481255999999998</v>
      </c>
      <c r="L858" s="405" t="s">
        <v>314</v>
      </c>
      <c r="M858" s="405" t="s">
        <v>398</v>
      </c>
      <c r="N858" s="405" t="s">
        <v>398</v>
      </c>
      <c r="O858" s="405" t="s">
        <v>8562</v>
      </c>
      <c r="P858" s="405" t="s">
        <v>6285</v>
      </c>
      <c r="Q858" s="411">
        <v>9</v>
      </c>
      <c r="R858" s="405" t="s">
        <v>5986</v>
      </c>
      <c r="S858" s="405" t="s">
        <v>27052</v>
      </c>
      <c r="T858" s="405" t="s">
        <v>32102</v>
      </c>
      <c r="U858" s="405" t="s">
        <v>319</v>
      </c>
    </row>
    <row r="859" spans="1:21" x14ac:dyDescent="0.25">
      <c r="A859" s="405" t="s">
        <v>310</v>
      </c>
      <c r="B859" s="405" t="s">
        <v>17467</v>
      </c>
      <c r="C859" s="405" t="s">
        <v>327</v>
      </c>
      <c r="D859" s="405"/>
      <c r="E859" s="410">
        <v>44177</v>
      </c>
      <c r="F859" s="410">
        <v>44222</v>
      </c>
      <c r="G859" s="405" t="s">
        <v>17468</v>
      </c>
      <c r="H859" s="405" t="s">
        <v>17469</v>
      </c>
      <c r="I859" s="405" t="s">
        <v>2913</v>
      </c>
      <c r="J859" s="405">
        <v>1.7596620000000001</v>
      </c>
      <c r="K859" s="405">
        <v>33.58652</v>
      </c>
      <c r="L859" s="405" t="s">
        <v>6866</v>
      </c>
      <c r="M859" s="405" t="s">
        <v>10515</v>
      </c>
      <c r="N859" s="405" t="s">
        <v>10526</v>
      </c>
      <c r="O859" s="405" t="s">
        <v>10525</v>
      </c>
      <c r="P859" s="405" t="s">
        <v>10526</v>
      </c>
      <c r="Q859" s="411">
        <v>6</v>
      </c>
      <c r="R859" s="405" t="s">
        <v>5655</v>
      </c>
      <c r="S859" s="405" t="s">
        <v>27289</v>
      </c>
      <c r="T859" s="405" t="s">
        <v>32102</v>
      </c>
      <c r="U859" s="405" t="s">
        <v>319</v>
      </c>
    </row>
    <row r="860" spans="1:21" x14ac:dyDescent="0.25">
      <c r="A860" s="405" t="s">
        <v>310</v>
      </c>
      <c r="B860" s="405" t="s">
        <v>8529</v>
      </c>
      <c r="C860" s="405" t="s">
        <v>327</v>
      </c>
      <c r="D860" s="405"/>
      <c r="E860" s="410">
        <v>44176</v>
      </c>
      <c r="F860" s="410">
        <v>44207</v>
      </c>
      <c r="G860" s="405" t="s">
        <v>8530</v>
      </c>
      <c r="H860" s="405" t="s">
        <v>8531</v>
      </c>
      <c r="I860" s="405" t="s">
        <v>2913</v>
      </c>
      <c r="J860" s="405">
        <v>0.49874200000000002</v>
      </c>
      <c r="K860" s="405">
        <v>32.522342000000002</v>
      </c>
      <c r="L860" s="405" t="s">
        <v>314</v>
      </c>
      <c r="M860" s="405" t="s">
        <v>2512</v>
      </c>
      <c r="N860" s="405" t="s">
        <v>2512</v>
      </c>
      <c r="O860" s="405" t="s">
        <v>8532</v>
      </c>
      <c r="P860" s="405" t="s">
        <v>8532</v>
      </c>
      <c r="Q860" s="411">
        <v>13</v>
      </c>
      <c r="R860" s="405" t="s">
        <v>32157</v>
      </c>
      <c r="S860" s="405" t="s">
        <v>27045</v>
      </c>
      <c r="T860" s="405" t="s">
        <v>32102</v>
      </c>
      <c r="U860" s="405" t="s">
        <v>319</v>
      </c>
    </row>
    <row r="861" spans="1:21" x14ac:dyDescent="0.25">
      <c r="A861" s="405" t="s">
        <v>310</v>
      </c>
      <c r="B861" s="405" t="s">
        <v>8563</v>
      </c>
      <c r="C861" s="405" t="s">
        <v>327</v>
      </c>
      <c r="D861" s="405"/>
      <c r="E861" s="410">
        <v>44175</v>
      </c>
      <c r="F861" s="410">
        <v>44237</v>
      </c>
      <c r="G861" s="405" t="s">
        <v>8564</v>
      </c>
      <c r="H861" s="405" t="s">
        <v>8565</v>
      </c>
      <c r="I861" s="405" t="s">
        <v>8566</v>
      </c>
      <c r="J861" s="405">
        <v>-0.49751899999999999</v>
      </c>
      <c r="K861" s="405">
        <v>31.634464999999999</v>
      </c>
      <c r="L861" s="405" t="s">
        <v>314</v>
      </c>
      <c r="M861" s="405" t="s">
        <v>399</v>
      </c>
      <c r="N861" s="405" t="s">
        <v>398</v>
      </c>
      <c r="O861" s="405" t="s">
        <v>8567</v>
      </c>
      <c r="P861" s="405" t="s">
        <v>8568</v>
      </c>
      <c r="Q861" s="411">
        <v>9</v>
      </c>
      <c r="R861" s="405" t="s">
        <v>32101</v>
      </c>
      <c r="S861" s="405" t="s">
        <v>27181</v>
      </c>
      <c r="T861" s="405" t="s">
        <v>32102</v>
      </c>
      <c r="U861" s="405" t="s">
        <v>319</v>
      </c>
    </row>
    <row r="862" spans="1:21" x14ac:dyDescent="0.25">
      <c r="A862" s="405" t="s">
        <v>310</v>
      </c>
      <c r="B862" s="405" t="s">
        <v>8474</v>
      </c>
      <c r="C862" s="405" t="s">
        <v>327</v>
      </c>
      <c r="D862" s="405"/>
      <c r="E862" s="410">
        <v>44174</v>
      </c>
      <c r="F862" s="410">
        <v>44186</v>
      </c>
      <c r="G862" s="405" t="s">
        <v>8475</v>
      </c>
      <c r="H862" s="405" t="s">
        <v>8476</v>
      </c>
      <c r="I862" s="405" t="s">
        <v>2913</v>
      </c>
      <c r="J862" s="405">
        <v>0.34335199999999999</v>
      </c>
      <c r="K862" s="405">
        <v>32.396590000000003</v>
      </c>
      <c r="L862" s="405" t="s">
        <v>314</v>
      </c>
      <c r="M862" s="405" t="s">
        <v>321</v>
      </c>
      <c r="N862" s="405" t="s">
        <v>1244</v>
      </c>
      <c r="O862" s="405" t="s">
        <v>5509</v>
      </c>
      <c r="P862" s="405" t="s">
        <v>6671</v>
      </c>
      <c r="Q862" s="411">
        <v>9</v>
      </c>
      <c r="R862" s="405" t="s">
        <v>32101</v>
      </c>
      <c r="S862" s="405" t="s">
        <v>414</v>
      </c>
      <c r="T862" s="405" t="s">
        <v>32102</v>
      </c>
      <c r="U862" s="405" t="s">
        <v>319</v>
      </c>
    </row>
    <row r="863" spans="1:21" x14ac:dyDescent="0.25">
      <c r="A863" s="405" t="s">
        <v>310</v>
      </c>
      <c r="B863" s="405" t="s">
        <v>8538</v>
      </c>
      <c r="C863" s="405" t="s">
        <v>327</v>
      </c>
      <c r="D863" s="405"/>
      <c r="E863" s="410">
        <v>44173</v>
      </c>
      <c r="F863" s="410">
        <v>44219</v>
      </c>
      <c r="G863" s="405" t="s">
        <v>8539</v>
      </c>
      <c r="H863" s="405" t="s">
        <v>8540</v>
      </c>
      <c r="I863" s="405" t="s">
        <v>8541</v>
      </c>
      <c r="J863" s="405">
        <v>0.369257</v>
      </c>
      <c r="K863" s="405">
        <v>32.714565</v>
      </c>
      <c r="L863" s="405" t="s">
        <v>314</v>
      </c>
      <c r="M863" s="405" t="s">
        <v>329</v>
      </c>
      <c r="N863" s="405" t="s">
        <v>330</v>
      </c>
      <c r="O863" s="405" t="s">
        <v>787</v>
      </c>
      <c r="P863" s="405" t="s">
        <v>5339</v>
      </c>
      <c r="Q863" s="411">
        <v>13</v>
      </c>
      <c r="R863" s="405" t="s">
        <v>32157</v>
      </c>
      <c r="S863" s="405" t="s">
        <v>27045</v>
      </c>
      <c r="T863" s="405" t="s">
        <v>32102</v>
      </c>
      <c r="U863" s="405" t="s">
        <v>319</v>
      </c>
    </row>
    <row r="864" spans="1:21" x14ac:dyDescent="0.25">
      <c r="A864" s="405" t="s">
        <v>310</v>
      </c>
      <c r="B864" s="405" t="s">
        <v>8466</v>
      </c>
      <c r="C864" s="405" t="s">
        <v>327</v>
      </c>
      <c r="D864" s="405"/>
      <c r="E864" s="410">
        <v>44173</v>
      </c>
      <c r="F864" s="410">
        <v>44180</v>
      </c>
      <c r="G864" s="405" t="s">
        <v>8467</v>
      </c>
      <c r="H864" s="405" t="s">
        <v>8468</v>
      </c>
      <c r="I864" s="405" t="s">
        <v>8469</v>
      </c>
      <c r="J864" s="405">
        <v>8.4084999999999993E-2</v>
      </c>
      <c r="K864" s="405">
        <v>32.240268</v>
      </c>
      <c r="L864" s="405" t="s">
        <v>314</v>
      </c>
      <c r="M864" s="405" t="s">
        <v>321</v>
      </c>
      <c r="N864" s="405" t="s">
        <v>2472</v>
      </c>
      <c r="O864" s="405" t="s">
        <v>5626</v>
      </c>
      <c r="P864" s="405" t="s">
        <v>1372</v>
      </c>
      <c r="Q864" s="411">
        <v>13</v>
      </c>
      <c r="R864" s="405" t="s">
        <v>32101</v>
      </c>
      <c r="S864" s="405" t="s">
        <v>27275</v>
      </c>
      <c r="T864" s="405" t="s">
        <v>32102</v>
      </c>
      <c r="U864" s="405" t="s">
        <v>319</v>
      </c>
    </row>
    <row r="865" spans="1:21" x14ac:dyDescent="0.25">
      <c r="A865" s="405" t="s">
        <v>310</v>
      </c>
      <c r="B865" s="405" t="s">
        <v>26167</v>
      </c>
      <c r="C865" s="405" t="s">
        <v>327</v>
      </c>
      <c r="D865" s="405"/>
      <c r="E865" s="410">
        <v>44169</v>
      </c>
      <c r="F865" s="410">
        <v>44187</v>
      </c>
      <c r="G865" s="405" t="s">
        <v>26168</v>
      </c>
      <c r="H865" s="405" t="s">
        <v>26169</v>
      </c>
      <c r="I865" s="405" t="s">
        <v>26169</v>
      </c>
      <c r="J865" s="405">
        <v>-1.310128</v>
      </c>
      <c r="K865" s="405">
        <v>29.728128999999999</v>
      </c>
      <c r="L865" s="405" t="s">
        <v>590</v>
      </c>
      <c r="M865" s="405" t="s">
        <v>20070</v>
      </c>
      <c r="N865" s="405" t="s">
        <v>25919</v>
      </c>
      <c r="O865" s="405" t="s">
        <v>24104</v>
      </c>
      <c r="P865" s="405" t="s">
        <v>26170</v>
      </c>
      <c r="Q865" s="411">
        <v>9</v>
      </c>
      <c r="R865" s="405" t="s">
        <v>24106</v>
      </c>
      <c r="S865" s="405" t="s">
        <v>27102</v>
      </c>
      <c r="T865" s="405" t="s">
        <v>32102</v>
      </c>
      <c r="U865" s="405" t="s">
        <v>319</v>
      </c>
    </row>
    <row r="866" spans="1:21" x14ac:dyDescent="0.25">
      <c r="A866" s="405" t="s">
        <v>310</v>
      </c>
      <c r="B866" s="405" t="s">
        <v>8748</v>
      </c>
      <c r="C866" s="405" t="s">
        <v>327</v>
      </c>
      <c r="D866" s="405"/>
      <c r="E866" s="410">
        <v>44167</v>
      </c>
      <c r="F866" s="410">
        <v>44323</v>
      </c>
      <c r="G866" s="405" t="s">
        <v>8749</v>
      </c>
      <c r="H866" s="405" t="s">
        <v>8750</v>
      </c>
      <c r="I866" s="405" t="s">
        <v>8751</v>
      </c>
      <c r="J866" s="405">
        <v>0.47031699999999999</v>
      </c>
      <c r="K866" s="405">
        <v>32.344242000000001</v>
      </c>
      <c r="L866" s="405" t="s">
        <v>314</v>
      </c>
      <c r="M866" s="405" t="s">
        <v>361</v>
      </c>
      <c r="N866" s="405" t="s">
        <v>952</v>
      </c>
      <c r="O866" s="405" t="s">
        <v>952</v>
      </c>
      <c r="P866" s="405" t="s">
        <v>8752</v>
      </c>
      <c r="Q866" s="411">
        <v>13</v>
      </c>
      <c r="R866" s="405" t="s">
        <v>5986</v>
      </c>
      <c r="S866" s="405" t="s">
        <v>27039</v>
      </c>
      <c r="T866" s="405" t="s">
        <v>32102</v>
      </c>
      <c r="U866" s="405" t="s">
        <v>319</v>
      </c>
    </row>
    <row r="867" spans="1:21" x14ac:dyDescent="0.25">
      <c r="A867" s="405" t="s">
        <v>310</v>
      </c>
      <c r="B867" s="405" t="s">
        <v>8477</v>
      </c>
      <c r="C867" s="405" t="s">
        <v>327</v>
      </c>
      <c r="D867" s="405"/>
      <c r="E867" s="410">
        <v>44167</v>
      </c>
      <c r="F867" s="410">
        <v>44187</v>
      </c>
      <c r="G867" s="405" t="s">
        <v>8478</v>
      </c>
      <c r="H867" s="405" t="s">
        <v>8479</v>
      </c>
      <c r="I867" s="405" t="s">
        <v>2913</v>
      </c>
      <c r="J867" s="405">
        <v>0.41880299999999998</v>
      </c>
      <c r="K867" s="405">
        <v>32.386125</v>
      </c>
      <c r="L867" s="405" t="s">
        <v>314</v>
      </c>
      <c r="M867" s="405" t="s">
        <v>361</v>
      </c>
      <c r="N867" s="405" t="s">
        <v>374</v>
      </c>
      <c r="O867" s="405" t="s">
        <v>374</v>
      </c>
      <c r="P867" s="405" t="s">
        <v>8480</v>
      </c>
      <c r="Q867" s="411">
        <v>6</v>
      </c>
      <c r="R867" s="405" t="s">
        <v>5903</v>
      </c>
      <c r="S867" s="405" t="s">
        <v>27153</v>
      </c>
      <c r="T867" s="405" t="s">
        <v>32102</v>
      </c>
      <c r="U867" s="405" t="s">
        <v>319</v>
      </c>
    </row>
    <row r="868" spans="1:21" x14ac:dyDescent="0.25">
      <c r="A868" s="405" t="s">
        <v>310</v>
      </c>
      <c r="B868" s="405" t="s">
        <v>18103</v>
      </c>
      <c r="C868" s="405" t="s">
        <v>311</v>
      </c>
      <c r="D868" s="405" t="s">
        <v>6019</v>
      </c>
      <c r="E868" s="410">
        <v>44167</v>
      </c>
      <c r="F868" s="410">
        <v>44208</v>
      </c>
      <c r="G868" s="405" t="s">
        <v>18104</v>
      </c>
      <c r="H868" s="405">
        <v>788387961</v>
      </c>
      <c r="I868" s="405" t="s">
        <v>18105</v>
      </c>
      <c r="J868" s="405">
        <v>1.6338550000000001</v>
      </c>
      <c r="K868" s="405">
        <v>33.024152000000001</v>
      </c>
      <c r="L868" s="405" t="s">
        <v>6866</v>
      </c>
      <c r="M868" s="405" t="s">
        <v>12153</v>
      </c>
      <c r="N868" s="405" t="s">
        <v>16084</v>
      </c>
      <c r="O868" s="405" t="s">
        <v>18106</v>
      </c>
      <c r="P868" s="405" t="s">
        <v>18107</v>
      </c>
      <c r="Q868" s="411">
        <v>9</v>
      </c>
      <c r="R868" s="405" t="s">
        <v>5655</v>
      </c>
      <c r="S868" s="405" t="s">
        <v>27289</v>
      </c>
      <c r="T868" s="405" t="s">
        <v>32102</v>
      </c>
      <c r="U868" s="405" t="s">
        <v>319</v>
      </c>
    </row>
    <row r="869" spans="1:21" x14ac:dyDescent="0.25">
      <c r="A869" s="405" t="s">
        <v>310</v>
      </c>
      <c r="B869" s="405" t="s">
        <v>8519</v>
      </c>
      <c r="C869" s="405" t="s">
        <v>327</v>
      </c>
      <c r="D869" s="405"/>
      <c r="E869" s="410">
        <v>44167</v>
      </c>
      <c r="F869" s="410">
        <v>44200</v>
      </c>
      <c r="G869" s="405" t="s">
        <v>8520</v>
      </c>
      <c r="H869" s="405" t="s">
        <v>8521</v>
      </c>
      <c r="I869" s="405" t="s">
        <v>8522</v>
      </c>
      <c r="J869" s="405">
        <v>0.24087</v>
      </c>
      <c r="K869" s="405">
        <v>32.361961999999998</v>
      </c>
      <c r="L869" s="405" t="s">
        <v>314</v>
      </c>
      <c r="M869" s="405" t="s">
        <v>321</v>
      </c>
      <c r="N869" s="405" t="s">
        <v>1244</v>
      </c>
      <c r="O869" s="405" t="s">
        <v>519</v>
      </c>
      <c r="P869" s="405" t="s">
        <v>2323</v>
      </c>
      <c r="Q869" s="411">
        <v>9</v>
      </c>
      <c r="R869" s="405" t="s">
        <v>32101</v>
      </c>
      <c r="S869" s="405" t="s">
        <v>414</v>
      </c>
      <c r="T869" s="405" t="s">
        <v>32102</v>
      </c>
      <c r="U869" s="405" t="s">
        <v>319</v>
      </c>
    </row>
    <row r="870" spans="1:21" x14ac:dyDescent="0.25">
      <c r="A870" s="405" t="s">
        <v>310</v>
      </c>
      <c r="B870" s="405" t="s">
        <v>8446</v>
      </c>
      <c r="C870" s="405" t="s">
        <v>327</v>
      </c>
      <c r="D870" s="405"/>
      <c r="E870" s="410">
        <v>44167</v>
      </c>
      <c r="F870" s="410">
        <v>44177</v>
      </c>
      <c r="G870" s="405" t="s">
        <v>8447</v>
      </c>
      <c r="H870" s="405" t="s">
        <v>8448</v>
      </c>
      <c r="I870" s="405" t="s">
        <v>8449</v>
      </c>
      <c r="J870" s="405">
        <v>0.35570800000000002</v>
      </c>
      <c r="K870" s="405">
        <v>32.595706999999997</v>
      </c>
      <c r="L870" s="405" t="s">
        <v>314</v>
      </c>
      <c r="M870" s="405" t="s">
        <v>992</v>
      </c>
      <c r="N870" s="405" t="s">
        <v>3409</v>
      </c>
      <c r="O870" s="405" t="s">
        <v>3409</v>
      </c>
      <c r="P870" s="405" t="s">
        <v>8450</v>
      </c>
      <c r="Q870" s="411">
        <v>9</v>
      </c>
      <c r="R870" s="405" t="s">
        <v>4176</v>
      </c>
      <c r="S870" s="405" t="s">
        <v>27053</v>
      </c>
      <c r="T870" s="405" t="s">
        <v>32102</v>
      </c>
      <c r="U870" s="405" t="s">
        <v>319</v>
      </c>
    </row>
    <row r="871" spans="1:21" x14ac:dyDescent="0.25">
      <c r="A871" s="405" t="s">
        <v>310</v>
      </c>
      <c r="B871" s="405" t="s">
        <v>26149</v>
      </c>
      <c r="C871" s="405" t="s">
        <v>327</v>
      </c>
      <c r="D871" s="405"/>
      <c r="E871" s="410">
        <v>44164</v>
      </c>
      <c r="F871" s="410">
        <v>44171</v>
      </c>
      <c r="G871" s="405" t="s">
        <v>26150</v>
      </c>
      <c r="H871" s="405" t="s">
        <v>26151</v>
      </c>
      <c r="I871" s="405" t="s">
        <v>26152</v>
      </c>
      <c r="J871" s="405">
        <v>-0.62603299999999995</v>
      </c>
      <c r="K871" s="405">
        <v>30.681553000000001</v>
      </c>
      <c r="L871" s="405" t="s">
        <v>590</v>
      </c>
      <c r="M871" s="405" t="s">
        <v>19614</v>
      </c>
      <c r="N871" s="405" t="s">
        <v>19873</v>
      </c>
      <c r="O871" s="405" t="s">
        <v>23816</v>
      </c>
      <c r="P871" s="405" t="s">
        <v>26153</v>
      </c>
      <c r="Q871" s="411">
        <v>9</v>
      </c>
      <c r="R871" s="405" t="s">
        <v>32166</v>
      </c>
      <c r="S871" s="405" t="s">
        <v>22865</v>
      </c>
      <c r="T871" s="405" t="s">
        <v>32102</v>
      </c>
      <c r="U871" s="405" t="s">
        <v>319</v>
      </c>
    </row>
    <row r="872" spans="1:21" x14ac:dyDescent="0.25">
      <c r="A872" s="405" t="s">
        <v>310</v>
      </c>
      <c r="B872" s="405" t="s">
        <v>17458</v>
      </c>
      <c r="C872" s="405" t="s">
        <v>327</v>
      </c>
      <c r="D872" s="405"/>
      <c r="E872" s="410">
        <v>44164</v>
      </c>
      <c r="F872" s="410">
        <v>44166</v>
      </c>
      <c r="G872" s="405" t="s">
        <v>17459</v>
      </c>
      <c r="H872" s="405" t="s">
        <v>17460</v>
      </c>
      <c r="I872" s="405" t="s">
        <v>17461</v>
      </c>
      <c r="J872" s="405">
        <v>0.471084</v>
      </c>
      <c r="K872" s="405">
        <v>33.248316000000003</v>
      </c>
      <c r="L872" s="405" t="s">
        <v>6866</v>
      </c>
      <c r="M872" s="405" t="s">
        <v>9590</v>
      </c>
      <c r="N872" s="405" t="s">
        <v>9591</v>
      </c>
      <c r="O872" s="405" t="s">
        <v>15330</v>
      </c>
      <c r="P872" s="405" t="s">
        <v>17462</v>
      </c>
      <c r="Q872" s="411">
        <v>9</v>
      </c>
      <c r="R872" s="405" t="s">
        <v>32164</v>
      </c>
      <c r="S872" s="405" t="s">
        <v>27276</v>
      </c>
      <c r="T872" s="405" t="s">
        <v>32102</v>
      </c>
      <c r="U872" s="405" t="s">
        <v>319</v>
      </c>
    </row>
    <row r="873" spans="1:21" x14ac:dyDescent="0.25">
      <c r="A873" s="405" t="s">
        <v>310</v>
      </c>
      <c r="B873" s="405" t="s">
        <v>26164</v>
      </c>
      <c r="C873" s="405" t="s">
        <v>327</v>
      </c>
      <c r="D873" s="405"/>
      <c r="E873" s="410">
        <v>44163</v>
      </c>
      <c r="F873" s="410">
        <v>44166</v>
      </c>
      <c r="G873" s="405" t="s">
        <v>26165</v>
      </c>
      <c r="H873" s="405" t="s">
        <v>26166</v>
      </c>
      <c r="I873" s="405" t="s">
        <v>2913</v>
      </c>
      <c r="J873" s="405">
        <v>-1.265495</v>
      </c>
      <c r="K873" s="405">
        <v>29.728197000000002</v>
      </c>
      <c r="L873" s="405" t="s">
        <v>590</v>
      </c>
      <c r="M873" s="405" t="s">
        <v>20070</v>
      </c>
      <c r="N873" s="405" t="s">
        <v>25919</v>
      </c>
      <c r="O873" s="405" t="s">
        <v>24104</v>
      </c>
      <c r="P873" s="405" t="s">
        <v>26040</v>
      </c>
      <c r="Q873" s="411">
        <v>6</v>
      </c>
      <c r="R873" s="405" t="s">
        <v>24106</v>
      </c>
      <c r="S873" s="405" t="s">
        <v>27102</v>
      </c>
      <c r="T873" s="405" t="s">
        <v>32102</v>
      </c>
      <c r="U873" s="405" t="s">
        <v>319</v>
      </c>
    </row>
    <row r="874" spans="1:21" x14ac:dyDescent="0.25">
      <c r="A874" s="405" t="s">
        <v>310</v>
      </c>
      <c r="B874" s="405" t="s">
        <v>8462</v>
      </c>
      <c r="C874" s="405" t="s">
        <v>327</v>
      </c>
      <c r="D874" s="405"/>
      <c r="E874" s="410">
        <v>44159</v>
      </c>
      <c r="F874" s="410">
        <v>44173</v>
      </c>
      <c r="G874" s="405" t="s">
        <v>8463</v>
      </c>
      <c r="H874" s="405" t="s">
        <v>8464</v>
      </c>
      <c r="I874" s="405" t="s">
        <v>8465</v>
      </c>
      <c r="J874" s="405">
        <v>7.9543000000000003E-2</v>
      </c>
      <c r="K874" s="405">
        <v>32.481473000000001</v>
      </c>
      <c r="L874" s="405" t="s">
        <v>314</v>
      </c>
      <c r="M874" s="405" t="s">
        <v>361</v>
      </c>
      <c r="N874" s="405" t="s">
        <v>638</v>
      </c>
      <c r="O874" s="405" t="s">
        <v>638</v>
      </c>
      <c r="P874" s="405" t="s">
        <v>638</v>
      </c>
      <c r="Q874" s="411">
        <v>9</v>
      </c>
      <c r="R874" s="405" t="s">
        <v>32101</v>
      </c>
      <c r="S874" s="405" t="s">
        <v>27193</v>
      </c>
      <c r="T874" s="405" t="s">
        <v>32102</v>
      </c>
      <c r="U874" s="405" t="s">
        <v>319</v>
      </c>
    </row>
    <row r="875" spans="1:21" x14ac:dyDescent="0.25">
      <c r="A875" s="405" t="s">
        <v>310</v>
      </c>
      <c r="B875" s="405" t="s">
        <v>26159</v>
      </c>
      <c r="C875" s="405" t="s">
        <v>327</v>
      </c>
      <c r="D875" s="405"/>
      <c r="E875" s="410">
        <v>44157</v>
      </c>
      <c r="F875" s="410">
        <v>44169</v>
      </c>
      <c r="G875" s="405" t="s">
        <v>26160</v>
      </c>
      <c r="H875" s="405" t="s">
        <v>26161</v>
      </c>
      <c r="I875" s="405" t="s">
        <v>26162</v>
      </c>
      <c r="J875" s="405">
        <v>-1.1290480000000001</v>
      </c>
      <c r="K875" s="405">
        <v>29.643272</v>
      </c>
      <c r="L875" s="405" t="s">
        <v>590</v>
      </c>
      <c r="M875" s="405" t="s">
        <v>20070</v>
      </c>
      <c r="N875" s="405" t="s">
        <v>26163</v>
      </c>
      <c r="O875" s="405" t="s">
        <v>21947</v>
      </c>
      <c r="P875" s="405" t="s">
        <v>22333</v>
      </c>
      <c r="Q875" s="411">
        <v>6</v>
      </c>
      <c r="R875" s="405" t="s">
        <v>24106</v>
      </c>
      <c r="S875" s="405" t="s">
        <v>27102</v>
      </c>
      <c r="T875" s="405" t="s">
        <v>32102</v>
      </c>
      <c r="U875" s="405" t="s">
        <v>319</v>
      </c>
    </row>
    <row r="876" spans="1:21" x14ac:dyDescent="0.25">
      <c r="A876" s="405" t="s">
        <v>310</v>
      </c>
      <c r="B876" s="405" t="s">
        <v>17499</v>
      </c>
      <c r="C876" s="405" t="s">
        <v>327</v>
      </c>
      <c r="D876" s="405"/>
      <c r="E876" s="410">
        <v>44153</v>
      </c>
      <c r="F876" s="410">
        <v>44234</v>
      </c>
      <c r="G876" s="405" t="s">
        <v>17500</v>
      </c>
      <c r="H876" s="405" t="s">
        <v>17501</v>
      </c>
      <c r="I876" s="405" t="s">
        <v>17502</v>
      </c>
      <c r="J876" s="405">
        <v>1.0139499999999999</v>
      </c>
      <c r="K876" s="405">
        <v>33.105687000000003</v>
      </c>
      <c r="L876" s="405" t="s">
        <v>6866</v>
      </c>
      <c r="M876" s="405" t="s">
        <v>3009</v>
      </c>
      <c r="N876" s="405" t="s">
        <v>9612</v>
      </c>
      <c r="O876" s="405" t="s">
        <v>11633</v>
      </c>
      <c r="P876" s="405" t="s">
        <v>17503</v>
      </c>
      <c r="Q876" s="411">
        <v>13</v>
      </c>
      <c r="R876" s="405" t="s">
        <v>32101</v>
      </c>
      <c r="S876" s="405" t="s">
        <v>27235</v>
      </c>
      <c r="T876" s="405" t="s">
        <v>32102</v>
      </c>
      <c r="U876" s="405" t="s">
        <v>319</v>
      </c>
    </row>
    <row r="877" spans="1:21" x14ac:dyDescent="0.25">
      <c r="A877" s="405" t="s">
        <v>310</v>
      </c>
      <c r="B877" s="405" t="s">
        <v>26227</v>
      </c>
      <c r="C877" s="405" t="s">
        <v>327</v>
      </c>
      <c r="D877" s="405"/>
      <c r="E877" s="410">
        <v>44151</v>
      </c>
      <c r="F877" s="410">
        <v>44236</v>
      </c>
      <c r="G877" s="405" t="s">
        <v>26228</v>
      </c>
      <c r="H877" s="405" t="s">
        <v>26229</v>
      </c>
      <c r="I877" s="405" t="s">
        <v>26230</v>
      </c>
      <c r="J877" s="405">
        <v>0.184029</v>
      </c>
      <c r="K877" s="405">
        <v>30.451425</v>
      </c>
      <c r="L877" s="405" t="s">
        <v>590</v>
      </c>
      <c r="M877" s="405" t="s">
        <v>19720</v>
      </c>
      <c r="N877" s="405" t="s">
        <v>26231</v>
      </c>
      <c r="O877" s="405" t="s">
        <v>19720</v>
      </c>
      <c r="P877" s="405" t="s">
        <v>22115</v>
      </c>
      <c r="Q877" s="411">
        <v>6</v>
      </c>
      <c r="R877" s="405" t="s">
        <v>6013</v>
      </c>
      <c r="S877" s="405" t="s">
        <v>27205</v>
      </c>
      <c r="T877" s="405" t="s">
        <v>32102</v>
      </c>
      <c r="U877" s="405" t="s">
        <v>319</v>
      </c>
    </row>
    <row r="878" spans="1:21" x14ac:dyDescent="0.25">
      <c r="A878" s="405" t="s">
        <v>310</v>
      </c>
      <c r="B878" s="405" t="s">
        <v>8451</v>
      </c>
      <c r="C878" s="405" t="s">
        <v>327</v>
      </c>
      <c r="D878" s="405"/>
      <c r="E878" s="410">
        <v>44150</v>
      </c>
      <c r="F878" s="410">
        <v>44174</v>
      </c>
      <c r="G878" s="405" t="s">
        <v>8452</v>
      </c>
      <c r="H878" s="405" t="s">
        <v>8453</v>
      </c>
      <c r="I878" s="405" t="s">
        <v>8454</v>
      </c>
      <c r="J878" s="405">
        <v>0.29843700000000001</v>
      </c>
      <c r="K878" s="405">
        <v>32.355187000000001</v>
      </c>
      <c r="L878" s="405" t="s">
        <v>314</v>
      </c>
      <c r="M878" s="405" t="s">
        <v>321</v>
      </c>
      <c r="N878" s="405" t="s">
        <v>2472</v>
      </c>
      <c r="O878" s="405" t="s">
        <v>519</v>
      </c>
      <c r="P878" s="405" t="s">
        <v>1629</v>
      </c>
      <c r="Q878" s="411">
        <v>9</v>
      </c>
      <c r="R878" s="405" t="s">
        <v>32101</v>
      </c>
      <c r="S878" s="405" t="s">
        <v>27275</v>
      </c>
      <c r="T878" s="405" t="s">
        <v>32102</v>
      </c>
      <c r="U878" s="405" t="s">
        <v>319</v>
      </c>
    </row>
    <row r="879" spans="1:21" x14ac:dyDescent="0.25">
      <c r="A879" s="405" t="s">
        <v>310</v>
      </c>
      <c r="B879" s="405" t="s">
        <v>17441</v>
      </c>
      <c r="C879" s="405" t="s">
        <v>327</v>
      </c>
      <c r="D879" s="405"/>
      <c r="E879" s="410">
        <v>44150</v>
      </c>
      <c r="F879" s="410">
        <v>44160</v>
      </c>
      <c r="G879" s="405" t="s">
        <v>17442</v>
      </c>
      <c r="H879" s="405">
        <v>783277373</v>
      </c>
      <c r="I879" s="405" t="s">
        <v>17443</v>
      </c>
      <c r="J879" s="405">
        <v>0.452654</v>
      </c>
      <c r="K879" s="405">
        <v>33.481113000000001</v>
      </c>
      <c r="L879" s="405" t="s">
        <v>6866</v>
      </c>
      <c r="M879" s="405" t="s">
        <v>5411</v>
      </c>
      <c r="N879" s="405" t="s">
        <v>17092</v>
      </c>
      <c r="O879" s="405" t="s">
        <v>17399</v>
      </c>
      <c r="P879" s="405" t="s">
        <v>17444</v>
      </c>
      <c r="Q879" s="411">
        <v>6</v>
      </c>
      <c r="R879" s="405" t="s">
        <v>32164</v>
      </c>
      <c r="S879" s="405" t="s">
        <v>27174</v>
      </c>
      <c r="T879" s="405" t="s">
        <v>32102</v>
      </c>
      <c r="U879" s="405" t="s">
        <v>319</v>
      </c>
    </row>
    <row r="880" spans="1:21" x14ac:dyDescent="0.25">
      <c r="A880" s="405" t="s">
        <v>310</v>
      </c>
      <c r="B880" s="405" t="s">
        <v>26236</v>
      </c>
      <c r="C880" s="405" t="s">
        <v>327</v>
      </c>
      <c r="D880" s="405"/>
      <c r="E880" s="410">
        <v>44149</v>
      </c>
      <c r="F880" s="410">
        <v>44236</v>
      </c>
      <c r="G880" s="405" t="s">
        <v>26237</v>
      </c>
      <c r="H880" s="405" t="s">
        <v>26238</v>
      </c>
      <c r="I880" s="405" t="s">
        <v>26239</v>
      </c>
      <c r="J880" s="405">
        <v>0.14111599999999999</v>
      </c>
      <c r="K880" s="405">
        <v>30.447825000000002</v>
      </c>
      <c r="L880" s="405" t="s">
        <v>590</v>
      </c>
      <c r="M880" s="405" t="s">
        <v>25542</v>
      </c>
      <c r="N880" s="405" t="s">
        <v>25542</v>
      </c>
      <c r="O880" s="405" t="s">
        <v>20439</v>
      </c>
      <c r="P880" s="405" t="s">
        <v>26240</v>
      </c>
      <c r="Q880" s="411">
        <v>6</v>
      </c>
      <c r="R880" s="405" t="s">
        <v>6013</v>
      </c>
      <c r="S880" s="405" t="s">
        <v>27205</v>
      </c>
      <c r="T880" s="405" t="s">
        <v>32102</v>
      </c>
      <c r="U880" s="405" t="s">
        <v>319</v>
      </c>
    </row>
    <row r="881" spans="1:21" x14ac:dyDescent="0.25">
      <c r="A881" s="405" t="s">
        <v>310</v>
      </c>
      <c r="B881" s="405" t="s">
        <v>26193</v>
      </c>
      <c r="C881" s="405" t="s">
        <v>327</v>
      </c>
      <c r="D881" s="405"/>
      <c r="E881" s="410">
        <v>44147</v>
      </c>
      <c r="F881" s="410">
        <v>44237</v>
      </c>
      <c r="G881" s="405" t="s">
        <v>26194</v>
      </c>
      <c r="H881" s="405" t="s">
        <v>26195</v>
      </c>
      <c r="I881" s="405" t="s">
        <v>26196</v>
      </c>
      <c r="J881" s="405">
        <v>-0.55740800000000001</v>
      </c>
      <c r="K881" s="405">
        <v>30.315844999999999</v>
      </c>
      <c r="L881" s="405" t="s">
        <v>590</v>
      </c>
      <c r="M881" s="405" t="s">
        <v>19725</v>
      </c>
      <c r="N881" s="405" t="s">
        <v>19725</v>
      </c>
      <c r="O881" s="405" t="s">
        <v>20792</v>
      </c>
      <c r="P881" s="405" t="s">
        <v>19769</v>
      </c>
      <c r="Q881" s="411">
        <v>13</v>
      </c>
      <c r="R881" s="405" t="s">
        <v>5986</v>
      </c>
      <c r="S881" s="405" t="s">
        <v>27039</v>
      </c>
      <c r="T881" s="405" t="s">
        <v>32102</v>
      </c>
      <c r="U881" s="405" t="s">
        <v>319</v>
      </c>
    </row>
    <row r="882" spans="1:21" x14ac:dyDescent="0.25">
      <c r="A882" s="405" t="s">
        <v>310</v>
      </c>
      <c r="B882" s="405" t="s">
        <v>8455</v>
      </c>
      <c r="C882" s="405" t="s">
        <v>327</v>
      </c>
      <c r="D882" s="405"/>
      <c r="E882" s="410">
        <v>44147</v>
      </c>
      <c r="F882" s="410">
        <v>44174</v>
      </c>
      <c r="G882" s="405" t="s">
        <v>8456</v>
      </c>
      <c r="H882" s="405" t="s">
        <v>8457</v>
      </c>
      <c r="I882" s="405"/>
      <c r="J882" s="405">
        <v>0.54914200000000002</v>
      </c>
      <c r="K882" s="405">
        <v>32.634202999999999</v>
      </c>
      <c r="L882" s="405" t="s">
        <v>314</v>
      </c>
      <c r="M882" s="405" t="s">
        <v>959</v>
      </c>
      <c r="N882" s="405" t="s">
        <v>2921</v>
      </c>
      <c r="O882" s="405" t="s">
        <v>3606</v>
      </c>
      <c r="P882" s="405" t="s">
        <v>3606</v>
      </c>
      <c r="Q882" s="411">
        <v>9</v>
      </c>
      <c r="R882" s="405" t="s">
        <v>32101</v>
      </c>
      <c r="S882" s="405" t="s">
        <v>27193</v>
      </c>
      <c r="T882" s="405" t="s">
        <v>32102</v>
      </c>
      <c r="U882" s="405" t="s">
        <v>319</v>
      </c>
    </row>
    <row r="883" spans="1:21" x14ac:dyDescent="0.25">
      <c r="A883" s="405" t="s">
        <v>310</v>
      </c>
      <c r="B883" s="405" t="s">
        <v>26232</v>
      </c>
      <c r="C883" s="405" t="s">
        <v>327</v>
      </c>
      <c r="D883" s="405"/>
      <c r="E883" s="410">
        <v>44147</v>
      </c>
      <c r="F883" s="410">
        <v>44236</v>
      </c>
      <c r="G883" s="405" t="s">
        <v>26233</v>
      </c>
      <c r="H883" s="405" t="s">
        <v>26234</v>
      </c>
      <c r="I883" s="405" t="s">
        <v>26235</v>
      </c>
      <c r="J883" s="405">
        <v>0.16964199999999999</v>
      </c>
      <c r="K883" s="405">
        <v>30.446024999999999</v>
      </c>
      <c r="L883" s="405" t="s">
        <v>590</v>
      </c>
      <c r="M883" s="405" t="s">
        <v>19720</v>
      </c>
      <c r="N883" s="405" t="s">
        <v>26231</v>
      </c>
      <c r="O883" s="405" t="s">
        <v>22552</v>
      </c>
      <c r="P883" s="405" t="s">
        <v>22057</v>
      </c>
      <c r="Q883" s="411">
        <v>6</v>
      </c>
      <c r="R883" s="405" t="s">
        <v>6013</v>
      </c>
      <c r="S883" s="405" t="s">
        <v>27181</v>
      </c>
      <c r="T883" s="405" t="s">
        <v>32102</v>
      </c>
      <c r="U883" s="405" t="s">
        <v>319</v>
      </c>
    </row>
    <row r="884" spans="1:21" x14ac:dyDescent="0.25">
      <c r="A884" s="405" t="s">
        <v>310</v>
      </c>
      <c r="B884" s="405" t="s">
        <v>8515</v>
      </c>
      <c r="C884" s="405" t="s">
        <v>327</v>
      </c>
      <c r="D884" s="405"/>
      <c r="E884" s="410">
        <v>44146</v>
      </c>
      <c r="F884" s="410">
        <v>44206</v>
      </c>
      <c r="G884" s="405" t="s">
        <v>8516</v>
      </c>
      <c r="H884" s="405" t="s">
        <v>8517</v>
      </c>
      <c r="I884" s="405"/>
      <c r="J884" s="405">
        <v>-0.39511800000000002</v>
      </c>
      <c r="K884" s="405">
        <v>31.425279</v>
      </c>
      <c r="L884" s="405" t="s">
        <v>314</v>
      </c>
      <c r="M884" s="405" t="s">
        <v>1189</v>
      </c>
      <c r="N884" s="405" t="s">
        <v>1189</v>
      </c>
      <c r="O884" s="405" t="s">
        <v>1189</v>
      </c>
      <c r="P884" s="405" t="s">
        <v>8518</v>
      </c>
      <c r="Q884" s="411">
        <v>13</v>
      </c>
      <c r="R884" s="405" t="s">
        <v>5986</v>
      </c>
      <c r="S884" s="405" t="s">
        <v>27039</v>
      </c>
      <c r="T884" s="405" t="s">
        <v>32102</v>
      </c>
      <c r="U884" s="405" t="s">
        <v>319</v>
      </c>
    </row>
    <row r="885" spans="1:21" x14ac:dyDescent="0.25">
      <c r="A885" s="405" t="s">
        <v>310</v>
      </c>
      <c r="B885" s="405" t="s">
        <v>8594</v>
      </c>
      <c r="C885" s="405" t="s">
        <v>327</v>
      </c>
      <c r="D885" s="405"/>
      <c r="E885" s="410">
        <v>44142</v>
      </c>
      <c r="F885" s="410">
        <v>44229</v>
      </c>
      <c r="G885" s="405" t="s">
        <v>8595</v>
      </c>
      <c r="H885" s="405" t="s">
        <v>8596</v>
      </c>
      <c r="I885" s="405" t="s">
        <v>2913</v>
      </c>
      <c r="J885" s="405">
        <v>0.38030799999999998</v>
      </c>
      <c r="K885" s="405">
        <v>32.646827999999999</v>
      </c>
      <c r="L885" s="405" t="s">
        <v>314</v>
      </c>
      <c r="M885" s="405" t="s">
        <v>329</v>
      </c>
      <c r="N885" s="405" t="s">
        <v>330</v>
      </c>
      <c r="O885" s="405" t="s">
        <v>787</v>
      </c>
      <c r="P885" s="405" t="s">
        <v>7995</v>
      </c>
      <c r="Q885" s="411">
        <v>9</v>
      </c>
      <c r="R885" s="405" t="s">
        <v>32157</v>
      </c>
      <c r="S885" s="405" t="s">
        <v>27045</v>
      </c>
      <c r="T885" s="405" t="s">
        <v>32102</v>
      </c>
      <c r="U885" s="405" t="s">
        <v>319</v>
      </c>
    </row>
    <row r="886" spans="1:21" x14ac:dyDescent="0.25">
      <c r="A886" s="405" t="s">
        <v>310</v>
      </c>
      <c r="B886" s="405" t="s">
        <v>26140</v>
      </c>
      <c r="C886" s="405" t="s">
        <v>327</v>
      </c>
      <c r="D886" s="405"/>
      <c r="E886" s="410">
        <v>44142</v>
      </c>
      <c r="F886" s="410">
        <v>44146</v>
      </c>
      <c r="G886" s="405" t="s">
        <v>26141</v>
      </c>
      <c r="H886" s="405" t="s">
        <v>26142</v>
      </c>
      <c r="I886" s="405" t="s">
        <v>26142</v>
      </c>
      <c r="J886" s="405">
        <v>0.59418300000000002</v>
      </c>
      <c r="K886" s="405">
        <v>30.219877</v>
      </c>
      <c r="L886" s="405" t="s">
        <v>590</v>
      </c>
      <c r="M886" s="405" t="s">
        <v>20125</v>
      </c>
      <c r="N886" s="405" t="s">
        <v>16603</v>
      </c>
      <c r="O886" s="405" t="s">
        <v>26143</v>
      </c>
      <c r="P886" s="405" t="s">
        <v>26144</v>
      </c>
      <c r="Q886" s="411">
        <v>12</v>
      </c>
      <c r="R886" s="405" t="s">
        <v>5903</v>
      </c>
      <c r="S886" s="405" t="s">
        <v>27153</v>
      </c>
      <c r="T886" s="405" t="s">
        <v>32102</v>
      </c>
      <c r="U886" s="405" t="s">
        <v>319</v>
      </c>
    </row>
    <row r="887" spans="1:21" x14ac:dyDescent="0.25">
      <c r="A887" s="405" t="s">
        <v>310</v>
      </c>
      <c r="B887" s="405" t="s">
        <v>26154</v>
      </c>
      <c r="C887" s="405" t="s">
        <v>327</v>
      </c>
      <c r="D887" s="405"/>
      <c r="E887" s="410">
        <v>44140</v>
      </c>
      <c r="F887" s="410">
        <v>44176</v>
      </c>
      <c r="G887" s="405" t="s">
        <v>26155</v>
      </c>
      <c r="H887" s="405">
        <v>759886722</v>
      </c>
      <c r="I887" s="405" t="s">
        <v>26156</v>
      </c>
      <c r="J887" s="405">
        <v>-0.82486300000000001</v>
      </c>
      <c r="K887" s="405">
        <v>30.274256999999999</v>
      </c>
      <c r="L887" s="405" t="s">
        <v>590</v>
      </c>
      <c r="M887" s="405" t="s">
        <v>20757</v>
      </c>
      <c r="N887" s="405" t="s">
        <v>26157</v>
      </c>
      <c r="O887" s="405" t="s">
        <v>20757</v>
      </c>
      <c r="P887" s="405" t="s">
        <v>26158</v>
      </c>
      <c r="Q887" s="411">
        <v>6</v>
      </c>
      <c r="R887" s="405" t="s">
        <v>32166</v>
      </c>
      <c r="S887" s="405" t="s">
        <v>27280</v>
      </c>
      <c r="T887" s="405" t="s">
        <v>32102</v>
      </c>
      <c r="U887" s="405" t="s">
        <v>319</v>
      </c>
    </row>
    <row r="888" spans="1:21" x14ac:dyDescent="0.25">
      <c r="A888" s="405" t="s">
        <v>310</v>
      </c>
      <c r="B888" s="405" t="s">
        <v>8442</v>
      </c>
      <c r="C888" s="405" t="s">
        <v>327</v>
      </c>
      <c r="D888" s="405"/>
      <c r="E888" s="410">
        <v>44138</v>
      </c>
      <c r="F888" s="410">
        <v>44168</v>
      </c>
      <c r="G888" s="405" t="s">
        <v>8443</v>
      </c>
      <c r="H888" s="405" t="s">
        <v>8444</v>
      </c>
      <c r="I888" s="405" t="s">
        <v>2913</v>
      </c>
      <c r="J888" s="405">
        <v>0.24834000000000001</v>
      </c>
      <c r="K888" s="405">
        <v>32.423211999999999</v>
      </c>
      <c r="L888" s="405" t="s">
        <v>314</v>
      </c>
      <c r="M888" s="405" t="s">
        <v>361</v>
      </c>
      <c r="N888" s="405" t="s">
        <v>3398</v>
      </c>
      <c r="O888" s="405" t="s">
        <v>375</v>
      </c>
      <c r="P888" s="405" t="s">
        <v>8445</v>
      </c>
      <c r="Q888" s="411">
        <v>9</v>
      </c>
      <c r="R888" s="405" t="s">
        <v>4176</v>
      </c>
      <c r="S888" s="405" t="s">
        <v>27059</v>
      </c>
      <c r="T888" s="405" t="s">
        <v>32102</v>
      </c>
      <c r="U888" s="405" t="s">
        <v>319</v>
      </c>
    </row>
    <row r="889" spans="1:21" x14ac:dyDescent="0.25">
      <c r="A889" s="405" t="s">
        <v>310</v>
      </c>
      <c r="B889" s="405" t="s">
        <v>8431</v>
      </c>
      <c r="C889" s="405" t="s">
        <v>327</v>
      </c>
      <c r="D889" s="405"/>
      <c r="E889" s="410">
        <v>44138</v>
      </c>
      <c r="F889" s="410">
        <v>44150</v>
      </c>
      <c r="G889" s="405" t="s">
        <v>8432</v>
      </c>
      <c r="H889" s="405" t="s">
        <v>8433</v>
      </c>
      <c r="I889" s="405" t="s">
        <v>8434</v>
      </c>
      <c r="J889" s="405">
        <v>0.14727999999999999</v>
      </c>
      <c r="K889" s="405">
        <v>31.732175000000002</v>
      </c>
      <c r="L889" s="405" t="s">
        <v>314</v>
      </c>
      <c r="M889" s="405" t="s">
        <v>339</v>
      </c>
      <c r="N889" s="405" t="s">
        <v>339</v>
      </c>
      <c r="O889" s="405" t="s">
        <v>8435</v>
      </c>
      <c r="P889" s="405" t="s">
        <v>8436</v>
      </c>
      <c r="Q889" s="411">
        <v>6</v>
      </c>
      <c r="R889" s="405" t="s">
        <v>4176</v>
      </c>
      <c r="S889" s="405" t="s">
        <v>27266</v>
      </c>
      <c r="T889" s="405" t="s">
        <v>32102</v>
      </c>
      <c r="U889" s="405" t="s">
        <v>319</v>
      </c>
    </row>
    <row r="890" spans="1:21" x14ac:dyDescent="0.25">
      <c r="A890" s="405" t="s">
        <v>310</v>
      </c>
      <c r="B890" s="405" t="s">
        <v>26135</v>
      </c>
      <c r="C890" s="405" t="s">
        <v>327</v>
      </c>
      <c r="D890" s="405"/>
      <c r="E890" s="410">
        <v>44133</v>
      </c>
      <c r="F890" s="410">
        <v>44142</v>
      </c>
      <c r="G890" s="405" t="s">
        <v>26136</v>
      </c>
      <c r="H890" s="405" t="s">
        <v>26137</v>
      </c>
      <c r="I890" s="405" t="s">
        <v>26137</v>
      </c>
      <c r="J890" s="405">
        <v>0.118438</v>
      </c>
      <c r="K890" s="405">
        <v>32.182510000000001</v>
      </c>
      <c r="L890" s="405" t="s">
        <v>590</v>
      </c>
      <c r="M890" s="405" t="s">
        <v>20125</v>
      </c>
      <c r="N890" s="405" t="s">
        <v>24733</v>
      </c>
      <c r="O890" s="405" t="s">
        <v>26138</v>
      </c>
      <c r="P890" s="405" t="s">
        <v>26139</v>
      </c>
      <c r="Q890" s="411">
        <v>13</v>
      </c>
      <c r="R890" s="405" t="s">
        <v>32157</v>
      </c>
      <c r="S890" s="405" t="s">
        <v>27045</v>
      </c>
      <c r="T890" s="405" t="s">
        <v>32102</v>
      </c>
      <c r="U890" s="405" t="s">
        <v>319</v>
      </c>
    </row>
    <row r="891" spans="1:21" x14ac:dyDescent="0.25">
      <c r="A891" s="405" t="s">
        <v>310</v>
      </c>
      <c r="B891" s="405" t="s">
        <v>26485</v>
      </c>
      <c r="C891" s="405" t="s">
        <v>311</v>
      </c>
      <c r="D891" s="405" t="s">
        <v>2127</v>
      </c>
      <c r="E891" s="410">
        <v>44132</v>
      </c>
      <c r="F891" s="410">
        <v>44144</v>
      </c>
      <c r="G891" s="405" t="s">
        <v>26486</v>
      </c>
      <c r="H891" s="405" t="s">
        <v>26487</v>
      </c>
      <c r="I891" s="405" t="s">
        <v>26444</v>
      </c>
      <c r="J891" s="405">
        <v>-1.2890569999999999</v>
      </c>
      <c r="K891" s="405">
        <v>29.687797</v>
      </c>
      <c r="L891" s="405" t="s">
        <v>590</v>
      </c>
      <c r="M891" s="405" t="s">
        <v>20070</v>
      </c>
      <c r="N891" s="405" t="s">
        <v>26419</v>
      </c>
      <c r="O891" s="405" t="s">
        <v>10031</v>
      </c>
      <c r="P891" s="405" t="s">
        <v>26047</v>
      </c>
      <c r="Q891" s="411">
        <v>6</v>
      </c>
      <c r="R891" s="405" t="s">
        <v>24106</v>
      </c>
      <c r="S891" s="405" t="s">
        <v>27102</v>
      </c>
      <c r="T891" s="405" t="s">
        <v>32102</v>
      </c>
      <c r="U891" s="405" t="s">
        <v>319</v>
      </c>
    </row>
    <row r="892" spans="1:21" x14ac:dyDescent="0.25">
      <c r="A892" s="405" t="s">
        <v>310</v>
      </c>
      <c r="B892" s="405" t="s">
        <v>17435</v>
      </c>
      <c r="C892" s="405" t="s">
        <v>327</v>
      </c>
      <c r="D892" s="405"/>
      <c r="E892" s="410">
        <v>44131</v>
      </c>
      <c r="F892" s="410">
        <v>44152</v>
      </c>
      <c r="G892" s="405" t="s">
        <v>17436</v>
      </c>
      <c r="H892" s="405" t="s">
        <v>17437</v>
      </c>
      <c r="I892" s="405" t="s">
        <v>17438</v>
      </c>
      <c r="J892" s="405">
        <v>0.56304799999999999</v>
      </c>
      <c r="K892" s="405">
        <v>33.756684</v>
      </c>
      <c r="L892" s="405" t="s">
        <v>6866</v>
      </c>
      <c r="M892" s="405" t="s">
        <v>13470</v>
      </c>
      <c r="N892" s="405" t="s">
        <v>17439</v>
      </c>
      <c r="O892" s="405" t="s">
        <v>6348</v>
      </c>
      <c r="P892" s="405" t="s">
        <v>17440</v>
      </c>
      <c r="Q892" s="411">
        <v>9</v>
      </c>
      <c r="R892" s="405" t="s">
        <v>32164</v>
      </c>
      <c r="S892" s="405" t="s">
        <v>27174</v>
      </c>
      <c r="T892" s="405" t="s">
        <v>32102</v>
      </c>
      <c r="U892" s="405" t="s">
        <v>319</v>
      </c>
    </row>
    <row r="893" spans="1:21" x14ac:dyDescent="0.25">
      <c r="A893" s="405" t="s">
        <v>310</v>
      </c>
      <c r="B893" s="405" t="s">
        <v>8437</v>
      </c>
      <c r="C893" s="405" t="s">
        <v>327</v>
      </c>
      <c r="D893" s="405"/>
      <c r="E893" s="410">
        <v>44130</v>
      </c>
      <c r="F893" s="410">
        <v>44137</v>
      </c>
      <c r="G893" s="405" t="s">
        <v>8438</v>
      </c>
      <c r="H893" s="405" t="s">
        <v>8439</v>
      </c>
      <c r="I893" s="405" t="s">
        <v>8440</v>
      </c>
      <c r="J893" s="405">
        <v>5.3983000000000003E-2</v>
      </c>
      <c r="K893" s="405">
        <v>32.109386999999998</v>
      </c>
      <c r="L893" s="405" t="s">
        <v>314</v>
      </c>
      <c r="M893" s="405" t="s">
        <v>321</v>
      </c>
      <c r="N893" s="405" t="s">
        <v>321</v>
      </c>
      <c r="O893" s="405" t="s">
        <v>322</v>
      </c>
      <c r="P893" s="405" t="s">
        <v>8441</v>
      </c>
      <c r="Q893" s="411">
        <v>9</v>
      </c>
      <c r="R893" s="405" t="s">
        <v>32101</v>
      </c>
      <c r="S893" s="405" t="s">
        <v>27275</v>
      </c>
      <c r="T893" s="405" t="s">
        <v>32102</v>
      </c>
      <c r="U893" s="405" t="s">
        <v>319</v>
      </c>
    </row>
    <row r="894" spans="1:21" x14ac:dyDescent="0.25">
      <c r="A894" s="405" t="s">
        <v>310</v>
      </c>
      <c r="B894" s="405" t="s">
        <v>27525</v>
      </c>
      <c r="C894" s="405" t="s">
        <v>327</v>
      </c>
      <c r="D894" s="405"/>
      <c r="E894" s="410">
        <v>44129</v>
      </c>
      <c r="F894" s="410">
        <v>44134</v>
      </c>
      <c r="G894" s="405" t="s">
        <v>8427</v>
      </c>
      <c r="H894" s="405" t="s">
        <v>8428</v>
      </c>
      <c r="I894" s="405" t="s">
        <v>8429</v>
      </c>
      <c r="J894" s="405">
        <v>0.25584499999999999</v>
      </c>
      <c r="K894" s="405">
        <v>32.598396999999999</v>
      </c>
      <c r="L894" s="405" t="s">
        <v>314</v>
      </c>
      <c r="M894" s="405" t="s">
        <v>361</v>
      </c>
      <c r="N894" s="405" t="s">
        <v>6357</v>
      </c>
      <c r="O894" s="405" t="s">
        <v>374</v>
      </c>
      <c r="P894" s="405" t="s">
        <v>8430</v>
      </c>
      <c r="Q894" s="411">
        <v>12</v>
      </c>
      <c r="R894" s="405" t="s">
        <v>5903</v>
      </c>
      <c r="S894" s="405" t="s">
        <v>27153</v>
      </c>
      <c r="T894" s="405" t="s">
        <v>32102</v>
      </c>
      <c r="U894" s="405" t="s">
        <v>319</v>
      </c>
    </row>
    <row r="895" spans="1:21" x14ac:dyDescent="0.25">
      <c r="A895" s="405" t="s">
        <v>310</v>
      </c>
      <c r="B895" s="405" t="s">
        <v>26145</v>
      </c>
      <c r="C895" s="405" t="s">
        <v>327</v>
      </c>
      <c r="D895" s="405"/>
      <c r="E895" s="410">
        <v>44128</v>
      </c>
      <c r="F895" s="410">
        <v>44154</v>
      </c>
      <c r="G895" s="405" t="s">
        <v>26146</v>
      </c>
      <c r="H895" s="405" t="s">
        <v>26147</v>
      </c>
      <c r="I895" s="405" t="s">
        <v>26148</v>
      </c>
      <c r="J895" s="405">
        <v>-1.078697</v>
      </c>
      <c r="K895" s="405">
        <v>29.626045000000001</v>
      </c>
      <c r="L895" s="405" t="s">
        <v>590</v>
      </c>
      <c r="M895" s="405" t="s">
        <v>20070</v>
      </c>
      <c r="N895" s="405" t="s">
        <v>26120</v>
      </c>
      <c r="O895" s="405" t="s">
        <v>24110</v>
      </c>
      <c r="P895" s="405" t="s">
        <v>24859</v>
      </c>
      <c r="Q895" s="411">
        <v>6</v>
      </c>
      <c r="R895" s="405" t="s">
        <v>24106</v>
      </c>
      <c r="S895" s="405" t="s">
        <v>27154</v>
      </c>
      <c r="T895" s="405" t="s">
        <v>32102</v>
      </c>
      <c r="U895" s="405" t="s">
        <v>319</v>
      </c>
    </row>
    <row r="896" spans="1:21" x14ac:dyDescent="0.25">
      <c r="A896" s="405" t="s">
        <v>310</v>
      </c>
      <c r="B896" s="405" t="s">
        <v>17431</v>
      </c>
      <c r="C896" s="405" t="s">
        <v>327</v>
      </c>
      <c r="D896" s="405"/>
      <c r="E896" s="410">
        <v>44125</v>
      </c>
      <c r="F896" s="410">
        <v>44149</v>
      </c>
      <c r="G896" s="405" t="s">
        <v>17432</v>
      </c>
      <c r="H896" s="405" t="s">
        <v>17433</v>
      </c>
      <c r="I896" s="405" t="s">
        <v>17434</v>
      </c>
      <c r="J896" s="405">
        <v>0.64725500000000002</v>
      </c>
      <c r="K896" s="405">
        <v>33.170014999999999</v>
      </c>
      <c r="L896" s="405" t="s">
        <v>6866</v>
      </c>
      <c r="M896" s="405" t="s">
        <v>9590</v>
      </c>
      <c r="N896" s="405" t="s">
        <v>542</v>
      </c>
      <c r="O896" s="405" t="s">
        <v>542</v>
      </c>
      <c r="P896" s="405" t="s">
        <v>12550</v>
      </c>
      <c r="Q896" s="411">
        <v>9</v>
      </c>
      <c r="R896" s="405" t="s">
        <v>32164</v>
      </c>
      <c r="S896" s="405" t="s">
        <v>27276</v>
      </c>
      <c r="T896" s="405" t="s">
        <v>32102</v>
      </c>
      <c r="U896" s="405" t="s">
        <v>319</v>
      </c>
    </row>
    <row r="897" spans="1:21" x14ac:dyDescent="0.25">
      <c r="A897" s="405" t="s">
        <v>310</v>
      </c>
      <c r="B897" s="405" t="s">
        <v>26092</v>
      </c>
      <c r="C897" s="405" t="s">
        <v>327</v>
      </c>
      <c r="D897" s="405"/>
      <c r="E897" s="410">
        <v>44123</v>
      </c>
      <c r="F897" s="410">
        <v>44133</v>
      </c>
      <c r="G897" s="405" t="s">
        <v>26093</v>
      </c>
      <c r="H897" s="405" t="s">
        <v>26094</v>
      </c>
      <c r="I897" s="405" t="s">
        <v>26095</v>
      </c>
      <c r="J897" s="405">
        <v>-0.68293800000000005</v>
      </c>
      <c r="K897" s="405">
        <v>29.938801999999999</v>
      </c>
      <c r="L897" s="405" t="s">
        <v>590</v>
      </c>
      <c r="M897" s="405" t="s">
        <v>19619</v>
      </c>
      <c r="N897" s="405" t="s">
        <v>19793</v>
      </c>
      <c r="O897" s="405" t="s">
        <v>20033</v>
      </c>
      <c r="P897" s="405" t="s">
        <v>5559</v>
      </c>
      <c r="Q897" s="411">
        <v>6</v>
      </c>
      <c r="R897" s="405" t="s">
        <v>6572</v>
      </c>
      <c r="S897" s="405" t="s">
        <v>27440</v>
      </c>
      <c r="T897" s="405" t="s">
        <v>32102</v>
      </c>
      <c r="U897" s="405" t="s">
        <v>319</v>
      </c>
    </row>
    <row r="898" spans="1:21" x14ac:dyDescent="0.25">
      <c r="A898" s="405" t="s">
        <v>310</v>
      </c>
      <c r="B898" s="405" t="s">
        <v>9213</v>
      </c>
      <c r="C898" s="405" t="s">
        <v>311</v>
      </c>
      <c r="D898" s="405" t="s">
        <v>6019</v>
      </c>
      <c r="E898" s="410">
        <v>44122</v>
      </c>
      <c r="F898" s="410">
        <v>44136</v>
      </c>
      <c r="G898" s="405" t="s">
        <v>9214</v>
      </c>
      <c r="H898" s="405" t="s">
        <v>9215</v>
      </c>
      <c r="I898" s="405" t="s">
        <v>9216</v>
      </c>
      <c r="J898" s="405">
        <v>0.54579299999999997</v>
      </c>
      <c r="K898" s="405">
        <v>32.415177</v>
      </c>
      <c r="L898" s="405" t="s">
        <v>314</v>
      </c>
      <c r="M898" s="405" t="s">
        <v>361</v>
      </c>
      <c r="N898" s="405" t="s">
        <v>374</v>
      </c>
      <c r="O898" s="405" t="s">
        <v>427</v>
      </c>
      <c r="P898" s="405" t="s">
        <v>9217</v>
      </c>
      <c r="Q898" s="411">
        <v>13</v>
      </c>
      <c r="R898" s="405" t="s">
        <v>32101</v>
      </c>
      <c r="S898" s="405" t="s">
        <v>27275</v>
      </c>
      <c r="T898" s="405" t="s">
        <v>32102</v>
      </c>
      <c r="U898" s="405" t="s">
        <v>319</v>
      </c>
    </row>
    <row r="899" spans="1:21" x14ac:dyDescent="0.25">
      <c r="A899" s="405" t="s">
        <v>310</v>
      </c>
      <c r="B899" s="405" t="s">
        <v>8542</v>
      </c>
      <c r="C899" s="405" t="s">
        <v>327</v>
      </c>
      <c r="D899" s="405"/>
      <c r="E899" s="410">
        <v>44121</v>
      </c>
      <c r="F899" s="410">
        <v>44202</v>
      </c>
      <c r="G899" s="405" t="s">
        <v>8543</v>
      </c>
      <c r="H899" s="405" t="s">
        <v>8544</v>
      </c>
      <c r="I899" s="405" t="s">
        <v>8545</v>
      </c>
      <c r="J899" s="405">
        <v>0.28190799999999999</v>
      </c>
      <c r="K899" s="405">
        <v>32.607056999999998</v>
      </c>
      <c r="L899" s="405" t="s">
        <v>314</v>
      </c>
      <c r="M899" s="405" t="s">
        <v>992</v>
      </c>
      <c r="N899" s="405" t="s">
        <v>8546</v>
      </c>
      <c r="O899" s="405" t="s">
        <v>8547</v>
      </c>
      <c r="P899" s="405" t="s">
        <v>8548</v>
      </c>
      <c r="Q899" s="411">
        <v>13</v>
      </c>
      <c r="R899" s="405" t="s">
        <v>5665</v>
      </c>
      <c r="S899" s="405" t="s">
        <v>27051</v>
      </c>
      <c r="T899" s="405" t="s">
        <v>32102</v>
      </c>
      <c r="U899" s="405" t="s">
        <v>319</v>
      </c>
    </row>
    <row r="900" spans="1:21" x14ac:dyDescent="0.25">
      <c r="A900" s="405" t="s">
        <v>310</v>
      </c>
      <c r="B900" s="405" t="s">
        <v>26088</v>
      </c>
      <c r="C900" s="405" t="s">
        <v>327</v>
      </c>
      <c r="D900" s="405"/>
      <c r="E900" s="410">
        <v>44121</v>
      </c>
      <c r="F900" s="410">
        <v>44134</v>
      </c>
      <c r="G900" s="405" t="s">
        <v>26089</v>
      </c>
      <c r="H900" s="405" t="s">
        <v>26090</v>
      </c>
      <c r="I900" s="405" t="s">
        <v>26090</v>
      </c>
      <c r="J900" s="405">
        <v>-0.86271799999999998</v>
      </c>
      <c r="K900" s="405">
        <v>30.045439999999999</v>
      </c>
      <c r="L900" s="405" t="s">
        <v>590</v>
      </c>
      <c r="M900" s="405" t="s">
        <v>19619</v>
      </c>
      <c r="N900" s="405" t="s">
        <v>19620</v>
      </c>
      <c r="O900" s="405" t="s">
        <v>25820</v>
      </c>
      <c r="P900" s="405" t="s">
        <v>26091</v>
      </c>
      <c r="Q900" s="411">
        <v>13</v>
      </c>
      <c r="R900" s="405" t="s">
        <v>6572</v>
      </c>
      <c r="S900" s="405" t="s">
        <v>27132</v>
      </c>
      <c r="T900" s="405" t="s">
        <v>32102</v>
      </c>
      <c r="U900" s="405" t="s">
        <v>319</v>
      </c>
    </row>
    <row r="901" spans="1:21" x14ac:dyDescent="0.25">
      <c r="A901" s="405" t="s">
        <v>310</v>
      </c>
      <c r="B901" s="405" t="s">
        <v>8407</v>
      </c>
      <c r="C901" s="405" t="s">
        <v>327</v>
      </c>
      <c r="D901" s="405"/>
      <c r="E901" s="410">
        <v>44121</v>
      </c>
      <c r="F901" s="410">
        <v>44130</v>
      </c>
      <c r="G901" s="405" t="s">
        <v>8408</v>
      </c>
      <c r="H901" s="405" t="s">
        <v>8409</v>
      </c>
      <c r="I901" s="405" t="s">
        <v>8410</v>
      </c>
      <c r="J901" s="405">
        <v>0.20933499999999999</v>
      </c>
      <c r="K901" s="405">
        <v>31.547103</v>
      </c>
      <c r="L901" s="405" t="s">
        <v>314</v>
      </c>
      <c r="M901" s="405" t="s">
        <v>339</v>
      </c>
      <c r="N901" s="405" t="s">
        <v>1662</v>
      </c>
      <c r="O901" s="405" t="s">
        <v>1662</v>
      </c>
      <c r="P901" s="405" t="s">
        <v>8411</v>
      </c>
      <c r="Q901" s="411">
        <v>13</v>
      </c>
      <c r="R901" s="405" t="s">
        <v>32101</v>
      </c>
      <c r="S901" s="405" t="s">
        <v>27193</v>
      </c>
      <c r="T901" s="405" t="s">
        <v>32102</v>
      </c>
      <c r="U901" s="405" t="s">
        <v>319</v>
      </c>
    </row>
    <row r="902" spans="1:21" x14ac:dyDescent="0.25">
      <c r="A902" s="405" t="s">
        <v>310</v>
      </c>
      <c r="B902" s="405" t="s">
        <v>28309</v>
      </c>
      <c r="C902" s="405" t="s">
        <v>327</v>
      </c>
      <c r="D902" s="405"/>
      <c r="E902" s="410">
        <v>44119</v>
      </c>
      <c r="F902" s="410">
        <v>44122</v>
      </c>
      <c r="G902" s="405" t="s">
        <v>8422</v>
      </c>
      <c r="H902" s="405" t="s">
        <v>8423</v>
      </c>
      <c r="I902" s="405" t="s">
        <v>8424</v>
      </c>
      <c r="J902" s="405">
        <v>0.49832500000000002</v>
      </c>
      <c r="K902" s="405">
        <v>32.645052999999997</v>
      </c>
      <c r="L902" s="405" t="s">
        <v>314</v>
      </c>
      <c r="M902" s="405" t="s">
        <v>361</v>
      </c>
      <c r="N902" s="405" t="s">
        <v>362</v>
      </c>
      <c r="O902" s="405" t="s">
        <v>8425</v>
      </c>
      <c r="P902" s="405" t="s">
        <v>8426</v>
      </c>
      <c r="Q902" s="411">
        <v>12</v>
      </c>
      <c r="R902" s="405" t="s">
        <v>5903</v>
      </c>
      <c r="S902" s="405" t="s">
        <v>27153</v>
      </c>
      <c r="T902" s="405" t="s">
        <v>32102</v>
      </c>
      <c r="U902" s="405" t="s">
        <v>319</v>
      </c>
    </row>
    <row r="903" spans="1:21" x14ac:dyDescent="0.25">
      <c r="A903" s="405" t="s">
        <v>310</v>
      </c>
      <c r="B903" s="405" t="s">
        <v>8602</v>
      </c>
      <c r="C903" s="405" t="s">
        <v>327</v>
      </c>
      <c r="D903" s="405"/>
      <c r="E903" s="410">
        <v>44118</v>
      </c>
      <c r="F903" s="410">
        <v>44247</v>
      </c>
      <c r="G903" s="405" t="s">
        <v>8603</v>
      </c>
      <c r="H903" s="405" t="s">
        <v>8604</v>
      </c>
      <c r="I903" s="405" t="s">
        <v>8605</v>
      </c>
      <c r="J903" s="405">
        <v>0.46811700000000001</v>
      </c>
      <c r="K903" s="405">
        <v>32.741790000000002</v>
      </c>
      <c r="L903" s="405" t="s">
        <v>314</v>
      </c>
      <c r="M903" s="405" t="s">
        <v>502</v>
      </c>
      <c r="N903" s="405" t="s">
        <v>5823</v>
      </c>
      <c r="O903" s="405" t="s">
        <v>336</v>
      </c>
      <c r="P903" s="405" t="s">
        <v>5835</v>
      </c>
      <c r="Q903" s="411">
        <v>9</v>
      </c>
      <c r="R903" s="405" t="s">
        <v>402</v>
      </c>
      <c r="S903" s="405" t="s">
        <v>27186</v>
      </c>
      <c r="T903" s="405" t="s">
        <v>32102</v>
      </c>
      <c r="U903" s="405" t="s">
        <v>319</v>
      </c>
    </row>
    <row r="904" spans="1:21" x14ac:dyDescent="0.25">
      <c r="A904" s="405" t="s">
        <v>310</v>
      </c>
      <c r="B904" s="405" t="s">
        <v>26467</v>
      </c>
      <c r="C904" s="405" t="s">
        <v>311</v>
      </c>
      <c r="D904" s="405" t="s">
        <v>6019</v>
      </c>
      <c r="E904" s="410">
        <v>44116</v>
      </c>
      <c r="F904" s="410">
        <v>44154</v>
      </c>
      <c r="G904" s="405" t="s">
        <v>26468</v>
      </c>
      <c r="H904" s="405">
        <v>777319229</v>
      </c>
      <c r="I904" s="405" t="s">
        <v>26469</v>
      </c>
      <c r="J904" s="405">
        <v>1.689567</v>
      </c>
      <c r="K904" s="405">
        <v>31.694652999999999</v>
      </c>
      <c r="L904" s="405" t="s">
        <v>590</v>
      </c>
      <c r="M904" s="405" t="s">
        <v>19608</v>
      </c>
      <c r="N904" s="405" t="s">
        <v>20218</v>
      </c>
      <c r="O904" s="405" t="s">
        <v>26470</v>
      </c>
      <c r="P904" s="405" t="s">
        <v>445</v>
      </c>
      <c r="Q904" s="411">
        <v>9</v>
      </c>
      <c r="R904" s="405" t="s">
        <v>6397</v>
      </c>
      <c r="S904" s="405" t="s">
        <v>22880</v>
      </c>
      <c r="T904" s="405" t="s">
        <v>32102</v>
      </c>
      <c r="U904" s="405" t="s">
        <v>319</v>
      </c>
    </row>
    <row r="905" spans="1:21" x14ac:dyDescent="0.25">
      <c r="A905" s="405" t="s">
        <v>310</v>
      </c>
      <c r="B905" s="405" t="s">
        <v>17445</v>
      </c>
      <c r="C905" s="405" t="s">
        <v>327</v>
      </c>
      <c r="D905" s="405"/>
      <c r="E905" s="410">
        <v>44115</v>
      </c>
      <c r="F905" s="410">
        <v>44146</v>
      </c>
      <c r="G905" s="405" t="s">
        <v>17446</v>
      </c>
      <c r="H905" s="405" t="s">
        <v>17447</v>
      </c>
      <c r="I905" s="405" t="s">
        <v>2913</v>
      </c>
      <c r="J905" s="405">
        <v>1.4036569999999999</v>
      </c>
      <c r="K905" s="405">
        <v>34.460723000000002</v>
      </c>
      <c r="L905" s="405" t="s">
        <v>6866</v>
      </c>
      <c r="M905" s="405" t="s">
        <v>9685</v>
      </c>
      <c r="N905" s="405" t="s">
        <v>9685</v>
      </c>
      <c r="O905" s="405" t="s">
        <v>9880</v>
      </c>
      <c r="P905" s="405" t="s">
        <v>13003</v>
      </c>
      <c r="Q905" s="411">
        <v>9</v>
      </c>
      <c r="R905" s="405" t="s">
        <v>9506</v>
      </c>
      <c r="S905" s="405" t="s">
        <v>27318</v>
      </c>
      <c r="T905" s="405" t="s">
        <v>32102</v>
      </c>
      <c r="U905" s="405" t="s">
        <v>319</v>
      </c>
    </row>
    <row r="906" spans="1:21" x14ac:dyDescent="0.25">
      <c r="A906" s="405" t="s">
        <v>310</v>
      </c>
      <c r="B906" s="405" t="s">
        <v>26458</v>
      </c>
      <c r="C906" s="405" t="s">
        <v>311</v>
      </c>
      <c r="D906" s="405" t="s">
        <v>1789</v>
      </c>
      <c r="E906" s="410">
        <v>44114</v>
      </c>
      <c r="F906" s="410">
        <v>44136</v>
      </c>
      <c r="G906" s="405" t="s">
        <v>26459</v>
      </c>
      <c r="H906" s="405" t="s">
        <v>26460</v>
      </c>
      <c r="I906" s="405" t="s">
        <v>26461</v>
      </c>
      <c r="J906" s="405">
        <v>1.506697</v>
      </c>
      <c r="K906" s="405">
        <v>31.535208000000001</v>
      </c>
      <c r="L906" s="405" t="s">
        <v>590</v>
      </c>
      <c r="M906" s="405" t="s">
        <v>7300</v>
      </c>
      <c r="N906" s="405" t="s">
        <v>19880</v>
      </c>
      <c r="O906" s="405" t="s">
        <v>19881</v>
      </c>
      <c r="P906" s="405" t="s">
        <v>20951</v>
      </c>
      <c r="Q906" s="411">
        <v>6</v>
      </c>
      <c r="R906" s="405" t="s">
        <v>6397</v>
      </c>
      <c r="S906" s="405" t="s">
        <v>22880</v>
      </c>
      <c r="T906" s="405" t="s">
        <v>32102</v>
      </c>
      <c r="U906" s="405" t="s">
        <v>319</v>
      </c>
    </row>
    <row r="907" spans="1:21" x14ac:dyDescent="0.25">
      <c r="A907" s="405" t="s">
        <v>310</v>
      </c>
      <c r="B907" s="405" t="s">
        <v>17421</v>
      </c>
      <c r="C907" s="405" t="s">
        <v>327</v>
      </c>
      <c r="D907" s="405"/>
      <c r="E907" s="410">
        <v>44112</v>
      </c>
      <c r="F907" s="410">
        <v>44122</v>
      </c>
      <c r="G907" s="405" t="s">
        <v>17422</v>
      </c>
      <c r="H907" s="405">
        <v>759853798</v>
      </c>
      <c r="I907" s="405">
        <v>700692962</v>
      </c>
      <c r="J907" s="405">
        <v>0.56919200000000003</v>
      </c>
      <c r="K907" s="405">
        <v>33.758426999999998</v>
      </c>
      <c r="L907" s="405" t="s">
        <v>6866</v>
      </c>
      <c r="M907" s="405" t="s">
        <v>13470</v>
      </c>
      <c r="N907" s="405" t="s">
        <v>17423</v>
      </c>
      <c r="O907" s="405" t="s">
        <v>16485</v>
      </c>
      <c r="P907" s="405" t="s">
        <v>17424</v>
      </c>
      <c r="Q907" s="411">
        <v>13</v>
      </c>
      <c r="R907" s="405" t="s">
        <v>32164</v>
      </c>
      <c r="S907" s="405" t="s">
        <v>6822</v>
      </c>
      <c r="T907" s="405" t="s">
        <v>32102</v>
      </c>
      <c r="U907" s="405" t="s">
        <v>319</v>
      </c>
    </row>
    <row r="908" spans="1:21" x14ac:dyDescent="0.25">
      <c r="A908" s="405" t="s">
        <v>310</v>
      </c>
      <c r="B908" s="405" t="s">
        <v>26132</v>
      </c>
      <c r="C908" s="405" t="s">
        <v>327</v>
      </c>
      <c r="D908" s="405"/>
      <c r="E908" s="410">
        <v>44109</v>
      </c>
      <c r="F908" s="410">
        <v>44155</v>
      </c>
      <c r="G908" s="405" t="s">
        <v>26133</v>
      </c>
      <c r="H908" s="405" t="s">
        <v>26134</v>
      </c>
      <c r="I908" s="405" t="s">
        <v>26134</v>
      </c>
      <c r="J908" s="405">
        <v>-0.44062699999999999</v>
      </c>
      <c r="K908" s="405">
        <v>31.664522000000002</v>
      </c>
      <c r="L908" s="405" t="s">
        <v>590</v>
      </c>
      <c r="M908" s="405" t="s">
        <v>20125</v>
      </c>
      <c r="N908" s="405" t="s">
        <v>20125</v>
      </c>
      <c r="O908" s="405" t="s">
        <v>13002</v>
      </c>
      <c r="P908" s="405" t="s">
        <v>20827</v>
      </c>
      <c r="Q908" s="411">
        <v>13</v>
      </c>
      <c r="R908" s="405" t="s">
        <v>32157</v>
      </c>
      <c r="S908" s="405" t="s">
        <v>27045</v>
      </c>
      <c r="T908" s="405" t="s">
        <v>32102</v>
      </c>
      <c r="U908" s="405" t="s">
        <v>319</v>
      </c>
    </row>
    <row r="909" spans="1:21" x14ac:dyDescent="0.25">
      <c r="A909" s="405" t="s">
        <v>310</v>
      </c>
      <c r="B909" s="405" t="s">
        <v>26084</v>
      </c>
      <c r="C909" s="405" t="s">
        <v>327</v>
      </c>
      <c r="D909" s="405"/>
      <c r="E909" s="410">
        <v>44107</v>
      </c>
      <c r="F909" s="410">
        <v>44118</v>
      </c>
      <c r="G909" s="405" t="s">
        <v>26085</v>
      </c>
      <c r="H909" s="405" t="s">
        <v>26086</v>
      </c>
      <c r="I909" s="405" t="s">
        <v>26086</v>
      </c>
      <c r="J909" s="405">
        <v>-0.72153</v>
      </c>
      <c r="K909" s="405">
        <v>29.734368</v>
      </c>
      <c r="L909" s="405" t="s">
        <v>590</v>
      </c>
      <c r="M909" s="405" t="s">
        <v>20808</v>
      </c>
      <c r="N909" s="405" t="s">
        <v>23390</v>
      </c>
      <c r="O909" s="405" t="s">
        <v>23870</v>
      </c>
      <c r="P909" s="405" t="s">
        <v>26087</v>
      </c>
      <c r="Q909" s="411">
        <v>9</v>
      </c>
      <c r="R909" s="405" t="s">
        <v>6572</v>
      </c>
      <c r="S909" s="405" t="s">
        <v>27434</v>
      </c>
      <c r="T909" s="405" t="s">
        <v>32102</v>
      </c>
      <c r="U909" s="405" t="s">
        <v>319</v>
      </c>
    </row>
    <row r="910" spans="1:21" x14ac:dyDescent="0.25">
      <c r="A910" s="405" t="s">
        <v>310</v>
      </c>
      <c r="B910" s="405" t="s">
        <v>26102</v>
      </c>
      <c r="C910" s="405" t="s">
        <v>327</v>
      </c>
      <c r="D910" s="405"/>
      <c r="E910" s="410">
        <v>44106</v>
      </c>
      <c r="F910" s="410">
        <v>44116</v>
      </c>
      <c r="G910" s="405" t="s">
        <v>26103</v>
      </c>
      <c r="H910" s="405" t="s">
        <v>26104</v>
      </c>
      <c r="I910" s="405" t="s">
        <v>26105</v>
      </c>
      <c r="J910" s="405">
        <v>-0.67116299999999995</v>
      </c>
      <c r="K910" s="405">
        <v>30.653981999999999</v>
      </c>
      <c r="L910" s="405" t="s">
        <v>590</v>
      </c>
      <c r="M910" s="405" t="s">
        <v>879</v>
      </c>
      <c r="N910" s="405" t="s">
        <v>26027</v>
      </c>
      <c r="O910" s="405" t="s">
        <v>20737</v>
      </c>
      <c r="P910" s="405" t="s">
        <v>26106</v>
      </c>
      <c r="Q910" s="411">
        <v>13</v>
      </c>
      <c r="R910" s="405" t="s">
        <v>883</v>
      </c>
      <c r="S910" s="405" t="s">
        <v>27097</v>
      </c>
      <c r="T910" s="405" t="s">
        <v>32102</v>
      </c>
      <c r="U910" s="405" t="s">
        <v>319</v>
      </c>
    </row>
    <row r="911" spans="1:21" x14ac:dyDescent="0.25">
      <c r="A911" s="405" t="s">
        <v>310</v>
      </c>
      <c r="B911" s="405" t="s">
        <v>26121</v>
      </c>
      <c r="C911" s="405" t="s">
        <v>327</v>
      </c>
      <c r="D911" s="405"/>
      <c r="E911" s="410">
        <v>44106</v>
      </c>
      <c r="F911" s="410">
        <v>44159</v>
      </c>
      <c r="G911" s="405" t="s">
        <v>26122</v>
      </c>
      <c r="H911" s="405" t="s">
        <v>26123</v>
      </c>
      <c r="I911" s="405" t="s">
        <v>26124</v>
      </c>
      <c r="J911" s="405">
        <v>1.5987229999999999</v>
      </c>
      <c r="K911" s="405">
        <v>31.449262000000001</v>
      </c>
      <c r="L911" s="405" t="s">
        <v>590</v>
      </c>
      <c r="M911" s="405" t="s">
        <v>7300</v>
      </c>
      <c r="N911" s="405" t="s">
        <v>19880</v>
      </c>
      <c r="O911" s="405" t="s">
        <v>19881</v>
      </c>
      <c r="P911" s="405" t="s">
        <v>26125</v>
      </c>
      <c r="Q911" s="411">
        <v>9</v>
      </c>
      <c r="R911" s="405" t="s">
        <v>6397</v>
      </c>
      <c r="S911" s="405" t="s">
        <v>22880</v>
      </c>
      <c r="T911" s="405" t="s">
        <v>32102</v>
      </c>
      <c r="U911" s="405" t="s">
        <v>319</v>
      </c>
    </row>
    <row r="912" spans="1:21" x14ac:dyDescent="0.25">
      <c r="A912" s="405" t="s">
        <v>310</v>
      </c>
      <c r="B912" s="405" t="s">
        <v>26072</v>
      </c>
      <c r="C912" s="405" t="s">
        <v>327</v>
      </c>
      <c r="D912" s="405"/>
      <c r="E912" s="410">
        <v>44104</v>
      </c>
      <c r="F912" s="410">
        <v>44107</v>
      </c>
      <c r="G912" s="405" t="s">
        <v>26073</v>
      </c>
      <c r="H912" s="405" t="s">
        <v>26074</v>
      </c>
      <c r="I912" s="405" t="s">
        <v>26075</v>
      </c>
      <c r="J912" s="405">
        <v>-0.26273200000000002</v>
      </c>
      <c r="K912" s="405">
        <v>31.011113000000002</v>
      </c>
      <c r="L912" s="405" t="s">
        <v>590</v>
      </c>
      <c r="M912" s="405" t="s">
        <v>19705</v>
      </c>
      <c r="N912" s="405" t="s">
        <v>19706</v>
      </c>
      <c r="O912" s="405" t="s">
        <v>26076</v>
      </c>
      <c r="P912" s="405" t="s">
        <v>26077</v>
      </c>
      <c r="Q912" s="411">
        <v>13</v>
      </c>
      <c r="R912" s="405" t="s">
        <v>6572</v>
      </c>
      <c r="S912" s="405" t="s">
        <v>27065</v>
      </c>
      <c r="T912" s="405" t="s">
        <v>32102</v>
      </c>
      <c r="U912" s="405" t="s">
        <v>319</v>
      </c>
    </row>
    <row r="913" spans="1:21" x14ac:dyDescent="0.25">
      <c r="A913" s="405" t="s">
        <v>310</v>
      </c>
      <c r="B913" s="405" t="s">
        <v>26078</v>
      </c>
      <c r="C913" s="405" t="s">
        <v>327</v>
      </c>
      <c r="D913" s="405"/>
      <c r="E913" s="410">
        <v>44104</v>
      </c>
      <c r="F913" s="410">
        <v>44117</v>
      </c>
      <c r="G913" s="405" t="s">
        <v>26079</v>
      </c>
      <c r="H913" s="405" t="s">
        <v>26080</v>
      </c>
      <c r="I913" s="405" t="s">
        <v>26081</v>
      </c>
      <c r="J913" s="405">
        <v>-0.57920199999999999</v>
      </c>
      <c r="K913" s="405">
        <v>30.438140000000001</v>
      </c>
      <c r="L913" s="405" t="s">
        <v>590</v>
      </c>
      <c r="M913" s="405" t="s">
        <v>19725</v>
      </c>
      <c r="N913" s="405" t="s">
        <v>26082</v>
      </c>
      <c r="O913" s="405" t="s">
        <v>26083</v>
      </c>
      <c r="P913" s="405" t="s">
        <v>26083</v>
      </c>
      <c r="Q913" s="411">
        <v>9</v>
      </c>
      <c r="R913" s="405" t="s">
        <v>6572</v>
      </c>
      <c r="S913" s="405" t="s">
        <v>27301</v>
      </c>
      <c r="T913" s="405" t="s">
        <v>32102</v>
      </c>
      <c r="U913" s="405" t="s">
        <v>319</v>
      </c>
    </row>
    <row r="914" spans="1:21" x14ac:dyDescent="0.25">
      <c r="A914" s="405" t="s">
        <v>310</v>
      </c>
      <c r="B914" s="405" t="s">
        <v>8391</v>
      </c>
      <c r="C914" s="405" t="s">
        <v>327</v>
      </c>
      <c r="D914" s="405"/>
      <c r="E914" s="410">
        <v>44100</v>
      </c>
      <c r="F914" s="410">
        <v>44124</v>
      </c>
      <c r="G914" s="405" t="s">
        <v>8392</v>
      </c>
      <c r="H914" s="405" t="s">
        <v>8393</v>
      </c>
      <c r="I914" s="405" t="s">
        <v>8394</v>
      </c>
      <c r="J914" s="405">
        <v>-0.53779699999999997</v>
      </c>
      <c r="K914" s="405">
        <v>31.611535</v>
      </c>
      <c r="L914" s="405" t="s">
        <v>314</v>
      </c>
      <c r="M914" s="405" t="s">
        <v>399</v>
      </c>
      <c r="N914" s="405" t="s">
        <v>399</v>
      </c>
      <c r="O914" s="405" t="s">
        <v>1563</v>
      </c>
      <c r="P914" s="405" t="s">
        <v>931</v>
      </c>
      <c r="Q914" s="411">
        <v>9</v>
      </c>
      <c r="R914" s="405" t="s">
        <v>32101</v>
      </c>
      <c r="S914" s="405" t="s">
        <v>27181</v>
      </c>
      <c r="T914" s="405" t="s">
        <v>32102</v>
      </c>
      <c r="U914" s="405" t="s">
        <v>319</v>
      </c>
    </row>
    <row r="915" spans="1:21" x14ac:dyDescent="0.25">
      <c r="A915" s="405" t="s">
        <v>310</v>
      </c>
      <c r="B915" s="405" t="s">
        <v>26058</v>
      </c>
      <c r="C915" s="405" t="s">
        <v>327</v>
      </c>
      <c r="D915" s="405"/>
      <c r="E915" s="410">
        <v>44099</v>
      </c>
      <c r="F915" s="410">
        <v>44113</v>
      </c>
      <c r="G915" s="405" t="s">
        <v>26059</v>
      </c>
      <c r="H915" s="405">
        <v>773748157</v>
      </c>
      <c r="I915" s="405" t="s">
        <v>26060</v>
      </c>
      <c r="J915" s="405">
        <v>-0.641953</v>
      </c>
      <c r="K915" s="405">
        <v>30.502927</v>
      </c>
      <c r="L915" s="405" t="s">
        <v>590</v>
      </c>
      <c r="M915" s="405" t="s">
        <v>19614</v>
      </c>
      <c r="N915" s="405" t="s">
        <v>19873</v>
      </c>
      <c r="O915" s="405" t="s">
        <v>19893</v>
      </c>
      <c r="P915" s="405" t="s">
        <v>26061</v>
      </c>
      <c r="Q915" s="411">
        <v>13</v>
      </c>
      <c r="R915" s="405" t="s">
        <v>32166</v>
      </c>
      <c r="S915" s="405" t="s">
        <v>27401</v>
      </c>
      <c r="T915" s="405" t="s">
        <v>32102</v>
      </c>
      <c r="U915" s="405" t="s">
        <v>319</v>
      </c>
    </row>
    <row r="916" spans="1:21" x14ac:dyDescent="0.25">
      <c r="A916" s="405" t="s">
        <v>310</v>
      </c>
      <c r="B916" s="405" t="s">
        <v>8376</v>
      </c>
      <c r="C916" s="405" t="s">
        <v>327</v>
      </c>
      <c r="D916" s="405"/>
      <c r="E916" s="410">
        <v>44099</v>
      </c>
      <c r="F916" s="410">
        <v>44109</v>
      </c>
      <c r="G916" s="405" t="s">
        <v>8377</v>
      </c>
      <c r="H916" s="405" t="s">
        <v>8378</v>
      </c>
      <c r="I916" s="405" t="s">
        <v>8379</v>
      </c>
      <c r="J916" s="405">
        <v>0.47147800000000001</v>
      </c>
      <c r="K916" s="405">
        <v>32.80639</v>
      </c>
      <c r="L916" s="405" t="s">
        <v>314</v>
      </c>
      <c r="M916" s="405" t="s">
        <v>329</v>
      </c>
      <c r="N916" s="405" t="s">
        <v>5950</v>
      </c>
      <c r="O916" s="405" t="s">
        <v>329</v>
      </c>
      <c r="P916" s="405" t="s">
        <v>8380</v>
      </c>
      <c r="Q916" s="411">
        <v>6</v>
      </c>
      <c r="R916" s="405" t="s">
        <v>4176</v>
      </c>
      <c r="S916" s="405" t="s">
        <v>27153</v>
      </c>
      <c r="T916" s="405" t="s">
        <v>32102</v>
      </c>
      <c r="U916" s="405" t="s">
        <v>319</v>
      </c>
    </row>
    <row r="917" spans="1:21" x14ac:dyDescent="0.25">
      <c r="A917" s="405" t="s">
        <v>310</v>
      </c>
      <c r="B917" s="405" t="s">
        <v>8351</v>
      </c>
      <c r="C917" s="405" t="s">
        <v>327</v>
      </c>
      <c r="D917" s="405"/>
      <c r="E917" s="410">
        <v>44097</v>
      </c>
      <c r="F917" s="410">
        <v>44102</v>
      </c>
      <c r="G917" s="405" t="s">
        <v>8352</v>
      </c>
      <c r="H917" s="405" t="s">
        <v>8353</v>
      </c>
      <c r="I917" s="405" t="s">
        <v>8353</v>
      </c>
      <c r="J917" s="405">
        <v>0.33843800000000002</v>
      </c>
      <c r="K917" s="405">
        <v>32.814672000000002</v>
      </c>
      <c r="L917" s="405" t="s">
        <v>314</v>
      </c>
      <c r="M917" s="405" t="s">
        <v>329</v>
      </c>
      <c r="N917" s="405" t="s">
        <v>803</v>
      </c>
      <c r="O917" s="405" t="s">
        <v>653</v>
      </c>
      <c r="P917" s="405" t="s">
        <v>8354</v>
      </c>
      <c r="Q917" s="411">
        <v>13</v>
      </c>
      <c r="R917" s="405" t="s">
        <v>4176</v>
      </c>
      <c r="S917" s="405" t="s">
        <v>27053</v>
      </c>
      <c r="T917" s="405" t="s">
        <v>32102</v>
      </c>
      <c r="U917" s="405" t="s">
        <v>319</v>
      </c>
    </row>
    <row r="918" spans="1:21" x14ac:dyDescent="0.25">
      <c r="A918" s="405" t="s">
        <v>310</v>
      </c>
      <c r="B918" s="405" t="s">
        <v>8399</v>
      </c>
      <c r="C918" s="405" t="s">
        <v>327</v>
      </c>
      <c r="D918" s="405"/>
      <c r="E918" s="410">
        <v>44096</v>
      </c>
      <c r="F918" s="410">
        <v>44107</v>
      </c>
      <c r="G918" s="405" t="s">
        <v>8400</v>
      </c>
      <c r="H918" s="405" t="s">
        <v>8401</v>
      </c>
      <c r="I918" s="405" t="s">
        <v>8402</v>
      </c>
      <c r="J918" s="405">
        <v>0.24912300000000001</v>
      </c>
      <c r="K918" s="405">
        <v>31.890937999999998</v>
      </c>
      <c r="L918" s="405" t="s">
        <v>314</v>
      </c>
      <c r="M918" s="405" t="s">
        <v>675</v>
      </c>
      <c r="N918" s="405" t="s">
        <v>975</v>
      </c>
      <c r="O918" s="405" t="s">
        <v>975</v>
      </c>
      <c r="P918" s="405" t="s">
        <v>975</v>
      </c>
      <c r="Q918" s="411">
        <v>13</v>
      </c>
      <c r="R918" s="405" t="s">
        <v>32101</v>
      </c>
      <c r="S918" s="405" t="s">
        <v>27041</v>
      </c>
      <c r="T918" s="405" t="s">
        <v>32102</v>
      </c>
      <c r="U918" s="405" t="s">
        <v>319</v>
      </c>
    </row>
    <row r="919" spans="1:21" x14ac:dyDescent="0.25">
      <c r="A919" s="405" t="s">
        <v>310</v>
      </c>
      <c r="B919" s="405" t="s">
        <v>26048</v>
      </c>
      <c r="C919" s="405" t="s">
        <v>327</v>
      </c>
      <c r="D919" s="405"/>
      <c r="E919" s="410">
        <v>44094</v>
      </c>
      <c r="F919" s="410">
        <v>44117</v>
      </c>
      <c r="G919" s="405" t="s">
        <v>26049</v>
      </c>
      <c r="H919" s="405" t="s">
        <v>26050</v>
      </c>
      <c r="I919" s="405" t="s">
        <v>26050</v>
      </c>
      <c r="J919" s="405">
        <v>-8.9455000000000007E-2</v>
      </c>
      <c r="K919" s="405">
        <v>31.442589999999999</v>
      </c>
      <c r="L919" s="405" t="s">
        <v>590</v>
      </c>
      <c r="M919" s="405" t="s">
        <v>343</v>
      </c>
      <c r="N919" s="405" t="s">
        <v>26051</v>
      </c>
      <c r="O919" s="405" t="s">
        <v>26052</v>
      </c>
      <c r="P919" s="405" t="s">
        <v>26053</v>
      </c>
      <c r="Q919" s="411">
        <v>13</v>
      </c>
      <c r="R919" s="405" t="s">
        <v>32166</v>
      </c>
      <c r="S919" s="405" t="s">
        <v>27280</v>
      </c>
      <c r="T919" s="405" t="s">
        <v>32102</v>
      </c>
      <c r="U919" s="405" t="s">
        <v>319</v>
      </c>
    </row>
    <row r="920" spans="1:21" x14ac:dyDescent="0.25">
      <c r="A920" s="405" t="s">
        <v>310</v>
      </c>
      <c r="B920" s="405" t="s">
        <v>8414</v>
      </c>
      <c r="C920" s="405" t="s">
        <v>327</v>
      </c>
      <c r="D920" s="405"/>
      <c r="E920" s="410">
        <v>44094</v>
      </c>
      <c r="F920" s="410">
        <v>44113</v>
      </c>
      <c r="G920" s="405" t="s">
        <v>8415</v>
      </c>
      <c r="H920" s="405" t="s">
        <v>8416</v>
      </c>
      <c r="I920" s="405" t="s">
        <v>8417</v>
      </c>
      <c r="J920" s="405">
        <v>0.35126200000000002</v>
      </c>
      <c r="K920" s="405">
        <v>32.587555000000002</v>
      </c>
      <c r="L920" s="405" t="s">
        <v>314</v>
      </c>
      <c r="M920" s="405" t="s">
        <v>361</v>
      </c>
      <c r="N920" s="405" t="s">
        <v>3398</v>
      </c>
      <c r="O920" s="405" t="s">
        <v>1276</v>
      </c>
      <c r="P920" s="405" t="s">
        <v>376</v>
      </c>
      <c r="Q920" s="411">
        <v>9</v>
      </c>
      <c r="R920" s="405" t="s">
        <v>32157</v>
      </c>
      <c r="S920" s="405" t="s">
        <v>27045</v>
      </c>
      <c r="T920" s="405" t="s">
        <v>32102</v>
      </c>
      <c r="U920" s="405" t="s">
        <v>319</v>
      </c>
    </row>
    <row r="921" spans="1:21" x14ac:dyDescent="0.25">
      <c r="A921" s="405" t="s">
        <v>310</v>
      </c>
      <c r="B921" s="405" t="s">
        <v>8403</v>
      </c>
      <c r="C921" s="405" t="s">
        <v>327</v>
      </c>
      <c r="D921" s="405"/>
      <c r="E921" s="410">
        <v>44094</v>
      </c>
      <c r="F921" s="410">
        <v>44111</v>
      </c>
      <c r="G921" s="405" t="s">
        <v>8404</v>
      </c>
      <c r="H921" s="405" t="s">
        <v>8405</v>
      </c>
      <c r="I921" s="405" t="s">
        <v>8406</v>
      </c>
      <c r="J921" s="405">
        <v>0.53813999999999995</v>
      </c>
      <c r="K921" s="405">
        <v>32.414226999999997</v>
      </c>
      <c r="L921" s="405" t="s">
        <v>314</v>
      </c>
      <c r="M921" s="405" t="s">
        <v>361</v>
      </c>
      <c r="N921" s="405" t="s">
        <v>374</v>
      </c>
      <c r="O921" s="405" t="s">
        <v>361</v>
      </c>
      <c r="P921" s="405" t="s">
        <v>636</v>
      </c>
      <c r="Q921" s="411">
        <v>6</v>
      </c>
      <c r="R921" s="405" t="s">
        <v>32101</v>
      </c>
      <c r="S921" s="405" t="s">
        <v>27275</v>
      </c>
      <c r="T921" s="405" t="s">
        <v>32102</v>
      </c>
      <c r="U921" s="405" t="s">
        <v>319</v>
      </c>
    </row>
    <row r="922" spans="1:21" x14ac:dyDescent="0.25">
      <c r="A922" s="405" t="s">
        <v>310</v>
      </c>
      <c r="B922" s="405" t="s">
        <v>8395</v>
      </c>
      <c r="C922" s="405" t="s">
        <v>327</v>
      </c>
      <c r="D922" s="405"/>
      <c r="E922" s="410">
        <v>44092</v>
      </c>
      <c r="F922" s="410">
        <v>44114</v>
      </c>
      <c r="G922" s="405" t="s">
        <v>8396</v>
      </c>
      <c r="H922" s="405" t="s">
        <v>8397</v>
      </c>
      <c r="I922" s="405" t="s">
        <v>8397</v>
      </c>
      <c r="J922" s="405">
        <v>0.18940499999999999</v>
      </c>
      <c r="K922" s="405">
        <v>31.500218</v>
      </c>
      <c r="L922" s="405" t="s">
        <v>314</v>
      </c>
      <c r="M922" s="405" t="s">
        <v>339</v>
      </c>
      <c r="N922" s="405" t="s">
        <v>1662</v>
      </c>
      <c r="O922" s="405" t="s">
        <v>1662</v>
      </c>
      <c r="P922" s="405" t="s">
        <v>8398</v>
      </c>
      <c r="Q922" s="411">
        <v>13</v>
      </c>
      <c r="R922" s="405" t="s">
        <v>32101</v>
      </c>
      <c r="S922" s="405" t="s">
        <v>27243</v>
      </c>
      <c r="T922" s="405" t="s">
        <v>32102</v>
      </c>
      <c r="U922" s="405" t="s">
        <v>319</v>
      </c>
    </row>
    <row r="923" spans="1:21" x14ac:dyDescent="0.25">
      <c r="A923" s="405" t="s">
        <v>310</v>
      </c>
      <c r="B923" s="405" t="s">
        <v>8385</v>
      </c>
      <c r="C923" s="405" t="s">
        <v>327</v>
      </c>
      <c r="D923" s="405"/>
      <c r="E923" s="410">
        <v>44092</v>
      </c>
      <c r="F923" s="410">
        <v>44112</v>
      </c>
      <c r="G923" s="405" t="s">
        <v>8386</v>
      </c>
      <c r="H923" s="405" t="s">
        <v>8387</v>
      </c>
      <c r="I923" s="405" t="s">
        <v>8387</v>
      </c>
      <c r="J923" s="405">
        <v>0.41764200000000001</v>
      </c>
      <c r="K923" s="405">
        <v>32.426310000000001</v>
      </c>
      <c r="L923" s="405" t="s">
        <v>314</v>
      </c>
      <c r="M923" s="405" t="s">
        <v>361</v>
      </c>
      <c r="N923" s="405" t="s">
        <v>374</v>
      </c>
      <c r="O923" s="405" t="s">
        <v>952</v>
      </c>
      <c r="P923" s="405" t="s">
        <v>7751</v>
      </c>
      <c r="Q923" s="411">
        <v>13</v>
      </c>
      <c r="R923" s="405" t="s">
        <v>32101</v>
      </c>
      <c r="S923" s="405" t="s">
        <v>27034</v>
      </c>
      <c r="T923" s="405" t="s">
        <v>32102</v>
      </c>
      <c r="U923" s="405" t="s">
        <v>319</v>
      </c>
    </row>
    <row r="924" spans="1:21" x14ac:dyDescent="0.25">
      <c r="A924" s="405" t="s">
        <v>310</v>
      </c>
      <c r="B924" s="405" t="s">
        <v>26182</v>
      </c>
      <c r="C924" s="405" t="s">
        <v>327</v>
      </c>
      <c r="D924" s="405"/>
      <c r="E924" s="410">
        <v>44091</v>
      </c>
      <c r="F924" s="410">
        <v>44235</v>
      </c>
      <c r="G924" s="405" t="s">
        <v>26183</v>
      </c>
      <c r="H924" s="405" t="s">
        <v>26184</v>
      </c>
      <c r="I924" s="405" t="s">
        <v>26185</v>
      </c>
      <c r="J924" s="405">
        <v>-0.90152299999999996</v>
      </c>
      <c r="K924" s="405">
        <v>29.682746999999999</v>
      </c>
      <c r="L924" s="405" t="s">
        <v>590</v>
      </c>
      <c r="M924" s="405" t="s">
        <v>20808</v>
      </c>
      <c r="N924" s="405" t="s">
        <v>20808</v>
      </c>
      <c r="O924" s="405" t="s">
        <v>2864</v>
      </c>
      <c r="P924" s="405" t="s">
        <v>26186</v>
      </c>
      <c r="Q924" s="411">
        <v>6</v>
      </c>
      <c r="R924" s="405" t="s">
        <v>6013</v>
      </c>
      <c r="S924" s="405" t="s">
        <v>27439</v>
      </c>
      <c r="T924" s="405" t="s">
        <v>32102</v>
      </c>
      <c r="U924" s="405" t="s">
        <v>319</v>
      </c>
    </row>
    <row r="925" spans="1:21" x14ac:dyDescent="0.25">
      <c r="A925" s="405" t="s">
        <v>310</v>
      </c>
      <c r="B925" s="405" t="s">
        <v>26451</v>
      </c>
      <c r="C925" s="405" t="s">
        <v>311</v>
      </c>
      <c r="D925" s="405" t="s">
        <v>2127</v>
      </c>
      <c r="E925" s="410">
        <v>44090</v>
      </c>
      <c r="F925" s="410">
        <v>44116</v>
      </c>
      <c r="G925" s="405" t="s">
        <v>26452</v>
      </c>
      <c r="H925" s="405" t="s">
        <v>26118</v>
      </c>
      <c r="I925" s="405" t="s">
        <v>26119</v>
      </c>
      <c r="J925" s="405">
        <v>-1.11968</v>
      </c>
      <c r="K925" s="405">
        <v>29.708943000000001</v>
      </c>
      <c r="L925" s="405" t="s">
        <v>590</v>
      </c>
      <c r="M925" s="405" t="s">
        <v>20070</v>
      </c>
      <c r="N925" s="405" t="s">
        <v>26120</v>
      </c>
      <c r="O925" s="405" t="s">
        <v>24115</v>
      </c>
      <c r="P925" s="405" t="s">
        <v>25891</v>
      </c>
      <c r="Q925" s="411">
        <v>9</v>
      </c>
      <c r="R925" s="405" t="s">
        <v>24106</v>
      </c>
      <c r="S925" s="405" t="s">
        <v>27102</v>
      </c>
      <c r="T925" s="405" t="s">
        <v>32102</v>
      </c>
      <c r="U925" s="405" t="s">
        <v>319</v>
      </c>
    </row>
    <row r="926" spans="1:21" x14ac:dyDescent="0.25">
      <c r="A926" s="405" t="s">
        <v>310</v>
      </c>
      <c r="B926" s="405" t="s">
        <v>26028</v>
      </c>
      <c r="C926" s="405" t="s">
        <v>327</v>
      </c>
      <c r="D926" s="405"/>
      <c r="E926" s="410">
        <v>44088</v>
      </c>
      <c r="F926" s="410">
        <v>44094</v>
      </c>
      <c r="G926" s="405" t="s">
        <v>26029</v>
      </c>
      <c r="H926" s="405" t="s">
        <v>26030</v>
      </c>
      <c r="I926" s="405" t="s">
        <v>26030</v>
      </c>
      <c r="J926" s="405">
        <v>-0.58659799999999995</v>
      </c>
      <c r="K926" s="405">
        <v>30.607157000000001</v>
      </c>
      <c r="L926" s="405" t="s">
        <v>590</v>
      </c>
      <c r="M926" s="405" t="s">
        <v>19614</v>
      </c>
      <c r="N926" s="405" t="s">
        <v>26031</v>
      </c>
      <c r="O926" s="405" t="s">
        <v>23356</v>
      </c>
      <c r="P926" s="405" t="s">
        <v>20622</v>
      </c>
      <c r="Q926" s="411">
        <v>9</v>
      </c>
      <c r="R926" s="405" t="s">
        <v>6572</v>
      </c>
      <c r="S926" s="405" t="s">
        <v>27301</v>
      </c>
      <c r="T926" s="405" t="s">
        <v>32102</v>
      </c>
      <c r="U926" s="405" t="s">
        <v>319</v>
      </c>
    </row>
    <row r="927" spans="1:21" x14ac:dyDescent="0.25">
      <c r="A927" s="405" t="s">
        <v>310</v>
      </c>
      <c r="B927" s="405" t="s">
        <v>17419</v>
      </c>
      <c r="C927" s="405" t="s">
        <v>327</v>
      </c>
      <c r="D927" s="405"/>
      <c r="E927" s="410">
        <v>44087</v>
      </c>
      <c r="F927" s="410">
        <v>44118</v>
      </c>
      <c r="G927" s="405" t="s">
        <v>17420</v>
      </c>
      <c r="H927" s="405">
        <v>779111773</v>
      </c>
      <c r="I927" s="405">
        <v>757591140</v>
      </c>
      <c r="J927" s="405">
        <v>0.491983</v>
      </c>
      <c r="K927" s="405">
        <v>33.643977</v>
      </c>
      <c r="L927" s="405" t="s">
        <v>6866</v>
      </c>
      <c r="M927" s="405" t="s">
        <v>5411</v>
      </c>
      <c r="N927" s="405" t="s">
        <v>11239</v>
      </c>
      <c r="O927" s="405" t="s">
        <v>10881</v>
      </c>
      <c r="P927" s="405" t="s">
        <v>11240</v>
      </c>
      <c r="Q927" s="411">
        <v>9</v>
      </c>
      <c r="R927" s="405" t="s">
        <v>32164</v>
      </c>
      <c r="S927" s="405" t="s">
        <v>6822</v>
      </c>
      <c r="T927" s="405" t="s">
        <v>32102</v>
      </c>
      <c r="U927" s="405" t="s">
        <v>319</v>
      </c>
    </row>
    <row r="928" spans="1:21" x14ac:dyDescent="0.25">
      <c r="A928" s="405" t="s">
        <v>310</v>
      </c>
      <c r="B928" s="405" t="s">
        <v>26111</v>
      </c>
      <c r="C928" s="405" t="s">
        <v>327</v>
      </c>
      <c r="D928" s="405"/>
      <c r="E928" s="410">
        <v>44085</v>
      </c>
      <c r="F928" s="410">
        <v>44111</v>
      </c>
      <c r="G928" s="405" t="s">
        <v>26112</v>
      </c>
      <c r="H928" s="405" t="s">
        <v>26113</v>
      </c>
      <c r="I928" s="405" t="s">
        <v>26113</v>
      </c>
      <c r="J928" s="405">
        <v>0.34579500000000002</v>
      </c>
      <c r="K928" s="405">
        <v>32.542774999999999</v>
      </c>
      <c r="L928" s="405" t="s">
        <v>590</v>
      </c>
      <c r="M928" s="405" t="s">
        <v>24733</v>
      </c>
      <c r="N928" s="405" t="s">
        <v>26114</v>
      </c>
      <c r="O928" s="405" t="s">
        <v>26114</v>
      </c>
      <c r="P928" s="405" t="s">
        <v>26115</v>
      </c>
      <c r="Q928" s="411">
        <v>13</v>
      </c>
      <c r="R928" s="405" t="s">
        <v>32157</v>
      </c>
      <c r="S928" s="405" t="s">
        <v>27045</v>
      </c>
      <c r="T928" s="405" t="s">
        <v>32102</v>
      </c>
      <c r="U928" s="405" t="s">
        <v>319</v>
      </c>
    </row>
    <row r="929" spans="1:21" x14ac:dyDescent="0.25">
      <c r="A929" s="405" t="s">
        <v>310</v>
      </c>
      <c r="B929" s="405" t="s">
        <v>18059</v>
      </c>
      <c r="C929" s="405" t="s">
        <v>311</v>
      </c>
      <c r="D929" s="405" t="s">
        <v>18060</v>
      </c>
      <c r="E929" s="410">
        <v>44085</v>
      </c>
      <c r="F929" s="410">
        <v>44105</v>
      </c>
      <c r="G929" s="405" t="s">
        <v>18061</v>
      </c>
      <c r="H929" s="405" t="s">
        <v>18062</v>
      </c>
      <c r="I929" s="405" t="s">
        <v>18062</v>
      </c>
      <c r="J929" s="405">
        <v>1.09267</v>
      </c>
      <c r="K929" s="405">
        <v>34.188220000000001</v>
      </c>
      <c r="L929" s="405" t="s">
        <v>6866</v>
      </c>
      <c r="M929" s="405" t="s">
        <v>9514</v>
      </c>
      <c r="N929" s="405" t="s">
        <v>18063</v>
      </c>
      <c r="O929" s="405" t="s">
        <v>9514</v>
      </c>
      <c r="P929" s="405" t="s">
        <v>18064</v>
      </c>
      <c r="Q929" s="411">
        <v>9</v>
      </c>
      <c r="R929" s="405" t="s">
        <v>17977</v>
      </c>
      <c r="S929" s="405" t="s">
        <v>27357</v>
      </c>
      <c r="T929" s="405" t="s">
        <v>32102</v>
      </c>
      <c r="U929" s="405" t="s">
        <v>319</v>
      </c>
    </row>
    <row r="930" spans="1:21" x14ac:dyDescent="0.25">
      <c r="A930" s="405" t="s">
        <v>310</v>
      </c>
      <c r="B930" s="405" t="s">
        <v>17463</v>
      </c>
      <c r="C930" s="405" t="s">
        <v>327</v>
      </c>
      <c r="D930" s="405"/>
      <c r="E930" s="410">
        <v>44085</v>
      </c>
      <c r="F930" s="410">
        <v>44180</v>
      </c>
      <c r="G930" s="405" t="s">
        <v>17464</v>
      </c>
      <c r="H930" s="405" t="s">
        <v>17465</v>
      </c>
      <c r="I930" s="405" t="s">
        <v>17465</v>
      </c>
      <c r="J930" s="405">
        <v>1.2689029999999999</v>
      </c>
      <c r="K930" s="405">
        <v>34.330582999999997</v>
      </c>
      <c r="L930" s="405" t="s">
        <v>6866</v>
      </c>
      <c r="M930" s="405" t="s">
        <v>9550</v>
      </c>
      <c r="N930" s="405" t="s">
        <v>17319</v>
      </c>
      <c r="O930" s="405" t="s">
        <v>14815</v>
      </c>
      <c r="P930" s="405" t="s">
        <v>17466</v>
      </c>
      <c r="Q930" s="411">
        <v>6</v>
      </c>
      <c r="R930" s="405" t="s">
        <v>17977</v>
      </c>
      <c r="S930" s="405" t="s">
        <v>27259</v>
      </c>
      <c r="T930" s="405" t="s">
        <v>32102</v>
      </c>
      <c r="U930" s="405" t="s">
        <v>319</v>
      </c>
    </row>
    <row r="931" spans="1:21" x14ac:dyDescent="0.25">
      <c r="A931" s="405" t="s">
        <v>310</v>
      </c>
      <c r="B931" s="405" t="s">
        <v>9158</v>
      </c>
      <c r="C931" s="405" t="s">
        <v>311</v>
      </c>
      <c r="D931" s="405" t="s">
        <v>2127</v>
      </c>
      <c r="E931" s="410">
        <v>44084</v>
      </c>
      <c r="F931" s="410">
        <v>44118</v>
      </c>
      <c r="G931" s="405" t="s">
        <v>9159</v>
      </c>
      <c r="H931" s="405">
        <v>779909022</v>
      </c>
      <c r="I931" s="405" t="s">
        <v>2913</v>
      </c>
      <c r="J931" s="405">
        <v>1.954188</v>
      </c>
      <c r="K931" s="405">
        <v>32.142144999999999</v>
      </c>
      <c r="L931" s="405" t="s">
        <v>314</v>
      </c>
      <c r="M931" s="405" t="s">
        <v>591</v>
      </c>
      <c r="N931" s="405" t="s">
        <v>591</v>
      </c>
      <c r="O931" s="405" t="s">
        <v>591</v>
      </c>
      <c r="P931" s="405" t="s">
        <v>591</v>
      </c>
      <c r="Q931" s="411">
        <v>13</v>
      </c>
      <c r="R931" s="405" t="s">
        <v>32101</v>
      </c>
      <c r="S931" s="405" t="s">
        <v>27181</v>
      </c>
      <c r="T931" s="405" t="s">
        <v>32102</v>
      </c>
      <c r="U931" s="405" t="s">
        <v>319</v>
      </c>
    </row>
    <row r="932" spans="1:21" x14ac:dyDescent="0.25">
      <c r="A932" s="405" t="s">
        <v>310</v>
      </c>
      <c r="B932" s="405" t="s">
        <v>26054</v>
      </c>
      <c r="C932" s="405" t="s">
        <v>327</v>
      </c>
      <c r="D932" s="405"/>
      <c r="E932" s="410">
        <v>44084</v>
      </c>
      <c r="F932" s="410">
        <v>44111</v>
      </c>
      <c r="G932" s="405" t="s">
        <v>26055</v>
      </c>
      <c r="H932" s="405">
        <v>782545489</v>
      </c>
      <c r="I932" s="405" t="s">
        <v>26056</v>
      </c>
      <c r="J932" s="405">
        <v>-0.60711999999999999</v>
      </c>
      <c r="K932" s="405">
        <v>30.670051999999998</v>
      </c>
      <c r="L932" s="405" t="s">
        <v>590</v>
      </c>
      <c r="M932" s="405" t="s">
        <v>19725</v>
      </c>
      <c r="N932" s="405" t="s">
        <v>21887</v>
      </c>
      <c r="O932" s="405" t="s">
        <v>20013</v>
      </c>
      <c r="P932" s="405" t="s">
        <v>26057</v>
      </c>
      <c r="Q932" s="411">
        <v>9</v>
      </c>
      <c r="R932" s="405" t="s">
        <v>32166</v>
      </c>
      <c r="S932" s="405" t="s">
        <v>27444</v>
      </c>
      <c r="T932" s="405" t="s">
        <v>32102</v>
      </c>
      <c r="U932" s="405" t="s">
        <v>319</v>
      </c>
    </row>
    <row r="933" spans="1:21" x14ac:dyDescent="0.25">
      <c r="A933" s="405" t="s">
        <v>310</v>
      </c>
      <c r="B933" s="405" t="s">
        <v>27575</v>
      </c>
      <c r="C933" s="405" t="s">
        <v>327</v>
      </c>
      <c r="D933" s="405"/>
      <c r="E933" s="410">
        <v>44083</v>
      </c>
      <c r="F933" s="410">
        <v>44105</v>
      </c>
      <c r="G933" s="405" t="s">
        <v>8418</v>
      </c>
      <c r="H933" s="405" t="s">
        <v>8419</v>
      </c>
      <c r="I933" s="405" t="s">
        <v>8420</v>
      </c>
      <c r="J933" s="405">
        <v>0.420742</v>
      </c>
      <c r="K933" s="405">
        <v>32.560657999999997</v>
      </c>
      <c r="L933" s="405" t="s">
        <v>314</v>
      </c>
      <c r="M933" s="405" t="s">
        <v>361</v>
      </c>
      <c r="N933" s="405" t="s">
        <v>5924</v>
      </c>
      <c r="O933" s="405" t="s">
        <v>5924</v>
      </c>
      <c r="P933" s="405" t="s">
        <v>8421</v>
      </c>
      <c r="Q933" s="411">
        <v>6</v>
      </c>
      <c r="R933" s="405" t="s">
        <v>5903</v>
      </c>
      <c r="S933" s="405" t="s">
        <v>27283</v>
      </c>
      <c r="T933" s="405" t="s">
        <v>32102</v>
      </c>
      <c r="U933" s="405" t="s">
        <v>319</v>
      </c>
    </row>
    <row r="934" spans="1:21" x14ac:dyDescent="0.25">
      <c r="A934" s="405" t="s">
        <v>310</v>
      </c>
      <c r="B934" s="405" t="s">
        <v>8325</v>
      </c>
      <c r="C934" s="405" t="s">
        <v>327</v>
      </c>
      <c r="D934" s="405"/>
      <c r="E934" s="410">
        <v>44082</v>
      </c>
      <c r="F934" s="410">
        <v>44092</v>
      </c>
      <c r="G934" s="405" t="s">
        <v>8326</v>
      </c>
      <c r="H934" s="405" t="s">
        <v>8327</v>
      </c>
      <c r="I934" s="405" t="s">
        <v>8328</v>
      </c>
      <c r="J934" s="405">
        <v>0.28671000000000002</v>
      </c>
      <c r="K934" s="405">
        <v>32.505282999999999</v>
      </c>
      <c r="L934" s="405" t="s">
        <v>314</v>
      </c>
      <c r="M934" s="405" t="s">
        <v>361</v>
      </c>
      <c r="N934" s="405" t="s">
        <v>375</v>
      </c>
      <c r="O934" s="405" t="s">
        <v>1276</v>
      </c>
      <c r="P934" s="405" t="s">
        <v>376</v>
      </c>
      <c r="Q934" s="411">
        <v>12</v>
      </c>
      <c r="R934" s="405" t="s">
        <v>4176</v>
      </c>
      <c r="S934" s="405" t="s">
        <v>27153</v>
      </c>
      <c r="T934" s="405" t="s">
        <v>32212</v>
      </c>
      <c r="U934" s="405" t="s">
        <v>2267</v>
      </c>
    </row>
    <row r="935" spans="1:21" x14ac:dyDescent="0.25">
      <c r="A935" s="405" t="s">
        <v>310</v>
      </c>
      <c r="B935" s="405" t="s">
        <v>8388</v>
      </c>
      <c r="C935" s="405" t="s">
        <v>327</v>
      </c>
      <c r="D935" s="405"/>
      <c r="E935" s="410">
        <v>44081</v>
      </c>
      <c r="F935" s="410">
        <v>44114</v>
      </c>
      <c r="G935" s="405" t="s">
        <v>8389</v>
      </c>
      <c r="H935" s="405" t="s">
        <v>8390</v>
      </c>
      <c r="I935" s="405" t="s">
        <v>8390</v>
      </c>
      <c r="J935" s="405">
        <v>0.23216200000000001</v>
      </c>
      <c r="K935" s="405">
        <v>31.701038</v>
      </c>
      <c r="L935" s="405" t="s">
        <v>314</v>
      </c>
      <c r="M935" s="405" t="s">
        <v>339</v>
      </c>
      <c r="N935" s="405" t="s">
        <v>1662</v>
      </c>
      <c r="O935" s="405" t="s">
        <v>1662</v>
      </c>
      <c r="P935" s="405" t="s">
        <v>7904</v>
      </c>
      <c r="Q935" s="411">
        <v>13</v>
      </c>
      <c r="R935" s="405" t="s">
        <v>32101</v>
      </c>
      <c r="S935" s="405" t="s">
        <v>27243</v>
      </c>
      <c r="T935" s="405" t="s">
        <v>32102</v>
      </c>
      <c r="U935" s="405" t="s">
        <v>319</v>
      </c>
    </row>
    <row r="936" spans="1:21" x14ac:dyDescent="0.25">
      <c r="A936" s="405" t="s">
        <v>310</v>
      </c>
      <c r="B936" s="405" t="s">
        <v>8381</v>
      </c>
      <c r="C936" s="405" t="s">
        <v>327</v>
      </c>
      <c r="D936" s="405"/>
      <c r="E936" s="410">
        <v>44080</v>
      </c>
      <c r="F936" s="410">
        <v>44117</v>
      </c>
      <c r="G936" s="405" t="s">
        <v>8382</v>
      </c>
      <c r="H936" s="405" t="s">
        <v>8383</v>
      </c>
      <c r="I936" s="405"/>
      <c r="J936" s="405">
        <v>2.2248E-2</v>
      </c>
      <c r="K936" s="405">
        <v>32.013249999999999</v>
      </c>
      <c r="L936" s="405" t="s">
        <v>314</v>
      </c>
      <c r="M936" s="405" t="s">
        <v>321</v>
      </c>
      <c r="N936" s="405" t="s">
        <v>6512</v>
      </c>
      <c r="O936" s="405" t="s">
        <v>2436</v>
      </c>
      <c r="P936" s="405" t="s">
        <v>8384</v>
      </c>
      <c r="Q936" s="411">
        <v>6</v>
      </c>
      <c r="R936" s="405" t="s">
        <v>32101</v>
      </c>
      <c r="S936" s="405" t="s">
        <v>27193</v>
      </c>
      <c r="T936" s="405" t="s">
        <v>32102</v>
      </c>
      <c r="U936" s="405" t="s">
        <v>319</v>
      </c>
    </row>
    <row r="937" spans="1:21" x14ac:dyDescent="0.25">
      <c r="A937" s="405" t="s">
        <v>310</v>
      </c>
      <c r="B937" s="405" t="s">
        <v>26024</v>
      </c>
      <c r="C937" s="405" t="s">
        <v>327</v>
      </c>
      <c r="D937" s="405"/>
      <c r="E937" s="410">
        <v>44079</v>
      </c>
      <c r="F937" s="410">
        <v>44089</v>
      </c>
      <c r="G937" s="405" t="s">
        <v>26025</v>
      </c>
      <c r="H937" s="405">
        <v>702912839</v>
      </c>
      <c r="I937" s="405" t="s">
        <v>26026</v>
      </c>
      <c r="J937" s="405">
        <v>-0.65521700000000005</v>
      </c>
      <c r="K937" s="405">
        <v>30.714572</v>
      </c>
      <c r="L937" s="405" t="s">
        <v>590</v>
      </c>
      <c r="M937" s="405" t="s">
        <v>879</v>
      </c>
      <c r="N937" s="405" t="s">
        <v>26027</v>
      </c>
      <c r="O937" s="405" t="s">
        <v>881</v>
      </c>
      <c r="P937" s="405" t="s">
        <v>24949</v>
      </c>
      <c r="Q937" s="411">
        <v>13</v>
      </c>
      <c r="R937" s="405" t="s">
        <v>6572</v>
      </c>
      <c r="S937" s="405" t="s">
        <v>27065</v>
      </c>
      <c r="T937" s="405" t="s">
        <v>32102</v>
      </c>
      <c r="U937" s="405" t="s">
        <v>319</v>
      </c>
    </row>
    <row r="938" spans="1:21" x14ac:dyDescent="0.25">
      <c r="A938" s="405" t="s">
        <v>310</v>
      </c>
      <c r="B938" s="405" t="s">
        <v>17415</v>
      </c>
      <c r="C938" s="405" t="s">
        <v>327</v>
      </c>
      <c r="D938" s="405"/>
      <c r="E938" s="410">
        <v>44079</v>
      </c>
      <c r="F938" s="410">
        <v>44089</v>
      </c>
      <c r="G938" s="405" t="s">
        <v>17416</v>
      </c>
      <c r="H938" s="405">
        <v>781075733</v>
      </c>
      <c r="I938" s="405" t="s">
        <v>17417</v>
      </c>
      <c r="J938" s="405">
        <v>1.2779830000000001</v>
      </c>
      <c r="K938" s="405">
        <v>34.322282000000001</v>
      </c>
      <c r="L938" s="405" t="s">
        <v>6866</v>
      </c>
      <c r="M938" s="405" t="s">
        <v>9550</v>
      </c>
      <c r="N938" s="405" t="s">
        <v>17319</v>
      </c>
      <c r="O938" s="405" t="s">
        <v>14815</v>
      </c>
      <c r="P938" s="405" t="s">
        <v>17418</v>
      </c>
      <c r="Q938" s="411">
        <v>6</v>
      </c>
      <c r="R938" s="405" t="s">
        <v>17977</v>
      </c>
      <c r="S938" s="405" t="s">
        <v>27259</v>
      </c>
      <c r="T938" s="405" t="s">
        <v>32102</v>
      </c>
      <c r="U938" s="405" t="s">
        <v>319</v>
      </c>
    </row>
    <row r="939" spans="1:21" x14ac:dyDescent="0.25">
      <c r="A939" s="405" t="s">
        <v>310</v>
      </c>
      <c r="B939" s="405" t="s">
        <v>17401</v>
      </c>
      <c r="C939" s="405" t="s">
        <v>327</v>
      </c>
      <c r="D939" s="405"/>
      <c r="E939" s="410">
        <v>44078</v>
      </c>
      <c r="F939" s="410">
        <v>44088</v>
      </c>
      <c r="G939" s="405" t="s">
        <v>17402</v>
      </c>
      <c r="H939" s="405">
        <v>752700202</v>
      </c>
      <c r="I939" s="405">
        <v>752700202</v>
      </c>
      <c r="J939" s="405">
        <v>0.35161999999999999</v>
      </c>
      <c r="K939" s="405">
        <v>32.587797999999999</v>
      </c>
      <c r="L939" s="405" t="s">
        <v>6866</v>
      </c>
      <c r="M939" s="405" t="s">
        <v>10853</v>
      </c>
      <c r="N939" s="405" t="s">
        <v>10853</v>
      </c>
      <c r="O939" s="405" t="s">
        <v>17403</v>
      </c>
      <c r="P939" s="405" t="s">
        <v>15632</v>
      </c>
      <c r="Q939" s="411">
        <v>13</v>
      </c>
      <c r="R939" s="405" t="s">
        <v>32157</v>
      </c>
      <c r="S939" s="405" t="s">
        <v>27054</v>
      </c>
      <c r="T939" s="405" t="s">
        <v>32102</v>
      </c>
      <c r="U939" s="405" t="s">
        <v>319</v>
      </c>
    </row>
    <row r="940" spans="1:21" x14ac:dyDescent="0.25">
      <c r="A940" s="405" t="s">
        <v>310</v>
      </c>
      <c r="B940" s="405" t="s">
        <v>26126</v>
      </c>
      <c r="C940" s="405" t="s">
        <v>327</v>
      </c>
      <c r="D940" s="405"/>
      <c r="E940" s="410">
        <v>44078</v>
      </c>
      <c r="F940" s="410">
        <v>44146</v>
      </c>
      <c r="G940" s="405" t="s">
        <v>26127</v>
      </c>
      <c r="H940" s="405" t="s">
        <v>26128</v>
      </c>
      <c r="I940" s="405" t="s">
        <v>26129</v>
      </c>
      <c r="J940" s="405">
        <v>1.689282</v>
      </c>
      <c r="K940" s="405">
        <v>31.694566999999999</v>
      </c>
      <c r="L940" s="405" t="s">
        <v>590</v>
      </c>
      <c r="M940" s="405" t="s">
        <v>26130</v>
      </c>
      <c r="N940" s="405" t="s">
        <v>19783</v>
      </c>
      <c r="O940" s="405" t="s">
        <v>13002</v>
      </c>
      <c r="P940" s="405" t="s">
        <v>26131</v>
      </c>
      <c r="Q940" s="411">
        <v>9</v>
      </c>
      <c r="R940" s="405" t="s">
        <v>6397</v>
      </c>
      <c r="S940" s="405" t="s">
        <v>22880</v>
      </c>
      <c r="T940" s="405" t="s">
        <v>32102</v>
      </c>
      <c r="U940" s="405" t="s">
        <v>319</v>
      </c>
    </row>
    <row r="941" spans="1:21" x14ac:dyDescent="0.25">
      <c r="A941" s="405" t="s">
        <v>310</v>
      </c>
      <c r="B941" s="405" t="s">
        <v>26116</v>
      </c>
      <c r="C941" s="405" t="s">
        <v>327</v>
      </c>
      <c r="D941" s="405"/>
      <c r="E941" s="410">
        <v>44078</v>
      </c>
      <c r="F941" s="410">
        <v>44116</v>
      </c>
      <c r="G941" s="405" t="s">
        <v>26117</v>
      </c>
      <c r="H941" s="405" t="s">
        <v>26118</v>
      </c>
      <c r="I941" s="405" t="s">
        <v>26119</v>
      </c>
      <c r="J941" s="405">
        <v>-1.119818</v>
      </c>
      <c r="K941" s="405">
        <v>29.708393000000001</v>
      </c>
      <c r="L941" s="405" t="s">
        <v>590</v>
      </c>
      <c r="M941" s="405" t="s">
        <v>20070</v>
      </c>
      <c r="N941" s="405" t="s">
        <v>26120</v>
      </c>
      <c r="O941" s="405" t="s">
        <v>21947</v>
      </c>
      <c r="P941" s="405" t="s">
        <v>25891</v>
      </c>
      <c r="Q941" s="411">
        <v>6</v>
      </c>
      <c r="R941" s="405" t="s">
        <v>24106</v>
      </c>
      <c r="S941" s="405" t="s">
        <v>27102</v>
      </c>
      <c r="T941" s="405" t="s">
        <v>32102</v>
      </c>
      <c r="U941" s="405" t="s">
        <v>319</v>
      </c>
    </row>
    <row r="942" spans="1:21" x14ac:dyDescent="0.25">
      <c r="A942" s="405" t="s">
        <v>310</v>
      </c>
      <c r="B942" s="405" t="s">
        <v>26015</v>
      </c>
      <c r="C942" s="405" t="s">
        <v>327</v>
      </c>
      <c r="D942" s="405"/>
      <c r="E942" s="410">
        <v>44078</v>
      </c>
      <c r="F942" s="410">
        <v>44091</v>
      </c>
      <c r="G942" s="405" t="s">
        <v>26016</v>
      </c>
      <c r="H942" s="405">
        <v>777679110</v>
      </c>
      <c r="I942" s="405" t="s">
        <v>26017</v>
      </c>
      <c r="J942" s="405">
        <v>-0.64207499999999995</v>
      </c>
      <c r="K942" s="405">
        <v>30.503060000000001</v>
      </c>
      <c r="L942" s="405" t="s">
        <v>590</v>
      </c>
      <c r="M942" s="405" t="s">
        <v>19659</v>
      </c>
      <c r="N942" s="405" t="s">
        <v>19664</v>
      </c>
      <c r="O942" s="405" t="s">
        <v>19701</v>
      </c>
      <c r="P942" s="405" t="s">
        <v>24905</v>
      </c>
      <c r="Q942" s="411">
        <v>6</v>
      </c>
      <c r="R942" s="405" t="s">
        <v>32166</v>
      </c>
      <c r="S942" s="405" t="s">
        <v>27444</v>
      </c>
      <c r="T942" s="405" t="s">
        <v>32102</v>
      </c>
      <c r="U942" s="405" t="s">
        <v>319</v>
      </c>
    </row>
    <row r="943" spans="1:21" x14ac:dyDescent="0.25">
      <c r="A943" s="405" t="s">
        <v>310</v>
      </c>
      <c r="B943" s="405" t="s">
        <v>26020</v>
      </c>
      <c r="C943" s="405" t="s">
        <v>327</v>
      </c>
      <c r="D943" s="405"/>
      <c r="E943" s="410">
        <v>44077</v>
      </c>
      <c r="F943" s="410">
        <v>44081</v>
      </c>
      <c r="G943" s="405" t="s">
        <v>26021</v>
      </c>
      <c r="H943" s="405">
        <v>771875889</v>
      </c>
      <c r="I943" s="405" t="s">
        <v>2913</v>
      </c>
      <c r="J943" s="405">
        <v>-0.61985999999999997</v>
      </c>
      <c r="K943" s="405">
        <v>29.988897000000001</v>
      </c>
      <c r="L943" s="405" t="s">
        <v>590</v>
      </c>
      <c r="M943" s="405" t="s">
        <v>20032</v>
      </c>
      <c r="N943" s="405" t="s">
        <v>20033</v>
      </c>
      <c r="O943" s="405" t="s">
        <v>26022</v>
      </c>
      <c r="P943" s="405" t="s">
        <v>26023</v>
      </c>
      <c r="Q943" s="411">
        <v>9</v>
      </c>
      <c r="R943" s="405" t="s">
        <v>6572</v>
      </c>
      <c r="S943" s="405" t="s">
        <v>27301</v>
      </c>
      <c r="T943" s="405" t="s">
        <v>32102</v>
      </c>
      <c r="U943" s="405" t="s">
        <v>319</v>
      </c>
    </row>
    <row r="944" spans="1:21" x14ac:dyDescent="0.25">
      <c r="A944" s="405" t="s">
        <v>310</v>
      </c>
      <c r="B944" s="405" t="s">
        <v>29</v>
      </c>
      <c r="C944" s="405" t="s">
        <v>327</v>
      </c>
      <c r="D944" s="405"/>
      <c r="E944" s="410">
        <v>44076</v>
      </c>
      <c r="F944" s="410">
        <v>44095</v>
      </c>
      <c r="G944" s="405" t="s">
        <v>8358</v>
      </c>
      <c r="H944" s="405" t="s">
        <v>8359</v>
      </c>
      <c r="I944" s="405" t="s">
        <v>8359</v>
      </c>
      <c r="J944" s="405">
        <v>0.21865499999999999</v>
      </c>
      <c r="K944" s="405">
        <v>32.322727</v>
      </c>
      <c r="L944" s="405" t="s">
        <v>314</v>
      </c>
      <c r="M944" s="405" t="s">
        <v>321</v>
      </c>
      <c r="N944" s="405" t="s">
        <v>1244</v>
      </c>
      <c r="O944" s="405" t="s">
        <v>8360</v>
      </c>
      <c r="P944" s="405" t="s">
        <v>8361</v>
      </c>
      <c r="Q944" s="411">
        <v>6</v>
      </c>
      <c r="R944" s="405" t="s">
        <v>32101</v>
      </c>
      <c r="S944" s="405" t="s">
        <v>27041</v>
      </c>
      <c r="T944" s="405" t="s">
        <v>32102</v>
      </c>
      <c r="U944" s="405" t="s">
        <v>319</v>
      </c>
    </row>
    <row r="945" spans="1:21" x14ac:dyDescent="0.25">
      <c r="A945" s="405" t="s">
        <v>310</v>
      </c>
      <c r="B945" s="405" t="s">
        <v>9123</v>
      </c>
      <c r="C945" s="405" t="s">
        <v>311</v>
      </c>
      <c r="D945" s="405" t="s">
        <v>2127</v>
      </c>
      <c r="E945" s="410">
        <v>44075</v>
      </c>
      <c r="F945" s="410">
        <v>44089</v>
      </c>
      <c r="G945" s="405" t="s">
        <v>9124</v>
      </c>
      <c r="H945" s="405" t="s">
        <v>9125</v>
      </c>
      <c r="I945" s="405" t="s">
        <v>9126</v>
      </c>
      <c r="J945" s="405">
        <v>0.42149700000000001</v>
      </c>
      <c r="K945" s="405">
        <v>33.190452999999998</v>
      </c>
      <c r="L945" s="405" t="s">
        <v>314</v>
      </c>
      <c r="M945" s="405" t="s">
        <v>349</v>
      </c>
      <c r="N945" s="405" t="s">
        <v>9127</v>
      </c>
      <c r="O945" s="405" t="s">
        <v>7426</v>
      </c>
      <c r="P945" s="405" t="s">
        <v>9128</v>
      </c>
      <c r="Q945" s="411">
        <v>9</v>
      </c>
      <c r="R945" s="405" t="s">
        <v>4176</v>
      </c>
      <c r="S945" s="405" t="s">
        <v>6822</v>
      </c>
      <c r="T945" s="405" t="s">
        <v>32102</v>
      </c>
      <c r="U945" s="405" t="s">
        <v>319</v>
      </c>
    </row>
    <row r="946" spans="1:21" x14ac:dyDescent="0.25">
      <c r="A946" s="405" t="s">
        <v>310</v>
      </c>
      <c r="B946" s="405" t="s">
        <v>17412</v>
      </c>
      <c r="C946" s="405" t="s">
        <v>327</v>
      </c>
      <c r="D946" s="405"/>
      <c r="E946" s="410">
        <v>44075</v>
      </c>
      <c r="F946" s="410">
        <v>44079</v>
      </c>
      <c r="G946" s="405" t="s">
        <v>17413</v>
      </c>
      <c r="H946" s="405">
        <v>779724509</v>
      </c>
      <c r="I946" s="405" t="s">
        <v>17414</v>
      </c>
      <c r="J946" s="405">
        <v>1.2715000000000001</v>
      </c>
      <c r="K946" s="405">
        <v>34.323712999999998</v>
      </c>
      <c r="L946" s="405" t="s">
        <v>6866</v>
      </c>
      <c r="M946" s="405" t="s">
        <v>9550</v>
      </c>
      <c r="N946" s="405" t="s">
        <v>17319</v>
      </c>
      <c r="O946" s="405" t="s">
        <v>14815</v>
      </c>
      <c r="P946" s="405" t="s">
        <v>16478</v>
      </c>
      <c r="Q946" s="411">
        <v>6</v>
      </c>
      <c r="R946" s="405" t="s">
        <v>17977</v>
      </c>
      <c r="S946" s="405" t="s">
        <v>27259</v>
      </c>
      <c r="T946" s="405" t="s">
        <v>32102</v>
      </c>
      <c r="U946" s="405" t="s">
        <v>319</v>
      </c>
    </row>
    <row r="947" spans="1:21" x14ac:dyDescent="0.25">
      <c r="A947" s="405" t="s">
        <v>310</v>
      </c>
      <c r="B947" s="405" t="s">
        <v>17408</v>
      </c>
      <c r="C947" s="405" t="s">
        <v>327</v>
      </c>
      <c r="D947" s="405"/>
      <c r="E947" s="410">
        <v>44070</v>
      </c>
      <c r="F947" s="410">
        <v>44079</v>
      </c>
      <c r="G947" s="405" t="s">
        <v>17409</v>
      </c>
      <c r="H947" s="405">
        <v>752979582</v>
      </c>
      <c r="I947" s="405" t="s">
        <v>17410</v>
      </c>
      <c r="J947" s="405">
        <v>1.26084</v>
      </c>
      <c r="K947" s="405">
        <v>34.332662999999997</v>
      </c>
      <c r="L947" s="405" t="s">
        <v>6866</v>
      </c>
      <c r="M947" s="405" t="s">
        <v>9550</v>
      </c>
      <c r="N947" s="405" t="s">
        <v>17319</v>
      </c>
      <c r="O947" s="405" t="s">
        <v>14815</v>
      </c>
      <c r="P947" s="405" t="s">
        <v>17411</v>
      </c>
      <c r="Q947" s="411">
        <v>6</v>
      </c>
      <c r="R947" s="405" t="s">
        <v>17977</v>
      </c>
      <c r="S947" s="405" t="s">
        <v>27259</v>
      </c>
      <c r="T947" s="405" t="s">
        <v>32102</v>
      </c>
      <c r="U947" s="405" t="s">
        <v>319</v>
      </c>
    </row>
    <row r="948" spans="1:21" x14ac:dyDescent="0.25">
      <c r="A948" s="405" t="s">
        <v>310</v>
      </c>
      <c r="B948" s="405" t="s">
        <v>8333</v>
      </c>
      <c r="C948" s="405" t="s">
        <v>327</v>
      </c>
      <c r="D948" s="405"/>
      <c r="E948" s="410">
        <v>44068</v>
      </c>
      <c r="F948" s="410">
        <v>44089</v>
      </c>
      <c r="G948" s="405" t="s">
        <v>8334</v>
      </c>
      <c r="H948" s="405" t="s">
        <v>8335</v>
      </c>
      <c r="I948" s="405" t="s">
        <v>2913</v>
      </c>
      <c r="J948" s="405">
        <v>0.30203999999999998</v>
      </c>
      <c r="K948" s="405">
        <v>32.533737000000002</v>
      </c>
      <c r="L948" s="405" t="s">
        <v>314</v>
      </c>
      <c r="M948" s="405" t="s">
        <v>445</v>
      </c>
      <c r="N948" s="405" t="s">
        <v>2528</v>
      </c>
      <c r="O948" s="405" t="s">
        <v>6636</v>
      </c>
      <c r="P948" s="405" t="s">
        <v>8336</v>
      </c>
      <c r="Q948" s="411">
        <v>13</v>
      </c>
      <c r="R948" s="405" t="s">
        <v>4176</v>
      </c>
      <c r="S948" s="405" t="s">
        <v>27053</v>
      </c>
      <c r="T948" s="405" t="s">
        <v>32102</v>
      </c>
      <c r="U948" s="405" t="s">
        <v>319</v>
      </c>
    </row>
    <row r="949" spans="1:21" x14ac:dyDescent="0.25">
      <c r="A949" s="405" t="s">
        <v>310</v>
      </c>
      <c r="B949" s="405" t="s">
        <v>18048</v>
      </c>
      <c r="C949" s="405" t="s">
        <v>311</v>
      </c>
      <c r="D949" s="405" t="s">
        <v>2127</v>
      </c>
      <c r="E949" s="410">
        <v>44067</v>
      </c>
      <c r="F949" s="410">
        <v>44092</v>
      </c>
      <c r="G949" s="405" t="s">
        <v>18049</v>
      </c>
      <c r="H949" s="405">
        <v>787747258</v>
      </c>
      <c r="I949" s="405">
        <v>787747258</v>
      </c>
      <c r="J949" s="405">
        <v>0.52011099999999999</v>
      </c>
      <c r="K949" s="405">
        <v>33.350192999999997</v>
      </c>
      <c r="L949" s="405" t="s">
        <v>6866</v>
      </c>
      <c r="M949" s="405" t="s">
        <v>5411</v>
      </c>
      <c r="N949" s="405" t="s">
        <v>17092</v>
      </c>
      <c r="O949" s="405" t="s">
        <v>10577</v>
      </c>
      <c r="P949" s="405" t="s">
        <v>18050</v>
      </c>
      <c r="Q949" s="411">
        <v>9</v>
      </c>
      <c r="R949" s="405" t="s">
        <v>32164</v>
      </c>
      <c r="S949" s="405" t="s">
        <v>27054</v>
      </c>
      <c r="T949" s="405" t="s">
        <v>32102</v>
      </c>
      <c r="U949" s="405" t="s">
        <v>319</v>
      </c>
    </row>
    <row r="950" spans="1:21" x14ac:dyDescent="0.25">
      <c r="A950" s="405" t="s">
        <v>310</v>
      </c>
      <c r="B950" s="405" t="s">
        <v>25987</v>
      </c>
      <c r="C950" s="405" t="s">
        <v>327</v>
      </c>
      <c r="D950" s="405"/>
      <c r="E950" s="410">
        <v>44067</v>
      </c>
      <c r="F950" s="410">
        <v>44072</v>
      </c>
      <c r="G950" s="405" t="s">
        <v>25988</v>
      </c>
      <c r="H950" s="405">
        <v>777133528</v>
      </c>
      <c r="I950" s="405" t="s">
        <v>25744</v>
      </c>
      <c r="J950" s="405">
        <v>-0.88332999999999995</v>
      </c>
      <c r="K950" s="405">
        <v>29.769321999999999</v>
      </c>
      <c r="L950" s="405" t="s">
        <v>590</v>
      </c>
      <c r="M950" s="405" t="s">
        <v>20808</v>
      </c>
      <c r="N950" s="405" t="s">
        <v>23390</v>
      </c>
      <c r="O950" s="405" t="s">
        <v>24811</v>
      </c>
      <c r="P950" s="405" t="s">
        <v>25273</v>
      </c>
      <c r="Q950" s="411">
        <v>9</v>
      </c>
      <c r="R950" s="405" t="s">
        <v>6572</v>
      </c>
      <c r="S950" s="405" t="s">
        <v>27401</v>
      </c>
      <c r="T950" s="405" t="s">
        <v>32102</v>
      </c>
      <c r="U950" s="405" t="s">
        <v>319</v>
      </c>
    </row>
    <row r="951" spans="1:21" x14ac:dyDescent="0.25">
      <c r="A951" s="405" t="s">
        <v>310</v>
      </c>
      <c r="B951" s="405" t="s">
        <v>26012</v>
      </c>
      <c r="C951" s="405" t="s">
        <v>327</v>
      </c>
      <c r="D951" s="405"/>
      <c r="E951" s="410">
        <v>44067</v>
      </c>
      <c r="F951" s="410">
        <v>44071</v>
      </c>
      <c r="G951" s="405" t="s">
        <v>26013</v>
      </c>
      <c r="H951" s="405">
        <v>772475737</v>
      </c>
      <c r="I951" s="405" t="s">
        <v>2913</v>
      </c>
      <c r="J951" s="405">
        <v>-1.2313430000000001</v>
      </c>
      <c r="K951" s="405">
        <v>29.708202</v>
      </c>
      <c r="L951" s="405" t="s">
        <v>590</v>
      </c>
      <c r="M951" s="405" t="s">
        <v>20070</v>
      </c>
      <c r="N951" s="405" t="s">
        <v>25919</v>
      </c>
      <c r="O951" s="405" t="s">
        <v>24104</v>
      </c>
      <c r="P951" s="405" t="s">
        <v>26014</v>
      </c>
      <c r="Q951" s="411">
        <v>6</v>
      </c>
      <c r="R951" s="405" t="s">
        <v>24106</v>
      </c>
      <c r="S951" s="405" t="s">
        <v>27102</v>
      </c>
      <c r="T951" s="405" t="s">
        <v>32102</v>
      </c>
      <c r="U951" s="405" t="s">
        <v>319</v>
      </c>
    </row>
    <row r="952" spans="1:21" x14ac:dyDescent="0.25">
      <c r="A952" s="405" t="s">
        <v>310</v>
      </c>
      <c r="B952" s="405" t="s">
        <v>8346</v>
      </c>
      <c r="C952" s="405" t="s">
        <v>327</v>
      </c>
      <c r="D952" s="405"/>
      <c r="E952" s="410">
        <v>44066</v>
      </c>
      <c r="F952" s="410">
        <v>44088</v>
      </c>
      <c r="G952" s="405" t="s">
        <v>8347</v>
      </c>
      <c r="H952" s="405">
        <v>702965585</v>
      </c>
      <c r="I952" s="405" t="s">
        <v>8348</v>
      </c>
      <c r="J952" s="405">
        <v>0.215222</v>
      </c>
      <c r="K952" s="405">
        <v>32.511586999999999</v>
      </c>
      <c r="L952" s="405" t="s">
        <v>314</v>
      </c>
      <c r="M952" s="405" t="s">
        <v>361</v>
      </c>
      <c r="N952" s="405" t="s">
        <v>374</v>
      </c>
      <c r="O952" s="405" t="s">
        <v>8349</v>
      </c>
      <c r="P952" s="405" t="s">
        <v>8350</v>
      </c>
      <c r="Q952" s="411">
        <v>13</v>
      </c>
      <c r="R952" s="405" t="s">
        <v>4176</v>
      </c>
      <c r="S952" s="405" t="s">
        <v>27069</v>
      </c>
      <c r="T952" s="405" t="s">
        <v>32102</v>
      </c>
      <c r="U952" s="405" t="s">
        <v>319</v>
      </c>
    </row>
    <row r="953" spans="1:21" x14ac:dyDescent="0.25">
      <c r="A953" s="405" t="s">
        <v>310</v>
      </c>
      <c r="B953" s="405" t="s">
        <v>8355</v>
      </c>
      <c r="C953" s="405" t="s">
        <v>327</v>
      </c>
      <c r="D953" s="405"/>
      <c r="E953" s="410">
        <v>44065</v>
      </c>
      <c r="F953" s="410">
        <v>44078</v>
      </c>
      <c r="G953" s="405" t="s">
        <v>8356</v>
      </c>
      <c r="H953" s="405" t="s">
        <v>8357</v>
      </c>
      <c r="I953" s="405"/>
      <c r="J953" s="405">
        <v>0.26363300000000001</v>
      </c>
      <c r="K953" s="405">
        <v>32.864173000000001</v>
      </c>
      <c r="L953" s="405" t="s">
        <v>314</v>
      </c>
      <c r="M953" s="405" t="s">
        <v>329</v>
      </c>
      <c r="N953" s="405" t="s">
        <v>329</v>
      </c>
      <c r="O953" s="405" t="s">
        <v>653</v>
      </c>
      <c r="P953" s="405" t="s">
        <v>4760</v>
      </c>
      <c r="Q953" s="411">
        <v>13</v>
      </c>
      <c r="R953" s="405" t="s">
        <v>32101</v>
      </c>
      <c r="S953" s="405" t="s">
        <v>27041</v>
      </c>
      <c r="T953" s="405" t="s">
        <v>32102</v>
      </c>
      <c r="U953" s="405" t="s">
        <v>319</v>
      </c>
    </row>
    <row r="954" spans="1:21" x14ac:dyDescent="0.25">
      <c r="A954" s="405" t="s">
        <v>310</v>
      </c>
      <c r="B954" s="405" t="s">
        <v>26352</v>
      </c>
      <c r="C954" s="405" t="s">
        <v>311</v>
      </c>
      <c r="D954" s="405" t="s">
        <v>6019</v>
      </c>
      <c r="E954" s="410">
        <v>44063</v>
      </c>
      <c r="F954" s="410">
        <v>44079</v>
      </c>
      <c r="G954" s="405" t="s">
        <v>26353</v>
      </c>
      <c r="H954" s="405" t="s">
        <v>26354</v>
      </c>
      <c r="I954" s="405" t="s">
        <v>2913</v>
      </c>
      <c r="J954" s="405">
        <v>-0.73735499999999998</v>
      </c>
      <c r="K954" s="405">
        <v>29.981652</v>
      </c>
      <c r="L954" s="405" t="s">
        <v>590</v>
      </c>
      <c r="M954" s="405" t="s">
        <v>19619</v>
      </c>
      <c r="N954" s="405" t="s">
        <v>19793</v>
      </c>
      <c r="O954" s="405" t="s">
        <v>24612</v>
      </c>
      <c r="P954" s="405" t="s">
        <v>26355</v>
      </c>
      <c r="Q954" s="411">
        <v>9</v>
      </c>
      <c r="R954" s="405" t="s">
        <v>5858</v>
      </c>
      <c r="S954" s="405" t="s">
        <v>27098</v>
      </c>
      <c r="T954" s="405" t="s">
        <v>32102</v>
      </c>
      <c r="U954" s="405" t="s">
        <v>319</v>
      </c>
    </row>
    <row r="955" spans="1:21" x14ac:dyDescent="0.25">
      <c r="A955" s="405" t="s">
        <v>310</v>
      </c>
      <c r="B955" s="405" t="s">
        <v>26002</v>
      </c>
      <c r="C955" s="405" t="s">
        <v>327</v>
      </c>
      <c r="D955" s="405"/>
      <c r="E955" s="410">
        <v>44063</v>
      </c>
      <c r="F955" s="410">
        <v>44073</v>
      </c>
      <c r="G955" s="405" t="s">
        <v>26003</v>
      </c>
      <c r="H955" s="405" t="s">
        <v>26004</v>
      </c>
      <c r="I955" s="405" t="s">
        <v>26005</v>
      </c>
      <c r="J955" s="405">
        <v>0.64552699999999996</v>
      </c>
      <c r="K955" s="405">
        <v>30.323246999999999</v>
      </c>
      <c r="L955" s="405" t="s">
        <v>590</v>
      </c>
      <c r="M955" s="405" t="s">
        <v>20125</v>
      </c>
      <c r="N955" s="405" t="s">
        <v>2958</v>
      </c>
      <c r="O955" s="405" t="s">
        <v>4327</v>
      </c>
      <c r="P955" s="405" t="s">
        <v>26006</v>
      </c>
      <c r="Q955" s="411">
        <v>9</v>
      </c>
      <c r="R955" s="405" t="s">
        <v>6013</v>
      </c>
      <c r="S955" s="405" t="s">
        <v>27205</v>
      </c>
      <c r="T955" s="405" t="s">
        <v>6551</v>
      </c>
      <c r="U955" s="405" t="s">
        <v>2267</v>
      </c>
    </row>
    <row r="956" spans="1:21" x14ac:dyDescent="0.25">
      <c r="A956" s="405" t="s">
        <v>310</v>
      </c>
      <c r="B956" s="405" t="s">
        <v>26098</v>
      </c>
      <c r="C956" s="405" t="s">
        <v>327</v>
      </c>
      <c r="D956" s="405"/>
      <c r="E956" s="410">
        <v>44062</v>
      </c>
      <c r="F956" s="410">
        <v>44116</v>
      </c>
      <c r="G956" s="405" t="s">
        <v>26099</v>
      </c>
      <c r="H956" s="405" t="s">
        <v>26100</v>
      </c>
      <c r="I956" s="405" t="s">
        <v>26101</v>
      </c>
      <c r="J956" s="405">
        <v>-0.60675999999999997</v>
      </c>
      <c r="K956" s="405">
        <v>30.640136999999999</v>
      </c>
      <c r="L956" s="405" t="s">
        <v>590</v>
      </c>
      <c r="M956" s="405" t="s">
        <v>19614</v>
      </c>
      <c r="N956" s="405" t="s">
        <v>19893</v>
      </c>
      <c r="O956" s="405" t="s">
        <v>19614</v>
      </c>
      <c r="P956" s="405" t="s">
        <v>2583</v>
      </c>
      <c r="Q956" s="411">
        <v>13</v>
      </c>
      <c r="R956" s="405" t="s">
        <v>883</v>
      </c>
      <c r="S956" s="405" t="s">
        <v>27065</v>
      </c>
      <c r="T956" s="405" t="s">
        <v>6551</v>
      </c>
      <c r="U956" s="405" t="s">
        <v>2267</v>
      </c>
    </row>
    <row r="957" spans="1:21" x14ac:dyDescent="0.25">
      <c r="A957" s="405" t="s">
        <v>310</v>
      </c>
      <c r="B957" s="405" t="s">
        <v>8310</v>
      </c>
      <c r="C957" s="405" t="s">
        <v>327</v>
      </c>
      <c r="D957" s="405"/>
      <c r="E957" s="410">
        <v>44060</v>
      </c>
      <c r="F957" s="410">
        <v>44073</v>
      </c>
      <c r="G957" s="405" t="s">
        <v>8311</v>
      </c>
      <c r="H957" s="405">
        <v>706661000</v>
      </c>
      <c r="I957" s="405">
        <v>775299152</v>
      </c>
      <c r="J957" s="405">
        <v>0.30077700000000002</v>
      </c>
      <c r="K957" s="405">
        <v>32.853245000000001</v>
      </c>
      <c r="L957" s="405" t="s">
        <v>314</v>
      </c>
      <c r="M957" s="405" t="s">
        <v>329</v>
      </c>
      <c r="N957" s="405" t="s">
        <v>8312</v>
      </c>
      <c r="O957" s="405" t="s">
        <v>8313</v>
      </c>
      <c r="P957" s="405" t="s">
        <v>8314</v>
      </c>
      <c r="Q957" s="411">
        <v>9</v>
      </c>
      <c r="R957" s="405" t="s">
        <v>32157</v>
      </c>
      <c r="S957" s="405" t="s">
        <v>27035</v>
      </c>
      <c r="T957" s="405" t="s">
        <v>6551</v>
      </c>
      <c r="U957" s="405" t="s">
        <v>2267</v>
      </c>
    </row>
    <row r="958" spans="1:21" x14ac:dyDescent="0.25">
      <c r="A958" s="405" t="s">
        <v>310</v>
      </c>
      <c r="B958" s="405" t="s">
        <v>26067</v>
      </c>
      <c r="C958" s="405" t="s">
        <v>327</v>
      </c>
      <c r="D958" s="405"/>
      <c r="E958" s="410">
        <v>44055</v>
      </c>
      <c r="F958" s="410">
        <v>44125</v>
      </c>
      <c r="G958" s="405" t="s">
        <v>26068</v>
      </c>
      <c r="H958" s="405" t="s">
        <v>26069</v>
      </c>
      <c r="I958" s="405" t="s">
        <v>26070</v>
      </c>
      <c r="J958" s="405">
        <v>-4.9097000000000002E-2</v>
      </c>
      <c r="K958" s="405">
        <v>31.403575</v>
      </c>
      <c r="L958" s="405" t="s">
        <v>590</v>
      </c>
      <c r="M958" s="405" t="s">
        <v>343</v>
      </c>
      <c r="N958" s="405" t="s">
        <v>26071</v>
      </c>
      <c r="O958" s="405" t="s">
        <v>6105</v>
      </c>
      <c r="P958" s="405" t="s">
        <v>7999</v>
      </c>
      <c r="Q958" s="411">
        <v>13</v>
      </c>
      <c r="R958" s="405" t="s">
        <v>32101</v>
      </c>
      <c r="S958" s="405" t="s">
        <v>27181</v>
      </c>
      <c r="T958" s="405" t="s">
        <v>6551</v>
      </c>
      <c r="U958" s="405" t="s">
        <v>2267</v>
      </c>
    </row>
    <row r="959" spans="1:21" x14ac:dyDescent="0.25">
      <c r="A959" s="405" t="s">
        <v>310</v>
      </c>
      <c r="B959" s="405" t="s">
        <v>8315</v>
      </c>
      <c r="C959" s="405" t="s">
        <v>327</v>
      </c>
      <c r="D959" s="405"/>
      <c r="E959" s="410">
        <v>44055</v>
      </c>
      <c r="F959" s="410">
        <v>44093</v>
      </c>
      <c r="G959" s="405" t="s">
        <v>8316</v>
      </c>
      <c r="H959" s="405" t="s">
        <v>8317</v>
      </c>
      <c r="I959" s="405" t="s">
        <v>8318</v>
      </c>
      <c r="J959" s="405">
        <v>0.19424</v>
      </c>
      <c r="K959" s="405">
        <v>32.421053000000001</v>
      </c>
      <c r="L959" s="405" t="s">
        <v>314</v>
      </c>
      <c r="M959" s="405" t="s">
        <v>361</v>
      </c>
      <c r="N959" s="405" t="s">
        <v>6357</v>
      </c>
      <c r="O959" s="405" t="s">
        <v>2496</v>
      </c>
      <c r="P959" s="405" t="s">
        <v>8319</v>
      </c>
      <c r="Q959" s="411">
        <v>6</v>
      </c>
      <c r="R959" s="405" t="s">
        <v>6798</v>
      </c>
      <c r="S959" s="405" t="s">
        <v>27049</v>
      </c>
      <c r="T959" s="405" t="s">
        <v>6551</v>
      </c>
      <c r="U959" s="405" t="s">
        <v>2267</v>
      </c>
    </row>
    <row r="960" spans="1:21" x14ac:dyDescent="0.25">
      <c r="A960" s="405" t="s">
        <v>310</v>
      </c>
      <c r="B960" s="405" t="s">
        <v>17395</v>
      </c>
      <c r="C960" s="405" t="s">
        <v>327</v>
      </c>
      <c r="D960" s="405"/>
      <c r="E960" s="410">
        <v>44053</v>
      </c>
      <c r="F960" s="410">
        <v>44078</v>
      </c>
      <c r="G960" s="405" t="s">
        <v>17396</v>
      </c>
      <c r="H960" s="405">
        <v>752616845</v>
      </c>
      <c r="I960" s="405" t="s">
        <v>2913</v>
      </c>
      <c r="J960" s="405">
        <v>0.34924500000000003</v>
      </c>
      <c r="K960" s="405">
        <v>32.586863000000001</v>
      </c>
      <c r="L960" s="405" t="s">
        <v>6866</v>
      </c>
      <c r="M960" s="405" t="s">
        <v>9590</v>
      </c>
      <c r="N960" s="405" t="s">
        <v>13744</v>
      </c>
      <c r="O960" s="405" t="s">
        <v>9592</v>
      </c>
      <c r="P960" s="405" t="s">
        <v>817</v>
      </c>
      <c r="Q960" s="411">
        <v>13</v>
      </c>
      <c r="R960" s="405" t="s">
        <v>32157</v>
      </c>
      <c r="S960" s="405" t="s">
        <v>27048</v>
      </c>
      <c r="T960" s="405" t="s">
        <v>6551</v>
      </c>
      <c r="U960" s="405" t="s">
        <v>2267</v>
      </c>
    </row>
    <row r="961" spans="1:21" x14ac:dyDescent="0.25">
      <c r="A961" s="405" t="s">
        <v>310</v>
      </c>
      <c r="B961" s="405" t="s">
        <v>25983</v>
      </c>
      <c r="C961" s="405" t="s">
        <v>327</v>
      </c>
      <c r="D961" s="405"/>
      <c r="E961" s="410">
        <v>44053</v>
      </c>
      <c r="F961" s="410">
        <v>44063</v>
      </c>
      <c r="G961" s="405" t="s">
        <v>25984</v>
      </c>
      <c r="H961" s="405">
        <v>753881307</v>
      </c>
      <c r="I961" s="405" t="s">
        <v>25985</v>
      </c>
      <c r="J961" s="405">
        <v>-0.58025499999999997</v>
      </c>
      <c r="K961" s="405">
        <v>31.096035000000001</v>
      </c>
      <c r="L961" s="405" t="s">
        <v>590</v>
      </c>
      <c r="M961" s="405" t="s">
        <v>19705</v>
      </c>
      <c r="N961" s="405" t="s">
        <v>19706</v>
      </c>
      <c r="O961" s="405" t="s">
        <v>22327</v>
      </c>
      <c r="P961" s="405" t="s">
        <v>25986</v>
      </c>
      <c r="Q961" s="411">
        <v>13</v>
      </c>
      <c r="R961" s="405" t="s">
        <v>6572</v>
      </c>
      <c r="S961" s="405" t="s">
        <v>27065</v>
      </c>
      <c r="T961" s="405" t="s">
        <v>6551</v>
      </c>
      <c r="U961" s="405" t="s">
        <v>2267</v>
      </c>
    </row>
    <row r="962" spans="1:21" x14ac:dyDescent="0.25">
      <c r="A962" s="405" t="s">
        <v>310</v>
      </c>
      <c r="B962" s="405" t="s">
        <v>25998</v>
      </c>
      <c r="C962" s="405" t="s">
        <v>327</v>
      </c>
      <c r="D962" s="405"/>
      <c r="E962" s="410">
        <v>44053</v>
      </c>
      <c r="F962" s="410">
        <v>44063</v>
      </c>
      <c r="G962" s="405" t="s">
        <v>25999</v>
      </c>
      <c r="H962" s="405">
        <v>771429157</v>
      </c>
      <c r="I962" s="405" t="s">
        <v>2913</v>
      </c>
      <c r="J962" s="405">
        <v>0.74918200000000001</v>
      </c>
      <c r="K962" s="405">
        <v>30.884202999999999</v>
      </c>
      <c r="L962" s="405" t="s">
        <v>590</v>
      </c>
      <c r="M962" s="405" t="s">
        <v>20426</v>
      </c>
      <c r="N962" s="405" t="s">
        <v>10925</v>
      </c>
      <c r="O962" s="405" t="s">
        <v>26000</v>
      </c>
      <c r="P962" s="405" t="s">
        <v>26001</v>
      </c>
      <c r="Q962" s="411">
        <v>13</v>
      </c>
      <c r="R962" s="405" t="s">
        <v>6013</v>
      </c>
      <c r="S962" s="405" t="s">
        <v>27060</v>
      </c>
      <c r="T962" s="405" t="s">
        <v>6551</v>
      </c>
      <c r="U962" s="405" t="s">
        <v>2267</v>
      </c>
    </row>
    <row r="963" spans="1:21" x14ac:dyDescent="0.25">
      <c r="A963" s="405" t="s">
        <v>310</v>
      </c>
      <c r="B963" s="405" t="s">
        <v>25993</v>
      </c>
      <c r="C963" s="405" t="s">
        <v>327</v>
      </c>
      <c r="D963" s="405"/>
      <c r="E963" s="410">
        <v>44053</v>
      </c>
      <c r="F963" s="410">
        <v>44074</v>
      </c>
      <c r="G963" s="405" t="s">
        <v>25994</v>
      </c>
      <c r="H963" s="405">
        <v>776564200</v>
      </c>
      <c r="I963" s="405">
        <v>772879940</v>
      </c>
      <c r="J963" s="405">
        <v>0.41125200000000001</v>
      </c>
      <c r="K963" s="405">
        <v>32.461342000000002</v>
      </c>
      <c r="L963" s="405" t="s">
        <v>590</v>
      </c>
      <c r="M963" s="405" t="s">
        <v>24942</v>
      </c>
      <c r="N963" s="405" t="s">
        <v>25995</v>
      </c>
      <c r="O963" s="405" t="s">
        <v>25996</v>
      </c>
      <c r="P963" s="405" t="s">
        <v>25997</v>
      </c>
      <c r="Q963" s="411">
        <v>9</v>
      </c>
      <c r="R963" s="405" t="s">
        <v>32157</v>
      </c>
      <c r="S963" s="405" t="s">
        <v>27046</v>
      </c>
      <c r="T963" s="405" t="s">
        <v>6551</v>
      </c>
      <c r="U963" s="405" t="s">
        <v>2267</v>
      </c>
    </row>
    <row r="964" spans="1:21" x14ac:dyDescent="0.25">
      <c r="A964" s="405" t="s">
        <v>310</v>
      </c>
      <c r="B964" s="405" t="s">
        <v>8274</v>
      </c>
      <c r="C964" s="405" t="s">
        <v>327</v>
      </c>
      <c r="D964" s="405"/>
      <c r="E964" s="410">
        <v>44052</v>
      </c>
      <c r="F964" s="410">
        <v>44068</v>
      </c>
      <c r="G964" s="405" t="s">
        <v>8275</v>
      </c>
      <c r="H964" s="405">
        <v>754831157</v>
      </c>
      <c r="I964" s="405" t="s">
        <v>8276</v>
      </c>
      <c r="J964" s="405">
        <v>0.80076700000000001</v>
      </c>
      <c r="K964" s="405">
        <v>32.254717999999997</v>
      </c>
      <c r="L964" s="405" t="s">
        <v>314</v>
      </c>
      <c r="M964" s="405" t="s">
        <v>2297</v>
      </c>
      <c r="N964" s="405" t="s">
        <v>8277</v>
      </c>
      <c r="O964" s="405" t="s">
        <v>3425</v>
      </c>
      <c r="P964" s="405" t="s">
        <v>8278</v>
      </c>
      <c r="Q964" s="411">
        <v>12</v>
      </c>
      <c r="R964" s="405" t="s">
        <v>4176</v>
      </c>
      <c r="S964" s="405" t="s">
        <v>27153</v>
      </c>
      <c r="T964" s="405" t="s">
        <v>32102</v>
      </c>
      <c r="U964" s="405" t="s">
        <v>319</v>
      </c>
    </row>
    <row r="965" spans="1:21" x14ac:dyDescent="0.25">
      <c r="A965" s="405" t="s">
        <v>310</v>
      </c>
      <c r="B965" s="405" t="s">
        <v>8301</v>
      </c>
      <c r="C965" s="405" t="s">
        <v>327</v>
      </c>
      <c r="D965" s="405"/>
      <c r="E965" s="410">
        <v>44051</v>
      </c>
      <c r="F965" s="410">
        <v>44066</v>
      </c>
      <c r="G965" s="405" t="s">
        <v>8302</v>
      </c>
      <c r="H965" s="405">
        <v>782372086</v>
      </c>
      <c r="I965" s="405" t="s">
        <v>2913</v>
      </c>
      <c r="J965" s="405">
        <v>0.31520799999999999</v>
      </c>
      <c r="K965" s="405">
        <v>32.858463</v>
      </c>
      <c r="L965" s="405" t="s">
        <v>314</v>
      </c>
      <c r="M965" s="405" t="s">
        <v>329</v>
      </c>
      <c r="N965" s="405" t="s">
        <v>329</v>
      </c>
      <c r="O965" s="405" t="s">
        <v>653</v>
      </c>
      <c r="P965" s="405" t="s">
        <v>8248</v>
      </c>
      <c r="Q965" s="411">
        <v>13</v>
      </c>
      <c r="R965" s="405" t="s">
        <v>32101</v>
      </c>
      <c r="S965" s="405" t="s">
        <v>27041</v>
      </c>
      <c r="T965" s="405" t="s">
        <v>6551</v>
      </c>
      <c r="U965" s="405" t="s">
        <v>2267</v>
      </c>
    </row>
    <row r="966" spans="1:21" x14ac:dyDescent="0.25">
      <c r="A966" s="405" t="s">
        <v>310</v>
      </c>
      <c r="B966" s="405" t="s">
        <v>26018</v>
      </c>
      <c r="C966" s="405" t="s">
        <v>327</v>
      </c>
      <c r="D966" s="405"/>
      <c r="E966" s="410">
        <v>44049</v>
      </c>
      <c r="F966" s="410">
        <v>44078</v>
      </c>
      <c r="G966" s="405" t="s">
        <v>26019</v>
      </c>
      <c r="H966" s="405">
        <v>702798481</v>
      </c>
      <c r="I966" s="405" t="s">
        <v>2913</v>
      </c>
      <c r="J966" s="405">
        <v>0.93607700000000005</v>
      </c>
      <c r="K966" s="405">
        <v>31.753312999999999</v>
      </c>
      <c r="L966" s="405" t="s">
        <v>590</v>
      </c>
      <c r="M966" s="405" t="s">
        <v>2537</v>
      </c>
      <c r="N966" s="405" t="s">
        <v>1360</v>
      </c>
      <c r="O966" s="405" t="s">
        <v>1360</v>
      </c>
      <c r="P966" s="405" t="s">
        <v>2735</v>
      </c>
      <c r="Q966" s="411">
        <v>13</v>
      </c>
      <c r="R966" s="405" t="s">
        <v>32101</v>
      </c>
      <c r="S966" s="405" t="s">
        <v>27275</v>
      </c>
      <c r="T966" s="405" t="s">
        <v>6551</v>
      </c>
      <c r="U966" s="405" t="s">
        <v>2267</v>
      </c>
    </row>
    <row r="967" spans="1:21" x14ac:dyDescent="0.25">
      <c r="A967" s="405" t="s">
        <v>310</v>
      </c>
      <c r="B967" s="405" t="s">
        <v>17377</v>
      </c>
      <c r="C967" s="405" t="s">
        <v>327</v>
      </c>
      <c r="D967" s="405"/>
      <c r="E967" s="410">
        <v>44048</v>
      </c>
      <c r="F967" s="410">
        <v>44057</v>
      </c>
      <c r="G967" s="405" t="s">
        <v>17378</v>
      </c>
      <c r="H967" s="405">
        <v>772448423</v>
      </c>
      <c r="I967" s="405" t="s">
        <v>2913</v>
      </c>
      <c r="J967" s="405">
        <v>0.86404199999999998</v>
      </c>
      <c r="K967" s="405">
        <v>34.359202000000003</v>
      </c>
      <c r="L967" s="405" t="s">
        <v>6866</v>
      </c>
      <c r="M967" s="405" t="s">
        <v>9763</v>
      </c>
      <c r="N967" s="405" t="s">
        <v>11470</v>
      </c>
      <c r="O967" s="405" t="s">
        <v>10122</v>
      </c>
      <c r="P967" s="405" t="s">
        <v>17379</v>
      </c>
      <c r="Q967" s="411">
        <v>9</v>
      </c>
      <c r="R967" s="405" t="s">
        <v>6871</v>
      </c>
      <c r="S967" s="405" t="s">
        <v>17062</v>
      </c>
      <c r="T967" s="405" t="s">
        <v>6551</v>
      </c>
      <c r="U967" s="405" t="s">
        <v>2267</v>
      </c>
    </row>
    <row r="968" spans="1:21" x14ac:dyDescent="0.25">
      <c r="A968" s="405" t="s">
        <v>310</v>
      </c>
      <c r="B968" s="405" t="s">
        <v>8341</v>
      </c>
      <c r="C968" s="405" t="s">
        <v>327</v>
      </c>
      <c r="D968" s="405"/>
      <c r="E968" s="410">
        <v>44048</v>
      </c>
      <c r="F968" s="410">
        <v>44099</v>
      </c>
      <c r="G968" s="405" t="s">
        <v>8342</v>
      </c>
      <c r="H968" s="405" t="s">
        <v>8343</v>
      </c>
      <c r="I968" s="405" t="s">
        <v>8344</v>
      </c>
      <c r="J968" s="405">
        <v>0.77895499999999995</v>
      </c>
      <c r="K968" s="405">
        <v>32.295949999999998</v>
      </c>
      <c r="L968" s="405" t="s">
        <v>314</v>
      </c>
      <c r="M968" s="405" t="s">
        <v>2297</v>
      </c>
      <c r="N968" s="405" t="s">
        <v>2297</v>
      </c>
      <c r="O968" s="405" t="s">
        <v>7248</v>
      </c>
      <c r="P968" s="405" t="s">
        <v>8345</v>
      </c>
      <c r="Q968" s="411">
        <v>6</v>
      </c>
      <c r="R968" s="405" t="s">
        <v>4176</v>
      </c>
      <c r="S968" s="405" t="s">
        <v>27282</v>
      </c>
      <c r="T968" s="405" t="s">
        <v>32102</v>
      </c>
      <c r="U968" s="405" t="s">
        <v>319</v>
      </c>
    </row>
    <row r="969" spans="1:21" x14ac:dyDescent="0.25">
      <c r="A969" s="405" t="s">
        <v>310</v>
      </c>
      <c r="B969" s="405" t="s">
        <v>25975</v>
      </c>
      <c r="C969" s="405" t="s">
        <v>327</v>
      </c>
      <c r="D969" s="405"/>
      <c r="E969" s="410">
        <v>44048</v>
      </c>
      <c r="F969" s="410">
        <v>44058</v>
      </c>
      <c r="G969" s="405" t="s">
        <v>25976</v>
      </c>
      <c r="H969" s="405">
        <v>782647004</v>
      </c>
      <c r="I969" s="405" t="s">
        <v>25977</v>
      </c>
      <c r="J969" s="405">
        <v>-0.68127199999999999</v>
      </c>
      <c r="K969" s="405">
        <v>29.734113000000001</v>
      </c>
      <c r="L969" s="405" t="s">
        <v>590</v>
      </c>
      <c r="M969" s="405" t="s">
        <v>20808</v>
      </c>
      <c r="N969" s="405" t="s">
        <v>25978</v>
      </c>
      <c r="O969" s="405" t="s">
        <v>25979</v>
      </c>
      <c r="P969" s="405" t="s">
        <v>25980</v>
      </c>
      <c r="Q969" s="411">
        <v>6</v>
      </c>
      <c r="R969" s="405" t="s">
        <v>6572</v>
      </c>
      <c r="S969" s="405" t="s">
        <v>27442</v>
      </c>
      <c r="T969" s="405" t="s">
        <v>6551</v>
      </c>
      <c r="U969" s="405" t="s">
        <v>2267</v>
      </c>
    </row>
    <row r="970" spans="1:21" x14ac:dyDescent="0.25">
      <c r="A970" s="405" t="s">
        <v>310</v>
      </c>
      <c r="B970" s="405" t="s">
        <v>8303</v>
      </c>
      <c r="C970" s="405" t="s">
        <v>327</v>
      </c>
      <c r="D970" s="405"/>
      <c r="E970" s="410">
        <v>44045</v>
      </c>
      <c r="F970" s="410">
        <v>44065</v>
      </c>
      <c r="G970" s="405" t="s">
        <v>8304</v>
      </c>
      <c r="H970" s="405">
        <v>702489530</v>
      </c>
      <c r="I970" s="405" t="s">
        <v>2913</v>
      </c>
      <c r="J970" s="405">
        <v>0.54190700000000003</v>
      </c>
      <c r="K970" s="405">
        <v>32.58567</v>
      </c>
      <c r="L970" s="405" t="s">
        <v>314</v>
      </c>
      <c r="M970" s="405" t="s">
        <v>361</v>
      </c>
      <c r="N970" s="405" t="s">
        <v>8305</v>
      </c>
      <c r="O970" s="405" t="s">
        <v>433</v>
      </c>
      <c r="P970" s="405" t="s">
        <v>645</v>
      </c>
      <c r="Q970" s="411">
        <v>13</v>
      </c>
      <c r="R970" s="405" t="s">
        <v>32157</v>
      </c>
      <c r="S970" s="405" t="s">
        <v>27046</v>
      </c>
      <c r="T970" s="405" t="s">
        <v>6551</v>
      </c>
      <c r="U970" s="405" t="s">
        <v>2267</v>
      </c>
    </row>
    <row r="971" spans="1:21" x14ac:dyDescent="0.25">
      <c r="A971" s="405" t="s">
        <v>310</v>
      </c>
      <c r="B971" s="405" t="s">
        <v>26032</v>
      </c>
      <c r="C971" s="405" t="s">
        <v>327</v>
      </c>
      <c r="D971" s="405"/>
      <c r="E971" s="410">
        <v>44045</v>
      </c>
      <c r="F971" s="410">
        <v>44078</v>
      </c>
      <c r="G971" s="405" t="s">
        <v>26033</v>
      </c>
      <c r="H971" s="405" t="s">
        <v>26034</v>
      </c>
      <c r="I971" s="405" t="s">
        <v>26035</v>
      </c>
      <c r="J971" s="405">
        <v>0.79240999999999995</v>
      </c>
      <c r="K971" s="405">
        <v>31.044345</v>
      </c>
      <c r="L971" s="405" t="s">
        <v>590</v>
      </c>
      <c r="M971" s="405" t="s">
        <v>1851</v>
      </c>
      <c r="N971" s="405" t="s">
        <v>2430</v>
      </c>
      <c r="O971" s="405" t="s">
        <v>26036</v>
      </c>
      <c r="P971" s="405" t="s">
        <v>26037</v>
      </c>
      <c r="Q971" s="411">
        <v>9</v>
      </c>
      <c r="R971" s="405" t="s">
        <v>6013</v>
      </c>
      <c r="S971" s="405" t="s">
        <v>27275</v>
      </c>
      <c r="T971" s="405" t="s">
        <v>6551</v>
      </c>
      <c r="U971" s="405" t="s">
        <v>2267</v>
      </c>
    </row>
    <row r="972" spans="1:21" x14ac:dyDescent="0.25">
      <c r="A972" s="405" t="s">
        <v>310</v>
      </c>
      <c r="B972" s="405" t="s">
        <v>17389</v>
      </c>
      <c r="C972" s="405" t="s">
        <v>327</v>
      </c>
      <c r="D972" s="405"/>
      <c r="E972" s="410">
        <v>44044</v>
      </c>
      <c r="F972" s="410">
        <v>44062</v>
      </c>
      <c r="G972" s="405" t="s">
        <v>17390</v>
      </c>
      <c r="H972" s="405">
        <v>77335454</v>
      </c>
      <c r="I972" s="405" t="s">
        <v>17391</v>
      </c>
      <c r="J972" s="405">
        <v>0.938002</v>
      </c>
      <c r="K972" s="405">
        <v>33.123559999999998</v>
      </c>
      <c r="L972" s="405" t="s">
        <v>6866</v>
      </c>
      <c r="M972" s="405" t="s">
        <v>9520</v>
      </c>
      <c r="N972" s="405" t="s">
        <v>13356</v>
      </c>
      <c r="O972" s="405" t="s">
        <v>13286</v>
      </c>
      <c r="P972" s="405" t="s">
        <v>17392</v>
      </c>
      <c r="Q972" s="411">
        <v>9</v>
      </c>
      <c r="R972" s="405" t="s">
        <v>17270</v>
      </c>
      <c r="S972" s="405" t="s">
        <v>27080</v>
      </c>
      <c r="T972" s="405" t="s">
        <v>6551</v>
      </c>
      <c r="U972" s="405" t="s">
        <v>2267</v>
      </c>
    </row>
    <row r="973" spans="1:21" x14ac:dyDescent="0.25">
      <c r="A973" s="405" t="s">
        <v>310</v>
      </c>
      <c r="B973" s="405" t="s">
        <v>25970</v>
      </c>
      <c r="C973" s="405" t="s">
        <v>327</v>
      </c>
      <c r="D973" s="405"/>
      <c r="E973" s="410">
        <v>44042</v>
      </c>
      <c r="F973" s="410">
        <v>44049</v>
      </c>
      <c r="G973" s="405" t="s">
        <v>25971</v>
      </c>
      <c r="H973" s="405">
        <v>773151169</v>
      </c>
      <c r="I973" s="405">
        <v>786574232</v>
      </c>
      <c r="J973" s="405">
        <v>-0.65900199999999998</v>
      </c>
      <c r="K973" s="405">
        <v>30.142534999999999</v>
      </c>
      <c r="L973" s="405" t="s">
        <v>590</v>
      </c>
      <c r="M973" s="405" t="s">
        <v>19725</v>
      </c>
      <c r="N973" s="405" t="s">
        <v>25972</v>
      </c>
      <c r="O973" s="405" t="s">
        <v>25973</v>
      </c>
      <c r="P973" s="405" t="s">
        <v>25974</v>
      </c>
      <c r="Q973" s="411">
        <v>9</v>
      </c>
      <c r="R973" s="405" t="s">
        <v>6572</v>
      </c>
      <c r="S973" s="405" t="s">
        <v>27301</v>
      </c>
      <c r="T973" s="405" t="s">
        <v>6551</v>
      </c>
      <c r="U973" s="405" t="s">
        <v>2267</v>
      </c>
    </row>
    <row r="974" spans="1:21" x14ac:dyDescent="0.25">
      <c r="A974" s="405" t="s">
        <v>310</v>
      </c>
      <c r="B974" s="405" t="s">
        <v>17448</v>
      </c>
      <c r="C974" s="405" t="s">
        <v>327</v>
      </c>
      <c r="D974" s="405"/>
      <c r="E974" s="410">
        <v>44042</v>
      </c>
      <c r="F974" s="410">
        <v>44146</v>
      </c>
      <c r="G974" s="405" t="s">
        <v>17449</v>
      </c>
      <c r="H974" s="405" t="s">
        <v>17450</v>
      </c>
      <c r="I974" s="405" t="s">
        <v>17450</v>
      </c>
      <c r="J974" s="405">
        <v>1.630152</v>
      </c>
      <c r="K974" s="405">
        <v>33.794229999999999</v>
      </c>
      <c r="L974" s="405" t="s">
        <v>6866</v>
      </c>
      <c r="M974" s="405" t="s">
        <v>10012</v>
      </c>
      <c r="N974" s="405" t="s">
        <v>10012</v>
      </c>
      <c r="O974" s="405" t="s">
        <v>10267</v>
      </c>
      <c r="P974" s="405" t="s">
        <v>17451</v>
      </c>
      <c r="Q974" s="411">
        <v>6</v>
      </c>
      <c r="R974" s="405" t="s">
        <v>17977</v>
      </c>
      <c r="S974" s="405" t="s">
        <v>27056</v>
      </c>
      <c r="T974" s="405" t="s">
        <v>32102</v>
      </c>
      <c r="U974" s="405" t="s">
        <v>319</v>
      </c>
    </row>
    <row r="975" spans="1:21" x14ac:dyDescent="0.25">
      <c r="A975" s="405" t="s">
        <v>310</v>
      </c>
      <c r="B975" s="405" t="s">
        <v>8289</v>
      </c>
      <c r="C975" s="405" t="s">
        <v>327</v>
      </c>
      <c r="D975" s="405"/>
      <c r="E975" s="410">
        <v>44040</v>
      </c>
      <c r="F975" s="410">
        <v>44055</v>
      </c>
      <c r="G975" s="405" t="s">
        <v>8290</v>
      </c>
      <c r="H975" s="405">
        <v>783258496</v>
      </c>
      <c r="I975" s="405" t="s">
        <v>8291</v>
      </c>
      <c r="J975" s="405">
        <v>0.41719000000000001</v>
      </c>
      <c r="K975" s="405">
        <v>32.649695000000001</v>
      </c>
      <c r="L975" s="405" t="s">
        <v>314</v>
      </c>
      <c r="M975" s="405" t="s">
        <v>361</v>
      </c>
      <c r="N975" s="405" t="s">
        <v>4961</v>
      </c>
      <c r="O975" s="405" t="s">
        <v>363</v>
      </c>
      <c r="P975" s="405" t="s">
        <v>2114</v>
      </c>
      <c r="Q975" s="411">
        <v>13</v>
      </c>
      <c r="R975" s="405" t="s">
        <v>32101</v>
      </c>
      <c r="S975" s="405" t="s">
        <v>27034</v>
      </c>
      <c r="T975" s="405" t="s">
        <v>884</v>
      </c>
      <c r="U975" s="405" t="s">
        <v>319</v>
      </c>
    </row>
    <row r="976" spans="1:21" x14ac:dyDescent="0.25">
      <c r="A976" s="405" t="s">
        <v>310</v>
      </c>
      <c r="B976" s="405" t="s">
        <v>8285</v>
      </c>
      <c r="C976" s="405" t="s">
        <v>327</v>
      </c>
      <c r="D976" s="405"/>
      <c r="E976" s="410">
        <v>44040</v>
      </c>
      <c r="F976" s="410">
        <v>44048</v>
      </c>
      <c r="G976" s="405" t="s">
        <v>8286</v>
      </c>
      <c r="H976" s="405">
        <v>777871116</v>
      </c>
      <c r="I976" s="405" t="s">
        <v>8287</v>
      </c>
      <c r="J976" s="405">
        <v>0.51133200000000001</v>
      </c>
      <c r="K976" s="405">
        <v>32.694552000000002</v>
      </c>
      <c r="L976" s="405" t="s">
        <v>314</v>
      </c>
      <c r="M976" s="405" t="s">
        <v>329</v>
      </c>
      <c r="N976" s="405" t="s">
        <v>8288</v>
      </c>
      <c r="O976" s="405" t="s">
        <v>336</v>
      </c>
      <c r="P976" s="405" t="s">
        <v>3707</v>
      </c>
      <c r="Q976" s="411">
        <v>9</v>
      </c>
      <c r="R976" s="405" t="s">
        <v>32101</v>
      </c>
      <c r="S976" s="405" t="s">
        <v>27275</v>
      </c>
      <c r="T976" s="405" t="s">
        <v>32102</v>
      </c>
      <c r="U976" s="405" t="s">
        <v>319</v>
      </c>
    </row>
    <row r="977" spans="1:21" x14ac:dyDescent="0.25">
      <c r="A977" s="405" t="s">
        <v>310</v>
      </c>
      <c r="B977" s="405" t="s">
        <v>8292</v>
      </c>
      <c r="C977" s="405" t="s">
        <v>327</v>
      </c>
      <c r="D977" s="405"/>
      <c r="E977" s="410">
        <v>44040</v>
      </c>
      <c r="F977" s="410">
        <v>44047</v>
      </c>
      <c r="G977" s="405" t="s">
        <v>8293</v>
      </c>
      <c r="H977" s="405">
        <v>750826908</v>
      </c>
      <c r="I977" s="405" t="s">
        <v>8294</v>
      </c>
      <c r="J977" s="405">
        <v>0.656837</v>
      </c>
      <c r="K977" s="405">
        <v>32.491974999999996</v>
      </c>
      <c r="L977" s="405" t="s">
        <v>314</v>
      </c>
      <c r="M977" s="405" t="s">
        <v>959</v>
      </c>
      <c r="N977" s="405" t="s">
        <v>1308</v>
      </c>
      <c r="O977" s="405" t="s">
        <v>2056</v>
      </c>
      <c r="P977" s="405" t="s">
        <v>8295</v>
      </c>
      <c r="Q977" s="411">
        <v>6</v>
      </c>
      <c r="R977" s="405" t="s">
        <v>32101</v>
      </c>
      <c r="S977" s="405" t="s">
        <v>27273</v>
      </c>
      <c r="T977" s="405" t="s">
        <v>32102</v>
      </c>
      <c r="U977" s="405" t="s">
        <v>319</v>
      </c>
    </row>
    <row r="978" spans="1:21" x14ac:dyDescent="0.25">
      <c r="A978" s="405" t="s">
        <v>310</v>
      </c>
      <c r="B978" s="405" t="s">
        <v>8364</v>
      </c>
      <c r="C978" s="405" t="s">
        <v>327</v>
      </c>
      <c r="D978" s="405"/>
      <c r="E978" s="410">
        <v>44039</v>
      </c>
      <c r="F978" s="410">
        <v>44103</v>
      </c>
      <c r="G978" s="405" t="s">
        <v>8365</v>
      </c>
      <c r="H978" s="405" t="s">
        <v>8366</v>
      </c>
      <c r="I978" s="405" t="s">
        <v>2913</v>
      </c>
      <c r="J978" s="405">
        <v>-0.86985299999999999</v>
      </c>
      <c r="K978" s="405">
        <v>30.268754999999999</v>
      </c>
      <c r="L978" s="405" t="s">
        <v>314</v>
      </c>
      <c r="M978" s="405" t="s">
        <v>361</v>
      </c>
      <c r="N978" s="405" t="s">
        <v>410</v>
      </c>
      <c r="O978" s="405" t="s">
        <v>410</v>
      </c>
      <c r="P978" s="405" t="s">
        <v>413</v>
      </c>
      <c r="Q978" s="411">
        <v>9</v>
      </c>
      <c r="R978" s="405" t="s">
        <v>6572</v>
      </c>
      <c r="S978" s="405" t="s">
        <v>27193</v>
      </c>
      <c r="T978" s="405" t="s">
        <v>32102</v>
      </c>
      <c r="U978" s="405" t="s">
        <v>319</v>
      </c>
    </row>
    <row r="979" spans="1:21" x14ac:dyDescent="0.25">
      <c r="A979" s="405" t="s">
        <v>310</v>
      </c>
      <c r="B979" s="405" t="s">
        <v>25948</v>
      </c>
      <c r="C979" s="405" t="s">
        <v>327</v>
      </c>
      <c r="D979" s="405"/>
      <c r="E979" s="410">
        <v>44039</v>
      </c>
      <c r="F979" s="410">
        <v>44053</v>
      </c>
      <c r="G979" s="405" t="s">
        <v>25949</v>
      </c>
      <c r="H979" s="405">
        <v>774575555</v>
      </c>
      <c r="I979" s="405" t="s">
        <v>25950</v>
      </c>
      <c r="J979" s="405">
        <v>-0.58299500000000004</v>
      </c>
      <c r="K979" s="405">
        <v>30.659877000000002</v>
      </c>
      <c r="L979" s="405" t="s">
        <v>590</v>
      </c>
      <c r="M979" s="405" t="s">
        <v>19614</v>
      </c>
      <c r="N979" s="405" t="s">
        <v>23356</v>
      </c>
      <c r="O979" s="405" t="s">
        <v>23356</v>
      </c>
      <c r="P979" s="405" t="s">
        <v>25951</v>
      </c>
      <c r="Q979" s="411">
        <v>9</v>
      </c>
      <c r="R979" s="405" t="s">
        <v>5858</v>
      </c>
      <c r="S979" s="405" t="s">
        <v>27182</v>
      </c>
      <c r="T979" s="405" t="s">
        <v>32102</v>
      </c>
      <c r="U979" s="405" t="s">
        <v>319</v>
      </c>
    </row>
    <row r="980" spans="1:21" x14ac:dyDescent="0.25">
      <c r="A980" s="405" t="s">
        <v>310</v>
      </c>
      <c r="B980" s="405" t="s">
        <v>17384</v>
      </c>
      <c r="C980" s="405" t="s">
        <v>327</v>
      </c>
      <c r="D980" s="405"/>
      <c r="E980" s="410">
        <v>44038</v>
      </c>
      <c r="F980" s="410">
        <v>44069</v>
      </c>
      <c r="G980" s="405" t="s">
        <v>17385</v>
      </c>
      <c r="H980" s="405" t="s">
        <v>17386</v>
      </c>
      <c r="I980" s="405" t="s">
        <v>17386</v>
      </c>
      <c r="J980" s="405">
        <v>0.379774</v>
      </c>
      <c r="K980" s="405">
        <v>33.890307</v>
      </c>
      <c r="L980" s="405" t="s">
        <v>6866</v>
      </c>
      <c r="M980" s="405" t="s">
        <v>10390</v>
      </c>
      <c r="N980" s="405" t="s">
        <v>17387</v>
      </c>
      <c r="O980" s="405" t="s">
        <v>16571</v>
      </c>
      <c r="P980" s="405" t="s">
        <v>17388</v>
      </c>
      <c r="Q980" s="411">
        <v>13</v>
      </c>
      <c r="R980" s="405" t="s">
        <v>4176</v>
      </c>
      <c r="S980" s="405" t="s">
        <v>27059</v>
      </c>
      <c r="T980" s="405" t="s">
        <v>32102</v>
      </c>
      <c r="U980" s="405" t="s">
        <v>319</v>
      </c>
    </row>
    <row r="981" spans="1:21" x14ac:dyDescent="0.25">
      <c r="A981" s="405" t="s">
        <v>310</v>
      </c>
      <c r="B981" s="405" t="s">
        <v>26441</v>
      </c>
      <c r="C981" s="405" t="s">
        <v>311</v>
      </c>
      <c r="D981" s="405" t="s">
        <v>2127</v>
      </c>
      <c r="E981" s="410">
        <v>44038</v>
      </c>
      <c r="F981" s="410">
        <v>44121</v>
      </c>
      <c r="G981" s="405" t="s">
        <v>26442</v>
      </c>
      <c r="H981" s="405" t="s">
        <v>26443</v>
      </c>
      <c r="I981" s="405" t="s">
        <v>26444</v>
      </c>
      <c r="J981" s="405">
        <v>-1.264068</v>
      </c>
      <c r="K981" s="405">
        <v>29.723357</v>
      </c>
      <c r="L981" s="405" t="s">
        <v>590</v>
      </c>
      <c r="M981" s="405" t="s">
        <v>20070</v>
      </c>
      <c r="N981" s="405" t="s">
        <v>26445</v>
      </c>
      <c r="O981" s="405" t="s">
        <v>24104</v>
      </c>
      <c r="P981" s="405" t="s">
        <v>26446</v>
      </c>
      <c r="Q981" s="411">
        <v>9</v>
      </c>
      <c r="R981" s="405" t="s">
        <v>24106</v>
      </c>
      <c r="S981" s="405" t="s">
        <v>27102</v>
      </c>
      <c r="T981" s="405" t="s">
        <v>32102</v>
      </c>
      <c r="U981" s="405" t="s">
        <v>319</v>
      </c>
    </row>
    <row r="982" spans="1:21" x14ac:dyDescent="0.25">
      <c r="A982" s="405" t="s">
        <v>310</v>
      </c>
      <c r="B982" s="405" t="s">
        <v>8299</v>
      </c>
      <c r="C982" s="405" t="s">
        <v>327</v>
      </c>
      <c r="D982" s="405"/>
      <c r="E982" s="410">
        <v>44038</v>
      </c>
      <c r="F982" s="410">
        <v>44050</v>
      </c>
      <c r="G982" s="405" t="s">
        <v>8300</v>
      </c>
      <c r="H982" s="405">
        <v>753668761</v>
      </c>
      <c r="I982" s="405">
        <v>752296247</v>
      </c>
      <c r="J982" s="405">
        <v>-0.35345199999999999</v>
      </c>
      <c r="K982" s="405">
        <v>31.687608000000001</v>
      </c>
      <c r="L982" s="405" t="s">
        <v>314</v>
      </c>
      <c r="M982" s="405" t="s">
        <v>382</v>
      </c>
      <c r="N982" s="405" t="s">
        <v>382</v>
      </c>
      <c r="O982" s="405" t="s">
        <v>1190</v>
      </c>
      <c r="P982" s="405" t="s">
        <v>7297</v>
      </c>
      <c r="Q982" s="411">
        <v>6</v>
      </c>
      <c r="R982" s="405" t="s">
        <v>32101</v>
      </c>
      <c r="S982" s="405" t="s">
        <v>27164</v>
      </c>
      <c r="T982" s="405" t="s">
        <v>32102</v>
      </c>
      <c r="U982" s="405" t="s">
        <v>319</v>
      </c>
    </row>
    <row r="983" spans="1:21" x14ac:dyDescent="0.25">
      <c r="A983" s="405" t="s">
        <v>310</v>
      </c>
      <c r="B983" s="405" t="s">
        <v>8320</v>
      </c>
      <c r="C983" s="405" t="s">
        <v>327</v>
      </c>
      <c r="D983" s="405"/>
      <c r="E983" s="410">
        <v>44036</v>
      </c>
      <c r="F983" s="410">
        <v>44096</v>
      </c>
      <c r="G983" s="405" t="s">
        <v>8321</v>
      </c>
      <c r="H983" s="405" t="s">
        <v>8322</v>
      </c>
      <c r="I983" s="405" t="s">
        <v>8322</v>
      </c>
      <c r="J983" s="405">
        <v>0.33607199999999998</v>
      </c>
      <c r="K983" s="405">
        <v>32.625028</v>
      </c>
      <c r="L983" s="405" t="s">
        <v>314</v>
      </c>
      <c r="M983" s="405" t="s">
        <v>992</v>
      </c>
      <c r="N983" s="405" t="s">
        <v>987</v>
      </c>
      <c r="O983" s="405" t="s">
        <v>8323</v>
      </c>
      <c r="P983" s="405" t="s">
        <v>8324</v>
      </c>
      <c r="Q983" s="411">
        <v>6</v>
      </c>
      <c r="R983" s="405" t="s">
        <v>4176</v>
      </c>
      <c r="S983" s="405" t="s">
        <v>27281</v>
      </c>
      <c r="T983" s="405" t="s">
        <v>32102</v>
      </c>
      <c r="U983" s="405" t="s">
        <v>319</v>
      </c>
    </row>
    <row r="984" spans="1:21" x14ac:dyDescent="0.25">
      <c r="A984" s="405" t="s">
        <v>310</v>
      </c>
      <c r="B984" s="405" t="s">
        <v>17341</v>
      </c>
      <c r="C984" s="405" t="s">
        <v>327</v>
      </c>
      <c r="D984" s="405"/>
      <c r="E984" s="410">
        <v>44033</v>
      </c>
      <c r="F984" s="410">
        <v>44037</v>
      </c>
      <c r="G984" s="405" t="s">
        <v>17342</v>
      </c>
      <c r="H984" s="405">
        <v>772099792</v>
      </c>
      <c r="I984" s="405" t="s">
        <v>17343</v>
      </c>
      <c r="J984" s="405">
        <v>0.34653699999999998</v>
      </c>
      <c r="K984" s="405">
        <v>32.763612000000002</v>
      </c>
      <c r="L984" s="405" t="s">
        <v>16357</v>
      </c>
      <c r="M984" s="405" t="s">
        <v>9590</v>
      </c>
      <c r="N984" s="405" t="s">
        <v>17344</v>
      </c>
      <c r="O984" s="405" t="s">
        <v>17345</v>
      </c>
      <c r="P984" s="405" t="s">
        <v>17346</v>
      </c>
      <c r="Q984" s="411">
        <v>13</v>
      </c>
      <c r="R984" s="405" t="s">
        <v>32157</v>
      </c>
      <c r="S984" s="405" t="s">
        <v>27054</v>
      </c>
      <c r="T984" s="405" t="s">
        <v>32102</v>
      </c>
      <c r="U984" s="405" t="s">
        <v>319</v>
      </c>
    </row>
    <row r="985" spans="1:21" x14ac:dyDescent="0.25">
      <c r="A985" s="405" t="s">
        <v>310</v>
      </c>
      <c r="B985" s="405" t="s">
        <v>8269</v>
      </c>
      <c r="C985" s="405" t="s">
        <v>327</v>
      </c>
      <c r="D985" s="405"/>
      <c r="E985" s="410">
        <v>44033</v>
      </c>
      <c r="F985" s="410">
        <v>44046</v>
      </c>
      <c r="G985" s="405" t="s">
        <v>8270</v>
      </c>
      <c r="H985" s="405" t="s">
        <v>8271</v>
      </c>
      <c r="I985" s="405" t="s">
        <v>8272</v>
      </c>
      <c r="J985" s="405">
        <v>0.31326999999999999</v>
      </c>
      <c r="K985" s="405">
        <v>32.724093000000003</v>
      </c>
      <c r="L985" s="405" t="s">
        <v>6897</v>
      </c>
      <c r="M985" s="405" t="s">
        <v>329</v>
      </c>
      <c r="N985" s="405" t="s">
        <v>7987</v>
      </c>
      <c r="O985" s="405" t="s">
        <v>630</v>
      </c>
      <c r="P985" s="405" t="s">
        <v>8273</v>
      </c>
      <c r="Q985" s="411">
        <v>9</v>
      </c>
      <c r="R985" s="405" t="s">
        <v>6798</v>
      </c>
      <c r="S985" s="405" t="s">
        <v>27049</v>
      </c>
      <c r="T985" s="405" t="s">
        <v>32102</v>
      </c>
      <c r="U985" s="405" t="s">
        <v>319</v>
      </c>
    </row>
    <row r="986" spans="1:21" x14ac:dyDescent="0.25">
      <c r="A986" s="405" t="s">
        <v>310</v>
      </c>
      <c r="B986" s="405" t="s">
        <v>26107</v>
      </c>
      <c r="C986" s="405" t="s">
        <v>327</v>
      </c>
      <c r="D986" s="405"/>
      <c r="E986" s="410">
        <v>44032</v>
      </c>
      <c r="F986" s="410">
        <v>44112</v>
      </c>
      <c r="G986" s="405" t="s">
        <v>26108</v>
      </c>
      <c r="H986" s="405" t="s">
        <v>26109</v>
      </c>
      <c r="I986" s="405" t="s">
        <v>26110</v>
      </c>
      <c r="J986" s="405">
        <v>0.35273700000000002</v>
      </c>
      <c r="K986" s="405">
        <v>32.561532</v>
      </c>
      <c r="L986" s="405" t="s">
        <v>590</v>
      </c>
      <c r="M986" s="405" t="s">
        <v>19608</v>
      </c>
      <c r="N986" s="405" t="s">
        <v>19608</v>
      </c>
      <c r="O986" s="405" t="s">
        <v>20953</v>
      </c>
      <c r="P986" s="405" t="s">
        <v>8249</v>
      </c>
      <c r="Q986" s="411">
        <v>13</v>
      </c>
      <c r="R986" s="405" t="s">
        <v>32157</v>
      </c>
      <c r="S986" s="405" t="s">
        <v>27046</v>
      </c>
      <c r="T986" s="405" t="s">
        <v>32102</v>
      </c>
      <c r="U986" s="405" t="s">
        <v>319</v>
      </c>
    </row>
    <row r="987" spans="1:21" x14ac:dyDescent="0.25">
      <c r="A987" s="405" t="s">
        <v>310</v>
      </c>
      <c r="B987" s="405" t="s">
        <v>8367</v>
      </c>
      <c r="C987" s="405" t="s">
        <v>327</v>
      </c>
      <c r="D987" s="405"/>
      <c r="E987" s="410">
        <v>44032</v>
      </c>
      <c r="F987" s="410">
        <v>44087</v>
      </c>
      <c r="G987" s="405" t="s">
        <v>8368</v>
      </c>
      <c r="H987" s="405" t="s">
        <v>8369</v>
      </c>
      <c r="I987" s="405" t="s">
        <v>8370</v>
      </c>
      <c r="J987" s="405">
        <v>0.34837400000000002</v>
      </c>
      <c r="K987" s="405">
        <v>32.679155999999999</v>
      </c>
      <c r="L987" s="405" t="s">
        <v>314</v>
      </c>
      <c r="M987" s="405" t="s">
        <v>361</v>
      </c>
      <c r="N987" s="405" t="s">
        <v>7431</v>
      </c>
      <c r="O987" s="405" t="s">
        <v>3103</v>
      </c>
      <c r="P987" s="405" t="s">
        <v>8371</v>
      </c>
      <c r="Q987" s="411">
        <v>6</v>
      </c>
      <c r="R987" s="405" t="s">
        <v>5921</v>
      </c>
      <c r="S987" s="405" t="s">
        <v>32960</v>
      </c>
      <c r="T987" s="405" t="s">
        <v>32102</v>
      </c>
      <c r="U987" s="405" t="s">
        <v>319</v>
      </c>
    </row>
    <row r="988" spans="1:21" x14ac:dyDescent="0.25">
      <c r="A988" s="405" t="s">
        <v>310</v>
      </c>
      <c r="B988" s="405" t="s">
        <v>17373</v>
      </c>
      <c r="C988" s="405" t="s">
        <v>327</v>
      </c>
      <c r="D988" s="405"/>
      <c r="E988" s="410">
        <v>44032</v>
      </c>
      <c r="F988" s="410">
        <v>44043</v>
      </c>
      <c r="G988" s="405" t="s">
        <v>17374</v>
      </c>
      <c r="H988" s="405">
        <v>775429585</v>
      </c>
      <c r="I988" s="405" t="s">
        <v>17375</v>
      </c>
      <c r="J988" s="405">
        <v>0.50059200000000004</v>
      </c>
      <c r="K988" s="405">
        <v>33.174684999999997</v>
      </c>
      <c r="L988" s="405" t="s">
        <v>6866</v>
      </c>
      <c r="M988" s="405" t="s">
        <v>9590</v>
      </c>
      <c r="N988" s="405" t="s">
        <v>9591</v>
      </c>
      <c r="O988" s="405" t="s">
        <v>9592</v>
      </c>
      <c r="P988" s="405" t="s">
        <v>17376</v>
      </c>
      <c r="Q988" s="411">
        <v>6</v>
      </c>
      <c r="R988" s="405" t="s">
        <v>32164</v>
      </c>
      <c r="S988" s="405" t="s">
        <v>27174</v>
      </c>
      <c r="T988" s="405" t="s">
        <v>32102</v>
      </c>
      <c r="U988" s="405" t="s">
        <v>319</v>
      </c>
    </row>
    <row r="989" spans="1:21" x14ac:dyDescent="0.25">
      <c r="A989" s="405" t="s">
        <v>310</v>
      </c>
      <c r="B989" s="405" t="s">
        <v>25942</v>
      </c>
      <c r="C989" s="405" t="s">
        <v>327</v>
      </c>
      <c r="D989" s="405"/>
      <c r="E989" s="410">
        <v>44031</v>
      </c>
      <c r="F989" s="410">
        <v>44043</v>
      </c>
      <c r="G989" s="405" t="s">
        <v>25943</v>
      </c>
      <c r="H989" s="405">
        <v>783381438</v>
      </c>
      <c r="I989" s="405">
        <v>782807316</v>
      </c>
      <c r="J989" s="405">
        <v>-0.77309000000000005</v>
      </c>
      <c r="K989" s="405">
        <v>29.897687000000001</v>
      </c>
      <c r="L989" s="405" t="s">
        <v>590</v>
      </c>
      <c r="M989" s="405" t="s">
        <v>19619</v>
      </c>
      <c r="N989" s="405" t="s">
        <v>19765</v>
      </c>
      <c r="O989" s="405" t="s">
        <v>9881</v>
      </c>
      <c r="P989" s="405" t="s">
        <v>23438</v>
      </c>
      <c r="Q989" s="411">
        <v>9</v>
      </c>
      <c r="R989" s="405" t="s">
        <v>6572</v>
      </c>
      <c r="S989" s="405" t="s">
        <v>27193</v>
      </c>
      <c r="T989" s="405" t="s">
        <v>32102</v>
      </c>
      <c r="U989" s="405" t="s">
        <v>319</v>
      </c>
    </row>
    <row r="990" spans="1:21" x14ac:dyDescent="0.25">
      <c r="A990" s="405" t="s">
        <v>310</v>
      </c>
      <c r="B990" s="405" t="s">
        <v>26041</v>
      </c>
      <c r="C990" s="405" t="s">
        <v>327</v>
      </c>
      <c r="D990" s="405"/>
      <c r="E990" s="410">
        <v>44030</v>
      </c>
      <c r="F990" s="410">
        <v>44088</v>
      </c>
      <c r="G990" s="405" t="s">
        <v>26042</v>
      </c>
      <c r="H990" s="405" t="s">
        <v>26043</v>
      </c>
      <c r="I990" s="405" t="s">
        <v>26044</v>
      </c>
      <c r="J990" s="405">
        <v>-1.2887230000000001</v>
      </c>
      <c r="K990" s="405">
        <v>29.691244999999999</v>
      </c>
      <c r="L990" s="405" t="s">
        <v>590</v>
      </c>
      <c r="M990" s="405" t="s">
        <v>20070</v>
      </c>
      <c r="N990" s="405" t="s">
        <v>26045</v>
      </c>
      <c r="O990" s="405" t="s">
        <v>26046</v>
      </c>
      <c r="P990" s="405" t="s">
        <v>26047</v>
      </c>
      <c r="Q990" s="411">
        <v>9</v>
      </c>
      <c r="R990" s="405" t="s">
        <v>24106</v>
      </c>
      <c r="S990" s="405" t="s">
        <v>27102</v>
      </c>
      <c r="T990" s="405" t="s">
        <v>32102</v>
      </c>
      <c r="U990" s="405" t="s">
        <v>319</v>
      </c>
    </row>
    <row r="991" spans="1:21" x14ac:dyDescent="0.25">
      <c r="A991" s="405" t="s">
        <v>310</v>
      </c>
      <c r="B991" s="405" t="s">
        <v>8296</v>
      </c>
      <c r="C991" s="405" t="s">
        <v>327</v>
      </c>
      <c r="D991" s="405"/>
      <c r="E991" s="410">
        <v>44030</v>
      </c>
      <c r="F991" s="410">
        <v>44048</v>
      </c>
      <c r="G991" s="405" t="s">
        <v>8297</v>
      </c>
      <c r="H991" s="405">
        <v>701404725</v>
      </c>
      <c r="I991" s="405" t="s">
        <v>2913</v>
      </c>
      <c r="J991" s="405">
        <v>0.32825700000000002</v>
      </c>
      <c r="K991" s="405">
        <v>32.430647</v>
      </c>
      <c r="L991" s="405" t="s">
        <v>314</v>
      </c>
      <c r="M991" s="405" t="s">
        <v>361</v>
      </c>
      <c r="N991" s="405" t="s">
        <v>374</v>
      </c>
      <c r="O991" s="405" t="s">
        <v>2363</v>
      </c>
      <c r="P991" s="405" t="s">
        <v>8298</v>
      </c>
      <c r="Q991" s="411">
        <v>9</v>
      </c>
      <c r="R991" s="405" t="s">
        <v>32101</v>
      </c>
      <c r="S991" s="405" t="s">
        <v>27164</v>
      </c>
      <c r="T991" s="405" t="s">
        <v>32102</v>
      </c>
      <c r="U991" s="405" t="s">
        <v>319</v>
      </c>
    </row>
    <row r="992" spans="1:21" x14ac:dyDescent="0.25">
      <c r="A992" s="405" t="s">
        <v>310</v>
      </c>
      <c r="B992" s="405" t="s">
        <v>8263</v>
      </c>
      <c r="C992" s="405" t="s">
        <v>327</v>
      </c>
      <c r="D992" s="405"/>
      <c r="E992" s="410">
        <v>44030</v>
      </c>
      <c r="F992" s="410">
        <v>44044</v>
      </c>
      <c r="G992" s="405" t="s">
        <v>8264</v>
      </c>
      <c r="H992" s="405" t="s">
        <v>8265</v>
      </c>
      <c r="I992" s="405" t="s">
        <v>8266</v>
      </c>
      <c r="J992" s="405">
        <v>0.17893999999999999</v>
      </c>
      <c r="K992" s="405">
        <v>32.497706999999998</v>
      </c>
      <c r="L992" s="405" t="s">
        <v>6897</v>
      </c>
      <c r="M992" s="405" t="s">
        <v>361</v>
      </c>
      <c r="N992" s="405" t="s">
        <v>8260</v>
      </c>
      <c r="O992" s="405" t="s">
        <v>8267</v>
      </c>
      <c r="P992" s="405" t="s">
        <v>8268</v>
      </c>
      <c r="Q992" s="411">
        <v>6</v>
      </c>
      <c r="R992" s="405" t="s">
        <v>6798</v>
      </c>
      <c r="S992" s="405" t="s">
        <v>27248</v>
      </c>
      <c r="T992" s="405" t="s">
        <v>32102</v>
      </c>
      <c r="U992" s="405" t="s">
        <v>319</v>
      </c>
    </row>
    <row r="993" spans="1:21" x14ac:dyDescent="0.25">
      <c r="A993" s="405" t="s">
        <v>310</v>
      </c>
      <c r="B993" s="405" t="s">
        <v>17370</v>
      </c>
      <c r="C993" s="405" t="s">
        <v>327</v>
      </c>
      <c r="D993" s="405"/>
      <c r="E993" s="410">
        <v>44030</v>
      </c>
      <c r="F993" s="410">
        <v>44033</v>
      </c>
      <c r="G993" s="405" t="s">
        <v>17371</v>
      </c>
      <c r="H993" s="405">
        <v>776427139</v>
      </c>
      <c r="I993" s="405">
        <v>706519330</v>
      </c>
      <c r="J993" s="405">
        <v>0.438807</v>
      </c>
      <c r="K993" s="405">
        <v>33.208055999999999</v>
      </c>
      <c r="L993" s="405" t="s">
        <v>6866</v>
      </c>
      <c r="M993" s="405" t="s">
        <v>9590</v>
      </c>
      <c r="N993" s="405" t="s">
        <v>13744</v>
      </c>
      <c r="O993" s="405" t="s">
        <v>15093</v>
      </c>
      <c r="P993" s="405" t="s">
        <v>17372</v>
      </c>
      <c r="Q993" s="411">
        <v>6</v>
      </c>
      <c r="R993" s="405" t="s">
        <v>32164</v>
      </c>
      <c r="S993" s="405" t="s">
        <v>27276</v>
      </c>
      <c r="T993" s="405" t="s">
        <v>32102</v>
      </c>
      <c r="U993" s="405" t="s">
        <v>319</v>
      </c>
    </row>
    <row r="994" spans="1:21" x14ac:dyDescent="0.25">
      <c r="A994" s="405" t="s">
        <v>310</v>
      </c>
      <c r="B994" s="405" t="s">
        <v>8372</v>
      </c>
      <c r="C994" s="405" t="s">
        <v>327</v>
      </c>
      <c r="D994" s="405"/>
      <c r="E994" s="410">
        <v>44029</v>
      </c>
      <c r="F994" s="410">
        <v>44121</v>
      </c>
      <c r="G994" s="405" t="s">
        <v>8373</v>
      </c>
      <c r="H994" s="405" t="s">
        <v>8374</v>
      </c>
      <c r="I994" s="405" t="s">
        <v>8374</v>
      </c>
      <c r="J994" s="405">
        <v>0.73178200000000004</v>
      </c>
      <c r="K994" s="405">
        <v>32.532252</v>
      </c>
      <c r="L994" s="405" t="s">
        <v>6994</v>
      </c>
      <c r="M994" s="405" t="s">
        <v>959</v>
      </c>
      <c r="N994" s="405" t="s">
        <v>4032</v>
      </c>
      <c r="O994" s="405" t="s">
        <v>1094</v>
      </c>
      <c r="P994" s="405" t="s">
        <v>8375</v>
      </c>
      <c r="Q994" s="411">
        <v>9</v>
      </c>
      <c r="R994" s="405" t="s">
        <v>4176</v>
      </c>
      <c r="S994" s="405" t="s">
        <v>27053</v>
      </c>
      <c r="T994" s="405" t="s">
        <v>32102</v>
      </c>
      <c r="U994" s="405" t="s">
        <v>319</v>
      </c>
    </row>
    <row r="995" spans="1:21" x14ac:dyDescent="0.25">
      <c r="A995" s="405" t="s">
        <v>310</v>
      </c>
      <c r="B995" s="405" t="s">
        <v>9012</v>
      </c>
      <c r="C995" s="405" t="s">
        <v>327</v>
      </c>
      <c r="D995" s="405"/>
      <c r="E995" s="410">
        <v>44028</v>
      </c>
      <c r="F995" s="410">
        <v>44041</v>
      </c>
      <c r="G995" s="405" t="s">
        <v>9013</v>
      </c>
      <c r="H995" s="405">
        <v>752260891</v>
      </c>
      <c r="I995" s="405" t="s">
        <v>9014</v>
      </c>
      <c r="J995" s="405">
        <v>4.233E-2</v>
      </c>
      <c r="K995" s="405">
        <v>32.060662999999998</v>
      </c>
      <c r="L995" s="405" t="s">
        <v>314</v>
      </c>
      <c r="M995" s="405" t="s">
        <v>321</v>
      </c>
      <c r="N995" s="405" t="s">
        <v>1854</v>
      </c>
      <c r="O995" s="405" t="s">
        <v>841</v>
      </c>
      <c r="P995" s="405" t="s">
        <v>9015</v>
      </c>
      <c r="Q995" s="411">
        <v>9</v>
      </c>
      <c r="R995" s="405" t="s">
        <v>32101</v>
      </c>
      <c r="S995" s="405" t="s">
        <v>27273</v>
      </c>
      <c r="T995" s="405" t="s">
        <v>32102</v>
      </c>
      <c r="U995" s="405" t="s">
        <v>319</v>
      </c>
    </row>
    <row r="996" spans="1:21" x14ac:dyDescent="0.25">
      <c r="A996" s="405" t="s">
        <v>310</v>
      </c>
      <c r="B996" s="405" t="s">
        <v>17367</v>
      </c>
      <c r="C996" s="405" t="s">
        <v>327</v>
      </c>
      <c r="D996" s="405"/>
      <c r="E996" s="410">
        <v>44028</v>
      </c>
      <c r="F996" s="410">
        <v>44030</v>
      </c>
      <c r="G996" s="405" t="s">
        <v>17368</v>
      </c>
      <c r="H996" s="405">
        <v>753351370</v>
      </c>
      <c r="I996" s="405">
        <v>772344592</v>
      </c>
      <c r="J996" s="405">
        <v>0.51117299999999999</v>
      </c>
      <c r="K996" s="405">
        <v>33.229478</v>
      </c>
      <c r="L996" s="405" t="s">
        <v>6866</v>
      </c>
      <c r="M996" s="405" t="s">
        <v>9590</v>
      </c>
      <c r="N996" s="405" t="s">
        <v>9591</v>
      </c>
      <c r="O996" s="405" t="s">
        <v>9592</v>
      </c>
      <c r="P996" s="405" t="s">
        <v>17369</v>
      </c>
      <c r="Q996" s="411">
        <v>6</v>
      </c>
      <c r="R996" s="405" t="s">
        <v>32164</v>
      </c>
      <c r="S996" s="405" t="s">
        <v>27080</v>
      </c>
      <c r="T996" s="405" t="s">
        <v>32102</v>
      </c>
      <c r="U996" s="405" t="s">
        <v>319</v>
      </c>
    </row>
    <row r="997" spans="1:21" x14ac:dyDescent="0.25">
      <c r="A997" s="405" t="s">
        <v>310</v>
      </c>
      <c r="B997" s="405" t="s">
        <v>26038</v>
      </c>
      <c r="C997" s="405" t="s">
        <v>327</v>
      </c>
      <c r="D997" s="405"/>
      <c r="E997" s="410">
        <v>44026</v>
      </c>
      <c r="F997" s="410">
        <v>44089</v>
      </c>
      <c r="G997" s="405" t="s">
        <v>26039</v>
      </c>
      <c r="H997" s="405">
        <v>787474141</v>
      </c>
      <c r="I997" s="405">
        <v>787474141</v>
      </c>
      <c r="J997" s="405">
        <v>-1.260132</v>
      </c>
      <c r="K997" s="405">
        <v>29.730338</v>
      </c>
      <c r="L997" s="405" t="s">
        <v>590</v>
      </c>
      <c r="M997" s="405" t="s">
        <v>20070</v>
      </c>
      <c r="N997" s="405" t="s">
        <v>25919</v>
      </c>
      <c r="O997" s="405" t="s">
        <v>24104</v>
      </c>
      <c r="P997" s="405" t="s">
        <v>26040</v>
      </c>
      <c r="Q997" s="411">
        <v>6</v>
      </c>
      <c r="R997" s="405" t="s">
        <v>24106</v>
      </c>
      <c r="S997" s="405" t="s">
        <v>27102</v>
      </c>
      <c r="T997" s="405" t="s">
        <v>32102</v>
      </c>
      <c r="U997" s="405" t="s">
        <v>319</v>
      </c>
    </row>
    <row r="998" spans="1:21" x14ac:dyDescent="0.25">
      <c r="A998" s="405" t="s">
        <v>310</v>
      </c>
      <c r="B998" s="405" t="s">
        <v>8279</v>
      </c>
      <c r="C998" s="405" t="s">
        <v>327</v>
      </c>
      <c r="D998" s="405"/>
      <c r="E998" s="410">
        <v>44024</v>
      </c>
      <c r="F998" s="410">
        <v>44050</v>
      </c>
      <c r="G998" s="405" t="s">
        <v>8280</v>
      </c>
      <c r="H998" s="405">
        <v>755697970</v>
      </c>
      <c r="I998" s="405" t="s">
        <v>2913</v>
      </c>
      <c r="J998" s="405">
        <v>-0.34499000000000002</v>
      </c>
      <c r="K998" s="405">
        <v>31.654088000000002</v>
      </c>
      <c r="L998" s="405" t="s">
        <v>314</v>
      </c>
      <c r="M998" s="405" t="s">
        <v>1189</v>
      </c>
      <c r="N998" s="405" t="s">
        <v>1189</v>
      </c>
      <c r="O998" s="405" t="s">
        <v>1189</v>
      </c>
      <c r="P998" s="405" t="s">
        <v>8281</v>
      </c>
      <c r="Q998" s="411">
        <v>9</v>
      </c>
      <c r="R998" s="405" t="s">
        <v>32101</v>
      </c>
      <c r="S998" s="405" t="s">
        <v>27181</v>
      </c>
      <c r="T998" s="405" t="s">
        <v>32102</v>
      </c>
      <c r="U998" s="405" t="s">
        <v>319</v>
      </c>
    </row>
    <row r="999" spans="1:21" x14ac:dyDescent="0.25">
      <c r="A999" s="405" t="s">
        <v>310</v>
      </c>
      <c r="B999" s="405" t="s">
        <v>8250</v>
      </c>
      <c r="C999" s="405" t="s">
        <v>327</v>
      </c>
      <c r="D999" s="405"/>
      <c r="E999" s="410">
        <v>44024</v>
      </c>
      <c r="F999" s="410">
        <v>44036</v>
      </c>
      <c r="G999" s="405" t="s">
        <v>8251</v>
      </c>
      <c r="H999" s="405" t="s">
        <v>8252</v>
      </c>
      <c r="I999" s="405" t="s">
        <v>2913</v>
      </c>
      <c r="J999" s="405">
        <v>0.42132799999999998</v>
      </c>
      <c r="K999" s="405">
        <v>32.693466999999998</v>
      </c>
      <c r="L999" s="405" t="s">
        <v>314</v>
      </c>
      <c r="M999" s="405" t="s">
        <v>329</v>
      </c>
      <c r="N999" s="405" t="s">
        <v>3817</v>
      </c>
      <c r="O999" s="405" t="s">
        <v>329</v>
      </c>
      <c r="P999" s="405" t="s">
        <v>8253</v>
      </c>
      <c r="Q999" s="411">
        <v>6</v>
      </c>
      <c r="R999" s="405" t="s">
        <v>32157</v>
      </c>
      <c r="S999" s="405" t="s">
        <v>27035</v>
      </c>
      <c r="T999" s="405" t="s">
        <v>32102</v>
      </c>
      <c r="U999" s="405" t="s">
        <v>319</v>
      </c>
    </row>
    <row r="1000" spans="1:21" x14ac:dyDescent="0.25">
      <c r="A1000" s="405" t="s">
        <v>310</v>
      </c>
      <c r="B1000" s="405" t="s">
        <v>8254</v>
      </c>
      <c r="C1000" s="405" t="s">
        <v>327</v>
      </c>
      <c r="D1000" s="405"/>
      <c r="E1000" s="410">
        <v>44022</v>
      </c>
      <c r="F1000" s="410">
        <v>44033</v>
      </c>
      <c r="G1000" s="405" t="s">
        <v>8255</v>
      </c>
      <c r="H1000" s="405" t="s">
        <v>8256</v>
      </c>
      <c r="I1000" s="405" t="s">
        <v>8256</v>
      </c>
      <c r="J1000" s="405">
        <v>0.326127</v>
      </c>
      <c r="K1000" s="405">
        <v>32.769088000000004</v>
      </c>
      <c r="L1000" s="405" t="s">
        <v>6897</v>
      </c>
      <c r="M1000" s="405" t="s">
        <v>329</v>
      </c>
      <c r="N1000" s="405" t="s">
        <v>1107</v>
      </c>
      <c r="O1000" s="405" t="s">
        <v>653</v>
      </c>
      <c r="P1000" s="405" t="s">
        <v>611</v>
      </c>
      <c r="Q1000" s="411">
        <v>13</v>
      </c>
      <c r="R1000" s="405" t="s">
        <v>32157</v>
      </c>
      <c r="S1000" s="405" t="s">
        <v>27054</v>
      </c>
      <c r="T1000" s="405" t="s">
        <v>32102</v>
      </c>
      <c r="U1000" s="405" t="s">
        <v>319</v>
      </c>
    </row>
    <row r="1001" spans="1:21" x14ac:dyDescent="0.25">
      <c r="A1001" s="405" t="s">
        <v>310</v>
      </c>
      <c r="B1001" s="405" t="s">
        <v>17364</v>
      </c>
      <c r="C1001" s="405" t="s">
        <v>327</v>
      </c>
      <c r="D1001" s="405"/>
      <c r="E1001" s="410">
        <v>44022</v>
      </c>
      <c r="F1001" s="410">
        <v>44037</v>
      </c>
      <c r="G1001" s="405" t="s">
        <v>17365</v>
      </c>
      <c r="H1001" s="405">
        <v>755332806</v>
      </c>
      <c r="I1001" s="405" t="s">
        <v>2913</v>
      </c>
      <c r="J1001" s="405">
        <v>0.58122799999999997</v>
      </c>
      <c r="K1001" s="405">
        <v>33.131461999999999</v>
      </c>
      <c r="L1001" s="405" t="s">
        <v>6866</v>
      </c>
      <c r="M1001" s="405" t="s">
        <v>9590</v>
      </c>
      <c r="N1001" s="405" t="s">
        <v>542</v>
      </c>
      <c r="O1001" s="405" t="s">
        <v>12090</v>
      </c>
      <c r="P1001" s="405" t="s">
        <v>17366</v>
      </c>
      <c r="Q1001" s="411">
        <v>6</v>
      </c>
      <c r="R1001" s="405" t="s">
        <v>32164</v>
      </c>
      <c r="S1001" s="405" t="s">
        <v>6822</v>
      </c>
      <c r="T1001" s="405" t="s">
        <v>32102</v>
      </c>
      <c r="U1001" s="405" t="s">
        <v>319</v>
      </c>
    </row>
    <row r="1002" spans="1:21" x14ac:dyDescent="0.25">
      <c r="A1002" s="405" t="s">
        <v>310</v>
      </c>
      <c r="B1002" s="405" t="s">
        <v>8282</v>
      </c>
      <c r="C1002" s="405" t="s">
        <v>327</v>
      </c>
      <c r="D1002" s="405"/>
      <c r="E1002" s="410">
        <v>44021</v>
      </c>
      <c r="F1002" s="410">
        <v>44047</v>
      </c>
      <c r="G1002" s="405" t="s">
        <v>8283</v>
      </c>
      <c r="H1002" s="405">
        <v>775540657</v>
      </c>
      <c r="I1002" s="405" t="s">
        <v>2913</v>
      </c>
      <c r="J1002" s="405">
        <v>0.19512299999999999</v>
      </c>
      <c r="K1002" s="405">
        <v>32.024217999999998</v>
      </c>
      <c r="L1002" s="405" t="s">
        <v>314</v>
      </c>
      <c r="M1002" s="405" t="s">
        <v>339</v>
      </c>
      <c r="N1002" s="405" t="s">
        <v>339</v>
      </c>
      <c r="O1002" s="405" t="s">
        <v>5766</v>
      </c>
      <c r="P1002" s="405" t="s">
        <v>8284</v>
      </c>
      <c r="Q1002" s="411">
        <v>6</v>
      </c>
      <c r="R1002" s="405" t="s">
        <v>32101</v>
      </c>
      <c r="S1002" s="405" t="s">
        <v>27167</v>
      </c>
      <c r="T1002" s="405" t="s">
        <v>32102</v>
      </c>
      <c r="U1002" s="405" t="s">
        <v>319</v>
      </c>
    </row>
    <row r="1003" spans="1:21" x14ac:dyDescent="0.25">
      <c r="A1003" s="405" t="s">
        <v>310</v>
      </c>
      <c r="B1003" s="405" t="s">
        <v>8238</v>
      </c>
      <c r="C1003" s="405" t="s">
        <v>327</v>
      </c>
      <c r="D1003" s="405"/>
      <c r="E1003" s="410">
        <v>44020</v>
      </c>
      <c r="F1003" s="410">
        <v>44037</v>
      </c>
      <c r="G1003" s="405" t="s">
        <v>8239</v>
      </c>
      <c r="H1003" s="405">
        <v>704154766</v>
      </c>
      <c r="I1003" s="405" t="s">
        <v>8240</v>
      </c>
      <c r="J1003" s="405">
        <v>-6.9579999999999998E-3</v>
      </c>
      <c r="K1003" s="405">
        <v>32.010604999999998</v>
      </c>
      <c r="L1003" s="405" t="s">
        <v>314</v>
      </c>
      <c r="M1003" s="405" t="s">
        <v>321</v>
      </c>
      <c r="N1003" s="405" t="s">
        <v>1854</v>
      </c>
      <c r="O1003" s="405" t="s">
        <v>2436</v>
      </c>
      <c r="P1003" s="405" t="s">
        <v>8241</v>
      </c>
      <c r="Q1003" s="411">
        <v>6</v>
      </c>
      <c r="R1003" s="405" t="s">
        <v>32101</v>
      </c>
      <c r="S1003" s="405" t="s">
        <v>27273</v>
      </c>
      <c r="T1003" s="405" t="s">
        <v>32102</v>
      </c>
      <c r="U1003" s="405" t="s">
        <v>319</v>
      </c>
    </row>
    <row r="1004" spans="1:21" x14ac:dyDescent="0.25">
      <c r="A1004" s="405" t="s">
        <v>310</v>
      </c>
      <c r="B1004" s="405" t="s">
        <v>17352</v>
      </c>
      <c r="C1004" s="405" t="s">
        <v>327</v>
      </c>
      <c r="D1004" s="405"/>
      <c r="E1004" s="410">
        <v>44019</v>
      </c>
      <c r="F1004" s="410">
        <v>44040</v>
      </c>
      <c r="G1004" s="405" t="s">
        <v>17353</v>
      </c>
      <c r="H1004" s="405">
        <v>754641224</v>
      </c>
      <c r="I1004" s="405" t="s">
        <v>17354</v>
      </c>
      <c r="J1004" s="405">
        <v>0.73069600000000001</v>
      </c>
      <c r="K1004" s="405">
        <v>33.120565999999997</v>
      </c>
      <c r="L1004" s="405" t="s">
        <v>6866</v>
      </c>
      <c r="M1004" s="405" t="s">
        <v>3009</v>
      </c>
      <c r="N1004" s="405" t="s">
        <v>9842</v>
      </c>
      <c r="O1004" s="405" t="s">
        <v>4091</v>
      </c>
      <c r="P1004" s="405" t="s">
        <v>17355</v>
      </c>
      <c r="Q1004" s="411">
        <v>9</v>
      </c>
      <c r="R1004" s="405" t="s">
        <v>17270</v>
      </c>
      <c r="S1004" s="405" t="s">
        <v>27080</v>
      </c>
      <c r="T1004" s="405" t="s">
        <v>32102</v>
      </c>
      <c r="U1004" s="405" t="s">
        <v>319</v>
      </c>
    </row>
    <row r="1005" spans="1:21" x14ac:dyDescent="0.25">
      <c r="A1005" s="405" t="s">
        <v>310</v>
      </c>
      <c r="B1005" s="405" t="s">
        <v>8217</v>
      </c>
      <c r="C1005" s="405" t="s">
        <v>327</v>
      </c>
      <c r="D1005" s="405"/>
      <c r="E1005" s="410">
        <v>44019</v>
      </c>
      <c r="F1005" s="410">
        <v>44034</v>
      </c>
      <c r="G1005" s="405" t="s">
        <v>8218</v>
      </c>
      <c r="H1005" s="405" t="s">
        <v>8219</v>
      </c>
      <c r="I1005" s="405" t="s">
        <v>8219</v>
      </c>
      <c r="J1005" s="405">
        <v>0.26526</v>
      </c>
      <c r="K1005" s="405">
        <v>32.439745000000002</v>
      </c>
      <c r="L1005" s="405" t="s">
        <v>6897</v>
      </c>
      <c r="M1005" s="405" t="s">
        <v>361</v>
      </c>
      <c r="N1005" s="405" t="s">
        <v>374</v>
      </c>
      <c r="O1005" s="405" t="s">
        <v>375</v>
      </c>
      <c r="P1005" s="405" t="s">
        <v>5920</v>
      </c>
      <c r="Q1005" s="411">
        <v>6</v>
      </c>
      <c r="R1005" s="405" t="s">
        <v>4176</v>
      </c>
      <c r="S1005" s="405" t="s">
        <v>27053</v>
      </c>
      <c r="T1005" s="405" t="s">
        <v>32102</v>
      </c>
      <c r="U1005" s="405" t="s">
        <v>319</v>
      </c>
    </row>
    <row r="1006" spans="1:21" x14ac:dyDescent="0.25">
      <c r="A1006" s="405" t="s">
        <v>310</v>
      </c>
      <c r="B1006" s="405" t="s">
        <v>8235</v>
      </c>
      <c r="C1006" s="405" t="s">
        <v>327</v>
      </c>
      <c r="D1006" s="405"/>
      <c r="E1006" s="410">
        <v>44018</v>
      </c>
      <c r="F1006" s="410">
        <v>44042</v>
      </c>
      <c r="G1006" s="405" t="s">
        <v>8236</v>
      </c>
      <c r="H1006" s="405">
        <v>703312024</v>
      </c>
      <c r="I1006" s="405" t="s">
        <v>2913</v>
      </c>
      <c r="J1006" s="405">
        <v>-6.9932999999999995E-2</v>
      </c>
      <c r="K1006" s="405">
        <v>31.957495000000002</v>
      </c>
      <c r="L1006" s="405" t="s">
        <v>314</v>
      </c>
      <c r="M1006" s="405" t="s">
        <v>321</v>
      </c>
      <c r="N1006" s="405" t="s">
        <v>1854</v>
      </c>
      <c r="O1006" s="405" t="s">
        <v>2436</v>
      </c>
      <c r="P1006" s="405" t="s">
        <v>8237</v>
      </c>
      <c r="Q1006" s="411">
        <v>6</v>
      </c>
      <c r="R1006" s="405" t="s">
        <v>32101</v>
      </c>
      <c r="S1006" s="405" t="s">
        <v>27243</v>
      </c>
      <c r="T1006" s="405" t="s">
        <v>32102</v>
      </c>
      <c r="U1006" s="405" t="s">
        <v>319</v>
      </c>
    </row>
    <row r="1007" spans="1:21" x14ac:dyDescent="0.25">
      <c r="A1007" s="405" t="s">
        <v>310</v>
      </c>
      <c r="B1007" s="405" t="s">
        <v>25939</v>
      </c>
      <c r="C1007" s="405" t="s">
        <v>327</v>
      </c>
      <c r="D1007" s="405"/>
      <c r="E1007" s="410">
        <v>44017</v>
      </c>
      <c r="F1007" s="410">
        <v>44038</v>
      </c>
      <c r="G1007" s="405" t="s">
        <v>25940</v>
      </c>
      <c r="H1007" s="405">
        <v>772342733</v>
      </c>
      <c r="I1007" s="405" t="s">
        <v>25941</v>
      </c>
      <c r="J1007" s="405">
        <v>-0.68576199999999998</v>
      </c>
      <c r="K1007" s="405">
        <v>29.960362</v>
      </c>
      <c r="L1007" s="405" t="s">
        <v>590</v>
      </c>
      <c r="M1007" s="405" t="s">
        <v>19619</v>
      </c>
      <c r="N1007" s="405" t="s">
        <v>19793</v>
      </c>
      <c r="O1007" s="405" t="s">
        <v>20033</v>
      </c>
      <c r="P1007" s="405" t="s">
        <v>20084</v>
      </c>
      <c r="Q1007" s="411">
        <v>9</v>
      </c>
      <c r="R1007" s="405" t="s">
        <v>6572</v>
      </c>
      <c r="S1007" s="405" t="s">
        <v>27065</v>
      </c>
      <c r="T1007" s="405" t="s">
        <v>32102</v>
      </c>
      <c r="U1007" s="405" t="s">
        <v>319</v>
      </c>
    </row>
    <row r="1008" spans="1:21" x14ac:dyDescent="0.25">
      <c r="A1008" s="405" t="s">
        <v>310</v>
      </c>
      <c r="B1008" s="405" t="s">
        <v>25967</v>
      </c>
      <c r="C1008" s="405" t="s">
        <v>327</v>
      </c>
      <c r="D1008" s="405"/>
      <c r="E1008" s="410">
        <v>44016</v>
      </c>
      <c r="F1008" s="410">
        <v>44047</v>
      </c>
      <c r="G1008" s="405" t="s">
        <v>25968</v>
      </c>
      <c r="H1008" s="405">
        <v>775165550</v>
      </c>
      <c r="I1008" s="405" t="s">
        <v>25969</v>
      </c>
      <c r="J1008" s="405">
        <v>-0.79989299999999997</v>
      </c>
      <c r="K1008" s="405">
        <v>29.747751999999998</v>
      </c>
      <c r="L1008" s="405" t="s">
        <v>590</v>
      </c>
      <c r="M1008" s="405" t="s">
        <v>20808</v>
      </c>
      <c r="N1008" s="405" t="s">
        <v>23390</v>
      </c>
      <c r="O1008" s="405" t="s">
        <v>20169</v>
      </c>
      <c r="P1008" s="405" t="s">
        <v>25909</v>
      </c>
      <c r="Q1008" s="411">
        <v>9</v>
      </c>
      <c r="R1008" s="405" t="s">
        <v>6572</v>
      </c>
      <c r="S1008" s="405" t="s">
        <v>27440</v>
      </c>
      <c r="T1008" s="405" t="s">
        <v>32102</v>
      </c>
      <c r="U1008" s="405" t="s">
        <v>319</v>
      </c>
    </row>
    <row r="1009" spans="1:21" x14ac:dyDescent="0.25">
      <c r="A1009" s="405" t="s">
        <v>310</v>
      </c>
      <c r="B1009" s="405" t="s">
        <v>8232</v>
      </c>
      <c r="C1009" s="405" t="s">
        <v>327</v>
      </c>
      <c r="D1009" s="405"/>
      <c r="E1009" s="410">
        <v>44016</v>
      </c>
      <c r="F1009" s="410">
        <v>44040</v>
      </c>
      <c r="G1009" s="405" t="s">
        <v>8233</v>
      </c>
      <c r="H1009" s="405">
        <v>776928216</v>
      </c>
      <c r="I1009" s="405" t="s">
        <v>2913</v>
      </c>
      <c r="J1009" s="405">
        <v>0.37502999999999997</v>
      </c>
      <c r="K1009" s="405">
        <v>31.223575</v>
      </c>
      <c r="L1009" s="405" t="s">
        <v>314</v>
      </c>
      <c r="M1009" s="405" t="s">
        <v>445</v>
      </c>
      <c r="N1009" s="405" t="s">
        <v>2528</v>
      </c>
      <c r="O1009" s="405" t="s">
        <v>2528</v>
      </c>
      <c r="P1009" s="405" t="s">
        <v>8234</v>
      </c>
      <c r="Q1009" s="411">
        <v>9</v>
      </c>
      <c r="R1009" s="405" t="s">
        <v>32101</v>
      </c>
      <c r="S1009" s="405" t="s">
        <v>27235</v>
      </c>
      <c r="T1009" s="405" t="s">
        <v>32102</v>
      </c>
      <c r="U1009" s="405" t="s">
        <v>319</v>
      </c>
    </row>
    <row r="1010" spans="1:21" x14ac:dyDescent="0.25">
      <c r="A1010" s="405" t="s">
        <v>310</v>
      </c>
      <c r="B1010" s="405" t="s">
        <v>17380</v>
      </c>
      <c r="C1010" s="405" t="s">
        <v>327</v>
      </c>
      <c r="D1010" s="405"/>
      <c r="E1010" s="410">
        <v>44016</v>
      </c>
      <c r="F1010" s="410">
        <v>44058</v>
      </c>
      <c r="G1010" s="405" t="s">
        <v>17381</v>
      </c>
      <c r="H1010" s="405">
        <v>782542379</v>
      </c>
      <c r="I1010" s="405">
        <v>782605555</v>
      </c>
      <c r="J1010" s="405">
        <v>1.2351669999999999</v>
      </c>
      <c r="K1010" s="405">
        <v>34.096632</v>
      </c>
      <c r="L1010" s="405" t="s">
        <v>6866</v>
      </c>
      <c r="M1010" s="405" t="s">
        <v>9504</v>
      </c>
      <c r="N1010" s="405" t="s">
        <v>9598</v>
      </c>
      <c r="O1010" s="405" t="s">
        <v>17382</v>
      </c>
      <c r="P1010" s="405" t="s">
        <v>17383</v>
      </c>
      <c r="Q1010" s="411">
        <v>6</v>
      </c>
      <c r="R1010" s="405" t="s">
        <v>7224</v>
      </c>
      <c r="S1010" s="405" t="s">
        <v>27283</v>
      </c>
      <c r="T1010" s="405" t="s">
        <v>32102</v>
      </c>
      <c r="U1010" s="405" t="s">
        <v>319</v>
      </c>
    </row>
    <row r="1011" spans="1:21" x14ac:dyDescent="0.25">
      <c r="A1011" s="405" t="s">
        <v>310</v>
      </c>
      <c r="B1011" s="405" t="s">
        <v>25936</v>
      </c>
      <c r="C1011" s="405" t="s">
        <v>327</v>
      </c>
      <c r="D1011" s="405"/>
      <c r="E1011" s="410">
        <v>44014</v>
      </c>
      <c r="F1011" s="410">
        <v>44019</v>
      </c>
      <c r="G1011" s="405" t="s">
        <v>25937</v>
      </c>
      <c r="H1011" s="405">
        <v>772328929</v>
      </c>
      <c r="I1011" s="405" t="s">
        <v>2913</v>
      </c>
      <c r="J1011" s="405">
        <v>-0.65029300000000001</v>
      </c>
      <c r="K1011" s="405">
        <v>30.608329999999999</v>
      </c>
      <c r="L1011" s="405" t="s">
        <v>590</v>
      </c>
      <c r="M1011" s="405" t="s">
        <v>19614</v>
      </c>
      <c r="N1011" s="405" t="s">
        <v>23624</v>
      </c>
      <c r="O1011" s="405" t="s">
        <v>21757</v>
      </c>
      <c r="P1011" s="405" t="s">
        <v>25938</v>
      </c>
      <c r="Q1011" s="411">
        <v>9</v>
      </c>
      <c r="R1011" s="405" t="s">
        <v>6572</v>
      </c>
      <c r="S1011" s="405" t="s">
        <v>27301</v>
      </c>
      <c r="T1011" s="405" t="s">
        <v>32102</v>
      </c>
      <c r="U1011" s="405" t="s">
        <v>319</v>
      </c>
    </row>
    <row r="1012" spans="1:21" x14ac:dyDescent="0.25">
      <c r="A1012" s="405" t="s">
        <v>310</v>
      </c>
      <c r="B1012" s="405" t="s">
        <v>17338</v>
      </c>
      <c r="C1012" s="405" t="s">
        <v>327</v>
      </c>
      <c r="D1012" s="405"/>
      <c r="E1012" s="410">
        <v>44014</v>
      </c>
      <c r="F1012" s="410">
        <v>44029</v>
      </c>
      <c r="G1012" s="405" t="s">
        <v>17339</v>
      </c>
      <c r="H1012" s="405">
        <v>772965824</v>
      </c>
      <c r="I1012" s="405" t="s">
        <v>17340</v>
      </c>
      <c r="J1012" s="405">
        <v>1.0079469999999999</v>
      </c>
      <c r="K1012" s="405">
        <v>34.189799999999998</v>
      </c>
      <c r="L1012" s="405" t="s">
        <v>6866</v>
      </c>
      <c r="M1012" s="405" t="s">
        <v>9514</v>
      </c>
      <c r="N1012" s="405" t="s">
        <v>16909</v>
      </c>
      <c r="O1012" s="405" t="s">
        <v>9571</v>
      </c>
      <c r="P1012" s="405" t="s">
        <v>11298</v>
      </c>
      <c r="Q1012" s="411">
        <v>4</v>
      </c>
      <c r="R1012" s="405" t="s">
        <v>6871</v>
      </c>
      <c r="S1012" s="405" t="s">
        <v>17062</v>
      </c>
      <c r="T1012" s="405" t="s">
        <v>32102</v>
      </c>
      <c r="U1012" s="405" t="s">
        <v>319</v>
      </c>
    </row>
    <row r="1013" spans="1:21" x14ac:dyDescent="0.25">
      <c r="A1013" s="405" t="s">
        <v>310</v>
      </c>
      <c r="B1013" s="405" t="s">
        <v>17360</v>
      </c>
      <c r="C1013" s="405" t="s">
        <v>327</v>
      </c>
      <c r="D1013" s="405"/>
      <c r="E1013" s="410">
        <v>44013</v>
      </c>
      <c r="F1013" s="410">
        <v>44024</v>
      </c>
      <c r="G1013" s="405" t="s">
        <v>17361</v>
      </c>
      <c r="H1013" s="405">
        <v>704636000</v>
      </c>
      <c r="I1013" s="405" t="s">
        <v>17362</v>
      </c>
      <c r="J1013" s="405">
        <v>0.77291600000000005</v>
      </c>
      <c r="K1013" s="405">
        <v>33.622996999999998</v>
      </c>
      <c r="L1013" s="405" t="s">
        <v>6866</v>
      </c>
      <c r="M1013" s="405" t="s">
        <v>5345</v>
      </c>
      <c r="N1013" s="405" t="s">
        <v>15097</v>
      </c>
      <c r="O1013" s="405" t="s">
        <v>12010</v>
      </c>
      <c r="P1013" s="405" t="s">
        <v>17363</v>
      </c>
      <c r="Q1013" s="411">
        <v>6</v>
      </c>
      <c r="R1013" s="405" t="s">
        <v>32164</v>
      </c>
      <c r="S1013" s="405" t="s">
        <v>27174</v>
      </c>
      <c r="T1013" s="405" t="s">
        <v>32102</v>
      </c>
      <c r="U1013" s="405" t="s">
        <v>319</v>
      </c>
    </row>
    <row r="1014" spans="1:21" x14ac:dyDescent="0.25">
      <c r="A1014" s="405" t="s">
        <v>310</v>
      </c>
      <c r="B1014" s="405" t="s">
        <v>8242</v>
      </c>
      <c r="C1014" s="405" t="s">
        <v>327</v>
      </c>
      <c r="D1014" s="405"/>
      <c r="E1014" s="410">
        <v>44012</v>
      </c>
      <c r="F1014" s="410">
        <v>44042</v>
      </c>
      <c r="G1014" s="405" t="s">
        <v>8243</v>
      </c>
      <c r="H1014" s="405">
        <v>704936360</v>
      </c>
      <c r="I1014" s="405" t="s">
        <v>2913</v>
      </c>
      <c r="J1014" s="405">
        <v>0.45384999999999998</v>
      </c>
      <c r="K1014" s="405">
        <v>32.640832000000003</v>
      </c>
      <c r="L1014" s="405" t="s">
        <v>314</v>
      </c>
      <c r="M1014" s="405" t="s">
        <v>361</v>
      </c>
      <c r="N1014" s="405" t="s">
        <v>7361</v>
      </c>
      <c r="O1014" s="405" t="s">
        <v>8244</v>
      </c>
      <c r="P1014" s="405" t="s">
        <v>8245</v>
      </c>
      <c r="Q1014" s="411">
        <v>9</v>
      </c>
      <c r="R1014" s="405" t="s">
        <v>32157</v>
      </c>
      <c r="S1014" s="405" t="s">
        <v>27048</v>
      </c>
      <c r="T1014" s="405" t="s">
        <v>32102</v>
      </c>
      <c r="U1014" s="405" t="s">
        <v>319</v>
      </c>
    </row>
    <row r="1015" spans="1:21" x14ac:dyDescent="0.25">
      <c r="A1015" s="405" t="s">
        <v>310</v>
      </c>
      <c r="B1015" s="405" t="s">
        <v>8203</v>
      </c>
      <c r="C1015" s="405" t="s">
        <v>327</v>
      </c>
      <c r="D1015" s="405"/>
      <c r="E1015" s="410">
        <v>44012</v>
      </c>
      <c r="F1015" s="410">
        <v>44033</v>
      </c>
      <c r="G1015" s="405" t="s">
        <v>8204</v>
      </c>
      <c r="H1015" s="405">
        <v>772909448</v>
      </c>
      <c r="I1015" s="405" t="s">
        <v>2913</v>
      </c>
      <c r="J1015" s="405">
        <v>0.499083</v>
      </c>
      <c r="K1015" s="405">
        <v>32.599246999999998</v>
      </c>
      <c r="L1015" s="405" t="s">
        <v>314</v>
      </c>
      <c r="M1015" s="405" t="s">
        <v>361</v>
      </c>
      <c r="N1015" s="405" t="s">
        <v>8205</v>
      </c>
      <c r="O1015" s="405" t="s">
        <v>8206</v>
      </c>
      <c r="P1015" s="405" t="s">
        <v>8207</v>
      </c>
      <c r="Q1015" s="411">
        <v>9</v>
      </c>
      <c r="R1015" s="405" t="s">
        <v>32166</v>
      </c>
      <c r="S1015" s="405" t="s">
        <v>27280</v>
      </c>
      <c r="T1015" s="405" t="s">
        <v>32102</v>
      </c>
      <c r="U1015" s="405" t="s">
        <v>319</v>
      </c>
    </row>
    <row r="1016" spans="1:21" x14ac:dyDescent="0.25">
      <c r="A1016" s="405" t="s">
        <v>310</v>
      </c>
      <c r="B1016" s="405" t="s">
        <v>8246</v>
      </c>
      <c r="C1016" s="405" t="s">
        <v>327</v>
      </c>
      <c r="D1016" s="405"/>
      <c r="E1016" s="410">
        <v>44011</v>
      </c>
      <c r="F1016" s="410">
        <v>44041</v>
      </c>
      <c r="G1016" s="405" t="s">
        <v>8247</v>
      </c>
      <c r="H1016" s="405">
        <v>702081693</v>
      </c>
      <c r="I1016" s="405">
        <v>785651780</v>
      </c>
      <c r="J1016" s="405">
        <v>0.31045699999999998</v>
      </c>
      <c r="K1016" s="405">
        <v>32.855786999999999</v>
      </c>
      <c r="L1016" s="405" t="s">
        <v>314</v>
      </c>
      <c r="M1016" s="405" t="s">
        <v>329</v>
      </c>
      <c r="N1016" s="405" t="s">
        <v>7638</v>
      </c>
      <c r="O1016" s="405" t="s">
        <v>8248</v>
      </c>
      <c r="P1016" s="405" t="s">
        <v>8249</v>
      </c>
      <c r="Q1016" s="411">
        <v>9</v>
      </c>
      <c r="R1016" s="405" t="s">
        <v>32157</v>
      </c>
      <c r="S1016" s="405" t="s">
        <v>27035</v>
      </c>
      <c r="T1016" s="405" t="s">
        <v>32102</v>
      </c>
      <c r="U1016" s="405" t="s">
        <v>319</v>
      </c>
    </row>
    <row r="1017" spans="1:21" x14ac:dyDescent="0.25">
      <c r="A1017" s="405" t="s">
        <v>310</v>
      </c>
      <c r="B1017" s="405" t="s">
        <v>25928</v>
      </c>
      <c r="C1017" s="405" t="s">
        <v>327</v>
      </c>
      <c r="D1017" s="405"/>
      <c r="E1017" s="410">
        <v>44011</v>
      </c>
      <c r="F1017" s="410">
        <v>44043</v>
      </c>
      <c r="G1017" s="405" t="s">
        <v>25929</v>
      </c>
      <c r="H1017" s="405">
        <v>774989164</v>
      </c>
      <c r="I1017" s="405" t="s">
        <v>2913</v>
      </c>
      <c r="J1017" s="405">
        <v>-0.70969499999999996</v>
      </c>
      <c r="K1017" s="405">
        <v>30.565237</v>
      </c>
      <c r="L1017" s="405" t="s">
        <v>590</v>
      </c>
      <c r="M1017" s="405" t="s">
        <v>19614</v>
      </c>
      <c r="N1017" s="405" t="s">
        <v>19654</v>
      </c>
      <c r="O1017" s="405" t="s">
        <v>19995</v>
      </c>
      <c r="P1017" s="405" t="s">
        <v>25930</v>
      </c>
      <c r="Q1017" s="411">
        <v>6</v>
      </c>
      <c r="R1017" s="405" t="s">
        <v>32166</v>
      </c>
      <c r="S1017" s="405" t="s">
        <v>27065</v>
      </c>
      <c r="T1017" s="405" t="s">
        <v>32102</v>
      </c>
      <c r="U1017" s="405" t="s">
        <v>319</v>
      </c>
    </row>
    <row r="1018" spans="1:21" x14ac:dyDescent="0.25">
      <c r="A1018" s="405" t="s">
        <v>310</v>
      </c>
      <c r="B1018" s="405" t="s">
        <v>25921</v>
      </c>
      <c r="C1018" s="405" t="s">
        <v>327</v>
      </c>
      <c r="D1018" s="405"/>
      <c r="E1018" s="410">
        <v>44010</v>
      </c>
      <c r="F1018" s="410">
        <v>44040</v>
      </c>
      <c r="G1018" s="405" t="s">
        <v>25922</v>
      </c>
      <c r="H1018" s="405">
        <v>782630039</v>
      </c>
      <c r="I1018" s="405" t="s">
        <v>25923</v>
      </c>
      <c r="J1018" s="405">
        <v>0.47122799999999998</v>
      </c>
      <c r="K1018" s="405">
        <v>31.049513000000001</v>
      </c>
      <c r="L1018" s="405" t="s">
        <v>590</v>
      </c>
      <c r="M1018" s="405" t="s">
        <v>20757</v>
      </c>
      <c r="N1018" s="405" t="s">
        <v>20757</v>
      </c>
      <c r="O1018" s="405" t="s">
        <v>20757</v>
      </c>
      <c r="P1018" s="405" t="s">
        <v>6636</v>
      </c>
      <c r="Q1018" s="411">
        <v>6</v>
      </c>
      <c r="R1018" s="405" t="s">
        <v>32166</v>
      </c>
      <c r="S1018" s="405" t="s">
        <v>27132</v>
      </c>
      <c r="T1018" s="405" t="s">
        <v>32102</v>
      </c>
      <c r="U1018" s="405" t="s">
        <v>319</v>
      </c>
    </row>
    <row r="1019" spans="1:21" x14ac:dyDescent="0.25">
      <c r="A1019" s="405" t="s">
        <v>310</v>
      </c>
      <c r="B1019" s="405" t="s">
        <v>25933</v>
      </c>
      <c r="C1019" s="405" t="s">
        <v>327</v>
      </c>
      <c r="D1019" s="405"/>
      <c r="E1019" s="410">
        <v>44009</v>
      </c>
      <c r="F1019" s="410">
        <v>44016</v>
      </c>
      <c r="G1019" s="405" t="s">
        <v>25934</v>
      </c>
      <c r="H1019" s="405">
        <v>781899257</v>
      </c>
      <c r="I1019" s="405" t="s">
        <v>25935</v>
      </c>
      <c r="J1019" s="405">
        <v>-0.89153800000000005</v>
      </c>
      <c r="K1019" s="405">
        <v>29.755037999999999</v>
      </c>
      <c r="L1019" s="405" t="s">
        <v>590</v>
      </c>
      <c r="M1019" s="405" t="s">
        <v>20808</v>
      </c>
      <c r="N1019" s="405" t="s">
        <v>23390</v>
      </c>
      <c r="O1019" s="405" t="s">
        <v>20810</v>
      </c>
      <c r="P1019" s="405" t="s">
        <v>20810</v>
      </c>
      <c r="Q1019" s="411">
        <v>6</v>
      </c>
      <c r="R1019" s="405" t="s">
        <v>6572</v>
      </c>
      <c r="S1019" s="405" t="s">
        <v>27439</v>
      </c>
      <c r="T1019" s="405" t="s">
        <v>32102</v>
      </c>
      <c r="U1019" s="405" t="s">
        <v>319</v>
      </c>
    </row>
    <row r="1020" spans="1:21" x14ac:dyDescent="0.25">
      <c r="A1020" s="405" t="s">
        <v>310</v>
      </c>
      <c r="B1020" s="405" t="s">
        <v>25924</v>
      </c>
      <c r="C1020" s="405" t="s">
        <v>327</v>
      </c>
      <c r="D1020" s="405"/>
      <c r="E1020" s="410">
        <v>44007</v>
      </c>
      <c r="F1020" s="410">
        <v>44013</v>
      </c>
      <c r="G1020" s="405" t="s">
        <v>25925</v>
      </c>
      <c r="H1020" s="405">
        <v>701188128</v>
      </c>
      <c r="I1020" s="405" t="s">
        <v>25926</v>
      </c>
      <c r="J1020" s="405">
        <v>0.46717999999999998</v>
      </c>
      <c r="K1020" s="405">
        <v>31.023890000000002</v>
      </c>
      <c r="L1020" s="405" t="s">
        <v>590</v>
      </c>
      <c r="M1020" s="405" t="s">
        <v>20757</v>
      </c>
      <c r="N1020" s="405" t="s">
        <v>20757</v>
      </c>
      <c r="O1020" s="405" t="s">
        <v>25927</v>
      </c>
      <c r="P1020" s="405" t="s">
        <v>24590</v>
      </c>
      <c r="Q1020" s="411">
        <v>9</v>
      </c>
      <c r="R1020" s="405" t="s">
        <v>32166</v>
      </c>
      <c r="S1020" s="405" t="s">
        <v>27401</v>
      </c>
      <c r="T1020" s="405" t="s">
        <v>32102</v>
      </c>
      <c r="U1020" s="405" t="s">
        <v>319</v>
      </c>
    </row>
    <row r="1021" spans="1:21" x14ac:dyDescent="0.25">
      <c r="A1021" s="405" t="s">
        <v>310</v>
      </c>
      <c r="B1021" s="405" t="s">
        <v>26007</v>
      </c>
      <c r="C1021" s="405" t="s">
        <v>327</v>
      </c>
      <c r="D1021" s="405"/>
      <c r="E1021" s="410">
        <v>44006</v>
      </c>
      <c r="F1021" s="410">
        <v>44064</v>
      </c>
      <c r="G1021" s="405" t="s">
        <v>26008</v>
      </c>
      <c r="H1021" s="405">
        <v>772525965</v>
      </c>
      <c r="I1021" s="405" t="s">
        <v>26009</v>
      </c>
      <c r="J1021" s="405">
        <v>-1.282397</v>
      </c>
      <c r="K1021" s="405">
        <v>29.702915000000001</v>
      </c>
      <c r="L1021" s="405" t="s">
        <v>590</v>
      </c>
      <c r="M1021" s="405" t="s">
        <v>20070</v>
      </c>
      <c r="N1021" s="405" t="s">
        <v>20071</v>
      </c>
      <c r="O1021" s="405" t="s">
        <v>26010</v>
      </c>
      <c r="P1021" s="405" t="s">
        <v>26011</v>
      </c>
      <c r="Q1021" s="411">
        <v>6</v>
      </c>
      <c r="R1021" s="405" t="s">
        <v>24106</v>
      </c>
      <c r="S1021" s="405" t="s">
        <v>27102</v>
      </c>
      <c r="T1021" s="405" t="s">
        <v>32102</v>
      </c>
      <c r="U1021" s="405" t="s">
        <v>319</v>
      </c>
    </row>
    <row r="1022" spans="1:21" x14ac:dyDescent="0.25">
      <c r="A1022" s="405" t="s">
        <v>310</v>
      </c>
      <c r="B1022" s="405" t="s">
        <v>17347</v>
      </c>
      <c r="C1022" s="405" t="s">
        <v>327</v>
      </c>
      <c r="D1022" s="405"/>
      <c r="E1022" s="410">
        <v>44004</v>
      </c>
      <c r="F1022" s="410">
        <v>44033</v>
      </c>
      <c r="G1022" s="405" t="s">
        <v>17348</v>
      </c>
      <c r="H1022" s="405">
        <v>779356080</v>
      </c>
      <c r="I1022" s="405" t="s">
        <v>17349</v>
      </c>
      <c r="J1022" s="405">
        <v>0.95526999999999995</v>
      </c>
      <c r="K1022" s="405">
        <v>33.120916999999999</v>
      </c>
      <c r="L1022" s="405" t="s">
        <v>6866</v>
      </c>
      <c r="M1022" s="405" t="s">
        <v>3009</v>
      </c>
      <c r="N1022" s="405" t="s">
        <v>10406</v>
      </c>
      <c r="O1022" s="405" t="s">
        <v>17350</v>
      </c>
      <c r="P1022" s="405" t="s">
        <v>17351</v>
      </c>
      <c r="Q1022" s="411">
        <v>9</v>
      </c>
      <c r="R1022" s="405" t="s">
        <v>17270</v>
      </c>
      <c r="S1022" s="405" t="s">
        <v>27080</v>
      </c>
      <c r="T1022" s="405" t="s">
        <v>32102</v>
      </c>
      <c r="U1022" s="405" t="s">
        <v>319</v>
      </c>
    </row>
    <row r="1023" spans="1:21" x14ac:dyDescent="0.25">
      <c r="A1023" s="405" t="s">
        <v>310</v>
      </c>
      <c r="B1023" s="405" t="s">
        <v>25946</v>
      </c>
      <c r="C1023" s="405" t="s">
        <v>327</v>
      </c>
      <c r="D1023" s="405"/>
      <c r="E1023" s="410">
        <v>44002</v>
      </c>
      <c r="F1023" s="410">
        <v>44019</v>
      </c>
      <c r="G1023" s="405" t="s">
        <v>25947</v>
      </c>
      <c r="H1023" s="405">
        <v>772698335</v>
      </c>
      <c r="I1023" s="405" t="s">
        <v>2913</v>
      </c>
      <c r="J1023" s="405">
        <v>0.35130499999999998</v>
      </c>
      <c r="K1023" s="405">
        <v>32.587515000000003</v>
      </c>
      <c r="L1023" s="405" t="s">
        <v>590</v>
      </c>
      <c r="M1023" s="405" t="s">
        <v>20125</v>
      </c>
      <c r="N1023" s="405" t="s">
        <v>4327</v>
      </c>
      <c r="O1023" s="405" t="s">
        <v>20853</v>
      </c>
      <c r="P1023" s="405" t="s">
        <v>23515</v>
      </c>
      <c r="Q1023" s="411">
        <v>13</v>
      </c>
      <c r="R1023" s="405" t="s">
        <v>32157</v>
      </c>
      <c r="S1023" s="405" t="s">
        <v>27060</v>
      </c>
      <c r="T1023" s="405" t="s">
        <v>32102</v>
      </c>
      <c r="U1023" s="405" t="s">
        <v>319</v>
      </c>
    </row>
    <row r="1024" spans="1:21" x14ac:dyDescent="0.25">
      <c r="A1024" s="405" t="s">
        <v>310</v>
      </c>
      <c r="B1024" s="405" t="s">
        <v>8226</v>
      </c>
      <c r="C1024" s="405" t="s">
        <v>327</v>
      </c>
      <c r="D1024" s="405"/>
      <c r="E1024" s="410">
        <v>44002</v>
      </c>
      <c r="F1024" s="410">
        <v>44016</v>
      </c>
      <c r="G1024" s="405" t="s">
        <v>8227</v>
      </c>
      <c r="H1024" s="405">
        <v>701941321</v>
      </c>
      <c r="I1024" s="405" t="s">
        <v>2913</v>
      </c>
      <c r="J1024" s="405">
        <v>0.39066499999999998</v>
      </c>
      <c r="K1024" s="405">
        <v>32.655273000000001</v>
      </c>
      <c r="L1024" s="405" t="s">
        <v>314</v>
      </c>
      <c r="M1024" s="405" t="s">
        <v>361</v>
      </c>
      <c r="N1024" s="405" t="s">
        <v>363</v>
      </c>
      <c r="O1024" s="405" t="s">
        <v>363</v>
      </c>
      <c r="P1024" s="405" t="s">
        <v>8228</v>
      </c>
      <c r="Q1024" s="411">
        <v>9</v>
      </c>
      <c r="R1024" s="405" t="s">
        <v>32101</v>
      </c>
      <c r="S1024" s="405" t="s">
        <v>27034</v>
      </c>
      <c r="T1024" s="405" t="s">
        <v>32102</v>
      </c>
      <c r="U1024" s="405" t="s">
        <v>319</v>
      </c>
    </row>
    <row r="1025" spans="1:21" x14ac:dyDescent="0.25">
      <c r="A1025" s="405" t="s">
        <v>310</v>
      </c>
      <c r="B1025" s="405" t="s">
        <v>8229</v>
      </c>
      <c r="C1025" s="405" t="s">
        <v>327</v>
      </c>
      <c r="D1025" s="405"/>
      <c r="E1025" s="410">
        <v>44000</v>
      </c>
      <c r="F1025" s="410">
        <v>44017</v>
      </c>
      <c r="G1025" s="405" t="s">
        <v>8230</v>
      </c>
      <c r="H1025" s="405">
        <v>702493015</v>
      </c>
      <c r="I1025" s="405" t="s">
        <v>8231</v>
      </c>
      <c r="J1025" s="405">
        <v>-0.40416000000000002</v>
      </c>
      <c r="K1025" s="405">
        <v>31.663675000000001</v>
      </c>
      <c r="L1025" s="405" t="s">
        <v>314</v>
      </c>
      <c r="M1025" s="405" t="s">
        <v>382</v>
      </c>
      <c r="N1025" s="405" t="s">
        <v>988</v>
      </c>
      <c r="O1025" s="405" t="s">
        <v>894</v>
      </c>
      <c r="P1025" s="405" t="s">
        <v>4840</v>
      </c>
      <c r="Q1025" s="411">
        <v>9</v>
      </c>
      <c r="R1025" s="405" t="s">
        <v>32101</v>
      </c>
      <c r="S1025" s="405" t="s">
        <v>27181</v>
      </c>
      <c r="T1025" s="405" t="s">
        <v>32102</v>
      </c>
      <c r="U1025" s="405" t="s">
        <v>319</v>
      </c>
    </row>
    <row r="1026" spans="1:21" x14ac:dyDescent="0.25">
      <c r="A1026" s="405" t="s">
        <v>310</v>
      </c>
      <c r="B1026" s="405" t="s">
        <v>26286</v>
      </c>
      <c r="C1026" s="405" t="s">
        <v>311</v>
      </c>
      <c r="D1026" s="405" t="s">
        <v>6019</v>
      </c>
      <c r="E1026" s="410">
        <v>43999</v>
      </c>
      <c r="F1026" s="410">
        <v>44029</v>
      </c>
      <c r="G1026" s="405" t="s">
        <v>26287</v>
      </c>
      <c r="H1026" s="405">
        <v>772496755</v>
      </c>
      <c r="I1026" s="405" t="s">
        <v>2913</v>
      </c>
      <c r="J1026" s="405">
        <v>-0.59746200000000005</v>
      </c>
      <c r="K1026" s="405">
        <v>30.599767</v>
      </c>
      <c r="L1026" s="405" t="s">
        <v>590</v>
      </c>
      <c r="M1026" s="405" t="s">
        <v>19614</v>
      </c>
      <c r="N1026" s="405" t="s">
        <v>23624</v>
      </c>
      <c r="O1026" s="405" t="s">
        <v>23356</v>
      </c>
      <c r="P1026" s="405" t="s">
        <v>21622</v>
      </c>
      <c r="Q1026" s="411">
        <v>9</v>
      </c>
      <c r="R1026" s="405" t="s">
        <v>6013</v>
      </c>
      <c r="S1026" s="405" t="s">
        <v>27181</v>
      </c>
      <c r="T1026" s="405" t="s">
        <v>32102</v>
      </c>
      <c r="U1026" s="405" t="s">
        <v>319</v>
      </c>
    </row>
    <row r="1027" spans="1:21" x14ac:dyDescent="0.25">
      <c r="A1027" s="405" t="s">
        <v>310</v>
      </c>
      <c r="B1027" s="405" t="s">
        <v>8224</v>
      </c>
      <c r="C1027" s="405" t="s">
        <v>327</v>
      </c>
      <c r="D1027" s="405"/>
      <c r="E1027" s="410">
        <v>43999</v>
      </c>
      <c r="F1027" s="410">
        <v>44016</v>
      </c>
      <c r="G1027" s="405" t="s">
        <v>8225</v>
      </c>
      <c r="H1027" s="405">
        <v>704790633</v>
      </c>
      <c r="I1027" s="405">
        <v>774949036</v>
      </c>
      <c r="J1027" s="405">
        <v>0.35546</v>
      </c>
      <c r="K1027" s="405">
        <v>32.498558000000003</v>
      </c>
      <c r="L1027" s="405" t="s">
        <v>314</v>
      </c>
      <c r="M1027" s="405" t="s">
        <v>361</v>
      </c>
      <c r="N1027" s="405" t="s">
        <v>374</v>
      </c>
      <c r="O1027" s="405" t="s">
        <v>981</v>
      </c>
      <c r="P1027" s="405" t="s">
        <v>7815</v>
      </c>
      <c r="Q1027" s="411">
        <v>9</v>
      </c>
      <c r="R1027" s="405" t="s">
        <v>32101</v>
      </c>
      <c r="S1027" s="405" t="s">
        <v>27275</v>
      </c>
      <c r="T1027" s="405" t="s">
        <v>32102</v>
      </c>
      <c r="U1027" s="405" t="s">
        <v>319</v>
      </c>
    </row>
    <row r="1028" spans="1:21" x14ac:dyDescent="0.25">
      <c r="A1028" s="405" t="s">
        <v>310</v>
      </c>
      <c r="B1028" s="405" t="s">
        <v>8949</v>
      </c>
      <c r="C1028" s="405" t="s">
        <v>311</v>
      </c>
      <c r="D1028" s="405" t="s">
        <v>932</v>
      </c>
      <c r="E1028" s="410">
        <v>43995</v>
      </c>
      <c r="F1028" s="410">
        <v>44012</v>
      </c>
      <c r="G1028" s="405" t="s">
        <v>8950</v>
      </c>
      <c r="H1028" s="405">
        <v>702800827</v>
      </c>
      <c r="I1028" s="405">
        <v>701219755</v>
      </c>
      <c r="J1028" s="405">
        <v>0.32039699999999999</v>
      </c>
      <c r="K1028" s="405">
        <v>32.432352000000002</v>
      </c>
      <c r="L1028" s="405" t="s">
        <v>314</v>
      </c>
      <c r="M1028" s="405" t="s">
        <v>361</v>
      </c>
      <c r="N1028" s="405" t="s">
        <v>3398</v>
      </c>
      <c r="O1028" s="405" t="s">
        <v>2363</v>
      </c>
      <c r="P1028" s="405" t="s">
        <v>3425</v>
      </c>
      <c r="Q1028" s="411">
        <v>13</v>
      </c>
      <c r="R1028" s="405" t="s">
        <v>4176</v>
      </c>
      <c r="S1028" s="405" t="s">
        <v>27266</v>
      </c>
      <c r="T1028" s="405" t="s">
        <v>32102</v>
      </c>
      <c r="U1028" s="405" t="s">
        <v>319</v>
      </c>
    </row>
    <row r="1029" spans="1:21" x14ac:dyDescent="0.25">
      <c r="A1029" s="405" t="s">
        <v>310</v>
      </c>
      <c r="B1029" s="405" t="s">
        <v>25931</v>
      </c>
      <c r="C1029" s="405" t="s">
        <v>327</v>
      </c>
      <c r="D1029" s="405"/>
      <c r="E1029" s="410">
        <v>43994</v>
      </c>
      <c r="F1029" s="410">
        <v>44017</v>
      </c>
      <c r="G1029" s="405" t="s">
        <v>25932</v>
      </c>
      <c r="H1029" s="405">
        <v>759296925</v>
      </c>
      <c r="I1029" s="405" t="s">
        <v>2913</v>
      </c>
      <c r="J1029" s="405">
        <v>-0.53410199999999997</v>
      </c>
      <c r="K1029" s="405">
        <v>30.177862999999999</v>
      </c>
      <c r="L1029" s="405" t="s">
        <v>590</v>
      </c>
      <c r="M1029" s="405" t="s">
        <v>19625</v>
      </c>
      <c r="N1029" s="405" t="s">
        <v>19625</v>
      </c>
      <c r="O1029" s="405" t="s">
        <v>19625</v>
      </c>
      <c r="P1029" s="405" t="s">
        <v>19625</v>
      </c>
      <c r="Q1029" s="411">
        <v>13</v>
      </c>
      <c r="R1029" s="405" t="s">
        <v>32101</v>
      </c>
      <c r="S1029" s="405" t="s">
        <v>27243</v>
      </c>
      <c r="T1029" s="405" t="s">
        <v>32102</v>
      </c>
      <c r="U1029" s="405" t="s">
        <v>319</v>
      </c>
    </row>
    <row r="1030" spans="1:21" x14ac:dyDescent="0.25">
      <c r="A1030" s="405" t="s">
        <v>310</v>
      </c>
      <c r="B1030" s="405" t="s">
        <v>25917</v>
      </c>
      <c r="C1030" s="405" t="s">
        <v>327</v>
      </c>
      <c r="D1030" s="405"/>
      <c r="E1030" s="410">
        <v>43986</v>
      </c>
      <c r="F1030" s="410">
        <v>44011</v>
      </c>
      <c r="G1030" s="405" t="s">
        <v>25918</v>
      </c>
      <c r="H1030" s="405">
        <v>777298934</v>
      </c>
      <c r="I1030" s="405" t="s">
        <v>2913</v>
      </c>
      <c r="J1030" s="405">
        <v>-1.2574920000000001</v>
      </c>
      <c r="K1030" s="405">
        <v>29.715831999999999</v>
      </c>
      <c r="L1030" s="405" t="s">
        <v>590</v>
      </c>
      <c r="M1030" s="405" t="s">
        <v>20070</v>
      </c>
      <c r="N1030" s="405" t="s">
        <v>25919</v>
      </c>
      <c r="O1030" s="405" t="s">
        <v>24104</v>
      </c>
      <c r="P1030" s="405" t="s">
        <v>25920</v>
      </c>
      <c r="Q1030" s="411">
        <v>9</v>
      </c>
      <c r="R1030" s="405" t="s">
        <v>24106</v>
      </c>
      <c r="S1030" s="405" t="s">
        <v>27102</v>
      </c>
      <c r="T1030" s="405" t="s">
        <v>32102</v>
      </c>
      <c r="U1030" s="405" t="s">
        <v>319</v>
      </c>
    </row>
    <row r="1031" spans="1:21" x14ac:dyDescent="0.25">
      <c r="A1031" s="405" t="s">
        <v>310</v>
      </c>
      <c r="B1031" s="405" t="s">
        <v>25958</v>
      </c>
      <c r="C1031" s="405" t="s">
        <v>327</v>
      </c>
      <c r="D1031" s="405"/>
      <c r="E1031" s="410">
        <v>43986</v>
      </c>
      <c r="F1031" s="410">
        <v>44046</v>
      </c>
      <c r="G1031" s="405" t="s">
        <v>25959</v>
      </c>
      <c r="H1031" s="405" t="s">
        <v>25960</v>
      </c>
      <c r="I1031" s="405" t="s">
        <v>25961</v>
      </c>
      <c r="J1031" s="405">
        <v>1.5067170000000001</v>
      </c>
      <c r="K1031" s="405">
        <v>31.535138</v>
      </c>
      <c r="L1031" s="405" t="s">
        <v>590</v>
      </c>
      <c r="M1031" s="405" t="s">
        <v>19608</v>
      </c>
      <c r="N1031" s="405" t="s">
        <v>19783</v>
      </c>
      <c r="O1031" s="405" t="s">
        <v>25876</v>
      </c>
      <c r="P1031" s="405" t="s">
        <v>21544</v>
      </c>
      <c r="Q1031" s="411">
        <v>6</v>
      </c>
      <c r="R1031" s="405" t="s">
        <v>6397</v>
      </c>
      <c r="S1031" s="405" t="s">
        <v>22880</v>
      </c>
      <c r="T1031" s="405" t="s">
        <v>32102</v>
      </c>
      <c r="U1031" s="405" t="s">
        <v>319</v>
      </c>
    </row>
    <row r="1032" spans="1:21" x14ac:dyDescent="0.25">
      <c r="A1032" s="405" t="s">
        <v>310</v>
      </c>
      <c r="B1032" s="405" t="s">
        <v>8199</v>
      </c>
      <c r="C1032" s="405" t="s">
        <v>327</v>
      </c>
      <c r="D1032" s="405"/>
      <c r="E1032" s="410">
        <v>43983</v>
      </c>
      <c r="F1032" s="410">
        <v>44003</v>
      </c>
      <c r="G1032" s="405" t="s">
        <v>8200</v>
      </c>
      <c r="H1032" s="405" t="s">
        <v>8201</v>
      </c>
      <c r="I1032" s="405" t="s">
        <v>8202</v>
      </c>
      <c r="J1032" s="405">
        <v>0.39938800000000002</v>
      </c>
      <c r="K1032" s="405">
        <v>32.502892000000003</v>
      </c>
      <c r="L1032" s="405" t="s">
        <v>314</v>
      </c>
      <c r="M1032" s="405" t="s">
        <v>361</v>
      </c>
      <c r="N1032" s="405" t="s">
        <v>374</v>
      </c>
      <c r="O1032" s="405" t="s">
        <v>361</v>
      </c>
      <c r="P1032" s="405" t="s">
        <v>3656</v>
      </c>
      <c r="Q1032" s="411">
        <v>13</v>
      </c>
      <c r="R1032" s="405" t="s">
        <v>32157</v>
      </c>
      <c r="S1032" s="405" t="s">
        <v>27045</v>
      </c>
      <c r="T1032" s="405" t="s">
        <v>32102</v>
      </c>
      <c r="U1032" s="405" t="s">
        <v>319</v>
      </c>
    </row>
    <row r="1033" spans="1:21" x14ac:dyDescent="0.25">
      <c r="A1033" s="405" t="s">
        <v>310</v>
      </c>
      <c r="B1033" s="405" t="s">
        <v>25964</v>
      </c>
      <c r="C1033" s="405" t="s">
        <v>327</v>
      </c>
      <c r="D1033" s="405"/>
      <c r="E1033" s="410">
        <v>43982</v>
      </c>
      <c r="F1033" s="410">
        <v>44047</v>
      </c>
      <c r="G1033" s="405" t="s">
        <v>25965</v>
      </c>
      <c r="H1033" s="405">
        <v>784924512</v>
      </c>
      <c r="I1033" s="405">
        <v>787861024</v>
      </c>
      <c r="J1033" s="405">
        <v>-0.50329999999999997</v>
      </c>
      <c r="K1033" s="405">
        <v>29.492000000000001</v>
      </c>
      <c r="L1033" s="405" t="s">
        <v>590</v>
      </c>
      <c r="M1033" s="405" t="s">
        <v>20808</v>
      </c>
      <c r="N1033" s="405" t="s">
        <v>23390</v>
      </c>
      <c r="O1033" s="405" t="s">
        <v>21489</v>
      </c>
      <c r="P1033" s="405" t="s">
        <v>25966</v>
      </c>
      <c r="Q1033" s="411">
        <v>9</v>
      </c>
      <c r="R1033" s="405" t="s">
        <v>6572</v>
      </c>
      <c r="S1033" s="405" t="s">
        <v>27440</v>
      </c>
      <c r="T1033" s="405" t="s">
        <v>32102</v>
      </c>
      <c r="U1033" s="405" t="s">
        <v>319</v>
      </c>
    </row>
    <row r="1034" spans="1:21" x14ac:dyDescent="0.25">
      <c r="A1034" s="405" t="s">
        <v>310</v>
      </c>
      <c r="B1034" s="405" t="s">
        <v>17311</v>
      </c>
      <c r="C1034" s="405" t="s">
        <v>327</v>
      </c>
      <c r="D1034" s="405"/>
      <c r="E1034" s="410">
        <v>43982</v>
      </c>
      <c r="F1034" s="410">
        <v>43998</v>
      </c>
      <c r="G1034" s="405" t="s">
        <v>17312</v>
      </c>
      <c r="H1034" s="405" t="s">
        <v>17313</v>
      </c>
      <c r="I1034" s="405" t="s">
        <v>17314</v>
      </c>
      <c r="J1034" s="405">
        <v>1.0045170000000001</v>
      </c>
      <c r="K1034" s="405">
        <v>34.174042999999998</v>
      </c>
      <c r="L1034" s="405" t="s">
        <v>6866</v>
      </c>
      <c r="M1034" s="405" t="s">
        <v>9514</v>
      </c>
      <c r="N1034" s="405" t="s">
        <v>16909</v>
      </c>
      <c r="O1034" s="405" t="s">
        <v>12702</v>
      </c>
      <c r="P1034" s="405" t="s">
        <v>17315</v>
      </c>
      <c r="Q1034" s="411">
        <v>6</v>
      </c>
      <c r="R1034" s="405" t="s">
        <v>7224</v>
      </c>
      <c r="S1034" s="405" t="s">
        <v>27283</v>
      </c>
      <c r="T1034" s="405" t="s">
        <v>32102</v>
      </c>
      <c r="U1034" s="405" t="s">
        <v>319</v>
      </c>
    </row>
    <row r="1035" spans="1:21" x14ac:dyDescent="0.25">
      <c r="A1035" s="405" t="s">
        <v>310</v>
      </c>
      <c r="B1035" s="405" t="s">
        <v>17330</v>
      </c>
      <c r="C1035" s="405" t="s">
        <v>327</v>
      </c>
      <c r="D1035" s="405"/>
      <c r="E1035" s="410">
        <v>43980</v>
      </c>
      <c r="F1035" s="410">
        <v>43995</v>
      </c>
      <c r="G1035" s="405" t="s">
        <v>17331</v>
      </c>
      <c r="H1035" s="405">
        <v>757242062</v>
      </c>
      <c r="I1035" s="405">
        <v>788473020</v>
      </c>
      <c r="J1035" s="405">
        <v>0.57329699999999995</v>
      </c>
      <c r="K1035" s="405">
        <v>33.468305000000001</v>
      </c>
      <c r="L1035" s="405" t="s">
        <v>6866</v>
      </c>
      <c r="M1035" s="405" t="s">
        <v>10853</v>
      </c>
      <c r="N1035" s="405" t="s">
        <v>16886</v>
      </c>
      <c r="O1035" s="405" t="s">
        <v>12832</v>
      </c>
      <c r="P1035" s="405" t="s">
        <v>3412</v>
      </c>
      <c r="Q1035" s="411">
        <v>6</v>
      </c>
      <c r="R1035" s="405" t="s">
        <v>32164</v>
      </c>
      <c r="S1035" s="405" t="s">
        <v>27054</v>
      </c>
      <c r="T1035" s="405" t="s">
        <v>32102</v>
      </c>
      <c r="U1035" s="405" t="s">
        <v>319</v>
      </c>
    </row>
    <row r="1036" spans="1:21" x14ac:dyDescent="0.25">
      <c r="A1036" s="405" t="s">
        <v>310</v>
      </c>
      <c r="B1036" s="405" t="s">
        <v>19129</v>
      </c>
      <c r="C1036" s="405" t="s">
        <v>327</v>
      </c>
      <c r="D1036" s="405"/>
      <c r="E1036" s="410">
        <v>43979</v>
      </c>
      <c r="F1036" s="410">
        <v>44072</v>
      </c>
      <c r="G1036" s="405" t="s">
        <v>19130</v>
      </c>
      <c r="H1036" s="405">
        <v>773994361</v>
      </c>
      <c r="I1036" s="405"/>
      <c r="J1036" s="405">
        <v>3.482332</v>
      </c>
      <c r="K1036" s="405">
        <v>31.233013</v>
      </c>
      <c r="L1036" s="405" t="s">
        <v>860</v>
      </c>
      <c r="M1036" s="405" t="s">
        <v>19131</v>
      </c>
      <c r="N1036" s="405" t="s">
        <v>19132</v>
      </c>
      <c r="O1036" s="405" t="s">
        <v>19133</v>
      </c>
      <c r="P1036" s="405" t="s">
        <v>19134</v>
      </c>
      <c r="Q1036" s="411">
        <v>9</v>
      </c>
      <c r="R1036" s="405" t="s">
        <v>17977</v>
      </c>
      <c r="S1036" s="405" t="s">
        <v>27243</v>
      </c>
      <c r="T1036" s="405" t="s">
        <v>32102</v>
      </c>
      <c r="U1036" s="405" t="s">
        <v>319</v>
      </c>
    </row>
    <row r="1037" spans="1:21" x14ac:dyDescent="0.25">
      <c r="A1037" s="405" t="s">
        <v>310</v>
      </c>
      <c r="B1037" s="405" t="s">
        <v>25901</v>
      </c>
      <c r="C1037" s="405" t="s">
        <v>327</v>
      </c>
      <c r="D1037" s="405"/>
      <c r="E1037" s="410">
        <v>43978</v>
      </c>
      <c r="F1037" s="410">
        <v>43994</v>
      </c>
      <c r="G1037" s="405" t="s">
        <v>25902</v>
      </c>
      <c r="H1037" s="405" t="s">
        <v>25903</v>
      </c>
      <c r="I1037" s="405" t="s">
        <v>2913</v>
      </c>
      <c r="J1037" s="405">
        <v>-0.57889000000000002</v>
      </c>
      <c r="K1037" s="405">
        <v>30.285426999999999</v>
      </c>
      <c r="L1037" s="405" t="s">
        <v>590</v>
      </c>
      <c r="M1037" s="405" t="s">
        <v>19625</v>
      </c>
      <c r="N1037" s="405" t="s">
        <v>20086</v>
      </c>
      <c r="O1037" s="405" t="s">
        <v>25904</v>
      </c>
      <c r="P1037" s="405" t="s">
        <v>25905</v>
      </c>
      <c r="Q1037" s="411">
        <v>9</v>
      </c>
      <c r="R1037" s="405" t="s">
        <v>32166</v>
      </c>
      <c r="S1037" s="405" t="s">
        <v>27132</v>
      </c>
      <c r="T1037" s="405" t="s">
        <v>32102</v>
      </c>
      <c r="U1037" s="405" t="s">
        <v>319</v>
      </c>
    </row>
    <row r="1038" spans="1:21" x14ac:dyDescent="0.25">
      <c r="A1038" s="405" t="s">
        <v>310</v>
      </c>
      <c r="B1038" s="405" t="s">
        <v>19125</v>
      </c>
      <c r="C1038" s="405" t="s">
        <v>327</v>
      </c>
      <c r="D1038" s="405"/>
      <c r="E1038" s="410">
        <v>43977</v>
      </c>
      <c r="F1038" s="410">
        <v>44008</v>
      </c>
      <c r="G1038" s="405" t="s">
        <v>19126</v>
      </c>
      <c r="H1038" s="405">
        <v>772845885</v>
      </c>
      <c r="I1038" s="405" t="s">
        <v>2913</v>
      </c>
      <c r="J1038" s="405">
        <v>2.7510720000000002</v>
      </c>
      <c r="K1038" s="405">
        <v>32.325398</v>
      </c>
      <c r="L1038" s="405" t="s">
        <v>860</v>
      </c>
      <c r="M1038" s="405" t="s">
        <v>853</v>
      </c>
      <c r="N1038" s="405" t="s">
        <v>19102</v>
      </c>
      <c r="O1038" s="405" t="s">
        <v>19127</v>
      </c>
      <c r="P1038" s="405" t="s">
        <v>19128</v>
      </c>
      <c r="Q1038" s="411">
        <v>9</v>
      </c>
      <c r="R1038" s="405" t="s">
        <v>17977</v>
      </c>
      <c r="S1038" s="405" t="s">
        <v>27357</v>
      </c>
      <c r="T1038" s="405" t="s">
        <v>32102</v>
      </c>
      <c r="U1038" s="405" t="s">
        <v>319</v>
      </c>
    </row>
    <row r="1039" spans="1:21" x14ac:dyDescent="0.25">
      <c r="A1039" s="405" t="s">
        <v>310</v>
      </c>
      <c r="B1039" s="405" t="s">
        <v>17325</v>
      </c>
      <c r="C1039" s="405" t="s">
        <v>327</v>
      </c>
      <c r="D1039" s="405"/>
      <c r="E1039" s="410">
        <v>43977</v>
      </c>
      <c r="F1039" s="410">
        <v>43996</v>
      </c>
      <c r="G1039" s="405" t="s">
        <v>17326</v>
      </c>
      <c r="H1039" s="405" t="s">
        <v>17327</v>
      </c>
      <c r="I1039" s="405" t="s">
        <v>17328</v>
      </c>
      <c r="J1039" s="405">
        <v>0.48177999999999999</v>
      </c>
      <c r="K1039" s="405">
        <v>33.258648999999998</v>
      </c>
      <c r="L1039" s="405" t="s">
        <v>6866</v>
      </c>
      <c r="M1039" s="405" t="s">
        <v>9590</v>
      </c>
      <c r="N1039" s="405" t="s">
        <v>9591</v>
      </c>
      <c r="O1039" s="405" t="s">
        <v>17329</v>
      </c>
      <c r="P1039" s="405" t="s">
        <v>15331</v>
      </c>
      <c r="Q1039" s="411">
        <v>9</v>
      </c>
      <c r="R1039" s="405" t="s">
        <v>32164</v>
      </c>
      <c r="S1039" s="405" t="s">
        <v>6822</v>
      </c>
      <c r="T1039" s="405" t="s">
        <v>32102</v>
      </c>
      <c r="U1039" s="405" t="s">
        <v>319</v>
      </c>
    </row>
    <row r="1040" spans="1:21" x14ac:dyDescent="0.25">
      <c r="A1040" s="405" t="s">
        <v>310</v>
      </c>
      <c r="B1040" s="405" t="s">
        <v>25898</v>
      </c>
      <c r="C1040" s="405" t="s">
        <v>327</v>
      </c>
      <c r="D1040" s="405"/>
      <c r="E1040" s="410">
        <v>43976</v>
      </c>
      <c r="F1040" s="410">
        <v>43999</v>
      </c>
      <c r="G1040" s="405" t="s">
        <v>25899</v>
      </c>
      <c r="H1040" s="405">
        <v>702433606</v>
      </c>
      <c r="I1040" s="405" t="s">
        <v>2913</v>
      </c>
      <c r="J1040" s="405">
        <v>0.197132</v>
      </c>
      <c r="K1040" s="405">
        <v>30.118410000000001</v>
      </c>
      <c r="L1040" s="405" t="s">
        <v>590</v>
      </c>
      <c r="M1040" s="405" t="s">
        <v>21087</v>
      </c>
      <c r="N1040" s="405" t="s">
        <v>25900</v>
      </c>
      <c r="O1040" s="405" t="s">
        <v>21519</v>
      </c>
      <c r="P1040" s="405" t="s">
        <v>4036</v>
      </c>
      <c r="Q1040" s="411">
        <v>9</v>
      </c>
      <c r="R1040" s="405" t="s">
        <v>5858</v>
      </c>
      <c r="S1040" s="405" t="s">
        <v>27227</v>
      </c>
      <c r="T1040" s="405" t="s">
        <v>32102</v>
      </c>
      <c r="U1040" s="405" t="s">
        <v>319</v>
      </c>
    </row>
    <row r="1041" spans="1:21" x14ac:dyDescent="0.25">
      <c r="A1041" s="405" t="s">
        <v>310</v>
      </c>
      <c r="B1041" s="405" t="s">
        <v>17334</v>
      </c>
      <c r="C1041" s="405" t="s">
        <v>327</v>
      </c>
      <c r="D1041" s="405"/>
      <c r="E1041" s="410">
        <v>43976</v>
      </c>
      <c r="F1041" s="410">
        <v>44015</v>
      </c>
      <c r="G1041" s="405" t="s">
        <v>17335</v>
      </c>
      <c r="H1041" s="405">
        <v>788002565</v>
      </c>
      <c r="I1041" s="405" t="s">
        <v>17336</v>
      </c>
      <c r="J1041" s="405">
        <v>1.885413</v>
      </c>
      <c r="K1041" s="405">
        <v>33.565750000000001</v>
      </c>
      <c r="L1041" s="405" t="s">
        <v>6866</v>
      </c>
      <c r="M1041" s="405" t="s">
        <v>10515</v>
      </c>
      <c r="N1041" s="405" t="s">
        <v>10525</v>
      </c>
      <c r="O1041" s="405" t="s">
        <v>15521</v>
      </c>
      <c r="P1041" s="405" t="s">
        <v>17337</v>
      </c>
      <c r="Q1041" s="411">
        <v>4</v>
      </c>
      <c r="R1041" s="405" t="s">
        <v>5655</v>
      </c>
      <c r="S1041" s="405" t="s">
        <v>27289</v>
      </c>
      <c r="T1041" s="405" t="s">
        <v>32102</v>
      </c>
      <c r="U1041" s="405" t="s">
        <v>319</v>
      </c>
    </row>
    <row r="1042" spans="1:21" x14ac:dyDescent="0.25">
      <c r="A1042" s="405" t="s">
        <v>310</v>
      </c>
      <c r="B1042" s="405" t="s">
        <v>8954</v>
      </c>
      <c r="C1042" s="405" t="s">
        <v>311</v>
      </c>
      <c r="D1042" s="405" t="s">
        <v>2127</v>
      </c>
      <c r="E1042" s="410">
        <v>43973</v>
      </c>
      <c r="F1042" s="410">
        <v>43994</v>
      </c>
      <c r="G1042" s="405" t="s">
        <v>8955</v>
      </c>
      <c r="H1042" s="405">
        <v>772744088</v>
      </c>
      <c r="I1042" s="405" t="s">
        <v>2913</v>
      </c>
      <c r="J1042" s="405">
        <v>0.50050499999999998</v>
      </c>
      <c r="K1042" s="405">
        <v>32.522767999999999</v>
      </c>
      <c r="L1042" s="405" t="s">
        <v>314</v>
      </c>
      <c r="M1042" s="405" t="s">
        <v>361</v>
      </c>
      <c r="N1042" s="405" t="s">
        <v>374</v>
      </c>
      <c r="O1042" s="405" t="s">
        <v>3041</v>
      </c>
      <c r="P1042" s="405" t="s">
        <v>597</v>
      </c>
      <c r="Q1042" s="411">
        <v>13</v>
      </c>
      <c r="R1042" s="405" t="s">
        <v>32101</v>
      </c>
      <c r="S1042" s="405" t="s">
        <v>27034</v>
      </c>
      <c r="T1042" s="405" t="s">
        <v>32102</v>
      </c>
      <c r="U1042" s="405" t="s">
        <v>319</v>
      </c>
    </row>
    <row r="1043" spans="1:21" x14ac:dyDescent="0.25">
      <c r="A1043" s="405" t="s">
        <v>310</v>
      </c>
      <c r="B1043" s="405" t="s">
        <v>8179</v>
      </c>
      <c r="C1043" s="405" t="s">
        <v>327</v>
      </c>
      <c r="D1043" s="405"/>
      <c r="E1043" s="410">
        <v>43970</v>
      </c>
      <c r="F1043" s="410">
        <v>44057</v>
      </c>
      <c r="G1043" s="405" t="s">
        <v>8180</v>
      </c>
      <c r="H1043" s="405" t="s">
        <v>8181</v>
      </c>
      <c r="I1043" s="405" t="s">
        <v>8182</v>
      </c>
      <c r="J1043" s="405">
        <v>0.75289200000000001</v>
      </c>
      <c r="K1043" s="405">
        <v>32.686459999999997</v>
      </c>
      <c r="L1043" s="405" t="s">
        <v>314</v>
      </c>
      <c r="M1043" s="405" t="s">
        <v>959</v>
      </c>
      <c r="N1043" s="405" t="s">
        <v>960</v>
      </c>
      <c r="O1043" s="405" t="s">
        <v>2921</v>
      </c>
      <c r="P1043" s="405" t="s">
        <v>8183</v>
      </c>
      <c r="Q1043" s="411">
        <v>13</v>
      </c>
      <c r="R1043" s="405" t="s">
        <v>6798</v>
      </c>
      <c r="S1043" s="405" t="s">
        <v>27049</v>
      </c>
      <c r="T1043" s="405" t="s">
        <v>32102</v>
      </c>
      <c r="U1043" s="405" t="s">
        <v>319</v>
      </c>
    </row>
    <row r="1044" spans="1:21" x14ac:dyDescent="0.25">
      <c r="A1044" s="405" t="s">
        <v>310</v>
      </c>
      <c r="B1044" s="405" t="s">
        <v>8192</v>
      </c>
      <c r="C1044" s="405" t="s">
        <v>327</v>
      </c>
      <c r="D1044" s="405"/>
      <c r="E1044" s="410">
        <v>43970</v>
      </c>
      <c r="F1044" s="410">
        <v>43996</v>
      </c>
      <c r="G1044" s="405" t="s">
        <v>8193</v>
      </c>
      <c r="H1044" s="405" t="s">
        <v>8194</v>
      </c>
      <c r="I1044" s="405"/>
      <c r="J1044" s="405">
        <v>1.5426869999999999</v>
      </c>
      <c r="K1044" s="405">
        <v>32.041716999999998</v>
      </c>
      <c r="L1044" s="405" t="s">
        <v>314</v>
      </c>
      <c r="M1044" s="405" t="s">
        <v>2297</v>
      </c>
      <c r="N1044" s="405" t="s">
        <v>2297</v>
      </c>
      <c r="O1044" s="405" t="s">
        <v>2520</v>
      </c>
      <c r="P1044" s="405" t="s">
        <v>2520</v>
      </c>
      <c r="Q1044" s="411">
        <v>13</v>
      </c>
      <c r="R1044" s="405" t="s">
        <v>32101</v>
      </c>
      <c r="S1044" s="405" t="s">
        <v>27235</v>
      </c>
      <c r="T1044" s="405" t="s">
        <v>32102</v>
      </c>
      <c r="U1044" s="405" t="s">
        <v>319</v>
      </c>
    </row>
    <row r="1045" spans="1:21" x14ac:dyDescent="0.25">
      <c r="A1045" s="405" t="s">
        <v>310</v>
      </c>
      <c r="B1045" s="405" t="s">
        <v>17321</v>
      </c>
      <c r="C1045" s="405" t="s">
        <v>327</v>
      </c>
      <c r="D1045" s="405"/>
      <c r="E1045" s="410">
        <v>43969</v>
      </c>
      <c r="F1045" s="410">
        <v>44000</v>
      </c>
      <c r="G1045" s="405" t="s">
        <v>17322</v>
      </c>
      <c r="H1045" s="405" t="s">
        <v>17323</v>
      </c>
      <c r="I1045" s="405" t="s">
        <v>17324</v>
      </c>
      <c r="J1045" s="405">
        <v>0.50867399999999996</v>
      </c>
      <c r="K1045" s="405">
        <v>33.233339999999998</v>
      </c>
      <c r="L1045" s="405" t="s">
        <v>6866</v>
      </c>
      <c r="M1045" s="405" t="s">
        <v>9590</v>
      </c>
      <c r="N1045" s="405" t="s">
        <v>9591</v>
      </c>
      <c r="O1045" s="405" t="s">
        <v>9592</v>
      </c>
      <c r="P1045" s="405" t="s">
        <v>11513</v>
      </c>
      <c r="Q1045" s="411">
        <v>9</v>
      </c>
      <c r="R1045" s="405" t="s">
        <v>32164</v>
      </c>
      <c r="S1045" s="405" t="s">
        <v>27174</v>
      </c>
      <c r="T1045" s="405" t="s">
        <v>32102</v>
      </c>
      <c r="U1045" s="405" t="s">
        <v>319</v>
      </c>
    </row>
    <row r="1046" spans="1:21" x14ac:dyDescent="0.25">
      <c r="A1046" s="405" t="s">
        <v>310</v>
      </c>
      <c r="B1046" s="405" t="s">
        <v>25910</v>
      </c>
      <c r="C1046" s="405" t="s">
        <v>327</v>
      </c>
      <c r="D1046" s="405"/>
      <c r="E1046" s="410">
        <v>43969</v>
      </c>
      <c r="F1046" s="410">
        <v>44001</v>
      </c>
      <c r="G1046" s="405" t="s">
        <v>25911</v>
      </c>
      <c r="H1046" s="405" t="s">
        <v>25912</v>
      </c>
      <c r="I1046" s="405" t="s">
        <v>25913</v>
      </c>
      <c r="J1046" s="405">
        <v>-0.69521500000000003</v>
      </c>
      <c r="K1046" s="405">
        <v>29.920857000000002</v>
      </c>
      <c r="L1046" s="405" t="s">
        <v>590</v>
      </c>
      <c r="M1046" s="405" t="s">
        <v>19619</v>
      </c>
      <c r="N1046" s="405" t="s">
        <v>19793</v>
      </c>
      <c r="O1046" s="405" t="s">
        <v>20033</v>
      </c>
      <c r="P1046" s="405" t="s">
        <v>25914</v>
      </c>
      <c r="Q1046" s="411">
        <v>6</v>
      </c>
      <c r="R1046" s="405" t="s">
        <v>6572</v>
      </c>
      <c r="S1046" s="405" t="s">
        <v>27280</v>
      </c>
      <c r="T1046" s="405" t="s">
        <v>32102</v>
      </c>
      <c r="U1046" s="405" t="s">
        <v>319</v>
      </c>
    </row>
    <row r="1047" spans="1:21" x14ac:dyDescent="0.25">
      <c r="A1047" s="405" t="s">
        <v>310</v>
      </c>
      <c r="B1047" s="405" t="s">
        <v>25906</v>
      </c>
      <c r="C1047" s="405" t="s">
        <v>327</v>
      </c>
      <c r="D1047" s="405"/>
      <c r="E1047" s="410">
        <v>43964</v>
      </c>
      <c r="F1047" s="410">
        <v>43994</v>
      </c>
      <c r="G1047" s="405" t="s">
        <v>25907</v>
      </c>
      <c r="H1047" s="405" t="s">
        <v>25908</v>
      </c>
      <c r="I1047" s="405" t="s">
        <v>2913</v>
      </c>
      <c r="J1047" s="405">
        <v>-0.80225000000000002</v>
      </c>
      <c r="K1047" s="405">
        <v>29.744115000000001</v>
      </c>
      <c r="L1047" s="405" t="s">
        <v>590</v>
      </c>
      <c r="M1047" s="405" t="s">
        <v>20808</v>
      </c>
      <c r="N1047" s="405" t="s">
        <v>25172</v>
      </c>
      <c r="O1047" s="405" t="s">
        <v>20169</v>
      </c>
      <c r="P1047" s="405" t="s">
        <v>25909</v>
      </c>
      <c r="Q1047" s="411">
        <v>6</v>
      </c>
      <c r="R1047" s="405" t="s">
        <v>6572</v>
      </c>
      <c r="S1047" s="405" t="s">
        <v>27440</v>
      </c>
      <c r="T1047" s="405" t="s">
        <v>32102</v>
      </c>
      <c r="U1047" s="405" t="s">
        <v>319</v>
      </c>
    </row>
    <row r="1048" spans="1:21" x14ac:dyDescent="0.25">
      <c r="A1048" s="405" t="s">
        <v>310</v>
      </c>
      <c r="B1048" s="405" t="s">
        <v>8184</v>
      </c>
      <c r="C1048" s="405" t="s">
        <v>327</v>
      </c>
      <c r="D1048" s="405"/>
      <c r="E1048" s="410">
        <v>43963</v>
      </c>
      <c r="F1048" s="410">
        <v>43984</v>
      </c>
      <c r="G1048" s="405" t="s">
        <v>8185</v>
      </c>
      <c r="H1048" s="405" t="s">
        <v>8186</v>
      </c>
      <c r="I1048" s="405" t="s">
        <v>8187</v>
      </c>
      <c r="J1048" s="405">
        <v>0.3574</v>
      </c>
      <c r="K1048" s="405">
        <v>32.503697000000003</v>
      </c>
      <c r="L1048" s="405" t="s">
        <v>314</v>
      </c>
      <c r="M1048" s="405" t="s">
        <v>361</v>
      </c>
      <c r="N1048" s="405" t="s">
        <v>374</v>
      </c>
      <c r="O1048" s="405" t="s">
        <v>1345</v>
      </c>
      <c r="P1048" s="405" t="s">
        <v>7815</v>
      </c>
      <c r="Q1048" s="411">
        <v>9</v>
      </c>
      <c r="R1048" s="405" t="s">
        <v>32101</v>
      </c>
      <c r="S1048" s="405" t="s">
        <v>27275</v>
      </c>
      <c r="T1048" s="405" t="s">
        <v>32102</v>
      </c>
      <c r="U1048" s="405" t="s">
        <v>319</v>
      </c>
    </row>
    <row r="1049" spans="1:21" x14ac:dyDescent="0.25">
      <c r="A1049" s="405" t="s">
        <v>310</v>
      </c>
      <c r="B1049" s="405" t="s">
        <v>28918</v>
      </c>
      <c r="C1049" s="405" t="s">
        <v>327</v>
      </c>
      <c r="D1049" s="405"/>
      <c r="E1049" s="410">
        <v>43961</v>
      </c>
      <c r="F1049" s="410">
        <v>44032</v>
      </c>
      <c r="G1049" s="405" t="s">
        <v>8208</v>
      </c>
      <c r="H1049" s="405" t="s">
        <v>8209</v>
      </c>
      <c r="I1049" s="405" t="s">
        <v>8210</v>
      </c>
      <c r="J1049" s="405">
        <v>0.24553800000000001</v>
      </c>
      <c r="K1049" s="405">
        <v>32.500942999999999</v>
      </c>
      <c r="L1049" s="405" t="s">
        <v>6897</v>
      </c>
      <c r="M1049" s="405" t="s">
        <v>6072</v>
      </c>
      <c r="N1049" s="405" t="s">
        <v>3398</v>
      </c>
      <c r="O1049" s="405" t="s">
        <v>375</v>
      </c>
      <c r="P1049" s="405" t="s">
        <v>5010</v>
      </c>
      <c r="Q1049" s="411">
        <v>9</v>
      </c>
      <c r="R1049" s="405" t="s">
        <v>4176</v>
      </c>
      <c r="S1049" s="405" t="s">
        <v>27053</v>
      </c>
      <c r="T1049" s="405" t="s">
        <v>32102</v>
      </c>
      <c r="U1049" s="405" t="s">
        <v>319</v>
      </c>
    </row>
    <row r="1050" spans="1:21" x14ac:dyDescent="0.25">
      <c r="A1050" s="405" t="s">
        <v>310</v>
      </c>
      <c r="B1050" s="405" t="s">
        <v>8166</v>
      </c>
      <c r="C1050" s="405" t="s">
        <v>327</v>
      </c>
      <c r="D1050" s="405"/>
      <c r="E1050" s="410">
        <v>43960</v>
      </c>
      <c r="F1050" s="410">
        <v>43980</v>
      </c>
      <c r="G1050" s="405" t="s">
        <v>8167</v>
      </c>
      <c r="H1050" s="405" t="s">
        <v>8168</v>
      </c>
      <c r="I1050" s="405" t="s">
        <v>2913</v>
      </c>
      <c r="J1050" s="405">
        <v>0.28356500000000001</v>
      </c>
      <c r="K1050" s="405">
        <v>32.466819999999998</v>
      </c>
      <c r="L1050" s="405" t="s">
        <v>314</v>
      </c>
      <c r="M1050" s="405" t="s">
        <v>361</v>
      </c>
      <c r="N1050" s="405" t="s">
        <v>374</v>
      </c>
      <c r="O1050" s="405" t="s">
        <v>375</v>
      </c>
      <c r="P1050" s="405" t="s">
        <v>2553</v>
      </c>
      <c r="Q1050" s="411">
        <v>13</v>
      </c>
      <c r="R1050" s="405" t="s">
        <v>32157</v>
      </c>
      <c r="S1050" s="405" t="s">
        <v>27048</v>
      </c>
      <c r="T1050" s="405" t="s">
        <v>32102</v>
      </c>
      <c r="U1050" s="405" t="s">
        <v>319</v>
      </c>
    </row>
    <row r="1051" spans="1:21" x14ac:dyDescent="0.25">
      <c r="A1051" s="405" t="s">
        <v>310</v>
      </c>
      <c r="B1051" s="405" t="s">
        <v>25896</v>
      </c>
      <c r="C1051" s="405" t="s">
        <v>327</v>
      </c>
      <c r="D1051" s="405"/>
      <c r="E1051" s="410">
        <v>43959</v>
      </c>
      <c r="F1051" s="410">
        <v>43963</v>
      </c>
      <c r="G1051" s="405" t="s">
        <v>25897</v>
      </c>
      <c r="H1051" s="405">
        <v>782850020</v>
      </c>
      <c r="I1051" s="405" t="s">
        <v>2913</v>
      </c>
      <c r="J1051" s="405">
        <v>-0.88242799999999999</v>
      </c>
      <c r="K1051" s="405">
        <v>29.732424999999999</v>
      </c>
      <c r="L1051" s="405" t="s">
        <v>590</v>
      </c>
      <c r="M1051" s="405" t="s">
        <v>20808</v>
      </c>
      <c r="N1051" s="405" t="s">
        <v>25894</v>
      </c>
      <c r="O1051" s="405" t="s">
        <v>20810</v>
      </c>
      <c r="P1051" s="405" t="s">
        <v>25895</v>
      </c>
      <c r="Q1051" s="411">
        <v>9</v>
      </c>
      <c r="R1051" s="405" t="s">
        <v>24106</v>
      </c>
      <c r="S1051" s="405" t="s">
        <v>27102</v>
      </c>
      <c r="T1051" s="405" t="s">
        <v>32102</v>
      </c>
      <c r="U1051" s="405" t="s">
        <v>319</v>
      </c>
    </row>
    <row r="1052" spans="1:21" x14ac:dyDescent="0.25">
      <c r="A1052" s="405" t="s">
        <v>310</v>
      </c>
      <c r="B1052" s="405" t="s">
        <v>19585</v>
      </c>
      <c r="C1052" s="405" t="s">
        <v>857</v>
      </c>
      <c r="D1052" s="405" t="s">
        <v>22860</v>
      </c>
      <c r="E1052" s="410">
        <v>43958</v>
      </c>
      <c r="F1052" s="410">
        <v>44073</v>
      </c>
      <c r="G1052" s="405" t="s">
        <v>19586</v>
      </c>
      <c r="H1052" s="405">
        <v>774133311</v>
      </c>
      <c r="I1052" s="405"/>
      <c r="J1052" s="405">
        <v>3.3592770000000001</v>
      </c>
      <c r="K1052" s="405">
        <v>31.093900000000001</v>
      </c>
      <c r="L1052" s="405" t="s">
        <v>860</v>
      </c>
      <c r="M1052" s="405" t="s">
        <v>19131</v>
      </c>
      <c r="N1052" s="405" t="s">
        <v>19587</v>
      </c>
      <c r="O1052" s="405" t="s">
        <v>19588</v>
      </c>
      <c r="P1052" s="405" t="s">
        <v>19589</v>
      </c>
      <c r="Q1052" s="411">
        <v>9</v>
      </c>
      <c r="R1052" s="405" t="s">
        <v>17977</v>
      </c>
      <c r="S1052" s="405" t="s">
        <v>27243</v>
      </c>
      <c r="T1052" s="405" t="s">
        <v>32102</v>
      </c>
      <c r="U1052" s="405" t="s">
        <v>319</v>
      </c>
    </row>
    <row r="1053" spans="1:21" x14ac:dyDescent="0.25">
      <c r="A1053" s="405" t="s">
        <v>310</v>
      </c>
      <c r="B1053" s="405" t="s">
        <v>26453</v>
      </c>
      <c r="C1053" s="405" t="s">
        <v>327</v>
      </c>
      <c r="D1053" s="405"/>
      <c r="E1053" s="410">
        <v>44346</v>
      </c>
      <c r="F1053" s="410">
        <v>44353</v>
      </c>
      <c r="G1053" s="405" t="s">
        <v>26454</v>
      </c>
      <c r="H1053" s="405" t="s">
        <v>26455</v>
      </c>
      <c r="I1053" s="405" t="s">
        <v>2913</v>
      </c>
      <c r="J1053" s="405">
        <v>6.9278000000000006E-2</v>
      </c>
      <c r="K1053" s="405">
        <v>31.465689999999999</v>
      </c>
      <c r="L1053" s="405" t="s">
        <v>590</v>
      </c>
      <c r="M1053" s="405" t="s">
        <v>343</v>
      </c>
      <c r="N1053" s="405" t="s">
        <v>6104</v>
      </c>
      <c r="O1053" s="405" t="s">
        <v>26456</v>
      </c>
      <c r="P1053" s="405" t="s">
        <v>26457</v>
      </c>
      <c r="Q1053" s="411">
        <v>20</v>
      </c>
      <c r="R1053" s="405" t="s">
        <v>874</v>
      </c>
      <c r="S1053" s="405" t="s">
        <v>27153</v>
      </c>
      <c r="T1053" s="405" t="s">
        <v>32102</v>
      </c>
      <c r="U1053" s="405" t="s">
        <v>319</v>
      </c>
    </row>
    <row r="1054" spans="1:21" x14ac:dyDescent="0.25">
      <c r="A1054" s="405" t="s">
        <v>310</v>
      </c>
      <c r="B1054" s="405" t="s">
        <v>8965</v>
      </c>
      <c r="C1054" s="405" t="s">
        <v>311</v>
      </c>
      <c r="D1054" s="405" t="s">
        <v>839</v>
      </c>
      <c r="E1054" s="410">
        <v>43953</v>
      </c>
      <c r="F1054" s="410">
        <v>43984</v>
      </c>
      <c r="G1054" s="405" t="s">
        <v>8966</v>
      </c>
      <c r="H1054" s="405" t="s">
        <v>8967</v>
      </c>
      <c r="I1054" s="405" t="s">
        <v>2913</v>
      </c>
      <c r="J1054" s="405">
        <v>0.351327</v>
      </c>
      <c r="K1054" s="405">
        <v>32.587507000000002</v>
      </c>
      <c r="L1054" s="405" t="s">
        <v>314</v>
      </c>
      <c r="M1054" s="405" t="s">
        <v>361</v>
      </c>
      <c r="N1054" s="405" t="s">
        <v>374</v>
      </c>
      <c r="O1054" s="405" t="s">
        <v>361</v>
      </c>
      <c r="P1054" s="405" t="s">
        <v>502</v>
      </c>
      <c r="Q1054" s="411">
        <v>9</v>
      </c>
      <c r="R1054" s="405" t="s">
        <v>32157</v>
      </c>
      <c r="S1054" s="405" t="s">
        <v>27048</v>
      </c>
      <c r="T1054" s="405" t="s">
        <v>32102</v>
      </c>
      <c r="U1054" s="405" t="s">
        <v>319</v>
      </c>
    </row>
    <row r="1055" spans="1:21" x14ac:dyDescent="0.25">
      <c r="A1055" s="405" t="s">
        <v>310</v>
      </c>
      <c r="B1055" s="405" t="s">
        <v>17282</v>
      </c>
      <c r="C1055" s="405" t="s">
        <v>327</v>
      </c>
      <c r="D1055" s="405"/>
      <c r="E1055" s="410">
        <v>43949</v>
      </c>
      <c r="F1055" s="410">
        <v>43952</v>
      </c>
      <c r="G1055" s="405" t="s">
        <v>17283</v>
      </c>
      <c r="H1055" s="405" t="s">
        <v>17284</v>
      </c>
      <c r="I1055" s="405"/>
      <c r="J1055" s="405">
        <v>1.885427</v>
      </c>
      <c r="K1055" s="405">
        <v>33.565891999999998</v>
      </c>
      <c r="L1055" s="405" t="s">
        <v>6866</v>
      </c>
      <c r="M1055" s="405" t="s">
        <v>10495</v>
      </c>
      <c r="N1055" s="405" t="s">
        <v>17285</v>
      </c>
      <c r="O1055" s="405" t="s">
        <v>17053</v>
      </c>
      <c r="P1055" s="405" t="s">
        <v>17285</v>
      </c>
      <c r="Q1055" s="411">
        <v>6</v>
      </c>
      <c r="R1055" s="405" t="s">
        <v>5655</v>
      </c>
      <c r="S1055" s="405" t="s">
        <v>27072</v>
      </c>
      <c r="T1055" s="405" t="s">
        <v>32102</v>
      </c>
      <c r="U1055" s="405" t="s">
        <v>319</v>
      </c>
    </row>
    <row r="1056" spans="1:21" x14ac:dyDescent="0.25">
      <c r="A1056" s="405" t="s">
        <v>310</v>
      </c>
      <c r="B1056" s="405" t="s">
        <v>25892</v>
      </c>
      <c r="C1056" s="405" t="s">
        <v>327</v>
      </c>
      <c r="D1056" s="405"/>
      <c r="E1056" s="410">
        <v>43947</v>
      </c>
      <c r="F1056" s="410">
        <v>43963</v>
      </c>
      <c r="G1056" s="405" t="s">
        <v>25893</v>
      </c>
      <c r="H1056" s="405">
        <v>782850020</v>
      </c>
      <c r="I1056" s="405" t="s">
        <v>2913</v>
      </c>
      <c r="J1056" s="405">
        <v>-0.88144299999999998</v>
      </c>
      <c r="K1056" s="405">
        <v>29.731947999999999</v>
      </c>
      <c r="L1056" s="405" t="s">
        <v>590</v>
      </c>
      <c r="M1056" s="405" t="s">
        <v>20808</v>
      </c>
      <c r="N1056" s="405" t="s">
        <v>25894</v>
      </c>
      <c r="O1056" s="405" t="s">
        <v>20810</v>
      </c>
      <c r="P1056" s="405" t="s">
        <v>25895</v>
      </c>
      <c r="Q1056" s="411">
        <v>6</v>
      </c>
      <c r="R1056" s="405" t="s">
        <v>24106</v>
      </c>
      <c r="S1056" s="405" t="s">
        <v>27102</v>
      </c>
      <c r="T1056" s="405" t="s">
        <v>32102</v>
      </c>
      <c r="U1056" s="405" t="s">
        <v>319</v>
      </c>
    </row>
    <row r="1057" spans="1:21" x14ac:dyDescent="0.25">
      <c r="A1057" s="405" t="s">
        <v>310</v>
      </c>
      <c r="B1057" s="405" t="s">
        <v>17289</v>
      </c>
      <c r="C1057" s="405" t="s">
        <v>327</v>
      </c>
      <c r="D1057" s="405"/>
      <c r="E1057" s="410">
        <v>43946</v>
      </c>
      <c r="F1057" s="410">
        <v>43957</v>
      </c>
      <c r="G1057" s="405" t="s">
        <v>17290</v>
      </c>
      <c r="H1057" s="405" t="s">
        <v>17291</v>
      </c>
      <c r="I1057" s="405" t="s">
        <v>17292</v>
      </c>
      <c r="J1057" s="405">
        <v>1.2160219999999999</v>
      </c>
      <c r="K1057" s="405">
        <v>34.235971999999997</v>
      </c>
      <c r="L1057" s="405" t="s">
        <v>6866</v>
      </c>
      <c r="M1057" s="405" t="s">
        <v>9575</v>
      </c>
      <c r="N1057" s="405" t="s">
        <v>17293</v>
      </c>
      <c r="O1057" s="405" t="s">
        <v>17294</v>
      </c>
      <c r="P1057" s="405" t="s">
        <v>17295</v>
      </c>
      <c r="Q1057" s="411">
        <v>9</v>
      </c>
      <c r="R1057" s="405" t="s">
        <v>7224</v>
      </c>
      <c r="S1057" s="405" t="s">
        <v>27370</v>
      </c>
      <c r="T1057" s="405" t="s">
        <v>32102</v>
      </c>
      <c r="U1057" s="405" t="s">
        <v>319</v>
      </c>
    </row>
    <row r="1058" spans="1:21" x14ac:dyDescent="0.25">
      <c r="A1058" s="405" t="s">
        <v>310</v>
      </c>
      <c r="B1058" s="405" t="s">
        <v>8162</v>
      </c>
      <c r="C1058" s="405" t="s">
        <v>327</v>
      </c>
      <c r="D1058" s="405"/>
      <c r="E1058" s="410">
        <v>43945</v>
      </c>
      <c r="F1058" s="410">
        <v>43965</v>
      </c>
      <c r="G1058" s="405" t="s">
        <v>8163</v>
      </c>
      <c r="H1058" s="405" t="s">
        <v>8164</v>
      </c>
      <c r="I1058" s="405" t="s">
        <v>8165</v>
      </c>
      <c r="J1058" s="405">
        <v>0.26772299999999999</v>
      </c>
      <c r="K1058" s="405">
        <v>32.434735000000003</v>
      </c>
      <c r="L1058" s="405" t="s">
        <v>314</v>
      </c>
      <c r="M1058" s="405" t="s">
        <v>321</v>
      </c>
      <c r="N1058" s="405" t="s">
        <v>374</v>
      </c>
      <c r="O1058" s="405" t="s">
        <v>375</v>
      </c>
      <c r="P1058" s="405" t="s">
        <v>3822</v>
      </c>
      <c r="Q1058" s="411">
        <v>9</v>
      </c>
      <c r="R1058" s="405" t="s">
        <v>32101</v>
      </c>
      <c r="S1058" s="405" t="s">
        <v>27275</v>
      </c>
      <c r="T1058" s="405" t="s">
        <v>32102</v>
      </c>
      <c r="U1058" s="405" t="s">
        <v>319</v>
      </c>
    </row>
    <row r="1059" spans="1:21" x14ac:dyDescent="0.25">
      <c r="A1059" s="405" t="s">
        <v>310</v>
      </c>
      <c r="B1059" s="405" t="s">
        <v>17404</v>
      </c>
      <c r="C1059" s="405" t="s">
        <v>327</v>
      </c>
      <c r="D1059" s="405"/>
      <c r="E1059" s="410">
        <v>43945</v>
      </c>
      <c r="F1059" s="410">
        <v>44078</v>
      </c>
      <c r="G1059" s="405" t="s">
        <v>17405</v>
      </c>
      <c r="H1059" s="405" t="s">
        <v>17406</v>
      </c>
      <c r="I1059" s="405"/>
      <c r="J1059" s="405">
        <v>1.5725849999999999</v>
      </c>
      <c r="K1059" s="405">
        <v>33.595374999999997</v>
      </c>
      <c r="L1059" s="405" t="s">
        <v>6866</v>
      </c>
      <c r="M1059" s="405" t="s">
        <v>10515</v>
      </c>
      <c r="N1059" s="405" t="s">
        <v>10515</v>
      </c>
      <c r="O1059" s="405" t="s">
        <v>10516</v>
      </c>
      <c r="P1059" s="405" t="s">
        <v>17407</v>
      </c>
      <c r="Q1059" s="411">
        <v>4</v>
      </c>
      <c r="R1059" s="405" t="s">
        <v>17977</v>
      </c>
      <c r="S1059" s="405" t="s">
        <v>27357</v>
      </c>
      <c r="T1059" s="405" t="s">
        <v>32102</v>
      </c>
      <c r="U1059" s="405" t="s">
        <v>319</v>
      </c>
    </row>
    <row r="1060" spans="1:21" x14ac:dyDescent="0.25">
      <c r="A1060" s="405" t="s">
        <v>310</v>
      </c>
      <c r="B1060" s="405" t="s">
        <v>17303</v>
      </c>
      <c r="C1060" s="405" t="s">
        <v>327</v>
      </c>
      <c r="D1060" s="405"/>
      <c r="E1060" s="410">
        <v>43945</v>
      </c>
      <c r="F1060" s="410">
        <v>43975</v>
      </c>
      <c r="G1060" s="405" t="s">
        <v>17304</v>
      </c>
      <c r="H1060" s="405" t="s">
        <v>17305</v>
      </c>
      <c r="I1060" s="405">
        <v>750446989</v>
      </c>
      <c r="J1060" s="405">
        <v>1.720202</v>
      </c>
      <c r="K1060" s="405">
        <v>33.494267999999998</v>
      </c>
      <c r="L1060" s="405" t="s">
        <v>6866</v>
      </c>
      <c r="M1060" s="405" t="s">
        <v>10515</v>
      </c>
      <c r="N1060" s="405" t="s">
        <v>10515</v>
      </c>
      <c r="O1060" s="405" t="s">
        <v>11068</v>
      </c>
      <c r="P1060" s="405" t="s">
        <v>17306</v>
      </c>
      <c r="Q1060" s="411">
        <v>4</v>
      </c>
      <c r="R1060" s="405" t="s">
        <v>17977</v>
      </c>
      <c r="S1060" s="405" t="s">
        <v>27357</v>
      </c>
      <c r="T1060" s="405" t="s">
        <v>32102</v>
      </c>
      <c r="U1060" s="405" t="s">
        <v>319</v>
      </c>
    </row>
    <row r="1061" spans="1:21" x14ac:dyDescent="0.25">
      <c r="A1061" s="405" t="s">
        <v>310</v>
      </c>
      <c r="B1061" s="405" t="s">
        <v>17300</v>
      </c>
      <c r="C1061" s="405" t="s">
        <v>327</v>
      </c>
      <c r="D1061" s="405"/>
      <c r="E1061" s="410">
        <v>43945</v>
      </c>
      <c r="F1061" s="410">
        <v>43975</v>
      </c>
      <c r="G1061" s="405" t="s">
        <v>17301</v>
      </c>
      <c r="H1061" s="405" t="s">
        <v>17302</v>
      </c>
      <c r="I1061" s="405">
        <v>704476482</v>
      </c>
      <c r="J1061" s="405">
        <v>1.74142</v>
      </c>
      <c r="K1061" s="405">
        <v>33.585650000000001</v>
      </c>
      <c r="L1061" s="405" t="s">
        <v>6866</v>
      </c>
      <c r="M1061" s="405" t="s">
        <v>10515</v>
      </c>
      <c r="N1061" s="405" t="s">
        <v>10515</v>
      </c>
      <c r="O1061" s="405" t="s">
        <v>10515</v>
      </c>
      <c r="P1061" s="405" t="s">
        <v>12046</v>
      </c>
      <c r="Q1061" s="411">
        <v>4</v>
      </c>
      <c r="R1061" s="405" t="s">
        <v>17977</v>
      </c>
      <c r="S1061" s="405" t="s">
        <v>27072</v>
      </c>
      <c r="T1061" s="405" t="s">
        <v>32102</v>
      </c>
      <c r="U1061" s="405" t="s">
        <v>319</v>
      </c>
    </row>
    <row r="1062" spans="1:21" x14ac:dyDescent="0.25">
      <c r="A1062" s="405" t="s">
        <v>310</v>
      </c>
      <c r="B1062" s="405" t="s">
        <v>8822</v>
      </c>
      <c r="C1062" s="405" t="s">
        <v>327</v>
      </c>
      <c r="D1062" s="405"/>
      <c r="E1062" s="410">
        <v>44324</v>
      </c>
      <c r="F1062" s="410">
        <v>44363</v>
      </c>
      <c r="G1062" s="405" t="s">
        <v>8823</v>
      </c>
      <c r="H1062" s="405">
        <v>704102805</v>
      </c>
      <c r="I1062" s="405" t="s">
        <v>2913</v>
      </c>
      <c r="J1062" s="405">
        <v>0.55513500000000005</v>
      </c>
      <c r="K1062" s="405">
        <v>32.532425000000003</v>
      </c>
      <c r="L1062" s="405" t="s">
        <v>314</v>
      </c>
      <c r="M1062" s="405" t="s">
        <v>361</v>
      </c>
      <c r="N1062" s="405" t="s">
        <v>8824</v>
      </c>
      <c r="O1062" s="405" t="s">
        <v>8825</v>
      </c>
      <c r="P1062" s="405" t="s">
        <v>8826</v>
      </c>
      <c r="Q1062" s="411">
        <v>20</v>
      </c>
      <c r="R1062" s="405" t="s">
        <v>32101</v>
      </c>
      <c r="S1062" s="405" t="s">
        <v>27285</v>
      </c>
      <c r="T1062" s="405" t="s">
        <v>32102</v>
      </c>
      <c r="U1062" s="405" t="s">
        <v>319</v>
      </c>
    </row>
    <row r="1063" spans="1:21" x14ac:dyDescent="0.25">
      <c r="A1063" s="405" t="s">
        <v>310</v>
      </c>
      <c r="B1063" s="405" t="s">
        <v>17307</v>
      </c>
      <c r="C1063" s="405" t="s">
        <v>327</v>
      </c>
      <c r="D1063" s="405"/>
      <c r="E1063" s="410">
        <v>43937</v>
      </c>
      <c r="F1063" s="410">
        <v>43967</v>
      </c>
      <c r="G1063" s="405" t="s">
        <v>17308</v>
      </c>
      <c r="H1063" s="405">
        <v>785907662</v>
      </c>
      <c r="I1063" s="405" t="s">
        <v>17309</v>
      </c>
      <c r="J1063" s="405">
        <v>1.8330219999999999</v>
      </c>
      <c r="K1063" s="405">
        <v>33.628512000000001</v>
      </c>
      <c r="L1063" s="405" t="s">
        <v>6866</v>
      </c>
      <c r="M1063" s="405" t="s">
        <v>10515</v>
      </c>
      <c r="N1063" s="405" t="s">
        <v>10525</v>
      </c>
      <c r="O1063" s="405" t="s">
        <v>10526</v>
      </c>
      <c r="P1063" s="405" t="s">
        <v>17310</v>
      </c>
      <c r="Q1063" s="411">
        <v>4</v>
      </c>
      <c r="R1063" s="405" t="s">
        <v>17977</v>
      </c>
      <c r="S1063" s="405" t="s">
        <v>27072</v>
      </c>
      <c r="T1063" s="405" t="s">
        <v>32102</v>
      </c>
      <c r="U1063" s="405" t="s">
        <v>319</v>
      </c>
    </row>
    <row r="1064" spans="1:21" x14ac:dyDescent="0.25">
      <c r="A1064" s="405" t="s">
        <v>310</v>
      </c>
      <c r="B1064" s="405" t="s">
        <v>17286</v>
      </c>
      <c r="C1064" s="405" t="s">
        <v>327</v>
      </c>
      <c r="D1064" s="405"/>
      <c r="E1064" s="410">
        <v>43935</v>
      </c>
      <c r="F1064" s="410">
        <v>43979</v>
      </c>
      <c r="G1064" s="405" t="s">
        <v>17287</v>
      </c>
      <c r="H1064" s="405">
        <v>772879839</v>
      </c>
      <c r="I1064" s="405" t="s">
        <v>2913</v>
      </c>
      <c r="J1064" s="405">
        <v>1.0435719999999999</v>
      </c>
      <c r="K1064" s="405">
        <v>34.176972999999997</v>
      </c>
      <c r="L1064" s="405" t="s">
        <v>6866</v>
      </c>
      <c r="M1064" s="405" t="s">
        <v>9514</v>
      </c>
      <c r="N1064" s="405" t="s">
        <v>16909</v>
      </c>
      <c r="O1064" s="405" t="s">
        <v>9780</v>
      </c>
      <c r="P1064" s="405" t="s">
        <v>17288</v>
      </c>
      <c r="Q1064" s="411">
        <v>4</v>
      </c>
      <c r="R1064" s="405" t="s">
        <v>6871</v>
      </c>
      <c r="S1064" s="405" t="s">
        <v>17062</v>
      </c>
      <c r="T1064" s="405" t="s">
        <v>32102</v>
      </c>
      <c r="U1064" s="405" t="s">
        <v>319</v>
      </c>
    </row>
    <row r="1065" spans="1:21" x14ac:dyDescent="0.25">
      <c r="A1065" s="405" t="s">
        <v>310</v>
      </c>
      <c r="B1065" s="405" t="s">
        <v>25889</v>
      </c>
      <c r="C1065" s="405" t="s">
        <v>327</v>
      </c>
      <c r="D1065" s="405"/>
      <c r="E1065" s="410">
        <v>43933</v>
      </c>
      <c r="F1065" s="410">
        <v>43979</v>
      </c>
      <c r="G1065" s="405" t="s">
        <v>25890</v>
      </c>
      <c r="H1065" s="405">
        <v>774231913</v>
      </c>
      <c r="I1065" s="405" t="s">
        <v>2913</v>
      </c>
      <c r="J1065" s="405">
        <v>-1.1187320000000001</v>
      </c>
      <c r="K1065" s="405">
        <v>29.711917</v>
      </c>
      <c r="L1065" s="405" t="s">
        <v>590</v>
      </c>
      <c r="M1065" s="405" t="s">
        <v>20070</v>
      </c>
      <c r="N1065" s="405" t="s">
        <v>20076</v>
      </c>
      <c r="O1065" s="405" t="s">
        <v>24115</v>
      </c>
      <c r="P1065" s="405" t="s">
        <v>25891</v>
      </c>
      <c r="Q1065" s="411">
        <v>6</v>
      </c>
      <c r="R1065" s="405" t="s">
        <v>24106</v>
      </c>
      <c r="S1065" s="405" t="s">
        <v>27102</v>
      </c>
      <c r="T1065" s="405" t="s">
        <v>32102</v>
      </c>
      <c r="U1065" s="405" t="s">
        <v>319</v>
      </c>
    </row>
    <row r="1066" spans="1:21" x14ac:dyDescent="0.25">
      <c r="A1066" s="405" t="s">
        <v>310</v>
      </c>
      <c r="B1066" s="405" t="s">
        <v>25885</v>
      </c>
      <c r="C1066" s="405" t="s">
        <v>327</v>
      </c>
      <c r="D1066" s="405"/>
      <c r="E1066" s="410">
        <v>43931</v>
      </c>
      <c r="F1066" s="410">
        <v>43963</v>
      </c>
      <c r="G1066" s="405" t="s">
        <v>25886</v>
      </c>
      <c r="H1066" s="405" t="s">
        <v>25887</v>
      </c>
      <c r="I1066" s="405" t="s">
        <v>2913</v>
      </c>
      <c r="J1066" s="405">
        <v>-0.77688500000000005</v>
      </c>
      <c r="K1066" s="405">
        <v>29.709277</v>
      </c>
      <c r="L1066" s="405" t="s">
        <v>590</v>
      </c>
      <c r="M1066" s="405" t="s">
        <v>20808</v>
      </c>
      <c r="N1066" s="405" t="s">
        <v>25110</v>
      </c>
      <c r="O1066" s="405" t="s">
        <v>25888</v>
      </c>
      <c r="P1066" s="405" t="s">
        <v>19875</v>
      </c>
      <c r="Q1066" s="411">
        <v>9</v>
      </c>
      <c r="R1066" s="405" t="s">
        <v>6572</v>
      </c>
      <c r="S1066" s="405" t="s">
        <v>27442</v>
      </c>
      <c r="T1066" s="405" t="s">
        <v>32102</v>
      </c>
      <c r="U1066" s="405" t="s">
        <v>319</v>
      </c>
    </row>
    <row r="1067" spans="1:21" x14ac:dyDescent="0.25">
      <c r="A1067" s="405" t="s">
        <v>310</v>
      </c>
      <c r="B1067" s="405" t="s">
        <v>8169</v>
      </c>
      <c r="C1067" s="405" t="s">
        <v>327</v>
      </c>
      <c r="D1067" s="405"/>
      <c r="E1067" s="410">
        <v>43931</v>
      </c>
      <c r="F1067" s="410">
        <v>43997</v>
      </c>
      <c r="G1067" s="405" t="s">
        <v>8170</v>
      </c>
      <c r="H1067" s="405">
        <v>754655544</v>
      </c>
      <c r="I1067" s="405" t="s">
        <v>8171</v>
      </c>
      <c r="J1067" s="405">
        <v>0.14022499999999999</v>
      </c>
      <c r="K1067" s="405">
        <v>32.443157999999997</v>
      </c>
      <c r="L1067" s="405" t="s">
        <v>314</v>
      </c>
      <c r="M1067" s="405" t="s">
        <v>361</v>
      </c>
      <c r="N1067" s="405" t="s">
        <v>6357</v>
      </c>
      <c r="O1067" s="405" t="s">
        <v>8172</v>
      </c>
      <c r="P1067" s="405" t="s">
        <v>8173</v>
      </c>
      <c r="Q1067" s="411">
        <v>6</v>
      </c>
      <c r="R1067" s="405" t="s">
        <v>6798</v>
      </c>
      <c r="S1067" s="405" t="s">
        <v>27049</v>
      </c>
      <c r="T1067" s="405" t="s">
        <v>32102</v>
      </c>
      <c r="U1067" s="405" t="s">
        <v>319</v>
      </c>
    </row>
    <row r="1068" spans="1:21" x14ac:dyDescent="0.25">
      <c r="A1068" s="405" t="s">
        <v>310</v>
      </c>
      <c r="B1068" s="405" t="s">
        <v>8213</v>
      </c>
      <c r="C1068" s="405" t="s">
        <v>327</v>
      </c>
      <c r="D1068" s="405"/>
      <c r="E1068" s="410">
        <v>43927</v>
      </c>
      <c r="F1068" s="410">
        <v>44021</v>
      </c>
      <c r="G1068" s="405" t="s">
        <v>8214</v>
      </c>
      <c r="H1068" s="405" t="s">
        <v>8215</v>
      </c>
      <c r="I1068" s="405" t="s">
        <v>8216</v>
      </c>
      <c r="J1068" s="405">
        <v>0.37259500000000001</v>
      </c>
      <c r="K1068" s="405">
        <v>32.744022999999999</v>
      </c>
      <c r="L1068" s="405" t="s">
        <v>314</v>
      </c>
      <c r="M1068" s="405" t="s">
        <v>329</v>
      </c>
      <c r="N1068" s="405" t="s">
        <v>330</v>
      </c>
      <c r="O1068" s="405" t="s">
        <v>4147</v>
      </c>
      <c r="P1068" s="405" t="s">
        <v>358</v>
      </c>
      <c r="Q1068" s="411">
        <v>9</v>
      </c>
      <c r="R1068" s="405" t="s">
        <v>4176</v>
      </c>
      <c r="S1068" s="405" t="s">
        <v>27059</v>
      </c>
      <c r="T1068" s="405" t="s">
        <v>32102</v>
      </c>
      <c r="U1068" s="405" t="s">
        <v>319</v>
      </c>
    </row>
    <row r="1069" spans="1:21" x14ac:dyDescent="0.25">
      <c r="A1069" s="405" t="s">
        <v>310</v>
      </c>
      <c r="B1069" s="405" t="s">
        <v>8158</v>
      </c>
      <c r="C1069" s="405" t="s">
        <v>327</v>
      </c>
      <c r="D1069" s="405"/>
      <c r="E1069" s="410">
        <v>43927</v>
      </c>
      <c r="F1069" s="410">
        <v>43962</v>
      </c>
      <c r="G1069" s="405" t="s">
        <v>8159</v>
      </c>
      <c r="H1069" s="405" t="s">
        <v>8160</v>
      </c>
      <c r="I1069" s="405" t="s">
        <v>8161</v>
      </c>
      <c r="J1069" s="405">
        <v>0.26512000000000002</v>
      </c>
      <c r="K1069" s="405">
        <v>32.460247000000003</v>
      </c>
      <c r="L1069" s="405" t="s">
        <v>314</v>
      </c>
      <c r="M1069" s="405" t="s">
        <v>361</v>
      </c>
      <c r="N1069" s="405" t="s">
        <v>374</v>
      </c>
      <c r="O1069" s="405" t="s">
        <v>375</v>
      </c>
      <c r="P1069" s="405" t="s">
        <v>4995</v>
      </c>
      <c r="Q1069" s="411">
        <v>6</v>
      </c>
      <c r="R1069" s="405" t="s">
        <v>32101</v>
      </c>
      <c r="S1069" s="405" t="s">
        <v>27275</v>
      </c>
      <c r="T1069" s="405" t="s">
        <v>32102</v>
      </c>
      <c r="U1069" s="405" t="s">
        <v>319</v>
      </c>
    </row>
    <row r="1070" spans="1:21" x14ac:dyDescent="0.25">
      <c r="A1070" s="405" t="s">
        <v>310</v>
      </c>
      <c r="B1070" s="405" t="s">
        <v>19136</v>
      </c>
      <c r="C1070" s="405" t="s">
        <v>327</v>
      </c>
      <c r="D1070" s="405"/>
      <c r="E1070" s="410">
        <v>43924</v>
      </c>
      <c r="F1070" s="410">
        <v>44072</v>
      </c>
      <c r="G1070" s="405" t="s">
        <v>19137</v>
      </c>
      <c r="H1070" s="405">
        <v>782630209</v>
      </c>
      <c r="I1070" s="405" t="s">
        <v>2913</v>
      </c>
      <c r="J1070" s="405">
        <v>3.4671650000000001</v>
      </c>
      <c r="K1070" s="405">
        <v>31.243123000000001</v>
      </c>
      <c r="L1070" s="405" t="s">
        <v>860</v>
      </c>
      <c r="M1070" s="405" t="s">
        <v>19131</v>
      </c>
      <c r="N1070" s="405" t="s">
        <v>19138</v>
      </c>
      <c r="O1070" s="405" t="s">
        <v>19133</v>
      </c>
      <c r="P1070" s="405" t="s">
        <v>19139</v>
      </c>
      <c r="Q1070" s="411">
        <v>9</v>
      </c>
      <c r="R1070" s="405" t="s">
        <v>17977</v>
      </c>
      <c r="S1070" s="405" t="s">
        <v>27243</v>
      </c>
      <c r="T1070" s="405" t="s">
        <v>32102</v>
      </c>
      <c r="U1070" s="405" t="s">
        <v>319</v>
      </c>
    </row>
    <row r="1071" spans="1:21" x14ac:dyDescent="0.25">
      <c r="A1071" s="405" t="s">
        <v>310</v>
      </c>
      <c r="B1071" s="405" t="s">
        <v>25881</v>
      </c>
      <c r="C1071" s="405" t="s">
        <v>327</v>
      </c>
      <c r="D1071" s="405"/>
      <c r="E1071" s="410">
        <v>43923</v>
      </c>
      <c r="F1071" s="410">
        <v>43965</v>
      </c>
      <c r="G1071" s="405" t="s">
        <v>25882</v>
      </c>
      <c r="H1071" s="405" t="s">
        <v>25883</v>
      </c>
      <c r="I1071" s="405" t="s">
        <v>2913</v>
      </c>
      <c r="J1071" s="405">
        <v>-0.406945</v>
      </c>
      <c r="K1071" s="405">
        <v>30.825856999999999</v>
      </c>
      <c r="L1071" s="405" t="s">
        <v>590</v>
      </c>
      <c r="M1071" s="405" t="s">
        <v>19705</v>
      </c>
      <c r="N1071" s="405" t="s">
        <v>19706</v>
      </c>
      <c r="O1071" s="405" t="s">
        <v>21291</v>
      </c>
      <c r="P1071" s="405" t="s">
        <v>25884</v>
      </c>
      <c r="Q1071" s="411">
        <v>9</v>
      </c>
      <c r="R1071" s="405" t="s">
        <v>6572</v>
      </c>
      <c r="S1071" s="405" t="s">
        <v>27132</v>
      </c>
      <c r="T1071" s="405" t="s">
        <v>32102</v>
      </c>
      <c r="U1071" s="405" t="s">
        <v>319</v>
      </c>
    </row>
    <row r="1072" spans="1:21" x14ac:dyDescent="0.25">
      <c r="A1072" s="405" t="s">
        <v>310</v>
      </c>
      <c r="B1072" s="405" t="s">
        <v>25860</v>
      </c>
      <c r="C1072" s="405" t="s">
        <v>327</v>
      </c>
      <c r="D1072" s="405"/>
      <c r="E1072" s="410">
        <v>43923</v>
      </c>
      <c r="F1072" s="410">
        <v>43941</v>
      </c>
      <c r="G1072" s="405" t="s">
        <v>25861</v>
      </c>
      <c r="H1072" s="405">
        <v>782456051</v>
      </c>
      <c r="I1072" s="405" t="s">
        <v>2913</v>
      </c>
      <c r="J1072" s="405">
        <v>-0.51723799999999998</v>
      </c>
      <c r="K1072" s="405">
        <v>30.901810000000001</v>
      </c>
      <c r="L1072" s="405" t="s">
        <v>590</v>
      </c>
      <c r="M1072" s="405" t="s">
        <v>19705</v>
      </c>
      <c r="N1072" s="405" t="s">
        <v>19706</v>
      </c>
      <c r="O1072" s="405" t="s">
        <v>4745</v>
      </c>
      <c r="P1072" s="405" t="s">
        <v>25862</v>
      </c>
      <c r="Q1072" s="411">
        <v>9</v>
      </c>
      <c r="R1072" s="405" t="s">
        <v>874</v>
      </c>
      <c r="S1072" s="405" t="s">
        <v>27271</v>
      </c>
      <c r="T1072" s="405" t="s">
        <v>32102</v>
      </c>
      <c r="U1072" s="405" t="s">
        <v>319</v>
      </c>
    </row>
    <row r="1073" spans="1:21" x14ac:dyDescent="0.25">
      <c r="A1073" s="405" t="s">
        <v>310</v>
      </c>
      <c r="B1073" s="405" t="s">
        <v>17279</v>
      </c>
      <c r="C1073" s="405" t="s">
        <v>327</v>
      </c>
      <c r="D1073" s="405"/>
      <c r="E1073" s="410">
        <v>43923</v>
      </c>
      <c r="F1073" s="410">
        <v>43936</v>
      </c>
      <c r="G1073" s="405" t="s">
        <v>17280</v>
      </c>
      <c r="H1073" s="405">
        <v>392166690</v>
      </c>
      <c r="I1073" s="405"/>
      <c r="J1073" s="405">
        <v>0.67885700000000004</v>
      </c>
      <c r="K1073" s="405">
        <v>34.105877</v>
      </c>
      <c r="L1073" s="405" t="s">
        <v>6866</v>
      </c>
      <c r="M1073" s="405" t="s">
        <v>9534</v>
      </c>
      <c r="N1073" s="405" t="s">
        <v>9997</v>
      </c>
      <c r="O1073" s="405" t="s">
        <v>9770</v>
      </c>
      <c r="P1073" s="405" t="s">
        <v>17281</v>
      </c>
      <c r="Q1073" s="411">
        <v>6</v>
      </c>
      <c r="R1073" s="405" t="s">
        <v>7224</v>
      </c>
      <c r="S1073" s="405" t="s">
        <v>27310</v>
      </c>
      <c r="T1073" s="405" t="s">
        <v>32102</v>
      </c>
      <c r="U1073" s="405" t="s">
        <v>319</v>
      </c>
    </row>
    <row r="1074" spans="1:21" x14ac:dyDescent="0.25">
      <c r="A1074" s="405" t="s">
        <v>310</v>
      </c>
      <c r="B1074" s="405" t="s">
        <v>25866</v>
      </c>
      <c r="C1074" s="405" t="s">
        <v>327</v>
      </c>
      <c r="D1074" s="405"/>
      <c r="E1074" s="410">
        <v>43922</v>
      </c>
      <c r="F1074" s="410">
        <v>43943</v>
      </c>
      <c r="G1074" s="405" t="s">
        <v>25867</v>
      </c>
      <c r="H1074" s="405">
        <v>782507176</v>
      </c>
      <c r="I1074" s="405" t="s">
        <v>2913</v>
      </c>
      <c r="J1074" s="405">
        <v>0.51874200000000004</v>
      </c>
      <c r="K1074" s="405">
        <v>30.630369999999999</v>
      </c>
      <c r="L1074" s="405" t="s">
        <v>590</v>
      </c>
      <c r="M1074" s="405" t="s">
        <v>20426</v>
      </c>
      <c r="N1074" s="405" t="s">
        <v>21033</v>
      </c>
      <c r="O1074" s="405" t="s">
        <v>20744</v>
      </c>
      <c r="P1074" s="405" t="s">
        <v>25868</v>
      </c>
      <c r="Q1074" s="411">
        <v>13</v>
      </c>
      <c r="R1074" s="405" t="s">
        <v>6013</v>
      </c>
      <c r="S1074" s="405" t="s">
        <v>27205</v>
      </c>
      <c r="T1074" s="405" t="s">
        <v>32102</v>
      </c>
      <c r="U1074" s="405" t="s">
        <v>319</v>
      </c>
    </row>
    <row r="1075" spans="1:21" x14ac:dyDescent="0.25">
      <c r="A1075" s="405" t="s">
        <v>310</v>
      </c>
      <c r="B1075" s="405" t="s">
        <v>25878</v>
      </c>
      <c r="C1075" s="405" t="s">
        <v>327</v>
      </c>
      <c r="D1075" s="405"/>
      <c r="E1075" s="410">
        <v>43920</v>
      </c>
      <c r="F1075" s="410">
        <v>43979</v>
      </c>
      <c r="G1075" s="405" t="s">
        <v>25879</v>
      </c>
      <c r="H1075" s="405" t="s">
        <v>25880</v>
      </c>
      <c r="I1075" s="405" t="s">
        <v>2913</v>
      </c>
      <c r="J1075" s="405">
        <v>-0.115451</v>
      </c>
      <c r="K1075" s="405">
        <v>30.609022</v>
      </c>
      <c r="L1075" s="405" t="s">
        <v>590</v>
      </c>
      <c r="M1075" s="405" t="s">
        <v>870</v>
      </c>
      <c r="N1075" s="405" t="s">
        <v>2250</v>
      </c>
      <c r="O1075" s="405" t="s">
        <v>7898</v>
      </c>
      <c r="P1075" s="405" t="s">
        <v>889</v>
      </c>
      <c r="Q1075" s="411">
        <v>13</v>
      </c>
      <c r="R1075" s="405" t="s">
        <v>4176</v>
      </c>
      <c r="S1075" s="405" t="s">
        <v>27069</v>
      </c>
      <c r="T1075" s="405" t="s">
        <v>32102</v>
      </c>
      <c r="U1075" s="405" t="s">
        <v>319</v>
      </c>
    </row>
    <row r="1076" spans="1:21" x14ac:dyDescent="0.25">
      <c r="A1076" s="405" t="s">
        <v>310</v>
      </c>
      <c r="B1076" s="405" t="s">
        <v>26281</v>
      </c>
      <c r="C1076" s="405" t="s">
        <v>311</v>
      </c>
      <c r="D1076" s="405" t="s">
        <v>2127</v>
      </c>
      <c r="E1076" s="410">
        <v>43919</v>
      </c>
      <c r="F1076" s="410">
        <v>44014</v>
      </c>
      <c r="G1076" s="405" t="s">
        <v>26282</v>
      </c>
      <c r="H1076" s="405">
        <v>702479193</v>
      </c>
      <c r="I1076" s="405" t="s">
        <v>2913</v>
      </c>
      <c r="J1076" s="405">
        <v>-0.52174799999999999</v>
      </c>
      <c r="K1076" s="405">
        <v>30.55592</v>
      </c>
      <c r="L1076" s="405" t="s">
        <v>590</v>
      </c>
      <c r="M1076" s="405" t="s">
        <v>19614</v>
      </c>
      <c r="N1076" s="405" t="s">
        <v>19615</v>
      </c>
      <c r="O1076" s="405" t="s">
        <v>20063</v>
      </c>
      <c r="P1076" s="405" t="s">
        <v>19769</v>
      </c>
      <c r="Q1076" s="411">
        <v>6</v>
      </c>
      <c r="R1076" s="405" t="s">
        <v>883</v>
      </c>
      <c r="S1076" s="405" t="s">
        <v>27097</v>
      </c>
      <c r="T1076" s="405" t="s">
        <v>32102</v>
      </c>
      <c r="U1076" s="405" t="s">
        <v>319</v>
      </c>
    </row>
    <row r="1077" spans="1:21" x14ac:dyDescent="0.25">
      <c r="A1077" s="405" t="s">
        <v>310</v>
      </c>
      <c r="B1077" s="405" t="s">
        <v>17356</v>
      </c>
      <c r="C1077" s="405" t="s">
        <v>327</v>
      </c>
      <c r="D1077" s="405"/>
      <c r="E1077" s="410">
        <v>43918</v>
      </c>
      <c r="F1077" s="410">
        <v>44016</v>
      </c>
      <c r="G1077" s="405" t="s">
        <v>17357</v>
      </c>
      <c r="H1077" s="405" t="s">
        <v>17358</v>
      </c>
      <c r="I1077" s="405"/>
      <c r="J1077" s="405">
        <v>1.2666269999999999</v>
      </c>
      <c r="K1077" s="405">
        <v>34.329205000000002</v>
      </c>
      <c r="L1077" s="405" t="s">
        <v>6866</v>
      </c>
      <c r="M1077" s="405" t="s">
        <v>9550</v>
      </c>
      <c r="N1077" s="405" t="s">
        <v>17319</v>
      </c>
      <c r="O1077" s="405" t="s">
        <v>14815</v>
      </c>
      <c r="P1077" s="405" t="s">
        <v>17359</v>
      </c>
      <c r="Q1077" s="411">
        <v>6</v>
      </c>
      <c r="R1077" s="405" t="s">
        <v>17977</v>
      </c>
      <c r="S1077" s="405" t="s">
        <v>27259</v>
      </c>
      <c r="T1077" s="405" t="s">
        <v>32102</v>
      </c>
      <c r="U1077" s="405" t="s">
        <v>319</v>
      </c>
    </row>
    <row r="1078" spans="1:21" x14ac:dyDescent="0.25">
      <c r="A1078" s="405" t="s">
        <v>310</v>
      </c>
      <c r="B1078" s="405" t="s">
        <v>17316</v>
      </c>
      <c r="C1078" s="405" t="s">
        <v>327</v>
      </c>
      <c r="D1078" s="405"/>
      <c r="E1078" s="410">
        <v>43914</v>
      </c>
      <c r="F1078" s="410">
        <v>43984</v>
      </c>
      <c r="G1078" s="405" t="s">
        <v>17317</v>
      </c>
      <c r="H1078" s="405" t="s">
        <v>17318</v>
      </c>
      <c r="I1078" s="405"/>
      <c r="J1078" s="405">
        <v>1.27169</v>
      </c>
      <c r="K1078" s="405">
        <v>34.325847000000003</v>
      </c>
      <c r="L1078" s="405" t="s">
        <v>6866</v>
      </c>
      <c r="M1078" s="405" t="s">
        <v>9550</v>
      </c>
      <c r="N1078" s="405" t="s">
        <v>17319</v>
      </c>
      <c r="O1078" s="405" t="s">
        <v>14815</v>
      </c>
      <c r="P1078" s="405" t="s">
        <v>17320</v>
      </c>
      <c r="Q1078" s="411">
        <v>6</v>
      </c>
      <c r="R1078" s="405" t="s">
        <v>17977</v>
      </c>
      <c r="S1078" s="405" t="s">
        <v>27259</v>
      </c>
      <c r="T1078" s="405" t="s">
        <v>32102</v>
      </c>
      <c r="U1078" s="405" t="s">
        <v>319</v>
      </c>
    </row>
    <row r="1079" spans="1:21" x14ac:dyDescent="0.25">
      <c r="A1079" s="405" t="s">
        <v>310</v>
      </c>
      <c r="B1079" s="405" t="s">
        <v>8148</v>
      </c>
      <c r="C1079" s="405" t="s">
        <v>327</v>
      </c>
      <c r="D1079" s="405"/>
      <c r="E1079" s="410">
        <v>43912</v>
      </c>
      <c r="F1079" s="410">
        <v>43940</v>
      </c>
      <c r="G1079" s="405" t="s">
        <v>8149</v>
      </c>
      <c r="H1079" s="405" t="s">
        <v>8150</v>
      </c>
      <c r="I1079" s="405">
        <v>794661131</v>
      </c>
      <c r="J1079" s="405">
        <v>0.38589800000000002</v>
      </c>
      <c r="K1079" s="405">
        <v>32.597822999999998</v>
      </c>
      <c r="L1079" s="405" t="s">
        <v>314</v>
      </c>
      <c r="M1079" s="405" t="s">
        <v>361</v>
      </c>
      <c r="N1079" s="405" t="s">
        <v>8151</v>
      </c>
      <c r="O1079" s="405" t="s">
        <v>363</v>
      </c>
      <c r="P1079" s="405" t="s">
        <v>993</v>
      </c>
      <c r="Q1079" s="411">
        <v>13</v>
      </c>
      <c r="R1079" s="405" t="s">
        <v>32101</v>
      </c>
      <c r="S1079" s="405" t="s">
        <v>27235</v>
      </c>
      <c r="T1079" s="405" t="s">
        <v>32102</v>
      </c>
      <c r="U1079" s="405" t="s">
        <v>319</v>
      </c>
    </row>
    <row r="1080" spans="1:21" x14ac:dyDescent="0.25">
      <c r="A1080" s="405" t="s">
        <v>310</v>
      </c>
      <c r="B1080" s="405" t="s">
        <v>25944</v>
      </c>
      <c r="C1080" s="405" t="s">
        <v>327</v>
      </c>
      <c r="D1080" s="405"/>
      <c r="E1080" s="410">
        <v>43912</v>
      </c>
      <c r="F1080" s="410">
        <v>44014</v>
      </c>
      <c r="G1080" s="405" t="s">
        <v>25945</v>
      </c>
      <c r="H1080" s="405">
        <v>702479193</v>
      </c>
      <c r="I1080" s="405" t="s">
        <v>2913</v>
      </c>
      <c r="J1080" s="405">
        <v>-0.52174699999999996</v>
      </c>
      <c r="K1080" s="405">
        <v>30.556122999999999</v>
      </c>
      <c r="L1080" s="405" t="s">
        <v>590</v>
      </c>
      <c r="M1080" s="405" t="s">
        <v>19614</v>
      </c>
      <c r="N1080" s="405" t="s">
        <v>19615</v>
      </c>
      <c r="O1080" s="405" t="s">
        <v>20063</v>
      </c>
      <c r="P1080" s="405" t="s">
        <v>19769</v>
      </c>
      <c r="Q1080" s="411">
        <v>9</v>
      </c>
      <c r="R1080" s="405" t="s">
        <v>883</v>
      </c>
      <c r="S1080" s="405" t="s">
        <v>27097</v>
      </c>
      <c r="T1080" s="405" t="s">
        <v>32102</v>
      </c>
      <c r="U1080" s="405" t="s">
        <v>319</v>
      </c>
    </row>
    <row r="1081" spans="1:21" x14ac:dyDescent="0.25">
      <c r="A1081" s="405" t="s">
        <v>310</v>
      </c>
      <c r="B1081" s="405" t="s">
        <v>17296</v>
      </c>
      <c r="C1081" s="405" t="s">
        <v>327</v>
      </c>
      <c r="D1081" s="405"/>
      <c r="E1081" s="410">
        <v>43912</v>
      </c>
      <c r="F1081" s="410">
        <v>43952</v>
      </c>
      <c r="G1081" s="405" t="s">
        <v>17297</v>
      </c>
      <c r="H1081" s="405" t="s">
        <v>17298</v>
      </c>
      <c r="I1081" s="405">
        <v>772875319</v>
      </c>
      <c r="J1081" s="405">
        <v>1.839817</v>
      </c>
      <c r="K1081" s="405">
        <v>33.366909999999997</v>
      </c>
      <c r="L1081" s="405" t="s">
        <v>6866</v>
      </c>
      <c r="M1081" s="405" t="s">
        <v>12153</v>
      </c>
      <c r="N1081" s="405" t="s">
        <v>10377</v>
      </c>
      <c r="O1081" s="405" t="s">
        <v>12944</v>
      </c>
      <c r="P1081" s="405" t="s">
        <v>17299</v>
      </c>
      <c r="Q1081" s="411">
        <v>6</v>
      </c>
      <c r="R1081" s="405" t="s">
        <v>5655</v>
      </c>
      <c r="S1081" s="405" t="s">
        <v>27357</v>
      </c>
      <c r="T1081" s="405" t="s">
        <v>32102</v>
      </c>
      <c r="U1081" s="405" t="s">
        <v>319</v>
      </c>
    </row>
    <row r="1082" spans="1:21" x14ac:dyDescent="0.25">
      <c r="A1082" s="405" t="s">
        <v>310</v>
      </c>
      <c r="B1082" s="405" t="s">
        <v>8220</v>
      </c>
      <c r="C1082" s="405" t="s">
        <v>327</v>
      </c>
      <c r="D1082" s="405"/>
      <c r="E1082" s="410">
        <v>43909</v>
      </c>
      <c r="F1082" s="410">
        <v>44018</v>
      </c>
      <c r="G1082" s="405" t="s">
        <v>8221</v>
      </c>
      <c r="H1082" s="405">
        <v>772228442</v>
      </c>
      <c r="I1082" s="405" t="s">
        <v>2913</v>
      </c>
      <c r="J1082" s="405">
        <v>0.59970699999999999</v>
      </c>
      <c r="K1082" s="405">
        <v>32.481712000000002</v>
      </c>
      <c r="L1082" s="405" t="s">
        <v>314</v>
      </c>
      <c r="M1082" s="405" t="s">
        <v>959</v>
      </c>
      <c r="N1082" s="405" t="s">
        <v>374</v>
      </c>
      <c r="O1082" s="405" t="s">
        <v>3982</v>
      </c>
      <c r="P1082" s="405" t="s">
        <v>2481</v>
      </c>
      <c r="Q1082" s="411">
        <v>9</v>
      </c>
      <c r="R1082" s="405" t="s">
        <v>32101</v>
      </c>
      <c r="S1082" s="405" t="s">
        <v>27034</v>
      </c>
      <c r="T1082" s="405" t="s">
        <v>32102</v>
      </c>
      <c r="U1082" s="405" t="s">
        <v>319</v>
      </c>
    </row>
    <row r="1083" spans="1:21" x14ac:dyDescent="0.25">
      <c r="A1083" s="405" t="s">
        <v>310</v>
      </c>
      <c r="B1083" s="405" t="s">
        <v>17251</v>
      </c>
      <c r="C1083" s="405" t="s">
        <v>327</v>
      </c>
      <c r="D1083" s="405"/>
      <c r="E1083" s="410">
        <v>43907</v>
      </c>
      <c r="F1083" s="410">
        <v>43920</v>
      </c>
      <c r="G1083" s="405" t="s">
        <v>17252</v>
      </c>
      <c r="H1083" s="405" t="s">
        <v>17253</v>
      </c>
      <c r="I1083" s="405"/>
      <c r="J1083" s="405">
        <v>1.3198479999999999</v>
      </c>
      <c r="K1083" s="405">
        <v>34.299467</v>
      </c>
      <c r="L1083" s="405" t="s">
        <v>6866</v>
      </c>
      <c r="M1083" s="405" t="s">
        <v>9550</v>
      </c>
      <c r="N1083" s="405" t="s">
        <v>16467</v>
      </c>
      <c r="O1083" s="405" t="s">
        <v>9639</v>
      </c>
      <c r="P1083" s="405" t="s">
        <v>315</v>
      </c>
      <c r="Q1083" s="411">
        <v>4</v>
      </c>
      <c r="R1083" s="405" t="s">
        <v>7224</v>
      </c>
      <c r="S1083" s="405" t="s">
        <v>27067</v>
      </c>
      <c r="T1083" s="405" t="s">
        <v>32102</v>
      </c>
      <c r="U1083" s="405" t="s">
        <v>319</v>
      </c>
    </row>
    <row r="1084" spans="1:21" x14ac:dyDescent="0.25">
      <c r="A1084" s="405" t="s">
        <v>310</v>
      </c>
      <c r="B1084" s="405" t="s">
        <v>25863</v>
      </c>
      <c r="C1084" s="405" t="s">
        <v>327</v>
      </c>
      <c r="D1084" s="405"/>
      <c r="E1084" s="410">
        <v>43905</v>
      </c>
      <c r="F1084" s="410">
        <v>43926</v>
      </c>
      <c r="G1084" s="405" t="s">
        <v>25864</v>
      </c>
      <c r="H1084" s="405">
        <v>776376640</v>
      </c>
      <c r="I1084" s="405" t="s">
        <v>2913</v>
      </c>
      <c r="J1084" s="405">
        <v>0.70681499999999997</v>
      </c>
      <c r="K1084" s="405">
        <v>30.192564999999998</v>
      </c>
      <c r="L1084" s="405" t="s">
        <v>590</v>
      </c>
      <c r="M1084" s="405" t="s">
        <v>20125</v>
      </c>
      <c r="N1084" s="405" t="s">
        <v>24863</v>
      </c>
      <c r="O1084" s="405" t="s">
        <v>23020</v>
      </c>
      <c r="P1084" s="405" t="s">
        <v>25865</v>
      </c>
      <c r="Q1084" s="411">
        <v>6</v>
      </c>
      <c r="R1084" s="405" t="s">
        <v>6013</v>
      </c>
      <c r="S1084" s="405" t="s">
        <v>27060</v>
      </c>
      <c r="T1084" s="405" t="s">
        <v>32102</v>
      </c>
      <c r="U1084" s="405" t="s">
        <v>319</v>
      </c>
    </row>
    <row r="1085" spans="1:21" x14ac:dyDescent="0.25">
      <c r="A1085" s="405" t="s">
        <v>310</v>
      </c>
      <c r="B1085" s="405" t="s">
        <v>8132</v>
      </c>
      <c r="C1085" s="405" t="s">
        <v>327</v>
      </c>
      <c r="D1085" s="405"/>
      <c r="E1085" s="410">
        <v>43904</v>
      </c>
      <c r="F1085" s="410">
        <v>43918</v>
      </c>
      <c r="G1085" s="405" t="s">
        <v>8133</v>
      </c>
      <c r="H1085" s="405">
        <v>772821697</v>
      </c>
      <c r="I1085" s="405"/>
      <c r="J1085" s="405">
        <v>0.51837699999999998</v>
      </c>
      <c r="K1085" s="405">
        <v>32.615068000000001</v>
      </c>
      <c r="L1085" s="405" t="s">
        <v>314</v>
      </c>
      <c r="M1085" s="405" t="s">
        <v>361</v>
      </c>
      <c r="N1085" s="405" t="s">
        <v>8134</v>
      </c>
      <c r="O1085" s="405" t="s">
        <v>433</v>
      </c>
      <c r="P1085" s="405" t="s">
        <v>7201</v>
      </c>
      <c r="Q1085" s="411">
        <v>9</v>
      </c>
      <c r="R1085" s="405" t="s">
        <v>6572</v>
      </c>
      <c r="S1085" s="405" t="s">
        <v>27193</v>
      </c>
      <c r="T1085" s="405" t="s">
        <v>32102</v>
      </c>
      <c r="U1085" s="405" t="s">
        <v>319</v>
      </c>
    </row>
    <row r="1086" spans="1:21" x14ac:dyDescent="0.25">
      <c r="A1086" s="405" t="s">
        <v>310</v>
      </c>
      <c r="B1086" s="405" t="s">
        <v>8137</v>
      </c>
      <c r="C1086" s="405" t="s">
        <v>327</v>
      </c>
      <c r="D1086" s="405"/>
      <c r="E1086" s="410">
        <v>43902</v>
      </c>
      <c r="F1086" s="410">
        <v>43912</v>
      </c>
      <c r="G1086" s="405" t="s">
        <v>8138</v>
      </c>
      <c r="H1086" s="405" t="s">
        <v>8139</v>
      </c>
      <c r="I1086" s="405"/>
      <c r="J1086" s="405">
        <v>0.36524699999999999</v>
      </c>
      <c r="K1086" s="405">
        <v>32.715375000000002</v>
      </c>
      <c r="L1086" s="405" t="s">
        <v>314</v>
      </c>
      <c r="M1086" s="405" t="s">
        <v>329</v>
      </c>
      <c r="N1086" s="405" t="s">
        <v>1107</v>
      </c>
      <c r="O1086" s="405" t="s">
        <v>1096</v>
      </c>
      <c r="P1086" s="405" t="s">
        <v>8140</v>
      </c>
      <c r="Q1086" s="411">
        <v>9</v>
      </c>
      <c r="R1086" s="405" t="s">
        <v>32157</v>
      </c>
      <c r="S1086" s="405" t="s">
        <v>27053</v>
      </c>
      <c r="T1086" s="405" t="s">
        <v>32102</v>
      </c>
      <c r="U1086" s="405" t="s">
        <v>319</v>
      </c>
    </row>
    <row r="1087" spans="1:21" x14ac:dyDescent="0.25">
      <c r="A1087" s="405" t="s">
        <v>310</v>
      </c>
      <c r="B1087" s="405" t="s">
        <v>8143</v>
      </c>
      <c r="C1087" s="405" t="s">
        <v>327</v>
      </c>
      <c r="D1087" s="405"/>
      <c r="E1087" s="410">
        <v>43902</v>
      </c>
      <c r="F1087" s="410">
        <v>43926</v>
      </c>
      <c r="G1087" s="405" t="s">
        <v>8144</v>
      </c>
      <c r="H1087" s="405" t="s">
        <v>8145</v>
      </c>
      <c r="I1087" s="405">
        <v>772408826</v>
      </c>
      <c r="J1087" s="405">
        <v>-0.34365800000000002</v>
      </c>
      <c r="K1087" s="405">
        <v>31.575856999999999</v>
      </c>
      <c r="L1087" s="405" t="s">
        <v>314</v>
      </c>
      <c r="M1087" s="405" t="s">
        <v>1189</v>
      </c>
      <c r="N1087" s="405" t="s">
        <v>1189</v>
      </c>
      <c r="O1087" s="405" t="s">
        <v>8146</v>
      </c>
      <c r="P1087" s="405" t="s">
        <v>8147</v>
      </c>
      <c r="Q1087" s="411">
        <v>6</v>
      </c>
      <c r="R1087" s="405" t="s">
        <v>32101</v>
      </c>
      <c r="S1087" s="405" t="s">
        <v>27278</v>
      </c>
      <c r="T1087" s="405" t="s">
        <v>32102</v>
      </c>
      <c r="U1087" s="405" t="s">
        <v>319</v>
      </c>
    </row>
    <row r="1088" spans="1:21" x14ac:dyDescent="0.25">
      <c r="A1088" s="405" t="s">
        <v>310</v>
      </c>
      <c r="B1088" s="405" t="s">
        <v>25874</v>
      </c>
      <c r="C1088" s="405" t="s">
        <v>327</v>
      </c>
      <c r="D1088" s="405"/>
      <c r="E1088" s="410">
        <v>43900</v>
      </c>
      <c r="F1088" s="410">
        <v>43954</v>
      </c>
      <c r="G1088" s="405" t="s">
        <v>25875</v>
      </c>
      <c r="H1088" s="405">
        <v>779889618</v>
      </c>
      <c r="I1088" s="405">
        <v>772024161</v>
      </c>
      <c r="J1088" s="405">
        <v>1.6892320000000001</v>
      </c>
      <c r="K1088" s="405">
        <v>31.694520000000001</v>
      </c>
      <c r="L1088" s="405" t="s">
        <v>590</v>
      </c>
      <c r="M1088" s="405" t="s">
        <v>19608</v>
      </c>
      <c r="N1088" s="405" t="s">
        <v>19783</v>
      </c>
      <c r="O1088" s="405" t="s">
        <v>25876</v>
      </c>
      <c r="P1088" s="405" t="s">
        <v>25877</v>
      </c>
      <c r="Q1088" s="411">
        <v>6</v>
      </c>
      <c r="R1088" s="405" t="s">
        <v>6397</v>
      </c>
      <c r="S1088" s="405" t="s">
        <v>22880</v>
      </c>
      <c r="T1088" s="405" t="s">
        <v>32102</v>
      </c>
      <c r="U1088" s="405" t="s">
        <v>319</v>
      </c>
    </row>
    <row r="1089" spans="1:21" x14ac:dyDescent="0.25">
      <c r="A1089" s="405" t="s">
        <v>310</v>
      </c>
      <c r="B1089" s="405" t="s">
        <v>28556</v>
      </c>
      <c r="C1089" s="405" t="s">
        <v>327</v>
      </c>
      <c r="D1089" s="405"/>
      <c r="E1089" s="410">
        <v>43898</v>
      </c>
      <c r="F1089" s="410">
        <v>43909</v>
      </c>
      <c r="G1089" s="405" t="s">
        <v>17262</v>
      </c>
      <c r="H1089" s="405">
        <v>777768066</v>
      </c>
      <c r="I1089" s="405"/>
      <c r="J1089" s="405">
        <v>1.129772</v>
      </c>
      <c r="K1089" s="405">
        <v>34.271284999999999</v>
      </c>
      <c r="L1089" s="405" t="s">
        <v>6866</v>
      </c>
      <c r="M1089" s="405" t="s">
        <v>9575</v>
      </c>
      <c r="N1089" s="405" t="s">
        <v>9852</v>
      </c>
      <c r="O1089" s="405" t="s">
        <v>16727</v>
      </c>
      <c r="P1089" s="405" t="s">
        <v>17263</v>
      </c>
      <c r="Q1089" s="411">
        <v>4</v>
      </c>
      <c r="R1089" s="405" t="s">
        <v>7224</v>
      </c>
      <c r="S1089" s="405" t="s">
        <v>27085</v>
      </c>
      <c r="T1089" s="405" t="s">
        <v>32102</v>
      </c>
      <c r="U1089" s="405" t="s">
        <v>319</v>
      </c>
    </row>
    <row r="1090" spans="1:21" x14ac:dyDescent="0.25">
      <c r="A1090" s="405" t="s">
        <v>310</v>
      </c>
      <c r="B1090" s="405" t="s">
        <v>17274</v>
      </c>
      <c r="C1090" s="405" t="s">
        <v>327</v>
      </c>
      <c r="D1090" s="405"/>
      <c r="E1090" s="410">
        <v>43897</v>
      </c>
      <c r="F1090" s="410">
        <v>43908</v>
      </c>
      <c r="G1090" s="405" t="s">
        <v>17275</v>
      </c>
      <c r="H1090" s="405">
        <v>773020799</v>
      </c>
      <c r="I1090" s="405"/>
      <c r="J1090" s="405">
        <v>0.73529299999999997</v>
      </c>
      <c r="K1090" s="405">
        <v>33.140717000000002</v>
      </c>
      <c r="L1090" s="405" t="s">
        <v>6866</v>
      </c>
      <c r="M1090" s="405" t="s">
        <v>3009</v>
      </c>
      <c r="N1090" s="405" t="s">
        <v>9842</v>
      </c>
      <c r="O1090" s="405" t="s">
        <v>10016</v>
      </c>
      <c r="P1090" s="405" t="s">
        <v>17276</v>
      </c>
      <c r="Q1090" s="411">
        <v>13</v>
      </c>
      <c r="R1090" s="405" t="s">
        <v>32164</v>
      </c>
      <c r="S1090" s="405" t="s">
        <v>27080</v>
      </c>
      <c r="T1090" s="405" t="s">
        <v>32102</v>
      </c>
      <c r="U1090" s="405" t="s">
        <v>319</v>
      </c>
    </row>
    <row r="1091" spans="1:21" x14ac:dyDescent="0.25">
      <c r="A1091" s="405" t="s">
        <v>310</v>
      </c>
      <c r="B1091" s="405" t="s">
        <v>8914</v>
      </c>
      <c r="C1091" s="405" t="s">
        <v>311</v>
      </c>
      <c r="D1091" s="405" t="s">
        <v>6019</v>
      </c>
      <c r="E1091" s="410">
        <v>43897</v>
      </c>
      <c r="F1091" s="410">
        <v>43943</v>
      </c>
      <c r="G1091" s="405" t="s">
        <v>8915</v>
      </c>
      <c r="H1091" s="405" t="s">
        <v>8916</v>
      </c>
      <c r="I1091" s="405" t="s">
        <v>2913</v>
      </c>
      <c r="J1091" s="405">
        <v>0.30739699999999998</v>
      </c>
      <c r="K1091" s="405">
        <v>32.433227000000002</v>
      </c>
      <c r="L1091" s="405" t="s">
        <v>314</v>
      </c>
      <c r="M1091" s="405" t="s">
        <v>361</v>
      </c>
      <c r="N1091" s="405" t="s">
        <v>1276</v>
      </c>
      <c r="O1091" s="405" t="s">
        <v>375</v>
      </c>
      <c r="P1091" s="405" t="s">
        <v>8917</v>
      </c>
      <c r="Q1091" s="411">
        <v>9</v>
      </c>
      <c r="R1091" s="405" t="s">
        <v>32101</v>
      </c>
      <c r="S1091" s="405" t="s">
        <v>27034</v>
      </c>
      <c r="T1091" s="405" t="s">
        <v>32102</v>
      </c>
      <c r="U1091" s="405" t="s">
        <v>319</v>
      </c>
    </row>
    <row r="1092" spans="1:21" x14ac:dyDescent="0.25">
      <c r="A1092" s="405" t="s">
        <v>310</v>
      </c>
      <c r="B1092" s="405" t="s">
        <v>17852</v>
      </c>
      <c r="C1092" s="405" t="s">
        <v>327</v>
      </c>
      <c r="D1092" s="405"/>
      <c r="E1092" s="410">
        <v>43896</v>
      </c>
      <c r="F1092" s="410">
        <v>43906</v>
      </c>
      <c r="G1092" s="405" t="s">
        <v>17853</v>
      </c>
      <c r="H1092" s="405" t="s">
        <v>17854</v>
      </c>
      <c r="I1092" s="405"/>
      <c r="J1092" s="405">
        <v>1.298538</v>
      </c>
      <c r="K1092" s="405">
        <v>34.291221999999998</v>
      </c>
      <c r="L1092" s="405" t="s">
        <v>6866</v>
      </c>
      <c r="M1092" s="405" t="s">
        <v>9550</v>
      </c>
      <c r="N1092" s="405" t="s">
        <v>16467</v>
      </c>
      <c r="O1092" s="405" t="s">
        <v>9639</v>
      </c>
      <c r="P1092" s="405" t="s">
        <v>17855</v>
      </c>
      <c r="Q1092" s="411">
        <v>4</v>
      </c>
      <c r="R1092" s="405" t="s">
        <v>7224</v>
      </c>
      <c r="S1092" s="405" t="s">
        <v>27067</v>
      </c>
      <c r="T1092" s="405" t="s">
        <v>32102</v>
      </c>
      <c r="U1092" s="405" t="s">
        <v>319</v>
      </c>
    </row>
    <row r="1093" spans="1:21" x14ac:dyDescent="0.25">
      <c r="A1093" s="405" t="s">
        <v>310</v>
      </c>
      <c r="B1093" s="405" t="s">
        <v>17243</v>
      </c>
      <c r="C1093" s="405" t="s">
        <v>327</v>
      </c>
      <c r="D1093" s="405"/>
      <c r="E1093" s="410">
        <v>43894</v>
      </c>
      <c r="F1093" s="410">
        <v>43914</v>
      </c>
      <c r="G1093" s="405" t="s">
        <v>17244</v>
      </c>
      <c r="H1093" s="405" t="s">
        <v>17245</v>
      </c>
      <c r="I1093" s="405"/>
      <c r="J1093" s="405">
        <v>1.314862</v>
      </c>
      <c r="K1093" s="405">
        <v>34.286617</v>
      </c>
      <c r="L1093" s="405" t="s">
        <v>6866</v>
      </c>
      <c r="M1093" s="405" t="s">
        <v>9550</v>
      </c>
      <c r="N1093" s="405" t="s">
        <v>16467</v>
      </c>
      <c r="O1093" s="405" t="s">
        <v>9639</v>
      </c>
      <c r="P1093" s="405" t="s">
        <v>17246</v>
      </c>
      <c r="Q1093" s="411">
        <v>4</v>
      </c>
      <c r="R1093" s="405" t="s">
        <v>7224</v>
      </c>
      <c r="S1093" s="405" t="s">
        <v>27067</v>
      </c>
      <c r="T1093" s="405" t="s">
        <v>32102</v>
      </c>
      <c r="U1093" s="405" t="s">
        <v>319</v>
      </c>
    </row>
    <row r="1094" spans="1:21" x14ac:dyDescent="0.25">
      <c r="A1094" s="405" t="s">
        <v>310</v>
      </c>
      <c r="B1094" s="405" t="s">
        <v>25915</v>
      </c>
      <c r="C1094" s="405" t="s">
        <v>327</v>
      </c>
      <c r="D1094" s="405"/>
      <c r="E1094" s="410">
        <v>43893</v>
      </c>
      <c r="F1094" s="410">
        <v>44002</v>
      </c>
      <c r="G1094" s="405" t="s">
        <v>25916</v>
      </c>
      <c r="H1094" s="405">
        <v>772934697</v>
      </c>
      <c r="I1094" s="405" t="s">
        <v>2913</v>
      </c>
      <c r="J1094" s="405">
        <v>-0.53036799999999995</v>
      </c>
      <c r="K1094" s="405">
        <v>30.120743000000001</v>
      </c>
      <c r="L1094" s="405" t="s">
        <v>590</v>
      </c>
      <c r="M1094" s="405" t="s">
        <v>19625</v>
      </c>
      <c r="N1094" s="405" t="s">
        <v>6175</v>
      </c>
      <c r="O1094" s="405" t="s">
        <v>19979</v>
      </c>
      <c r="P1094" s="405" t="s">
        <v>6175</v>
      </c>
      <c r="Q1094" s="411">
        <v>13</v>
      </c>
      <c r="R1094" s="405" t="s">
        <v>883</v>
      </c>
      <c r="S1094" s="405" t="s">
        <v>27280</v>
      </c>
      <c r="T1094" s="405" t="s">
        <v>32102</v>
      </c>
      <c r="U1094" s="405" t="s">
        <v>319</v>
      </c>
    </row>
    <row r="1095" spans="1:21" x14ac:dyDescent="0.25">
      <c r="A1095" s="405" t="s">
        <v>310</v>
      </c>
      <c r="B1095" s="405" t="s">
        <v>25869</v>
      </c>
      <c r="C1095" s="405" t="s">
        <v>327</v>
      </c>
      <c r="D1095" s="405"/>
      <c r="E1095" s="410">
        <v>43893</v>
      </c>
      <c r="F1095" s="410">
        <v>43976</v>
      </c>
      <c r="G1095" s="405" t="s">
        <v>25870</v>
      </c>
      <c r="H1095" s="405">
        <v>777969281</v>
      </c>
      <c r="I1095" s="405" t="s">
        <v>2913</v>
      </c>
      <c r="J1095" s="405">
        <v>1.695743</v>
      </c>
      <c r="K1095" s="405">
        <v>31.711027000000001</v>
      </c>
      <c r="L1095" s="405" t="s">
        <v>590</v>
      </c>
      <c r="M1095" s="405" t="s">
        <v>19608</v>
      </c>
      <c r="N1095" s="405" t="s">
        <v>25871</v>
      </c>
      <c r="O1095" s="405" t="s">
        <v>25872</v>
      </c>
      <c r="P1095" s="405" t="s">
        <v>25873</v>
      </c>
      <c r="Q1095" s="411">
        <v>13</v>
      </c>
      <c r="R1095" s="405" t="s">
        <v>6397</v>
      </c>
      <c r="S1095" s="405" t="s">
        <v>22880</v>
      </c>
      <c r="T1095" s="405" t="s">
        <v>32102</v>
      </c>
      <c r="U1095" s="405" t="s">
        <v>319</v>
      </c>
    </row>
    <row r="1096" spans="1:21" x14ac:dyDescent="0.25">
      <c r="A1096" s="405" t="s">
        <v>310</v>
      </c>
      <c r="B1096" s="405" t="s">
        <v>17271</v>
      </c>
      <c r="C1096" s="405" t="s">
        <v>327</v>
      </c>
      <c r="D1096" s="405"/>
      <c r="E1096" s="410">
        <v>43893</v>
      </c>
      <c r="F1096" s="410">
        <v>43913</v>
      </c>
      <c r="G1096" s="405" t="s">
        <v>17272</v>
      </c>
      <c r="H1096" s="405">
        <v>701851849</v>
      </c>
      <c r="I1096" s="405"/>
      <c r="J1096" s="405">
        <v>0.439299</v>
      </c>
      <c r="K1096" s="405">
        <v>33.306696000000002</v>
      </c>
      <c r="L1096" s="405" t="s">
        <v>6866</v>
      </c>
      <c r="M1096" s="405" t="s">
        <v>5411</v>
      </c>
      <c r="N1096" s="405" t="s">
        <v>17092</v>
      </c>
      <c r="O1096" s="405" t="s">
        <v>9775</v>
      </c>
      <c r="P1096" s="405" t="s">
        <v>17273</v>
      </c>
      <c r="Q1096" s="411">
        <v>13</v>
      </c>
      <c r="R1096" s="405" t="s">
        <v>32164</v>
      </c>
      <c r="S1096" s="405" t="s">
        <v>27276</v>
      </c>
      <c r="T1096" s="405" t="s">
        <v>32102</v>
      </c>
      <c r="U1096" s="405" t="s">
        <v>319</v>
      </c>
    </row>
    <row r="1097" spans="1:21" x14ac:dyDescent="0.25">
      <c r="A1097" s="405" t="s">
        <v>310</v>
      </c>
      <c r="B1097" s="405" t="s">
        <v>17256</v>
      </c>
      <c r="C1097" s="405" t="s">
        <v>327</v>
      </c>
      <c r="D1097" s="405"/>
      <c r="E1097" s="410">
        <v>43893</v>
      </c>
      <c r="F1097" s="410">
        <v>43911</v>
      </c>
      <c r="G1097" s="405" t="s">
        <v>17257</v>
      </c>
      <c r="H1097" s="405">
        <v>772490788</v>
      </c>
      <c r="I1097" s="405"/>
      <c r="J1097" s="405">
        <v>0.71081300000000003</v>
      </c>
      <c r="K1097" s="405">
        <v>34.095275000000001</v>
      </c>
      <c r="L1097" s="405" t="s">
        <v>6866</v>
      </c>
      <c r="M1097" s="405" t="s">
        <v>9534</v>
      </c>
      <c r="N1097" s="405" t="s">
        <v>10085</v>
      </c>
      <c r="O1097" s="405" t="s">
        <v>3870</v>
      </c>
      <c r="P1097" s="405" t="s">
        <v>17258</v>
      </c>
      <c r="Q1097" s="411">
        <v>6</v>
      </c>
      <c r="R1097" s="405" t="s">
        <v>7224</v>
      </c>
      <c r="S1097" s="405" t="s">
        <v>27310</v>
      </c>
      <c r="T1097" s="405" t="s">
        <v>32102</v>
      </c>
      <c r="U1097" s="405" t="s">
        <v>319</v>
      </c>
    </row>
    <row r="1098" spans="1:21" x14ac:dyDescent="0.25">
      <c r="A1098" s="405" t="s">
        <v>310</v>
      </c>
      <c r="B1098" s="405" t="s">
        <v>17247</v>
      </c>
      <c r="C1098" s="405" t="s">
        <v>327</v>
      </c>
      <c r="D1098" s="405"/>
      <c r="E1098" s="410">
        <v>43893</v>
      </c>
      <c r="F1098" s="410">
        <v>43907</v>
      </c>
      <c r="G1098" s="405" t="s">
        <v>17248</v>
      </c>
      <c r="H1098" s="405" t="s">
        <v>17249</v>
      </c>
      <c r="I1098" s="405"/>
      <c r="J1098" s="405">
        <v>1.3267370000000001</v>
      </c>
      <c r="K1098" s="405">
        <v>34.305636999999997</v>
      </c>
      <c r="L1098" s="405" t="s">
        <v>6866</v>
      </c>
      <c r="M1098" s="405" t="s">
        <v>9550</v>
      </c>
      <c r="N1098" s="405" t="s">
        <v>16467</v>
      </c>
      <c r="O1098" s="405" t="s">
        <v>9639</v>
      </c>
      <c r="P1098" s="405" t="s">
        <v>17250</v>
      </c>
      <c r="Q1098" s="411">
        <v>4</v>
      </c>
      <c r="R1098" s="405" t="s">
        <v>7224</v>
      </c>
      <c r="S1098" s="405" t="s">
        <v>27348</v>
      </c>
      <c r="T1098" s="405" t="s">
        <v>32102</v>
      </c>
      <c r="U1098" s="405" t="s">
        <v>319</v>
      </c>
    </row>
    <row r="1099" spans="1:21" x14ac:dyDescent="0.25">
      <c r="A1099" s="405" t="s">
        <v>310</v>
      </c>
      <c r="B1099" s="405" t="s">
        <v>25855</v>
      </c>
      <c r="C1099" s="405" t="s">
        <v>327</v>
      </c>
      <c r="D1099" s="405"/>
      <c r="E1099" s="410">
        <v>43891</v>
      </c>
      <c r="F1099" s="410">
        <v>43915</v>
      </c>
      <c r="G1099" s="405" t="s">
        <v>25856</v>
      </c>
      <c r="H1099" s="405" t="s">
        <v>25857</v>
      </c>
      <c r="I1099" s="405"/>
      <c r="J1099" s="405">
        <v>0.66640999999999995</v>
      </c>
      <c r="K1099" s="405">
        <v>30.208072000000001</v>
      </c>
      <c r="L1099" s="405" t="s">
        <v>590</v>
      </c>
      <c r="M1099" s="405" t="s">
        <v>20125</v>
      </c>
      <c r="N1099" s="405" t="s">
        <v>24863</v>
      </c>
      <c r="O1099" s="405" t="s">
        <v>25858</v>
      </c>
      <c r="P1099" s="405" t="s">
        <v>25859</v>
      </c>
      <c r="Q1099" s="411">
        <v>13</v>
      </c>
      <c r="R1099" s="405" t="s">
        <v>6013</v>
      </c>
      <c r="S1099" s="405" t="s">
        <v>27060</v>
      </c>
      <c r="T1099" s="405" t="s">
        <v>32102</v>
      </c>
      <c r="U1099" s="405" t="s">
        <v>319</v>
      </c>
    </row>
    <row r="1100" spans="1:21" x14ac:dyDescent="0.25">
      <c r="A1100" s="405" t="s">
        <v>310</v>
      </c>
      <c r="B1100" s="405" t="s">
        <v>25835</v>
      </c>
      <c r="C1100" s="405" t="s">
        <v>327</v>
      </c>
      <c r="D1100" s="405"/>
      <c r="E1100" s="410">
        <v>43890</v>
      </c>
      <c r="F1100" s="410">
        <v>43903</v>
      </c>
      <c r="G1100" s="405" t="s">
        <v>25836</v>
      </c>
      <c r="H1100" s="405" t="s">
        <v>25837</v>
      </c>
      <c r="I1100" s="405"/>
      <c r="J1100" s="405">
        <v>-0.96606499999999995</v>
      </c>
      <c r="K1100" s="405">
        <v>29.614628</v>
      </c>
      <c r="L1100" s="405" t="s">
        <v>590</v>
      </c>
      <c r="M1100" s="405" t="s">
        <v>20808</v>
      </c>
      <c r="N1100" s="405" t="s">
        <v>23390</v>
      </c>
      <c r="O1100" s="405" t="s">
        <v>2864</v>
      </c>
      <c r="P1100" s="405" t="s">
        <v>25838</v>
      </c>
      <c r="Q1100" s="411">
        <v>9</v>
      </c>
      <c r="R1100" s="405" t="s">
        <v>6572</v>
      </c>
      <c r="S1100" s="405" t="s">
        <v>27166</v>
      </c>
      <c r="T1100" s="405" t="s">
        <v>32102</v>
      </c>
      <c r="U1100" s="405" t="s">
        <v>319</v>
      </c>
    </row>
    <row r="1101" spans="1:21" x14ac:dyDescent="0.25">
      <c r="A1101" s="405" t="s">
        <v>310</v>
      </c>
      <c r="B1101" s="405" t="s">
        <v>8257</v>
      </c>
      <c r="C1101" s="405" t="s">
        <v>327</v>
      </c>
      <c r="D1101" s="405"/>
      <c r="E1101" s="410">
        <v>43890</v>
      </c>
      <c r="F1101" s="410">
        <v>44044</v>
      </c>
      <c r="G1101" s="405" t="s">
        <v>8258</v>
      </c>
      <c r="H1101" s="405">
        <v>751525622</v>
      </c>
      <c r="I1101" s="405" t="s">
        <v>8259</v>
      </c>
      <c r="J1101" s="405">
        <v>0.10711</v>
      </c>
      <c r="K1101" s="405">
        <v>32.316991999999999</v>
      </c>
      <c r="L1101" s="405" t="s">
        <v>6897</v>
      </c>
      <c r="M1101" s="405" t="s">
        <v>361</v>
      </c>
      <c r="N1101" s="405" t="s">
        <v>8260</v>
      </c>
      <c r="O1101" s="405" t="s">
        <v>8261</v>
      </c>
      <c r="P1101" s="405" t="s">
        <v>8262</v>
      </c>
      <c r="Q1101" s="411">
        <v>6</v>
      </c>
      <c r="R1101" s="405" t="s">
        <v>6798</v>
      </c>
      <c r="S1101" s="405" t="s">
        <v>27049</v>
      </c>
      <c r="T1101" s="405" t="s">
        <v>32102</v>
      </c>
      <c r="U1101" s="405" t="s">
        <v>319</v>
      </c>
    </row>
    <row r="1102" spans="1:21" x14ac:dyDescent="0.25">
      <c r="A1102" s="405" t="s">
        <v>310</v>
      </c>
      <c r="B1102" s="405" t="s">
        <v>25825</v>
      </c>
      <c r="C1102" s="405" t="s">
        <v>327</v>
      </c>
      <c r="D1102" s="405"/>
      <c r="E1102" s="410">
        <v>43890</v>
      </c>
      <c r="F1102" s="410">
        <v>43902</v>
      </c>
      <c r="G1102" s="405" t="s">
        <v>25826</v>
      </c>
      <c r="H1102" s="405" t="s">
        <v>25827</v>
      </c>
      <c r="I1102" s="405"/>
      <c r="J1102" s="405">
        <v>-0.88921799999999995</v>
      </c>
      <c r="K1102" s="405">
        <v>29.768735</v>
      </c>
      <c r="L1102" s="405" t="s">
        <v>590</v>
      </c>
      <c r="M1102" s="405" t="s">
        <v>20808</v>
      </c>
      <c r="N1102" s="405" t="s">
        <v>25172</v>
      </c>
      <c r="O1102" s="405" t="s">
        <v>24811</v>
      </c>
      <c r="P1102" s="405" t="s">
        <v>25273</v>
      </c>
      <c r="Q1102" s="411">
        <v>6</v>
      </c>
      <c r="R1102" s="405" t="s">
        <v>6572</v>
      </c>
      <c r="S1102" s="405" t="s">
        <v>27442</v>
      </c>
      <c r="T1102" s="405" t="s">
        <v>32102</v>
      </c>
      <c r="U1102" s="405" t="s">
        <v>319</v>
      </c>
    </row>
    <row r="1103" spans="1:21" x14ac:dyDescent="0.25">
      <c r="A1103" s="405" t="s">
        <v>310</v>
      </c>
      <c r="B1103" s="405" t="s">
        <v>8118</v>
      </c>
      <c r="C1103" s="405" t="s">
        <v>327</v>
      </c>
      <c r="D1103" s="405"/>
      <c r="E1103" s="410">
        <v>43889</v>
      </c>
      <c r="F1103" s="410">
        <v>43900</v>
      </c>
      <c r="G1103" s="405" t="s">
        <v>8119</v>
      </c>
      <c r="H1103" s="405" t="s">
        <v>8120</v>
      </c>
      <c r="I1103" s="405"/>
      <c r="J1103" s="405">
        <v>0.11940199999999999</v>
      </c>
      <c r="K1103" s="405">
        <v>32.226129999999998</v>
      </c>
      <c r="L1103" s="405" t="s">
        <v>314</v>
      </c>
      <c r="M1103" s="405" t="s">
        <v>321</v>
      </c>
      <c r="N1103" s="405" t="s">
        <v>2472</v>
      </c>
      <c r="O1103" s="405" t="s">
        <v>5626</v>
      </c>
      <c r="P1103" s="405" t="s">
        <v>8121</v>
      </c>
      <c r="Q1103" s="411">
        <v>6</v>
      </c>
      <c r="R1103" s="405" t="s">
        <v>32101</v>
      </c>
      <c r="S1103" s="405" t="s">
        <v>27275</v>
      </c>
      <c r="T1103" s="405" t="s">
        <v>32102</v>
      </c>
      <c r="U1103" s="405" t="s">
        <v>319</v>
      </c>
    </row>
    <row r="1104" spans="1:21" x14ac:dyDescent="0.25">
      <c r="A1104" s="405" t="s">
        <v>310</v>
      </c>
      <c r="B1104" s="405" t="s">
        <v>17240</v>
      </c>
      <c r="C1104" s="405" t="s">
        <v>327</v>
      </c>
      <c r="D1104" s="405"/>
      <c r="E1104" s="410">
        <v>43889</v>
      </c>
      <c r="F1104" s="410">
        <v>43907</v>
      </c>
      <c r="G1104" s="405" t="s">
        <v>17241</v>
      </c>
      <c r="H1104" s="405" t="s">
        <v>17242</v>
      </c>
      <c r="I1104" s="405"/>
      <c r="J1104" s="405">
        <v>1.31778</v>
      </c>
      <c r="K1104" s="405">
        <v>34.310907</v>
      </c>
      <c r="L1104" s="405" t="s">
        <v>6866</v>
      </c>
      <c r="M1104" s="405" t="s">
        <v>9550</v>
      </c>
      <c r="N1104" s="405" t="s">
        <v>16467</v>
      </c>
      <c r="O1104" s="405" t="s">
        <v>9639</v>
      </c>
      <c r="P1104" s="405" t="s">
        <v>10444</v>
      </c>
      <c r="Q1104" s="411">
        <v>4</v>
      </c>
      <c r="R1104" s="405" t="s">
        <v>7224</v>
      </c>
      <c r="S1104" s="405" t="s">
        <v>27348</v>
      </c>
      <c r="T1104" s="405" t="s">
        <v>32102</v>
      </c>
      <c r="U1104" s="405" t="s">
        <v>319</v>
      </c>
    </row>
    <row r="1105" spans="1:21" x14ac:dyDescent="0.25">
      <c r="A1105" s="405" t="s">
        <v>310</v>
      </c>
      <c r="B1105" s="405" t="s">
        <v>8128</v>
      </c>
      <c r="C1105" s="405" t="s">
        <v>327</v>
      </c>
      <c r="D1105" s="405"/>
      <c r="E1105" s="410">
        <v>43888</v>
      </c>
      <c r="F1105" s="410">
        <v>43907</v>
      </c>
      <c r="G1105" s="405" t="s">
        <v>8129</v>
      </c>
      <c r="H1105" s="405" t="s">
        <v>8130</v>
      </c>
      <c r="I1105" s="405"/>
      <c r="J1105" s="405">
        <v>0.29927199999999998</v>
      </c>
      <c r="K1105" s="405">
        <v>32.477358000000002</v>
      </c>
      <c r="L1105" s="405" t="s">
        <v>314</v>
      </c>
      <c r="M1105" s="405" t="s">
        <v>361</v>
      </c>
      <c r="N1105" s="405" t="s">
        <v>374</v>
      </c>
      <c r="O1105" s="405" t="s">
        <v>375</v>
      </c>
      <c r="P1105" s="405" t="s">
        <v>8131</v>
      </c>
      <c r="Q1105" s="411">
        <v>13</v>
      </c>
      <c r="R1105" s="405" t="s">
        <v>6572</v>
      </c>
      <c r="S1105" s="405" t="s">
        <v>27154</v>
      </c>
      <c r="T1105" s="405" t="s">
        <v>32102</v>
      </c>
      <c r="U1105" s="405" t="s">
        <v>319</v>
      </c>
    </row>
    <row r="1106" spans="1:21" x14ac:dyDescent="0.25">
      <c r="A1106" s="405" t="s">
        <v>310</v>
      </c>
      <c r="B1106" s="405" t="s">
        <v>8883</v>
      </c>
      <c r="C1106" s="405" t="s">
        <v>311</v>
      </c>
      <c r="D1106" s="405" t="s">
        <v>8884</v>
      </c>
      <c r="E1106" s="410">
        <v>43886</v>
      </c>
      <c r="F1106" s="410">
        <v>43907</v>
      </c>
      <c r="G1106" s="405" t="s">
        <v>8885</v>
      </c>
      <c r="H1106" s="405" t="s">
        <v>8886</v>
      </c>
      <c r="I1106" s="405"/>
      <c r="J1106" s="405">
        <v>0.232463</v>
      </c>
      <c r="K1106" s="405">
        <v>32.578158000000002</v>
      </c>
      <c r="L1106" s="405" t="s">
        <v>314</v>
      </c>
      <c r="M1106" s="405" t="s">
        <v>361</v>
      </c>
      <c r="N1106" s="405" t="s">
        <v>8887</v>
      </c>
      <c r="O1106" s="405" t="s">
        <v>8888</v>
      </c>
      <c r="P1106" s="405" t="s">
        <v>8889</v>
      </c>
      <c r="Q1106" s="411">
        <v>9</v>
      </c>
      <c r="R1106" s="405" t="s">
        <v>6572</v>
      </c>
      <c r="S1106" s="405" t="s">
        <v>27154</v>
      </c>
      <c r="T1106" s="405" t="s">
        <v>32102</v>
      </c>
      <c r="U1106" s="405" t="s">
        <v>319</v>
      </c>
    </row>
    <row r="1107" spans="1:21" x14ac:dyDescent="0.25">
      <c r="A1107" s="405" t="s">
        <v>310</v>
      </c>
      <c r="B1107" s="405" t="s">
        <v>25821</v>
      </c>
      <c r="C1107" s="405" t="s">
        <v>327</v>
      </c>
      <c r="D1107" s="405"/>
      <c r="E1107" s="410">
        <v>43886</v>
      </c>
      <c r="F1107" s="410">
        <v>43901</v>
      </c>
      <c r="G1107" s="405" t="s">
        <v>25822</v>
      </c>
      <c r="H1107" s="405">
        <v>752317935</v>
      </c>
      <c r="I1107" s="405"/>
      <c r="J1107" s="405">
        <v>-0.77192799999999995</v>
      </c>
      <c r="K1107" s="405">
        <v>29.806315000000001</v>
      </c>
      <c r="L1107" s="405" t="s">
        <v>590</v>
      </c>
      <c r="M1107" s="405" t="s">
        <v>19705</v>
      </c>
      <c r="N1107" s="405" t="s">
        <v>25823</v>
      </c>
      <c r="O1107" s="405" t="s">
        <v>21489</v>
      </c>
      <c r="P1107" s="405" t="s">
        <v>25824</v>
      </c>
      <c r="Q1107" s="411">
        <v>6</v>
      </c>
      <c r="R1107" s="405" t="s">
        <v>6572</v>
      </c>
      <c r="S1107" s="405" t="s">
        <v>27440</v>
      </c>
      <c r="T1107" s="405" t="s">
        <v>32102</v>
      </c>
      <c r="U1107" s="405" t="s">
        <v>319</v>
      </c>
    </row>
    <row r="1108" spans="1:21" x14ac:dyDescent="0.25">
      <c r="A1108" s="405" t="s">
        <v>310</v>
      </c>
      <c r="B1108" s="405" t="s">
        <v>8122</v>
      </c>
      <c r="C1108" s="405" t="s">
        <v>327</v>
      </c>
      <c r="D1108" s="405"/>
      <c r="E1108" s="410">
        <v>43885</v>
      </c>
      <c r="F1108" s="410">
        <v>43902</v>
      </c>
      <c r="G1108" s="405" t="s">
        <v>8123</v>
      </c>
      <c r="H1108" s="405" t="s">
        <v>8124</v>
      </c>
      <c r="I1108" s="405"/>
      <c r="J1108" s="405">
        <v>0.41248200000000002</v>
      </c>
      <c r="K1108" s="405">
        <v>32.138534999999997</v>
      </c>
      <c r="L1108" s="405" t="s">
        <v>314</v>
      </c>
      <c r="M1108" s="405" t="s">
        <v>675</v>
      </c>
      <c r="N1108" s="405" t="s">
        <v>1066</v>
      </c>
      <c r="O1108" s="405" t="s">
        <v>1066</v>
      </c>
      <c r="P1108" s="405" t="s">
        <v>2067</v>
      </c>
      <c r="Q1108" s="411">
        <v>13</v>
      </c>
      <c r="R1108" s="405" t="s">
        <v>32101</v>
      </c>
      <c r="S1108" s="405" t="s">
        <v>27041</v>
      </c>
      <c r="T1108" s="405" t="s">
        <v>32102</v>
      </c>
      <c r="U1108" s="405" t="s">
        <v>319</v>
      </c>
    </row>
    <row r="1109" spans="1:21" x14ac:dyDescent="0.25">
      <c r="A1109" s="405" t="s">
        <v>310</v>
      </c>
      <c r="B1109" s="405" t="s">
        <v>8174</v>
      </c>
      <c r="C1109" s="405" t="s">
        <v>327</v>
      </c>
      <c r="D1109" s="405"/>
      <c r="E1109" s="410">
        <v>43883</v>
      </c>
      <c r="F1109" s="410">
        <v>43997</v>
      </c>
      <c r="G1109" s="405" t="s">
        <v>8175</v>
      </c>
      <c r="H1109" s="405">
        <v>750403709</v>
      </c>
      <c r="I1109" s="405" t="s">
        <v>8176</v>
      </c>
      <c r="J1109" s="405">
        <v>0.16544700000000001</v>
      </c>
      <c r="K1109" s="405">
        <v>32.506388000000001</v>
      </c>
      <c r="L1109" s="405" t="s">
        <v>314</v>
      </c>
      <c r="M1109" s="405" t="s">
        <v>361</v>
      </c>
      <c r="N1109" s="405" t="s">
        <v>1682</v>
      </c>
      <c r="O1109" s="405" t="s">
        <v>8177</v>
      </c>
      <c r="P1109" s="405" t="s">
        <v>8178</v>
      </c>
      <c r="Q1109" s="411">
        <v>6</v>
      </c>
      <c r="R1109" s="405" t="s">
        <v>6798</v>
      </c>
      <c r="S1109" s="405" t="s">
        <v>27049</v>
      </c>
      <c r="T1109" s="405" t="s">
        <v>32102</v>
      </c>
      <c r="U1109" s="405" t="s">
        <v>319</v>
      </c>
    </row>
    <row r="1110" spans="1:21" x14ac:dyDescent="0.25">
      <c r="A1110" s="405" t="s">
        <v>310</v>
      </c>
      <c r="B1110" s="405" t="s">
        <v>25828</v>
      </c>
      <c r="C1110" s="405" t="s">
        <v>327</v>
      </c>
      <c r="D1110" s="405"/>
      <c r="E1110" s="410">
        <v>43882</v>
      </c>
      <c r="F1110" s="410">
        <v>43902</v>
      </c>
      <c r="G1110" s="405" t="s">
        <v>25829</v>
      </c>
      <c r="H1110" s="405" t="s">
        <v>25830</v>
      </c>
      <c r="I1110" s="405"/>
      <c r="J1110" s="405">
        <v>-0.89355799999999996</v>
      </c>
      <c r="K1110" s="405">
        <v>29.778683000000001</v>
      </c>
      <c r="L1110" s="405" t="s">
        <v>590</v>
      </c>
      <c r="M1110" s="405" t="s">
        <v>20808</v>
      </c>
      <c r="N1110" s="405" t="s">
        <v>25831</v>
      </c>
      <c r="O1110" s="405" t="s">
        <v>24811</v>
      </c>
      <c r="P1110" s="405" t="s">
        <v>20808</v>
      </c>
      <c r="Q1110" s="411">
        <v>9</v>
      </c>
      <c r="R1110" s="405" t="s">
        <v>6572</v>
      </c>
      <c r="S1110" s="405" t="s">
        <v>27193</v>
      </c>
      <c r="T1110" s="405" t="s">
        <v>32102</v>
      </c>
      <c r="U1110" s="405" t="s">
        <v>319</v>
      </c>
    </row>
    <row r="1111" spans="1:21" x14ac:dyDescent="0.25">
      <c r="A1111" s="405" t="s">
        <v>310</v>
      </c>
      <c r="B1111" s="405" t="s">
        <v>8135</v>
      </c>
      <c r="C1111" s="405" t="s">
        <v>327</v>
      </c>
      <c r="D1111" s="405"/>
      <c r="E1111" s="410">
        <v>43881</v>
      </c>
      <c r="F1111" s="410">
        <v>43921</v>
      </c>
      <c r="G1111" s="405" t="s">
        <v>8136</v>
      </c>
      <c r="H1111" s="405">
        <v>782158844</v>
      </c>
      <c r="I1111" s="405" t="s">
        <v>2913</v>
      </c>
      <c r="J1111" s="405">
        <v>0.351632</v>
      </c>
      <c r="K1111" s="405">
        <v>32.587415</v>
      </c>
      <c r="L1111" s="405" t="s">
        <v>314</v>
      </c>
      <c r="M1111" s="405" t="s">
        <v>900</v>
      </c>
      <c r="N1111" s="405" t="s">
        <v>2265</v>
      </c>
      <c r="O1111" s="405" t="s">
        <v>4383</v>
      </c>
      <c r="P1111" s="405" t="s">
        <v>1302</v>
      </c>
      <c r="Q1111" s="411">
        <v>13</v>
      </c>
      <c r="R1111" s="405" t="s">
        <v>32157</v>
      </c>
      <c r="S1111" s="405" t="s">
        <v>27045</v>
      </c>
      <c r="T1111" s="405" t="s">
        <v>32102</v>
      </c>
      <c r="U1111" s="405" t="s">
        <v>319</v>
      </c>
    </row>
    <row r="1112" spans="1:21" x14ac:dyDescent="0.25">
      <c r="A1112" s="405" t="s">
        <v>310</v>
      </c>
      <c r="B1112" s="405" t="s">
        <v>17264</v>
      </c>
      <c r="C1112" s="405" t="s">
        <v>327</v>
      </c>
      <c r="D1112" s="405"/>
      <c r="E1112" s="410">
        <v>43881</v>
      </c>
      <c r="F1112" s="410">
        <v>43916</v>
      </c>
      <c r="G1112" s="405" t="s">
        <v>17265</v>
      </c>
      <c r="H1112" s="405">
        <v>782963670</v>
      </c>
      <c r="I1112" s="405" t="s">
        <v>17266</v>
      </c>
      <c r="J1112" s="405">
        <v>0.94542999999999999</v>
      </c>
      <c r="K1112" s="405">
        <v>33.125135</v>
      </c>
      <c r="L1112" s="405" t="s">
        <v>6866</v>
      </c>
      <c r="M1112" s="405" t="s">
        <v>3009</v>
      </c>
      <c r="N1112" s="405" t="s">
        <v>17267</v>
      </c>
      <c r="O1112" s="405" t="s">
        <v>17268</v>
      </c>
      <c r="P1112" s="405" t="s">
        <v>17269</v>
      </c>
      <c r="Q1112" s="411">
        <v>13</v>
      </c>
      <c r="R1112" s="405" t="s">
        <v>17270</v>
      </c>
      <c r="S1112" s="405" t="s">
        <v>27188</v>
      </c>
      <c r="T1112" s="405" t="s">
        <v>32102</v>
      </c>
      <c r="U1112" s="405" t="s">
        <v>319</v>
      </c>
    </row>
    <row r="1113" spans="1:21" x14ac:dyDescent="0.25">
      <c r="A1113" s="405" t="s">
        <v>310</v>
      </c>
      <c r="B1113" s="405" t="s">
        <v>25844</v>
      </c>
      <c r="C1113" s="405" t="s">
        <v>327</v>
      </c>
      <c r="D1113" s="405"/>
      <c r="E1113" s="410">
        <v>43881</v>
      </c>
      <c r="F1113" s="410">
        <v>43903</v>
      </c>
      <c r="G1113" s="405" t="s">
        <v>25845</v>
      </c>
      <c r="H1113" s="405" t="s">
        <v>25846</v>
      </c>
      <c r="I1113" s="405"/>
      <c r="J1113" s="405">
        <v>-0.75514700000000001</v>
      </c>
      <c r="K1113" s="405">
        <v>29.742418000000001</v>
      </c>
      <c r="L1113" s="405" t="s">
        <v>590</v>
      </c>
      <c r="M1113" s="405" t="s">
        <v>20808</v>
      </c>
      <c r="N1113" s="405" t="s">
        <v>25110</v>
      </c>
      <c r="O1113" s="405" t="s">
        <v>23870</v>
      </c>
      <c r="P1113" s="405" t="s">
        <v>23871</v>
      </c>
      <c r="Q1113" s="411">
        <v>6</v>
      </c>
      <c r="R1113" s="405" t="s">
        <v>6572</v>
      </c>
      <c r="S1113" s="405" t="s">
        <v>27153</v>
      </c>
      <c r="T1113" s="405" t="s">
        <v>32102</v>
      </c>
      <c r="U1113" s="405" t="s">
        <v>319</v>
      </c>
    </row>
    <row r="1114" spans="1:21" x14ac:dyDescent="0.25">
      <c r="A1114" s="405" t="s">
        <v>310</v>
      </c>
      <c r="B1114" s="405" t="s">
        <v>25832</v>
      </c>
      <c r="C1114" s="405" t="s">
        <v>327</v>
      </c>
      <c r="D1114" s="405"/>
      <c r="E1114" s="410">
        <v>43881</v>
      </c>
      <c r="F1114" s="410">
        <v>43902</v>
      </c>
      <c r="G1114" s="405" t="s">
        <v>25833</v>
      </c>
      <c r="H1114" s="405" t="s">
        <v>25834</v>
      </c>
      <c r="I1114" s="405"/>
      <c r="J1114" s="405">
        <v>-0.83340000000000003</v>
      </c>
      <c r="K1114" s="405">
        <v>29.749829999999999</v>
      </c>
      <c r="L1114" s="405" t="s">
        <v>590</v>
      </c>
      <c r="M1114" s="405" t="s">
        <v>20808</v>
      </c>
      <c r="N1114" s="405" t="s">
        <v>23390</v>
      </c>
      <c r="O1114" s="405" t="s">
        <v>20810</v>
      </c>
      <c r="P1114" s="405" t="s">
        <v>25362</v>
      </c>
      <c r="Q1114" s="411">
        <v>6</v>
      </c>
      <c r="R1114" s="405" t="s">
        <v>6572</v>
      </c>
      <c r="S1114" s="405" t="s">
        <v>27137</v>
      </c>
      <c r="T1114" s="405" t="s">
        <v>32102</v>
      </c>
      <c r="U1114" s="405" t="s">
        <v>319</v>
      </c>
    </row>
    <row r="1115" spans="1:21" x14ac:dyDescent="0.25">
      <c r="A1115" s="405" t="s">
        <v>310</v>
      </c>
      <c r="B1115" s="405" t="s">
        <v>25839</v>
      </c>
      <c r="C1115" s="405" t="s">
        <v>327</v>
      </c>
      <c r="D1115" s="405"/>
      <c r="E1115" s="410">
        <v>43880</v>
      </c>
      <c r="F1115" s="410">
        <v>43903</v>
      </c>
      <c r="G1115" s="405" t="s">
        <v>25840</v>
      </c>
      <c r="H1115" s="405" t="s">
        <v>25841</v>
      </c>
      <c r="I1115" s="405"/>
      <c r="J1115" s="405">
        <v>-0.97209299999999998</v>
      </c>
      <c r="K1115" s="405">
        <v>29.615562000000001</v>
      </c>
      <c r="L1115" s="405" t="s">
        <v>590</v>
      </c>
      <c r="M1115" s="405" t="s">
        <v>20808</v>
      </c>
      <c r="N1115" s="405" t="s">
        <v>25842</v>
      </c>
      <c r="O1115" s="405" t="s">
        <v>2864</v>
      </c>
      <c r="P1115" s="405" t="s">
        <v>25843</v>
      </c>
      <c r="Q1115" s="411">
        <v>9</v>
      </c>
      <c r="R1115" s="405" t="s">
        <v>6572</v>
      </c>
      <c r="S1115" s="405" t="s">
        <v>27166</v>
      </c>
      <c r="T1115" s="405" t="s">
        <v>32102</v>
      </c>
      <c r="U1115" s="405" t="s">
        <v>319</v>
      </c>
    </row>
    <row r="1116" spans="1:21" x14ac:dyDescent="0.25">
      <c r="A1116" s="405" t="s">
        <v>310</v>
      </c>
      <c r="B1116" s="405" t="s">
        <v>8863</v>
      </c>
      <c r="C1116" s="405" t="s">
        <v>327</v>
      </c>
      <c r="D1116" s="405"/>
      <c r="E1116" s="410">
        <v>43877</v>
      </c>
      <c r="F1116" s="410">
        <v>43906</v>
      </c>
      <c r="G1116" s="405" t="s">
        <v>8864</v>
      </c>
      <c r="H1116" s="405">
        <v>706769610</v>
      </c>
      <c r="I1116" s="405" t="s">
        <v>2913</v>
      </c>
      <c r="J1116" s="405">
        <v>0.55329700000000004</v>
      </c>
      <c r="K1116" s="405">
        <v>32.412233000000001</v>
      </c>
      <c r="L1116" s="405" t="s">
        <v>314</v>
      </c>
      <c r="M1116" s="405" t="s">
        <v>361</v>
      </c>
      <c r="N1116" s="405" t="s">
        <v>374</v>
      </c>
      <c r="O1116" s="405" t="s">
        <v>8107</v>
      </c>
      <c r="P1116" s="405" t="s">
        <v>1357</v>
      </c>
      <c r="Q1116" s="411">
        <v>6</v>
      </c>
      <c r="R1116" s="405" t="s">
        <v>32101</v>
      </c>
      <c r="S1116" s="405" t="s">
        <v>27167</v>
      </c>
      <c r="T1116" s="405" t="s">
        <v>32102</v>
      </c>
      <c r="U1116" s="405" t="s">
        <v>319</v>
      </c>
    </row>
    <row r="1117" spans="1:21" x14ac:dyDescent="0.25">
      <c r="A1117" s="405" t="s">
        <v>310</v>
      </c>
      <c r="B1117" s="405" t="s">
        <v>8113</v>
      </c>
      <c r="C1117" s="405" t="s">
        <v>857</v>
      </c>
      <c r="D1117" s="405" t="s">
        <v>33037</v>
      </c>
      <c r="E1117" s="410">
        <v>43877</v>
      </c>
      <c r="F1117" s="410">
        <v>43903</v>
      </c>
      <c r="G1117" s="405" t="s">
        <v>8114</v>
      </c>
      <c r="H1117" s="405" t="s">
        <v>8115</v>
      </c>
      <c r="I1117" s="405"/>
      <c r="J1117" s="405">
        <v>0.13131699999999999</v>
      </c>
      <c r="K1117" s="405">
        <v>32.227522999999998</v>
      </c>
      <c r="L1117" s="405" t="s">
        <v>314</v>
      </c>
      <c r="M1117" s="405" t="s">
        <v>321</v>
      </c>
      <c r="N1117" s="405" t="s">
        <v>8116</v>
      </c>
      <c r="O1117" s="405" t="s">
        <v>5626</v>
      </c>
      <c r="P1117" s="405" t="s">
        <v>8117</v>
      </c>
      <c r="Q1117" s="411">
        <v>6</v>
      </c>
      <c r="R1117" s="405" t="s">
        <v>32101</v>
      </c>
      <c r="S1117" s="405" t="s">
        <v>27275</v>
      </c>
      <c r="T1117" s="405" t="s">
        <v>32102</v>
      </c>
      <c r="U1117" s="405" t="s">
        <v>319</v>
      </c>
    </row>
    <row r="1118" spans="1:21" x14ac:dyDescent="0.25">
      <c r="A1118" s="405" t="s">
        <v>310</v>
      </c>
      <c r="B1118" s="405" t="s">
        <v>8836</v>
      </c>
      <c r="C1118" s="405" t="s">
        <v>857</v>
      </c>
      <c r="D1118" s="405" t="s">
        <v>921</v>
      </c>
      <c r="E1118" s="410">
        <v>43876</v>
      </c>
      <c r="F1118" s="410">
        <v>43886</v>
      </c>
      <c r="G1118" s="405" t="s">
        <v>8837</v>
      </c>
      <c r="H1118" s="405">
        <v>757530176</v>
      </c>
      <c r="I1118" s="405" t="s">
        <v>2913</v>
      </c>
      <c r="J1118" s="405">
        <v>0.35164299999999998</v>
      </c>
      <c r="K1118" s="405">
        <v>32.587263</v>
      </c>
      <c r="L1118" s="405" t="s">
        <v>314</v>
      </c>
      <c r="M1118" s="405" t="s">
        <v>343</v>
      </c>
      <c r="N1118" s="405" t="s">
        <v>6323</v>
      </c>
      <c r="O1118" s="405" t="s">
        <v>8838</v>
      </c>
      <c r="P1118" s="405" t="s">
        <v>1345</v>
      </c>
      <c r="Q1118" s="411">
        <v>6</v>
      </c>
      <c r="R1118" s="405" t="s">
        <v>32157</v>
      </c>
      <c r="S1118" s="405" t="s">
        <v>27045</v>
      </c>
      <c r="T1118" s="405" t="s">
        <v>32102</v>
      </c>
      <c r="U1118" s="405" t="s">
        <v>319</v>
      </c>
    </row>
    <row r="1119" spans="1:21" x14ac:dyDescent="0.25">
      <c r="A1119" s="405" t="s">
        <v>310</v>
      </c>
      <c r="B1119" s="405" t="s">
        <v>25817</v>
      </c>
      <c r="C1119" s="405" t="s">
        <v>327</v>
      </c>
      <c r="D1119" s="405"/>
      <c r="E1119" s="410">
        <v>43875</v>
      </c>
      <c r="F1119" s="410">
        <v>43894</v>
      </c>
      <c r="G1119" s="405" t="s">
        <v>25818</v>
      </c>
      <c r="H1119" s="405" t="s">
        <v>25819</v>
      </c>
      <c r="I1119" s="405"/>
      <c r="J1119" s="405">
        <v>-0.85658199999999995</v>
      </c>
      <c r="K1119" s="405">
        <v>30.008773000000001</v>
      </c>
      <c r="L1119" s="405" t="s">
        <v>590</v>
      </c>
      <c r="M1119" s="405" t="s">
        <v>19619</v>
      </c>
      <c r="N1119" s="405" t="s">
        <v>19620</v>
      </c>
      <c r="O1119" s="405" t="s">
        <v>25820</v>
      </c>
      <c r="P1119" s="405" t="s">
        <v>19817</v>
      </c>
      <c r="Q1119" s="411">
        <v>13</v>
      </c>
      <c r="R1119" s="405" t="s">
        <v>6572</v>
      </c>
      <c r="S1119" s="405" t="s">
        <v>27301</v>
      </c>
      <c r="T1119" s="405" t="s">
        <v>32102</v>
      </c>
      <c r="U1119" s="405" t="s">
        <v>319</v>
      </c>
    </row>
    <row r="1120" spans="1:21" x14ac:dyDescent="0.25">
      <c r="A1120" s="405" t="s">
        <v>310</v>
      </c>
      <c r="B1120" s="405" t="s">
        <v>8082</v>
      </c>
      <c r="C1120" s="405" t="s">
        <v>327</v>
      </c>
      <c r="D1120" s="405"/>
      <c r="E1120" s="410">
        <v>43875</v>
      </c>
      <c r="F1120" s="410">
        <v>43885</v>
      </c>
      <c r="G1120" s="405" t="s">
        <v>8083</v>
      </c>
      <c r="H1120" s="405" t="s">
        <v>8084</v>
      </c>
      <c r="I1120" s="405"/>
      <c r="J1120" s="405">
        <v>0.15546099999999999</v>
      </c>
      <c r="K1120" s="405">
        <v>32.428497999999998</v>
      </c>
      <c r="L1120" s="405" t="s">
        <v>314</v>
      </c>
      <c r="M1120" s="405" t="s">
        <v>361</v>
      </c>
      <c r="N1120" s="405" t="s">
        <v>6357</v>
      </c>
      <c r="O1120" s="405" t="s">
        <v>2091</v>
      </c>
      <c r="P1120" s="405" t="s">
        <v>8085</v>
      </c>
      <c r="Q1120" s="411">
        <v>13</v>
      </c>
      <c r="R1120" s="405" t="s">
        <v>4176</v>
      </c>
      <c r="S1120" s="405" t="s">
        <v>27059</v>
      </c>
      <c r="T1120" s="405" t="s">
        <v>32102</v>
      </c>
      <c r="U1120" s="405" t="s">
        <v>319</v>
      </c>
    </row>
    <row r="1121" spans="1:21" x14ac:dyDescent="0.25">
      <c r="A1121" s="405" t="s">
        <v>310</v>
      </c>
      <c r="B1121" s="405" t="s">
        <v>26096</v>
      </c>
      <c r="C1121" s="405" t="s">
        <v>311</v>
      </c>
      <c r="D1121" s="405" t="s">
        <v>2127</v>
      </c>
      <c r="E1121" s="410">
        <v>43875</v>
      </c>
      <c r="F1121" s="410">
        <v>43890</v>
      </c>
      <c r="G1121" s="405" t="s">
        <v>26097</v>
      </c>
      <c r="H1121" s="405" t="s">
        <v>25846</v>
      </c>
      <c r="I1121" s="405"/>
      <c r="J1121" s="405">
        <v>-0.75537299999999996</v>
      </c>
      <c r="K1121" s="405">
        <v>29.742484999999999</v>
      </c>
      <c r="L1121" s="405" t="s">
        <v>590</v>
      </c>
      <c r="M1121" s="405" t="s">
        <v>20808</v>
      </c>
      <c r="N1121" s="405" t="s">
        <v>25110</v>
      </c>
      <c r="O1121" s="405" t="s">
        <v>23870</v>
      </c>
      <c r="P1121" s="405" t="s">
        <v>23871</v>
      </c>
      <c r="Q1121" s="411">
        <v>6</v>
      </c>
      <c r="R1121" s="405" t="s">
        <v>5903</v>
      </c>
      <c r="S1121" s="405" t="s">
        <v>27153</v>
      </c>
      <c r="T1121" s="405" t="s">
        <v>32102</v>
      </c>
      <c r="U1121" s="405" t="s">
        <v>319</v>
      </c>
    </row>
    <row r="1122" spans="1:21" x14ac:dyDescent="0.25">
      <c r="A1122" s="405" t="s">
        <v>310</v>
      </c>
      <c r="B1122" s="405" t="s">
        <v>25851</v>
      </c>
      <c r="C1122" s="405" t="s">
        <v>327</v>
      </c>
      <c r="D1122" s="405"/>
      <c r="E1122" s="410">
        <v>43872</v>
      </c>
      <c r="F1122" s="410">
        <v>43903</v>
      </c>
      <c r="G1122" s="405" t="s">
        <v>25852</v>
      </c>
      <c r="H1122" s="405" t="s">
        <v>25853</v>
      </c>
      <c r="I1122" s="405"/>
      <c r="J1122" s="405">
        <v>-0.62917299999999998</v>
      </c>
      <c r="K1122" s="405">
        <v>29.778872</v>
      </c>
      <c r="L1122" s="405" t="s">
        <v>590</v>
      </c>
      <c r="M1122" s="405" t="s">
        <v>20808</v>
      </c>
      <c r="N1122" s="405" t="s">
        <v>25110</v>
      </c>
      <c r="O1122" s="405" t="s">
        <v>23283</v>
      </c>
      <c r="P1122" s="405" t="s">
        <v>25854</v>
      </c>
      <c r="Q1122" s="411">
        <v>9</v>
      </c>
      <c r="R1122" s="405" t="s">
        <v>6572</v>
      </c>
      <c r="S1122" s="405" t="s">
        <v>27443</v>
      </c>
      <c r="T1122" s="405" t="s">
        <v>32102</v>
      </c>
      <c r="U1122" s="405" t="s">
        <v>319</v>
      </c>
    </row>
    <row r="1123" spans="1:21" x14ac:dyDescent="0.25">
      <c r="A1123" s="405" t="s">
        <v>310</v>
      </c>
      <c r="B1123" s="405" t="s">
        <v>8092</v>
      </c>
      <c r="C1123" s="405" t="s">
        <v>327</v>
      </c>
      <c r="D1123" s="405"/>
      <c r="E1123" s="410">
        <v>43871</v>
      </c>
      <c r="F1123" s="410">
        <v>43881</v>
      </c>
      <c r="G1123" s="405" t="s">
        <v>8093</v>
      </c>
      <c r="H1123" s="405">
        <v>752657523</v>
      </c>
      <c r="I1123" s="405"/>
      <c r="J1123" s="405">
        <v>0.37845299999999998</v>
      </c>
      <c r="K1123" s="405">
        <v>32.589807</v>
      </c>
      <c r="L1123" s="405" t="s">
        <v>314</v>
      </c>
      <c r="M1123" s="405" t="s">
        <v>361</v>
      </c>
      <c r="N1123" s="405" t="s">
        <v>374</v>
      </c>
      <c r="O1123" s="405" t="s">
        <v>4769</v>
      </c>
      <c r="P1123" s="405" t="s">
        <v>5917</v>
      </c>
      <c r="Q1123" s="411">
        <v>9</v>
      </c>
      <c r="R1123" s="405" t="s">
        <v>32157</v>
      </c>
      <c r="S1123" s="405" t="s">
        <v>27045</v>
      </c>
      <c r="T1123" s="405" t="s">
        <v>32102</v>
      </c>
      <c r="U1123" s="405" t="s">
        <v>319</v>
      </c>
    </row>
    <row r="1124" spans="1:21" x14ac:dyDescent="0.25">
      <c r="A1124" s="405" t="s">
        <v>310</v>
      </c>
      <c r="B1124" s="405" t="s">
        <v>17846</v>
      </c>
      <c r="C1124" s="405" t="s">
        <v>857</v>
      </c>
      <c r="D1124" s="405" t="s">
        <v>33038</v>
      </c>
      <c r="E1124" s="410">
        <v>43871</v>
      </c>
      <c r="F1124" s="410">
        <v>43884</v>
      </c>
      <c r="G1124" s="405" t="s">
        <v>17847</v>
      </c>
      <c r="H1124" s="405">
        <v>772458966</v>
      </c>
      <c r="I1124" s="405"/>
      <c r="J1124" s="405">
        <v>0.36080400000000001</v>
      </c>
      <c r="K1124" s="405">
        <v>32.600718000000001</v>
      </c>
      <c r="L1124" s="405" t="s">
        <v>6866</v>
      </c>
      <c r="M1124" s="405" t="s">
        <v>9590</v>
      </c>
      <c r="N1124" s="405" t="s">
        <v>9591</v>
      </c>
      <c r="O1124" s="405" t="s">
        <v>17155</v>
      </c>
      <c r="P1124" s="405" t="s">
        <v>16943</v>
      </c>
      <c r="Q1124" s="411">
        <v>6</v>
      </c>
      <c r="R1124" s="405" t="s">
        <v>32164</v>
      </c>
      <c r="S1124" s="405" t="s">
        <v>27044</v>
      </c>
      <c r="T1124" s="405" t="s">
        <v>32102</v>
      </c>
      <c r="U1124" s="405" t="s">
        <v>319</v>
      </c>
    </row>
    <row r="1125" spans="1:21" x14ac:dyDescent="0.25">
      <c r="A1125" s="405" t="s">
        <v>310</v>
      </c>
      <c r="B1125" s="405" t="s">
        <v>8089</v>
      </c>
      <c r="C1125" s="405" t="s">
        <v>327</v>
      </c>
      <c r="D1125" s="405"/>
      <c r="E1125" s="410">
        <v>43870</v>
      </c>
      <c r="F1125" s="410">
        <v>43890</v>
      </c>
      <c r="G1125" s="405" t="s">
        <v>8090</v>
      </c>
      <c r="H1125" s="405">
        <v>756678981</v>
      </c>
      <c r="I1125" s="405"/>
      <c r="J1125" s="405">
        <v>0.60459700000000005</v>
      </c>
      <c r="K1125" s="405">
        <v>32.511735000000002</v>
      </c>
      <c r="L1125" s="405" t="s">
        <v>314</v>
      </c>
      <c r="M1125" s="405" t="s">
        <v>959</v>
      </c>
      <c r="N1125" s="405" t="s">
        <v>1308</v>
      </c>
      <c r="O1125" s="405" t="s">
        <v>2307</v>
      </c>
      <c r="P1125" s="405" t="s">
        <v>8091</v>
      </c>
      <c r="Q1125" s="411">
        <v>13</v>
      </c>
      <c r="R1125" s="405" t="s">
        <v>32157</v>
      </c>
      <c r="S1125" s="405" t="s">
        <v>27052</v>
      </c>
      <c r="T1125" s="405" t="s">
        <v>32102</v>
      </c>
      <c r="U1125" s="405" t="s">
        <v>319</v>
      </c>
    </row>
    <row r="1126" spans="1:21" x14ac:dyDescent="0.25">
      <c r="A1126" s="405" t="s">
        <v>310</v>
      </c>
      <c r="B1126" s="405" t="s">
        <v>17236</v>
      </c>
      <c r="C1126" s="405" t="s">
        <v>327</v>
      </c>
      <c r="D1126" s="405"/>
      <c r="E1126" s="410">
        <v>43867</v>
      </c>
      <c r="F1126" s="410">
        <v>43879</v>
      </c>
      <c r="G1126" s="405" t="s">
        <v>17237</v>
      </c>
      <c r="H1126" s="405">
        <v>701594923</v>
      </c>
      <c r="I1126" s="405"/>
      <c r="J1126" s="405">
        <v>1.0704419999999999</v>
      </c>
      <c r="K1126" s="405">
        <v>33.392968000000003</v>
      </c>
      <c r="L1126" s="405" t="s">
        <v>6866</v>
      </c>
      <c r="M1126" s="405" t="s">
        <v>9520</v>
      </c>
      <c r="N1126" s="405" t="s">
        <v>17238</v>
      </c>
      <c r="O1126" s="405" t="s">
        <v>13286</v>
      </c>
      <c r="P1126" s="405" t="s">
        <v>17239</v>
      </c>
      <c r="Q1126" s="411">
        <v>9</v>
      </c>
      <c r="R1126" s="405" t="s">
        <v>414</v>
      </c>
      <c r="S1126" s="405" t="s">
        <v>414</v>
      </c>
      <c r="T1126" s="405" t="s">
        <v>32102</v>
      </c>
      <c r="U1126" s="405" t="s">
        <v>319</v>
      </c>
    </row>
    <row r="1127" spans="1:21" x14ac:dyDescent="0.25">
      <c r="A1127" s="405" t="s">
        <v>310</v>
      </c>
      <c r="B1127" s="405" t="s">
        <v>25815</v>
      </c>
      <c r="C1127" s="405" t="s">
        <v>327</v>
      </c>
      <c r="D1127" s="405"/>
      <c r="E1127" s="410">
        <v>43866</v>
      </c>
      <c r="F1127" s="410">
        <v>43876</v>
      </c>
      <c r="G1127" s="405" t="s">
        <v>25816</v>
      </c>
      <c r="H1127" s="405">
        <v>788541641</v>
      </c>
      <c r="I1127" s="405">
        <v>703666175</v>
      </c>
      <c r="J1127" s="405">
        <v>-0.60312600000000005</v>
      </c>
      <c r="K1127" s="405">
        <v>30.666903000000001</v>
      </c>
      <c r="L1127" s="405" t="s">
        <v>590</v>
      </c>
      <c r="M1127" s="405" t="s">
        <v>19614</v>
      </c>
      <c r="N1127" s="405" t="s">
        <v>23624</v>
      </c>
      <c r="O1127" s="405" t="s">
        <v>19974</v>
      </c>
      <c r="P1127" s="405" t="s">
        <v>4672</v>
      </c>
      <c r="Q1127" s="411">
        <v>6</v>
      </c>
      <c r="R1127" s="405" t="s">
        <v>5921</v>
      </c>
      <c r="S1127" s="405" t="s">
        <v>32960</v>
      </c>
      <c r="T1127" s="405" t="s">
        <v>32102</v>
      </c>
      <c r="U1127" s="405" t="s">
        <v>319</v>
      </c>
    </row>
    <row r="1128" spans="1:21" x14ac:dyDescent="0.25">
      <c r="A1128" s="405" t="s">
        <v>310</v>
      </c>
      <c r="B1128" s="405" t="s">
        <v>8105</v>
      </c>
      <c r="C1128" s="405" t="s">
        <v>327</v>
      </c>
      <c r="D1128" s="405"/>
      <c r="E1128" s="410">
        <v>43865</v>
      </c>
      <c r="F1128" s="410">
        <v>43896</v>
      </c>
      <c r="G1128" s="405" t="s">
        <v>8106</v>
      </c>
      <c r="H1128" s="405">
        <v>752172467</v>
      </c>
      <c r="I1128" s="405" t="s">
        <v>2913</v>
      </c>
      <c r="J1128" s="405">
        <v>0.547983</v>
      </c>
      <c r="K1128" s="405">
        <v>32.413080000000001</v>
      </c>
      <c r="L1128" s="405" t="s">
        <v>314</v>
      </c>
      <c r="M1128" s="405" t="s">
        <v>361</v>
      </c>
      <c r="N1128" s="405" t="s">
        <v>374</v>
      </c>
      <c r="O1128" s="405" t="s">
        <v>8107</v>
      </c>
      <c r="P1128" s="405" t="s">
        <v>8108</v>
      </c>
      <c r="Q1128" s="411">
        <v>6</v>
      </c>
      <c r="R1128" s="405" t="s">
        <v>32101</v>
      </c>
      <c r="S1128" s="405" t="s">
        <v>27167</v>
      </c>
      <c r="T1128" s="405" t="s">
        <v>32102</v>
      </c>
      <c r="U1128" s="405" t="s">
        <v>319</v>
      </c>
    </row>
    <row r="1129" spans="1:21" x14ac:dyDescent="0.25">
      <c r="A1129" s="405" t="s">
        <v>310</v>
      </c>
      <c r="B1129" s="406" t="s">
        <v>32103</v>
      </c>
      <c r="C1129" s="405" t="s">
        <v>327</v>
      </c>
      <c r="D1129" s="405"/>
      <c r="E1129" s="406" t="s">
        <v>32104</v>
      </c>
      <c r="F1129" s="407">
        <v>44368</v>
      </c>
      <c r="G1129" s="406" t="s">
        <v>32105</v>
      </c>
      <c r="H1129" s="406" t="s">
        <v>32106</v>
      </c>
      <c r="I1129" s="406" t="s">
        <v>32107</v>
      </c>
      <c r="J1129" s="408">
        <v>-0.75641700000000001</v>
      </c>
      <c r="K1129" s="408">
        <v>31.561164999999999</v>
      </c>
      <c r="L1129" s="406" t="s">
        <v>314</v>
      </c>
      <c r="M1129" s="406" t="s">
        <v>399</v>
      </c>
      <c r="N1129" s="406" t="s">
        <v>1225</v>
      </c>
      <c r="O1129" s="406" t="s">
        <v>1225</v>
      </c>
      <c r="P1129" s="406" t="s">
        <v>32099</v>
      </c>
      <c r="Q1129" s="409">
        <v>75</v>
      </c>
      <c r="R1129" s="406" t="s">
        <v>32100</v>
      </c>
      <c r="S1129" s="406" t="s">
        <v>27243</v>
      </c>
      <c r="T1129" s="405" t="s">
        <v>32102</v>
      </c>
      <c r="U1129" s="405" t="s">
        <v>319</v>
      </c>
    </row>
    <row r="1130" spans="1:21" x14ac:dyDescent="0.25">
      <c r="A1130" s="405" t="s">
        <v>310</v>
      </c>
      <c r="B1130" s="405" t="s">
        <v>25797</v>
      </c>
      <c r="C1130" s="405" t="s">
        <v>327</v>
      </c>
      <c r="D1130" s="405"/>
      <c r="E1130" s="410">
        <v>43862</v>
      </c>
      <c r="F1130" s="410">
        <v>43875</v>
      </c>
      <c r="G1130" s="405" t="s">
        <v>25798</v>
      </c>
      <c r="H1130" s="405" t="s">
        <v>25799</v>
      </c>
      <c r="I1130" s="405"/>
      <c r="J1130" s="405">
        <v>-0.86107500000000003</v>
      </c>
      <c r="K1130" s="405">
        <v>29.835896999999999</v>
      </c>
      <c r="L1130" s="405" t="s">
        <v>590</v>
      </c>
      <c r="M1130" s="405" t="s">
        <v>20808</v>
      </c>
      <c r="N1130" s="405" t="s">
        <v>25800</v>
      </c>
      <c r="O1130" s="405" t="s">
        <v>23326</v>
      </c>
      <c r="P1130" s="405" t="s">
        <v>25801</v>
      </c>
      <c r="Q1130" s="411">
        <v>6</v>
      </c>
      <c r="R1130" s="405" t="s">
        <v>6572</v>
      </c>
      <c r="S1130" s="405" t="s">
        <v>27161</v>
      </c>
      <c r="T1130" s="405" t="s">
        <v>32102</v>
      </c>
      <c r="U1130" s="405" t="s">
        <v>319</v>
      </c>
    </row>
    <row r="1131" spans="1:21" x14ac:dyDescent="0.25">
      <c r="A1131" s="405" t="s">
        <v>310</v>
      </c>
      <c r="B1131" s="405" t="s">
        <v>17228</v>
      </c>
      <c r="C1131" s="405" t="s">
        <v>327</v>
      </c>
      <c r="D1131" s="405"/>
      <c r="E1131" s="410">
        <v>43862</v>
      </c>
      <c r="F1131" s="410">
        <v>43873</v>
      </c>
      <c r="G1131" s="405" t="s">
        <v>17229</v>
      </c>
      <c r="H1131" s="405" t="s">
        <v>17230</v>
      </c>
      <c r="I1131" s="405"/>
      <c r="J1131" s="405">
        <v>0.89176800000000001</v>
      </c>
      <c r="K1131" s="405">
        <v>33.698152999999998</v>
      </c>
      <c r="L1131" s="405" t="s">
        <v>6866</v>
      </c>
      <c r="M1131" s="405" t="s">
        <v>5345</v>
      </c>
      <c r="N1131" s="405" t="s">
        <v>16871</v>
      </c>
      <c r="O1131" s="405" t="s">
        <v>17200</v>
      </c>
      <c r="P1131" s="405" t="s">
        <v>17231</v>
      </c>
      <c r="Q1131" s="411">
        <v>6</v>
      </c>
      <c r="R1131" s="405" t="s">
        <v>32101</v>
      </c>
      <c r="S1131" s="405" t="s">
        <v>27041</v>
      </c>
      <c r="T1131" s="405" t="s">
        <v>32102</v>
      </c>
      <c r="U1131" s="405" t="s">
        <v>319</v>
      </c>
    </row>
    <row r="1132" spans="1:21" x14ac:dyDescent="0.25">
      <c r="A1132" s="405" t="s">
        <v>310</v>
      </c>
      <c r="B1132" s="405" t="s">
        <v>8086</v>
      </c>
      <c r="C1132" s="405" t="s">
        <v>327</v>
      </c>
      <c r="D1132" s="405"/>
      <c r="E1132" s="410">
        <v>43861</v>
      </c>
      <c r="F1132" s="410">
        <v>43871</v>
      </c>
      <c r="G1132" s="405" t="s">
        <v>8087</v>
      </c>
      <c r="H1132" s="405">
        <v>78388340</v>
      </c>
      <c r="I1132" s="405"/>
      <c r="J1132" s="405">
        <v>0.48301300000000003</v>
      </c>
      <c r="K1132" s="405">
        <v>32.359181999999997</v>
      </c>
      <c r="L1132" s="405" t="s">
        <v>314</v>
      </c>
      <c r="M1132" s="405" t="s">
        <v>361</v>
      </c>
      <c r="N1132" s="405" t="s">
        <v>374</v>
      </c>
      <c r="O1132" s="405" t="s">
        <v>952</v>
      </c>
      <c r="P1132" s="405" t="s">
        <v>8088</v>
      </c>
      <c r="Q1132" s="411">
        <v>13</v>
      </c>
      <c r="R1132" s="405" t="s">
        <v>32157</v>
      </c>
      <c r="S1132" s="405" t="s">
        <v>27035</v>
      </c>
      <c r="T1132" s="405" t="s">
        <v>32102</v>
      </c>
      <c r="U1132" s="405" t="s">
        <v>319</v>
      </c>
    </row>
    <row r="1133" spans="1:21" x14ac:dyDescent="0.25">
      <c r="A1133" s="405" t="s">
        <v>310</v>
      </c>
      <c r="B1133" s="405" t="s">
        <v>28063</v>
      </c>
      <c r="C1133" s="405" t="s">
        <v>327</v>
      </c>
      <c r="D1133" s="405"/>
      <c r="E1133" s="410">
        <v>43861</v>
      </c>
      <c r="F1133" s="410">
        <v>43871</v>
      </c>
      <c r="G1133" s="405" t="s">
        <v>8100</v>
      </c>
      <c r="H1133" s="405">
        <v>701055536</v>
      </c>
      <c r="I1133" s="405" t="s">
        <v>2913</v>
      </c>
      <c r="J1133" s="405">
        <v>-0.11257200000000001</v>
      </c>
      <c r="K1133" s="405">
        <v>32.763288000000003</v>
      </c>
      <c r="L1133" s="405" t="s">
        <v>314</v>
      </c>
      <c r="M1133" s="405" t="s">
        <v>329</v>
      </c>
      <c r="N1133" s="405" t="s">
        <v>1107</v>
      </c>
      <c r="O1133" s="405" t="s">
        <v>8101</v>
      </c>
      <c r="P1133" s="405" t="s">
        <v>8101</v>
      </c>
      <c r="Q1133" s="411">
        <v>12</v>
      </c>
      <c r="R1133" s="405" t="s">
        <v>5903</v>
      </c>
      <c r="S1133" s="405" t="s">
        <v>27053</v>
      </c>
      <c r="T1133" s="405" t="s">
        <v>32102</v>
      </c>
      <c r="U1133" s="405" t="s">
        <v>319</v>
      </c>
    </row>
    <row r="1134" spans="1:21" x14ac:dyDescent="0.25">
      <c r="A1134" s="405" t="s">
        <v>310</v>
      </c>
      <c r="B1134" s="405" t="s">
        <v>17259</v>
      </c>
      <c r="C1134" s="405" t="s">
        <v>327</v>
      </c>
      <c r="D1134" s="405"/>
      <c r="E1134" s="410">
        <v>43861</v>
      </c>
      <c r="F1134" s="410">
        <v>43915</v>
      </c>
      <c r="G1134" s="405" t="s">
        <v>17260</v>
      </c>
      <c r="H1134" s="405">
        <v>770560857</v>
      </c>
      <c r="I1134" s="405"/>
      <c r="J1134" s="405">
        <v>1.3744270000000001</v>
      </c>
      <c r="K1134" s="405">
        <v>34.425196999999997</v>
      </c>
      <c r="L1134" s="405" t="s">
        <v>6866</v>
      </c>
      <c r="M1134" s="405" t="s">
        <v>9685</v>
      </c>
      <c r="N1134" s="405" t="s">
        <v>9686</v>
      </c>
      <c r="O1134" s="405" t="s">
        <v>16533</v>
      </c>
      <c r="P1134" s="405" t="s">
        <v>17261</v>
      </c>
      <c r="Q1134" s="411">
        <v>6</v>
      </c>
      <c r="R1134" s="405" t="s">
        <v>9506</v>
      </c>
      <c r="S1134" s="405" t="s">
        <v>27365</v>
      </c>
      <c r="T1134" s="405" t="s">
        <v>32102</v>
      </c>
      <c r="U1134" s="405" t="s">
        <v>319</v>
      </c>
    </row>
    <row r="1135" spans="1:21" x14ac:dyDescent="0.25">
      <c r="A1135" s="405" t="s">
        <v>310</v>
      </c>
      <c r="B1135" s="405" t="s">
        <v>25802</v>
      </c>
      <c r="C1135" s="405" t="s">
        <v>327</v>
      </c>
      <c r="D1135" s="405"/>
      <c r="E1135" s="410">
        <v>43859</v>
      </c>
      <c r="F1135" s="410">
        <v>43881</v>
      </c>
      <c r="G1135" s="405" t="s">
        <v>25803</v>
      </c>
      <c r="H1135" s="405">
        <v>783289191</v>
      </c>
      <c r="I1135" s="405">
        <v>702578741</v>
      </c>
      <c r="J1135" s="405">
        <v>0.63816600000000001</v>
      </c>
      <c r="K1135" s="405">
        <v>30.266957000000001</v>
      </c>
      <c r="L1135" s="405" t="s">
        <v>590</v>
      </c>
      <c r="M1135" s="405" t="s">
        <v>20125</v>
      </c>
      <c r="N1135" s="405" t="s">
        <v>25804</v>
      </c>
      <c r="O1135" s="405" t="s">
        <v>6241</v>
      </c>
      <c r="P1135" s="405" t="s">
        <v>25805</v>
      </c>
      <c r="Q1135" s="411">
        <v>13</v>
      </c>
      <c r="R1135" s="405" t="s">
        <v>4176</v>
      </c>
      <c r="S1135" s="405" t="s">
        <v>27069</v>
      </c>
      <c r="T1135" s="405" t="s">
        <v>32102</v>
      </c>
      <c r="U1135" s="405" t="s">
        <v>319</v>
      </c>
    </row>
    <row r="1136" spans="1:21" x14ac:dyDescent="0.25">
      <c r="A1136" s="405" t="s">
        <v>310</v>
      </c>
      <c r="B1136" s="405" t="s">
        <v>17232</v>
      </c>
      <c r="C1136" s="405" t="s">
        <v>327</v>
      </c>
      <c r="D1136" s="405"/>
      <c r="E1136" s="410">
        <v>43859</v>
      </c>
      <c r="F1136" s="410">
        <v>43882</v>
      </c>
      <c r="G1136" s="405" t="s">
        <v>17233</v>
      </c>
      <c r="H1136" s="405" t="s">
        <v>17234</v>
      </c>
      <c r="I1136" s="405"/>
      <c r="J1136" s="405">
        <v>1.710307</v>
      </c>
      <c r="K1136" s="405">
        <v>33.717508000000002</v>
      </c>
      <c r="L1136" s="405" t="s">
        <v>6866</v>
      </c>
      <c r="M1136" s="405" t="s">
        <v>10515</v>
      </c>
      <c r="N1136" s="405" t="s">
        <v>10515</v>
      </c>
      <c r="O1136" s="405" t="s">
        <v>10645</v>
      </c>
      <c r="P1136" s="405" t="s">
        <v>17235</v>
      </c>
      <c r="Q1136" s="411">
        <v>6</v>
      </c>
      <c r="R1136" s="405" t="s">
        <v>5655</v>
      </c>
      <c r="S1136" s="405" t="s">
        <v>27357</v>
      </c>
      <c r="T1136" s="405" t="s">
        <v>32102</v>
      </c>
      <c r="U1136" s="405" t="s">
        <v>319</v>
      </c>
    </row>
    <row r="1137" spans="1:21" x14ac:dyDescent="0.25">
      <c r="A1137" s="405" t="s">
        <v>310</v>
      </c>
      <c r="B1137" s="405" t="s">
        <v>17824</v>
      </c>
      <c r="C1137" s="405" t="s">
        <v>311</v>
      </c>
      <c r="D1137" s="405" t="s">
        <v>1789</v>
      </c>
      <c r="E1137" s="410">
        <v>43859</v>
      </c>
      <c r="F1137" s="410">
        <v>43881</v>
      </c>
      <c r="G1137" s="405" t="s">
        <v>17825</v>
      </c>
      <c r="H1137" s="405" t="s">
        <v>17826</v>
      </c>
      <c r="I1137" s="405"/>
      <c r="J1137" s="405">
        <v>1.4728920000000001</v>
      </c>
      <c r="K1137" s="405">
        <v>33.418537999999998</v>
      </c>
      <c r="L1137" s="405" t="s">
        <v>6866</v>
      </c>
      <c r="M1137" s="405" t="s">
        <v>9658</v>
      </c>
      <c r="N1137" s="405" t="s">
        <v>11057</v>
      </c>
      <c r="O1137" s="405" t="s">
        <v>14138</v>
      </c>
      <c r="P1137" s="405" t="s">
        <v>17827</v>
      </c>
      <c r="Q1137" s="411">
        <v>6</v>
      </c>
      <c r="R1137" s="405" t="s">
        <v>5655</v>
      </c>
      <c r="S1137" s="405" t="s">
        <v>27353</v>
      </c>
      <c r="T1137" s="405" t="s">
        <v>32102</v>
      </c>
      <c r="U1137" s="405" t="s">
        <v>319</v>
      </c>
    </row>
    <row r="1138" spans="1:21" x14ac:dyDescent="0.25">
      <c r="A1138" s="405" t="s">
        <v>310</v>
      </c>
      <c r="B1138" s="405" t="s">
        <v>17221</v>
      </c>
      <c r="C1138" s="405" t="s">
        <v>327</v>
      </c>
      <c r="D1138" s="405"/>
      <c r="E1138" s="410">
        <v>43856</v>
      </c>
      <c r="F1138" s="410">
        <v>43889</v>
      </c>
      <c r="G1138" s="405" t="s">
        <v>17222</v>
      </c>
      <c r="H1138" s="405">
        <v>782891674</v>
      </c>
      <c r="I1138" s="405"/>
      <c r="J1138" s="405">
        <v>1.7530330000000001</v>
      </c>
      <c r="K1138" s="405">
        <v>33.645808000000002</v>
      </c>
      <c r="L1138" s="405" t="s">
        <v>6866</v>
      </c>
      <c r="M1138" s="405" t="s">
        <v>10515</v>
      </c>
      <c r="N1138" s="405" t="s">
        <v>10515</v>
      </c>
      <c r="O1138" s="405" t="s">
        <v>10526</v>
      </c>
      <c r="P1138" s="405" t="s">
        <v>17223</v>
      </c>
      <c r="Q1138" s="411">
        <v>4</v>
      </c>
      <c r="R1138" s="405" t="s">
        <v>5655</v>
      </c>
      <c r="S1138" s="405" t="s">
        <v>27289</v>
      </c>
      <c r="T1138" s="405" t="s">
        <v>32102</v>
      </c>
      <c r="U1138" s="405" t="s">
        <v>319</v>
      </c>
    </row>
    <row r="1139" spans="1:21" x14ac:dyDescent="0.25">
      <c r="A1139" s="405" t="s">
        <v>310</v>
      </c>
      <c r="B1139" s="405" t="s">
        <v>17224</v>
      </c>
      <c r="C1139" s="405" t="s">
        <v>327</v>
      </c>
      <c r="D1139" s="405"/>
      <c r="E1139" s="410">
        <v>43853</v>
      </c>
      <c r="F1139" s="410">
        <v>43865</v>
      </c>
      <c r="G1139" s="405" t="s">
        <v>17225</v>
      </c>
      <c r="H1139" s="405" t="s">
        <v>17226</v>
      </c>
      <c r="I1139" s="405"/>
      <c r="J1139" s="405">
        <v>0.87957700000000005</v>
      </c>
      <c r="K1139" s="405">
        <v>33.773198000000001</v>
      </c>
      <c r="L1139" s="405" t="s">
        <v>6866</v>
      </c>
      <c r="M1139" s="405" t="s">
        <v>5345</v>
      </c>
      <c r="N1139" s="405" t="s">
        <v>16871</v>
      </c>
      <c r="O1139" s="405" t="s">
        <v>16389</v>
      </c>
      <c r="P1139" s="405" t="s">
        <v>17227</v>
      </c>
      <c r="Q1139" s="411">
        <v>6</v>
      </c>
      <c r="R1139" s="405" t="s">
        <v>32101</v>
      </c>
      <c r="S1139" s="405" t="s">
        <v>27039</v>
      </c>
      <c r="T1139" s="405" t="s">
        <v>32102</v>
      </c>
      <c r="U1139" s="405" t="s">
        <v>319</v>
      </c>
    </row>
    <row r="1140" spans="1:21" x14ac:dyDescent="0.25">
      <c r="A1140" s="405" t="s">
        <v>310</v>
      </c>
      <c r="B1140" s="405" t="s">
        <v>25847</v>
      </c>
      <c r="C1140" s="405" t="s">
        <v>327</v>
      </c>
      <c r="D1140" s="405"/>
      <c r="E1140" s="410">
        <v>43850</v>
      </c>
      <c r="F1140" s="410">
        <v>43903</v>
      </c>
      <c r="G1140" s="405" t="s">
        <v>25848</v>
      </c>
      <c r="H1140" s="405" t="s">
        <v>25849</v>
      </c>
      <c r="I1140" s="405"/>
      <c r="J1140" s="405">
        <v>-0.75383</v>
      </c>
      <c r="K1140" s="405">
        <v>29.744897000000002</v>
      </c>
      <c r="L1140" s="405" t="s">
        <v>590</v>
      </c>
      <c r="M1140" s="405" t="s">
        <v>20808</v>
      </c>
      <c r="N1140" s="405" t="s">
        <v>23385</v>
      </c>
      <c r="O1140" s="405" t="s">
        <v>23870</v>
      </c>
      <c r="P1140" s="405" t="s">
        <v>25850</v>
      </c>
      <c r="Q1140" s="411">
        <v>6</v>
      </c>
      <c r="R1140" s="405" t="s">
        <v>6572</v>
      </c>
      <c r="S1140" s="405" t="s">
        <v>27240</v>
      </c>
      <c r="T1140" s="405" t="s">
        <v>32102</v>
      </c>
      <c r="U1140" s="405" t="s">
        <v>319</v>
      </c>
    </row>
    <row r="1141" spans="1:21" x14ac:dyDescent="0.25">
      <c r="A1141" s="405" t="s">
        <v>310</v>
      </c>
      <c r="B1141" s="405" t="s">
        <v>26062</v>
      </c>
      <c r="C1141" s="405" t="s">
        <v>311</v>
      </c>
      <c r="D1141" s="405" t="s">
        <v>2127</v>
      </c>
      <c r="E1141" s="410">
        <v>43846</v>
      </c>
      <c r="F1141" s="410">
        <v>43846</v>
      </c>
      <c r="G1141" s="405" t="s">
        <v>26063</v>
      </c>
      <c r="H1141" s="405" t="s">
        <v>26064</v>
      </c>
      <c r="I1141" s="405"/>
      <c r="J1141" s="405">
        <v>-1.2326820000000001</v>
      </c>
      <c r="K1141" s="405">
        <v>30.225158</v>
      </c>
      <c r="L1141" s="405" t="s">
        <v>590</v>
      </c>
      <c r="M1141" s="405" t="s">
        <v>5312</v>
      </c>
      <c r="N1141" s="405" t="s">
        <v>25097</v>
      </c>
      <c r="O1141" s="405" t="s">
        <v>25713</v>
      </c>
      <c r="P1141" s="405" t="s">
        <v>25714</v>
      </c>
      <c r="Q1141" s="411">
        <v>13</v>
      </c>
      <c r="R1141" s="405" t="s">
        <v>32166</v>
      </c>
      <c r="S1141" s="405" t="s">
        <v>27444</v>
      </c>
      <c r="T1141" s="405" t="s">
        <v>32102</v>
      </c>
      <c r="U1141" s="405" t="s">
        <v>319</v>
      </c>
    </row>
    <row r="1142" spans="1:21" x14ac:dyDescent="0.25">
      <c r="A1142" s="405" t="s">
        <v>310</v>
      </c>
      <c r="B1142" s="405" t="s">
        <v>25791</v>
      </c>
      <c r="C1142" s="405" t="s">
        <v>327</v>
      </c>
      <c r="D1142" s="405"/>
      <c r="E1142" s="410">
        <v>43846</v>
      </c>
      <c r="F1142" s="410">
        <v>43860</v>
      </c>
      <c r="G1142" s="405" t="s">
        <v>25792</v>
      </c>
      <c r="H1142" s="405" t="s">
        <v>25793</v>
      </c>
      <c r="I1142" s="405" t="s">
        <v>2913</v>
      </c>
      <c r="J1142" s="405">
        <v>-0.74764799999999998</v>
      </c>
      <c r="K1142" s="405">
        <v>29.709287</v>
      </c>
      <c r="L1142" s="405" t="s">
        <v>590</v>
      </c>
      <c r="M1142" s="405" t="s">
        <v>20808</v>
      </c>
      <c r="N1142" s="405" t="s">
        <v>25110</v>
      </c>
      <c r="O1142" s="405" t="s">
        <v>24892</v>
      </c>
      <c r="P1142" s="405" t="s">
        <v>1313</v>
      </c>
      <c r="Q1142" s="411">
        <v>9</v>
      </c>
      <c r="R1142" s="405" t="s">
        <v>6572</v>
      </c>
      <c r="S1142" s="405" t="s">
        <v>27301</v>
      </c>
      <c r="T1142" s="405" t="s">
        <v>32102</v>
      </c>
      <c r="U1142" s="405" t="s">
        <v>319</v>
      </c>
    </row>
    <row r="1143" spans="1:21" x14ac:dyDescent="0.25">
      <c r="A1143" s="405" t="s">
        <v>310</v>
      </c>
      <c r="B1143" s="405" t="s">
        <v>17189</v>
      </c>
      <c r="C1143" s="405" t="s">
        <v>327</v>
      </c>
      <c r="D1143" s="405"/>
      <c r="E1143" s="410">
        <v>43846</v>
      </c>
      <c r="F1143" s="410">
        <v>43861</v>
      </c>
      <c r="G1143" s="405" t="s">
        <v>17190</v>
      </c>
      <c r="H1143" s="405">
        <v>773007613</v>
      </c>
      <c r="I1143" s="405"/>
      <c r="J1143" s="405">
        <v>1.7414879999999999</v>
      </c>
      <c r="K1143" s="405">
        <v>33.581547</v>
      </c>
      <c r="L1143" s="405" t="s">
        <v>6866</v>
      </c>
      <c r="M1143" s="405" t="s">
        <v>10515</v>
      </c>
      <c r="N1143" s="405" t="s">
        <v>10515</v>
      </c>
      <c r="O1143" s="405" t="s">
        <v>16896</v>
      </c>
      <c r="P1143" s="405" t="s">
        <v>17191</v>
      </c>
      <c r="Q1143" s="411">
        <v>6</v>
      </c>
      <c r="R1143" s="405" t="s">
        <v>5655</v>
      </c>
      <c r="S1143" s="405" t="s">
        <v>27357</v>
      </c>
      <c r="T1143" s="405" t="s">
        <v>32102</v>
      </c>
      <c r="U1143" s="405" t="s">
        <v>319</v>
      </c>
    </row>
    <row r="1144" spans="1:21" x14ac:dyDescent="0.25">
      <c r="A1144" s="405" t="s">
        <v>310</v>
      </c>
      <c r="B1144" s="405" t="s">
        <v>17192</v>
      </c>
      <c r="C1144" s="405" t="s">
        <v>327</v>
      </c>
      <c r="D1144" s="405"/>
      <c r="E1144" s="410">
        <v>43845</v>
      </c>
      <c r="F1144" s="410">
        <v>43858</v>
      </c>
      <c r="G1144" s="405" t="s">
        <v>17193</v>
      </c>
      <c r="H1144" s="405" t="s">
        <v>17194</v>
      </c>
      <c r="I1144" s="405"/>
      <c r="J1144" s="405">
        <v>0.94147199999999998</v>
      </c>
      <c r="K1144" s="405">
        <v>33.734192</v>
      </c>
      <c r="L1144" s="405" t="s">
        <v>6866</v>
      </c>
      <c r="M1144" s="405" t="s">
        <v>5345</v>
      </c>
      <c r="N1144" s="405" t="s">
        <v>16871</v>
      </c>
      <c r="O1144" s="405" t="s">
        <v>17195</v>
      </c>
      <c r="P1144" s="405" t="s">
        <v>17196</v>
      </c>
      <c r="Q1144" s="411">
        <v>6</v>
      </c>
      <c r="R1144" s="405" t="s">
        <v>32101</v>
      </c>
      <c r="S1144" s="405" t="s">
        <v>27275</v>
      </c>
      <c r="T1144" s="405" t="s">
        <v>32102</v>
      </c>
      <c r="U1144" s="405" t="s">
        <v>319</v>
      </c>
    </row>
    <row r="1145" spans="1:21" x14ac:dyDescent="0.25">
      <c r="A1145" s="405" t="s">
        <v>310</v>
      </c>
      <c r="B1145" s="405" t="s">
        <v>8109</v>
      </c>
      <c r="C1145" s="405" t="s">
        <v>327</v>
      </c>
      <c r="D1145" s="405"/>
      <c r="E1145" s="410">
        <v>43844</v>
      </c>
      <c r="F1145" s="410">
        <v>43908</v>
      </c>
      <c r="G1145" s="405" t="s">
        <v>8110</v>
      </c>
      <c r="H1145" s="405">
        <v>775956247</v>
      </c>
      <c r="I1145" s="405"/>
      <c r="J1145" s="405">
        <v>0.45099</v>
      </c>
      <c r="K1145" s="405">
        <v>32.633457</v>
      </c>
      <c r="L1145" s="405" t="s">
        <v>314</v>
      </c>
      <c r="M1145" s="405" t="s">
        <v>361</v>
      </c>
      <c r="N1145" s="405" t="s">
        <v>7431</v>
      </c>
      <c r="O1145" s="405" t="s">
        <v>8111</v>
      </c>
      <c r="P1145" s="405" t="s">
        <v>8112</v>
      </c>
      <c r="Q1145" s="411">
        <v>13</v>
      </c>
      <c r="R1145" s="405" t="s">
        <v>6572</v>
      </c>
      <c r="S1145" s="405" t="s">
        <v>27193</v>
      </c>
      <c r="T1145" s="405" t="s">
        <v>32102</v>
      </c>
      <c r="U1145" s="405" t="s">
        <v>319</v>
      </c>
    </row>
    <row r="1146" spans="1:21" x14ac:dyDescent="0.25">
      <c r="A1146" s="405" t="s">
        <v>310</v>
      </c>
      <c r="B1146" s="405" t="s">
        <v>17210</v>
      </c>
      <c r="C1146" s="405" t="s">
        <v>327</v>
      </c>
      <c r="D1146" s="405"/>
      <c r="E1146" s="410">
        <v>43844</v>
      </c>
      <c r="F1146" s="410">
        <v>43860</v>
      </c>
      <c r="G1146" s="405" t="s">
        <v>17211</v>
      </c>
      <c r="H1146" s="405">
        <v>703999369</v>
      </c>
      <c r="I1146" s="405">
        <v>705045781</v>
      </c>
      <c r="J1146" s="405">
        <v>1.312065</v>
      </c>
      <c r="K1146" s="405">
        <v>34.363990000000001</v>
      </c>
      <c r="L1146" s="405" t="s">
        <v>6866</v>
      </c>
      <c r="M1146" s="405" t="s">
        <v>9685</v>
      </c>
      <c r="N1146" s="405" t="s">
        <v>9686</v>
      </c>
      <c r="O1146" s="405" t="s">
        <v>14947</v>
      </c>
      <c r="P1146" s="405" t="s">
        <v>17212</v>
      </c>
      <c r="Q1146" s="411">
        <v>6</v>
      </c>
      <c r="R1146" s="405" t="s">
        <v>9506</v>
      </c>
      <c r="S1146" s="405" t="s">
        <v>27318</v>
      </c>
      <c r="T1146" s="405" t="s">
        <v>32102</v>
      </c>
      <c r="U1146" s="405" t="s">
        <v>319</v>
      </c>
    </row>
    <row r="1147" spans="1:21" x14ac:dyDescent="0.25">
      <c r="A1147" s="405" t="s">
        <v>310</v>
      </c>
      <c r="B1147" s="405" t="s">
        <v>19105</v>
      </c>
      <c r="C1147" s="405" t="s">
        <v>327</v>
      </c>
      <c r="D1147" s="405"/>
      <c r="E1147" s="410">
        <v>43844</v>
      </c>
      <c r="F1147" s="410">
        <v>43857</v>
      </c>
      <c r="G1147" s="405" t="s">
        <v>19106</v>
      </c>
      <c r="H1147" s="405" t="s">
        <v>19107</v>
      </c>
      <c r="I1147" s="405"/>
      <c r="J1147" s="405">
        <v>2.9509219999999998</v>
      </c>
      <c r="K1147" s="405">
        <v>32.569248000000002</v>
      </c>
      <c r="L1147" s="405" t="s">
        <v>860</v>
      </c>
      <c r="M1147" s="405" t="s">
        <v>853</v>
      </c>
      <c r="N1147" s="405" t="s">
        <v>19108</v>
      </c>
      <c r="O1147" s="405" t="s">
        <v>19109</v>
      </c>
      <c r="P1147" s="405" t="s">
        <v>19110</v>
      </c>
      <c r="Q1147" s="411">
        <v>6</v>
      </c>
      <c r="R1147" s="405" t="s">
        <v>5655</v>
      </c>
      <c r="S1147" s="405" t="s">
        <v>27072</v>
      </c>
      <c r="T1147" s="405" t="s">
        <v>32102</v>
      </c>
      <c r="U1147" s="405" t="s">
        <v>319</v>
      </c>
    </row>
    <row r="1148" spans="1:21" x14ac:dyDescent="0.25">
      <c r="A1148" s="405" t="s">
        <v>310</v>
      </c>
      <c r="B1148" s="405" t="s">
        <v>19119</v>
      </c>
      <c r="C1148" s="405" t="s">
        <v>327</v>
      </c>
      <c r="D1148" s="405"/>
      <c r="E1148" s="410">
        <v>43842</v>
      </c>
      <c r="F1148" s="410">
        <v>43873</v>
      </c>
      <c r="G1148" s="405" t="s">
        <v>19120</v>
      </c>
      <c r="H1148" s="405" t="s">
        <v>19121</v>
      </c>
      <c r="I1148" s="405">
        <v>773708500</v>
      </c>
      <c r="J1148" s="405">
        <v>2.6827749999999999</v>
      </c>
      <c r="K1148" s="405">
        <v>32.222799999999999</v>
      </c>
      <c r="L1148" s="405" t="s">
        <v>860</v>
      </c>
      <c r="M1148" s="405" t="s">
        <v>18349</v>
      </c>
      <c r="N1148" s="405" t="s">
        <v>19122</v>
      </c>
      <c r="O1148" s="405" t="s">
        <v>19123</v>
      </c>
      <c r="P1148" s="405" t="s">
        <v>19124</v>
      </c>
      <c r="Q1148" s="411">
        <v>9</v>
      </c>
      <c r="R1148" s="405" t="s">
        <v>17977</v>
      </c>
      <c r="S1148" s="405" t="s">
        <v>27179</v>
      </c>
      <c r="T1148" s="405" t="s">
        <v>32102</v>
      </c>
      <c r="U1148" s="405" t="s">
        <v>319</v>
      </c>
    </row>
    <row r="1149" spans="1:21" x14ac:dyDescent="0.25">
      <c r="A1149" s="405" t="s">
        <v>310</v>
      </c>
      <c r="B1149" s="405" t="s">
        <v>17205</v>
      </c>
      <c r="C1149" s="405" t="s">
        <v>327</v>
      </c>
      <c r="D1149" s="405"/>
      <c r="E1149" s="410">
        <v>43842</v>
      </c>
      <c r="F1149" s="410">
        <v>43855</v>
      </c>
      <c r="G1149" s="405" t="s">
        <v>17206</v>
      </c>
      <c r="H1149" s="405" t="s">
        <v>17207</v>
      </c>
      <c r="I1149" s="405" t="s">
        <v>17208</v>
      </c>
      <c r="J1149" s="405">
        <v>1.313312</v>
      </c>
      <c r="K1149" s="405">
        <v>34.370725</v>
      </c>
      <c r="L1149" s="405" t="s">
        <v>6866</v>
      </c>
      <c r="M1149" s="405" t="s">
        <v>9685</v>
      </c>
      <c r="N1149" s="405" t="s">
        <v>9686</v>
      </c>
      <c r="O1149" s="405" t="s">
        <v>14947</v>
      </c>
      <c r="P1149" s="405" t="s">
        <v>17209</v>
      </c>
      <c r="Q1149" s="411">
        <v>6</v>
      </c>
      <c r="R1149" s="405" t="s">
        <v>9506</v>
      </c>
      <c r="S1149" s="405" t="s">
        <v>27365</v>
      </c>
      <c r="T1149" s="405" t="s">
        <v>32102</v>
      </c>
      <c r="U1149" s="405" t="s">
        <v>319</v>
      </c>
    </row>
    <row r="1150" spans="1:21" x14ac:dyDescent="0.25">
      <c r="A1150" s="405" t="s">
        <v>310</v>
      </c>
      <c r="B1150" s="405" t="s">
        <v>17197</v>
      </c>
      <c r="C1150" s="405" t="s">
        <v>327</v>
      </c>
      <c r="D1150" s="405"/>
      <c r="E1150" s="410">
        <v>43842</v>
      </c>
      <c r="F1150" s="410">
        <v>43852</v>
      </c>
      <c r="G1150" s="405" t="s">
        <v>17198</v>
      </c>
      <c r="H1150" s="405" t="s">
        <v>17199</v>
      </c>
      <c r="I1150" s="405"/>
      <c r="J1150" s="405">
        <v>0.94175200000000003</v>
      </c>
      <c r="K1150" s="405">
        <v>33.681587</v>
      </c>
      <c r="L1150" s="405" t="s">
        <v>6866</v>
      </c>
      <c r="M1150" s="405" t="s">
        <v>5345</v>
      </c>
      <c r="N1150" s="405" t="s">
        <v>16871</v>
      </c>
      <c r="O1150" s="405" t="s">
        <v>17200</v>
      </c>
      <c r="P1150" s="405" t="s">
        <v>12010</v>
      </c>
      <c r="Q1150" s="411">
        <v>6</v>
      </c>
      <c r="R1150" s="405" t="s">
        <v>32101</v>
      </c>
      <c r="S1150" s="405" t="s">
        <v>27041</v>
      </c>
      <c r="T1150" s="405" t="s">
        <v>32102</v>
      </c>
      <c r="U1150" s="405" t="s">
        <v>319</v>
      </c>
    </row>
    <row r="1151" spans="1:21" x14ac:dyDescent="0.25">
      <c r="A1151" s="405" t="s">
        <v>310</v>
      </c>
      <c r="B1151" s="405" t="s">
        <v>8077</v>
      </c>
      <c r="C1151" s="405" t="s">
        <v>327</v>
      </c>
      <c r="D1151" s="405"/>
      <c r="E1151" s="410">
        <v>43840</v>
      </c>
      <c r="F1151" s="410">
        <v>43853</v>
      </c>
      <c r="G1151" s="405" t="s">
        <v>8078</v>
      </c>
      <c r="H1151" s="405" t="s">
        <v>8079</v>
      </c>
      <c r="I1151" s="405" t="s">
        <v>8080</v>
      </c>
      <c r="J1151" s="405">
        <v>0.32604</v>
      </c>
      <c r="K1151" s="405">
        <v>32.552728000000002</v>
      </c>
      <c r="L1151" s="405" t="s">
        <v>314</v>
      </c>
      <c r="M1151" s="405" t="s">
        <v>992</v>
      </c>
      <c r="N1151" s="405" t="s">
        <v>1449</v>
      </c>
      <c r="O1151" s="405" t="s">
        <v>6343</v>
      </c>
      <c r="P1151" s="405" t="s">
        <v>8081</v>
      </c>
      <c r="Q1151" s="411">
        <v>6</v>
      </c>
      <c r="R1151" s="405" t="s">
        <v>4176</v>
      </c>
      <c r="S1151" s="405" t="s">
        <v>27267</v>
      </c>
      <c r="T1151" s="405" t="s">
        <v>32102</v>
      </c>
      <c r="U1151" s="405" t="s">
        <v>319</v>
      </c>
    </row>
    <row r="1152" spans="1:21" x14ac:dyDescent="0.25">
      <c r="A1152" s="405" t="s">
        <v>310</v>
      </c>
      <c r="B1152" s="405" t="s">
        <v>8074</v>
      </c>
      <c r="C1152" s="405" t="s">
        <v>327</v>
      </c>
      <c r="D1152" s="405"/>
      <c r="E1152" s="410">
        <v>43838</v>
      </c>
      <c r="F1152" s="410">
        <v>43852</v>
      </c>
      <c r="G1152" s="405" t="s">
        <v>8075</v>
      </c>
      <c r="H1152" s="405" t="s">
        <v>8076</v>
      </c>
      <c r="I1152" s="405" t="s">
        <v>2913</v>
      </c>
      <c r="J1152" s="405">
        <v>0.391152</v>
      </c>
      <c r="K1152" s="405">
        <v>32.551879999999997</v>
      </c>
      <c r="L1152" s="405" t="s">
        <v>314</v>
      </c>
      <c r="M1152" s="405" t="s">
        <v>361</v>
      </c>
      <c r="N1152" s="405" t="s">
        <v>7722</v>
      </c>
      <c r="O1152" s="405" t="s">
        <v>469</v>
      </c>
      <c r="P1152" s="405" t="s">
        <v>1724</v>
      </c>
      <c r="Q1152" s="411">
        <v>9</v>
      </c>
      <c r="R1152" s="405" t="s">
        <v>4176</v>
      </c>
      <c r="S1152" s="405" t="s">
        <v>27267</v>
      </c>
      <c r="T1152" s="405" t="s">
        <v>32102</v>
      </c>
      <c r="U1152" s="405" t="s">
        <v>319</v>
      </c>
    </row>
    <row r="1153" spans="1:21" x14ac:dyDescent="0.25">
      <c r="A1153" s="405" t="s">
        <v>310</v>
      </c>
      <c r="B1153" s="405" t="s">
        <v>8102</v>
      </c>
      <c r="C1153" s="405" t="s">
        <v>327</v>
      </c>
      <c r="D1153" s="405"/>
      <c r="E1153" s="410">
        <v>43837</v>
      </c>
      <c r="F1153" s="410">
        <v>43874</v>
      </c>
      <c r="G1153" s="405" t="s">
        <v>8103</v>
      </c>
      <c r="H1153" s="405" t="s">
        <v>8104</v>
      </c>
      <c r="I1153" s="405"/>
      <c r="J1153" s="405">
        <v>8.7752999999999998E-2</v>
      </c>
      <c r="K1153" s="405">
        <v>32.486879999999999</v>
      </c>
      <c r="L1153" s="405" t="s">
        <v>314</v>
      </c>
      <c r="M1153" s="405" t="s">
        <v>361</v>
      </c>
      <c r="N1153" s="405" t="s">
        <v>374</v>
      </c>
      <c r="O1153" s="405" t="s">
        <v>638</v>
      </c>
      <c r="P1153" s="405" t="s">
        <v>3743</v>
      </c>
      <c r="Q1153" s="411">
        <v>6</v>
      </c>
      <c r="R1153" s="405" t="s">
        <v>5921</v>
      </c>
      <c r="S1153" s="405" t="s">
        <v>32960</v>
      </c>
      <c r="T1153" s="405" t="s">
        <v>32102</v>
      </c>
      <c r="U1153" s="405" t="s">
        <v>319</v>
      </c>
    </row>
    <row r="1154" spans="1:21" x14ac:dyDescent="0.25">
      <c r="A1154" s="405" t="s">
        <v>310</v>
      </c>
      <c r="B1154" s="405" t="s">
        <v>8802</v>
      </c>
      <c r="C1154" s="405" t="s">
        <v>311</v>
      </c>
      <c r="D1154" s="405" t="s">
        <v>1789</v>
      </c>
      <c r="E1154" s="410">
        <v>43834</v>
      </c>
      <c r="F1154" s="410">
        <v>43847</v>
      </c>
      <c r="G1154" s="405" t="s">
        <v>8803</v>
      </c>
      <c r="H1154" s="405" t="s">
        <v>8804</v>
      </c>
      <c r="I1154" s="405"/>
      <c r="J1154" s="405">
        <v>0.33222699999999999</v>
      </c>
      <c r="K1154" s="405">
        <v>32.750072000000003</v>
      </c>
      <c r="L1154" s="405" t="s">
        <v>314</v>
      </c>
      <c r="M1154" s="405" t="s">
        <v>329</v>
      </c>
      <c r="N1154" s="405" t="s">
        <v>330</v>
      </c>
      <c r="O1154" s="405" t="s">
        <v>8805</v>
      </c>
      <c r="P1154" s="405" t="s">
        <v>8806</v>
      </c>
      <c r="Q1154" s="411">
        <v>9</v>
      </c>
      <c r="R1154" s="405" t="s">
        <v>4176</v>
      </c>
      <c r="S1154" s="405" t="s">
        <v>27053</v>
      </c>
      <c r="T1154" s="405" t="s">
        <v>32102</v>
      </c>
      <c r="U1154" s="405" t="s">
        <v>319</v>
      </c>
    </row>
    <row r="1155" spans="1:21" x14ac:dyDescent="0.25">
      <c r="A1155" s="405" t="s">
        <v>310</v>
      </c>
      <c r="B1155" s="405" t="s">
        <v>8867</v>
      </c>
      <c r="C1155" s="405" t="s">
        <v>311</v>
      </c>
      <c r="D1155" s="405" t="s">
        <v>2127</v>
      </c>
      <c r="E1155" s="410">
        <v>43830</v>
      </c>
      <c r="F1155" s="410">
        <v>43907</v>
      </c>
      <c r="G1155" s="405" t="s">
        <v>8868</v>
      </c>
      <c r="H1155" s="405">
        <v>701305995</v>
      </c>
      <c r="I1155" s="405"/>
      <c r="J1155" s="405">
        <v>0.185027</v>
      </c>
      <c r="K1155" s="405">
        <v>32.470402999999997</v>
      </c>
      <c r="L1155" s="405" t="s">
        <v>314</v>
      </c>
      <c r="M1155" s="405" t="s">
        <v>361</v>
      </c>
      <c r="N1155" s="405" t="s">
        <v>374</v>
      </c>
      <c r="O1155" s="405" t="s">
        <v>4689</v>
      </c>
      <c r="P1155" s="405" t="s">
        <v>8157</v>
      </c>
      <c r="Q1155" s="411">
        <v>6</v>
      </c>
      <c r="R1155" s="405" t="s">
        <v>6572</v>
      </c>
      <c r="S1155" s="405" t="s">
        <v>27154</v>
      </c>
      <c r="T1155" s="405" t="s">
        <v>32102</v>
      </c>
      <c r="U1155" s="405" t="s">
        <v>319</v>
      </c>
    </row>
    <row r="1156" spans="1:21" x14ac:dyDescent="0.25">
      <c r="A1156" s="405" t="s">
        <v>310</v>
      </c>
      <c r="B1156" s="405" t="s">
        <v>25779</v>
      </c>
      <c r="C1156" s="405" t="s">
        <v>327</v>
      </c>
      <c r="D1156" s="405"/>
      <c r="E1156" s="410">
        <v>43830</v>
      </c>
      <c r="F1156" s="410">
        <v>43847</v>
      </c>
      <c r="G1156" s="405" t="s">
        <v>25780</v>
      </c>
      <c r="H1156" s="405" t="s">
        <v>25781</v>
      </c>
      <c r="I1156" s="405" t="s">
        <v>2913</v>
      </c>
      <c r="J1156" s="405">
        <v>-0.80266300000000002</v>
      </c>
      <c r="K1156" s="405">
        <v>29.806573</v>
      </c>
      <c r="L1156" s="405" t="s">
        <v>590</v>
      </c>
      <c r="M1156" s="405" t="s">
        <v>20808</v>
      </c>
      <c r="N1156" s="405" t="s">
        <v>25110</v>
      </c>
      <c r="O1156" s="405" t="s">
        <v>25484</v>
      </c>
      <c r="P1156" s="405" t="s">
        <v>25782</v>
      </c>
      <c r="Q1156" s="411">
        <v>6</v>
      </c>
      <c r="R1156" s="405" t="s">
        <v>6572</v>
      </c>
      <c r="S1156" s="405" t="s">
        <v>27443</v>
      </c>
      <c r="T1156" s="405" t="s">
        <v>32102</v>
      </c>
      <c r="U1156" s="405" t="s">
        <v>319</v>
      </c>
    </row>
    <row r="1157" spans="1:21" x14ac:dyDescent="0.25">
      <c r="A1157" s="405" t="s">
        <v>310</v>
      </c>
      <c r="B1157" s="405" t="s">
        <v>25787</v>
      </c>
      <c r="C1157" s="405" t="s">
        <v>327</v>
      </c>
      <c r="D1157" s="405"/>
      <c r="E1157" s="410">
        <v>43830</v>
      </c>
      <c r="F1157" s="410">
        <v>43843</v>
      </c>
      <c r="G1157" s="405" t="s">
        <v>25788</v>
      </c>
      <c r="H1157" s="405" t="s">
        <v>25789</v>
      </c>
      <c r="I1157" s="405" t="s">
        <v>2913</v>
      </c>
      <c r="J1157" s="405">
        <v>-1.1482330000000001</v>
      </c>
      <c r="K1157" s="405">
        <v>30.022977999999998</v>
      </c>
      <c r="L1157" s="405" t="s">
        <v>590</v>
      </c>
      <c r="M1157" s="405" t="s">
        <v>5312</v>
      </c>
      <c r="N1157" s="405" t="s">
        <v>25097</v>
      </c>
      <c r="O1157" s="405" t="s">
        <v>21267</v>
      </c>
      <c r="P1157" s="405" t="s">
        <v>25790</v>
      </c>
      <c r="Q1157" s="411">
        <v>6</v>
      </c>
      <c r="R1157" s="405" t="s">
        <v>6572</v>
      </c>
      <c r="S1157" s="405" t="s">
        <v>27095</v>
      </c>
      <c r="T1157" s="405" t="s">
        <v>32102</v>
      </c>
      <c r="U1157" s="405" t="s">
        <v>319</v>
      </c>
    </row>
    <row r="1158" spans="1:21" x14ac:dyDescent="0.25">
      <c r="A1158" s="405" t="s">
        <v>310</v>
      </c>
      <c r="B1158" s="405" t="s">
        <v>17201</v>
      </c>
      <c r="C1158" s="405" t="s">
        <v>327</v>
      </c>
      <c r="D1158" s="405"/>
      <c r="E1158" s="410">
        <v>43829</v>
      </c>
      <c r="F1158" s="410">
        <v>43847</v>
      </c>
      <c r="G1158" s="405" t="s">
        <v>17202</v>
      </c>
      <c r="H1158" s="405" t="s">
        <v>17203</v>
      </c>
      <c r="I1158" s="405" t="s">
        <v>17204</v>
      </c>
      <c r="J1158" s="405">
        <v>1.3764419999999999</v>
      </c>
      <c r="K1158" s="405">
        <v>34.403742999999999</v>
      </c>
      <c r="L1158" s="405" t="s">
        <v>6866</v>
      </c>
      <c r="M1158" s="405" t="s">
        <v>9685</v>
      </c>
      <c r="N1158" s="405" t="s">
        <v>9686</v>
      </c>
      <c r="O1158" s="405" t="s">
        <v>9687</v>
      </c>
      <c r="P1158" s="405" t="s">
        <v>16158</v>
      </c>
      <c r="Q1158" s="411">
        <v>6</v>
      </c>
      <c r="R1158" s="405" t="s">
        <v>9506</v>
      </c>
      <c r="S1158" s="405" t="s">
        <v>27365</v>
      </c>
      <c r="T1158" s="405" t="s">
        <v>32102</v>
      </c>
      <c r="U1158" s="405" t="s">
        <v>319</v>
      </c>
    </row>
    <row r="1159" spans="1:21" x14ac:dyDescent="0.25">
      <c r="A1159" s="405" t="s">
        <v>310</v>
      </c>
      <c r="B1159" s="405" t="s">
        <v>8061</v>
      </c>
      <c r="C1159" s="405" t="s">
        <v>327</v>
      </c>
      <c r="D1159" s="405"/>
      <c r="E1159" s="410">
        <v>43828</v>
      </c>
      <c r="F1159" s="410">
        <v>43857</v>
      </c>
      <c r="G1159" s="405" t="s">
        <v>8062</v>
      </c>
      <c r="H1159" s="405" t="s">
        <v>8063</v>
      </c>
      <c r="I1159" s="405" t="s">
        <v>2913</v>
      </c>
      <c r="J1159" s="405">
        <v>1.5027299999999999</v>
      </c>
      <c r="K1159" s="405">
        <v>32.307543000000003</v>
      </c>
      <c r="L1159" s="405" t="s">
        <v>314</v>
      </c>
      <c r="M1159" s="405" t="s">
        <v>2512</v>
      </c>
      <c r="N1159" s="405" t="s">
        <v>2589</v>
      </c>
      <c r="O1159" s="405" t="s">
        <v>2590</v>
      </c>
      <c r="P1159" s="405" t="s">
        <v>8064</v>
      </c>
      <c r="Q1159" s="411">
        <v>13</v>
      </c>
      <c r="R1159" s="405" t="s">
        <v>32157</v>
      </c>
      <c r="S1159" s="405" t="s">
        <v>27045</v>
      </c>
      <c r="T1159" s="405" t="s">
        <v>32102</v>
      </c>
      <c r="U1159" s="405" t="s">
        <v>319</v>
      </c>
    </row>
    <row r="1160" spans="1:21" x14ac:dyDescent="0.25">
      <c r="A1160" s="405" t="s">
        <v>310</v>
      </c>
      <c r="B1160" s="405" t="s">
        <v>8785</v>
      </c>
      <c r="C1160" s="405" t="s">
        <v>857</v>
      </c>
      <c r="D1160" s="405" t="s">
        <v>1037</v>
      </c>
      <c r="E1160" s="410">
        <v>43828</v>
      </c>
      <c r="F1160" s="410">
        <v>43845</v>
      </c>
      <c r="G1160" s="405" t="s">
        <v>8786</v>
      </c>
      <c r="H1160" s="405" t="s">
        <v>8787</v>
      </c>
      <c r="I1160" s="405" t="s">
        <v>2913</v>
      </c>
      <c r="J1160" s="405">
        <v>0.51946499999999995</v>
      </c>
      <c r="K1160" s="405">
        <v>32.594540000000002</v>
      </c>
      <c r="L1160" s="405" t="s">
        <v>314</v>
      </c>
      <c r="M1160" s="405" t="s">
        <v>361</v>
      </c>
      <c r="N1160" s="405" t="s">
        <v>2921</v>
      </c>
      <c r="O1160" s="405" t="s">
        <v>433</v>
      </c>
      <c r="P1160" s="405" t="s">
        <v>433</v>
      </c>
      <c r="Q1160" s="411">
        <v>13</v>
      </c>
      <c r="R1160" s="405" t="s">
        <v>32101</v>
      </c>
      <c r="S1160" s="405" t="s">
        <v>27047</v>
      </c>
      <c r="T1160" s="405" t="s">
        <v>32102</v>
      </c>
      <c r="U1160" s="405" t="s">
        <v>319</v>
      </c>
    </row>
    <row r="1161" spans="1:21" x14ac:dyDescent="0.25">
      <c r="A1161" s="405" t="s">
        <v>310</v>
      </c>
      <c r="B1161" s="405" t="s">
        <v>8065</v>
      </c>
      <c r="C1161" s="405" t="s">
        <v>327</v>
      </c>
      <c r="D1161" s="405"/>
      <c r="E1161" s="410">
        <v>43828</v>
      </c>
      <c r="F1161" s="410">
        <v>43849</v>
      </c>
      <c r="G1161" s="405" t="s">
        <v>8066</v>
      </c>
      <c r="H1161" s="405" t="s">
        <v>8067</v>
      </c>
      <c r="I1161" s="405" t="s">
        <v>2913</v>
      </c>
      <c r="J1161" s="405">
        <v>0.22061800000000001</v>
      </c>
      <c r="K1161" s="405">
        <v>32.432757000000002</v>
      </c>
      <c r="L1161" s="405" t="s">
        <v>314</v>
      </c>
      <c r="M1161" s="405" t="s">
        <v>361</v>
      </c>
      <c r="N1161" s="405" t="s">
        <v>374</v>
      </c>
      <c r="O1161" s="405" t="s">
        <v>7914</v>
      </c>
      <c r="P1161" s="405" t="s">
        <v>8068</v>
      </c>
      <c r="Q1161" s="411">
        <v>6</v>
      </c>
      <c r="R1161" s="405" t="s">
        <v>32157</v>
      </c>
      <c r="S1161" s="405" t="s">
        <v>27048</v>
      </c>
      <c r="T1161" s="405" t="s">
        <v>32102</v>
      </c>
      <c r="U1161" s="405" t="s">
        <v>319</v>
      </c>
    </row>
    <row r="1162" spans="1:21" x14ac:dyDescent="0.25">
      <c r="A1162" s="405" t="s">
        <v>310</v>
      </c>
      <c r="B1162" s="405" t="s">
        <v>8056</v>
      </c>
      <c r="C1162" s="405" t="s">
        <v>327</v>
      </c>
      <c r="D1162" s="405"/>
      <c r="E1162" s="410">
        <v>43827</v>
      </c>
      <c r="F1162" s="410">
        <v>43858</v>
      </c>
      <c r="G1162" s="405" t="s">
        <v>8057</v>
      </c>
      <c r="H1162" s="405" t="s">
        <v>8058</v>
      </c>
      <c r="I1162" s="405" t="s">
        <v>8059</v>
      </c>
      <c r="J1162" s="405">
        <v>0.45226699999999997</v>
      </c>
      <c r="K1162" s="405">
        <v>32.557982000000003</v>
      </c>
      <c r="L1162" s="405" t="s">
        <v>314</v>
      </c>
      <c r="M1162" s="405" t="s">
        <v>361</v>
      </c>
      <c r="N1162" s="405" t="s">
        <v>374</v>
      </c>
      <c r="O1162" s="405" t="s">
        <v>7361</v>
      </c>
      <c r="P1162" s="405" t="s">
        <v>8060</v>
      </c>
      <c r="Q1162" s="411">
        <v>9</v>
      </c>
      <c r="R1162" s="405" t="s">
        <v>32157</v>
      </c>
      <c r="S1162" s="405" t="s">
        <v>27048</v>
      </c>
      <c r="T1162" s="405" t="s">
        <v>32102</v>
      </c>
      <c r="U1162" s="405" t="s">
        <v>319</v>
      </c>
    </row>
    <row r="1163" spans="1:21" x14ac:dyDescent="0.25">
      <c r="A1163" s="405" t="s">
        <v>310</v>
      </c>
      <c r="B1163" s="405" t="s">
        <v>17185</v>
      </c>
      <c r="C1163" s="405" t="s">
        <v>327</v>
      </c>
      <c r="D1163" s="405"/>
      <c r="E1163" s="410">
        <v>43827</v>
      </c>
      <c r="F1163" s="410">
        <v>43835</v>
      </c>
      <c r="G1163" s="405" t="s">
        <v>17186</v>
      </c>
      <c r="H1163" s="405" t="s">
        <v>17187</v>
      </c>
      <c r="I1163" s="405" t="s">
        <v>2913</v>
      </c>
      <c r="J1163" s="405">
        <v>1.692825</v>
      </c>
      <c r="K1163" s="405">
        <v>33.595092000000001</v>
      </c>
      <c r="L1163" s="405" t="s">
        <v>6866</v>
      </c>
      <c r="M1163" s="405" t="s">
        <v>10515</v>
      </c>
      <c r="N1163" s="405" t="s">
        <v>10515</v>
      </c>
      <c r="O1163" s="405" t="s">
        <v>10515</v>
      </c>
      <c r="P1163" s="405" t="s">
        <v>17188</v>
      </c>
      <c r="Q1163" s="411">
        <v>4</v>
      </c>
      <c r="R1163" s="405" t="s">
        <v>5655</v>
      </c>
      <c r="S1163" s="405" t="s">
        <v>27289</v>
      </c>
      <c r="T1163" s="405" t="s">
        <v>32102</v>
      </c>
      <c r="U1163" s="405" t="s">
        <v>319</v>
      </c>
    </row>
    <row r="1164" spans="1:21" x14ac:dyDescent="0.25">
      <c r="A1164" s="405" t="s">
        <v>310</v>
      </c>
      <c r="B1164" s="405" t="s">
        <v>17812</v>
      </c>
      <c r="C1164" s="405" t="s">
        <v>311</v>
      </c>
      <c r="D1164" s="405" t="s">
        <v>32462</v>
      </c>
      <c r="E1164" s="410">
        <v>43826</v>
      </c>
      <c r="F1164" s="410">
        <v>43847</v>
      </c>
      <c r="G1164" s="405" t="s">
        <v>17813</v>
      </c>
      <c r="H1164" s="405">
        <v>752212055</v>
      </c>
      <c r="I1164" s="405"/>
      <c r="J1164" s="405">
        <v>0.54761899999999997</v>
      </c>
      <c r="K1164" s="405">
        <v>33.225264000000003</v>
      </c>
      <c r="L1164" s="405" t="s">
        <v>6866</v>
      </c>
      <c r="M1164" s="405" t="s">
        <v>9590</v>
      </c>
      <c r="N1164" s="405" t="s">
        <v>17814</v>
      </c>
      <c r="O1164" s="405" t="s">
        <v>17815</v>
      </c>
      <c r="P1164" s="405" t="s">
        <v>17814</v>
      </c>
      <c r="Q1164" s="411">
        <v>6</v>
      </c>
      <c r="R1164" s="405" t="s">
        <v>32157</v>
      </c>
      <c r="S1164" s="405" t="s">
        <v>27058</v>
      </c>
      <c r="T1164" s="405" t="s">
        <v>32102</v>
      </c>
      <c r="U1164" s="405" t="s">
        <v>319</v>
      </c>
    </row>
    <row r="1165" spans="1:21" x14ac:dyDescent="0.25">
      <c r="A1165" s="405" t="s">
        <v>310</v>
      </c>
      <c r="B1165" s="405" t="s">
        <v>17217</v>
      </c>
      <c r="C1165" s="405" t="s">
        <v>327</v>
      </c>
      <c r="D1165" s="405"/>
      <c r="E1165" s="410">
        <v>43825</v>
      </c>
      <c r="F1165" s="410">
        <v>43853</v>
      </c>
      <c r="G1165" s="405" t="s">
        <v>17218</v>
      </c>
      <c r="H1165" s="405" t="s">
        <v>17219</v>
      </c>
      <c r="I1165" s="405"/>
      <c r="J1165" s="405">
        <v>0.98033800000000004</v>
      </c>
      <c r="K1165" s="405">
        <v>34.252671999999997</v>
      </c>
      <c r="L1165" s="405" t="s">
        <v>6866</v>
      </c>
      <c r="M1165" s="405" t="s">
        <v>9514</v>
      </c>
      <c r="N1165" s="405" t="s">
        <v>16909</v>
      </c>
      <c r="O1165" s="405" t="s">
        <v>10681</v>
      </c>
      <c r="P1165" s="405" t="s">
        <v>17220</v>
      </c>
      <c r="Q1165" s="411">
        <v>4</v>
      </c>
      <c r="R1165" s="405" t="s">
        <v>7224</v>
      </c>
      <c r="S1165" s="405" t="s">
        <v>27348</v>
      </c>
      <c r="T1165" s="405" t="s">
        <v>32102</v>
      </c>
      <c r="U1165" s="405" t="s">
        <v>319</v>
      </c>
    </row>
    <row r="1166" spans="1:21" x14ac:dyDescent="0.25">
      <c r="A1166" s="405" t="s">
        <v>310</v>
      </c>
      <c r="B1166" s="405" t="s">
        <v>25783</v>
      </c>
      <c r="C1166" s="405" t="s">
        <v>327</v>
      </c>
      <c r="D1166" s="405"/>
      <c r="E1166" s="410">
        <v>43823</v>
      </c>
      <c r="F1166" s="410">
        <v>43838</v>
      </c>
      <c r="G1166" s="405" t="s">
        <v>25784</v>
      </c>
      <c r="H1166" s="405" t="s">
        <v>25785</v>
      </c>
      <c r="I1166" s="405" t="s">
        <v>2913</v>
      </c>
      <c r="J1166" s="405">
        <v>-0.80440299999999998</v>
      </c>
      <c r="K1166" s="405">
        <v>29.871881999999999</v>
      </c>
      <c r="L1166" s="405" t="s">
        <v>590</v>
      </c>
      <c r="M1166" s="405" t="s">
        <v>19619</v>
      </c>
      <c r="N1166" s="405" t="s">
        <v>19793</v>
      </c>
      <c r="O1166" s="405" t="s">
        <v>19794</v>
      </c>
      <c r="P1166" s="405" t="s">
        <v>25786</v>
      </c>
      <c r="Q1166" s="411">
        <v>13</v>
      </c>
      <c r="R1166" s="405" t="s">
        <v>6572</v>
      </c>
      <c r="S1166" s="405" t="s">
        <v>27193</v>
      </c>
      <c r="T1166" s="405" t="s">
        <v>32102</v>
      </c>
      <c r="U1166" s="405" t="s">
        <v>319</v>
      </c>
    </row>
    <row r="1167" spans="1:21" x14ac:dyDescent="0.25">
      <c r="A1167" s="405" t="s">
        <v>310</v>
      </c>
      <c r="B1167" s="405" t="s">
        <v>25811</v>
      </c>
      <c r="C1167" s="405" t="s">
        <v>327</v>
      </c>
      <c r="D1167" s="405"/>
      <c r="E1167" s="410">
        <v>43821</v>
      </c>
      <c r="F1167" s="410">
        <v>43871</v>
      </c>
      <c r="G1167" s="405" t="s">
        <v>25812</v>
      </c>
      <c r="H1167" s="405">
        <v>784850959</v>
      </c>
      <c r="I1167" s="405"/>
      <c r="J1167" s="405">
        <v>-1.3491880000000001</v>
      </c>
      <c r="K1167" s="405">
        <v>29.623374999999999</v>
      </c>
      <c r="L1167" s="405" t="s">
        <v>590</v>
      </c>
      <c r="M1167" s="405" t="s">
        <v>20070</v>
      </c>
      <c r="N1167" s="405" t="s">
        <v>25072</v>
      </c>
      <c r="O1167" s="405" t="s">
        <v>25813</v>
      </c>
      <c r="P1167" s="405" t="s">
        <v>25814</v>
      </c>
      <c r="Q1167" s="411">
        <v>9</v>
      </c>
      <c r="R1167" s="405" t="s">
        <v>24106</v>
      </c>
      <c r="S1167" s="405" t="s">
        <v>27102</v>
      </c>
      <c r="T1167" s="405" t="s">
        <v>32102</v>
      </c>
      <c r="U1167" s="405" t="s">
        <v>319</v>
      </c>
    </row>
    <row r="1168" spans="1:21" x14ac:dyDescent="0.25">
      <c r="A1168" s="405" t="s">
        <v>310</v>
      </c>
      <c r="B1168" s="405" t="s">
        <v>8036</v>
      </c>
      <c r="C1168" s="405" t="s">
        <v>327</v>
      </c>
      <c r="D1168" s="405"/>
      <c r="E1168" s="410">
        <v>43821</v>
      </c>
      <c r="F1168" s="410">
        <v>43827</v>
      </c>
      <c r="G1168" s="405" t="s">
        <v>8037</v>
      </c>
      <c r="H1168" s="405" t="s">
        <v>8038</v>
      </c>
      <c r="I1168" s="405"/>
      <c r="J1168" s="405">
        <v>0.33356599999999997</v>
      </c>
      <c r="K1168" s="405">
        <v>32.651940000000003</v>
      </c>
      <c r="L1168" s="405" t="s">
        <v>314</v>
      </c>
      <c r="M1168" s="405" t="s">
        <v>361</v>
      </c>
      <c r="N1168" s="405" t="s">
        <v>363</v>
      </c>
      <c r="O1168" s="405" t="s">
        <v>8039</v>
      </c>
      <c r="P1168" s="405" t="s">
        <v>8040</v>
      </c>
      <c r="Q1168" s="411">
        <v>6</v>
      </c>
      <c r="R1168" s="405" t="s">
        <v>5921</v>
      </c>
      <c r="S1168" s="405" t="s">
        <v>32960</v>
      </c>
      <c r="T1168" s="405" t="s">
        <v>32102</v>
      </c>
      <c r="U1168" s="405" t="s">
        <v>319</v>
      </c>
    </row>
    <row r="1169" spans="1:21" x14ac:dyDescent="0.25">
      <c r="A1169" s="405" t="s">
        <v>310</v>
      </c>
      <c r="B1169" s="405" t="s">
        <v>26065</v>
      </c>
      <c r="C1169" s="405" t="s">
        <v>311</v>
      </c>
      <c r="D1169" s="405" t="s">
        <v>6019</v>
      </c>
      <c r="E1169" s="410">
        <v>43820</v>
      </c>
      <c r="F1169" s="410">
        <v>43846</v>
      </c>
      <c r="G1169" s="405" t="s">
        <v>26066</v>
      </c>
      <c r="H1169" s="405">
        <v>782499886</v>
      </c>
      <c r="I1169" s="405" t="s">
        <v>2913</v>
      </c>
      <c r="J1169" s="405">
        <v>-0.86794499999999997</v>
      </c>
      <c r="K1169" s="405">
        <v>29.835844999999999</v>
      </c>
      <c r="L1169" s="405" t="s">
        <v>590</v>
      </c>
      <c r="M1169" s="405" t="s">
        <v>20808</v>
      </c>
      <c r="N1169" s="405" t="s">
        <v>23390</v>
      </c>
      <c r="O1169" s="405" t="s">
        <v>23326</v>
      </c>
      <c r="P1169" s="405" t="s">
        <v>22041</v>
      </c>
      <c r="Q1169" s="411">
        <v>6</v>
      </c>
      <c r="R1169" s="405" t="s">
        <v>6572</v>
      </c>
      <c r="S1169" s="405" t="s">
        <v>27161</v>
      </c>
      <c r="T1169" s="405" t="s">
        <v>32102</v>
      </c>
      <c r="U1169" s="405" t="s">
        <v>319</v>
      </c>
    </row>
    <row r="1170" spans="1:21" x14ac:dyDescent="0.25">
      <c r="A1170" s="405" t="s">
        <v>310</v>
      </c>
      <c r="B1170" s="405" t="s">
        <v>25774</v>
      </c>
      <c r="C1170" s="405" t="s">
        <v>327</v>
      </c>
      <c r="D1170" s="405"/>
      <c r="E1170" s="410">
        <v>43819</v>
      </c>
      <c r="F1170" s="410">
        <v>43831</v>
      </c>
      <c r="G1170" s="405" t="s">
        <v>25775</v>
      </c>
      <c r="H1170" s="405" t="s">
        <v>25776</v>
      </c>
      <c r="I1170" s="405" t="s">
        <v>2913</v>
      </c>
      <c r="J1170" s="405">
        <v>1.689317</v>
      </c>
      <c r="K1170" s="405">
        <v>31.694514999999999</v>
      </c>
      <c r="L1170" s="405" t="s">
        <v>590</v>
      </c>
      <c r="M1170" s="405" t="s">
        <v>7300</v>
      </c>
      <c r="N1170" s="405" t="s">
        <v>19880</v>
      </c>
      <c r="O1170" s="405" t="s">
        <v>25777</v>
      </c>
      <c r="P1170" s="405" t="s">
        <v>25778</v>
      </c>
      <c r="Q1170" s="411">
        <v>9</v>
      </c>
      <c r="R1170" s="405" t="s">
        <v>6397</v>
      </c>
      <c r="S1170" s="405" t="s">
        <v>22880</v>
      </c>
      <c r="T1170" s="405" t="s">
        <v>32102</v>
      </c>
      <c r="U1170" s="405" t="s">
        <v>319</v>
      </c>
    </row>
    <row r="1171" spans="1:21" x14ac:dyDescent="0.25">
      <c r="A1171" s="405" t="s">
        <v>310</v>
      </c>
      <c r="B1171" s="405" t="s">
        <v>8010</v>
      </c>
      <c r="C1171" s="405" t="s">
        <v>327</v>
      </c>
      <c r="D1171" s="405"/>
      <c r="E1171" s="410">
        <v>43819</v>
      </c>
      <c r="F1171" s="410">
        <v>43829</v>
      </c>
      <c r="G1171" s="405" t="s">
        <v>8011</v>
      </c>
      <c r="H1171" s="405" t="s">
        <v>8012</v>
      </c>
      <c r="I1171" s="405" t="s">
        <v>8013</v>
      </c>
      <c r="J1171" s="405">
        <v>0.391737</v>
      </c>
      <c r="K1171" s="405">
        <v>32.576970000000003</v>
      </c>
      <c r="L1171" s="405" t="s">
        <v>314</v>
      </c>
      <c r="M1171" s="405" t="s">
        <v>992</v>
      </c>
      <c r="N1171" s="405" t="s">
        <v>936</v>
      </c>
      <c r="O1171" s="405" t="s">
        <v>5902</v>
      </c>
      <c r="P1171" s="405" t="s">
        <v>4207</v>
      </c>
      <c r="Q1171" s="411">
        <v>9</v>
      </c>
      <c r="R1171" s="405" t="s">
        <v>4176</v>
      </c>
      <c r="S1171" s="405" t="s">
        <v>27277</v>
      </c>
      <c r="T1171" s="405" t="s">
        <v>32102</v>
      </c>
      <c r="U1171" s="405" t="s">
        <v>319</v>
      </c>
    </row>
    <row r="1172" spans="1:21" x14ac:dyDescent="0.25">
      <c r="A1172" s="405" t="s">
        <v>310</v>
      </c>
      <c r="B1172" s="405" t="s">
        <v>8069</v>
      </c>
      <c r="C1172" s="405" t="s">
        <v>327</v>
      </c>
      <c r="D1172" s="405"/>
      <c r="E1172" s="410">
        <v>43819</v>
      </c>
      <c r="F1172" s="410">
        <v>43845</v>
      </c>
      <c r="G1172" s="405" t="s">
        <v>8070</v>
      </c>
      <c r="H1172" s="405" t="s">
        <v>8071</v>
      </c>
      <c r="I1172" s="405" t="s">
        <v>8072</v>
      </c>
      <c r="J1172" s="405">
        <v>0.31068099999999998</v>
      </c>
      <c r="K1172" s="405">
        <v>32.525300000000001</v>
      </c>
      <c r="L1172" s="405" t="s">
        <v>314</v>
      </c>
      <c r="M1172" s="405" t="s">
        <v>992</v>
      </c>
      <c r="N1172" s="405" t="s">
        <v>2327</v>
      </c>
      <c r="O1172" s="405" t="s">
        <v>2327</v>
      </c>
      <c r="P1172" s="405" t="s">
        <v>4532</v>
      </c>
      <c r="Q1172" s="411">
        <v>6</v>
      </c>
      <c r="R1172" s="405" t="s">
        <v>8073</v>
      </c>
      <c r="S1172" s="405" t="s">
        <v>27210</v>
      </c>
      <c r="T1172" s="405" t="s">
        <v>32102</v>
      </c>
      <c r="U1172" s="405" t="s">
        <v>319</v>
      </c>
    </row>
    <row r="1173" spans="1:21" x14ac:dyDescent="0.25">
      <c r="A1173" s="405" t="s">
        <v>310</v>
      </c>
      <c r="B1173" s="405" t="s">
        <v>25742</v>
      </c>
      <c r="C1173" s="405" t="s">
        <v>327</v>
      </c>
      <c r="D1173" s="405"/>
      <c r="E1173" s="410">
        <v>43819</v>
      </c>
      <c r="F1173" s="410">
        <v>43829</v>
      </c>
      <c r="G1173" s="405" t="s">
        <v>25743</v>
      </c>
      <c r="H1173" s="405" t="s">
        <v>25744</v>
      </c>
      <c r="I1173" s="405" t="s">
        <v>2913</v>
      </c>
      <c r="J1173" s="405">
        <v>-0.88335300000000005</v>
      </c>
      <c r="K1173" s="405">
        <v>29.769342000000002</v>
      </c>
      <c r="L1173" s="405" t="s">
        <v>590</v>
      </c>
      <c r="M1173" s="405" t="s">
        <v>20808</v>
      </c>
      <c r="N1173" s="405" t="s">
        <v>25663</v>
      </c>
      <c r="O1173" s="405" t="s">
        <v>24811</v>
      </c>
      <c r="P1173" s="405" t="s">
        <v>25273</v>
      </c>
      <c r="Q1173" s="411">
        <v>6</v>
      </c>
      <c r="R1173" s="405" t="s">
        <v>6572</v>
      </c>
      <c r="S1173" s="405" t="s">
        <v>27301</v>
      </c>
      <c r="T1173" s="405" t="s">
        <v>32102</v>
      </c>
      <c r="U1173" s="405" t="s">
        <v>319</v>
      </c>
    </row>
    <row r="1174" spans="1:21" x14ac:dyDescent="0.25">
      <c r="A1174" s="405" t="s">
        <v>310</v>
      </c>
      <c r="B1174" s="405" t="s">
        <v>25745</v>
      </c>
      <c r="C1174" s="405" t="s">
        <v>327</v>
      </c>
      <c r="D1174" s="405"/>
      <c r="E1174" s="410">
        <v>43819</v>
      </c>
      <c r="F1174" s="410">
        <v>43829</v>
      </c>
      <c r="G1174" s="405" t="s">
        <v>25746</v>
      </c>
      <c r="H1174" s="405" t="s">
        <v>25747</v>
      </c>
      <c r="I1174" s="405" t="s">
        <v>2913</v>
      </c>
      <c r="J1174" s="405">
        <v>-0.88361500000000004</v>
      </c>
      <c r="K1174" s="405">
        <v>29.770495</v>
      </c>
      <c r="L1174" s="405" t="s">
        <v>590</v>
      </c>
      <c r="M1174" s="405" t="s">
        <v>20808</v>
      </c>
      <c r="N1174" s="405" t="s">
        <v>25663</v>
      </c>
      <c r="O1174" s="405" t="s">
        <v>24811</v>
      </c>
      <c r="P1174" s="405" t="s">
        <v>25273</v>
      </c>
      <c r="Q1174" s="411">
        <v>6</v>
      </c>
      <c r="R1174" s="405" t="s">
        <v>6572</v>
      </c>
      <c r="S1174" s="405" t="s">
        <v>27301</v>
      </c>
      <c r="T1174" s="405" t="s">
        <v>32102</v>
      </c>
      <c r="U1174" s="405" t="s">
        <v>319</v>
      </c>
    </row>
    <row r="1175" spans="1:21" x14ac:dyDescent="0.25">
      <c r="A1175" s="405" t="s">
        <v>310</v>
      </c>
      <c r="B1175" s="405" t="s">
        <v>17129</v>
      </c>
      <c r="C1175" s="405" t="s">
        <v>327</v>
      </c>
      <c r="D1175" s="405"/>
      <c r="E1175" s="410">
        <v>43819</v>
      </c>
      <c r="F1175" s="410">
        <v>43829</v>
      </c>
      <c r="G1175" s="405" t="s">
        <v>17130</v>
      </c>
      <c r="H1175" s="405" t="s">
        <v>17131</v>
      </c>
      <c r="I1175" s="405" t="s">
        <v>2913</v>
      </c>
      <c r="J1175" s="405">
        <v>0.67541700000000005</v>
      </c>
      <c r="K1175" s="405">
        <v>33.165869999999998</v>
      </c>
      <c r="L1175" s="405" t="s">
        <v>6866</v>
      </c>
      <c r="M1175" s="405" t="s">
        <v>9590</v>
      </c>
      <c r="N1175" s="405" t="s">
        <v>542</v>
      </c>
      <c r="O1175" s="405" t="s">
        <v>10061</v>
      </c>
      <c r="P1175" s="405" t="s">
        <v>17132</v>
      </c>
      <c r="Q1175" s="411">
        <v>6</v>
      </c>
      <c r="R1175" s="405" t="s">
        <v>32157</v>
      </c>
      <c r="S1175" s="405" t="s">
        <v>27048</v>
      </c>
      <c r="T1175" s="405" t="s">
        <v>32102</v>
      </c>
      <c r="U1175" s="405" t="s">
        <v>319</v>
      </c>
    </row>
    <row r="1176" spans="1:21" x14ac:dyDescent="0.25">
      <c r="A1176" s="405" t="s">
        <v>310</v>
      </c>
      <c r="B1176" s="405" t="s">
        <v>25739</v>
      </c>
      <c r="C1176" s="405" t="s">
        <v>327</v>
      </c>
      <c r="D1176" s="405"/>
      <c r="E1176" s="410">
        <v>43819</v>
      </c>
      <c r="F1176" s="410">
        <v>43829</v>
      </c>
      <c r="G1176" s="405" t="s">
        <v>25740</v>
      </c>
      <c r="H1176" s="405" t="s">
        <v>25741</v>
      </c>
      <c r="I1176" s="405" t="s">
        <v>2913</v>
      </c>
      <c r="J1176" s="405">
        <v>-0.89160499999999998</v>
      </c>
      <c r="K1176" s="405">
        <v>29.770047999999999</v>
      </c>
      <c r="L1176" s="405" t="s">
        <v>590</v>
      </c>
      <c r="M1176" s="405" t="s">
        <v>20808</v>
      </c>
      <c r="N1176" s="405" t="s">
        <v>25663</v>
      </c>
      <c r="O1176" s="405" t="s">
        <v>24811</v>
      </c>
      <c r="P1176" s="405" t="s">
        <v>25407</v>
      </c>
      <c r="Q1176" s="411">
        <v>6</v>
      </c>
      <c r="R1176" s="405" t="s">
        <v>6572</v>
      </c>
      <c r="S1176" s="405" t="s">
        <v>27440</v>
      </c>
      <c r="T1176" s="405" t="s">
        <v>32102</v>
      </c>
      <c r="U1176" s="405" t="s">
        <v>319</v>
      </c>
    </row>
    <row r="1177" spans="1:21" x14ac:dyDescent="0.25">
      <c r="A1177" s="405" t="s">
        <v>310</v>
      </c>
      <c r="B1177" s="405" t="s">
        <v>25736</v>
      </c>
      <c r="C1177" s="405" t="s">
        <v>327</v>
      </c>
      <c r="D1177" s="405"/>
      <c r="E1177" s="410">
        <v>43819</v>
      </c>
      <c r="F1177" s="410">
        <v>43829</v>
      </c>
      <c r="G1177" s="405" t="s">
        <v>25737</v>
      </c>
      <c r="H1177" s="405" t="s">
        <v>25738</v>
      </c>
      <c r="I1177" s="405" t="s">
        <v>2913</v>
      </c>
      <c r="J1177" s="405">
        <v>-0.77816700000000005</v>
      </c>
      <c r="K1177" s="405">
        <v>29.751238000000001</v>
      </c>
      <c r="L1177" s="405" t="s">
        <v>590</v>
      </c>
      <c r="M1177" s="405" t="s">
        <v>20808</v>
      </c>
      <c r="N1177" s="405" t="s">
        <v>25663</v>
      </c>
      <c r="O1177" s="405" t="s">
        <v>20169</v>
      </c>
      <c r="P1177" s="405" t="s">
        <v>25592</v>
      </c>
      <c r="Q1177" s="411">
        <v>6</v>
      </c>
      <c r="R1177" s="405" t="s">
        <v>6572</v>
      </c>
      <c r="S1177" s="405" t="s">
        <v>27442</v>
      </c>
      <c r="T1177" s="405" t="s">
        <v>32102</v>
      </c>
      <c r="U1177" s="405" t="s">
        <v>319</v>
      </c>
    </row>
    <row r="1178" spans="1:21" x14ac:dyDescent="0.25">
      <c r="A1178" s="405" t="s">
        <v>310</v>
      </c>
      <c r="B1178" s="405" t="s">
        <v>25688</v>
      </c>
      <c r="C1178" s="405" t="s">
        <v>327</v>
      </c>
      <c r="D1178" s="405"/>
      <c r="E1178" s="410">
        <v>43819</v>
      </c>
      <c r="F1178" s="410">
        <v>43829</v>
      </c>
      <c r="G1178" s="405" t="s">
        <v>25689</v>
      </c>
      <c r="H1178" s="405" t="s">
        <v>25690</v>
      </c>
      <c r="I1178" s="405" t="s">
        <v>2913</v>
      </c>
      <c r="J1178" s="405">
        <v>-0.82955800000000002</v>
      </c>
      <c r="K1178" s="405">
        <v>29.779126999999999</v>
      </c>
      <c r="L1178" s="405" t="s">
        <v>590</v>
      </c>
      <c r="M1178" s="405" t="s">
        <v>20808</v>
      </c>
      <c r="N1178" s="405" t="s">
        <v>23390</v>
      </c>
      <c r="O1178" s="405" t="s">
        <v>21489</v>
      </c>
      <c r="P1178" s="405" t="s">
        <v>7093</v>
      </c>
      <c r="Q1178" s="411">
        <v>6</v>
      </c>
      <c r="R1178" s="405" t="s">
        <v>6572</v>
      </c>
      <c r="S1178" s="405" t="s">
        <v>27095</v>
      </c>
      <c r="T1178" s="405" t="s">
        <v>32102</v>
      </c>
      <c r="U1178" s="405" t="s">
        <v>319</v>
      </c>
    </row>
    <row r="1179" spans="1:21" x14ac:dyDescent="0.25">
      <c r="A1179" s="405" t="s">
        <v>310</v>
      </c>
      <c r="B1179" s="405" t="s">
        <v>17158</v>
      </c>
      <c r="C1179" s="405" t="s">
        <v>327</v>
      </c>
      <c r="D1179" s="405"/>
      <c r="E1179" s="410">
        <v>43819</v>
      </c>
      <c r="F1179" s="410">
        <v>43826</v>
      </c>
      <c r="G1179" s="405" t="s">
        <v>17159</v>
      </c>
      <c r="H1179" s="405" t="s">
        <v>17160</v>
      </c>
      <c r="I1179" s="405" t="s">
        <v>17161</v>
      </c>
      <c r="J1179" s="405">
        <v>0.60989400000000005</v>
      </c>
      <c r="K1179" s="405">
        <v>33.479025999999998</v>
      </c>
      <c r="L1179" s="405" t="s">
        <v>6866</v>
      </c>
      <c r="M1179" s="405" t="s">
        <v>10853</v>
      </c>
      <c r="N1179" s="405" t="s">
        <v>4802</v>
      </c>
      <c r="O1179" s="405" t="s">
        <v>12832</v>
      </c>
      <c r="P1179" s="405" t="s">
        <v>3412</v>
      </c>
      <c r="Q1179" s="411">
        <v>6</v>
      </c>
      <c r="R1179" s="405" t="s">
        <v>32164</v>
      </c>
      <c r="S1179" s="405" t="s">
        <v>27174</v>
      </c>
      <c r="T1179" s="405" t="s">
        <v>32102</v>
      </c>
      <c r="U1179" s="405" t="s">
        <v>319</v>
      </c>
    </row>
    <row r="1180" spans="1:21" x14ac:dyDescent="0.25">
      <c r="A1180" s="405" t="s">
        <v>310</v>
      </c>
      <c r="B1180" s="405" t="s">
        <v>17181</v>
      </c>
      <c r="C1180" s="405" t="s">
        <v>327</v>
      </c>
      <c r="D1180" s="405"/>
      <c r="E1180" s="410">
        <v>43819</v>
      </c>
      <c r="F1180" s="410">
        <v>43825</v>
      </c>
      <c r="G1180" s="405" t="s">
        <v>17182</v>
      </c>
      <c r="H1180" s="405">
        <v>773804598</v>
      </c>
      <c r="I1180" s="405"/>
      <c r="J1180" s="405">
        <v>0.42855300000000002</v>
      </c>
      <c r="K1180" s="405">
        <v>33.730992000000001</v>
      </c>
      <c r="L1180" s="405" t="s">
        <v>6866</v>
      </c>
      <c r="M1180" s="405" t="s">
        <v>13470</v>
      </c>
      <c r="N1180" s="405" t="s">
        <v>15155</v>
      </c>
      <c r="O1180" s="405" t="s">
        <v>17183</v>
      </c>
      <c r="P1180" s="405" t="s">
        <v>17184</v>
      </c>
      <c r="Q1180" s="411">
        <v>4</v>
      </c>
      <c r="R1180" s="405" t="s">
        <v>32164</v>
      </c>
      <c r="S1180" s="405" t="s">
        <v>27080</v>
      </c>
      <c r="T1180" s="405" t="s">
        <v>32102</v>
      </c>
      <c r="U1180" s="405" t="s">
        <v>319</v>
      </c>
    </row>
    <row r="1181" spans="1:21" x14ac:dyDescent="0.25">
      <c r="A1181" s="405" t="s">
        <v>310</v>
      </c>
      <c r="B1181" s="405" t="s">
        <v>69</v>
      </c>
      <c r="C1181" s="405" t="s">
        <v>327</v>
      </c>
      <c r="D1181" s="405"/>
      <c r="E1181" s="410">
        <v>43818</v>
      </c>
      <c r="F1181" s="410">
        <v>43829</v>
      </c>
      <c r="G1181" s="405" t="s">
        <v>17133</v>
      </c>
      <c r="H1181" s="405" t="s">
        <v>17134</v>
      </c>
      <c r="I1181" s="405" t="s">
        <v>17135</v>
      </c>
      <c r="J1181" s="405">
        <v>1.1739299999999999</v>
      </c>
      <c r="K1181" s="405">
        <v>33.931058</v>
      </c>
      <c r="L1181" s="405" t="s">
        <v>6866</v>
      </c>
      <c r="M1181" s="405" t="s">
        <v>9509</v>
      </c>
      <c r="N1181" s="405" t="s">
        <v>17136</v>
      </c>
      <c r="O1181" s="405" t="s">
        <v>12492</v>
      </c>
      <c r="P1181" s="405" t="s">
        <v>17137</v>
      </c>
      <c r="Q1181" s="411">
        <v>13</v>
      </c>
      <c r="R1181" s="405" t="s">
        <v>32157</v>
      </c>
      <c r="S1181" s="405" t="s">
        <v>27056</v>
      </c>
      <c r="T1181" s="405" t="s">
        <v>32102</v>
      </c>
      <c r="U1181" s="405" t="s">
        <v>319</v>
      </c>
    </row>
    <row r="1182" spans="1:21" x14ac:dyDescent="0.25">
      <c r="A1182" s="405" t="s">
        <v>310</v>
      </c>
      <c r="B1182" s="405" t="s">
        <v>25806</v>
      </c>
      <c r="C1182" s="405" t="s">
        <v>327</v>
      </c>
      <c r="D1182" s="405"/>
      <c r="E1182" s="410">
        <v>43817</v>
      </c>
      <c r="F1182" s="410">
        <v>43873</v>
      </c>
      <c r="G1182" s="405" t="s">
        <v>25807</v>
      </c>
      <c r="H1182" s="405" t="s">
        <v>25808</v>
      </c>
      <c r="I1182" s="405"/>
      <c r="J1182" s="405">
        <v>-1.122463</v>
      </c>
      <c r="K1182" s="405">
        <v>29.682537</v>
      </c>
      <c r="L1182" s="405" t="s">
        <v>590</v>
      </c>
      <c r="M1182" s="405" t="s">
        <v>20070</v>
      </c>
      <c r="N1182" s="405" t="s">
        <v>25809</v>
      </c>
      <c r="O1182" s="405" t="s">
        <v>25810</v>
      </c>
      <c r="P1182" s="405" t="s">
        <v>25209</v>
      </c>
      <c r="Q1182" s="411">
        <v>9</v>
      </c>
      <c r="R1182" s="405" t="s">
        <v>24106</v>
      </c>
      <c r="S1182" s="405" t="s">
        <v>27447</v>
      </c>
      <c r="T1182" s="405" t="s">
        <v>32102</v>
      </c>
      <c r="U1182" s="405" t="s">
        <v>319</v>
      </c>
    </row>
    <row r="1183" spans="1:21" x14ac:dyDescent="0.25">
      <c r="A1183" s="405" t="s">
        <v>310</v>
      </c>
      <c r="B1183" s="405" t="s">
        <v>8022</v>
      </c>
      <c r="C1183" s="405" t="s">
        <v>327</v>
      </c>
      <c r="D1183" s="405"/>
      <c r="E1183" s="410">
        <v>43817</v>
      </c>
      <c r="F1183" s="410">
        <v>43829</v>
      </c>
      <c r="G1183" s="405" t="s">
        <v>8023</v>
      </c>
      <c r="H1183" s="405" t="s">
        <v>8024</v>
      </c>
      <c r="I1183" s="405" t="s">
        <v>2913</v>
      </c>
      <c r="J1183" s="405">
        <v>0.22149199999999999</v>
      </c>
      <c r="K1183" s="405">
        <v>32.969073000000002</v>
      </c>
      <c r="L1183" s="405" t="s">
        <v>314</v>
      </c>
      <c r="M1183" s="405" t="s">
        <v>349</v>
      </c>
      <c r="N1183" s="405" t="s">
        <v>7638</v>
      </c>
      <c r="O1183" s="405" t="s">
        <v>686</v>
      </c>
      <c r="P1183" s="405" t="s">
        <v>8025</v>
      </c>
      <c r="Q1183" s="411">
        <v>9</v>
      </c>
      <c r="R1183" s="405" t="s">
        <v>32157</v>
      </c>
      <c r="S1183" s="405" t="s">
        <v>27035</v>
      </c>
      <c r="T1183" s="405" t="s">
        <v>32102</v>
      </c>
      <c r="U1183" s="405" t="s">
        <v>319</v>
      </c>
    </row>
    <row r="1184" spans="1:21" x14ac:dyDescent="0.25">
      <c r="A1184" s="405" t="s">
        <v>310</v>
      </c>
      <c r="B1184" s="405" t="s">
        <v>25952</v>
      </c>
      <c r="C1184" s="405" t="s">
        <v>857</v>
      </c>
      <c r="D1184" s="405" t="s">
        <v>25953</v>
      </c>
      <c r="E1184" s="410">
        <v>43817</v>
      </c>
      <c r="F1184" s="410">
        <v>43829</v>
      </c>
      <c r="G1184" s="405" t="s">
        <v>25954</v>
      </c>
      <c r="H1184" s="405" t="s">
        <v>25955</v>
      </c>
      <c r="I1184" s="405" t="s">
        <v>25956</v>
      </c>
      <c r="J1184" s="405">
        <v>-0.88402800000000004</v>
      </c>
      <c r="K1184" s="405">
        <v>29.756937000000001</v>
      </c>
      <c r="L1184" s="405" t="s">
        <v>590</v>
      </c>
      <c r="M1184" s="405" t="s">
        <v>20808</v>
      </c>
      <c r="N1184" s="405" t="s">
        <v>25663</v>
      </c>
      <c r="O1184" s="405" t="s">
        <v>20810</v>
      </c>
      <c r="P1184" s="405" t="s">
        <v>25957</v>
      </c>
      <c r="Q1184" s="411">
        <v>6</v>
      </c>
      <c r="R1184" s="405" t="s">
        <v>6572</v>
      </c>
      <c r="S1184" s="405" t="s">
        <v>27154</v>
      </c>
      <c r="T1184" s="405" t="s">
        <v>32102</v>
      </c>
      <c r="U1184" s="405" t="s">
        <v>319</v>
      </c>
    </row>
    <row r="1185" spans="1:21" x14ac:dyDescent="0.25">
      <c r="A1185" s="405" t="s">
        <v>310</v>
      </c>
      <c r="B1185" s="405" t="s">
        <v>25732</v>
      </c>
      <c r="C1185" s="405" t="s">
        <v>327</v>
      </c>
      <c r="D1185" s="405"/>
      <c r="E1185" s="410">
        <v>43817</v>
      </c>
      <c r="F1185" s="410">
        <v>43829</v>
      </c>
      <c r="G1185" s="405" t="s">
        <v>25733</v>
      </c>
      <c r="H1185" s="405" t="s">
        <v>25734</v>
      </c>
      <c r="I1185" s="405" t="s">
        <v>25735</v>
      </c>
      <c r="J1185" s="405">
        <v>-0.881332</v>
      </c>
      <c r="K1185" s="405">
        <v>29.811807000000002</v>
      </c>
      <c r="L1185" s="405" t="s">
        <v>590</v>
      </c>
      <c r="M1185" s="405" t="s">
        <v>20808</v>
      </c>
      <c r="N1185" s="405" t="s">
        <v>25663</v>
      </c>
      <c r="O1185" s="405" t="s">
        <v>23326</v>
      </c>
      <c r="P1185" s="405" t="s">
        <v>25147</v>
      </c>
      <c r="Q1185" s="411">
        <v>6</v>
      </c>
      <c r="R1185" s="405" t="s">
        <v>6572</v>
      </c>
      <c r="S1185" s="405" t="s">
        <v>27440</v>
      </c>
      <c r="T1185" s="405" t="s">
        <v>32102</v>
      </c>
      <c r="U1185" s="405" t="s">
        <v>319</v>
      </c>
    </row>
    <row r="1186" spans="1:21" x14ac:dyDescent="0.25">
      <c r="A1186" s="405" t="s">
        <v>310</v>
      </c>
      <c r="B1186" s="405" t="s">
        <v>7978</v>
      </c>
      <c r="C1186" s="405" t="s">
        <v>327</v>
      </c>
      <c r="D1186" s="405"/>
      <c r="E1186" s="410">
        <v>43816</v>
      </c>
      <c r="F1186" s="410">
        <v>43822</v>
      </c>
      <c r="G1186" s="405" t="s">
        <v>7979</v>
      </c>
      <c r="H1186" s="405" t="s">
        <v>7980</v>
      </c>
      <c r="I1186" s="405" t="s">
        <v>7981</v>
      </c>
      <c r="J1186" s="405">
        <v>0.44375999999999999</v>
      </c>
      <c r="K1186" s="405">
        <v>32.573664999999998</v>
      </c>
      <c r="L1186" s="405" t="s">
        <v>314</v>
      </c>
      <c r="M1186" s="405" t="s">
        <v>361</v>
      </c>
      <c r="N1186" s="405" t="s">
        <v>7982</v>
      </c>
      <c r="O1186" s="405" t="s">
        <v>410</v>
      </c>
      <c r="P1186" s="405" t="s">
        <v>7983</v>
      </c>
      <c r="Q1186" s="411">
        <v>4</v>
      </c>
      <c r="R1186" s="405" t="s">
        <v>6798</v>
      </c>
      <c r="S1186" s="405" t="s">
        <v>27049</v>
      </c>
      <c r="T1186" s="405" t="s">
        <v>32102</v>
      </c>
      <c r="U1186" s="405" t="s">
        <v>319</v>
      </c>
    </row>
    <row r="1187" spans="1:21" x14ac:dyDescent="0.25">
      <c r="A1187" s="405" t="s">
        <v>310</v>
      </c>
      <c r="B1187" s="405" t="s">
        <v>8765</v>
      </c>
      <c r="C1187" s="405" t="s">
        <v>311</v>
      </c>
      <c r="D1187" s="405" t="s">
        <v>2127</v>
      </c>
      <c r="E1187" s="410">
        <v>43814</v>
      </c>
      <c r="F1187" s="410">
        <v>43829</v>
      </c>
      <c r="G1187" s="405" t="s">
        <v>8766</v>
      </c>
      <c r="H1187" s="405" t="s">
        <v>8028</v>
      </c>
      <c r="I1187" s="405" t="s">
        <v>2913</v>
      </c>
      <c r="J1187" s="405">
        <v>0.55418199999999995</v>
      </c>
      <c r="K1187" s="405">
        <v>31.394214999999999</v>
      </c>
      <c r="L1187" s="405" t="s">
        <v>314</v>
      </c>
      <c r="M1187" s="405" t="s">
        <v>445</v>
      </c>
      <c r="N1187" s="405" t="s">
        <v>8029</v>
      </c>
      <c r="O1187" s="405" t="s">
        <v>7176</v>
      </c>
      <c r="P1187" s="405" t="s">
        <v>5985</v>
      </c>
      <c r="Q1187" s="411">
        <v>13</v>
      </c>
      <c r="R1187" s="405" t="s">
        <v>32157</v>
      </c>
      <c r="S1187" s="405" t="s">
        <v>27052</v>
      </c>
      <c r="T1187" s="405" t="s">
        <v>32102</v>
      </c>
      <c r="U1187" s="405" t="s">
        <v>319</v>
      </c>
    </row>
    <row r="1188" spans="1:21" x14ac:dyDescent="0.25">
      <c r="A1188" s="405" t="s">
        <v>310</v>
      </c>
      <c r="B1188" s="405" t="s">
        <v>25701</v>
      </c>
      <c r="C1188" s="405" t="s">
        <v>327</v>
      </c>
      <c r="D1188" s="405"/>
      <c r="E1188" s="410">
        <v>43814</v>
      </c>
      <c r="F1188" s="410">
        <v>43829</v>
      </c>
      <c r="G1188" s="405" t="s">
        <v>25702</v>
      </c>
      <c r="H1188" s="405">
        <v>753899122</v>
      </c>
      <c r="I1188" s="405"/>
      <c r="J1188" s="405">
        <v>-0.26059500000000002</v>
      </c>
      <c r="K1188" s="405">
        <v>31.118756999999999</v>
      </c>
      <c r="L1188" s="405" t="s">
        <v>590</v>
      </c>
      <c r="M1188" s="405" t="s">
        <v>19705</v>
      </c>
      <c r="N1188" s="405" t="s">
        <v>1805</v>
      </c>
      <c r="O1188" s="405" t="s">
        <v>7401</v>
      </c>
      <c r="P1188" s="405" t="s">
        <v>25703</v>
      </c>
      <c r="Q1188" s="411">
        <v>9</v>
      </c>
      <c r="R1188" s="405" t="s">
        <v>883</v>
      </c>
      <c r="S1188" s="405" t="s">
        <v>27104</v>
      </c>
      <c r="T1188" s="405" t="s">
        <v>32102</v>
      </c>
      <c r="U1188" s="405" t="s">
        <v>319</v>
      </c>
    </row>
    <row r="1189" spans="1:21" x14ac:dyDescent="0.25">
      <c r="A1189" s="405" t="s">
        <v>310</v>
      </c>
      <c r="B1189" s="405" t="s">
        <v>8053</v>
      </c>
      <c r="C1189" s="405" t="s">
        <v>327</v>
      </c>
      <c r="D1189" s="405"/>
      <c r="E1189" s="410">
        <v>43814</v>
      </c>
      <c r="F1189" s="410">
        <v>43838</v>
      </c>
      <c r="G1189" s="405" t="s">
        <v>8054</v>
      </c>
      <c r="H1189" s="405">
        <v>750463735</v>
      </c>
      <c r="I1189" s="405"/>
      <c r="J1189" s="405">
        <v>-0.23644799999999999</v>
      </c>
      <c r="K1189" s="405">
        <v>31.831251000000002</v>
      </c>
      <c r="L1189" s="405" t="s">
        <v>314</v>
      </c>
      <c r="M1189" s="405" t="s">
        <v>900</v>
      </c>
      <c r="N1189" s="405" t="s">
        <v>900</v>
      </c>
      <c r="O1189" s="405" t="s">
        <v>900</v>
      </c>
      <c r="P1189" s="405" t="s">
        <v>8055</v>
      </c>
      <c r="Q1189" s="411">
        <v>6</v>
      </c>
      <c r="R1189" s="405" t="s">
        <v>5986</v>
      </c>
      <c r="S1189" s="405" t="s">
        <v>5986</v>
      </c>
      <c r="T1189" s="405" t="s">
        <v>32102</v>
      </c>
      <c r="U1189" s="405" t="s">
        <v>319</v>
      </c>
    </row>
    <row r="1190" spans="1:21" x14ac:dyDescent="0.25">
      <c r="A1190" s="405" t="s">
        <v>310</v>
      </c>
      <c r="B1190" s="405" t="s">
        <v>17168</v>
      </c>
      <c r="C1190" s="405" t="s">
        <v>327</v>
      </c>
      <c r="D1190" s="405"/>
      <c r="E1190" s="410">
        <v>43814</v>
      </c>
      <c r="F1190" s="410">
        <v>43830</v>
      </c>
      <c r="G1190" s="405" t="s">
        <v>17169</v>
      </c>
      <c r="H1190" s="405">
        <v>783876032</v>
      </c>
      <c r="I1190" s="405"/>
      <c r="J1190" s="405">
        <v>0.48229699999999998</v>
      </c>
      <c r="K1190" s="405">
        <v>33.259320000000002</v>
      </c>
      <c r="L1190" s="405" t="s">
        <v>6866</v>
      </c>
      <c r="M1190" s="405" t="s">
        <v>9590</v>
      </c>
      <c r="N1190" s="405" t="s">
        <v>11698</v>
      </c>
      <c r="O1190" s="405" t="s">
        <v>17170</v>
      </c>
      <c r="P1190" s="405" t="s">
        <v>17171</v>
      </c>
      <c r="Q1190" s="411">
        <v>6</v>
      </c>
      <c r="R1190" s="405" t="s">
        <v>32164</v>
      </c>
      <c r="S1190" s="405" t="s">
        <v>27044</v>
      </c>
      <c r="T1190" s="405" t="s">
        <v>32102</v>
      </c>
      <c r="U1190" s="405" t="s">
        <v>319</v>
      </c>
    </row>
    <row r="1191" spans="1:21" x14ac:dyDescent="0.25">
      <c r="A1191" s="405" t="s">
        <v>310</v>
      </c>
      <c r="B1191" s="405" t="s">
        <v>17162</v>
      </c>
      <c r="C1191" s="405" t="s">
        <v>327</v>
      </c>
      <c r="D1191" s="405"/>
      <c r="E1191" s="410">
        <v>43814</v>
      </c>
      <c r="F1191" s="410">
        <v>43818</v>
      </c>
      <c r="G1191" s="405" t="s">
        <v>17163</v>
      </c>
      <c r="H1191" s="405" t="s">
        <v>17164</v>
      </c>
      <c r="I1191" s="405" t="s">
        <v>17165</v>
      </c>
      <c r="J1191" s="405">
        <v>0.95081700000000002</v>
      </c>
      <c r="K1191" s="405">
        <v>33.524912</v>
      </c>
      <c r="L1191" s="405" t="s">
        <v>6866</v>
      </c>
      <c r="M1191" s="405" t="s">
        <v>5345</v>
      </c>
      <c r="N1191" s="405" t="s">
        <v>17166</v>
      </c>
      <c r="O1191" s="405" t="s">
        <v>17166</v>
      </c>
      <c r="P1191" s="405" t="s">
        <v>17167</v>
      </c>
      <c r="Q1191" s="411">
        <v>6</v>
      </c>
      <c r="R1191" s="405" t="s">
        <v>32164</v>
      </c>
      <c r="S1191" s="405" t="s">
        <v>27174</v>
      </c>
      <c r="T1191" s="405" t="s">
        <v>32102</v>
      </c>
      <c r="U1191" s="405" t="s">
        <v>319</v>
      </c>
    </row>
    <row r="1192" spans="1:21" x14ac:dyDescent="0.25">
      <c r="A1192" s="405" t="s">
        <v>310</v>
      </c>
      <c r="B1192" s="405" t="s">
        <v>25757</v>
      </c>
      <c r="C1192" s="405" t="s">
        <v>327</v>
      </c>
      <c r="D1192" s="405"/>
      <c r="E1192" s="410">
        <v>43813</v>
      </c>
      <c r="F1192" s="410">
        <v>43829</v>
      </c>
      <c r="G1192" s="405" t="s">
        <v>25758</v>
      </c>
      <c r="H1192" s="405">
        <v>772369949</v>
      </c>
      <c r="I1192" s="405"/>
      <c r="J1192" s="405">
        <v>0.71437700000000004</v>
      </c>
      <c r="K1192" s="405">
        <v>30.205234999999998</v>
      </c>
      <c r="L1192" s="405" t="s">
        <v>590</v>
      </c>
      <c r="M1192" s="405" t="s">
        <v>20125</v>
      </c>
      <c r="N1192" s="405" t="s">
        <v>24863</v>
      </c>
      <c r="O1192" s="405" t="s">
        <v>23020</v>
      </c>
      <c r="P1192" s="405" t="s">
        <v>25759</v>
      </c>
      <c r="Q1192" s="411">
        <v>9</v>
      </c>
      <c r="R1192" s="405" t="s">
        <v>6013</v>
      </c>
      <c r="S1192" s="405" t="s">
        <v>27445</v>
      </c>
      <c r="T1192" s="405" t="s">
        <v>32102</v>
      </c>
      <c r="U1192" s="405" t="s">
        <v>319</v>
      </c>
    </row>
    <row r="1193" spans="1:21" x14ac:dyDescent="0.25">
      <c r="A1193" s="405" t="s">
        <v>310</v>
      </c>
      <c r="B1193" s="405" t="s">
        <v>25699</v>
      </c>
      <c r="C1193" s="405" t="s">
        <v>327</v>
      </c>
      <c r="D1193" s="405"/>
      <c r="E1193" s="410">
        <v>43813</v>
      </c>
      <c r="F1193" s="410">
        <v>43829</v>
      </c>
      <c r="G1193" s="405" t="s">
        <v>25700</v>
      </c>
      <c r="H1193" s="405">
        <v>701778699</v>
      </c>
      <c r="I1193" s="405"/>
      <c r="J1193" s="405">
        <v>-0.59156200000000003</v>
      </c>
      <c r="K1193" s="405">
        <v>30.644252000000002</v>
      </c>
      <c r="L1193" s="405" t="s">
        <v>590</v>
      </c>
      <c r="M1193" s="405" t="s">
        <v>19614</v>
      </c>
      <c r="N1193" s="405" t="s">
        <v>19614</v>
      </c>
      <c r="O1193" s="405" t="s">
        <v>20619</v>
      </c>
      <c r="P1193" s="405" t="s">
        <v>23863</v>
      </c>
      <c r="Q1193" s="411">
        <v>9</v>
      </c>
      <c r="R1193" s="405" t="s">
        <v>883</v>
      </c>
      <c r="S1193" s="405" t="s">
        <v>27097</v>
      </c>
      <c r="T1193" s="405" t="s">
        <v>32102</v>
      </c>
      <c r="U1193" s="405" t="s">
        <v>319</v>
      </c>
    </row>
    <row r="1194" spans="1:21" x14ac:dyDescent="0.25">
      <c r="A1194" s="405" t="s">
        <v>310</v>
      </c>
      <c r="B1194" s="405" t="s">
        <v>8049</v>
      </c>
      <c r="C1194" s="405" t="s">
        <v>327</v>
      </c>
      <c r="D1194" s="405"/>
      <c r="E1194" s="410">
        <v>43812</v>
      </c>
      <c r="F1194" s="410">
        <v>43838</v>
      </c>
      <c r="G1194" s="405" t="s">
        <v>8050</v>
      </c>
      <c r="H1194" s="405">
        <v>703167974</v>
      </c>
      <c r="I1194" s="405"/>
      <c r="J1194" s="405">
        <v>-0.51897000000000004</v>
      </c>
      <c r="K1194" s="405">
        <v>31.43158</v>
      </c>
      <c r="L1194" s="405" t="s">
        <v>314</v>
      </c>
      <c r="M1194" s="405" t="s">
        <v>398</v>
      </c>
      <c r="N1194" s="405" t="s">
        <v>8051</v>
      </c>
      <c r="O1194" s="405" t="s">
        <v>8051</v>
      </c>
      <c r="P1194" s="405" t="s">
        <v>8052</v>
      </c>
      <c r="Q1194" s="411">
        <v>13</v>
      </c>
      <c r="R1194" s="405" t="s">
        <v>5986</v>
      </c>
      <c r="S1194" s="405" t="s">
        <v>5986</v>
      </c>
      <c r="T1194" s="405" t="s">
        <v>32102</v>
      </c>
      <c r="U1194" s="405" t="s">
        <v>319</v>
      </c>
    </row>
    <row r="1195" spans="1:21" x14ac:dyDescent="0.25">
      <c r="A1195" s="405" t="s">
        <v>310</v>
      </c>
      <c r="B1195" s="405" t="s">
        <v>25695</v>
      </c>
      <c r="C1195" s="405" t="s">
        <v>327</v>
      </c>
      <c r="D1195" s="405"/>
      <c r="E1195" s="410">
        <v>43811</v>
      </c>
      <c r="F1195" s="410">
        <v>43829</v>
      </c>
      <c r="G1195" s="405" t="s">
        <v>25696</v>
      </c>
      <c r="H1195" s="405">
        <v>772612741</v>
      </c>
      <c r="I1195" s="405"/>
      <c r="J1195" s="405">
        <v>-0.77281500000000003</v>
      </c>
      <c r="K1195" s="405">
        <v>29.754166999999999</v>
      </c>
      <c r="L1195" s="405" t="s">
        <v>590</v>
      </c>
      <c r="M1195" s="405" t="s">
        <v>20808</v>
      </c>
      <c r="N1195" s="405" t="s">
        <v>25663</v>
      </c>
      <c r="O1195" s="405" t="s">
        <v>20169</v>
      </c>
      <c r="P1195" s="405" t="s">
        <v>25592</v>
      </c>
      <c r="Q1195" s="411">
        <v>9</v>
      </c>
      <c r="R1195" s="405" t="s">
        <v>6572</v>
      </c>
      <c r="S1195" s="405" t="s">
        <v>27161</v>
      </c>
      <c r="T1195" s="405" t="s">
        <v>32102</v>
      </c>
      <c r="U1195" s="405" t="s">
        <v>319</v>
      </c>
    </row>
    <row r="1196" spans="1:21" x14ac:dyDescent="0.25">
      <c r="A1196" s="405" t="s">
        <v>310</v>
      </c>
      <c r="B1196" s="405" t="s">
        <v>19096</v>
      </c>
      <c r="C1196" s="405" t="s">
        <v>327</v>
      </c>
      <c r="D1196" s="405"/>
      <c r="E1196" s="410">
        <v>43811</v>
      </c>
      <c r="F1196" s="410">
        <v>43827</v>
      </c>
      <c r="G1196" s="405" t="s">
        <v>19097</v>
      </c>
      <c r="H1196" s="405" t="s">
        <v>19098</v>
      </c>
      <c r="I1196" s="405" t="s">
        <v>2913</v>
      </c>
      <c r="J1196" s="405">
        <v>2.1912880000000001</v>
      </c>
      <c r="K1196" s="405">
        <v>32.925981</v>
      </c>
      <c r="L1196" s="405" t="s">
        <v>860</v>
      </c>
      <c r="M1196" s="405" t="s">
        <v>18234</v>
      </c>
      <c r="N1196" s="405" t="s">
        <v>19087</v>
      </c>
      <c r="O1196" s="405" t="s">
        <v>19088</v>
      </c>
      <c r="P1196" s="405" t="s">
        <v>18507</v>
      </c>
      <c r="Q1196" s="411">
        <v>6</v>
      </c>
      <c r="R1196" s="405" t="s">
        <v>7208</v>
      </c>
      <c r="S1196" s="405" t="s">
        <v>27264</v>
      </c>
      <c r="T1196" s="405" t="s">
        <v>32102</v>
      </c>
      <c r="U1196" s="405" t="s">
        <v>319</v>
      </c>
    </row>
    <row r="1197" spans="1:21" x14ac:dyDescent="0.25">
      <c r="A1197" s="405" t="s">
        <v>310</v>
      </c>
      <c r="B1197" s="405" t="s">
        <v>25728</v>
      </c>
      <c r="C1197" s="405" t="s">
        <v>327</v>
      </c>
      <c r="D1197" s="405"/>
      <c r="E1197" s="410">
        <v>43810</v>
      </c>
      <c r="F1197" s="410">
        <v>43829</v>
      </c>
      <c r="G1197" s="405" t="s">
        <v>25729</v>
      </c>
      <c r="H1197" s="405">
        <v>772673085</v>
      </c>
      <c r="I1197" s="405"/>
      <c r="J1197" s="405">
        <v>-0.73955499999999996</v>
      </c>
      <c r="K1197" s="405">
        <v>29.696777000000001</v>
      </c>
      <c r="L1197" s="405" t="s">
        <v>590</v>
      </c>
      <c r="M1197" s="405" t="s">
        <v>20808</v>
      </c>
      <c r="N1197" s="405" t="s">
        <v>25110</v>
      </c>
      <c r="O1197" s="405" t="s">
        <v>25502</v>
      </c>
      <c r="P1197" s="405" t="s">
        <v>25377</v>
      </c>
      <c r="Q1197" s="411">
        <v>9</v>
      </c>
      <c r="R1197" s="405" t="s">
        <v>6572</v>
      </c>
      <c r="S1197" s="405" t="s">
        <v>27137</v>
      </c>
      <c r="T1197" s="405" t="s">
        <v>32102</v>
      </c>
      <c r="U1197" s="405" t="s">
        <v>319</v>
      </c>
    </row>
    <row r="1198" spans="1:21" x14ac:dyDescent="0.25">
      <c r="A1198" s="405" t="s">
        <v>310</v>
      </c>
      <c r="B1198" s="405" t="s">
        <v>8017</v>
      </c>
      <c r="C1198" s="405" t="s">
        <v>327</v>
      </c>
      <c r="D1198" s="405"/>
      <c r="E1198" s="410">
        <v>43809</v>
      </c>
      <c r="F1198" s="410">
        <v>43829</v>
      </c>
      <c r="G1198" s="405" t="s">
        <v>8018</v>
      </c>
      <c r="H1198" s="405">
        <v>701633224</v>
      </c>
      <c r="I1198" s="405">
        <v>779892207</v>
      </c>
      <c r="J1198" s="405">
        <v>0.33139999999999997</v>
      </c>
      <c r="K1198" s="405">
        <v>31.233799999999999</v>
      </c>
      <c r="L1198" s="405" t="s">
        <v>314</v>
      </c>
      <c r="M1198" s="405" t="s">
        <v>361</v>
      </c>
      <c r="N1198" s="405" t="s">
        <v>374</v>
      </c>
      <c r="O1198" s="405" t="s">
        <v>535</v>
      </c>
      <c r="P1198" s="405" t="s">
        <v>7645</v>
      </c>
      <c r="Q1198" s="411">
        <v>9</v>
      </c>
      <c r="R1198" s="405" t="s">
        <v>32157</v>
      </c>
      <c r="S1198" s="405" t="s">
        <v>27047</v>
      </c>
      <c r="T1198" s="405" t="s">
        <v>32102</v>
      </c>
      <c r="U1198" s="405" t="s">
        <v>319</v>
      </c>
    </row>
    <row r="1199" spans="1:21" x14ac:dyDescent="0.25">
      <c r="A1199" s="405" t="s">
        <v>310</v>
      </c>
      <c r="B1199" s="405" t="s">
        <v>7991</v>
      </c>
      <c r="C1199" s="405" t="s">
        <v>327</v>
      </c>
      <c r="D1199" s="405"/>
      <c r="E1199" s="410">
        <v>43809</v>
      </c>
      <c r="F1199" s="410">
        <v>43829</v>
      </c>
      <c r="G1199" s="405" t="s">
        <v>7992</v>
      </c>
      <c r="H1199" s="405">
        <v>776901586</v>
      </c>
      <c r="I1199" s="405"/>
      <c r="J1199" s="405">
        <v>0.192167</v>
      </c>
      <c r="K1199" s="405">
        <v>32.539307000000001</v>
      </c>
      <c r="L1199" s="405" t="s">
        <v>314</v>
      </c>
      <c r="M1199" s="405" t="s">
        <v>361</v>
      </c>
      <c r="N1199" s="405" t="s">
        <v>374</v>
      </c>
      <c r="O1199" s="405" t="s">
        <v>7914</v>
      </c>
      <c r="P1199" s="405" t="s">
        <v>5603</v>
      </c>
      <c r="Q1199" s="411">
        <v>9</v>
      </c>
      <c r="R1199" s="405" t="s">
        <v>32157</v>
      </c>
      <c r="S1199" s="405" t="s">
        <v>27045</v>
      </c>
      <c r="T1199" s="405" t="s">
        <v>32102</v>
      </c>
      <c r="U1199" s="405" t="s">
        <v>319</v>
      </c>
    </row>
    <row r="1200" spans="1:21" x14ac:dyDescent="0.25">
      <c r="A1200" s="405" t="s">
        <v>310</v>
      </c>
      <c r="B1200" s="405" t="s">
        <v>19099</v>
      </c>
      <c r="C1200" s="405" t="s">
        <v>327</v>
      </c>
      <c r="D1200" s="405"/>
      <c r="E1200" s="410">
        <v>43809</v>
      </c>
      <c r="F1200" s="410">
        <v>43845</v>
      </c>
      <c r="G1200" s="405" t="s">
        <v>19100</v>
      </c>
      <c r="H1200" s="405" t="s">
        <v>19101</v>
      </c>
      <c r="I1200" s="405" t="s">
        <v>2913</v>
      </c>
      <c r="J1200" s="405">
        <v>2.7698830000000001</v>
      </c>
      <c r="K1200" s="405">
        <v>32.303068000000003</v>
      </c>
      <c r="L1200" s="405" t="s">
        <v>860</v>
      </c>
      <c r="M1200" s="405" t="s">
        <v>853</v>
      </c>
      <c r="N1200" s="405" t="s">
        <v>19102</v>
      </c>
      <c r="O1200" s="405" t="s">
        <v>19103</v>
      </c>
      <c r="P1200" s="405" t="s">
        <v>19104</v>
      </c>
      <c r="Q1200" s="411">
        <v>6</v>
      </c>
      <c r="R1200" s="405" t="s">
        <v>5655</v>
      </c>
      <c r="S1200" s="405" t="s">
        <v>27179</v>
      </c>
      <c r="T1200" s="405" t="s">
        <v>32102</v>
      </c>
      <c r="U1200" s="405" t="s">
        <v>319</v>
      </c>
    </row>
    <row r="1201" spans="1:21" x14ac:dyDescent="0.25">
      <c r="A1201" s="405" t="s">
        <v>310</v>
      </c>
      <c r="B1201" s="405" t="s">
        <v>17138</v>
      </c>
      <c r="C1201" s="405" t="s">
        <v>327</v>
      </c>
      <c r="D1201" s="405"/>
      <c r="E1201" s="410">
        <v>43809</v>
      </c>
      <c r="F1201" s="410">
        <v>43824</v>
      </c>
      <c r="G1201" s="405" t="s">
        <v>17139</v>
      </c>
      <c r="H1201" s="405">
        <v>776493619</v>
      </c>
      <c r="I1201" s="405"/>
      <c r="J1201" s="405">
        <v>1.1723049999999999</v>
      </c>
      <c r="K1201" s="405">
        <v>33.932899999999997</v>
      </c>
      <c r="L1201" s="405" t="s">
        <v>6866</v>
      </c>
      <c r="M1201" s="405" t="s">
        <v>9509</v>
      </c>
      <c r="N1201" s="405" t="s">
        <v>12491</v>
      </c>
      <c r="O1201" s="405" t="s">
        <v>12492</v>
      </c>
      <c r="P1201" s="405" t="s">
        <v>17137</v>
      </c>
      <c r="Q1201" s="411">
        <v>6</v>
      </c>
      <c r="R1201" s="405" t="s">
        <v>5903</v>
      </c>
      <c r="S1201" s="405" t="s">
        <v>27153</v>
      </c>
      <c r="T1201" s="405" t="s">
        <v>32102</v>
      </c>
      <c r="U1201" s="405" t="s">
        <v>319</v>
      </c>
    </row>
    <row r="1202" spans="1:21" x14ac:dyDescent="0.25">
      <c r="A1202" s="405" t="s">
        <v>310</v>
      </c>
      <c r="B1202" s="405" t="s">
        <v>17121</v>
      </c>
      <c r="C1202" s="405" t="s">
        <v>327</v>
      </c>
      <c r="D1202" s="405"/>
      <c r="E1202" s="410">
        <v>43809</v>
      </c>
      <c r="F1202" s="410">
        <v>43822</v>
      </c>
      <c r="G1202" s="405" t="s">
        <v>17122</v>
      </c>
      <c r="H1202" s="405">
        <v>774825759</v>
      </c>
      <c r="I1202" s="405"/>
      <c r="J1202" s="405">
        <v>1.3191930000000001</v>
      </c>
      <c r="K1202" s="405">
        <v>34.398777000000003</v>
      </c>
      <c r="L1202" s="405" t="s">
        <v>6866</v>
      </c>
      <c r="M1202" s="405" t="s">
        <v>9685</v>
      </c>
      <c r="N1202" s="405" t="s">
        <v>9686</v>
      </c>
      <c r="O1202" s="405" t="s">
        <v>15836</v>
      </c>
      <c r="P1202" s="405" t="s">
        <v>17123</v>
      </c>
      <c r="Q1202" s="411">
        <v>6</v>
      </c>
      <c r="R1202" s="405" t="s">
        <v>9506</v>
      </c>
      <c r="S1202" s="405" t="s">
        <v>27318</v>
      </c>
      <c r="T1202" s="405" t="s">
        <v>32102</v>
      </c>
      <c r="U1202" s="405" t="s">
        <v>319</v>
      </c>
    </row>
    <row r="1203" spans="1:21" x14ac:dyDescent="0.25">
      <c r="A1203" s="405" t="s">
        <v>310</v>
      </c>
      <c r="B1203" s="405" t="s">
        <v>7997</v>
      </c>
      <c r="C1203" s="405" t="s">
        <v>327</v>
      </c>
      <c r="D1203" s="405"/>
      <c r="E1203" s="410">
        <v>43808</v>
      </c>
      <c r="F1203" s="410">
        <v>43828</v>
      </c>
      <c r="G1203" s="405" t="s">
        <v>7998</v>
      </c>
      <c r="H1203" s="405">
        <v>772687220</v>
      </c>
      <c r="I1203" s="405"/>
      <c r="J1203" s="405">
        <v>0.84747300000000003</v>
      </c>
      <c r="K1203" s="405">
        <v>32.489440000000002</v>
      </c>
      <c r="L1203" s="405" t="s">
        <v>314</v>
      </c>
      <c r="M1203" s="405" t="s">
        <v>2297</v>
      </c>
      <c r="N1203" s="405" t="s">
        <v>1308</v>
      </c>
      <c r="O1203" s="405" t="s">
        <v>7999</v>
      </c>
      <c r="P1203" s="405" t="s">
        <v>8000</v>
      </c>
      <c r="Q1203" s="411">
        <v>13</v>
      </c>
      <c r="R1203" s="405" t="s">
        <v>32157</v>
      </c>
      <c r="S1203" s="405" t="s">
        <v>27045</v>
      </c>
      <c r="T1203" s="405" t="s">
        <v>32102</v>
      </c>
      <c r="U1203" s="405" t="s">
        <v>319</v>
      </c>
    </row>
    <row r="1204" spans="1:21" x14ac:dyDescent="0.25">
      <c r="A1204" s="405" t="s">
        <v>310</v>
      </c>
      <c r="B1204" s="405" t="s">
        <v>8708</v>
      </c>
      <c r="C1204" s="405" t="s">
        <v>311</v>
      </c>
      <c r="D1204" s="405" t="s">
        <v>8702</v>
      </c>
      <c r="E1204" s="410">
        <v>43808</v>
      </c>
      <c r="F1204" s="410">
        <v>43818</v>
      </c>
      <c r="G1204" s="405" t="s">
        <v>8709</v>
      </c>
      <c r="H1204" s="405">
        <v>773163254</v>
      </c>
      <c r="I1204" s="405"/>
      <c r="J1204" s="405">
        <v>1.4075519999999999</v>
      </c>
      <c r="K1204" s="405">
        <v>32.267797999999999</v>
      </c>
      <c r="L1204" s="405" t="s">
        <v>314</v>
      </c>
      <c r="M1204" s="405" t="s">
        <v>2512</v>
      </c>
      <c r="N1204" s="405" t="s">
        <v>1308</v>
      </c>
      <c r="O1204" s="405" t="s">
        <v>8710</v>
      </c>
      <c r="P1204" s="405" t="s">
        <v>8711</v>
      </c>
      <c r="Q1204" s="411">
        <v>13</v>
      </c>
      <c r="R1204" s="405" t="s">
        <v>32157</v>
      </c>
      <c r="S1204" s="405" t="s">
        <v>27046</v>
      </c>
      <c r="T1204" s="405" t="s">
        <v>32102</v>
      </c>
      <c r="U1204" s="405" t="s">
        <v>319</v>
      </c>
    </row>
    <row r="1205" spans="1:21" x14ac:dyDescent="0.25">
      <c r="A1205" s="405" t="s">
        <v>310</v>
      </c>
      <c r="B1205" s="405" t="s">
        <v>17099</v>
      </c>
      <c r="C1205" s="405" t="s">
        <v>327</v>
      </c>
      <c r="D1205" s="405"/>
      <c r="E1205" s="410">
        <v>43808</v>
      </c>
      <c r="F1205" s="410">
        <v>43821</v>
      </c>
      <c r="G1205" s="405" t="s">
        <v>17100</v>
      </c>
      <c r="H1205" s="405">
        <v>778134430</v>
      </c>
      <c r="I1205" s="405"/>
      <c r="J1205" s="405">
        <v>1.7288319999999999</v>
      </c>
      <c r="K1205" s="405">
        <v>33.614918000000003</v>
      </c>
      <c r="L1205" s="405" t="s">
        <v>6866</v>
      </c>
      <c r="M1205" s="405" t="s">
        <v>10515</v>
      </c>
      <c r="N1205" s="405" t="s">
        <v>10515</v>
      </c>
      <c r="O1205" s="405" t="s">
        <v>10516</v>
      </c>
      <c r="P1205" s="405" t="s">
        <v>17101</v>
      </c>
      <c r="Q1205" s="411">
        <v>6</v>
      </c>
      <c r="R1205" s="405" t="s">
        <v>5655</v>
      </c>
      <c r="S1205" s="405" t="s">
        <v>27072</v>
      </c>
      <c r="T1205" s="405" t="s">
        <v>32102</v>
      </c>
      <c r="U1205" s="405" t="s">
        <v>319</v>
      </c>
    </row>
    <row r="1206" spans="1:21" x14ac:dyDescent="0.25">
      <c r="A1206" s="405" t="s">
        <v>310</v>
      </c>
      <c r="B1206" s="405" t="s">
        <v>17718</v>
      </c>
      <c r="C1206" s="405" t="s">
        <v>311</v>
      </c>
      <c r="D1206" s="405" t="s">
        <v>8702</v>
      </c>
      <c r="E1206" s="410">
        <v>43807</v>
      </c>
      <c r="F1206" s="410">
        <v>43827</v>
      </c>
      <c r="G1206" s="405" t="s">
        <v>17719</v>
      </c>
      <c r="H1206" s="405" t="s">
        <v>17720</v>
      </c>
      <c r="I1206" s="405" t="s">
        <v>2913</v>
      </c>
      <c r="J1206" s="405">
        <v>0.51597300000000001</v>
      </c>
      <c r="K1206" s="405">
        <v>33.342052000000002</v>
      </c>
      <c r="L1206" s="405" t="s">
        <v>6866</v>
      </c>
      <c r="M1206" s="405" t="s">
        <v>5411</v>
      </c>
      <c r="N1206" s="405" t="s">
        <v>13715</v>
      </c>
      <c r="O1206" s="405" t="s">
        <v>17721</v>
      </c>
      <c r="P1206" s="405" t="s">
        <v>17722</v>
      </c>
      <c r="Q1206" s="411">
        <v>6</v>
      </c>
      <c r="R1206" s="405" t="s">
        <v>32157</v>
      </c>
      <c r="S1206" s="405" t="s">
        <v>27045</v>
      </c>
      <c r="T1206" s="405" t="s">
        <v>32102</v>
      </c>
      <c r="U1206" s="405" t="s">
        <v>319</v>
      </c>
    </row>
    <row r="1207" spans="1:21" x14ac:dyDescent="0.25">
      <c r="A1207" s="405" t="s">
        <v>310</v>
      </c>
      <c r="B1207" s="405" t="s">
        <v>25764</v>
      </c>
      <c r="C1207" s="405" t="s">
        <v>327</v>
      </c>
      <c r="D1207" s="405"/>
      <c r="E1207" s="410">
        <v>43807</v>
      </c>
      <c r="F1207" s="410">
        <v>43816</v>
      </c>
      <c r="G1207" s="405" t="s">
        <v>25765</v>
      </c>
      <c r="H1207" s="405" t="s">
        <v>25766</v>
      </c>
      <c r="I1207" s="405" t="s">
        <v>2913</v>
      </c>
      <c r="J1207" s="405">
        <v>-1.256688</v>
      </c>
      <c r="K1207" s="405">
        <v>29.682836999999999</v>
      </c>
      <c r="L1207" s="405" t="s">
        <v>590</v>
      </c>
      <c r="M1207" s="405" t="s">
        <v>20070</v>
      </c>
      <c r="N1207" s="405" t="s">
        <v>25767</v>
      </c>
      <c r="O1207" s="405" t="s">
        <v>25768</v>
      </c>
      <c r="P1207" s="405" t="s">
        <v>25769</v>
      </c>
      <c r="Q1207" s="411">
        <v>6</v>
      </c>
      <c r="R1207" s="405" t="s">
        <v>24106</v>
      </c>
      <c r="S1207" s="405" t="s">
        <v>27102</v>
      </c>
      <c r="T1207" s="405" t="s">
        <v>32102</v>
      </c>
      <c r="U1207" s="405" t="s">
        <v>319</v>
      </c>
    </row>
    <row r="1208" spans="1:21" x14ac:dyDescent="0.25">
      <c r="A1208" s="405" t="s">
        <v>310</v>
      </c>
      <c r="B1208" s="405" t="s">
        <v>25989</v>
      </c>
      <c r="C1208" s="405" t="s">
        <v>311</v>
      </c>
      <c r="D1208" s="405" t="s">
        <v>312</v>
      </c>
      <c r="E1208" s="410">
        <v>43806</v>
      </c>
      <c r="F1208" s="410">
        <v>43819</v>
      </c>
      <c r="G1208" s="405" t="s">
        <v>25990</v>
      </c>
      <c r="H1208" s="405">
        <v>782683691</v>
      </c>
      <c r="I1208" s="405"/>
      <c r="J1208" s="405">
        <v>-0.98596300000000003</v>
      </c>
      <c r="K1208" s="405">
        <v>29.848064999999998</v>
      </c>
      <c r="L1208" s="405" t="s">
        <v>590</v>
      </c>
      <c r="M1208" s="405" t="s">
        <v>20808</v>
      </c>
      <c r="N1208" s="405" t="s">
        <v>23390</v>
      </c>
      <c r="O1208" s="405" t="s">
        <v>25991</v>
      </c>
      <c r="P1208" s="405" t="s">
        <v>25992</v>
      </c>
      <c r="Q1208" s="411">
        <v>6</v>
      </c>
      <c r="R1208" s="405" t="s">
        <v>6572</v>
      </c>
      <c r="S1208" s="405" t="s">
        <v>27443</v>
      </c>
      <c r="T1208" s="405" t="s">
        <v>32102</v>
      </c>
      <c r="U1208" s="405" t="s">
        <v>319</v>
      </c>
    </row>
    <row r="1209" spans="1:21" x14ac:dyDescent="0.25">
      <c r="A1209" s="405" t="s">
        <v>310</v>
      </c>
      <c r="B1209" s="405" t="s">
        <v>17750</v>
      </c>
      <c r="C1209" s="405" t="s">
        <v>327</v>
      </c>
      <c r="D1209" s="405"/>
      <c r="E1209" s="410">
        <v>43805</v>
      </c>
      <c r="F1209" s="410">
        <v>43817</v>
      </c>
      <c r="G1209" s="405" t="s">
        <v>17751</v>
      </c>
      <c r="H1209" s="405">
        <v>777773393</v>
      </c>
      <c r="I1209" s="405">
        <v>752773393</v>
      </c>
      <c r="J1209" s="405">
        <v>0.65192799999999995</v>
      </c>
      <c r="K1209" s="405">
        <v>33.087516999999998</v>
      </c>
      <c r="L1209" s="405" t="s">
        <v>6866</v>
      </c>
      <c r="M1209" s="405" t="s">
        <v>3009</v>
      </c>
      <c r="N1209" s="405" t="s">
        <v>9842</v>
      </c>
      <c r="O1209" s="405" t="s">
        <v>4091</v>
      </c>
      <c r="P1209" s="405" t="s">
        <v>17752</v>
      </c>
      <c r="Q1209" s="411">
        <v>6</v>
      </c>
      <c r="R1209" s="405" t="s">
        <v>32164</v>
      </c>
      <c r="S1209" s="405" t="s">
        <v>27276</v>
      </c>
      <c r="T1209" s="405" t="s">
        <v>32102</v>
      </c>
      <c r="U1209" s="405" t="s">
        <v>319</v>
      </c>
    </row>
    <row r="1210" spans="1:21" x14ac:dyDescent="0.25">
      <c r="A1210" s="405" t="s">
        <v>310</v>
      </c>
      <c r="B1210" s="405" t="s">
        <v>17153</v>
      </c>
      <c r="C1210" s="405" t="s">
        <v>327</v>
      </c>
      <c r="D1210" s="405"/>
      <c r="E1210" s="410">
        <v>43804</v>
      </c>
      <c r="F1210" s="410">
        <v>43820</v>
      </c>
      <c r="G1210" s="405" t="s">
        <v>17154</v>
      </c>
      <c r="H1210" s="405">
        <v>704458654</v>
      </c>
      <c r="I1210" s="405"/>
      <c r="J1210" s="405">
        <v>0.483039</v>
      </c>
      <c r="K1210" s="405">
        <v>33.259320000000002</v>
      </c>
      <c r="L1210" s="405" t="s">
        <v>6866</v>
      </c>
      <c r="M1210" s="405" t="s">
        <v>9590</v>
      </c>
      <c r="N1210" s="405" t="s">
        <v>9591</v>
      </c>
      <c r="O1210" s="405" t="s">
        <v>17155</v>
      </c>
      <c r="P1210" s="405" t="s">
        <v>15331</v>
      </c>
      <c r="Q1210" s="411">
        <v>9</v>
      </c>
      <c r="R1210" s="405" t="s">
        <v>32164</v>
      </c>
      <c r="S1210" s="405" t="s">
        <v>27276</v>
      </c>
      <c r="T1210" s="405" t="s">
        <v>32102</v>
      </c>
      <c r="U1210" s="405" t="s">
        <v>319</v>
      </c>
    </row>
    <row r="1211" spans="1:21" x14ac:dyDescent="0.25">
      <c r="A1211" s="405" t="s">
        <v>310</v>
      </c>
      <c r="B1211" s="405" t="s">
        <v>19090</v>
      </c>
      <c r="C1211" s="405" t="s">
        <v>327</v>
      </c>
      <c r="D1211" s="405"/>
      <c r="E1211" s="410">
        <v>43804</v>
      </c>
      <c r="F1211" s="410">
        <v>43818</v>
      </c>
      <c r="G1211" s="405" t="s">
        <v>19091</v>
      </c>
      <c r="H1211" s="405" t="s">
        <v>19092</v>
      </c>
      <c r="I1211" s="405" t="s">
        <v>2913</v>
      </c>
      <c r="J1211" s="405">
        <v>2.2209829999999999</v>
      </c>
      <c r="K1211" s="405">
        <v>33.008215999999997</v>
      </c>
      <c r="L1211" s="405" t="s">
        <v>860</v>
      </c>
      <c r="M1211" s="405" t="s">
        <v>18234</v>
      </c>
      <c r="N1211" s="405" t="s">
        <v>19093</v>
      </c>
      <c r="O1211" s="405" t="s">
        <v>19094</v>
      </c>
      <c r="P1211" s="405" t="s">
        <v>19095</v>
      </c>
      <c r="Q1211" s="411">
        <v>6</v>
      </c>
      <c r="R1211" s="405" t="s">
        <v>7208</v>
      </c>
      <c r="S1211" s="405" t="s">
        <v>27264</v>
      </c>
      <c r="T1211" s="405" t="s">
        <v>32102</v>
      </c>
      <c r="U1211" s="405" t="s">
        <v>319</v>
      </c>
    </row>
    <row r="1212" spans="1:21" x14ac:dyDescent="0.25">
      <c r="A1212" s="405" t="s">
        <v>310</v>
      </c>
      <c r="B1212" s="405" t="s">
        <v>8007</v>
      </c>
      <c r="C1212" s="405" t="s">
        <v>327</v>
      </c>
      <c r="D1212" s="405"/>
      <c r="E1212" s="410">
        <v>43804</v>
      </c>
      <c r="F1212" s="410">
        <v>43811</v>
      </c>
      <c r="G1212" s="405" t="s">
        <v>8008</v>
      </c>
      <c r="H1212" s="405">
        <v>752624039</v>
      </c>
      <c r="I1212" s="405"/>
      <c r="J1212" s="405">
        <v>0.33595999999999998</v>
      </c>
      <c r="K1212" s="405">
        <v>32.513446999999999</v>
      </c>
      <c r="L1212" s="405" t="s">
        <v>314</v>
      </c>
      <c r="M1212" s="405" t="s">
        <v>361</v>
      </c>
      <c r="N1212" s="405" t="s">
        <v>1682</v>
      </c>
      <c r="O1212" s="405" t="s">
        <v>375</v>
      </c>
      <c r="P1212" s="405" t="s">
        <v>8009</v>
      </c>
      <c r="Q1212" s="411">
        <v>6</v>
      </c>
      <c r="R1212" s="405" t="s">
        <v>4176</v>
      </c>
      <c r="S1212" s="405" t="s">
        <v>27266</v>
      </c>
      <c r="T1212" s="405" t="s">
        <v>32102</v>
      </c>
      <c r="U1212" s="405" t="s">
        <v>319</v>
      </c>
    </row>
    <row r="1213" spans="1:21" x14ac:dyDescent="0.25">
      <c r="A1213" s="405" t="s">
        <v>310</v>
      </c>
      <c r="B1213" s="405" t="s">
        <v>8701</v>
      </c>
      <c r="C1213" s="405" t="s">
        <v>311</v>
      </c>
      <c r="D1213" s="405" t="s">
        <v>8702</v>
      </c>
      <c r="E1213" s="410">
        <v>43802</v>
      </c>
      <c r="F1213" s="410">
        <v>43822</v>
      </c>
      <c r="G1213" s="405" t="s">
        <v>8703</v>
      </c>
      <c r="H1213" s="405">
        <v>752600497</v>
      </c>
      <c r="I1213" s="405"/>
      <c r="J1213" s="405">
        <v>0.24850700000000001</v>
      </c>
      <c r="K1213" s="405">
        <v>32.529826999999997</v>
      </c>
      <c r="L1213" s="405" t="s">
        <v>314</v>
      </c>
      <c r="M1213" s="405" t="s">
        <v>361</v>
      </c>
      <c r="N1213" s="405" t="s">
        <v>374</v>
      </c>
      <c r="O1213" s="405" t="s">
        <v>4689</v>
      </c>
      <c r="P1213" s="405" t="s">
        <v>6601</v>
      </c>
      <c r="Q1213" s="411">
        <v>13</v>
      </c>
      <c r="R1213" s="405" t="s">
        <v>32157</v>
      </c>
      <c r="S1213" s="405" t="s">
        <v>27051</v>
      </c>
      <c r="T1213" s="405" t="s">
        <v>32102</v>
      </c>
      <c r="U1213" s="405" t="s">
        <v>319</v>
      </c>
    </row>
    <row r="1214" spans="1:21" x14ac:dyDescent="0.25">
      <c r="A1214" s="405" t="s">
        <v>310</v>
      </c>
      <c r="B1214" s="405" t="s">
        <v>8019</v>
      </c>
      <c r="C1214" s="405" t="s">
        <v>327</v>
      </c>
      <c r="D1214" s="405"/>
      <c r="E1214" s="410">
        <v>43802</v>
      </c>
      <c r="F1214" s="410">
        <v>43822</v>
      </c>
      <c r="G1214" s="405" t="s">
        <v>8020</v>
      </c>
      <c r="H1214" s="405">
        <v>782898530</v>
      </c>
      <c r="I1214" s="405">
        <v>750395804</v>
      </c>
      <c r="J1214" s="405">
        <v>0.23571500000000001</v>
      </c>
      <c r="K1214" s="405">
        <v>32.553817000000002</v>
      </c>
      <c r="L1214" s="405" t="s">
        <v>314</v>
      </c>
      <c r="M1214" s="405" t="s">
        <v>361</v>
      </c>
      <c r="N1214" s="405" t="s">
        <v>374</v>
      </c>
      <c r="O1214" s="405" t="s">
        <v>523</v>
      </c>
      <c r="P1214" s="405" t="s">
        <v>8021</v>
      </c>
      <c r="Q1214" s="411">
        <v>9</v>
      </c>
      <c r="R1214" s="405" t="s">
        <v>32157</v>
      </c>
      <c r="S1214" s="405" t="s">
        <v>27035</v>
      </c>
      <c r="T1214" s="405" t="s">
        <v>32102</v>
      </c>
      <c r="U1214" s="405" t="s">
        <v>319</v>
      </c>
    </row>
    <row r="1215" spans="1:21" x14ac:dyDescent="0.25">
      <c r="A1215" s="405" t="s">
        <v>310</v>
      </c>
      <c r="B1215" s="405" t="s">
        <v>25981</v>
      </c>
      <c r="C1215" s="405" t="s">
        <v>311</v>
      </c>
      <c r="D1215" s="405" t="s">
        <v>8702</v>
      </c>
      <c r="E1215" s="410">
        <v>43802</v>
      </c>
      <c r="F1215" s="410">
        <v>43817</v>
      </c>
      <c r="G1215" s="405" t="s">
        <v>25982</v>
      </c>
      <c r="H1215" s="405">
        <v>772618191</v>
      </c>
      <c r="I1215" s="405">
        <v>787551511</v>
      </c>
      <c r="J1215" s="405" t="s">
        <v>7420</v>
      </c>
      <c r="K1215" s="405">
        <v>31.835087999999999</v>
      </c>
      <c r="L1215" s="405" t="s">
        <v>590</v>
      </c>
      <c r="M1215" s="405" t="s">
        <v>19619</v>
      </c>
      <c r="N1215" s="405" t="s">
        <v>19793</v>
      </c>
      <c r="O1215" s="405" t="s">
        <v>25045</v>
      </c>
      <c r="P1215" s="405" t="s">
        <v>19769</v>
      </c>
      <c r="Q1215" s="411">
        <v>6</v>
      </c>
      <c r="R1215" s="405" t="s">
        <v>6572</v>
      </c>
      <c r="S1215" s="405" t="s">
        <v>27154</v>
      </c>
      <c r="T1215" s="405" t="s">
        <v>32102</v>
      </c>
      <c r="U1215" s="405" t="s">
        <v>319</v>
      </c>
    </row>
    <row r="1216" spans="1:21" x14ac:dyDescent="0.25">
      <c r="A1216" s="405" t="s">
        <v>310</v>
      </c>
      <c r="B1216" s="405" t="s">
        <v>8044</v>
      </c>
      <c r="C1216" s="405" t="s">
        <v>327</v>
      </c>
      <c r="D1216" s="405"/>
      <c r="E1216" s="410">
        <v>43801</v>
      </c>
      <c r="F1216" s="410">
        <v>43831</v>
      </c>
      <c r="G1216" s="405" t="s">
        <v>8045</v>
      </c>
      <c r="H1216" s="405" t="s">
        <v>8046</v>
      </c>
      <c r="I1216" s="405" t="s">
        <v>8047</v>
      </c>
      <c r="J1216" s="405">
        <v>0.358097</v>
      </c>
      <c r="K1216" s="405">
        <v>32.593465000000002</v>
      </c>
      <c r="L1216" s="405" t="s">
        <v>314</v>
      </c>
      <c r="M1216" s="405" t="s">
        <v>992</v>
      </c>
      <c r="N1216" s="405" t="s">
        <v>5924</v>
      </c>
      <c r="O1216" s="405" t="s">
        <v>8048</v>
      </c>
      <c r="P1216" s="405" t="s">
        <v>7080</v>
      </c>
      <c r="Q1216" s="411">
        <v>9</v>
      </c>
      <c r="R1216" s="405" t="s">
        <v>5986</v>
      </c>
      <c r="S1216" s="405" t="s">
        <v>5986</v>
      </c>
      <c r="T1216" s="405" t="s">
        <v>32102</v>
      </c>
      <c r="U1216" s="405" t="s">
        <v>319</v>
      </c>
    </row>
    <row r="1217" spans="1:21" x14ac:dyDescent="0.25">
      <c r="A1217" s="405" t="s">
        <v>310</v>
      </c>
      <c r="B1217" s="405" t="s">
        <v>25750</v>
      </c>
      <c r="C1217" s="405" t="s">
        <v>327</v>
      </c>
      <c r="D1217" s="405"/>
      <c r="E1217" s="410">
        <v>43801</v>
      </c>
      <c r="F1217" s="410">
        <v>43818</v>
      </c>
      <c r="G1217" s="405" t="s">
        <v>25751</v>
      </c>
      <c r="H1217" s="405">
        <v>787887253</v>
      </c>
      <c r="I1217" s="405"/>
      <c r="J1217" s="405">
        <v>1.433862</v>
      </c>
      <c r="K1217" s="405">
        <v>32.168792000000003</v>
      </c>
      <c r="L1217" s="405" t="s">
        <v>590</v>
      </c>
      <c r="M1217" s="405" t="s">
        <v>591</v>
      </c>
      <c r="N1217" s="405" t="s">
        <v>6003</v>
      </c>
      <c r="O1217" s="405" t="s">
        <v>25752</v>
      </c>
      <c r="P1217" s="405" t="s">
        <v>25753</v>
      </c>
      <c r="Q1217" s="411">
        <v>9</v>
      </c>
      <c r="R1217" s="405" t="s">
        <v>32157</v>
      </c>
      <c r="S1217" s="405" t="s">
        <v>27045</v>
      </c>
      <c r="T1217" s="405" t="s">
        <v>32102</v>
      </c>
      <c r="U1217" s="405" t="s">
        <v>319</v>
      </c>
    </row>
    <row r="1218" spans="1:21" x14ac:dyDescent="0.25">
      <c r="A1218" s="405" t="s">
        <v>310</v>
      </c>
      <c r="B1218" s="405" t="s">
        <v>8005</v>
      </c>
      <c r="C1218" s="405" t="s">
        <v>327</v>
      </c>
      <c r="D1218" s="405"/>
      <c r="E1218" s="410">
        <v>43800</v>
      </c>
      <c r="F1218" s="410">
        <v>43820</v>
      </c>
      <c r="G1218" s="405" t="s">
        <v>8006</v>
      </c>
      <c r="H1218" s="405">
        <v>757910829</v>
      </c>
      <c r="I1218" s="405"/>
      <c r="J1218" s="405">
        <v>0.26458500000000001</v>
      </c>
      <c r="K1218" s="405">
        <v>32.432412999999997</v>
      </c>
      <c r="L1218" s="405" t="s">
        <v>314</v>
      </c>
      <c r="M1218" s="405" t="s">
        <v>361</v>
      </c>
      <c r="N1218" s="405" t="s">
        <v>3398</v>
      </c>
      <c r="O1218" s="405" t="s">
        <v>375</v>
      </c>
      <c r="P1218" s="405" t="s">
        <v>3822</v>
      </c>
      <c r="Q1218" s="411">
        <v>6</v>
      </c>
      <c r="R1218" s="405" t="s">
        <v>4176</v>
      </c>
      <c r="S1218" s="405" t="s">
        <v>27053</v>
      </c>
      <c r="T1218" s="405" t="s">
        <v>32102</v>
      </c>
      <c r="U1218" s="405" t="s">
        <v>319</v>
      </c>
    </row>
    <row r="1219" spans="1:21" x14ac:dyDescent="0.25">
      <c r="A1219" s="405" t="s">
        <v>310</v>
      </c>
      <c r="B1219" s="405" t="s">
        <v>8026</v>
      </c>
      <c r="C1219" s="405" t="s">
        <v>327</v>
      </c>
      <c r="D1219" s="405"/>
      <c r="E1219" s="410">
        <v>43799</v>
      </c>
      <c r="F1219" s="410">
        <v>43829</v>
      </c>
      <c r="G1219" s="405" t="s">
        <v>8027</v>
      </c>
      <c r="H1219" s="405" t="s">
        <v>8028</v>
      </c>
      <c r="I1219" s="405" t="s">
        <v>2913</v>
      </c>
      <c r="J1219" s="405">
        <v>0.55484999999999995</v>
      </c>
      <c r="K1219" s="405">
        <v>31.393212999999999</v>
      </c>
      <c r="L1219" s="405" t="s">
        <v>314</v>
      </c>
      <c r="M1219" s="405" t="s">
        <v>445</v>
      </c>
      <c r="N1219" s="405" t="s">
        <v>8029</v>
      </c>
      <c r="O1219" s="405" t="s">
        <v>7176</v>
      </c>
      <c r="P1219" s="405" t="s">
        <v>5985</v>
      </c>
      <c r="Q1219" s="411">
        <v>13</v>
      </c>
      <c r="R1219" s="405" t="s">
        <v>32157</v>
      </c>
      <c r="S1219" s="405" t="s">
        <v>27052</v>
      </c>
      <c r="T1219" s="405" t="s">
        <v>32102</v>
      </c>
      <c r="U1219" s="405" t="s">
        <v>319</v>
      </c>
    </row>
    <row r="1220" spans="1:21" x14ac:dyDescent="0.25">
      <c r="A1220" s="405" t="s">
        <v>310</v>
      </c>
      <c r="B1220" s="405" t="s">
        <v>7952</v>
      </c>
      <c r="C1220" s="405" t="s">
        <v>857</v>
      </c>
      <c r="D1220" s="405" t="s">
        <v>32463</v>
      </c>
      <c r="E1220" s="410">
        <v>43799</v>
      </c>
      <c r="F1220" s="410">
        <v>43817</v>
      </c>
      <c r="G1220" s="405" t="s">
        <v>7953</v>
      </c>
      <c r="H1220" s="405">
        <v>772454356</v>
      </c>
      <c r="I1220" s="405"/>
      <c r="J1220" s="405">
        <v>0.44046200000000002</v>
      </c>
      <c r="K1220" s="405">
        <v>32.663713000000001</v>
      </c>
      <c r="L1220" s="405" t="s">
        <v>314</v>
      </c>
      <c r="M1220" s="405" t="s">
        <v>329</v>
      </c>
      <c r="N1220" s="405" t="s">
        <v>4961</v>
      </c>
      <c r="O1220" s="405" t="s">
        <v>363</v>
      </c>
      <c r="P1220" s="405" t="s">
        <v>7954</v>
      </c>
      <c r="Q1220" s="411">
        <v>13</v>
      </c>
      <c r="R1220" s="405" t="s">
        <v>32101</v>
      </c>
      <c r="S1220" s="405" t="s">
        <v>27275</v>
      </c>
      <c r="T1220" s="405" t="s">
        <v>32102</v>
      </c>
      <c r="U1220" s="405" t="s">
        <v>319</v>
      </c>
    </row>
    <row r="1221" spans="1:21" x14ac:dyDescent="0.25">
      <c r="A1221" s="405" t="s">
        <v>310</v>
      </c>
      <c r="B1221" s="405" t="s">
        <v>7963</v>
      </c>
      <c r="C1221" s="405" t="s">
        <v>327</v>
      </c>
      <c r="D1221" s="405"/>
      <c r="E1221" s="410">
        <v>43799</v>
      </c>
      <c r="F1221" s="410">
        <v>43815</v>
      </c>
      <c r="G1221" s="405" t="s">
        <v>7964</v>
      </c>
      <c r="H1221" s="405">
        <v>702438061</v>
      </c>
      <c r="I1221" s="405"/>
      <c r="J1221" s="405">
        <v>0.42020200000000002</v>
      </c>
      <c r="K1221" s="405">
        <v>32.545287999999999</v>
      </c>
      <c r="L1221" s="405" t="s">
        <v>314</v>
      </c>
      <c r="M1221" s="405" t="s">
        <v>361</v>
      </c>
      <c r="N1221" s="405" t="s">
        <v>4961</v>
      </c>
      <c r="O1221" s="405" t="s">
        <v>410</v>
      </c>
      <c r="P1221" s="405" t="s">
        <v>7965</v>
      </c>
      <c r="Q1221" s="411">
        <v>13</v>
      </c>
      <c r="R1221" s="405" t="s">
        <v>32101</v>
      </c>
      <c r="S1221" s="405" t="s">
        <v>27034</v>
      </c>
      <c r="T1221" s="405" t="s">
        <v>32102</v>
      </c>
      <c r="U1221" s="405" t="s">
        <v>319</v>
      </c>
    </row>
    <row r="1222" spans="1:21" x14ac:dyDescent="0.25">
      <c r="A1222" s="405" t="s">
        <v>310</v>
      </c>
      <c r="B1222" s="405" t="s">
        <v>25697</v>
      </c>
      <c r="C1222" s="405" t="s">
        <v>327</v>
      </c>
      <c r="D1222" s="405"/>
      <c r="E1222" s="410">
        <v>43799</v>
      </c>
      <c r="F1222" s="410">
        <v>43803</v>
      </c>
      <c r="G1222" s="405" t="s">
        <v>25698</v>
      </c>
      <c r="H1222" s="405">
        <v>752853376</v>
      </c>
      <c r="I1222" s="405"/>
      <c r="J1222" s="405">
        <v>-0.94871000000000005</v>
      </c>
      <c r="K1222" s="405">
        <v>30.846326999999999</v>
      </c>
      <c r="L1222" s="405" t="s">
        <v>590</v>
      </c>
      <c r="M1222" s="405" t="s">
        <v>879</v>
      </c>
      <c r="N1222" s="405" t="s">
        <v>23243</v>
      </c>
      <c r="O1222" s="405" t="s">
        <v>20176</v>
      </c>
      <c r="P1222" s="405" t="s">
        <v>20176</v>
      </c>
      <c r="Q1222" s="411">
        <v>9</v>
      </c>
      <c r="R1222" s="405" t="s">
        <v>883</v>
      </c>
      <c r="S1222" s="405" t="s">
        <v>27097</v>
      </c>
      <c r="T1222" s="406" t="s">
        <v>32102</v>
      </c>
      <c r="U1222" s="406" t="s">
        <v>319</v>
      </c>
    </row>
    <row r="1223" spans="1:21" x14ac:dyDescent="0.25">
      <c r="A1223" s="405" t="s">
        <v>310</v>
      </c>
      <c r="B1223" s="405" t="s">
        <v>7971</v>
      </c>
      <c r="C1223" s="405" t="s">
        <v>327</v>
      </c>
      <c r="D1223" s="405"/>
      <c r="E1223" s="410">
        <v>43799</v>
      </c>
      <c r="F1223" s="410">
        <v>43827</v>
      </c>
      <c r="G1223" s="405" t="s">
        <v>7972</v>
      </c>
      <c r="H1223" s="405">
        <v>706330672</v>
      </c>
      <c r="I1223" s="405" t="s">
        <v>2913</v>
      </c>
      <c r="J1223" s="405">
        <v>0.59935000000000005</v>
      </c>
      <c r="K1223" s="405">
        <v>32.679367999999997</v>
      </c>
      <c r="L1223" s="405" t="s">
        <v>314</v>
      </c>
      <c r="M1223" s="405" t="s">
        <v>959</v>
      </c>
      <c r="N1223" s="405" t="s">
        <v>960</v>
      </c>
      <c r="O1223" s="405" t="s">
        <v>961</v>
      </c>
      <c r="P1223" s="405" t="s">
        <v>7973</v>
      </c>
      <c r="Q1223" s="411">
        <v>6</v>
      </c>
      <c r="R1223" s="405" t="s">
        <v>32101</v>
      </c>
      <c r="S1223" s="405" t="s">
        <v>27034</v>
      </c>
      <c r="T1223" s="406" t="s">
        <v>884</v>
      </c>
      <c r="U1223" s="406" t="s">
        <v>319</v>
      </c>
    </row>
    <row r="1224" spans="1:21" x14ac:dyDescent="0.25">
      <c r="A1224" s="405" t="s">
        <v>310</v>
      </c>
      <c r="B1224" s="405" t="s">
        <v>8756</v>
      </c>
      <c r="C1224" s="405" t="s">
        <v>311</v>
      </c>
      <c r="D1224" s="405" t="s">
        <v>2127</v>
      </c>
      <c r="E1224" s="410">
        <v>43799</v>
      </c>
      <c r="F1224" s="410">
        <v>43825</v>
      </c>
      <c r="G1224" s="405" t="s">
        <v>8757</v>
      </c>
      <c r="H1224" s="405">
        <v>786575959</v>
      </c>
      <c r="I1224" s="405"/>
      <c r="J1224" s="405">
        <v>0.37609799999999999</v>
      </c>
      <c r="K1224" s="405">
        <v>32.781106999999999</v>
      </c>
      <c r="L1224" s="405" t="s">
        <v>314</v>
      </c>
      <c r="M1224" s="405" t="s">
        <v>329</v>
      </c>
      <c r="N1224" s="405" t="s">
        <v>7638</v>
      </c>
      <c r="O1224" s="405" t="s">
        <v>546</v>
      </c>
      <c r="P1224" s="405" t="s">
        <v>8758</v>
      </c>
      <c r="Q1224" s="411">
        <v>6</v>
      </c>
      <c r="R1224" s="405" t="s">
        <v>32157</v>
      </c>
      <c r="S1224" s="405" t="s">
        <v>27035</v>
      </c>
      <c r="T1224" s="406" t="s">
        <v>884</v>
      </c>
      <c r="U1224" s="406" t="s">
        <v>319</v>
      </c>
    </row>
    <row r="1225" spans="1:21" x14ac:dyDescent="0.25">
      <c r="A1225" s="405" t="s">
        <v>310</v>
      </c>
      <c r="B1225" s="405" t="s">
        <v>17156</v>
      </c>
      <c r="C1225" s="405" t="s">
        <v>327</v>
      </c>
      <c r="D1225" s="405"/>
      <c r="E1225" s="410">
        <v>43799</v>
      </c>
      <c r="F1225" s="410">
        <v>43819</v>
      </c>
      <c r="G1225" s="405" t="s">
        <v>17157</v>
      </c>
      <c r="H1225" s="405">
        <v>783877588</v>
      </c>
      <c r="I1225" s="405"/>
      <c r="J1225" s="405">
        <v>0.33298699999999998</v>
      </c>
      <c r="K1225" s="405">
        <v>33.520831000000001</v>
      </c>
      <c r="L1225" s="405" t="s">
        <v>6866</v>
      </c>
      <c r="M1225" s="405" t="s">
        <v>5411</v>
      </c>
      <c r="N1225" s="405" t="s">
        <v>13715</v>
      </c>
      <c r="O1225" s="405" t="s">
        <v>16574</v>
      </c>
      <c r="P1225" s="405" t="s">
        <v>17079</v>
      </c>
      <c r="Q1225" s="411">
        <v>6</v>
      </c>
      <c r="R1225" s="405" t="s">
        <v>32164</v>
      </c>
      <c r="S1225" s="405" t="s">
        <v>27044</v>
      </c>
      <c r="T1225" s="406" t="s">
        <v>32102</v>
      </c>
      <c r="U1225" s="406" t="s">
        <v>319</v>
      </c>
    </row>
    <row r="1226" spans="1:21" x14ac:dyDescent="0.25">
      <c r="A1226" s="405" t="s">
        <v>310</v>
      </c>
      <c r="B1226" s="405" t="s">
        <v>25708</v>
      </c>
      <c r="C1226" s="405" t="s">
        <v>327</v>
      </c>
      <c r="D1226" s="405"/>
      <c r="E1226" s="410">
        <v>43799</v>
      </c>
      <c r="F1226" s="410">
        <v>43814</v>
      </c>
      <c r="G1226" s="405" t="s">
        <v>25709</v>
      </c>
      <c r="H1226" s="405">
        <v>758347555</v>
      </c>
      <c r="I1226" s="405"/>
      <c r="J1226" s="405">
        <v>0.33888000000000001</v>
      </c>
      <c r="K1226" s="405">
        <v>31.646666</v>
      </c>
      <c r="L1226" s="405" t="s">
        <v>24545</v>
      </c>
      <c r="M1226" s="405" t="s">
        <v>19705</v>
      </c>
      <c r="N1226" s="405" t="s">
        <v>19706</v>
      </c>
      <c r="O1226" s="405" t="s">
        <v>22327</v>
      </c>
      <c r="P1226" s="405" t="s">
        <v>25710</v>
      </c>
      <c r="Q1226" s="411">
        <v>6</v>
      </c>
      <c r="R1226" s="405" t="s">
        <v>6572</v>
      </c>
      <c r="S1226" s="405" t="s">
        <v>27095</v>
      </c>
      <c r="T1226" s="406" t="s">
        <v>32102</v>
      </c>
      <c r="U1226" s="406" t="s">
        <v>319</v>
      </c>
    </row>
    <row r="1227" spans="1:21" x14ac:dyDescent="0.25">
      <c r="A1227" s="405" t="s">
        <v>310</v>
      </c>
      <c r="B1227" s="405" t="s">
        <v>17106</v>
      </c>
      <c r="C1227" s="405" t="s">
        <v>327</v>
      </c>
      <c r="D1227" s="405"/>
      <c r="E1227" s="410">
        <v>43799</v>
      </c>
      <c r="F1227" s="410">
        <v>43820</v>
      </c>
      <c r="G1227" s="405" t="s">
        <v>17107</v>
      </c>
      <c r="H1227" s="405">
        <v>772927243</v>
      </c>
      <c r="I1227" s="405"/>
      <c r="J1227" s="405">
        <v>0.91031799999999996</v>
      </c>
      <c r="K1227" s="405">
        <v>34.190108000000002</v>
      </c>
      <c r="L1227" s="405" t="s">
        <v>6866</v>
      </c>
      <c r="M1227" s="405" t="s">
        <v>9514</v>
      </c>
      <c r="N1227" s="405" t="s">
        <v>16909</v>
      </c>
      <c r="O1227" s="405" t="s">
        <v>17108</v>
      </c>
      <c r="P1227" s="405" t="s">
        <v>17109</v>
      </c>
      <c r="Q1227" s="411">
        <v>4</v>
      </c>
      <c r="R1227" s="405" t="s">
        <v>7224</v>
      </c>
      <c r="S1227" s="405" t="s">
        <v>27067</v>
      </c>
      <c r="T1227" s="406" t="s">
        <v>32102</v>
      </c>
      <c r="U1227" s="406" t="s">
        <v>319</v>
      </c>
    </row>
    <row r="1228" spans="1:21" x14ac:dyDescent="0.25">
      <c r="A1228" s="405" t="s">
        <v>310</v>
      </c>
      <c r="B1228" s="405" t="s">
        <v>25711</v>
      </c>
      <c r="C1228" s="405" t="s">
        <v>327</v>
      </c>
      <c r="D1228" s="405"/>
      <c r="E1228" s="410">
        <v>43798</v>
      </c>
      <c r="F1228" s="410">
        <v>43808</v>
      </c>
      <c r="G1228" s="405" t="s">
        <v>25712</v>
      </c>
      <c r="H1228" s="405">
        <v>756556726</v>
      </c>
      <c r="I1228" s="405"/>
      <c r="J1228" s="405">
        <v>-0.84082199999999996</v>
      </c>
      <c r="K1228" s="405">
        <v>30.272005</v>
      </c>
      <c r="L1228" s="405" t="s">
        <v>590</v>
      </c>
      <c r="M1228" s="405" t="s">
        <v>5312</v>
      </c>
      <c r="N1228" s="405" t="s">
        <v>25097</v>
      </c>
      <c r="O1228" s="405" t="s">
        <v>25713</v>
      </c>
      <c r="P1228" s="405" t="s">
        <v>25714</v>
      </c>
      <c r="Q1228" s="411">
        <v>13</v>
      </c>
      <c r="R1228" s="405" t="s">
        <v>32166</v>
      </c>
      <c r="S1228" s="405" t="s">
        <v>27102</v>
      </c>
      <c r="T1228" s="406" t="s">
        <v>32102</v>
      </c>
      <c r="U1228" s="406" t="s">
        <v>319</v>
      </c>
    </row>
    <row r="1229" spans="1:21" x14ac:dyDescent="0.25">
      <c r="A1229" s="405" t="s">
        <v>310</v>
      </c>
      <c r="B1229" s="405" t="s">
        <v>25704</v>
      </c>
      <c r="C1229" s="405" t="s">
        <v>327</v>
      </c>
      <c r="D1229" s="405"/>
      <c r="E1229" s="410">
        <v>43798</v>
      </c>
      <c r="F1229" s="410">
        <v>43817</v>
      </c>
      <c r="G1229" s="405" t="s">
        <v>25705</v>
      </c>
      <c r="H1229" s="405" t="s">
        <v>25706</v>
      </c>
      <c r="I1229" s="405"/>
      <c r="J1229" s="405">
        <v>0.51504000000000005</v>
      </c>
      <c r="K1229" s="405">
        <v>30.281310000000001</v>
      </c>
      <c r="L1229" s="405" t="s">
        <v>590</v>
      </c>
      <c r="M1229" s="405" t="s">
        <v>20125</v>
      </c>
      <c r="N1229" s="405" t="s">
        <v>24863</v>
      </c>
      <c r="O1229" s="405" t="s">
        <v>20135</v>
      </c>
      <c r="P1229" s="405" t="s">
        <v>25707</v>
      </c>
      <c r="Q1229" s="411">
        <v>9</v>
      </c>
      <c r="R1229" s="405" t="s">
        <v>32101</v>
      </c>
      <c r="S1229" s="405" t="s">
        <v>27278</v>
      </c>
      <c r="T1229" s="406" t="s">
        <v>32102</v>
      </c>
      <c r="U1229" s="406" t="s">
        <v>319</v>
      </c>
    </row>
    <row r="1230" spans="1:21" x14ac:dyDescent="0.25">
      <c r="A1230" s="405" t="s">
        <v>310</v>
      </c>
      <c r="B1230" s="405" t="s">
        <v>7957</v>
      </c>
      <c r="C1230" s="405" t="s">
        <v>327</v>
      </c>
      <c r="D1230" s="405"/>
      <c r="E1230" s="410">
        <v>43798</v>
      </c>
      <c r="F1230" s="410">
        <v>43816</v>
      </c>
      <c r="G1230" s="405" t="s">
        <v>7958</v>
      </c>
      <c r="H1230" s="405" t="s">
        <v>7959</v>
      </c>
      <c r="I1230" s="405"/>
      <c r="J1230" s="405">
        <v>0.48141499999999998</v>
      </c>
      <c r="K1230" s="405">
        <v>32.414757000000002</v>
      </c>
      <c r="L1230" s="405" t="s">
        <v>314</v>
      </c>
      <c r="M1230" s="405" t="s">
        <v>361</v>
      </c>
      <c r="N1230" s="405" t="s">
        <v>374</v>
      </c>
      <c r="O1230" s="405" t="s">
        <v>535</v>
      </c>
      <c r="P1230" s="405" t="s">
        <v>6692</v>
      </c>
      <c r="Q1230" s="411">
        <v>9</v>
      </c>
      <c r="R1230" s="405" t="s">
        <v>32101</v>
      </c>
      <c r="S1230" s="405" t="s">
        <v>27275</v>
      </c>
      <c r="T1230" s="406" t="s">
        <v>32102</v>
      </c>
      <c r="U1230" s="406" t="s">
        <v>319</v>
      </c>
    </row>
    <row r="1231" spans="1:21" x14ac:dyDescent="0.25">
      <c r="A1231" s="405" t="s">
        <v>310</v>
      </c>
      <c r="B1231" s="405" t="s">
        <v>8667</v>
      </c>
      <c r="C1231" s="405" t="s">
        <v>311</v>
      </c>
      <c r="D1231" s="405" t="s">
        <v>2127</v>
      </c>
      <c r="E1231" s="410">
        <v>43798</v>
      </c>
      <c r="F1231" s="410">
        <v>43812</v>
      </c>
      <c r="G1231" s="405" t="s">
        <v>8668</v>
      </c>
      <c r="H1231" s="405">
        <v>772503922</v>
      </c>
      <c r="I1231" s="405"/>
      <c r="J1231" s="405">
        <v>0.41463800000000001</v>
      </c>
      <c r="K1231" s="405">
        <v>32.46031</v>
      </c>
      <c r="L1231" s="405" t="s">
        <v>314</v>
      </c>
      <c r="M1231" s="405" t="s">
        <v>361</v>
      </c>
      <c r="N1231" s="405" t="s">
        <v>374</v>
      </c>
      <c r="O1231" s="405" t="s">
        <v>535</v>
      </c>
      <c r="P1231" s="405" t="s">
        <v>6692</v>
      </c>
      <c r="Q1231" s="411">
        <v>9</v>
      </c>
      <c r="R1231" s="405" t="s">
        <v>32101</v>
      </c>
      <c r="S1231" s="405" t="s">
        <v>27041</v>
      </c>
      <c r="T1231" s="406" t="s">
        <v>884</v>
      </c>
      <c r="U1231" s="406" t="s">
        <v>319</v>
      </c>
    </row>
    <row r="1232" spans="1:21" x14ac:dyDescent="0.25">
      <c r="A1232" s="405" t="s">
        <v>310</v>
      </c>
      <c r="B1232" s="405" t="s">
        <v>8720</v>
      </c>
      <c r="C1232" s="405" t="s">
        <v>311</v>
      </c>
      <c r="D1232" s="405" t="s">
        <v>1789</v>
      </c>
      <c r="E1232" s="410">
        <v>43798</v>
      </c>
      <c r="F1232" s="410">
        <v>43812</v>
      </c>
      <c r="G1232" s="405" t="s">
        <v>8721</v>
      </c>
      <c r="H1232" s="405" t="s">
        <v>8722</v>
      </c>
      <c r="I1232" s="405"/>
      <c r="J1232" s="405">
        <v>-0.343088</v>
      </c>
      <c r="K1232" s="405">
        <v>31.199826999999999</v>
      </c>
      <c r="L1232" s="405" t="s">
        <v>314</v>
      </c>
      <c r="M1232" s="405" t="s">
        <v>1805</v>
      </c>
      <c r="N1232" s="405" t="s">
        <v>7400</v>
      </c>
      <c r="O1232" s="405" t="s">
        <v>8723</v>
      </c>
      <c r="P1232" s="405" t="s">
        <v>8724</v>
      </c>
      <c r="Q1232" s="411">
        <v>9</v>
      </c>
      <c r="R1232" s="405" t="s">
        <v>32166</v>
      </c>
      <c r="S1232" s="405" t="s">
        <v>27095</v>
      </c>
      <c r="T1232" s="406" t="s">
        <v>32102</v>
      </c>
      <c r="U1232" s="406" t="s">
        <v>319</v>
      </c>
    </row>
    <row r="1233" spans="1:21" x14ac:dyDescent="0.25">
      <c r="A1233" s="405" t="s">
        <v>310</v>
      </c>
      <c r="B1233" s="405" t="s">
        <v>8094</v>
      </c>
      <c r="C1233" s="405" t="s">
        <v>327</v>
      </c>
      <c r="D1233" s="405"/>
      <c r="E1233" s="410">
        <v>43797</v>
      </c>
      <c r="F1233" s="410">
        <v>43886</v>
      </c>
      <c r="G1233" s="405" t="s">
        <v>8095</v>
      </c>
      <c r="H1233" s="405" t="s">
        <v>8096</v>
      </c>
      <c r="I1233" s="405" t="s">
        <v>8097</v>
      </c>
      <c r="J1233" s="405">
        <v>0.31096000000000001</v>
      </c>
      <c r="K1233" s="405">
        <v>32.525075999999999</v>
      </c>
      <c r="L1233" s="405" t="s">
        <v>314</v>
      </c>
      <c r="M1233" s="405" t="s">
        <v>992</v>
      </c>
      <c r="N1233" s="405" t="s">
        <v>936</v>
      </c>
      <c r="O1233" s="405" t="s">
        <v>8098</v>
      </c>
      <c r="P1233" s="405" t="s">
        <v>8099</v>
      </c>
      <c r="Q1233" s="411">
        <v>13</v>
      </c>
      <c r="R1233" s="405" t="s">
        <v>8073</v>
      </c>
      <c r="S1233" s="405" t="s">
        <v>27210</v>
      </c>
      <c r="T1233" s="406" t="s">
        <v>884</v>
      </c>
      <c r="U1233" s="406" t="s">
        <v>319</v>
      </c>
    </row>
    <row r="1234" spans="1:21" x14ac:dyDescent="0.25">
      <c r="A1234" s="405" t="s">
        <v>310</v>
      </c>
      <c r="B1234" s="405" t="s">
        <v>25693</v>
      </c>
      <c r="C1234" s="405" t="s">
        <v>327</v>
      </c>
      <c r="D1234" s="405"/>
      <c r="E1234" s="410">
        <v>43796</v>
      </c>
      <c r="F1234" s="410">
        <v>43810</v>
      </c>
      <c r="G1234" s="405" t="s">
        <v>25694</v>
      </c>
      <c r="H1234" s="405">
        <v>780807033</v>
      </c>
      <c r="I1234" s="405"/>
      <c r="J1234" s="405">
        <v>-0.74019299999999999</v>
      </c>
      <c r="K1234" s="405">
        <v>29.650797000000001</v>
      </c>
      <c r="L1234" s="405" t="s">
        <v>590</v>
      </c>
      <c r="M1234" s="405" t="s">
        <v>20808</v>
      </c>
      <c r="N1234" s="405" t="s">
        <v>25110</v>
      </c>
      <c r="O1234" s="405" t="s">
        <v>20560</v>
      </c>
      <c r="P1234" s="405" t="s">
        <v>12417</v>
      </c>
      <c r="Q1234" s="411">
        <v>6</v>
      </c>
      <c r="R1234" s="405" t="s">
        <v>6572</v>
      </c>
      <c r="S1234" s="405" t="s">
        <v>27442</v>
      </c>
      <c r="T1234" s="406" t="s">
        <v>884</v>
      </c>
      <c r="U1234" s="406" t="s">
        <v>319</v>
      </c>
    </row>
    <row r="1235" spans="1:21" x14ac:dyDescent="0.25">
      <c r="A1235" s="405" t="s">
        <v>310</v>
      </c>
      <c r="B1235" s="405" t="s">
        <v>7960</v>
      </c>
      <c r="C1235" s="405" t="s">
        <v>327</v>
      </c>
      <c r="D1235" s="405"/>
      <c r="E1235" s="410">
        <v>43795</v>
      </c>
      <c r="F1235" s="410">
        <v>43805</v>
      </c>
      <c r="G1235" s="405" t="s">
        <v>7961</v>
      </c>
      <c r="H1235" s="405">
        <v>782433627</v>
      </c>
      <c r="I1235" s="405"/>
      <c r="J1235" s="405">
        <v>0.96664499999999998</v>
      </c>
      <c r="K1235" s="405">
        <v>31.726721999999999</v>
      </c>
      <c r="L1235" s="405" t="s">
        <v>314</v>
      </c>
      <c r="M1235" s="405" t="s">
        <v>2537</v>
      </c>
      <c r="N1235" s="405" t="s">
        <v>2537</v>
      </c>
      <c r="O1235" s="405" t="s">
        <v>1360</v>
      </c>
      <c r="P1235" s="405" t="s">
        <v>7962</v>
      </c>
      <c r="Q1235" s="411">
        <v>9</v>
      </c>
      <c r="R1235" s="405" t="s">
        <v>32101</v>
      </c>
      <c r="S1235" s="405" t="s">
        <v>27275</v>
      </c>
      <c r="T1235" s="406" t="s">
        <v>884</v>
      </c>
      <c r="U1235" s="406" t="s">
        <v>319</v>
      </c>
    </row>
    <row r="1236" spans="1:21" x14ac:dyDescent="0.25">
      <c r="A1236" s="405" t="s">
        <v>310</v>
      </c>
      <c r="B1236" s="405" t="s">
        <v>8753</v>
      </c>
      <c r="C1236" s="405" t="s">
        <v>311</v>
      </c>
      <c r="D1236" s="405" t="s">
        <v>839</v>
      </c>
      <c r="E1236" s="410">
        <v>43794</v>
      </c>
      <c r="F1236" s="410">
        <v>43815</v>
      </c>
      <c r="G1236" s="405" t="s">
        <v>8754</v>
      </c>
      <c r="H1236" s="405">
        <v>786575959</v>
      </c>
      <c r="I1236" s="405"/>
      <c r="J1236" s="405">
        <v>0.36930200000000002</v>
      </c>
      <c r="K1236" s="405">
        <v>32.791718000000003</v>
      </c>
      <c r="L1236" s="405" t="s">
        <v>314</v>
      </c>
      <c r="M1236" s="405" t="s">
        <v>329</v>
      </c>
      <c r="N1236" s="405" t="s">
        <v>7638</v>
      </c>
      <c r="O1236" s="405" t="s">
        <v>546</v>
      </c>
      <c r="P1236" s="405" t="s">
        <v>8755</v>
      </c>
      <c r="Q1236" s="411">
        <v>6</v>
      </c>
      <c r="R1236" s="405" t="s">
        <v>32157</v>
      </c>
      <c r="S1236" s="405" t="s">
        <v>27035</v>
      </c>
      <c r="T1236" s="406" t="s">
        <v>884</v>
      </c>
      <c r="U1236" s="406" t="s">
        <v>319</v>
      </c>
    </row>
    <row r="1237" spans="1:21" x14ac:dyDescent="0.25">
      <c r="A1237" s="405" t="s">
        <v>310</v>
      </c>
      <c r="B1237" s="405" t="s">
        <v>7974</v>
      </c>
      <c r="C1237" s="405" t="s">
        <v>327</v>
      </c>
      <c r="D1237" s="405"/>
      <c r="E1237" s="410">
        <v>43793</v>
      </c>
      <c r="F1237" s="410">
        <v>43821</v>
      </c>
      <c r="G1237" s="405" t="s">
        <v>7975</v>
      </c>
      <c r="H1237" s="405" t="s">
        <v>7976</v>
      </c>
      <c r="I1237" s="405" t="s">
        <v>2913</v>
      </c>
      <c r="J1237" s="405">
        <v>0.13806499999999999</v>
      </c>
      <c r="K1237" s="405">
        <v>32.484819999999999</v>
      </c>
      <c r="L1237" s="405" t="s">
        <v>314</v>
      </c>
      <c r="M1237" s="405" t="s">
        <v>361</v>
      </c>
      <c r="N1237" s="405" t="s">
        <v>2091</v>
      </c>
      <c r="O1237" s="405" t="s">
        <v>4689</v>
      </c>
      <c r="P1237" s="405" t="s">
        <v>7977</v>
      </c>
      <c r="Q1237" s="411">
        <v>13</v>
      </c>
      <c r="R1237" s="405" t="s">
        <v>32101</v>
      </c>
      <c r="S1237" s="405" t="s">
        <v>27275</v>
      </c>
      <c r="T1237" s="406" t="s">
        <v>884</v>
      </c>
      <c r="U1237" s="406" t="s">
        <v>319</v>
      </c>
    </row>
    <row r="1238" spans="1:21" x14ac:dyDescent="0.25">
      <c r="A1238" s="405" t="s">
        <v>310</v>
      </c>
      <c r="B1238" s="405" t="s">
        <v>7955</v>
      </c>
      <c r="C1238" s="405" t="s">
        <v>327</v>
      </c>
      <c r="D1238" s="405"/>
      <c r="E1238" s="410">
        <v>43793</v>
      </c>
      <c r="F1238" s="410">
        <v>43803</v>
      </c>
      <c r="G1238" s="405" t="s">
        <v>7956</v>
      </c>
      <c r="H1238" s="405">
        <v>752501244</v>
      </c>
      <c r="I1238" s="405"/>
      <c r="J1238" s="405">
        <v>0.47620299999999999</v>
      </c>
      <c r="K1238" s="405">
        <v>32.513240000000003</v>
      </c>
      <c r="L1238" s="405" t="s">
        <v>314</v>
      </c>
      <c r="M1238" s="405" t="s">
        <v>361</v>
      </c>
      <c r="N1238" s="405" t="s">
        <v>374</v>
      </c>
      <c r="O1238" s="405" t="s">
        <v>523</v>
      </c>
      <c r="P1238" s="405" t="s">
        <v>3041</v>
      </c>
      <c r="Q1238" s="411">
        <v>13</v>
      </c>
      <c r="R1238" s="405" t="s">
        <v>32101</v>
      </c>
      <c r="S1238" s="405" t="s">
        <v>27243</v>
      </c>
      <c r="T1238" s="406" t="s">
        <v>884</v>
      </c>
      <c r="U1238" s="406" t="s">
        <v>319</v>
      </c>
    </row>
    <row r="1239" spans="1:21" x14ac:dyDescent="0.25">
      <c r="A1239" s="405" t="s">
        <v>310</v>
      </c>
      <c r="B1239" s="405" t="s">
        <v>7949</v>
      </c>
      <c r="C1239" s="405" t="s">
        <v>327</v>
      </c>
      <c r="D1239" s="405"/>
      <c r="E1239" s="410">
        <v>43793</v>
      </c>
      <c r="F1239" s="410">
        <v>43812</v>
      </c>
      <c r="G1239" s="405" t="s">
        <v>7950</v>
      </c>
      <c r="H1239" s="405">
        <v>772996913</v>
      </c>
      <c r="I1239" s="405"/>
      <c r="J1239" s="405">
        <v>0.24462200000000001</v>
      </c>
      <c r="K1239" s="405">
        <v>32.596133000000002</v>
      </c>
      <c r="L1239" s="405" t="s">
        <v>314</v>
      </c>
      <c r="M1239" s="405" t="s">
        <v>361</v>
      </c>
      <c r="N1239" s="405" t="s">
        <v>4961</v>
      </c>
      <c r="O1239" s="405" t="s">
        <v>618</v>
      </c>
      <c r="P1239" s="405" t="s">
        <v>7951</v>
      </c>
      <c r="Q1239" s="411">
        <v>6</v>
      </c>
      <c r="R1239" s="405" t="s">
        <v>32101</v>
      </c>
      <c r="S1239" s="405" t="s">
        <v>27218</v>
      </c>
      <c r="T1239" s="406" t="s">
        <v>884</v>
      </c>
      <c r="U1239" s="406" t="s">
        <v>319</v>
      </c>
    </row>
    <row r="1240" spans="1:21" x14ac:dyDescent="0.25">
      <c r="A1240" s="405" t="s">
        <v>310</v>
      </c>
      <c r="B1240" s="405" t="s">
        <v>8001</v>
      </c>
      <c r="C1240" s="405" t="s">
        <v>327</v>
      </c>
      <c r="D1240" s="405"/>
      <c r="E1240" s="410">
        <v>43792</v>
      </c>
      <c r="F1240" s="410">
        <v>43821</v>
      </c>
      <c r="G1240" s="405" t="s">
        <v>8002</v>
      </c>
      <c r="H1240" s="405">
        <v>782306098</v>
      </c>
      <c r="I1240" s="405"/>
      <c r="J1240" s="405">
        <v>0.72712299999999996</v>
      </c>
      <c r="K1240" s="405">
        <v>32.41442</v>
      </c>
      <c r="L1240" s="405" t="s">
        <v>314</v>
      </c>
      <c r="M1240" s="405" t="s">
        <v>2297</v>
      </c>
      <c r="N1240" s="405" t="s">
        <v>8003</v>
      </c>
      <c r="O1240" s="405" t="s">
        <v>8004</v>
      </c>
      <c r="P1240" s="405" t="s">
        <v>2297</v>
      </c>
      <c r="Q1240" s="411">
        <v>13</v>
      </c>
      <c r="R1240" s="405" t="s">
        <v>4176</v>
      </c>
      <c r="S1240" s="405" t="s">
        <v>27053</v>
      </c>
      <c r="T1240" s="406" t="s">
        <v>884</v>
      </c>
      <c r="U1240" s="406" t="s">
        <v>319</v>
      </c>
    </row>
    <row r="1241" spans="1:21" x14ac:dyDescent="0.25">
      <c r="A1241" s="405" t="s">
        <v>310</v>
      </c>
      <c r="B1241" s="405" t="s">
        <v>25715</v>
      </c>
      <c r="C1241" s="405" t="s">
        <v>327</v>
      </c>
      <c r="D1241" s="405"/>
      <c r="E1241" s="410">
        <v>43792</v>
      </c>
      <c r="F1241" s="410">
        <v>43809</v>
      </c>
      <c r="G1241" s="405" t="s">
        <v>25716</v>
      </c>
      <c r="H1241" s="405">
        <v>772993489</v>
      </c>
      <c r="I1241" s="405"/>
      <c r="J1241" s="405">
        <v>-0.82756200000000002</v>
      </c>
      <c r="K1241" s="405">
        <v>29.798247</v>
      </c>
      <c r="L1241" s="405" t="s">
        <v>590</v>
      </c>
      <c r="M1241" s="405" t="s">
        <v>20808</v>
      </c>
      <c r="N1241" s="405" t="s">
        <v>23390</v>
      </c>
      <c r="O1241" s="405" t="s">
        <v>25717</v>
      </c>
      <c r="P1241" s="405" t="s">
        <v>21464</v>
      </c>
      <c r="Q1241" s="411">
        <v>6</v>
      </c>
      <c r="R1241" s="405" t="s">
        <v>6572</v>
      </c>
      <c r="S1241" s="405" t="s">
        <v>27137</v>
      </c>
      <c r="T1241" s="406" t="s">
        <v>884</v>
      </c>
      <c r="U1241" s="406" t="s">
        <v>319</v>
      </c>
    </row>
    <row r="1242" spans="1:21" x14ac:dyDescent="0.25">
      <c r="A1242" s="405" t="s">
        <v>310</v>
      </c>
      <c r="B1242" s="405" t="s">
        <v>8041</v>
      </c>
      <c r="C1242" s="405" t="s">
        <v>327</v>
      </c>
      <c r="D1242" s="405"/>
      <c r="E1242" s="410">
        <v>43791</v>
      </c>
      <c r="F1242" s="410">
        <v>43811</v>
      </c>
      <c r="G1242" s="405" t="s">
        <v>8042</v>
      </c>
      <c r="H1242" s="405">
        <v>759223006</v>
      </c>
      <c r="I1242" s="405"/>
      <c r="J1242" s="405">
        <v>0.42431200000000002</v>
      </c>
      <c r="K1242" s="405">
        <v>33.190845000000003</v>
      </c>
      <c r="L1242" s="405" t="s">
        <v>314</v>
      </c>
      <c r="M1242" s="405" t="s">
        <v>349</v>
      </c>
      <c r="N1242" s="405" t="s">
        <v>349</v>
      </c>
      <c r="O1242" s="405" t="s">
        <v>8043</v>
      </c>
      <c r="P1242" s="405" t="s">
        <v>1969</v>
      </c>
      <c r="Q1242" s="411">
        <v>13</v>
      </c>
      <c r="R1242" s="405" t="s">
        <v>32164</v>
      </c>
      <c r="S1242" s="405" t="s">
        <v>27276</v>
      </c>
      <c r="T1242" s="406" t="s">
        <v>32102</v>
      </c>
      <c r="U1242" s="406" t="s">
        <v>319</v>
      </c>
    </row>
    <row r="1243" spans="1:21" x14ac:dyDescent="0.25">
      <c r="A1243" s="405" t="s">
        <v>310</v>
      </c>
      <c r="B1243" s="405" t="s">
        <v>7993</v>
      </c>
      <c r="C1243" s="405" t="s">
        <v>327</v>
      </c>
      <c r="D1243" s="405"/>
      <c r="E1243" s="410">
        <v>43789</v>
      </c>
      <c r="F1243" s="410">
        <v>43809</v>
      </c>
      <c r="G1243" s="405" t="s">
        <v>7994</v>
      </c>
      <c r="H1243" s="405">
        <v>702657244</v>
      </c>
      <c r="I1243" s="405"/>
      <c r="J1243" s="405">
        <v>0.41749999999999998</v>
      </c>
      <c r="K1243" s="405">
        <v>32.711885000000002</v>
      </c>
      <c r="L1243" s="405" t="s">
        <v>314</v>
      </c>
      <c r="M1243" s="405" t="s">
        <v>329</v>
      </c>
      <c r="N1243" s="405" t="s">
        <v>7638</v>
      </c>
      <c r="O1243" s="405" t="s">
        <v>7995</v>
      </c>
      <c r="P1243" s="405" t="s">
        <v>7996</v>
      </c>
      <c r="Q1243" s="411">
        <v>13</v>
      </c>
      <c r="R1243" s="405" t="s">
        <v>32157</v>
      </c>
      <c r="S1243" s="405" t="s">
        <v>27052</v>
      </c>
      <c r="T1243" s="406" t="s">
        <v>32102</v>
      </c>
      <c r="U1243" s="406" t="s">
        <v>319</v>
      </c>
    </row>
    <row r="1244" spans="1:21" x14ac:dyDescent="0.25">
      <c r="A1244" s="405" t="s">
        <v>310</v>
      </c>
      <c r="B1244" s="405" t="s">
        <v>25748</v>
      </c>
      <c r="C1244" s="405" t="s">
        <v>327</v>
      </c>
      <c r="D1244" s="405"/>
      <c r="E1244" s="410">
        <v>43789</v>
      </c>
      <c r="F1244" s="410">
        <v>43804</v>
      </c>
      <c r="G1244" s="405" t="s">
        <v>25749</v>
      </c>
      <c r="H1244" s="405">
        <v>776615831</v>
      </c>
      <c r="I1244" s="405">
        <v>706615831</v>
      </c>
      <c r="J1244" s="405" t="s">
        <v>7406</v>
      </c>
      <c r="K1244" s="405">
        <v>32.623615000000001</v>
      </c>
      <c r="L1244" s="405" t="s">
        <v>590</v>
      </c>
      <c r="M1244" s="405" t="s">
        <v>19625</v>
      </c>
      <c r="N1244" s="405" t="s">
        <v>19642</v>
      </c>
      <c r="O1244" s="405" t="s">
        <v>20275</v>
      </c>
      <c r="P1244" s="405" t="s">
        <v>25201</v>
      </c>
      <c r="Q1244" s="411">
        <v>13</v>
      </c>
      <c r="R1244" s="405" t="s">
        <v>6943</v>
      </c>
      <c r="S1244" s="405" t="s">
        <v>27161</v>
      </c>
      <c r="T1244" s="406" t="s">
        <v>884</v>
      </c>
      <c r="U1244" s="406" t="s">
        <v>319</v>
      </c>
    </row>
    <row r="1245" spans="1:21" x14ac:dyDescent="0.25">
      <c r="A1245" s="405" t="s">
        <v>310</v>
      </c>
      <c r="B1245" s="405" t="s">
        <v>7984</v>
      </c>
      <c r="C1245" s="405" t="s">
        <v>327</v>
      </c>
      <c r="D1245" s="405"/>
      <c r="E1245" s="410">
        <v>43789</v>
      </c>
      <c r="F1245" s="410">
        <v>43803</v>
      </c>
      <c r="G1245" s="405" t="s">
        <v>7985</v>
      </c>
      <c r="H1245" s="405">
        <v>772521768</v>
      </c>
      <c r="I1245" s="405" t="s">
        <v>7986</v>
      </c>
      <c r="J1245" s="405">
        <v>0.351497</v>
      </c>
      <c r="K1245" s="405">
        <v>32.718752000000002</v>
      </c>
      <c r="L1245" s="405" t="s">
        <v>314</v>
      </c>
      <c r="M1245" s="405" t="s">
        <v>329</v>
      </c>
      <c r="N1245" s="405" t="s">
        <v>7987</v>
      </c>
      <c r="O1245" s="405" t="s">
        <v>600</v>
      </c>
      <c r="P1245" s="405" t="s">
        <v>5638</v>
      </c>
      <c r="Q1245" s="411">
        <v>13</v>
      </c>
      <c r="R1245" s="405" t="s">
        <v>6798</v>
      </c>
      <c r="S1245" s="405" t="s">
        <v>27049</v>
      </c>
      <c r="T1245" s="406" t="s">
        <v>884</v>
      </c>
      <c r="U1245" s="406" t="s">
        <v>319</v>
      </c>
    </row>
    <row r="1246" spans="1:21" x14ac:dyDescent="0.25">
      <c r="A1246" s="405" t="s">
        <v>310</v>
      </c>
      <c r="B1246" s="405" t="s">
        <v>7912</v>
      </c>
      <c r="C1246" s="405" t="s">
        <v>327</v>
      </c>
      <c r="D1246" s="405"/>
      <c r="E1246" s="410">
        <v>43789</v>
      </c>
      <c r="F1246" s="410">
        <v>43799</v>
      </c>
      <c r="G1246" s="405" t="s">
        <v>7913</v>
      </c>
      <c r="H1246" s="405">
        <v>702304020</v>
      </c>
      <c r="I1246" s="405"/>
      <c r="J1246" s="405">
        <v>0.11312800000000001</v>
      </c>
      <c r="K1246" s="405">
        <v>32.528227000000001</v>
      </c>
      <c r="L1246" s="405" t="s">
        <v>314</v>
      </c>
      <c r="M1246" s="405" t="s">
        <v>361</v>
      </c>
      <c r="N1246" s="405" t="s">
        <v>374</v>
      </c>
      <c r="O1246" s="405" t="s">
        <v>7914</v>
      </c>
      <c r="P1246" s="405" t="s">
        <v>7915</v>
      </c>
      <c r="Q1246" s="411">
        <v>13</v>
      </c>
      <c r="R1246" s="405" t="s">
        <v>32157</v>
      </c>
      <c r="S1246" s="405" t="s">
        <v>27048</v>
      </c>
      <c r="T1246" s="406" t="s">
        <v>884</v>
      </c>
      <c r="U1246" s="406" t="s">
        <v>319</v>
      </c>
    </row>
    <row r="1247" spans="1:21" x14ac:dyDescent="0.25">
      <c r="A1247" s="405" t="s">
        <v>310</v>
      </c>
      <c r="B1247" s="405" t="s">
        <v>7888</v>
      </c>
      <c r="C1247" s="405" t="s">
        <v>327</v>
      </c>
      <c r="D1247" s="405"/>
      <c r="E1247" s="410">
        <v>43789</v>
      </c>
      <c r="F1247" s="410">
        <v>43799</v>
      </c>
      <c r="G1247" s="405" t="s">
        <v>7889</v>
      </c>
      <c r="H1247" s="405">
        <v>757068832</v>
      </c>
      <c r="I1247" s="405"/>
      <c r="J1247" s="405">
        <v>0.38425599999999999</v>
      </c>
      <c r="K1247" s="405">
        <v>31.481100000000001</v>
      </c>
      <c r="L1247" s="405" t="s">
        <v>314</v>
      </c>
      <c r="M1247" s="405" t="s">
        <v>382</v>
      </c>
      <c r="N1247" s="405" t="s">
        <v>7890</v>
      </c>
      <c r="O1247" s="405" t="s">
        <v>382</v>
      </c>
      <c r="P1247" s="405" t="s">
        <v>7891</v>
      </c>
      <c r="Q1247" s="411">
        <v>13</v>
      </c>
      <c r="R1247" s="405" t="s">
        <v>32101</v>
      </c>
      <c r="S1247" s="405" t="s">
        <v>27243</v>
      </c>
      <c r="T1247" s="406" t="s">
        <v>884</v>
      </c>
      <c r="U1247" s="406" t="s">
        <v>319</v>
      </c>
    </row>
    <row r="1248" spans="1:21" x14ac:dyDescent="0.25">
      <c r="A1248" s="405" t="s">
        <v>310</v>
      </c>
      <c r="B1248" s="405" t="s">
        <v>17172</v>
      </c>
      <c r="C1248" s="405" t="s">
        <v>327</v>
      </c>
      <c r="D1248" s="405"/>
      <c r="E1248" s="410">
        <v>43789</v>
      </c>
      <c r="F1248" s="410">
        <v>43826</v>
      </c>
      <c r="G1248" s="405" t="s">
        <v>17173</v>
      </c>
      <c r="H1248" s="405" t="s">
        <v>17174</v>
      </c>
      <c r="I1248" s="405"/>
      <c r="J1248" s="405">
        <v>0.58285299999999995</v>
      </c>
      <c r="K1248" s="405">
        <v>33.454272000000003</v>
      </c>
      <c r="L1248" s="405" t="s">
        <v>6866</v>
      </c>
      <c r="M1248" s="405" t="s">
        <v>10853</v>
      </c>
      <c r="N1248" s="405" t="s">
        <v>4802</v>
      </c>
      <c r="O1248" s="405" t="s">
        <v>12832</v>
      </c>
      <c r="P1248" s="405" t="s">
        <v>3412</v>
      </c>
      <c r="Q1248" s="411">
        <v>9</v>
      </c>
      <c r="R1248" s="405" t="s">
        <v>32164</v>
      </c>
      <c r="S1248" s="405" t="s">
        <v>27054</v>
      </c>
      <c r="T1248" s="406" t="s">
        <v>884</v>
      </c>
      <c r="U1248" s="406" t="s">
        <v>319</v>
      </c>
    </row>
    <row r="1249" spans="1:21" x14ac:dyDescent="0.25">
      <c r="A1249" s="405" t="s">
        <v>310</v>
      </c>
      <c r="B1249" s="405" t="s">
        <v>25721</v>
      </c>
      <c r="C1249" s="405" t="s">
        <v>327</v>
      </c>
      <c r="D1249" s="405"/>
      <c r="E1249" s="410">
        <v>43789</v>
      </c>
      <c r="F1249" s="410">
        <v>43805</v>
      </c>
      <c r="G1249" s="405" t="s">
        <v>25722</v>
      </c>
      <c r="H1249" s="405">
        <v>782481815</v>
      </c>
      <c r="I1249" s="405"/>
      <c r="J1249" s="405">
        <v>0.99083600000000005</v>
      </c>
      <c r="K1249" s="405">
        <v>34.173879999999997</v>
      </c>
      <c r="L1249" s="405" t="s">
        <v>590</v>
      </c>
      <c r="M1249" s="405" t="s">
        <v>19725</v>
      </c>
      <c r="N1249" s="405" t="s">
        <v>25723</v>
      </c>
      <c r="O1249" s="405" t="s">
        <v>25724</v>
      </c>
      <c r="P1249" s="405" t="s">
        <v>25725</v>
      </c>
      <c r="Q1249" s="411">
        <v>9</v>
      </c>
      <c r="R1249" s="405" t="s">
        <v>6572</v>
      </c>
      <c r="S1249" s="405" t="s">
        <v>27065</v>
      </c>
      <c r="T1249" s="406" t="s">
        <v>884</v>
      </c>
      <c r="U1249" s="406" t="s">
        <v>319</v>
      </c>
    </row>
    <row r="1250" spans="1:21" x14ac:dyDescent="0.25">
      <c r="A1250" s="405" t="s">
        <v>310</v>
      </c>
      <c r="B1250" s="405" t="s">
        <v>25681</v>
      </c>
      <c r="C1250" s="405" t="s">
        <v>327</v>
      </c>
      <c r="D1250" s="405"/>
      <c r="E1250" s="410">
        <v>43789</v>
      </c>
      <c r="F1250" s="410">
        <v>43804</v>
      </c>
      <c r="G1250" s="405" t="s">
        <v>25682</v>
      </c>
      <c r="H1250" s="405">
        <v>772364231</v>
      </c>
      <c r="I1250" s="405"/>
      <c r="J1250" s="405">
        <v>0.714333</v>
      </c>
      <c r="K1250" s="405">
        <v>30.406665</v>
      </c>
      <c r="L1250" s="405" t="s">
        <v>590</v>
      </c>
      <c r="M1250" s="405" t="s">
        <v>19614</v>
      </c>
      <c r="N1250" s="405" t="s">
        <v>25683</v>
      </c>
      <c r="O1250" s="405" t="s">
        <v>23202</v>
      </c>
      <c r="P1250" s="405" t="s">
        <v>25684</v>
      </c>
      <c r="Q1250" s="411">
        <v>9</v>
      </c>
      <c r="R1250" s="405" t="s">
        <v>5858</v>
      </c>
      <c r="S1250" s="405" t="s">
        <v>27280</v>
      </c>
      <c r="T1250" s="406" t="s">
        <v>32102</v>
      </c>
      <c r="U1250" s="406" t="s">
        <v>319</v>
      </c>
    </row>
    <row r="1251" spans="1:21" x14ac:dyDescent="0.25">
      <c r="A1251" s="405" t="s">
        <v>310</v>
      </c>
      <c r="B1251" s="405" t="s">
        <v>17118</v>
      </c>
      <c r="C1251" s="405" t="s">
        <v>327</v>
      </c>
      <c r="D1251" s="405"/>
      <c r="E1251" s="410">
        <v>43789</v>
      </c>
      <c r="F1251" s="410">
        <v>43814</v>
      </c>
      <c r="G1251" s="405" t="s">
        <v>17119</v>
      </c>
      <c r="H1251" s="405">
        <v>703093433</v>
      </c>
      <c r="I1251" s="405"/>
      <c r="J1251" s="405">
        <v>-0.25717699999999999</v>
      </c>
      <c r="K1251" s="405">
        <v>31.819427999999998</v>
      </c>
      <c r="L1251" s="405" t="s">
        <v>6866</v>
      </c>
      <c r="M1251" s="405" t="s">
        <v>9685</v>
      </c>
      <c r="N1251" s="405" t="s">
        <v>9686</v>
      </c>
      <c r="O1251" s="405" t="s">
        <v>14908</v>
      </c>
      <c r="P1251" s="405" t="s">
        <v>17120</v>
      </c>
      <c r="Q1251" s="411">
        <v>6</v>
      </c>
      <c r="R1251" s="405" t="s">
        <v>9506</v>
      </c>
      <c r="S1251" s="405" t="s">
        <v>27365</v>
      </c>
      <c r="T1251" s="406" t="s">
        <v>32102</v>
      </c>
      <c r="U1251" s="406" t="s">
        <v>319</v>
      </c>
    </row>
    <row r="1252" spans="1:21" x14ac:dyDescent="0.25">
      <c r="A1252" s="405" t="s">
        <v>310</v>
      </c>
      <c r="B1252" s="405" t="s">
        <v>25653</v>
      </c>
      <c r="C1252" s="405" t="s">
        <v>327</v>
      </c>
      <c r="D1252" s="405"/>
      <c r="E1252" s="410">
        <v>43789</v>
      </c>
      <c r="F1252" s="410">
        <v>43799</v>
      </c>
      <c r="G1252" s="405" t="s">
        <v>25654</v>
      </c>
      <c r="H1252" s="405">
        <v>777955336</v>
      </c>
      <c r="I1252" s="405"/>
      <c r="J1252" s="405" t="s">
        <v>7334</v>
      </c>
      <c r="K1252" s="405">
        <v>34.189390000000003</v>
      </c>
      <c r="L1252" s="405" t="s">
        <v>590</v>
      </c>
      <c r="M1252" s="405" t="s">
        <v>20808</v>
      </c>
      <c r="N1252" s="405" t="s">
        <v>23390</v>
      </c>
      <c r="O1252" s="405" t="s">
        <v>22780</v>
      </c>
      <c r="P1252" s="405" t="s">
        <v>25655</v>
      </c>
      <c r="Q1252" s="411">
        <v>6</v>
      </c>
      <c r="R1252" s="405" t="s">
        <v>6572</v>
      </c>
      <c r="S1252" s="405" t="s">
        <v>27137</v>
      </c>
      <c r="T1252" s="406" t="s">
        <v>32102</v>
      </c>
      <c r="U1252" s="406" t="s">
        <v>319</v>
      </c>
    </row>
    <row r="1253" spans="1:21" x14ac:dyDescent="0.25">
      <c r="A1253" s="405" t="s">
        <v>310</v>
      </c>
      <c r="B1253" s="405" t="s">
        <v>25656</v>
      </c>
      <c r="C1253" s="405" t="s">
        <v>327</v>
      </c>
      <c r="D1253" s="405"/>
      <c r="E1253" s="410">
        <v>43789</v>
      </c>
      <c r="F1253" s="410">
        <v>43799</v>
      </c>
      <c r="G1253" s="405" t="s">
        <v>25657</v>
      </c>
      <c r="H1253" s="405">
        <v>775002122</v>
      </c>
      <c r="I1253" s="405"/>
      <c r="J1253" s="405">
        <v>1.0086280000000001</v>
      </c>
      <c r="K1253" s="405">
        <v>34.145156999999998</v>
      </c>
      <c r="L1253" s="405" t="s">
        <v>590</v>
      </c>
      <c r="M1253" s="405" t="s">
        <v>20808</v>
      </c>
      <c r="N1253" s="405" t="s">
        <v>25110</v>
      </c>
      <c r="O1253" s="405" t="s">
        <v>22780</v>
      </c>
      <c r="P1253" s="405" t="s">
        <v>25658</v>
      </c>
      <c r="Q1253" s="411">
        <v>6</v>
      </c>
      <c r="R1253" s="405" t="s">
        <v>6572</v>
      </c>
      <c r="S1253" s="405" t="s">
        <v>27154</v>
      </c>
      <c r="T1253" s="406" t="s">
        <v>32679</v>
      </c>
      <c r="U1253" s="406" t="s">
        <v>2267</v>
      </c>
    </row>
    <row r="1254" spans="1:21" x14ac:dyDescent="0.25">
      <c r="A1254" s="405" t="s">
        <v>310</v>
      </c>
      <c r="B1254" s="405" t="s">
        <v>25649</v>
      </c>
      <c r="C1254" s="405" t="s">
        <v>327</v>
      </c>
      <c r="D1254" s="405"/>
      <c r="E1254" s="410">
        <v>43788</v>
      </c>
      <c r="F1254" s="410">
        <v>43799</v>
      </c>
      <c r="G1254" s="405" t="s">
        <v>25650</v>
      </c>
      <c r="H1254" s="405">
        <v>783828372</v>
      </c>
      <c r="I1254" s="405"/>
      <c r="J1254" s="405">
        <v>-6.2802999999999998E-2</v>
      </c>
      <c r="K1254" s="405">
        <v>29.834150000000001</v>
      </c>
      <c r="L1254" s="405" t="s">
        <v>590</v>
      </c>
      <c r="M1254" s="405" t="s">
        <v>20808</v>
      </c>
      <c r="N1254" s="405" t="s">
        <v>23390</v>
      </c>
      <c r="O1254" s="405" t="s">
        <v>20810</v>
      </c>
      <c r="P1254" s="405" t="s">
        <v>20763</v>
      </c>
      <c r="Q1254" s="411">
        <v>9</v>
      </c>
      <c r="R1254" s="405" t="s">
        <v>6572</v>
      </c>
      <c r="S1254" s="405" t="s">
        <v>27439</v>
      </c>
      <c r="T1254" s="406" t="s">
        <v>32102</v>
      </c>
      <c r="U1254" s="406" t="s">
        <v>319</v>
      </c>
    </row>
    <row r="1255" spans="1:21" x14ac:dyDescent="0.25">
      <c r="A1255" s="405" t="s">
        <v>310</v>
      </c>
      <c r="B1255" s="405" t="s">
        <v>19112</v>
      </c>
      <c r="C1255" s="405" t="s">
        <v>327</v>
      </c>
      <c r="D1255" s="405"/>
      <c r="E1255" s="410">
        <v>43788</v>
      </c>
      <c r="F1255" s="410">
        <v>43856</v>
      </c>
      <c r="G1255" s="405" t="s">
        <v>19113</v>
      </c>
      <c r="H1255" s="405" t="s">
        <v>19114</v>
      </c>
      <c r="I1255" s="405"/>
      <c r="J1255" s="405">
        <v>1.9797990000000001</v>
      </c>
      <c r="K1255" s="405">
        <v>32.523479999999999</v>
      </c>
      <c r="L1255" s="405" t="s">
        <v>860</v>
      </c>
      <c r="M1255" s="405" t="s">
        <v>861</v>
      </c>
      <c r="N1255" s="405" t="s">
        <v>861</v>
      </c>
      <c r="O1255" s="405" t="s">
        <v>19115</v>
      </c>
      <c r="P1255" s="405" t="s">
        <v>19116</v>
      </c>
      <c r="Q1255" s="411">
        <v>6</v>
      </c>
      <c r="R1255" s="405" t="s">
        <v>32101</v>
      </c>
      <c r="S1255" s="405" t="s">
        <v>27264</v>
      </c>
      <c r="T1255" s="405" t="s">
        <v>884</v>
      </c>
      <c r="U1255" s="405" t="s">
        <v>319</v>
      </c>
    </row>
    <row r="1256" spans="1:21" x14ac:dyDescent="0.25">
      <c r="A1256" s="405" t="s">
        <v>310</v>
      </c>
      <c r="B1256" s="405" t="s">
        <v>17148</v>
      </c>
      <c r="C1256" s="405" t="s">
        <v>327</v>
      </c>
      <c r="D1256" s="405"/>
      <c r="E1256" s="410">
        <v>43788</v>
      </c>
      <c r="F1256" s="410">
        <v>43817</v>
      </c>
      <c r="G1256" s="405" t="s">
        <v>17149</v>
      </c>
      <c r="H1256" s="405">
        <v>787037105</v>
      </c>
      <c r="I1256" s="405" t="s">
        <v>2913</v>
      </c>
      <c r="J1256" s="405">
        <v>0.72816199999999998</v>
      </c>
      <c r="K1256" s="405">
        <v>34.219507</v>
      </c>
      <c r="L1256" s="405" t="s">
        <v>6866</v>
      </c>
      <c r="M1256" s="405" t="s">
        <v>9534</v>
      </c>
      <c r="N1256" s="405" t="s">
        <v>17150</v>
      </c>
      <c r="O1256" s="405" t="s">
        <v>17151</v>
      </c>
      <c r="P1256" s="405" t="s">
        <v>17152</v>
      </c>
      <c r="Q1256" s="411">
        <v>6</v>
      </c>
      <c r="R1256" s="405" t="s">
        <v>5655</v>
      </c>
      <c r="S1256" s="405" t="s">
        <v>27369</v>
      </c>
      <c r="T1256" s="405" t="s">
        <v>884</v>
      </c>
      <c r="U1256" s="405" t="s">
        <v>319</v>
      </c>
    </row>
    <row r="1257" spans="1:21" x14ac:dyDescent="0.25">
      <c r="A1257" s="405" t="s">
        <v>310</v>
      </c>
      <c r="B1257" s="405" t="s">
        <v>7880</v>
      </c>
      <c r="C1257" s="405" t="s">
        <v>327</v>
      </c>
      <c r="D1257" s="405"/>
      <c r="E1257" s="410">
        <v>43788</v>
      </c>
      <c r="F1257" s="410">
        <v>43799</v>
      </c>
      <c r="G1257" s="405" t="s">
        <v>7881</v>
      </c>
      <c r="H1257" s="405">
        <v>752990489</v>
      </c>
      <c r="I1257" s="405"/>
      <c r="J1257" s="405">
        <v>0.50300699999999998</v>
      </c>
      <c r="K1257" s="405">
        <v>32.445847000000001</v>
      </c>
      <c r="L1257" s="405" t="s">
        <v>314</v>
      </c>
      <c r="M1257" s="405" t="s">
        <v>361</v>
      </c>
      <c r="N1257" s="405" t="s">
        <v>4961</v>
      </c>
      <c r="O1257" s="405" t="s">
        <v>523</v>
      </c>
      <c r="P1257" s="405" t="s">
        <v>1071</v>
      </c>
      <c r="Q1257" s="411">
        <v>6</v>
      </c>
      <c r="R1257" s="405" t="s">
        <v>32101</v>
      </c>
      <c r="S1257" s="405" t="s">
        <v>27039</v>
      </c>
      <c r="T1257" s="405" t="s">
        <v>884</v>
      </c>
      <c r="U1257" s="405" t="s">
        <v>319</v>
      </c>
    </row>
    <row r="1258" spans="1:21" x14ac:dyDescent="0.25">
      <c r="A1258" s="405" t="s">
        <v>310</v>
      </c>
      <c r="B1258" s="405" t="s">
        <v>25646</v>
      </c>
      <c r="C1258" s="405" t="s">
        <v>327</v>
      </c>
      <c r="D1258" s="405"/>
      <c r="E1258" s="410">
        <v>43788</v>
      </c>
      <c r="F1258" s="410">
        <v>43799</v>
      </c>
      <c r="G1258" s="405" t="s">
        <v>25647</v>
      </c>
      <c r="H1258" s="405">
        <v>776616256</v>
      </c>
      <c r="I1258" s="405"/>
      <c r="J1258" s="405">
        <v>0.52878499999999995</v>
      </c>
      <c r="K1258" s="405">
        <v>33.384937000000001</v>
      </c>
      <c r="L1258" s="405" t="s">
        <v>590</v>
      </c>
      <c r="M1258" s="405" t="s">
        <v>20808</v>
      </c>
      <c r="N1258" s="405" t="s">
        <v>23390</v>
      </c>
      <c r="O1258" s="405" t="s">
        <v>20810</v>
      </c>
      <c r="P1258" s="405" t="s">
        <v>25648</v>
      </c>
      <c r="Q1258" s="411">
        <v>6</v>
      </c>
      <c r="R1258" s="405" t="s">
        <v>6572</v>
      </c>
      <c r="S1258" s="405" t="s">
        <v>27399</v>
      </c>
      <c r="T1258" s="405" t="s">
        <v>884</v>
      </c>
      <c r="U1258" s="405" t="s">
        <v>319</v>
      </c>
    </row>
    <row r="1259" spans="1:21" x14ac:dyDescent="0.25">
      <c r="A1259" s="405" t="s">
        <v>310</v>
      </c>
      <c r="B1259" s="405" t="s">
        <v>25644</v>
      </c>
      <c r="C1259" s="405" t="s">
        <v>327</v>
      </c>
      <c r="D1259" s="405"/>
      <c r="E1259" s="410">
        <v>43788</v>
      </c>
      <c r="F1259" s="410">
        <v>43799</v>
      </c>
      <c r="G1259" s="405" t="s">
        <v>25645</v>
      </c>
      <c r="H1259" s="405">
        <v>782316222</v>
      </c>
      <c r="I1259" s="405"/>
      <c r="J1259" s="405">
        <v>0.29330000000000001</v>
      </c>
      <c r="K1259" s="405">
        <v>31.292300000000001</v>
      </c>
      <c r="L1259" s="405" t="s">
        <v>590</v>
      </c>
      <c r="M1259" s="405" t="s">
        <v>20808</v>
      </c>
      <c r="N1259" s="405" t="s">
        <v>23390</v>
      </c>
      <c r="O1259" s="405" t="s">
        <v>24811</v>
      </c>
      <c r="P1259" s="405" t="s">
        <v>25163</v>
      </c>
      <c r="Q1259" s="411">
        <v>6</v>
      </c>
      <c r="R1259" s="405" t="s">
        <v>6572</v>
      </c>
      <c r="S1259" s="405" t="s">
        <v>27443</v>
      </c>
      <c r="T1259" s="406" t="s">
        <v>32102</v>
      </c>
      <c r="U1259" s="406" t="s">
        <v>319</v>
      </c>
    </row>
    <row r="1260" spans="1:21" x14ac:dyDescent="0.25">
      <c r="A1260" s="405" t="s">
        <v>310</v>
      </c>
      <c r="B1260" s="405" t="s">
        <v>17063</v>
      </c>
      <c r="C1260" s="405" t="s">
        <v>327</v>
      </c>
      <c r="D1260" s="405"/>
      <c r="E1260" s="410">
        <v>43788</v>
      </c>
      <c r="F1260" s="410">
        <v>43792</v>
      </c>
      <c r="G1260" s="405" t="s">
        <v>17064</v>
      </c>
      <c r="H1260" s="405">
        <v>785677416</v>
      </c>
      <c r="I1260" s="405"/>
      <c r="J1260" s="405">
        <v>0.904783</v>
      </c>
      <c r="K1260" s="405">
        <v>34.171460000000003</v>
      </c>
      <c r="L1260" s="405" t="s">
        <v>6866</v>
      </c>
      <c r="M1260" s="405" t="s">
        <v>9514</v>
      </c>
      <c r="N1260" s="405" t="s">
        <v>9571</v>
      </c>
      <c r="O1260" s="405" t="s">
        <v>10567</v>
      </c>
      <c r="P1260" s="405" t="s">
        <v>1256</v>
      </c>
      <c r="Q1260" s="411">
        <v>4</v>
      </c>
      <c r="R1260" s="405" t="s">
        <v>6871</v>
      </c>
      <c r="S1260" s="405" t="s">
        <v>17013</v>
      </c>
      <c r="T1260" s="405" t="s">
        <v>884</v>
      </c>
      <c r="U1260" s="405" t="s">
        <v>319</v>
      </c>
    </row>
    <row r="1261" spans="1:21" x14ac:dyDescent="0.25">
      <c r="A1261" s="405" t="s">
        <v>310</v>
      </c>
      <c r="B1261" s="405" t="s">
        <v>7968</v>
      </c>
      <c r="C1261" s="405" t="s">
        <v>327</v>
      </c>
      <c r="D1261" s="405"/>
      <c r="E1261" s="410">
        <v>43787</v>
      </c>
      <c r="F1261" s="410">
        <v>43829</v>
      </c>
      <c r="G1261" s="405" t="s">
        <v>7969</v>
      </c>
      <c r="H1261" s="405" t="s">
        <v>7970</v>
      </c>
      <c r="I1261" s="405" t="s">
        <v>2913</v>
      </c>
      <c r="J1261" s="405">
        <v>0.42633799999999999</v>
      </c>
      <c r="K1261" s="405">
        <v>32.417960000000001</v>
      </c>
      <c r="L1261" s="405" t="s">
        <v>314</v>
      </c>
      <c r="M1261" s="405" t="s">
        <v>361</v>
      </c>
      <c r="N1261" s="405" t="s">
        <v>374</v>
      </c>
      <c r="O1261" s="405" t="s">
        <v>952</v>
      </c>
      <c r="P1261" s="405" t="s">
        <v>4097</v>
      </c>
      <c r="Q1261" s="411">
        <v>9</v>
      </c>
      <c r="R1261" s="405" t="s">
        <v>32101</v>
      </c>
      <c r="S1261" s="405" t="s">
        <v>27275</v>
      </c>
      <c r="T1261" s="406" t="s">
        <v>32102</v>
      </c>
      <c r="U1261" s="406" t="s">
        <v>319</v>
      </c>
    </row>
    <row r="1262" spans="1:21" x14ac:dyDescent="0.25">
      <c r="A1262" s="405" t="s">
        <v>310</v>
      </c>
      <c r="B1262" s="405" t="s">
        <v>9622</v>
      </c>
      <c r="C1262" s="405" t="s">
        <v>311</v>
      </c>
      <c r="D1262" s="405" t="s">
        <v>9623</v>
      </c>
      <c r="E1262" s="410">
        <v>44377</v>
      </c>
      <c r="F1262" s="410">
        <v>44397</v>
      </c>
      <c r="G1262" s="405" t="s">
        <v>9624</v>
      </c>
      <c r="H1262" s="405">
        <v>756200917</v>
      </c>
      <c r="I1262" s="405">
        <v>772200917</v>
      </c>
      <c r="J1262" s="405">
        <v>0.16218299999999999</v>
      </c>
      <c r="K1262" s="405">
        <v>32.479661999999998</v>
      </c>
      <c r="L1262" s="405" t="s">
        <v>314</v>
      </c>
      <c r="M1262" s="405" t="s">
        <v>361</v>
      </c>
      <c r="N1262" s="405" t="s">
        <v>374</v>
      </c>
      <c r="O1262" s="405" t="s">
        <v>2496</v>
      </c>
      <c r="P1262" s="405" t="s">
        <v>9255</v>
      </c>
      <c r="Q1262" s="411">
        <v>45</v>
      </c>
      <c r="R1262" s="405" t="s">
        <v>32101</v>
      </c>
      <c r="S1262" s="405" t="s">
        <v>27193</v>
      </c>
      <c r="T1262" s="405" t="s">
        <v>32102</v>
      </c>
      <c r="U1262" s="405" t="s">
        <v>319</v>
      </c>
    </row>
    <row r="1263" spans="1:21" x14ac:dyDescent="0.25">
      <c r="A1263" s="405" t="s">
        <v>310</v>
      </c>
      <c r="B1263" s="405" t="s">
        <v>7878</v>
      </c>
      <c r="C1263" s="405" t="s">
        <v>327</v>
      </c>
      <c r="D1263" s="405"/>
      <c r="E1263" s="410">
        <v>43785</v>
      </c>
      <c r="F1263" s="410">
        <v>43796</v>
      </c>
      <c r="G1263" s="405" t="s">
        <v>7879</v>
      </c>
      <c r="H1263" s="405">
        <v>772959931</v>
      </c>
      <c r="I1263" s="405"/>
      <c r="J1263" s="405">
        <v>0.42288199999999998</v>
      </c>
      <c r="K1263" s="405">
        <v>32.425809999999998</v>
      </c>
      <c r="L1263" s="405" t="s">
        <v>314</v>
      </c>
      <c r="M1263" s="405" t="s">
        <v>361</v>
      </c>
      <c r="N1263" s="405" t="s">
        <v>374</v>
      </c>
      <c r="O1263" s="405" t="s">
        <v>535</v>
      </c>
      <c r="P1263" s="405" t="s">
        <v>1701</v>
      </c>
      <c r="Q1263" s="411">
        <v>9</v>
      </c>
      <c r="R1263" s="405" t="s">
        <v>32101</v>
      </c>
      <c r="S1263" s="405" t="s">
        <v>27278</v>
      </c>
      <c r="T1263" s="405" t="s">
        <v>32102</v>
      </c>
      <c r="U1263" s="405" t="s">
        <v>319</v>
      </c>
    </row>
    <row r="1264" spans="1:21" x14ac:dyDescent="0.25">
      <c r="A1264" s="405" t="s">
        <v>310</v>
      </c>
      <c r="B1264" s="405" t="s">
        <v>17110</v>
      </c>
      <c r="C1264" s="405" t="s">
        <v>327</v>
      </c>
      <c r="D1264" s="405"/>
      <c r="E1264" s="410">
        <v>43783</v>
      </c>
      <c r="F1264" s="410">
        <v>43814</v>
      </c>
      <c r="G1264" s="405" t="s">
        <v>17111</v>
      </c>
      <c r="H1264" s="405">
        <v>772456206</v>
      </c>
      <c r="I1264" s="405"/>
      <c r="J1264" s="405">
        <v>1.0084200000000001</v>
      </c>
      <c r="K1264" s="405">
        <v>34.163618</v>
      </c>
      <c r="L1264" s="405" t="s">
        <v>6866</v>
      </c>
      <c r="M1264" s="405" t="s">
        <v>9514</v>
      </c>
      <c r="N1264" s="405" t="s">
        <v>17112</v>
      </c>
      <c r="O1264" s="405" t="s">
        <v>9571</v>
      </c>
      <c r="P1264" s="405" t="s">
        <v>17113</v>
      </c>
      <c r="Q1264" s="411">
        <v>9</v>
      </c>
      <c r="R1264" s="405" t="s">
        <v>7224</v>
      </c>
      <c r="S1264" s="405" t="s">
        <v>27259</v>
      </c>
      <c r="T1264" s="405" t="s">
        <v>884</v>
      </c>
      <c r="U1264" s="405" t="s">
        <v>319</v>
      </c>
    </row>
    <row r="1265" spans="1:21" x14ac:dyDescent="0.25">
      <c r="A1265" s="405" t="s">
        <v>310</v>
      </c>
      <c r="B1265" s="405" t="s">
        <v>25557</v>
      </c>
      <c r="C1265" s="405" t="s">
        <v>327</v>
      </c>
      <c r="D1265" s="405"/>
      <c r="E1265" s="410">
        <v>43783</v>
      </c>
      <c r="F1265" s="410">
        <v>43799</v>
      </c>
      <c r="G1265" s="405" t="s">
        <v>25558</v>
      </c>
      <c r="H1265" s="405">
        <v>772691341</v>
      </c>
      <c r="I1265" s="405"/>
      <c r="J1265" s="405">
        <v>-0.55985799999999997</v>
      </c>
      <c r="K1265" s="405">
        <v>30.231382</v>
      </c>
      <c r="L1265" s="405" t="s">
        <v>590</v>
      </c>
      <c r="M1265" s="405" t="s">
        <v>19625</v>
      </c>
      <c r="N1265" s="405" t="s">
        <v>19642</v>
      </c>
      <c r="O1265" s="405" t="s">
        <v>22097</v>
      </c>
      <c r="P1265" s="405" t="s">
        <v>25559</v>
      </c>
      <c r="Q1265" s="411">
        <v>6</v>
      </c>
      <c r="R1265" s="405" t="s">
        <v>5858</v>
      </c>
      <c r="S1265" s="405" t="s">
        <v>27098</v>
      </c>
      <c r="T1265" s="405" t="s">
        <v>884</v>
      </c>
      <c r="U1265" s="405" t="s">
        <v>319</v>
      </c>
    </row>
    <row r="1266" spans="1:21" x14ac:dyDescent="0.25">
      <c r="A1266" s="405" t="s">
        <v>310</v>
      </c>
      <c r="B1266" s="405" t="s">
        <v>17145</v>
      </c>
      <c r="C1266" s="405" t="s">
        <v>327</v>
      </c>
      <c r="D1266" s="405"/>
      <c r="E1266" s="410">
        <v>43782</v>
      </c>
      <c r="F1266" s="410">
        <v>43817</v>
      </c>
      <c r="G1266" s="405" t="s">
        <v>17146</v>
      </c>
      <c r="H1266" s="405">
        <v>776668005</v>
      </c>
      <c r="I1266" s="405">
        <v>752816714</v>
      </c>
      <c r="J1266" s="405">
        <v>0.70581799999999995</v>
      </c>
      <c r="K1266" s="405">
        <v>34.262250000000002</v>
      </c>
      <c r="L1266" s="405" t="s">
        <v>6866</v>
      </c>
      <c r="M1266" s="405" t="s">
        <v>9504</v>
      </c>
      <c r="N1266" s="405" t="s">
        <v>9534</v>
      </c>
      <c r="O1266" s="405" t="s">
        <v>13267</v>
      </c>
      <c r="P1266" s="405" t="s">
        <v>17147</v>
      </c>
      <c r="Q1266" s="411">
        <v>6</v>
      </c>
      <c r="R1266" s="405" t="s">
        <v>5655</v>
      </c>
      <c r="S1266" s="405" t="s">
        <v>27357</v>
      </c>
      <c r="T1266" s="405" t="s">
        <v>884</v>
      </c>
      <c r="U1266" s="405" t="s">
        <v>319</v>
      </c>
    </row>
    <row r="1267" spans="1:21" x14ac:dyDescent="0.25">
      <c r="A1267" s="405" t="s">
        <v>310</v>
      </c>
      <c r="B1267" s="405" t="s">
        <v>7946</v>
      </c>
      <c r="C1267" s="405" t="s">
        <v>327</v>
      </c>
      <c r="D1267" s="405"/>
      <c r="E1267" s="410">
        <v>43781</v>
      </c>
      <c r="F1267" s="410">
        <v>43799</v>
      </c>
      <c r="G1267" s="405" t="s">
        <v>7947</v>
      </c>
      <c r="H1267" s="405">
        <v>772407375</v>
      </c>
      <c r="I1267" s="405"/>
      <c r="J1267" s="405">
        <v>0.52878499999999995</v>
      </c>
      <c r="K1267" s="405">
        <v>33.384937000000001</v>
      </c>
      <c r="L1267" s="405" t="s">
        <v>314</v>
      </c>
      <c r="M1267" s="405" t="s">
        <v>992</v>
      </c>
      <c r="N1267" s="405" t="s">
        <v>5924</v>
      </c>
      <c r="O1267" s="405" t="s">
        <v>618</v>
      </c>
      <c r="P1267" s="405" t="s">
        <v>7948</v>
      </c>
      <c r="Q1267" s="411">
        <v>13</v>
      </c>
      <c r="R1267" s="405" t="s">
        <v>32164</v>
      </c>
      <c r="S1267" s="405" t="s">
        <v>27174</v>
      </c>
      <c r="T1267" s="405" t="s">
        <v>884</v>
      </c>
      <c r="U1267" s="405" t="s">
        <v>319</v>
      </c>
    </row>
    <row r="1268" spans="1:21" x14ac:dyDescent="0.25">
      <c r="A1268" s="405" t="s">
        <v>310</v>
      </c>
      <c r="B1268" s="405" t="s">
        <v>7937</v>
      </c>
      <c r="C1268" s="405" t="s">
        <v>327</v>
      </c>
      <c r="D1268" s="405"/>
      <c r="E1268" s="410">
        <v>43781</v>
      </c>
      <c r="F1268" s="410">
        <v>43799</v>
      </c>
      <c r="G1268" s="405" t="s">
        <v>7938</v>
      </c>
      <c r="H1268" s="405">
        <v>781421585</v>
      </c>
      <c r="I1268" s="405">
        <v>751400891</v>
      </c>
      <c r="J1268" s="405" t="s">
        <v>7334</v>
      </c>
      <c r="K1268" s="405">
        <v>34.189390000000003</v>
      </c>
      <c r="L1268" s="405" t="s">
        <v>314</v>
      </c>
      <c r="M1268" s="405" t="s">
        <v>329</v>
      </c>
      <c r="N1268" s="405" t="s">
        <v>545</v>
      </c>
      <c r="O1268" s="405" t="s">
        <v>7259</v>
      </c>
      <c r="P1268" s="405" t="s">
        <v>7939</v>
      </c>
      <c r="Q1268" s="411">
        <v>9</v>
      </c>
      <c r="R1268" s="405" t="s">
        <v>4176</v>
      </c>
      <c r="S1268" s="405" t="s">
        <v>27069</v>
      </c>
      <c r="T1268" s="405" t="s">
        <v>884</v>
      </c>
      <c r="U1268" s="405" t="s">
        <v>319</v>
      </c>
    </row>
    <row r="1269" spans="1:21" x14ac:dyDescent="0.25">
      <c r="A1269" s="405" t="s">
        <v>310</v>
      </c>
      <c r="B1269" s="405" t="s">
        <v>7940</v>
      </c>
      <c r="C1269" s="405" t="s">
        <v>327</v>
      </c>
      <c r="D1269" s="405"/>
      <c r="E1269" s="410">
        <v>43781</v>
      </c>
      <c r="F1269" s="410">
        <v>43799</v>
      </c>
      <c r="G1269" s="405" t="s">
        <v>7941</v>
      </c>
      <c r="H1269" s="405">
        <v>752450786</v>
      </c>
      <c r="I1269" s="405"/>
      <c r="J1269" s="405">
        <v>-0.241122</v>
      </c>
      <c r="K1269" s="405">
        <v>31.490770000000001</v>
      </c>
      <c r="L1269" s="405" t="s">
        <v>314</v>
      </c>
      <c r="M1269" s="405" t="s">
        <v>343</v>
      </c>
      <c r="N1269" s="405" t="s">
        <v>6323</v>
      </c>
      <c r="O1269" s="405" t="s">
        <v>7942</v>
      </c>
      <c r="P1269" s="405" t="s">
        <v>7942</v>
      </c>
      <c r="Q1269" s="411">
        <v>6</v>
      </c>
      <c r="R1269" s="405" t="s">
        <v>4176</v>
      </c>
      <c r="S1269" s="405" t="s">
        <v>27053</v>
      </c>
      <c r="T1269" s="405" t="s">
        <v>884</v>
      </c>
      <c r="U1269" s="405" t="s">
        <v>319</v>
      </c>
    </row>
    <row r="1270" spans="1:21" x14ac:dyDescent="0.25">
      <c r="A1270" s="405" t="s">
        <v>310</v>
      </c>
      <c r="B1270" s="405" t="s">
        <v>7894</v>
      </c>
      <c r="C1270" s="405" t="s">
        <v>327</v>
      </c>
      <c r="D1270" s="405"/>
      <c r="E1270" s="410">
        <v>43781</v>
      </c>
      <c r="F1270" s="410">
        <v>43794</v>
      </c>
      <c r="G1270" s="405" t="s">
        <v>7895</v>
      </c>
      <c r="H1270" s="405">
        <v>702549027</v>
      </c>
      <c r="I1270" s="405"/>
      <c r="J1270" s="405">
        <v>0.41173500000000002</v>
      </c>
      <c r="K1270" s="405">
        <v>32.443043000000003</v>
      </c>
      <c r="L1270" s="405" t="s">
        <v>314</v>
      </c>
      <c r="M1270" s="405" t="s">
        <v>361</v>
      </c>
      <c r="N1270" s="405" t="s">
        <v>374</v>
      </c>
      <c r="O1270" s="405" t="s">
        <v>535</v>
      </c>
      <c r="P1270" s="405" t="s">
        <v>7122</v>
      </c>
      <c r="Q1270" s="411">
        <v>6</v>
      </c>
      <c r="R1270" s="405" t="s">
        <v>32101</v>
      </c>
      <c r="S1270" s="405" t="s">
        <v>27275</v>
      </c>
      <c r="T1270" s="405" t="s">
        <v>884</v>
      </c>
      <c r="U1270" s="405" t="s">
        <v>319</v>
      </c>
    </row>
    <row r="1271" spans="1:21" x14ac:dyDescent="0.25">
      <c r="A1271" s="405" t="s">
        <v>310</v>
      </c>
      <c r="B1271" s="405" t="s">
        <v>17124</v>
      </c>
      <c r="C1271" s="405" t="s">
        <v>327</v>
      </c>
      <c r="D1271" s="405"/>
      <c r="E1271" s="410">
        <v>43780</v>
      </c>
      <c r="F1271" s="410">
        <v>43823</v>
      </c>
      <c r="G1271" s="405" t="s">
        <v>17125</v>
      </c>
      <c r="H1271" s="405" t="s">
        <v>17126</v>
      </c>
      <c r="I1271" s="405" t="s">
        <v>2913</v>
      </c>
      <c r="J1271" s="405">
        <v>0.43404199999999998</v>
      </c>
      <c r="K1271" s="405">
        <v>33.172226000000002</v>
      </c>
      <c r="L1271" s="405" t="s">
        <v>6866</v>
      </c>
      <c r="M1271" s="405" t="s">
        <v>10390</v>
      </c>
      <c r="N1271" s="405" t="s">
        <v>17127</v>
      </c>
      <c r="O1271" s="405" t="s">
        <v>17127</v>
      </c>
      <c r="P1271" s="405" t="s">
        <v>17128</v>
      </c>
      <c r="Q1271" s="411">
        <v>6</v>
      </c>
      <c r="R1271" s="405" t="s">
        <v>5986</v>
      </c>
      <c r="S1271" s="405" t="s">
        <v>27218</v>
      </c>
      <c r="T1271" s="405" t="s">
        <v>884</v>
      </c>
      <c r="U1271" s="405" t="s">
        <v>319</v>
      </c>
    </row>
    <row r="1272" spans="1:21" x14ac:dyDescent="0.25">
      <c r="A1272" s="405" t="s">
        <v>310</v>
      </c>
      <c r="B1272" s="405" t="s">
        <v>19085</v>
      </c>
      <c r="C1272" s="405" t="s">
        <v>327</v>
      </c>
      <c r="D1272" s="405"/>
      <c r="E1272" s="410">
        <v>43779</v>
      </c>
      <c r="F1272" s="410">
        <v>43808</v>
      </c>
      <c r="G1272" s="405" t="s">
        <v>19086</v>
      </c>
      <c r="H1272" s="405">
        <v>787756191</v>
      </c>
      <c r="I1272" s="405"/>
      <c r="J1272" s="405">
        <v>2.2557559999999999</v>
      </c>
      <c r="K1272" s="405">
        <v>32.898367</v>
      </c>
      <c r="L1272" s="405" t="s">
        <v>860</v>
      </c>
      <c r="M1272" s="405" t="s">
        <v>18234</v>
      </c>
      <c r="N1272" s="405" t="s">
        <v>19087</v>
      </c>
      <c r="O1272" s="405" t="s">
        <v>19088</v>
      </c>
      <c r="P1272" s="405" t="s">
        <v>18507</v>
      </c>
      <c r="Q1272" s="411">
        <v>6</v>
      </c>
      <c r="R1272" s="405" t="s">
        <v>19089</v>
      </c>
      <c r="S1272" s="405" t="s">
        <v>27264</v>
      </c>
      <c r="T1272" s="405" t="s">
        <v>884</v>
      </c>
      <c r="U1272" s="405" t="s">
        <v>319</v>
      </c>
    </row>
    <row r="1273" spans="1:21" x14ac:dyDescent="0.25">
      <c r="A1273" s="405" t="s">
        <v>310</v>
      </c>
      <c r="B1273" s="405" t="s">
        <v>17088</v>
      </c>
      <c r="C1273" s="405" t="s">
        <v>327</v>
      </c>
      <c r="D1273" s="405"/>
      <c r="E1273" s="410">
        <v>43779</v>
      </c>
      <c r="F1273" s="410">
        <v>43799</v>
      </c>
      <c r="G1273" s="405" t="s">
        <v>17089</v>
      </c>
      <c r="H1273" s="405">
        <v>773981744</v>
      </c>
      <c r="I1273" s="405"/>
      <c r="J1273" s="405">
        <v>-0.714333</v>
      </c>
      <c r="K1273" s="405">
        <v>30.406665</v>
      </c>
      <c r="L1273" s="405" t="s">
        <v>6866</v>
      </c>
      <c r="M1273" s="405" t="s">
        <v>10163</v>
      </c>
      <c r="N1273" s="405" t="s">
        <v>10164</v>
      </c>
      <c r="O1273" s="405" t="s">
        <v>10168</v>
      </c>
      <c r="P1273" s="405" t="s">
        <v>12503</v>
      </c>
      <c r="Q1273" s="411">
        <v>6</v>
      </c>
      <c r="R1273" s="405" t="s">
        <v>9506</v>
      </c>
      <c r="S1273" s="405" t="s">
        <v>27365</v>
      </c>
      <c r="T1273" s="405" t="s">
        <v>884</v>
      </c>
      <c r="U1273" s="405" t="s">
        <v>319</v>
      </c>
    </row>
    <row r="1274" spans="1:21" x14ac:dyDescent="0.25">
      <c r="A1274" s="405" t="s">
        <v>310</v>
      </c>
      <c r="B1274" s="405" t="s">
        <v>25639</v>
      </c>
      <c r="C1274" s="405" t="s">
        <v>327</v>
      </c>
      <c r="D1274" s="405"/>
      <c r="E1274" s="410">
        <v>43779</v>
      </c>
      <c r="F1274" s="410">
        <v>43797</v>
      </c>
      <c r="G1274" s="405" t="s">
        <v>25640</v>
      </c>
      <c r="H1274" s="405">
        <v>775164869</v>
      </c>
      <c r="I1274" s="405">
        <v>753174942</v>
      </c>
      <c r="J1274" s="405">
        <v>-0.22770099999999999</v>
      </c>
      <c r="K1274" s="405">
        <v>31.835443999999999</v>
      </c>
      <c r="L1274" s="405" t="s">
        <v>590</v>
      </c>
      <c r="M1274" s="405" t="s">
        <v>25315</v>
      </c>
      <c r="N1274" s="405" t="s">
        <v>23385</v>
      </c>
      <c r="O1274" s="405" t="s">
        <v>21489</v>
      </c>
      <c r="P1274" s="405" t="s">
        <v>25641</v>
      </c>
      <c r="Q1274" s="411">
        <v>6</v>
      </c>
      <c r="R1274" s="405" t="s">
        <v>6572</v>
      </c>
      <c r="S1274" s="405" t="s">
        <v>27399</v>
      </c>
      <c r="T1274" s="405" t="s">
        <v>32102</v>
      </c>
      <c r="U1274" s="405" t="s">
        <v>319</v>
      </c>
    </row>
    <row r="1275" spans="1:21" x14ac:dyDescent="0.25">
      <c r="A1275" s="405" t="s">
        <v>310</v>
      </c>
      <c r="B1275" s="405" t="s">
        <v>25651</v>
      </c>
      <c r="C1275" s="405" t="s">
        <v>327</v>
      </c>
      <c r="D1275" s="405"/>
      <c r="E1275" s="410">
        <v>43779</v>
      </c>
      <c r="F1275" s="410">
        <v>43789</v>
      </c>
      <c r="G1275" s="405" t="s">
        <v>25652</v>
      </c>
      <c r="H1275" s="405">
        <v>784687408</v>
      </c>
      <c r="I1275" s="405"/>
      <c r="J1275" s="405">
        <v>1.3524529999999999</v>
      </c>
      <c r="K1275" s="405">
        <v>34.467911999999998</v>
      </c>
      <c r="L1275" s="405" t="s">
        <v>590</v>
      </c>
      <c r="M1275" s="405" t="s">
        <v>20808</v>
      </c>
      <c r="N1275" s="405" t="s">
        <v>23390</v>
      </c>
      <c r="O1275" s="405" t="s">
        <v>20810</v>
      </c>
      <c r="P1275" s="405" t="s">
        <v>25362</v>
      </c>
      <c r="Q1275" s="411">
        <v>6</v>
      </c>
      <c r="R1275" s="405" t="s">
        <v>6572</v>
      </c>
      <c r="S1275" s="405" t="s">
        <v>27440</v>
      </c>
      <c r="T1275" s="405" t="s">
        <v>884</v>
      </c>
      <c r="U1275" s="405" t="s">
        <v>319</v>
      </c>
    </row>
    <row r="1276" spans="1:21" x14ac:dyDescent="0.25">
      <c r="A1276" s="405" t="s">
        <v>310</v>
      </c>
      <c r="B1276" s="405" t="s">
        <v>25642</v>
      </c>
      <c r="C1276" s="405" t="s">
        <v>327</v>
      </c>
      <c r="D1276" s="405"/>
      <c r="E1276" s="410">
        <v>43778</v>
      </c>
      <c r="F1276" s="410">
        <v>43799</v>
      </c>
      <c r="G1276" s="405" t="s">
        <v>25643</v>
      </c>
      <c r="H1276" s="405">
        <v>772657990</v>
      </c>
      <c r="I1276" s="405"/>
      <c r="J1276" s="405">
        <v>-0.25717699999999999</v>
      </c>
      <c r="K1276" s="405">
        <v>31.819427999999998</v>
      </c>
      <c r="L1276" s="405" t="s">
        <v>590</v>
      </c>
      <c r="M1276" s="405" t="s">
        <v>20808</v>
      </c>
      <c r="N1276" s="405" t="s">
        <v>23390</v>
      </c>
      <c r="O1276" s="405" t="s">
        <v>20169</v>
      </c>
      <c r="P1276" s="405" t="s">
        <v>25592</v>
      </c>
      <c r="Q1276" s="411">
        <v>9</v>
      </c>
      <c r="R1276" s="405" t="s">
        <v>6572</v>
      </c>
      <c r="S1276" s="405" t="s">
        <v>27166</v>
      </c>
      <c r="T1276" s="406" t="s">
        <v>32102</v>
      </c>
      <c r="U1276" s="406" t="s">
        <v>319</v>
      </c>
    </row>
    <row r="1277" spans="1:21" x14ac:dyDescent="0.25">
      <c r="A1277" s="405" t="s">
        <v>310</v>
      </c>
      <c r="B1277" s="405" t="s">
        <v>25636</v>
      </c>
      <c r="C1277" s="405" t="s">
        <v>327</v>
      </c>
      <c r="D1277" s="405"/>
      <c r="E1277" s="410">
        <v>43778</v>
      </c>
      <c r="F1277" s="410">
        <v>43799</v>
      </c>
      <c r="G1277" s="405" t="s">
        <v>25637</v>
      </c>
      <c r="H1277" s="405">
        <v>772430839</v>
      </c>
      <c r="I1277" s="405">
        <v>778538336</v>
      </c>
      <c r="J1277" s="405">
        <v>-6.2802999999999998E-2</v>
      </c>
      <c r="K1277" s="405">
        <v>29.834150000000001</v>
      </c>
      <c r="L1277" s="405" t="s">
        <v>590</v>
      </c>
      <c r="M1277" s="405" t="s">
        <v>20808</v>
      </c>
      <c r="N1277" s="405" t="s">
        <v>25110</v>
      </c>
      <c r="O1277" s="405" t="s">
        <v>24892</v>
      </c>
      <c r="P1277" s="405" t="s">
        <v>25638</v>
      </c>
      <c r="Q1277" s="411">
        <v>9</v>
      </c>
      <c r="R1277" s="405" t="s">
        <v>6572</v>
      </c>
      <c r="S1277" s="405" t="s">
        <v>27137</v>
      </c>
      <c r="T1277" s="406" t="s">
        <v>32102</v>
      </c>
      <c r="U1277" s="406" t="s">
        <v>319</v>
      </c>
    </row>
    <row r="1278" spans="1:21" x14ac:dyDescent="0.25">
      <c r="A1278" s="405" t="s">
        <v>310</v>
      </c>
      <c r="B1278" s="405" t="s">
        <v>25587</v>
      </c>
      <c r="C1278" s="405" t="s">
        <v>327</v>
      </c>
      <c r="D1278" s="405"/>
      <c r="E1278" s="410">
        <v>43778</v>
      </c>
      <c r="F1278" s="410">
        <v>43788</v>
      </c>
      <c r="G1278" s="405" t="s">
        <v>25588</v>
      </c>
      <c r="H1278" s="405">
        <v>782529980</v>
      </c>
      <c r="I1278" s="405"/>
      <c r="J1278" s="405">
        <v>-0.75814700000000002</v>
      </c>
      <c r="K1278" s="405">
        <v>29.688793</v>
      </c>
      <c r="L1278" s="405" t="s">
        <v>590</v>
      </c>
      <c r="M1278" s="405" t="s">
        <v>20808</v>
      </c>
      <c r="N1278" s="405" t="s">
        <v>25172</v>
      </c>
      <c r="O1278" s="405" t="s">
        <v>24892</v>
      </c>
      <c r="P1278" s="405" t="s">
        <v>25589</v>
      </c>
      <c r="Q1278" s="411">
        <v>9</v>
      </c>
      <c r="R1278" s="405" t="s">
        <v>6572</v>
      </c>
      <c r="S1278" s="405" t="s">
        <v>27161</v>
      </c>
      <c r="T1278" s="405" t="s">
        <v>884</v>
      </c>
      <c r="U1278" s="405" t="s">
        <v>319</v>
      </c>
    </row>
    <row r="1279" spans="1:21" x14ac:dyDescent="0.25">
      <c r="A1279" s="405" t="s">
        <v>310</v>
      </c>
      <c r="B1279" s="405" t="s">
        <v>25550</v>
      </c>
      <c r="C1279" s="405" t="s">
        <v>327</v>
      </c>
      <c r="D1279" s="405"/>
      <c r="E1279" s="410">
        <v>43778</v>
      </c>
      <c r="F1279" s="410">
        <v>43793</v>
      </c>
      <c r="G1279" s="405" t="s">
        <v>25551</v>
      </c>
      <c r="H1279" s="405">
        <v>772438039</v>
      </c>
      <c r="I1279" s="405">
        <v>756845272</v>
      </c>
      <c r="J1279" s="405">
        <v>0.52878499999999995</v>
      </c>
      <c r="K1279" s="405">
        <v>33.384937000000001</v>
      </c>
      <c r="L1279" s="405" t="s">
        <v>590</v>
      </c>
      <c r="M1279" s="405" t="s">
        <v>25315</v>
      </c>
      <c r="N1279" s="405" t="s">
        <v>23390</v>
      </c>
      <c r="O1279" s="405" t="s">
        <v>23326</v>
      </c>
      <c r="P1279" s="405" t="s">
        <v>19915</v>
      </c>
      <c r="Q1279" s="411">
        <v>6</v>
      </c>
      <c r="R1279" s="405" t="s">
        <v>6572</v>
      </c>
      <c r="S1279" s="405" t="s">
        <v>27154</v>
      </c>
      <c r="T1279" s="405" t="s">
        <v>884</v>
      </c>
      <c r="U1279" s="405" t="s">
        <v>319</v>
      </c>
    </row>
    <row r="1280" spans="1:21" x14ac:dyDescent="0.25">
      <c r="A1280" s="405" t="s">
        <v>310</v>
      </c>
      <c r="B1280" s="405" t="s">
        <v>25633</v>
      </c>
      <c r="C1280" s="405" t="s">
        <v>327</v>
      </c>
      <c r="D1280" s="405"/>
      <c r="E1280" s="410">
        <v>43777</v>
      </c>
      <c r="F1280" s="410">
        <v>43799</v>
      </c>
      <c r="G1280" s="405" t="s">
        <v>25634</v>
      </c>
      <c r="H1280" s="405">
        <v>789683007</v>
      </c>
      <c r="I1280" s="405"/>
      <c r="J1280" s="405">
        <v>-0.22770099999999999</v>
      </c>
      <c r="K1280" s="405">
        <v>31.835443999999999</v>
      </c>
      <c r="L1280" s="405" t="s">
        <v>590</v>
      </c>
      <c r="M1280" s="405" t="s">
        <v>20808</v>
      </c>
      <c r="N1280" s="405" t="s">
        <v>25172</v>
      </c>
      <c r="O1280" s="405" t="s">
        <v>20810</v>
      </c>
      <c r="P1280" s="405" t="s">
        <v>25635</v>
      </c>
      <c r="Q1280" s="411">
        <v>6</v>
      </c>
      <c r="R1280" s="405" t="s">
        <v>6572</v>
      </c>
      <c r="S1280" s="405" t="s">
        <v>27301</v>
      </c>
      <c r="T1280" s="406" t="s">
        <v>32102</v>
      </c>
      <c r="U1280" s="406" t="s">
        <v>319</v>
      </c>
    </row>
    <row r="1281" spans="1:21" x14ac:dyDescent="0.25">
      <c r="A1281" s="405" t="s">
        <v>310</v>
      </c>
      <c r="B1281" s="405" t="s">
        <v>25546</v>
      </c>
      <c r="C1281" s="405" t="s">
        <v>327</v>
      </c>
      <c r="D1281" s="405"/>
      <c r="E1281" s="410">
        <v>43777</v>
      </c>
      <c r="F1281" s="410">
        <v>43792</v>
      </c>
      <c r="G1281" s="405" t="s">
        <v>25547</v>
      </c>
      <c r="H1281" s="405">
        <v>703270803</v>
      </c>
      <c r="I1281" s="405"/>
      <c r="J1281" s="405" t="s">
        <v>7420</v>
      </c>
      <c r="K1281" s="405">
        <v>31.835087999999999</v>
      </c>
      <c r="L1281" s="405" t="s">
        <v>590</v>
      </c>
      <c r="M1281" s="405" t="s">
        <v>25315</v>
      </c>
      <c r="N1281" s="405" t="s">
        <v>23385</v>
      </c>
      <c r="O1281" s="405" t="s">
        <v>25548</v>
      </c>
      <c r="P1281" s="405" t="s">
        <v>25549</v>
      </c>
      <c r="Q1281" s="411">
        <v>6</v>
      </c>
      <c r="R1281" s="405" t="s">
        <v>6572</v>
      </c>
      <c r="S1281" s="405" t="s">
        <v>27205</v>
      </c>
      <c r="T1281" s="405" t="s">
        <v>32102</v>
      </c>
      <c r="U1281" s="405" t="s">
        <v>319</v>
      </c>
    </row>
    <row r="1282" spans="1:21" x14ac:dyDescent="0.25">
      <c r="A1282" s="405" t="s">
        <v>310</v>
      </c>
      <c r="B1282" s="405" t="s">
        <v>7922</v>
      </c>
      <c r="C1282" s="405" t="s">
        <v>327</v>
      </c>
      <c r="D1282" s="405"/>
      <c r="E1282" s="410">
        <v>43776</v>
      </c>
      <c r="F1282" s="410">
        <v>43793</v>
      </c>
      <c r="G1282" s="405" t="s">
        <v>7923</v>
      </c>
      <c r="H1282" s="405">
        <v>702838869</v>
      </c>
      <c r="I1282" s="405"/>
      <c r="J1282" s="405">
        <v>0.40664499999999998</v>
      </c>
      <c r="K1282" s="405">
        <v>32.773972999999998</v>
      </c>
      <c r="L1282" s="405" t="s">
        <v>314</v>
      </c>
      <c r="M1282" s="405" t="s">
        <v>329</v>
      </c>
      <c r="N1282" s="405" t="s">
        <v>7924</v>
      </c>
      <c r="O1282" s="405" t="s">
        <v>546</v>
      </c>
      <c r="P1282" s="405" t="s">
        <v>546</v>
      </c>
      <c r="Q1282" s="411">
        <v>13</v>
      </c>
      <c r="R1282" s="405" t="s">
        <v>32157</v>
      </c>
      <c r="S1282" s="405" t="s">
        <v>27045</v>
      </c>
      <c r="T1282" s="406" t="s">
        <v>32102</v>
      </c>
      <c r="U1282" s="406" t="s">
        <v>319</v>
      </c>
    </row>
    <row r="1283" spans="1:21" x14ac:dyDescent="0.25">
      <c r="A1283" s="405" t="s">
        <v>310</v>
      </c>
      <c r="B1283" s="405" t="s">
        <v>25554</v>
      </c>
      <c r="C1283" s="405" t="s">
        <v>327</v>
      </c>
      <c r="D1283" s="405"/>
      <c r="E1283" s="410">
        <v>43776</v>
      </c>
      <c r="F1283" s="410">
        <v>43784</v>
      </c>
      <c r="G1283" s="405" t="s">
        <v>25555</v>
      </c>
      <c r="H1283" s="405">
        <v>782290800</v>
      </c>
      <c r="I1283" s="405"/>
      <c r="J1283" s="405">
        <v>-0.89290999999999998</v>
      </c>
      <c r="K1283" s="405">
        <v>30.612192</v>
      </c>
      <c r="L1283" s="405" t="s">
        <v>590</v>
      </c>
      <c r="M1283" s="405" t="s">
        <v>879</v>
      </c>
      <c r="N1283" s="405" t="s">
        <v>879</v>
      </c>
      <c r="O1283" s="405" t="s">
        <v>20024</v>
      </c>
      <c r="P1283" s="405" t="s">
        <v>25556</v>
      </c>
      <c r="Q1283" s="411">
        <v>6</v>
      </c>
      <c r="R1283" s="405" t="s">
        <v>883</v>
      </c>
      <c r="S1283" s="405" t="s">
        <v>27448</v>
      </c>
      <c r="T1283" s="405" t="s">
        <v>884</v>
      </c>
      <c r="U1283" s="405" t="s">
        <v>319</v>
      </c>
    </row>
    <row r="1284" spans="1:21" x14ac:dyDescent="0.25">
      <c r="A1284" s="405" t="s">
        <v>310</v>
      </c>
      <c r="B1284" s="405" t="s">
        <v>17057</v>
      </c>
      <c r="C1284" s="405" t="s">
        <v>327</v>
      </c>
      <c r="D1284" s="405"/>
      <c r="E1284" s="410">
        <v>43775</v>
      </c>
      <c r="F1284" s="410">
        <v>43791</v>
      </c>
      <c r="G1284" s="405" t="s">
        <v>17058</v>
      </c>
      <c r="H1284" s="405">
        <v>773383482</v>
      </c>
      <c r="I1284" s="405"/>
      <c r="J1284" s="405">
        <v>1.7063060000000001</v>
      </c>
      <c r="K1284" s="405">
        <v>33.740426999999997</v>
      </c>
      <c r="L1284" s="405" t="s">
        <v>6866</v>
      </c>
      <c r="M1284" s="405" t="s">
        <v>10515</v>
      </c>
      <c r="N1284" s="405" t="s">
        <v>10515</v>
      </c>
      <c r="O1284" s="405" t="s">
        <v>10645</v>
      </c>
      <c r="P1284" s="405" t="s">
        <v>14993</v>
      </c>
      <c r="Q1284" s="411">
        <v>6</v>
      </c>
      <c r="R1284" s="405" t="s">
        <v>5655</v>
      </c>
      <c r="S1284" s="405" t="s">
        <v>27353</v>
      </c>
      <c r="T1284" s="405" t="s">
        <v>884</v>
      </c>
      <c r="U1284" s="405" t="s">
        <v>319</v>
      </c>
    </row>
    <row r="1285" spans="1:21" x14ac:dyDescent="0.25">
      <c r="A1285" s="405" t="s">
        <v>310</v>
      </c>
      <c r="B1285" s="405" t="s">
        <v>8033</v>
      </c>
      <c r="C1285" s="405" t="s">
        <v>327</v>
      </c>
      <c r="D1285" s="405"/>
      <c r="E1285" s="410">
        <v>43774</v>
      </c>
      <c r="F1285" s="410">
        <v>43814</v>
      </c>
      <c r="G1285" s="405" t="s">
        <v>8034</v>
      </c>
      <c r="H1285" s="405">
        <v>701035229</v>
      </c>
      <c r="I1285" s="405">
        <v>772519231</v>
      </c>
      <c r="J1285" s="405">
        <v>-0.22770099999999999</v>
      </c>
      <c r="K1285" s="405">
        <v>31.835443999999999</v>
      </c>
      <c r="L1285" s="405" t="s">
        <v>314</v>
      </c>
      <c r="M1285" s="405" t="s">
        <v>361</v>
      </c>
      <c r="N1285" s="405" t="s">
        <v>7431</v>
      </c>
      <c r="O1285" s="405" t="s">
        <v>363</v>
      </c>
      <c r="P1285" s="405" t="s">
        <v>8035</v>
      </c>
      <c r="Q1285" s="411">
        <v>9</v>
      </c>
      <c r="R1285" s="405" t="s">
        <v>4176</v>
      </c>
      <c r="S1285" s="405" t="s">
        <v>27059</v>
      </c>
      <c r="T1285" s="405" t="s">
        <v>884</v>
      </c>
      <c r="U1285" s="405" t="s">
        <v>319</v>
      </c>
    </row>
    <row r="1286" spans="1:21" x14ac:dyDescent="0.25">
      <c r="A1286" s="405" t="s">
        <v>310</v>
      </c>
      <c r="B1286" s="405" t="s">
        <v>25685</v>
      </c>
      <c r="C1286" s="405" t="s">
        <v>327</v>
      </c>
      <c r="D1286" s="405"/>
      <c r="E1286" s="410">
        <v>43773</v>
      </c>
      <c r="F1286" s="410">
        <v>43802</v>
      </c>
      <c r="G1286" s="405" t="s">
        <v>25686</v>
      </c>
      <c r="H1286" s="405">
        <v>788298544</v>
      </c>
      <c r="I1286" s="405">
        <v>701741594</v>
      </c>
      <c r="J1286" s="405">
        <v>-0.78986000000000001</v>
      </c>
      <c r="K1286" s="405">
        <v>29.889061999999999</v>
      </c>
      <c r="L1286" s="405" t="s">
        <v>590</v>
      </c>
      <c r="M1286" s="405" t="s">
        <v>19619</v>
      </c>
      <c r="N1286" s="405" t="s">
        <v>19794</v>
      </c>
      <c r="O1286" s="405" t="s">
        <v>25687</v>
      </c>
      <c r="P1286" s="405" t="s">
        <v>19769</v>
      </c>
      <c r="Q1286" s="411">
        <v>9</v>
      </c>
      <c r="R1286" s="405" t="s">
        <v>6572</v>
      </c>
      <c r="S1286" s="405" t="s">
        <v>27193</v>
      </c>
      <c r="T1286" s="405" t="s">
        <v>884</v>
      </c>
      <c r="U1286" s="405" t="s">
        <v>319</v>
      </c>
    </row>
    <row r="1287" spans="1:21" x14ac:dyDescent="0.25">
      <c r="A1287" s="405" t="s">
        <v>310</v>
      </c>
      <c r="B1287" s="405" t="s">
        <v>25618</v>
      </c>
      <c r="C1287" s="405" t="s">
        <v>327</v>
      </c>
      <c r="D1287" s="405"/>
      <c r="E1287" s="410">
        <v>43773</v>
      </c>
      <c r="F1287" s="410">
        <v>43799</v>
      </c>
      <c r="G1287" s="405" t="s">
        <v>25619</v>
      </c>
      <c r="H1287" s="405">
        <v>701913785</v>
      </c>
      <c r="I1287" s="405"/>
      <c r="J1287" s="405">
        <v>0.29330000000000001</v>
      </c>
      <c r="K1287" s="405">
        <v>31.292300000000001</v>
      </c>
      <c r="L1287" s="405" t="s">
        <v>590</v>
      </c>
      <c r="M1287" s="405" t="s">
        <v>19725</v>
      </c>
      <c r="N1287" s="405" t="s">
        <v>25614</v>
      </c>
      <c r="O1287" s="405" t="s">
        <v>24567</v>
      </c>
      <c r="P1287" s="405" t="s">
        <v>25620</v>
      </c>
      <c r="Q1287" s="411">
        <v>9</v>
      </c>
      <c r="R1287" s="405" t="s">
        <v>32166</v>
      </c>
      <c r="S1287" s="405" t="s">
        <v>27401</v>
      </c>
      <c r="T1287" s="405" t="s">
        <v>32102</v>
      </c>
      <c r="U1287" s="405" t="s">
        <v>319</v>
      </c>
    </row>
    <row r="1288" spans="1:21" x14ac:dyDescent="0.25">
      <c r="A1288" s="405" t="s">
        <v>310</v>
      </c>
      <c r="B1288" s="405" t="s">
        <v>25616</v>
      </c>
      <c r="C1288" s="405" t="s">
        <v>327</v>
      </c>
      <c r="D1288" s="405"/>
      <c r="E1288" s="410">
        <v>43773</v>
      </c>
      <c r="F1288" s="410">
        <v>43799</v>
      </c>
      <c r="G1288" s="405" t="s">
        <v>25617</v>
      </c>
      <c r="H1288" s="405">
        <v>772913785</v>
      </c>
      <c r="I1288" s="405"/>
      <c r="J1288" s="405">
        <v>1.9376899999999999</v>
      </c>
      <c r="K1288" s="405">
        <v>33.330257000000003</v>
      </c>
      <c r="L1288" s="405" t="s">
        <v>590</v>
      </c>
      <c r="M1288" s="405" t="s">
        <v>19725</v>
      </c>
      <c r="N1288" s="405" t="s">
        <v>25614</v>
      </c>
      <c r="O1288" s="405" t="s">
        <v>24567</v>
      </c>
      <c r="P1288" s="405" t="s">
        <v>836</v>
      </c>
      <c r="Q1288" s="411">
        <v>9</v>
      </c>
      <c r="R1288" s="405" t="s">
        <v>32166</v>
      </c>
      <c r="S1288" s="405" t="s">
        <v>27401</v>
      </c>
      <c r="T1288" s="405" t="s">
        <v>32102</v>
      </c>
      <c r="U1288" s="405" t="s">
        <v>319</v>
      </c>
    </row>
    <row r="1289" spans="1:21" x14ac:dyDescent="0.25">
      <c r="A1289" s="405" t="s">
        <v>310</v>
      </c>
      <c r="B1289" s="405" t="s">
        <v>17055</v>
      </c>
      <c r="C1289" s="405" t="s">
        <v>327</v>
      </c>
      <c r="D1289" s="405"/>
      <c r="E1289" s="410">
        <v>43773</v>
      </c>
      <c r="F1289" s="410">
        <v>43790</v>
      </c>
      <c r="G1289" s="405" t="s">
        <v>17056</v>
      </c>
      <c r="H1289" s="405">
        <v>784034904</v>
      </c>
      <c r="I1289" s="405"/>
      <c r="J1289" s="405">
        <v>1.9955780000000001</v>
      </c>
      <c r="K1289" s="405">
        <v>33.506360000000001</v>
      </c>
      <c r="L1289" s="405" t="s">
        <v>6866</v>
      </c>
      <c r="M1289" s="405" t="s">
        <v>10515</v>
      </c>
      <c r="N1289" s="405" t="s">
        <v>10525</v>
      </c>
      <c r="O1289" s="405" t="s">
        <v>13074</v>
      </c>
      <c r="P1289" s="405" t="s">
        <v>14035</v>
      </c>
      <c r="Q1289" s="411">
        <v>6</v>
      </c>
      <c r="R1289" s="405" t="s">
        <v>5655</v>
      </c>
      <c r="S1289" s="405" t="s">
        <v>27072</v>
      </c>
      <c r="T1289" s="406" t="s">
        <v>32102</v>
      </c>
      <c r="U1289" s="406" t="s">
        <v>319</v>
      </c>
    </row>
    <row r="1290" spans="1:21" x14ac:dyDescent="0.25">
      <c r="A1290" s="405" t="s">
        <v>310</v>
      </c>
      <c r="B1290" s="405" t="s">
        <v>7892</v>
      </c>
      <c r="C1290" s="405" t="s">
        <v>327</v>
      </c>
      <c r="D1290" s="405"/>
      <c r="E1290" s="410">
        <v>43773</v>
      </c>
      <c r="F1290" s="410">
        <v>43790</v>
      </c>
      <c r="G1290" s="405" t="s">
        <v>7893</v>
      </c>
      <c r="H1290" s="405">
        <v>779557306</v>
      </c>
      <c r="I1290" s="405"/>
      <c r="J1290" s="405">
        <v>0.50739299999999998</v>
      </c>
      <c r="K1290" s="405">
        <v>32.462927000000001</v>
      </c>
      <c r="L1290" s="405" t="s">
        <v>314</v>
      </c>
      <c r="M1290" s="405" t="s">
        <v>361</v>
      </c>
      <c r="N1290" s="405" t="s">
        <v>374</v>
      </c>
      <c r="O1290" s="405" t="s">
        <v>523</v>
      </c>
      <c r="P1290" s="405" t="s">
        <v>2323</v>
      </c>
      <c r="Q1290" s="411">
        <v>6</v>
      </c>
      <c r="R1290" s="405" t="s">
        <v>32101</v>
      </c>
      <c r="S1290" s="405" t="s">
        <v>27039</v>
      </c>
      <c r="T1290" s="406" t="s">
        <v>884</v>
      </c>
      <c r="U1290" s="406" t="s">
        <v>319</v>
      </c>
    </row>
    <row r="1291" spans="1:21" x14ac:dyDescent="0.25">
      <c r="A1291" s="405" t="s">
        <v>310</v>
      </c>
      <c r="B1291" s="405" t="s">
        <v>17059</v>
      </c>
      <c r="C1291" s="405" t="s">
        <v>327</v>
      </c>
      <c r="D1291" s="405"/>
      <c r="E1291" s="410">
        <v>43773</v>
      </c>
      <c r="F1291" s="410">
        <v>43780</v>
      </c>
      <c r="G1291" s="405" t="s">
        <v>17060</v>
      </c>
      <c r="H1291" s="405">
        <v>781246704</v>
      </c>
      <c r="I1291" s="405">
        <v>779715165</v>
      </c>
      <c r="J1291" s="405">
        <v>1.8566389999999999</v>
      </c>
      <c r="K1291" s="405">
        <v>33.480412000000001</v>
      </c>
      <c r="L1291" s="405" t="s">
        <v>6866</v>
      </c>
      <c r="M1291" s="405" t="s">
        <v>10515</v>
      </c>
      <c r="N1291" s="405" t="s">
        <v>10525</v>
      </c>
      <c r="O1291" s="405" t="s">
        <v>15521</v>
      </c>
      <c r="P1291" s="405" t="s">
        <v>15521</v>
      </c>
      <c r="Q1291" s="411">
        <v>6</v>
      </c>
      <c r="R1291" s="405" t="s">
        <v>5655</v>
      </c>
      <c r="S1291" s="405" t="s">
        <v>27072</v>
      </c>
      <c r="T1291" s="406" t="s">
        <v>32102</v>
      </c>
      <c r="U1291" s="406" t="s">
        <v>319</v>
      </c>
    </row>
    <row r="1292" spans="1:21" x14ac:dyDescent="0.25">
      <c r="A1292" s="405" t="s">
        <v>310</v>
      </c>
      <c r="B1292" s="405" t="s">
        <v>25754</v>
      </c>
      <c r="C1292" s="405" t="s">
        <v>327</v>
      </c>
      <c r="D1292" s="405"/>
      <c r="E1292" s="410">
        <v>43772</v>
      </c>
      <c r="F1292" s="410">
        <v>43815</v>
      </c>
      <c r="G1292" s="405" t="s">
        <v>25755</v>
      </c>
      <c r="H1292" s="405">
        <v>772501909</v>
      </c>
      <c r="I1292" s="405">
        <v>706746105</v>
      </c>
      <c r="J1292" s="405">
        <v>-0.25717699999999999</v>
      </c>
      <c r="K1292" s="405">
        <v>31.819427999999998</v>
      </c>
      <c r="L1292" s="405" t="s">
        <v>590</v>
      </c>
      <c r="M1292" s="405" t="s">
        <v>879</v>
      </c>
      <c r="N1292" s="405" t="s">
        <v>880</v>
      </c>
      <c r="O1292" s="405" t="s">
        <v>22036</v>
      </c>
      <c r="P1292" s="405" t="s">
        <v>25756</v>
      </c>
      <c r="Q1292" s="411">
        <v>13</v>
      </c>
      <c r="R1292" s="405" t="s">
        <v>5665</v>
      </c>
      <c r="S1292" s="405" t="s">
        <v>27051</v>
      </c>
      <c r="T1292" s="406" t="s">
        <v>884</v>
      </c>
      <c r="U1292" s="406" t="s">
        <v>319</v>
      </c>
    </row>
    <row r="1293" spans="1:21" x14ac:dyDescent="0.25">
      <c r="A1293" s="405" t="s">
        <v>310</v>
      </c>
      <c r="B1293" s="405" t="s">
        <v>7873</v>
      </c>
      <c r="C1293" s="405" t="s">
        <v>327</v>
      </c>
      <c r="D1293" s="405"/>
      <c r="E1293" s="410">
        <v>43772</v>
      </c>
      <c r="F1293" s="410">
        <v>43787</v>
      </c>
      <c r="G1293" s="405" t="s">
        <v>7874</v>
      </c>
      <c r="H1293" s="405">
        <v>772657582</v>
      </c>
      <c r="I1293" s="405"/>
      <c r="J1293" s="405">
        <v>0.45454699999999998</v>
      </c>
      <c r="K1293" s="405">
        <v>32.446947999999999</v>
      </c>
      <c r="L1293" s="405" t="s">
        <v>314</v>
      </c>
      <c r="M1293" s="405" t="s">
        <v>361</v>
      </c>
      <c r="N1293" s="405" t="s">
        <v>374</v>
      </c>
      <c r="O1293" s="405" t="s">
        <v>535</v>
      </c>
      <c r="P1293" s="405" t="s">
        <v>7585</v>
      </c>
      <c r="Q1293" s="411">
        <v>6</v>
      </c>
      <c r="R1293" s="405" t="s">
        <v>32101</v>
      </c>
      <c r="S1293" s="405" t="s">
        <v>27181</v>
      </c>
      <c r="T1293" s="405" t="s">
        <v>884</v>
      </c>
      <c r="U1293" s="405" t="s">
        <v>319</v>
      </c>
    </row>
    <row r="1294" spans="1:21" x14ac:dyDescent="0.25">
      <c r="A1294" s="405" t="s">
        <v>310</v>
      </c>
      <c r="B1294" s="405" t="s">
        <v>7988</v>
      </c>
      <c r="C1294" s="405" t="s">
        <v>327</v>
      </c>
      <c r="D1294" s="405"/>
      <c r="E1294" s="410">
        <v>43771</v>
      </c>
      <c r="F1294" s="410">
        <v>43807</v>
      </c>
      <c r="G1294" s="405" t="s">
        <v>7989</v>
      </c>
      <c r="H1294" s="405" t="s">
        <v>7990</v>
      </c>
      <c r="I1294" s="405"/>
      <c r="J1294" s="405">
        <v>0.65465700000000004</v>
      </c>
      <c r="K1294" s="405">
        <v>31.364657999999999</v>
      </c>
      <c r="L1294" s="405" t="s">
        <v>314</v>
      </c>
      <c r="M1294" s="405" t="s">
        <v>445</v>
      </c>
      <c r="N1294" s="405" t="s">
        <v>2953</v>
      </c>
      <c r="O1294" s="405" t="s">
        <v>2953</v>
      </c>
      <c r="P1294" s="405" t="s">
        <v>1918</v>
      </c>
      <c r="Q1294" s="411">
        <v>13</v>
      </c>
      <c r="R1294" s="405" t="s">
        <v>32101</v>
      </c>
      <c r="S1294" s="405" t="s">
        <v>27193</v>
      </c>
      <c r="T1294" s="406" t="s">
        <v>884</v>
      </c>
      <c r="U1294" s="406" t="s">
        <v>319</v>
      </c>
    </row>
    <row r="1295" spans="1:21" x14ac:dyDescent="0.25">
      <c r="A1295" s="405" t="s">
        <v>310</v>
      </c>
      <c r="B1295" s="405" t="s">
        <v>17114</v>
      </c>
      <c r="C1295" s="405" t="s">
        <v>327</v>
      </c>
      <c r="D1295" s="405"/>
      <c r="E1295" s="410">
        <v>43771</v>
      </c>
      <c r="F1295" s="410">
        <v>43804</v>
      </c>
      <c r="G1295" s="405" t="s">
        <v>17115</v>
      </c>
      <c r="H1295" s="405" t="s">
        <v>17116</v>
      </c>
      <c r="I1295" s="405"/>
      <c r="J1295" s="405">
        <v>0.52581500000000003</v>
      </c>
      <c r="K1295" s="405">
        <v>33.378219999999999</v>
      </c>
      <c r="L1295" s="405" t="s">
        <v>6866</v>
      </c>
      <c r="M1295" s="405" t="s">
        <v>11128</v>
      </c>
      <c r="N1295" s="405" t="s">
        <v>11128</v>
      </c>
      <c r="O1295" s="405" t="s">
        <v>11941</v>
      </c>
      <c r="P1295" s="405" t="s">
        <v>17117</v>
      </c>
      <c r="Q1295" s="411">
        <v>6</v>
      </c>
      <c r="R1295" s="405" t="s">
        <v>32157</v>
      </c>
      <c r="S1295" s="405" t="s">
        <v>27048</v>
      </c>
      <c r="T1295" s="405" t="s">
        <v>32102</v>
      </c>
      <c r="U1295" s="405" t="s">
        <v>319</v>
      </c>
    </row>
    <row r="1296" spans="1:21" x14ac:dyDescent="0.25">
      <c r="A1296" s="405" t="s">
        <v>310</v>
      </c>
      <c r="B1296" s="405" t="s">
        <v>17082</v>
      </c>
      <c r="C1296" s="405" t="s">
        <v>327</v>
      </c>
      <c r="D1296" s="405"/>
      <c r="E1296" s="410">
        <v>43771</v>
      </c>
      <c r="F1296" s="410">
        <v>43789</v>
      </c>
      <c r="G1296" s="405" t="s">
        <v>17083</v>
      </c>
      <c r="H1296" s="405">
        <v>776416898</v>
      </c>
      <c r="I1296" s="405"/>
      <c r="J1296" s="405">
        <v>0.65220500000000003</v>
      </c>
      <c r="K1296" s="405">
        <v>33.168930000000003</v>
      </c>
      <c r="L1296" s="405" t="s">
        <v>6866</v>
      </c>
      <c r="M1296" s="405" t="s">
        <v>9590</v>
      </c>
      <c r="N1296" s="405" t="s">
        <v>542</v>
      </c>
      <c r="O1296" s="405" t="s">
        <v>10061</v>
      </c>
      <c r="P1296" s="405" t="s">
        <v>17084</v>
      </c>
      <c r="Q1296" s="411">
        <v>6</v>
      </c>
      <c r="R1296" s="405" t="s">
        <v>32157</v>
      </c>
      <c r="S1296" s="405" t="s">
        <v>27048</v>
      </c>
      <c r="T1296" s="406" t="s">
        <v>32102</v>
      </c>
      <c r="U1296" s="406" t="s">
        <v>319</v>
      </c>
    </row>
    <row r="1297" spans="1:21" x14ac:dyDescent="0.25">
      <c r="A1297" s="405" t="s">
        <v>310</v>
      </c>
      <c r="B1297" s="405" t="s">
        <v>17073</v>
      </c>
      <c r="C1297" s="405" t="s">
        <v>327</v>
      </c>
      <c r="D1297" s="405"/>
      <c r="E1297" s="410">
        <v>43770</v>
      </c>
      <c r="F1297" s="410">
        <v>43796</v>
      </c>
      <c r="G1297" s="405" t="s">
        <v>17074</v>
      </c>
      <c r="H1297" s="405">
        <v>782862725</v>
      </c>
      <c r="I1297" s="405"/>
      <c r="J1297" s="405">
        <v>-5.5708000000000001E-2</v>
      </c>
      <c r="K1297" s="405" t="s">
        <v>7372</v>
      </c>
      <c r="L1297" s="405" t="s">
        <v>6866</v>
      </c>
      <c r="M1297" s="405" t="s">
        <v>9534</v>
      </c>
      <c r="N1297" s="405" t="s">
        <v>10191</v>
      </c>
      <c r="O1297" s="405" t="s">
        <v>17075</v>
      </c>
      <c r="P1297" s="405" t="s">
        <v>17076</v>
      </c>
      <c r="Q1297" s="411">
        <v>4</v>
      </c>
      <c r="R1297" s="405" t="s">
        <v>7224</v>
      </c>
      <c r="S1297" s="405" t="s">
        <v>27368</v>
      </c>
      <c r="T1297" s="405" t="s">
        <v>884</v>
      </c>
      <c r="U1297" s="405" t="s">
        <v>319</v>
      </c>
    </row>
    <row r="1298" spans="1:21" x14ac:dyDescent="0.25">
      <c r="A1298" s="405" t="s">
        <v>310</v>
      </c>
      <c r="B1298" s="405" t="s">
        <v>25623</v>
      </c>
      <c r="C1298" s="405" t="s">
        <v>327</v>
      </c>
      <c r="D1298" s="405"/>
      <c r="E1298" s="410">
        <v>43769</v>
      </c>
      <c r="F1298" s="410">
        <v>43794</v>
      </c>
      <c r="G1298" s="405" t="s">
        <v>25624</v>
      </c>
      <c r="H1298" s="405">
        <v>751339573</v>
      </c>
      <c r="I1298" s="405"/>
      <c r="J1298" s="405">
        <v>0.82097200000000004</v>
      </c>
      <c r="K1298" s="405">
        <v>29.719947000000001</v>
      </c>
      <c r="L1298" s="405" t="s">
        <v>590</v>
      </c>
      <c r="M1298" s="405" t="s">
        <v>25315</v>
      </c>
      <c r="N1298" s="405" t="s">
        <v>25484</v>
      </c>
      <c r="O1298" s="405" t="s">
        <v>25625</v>
      </c>
      <c r="P1298" s="405" t="s">
        <v>25625</v>
      </c>
      <c r="Q1298" s="411">
        <v>6</v>
      </c>
      <c r="R1298" s="405" t="s">
        <v>6572</v>
      </c>
      <c r="S1298" s="405" t="s">
        <v>27065</v>
      </c>
      <c r="T1298" s="405" t="s">
        <v>32102</v>
      </c>
      <c r="U1298" s="405" t="s">
        <v>319</v>
      </c>
    </row>
    <row r="1299" spans="1:21" x14ac:dyDescent="0.25">
      <c r="A1299" s="405" t="s">
        <v>310</v>
      </c>
      <c r="B1299" s="405" t="s">
        <v>25603</v>
      </c>
      <c r="C1299" s="405" t="s">
        <v>327</v>
      </c>
      <c r="D1299" s="405"/>
      <c r="E1299" s="410">
        <v>43769</v>
      </c>
      <c r="F1299" s="410">
        <v>43790</v>
      </c>
      <c r="G1299" s="405" t="s">
        <v>25604</v>
      </c>
      <c r="H1299" s="405">
        <v>753050678</v>
      </c>
      <c r="I1299" s="405"/>
      <c r="J1299" s="405">
        <v>-0.97937200000000002</v>
      </c>
      <c r="K1299" s="405">
        <v>29.738299999999999</v>
      </c>
      <c r="L1299" s="405" t="s">
        <v>590</v>
      </c>
      <c r="M1299" s="405" t="s">
        <v>20808</v>
      </c>
      <c r="N1299" s="405" t="s">
        <v>25110</v>
      </c>
      <c r="O1299" s="405" t="s">
        <v>25484</v>
      </c>
      <c r="P1299" s="405" t="s">
        <v>20823</v>
      </c>
      <c r="Q1299" s="411">
        <v>6</v>
      </c>
      <c r="R1299" s="405" t="s">
        <v>6572</v>
      </c>
      <c r="S1299" s="405" t="s">
        <v>27442</v>
      </c>
      <c r="T1299" s="405" t="s">
        <v>884</v>
      </c>
      <c r="U1299" s="405" t="s">
        <v>319</v>
      </c>
    </row>
    <row r="1300" spans="1:21" x14ac:dyDescent="0.25">
      <c r="A1300" s="405" t="s">
        <v>310</v>
      </c>
      <c r="B1300" s="405" t="s">
        <v>25605</v>
      </c>
      <c r="C1300" s="405" t="s">
        <v>327</v>
      </c>
      <c r="D1300" s="405"/>
      <c r="E1300" s="410">
        <v>43769</v>
      </c>
      <c r="F1300" s="410">
        <v>43774</v>
      </c>
      <c r="G1300" s="405" t="s">
        <v>25606</v>
      </c>
      <c r="H1300" s="405">
        <v>782537621</v>
      </c>
      <c r="I1300" s="405"/>
      <c r="J1300" s="405">
        <v>-1.0018629999999999</v>
      </c>
      <c r="K1300" s="405">
        <v>29.734238000000001</v>
      </c>
      <c r="L1300" s="405" t="s">
        <v>590</v>
      </c>
      <c r="M1300" s="405" t="s">
        <v>20808</v>
      </c>
      <c r="N1300" s="405" t="s">
        <v>25607</v>
      </c>
      <c r="O1300" s="405" t="s">
        <v>25484</v>
      </c>
      <c r="P1300" s="405" t="s">
        <v>25608</v>
      </c>
      <c r="Q1300" s="411">
        <v>6</v>
      </c>
      <c r="R1300" s="405" t="s">
        <v>6572</v>
      </c>
      <c r="S1300" s="405" t="s">
        <v>27440</v>
      </c>
      <c r="T1300" s="405" t="s">
        <v>884</v>
      </c>
      <c r="U1300" s="405" t="s">
        <v>319</v>
      </c>
    </row>
    <row r="1301" spans="1:21" x14ac:dyDescent="0.25">
      <c r="A1301" s="405" t="s">
        <v>310</v>
      </c>
      <c r="B1301" s="405" t="s">
        <v>25560</v>
      </c>
      <c r="C1301" s="405" t="s">
        <v>327</v>
      </c>
      <c r="D1301" s="405"/>
      <c r="E1301" s="410">
        <v>43768</v>
      </c>
      <c r="F1301" s="410">
        <v>43793</v>
      </c>
      <c r="G1301" s="405" t="s">
        <v>25561</v>
      </c>
      <c r="H1301" s="405">
        <v>772467947</v>
      </c>
      <c r="I1301" s="405"/>
      <c r="J1301" s="405">
        <v>-5.7917000000000003E-2</v>
      </c>
      <c r="K1301" s="405">
        <v>30.727806999999999</v>
      </c>
      <c r="L1301" s="405" t="s">
        <v>590</v>
      </c>
      <c r="M1301" s="405" t="s">
        <v>19705</v>
      </c>
      <c r="N1301" s="405" t="s">
        <v>2250</v>
      </c>
      <c r="O1301" s="405" t="s">
        <v>2250</v>
      </c>
      <c r="P1301" s="405" t="s">
        <v>25562</v>
      </c>
      <c r="Q1301" s="411">
        <v>13</v>
      </c>
      <c r="R1301" s="405" t="s">
        <v>32101</v>
      </c>
      <c r="S1301" s="405" t="s">
        <v>27275</v>
      </c>
      <c r="T1301" s="405" t="s">
        <v>884</v>
      </c>
      <c r="U1301" s="405" t="s">
        <v>319</v>
      </c>
    </row>
    <row r="1302" spans="1:21" x14ac:dyDescent="0.25">
      <c r="A1302" s="405" t="s">
        <v>310</v>
      </c>
      <c r="B1302" s="405" t="s">
        <v>7866</v>
      </c>
      <c r="C1302" s="405" t="s">
        <v>327</v>
      </c>
      <c r="D1302" s="405"/>
      <c r="E1302" s="410">
        <v>43768</v>
      </c>
      <c r="F1302" s="410">
        <v>43786</v>
      </c>
      <c r="G1302" s="405" t="s">
        <v>7867</v>
      </c>
      <c r="H1302" s="405">
        <v>758127465</v>
      </c>
      <c r="I1302" s="405"/>
      <c r="J1302" s="405">
        <v>0.24179999999999999</v>
      </c>
      <c r="K1302" s="405">
        <v>31.233899999999998</v>
      </c>
      <c r="L1302" s="405" t="s">
        <v>314</v>
      </c>
      <c r="M1302" s="405" t="s">
        <v>1189</v>
      </c>
      <c r="N1302" s="405" t="s">
        <v>1189</v>
      </c>
      <c r="O1302" s="405" t="s">
        <v>1189</v>
      </c>
      <c r="P1302" s="405" t="s">
        <v>1189</v>
      </c>
      <c r="Q1302" s="411">
        <v>13</v>
      </c>
      <c r="R1302" s="405" t="s">
        <v>32101</v>
      </c>
      <c r="S1302" s="405" t="s">
        <v>27047</v>
      </c>
      <c r="T1302" s="405" t="s">
        <v>884</v>
      </c>
      <c r="U1302" s="405" t="s">
        <v>319</v>
      </c>
    </row>
    <row r="1303" spans="1:21" x14ac:dyDescent="0.25">
      <c r="A1303" s="405" t="s">
        <v>310</v>
      </c>
      <c r="B1303" s="405" t="s">
        <v>7726</v>
      </c>
      <c r="C1303" s="405" t="s">
        <v>327</v>
      </c>
      <c r="D1303" s="405"/>
      <c r="E1303" s="410">
        <v>43768</v>
      </c>
      <c r="F1303" s="410">
        <v>43768</v>
      </c>
      <c r="G1303" s="405" t="s">
        <v>7727</v>
      </c>
      <c r="H1303" s="405">
        <v>701593964</v>
      </c>
      <c r="I1303" s="405"/>
      <c r="J1303" s="405">
        <v>-0.64002499999999996</v>
      </c>
      <c r="K1303" s="405">
        <v>31.544405000000001</v>
      </c>
      <c r="L1303" s="405" t="s">
        <v>314</v>
      </c>
      <c r="M1303" s="405" t="s">
        <v>398</v>
      </c>
      <c r="N1303" s="405" t="s">
        <v>399</v>
      </c>
      <c r="O1303" s="405" t="s">
        <v>7728</v>
      </c>
      <c r="P1303" s="405" t="s">
        <v>6671</v>
      </c>
      <c r="Q1303" s="411">
        <v>13</v>
      </c>
      <c r="R1303" s="405" t="s">
        <v>402</v>
      </c>
      <c r="S1303" s="405" t="s">
        <v>27052</v>
      </c>
      <c r="T1303" s="405" t="s">
        <v>884</v>
      </c>
      <c r="U1303" s="405" t="s">
        <v>319</v>
      </c>
    </row>
    <row r="1304" spans="1:21" x14ac:dyDescent="0.25">
      <c r="A1304" s="405" t="s">
        <v>310</v>
      </c>
      <c r="B1304" s="405" t="s">
        <v>25678</v>
      </c>
      <c r="C1304" s="405" t="s">
        <v>327</v>
      </c>
      <c r="D1304" s="405"/>
      <c r="E1304" s="410">
        <v>43768</v>
      </c>
      <c r="F1304" s="410">
        <v>43786</v>
      </c>
      <c r="G1304" s="405" t="s">
        <v>25679</v>
      </c>
      <c r="H1304" s="405">
        <v>752555984</v>
      </c>
      <c r="I1304" s="405"/>
      <c r="J1304" s="405">
        <v>0.416433</v>
      </c>
      <c r="K1304" s="405">
        <v>32.527819999999998</v>
      </c>
      <c r="L1304" s="405" t="s">
        <v>590</v>
      </c>
      <c r="M1304" s="405" t="s">
        <v>21087</v>
      </c>
      <c r="N1304" s="405" t="s">
        <v>25680</v>
      </c>
      <c r="O1304" s="405" t="s">
        <v>21082</v>
      </c>
      <c r="P1304" s="405" t="s">
        <v>21082</v>
      </c>
      <c r="Q1304" s="411">
        <v>12</v>
      </c>
      <c r="R1304" s="405" t="s">
        <v>5903</v>
      </c>
      <c r="S1304" s="405" t="s">
        <v>27153</v>
      </c>
      <c r="T1304" s="405" t="s">
        <v>884</v>
      </c>
      <c r="U1304" s="405" t="s">
        <v>319</v>
      </c>
    </row>
    <row r="1305" spans="1:21" x14ac:dyDescent="0.25">
      <c r="A1305" s="405" t="s">
        <v>310</v>
      </c>
      <c r="B1305" s="405" t="s">
        <v>7871</v>
      </c>
      <c r="C1305" s="405" t="s">
        <v>327</v>
      </c>
      <c r="D1305" s="405"/>
      <c r="E1305" s="410">
        <v>43768</v>
      </c>
      <c r="F1305" s="410">
        <v>43786</v>
      </c>
      <c r="G1305" s="405" t="s">
        <v>7872</v>
      </c>
      <c r="H1305" s="405">
        <v>772503922</v>
      </c>
      <c r="I1305" s="405"/>
      <c r="J1305" s="405" t="s">
        <v>7420</v>
      </c>
      <c r="K1305" s="405">
        <v>31.835087999999999</v>
      </c>
      <c r="L1305" s="405" t="s">
        <v>314</v>
      </c>
      <c r="M1305" s="405" t="s">
        <v>361</v>
      </c>
      <c r="N1305" s="405" t="s">
        <v>374</v>
      </c>
      <c r="O1305" s="405" t="s">
        <v>952</v>
      </c>
      <c r="P1305" s="405" t="s">
        <v>7331</v>
      </c>
      <c r="Q1305" s="411">
        <v>9</v>
      </c>
      <c r="R1305" s="405" t="s">
        <v>32101</v>
      </c>
      <c r="S1305" s="405" t="s">
        <v>27273</v>
      </c>
      <c r="T1305" s="405" t="s">
        <v>884</v>
      </c>
      <c r="U1305" s="405" t="s">
        <v>319</v>
      </c>
    </row>
    <row r="1306" spans="1:21" x14ac:dyDescent="0.25">
      <c r="A1306" s="405" t="s">
        <v>310</v>
      </c>
      <c r="B1306" s="405" t="s">
        <v>7862</v>
      </c>
      <c r="C1306" s="405" t="s">
        <v>327</v>
      </c>
      <c r="D1306" s="405"/>
      <c r="E1306" s="410">
        <v>43768</v>
      </c>
      <c r="F1306" s="410">
        <v>43781</v>
      </c>
      <c r="G1306" s="405" t="s">
        <v>7863</v>
      </c>
      <c r="H1306" s="405">
        <v>701461032</v>
      </c>
      <c r="I1306" s="405">
        <v>772461032</v>
      </c>
      <c r="J1306" s="405">
        <v>0.28620299999999999</v>
      </c>
      <c r="K1306" s="405">
        <v>32.440617000000003</v>
      </c>
      <c r="L1306" s="405" t="s">
        <v>314</v>
      </c>
      <c r="M1306" s="405" t="s">
        <v>361</v>
      </c>
      <c r="N1306" s="405" t="s">
        <v>374</v>
      </c>
      <c r="O1306" s="405" t="s">
        <v>375</v>
      </c>
      <c r="P1306" s="405" t="s">
        <v>1473</v>
      </c>
      <c r="Q1306" s="411">
        <v>9</v>
      </c>
      <c r="R1306" s="405" t="s">
        <v>32101</v>
      </c>
      <c r="S1306" s="405" t="s">
        <v>27243</v>
      </c>
      <c r="T1306" s="405" t="s">
        <v>884</v>
      </c>
      <c r="U1306" s="405" t="s">
        <v>319</v>
      </c>
    </row>
    <row r="1307" spans="1:21" x14ac:dyDescent="0.25">
      <c r="A1307" s="405" t="s">
        <v>310</v>
      </c>
      <c r="B1307" s="405" t="s">
        <v>7868</v>
      </c>
      <c r="C1307" s="405" t="s">
        <v>327</v>
      </c>
      <c r="D1307" s="405"/>
      <c r="E1307" s="410">
        <v>43768</v>
      </c>
      <c r="F1307" s="410">
        <v>43779</v>
      </c>
      <c r="G1307" s="405" t="s">
        <v>7869</v>
      </c>
      <c r="H1307" s="405">
        <v>782083066</v>
      </c>
      <c r="I1307" s="405"/>
      <c r="J1307" s="405">
        <v>0.30885499999999999</v>
      </c>
      <c r="K1307" s="405">
        <v>32.149076999999998</v>
      </c>
      <c r="L1307" s="405" t="s">
        <v>314</v>
      </c>
      <c r="M1307" s="405" t="s">
        <v>959</v>
      </c>
      <c r="N1307" s="405" t="s">
        <v>959</v>
      </c>
      <c r="O1307" s="405" t="s">
        <v>3982</v>
      </c>
      <c r="P1307" s="405" t="s">
        <v>7870</v>
      </c>
      <c r="Q1307" s="411">
        <v>9</v>
      </c>
      <c r="R1307" s="405" t="s">
        <v>32101</v>
      </c>
      <c r="S1307" s="405" t="s">
        <v>27034</v>
      </c>
      <c r="T1307" s="405" t="s">
        <v>884</v>
      </c>
      <c r="U1307" s="405" t="s">
        <v>319</v>
      </c>
    </row>
    <row r="1308" spans="1:21" x14ac:dyDescent="0.25">
      <c r="A1308" s="405" t="s">
        <v>310</v>
      </c>
      <c r="B1308" s="405" t="s">
        <v>8339</v>
      </c>
      <c r="C1308" s="405" t="s">
        <v>311</v>
      </c>
      <c r="D1308" s="405" t="s">
        <v>2127</v>
      </c>
      <c r="E1308" s="410">
        <v>43768</v>
      </c>
      <c r="F1308" s="410">
        <v>43768</v>
      </c>
      <c r="G1308" s="405" t="s">
        <v>8340</v>
      </c>
      <c r="H1308" s="405">
        <v>704890374</v>
      </c>
      <c r="I1308" s="405"/>
      <c r="J1308" s="405">
        <v>-0.39057799999999998</v>
      </c>
      <c r="K1308" s="405">
        <v>31.467017999999999</v>
      </c>
      <c r="L1308" s="405" t="s">
        <v>314</v>
      </c>
      <c r="M1308" s="405" t="s">
        <v>1189</v>
      </c>
      <c r="N1308" s="405" t="s">
        <v>1189</v>
      </c>
      <c r="O1308" s="405" t="s">
        <v>7387</v>
      </c>
      <c r="P1308" s="405" t="s">
        <v>7388</v>
      </c>
      <c r="Q1308" s="411">
        <v>9</v>
      </c>
      <c r="R1308" s="405" t="s">
        <v>874</v>
      </c>
      <c r="S1308" s="405" t="s">
        <v>23838</v>
      </c>
      <c r="T1308" s="405" t="s">
        <v>32102</v>
      </c>
      <c r="U1308" s="405" t="s">
        <v>319</v>
      </c>
    </row>
    <row r="1309" spans="1:21" x14ac:dyDescent="0.25">
      <c r="A1309" s="405" t="s">
        <v>310</v>
      </c>
      <c r="B1309" s="405" t="s">
        <v>7723</v>
      </c>
      <c r="C1309" s="405" t="s">
        <v>327</v>
      </c>
      <c r="D1309" s="405"/>
      <c r="E1309" s="410">
        <v>43768</v>
      </c>
      <c r="F1309" s="410">
        <v>43768</v>
      </c>
      <c r="G1309" s="405" t="s">
        <v>7724</v>
      </c>
      <c r="H1309" s="405">
        <v>782522458</v>
      </c>
      <c r="I1309" s="405"/>
      <c r="J1309" s="405">
        <v>-0.28809800000000002</v>
      </c>
      <c r="K1309" s="405">
        <v>31.737213000000001</v>
      </c>
      <c r="L1309" s="405" t="s">
        <v>314</v>
      </c>
      <c r="M1309" s="405" t="s">
        <v>382</v>
      </c>
      <c r="N1309" s="405" t="s">
        <v>383</v>
      </c>
      <c r="O1309" s="405" t="s">
        <v>7725</v>
      </c>
      <c r="P1309" s="405" t="s">
        <v>7392</v>
      </c>
      <c r="Q1309" s="411">
        <v>9</v>
      </c>
      <c r="R1309" s="405" t="s">
        <v>874</v>
      </c>
      <c r="S1309" s="405" t="s">
        <v>23838</v>
      </c>
      <c r="T1309" s="405" t="s">
        <v>32102</v>
      </c>
      <c r="U1309" s="405" t="s">
        <v>319</v>
      </c>
    </row>
    <row r="1310" spans="1:21" x14ac:dyDescent="0.25">
      <c r="A1310" s="405" t="s">
        <v>310</v>
      </c>
      <c r="B1310" s="405" t="s">
        <v>8337</v>
      </c>
      <c r="C1310" s="405" t="s">
        <v>311</v>
      </c>
      <c r="D1310" s="405" t="s">
        <v>2127</v>
      </c>
      <c r="E1310" s="410">
        <v>43768</v>
      </c>
      <c r="F1310" s="410">
        <v>43768</v>
      </c>
      <c r="G1310" s="405" t="s">
        <v>8338</v>
      </c>
      <c r="H1310" s="405">
        <v>782526046</v>
      </c>
      <c r="I1310" s="405"/>
      <c r="J1310" s="405">
        <v>-0.28716700000000001</v>
      </c>
      <c r="K1310" s="405">
        <v>31.736725</v>
      </c>
      <c r="L1310" s="405" t="s">
        <v>314</v>
      </c>
      <c r="M1310" s="405" t="s">
        <v>382</v>
      </c>
      <c r="N1310" s="405" t="s">
        <v>7391</v>
      </c>
      <c r="O1310" s="405" t="s">
        <v>7725</v>
      </c>
      <c r="P1310" s="405" t="s">
        <v>7392</v>
      </c>
      <c r="Q1310" s="411">
        <v>9</v>
      </c>
      <c r="R1310" s="405" t="s">
        <v>874</v>
      </c>
      <c r="S1310" s="405" t="s">
        <v>23838</v>
      </c>
      <c r="T1310" s="405" t="s">
        <v>884</v>
      </c>
      <c r="U1310" s="405" t="s">
        <v>319</v>
      </c>
    </row>
    <row r="1311" spans="1:21" x14ac:dyDescent="0.25">
      <c r="A1311" s="405" t="s">
        <v>310</v>
      </c>
      <c r="B1311" s="405" t="s">
        <v>25600</v>
      </c>
      <c r="C1311" s="405" t="s">
        <v>327</v>
      </c>
      <c r="D1311" s="405"/>
      <c r="E1311" s="410">
        <v>43768</v>
      </c>
      <c r="F1311" s="410">
        <v>43789</v>
      </c>
      <c r="G1311" s="405" t="s">
        <v>25601</v>
      </c>
      <c r="H1311" s="405">
        <v>772754970</v>
      </c>
      <c r="I1311" s="405"/>
      <c r="J1311" s="405">
        <v>-0.70860500000000004</v>
      </c>
      <c r="K1311" s="405">
        <v>29.717192000000001</v>
      </c>
      <c r="L1311" s="405" t="s">
        <v>590</v>
      </c>
      <c r="M1311" s="405" t="s">
        <v>20808</v>
      </c>
      <c r="N1311" s="405" t="s">
        <v>23385</v>
      </c>
      <c r="O1311" s="405" t="s">
        <v>22780</v>
      </c>
      <c r="P1311" s="405" t="s">
        <v>25602</v>
      </c>
      <c r="Q1311" s="411">
        <v>6</v>
      </c>
      <c r="R1311" s="405" t="s">
        <v>6572</v>
      </c>
      <c r="S1311" s="405" t="s">
        <v>27137</v>
      </c>
      <c r="T1311" s="405" t="s">
        <v>32102</v>
      </c>
      <c r="U1311" s="405" t="s">
        <v>319</v>
      </c>
    </row>
    <row r="1312" spans="1:21" x14ac:dyDescent="0.25">
      <c r="A1312" s="405" t="s">
        <v>310</v>
      </c>
      <c r="B1312" s="405" t="s">
        <v>25598</v>
      </c>
      <c r="C1312" s="405" t="s">
        <v>327</v>
      </c>
      <c r="D1312" s="405"/>
      <c r="E1312" s="410">
        <v>43768</v>
      </c>
      <c r="F1312" s="410">
        <v>43784</v>
      </c>
      <c r="G1312" s="405" t="s">
        <v>25599</v>
      </c>
      <c r="H1312" s="405">
        <v>772956834</v>
      </c>
      <c r="I1312" s="405"/>
      <c r="J1312" s="405">
        <v>-0.83135199999999998</v>
      </c>
      <c r="K1312" s="405">
        <v>29.746333</v>
      </c>
      <c r="L1312" s="405" t="s">
        <v>590</v>
      </c>
      <c r="M1312" s="405" t="s">
        <v>20808</v>
      </c>
      <c r="N1312" s="405" t="s">
        <v>23390</v>
      </c>
      <c r="O1312" s="405" t="s">
        <v>20810</v>
      </c>
      <c r="P1312" s="405" t="s">
        <v>25370</v>
      </c>
      <c r="Q1312" s="411">
        <v>6</v>
      </c>
      <c r="R1312" s="405" t="s">
        <v>6572</v>
      </c>
      <c r="S1312" s="405" t="s">
        <v>27205</v>
      </c>
      <c r="T1312" s="405" t="s">
        <v>32102</v>
      </c>
      <c r="U1312" s="405" t="s">
        <v>319</v>
      </c>
    </row>
    <row r="1313" spans="1:21" x14ac:dyDescent="0.25">
      <c r="A1313" s="405" t="s">
        <v>310</v>
      </c>
      <c r="B1313" s="405" t="s">
        <v>25612</v>
      </c>
      <c r="C1313" s="405" t="s">
        <v>327</v>
      </c>
      <c r="D1313" s="405"/>
      <c r="E1313" s="410">
        <v>43767</v>
      </c>
      <c r="F1313" s="410">
        <v>43792</v>
      </c>
      <c r="G1313" s="405" t="s">
        <v>25613</v>
      </c>
      <c r="H1313" s="405">
        <v>782545489</v>
      </c>
      <c r="I1313" s="405"/>
      <c r="J1313" s="405">
        <v>0.52878499999999995</v>
      </c>
      <c r="K1313" s="405">
        <v>33.384937000000001</v>
      </c>
      <c r="L1313" s="405" t="s">
        <v>590</v>
      </c>
      <c r="M1313" s="405" t="s">
        <v>19725</v>
      </c>
      <c r="N1313" s="405" t="s">
        <v>25614</v>
      </c>
      <c r="O1313" s="405" t="s">
        <v>24727</v>
      </c>
      <c r="P1313" s="405" t="s">
        <v>25615</v>
      </c>
      <c r="Q1313" s="411">
        <v>9</v>
      </c>
      <c r="R1313" s="405" t="s">
        <v>32166</v>
      </c>
      <c r="S1313" s="405" t="s">
        <v>27444</v>
      </c>
      <c r="T1313" s="405" t="s">
        <v>32102</v>
      </c>
      <c r="U1313" s="405" t="s">
        <v>319</v>
      </c>
    </row>
    <row r="1314" spans="1:21" x14ac:dyDescent="0.25">
      <c r="A1314" s="405" t="s">
        <v>310</v>
      </c>
      <c r="B1314" s="405" t="s">
        <v>25595</v>
      </c>
      <c r="C1314" s="405" t="s">
        <v>327</v>
      </c>
      <c r="D1314" s="405"/>
      <c r="E1314" s="410">
        <v>43767</v>
      </c>
      <c r="F1314" s="410">
        <v>43792</v>
      </c>
      <c r="G1314" s="405" t="s">
        <v>25596</v>
      </c>
      <c r="H1314" s="405">
        <v>782357886</v>
      </c>
      <c r="I1314" s="405"/>
      <c r="J1314" s="405" t="s">
        <v>7406</v>
      </c>
      <c r="K1314" s="405">
        <v>32.623615000000001</v>
      </c>
      <c r="L1314" s="405" t="s">
        <v>590</v>
      </c>
      <c r="M1314" s="405" t="s">
        <v>20808</v>
      </c>
      <c r="N1314" s="405" t="s">
        <v>23390</v>
      </c>
      <c r="O1314" s="405" t="s">
        <v>24811</v>
      </c>
      <c r="P1314" s="405" t="s">
        <v>25597</v>
      </c>
      <c r="Q1314" s="411">
        <v>6</v>
      </c>
      <c r="R1314" s="405" t="s">
        <v>6572</v>
      </c>
      <c r="S1314" s="405" t="s">
        <v>27301</v>
      </c>
      <c r="T1314" s="405" t="s">
        <v>884</v>
      </c>
      <c r="U1314" s="405" t="s">
        <v>319</v>
      </c>
    </row>
    <row r="1315" spans="1:21" x14ac:dyDescent="0.25">
      <c r="A1315" s="405" t="s">
        <v>310</v>
      </c>
      <c r="B1315" s="405" t="s">
        <v>25593</v>
      </c>
      <c r="C1315" s="405" t="s">
        <v>327</v>
      </c>
      <c r="D1315" s="405"/>
      <c r="E1315" s="410">
        <v>43767</v>
      </c>
      <c r="F1315" s="410">
        <v>43789</v>
      </c>
      <c r="G1315" s="405" t="s">
        <v>25594</v>
      </c>
      <c r="H1315" s="405">
        <v>782256279</v>
      </c>
      <c r="I1315" s="405"/>
      <c r="J1315" s="405">
        <v>0.82097200000000004</v>
      </c>
      <c r="K1315" s="405">
        <v>29.719947000000001</v>
      </c>
      <c r="L1315" s="405" t="s">
        <v>590</v>
      </c>
      <c r="M1315" s="405" t="s">
        <v>25315</v>
      </c>
      <c r="N1315" s="405" t="s">
        <v>23995</v>
      </c>
      <c r="O1315" s="405" t="s">
        <v>5559</v>
      </c>
      <c r="P1315" s="405" t="s">
        <v>5559</v>
      </c>
      <c r="Q1315" s="411">
        <v>6</v>
      </c>
      <c r="R1315" s="405" t="s">
        <v>6572</v>
      </c>
      <c r="S1315" s="405" t="s">
        <v>27399</v>
      </c>
      <c r="T1315" s="405" t="s">
        <v>884</v>
      </c>
      <c r="U1315" s="405" t="s">
        <v>319</v>
      </c>
    </row>
    <row r="1316" spans="1:21" x14ac:dyDescent="0.25">
      <c r="A1316" s="405" t="s">
        <v>310</v>
      </c>
      <c r="B1316" s="405" t="s">
        <v>7835</v>
      </c>
      <c r="C1316" s="405" t="s">
        <v>327</v>
      </c>
      <c r="D1316" s="405"/>
      <c r="E1316" s="410">
        <v>43766</v>
      </c>
      <c r="F1316" s="410">
        <v>43785</v>
      </c>
      <c r="G1316" s="405" t="s">
        <v>7836</v>
      </c>
      <c r="H1316" s="405">
        <v>702662162</v>
      </c>
      <c r="I1316" s="405"/>
      <c r="J1316" s="405">
        <v>0.94099999999999995</v>
      </c>
      <c r="K1316" s="405">
        <v>32.505099999999999</v>
      </c>
      <c r="L1316" s="405" t="s">
        <v>314</v>
      </c>
      <c r="M1316" s="405" t="s">
        <v>329</v>
      </c>
      <c r="N1316" s="405" t="s">
        <v>1107</v>
      </c>
      <c r="O1316" s="405" t="s">
        <v>7837</v>
      </c>
      <c r="P1316" s="405" t="s">
        <v>7837</v>
      </c>
      <c r="Q1316" s="411">
        <v>13</v>
      </c>
      <c r="R1316" s="405" t="s">
        <v>32101</v>
      </c>
      <c r="S1316" s="405" t="s">
        <v>27181</v>
      </c>
      <c r="T1316" s="405" t="s">
        <v>884</v>
      </c>
      <c r="U1316" s="405" t="s">
        <v>319</v>
      </c>
    </row>
    <row r="1317" spans="1:21" x14ac:dyDescent="0.25">
      <c r="A1317" s="405" t="s">
        <v>310</v>
      </c>
      <c r="B1317" s="405" t="s">
        <v>8513</v>
      </c>
      <c r="C1317" s="405" t="s">
        <v>311</v>
      </c>
      <c r="D1317" s="405" t="s">
        <v>839</v>
      </c>
      <c r="E1317" s="410">
        <v>43766</v>
      </c>
      <c r="F1317" s="410">
        <v>43784</v>
      </c>
      <c r="G1317" s="405" t="s">
        <v>8514</v>
      </c>
      <c r="H1317" s="405">
        <v>772857432</v>
      </c>
      <c r="I1317" s="405"/>
      <c r="J1317" s="405">
        <v>0.45551799999999998</v>
      </c>
      <c r="K1317" s="405">
        <v>32.675899999999999</v>
      </c>
      <c r="L1317" s="405" t="s">
        <v>314</v>
      </c>
      <c r="M1317" s="405" t="s">
        <v>329</v>
      </c>
      <c r="N1317" s="405" t="s">
        <v>329</v>
      </c>
      <c r="O1317" s="405" t="s">
        <v>787</v>
      </c>
      <c r="P1317" s="405" t="s">
        <v>788</v>
      </c>
      <c r="Q1317" s="411">
        <v>9</v>
      </c>
      <c r="R1317" s="405" t="s">
        <v>32101</v>
      </c>
      <c r="S1317" s="405" t="s">
        <v>27273</v>
      </c>
      <c r="T1317" s="405" t="s">
        <v>884</v>
      </c>
      <c r="U1317" s="405" t="s">
        <v>319</v>
      </c>
    </row>
    <row r="1318" spans="1:21" x14ac:dyDescent="0.25">
      <c r="A1318" s="405" t="s">
        <v>310</v>
      </c>
      <c r="B1318" s="405" t="s">
        <v>25590</v>
      </c>
      <c r="C1318" s="405" t="s">
        <v>327</v>
      </c>
      <c r="D1318" s="405"/>
      <c r="E1318" s="410">
        <v>43766</v>
      </c>
      <c r="F1318" s="410">
        <v>43779</v>
      </c>
      <c r="G1318" s="405" t="s">
        <v>25591</v>
      </c>
      <c r="H1318" s="405">
        <v>783752146</v>
      </c>
      <c r="I1318" s="405"/>
      <c r="J1318" s="405">
        <v>-0.77135799999999999</v>
      </c>
      <c r="K1318" s="405">
        <v>29.751297999999998</v>
      </c>
      <c r="L1318" s="405" t="s">
        <v>590</v>
      </c>
      <c r="M1318" s="405" t="s">
        <v>20808</v>
      </c>
      <c r="N1318" s="405" t="s">
        <v>25172</v>
      </c>
      <c r="O1318" s="405" t="s">
        <v>20169</v>
      </c>
      <c r="P1318" s="405" t="s">
        <v>25592</v>
      </c>
      <c r="Q1318" s="411">
        <v>6</v>
      </c>
      <c r="R1318" s="405" t="s">
        <v>6572</v>
      </c>
      <c r="S1318" s="405" t="s">
        <v>27161</v>
      </c>
      <c r="T1318" s="405" t="s">
        <v>32102</v>
      </c>
      <c r="U1318" s="405" t="s">
        <v>319</v>
      </c>
    </row>
    <row r="1319" spans="1:21" x14ac:dyDescent="0.25">
      <c r="A1319" s="405" t="s">
        <v>310</v>
      </c>
      <c r="B1319" s="405" t="s">
        <v>25582</v>
      </c>
      <c r="C1319" s="405" t="s">
        <v>327</v>
      </c>
      <c r="D1319" s="405"/>
      <c r="E1319" s="410">
        <v>43765</v>
      </c>
      <c r="F1319" s="410">
        <v>43789</v>
      </c>
      <c r="G1319" s="405" t="s">
        <v>25583</v>
      </c>
      <c r="H1319" s="405">
        <v>772531896</v>
      </c>
      <c r="I1319" s="405"/>
      <c r="J1319" s="405" t="s">
        <v>7406</v>
      </c>
      <c r="K1319" s="405">
        <v>32.623615000000001</v>
      </c>
      <c r="L1319" s="405" t="s">
        <v>590</v>
      </c>
      <c r="M1319" s="405" t="s">
        <v>20808</v>
      </c>
      <c r="N1319" s="405" t="s">
        <v>25110</v>
      </c>
      <c r="O1319" s="405" t="s">
        <v>24892</v>
      </c>
      <c r="P1319" s="405" t="s">
        <v>24893</v>
      </c>
      <c r="Q1319" s="411">
        <v>9</v>
      </c>
      <c r="R1319" s="405" t="s">
        <v>6572</v>
      </c>
      <c r="S1319" s="405" t="s">
        <v>27154</v>
      </c>
      <c r="T1319" s="405" t="s">
        <v>884</v>
      </c>
      <c r="U1319" s="405" t="s">
        <v>319</v>
      </c>
    </row>
    <row r="1320" spans="1:21" x14ac:dyDescent="0.25">
      <c r="A1320" s="405" t="s">
        <v>310</v>
      </c>
      <c r="B1320" s="405" t="s">
        <v>7847</v>
      </c>
      <c r="C1320" s="405" t="s">
        <v>327</v>
      </c>
      <c r="D1320" s="405"/>
      <c r="E1320" s="410">
        <v>43765</v>
      </c>
      <c r="F1320" s="410">
        <v>43785</v>
      </c>
      <c r="G1320" s="405" t="s">
        <v>7848</v>
      </c>
      <c r="H1320" s="405">
        <v>782404203</v>
      </c>
      <c r="I1320" s="405"/>
      <c r="J1320" s="405">
        <v>-0.395922</v>
      </c>
      <c r="K1320" s="405">
        <v>31.419725</v>
      </c>
      <c r="L1320" s="405" t="s">
        <v>314</v>
      </c>
      <c r="M1320" s="405" t="s">
        <v>1189</v>
      </c>
      <c r="N1320" s="405" t="s">
        <v>1189</v>
      </c>
      <c r="O1320" s="405" t="s">
        <v>7849</v>
      </c>
      <c r="P1320" s="405" t="s">
        <v>7850</v>
      </c>
      <c r="Q1320" s="411">
        <v>6</v>
      </c>
      <c r="R1320" s="405" t="s">
        <v>32101</v>
      </c>
      <c r="S1320" s="405" t="s">
        <v>27042</v>
      </c>
      <c r="T1320" s="405" t="s">
        <v>32102</v>
      </c>
      <c r="U1320" s="405" t="s">
        <v>319</v>
      </c>
    </row>
    <row r="1321" spans="1:21" x14ac:dyDescent="0.25">
      <c r="A1321" s="405" t="s">
        <v>310</v>
      </c>
      <c r="B1321" s="405" t="s">
        <v>7943</v>
      </c>
      <c r="C1321" s="405" t="s">
        <v>327</v>
      </c>
      <c r="D1321" s="405"/>
      <c r="E1321" s="410">
        <v>43764</v>
      </c>
      <c r="F1321" s="410">
        <v>43779</v>
      </c>
      <c r="G1321" s="405" t="s">
        <v>7944</v>
      </c>
      <c r="H1321" s="405">
        <v>701084173</v>
      </c>
      <c r="I1321" s="405"/>
      <c r="J1321" s="405">
        <v>0.99083600000000005</v>
      </c>
      <c r="K1321" s="405">
        <v>34.173879999999997</v>
      </c>
      <c r="L1321" s="405" t="s">
        <v>314</v>
      </c>
      <c r="M1321" s="405" t="s">
        <v>361</v>
      </c>
      <c r="N1321" s="405" t="s">
        <v>5838</v>
      </c>
      <c r="O1321" s="405" t="s">
        <v>1249</v>
      </c>
      <c r="P1321" s="405" t="s">
        <v>7945</v>
      </c>
      <c r="Q1321" s="411">
        <v>6</v>
      </c>
      <c r="R1321" s="405" t="s">
        <v>4176</v>
      </c>
      <c r="S1321" s="405" t="s">
        <v>27153</v>
      </c>
      <c r="T1321" s="405" t="s">
        <v>884</v>
      </c>
      <c r="U1321" s="405" t="s">
        <v>319</v>
      </c>
    </row>
    <row r="1322" spans="1:21" x14ac:dyDescent="0.25">
      <c r="A1322" s="405" t="s">
        <v>310</v>
      </c>
      <c r="B1322" s="405" t="s">
        <v>7845</v>
      </c>
      <c r="C1322" s="405" t="s">
        <v>327</v>
      </c>
      <c r="D1322" s="405"/>
      <c r="E1322" s="410">
        <v>43763</v>
      </c>
      <c r="F1322" s="410">
        <v>43775</v>
      </c>
      <c r="G1322" s="405" t="s">
        <v>7846</v>
      </c>
      <c r="H1322" s="405">
        <v>779180390</v>
      </c>
      <c r="I1322" s="405"/>
      <c r="J1322" s="405">
        <v>0.40432800000000002</v>
      </c>
      <c r="K1322" s="405">
        <v>32.456898000000002</v>
      </c>
      <c r="L1322" s="405" t="s">
        <v>314</v>
      </c>
      <c r="M1322" s="405" t="s">
        <v>361</v>
      </c>
      <c r="N1322" s="405" t="s">
        <v>374</v>
      </c>
      <c r="O1322" s="405" t="s">
        <v>361</v>
      </c>
      <c r="P1322" s="405" t="s">
        <v>4766</v>
      </c>
      <c r="Q1322" s="411">
        <v>13</v>
      </c>
      <c r="R1322" s="405" t="s">
        <v>32101</v>
      </c>
      <c r="S1322" s="405" t="s">
        <v>27041</v>
      </c>
      <c r="T1322" s="405" t="s">
        <v>32102</v>
      </c>
      <c r="U1322" s="405" t="s">
        <v>319</v>
      </c>
    </row>
    <row r="1323" spans="1:21" x14ac:dyDescent="0.25">
      <c r="A1323" s="405" t="s">
        <v>310</v>
      </c>
      <c r="B1323" s="405" t="s">
        <v>25575</v>
      </c>
      <c r="C1323" s="405" t="s">
        <v>327</v>
      </c>
      <c r="D1323" s="405"/>
      <c r="E1323" s="410">
        <v>43763</v>
      </c>
      <c r="F1323" s="410">
        <v>43779</v>
      </c>
      <c r="G1323" s="405" t="s">
        <v>25576</v>
      </c>
      <c r="H1323" s="405">
        <v>772415184</v>
      </c>
      <c r="I1323" s="405">
        <v>773099867</v>
      </c>
      <c r="J1323" s="405">
        <v>0.99083600000000005</v>
      </c>
      <c r="K1323" s="405">
        <v>34.173879999999997</v>
      </c>
      <c r="L1323" s="405" t="s">
        <v>590</v>
      </c>
      <c r="M1323" s="405" t="s">
        <v>25315</v>
      </c>
      <c r="N1323" s="405" t="s">
        <v>23390</v>
      </c>
      <c r="O1323" s="405" t="s">
        <v>20169</v>
      </c>
      <c r="P1323" s="405" t="s">
        <v>25577</v>
      </c>
      <c r="Q1323" s="411">
        <v>9</v>
      </c>
      <c r="R1323" s="405" t="s">
        <v>6572</v>
      </c>
      <c r="S1323" s="405" t="s">
        <v>27166</v>
      </c>
      <c r="T1323" s="405" t="s">
        <v>32102</v>
      </c>
      <c r="U1323" s="405" t="s">
        <v>319</v>
      </c>
    </row>
    <row r="1324" spans="1:21" x14ac:dyDescent="0.25">
      <c r="A1324" s="405" t="s">
        <v>310</v>
      </c>
      <c r="B1324" s="405" t="s">
        <v>7928</v>
      </c>
      <c r="C1324" s="405" t="s">
        <v>327</v>
      </c>
      <c r="D1324" s="405"/>
      <c r="E1324" s="410">
        <v>43763</v>
      </c>
      <c r="F1324" s="410">
        <v>43790</v>
      </c>
      <c r="G1324" s="405" t="s">
        <v>7929</v>
      </c>
      <c r="H1324" s="405">
        <v>785572751</v>
      </c>
      <c r="I1324" s="405"/>
      <c r="J1324" s="405">
        <v>0.61477999999999999</v>
      </c>
      <c r="K1324" s="405">
        <v>32.47354</v>
      </c>
      <c r="L1324" s="405" t="s">
        <v>314</v>
      </c>
      <c r="M1324" s="405" t="s">
        <v>959</v>
      </c>
      <c r="N1324" s="405" t="s">
        <v>2481</v>
      </c>
      <c r="O1324" s="405" t="s">
        <v>2307</v>
      </c>
      <c r="P1324" s="405" t="s">
        <v>2481</v>
      </c>
      <c r="Q1324" s="411">
        <v>6</v>
      </c>
      <c r="R1324" s="405" t="s">
        <v>32157</v>
      </c>
      <c r="S1324" s="405" t="s">
        <v>27050</v>
      </c>
      <c r="T1324" s="405" t="s">
        <v>884</v>
      </c>
      <c r="U1324" s="405" t="s">
        <v>319</v>
      </c>
    </row>
    <row r="1325" spans="1:21" x14ac:dyDescent="0.25">
      <c r="A1325" s="405" t="s">
        <v>310</v>
      </c>
      <c r="B1325" s="405" t="s">
        <v>7854</v>
      </c>
      <c r="C1325" s="405" t="s">
        <v>327</v>
      </c>
      <c r="D1325" s="405"/>
      <c r="E1325" s="410">
        <v>43763</v>
      </c>
      <c r="F1325" s="410">
        <v>43775</v>
      </c>
      <c r="G1325" s="405" t="s">
        <v>7855</v>
      </c>
      <c r="H1325" s="405">
        <v>706646194</v>
      </c>
      <c r="I1325" s="405">
        <v>772590765</v>
      </c>
      <c r="J1325" s="405">
        <v>0.40425</v>
      </c>
      <c r="K1325" s="405">
        <v>32.052987999999999</v>
      </c>
      <c r="L1325" s="405" t="s">
        <v>314</v>
      </c>
      <c r="M1325" s="405" t="s">
        <v>675</v>
      </c>
      <c r="N1325" s="405" t="s">
        <v>1066</v>
      </c>
      <c r="O1325" s="405" t="s">
        <v>1066</v>
      </c>
      <c r="P1325" s="405" t="s">
        <v>7856</v>
      </c>
      <c r="Q1325" s="411">
        <v>6</v>
      </c>
      <c r="R1325" s="405" t="s">
        <v>32101</v>
      </c>
      <c r="S1325" s="405" t="s">
        <v>27235</v>
      </c>
      <c r="T1325" s="405" t="s">
        <v>884</v>
      </c>
      <c r="U1325" s="405" t="s">
        <v>319</v>
      </c>
    </row>
    <row r="1326" spans="1:21" x14ac:dyDescent="0.25">
      <c r="A1326" s="405" t="s">
        <v>310</v>
      </c>
      <c r="B1326" s="405" t="s">
        <v>7859</v>
      </c>
      <c r="C1326" s="405" t="s">
        <v>327</v>
      </c>
      <c r="D1326" s="405"/>
      <c r="E1326" s="410">
        <v>43762</v>
      </c>
      <c r="F1326" s="410">
        <v>43780</v>
      </c>
      <c r="G1326" s="405" t="s">
        <v>7860</v>
      </c>
      <c r="H1326" s="405">
        <v>772952724</v>
      </c>
      <c r="I1326" s="405"/>
      <c r="J1326" s="405">
        <v>6.7055000000000003E-2</v>
      </c>
      <c r="K1326" s="405">
        <v>32.518793000000002</v>
      </c>
      <c r="L1326" s="405" t="s">
        <v>314</v>
      </c>
      <c r="M1326" s="405" t="s">
        <v>361</v>
      </c>
      <c r="N1326" s="405" t="s">
        <v>638</v>
      </c>
      <c r="O1326" s="405" t="s">
        <v>638</v>
      </c>
      <c r="P1326" s="405" t="s">
        <v>7861</v>
      </c>
      <c r="Q1326" s="411">
        <v>13</v>
      </c>
      <c r="R1326" s="405" t="s">
        <v>32101</v>
      </c>
      <c r="S1326" s="405" t="s">
        <v>27039</v>
      </c>
      <c r="T1326" s="405" t="s">
        <v>32102</v>
      </c>
      <c r="U1326" s="405" t="s">
        <v>319</v>
      </c>
    </row>
    <row r="1327" spans="1:21" x14ac:dyDescent="0.25">
      <c r="A1327" s="405" t="s">
        <v>310</v>
      </c>
      <c r="B1327" s="405" t="s">
        <v>17077</v>
      </c>
      <c r="C1327" s="405" t="s">
        <v>327</v>
      </c>
      <c r="D1327" s="405"/>
      <c r="E1327" s="410">
        <v>43762</v>
      </c>
      <c r="F1327" s="410">
        <v>43785</v>
      </c>
      <c r="G1327" s="405" t="s">
        <v>17078</v>
      </c>
      <c r="H1327" s="405">
        <v>702010203</v>
      </c>
      <c r="I1327" s="405"/>
      <c r="J1327" s="405">
        <v>0.36964799999999998</v>
      </c>
      <c r="K1327" s="405">
        <v>33.480632999999997</v>
      </c>
      <c r="L1327" s="405" t="s">
        <v>6866</v>
      </c>
      <c r="M1327" s="405" t="s">
        <v>5411</v>
      </c>
      <c r="N1327" s="405" t="s">
        <v>5411</v>
      </c>
      <c r="O1327" s="405" t="s">
        <v>16359</v>
      </c>
      <c r="P1327" s="405" t="s">
        <v>17079</v>
      </c>
      <c r="Q1327" s="411">
        <v>9</v>
      </c>
      <c r="R1327" s="405" t="s">
        <v>32101</v>
      </c>
      <c r="S1327" s="405" t="s">
        <v>27276</v>
      </c>
      <c r="T1327" s="405" t="s">
        <v>884</v>
      </c>
      <c r="U1327" s="405" t="s">
        <v>319</v>
      </c>
    </row>
    <row r="1328" spans="1:21" x14ac:dyDescent="0.25">
      <c r="A1328" s="405" t="s">
        <v>310</v>
      </c>
      <c r="B1328" s="405" t="s">
        <v>8640</v>
      </c>
      <c r="C1328" s="405" t="s">
        <v>311</v>
      </c>
      <c r="D1328" s="405" t="s">
        <v>2127</v>
      </c>
      <c r="E1328" s="410">
        <v>43761</v>
      </c>
      <c r="F1328" s="410">
        <v>43777</v>
      </c>
      <c r="G1328" s="405" t="s">
        <v>8641</v>
      </c>
      <c r="H1328" s="405">
        <v>701084173</v>
      </c>
      <c r="I1328" s="405"/>
      <c r="J1328" s="405">
        <v>1.9376899999999999</v>
      </c>
      <c r="K1328" s="405">
        <v>33.330257000000003</v>
      </c>
      <c r="L1328" s="405" t="s">
        <v>314</v>
      </c>
      <c r="M1328" s="405" t="s">
        <v>361</v>
      </c>
      <c r="N1328" s="405" t="s">
        <v>5838</v>
      </c>
      <c r="O1328" s="405" t="s">
        <v>1249</v>
      </c>
      <c r="P1328" s="405" t="s">
        <v>7945</v>
      </c>
      <c r="Q1328" s="411">
        <v>6</v>
      </c>
      <c r="R1328" s="405" t="s">
        <v>4176</v>
      </c>
      <c r="S1328" s="405" t="s">
        <v>27153</v>
      </c>
      <c r="T1328" s="405" t="s">
        <v>884</v>
      </c>
      <c r="U1328" s="405" t="s">
        <v>319</v>
      </c>
    </row>
    <row r="1329" spans="1:21" x14ac:dyDescent="0.25">
      <c r="A1329" s="405" t="s">
        <v>310</v>
      </c>
      <c r="B1329" s="405" t="s">
        <v>25572</v>
      </c>
      <c r="C1329" s="405" t="s">
        <v>327</v>
      </c>
      <c r="D1329" s="405"/>
      <c r="E1329" s="410">
        <v>43760</v>
      </c>
      <c r="F1329" s="410">
        <v>43791</v>
      </c>
      <c r="G1329" s="405" t="s">
        <v>25573</v>
      </c>
      <c r="H1329" s="405">
        <v>772466149</v>
      </c>
      <c r="I1329" s="405">
        <v>702245004</v>
      </c>
      <c r="J1329" s="405">
        <v>-0.23760999999999999</v>
      </c>
      <c r="K1329" s="405">
        <v>31.763534</v>
      </c>
      <c r="L1329" s="405" t="s">
        <v>590</v>
      </c>
      <c r="M1329" s="405" t="s">
        <v>19619</v>
      </c>
      <c r="N1329" s="405" t="s">
        <v>19620</v>
      </c>
      <c r="O1329" s="405" t="s">
        <v>2430</v>
      </c>
      <c r="P1329" s="405" t="s">
        <v>25574</v>
      </c>
      <c r="Q1329" s="411">
        <v>9</v>
      </c>
      <c r="R1329" s="405" t="s">
        <v>6572</v>
      </c>
      <c r="S1329" s="405" t="s">
        <v>27193</v>
      </c>
      <c r="T1329" s="405" t="s">
        <v>884</v>
      </c>
      <c r="U1329" s="405" t="s">
        <v>319</v>
      </c>
    </row>
    <row r="1330" spans="1:21" x14ac:dyDescent="0.25">
      <c r="A1330" s="405" t="s">
        <v>310</v>
      </c>
      <c r="B1330" s="405" t="s">
        <v>25563</v>
      </c>
      <c r="C1330" s="405" t="s">
        <v>327</v>
      </c>
      <c r="D1330" s="405"/>
      <c r="E1330" s="410">
        <v>43760</v>
      </c>
      <c r="F1330" s="410">
        <v>43779</v>
      </c>
      <c r="G1330" s="405" t="s">
        <v>25564</v>
      </c>
      <c r="H1330" s="405">
        <v>782880760</v>
      </c>
      <c r="I1330" s="405">
        <v>754306139</v>
      </c>
      <c r="J1330" s="405">
        <v>1.9376899999999999</v>
      </c>
      <c r="K1330" s="405">
        <v>33.330257000000003</v>
      </c>
      <c r="L1330" s="405" t="s">
        <v>24545</v>
      </c>
      <c r="M1330" s="405" t="s">
        <v>20808</v>
      </c>
      <c r="N1330" s="405" t="s">
        <v>20809</v>
      </c>
      <c r="O1330" s="405" t="s">
        <v>25565</v>
      </c>
      <c r="P1330" s="405" t="s">
        <v>25566</v>
      </c>
      <c r="Q1330" s="411">
        <v>9</v>
      </c>
      <c r="R1330" s="405" t="s">
        <v>5858</v>
      </c>
      <c r="S1330" s="405" t="s">
        <v>27227</v>
      </c>
      <c r="T1330" s="405" t="s">
        <v>32102</v>
      </c>
      <c r="U1330" s="405" t="s">
        <v>319</v>
      </c>
    </row>
    <row r="1331" spans="1:21" x14ac:dyDescent="0.25">
      <c r="A1331" s="405" t="s">
        <v>310</v>
      </c>
      <c r="B1331" s="405" t="s">
        <v>25584</v>
      </c>
      <c r="C1331" s="405" t="s">
        <v>327</v>
      </c>
      <c r="D1331" s="405"/>
      <c r="E1331" s="410">
        <v>43760</v>
      </c>
      <c r="F1331" s="410">
        <v>43777</v>
      </c>
      <c r="G1331" s="405" t="s">
        <v>25585</v>
      </c>
      <c r="H1331" s="405">
        <v>789222975</v>
      </c>
      <c r="I1331" s="405"/>
      <c r="J1331" s="405">
        <v>-0.69083000000000006</v>
      </c>
      <c r="K1331" s="405">
        <v>29.784237999999998</v>
      </c>
      <c r="L1331" s="405" t="s">
        <v>590</v>
      </c>
      <c r="M1331" s="405" t="s">
        <v>20808</v>
      </c>
      <c r="N1331" s="405" t="s">
        <v>25110</v>
      </c>
      <c r="O1331" s="405" t="s">
        <v>23283</v>
      </c>
      <c r="P1331" s="405" t="s">
        <v>25586</v>
      </c>
      <c r="Q1331" s="411">
        <v>6</v>
      </c>
      <c r="R1331" s="405" t="s">
        <v>6572</v>
      </c>
      <c r="S1331" s="405" t="s">
        <v>27439</v>
      </c>
      <c r="T1331" s="405" t="s">
        <v>884</v>
      </c>
      <c r="U1331" s="405" t="s">
        <v>319</v>
      </c>
    </row>
    <row r="1332" spans="1:21" x14ac:dyDescent="0.25">
      <c r="A1332" s="405" t="s">
        <v>310</v>
      </c>
      <c r="B1332" s="405" t="s">
        <v>17085</v>
      </c>
      <c r="C1332" s="405" t="s">
        <v>327</v>
      </c>
      <c r="D1332" s="405"/>
      <c r="E1332" s="410">
        <v>43760</v>
      </c>
      <c r="F1332" s="410">
        <v>43772</v>
      </c>
      <c r="G1332" s="405" t="s">
        <v>17086</v>
      </c>
      <c r="H1332" s="405">
        <v>702095699</v>
      </c>
      <c r="I1332" s="405"/>
      <c r="J1332" s="405">
        <v>1.3227979999999999</v>
      </c>
      <c r="K1332" s="405">
        <v>34.364778000000001</v>
      </c>
      <c r="L1332" s="405" t="s">
        <v>6866</v>
      </c>
      <c r="M1332" s="405" t="s">
        <v>9685</v>
      </c>
      <c r="N1332" s="405" t="s">
        <v>9686</v>
      </c>
      <c r="O1332" s="405" t="s">
        <v>15766</v>
      </c>
      <c r="P1332" s="405" t="s">
        <v>17087</v>
      </c>
      <c r="Q1332" s="411">
        <v>6</v>
      </c>
      <c r="R1332" s="405" t="s">
        <v>9506</v>
      </c>
      <c r="S1332" s="405" t="s">
        <v>27318</v>
      </c>
      <c r="T1332" s="405" t="s">
        <v>884</v>
      </c>
      <c r="U1332" s="405" t="s">
        <v>319</v>
      </c>
    </row>
    <row r="1333" spans="1:21" x14ac:dyDescent="0.25">
      <c r="A1333" s="405" t="s">
        <v>310</v>
      </c>
      <c r="B1333" s="405" t="s">
        <v>25482</v>
      </c>
      <c r="C1333" s="405" t="s">
        <v>327</v>
      </c>
      <c r="D1333" s="405"/>
      <c r="E1333" s="410">
        <v>43760</v>
      </c>
      <c r="F1333" s="410">
        <v>43769</v>
      </c>
      <c r="G1333" s="405" t="s">
        <v>25483</v>
      </c>
      <c r="H1333" s="405">
        <v>750081209</v>
      </c>
      <c r="I1333" s="405"/>
      <c r="J1333" s="405">
        <v>-0.97623499999999996</v>
      </c>
      <c r="K1333" s="405">
        <v>29.751902999999999</v>
      </c>
      <c r="L1333" s="405" t="s">
        <v>590</v>
      </c>
      <c r="M1333" s="405" t="s">
        <v>20808</v>
      </c>
      <c r="N1333" s="405" t="s">
        <v>23390</v>
      </c>
      <c r="O1333" s="405" t="s">
        <v>25484</v>
      </c>
      <c r="P1333" s="405" t="s">
        <v>25485</v>
      </c>
      <c r="Q1333" s="411">
        <v>6</v>
      </c>
      <c r="R1333" s="405" t="s">
        <v>6572</v>
      </c>
      <c r="S1333" s="405" t="s">
        <v>27240</v>
      </c>
      <c r="T1333" s="405" t="s">
        <v>884</v>
      </c>
      <c r="U1333" s="405" t="s">
        <v>319</v>
      </c>
    </row>
    <row r="1334" spans="1:21" x14ac:dyDescent="0.25">
      <c r="A1334" s="405" t="s">
        <v>310</v>
      </c>
      <c r="B1334" s="405" t="s">
        <v>17051</v>
      </c>
      <c r="C1334" s="405" t="s">
        <v>327</v>
      </c>
      <c r="D1334" s="405"/>
      <c r="E1334" s="410">
        <v>43759</v>
      </c>
      <c r="F1334" s="410">
        <v>43784</v>
      </c>
      <c r="G1334" s="405" t="s">
        <v>17052</v>
      </c>
      <c r="H1334" s="405">
        <v>777413929</v>
      </c>
      <c r="I1334" s="405"/>
      <c r="J1334" s="405">
        <v>2.078166</v>
      </c>
      <c r="K1334" s="405">
        <v>33.823227000000003</v>
      </c>
      <c r="L1334" s="405" t="s">
        <v>6866</v>
      </c>
      <c r="M1334" s="405" t="s">
        <v>10495</v>
      </c>
      <c r="N1334" s="405" t="s">
        <v>11495</v>
      </c>
      <c r="O1334" s="405" t="s">
        <v>17053</v>
      </c>
      <c r="P1334" s="405" t="s">
        <v>17054</v>
      </c>
      <c r="Q1334" s="411">
        <v>6</v>
      </c>
      <c r="R1334" s="405" t="s">
        <v>5655</v>
      </c>
      <c r="S1334" s="405" t="s">
        <v>27353</v>
      </c>
      <c r="T1334" s="405" t="s">
        <v>32102</v>
      </c>
      <c r="U1334" s="405" t="s">
        <v>319</v>
      </c>
    </row>
    <row r="1335" spans="1:21" x14ac:dyDescent="0.25">
      <c r="A1335" s="405" t="s">
        <v>310</v>
      </c>
      <c r="B1335" s="405" t="s">
        <v>25770</v>
      </c>
      <c r="C1335" s="405" t="s">
        <v>327</v>
      </c>
      <c r="D1335" s="405"/>
      <c r="E1335" s="410">
        <v>43758</v>
      </c>
      <c r="F1335" s="410">
        <v>43835</v>
      </c>
      <c r="G1335" s="405" t="s">
        <v>25771</v>
      </c>
      <c r="H1335" s="405">
        <v>773213566</v>
      </c>
      <c r="I1335" s="405"/>
      <c r="J1335" s="405">
        <v>0.29330000000000001</v>
      </c>
      <c r="K1335" s="405">
        <v>31.292300000000001</v>
      </c>
      <c r="L1335" s="405" t="s">
        <v>590</v>
      </c>
      <c r="M1335" s="405" t="s">
        <v>19619</v>
      </c>
      <c r="N1335" s="405" t="s">
        <v>25772</v>
      </c>
      <c r="O1335" s="405" t="s">
        <v>25773</v>
      </c>
      <c r="P1335" s="405" t="s">
        <v>20907</v>
      </c>
      <c r="Q1335" s="411">
        <v>9</v>
      </c>
      <c r="R1335" s="405" t="s">
        <v>32101</v>
      </c>
      <c r="S1335" s="405" t="s">
        <v>27275</v>
      </c>
      <c r="T1335" s="405" t="s">
        <v>884</v>
      </c>
      <c r="U1335" s="405" t="s">
        <v>319</v>
      </c>
    </row>
    <row r="1336" spans="1:21" x14ac:dyDescent="0.25">
      <c r="A1336" s="405" t="s">
        <v>310</v>
      </c>
      <c r="B1336" s="405" t="s">
        <v>7864</v>
      </c>
      <c r="C1336" s="405" t="s">
        <v>327</v>
      </c>
      <c r="D1336" s="405"/>
      <c r="E1336" s="410">
        <v>43758</v>
      </c>
      <c r="F1336" s="410">
        <v>43775</v>
      </c>
      <c r="G1336" s="405" t="s">
        <v>7865</v>
      </c>
      <c r="H1336" s="405">
        <v>772992127</v>
      </c>
      <c r="I1336" s="405"/>
      <c r="J1336" s="405">
        <v>0.97070500000000004</v>
      </c>
      <c r="K1336" s="405">
        <v>31.73875</v>
      </c>
      <c r="L1336" s="405" t="s">
        <v>314</v>
      </c>
      <c r="M1336" s="405" t="s">
        <v>900</v>
      </c>
      <c r="N1336" s="405" t="s">
        <v>900</v>
      </c>
      <c r="O1336" s="405" t="s">
        <v>1302</v>
      </c>
      <c r="P1336" s="405" t="s">
        <v>2339</v>
      </c>
      <c r="Q1336" s="411">
        <v>9</v>
      </c>
      <c r="R1336" s="405" t="s">
        <v>32101</v>
      </c>
      <c r="S1336" s="405" t="s">
        <v>5986</v>
      </c>
      <c r="T1336" s="405" t="s">
        <v>32102</v>
      </c>
      <c r="U1336" s="405" t="s">
        <v>319</v>
      </c>
    </row>
    <row r="1337" spans="1:21" x14ac:dyDescent="0.25">
      <c r="A1337" s="405" t="s">
        <v>310</v>
      </c>
      <c r="B1337" s="405" t="s">
        <v>25626</v>
      </c>
      <c r="C1337" s="405" t="s">
        <v>327</v>
      </c>
      <c r="D1337" s="405"/>
      <c r="E1337" s="410">
        <v>43758</v>
      </c>
      <c r="F1337" s="410">
        <v>43774</v>
      </c>
      <c r="G1337" s="405" t="s">
        <v>25627</v>
      </c>
      <c r="H1337" s="405">
        <v>782454738</v>
      </c>
      <c r="I1337" s="405"/>
      <c r="J1337" s="405">
        <v>-0.61372199999999999</v>
      </c>
      <c r="K1337" s="405">
        <v>30.002804999999999</v>
      </c>
      <c r="L1337" s="405" t="s">
        <v>590</v>
      </c>
      <c r="M1337" s="405" t="s">
        <v>20032</v>
      </c>
      <c r="N1337" s="405" t="s">
        <v>25628</v>
      </c>
      <c r="O1337" s="405" t="s">
        <v>25629</v>
      </c>
      <c r="P1337" s="405" t="s">
        <v>25629</v>
      </c>
      <c r="Q1337" s="411">
        <v>9</v>
      </c>
      <c r="R1337" s="405" t="s">
        <v>6572</v>
      </c>
      <c r="S1337" s="405" t="s">
        <v>27249</v>
      </c>
      <c r="T1337" s="405" t="s">
        <v>32102</v>
      </c>
      <c r="U1337" s="405" t="s">
        <v>319</v>
      </c>
    </row>
    <row r="1338" spans="1:21" x14ac:dyDescent="0.25">
      <c r="A1338" s="405" t="s">
        <v>310</v>
      </c>
      <c r="B1338" s="405" t="s">
        <v>8606</v>
      </c>
      <c r="C1338" s="405" t="s">
        <v>857</v>
      </c>
      <c r="D1338" s="405" t="s">
        <v>32747</v>
      </c>
      <c r="E1338" s="410">
        <v>43758</v>
      </c>
      <c r="F1338" s="410">
        <v>43773</v>
      </c>
      <c r="G1338" s="405" t="s">
        <v>8607</v>
      </c>
      <c r="H1338" s="405">
        <v>702984321</v>
      </c>
      <c r="I1338" s="405"/>
      <c r="J1338" s="405">
        <v>0.39371</v>
      </c>
      <c r="K1338" s="405">
        <v>32.699942999999998</v>
      </c>
      <c r="L1338" s="405" t="s">
        <v>314</v>
      </c>
      <c r="M1338" s="405" t="s">
        <v>329</v>
      </c>
      <c r="N1338" s="405" t="s">
        <v>787</v>
      </c>
      <c r="O1338" s="405" t="s">
        <v>630</v>
      </c>
      <c r="P1338" s="405" t="s">
        <v>3817</v>
      </c>
      <c r="Q1338" s="411">
        <v>9</v>
      </c>
      <c r="R1338" s="405" t="s">
        <v>32157</v>
      </c>
      <c r="S1338" s="405" t="s">
        <v>27049</v>
      </c>
      <c r="T1338" s="405" t="s">
        <v>32102</v>
      </c>
      <c r="U1338" s="405" t="s">
        <v>319</v>
      </c>
    </row>
    <row r="1339" spans="1:21" x14ac:dyDescent="0.25">
      <c r="A1339" s="405" t="s">
        <v>310</v>
      </c>
      <c r="B1339" s="405" t="s">
        <v>7788</v>
      </c>
      <c r="C1339" s="405" t="s">
        <v>327</v>
      </c>
      <c r="D1339" s="405"/>
      <c r="E1339" s="410">
        <v>43757</v>
      </c>
      <c r="F1339" s="410">
        <v>43764</v>
      </c>
      <c r="G1339" s="405" t="s">
        <v>7789</v>
      </c>
      <c r="H1339" s="405">
        <v>772825795</v>
      </c>
      <c r="I1339" s="405">
        <v>788051982</v>
      </c>
      <c r="J1339" s="405">
        <v>0.38757000000000003</v>
      </c>
      <c r="K1339" s="405">
        <v>32.507114999999999</v>
      </c>
      <c r="L1339" s="405" t="s">
        <v>314</v>
      </c>
      <c r="M1339" s="405" t="s">
        <v>361</v>
      </c>
      <c r="N1339" s="405" t="s">
        <v>361</v>
      </c>
      <c r="O1339" s="405" t="s">
        <v>361</v>
      </c>
      <c r="P1339" s="405" t="s">
        <v>3536</v>
      </c>
      <c r="Q1339" s="411">
        <v>13</v>
      </c>
      <c r="R1339" s="405" t="s">
        <v>32157</v>
      </c>
      <c r="S1339" s="405" t="s">
        <v>27045</v>
      </c>
      <c r="T1339" s="405" t="s">
        <v>884</v>
      </c>
      <c r="U1339" s="405" t="s">
        <v>319</v>
      </c>
    </row>
    <row r="1340" spans="1:21" x14ac:dyDescent="0.25">
      <c r="A1340" s="405" t="s">
        <v>310</v>
      </c>
      <c r="B1340" s="405" t="s">
        <v>25609</v>
      </c>
      <c r="C1340" s="405" t="s">
        <v>327</v>
      </c>
      <c r="D1340" s="405"/>
      <c r="E1340" s="410">
        <v>43757</v>
      </c>
      <c r="F1340" s="410">
        <v>43784</v>
      </c>
      <c r="G1340" s="405" t="s">
        <v>25610</v>
      </c>
      <c r="H1340" s="405">
        <v>783947155</v>
      </c>
      <c r="I1340" s="405"/>
      <c r="J1340" s="405">
        <v>-6.2802999999999998E-2</v>
      </c>
      <c r="K1340" s="405">
        <v>29.834150000000001</v>
      </c>
      <c r="L1340" s="405" t="s">
        <v>590</v>
      </c>
      <c r="M1340" s="405" t="s">
        <v>19725</v>
      </c>
      <c r="N1340" s="405" t="s">
        <v>21887</v>
      </c>
      <c r="O1340" s="405" t="s">
        <v>24567</v>
      </c>
      <c r="P1340" s="405" t="s">
        <v>25611</v>
      </c>
      <c r="Q1340" s="411">
        <v>9</v>
      </c>
      <c r="R1340" s="405" t="s">
        <v>32166</v>
      </c>
      <c r="S1340" s="405" t="s">
        <v>27449</v>
      </c>
      <c r="T1340" s="405" t="s">
        <v>884</v>
      </c>
      <c r="U1340" s="405" t="s">
        <v>319</v>
      </c>
    </row>
    <row r="1341" spans="1:21" x14ac:dyDescent="0.25">
      <c r="A1341" s="405" t="s">
        <v>310</v>
      </c>
      <c r="B1341" s="405" t="s">
        <v>17015</v>
      </c>
      <c r="C1341" s="405" t="s">
        <v>327</v>
      </c>
      <c r="D1341" s="405"/>
      <c r="E1341" s="410">
        <v>43757</v>
      </c>
      <c r="F1341" s="410">
        <v>43767</v>
      </c>
      <c r="G1341" s="405" t="s">
        <v>17016</v>
      </c>
      <c r="H1341" s="405">
        <v>782798031</v>
      </c>
      <c r="I1341" s="405"/>
      <c r="J1341" s="405">
        <v>2.435746</v>
      </c>
      <c r="K1341" s="405">
        <v>34.484413000000004</v>
      </c>
      <c r="L1341" s="405" t="s">
        <v>6866</v>
      </c>
      <c r="M1341" s="405" t="s">
        <v>16584</v>
      </c>
      <c r="N1341" s="405" t="s">
        <v>16585</v>
      </c>
      <c r="O1341" s="405" t="s">
        <v>17017</v>
      </c>
      <c r="P1341" s="405" t="s">
        <v>17018</v>
      </c>
      <c r="Q1341" s="411">
        <v>6</v>
      </c>
      <c r="R1341" s="405" t="s">
        <v>7269</v>
      </c>
      <c r="S1341" s="405" t="s">
        <v>27179</v>
      </c>
      <c r="T1341" s="405" t="s">
        <v>884</v>
      </c>
      <c r="U1341" s="405" t="s">
        <v>319</v>
      </c>
    </row>
    <row r="1342" spans="1:21" x14ac:dyDescent="0.25">
      <c r="A1342" s="405" t="s">
        <v>310</v>
      </c>
      <c r="B1342" s="405" t="s">
        <v>19079</v>
      </c>
      <c r="C1342" s="405" t="s">
        <v>327</v>
      </c>
      <c r="D1342" s="405"/>
      <c r="E1342" s="410">
        <v>43757</v>
      </c>
      <c r="F1342" s="410">
        <v>43764</v>
      </c>
      <c r="G1342" s="405" t="s">
        <v>19080</v>
      </c>
      <c r="H1342" s="405">
        <v>772384338</v>
      </c>
      <c r="I1342" s="405"/>
      <c r="J1342" s="405">
        <v>2.6091639999999998</v>
      </c>
      <c r="K1342" s="405">
        <v>32.163200000000003</v>
      </c>
      <c r="L1342" s="405" t="s">
        <v>860</v>
      </c>
      <c r="M1342" s="405" t="s">
        <v>19068</v>
      </c>
      <c r="N1342" s="405" t="s">
        <v>19081</v>
      </c>
      <c r="O1342" s="405" t="s">
        <v>19082</v>
      </c>
      <c r="P1342" s="405" t="s">
        <v>19081</v>
      </c>
      <c r="Q1342" s="411">
        <v>6</v>
      </c>
      <c r="R1342" s="405" t="s">
        <v>7269</v>
      </c>
      <c r="S1342" s="405" t="s">
        <v>27179</v>
      </c>
      <c r="T1342" s="405" t="s">
        <v>32102</v>
      </c>
      <c r="U1342" s="405" t="s">
        <v>319</v>
      </c>
    </row>
    <row r="1343" spans="1:21" x14ac:dyDescent="0.25">
      <c r="A1343" s="405" t="s">
        <v>310</v>
      </c>
      <c r="B1343" s="405" t="s">
        <v>25489</v>
      </c>
      <c r="C1343" s="405" t="s">
        <v>327</v>
      </c>
      <c r="D1343" s="405"/>
      <c r="E1343" s="410">
        <v>43756</v>
      </c>
      <c r="F1343" s="410">
        <v>43768</v>
      </c>
      <c r="G1343" s="405" t="s">
        <v>25490</v>
      </c>
      <c r="H1343" s="405">
        <v>782299203</v>
      </c>
      <c r="I1343" s="405"/>
      <c r="J1343" s="405">
        <v>-0.22770099999999999</v>
      </c>
      <c r="K1343" s="405">
        <v>31.835443999999999</v>
      </c>
      <c r="L1343" s="405" t="s">
        <v>590</v>
      </c>
      <c r="M1343" s="405" t="s">
        <v>19614</v>
      </c>
      <c r="N1343" s="405" t="s">
        <v>19614</v>
      </c>
      <c r="O1343" s="405" t="s">
        <v>20619</v>
      </c>
      <c r="P1343" s="405" t="s">
        <v>25488</v>
      </c>
      <c r="Q1343" s="411">
        <v>9</v>
      </c>
      <c r="R1343" s="405" t="s">
        <v>883</v>
      </c>
      <c r="S1343" s="405" t="s">
        <v>27448</v>
      </c>
      <c r="T1343" s="405" t="s">
        <v>884</v>
      </c>
      <c r="U1343" s="405" t="s">
        <v>319</v>
      </c>
    </row>
    <row r="1344" spans="1:21" x14ac:dyDescent="0.25">
      <c r="A1344" s="405" t="s">
        <v>310</v>
      </c>
      <c r="B1344" s="405" t="s">
        <v>7773</v>
      </c>
      <c r="C1344" s="405" t="s">
        <v>327</v>
      </c>
      <c r="D1344" s="405"/>
      <c r="E1344" s="410">
        <v>43756</v>
      </c>
      <c r="F1344" s="410">
        <v>43768</v>
      </c>
      <c r="G1344" s="405" t="s">
        <v>7774</v>
      </c>
      <c r="H1344" s="405">
        <v>782852814</v>
      </c>
      <c r="I1344" s="405"/>
      <c r="J1344" s="405">
        <v>0.41844999999999999</v>
      </c>
      <c r="K1344" s="405">
        <v>32.429012999999998</v>
      </c>
      <c r="L1344" s="405" t="s">
        <v>314</v>
      </c>
      <c r="M1344" s="405" t="s">
        <v>361</v>
      </c>
      <c r="N1344" s="405" t="s">
        <v>374</v>
      </c>
      <c r="O1344" s="405" t="s">
        <v>535</v>
      </c>
      <c r="P1344" s="405" t="s">
        <v>1701</v>
      </c>
      <c r="Q1344" s="411">
        <v>9</v>
      </c>
      <c r="R1344" s="405" t="s">
        <v>32101</v>
      </c>
      <c r="S1344" s="405" t="s">
        <v>27047</v>
      </c>
      <c r="T1344" s="405" t="s">
        <v>32102</v>
      </c>
      <c r="U1344" s="405" t="s">
        <v>319</v>
      </c>
    </row>
    <row r="1345" spans="1:21" x14ac:dyDescent="0.25">
      <c r="A1345" s="405" t="s">
        <v>310</v>
      </c>
      <c r="B1345" s="405" t="s">
        <v>25669</v>
      </c>
      <c r="C1345" s="405" t="s">
        <v>327</v>
      </c>
      <c r="D1345" s="405"/>
      <c r="E1345" s="410">
        <v>43756</v>
      </c>
      <c r="F1345" s="410">
        <v>43777</v>
      </c>
      <c r="G1345" s="405" t="s">
        <v>25670</v>
      </c>
      <c r="H1345" s="405">
        <v>787305103</v>
      </c>
      <c r="I1345" s="405"/>
      <c r="J1345" s="405">
        <v>-0.99684700000000004</v>
      </c>
      <c r="K1345" s="405">
        <v>29.800395000000002</v>
      </c>
      <c r="L1345" s="405" t="s">
        <v>590</v>
      </c>
      <c r="M1345" s="405" t="s">
        <v>20808</v>
      </c>
      <c r="N1345" s="405" t="s">
        <v>25663</v>
      </c>
      <c r="O1345" s="405" t="s">
        <v>25664</v>
      </c>
      <c r="P1345" s="405" t="s">
        <v>25665</v>
      </c>
      <c r="Q1345" s="411">
        <v>6</v>
      </c>
      <c r="R1345" s="405" t="s">
        <v>6572</v>
      </c>
      <c r="S1345" s="405" t="s">
        <v>27161</v>
      </c>
      <c r="T1345" s="405" t="s">
        <v>884</v>
      </c>
      <c r="U1345" s="405" t="s">
        <v>319</v>
      </c>
    </row>
    <row r="1346" spans="1:21" x14ac:dyDescent="0.25">
      <c r="A1346" s="405" t="s">
        <v>310</v>
      </c>
      <c r="B1346" s="405" t="s">
        <v>7838</v>
      </c>
      <c r="C1346" s="405" t="s">
        <v>327</v>
      </c>
      <c r="D1346" s="405"/>
      <c r="E1346" s="410">
        <v>43756</v>
      </c>
      <c r="F1346" s="410">
        <v>43775</v>
      </c>
      <c r="G1346" s="405" t="s">
        <v>7839</v>
      </c>
      <c r="H1346" s="405">
        <v>702080180</v>
      </c>
      <c r="I1346" s="405"/>
      <c r="J1346" s="405">
        <v>0.23899999999999999</v>
      </c>
      <c r="K1346" s="405">
        <v>31.415700000000001</v>
      </c>
      <c r="L1346" s="405" t="s">
        <v>314</v>
      </c>
      <c r="M1346" s="405" t="s">
        <v>382</v>
      </c>
      <c r="N1346" s="405" t="s">
        <v>7840</v>
      </c>
      <c r="O1346" s="405" t="s">
        <v>7840</v>
      </c>
      <c r="P1346" s="405" t="s">
        <v>7841</v>
      </c>
      <c r="Q1346" s="411">
        <v>6</v>
      </c>
      <c r="R1346" s="405" t="s">
        <v>32101</v>
      </c>
      <c r="S1346" s="405" t="s">
        <v>27042</v>
      </c>
      <c r="T1346" s="405" t="s">
        <v>884</v>
      </c>
      <c r="U1346" s="405" t="s">
        <v>319</v>
      </c>
    </row>
    <row r="1347" spans="1:21" x14ac:dyDescent="0.25">
      <c r="A1347" s="405" t="s">
        <v>310</v>
      </c>
      <c r="B1347" s="405" t="s">
        <v>7910</v>
      </c>
      <c r="C1347" s="405" t="s">
        <v>327</v>
      </c>
      <c r="D1347" s="405"/>
      <c r="E1347" s="410">
        <v>43755</v>
      </c>
      <c r="F1347" s="410">
        <v>43773</v>
      </c>
      <c r="G1347" s="405" t="s">
        <v>7911</v>
      </c>
      <c r="H1347" s="405">
        <v>782496722</v>
      </c>
      <c r="I1347" s="405"/>
      <c r="J1347" s="405">
        <v>0.42240299999999997</v>
      </c>
      <c r="K1347" s="405">
        <v>32.427922000000002</v>
      </c>
      <c r="L1347" s="405" t="s">
        <v>314</v>
      </c>
      <c r="M1347" s="405" t="s">
        <v>361</v>
      </c>
      <c r="N1347" s="405" t="s">
        <v>374</v>
      </c>
      <c r="O1347" s="405" t="s">
        <v>535</v>
      </c>
      <c r="P1347" s="405" t="s">
        <v>1701</v>
      </c>
      <c r="Q1347" s="411">
        <v>9</v>
      </c>
      <c r="R1347" s="405" t="s">
        <v>32101</v>
      </c>
      <c r="S1347" s="405" t="s">
        <v>27041</v>
      </c>
      <c r="T1347" s="405" t="s">
        <v>884</v>
      </c>
      <c r="U1347" s="405" t="s">
        <v>319</v>
      </c>
    </row>
    <row r="1348" spans="1:21" x14ac:dyDescent="0.25">
      <c r="A1348" s="405" t="s">
        <v>310</v>
      </c>
      <c r="B1348" s="405" t="s">
        <v>17069</v>
      </c>
      <c r="C1348" s="405" t="s">
        <v>327</v>
      </c>
      <c r="D1348" s="405"/>
      <c r="E1348" s="410">
        <v>43755</v>
      </c>
      <c r="F1348" s="410">
        <v>43778</v>
      </c>
      <c r="G1348" s="405" t="s">
        <v>17070</v>
      </c>
      <c r="H1348" s="405">
        <v>771487463</v>
      </c>
      <c r="I1348" s="405"/>
      <c r="J1348" s="405">
        <v>-0.25717699999999999</v>
      </c>
      <c r="K1348" s="405">
        <v>31.819427999999998</v>
      </c>
      <c r="L1348" s="405" t="s">
        <v>6866</v>
      </c>
      <c r="M1348" s="405" t="s">
        <v>9514</v>
      </c>
      <c r="N1348" s="405" t="s">
        <v>16909</v>
      </c>
      <c r="O1348" s="405" t="s">
        <v>17071</v>
      </c>
      <c r="P1348" s="405" t="s">
        <v>17072</v>
      </c>
      <c r="Q1348" s="411">
        <v>4</v>
      </c>
      <c r="R1348" s="405" t="s">
        <v>7224</v>
      </c>
      <c r="S1348" s="405" t="s">
        <v>27073</v>
      </c>
      <c r="T1348" s="405" t="s">
        <v>884</v>
      </c>
      <c r="U1348" s="405" t="s">
        <v>319</v>
      </c>
    </row>
    <row r="1349" spans="1:21" x14ac:dyDescent="0.25">
      <c r="A1349" s="405" t="s">
        <v>310</v>
      </c>
      <c r="B1349" s="405" t="s">
        <v>25567</v>
      </c>
      <c r="C1349" s="405" t="s">
        <v>327</v>
      </c>
      <c r="D1349" s="405"/>
      <c r="E1349" s="410">
        <v>43754</v>
      </c>
      <c r="F1349" s="410">
        <v>43789</v>
      </c>
      <c r="G1349" s="405" t="s">
        <v>25568</v>
      </c>
      <c r="H1349" s="405">
        <v>773109150</v>
      </c>
      <c r="I1349" s="405"/>
      <c r="J1349" s="405">
        <v>1.68923</v>
      </c>
      <c r="K1349" s="405">
        <v>31.694503000000001</v>
      </c>
      <c r="L1349" s="405" t="s">
        <v>590</v>
      </c>
      <c r="M1349" s="405" t="s">
        <v>20032</v>
      </c>
      <c r="N1349" s="405" t="s">
        <v>25569</v>
      </c>
      <c r="O1349" s="405" t="s">
        <v>25570</v>
      </c>
      <c r="P1349" s="405" t="s">
        <v>25571</v>
      </c>
      <c r="Q1349" s="411">
        <v>9</v>
      </c>
      <c r="R1349" s="405" t="s">
        <v>6397</v>
      </c>
      <c r="S1349" s="405" t="s">
        <v>22880</v>
      </c>
      <c r="T1349" s="405" t="s">
        <v>32102</v>
      </c>
      <c r="U1349" s="405" t="s">
        <v>319</v>
      </c>
    </row>
    <row r="1350" spans="1:21" x14ac:dyDescent="0.25">
      <c r="A1350" s="405" t="s">
        <v>310</v>
      </c>
      <c r="B1350" s="405" t="s">
        <v>7857</v>
      </c>
      <c r="C1350" s="405" t="s">
        <v>327</v>
      </c>
      <c r="D1350" s="405"/>
      <c r="E1350" s="410">
        <v>43754</v>
      </c>
      <c r="F1350" s="410">
        <v>43775</v>
      </c>
      <c r="G1350" s="405" t="s">
        <v>7858</v>
      </c>
      <c r="H1350" s="405">
        <v>783525583</v>
      </c>
      <c r="I1350" s="405"/>
      <c r="J1350" s="405">
        <v>0.4829</v>
      </c>
      <c r="K1350" s="405">
        <v>34.112099999999998</v>
      </c>
      <c r="L1350" s="405" t="s">
        <v>314</v>
      </c>
      <c r="M1350" s="405" t="s">
        <v>361</v>
      </c>
      <c r="N1350" s="405" t="s">
        <v>374</v>
      </c>
      <c r="O1350" s="405" t="s">
        <v>361</v>
      </c>
      <c r="P1350" s="405" t="s">
        <v>6598</v>
      </c>
      <c r="Q1350" s="411">
        <v>9</v>
      </c>
      <c r="R1350" s="405" t="s">
        <v>32101</v>
      </c>
      <c r="S1350" s="405" t="s">
        <v>27034</v>
      </c>
      <c r="T1350" s="405" t="s">
        <v>32746</v>
      </c>
      <c r="U1350" s="405" t="s">
        <v>2267</v>
      </c>
    </row>
    <row r="1351" spans="1:21" x14ac:dyDescent="0.25">
      <c r="A1351" s="405" t="s">
        <v>310</v>
      </c>
      <c r="B1351" s="405" t="s">
        <v>25535</v>
      </c>
      <c r="C1351" s="405" t="s">
        <v>327</v>
      </c>
      <c r="D1351" s="405"/>
      <c r="E1351" s="410">
        <v>43754</v>
      </c>
      <c r="F1351" s="410">
        <v>43769</v>
      </c>
      <c r="G1351" s="405" t="s">
        <v>25536</v>
      </c>
      <c r="H1351" s="405">
        <v>772062274</v>
      </c>
      <c r="I1351" s="405">
        <v>774381987</v>
      </c>
      <c r="J1351" s="405" t="s">
        <v>7420</v>
      </c>
      <c r="K1351" s="405">
        <v>31.835087999999999</v>
      </c>
      <c r="L1351" s="405" t="s">
        <v>590</v>
      </c>
      <c r="M1351" s="405" t="s">
        <v>19625</v>
      </c>
      <c r="N1351" s="405" t="s">
        <v>20086</v>
      </c>
      <c r="O1351" s="405" t="s">
        <v>25537</v>
      </c>
      <c r="P1351" s="405" t="s">
        <v>25538</v>
      </c>
      <c r="Q1351" s="411">
        <v>9</v>
      </c>
      <c r="R1351" s="405" t="s">
        <v>5665</v>
      </c>
      <c r="S1351" s="405" t="s">
        <v>27051</v>
      </c>
      <c r="T1351" s="405" t="s">
        <v>884</v>
      </c>
      <c r="U1351" s="405" t="s">
        <v>319</v>
      </c>
    </row>
    <row r="1352" spans="1:21" x14ac:dyDescent="0.25">
      <c r="A1352" s="405" t="s">
        <v>310</v>
      </c>
      <c r="B1352" s="405" t="s">
        <v>25517</v>
      </c>
      <c r="C1352" s="405" t="s">
        <v>327</v>
      </c>
      <c r="D1352" s="405"/>
      <c r="E1352" s="410">
        <v>43754</v>
      </c>
      <c r="F1352" s="410">
        <v>43768</v>
      </c>
      <c r="G1352" s="405" t="s">
        <v>25518</v>
      </c>
      <c r="H1352" s="405">
        <v>788650752</v>
      </c>
      <c r="I1352" s="405"/>
      <c r="J1352" s="405">
        <v>-0.76583699999999999</v>
      </c>
      <c r="K1352" s="405">
        <v>29.691717000000001</v>
      </c>
      <c r="L1352" s="405" t="s">
        <v>590</v>
      </c>
      <c r="M1352" s="405" t="s">
        <v>20808</v>
      </c>
      <c r="N1352" s="405" t="s">
        <v>25110</v>
      </c>
      <c r="O1352" s="405" t="s">
        <v>24892</v>
      </c>
      <c r="P1352" s="405" t="s">
        <v>24893</v>
      </c>
      <c r="Q1352" s="411">
        <v>9</v>
      </c>
      <c r="R1352" s="405" t="s">
        <v>6572</v>
      </c>
      <c r="S1352" s="405" t="s">
        <v>27154</v>
      </c>
      <c r="T1352" s="405" t="s">
        <v>884</v>
      </c>
      <c r="U1352" s="405" t="s">
        <v>319</v>
      </c>
    </row>
    <row r="1353" spans="1:21" x14ac:dyDescent="0.25">
      <c r="A1353" s="405" t="s">
        <v>310</v>
      </c>
      <c r="B1353" s="405" t="s">
        <v>25552</v>
      </c>
      <c r="C1353" s="405" t="s">
        <v>327</v>
      </c>
      <c r="D1353" s="405"/>
      <c r="E1353" s="410">
        <v>43753</v>
      </c>
      <c r="F1353" s="410">
        <v>43775</v>
      </c>
      <c r="G1353" s="405" t="s">
        <v>25553</v>
      </c>
      <c r="H1353" s="405">
        <v>703521683</v>
      </c>
      <c r="I1353" s="405"/>
      <c r="J1353" s="405">
        <v>1.3524529999999999</v>
      </c>
      <c r="K1353" s="405">
        <v>34.467911999999998</v>
      </c>
      <c r="L1353" s="405" t="s">
        <v>590</v>
      </c>
      <c r="M1353" s="405" t="s">
        <v>19705</v>
      </c>
      <c r="N1353" s="405" t="s">
        <v>19706</v>
      </c>
      <c r="O1353" s="405" t="s">
        <v>21675</v>
      </c>
      <c r="P1353" s="405" t="s">
        <v>23222</v>
      </c>
      <c r="Q1353" s="411">
        <v>9</v>
      </c>
      <c r="R1353" s="405" t="s">
        <v>883</v>
      </c>
      <c r="S1353" s="405" t="s">
        <v>27104</v>
      </c>
      <c r="T1353" s="405" t="s">
        <v>884</v>
      </c>
      <c r="U1353" s="405" t="s">
        <v>319</v>
      </c>
    </row>
    <row r="1354" spans="1:21" x14ac:dyDescent="0.25">
      <c r="A1354" s="405" t="s">
        <v>310</v>
      </c>
      <c r="B1354" s="405" t="s">
        <v>17175</v>
      </c>
      <c r="C1354" s="405" t="s">
        <v>327</v>
      </c>
      <c r="D1354" s="405"/>
      <c r="E1354" s="410">
        <v>43753</v>
      </c>
      <c r="F1354" s="410">
        <v>43827</v>
      </c>
      <c r="G1354" s="405" t="s">
        <v>17176</v>
      </c>
      <c r="H1354" s="405" t="s">
        <v>17177</v>
      </c>
      <c r="I1354" s="405" t="s">
        <v>17178</v>
      </c>
      <c r="J1354" s="405">
        <v>0.80779100000000004</v>
      </c>
      <c r="K1354" s="405">
        <v>33.508578</v>
      </c>
      <c r="L1354" s="405" t="s">
        <v>6866</v>
      </c>
      <c r="M1354" s="405" t="s">
        <v>10853</v>
      </c>
      <c r="N1354" s="405" t="s">
        <v>17179</v>
      </c>
      <c r="O1354" s="405" t="s">
        <v>15531</v>
      </c>
      <c r="P1354" s="405" t="s">
        <v>17180</v>
      </c>
      <c r="Q1354" s="411">
        <v>6</v>
      </c>
      <c r="R1354" s="405" t="s">
        <v>32164</v>
      </c>
      <c r="S1354" s="405" t="s">
        <v>27054</v>
      </c>
      <c r="T1354" s="405" t="s">
        <v>884</v>
      </c>
      <c r="U1354" s="405" t="s">
        <v>319</v>
      </c>
    </row>
    <row r="1355" spans="1:21" x14ac:dyDescent="0.25">
      <c r="A1355" s="405" t="s">
        <v>310</v>
      </c>
      <c r="B1355" s="405" t="s">
        <v>25630</v>
      </c>
      <c r="C1355" s="405" t="s">
        <v>327</v>
      </c>
      <c r="D1355" s="405"/>
      <c r="E1355" s="410">
        <v>43753</v>
      </c>
      <c r="F1355" s="410">
        <v>43777</v>
      </c>
      <c r="G1355" s="405" t="s">
        <v>25631</v>
      </c>
      <c r="H1355" s="405">
        <v>782377169</v>
      </c>
      <c r="I1355" s="405"/>
      <c r="J1355" s="405">
        <v>1.0086280000000001</v>
      </c>
      <c r="K1355" s="405">
        <v>34.145156999999998</v>
      </c>
      <c r="L1355" s="405" t="s">
        <v>590</v>
      </c>
      <c r="M1355" s="405" t="s">
        <v>20808</v>
      </c>
      <c r="N1355" s="405" t="s">
        <v>23390</v>
      </c>
      <c r="O1355" s="405" t="s">
        <v>25496</v>
      </c>
      <c r="P1355" s="405" t="s">
        <v>25632</v>
      </c>
      <c r="Q1355" s="411">
        <v>6</v>
      </c>
      <c r="R1355" s="405" t="s">
        <v>6572</v>
      </c>
      <c r="S1355" s="405" t="s">
        <v>27205</v>
      </c>
      <c r="T1355" s="405" t="s">
        <v>32102</v>
      </c>
      <c r="U1355" s="405" t="s">
        <v>319</v>
      </c>
    </row>
    <row r="1356" spans="1:21" x14ac:dyDescent="0.25">
      <c r="A1356" s="405" t="s">
        <v>310</v>
      </c>
      <c r="B1356" s="405" t="s">
        <v>8412</v>
      </c>
      <c r="C1356" s="405" t="s">
        <v>311</v>
      </c>
      <c r="D1356" s="405" t="s">
        <v>1789</v>
      </c>
      <c r="E1356" s="410">
        <v>43752</v>
      </c>
      <c r="F1356" s="410">
        <v>43768</v>
      </c>
      <c r="G1356" s="405" t="s">
        <v>8413</v>
      </c>
      <c r="H1356" s="405">
        <v>701234172</v>
      </c>
      <c r="I1356" s="405"/>
      <c r="J1356" s="405">
        <v>0.41903499999999999</v>
      </c>
      <c r="K1356" s="405">
        <v>32.430557</v>
      </c>
      <c r="L1356" s="405" t="s">
        <v>314</v>
      </c>
      <c r="M1356" s="405" t="s">
        <v>361</v>
      </c>
      <c r="N1356" s="405" t="s">
        <v>374</v>
      </c>
      <c r="O1356" s="405" t="s">
        <v>535</v>
      </c>
      <c r="P1356" s="405" t="s">
        <v>1701</v>
      </c>
      <c r="Q1356" s="411">
        <v>9</v>
      </c>
      <c r="R1356" s="405" t="s">
        <v>32101</v>
      </c>
      <c r="S1356" s="405" t="s">
        <v>27278</v>
      </c>
      <c r="T1356" s="405" t="s">
        <v>884</v>
      </c>
      <c r="U1356" s="405" t="s">
        <v>319</v>
      </c>
    </row>
    <row r="1357" spans="1:21" x14ac:dyDescent="0.25">
      <c r="A1357" s="405" t="s">
        <v>310</v>
      </c>
      <c r="B1357" s="405" t="s">
        <v>25539</v>
      </c>
      <c r="C1357" s="405" t="s">
        <v>327</v>
      </c>
      <c r="D1357" s="405"/>
      <c r="E1357" s="410">
        <v>43752</v>
      </c>
      <c r="F1357" s="410">
        <v>43766</v>
      </c>
      <c r="G1357" s="405" t="s">
        <v>25540</v>
      </c>
      <c r="H1357" s="405" t="s">
        <v>25541</v>
      </c>
      <c r="I1357" s="405"/>
      <c r="J1357" s="405">
        <v>0.99083600000000005</v>
      </c>
      <c r="K1357" s="405">
        <v>34.173879999999997</v>
      </c>
      <c r="L1357" s="405" t="s">
        <v>590</v>
      </c>
      <c r="M1357" s="405" t="s">
        <v>19720</v>
      </c>
      <c r="N1357" s="405" t="s">
        <v>25542</v>
      </c>
      <c r="O1357" s="405" t="s">
        <v>24879</v>
      </c>
      <c r="P1357" s="405" t="s">
        <v>25543</v>
      </c>
      <c r="Q1357" s="411">
        <v>9</v>
      </c>
      <c r="R1357" s="405" t="s">
        <v>6013</v>
      </c>
      <c r="S1357" s="405" t="s">
        <v>27443</v>
      </c>
      <c r="T1357" s="405" t="s">
        <v>884</v>
      </c>
      <c r="U1357" s="405" t="s">
        <v>319</v>
      </c>
    </row>
    <row r="1358" spans="1:21" x14ac:dyDescent="0.25">
      <c r="A1358" s="405" t="s">
        <v>310</v>
      </c>
      <c r="B1358" s="405" t="s">
        <v>25659</v>
      </c>
      <c r="C1358" s="405" t="s">
        <v>327</v>
      </c>
      <c r="D1358" s="405"/>
      <c r="E1358" s="410">
        <v>43752</v>
      </c>
      <c r="F1358" s="410">
        <v>43790</v>
      </c>
      <c r="G1358" s="405" t="s">
        <v>25660</v>
      </c>
      <c r="H1358" s="405">
        <v>772984735</v>
      </c>
      <c r="I1358" s="405"/>
      <c r="J1358" s="405" t="s">
        <v>7334</v>
      </c>
      <c r="K1358" s="405">
        <v>34.189390000000003</v>
      </c>
      <c r="L1358" s="405" t="s">
        <v>590</v>
      </c>
      <c r="M1358" s="405" t="s">
        <v>20808</v>
      </c>
      <c r="N1358" s="405" t="s">
        <v>25110</v>
      </c>
      <c r="O1358" s="405" t="s">
        <v>20560</v>
      </c>
      <c r="P1358" s="405" t="s">
        <v>25641</v>
      </c>
      <c r="Q1358" s="411">
        <v>6</v>
      </c>
      <c r="R1358" s="405" t="s">
        <v>6572</v>
      </c>
      <c r="S1358" s="405" t="s">
        <v>27440</v>
      </c>
      <c r="T1358" s="405" t="s">
        <v>884</v>
      </c>
      <c r="U1358" s="405" t="s">
        <v>319</v>
      </c>
    </row>
    <row r="1359" spans="1:21" x14ac:dyDescent="0.25">
      <c r="A1359" s="405" t="s">
        <v>310</v>
      </c>
      <c r="B1359" s="405" t="s">
        <v>7768</v>
      </c>
      <c r="C1359" s="405" t="s">
        <v>327</v>
      </c>
      <c r="D1359" s="405"/>
      <c r="E1359" s="410">
        <v>43752</v>
      </c>
      <c r="F1359" s="410">
        <v>43768</v>
      </c>
      <c r="G1359" s="405" t="s">
        <v>7769</v>
      </c>
      <c r="H1359" s="405">
        <v>756899900</v>
      </c>
      <c r="I1359" s="405"/>
      <c r="J1359" s="405">
        <v>0.42234699999999997</v>
      </c>
      <c r="K1359" s="405">
        <v>32.411257999999997</v>
      </c>
      <c r="L1359" s="405" t="s">
        <v>314</v>
      </c>
      <c r="M1359" s="405" t="s">
        <v>361</v>
      </c>
      <c r="N1359" s="405" t="s">
        <v>374</v>
      </c>
      <c r="O1359" s="405" t="s">
        <v>952</v>
      </c>
      <c r="P1359" s="405" t="s">
        <v>6337</v>
      </c>
      <c r="Q1359" s="411">
        <v>6</v>
      </c>
      <c r="R1359" s="405" t="s">
        <v>32101</v>
      </c>
      <c r="S1359" s="405" t="s">
        <v>27275</v>
      </c>
      <c r="T1359" s="405" t="s">
        <v>884</v>
      </c>
      <c r="U1359" s="405" t="s">
        <v>319</v>
      </c>
    </row>
    <row r="1360" spans="1:21" x14ac:dyDescent="0.25">
      <c r="A1360" s="405" t="s">
        <v>310</v>
      </c>
      <c r="B1360" s="405" t="s">
        <v>17022</v>
      </c>
      <c r="C1360" s="405" t="s">
        <v>327</v>
      </c>
      <c r="D1360" s="405"/>
      <c r="E1360" s="410">
        <v>43752</v>
      </c>
      <c r="F1360" s="410">
        <v>43763</v>
      </c>
      <c r="G1360" s="405" t="s">
        <v>17023</v>
      </c>
      <c r="H1360" s="405">
        <v>777477327</v>
      </c>
      <c r="I1360" s="405"/>
      <c r="J1360" s="405">
        <v>1.3209500000000001</v>
      </c>
      <c r="K1360" s="405">
        <v>34.392001999999998</v>
      </c>
      <c r="L1360" s="405" t="s">
        <v>6866</v>
      </c>
      <c r="M1360" s="405" t="s">
        <v>9685</v>
      </c>
      <c r="N1360" s="405" t="s">
        <v>9686</v>
      </c>
      <c r="O1360" s="405" t="s">
        <v>15770</v>
      </c>
      <c r="P1360" s="405" t="s">
        <v>17024</v>
      </c>
      <c r="Q1360" s="411">
        <v>6</v>
      </c>
      <c r="R1360" s="405" t="s">
        <v>9506</v>
      </c>
      <c r="S1360" s="405" t="s">
        <v>27365</v>
      </c>
      <c r="T1360" s="405" t="s">
        <v>884</v>
      </c>
      <c r="U1360" s="405" t="s">
        <v>319</v>
      </c>
    </row>
    <row r="1361" spans="1:21" x14ac:dyDescent="0.25">
      <c r="A1361" s="405" t="s">
        <v>310</v>
      </c>
      <c r="B1361" s="405" t="s">
        <v>25726</v>
      </c>
      <c r="C1361" s="405" t="s">
        <v>327</v>
      </c>
      <c r="D1361" s="405"/>
      <c r="E1361" s="410">
        <v>43751</v>
      </c>
      <c r="F1361" s="410">
        <v>43810</v>
      </c>
      <c r="G1361" s="405" t="s">
        <v>25727</v>
      </c>
      <c r="H1361" s="405">
        <v>702717872</v>
      </c>
      <c r="I1361" s="405"/>
      <c r="J1361" s="405">
        <v>-0.97578200000000004</v>
      </c>
      <c r="K1361" s="405">
        <v>29.733505000000001</v>
      </c>
      <c r="L1361" s="405" t="s">
        <v>590</v>
      </c>
      <c r="M1361" s="405" t="s">
        <v>20808</v>
      </c>
      <c r="N1361" s="405" t="s">
        <v>25663</v>
      </c>
      <c r="O1361" s="405" t="s">
        <v>25484</v>
      </c>
      <c r="P1361" s="405" t="s">
        <v>22632</v>
      </c>
      <c r="Q1361" s="411">
        <v>6</v>
      </c>
      <c r="R1361" s="405" t="s">
        <v>6572</v>
      </c>
      <c r="S1361" s="405" t="s">
        <v>27443</v>
      </c>
      <c r="T1361" s="405" t="s">
        <v>884</v>
      </c>
      <c r="U1361" s="405" t="s">
        <v>319</v>
      </c>
    </row>
    <row r="1362" spans="1:21" x14ac:dyDescent="0.25">
      <c r="A1362" s="405" t="s">
        <v>310</v>
      </c>
      <c r="B1362" s="405" t="s">
        <v>7729</v>
      </c>
      <c r="C1362" s="405" t="s">
        <v>327</v>
      </c>
      <c r="D1362" s="405"/>
      <c r="E1362" s="410">
        <v>43750</v>
      </c>
      <c r="F1362" s="410">
        <v>43769</v>
      </c>
      <c r="G1362" s="405" t="s">
        <v>7730</v>
      </c>
      <c r="H1362" s="405">
        <v>703943703</v>
      </c>
      <c r="I1362" s="405">
        <v>772564452</v>
      </c>
      <c r="J1362" s="405">
        <v>0.39382800000000001</v>
      </c>
      <c r="K1362" s="405">
        <v>32.03904</v>
      </c>
      <c r="L1362" s="405" t="s">
        <v>314</v>
      </c>
      <c r="M1362" s="405" t="s">
        <v>675</v>
      </c>
      <c r="N1362" s="405" t="s">
        <v>5584</v>
      </c>
      <c r="O1362" s="405" t="s">
        <v>1066</v>
      </c>
      <c r="P1362" s="405" t="s">
        <v>597</v>
      </c>
      <c r="Q1362" s="411">
        <v>13</v>
      </c>
      <c r="R1362" s="405" t="s">
        <v>32101</v>
      </c>
      <c r="S1362" s="405" t="s">
        <v>27235</v>
      </c>
      <c r="T1362" s="405" t="s">
        <v>884</v>
      </c>
      <c r="U1362" s="405" t="s">
        <v>319</v>
      </c>
    </row>
    <row r="1363" spans="1:21" x14ac:dyDescent="0.25">
      <c r="A1363" s="405" t="s">
        <v>310</v>
      </c>
      <c r="B1363" s="405" t="s">
        <v>25486</v>
      </c>
      <c r="C1363" s="405" t="s">
        <v>327</v>
      </c>
      <c r="D1363" s="405"/>
      <c r="E1363" s="410">
        <v>43750</v>
      </c>
      <c r="F1363" s="410">
        <v>43768</v>
      </c>
      <c r="G1363" s="405" t="s">
        <v>25487</v>
      </c>
      <c r="H1363" s="405">
        <v>704866865</v>
      </c>
      <c r="I1363" s="405"/>
      <c r="J1363" s="405">
        <v>0.4829</v>
      </c>
      <c r="K1363" s="405">
        <v>34.112099999999998</v>
      </c>
      <c r="L1363" s="405" t="s">
        <v>590</v>
      </c>
      <c r="M1363" s="405" t="s">
        <v>19614</v>
      </c>
      <c r="N1363" s="405" t="s">
        <v>19614</v>
      </c>
      <c r="O1363" s="405" t="s">
        <v>20619</v>
      </c>
      <c r="P1363" s="405" t="s">
        <v>25488</v>
      </c>
      <c r="Q1363" s="411">
        <v>9</v>
      </c>
      <c r="R1363" s="405" t="s">
        <v>883</v>
      </c>
      <c r="S1363" s="405" t="s">
        <v>27097</v>
      </c>
      <c r="T1363" s="405" t="s">
        <v>884</v>
      </c>
      <c r="U1363" s="405" t="s">
        <v>319</v>
      </c>
    </row>
    <row r="1364" spans="1:21" x14ac:dyDescent="0.25">
      <c r="A1364" s="405" t="s">
        <v>310</v>
      </c>
      <c r="B1364" s="405" t="s">
        <v>7766</v>
      </c>
      <c r="C1364" s="405" t="s">
        <v>327</v>
      </c>
      <c r="D1364" s="405"/>
      <c r="E1364" s="410">
        <v>43750</v>
      </c>
      <c r="F1364" s="410">
        <v>43761</v>
      </c>
      <c r="G1364" s="405" t="s">
        <v>7767</v>
      </c>
      <c r="H1364" s="405">
        <v>772577064</v>
      </c>
      <c r="I1364" s="405">
        <v>782546499</v>
      </c>
      <c r="J1364" s="405">
        <v>0.40915699999999999</v>
      </c>
      <c r="K1364" s="405">
        <v>32.467382999999998</v>
      </c>
      <c r="L1364" s="405" t="s">
        <v>314</v>
      </c>
      <c r="M1364" s="405" t="s">
        <v>361</v>
      </c>
      <c r="N1364" s="405" t="s">
        <v>374</v>
      </c>
      <c r="O1364" s="405" t="s">
        <v>535</v>
      </c>
      <c r="P1364" s="405" t="s">
        <v>6692</v>
      </c>
      <c r="Q1364" s="411">
        <v>6</v>
      </c>
      <c r="R1364" s="405" t="s">
        <v>32101</v>
      </c>
      <c r="S1364" s="405" t="s">
        <v>27273</v>
      </c>
      <c r="T1364" s="405" t="s">
        <v>32102</v>
      </c>
      <c r="U1364" s="405" t="s">
        <v>319</v>
      </c>
    </row>
    <row r="1365" spans="1:21" x14ac:dyDescent="0.25">
      <c r="A1365" s="405" t="s">
        <v>310</v>
      </c>
      <c r="B1365" s="405" t="s">
        <v>7798</v>
      </c>
      <c r="C1365" s="405" t="s">
        <v>327</v>
      </c>
      <c r="D1365" s="405"/>
      <c r="E1365" s="410">
        <v>43749</v>
      </c>
      <c r="F1365" s="410">
        <v>43764</v>
      </c>
      <c r="G1365" s="405" t="s">
        <v>7799</v>
      </c>
      <c r="H1365" s="405">
        <v>751304203</v>
      </c>
      <c r="I1365" s="405"/>
      <c r="J1365" s="405">
        <v>-0.23760999999999999</v>
      </c>
      <c r="K1365" s="405">
        <v>31.763534</v>
      </c>
      <c r="L1365" s="405" t="s">
        <v>314</v>
      </c>
      <c r="M1365" s="405" t="s">
        <v>382</v>
      </c>
      <c r="N1365" s="405" t="s">
        <v>383</v>
      </c>
      <c r="O1365" s="405" t="s">
        <v>1076</v>
      </c>
      <c r="P1365" s="405" t="s">
        <v>4351</v>
      </c>
      <c r="Q1365" s="411">
        <v>9</v>
      </c>
      <c r="R1365" s="405" t="s">
        <v>5986</v>
      </c>
      <c r="S1365" s="405" t="s">
        <v>27186</v>
      </c>
      <c r="T1365" s="405" t="s">
        <v>884</v>
      </c>
      <c r="U1365" s="405" t="s">
        <v>319</v>
      </c>
    </row>
    <row r="1366" spans="1:21" x14ac:dyDescent="0.25">
      <c r="A1366" s="405" t="s">
        <v>310</v>
      </c>
      <c r="B1366" s="405" t="s">
        <v>17042</v>
      </c>
      <c r="C1366" s="405" t="s">
        <v>327</v>
      </c>
      <c r="D1366" s="405"/>
      <c r="E1366" s="410">
        <v>43748</v>
      </c>
      <c r="F1366" s="410">
        <v>43760</v>
      </c>
      <c r="G1366" s="405" t="s">
        <v>17043</v>
      </c>
      <c r="H1366" s="405">
        <v>777065640</v>
      </c>
      <c r="I1366" s="405"/>
      <c r="J1366" s="405" t="s">
        <v>7334</v>
      </c>
      <c r="K1366" s="405">
        <v>34.189390000000003</v>
      </c>
      <c r="L1366" s="405" t="s">
        <v>6866</v>
      </c>
      <c r="M1366" s="405" t="s">
        <v>5411</v>
      </c>
      <c r="N1366" s="405" t="s">
        <v>13715</v>
      </c>
      <c r="O1366" s="405" t="s">
        <v>12553</v>
      </c>
      <c r="P1366" s="405" t="s">
        <v>17044</v>
      </c>
      <c r="Q1366" s="411">
        <v>13</v>
      </c>
      <c r="R1366" s="405" t="s">
        <v>32164</v>
      </c>
      <c r="S1366" s="405" t="s">
        <v>27044</v>
      </c>
      <c r="T1366" s="405" t="s">
        <v>884</v>
      </c>
      <c r="U1366" s="405" t="s">
        <v>319</v>
      </c>
    </row>
    <row r="1367" spans="1:21" x14ac:dyDescent="0.25">
      <c r="A1367" s="405" t="s">
        <v>310</v>
      </c>
      <c r="B1367" s="405" t="s">
        <v>25666</v>
      </c>
      <c r="C1367" s="405" t="s">
        <v>327</v>
      </c>
      <c r="D1367" s="405"/>
      <c r="E1367" s="410">
        <v>43748</v>
      </c>
      <c r="F1367" s="410">
        <v>43771</v>
      </c>
      <c r="G1367" s="405" t="s">
        <v>25667</v>
      </c>
      <c r="H1367" s="405">
        <v>759144157</v>
      </c>
      <c r="I1367" s="405"/>
      <c r="J1367" s="405">
        <v>-0.99725799999999998</v>
      </c>
      <c r="K1367" s="405">
        <v>29.799157000000001</v>
      </c>
      <c r="L1367" s="405" t="s">
        <v>590</v>
      </c>
      <c r="M1367" s="405" t="s">
        <v>20808</v>
      </c>
      <c r="N1367" s="405" t="s">
        <v>25663</v>
      </c>
      <c r="O1367" s="405" t="s">
        <v>25664</v>
      </c>
      <c r="P1367" s="405" t="s">
        <v>25668</v>
      </c>
      <c r="Q1367" s="411">
        <v>6</v>
      </c>
      <c r="R1367" s="405" t="s">
        <v>6572</v>
      </c>
      <c r="S1367" s="405" t="s">
        <v>27439</v>
      </c>
      <c r="T1367" s="405" t="s">
        <v>32102</v>
      </c>
      <c r="U1367" s="405" t="s">
        <v>319</v>
      </c>
    </row>
    <row r="1368" spans="1:21" x14ac:dyDescent="0.25">
      <c r="A1368" s="405" t="s">
        <v>310</v>
      </c>
      <c r="B1368" s="405" t="s">
        <v>25578</v>
      </c>
      <c r="C1368" s="405" t="s">
        <v>327</v>
      </c>
      <c r="D1368" s="405"/>
      <c r="E1368" s="410">
        <v>43747</v>
      </c>
      <c r="F1368" s="410">
        <v>43772</v>
      </c>
      <c r="G1368" s="405" t="s">
        <v>25579</v>
      </c>
      <c r="H1368" s="405">
        <v>787812795</v>
      </c>
      <c r="I1368" s="405"/>
      <c r="J1368" s="405">
        <v>0.73850499999999997</v>
      </c>
      <c r="K1368" s="405">
        <v>29.749199999999998</v>
      </c>
      <c r="L1368" s="405" t="s">
        <v>590</v>
      </c>
      <c r="M1368" s="405" t="s">
        <v>25315</v>
      </c>
      <c r="N1368" s="405" t="s">
        <v>25580</v>
      </c>
      <c r="O1368" s="405" t="s">
        <v>25581</v>
      </c>
      <c r="P1368" s="405" t="s">
        <v>25581</v>
      </c>
      <c r="Q1368" s="411">
        <v>6</v>
      </c>
      <c r="R1368" s="405" t="s">
        <v>6572</v>
      </c>
      <c r="S1368" s="405" t="s">
        <v>27301</v>
      </c>
      <c r="T1368" s="405" t="s">
        <v>32102</v>
      </c>
      <c r="U1368" s="405" t="s">
        <v>319</v>
      </c>
    </row>
    <row r="1369" spans="1:21" x14ac:dyDescent="0.25">
      <c r="A1369" s="405" t="s">
        <v>310</v>
      </c>
      <c r="B1369" s="405" t="s">
        <v>7830</v>
      </c>
      <c r="C1369" s="405" t="s">
        <v>327</v>
      </c>
      <c r="D1369" s="405"/>
      <c r="E1369" s="410">
        <v>43747</v>
      </c>
      <c r="F1369" s="410">
        <v>43753</v>
      </c>
      <c r="G1369" s="405" t="s">
        <v>7831</v>
      </c>
      <c r="H1369" s="405">
        <v>702583260</v>
      </c>
      <c r="I1369" s="405"/>
      <c r="J1369" s="405">
        <v>0.479991</v>
      </c>
      <c r="K1369" s="405">
        <v>32.493558999999998</v>
      </c>
      <c r="L1369" s="405" t="s">
        <v>314</v>
      </c>
      <c r="M1369" s="405" t="s">
        <v>361</v>
      </c>
      <c r="N1369" s="405" t="s">
        <v>7832</v>
      </c>
      <c r="O1369" s="405" t="s">
        <v>7833</v>
      </c>
      <c r="P1369" s="405" t="s">
        <v>7834</v>
      </c>
      <c r="Q1369" s="411">
        <v>6</v>
      </c>
      <c r="R1369" s="405" t="s">
        <v>5921</v>
      </c>
      <c r="S1369" s="405" t="s">
        <v>32960</v>
      </c>
      <c r="T1369" s="405" t="s">
        <v>884</v>
      </c>
      <c r="U1369" s="405" t="s">
        <v>319</v>
      </c>
    </row>
    <row r="1370" spans="1:21" x14ac:dyDescent="0.25">
      <c r="A1370" s="405" t="s">
        <v>310</v>
      </c>
      <c r="B1370" s="405" t="s">
        <v>17061</v>
      </c>
      <c r="C1370" s="405" t="s">
        <v>327</v>
      </c>
      <c r="D1370" s="405"/>
      <c r="E1370" s="410">
        <v>43746</v>
      </c>
      <c r="F1370" s="410">
        <v>43793</v>
      </c>
      <c r="G1370" s="405" t="s">
        <v>17062</v>
      </c>
      <c r="H1370" s="405">
        <v>774453591</v>
      </c>
      <c r="I1370" s="405">
        <v>701481011</v>
      </c>
      <c r="J1370" s="405">
        <v>-0.23760999999999999</v>
      </c>
      <c r="K1370" s="405">
        <v>31.763534</v>
      </c>
      <c r="L1370" s="405" t="s">
        <v>6866</v>
      </c>
      <c r="M1370" s="405" t="s">
        <v>9514</v>
      </c>
      <c r="N1370" s="405" t="s">
        <v>9571</v>
      </c>
      <c r="O1370" s="405" t="s">
        <v>16909</v>
      </c>
      <c r="P1370" s="405" t="s">
        <v>11298</v>
      </c>
      <c r="Q1370" s="411">
        <v>4</v>
      </c>
      <c r="R1370" s="405" t="s">
        <v>6871</v>
      </c>
      <c r="S1370" s="405" t="s">
        <v>17062</v>
      </c>
      <c r="T1370" s="405" t="s">
        <v>884</v>
      </c>
      <c r="U1370" s="405" t="s">
        <v>319</v>
      </c>
    </row>
    <row r="1371" spans="1:21" x14ac:dyDescent="0.25">
      <c r="A1371" s="405" t="s">
        <v>310</v>
      </c>
      <c r="B1371" s="405" t="s">
        <v>17008</v>
      </c>
      <c r="C1371" s="405" t="s">
        <v>327</v>
      </c>
      <c r="D1371" s="405"/>
      <c r="E1371" s="410">
        <v>43746</v>
      </c>
      <c r="F1371" s="410">
        <v>43762</v>
      </c>
      <c r="G1371" s="405" t="s">
        <v>17009</v>
      </c>
      <c r="H1371" s="405">
        <v>777601231</v>
      </c>
      <c r="I1371" s="405" t="s">
        <v>17010</v>
      </c>
      <c r="J1371" s="405">
        <v>-0.23760999999999999</v>
      </c>
      <c r="K1371" s="405">
        <v>31.763534</v>
      </c>
      <c r="L1371" s="405" t="s">
        <v>6866</v>
      </c>
      <c r="M1371" s="405" t="s">
        <v>9514</v>
      </c>
      <c r="N1371" s="405" t="s">
        <v>17011</v>
      </c>
      <c r="O1371" s="405" t="s">
        <v>16971</v>
      </c>
      <c r="P1371" s="405" t="s">
        <v>11196</v>
      </c>
      <c r="Q1371" s="411">
        <v>4</v>
      </c>
      <c r="R1371" s="405" t="s">
        <v>6871</v>
      </c>
      <c r="S1371" s="405" t="s">
        <v>17062</v>
      </c>
      <c r="T1371" s="405" t="s">
        <v>884</v>
      </c>
      <c r="U1371" s="405" t="s">
        <v>319</v>
      </c>
    </row>
    <row r="1372" spans="1:21" x14ac:dyDescent="0.25">
      <c r="A1372" s="405" t="s">
        <v>310</v>
      </c>
      <c r="B1372" s="405" t="s">
        <v>17012</v>
      </c>
      <c r="C1372" s="405" t="s">
        <v>327</v>
      </c>
      <c r="D1372" s="405"/>
      <c r="E1372" s="410">
        <v>43746</v>
      </c>
      <c r="F1372" s="410">
        <v>43762</v>
      </c>
      <c r="G1372" s="405" t="s">
        <v>17013</v>
      </c>
      <c r="H1372" s="405">
        <v>774602074</v>
      </c>
      <c r="I1372" s="405"/>
      <c r="J1372" s="405">
        <v>1.0070479999999999</v>
      </c>
      <c r="K1372" s="405">
        <v>34.133515000000003</v>
      </c>
      <c r="L1372" s="405" t="s">
        <v>6866</v>
      </c>
      <c r="M1372" s="405" t="s">
        <v>9514</v>
      </c>
      <c r="N1372" s="405" t="s">
        <v>9571</v>
      </c>
      <c r="O1372" s="405" t="s">
        <v>12702</v>
      </c>
      <c r="P1372" s="405" t="s">
        <v>17014</v>
      </c>
      <c r="Q1372" s="411">
        <v>4</v>
      </c>
      <c r="R1372" s="405" t="s">
        <v>6871</v>
      </c>
      <c r="S1372" s="405" t="s">
        <v>17013</v>
      </c>
      <c r="T1372" s="405" t="s">
        <v>884</v>
      </c>
      <c r="U1372" s="405" t="s">
        <v>319</v>
      </c>
    </row>
    <row r="1373" spans="1:21" x14ac:dyDescent="0.25">
      <c r="A1373" s="405" t="s">
        <v>310</v>
      </c>
      <c r="B1373" s="405" t="s">
        <v>7820</v>
      </c>
      <c r="C1373" s="405" t="s">
        <v>327</v>
      </c>
      <c r="D1373" s="405"/>
      <c r="E1373" s="410">
        <v>43744</v>
      </c>
      <c r="F1373" s="410">
        <v>43765</v>
      </c>
      <c r="G1373" s="405" t="s">
        <v>7821</v>
      </c>
      <c r="H1373" s="405">
        <v>774329280</v>
      </c>
      <c r="I1373" s="405"/>
      <c r="J1373" s="405">
        <v>0.52878499999999995</v>
      </c>
      <c r="K1373" s="405">
        <v>33.384937000000001</v>
      </c>
      <c r="L1373" s="405" t="s">
        <v>314</v>
      </c>
      <c r="M1373" s="405" t="s">
        <v>361</v>
      </c>
      <c r="N1373" s="405" t="s">
        <v>6139</v>
      </c>
      <c r="O1373" s="405" t="s">
        <v>7822</v>
      </c>
      <c r="P1373" s="405" t="s">
        <v>7823</v>
      </c>
      <c r="Q1373" s="411">
        <v>13</v>
      </c>
      <c r="R1373" s="405" t="s">
        <v>4176</v>
      </c>
      <c r="S1373" s="405" t="s">
        <v>27053</v>
      </c>
      <c r="T1373" s="405" t="s">
        <v>884</v>
      </c>
      <c r="U1373" s="405" t="s">
        <v>319</v>
      </c>
    </row>
    <row r="1374" spans="1:21" x14ac:dyDescent="0.25">
      <c r="A1374" s="405" t="s">
        <v>310</v>
      </c>
      <c r="B1374" s="405" t="s">
        <v>7816</v>
      </c>
      <c r="C1374" s="405" t="s">
        <v>327</v>
      </c>
      <c r="D1374" s="405"/>
      <c r="E1374" s="410">
        <v>43743</v>
      </c>
      <c r="F1374" s="410">
        <v>43763</v>
      </c>
      <c r="G1374" s="405" t="s">
        <v>7817</v>
      </c>
      <c r="H1374" s="405">
        <v>754222288</v>
      </c>
      <c r="I1374" s="405"/>
      <c r="J1374" s="405" t="s">
        <v>7420</v>
      </c>
      <c r="K1374" s="405">
        <v>31.835087999999999</v>
      </c>
      <c r="L1374" s="405" t="s">
        <v>314</v>
      </c>
      <c r="M1374" s="405" t="s">
        <v>361</v>
      </c>
      <c r="N1374" s="405" t="s">
        <v>3398</v>
      </c>
      <c r="O1374" s="405" t="s">
        <v>535</v>
      </c>
      <c r="P1374" s="405" t="s">
        <v>3412</v>
      </c>
      <c r="Q1374" s="411">
        <v>9</v>
      </c>
      <c r="R1374" s="405" t="s">
        <v>4176</v>
      </c>
      <c r="S1374" s="405" t="s">
        <v>27266</v>
      </c>
      <c r="T1374" s="405" t="s">
        <v>884</v>
      </c>
      <c r="U1374" s="405" t="s">
        <v>319</v>
      </c>
    </row>
    <row r="1375" spans="1:21" x14ac:dyDescent="0.25">
      <c r="A1375" s="405" t="s">
        <v>310</v>
      </c>
      <c r="B1375" s="405" t="s">
        <v>7925</v>
      </c>
      <c r="C1375" s="405" t="s">
        <v>327</v>
      </c>
      <c r="D1375" s="405"/>
      <c r="E1375" s="410">
        <v>43743</v>
      </c>
      <c r="F1375" s="410">
        <v>43770</v>
      </c>
      <c r="G1375" s="405" t="s">
        <v>7926</v>
      </c>
      <c r="H1375" s="405">
        <v>782144830</v>
      </c>
      <c r="I1375" s="405"/>
      <c r="J1375" s="405">
        <v>0.61599999999999999</v>
      </c>
      <c r="K1375" s="405">
        <v>32.473145000000002</v>
      </c>
      <c r="L1375" s="405" t="s">
        <v>314</v>
      </c>
      <c r="M1375" s="405" t="s">
        <v>959</v>
      </c>
      <c r="N1375" s="405" t="s">
        <v>2481</v>
      </c>
      <c r="O1375" s="405" t="s">
        <v>2307</v>
      </c>
      <c r="P1375" s="405" t="s">
        <v>7927</v>
      </c>
      <c r="Q1375" s="411">
        <v>6</v>
      </c>
      <c r="R1375" s="405" t="s">
        <v>32157</v>
      </c>
      <c r="S1375" s="405" t="s">
        <v>27050</v>
      </c>
      <c r="T1375" s="405" t="s">
        <v>884</v>
      </c>
      <c r="U1375" s="405" t="s">
        <v>319</v>
      </c>
    </row>
    <row r="1376" spans="1:21" x14ac:dyDescent="0.25">
      <c r="A1376" s="405" t="s">
        <v>310</v>
      </c>
      <c r="B1376" s="405" t="s">
        <v>25673</v>
      </c>
      <c r="C1376" s="405" t="s">
        <v>327</v>
      </c>
      <c r="D1376" s="405"/>
      <c r="E1376" s="410">
        <v>43742</v>
      </c>
      <c r="F1376" s="410">
        <v>43799</v>
      </c>
      <c r="G1376" s="405" t="s">
        <v>25674</v>
      </c>
      <c r="H1376" s="405">
        <v>756712310</v>
      </c>
      <c r="I1376" s="405"/>
      <c r="J1376" s="405">
        <v>-0.99916000000000005</v>
      </c>
      <c r="K1376" s="405">
        <v>29.728432000000002</v>
      </c>
      <c r="L1376" s="405" t="s">
        <v>590</v>
      </c>
      <c r="M1376" s="405" t="s">
        <v>20808</v>
      </c>
      <c r="N1376" s="405" t="s">
        <v>25663</v>
      </c>
      <c r="O1376" s="405" t="s">
        <v>25484</v>
      </c>
      <c r="P1376" s="405" t="s">
        <v>25608</v>
      </c>
      <c r="Q1376" s="411">
        <v>6</v>
      </c>
      <c r="R1376" s="405" t="s">
        <v>6572</v>
      </c>
      <c r="S1376" s="405" t="s">
        <v>27443</v>
      </c>
      <c r="T1376" s="405" t="s">
        <v>32102</v>
      </c>
      <c r="U1376" s="405" t="s">
        <v>319</v>
      </c>
    </row>
    <row r="1377" spans="1:21" x14ac:dyDescent="0.25">
      <c r="A1377" s="405" t="s">
        <v>310</v>
      </c>
      <c r="B1377" s="405" t="s">
        <v>17039</v>
      </c>
      <c r="C1377" s="405" t="s">
        <v>327</v>
      </c>
      <c r="D1377" s="405"/>
      <c r="E1377" s="410">
        <v>43741</v>
      </c>
      <c r="F1377" s="410">
        <v>43754</v>
      </c>
      <c r="G1377" s="405" t="s">
        <v>17040</v>
      </c>
      <c r="H1377" s="405">
        <v>712749572</v>
      </c>
      <c r="I1377" s="405"/>
      <c r="J1377" s="405">
        <v>0.4829</v>
      </c>
      <c r="K1377" s="405">
        <v>34.112099999999998</v>
      </c>
      <c r="L1377" s="405" t="s">
        <v>6866</v>
      </c>
      <c r="M1377" s="405" t="s">
        <v>9590</v>
      </c>
      <c r="N1377" s="405" t="s">
        <v>9591</v>
      </c>
      <c r="O1377" s="405" t="s">
        <v>9592</v>
      </c>
      <c r="P1377" s="405" t="s">
        <v>17041</v>
      </c>
      <c r="Q1377" s="411">
        <v>13</v>
      </c>
      <c r="R1377" s="405" t="s">
        <v>32164</v>
      </c>
      <c r="S1377" s="405" t="s">
        <v>27044</v>
      </c>
      <c r="T1377" s="405" t="s">
        <v>32102</v>
      </c>
      <c r="U1377" s="405" t="s">
        <v>319</v>
      </c>
    </row>
    <row r="1378" spans="1:21" x14ac:dyDescent="0.25">
      <c r="A1378" s="405" t="s">
        <v>310</v>
      </c>
      <c r="B1378" s="405" t="s">
        <v>17080</v>
      </c>
      <c r="C1378" s="405" t="s">
        <v>327</v>
      </c>
      <c r="D1378" s="405"/>
      <c r="E1378" s="410">
        <v>43740</v>
      </c>
      <c r="F1378" s="410">
        <v>43777</v>
      </c>
      <c r="G1378" s="405" t="s">
        <v>17081</v>
      </c>
      <c r="H1378" s="405">
        <v>772474377</v>
      </c>
      <c r="I1378" s="405">
        <v>702759849</v>
      </c>
      <c r="J1378" s="405">
        <v>1.3524529999999999</v>
      </c>
      <c r="K1378" s="405">
        <v>34.467911999999998</v>
      </c>
      <c r="L1378" s="405" t="s">
        <v>6866</v>
      </c>
      <c r="M1378" s="405" t="s">
        <v>5437</v>
      </c>
      <c r="N1378" s="405" t="s">
        <v>6451</v>
      </c>
      <c r="O1378" s="405" t="s">
        <v>6451</v>
      </c>
      <c r="P1378" s="405" t="s">
        <v>10449</v>
      </c>
      <c r="Q1378" s="411">
        <v>9</v>
      </c>
      <c r="R1378" s="405" t="s">
        <v>32157</v>
      </c>
      <c r="S1378" s="405" t="s">
        <v>27045</v>
      </c>
      <c r="T1378" s="405" t="s">
        <v>884</v>
      </c>
      <c r="U1378" s="405" t="s">
        <v>319</v>
      </c>
    </row>
    <row r="1379" spans="1:21" x14ac:dyDescent="0.25">
      <c r="A1379" s="405" t="s">
        <v>310</v>
      </c>
      <c r="B1379" s="405" t="s">
        <v>7916</v>
      </c>
      <c r="C1379" s="405" t="s">
        <v>327</v>
      </c>
      <c r="D1379" s="405"/>
      <c r="E1379" s="410">
        <v>43740</v>
      </c>
      <c r="F1379" s="410">
        <v>43770</v>
      </c>
      <c r="G1379" s="405" t="s">
        <v>7917</v>
      </c>
      <c r="H1379" s="405">
        <v>785572751</v>
      </c>
      <c r="I1379" s="405"/>
      <c r="J1379" s="405">
        <v>0.606707</v>
      </c>
      <c r="K1379" s="405">
        <v>32.473002999999999</v>
      </c>
      <c r="L1379" s="405" t="s">
        <v>314</v>
      </c>
      <c r="M1379" s="405" t="s">
        <v>959</v>
      </c>
      <c r="N1379" s="405" t="s">
        <v>2481</v>
      </c>
      <c r="O1379" s="405" t="s">
        <v>2307</v>
      </c>
      <c r="P1379" s="405" t="s">
        <v>6182</v>
      </c>
      <c r="Q1379" s="411">
        <v>9</v>
      </c>
      <c r="R1379" s="405" t="s">
        <v>32157</v>
      </c>
      <c r="S1379" s="405" t="s">
        <v>27045</v>
      </c>
      <c r="T1379" s="405" t="s">
        <v>884</v>
      </c>
      <c r="U1379" s="405" t="s">
        <v>319</v>
      </c>
    </row>
    <row r="1380" spans="1:21" x14ac:dyDescent="0.25">
      <c r="A1380" s="405" t="s">
        <v>310</v>
      </c>
      <c r="B1380" s="405" t="s">
        <v>25479</v>
      </c>
      <c r="C1380" s="405" t="s">
        <v>327</v>
      </c>
      <c r="D1380" s="405"/>
      <c r="E1380" s="410">
        <v>43740</v>
      </c>
      <c r="F1380" s="410">
        <v>43760</v>
      </c>
      <c r="G1380" s="405" t="s">
        <v>25480</v>
      </c>
      <c r="H1380" s="405">
        <v>782361635</v>
      </c>
      <c r="I1380" s="405"/>
      <c r="J1380" s="405" t="s">
        <v>7334</v>
      </c>
      <c r="K1380" s="405">
        <v>34.189390000000003</v>
      </c>
      <c r="L1380" s="405" t="s">
        <v>590</v>
      </c>
      <c r="M1380" s="405" t="s">
        <v>19619</v>
      </c>
      <c r="N1380" s="405" t="s">
        <v>19793</v>
      </c>
      <c r="O1380" s="405" t="s">
        <v>20033</v>
      </c>
      <c r="P1380" s="405" t="s">
        <v>25481</v>
      </c>
      <c r="Q1380" s="411">
        <v>9</v>
      </c>
      <c r="R1380" s="405" t="s">
        <v>6572</v>
      </c>
      <c r="S1380" s="405" t="s">
        <v>27193</v>
      </c>
      <c r="T1380" s="405" t="s">
        <v>884</v>
      </c>
      <c r="U1380" s="405" t="s">
        <v>319</v>
      </c>
    </row>
    <row r="1381" spans="1:21" x14ac:dyDescent="0.25">
      <c r="A1381" s="405" t="s">
        <v>310</v>
      </c>
      <c r="B1381" s="405" t="s">
        <v>7778</v>
      </c>
      <c r="C1381" s="405" t="s">
        <v>327</v>
      </c>
      <c r="D1381" s="405"/>
      <c r="E1381" s="410">
        <v>43740</v>
      </c>
      <c r="F1381" s="410">
        <v>43751</v>
      </c>
      <c r="G1381" s="405" t="s">
        <v>7779</v>
      </c>
      <c r="H1381" s="405">
        <v>758931056</v>
      </c>
      <c r="I1381" s="405"/>
      <c r="J1381" s="405">
        <v>0.41133500000000001</v>
      </c>
      <c r="K1381" s="405">
        <v>32.497332</v>
      </c>
      <c r="L1381" s="405" t="s">
        <v>314</v>
      </c>
      <c r="M1381" s="405" t="s">
        <v>361</v>
      </c>
      <c r="N1381" s="405" t="s">
        <v>361</v>
      </c>
      <c r="O1381" s="405" t="s">
        <v>361</v>
      </c>
      <c r="P1381" s="405" t="s">
        <v>6538</v>
      </c>
      <c r="Q1381" s="411">
        <v>9</v>
      </c>
      <c r="R1381" s="405" t="s">
        <v>32157</v>
      </c>
      <c r="S1381" s="405" t="s">
        <v>27048</v>
      </c>
      <c r="T1381" s="405" t="s">
        <v>884</v>
      </c>
      <c r="U1381" s="405" t="s">
        <v>319</v>
      </c>
    </row>
    <row r="1382" spans="1:21" x14ac:dyDescent="0.25">
      <c r="A1382" s="405" t="s">
        <v>310</v>
      </c>
      <c r="B1382" s="405" t="s">
        <v>17102</v>
      </c>
      <c r="C1382" s="405" t="s">
        <v>327</v>
      </c>
      <c r="D1382" s="405"/>
      <c r="E1382" s="410">
        <v>43740</v>
      </c>
      <c r="F1382" s="410">
        <v>43814</v>
      </c>
      <c r="G1382" s="405" t="s">
        <v>17103</v>
      </c>
      <c r="H1382" s="405">
        <v>777254453</v>
      </c>
      <c r="I1382" s="405"/>
      <c r="J1382" s="405">
        <v>-6.2802999999999998E-2</v>
      </c>
      <c r="K1382" s="405">
        <v>29.834150000000001</v>
      </c>
      <c r="L1382" s="405" t="s">
        <v>6866</v>
      </c>
      <c r="M1382" s="405" t="s">
        <v>9705</v>
      </c>
      <c r="N1382" s="405" t="s">
        <v>17104</v>
      </c>
      <c r="O1382" s="405" t="s">
        <v>9876</v>
      </c>
      <c r="P1382" s="405" t="s">
        <v>17105</v>
      </c>
      <c r="Q1382" s="411">
        <v>6</v>
      </c>
      <c r="R1382" s="405" t="s">
        <v>7224</v>
      </c>
      <c r="S1382" s="405" t="s">
        <v>27259</v>
      </c>
      <c r="T1382" s="405" t="s">
        <v>884</v>
      </c>
      <c r="U1382" s="405" t="s">
        <v>319</v>
      </c>
    </row>
    <row r="1383" spans="1:21" x14ac:dyDescent="0.25">
      <c r="A1383" s="405" t="s">
        <v>310</v>
      </c>
      <c r="B1383" s="405" t="s">
        <v>25661</v>
      </c>
      <c r="C1383" s="405" t="s">
        <v>327</v>
      </c>
      <c r="D1383" s="405"/>
      <c r="E1383" s="410">
        <v>43740</v>
      </c>
      <c r="F1383" s="410">
        <v>43794</v>
      </c>
      <c r="G1383" s="405" t="s">
        <v>25662</v>
      </c>
      <c r="H1383" s="405">
        <v>779416714</v>
      </c>
      <c r="I1383" s="405"/>
      <c r="J1383" s="405">
        <v>-0.99927999999999995</v>
      </c>
      <c r="K1383" s="405">
        <v>29.802517000000002</v>
      </c>
      <c r="L1383" s="405" t="s">
        <v>590</v>
      </c>
      <c r="M1383" s="405" t="s">
        <v>20808</v>
      </c>
      <c r="N1383" s="405" t="s">
        <v>25663</v>
      </c>
      <c r="O1383" s="405" t="s">
        <v>25664</v>
      </c>
      <c r="P1383" s="405" t="s">
        <v>25665</v>
      </c>
      <c r="Q1383" s="411">
        <v>6</v>
      </c>
      <c r="R1383" s="405" t="s">
        <v>6572</v>
      </c>
      <c r="S1383" s="405" t="s">
        <v>27161</v>
      </c>
      <c r="T1383" s="405" t="s">
        <v>884</v>
      </c>
      <c r="U1383" s="405" t="s">
        <v>319</v>
      </c>
    </row>
    <row r="1384" spans="1:21" x14ac:dyDescent="0.25">
      <c r="A1384" s="405" t="s">
        <v>310</v>
      </c>
      <c r="B1384" s="405" t="s">
        <v>7905</v>
      </c>
      <c r="C1384" s="405" t="s">
        <v>327</v>
      </c>
      <c r="D1384" s="405"/>
      <c r="E1384" s="410">
        <v>43738</v>
      </c>
      <c r="F1384" s="410">
        <v>43773</v>
      </c>
      <c r="G1384" s="405" t="s">
        <v>7906</v>
      </c>
      <c r="H1384" s="405">
        <v>782808220</v>
      </c>
      <c r="I1384" s="405"/>
      <c r="J1384" s="405">
        <v>0.52878499999999995</v>
      </c>
      <c r="K1384" s="405">
        <v>33.384937000000001</v>
      </c>
      <c r="L1384" s="405" t="s">
        <v>314</v>
      </c>
      <c r="M1384" s="405" t="s">
        <v>361</v>
      </c>
      <c r="N1384" s="405" t="s">
        <v>1279</v>
      </c>
      <c r="O1384" s="405" t="s">
        <v>7907</v>
      </c>
      <c r="P1384" s="405" t="s">
        <v>7319</v>
      </c>
      <c r="Q1384" s="411">
        <v>13</v>
      </c>
      <c r="R1384" s="405" t="s">
        <v>32101</v>
      </c>
      <c r="S1384" s="405" t="s">
        <v>27167</v>
      </c>
      <c r="T1384" s="405" t="s">
        <v>884</v>
      </c>
      <c r="U1384" s="405" t="s">
        <v>319</v>
      </c>
    </row>
    <row r="1385" spans="1:21" x14ac:dyDescent="0.25">
      <c r="A1385" s="405" t="s">
        <v>310</v>
      </c>
      <c r="B1385" s="405" t="s">
        <v>7754</v>
      </c>
      <c r="C1385" s="405" t="s">
        <v>327</v>
      </c>
      <c r="D1385" s="405"/>
      <c r="E1385" s="410">
        <v>43738</v>
      </c>
      <c r="F1385" s="410">
        <v>43757</v>
      </c>
      <c r="G1385" s="405" t="s">
        <v>7755</v>
      </c>
      <c r="H1385" s="405">
        <v>702298338</v>
      </c>
      <c r="I1385" s="405"/>
      <c r="J1385" s="405">
        <v>-5.5708000000000001E-2</v>
      </c>
      <c r="K1385" s="405" t="s">
        <v>7372</v>
      </c>
      <c r="L1385" s="405" t="s">
        <v>314</v>
      </c>
      <c r="M1385" s="405" t="s">
        <v>361</v>
      </c>
      <c r="N1385" s="405" t="s">
        <v>374</v>
      </c>
      <c r="O1385" s="405" t="s">
        <v>662</v>
      </c>
      <c r="P1385" s="405" t="s">
        <v>6354</v>
      </c>
      <c r="Q1385" s="411">
        <v>13</v>
      </c>
      <c r="R1385" s="405" t="s">
        <v>32101</v>
      </c>
      <c r="S1385" s="405" t="s">
        <v>27181</v>
      </c>
      <c r="T1385" s="405" t="s">
        <v>884</v>
      </c>
      <c r="U1385" s="405" t="s">
        <v>319</v>
      </c>
    </row>
    <row r="1386" spans="1:21" x14ac:dyDescent="0.25">
      <c r="A1386" s="405" t="s">
        <v>310</v>
      </c>
      <c r="B1386" s="405" t="s">
        <v>7747</v>
      </c>
      <c r="C1386" s="405" t="s">
        <v>327</v>
      </c>
      <c r="D1386" s="405"/>
      <c r="E1386" s="410">
        <v>43738</v>
      </c>
      <c r="F1386" s="410">
        <v>43754</v>
      </c>
      <c r="G1386" s="405" t="s">
        <v>7748</v>
      </c>
      <c r="H1386" s="405">
        <v>772849131</v>
      </c>
      <c r="I1386" s="405"/>
      <c r="J1386" s="405" t="s">
        <v>7406</v>
      </c>
      <c r="K1386" s="405">
        <v>32.623615000000001</v>
      </c>
      <c r="L1386" s="405" t="s">
        <v>314</v>
      </c>
      <c r="M1386" s="405" t="s">
        <v>361</v>
      </c>
      <c r="N1386" s="405" t="s">
        <v>374</v>
      </c>
      <c r="O1386" s="405" t="s">
        <v>535</v>
      </c>
      <c r="P1386" s="405" t="s">
        <v>1701</v>
      </c>
      <c r="Q1386" s="411">
        <v>13</v>
      </c>
      <c r="R1386" s="405" t="s">
        <v>32101</v>
      </c>
      <c r="S1386" s="405" t="s">
        <v>27041</v>
      </c>
      <c r="T1386" s="405" t="s">
        <v>884</v>
      </c>
      <c r="U1386" s="405" t="s">
        <v>319</v>
      </c>
    </row>
    <row r="1387" spans="1:21" x14ac:dyDescent="0.25">
      <c r="A1387" s="405" t="s">
        <v>310</v>
      </c>
      <c r="B1387" s="405" t="s">
        <v>7761</v>
      </c>
      <c r="C1387" s="405" t="s">
        <v>327</v>
      </c>
      <c r="D1387" s="405"/>
      <c r="E1387" s="410">
        <v>43738</v>
      </c>
      <c r="F1387" s="410">
        <v>43753</v>
      </c>
      <c r="G1387" s="405" t="s">
        <v>7762</v>
      </c>
      <c r="H1387" s="405">
        <v>779909022</v>
      </c>
      <c r="I1387" s="405"/>
      <c r="J1387" s="405">
        <v>0.29330000000000001</v>
      </c>
      <c r="K1387" s="405">
        <v>31.292300000000001</v>
      </c>
      <c r="L1387" s="405" t="s">
        <v>314</v>
      </c>
      <c r="M1387" s="405" t="s">
        <v>321</v>
      </c>
      <c r="N1387" s="405" t="s">
        <v>1244</v>
      </c>
      <c r="O1387" s="405" t="s">
        <v>476</v>
      </c>
      <c r="P1387" s="405" t="s">
        <v>476</v>
      </c>
      <c r="Q1387" s="411">
        <v>13</v>
      </c>
      <c r="R1387" s="405" t="s">
        <v>32101</v>
      </c>
      <c r="S1387" s="405" t="s">
        <v>27047</v>
      </c>
      <c r="T1387" s="405" t="s">
        <v>32102</v>
      </c>
      <c r="U1387" s="405" t="s">
        <v>319</v>
      </c>
    </row>
    <row r="1388" spans="1:21" x14ac:dyDescent="0.25">
      <c r="A1388" s="405" t="s">
        <v>310</v>
      </c>
      <c r="B1388" s="405" t="s">
        <v>7749</v>
      </c>
      <c r="C1388" s="405" t="s">
        <v>327</v>
      </c>
      <c r="D1388" s="405"/>
      <c r="E1388" s="410">
        <v>43738</v>
      </c>
      <c r="F1388" s="410">
        <v>43752</v>
      </c>
      <c r="G1388" s="405" t="s">
        <v>7750</v>
      </c>
      <c r="H1388" s="405">
        <v>702110668</v>
      </c>
      <c r="I1388" s="405"/>
      <c r="J1388" s="405">
        <v>0.52878499999999995</v>
      </c>
      <c r="K1388" s="405">
        <v>33.384937000000001</v>
      </c>
      <c r="L1388" s="405" t="s">
        <v>314</v>
      </c>
      <c r="M1388" s="405" t="s">
        <v>361</v>
      </c>
      <c r="N1388" s="405" t="s">
        <v>374</v>
      </c>
      <c r="O1388" s="405" t="s">
        <v>952</v>
      </c>
      <c r="P1388" s="405" t="s">
        <v>7751</v>
      </c>
      <c r="Q1388" s="411">
        <v>13</v>
      </c>
      <c r="R1388" s="405" t="s">
        <v>32101</v>
      </c>
      <c r="S1388" s="405" t="s">
        <v>27034</v>
      </c>
      <c r="T1388" s="405" t="s">
        <v>884</v>
      </c>
      <c r="U1388" s="405" t="s">
        <v>319</v>
      </c>
    </row>
    <row r="1389" spans="1:21" x14ac:dyDescent="0.25">
      <c r="A1389" s="405" t="s">
        <v>310</v>
      </c>
      <c r="B1389" s="405" t="s">
        <v>7763</v>
      </c>
      <c r="C1389" s="405" t="s">
        <v>327</v>
      </c>
      <c r="D1389" s="405"/>
      <c r="E1389" s="410">
        <v>43738</v>
      </c>
      <c r="F1389" s="410">
        <v>43748</v>
      </c>
      <c r="G1389" s="405" t="s">
        <v>7764</v>
      </c>
      <c r="H1389" s="405">
        <v>789259621</v>
      </c>
      <c r="I1389" s="405"/>
      <c r="J1389" s="405">
        <v>1.0086280000000001</v>
      </c>
      <c r="K1389" s="405">
        <v>34.145156999999998</v>
      </c>
      <c r="L1389" s="405" t="s">
        <v>314</v>
      </c>
      <c r="M1389" s="405" t="s">
        <v>723</v>
      </c>
      <c r="N1389" s="405" t="s">
        <v>7765</v>
      </c>
      <c r="O1389" s="405" t="s">
        <v>6105</v>
      </c>
      <c r="P1389" s="405" t="s">
        <v>6105</v>
      </c>
      <c r="Q1389" s="411">
        <v>13</v>
      </c>
      <c r="R1389" s="405" t="s">
        <v>32101</v>
      </c>
      <c r="S1389" s="405" t="s">
        <v>27278</v>
      </c>
      <c r="T1389" s="405" t="s">
        <v>884</v>
      </c>
      <c r="U1389" s="405" t="s">
        <v>319</v>
      </c>
    </row>
    <row r="1390" spans="1:21" x14ac:dyDescent="0.25">
      <c r="A1390" s="405" t="s">
        <v>310</v>
      </c>
      <c r="B1390" s="405" t="s">
        <v>7758</v>
      </c>
      <c r="C1390" s="405" t="s">
        <v>327</v>
      </c>
      <c r="D1390" s="405"/>
      <c r="E1390" s="410">
        <v>43738</v>
      </c>
      <c r="F1390" s="410">
        <v>43748</v>
      </c>
      <c r="G1390" s="405" t="s">
        <v>7759</v>
      </c>
      <c r="H1390" s="405">
        <v>772450239</v>
      </c>
      <c r="I1390" s="405"/>
      <c r="J1390" s="405">
        <v>-5.5708000000000001E-2</v>
      </c>
      <c r="K1390" s="405" t="s">
        <v>7372</v>
      </c>
      <c r="L1390" s="405" t="s">
        <v>314</v>
      </c>
      <c r="M1390" s="405" t="s">
        <v>361</v>
      </c>
      <c r="N1390" s="405" t="s">
        <v>374</v>
      </c>
      <c r="O1390" s="405" t="s">
        <v>952</v>
      </c>
      <c r="P1390" s="405" t="s">
        <v>7760</v>
      </c>
      <c r="Q1390" s="411">
        <v>9</v>
      </c>
      <c r="R1390" s="405" t="s">
        <v>32101</v>
      </c>
      <c r="S1390" s="405" t="s">
        <v>27235</v>
      </c>
      <c r="T1390" s="405" t="s">
        <v>884</v>
      </c>
      <c r="U1390" s="405" t="s">
        <v>319</v>
      </c>
    </row>
    <row r="1391" spans="1:21" x14ac:dyDescent="0.25">
      <c r="A1391" s="405" t="s">
        <v>310</v>
      </c>
      <c r="B1391" s="405" t="s">
        <v>7780</v>
      </c>
      <c r="C1391" s="405" t="s">
        <v>327</v>
      </c>
      <c r="D1391" s="405"/>
      <c r="E1391" s="410">
        <v>43738</v>
      </c>
      <c r="F1391" s="410">
        <v>43746</v>
      </c>
      <c r="G1391" s="405" t="s">
        <v>7781</v>
      </c>
      <c r="H1391" s="405">
        <v>776151112</v>
      </c>
      <c r="I1391" s="405"/>
      <c r="J1391" s="405">
        <v>0.4829</v>
      </c>
      <c r="K1391" s="405">
        <v>34.112099999999998</v>
      </c>
      <c r="L1391" s="405" t="s">
        <v>314</v>
      </c>
      <c r="M1391" s="405" t="s">
        <v>2512</v>
      </c>
      <c r="N1391" s="405" t="s">
        <v>5686</v>
      </c>
      <c r="O1391" s="405" t="s">
        <v>2590</v>
      </c>
      <c r="P1391" s="405" t="s">
        <v>7782</v>
      </c>
      <c r="Q1391" s="411">
        <v>9</v>
      </c>
      <c r="R1391" s="405" t="s">
        <v>32157</v>
      </c>
      <c r="S1391" s="405" t="s">
        <v>27045</v>
      </c>
      <c r="T1391" s="405" t="s">
        <v>32102</v>
      </c>
      <c r="U1391" s="405" t="s">
        <v>319</v>
      </c>
    </row>
    <row r="1392" spans="1:21" x14ac:dyDescent="0.25">
      <c r="A1392" s="405" t="s">
        <v>310</v>
      </c>
      <c r="B1392" s="405" t="s">
        <v>7745</v>
      </c>
      <c r="C1392" s="405" t="s">
        <v>327</v>
      </c>
      <c r="D1392" s="405"/>
      <c r="E1392" s="410">
        <v>43738</v>
      </c>
      <c r="F1392" s="410">
        <v>43753</v>
      </c>
      <c r="G1392" s="405" t="s">
        <v>7746</v>
      </c>
      <c r="H1392" s="405">
        <v>704636920</v>
      </c>
      <c r="I1392" s="405"/>
      <c r="J1392" s="405">
        <v>0.25980999999999999</v>
      </c>
      <c r="K1392" s="405">
        <v>32.530881999999998</v>
      </c>
      <c r="L1392" s="405" t="s">
        <v>314</v>
      </c>
      <c r="M1392" s="405" t="s">
        <v>361</v>
      </c>
      <c r="N1392" s="405" t="s">
        <v>375</v>
      </c>
      <c r="O1392" s="405" t="s">
        <v>375</v>
      </c>
      <c r="P1392" s="405" t="s">
        <v>4938</v>
      </c>
      <c r="Q1392" s="411">
        <v>6</v>
      </c>
      <c r="R1392" s="405" t="s">
        <v>32101</v>
      </c>
      <c r="S1392" s="405" t="s">
        <v>27275</v>
      </c>
      <c r="T1392" s="405" t="s">
        <v>884</v>
      </c>
      <c r="U1392" s="405" t="s">
        <v>319</v>
      </c>
    </row>
    <row r="1393" spans="1:21" x14ac:dyDescent="0.25">
      <c r="A1393" s="405" t="s">
        <v>310</v>
      </c>
      <c r="B1393" s="405" t="s">
        <v>7742</v>
      </c>
      <c r="C1393" s="405" t="s">
        <v>327</v>
      </c>
      <c r="D1393" s="405"/>
      <c r="E1393" s="410">
        <v>43737</v>
      </c>
      <c r="F1393" s="410">
        <v>43748</v>
      </c>
      <c r="G1393" s="405" t="s">
        <v>7743</v>
      </c>
      <c r="H1393" s="405">
        <v>776938978</v>
      </c>
      <c r="I1393" s="405"/>
      <c r="J1393" s="405">
        <v>-0.23760999999999999</v>
      </c>
      <c r="K1393" s="405">
        <v>31.763534</v>
      </c>
      <c r="L1393" s="405" t="s">
        <v>314</v>
      </c>
      <c r="M1393" s="405" t="s">
        <v>361</v>
      </c>
      <c r="N1393" s="405" t="s">
        <v>374</v>
      </c>
      <c r="O1393" s="405" t="s">
        <v>361</v>
      </c>
      <c r="P1393" s="405" t="s">
        <v>7744</v>
      </c>
      <c r="Q1393" s="411">
        <v>13</v>
      </c>
      <c r="R1393" s="405" t="s">
        <v>32101</v>
      </c>
      <c r="S1393" s="405" t="s">
        <v>27243</v>
      </c>
      <c r="T1393" s="405" t="s">
        <v>32102</v>
      </c>
      <c r="U1393" s="405" t="s">
        <v>319</v>
      </c>
    </row>
    <row r="1394" spans="1:21" x14ac:dyDescent="0.25">
      <c r="A1394" s="405" t="s">
        <v>310</v>
      </c>
      <c r="B1394" s="405" t="s">
        <v>17036</v>
      </c>
      <c r="C1394" s="405" t="s">
        <v>327</v>
      </c>
      <c r="D1394" s="405"/>
      <c r="E1394" s="410">
        <v>43737</v>
      </c>
      <c r="F1394" s="410">
        <v>43752</v>
      </c>
      <c r="G1394" s="405" t="s">
        <v>17037</v>
      </c>
      <c r="H1394" s="405">
        <v>772908937</v>
      </c>
      <c r="I1394" s="405"/>
      <c r="J1394" s="405">
        <v>0.61272499999999996</v>
      </c>
      <c r="K1394" s="405">
        <v>33.424947000000003</v>
      </c>
      <c r="L1394" s="405" t="s">
        <v>6866</v>
      </c>
      <c r="M1394" s="405" t="s">
        <v>10853</v>
      </c>
      <c r="N1394" s="405" t="s">
        <v>16886</v>
      </c>
      <c r="O1394" s="405" t="s">
        <v>12832</v>
      </c>
      <c r="P1394" s="405" t="s">
        <v>17038</v>
      </c>
      <c r="Q1394" s="411">
        <v>6</v>
      </c>
      <c r="R1394" s="405" t="s">
        <v>32164</v>
      </c>
      <c r="S1394" s="405" t="s">
        <v>27054</v>
      </c>
      <c r="T1394" s="405" t="s">
        <v>884</v>
      </c>
      <c r="U1394" s="405" t="s">
        <v>319</v>
      </c>
    </row>
    <row r="1395" spans="1:21" x14ac:dyDescent="0.25">
      <c r="A1395" s="405" t="s">
        <v>310</v>
      </c>
      <c r="B1395" s="405" t="s">
        <v>25473</v>
      </c>
      <c r="C1395" s="405" t="s">
        <v>327</v>
      </c>
      <c r="D1395" s="405"/>
      <c r="E1395" s="410">
        <v>43736</v>
      </c>
      <c r="F1395" s="410">
        <v>43748</v>
      </c>
      <c r="G1395" s="405" t="s">
        <v>25474</v>
      </c>
      <c r="H1395" s="405">
        <v>772629843</v>
      </c>
      <c r="I1395" s="405">
        <v>705727101</v>
      </c>
      <c r="J1395" s="405">
        <v>-0.63580000000000003</v>
      </c>
      <c r="K1395" s="405">
        <v>30.176057</v>
      </c>
      <c r="L1395" s="405" t="s">
        <v>590</v>
      </c>
      <c r="M1395" s="405" t="s">
        <v>19625</v>
      </c>
      <c r="N1395" s="405" t="s">
        <v>19625</v>
      </c>
      <c r="O1395" s="405" t="s">
        <v>19800</v>
      </c>
      <c r="P1395" s="405" t="s">
        <v>19801</v>
      </c>
      <c r="Q1395" s="411">
        <v>9</v>
      </c>
      <c r="R1395" s="405" t="s">
        <v>6572</v>
      </c>
      <c r="S1395" s="405" t="s">
        <v>27399</v>
      </c>
      <c r="T1395" s="405" t="s">
        <v>884</v>
      </c>
      <c r="U1395" s="405" t="s">
        <v>319</v>
      </c>
    </row>
    <row r="1396" spans="1:21" x14ac:dyDescent="0.25">
      <c r="A1396" s="405" t="s">
        <v>310</v>
      </c>
      <c r="B1396" s="405" t="s">
        <v>25500</v>
      </c>
      <c r="C1396" s="405" t="s">
        <v>327</v>
      </c>
      <c r="D1396" s="405"/>
      <c r="E1396" s="410">
        <v>43736</v>
      </c>
      <c r="F1396" s="410">
        <v>43756</v>
      </c>
      <c r="G1396" s="405" t="s">
        <v>25501</v>
      </c>
      <c r="H1396" s="405">
        <v>772950148</v>
      </c>
      <c r="I1396" s="405"/>
      <c r="J1396" s="405">
        <v>0.29330000000000001</v>
      </c>
      <c r="K1396" s="405">
        <v>31.292300000000001</v>
      </c>
      <c r="L1396" s="405" t="s">
        <v>590</v>
      </c>
      <c r="M1396" s="405" t="s">
        <v>20808</v>
      </c>
      <c r="N1396" s="405" t="s">
        <v>23390</v>
      </c>
      <c r="O1396" s="405" t="s">
        <v>25502</v>
      </c>
      <c r="P1396" s="405" t="s">
        <v>25503</v>
      </c>
      <c r="Q1396" s="411">
        <v>6</v>
      </c>
      <c r="R1396" s="405" t="s">
        <v>6572</v>
      </c>
      <c r="S1396" s="405" t="s">
        <v>27205</v>
      </c>
      <c r="T1396" s="405" t="s">
        <v>32102</v>
      </c>
      <c r="U1396" s="405" t="s">
        <v>319</v>
      </c>
    </row>
    <row r="1397" spans="1:21" x14ac:dyDescent="0.25">
      <c r="A1397" s="405" t="s">
        <v>310</v>
      </c>
      <c r="B1397" s="405" t="s">
        <v>7740</v>
      </c>
      <c r="C1397" s="405" t="s">
        <v>327</v>
      </c>
      <c r="D1397" s="405"/>
      <c r="E1397" s="410">
        <v>43736</v>
      </c>
      <c r="F1397" s="410">
        <v>43755</v>
      </c>
      <c r="G1397" s="405" t="s">
        <v>7741</v>
      </c>
      <c r="H1397" s="405">
        <v>776253438</v>
      </c>
      <c r="I1397" s="405"/>
      <c r="J1397" s="405">
        <v>1.9376899999999999</v>
      </c>
      <c r="K1397" s="405">
        <v>33.330257000000003</v>
      </c>
      <c r="L1397" s="405" t="s">
        <v>314</v>
      </c>
      <c r="M1397" s="405" t="s">
        <v>361</v>
      </c>
      <c r="N1397" s="405" t="s">
        <v>374</v>
      </c>
      <c r="O1397" s="405" t="s">
        <v>535</v>
      </c>
      <c r="P1397" s="405" t="s">
        <v>7122</v>
      </c>
      <c r="Q1397" s="411">
        <v>6</v>
      </c>
      <c r="R1397" s="405" t="s">
        <v>32101</v>
      </c>
      <c r="S1397" s="405" t="s">
        <v>27167</v>
      </c>
      <c r="T1397" s="405" t="s">
        <v>884</v>
      </c>
      <c r="U1397" s="405" t="s">
        <v>319</v>
      </c>
    </row>
    <row r="1398" spans="1:21" x14ac:dyDescent="0.25">
      <c r="A1398" s="405" t="s">
        <v>310</v>
      </c>
      <c r="B1398" s="405" t="s">
        <v>17034</v>
      </c>
      <c r="C1398" s="405" t="s">
        <v>327</v>
      </c>
      <c r="D1398" s="405"/>
      <c r="E1398" s="410">
        <v>43736</v>
      </c>
      <c r="F1398" s="410">
        <v>43760</v>
      </c>
      <c r="G1398" s="405" t="s">
        <v>17035</v>
      </c>
      <c r="H1398" s="405">
        <v>700241104</v>
      </c>
      <c r="I1398" s="405"/>
      <c r="J1398" s="405" t="s">
        <v>7420</v>
      </c>
      <c r="K1398" s="405">
        <v>31.835087999999999</v>
      </c>
      <c r="L1398" s="405" t="s">
        <v>6866</v>
      </c>
      <c r="M1398" s="405" t="s">
        <v>5411</v>
      </c>
      <c r="N1398" s="405" t="s">
        <v>13715</v>
      </c>
      <c r="O1398" s="405" t="s">
        <v>10881</v>
      </c>
      <c r="P1398" s="405" t="s">
        <v>16627</v>
      </c>
      <c r="Q1398" s="411">
        <v>4</v>
      </c>
      <c r="R1398" s="405" t="s">
        <v>32164</v>
      </c>
      <c r="S1398" s="405" t="s">
        <v>6822</v>
      </c>
      <c r="T1398" s="405" t="s">
        <v>884</v>
      </c>
      <c r="U1398" s="405" t="s">
        <v>319</v>
      </c>
    </row>
    <row r="1399" spans="1:21" x14ac:dyDescent="0.25">
      <c r="A1399" s="405" t="s">
        <v>310</v>
      </c>
      <c r="B1399" s="405" t="s">
        <v>17562</v>
      </c>
      <c r="C1399" s="405" t="s">
        <v>311</v>
      </c>
      <c r="D1399" s="405" t="s">
        <v>8702</v>
      </c>
      <c r="E1399" s="410">
        <v>43736</v>
      </c>
      <c r="F1399" s="410">
        <v>43753</v>
      </c>
      <c r="G1399" s="405" t="s">
        <v>17563</v>
      </c>
      <c r="H1399" s="405">
        <v>782127683</v>
      </c>
      <c r="I1399" s="405"/>
      <c r="J1399" s="405">
        <v>1.5152222</v>
      </c>
      <c r="K1399" s="405">
        <v>33.431999990000001</v>
      </c>
      <c r="L1399" s="405" t="s">
        <v>16357</v>
      </c>
      <c r="M1399" s="405" t="s">
        <v>10495</v>
      </c>
      <c r="N1399" s="405" t="s">
        <v>10495</v>
      </c>
      <c r="O1399" s="405" t="s">
        <v>11255</v>
      </c>
      <c r="P1399" s="405" t="s">
        <v>17517</v>
      </c>
      <c r="Q1399" s="411">
        <v>4</v>
      </c>
      <c r="R1399" s="405" t="s">
        <v>5655</v>
      </c>
      <c r="S1399" s="405" t="s">
        <v>27357</v>
      </c>
      <c r="T1399" s="405" t="s">
        <v>884</v>
      </c>
      <c r="U1399" s="405" t="s">
        <v>319</v>
      </c>
    </row>
    <row r="1400" spans="1:21" x14ac:dyDescent="0.25">
      <c r="A1400" s="405" t="s">
        <v>310</v>
      </c>
      <c r="B1400" s="405" t="s">
        <v>25497</v>
      </c>
      <c r="C1400" s="405" t="s">
        <v>327</v>
      </c>
      <c r="D1400" s="405"/>
      <c r="E1400" s="410">
        <v>43735</v>
      </c>
      <c r="F1400" s="410">
        <v>43765</v>
      </c>
      <c r="G1400" s="405" t="s">
        <v>25498</v>
      </c>
      <c r="H1400" s="405">
        <v>782340052</v>
      </c>
      <c r="I1400" s="405"/>
      <c r="J1400" s="405">
        <v>-6.2802999999999998E-2</v>
      </c>
      <c r="K1400" s="405">
        <v>29.834150000000001</v>
      </c>
      <c r="L1400" s="405" t="s">
        <v>590</v>
      </c>
      <c r="M1400" s="405" t="s">
        <v>20808</v>
      </c>
      <c r="N1400" s="405" t="s">
        <v>25172</v>
      </c>
      <c r="O1400" s="405" t="s">
        <v>20560</v>
      </c>
      <c r="P1400" s="405" t="s">
        <v>25499</v>
      </c>
      <c r="Q1400" s="411">
        <v>9</v>
      </c>
      <c r="R1400" s="405" t="s">
        <v>6572</v>
      </c>
      <c r="S1400" s="405" t="s">
        <v>27439</v>
      </c>
      <c r="T1400" s="405" t="s">
        <v>884</v>
      </c>
      <c r="U1400" s="405" t="s">
        <v>319</v>
      </c>
    </row>
    <row r="1401" spans="1:21" x14ac:dyDescent="0.25">
      <c r="A1401" s="405" t="s">
        <v>310</v>
      </c>
      <c r="B1401" s="405" t="s">
        <v>25519</v>
      </c>
      <c r="C1401" s="405" t="s">
        <v>327</v>
      </c>
      <c r="D1401" s="405"/>
      <c r="E1401" s="410">
        <v>43735</v>
      </c>
      <c r="F1401" s="410">
        <v>43754</v>
      </c>
      <c r="G1401" s="405" t="s">
        <v>25520</v>
      </c>
      <c r="H1401" s="405">
        <v>779090307</v>
      </c>
      <c r="I1401" s="405"/>
      <c r="J1401" s="405">
        <v>-0.58928800000000003</v>
      </c>
      <c r="K1401" s="405">
        <v>30.239429999999999</v>
      </c>
      <c r="L1401" s="405" t="s">
        <v>590</v>
      </c>
      <c r="M1401" s="405" t="s">
        <v>19625</v>
      </c>
      <c r="N1401" s="405" t="s">
        <v>25521</v>
      </c>
      <c r="O1401" s="405" t="s">
        <v>25254</v>
      </c>
      <c r="P1401" s="405" t="s">
        <v>25522</v>
      </c>
      <c r="Q1401" s="411">
        <v>9</v>
      </c>
      <c r="R1401" s="405" t="s">
        <v>32166</v>
      </c>
      <c r="S1401" s="405" t="s">
        <v>27102</v>
      </c>
      <c r="T1401" s="405" t="s">
        <v>884</v>
      </c>
      <c r="U1401" s="405" t="s">
        <v>319</v>
      </c>
    </row>
    <row r="1402" spans="1:21" x14ac:dyDescent="0.25">
      <c r="A1402" s="405" t="s">
        <v>310</v>
      </c>
      <c r="B1402" s="405" t="s">
        <v>25730</v>
      </c>
      <c r="C1402" s="405" t="s">
        <v>311</v>
      </c>
      <c r="D1402" s="405" t="s">
        <v>839</v>
      </c>
      <c r="E1402" s="410">
        <v>43735</v>
      </c>
      <c r="F1402" s="410">
        <v>43748</v>
      </c>
      <c r="G1402" s="405" t="s">
        <v>25731</v>
      </c>
      <c r="H1402" s="405">
        <v>782777422</v>
      </c>
      <c r="I1402" s="405"/>
      <c r="J1402" s="405">
        <v>1.3524529999999999</v>
      </c>
      <c r="K1402" s="405">
        <v>34.467911999999998</v>
      </c>
      <c r="L1402" s="405" t="s">
        <v>590</v>
      </c>
      <c r="M1402" s="405" t="s">
        <v>20808</v>
      </c>
      <c r="N1402" s="405" t="s">
        <v>25172</v>
      </c>
      <c r="O1402" s="405" t="s">
        <v>20560</v>
      </c>
      <c r="P1402" s="405" t="s">
        <v>19915</v>
      </c>
      <c r="Q1402" s="411">
        <v>9</v>
      </c>
      <c r="R1402" s="405" t="s">
        <v>6572</v>
      </c>
      <c r="S1402" s="405" t="s">
        <v>27301</v>
      </c>
      <c r="T1402" s="405" t="s">
        <v>884</v>
      </c>
      <c r="U1402" s="405" t="s">
        <v>319</v>
      </c>
    </row>
    <row r="1403" spans="1:21" x14ac:dyDescent="0.25">
      <c r="A1403" s="405" t="s">
        <v>310</v>
      </c>
      <c r="B1403" s="405" t="s">
        <v>25508</v>
      </c>
      <c r="C1403" s="405" t="s">
        <v>327</v>
      </c>
      <c r="D1403" s="405"/>
      <c r="E1403" s="410">
        <v>43735</v>
      </c>
      <c r="F1403" s="410">
        <v>43765</v>
      </c>
      <c r="G1403" s="405" t="s">
        <v>25509</v>
      </c>
      <c r="H1403" s="405">
        <v>774277322</v>
      </c>
      <c r="I1403" s="405"/>
      <c r="J1403" s="405">
        <v>0.52878499999999995</v>
      </c>
      <c r="K1403" s="405">
        <v>33.384937000000001</v>
      </c>
      <c r="L1403" s="405" t="s">
        <v>590</v>
      </c>
      <c r="M1403" s="405" t="s">
        <v>20808</v>
      </c>
      <c r="N1403" s="405" t="s">
        <v>25172</v>
      </c>
      <c r="O1403" s="405" t="s">
        <v>20560</v>
      </c>
      <c r="P1403" s="405" t="s">
        <v>24925</v>
      </c>
      <c r="Q1403" s="411">
        <v>6</v>
      </c>
      <c r="R1403" s="405" t="s">
        <v>6572</v>
      </c>
      <c r="S1403" s="405" t="s">
        <v>27442</v>
      </c>
      <c r="T1403" s="405" t="s">
        <v>884</v>
      </c>
      <c r="U1403" s="405" t="s">
        <v>319</v>
      </c>
    </row>
    <row r="1404" spans="1:21" x14ac:dyDescent="0.25">
      <c r="A1404" s="405" t="s">
        <v>310</v>
      </c>
      <c r="B1404" s="405" t="s">
        <v>7783</v>
      </c>
      <c r="C1404" s="405" t="s">
        <v>327</v>
      </c>
      <c r="D1404" s="405"/>
      <c r="E1404" s="410">
        <v>43735</v>
      </c>
      <c r="F1404" s="410">
        <v>43750</v>
      </c>
      <c r="G1404" s="405" t="s">
        <v>7784</v>
      </c>
      <c r="H1404" s="405">
        <v>772304417</v>
      </c>
      <c r="I1404" s="405"/>
      <c r="J1404" s="405">
        <v>-0.23760999999999999</v>
      </c>
      <c r="K1404" s="405">
        <v>31.763534</v>
      </c>
      <c r="L1404" s="405" t="s">
        <v>314</v>
      </c>
      <c r="M1404" s="405" t="s">
        <v>959</v>
      </c>
      <c r="N1404" s="405" t="s">
        <v>1094</v>
      </c>
      <c r="O1404" s="405" t="s">
        <v>1094</v>
      </c>
      <c r="P1404" s="405" t="s">
        <v>7785</v>
      </c>
      <c r="Q1404" s="411">
        <v>6</v>
      </c>
      <c r="R1404" s="405" t="s">
        <v>32157</v>
      </c>
      <c r="S1404" s="405" t="s">
        <v>27045</v>
      </c>
      <c r="T1404" s="405" t="s">
        <v>884</v>
      </c>
      <c r="U1404" s="405" t="s">
        <v>319</v>
      </c>
    </row>
    <row r="1405" spans="1:21" x14ac:dyDescent="0.25">
      <c r="A1405" s="405" t="s">
        <v>310</v>
      </c>
      <c r="B1405" s="405" t="s">
        <v>25491</v>
      </c>
      <c r="C1405" s="405" t="s">
        <v>327</v>
      </c>
      <c r="D1405" s="405"/>
      <c r="E1405" s="410">
        <v>43734</v>
      </c>
      <c r="F1405" s="410">
        <v>43741</v>
      </c>
      <c r="G1405" s="405" t="s">
        <v>25492</v>
      </c>
      <c r="H1405" s="405">
        <v>7820883671</v>
      </c>
      <c r="I1405" s="405"/>
      <c r="J1405" s="405">
        <v>-9.6900000000000007E-3</v>
      </c>
      <c r="K1405" s="405">
        <v>30.497620000000001</v>
      </c>
      <c r="L1405" s="405" t="s">
        <v>590</v>
      </c>
      <c r="M1405" s="405" t="s">
        <v>870</v>
      </c>
      <c r="N1405" s="405" t="s">
        <v>19755</v>
      </c>
      <c r="O1405" s="405" t="s">
        <v>872</v>
      </c>
      <c r="P1405" s="405" t="s">
        <v>25493</v>
      </c>
      <c r="Q1405" s="411">
        <v>9</v>
      </c>
      <c r="R1405" s="405" t="s">
        <v>874</v>
      </c>
      <c r="S1405" s="405" t="s">
        <v>27405</v>
      </c>
      <c r="T1405" s="405" t="s">
        <v>884</v>
      </c>
      <c r="U1405" s="405" t="s">
        <v>319</v>
      </c>
    </row>
    <row r="1406" spans="1:21" x14ac:dyDescent="0.25">
      <c r="A1406" s="405" t="s">
        <v>310</v>
      </c>
      <c r="B1406" s="405" t="s">
        <v>7818</v>
      </c>
      <c r="C1406" s="405" t="s">
        <v>327</v>
      </c>
      <c r="D1406" s="405"/>
      <c r="E1406" s="410">
        <v>43733</v>
      </c>
      <c r="F1406" s="410">
        <v>43749</v>
      </c>
      <c r="G1406" s="405" t="s">
        <v>7819</v>
      </c>
      <c r="H1406" s="405">
        <v>706252531</v>
      </c>
      <c r="I1406" s="405"/>
      <c r="J1406" s="405">
        <v>-0.25717699999999999</v>
      </c>
      <c r="K1406" s="405">
        <v>31.819427999999998</v>
      </c>
      <c r="L1406" s="405" t="s">
        <v>314</v>
      </c>
      <c r="M1406" s="405" t="s">
        <v>361</v>
      </c>
      <c r="N1406" s="405" t="s">
        <v>6357</v>
      </c>
      <c r="O1406" s="405" t="s">
        <v>638</v>
      </c>
      <c r="P1406" s="405" t="s">
        <v>639</v>
      </c>
      <c r="Q1406" s="411">
        <v>9</v>
      </c>
      <c r="R1406" s="405" t="s">
        <v>4176</v>
      </c>
      <c r="S1406" s="405" t="s">
        <v>27059</v>
      </c>
      <c r="T1406" s="405" t="s">
        <v>32102</v>
      </c>
      <c r="U1406" s="405" t="s">
        <v>319</v>
      </c>
    </row>
    <row r="1407" spans="1:21" x14ac:dyDescent="0.25">
      <c r="A1407" s="405" t="s">
        <v>310</v>
      </c>
      <c r="B1407" s="405" t="s">
        <v>7756</v>
      </c>
      <c r="C1407" s="405" t="s">
        <v>327</v>
      </c>
      <c r="D1407" s="405"/>
      <c r="E1407" s="410">
        <v>43733</v>
      </c>
      <c r="F1407" s="410">
        <v>43748</v>
      </c>
      <c r="G1407" s="405" t="s">
        <v>7757</v>
      </c>
      <c r="H1407" s="405">
        <v>782764953</v>
      </c>
      <c r="I1407" s="405"/>
      <c r="J1407" s="405">
        <v>0.3659</v>
      </c>
      <c r="K1407" s="405">
        <v>31.334</v>
      </c>
      <c r="L1407" s="405" t="s">
        <v>314</v>
      </c>
      <c r="M1407" s="405" t="s">
        <v>399</v>
      </c>
      <c r="N1407" s="405" t="s">
        <v>399</v>
      </c>
      <c r="O1407" s="405" t="s">
        <v>1563</v>
      </c>
      <c r="P1407" s="405" t="s">
        <v>7374</v>
      </c>
      <c r="Q1407" s="411">
        <v>9</v>
      </c>
      <c r="R1407" s="405" t="s">
        <v>32101</v>
      </c>
      <c r="S1407" s="405" t="s">
        <v>27046</v>
      </c>
      <c r="T1407" s="405" t="s">
        <v>884</v>
      </c>
      <c r="U1407" s="405" t="s">
        <v>319</v>
      </c>
    </row>
    <row r="1408" spans="1:21" x14ac:dyDescent="0.25">
      <c r="A1408" s="405" t="s">
        <v>310</v>
      </c>
      <c r="B1408" s="405" t="s">
        <v>17560</v>
      </c>
      <c r="C1408" s="405" t="s">
        <v>857</v>
      </c>
      <c r="D1408" s="405" t="s">
        <v>1037</v>
      </c>
      <c r="E1408" s="410">
        <v>43733</v>
      </c>
      <c r="F1408" s="410">
        <v>43749</v>
      </c>
      <c r="G1408" s="405" t="s">
        <v>17561</v>
      </c>
      <c r="H1408" s="405">
        <v>793511841</v>
      </c>
      <c r="I1408" s="405"/>
      <c r="J1408" s="405">
        <v>1.6126670000000001</v>
      </c>
      <c r="K1408" s="405">
        <v>33.415272000000002</v>
      </c>
      <c r="L1408" s="405" t="s">
        <v>6866</v>
      </c>
      <c r="M1408" s="405" t="s">
        <v>9658</v>
      </c>
      <c r="N1408" s="405" t="s">
        <v>14307</v>
      </c>
      <c r="O1408" s="405" t="s">
        <v>9658</v>
      </c>
      <c r="P1408" s="405" t="s">
        <v>13069</v>
      </c>
      <c r="Q1408" s="411">
        <v>4</v>
      </c>
      <c r="R1408" s="405" t="s">
        <v>5655</v>
      </c>
      <c r="S1408" s="405" t="s">
        <v>27289</v>
      </c>
      <c r="T1408" s="405" t="s">
        <v>884</v>
      </c>
      <c r="U1408" s="405" t="s">
        <v>319</v>
      </c>
    </row>
    <row r="1409" spans="1:21" x14ac:dyDescent="0.25">
      <c r="A1409" s="405" t="s">
        <v>310</v>
      </c>
      <c r="B1409" s="405" t="s">
        <v>25504</v>
      </c>
      <c r="C1409" s="405" t="s">
        <v>327</v>
      </c>
      <c r="D1409" s="405"/>
      <c r="E1409" s="410">
        <v>43732</v>
      </c>
      <c r="F1409" s="410">
        <v>43762</v>
      </c>
      <c r="G1409" s="405" t="s">
        <v>25505</v>
      </c>
      <c r="H1409" s="405">
        <v>772321966</v>
      </c>
      <c r="I1409" s="405"/>
      <c r="J1409" s="405">
        <v>-0.78835699999999997</v>
      </c>
      <c r="K1409" s="405">
        <v>29.714576999999998</v>
      </c>
      <c r="L1409" s="405" t="s">
        <v>590</v>
      </c>
      <c r="M1409" s="405" t="s">
        <v>20808</v>
      </c>
      <c r="N1409" s="405" t="s">
        <v>25506</v>
      </c>
      <c r="O1409" s="405" t="s">
        <v>25502</v>
      </c>
      <c r="P1409" s="405" t="s">
        <v>25507</v>
      </c>
      <c r="Q1409" s="411">
        <v>6</v>
      </c>
      <c r="R1409" s="405" t="s">
        <v>6572</v>
      </c>
      <c r="S1409" s="405" t="s">
        <v>27181</v>
      </c>
      <c r="T1409" s="405" t="s">
        <v>884</v>
      </c>
      <c r="U1409" s="405" t="s">
        <v>319</v>
      </c>
    </row>
    <row r="1410" spans="1:21" x14ac:dyDescent="0.25">
      <c r="A1410" s="405" t="s">
        <v>310</v>
      </c>
      <c r="B1410" s="405" t="s">
        <v>25494</v>
      </c>
      <c r="C1410" s="405" t="s">
        <v>327</v>
      </c>
      <c r="D1410" s="405"/>
      <c r="E1410" s="410">
        <v>43730</v>
      </c>
      <c r="F1410" s="410">
        <v>43748</v>
      </c>
      <c r="G1410" s="405" t="s">
        <v>25495</v>
      </c>
      <c r="H1410" s="405">
        <v>782352660</v>
      </c>
      <c r="I1410" s="405"/>
      <c r="J1410" s="405">
        <v>-0.81925700000000001</v>
      </c>
      <c r="K1410" s="405">
        <v>29.780390000000001</v>
      </c>
      <c r="L1410" s="405" t="s">
        <v>590</v>
      </c>
      <c r="M1410" s="405" t="s">
        <v>20808</v>
      </c>
      <c r="N1410" s="405" t="s">
        <v>23390</v>
      </c>
      <c r="O1410" s="405" t="s">
        <v>25496</v>
      </c>
      <c r="P1410" s="405" t="s">
        <v>20763</v>
      </c>
      <c r="Q1410" s="411">
        <v>6</v>
      </c>
      <c r="R1410" s="405" t="s">
        <v>6572</v>
      </c>
      <c r="S1410" s="405" t="s">
        <v>27280</v>
      </c>
      <c r="T1410" s="405" t="s">
        <v>884</v>
      </c>
      <c r="U1410" s="405" t="s">
        <v>319</v>
      </c>
    </row>
    <row r="1411" spans="1:21" x14ac:dyDescent="0.25">
      <c r="A1411" s="405" t="s">
        <v>310</v>
      </c>
      <c r="B1411" s="405" t="s">
        <v>17065</v>
      </c>
      <c r="C1411" s="405" t="s">
        <v>327</v>
      </c>
      <c r="D1411" s="405"/>
      <c r="E1411" s="410">
        <v>43730</v>
      </c>
      <c r="F1411" s="410">
        <v>43774</v>
      </c>
      <c r="G1411" s="405" t="s">
        <v>17066</v>
      </c>
      <c r="H1411" s="405">
        <v>779762001</v>
      </c>
      <c r="I1411" s="405">
        <v>779460197</v>
      </c>
      <c r="J1411" s="405" t="s">
        <v>7334</v>
      </c>
      <c r="K1411" s="405">
        <v>34.189390000000003</v>
      </c>
      <c r="L1411" s="405" t="s">
        <v>6866</v>
      </c>
      <c r="M1411" s="405" t="s">
        <v>9534</v>
      </c>
      <c r="N1411" s="405" t="s">
        <v>17067</v>
      </c>
      <c r="O1411" s="405" t="s">
        <v>3870</v>
      </c>
      <c r="P1411" s="405" t="s">
        <v>17068</v>
      </c>
      <c r="Q1411" s="411">
        <v>4</v>
      </c>
      <c r="R1411" s="405" t="s">
        <v>7224</v>
      </c>
      <c r="S1411" s="405" t="s">
        <v>27367</v>
      </c>
      <c r="T1411" s="405" t="s">
        <v>884</v>
      </c>
      <c r="U1411" s="405" t="s">
        <v>319</v>
      </c>
    </row>
    <row r="1412" spans="1:21" x14ac:dyDescent="0.25">
      <c r="A1412" s="405" t="s">
        <v>310</v>
      </c>
      <c r="B1412" s="405" t="s">
        <v>7752</v>
      </c>
      <c r="C1412" s="405" t="s">
        <v>327</v>
      </c>
      <c r="D1412" s="405"/>
      <c r="E1412" s="410">
        <v>43729</v>
      </c>
      <c r="F1412" s="410">
        <v>43744</v>
      </c>
      <c r="G1412" s="405" t="s">
        <v>7753</v>
      </c>
      <c r="H1412" s="405">
        <v>758437456</v>
      </c>
      <c r="I1412" s="405"/>
      <c r="J1412" s="405">
        <v>0.56961200000000001</v>
      </c>
      <c r="K1412" s="405">
        <v>32.599207999999997</v>
      </c>
      <c r="L1412" s="405" t="s">
        <v>314</v>
      </c>
      <c r="M1412" s="405" t="s">
        <v>361</v>
      </c>
      <c r="N1412" s="405" t="s">
        <v>2921</v>
      </c>
      <c r="O1412" s="405" t="s">
        <v>3606</v>
      </c>
      <c r="P1412" s="405" t="s">
        <v>3168</v>
      </c>
      <c r="Q1412" s="411">
        <v>6</v>
      </c>
      <c r="R1412" s="405" t="s">
        <v>32101</v>
      </c>
      <c r="S1412" s="405" t="s">
        <v>27042</v>
      </c>
      <c r="T1412" s="405" t="s">
        <v>884</v>
      </c>
      <c r="U1412" s="405" t="s">
        <v>319</v>
      </c>
    </row>
    <row r="1413" spans="1:21" x14ac:dyDescent="0.25">
      <c r="A1413" s="405" t="s">
        <v>310</v>
      </c>
      <c r="B1413" s="413" t="s">
        <v>8362</v>
      </c>
      <c r="C1413" s="413" t="s">
        <v>311</v>
      </c>
      <c r="D1413" s="419" t="s">
        <v>32464</v>
      </c>
      <c r="E1413" s="418">
        <v>43728</v>
      </c>
      <c r="F1413" s="418">
        <v>43743</v>
      </c>
      <c r="G1413" s="413" t="s">
        <v>8363</v>
      </c>
      <c r="H1413" s="405">
        <v>772760036</v>
      </c>
      <c r="I1413" s="405">
        <v>782424026</v>
      </c>
      <c r="J1413" s="405">
        <v>-0.25717699999999999</v>
      </c>
      <c r="K1413" s="405">
        <v>31.819427999999998</v>
      </c>
      <c r="L1413" s="405" t="s">
        <v>314</v>
      </c>
      <c r="M1413" s="405" t="s">
        <v>399</v>
      </c>
      <c r="N1413" s="405" t="s">
        <v>399</v>
      </c>
      <c r="O1413" s="405" t="s">
        <v>2493</v>
      </c>
      <c r="P1413" s="405" t="s">
        <v>1851</v>
      </c>
      <c r="Q1413" s="411">
        <v>13</v>
      </c>
      <c r="R1413" s="405" t="s">
        <v>32101</v>
      </c>
      <c r="S1413" s="405" t="s">
        <v>27047</v>
      </c>
      <c r="T1413" s="405" t="s">
        <v>884</v>
      </c>
      <c r="U1413" s="405" t="s">
        <v>319</v>
      </c>
    </row>
    <row r="1414" spans="1:21" x14ac:dyDescent="0.25">
      <c r="A1414" s="405" t="s">
        <v>310</v>
      </c>
      <c r="B1414" s="405" t="s">
        <v>7775</v>
      </c>
      <c r="C1414" s="405" t="s">
        <v>327</v>
      </c>
      <c r="D1414" s="405"/>
      <c r="E1414" s="410">
        <v>43728</v>
      </c>
      <c r="F1414" s="410">
        <v>43743</v>
      </c>
      <c r="G1414" s="405" t="s">
        <v>7776</v>
      </c>
      <c r="H1414" s="405">
        <v>779325647</v>
      </c>
      <c r="I1414" s="405"/>
      <c r="J1414" s="405">
        <v>0.36676700000000001</v>
      </c>
      <c r="K1414" s="405">
        <v>32.946052999999999</v>
      </c>
      <c r="L1414" s="405" t="s">
        <v>314</v>
      </c>
      <c r="M1414" s="405" t="s">
        <v>349</v>
      </c>
      <c r="N1414" s="405" t="s">
        <v>1113</v>
      </c>
      <c r="O1414" s="405" t="s">
        <v>1113</v>
      </c>
      <c r="P1414" s="405" t="s">
        <v>7777</v>
      </c>
      <c r="Q1414" s="411">
        <v>13</v>
      </c>
      <c r="R1414" s="405" t="s">
        <v>32157</v>
      </c>
      <c r="S1414" s="405" t="s">
        <v>27045</v>
      </c>
      <c r="T1414" s="405" t="s">
        <v>32102</v>
      </c>
      <c r="U1414" s="405" t="s">
        <v>319</v>
      </c>
    </row>
    <row r="1415" spans="1:21" x14ac:dyDescent="0.25">
      <c r="A1415" s="405" t="s">
        <v>310</v>
      </c>
      <c r="B1415" s="405" t="s">
        <v>7737</v>
      </c>
      <c r="C1415" s="405" t="s">
        <v>327</v>
      </c>
      <c r="D1415" s="405"/>
      <c r="E1415" s="410">
        <v>43728</v>
      </c>
      <c r="F1415" s="410">
        <v>43743</v>
      </c>
      <c r="G1415" s="405" t="s">
        <v>7738</v>
      </c>
      <c r="H1415" s="405">
        <v>752465991</v>
      </c>
      <c r="I1415" s="405"/>
      <c r="J1415" s="405">
        <v>-0.20297699999999999</v>
      </c>
      <c r="K1415" s="405">
        <v>31.401150000000001</v>
      </c>
      <c r="L1415" s="405" t="s">
        <v>314</v>
      </c>
      <c r="M1415" s="405" t="s">
        <v>339</v>
      </c>
      <c r="N1415" s="405" t="s">
        <v>339</v>
      </c>
      <c r="O1415" s="405" t="s">
        <v>1662</v>
      </c>
      <c r="P1415" s="405" t="s">
        <v>7739</v>
      </c>
      <c r="Q1415" s="411">
        <v>13</v>
      </c>
      <c r="R1415" s="405" t="s">
        <v>32101</v>
      </c>
      <c r="S1415" s="405" t="s">
        <v>27273</v>
      </c>
      <c r="T1415" s="405" t="s">
        <v>884</v>
      </c>
      <c r="U1415" s="405" t="s">
        <v>319</v>
      </c>
    </row>
    <row r="1416" spans="1:21" x14ac:dyDescent="0.25">
      <c r="A1416" s="405" t="s">
        <v>310</v>
      </c>
      <c r="B1416" s="405" t="s">
        <v>25338</v>
      </c>
      <c r="C1416" s="405" t="s">
        <v>327</v>
      </c>
      <c r="D1416" s="405"/>
      <c r="E1416" s="410">
        <v>43728</v>
      </c>
      <c r="F1416" s="410">
        <v>43738</v>
      </c>
      <c r="G1416" s="405" t="s">
        <v>25339</v>
      </c>
      <c r="H1416" s="405">
        <v>772610110</v>
      </c>
      <c r="I1416" s="405"/>
      <c r="J1416" s="405">
        <v>-0.51753199999999999</v>
      </c>
      <c r="K1416" s="405">
        <v>30.224492999999999</v>
      </c>
      <c r="L1416" s="405" t="s">
        <v>590</v>
      </c>
      <c r="M1416" s="405" t="s">
        <v>19625</v>
      </c>
      <c r="N1416" s="405" t="s">
        <v>19642</v>
      </c>
      <c r="O1416" s="405" t="s">
        <v>19950</v>
      </c>
      <c r="P1416" s="405" t="s">
        <v>25340</v>
      </c>
      <c r="Q1416" s="411">
        <v>13</v>
      </c>
      <c r="R1416" s="405" t="s">
        <v>883</v>
      </c>
      <c r="S1416" s="405" t="s">
        <v>27097</v>
      </c>
      <c r="T1416" s="405" t="s">
        <v>32746</v>
      </c>
      <c r="U1416" s="405" t="s">
        <v>2267</v>
      </c>
    </row>
    <row r="1417" spans="1:21" x14ac:dyDescent="0.25">
      <c r="A1417" s="405" t="s">
        <v>310</v>
      </c>
      <c r="B1417" s="405" t="s">
        <v>25461</v>
      </c>
      <c r="C1417" s="405" t="s">
        <v>327</v>
      </c>
      <c r="D1417" s="405"/>
      <c r="E1417" s="410">
        <v>43728</v>
      </c>
      <c r="F1417" s="410">
        <v>43738</v>
      </c>
      <c r="G1417" s="405" t="s">
        <v>25462</v>
      </c>
      <c r="H1417" s="405">
        <v>772645785</v>
      </c>
      <c r="I1417" s="405"/>
      <c r="J1417" s="405">
        <v>-0.25717699999999999</v>
      </c>
      <c r="K1417" s="405">
        <v>31.819427999999998</v>
      </c>
      <c r="L1417" s="405" t="s">
        <v>590</v>
      </c>
      <c r="M1417" s="405" t="s">
        <v>20125</v>
      </c>
      <c r="N1417" s="405" t="s">
        <v>24863</v>
      </c>
      <c r="O1417" s="405" t="s">
        <v>20135</v>
      </c>
      <c r="P1417" s="405" t="s">
        <v>20849</v>
      </c>
      <c r="Q1417" s="411">
        <v>9</v>
      </c>
      <c r="R1417" s="405" t="s">
        <v>6013</v>
      </c>
      <c r="S1417" s="405" t="s">
        <v>27446</v>
      </c>
      <c r="T1417" s="405" t="s">
        <v>32102</v>
      </c>
      <c r="U1417" s="405" t="s">
        <v>319</v>
      </c>
    </row>
    <row r="1418" spans="1:21" x14ac:dyDescent="0.25">
      <c r="A1418" s="405" t="s">
        <v>310</v>
      </c>
      <c r="B1418" s="405" t="s">
        <v>25346</v>
      </c>
      <c r="C1418" s="405" t="s">
        <v>327</v>
      </c>
      <c r="D1418" s="405"/>
      <c r="E1418" s="410">
        <v>43728</v>
      </c>
      <c r="F1418" s="410">
        <v>43738</v>
      </c>
      <c r="G1418" s="405" t="s">
        <v>25347</v>
      </c>
      <c r="H1418" s="405">
        <v>752540039</v>
      </c>
      <c r="I1418" s="405"/>
      <c r="J1418" s="405">
        <v>-0.21068500000000001</v>
      </c>
      <c r="K1418" s="405">
        <v>30.940657000000002</v>
      </c>
      <c r="L1418" s="405" t="s">
        <v>590</v>
      </c>
      <c r="M1418" s="405" t="s">
        <v>19705</v>
      </c>
      <c r="N1418" s="405" t="s">
        <v>19706</v>
      </c>
      <c r="O1418" s="405" t="s">
        <v>25348</v>
      </c>
      <c r="P1418" s="405" t="s">
        <v>4156</v>
      </c>
      <c r="Q1418" s="411">
        <v>9</v>
      </c>
      <c r="R1418" s="405" t="s">
        <v>874</v>
      </c>
      <c r="S1418" s="405" t="s">
        <v>27405</v>
      </c>
      <c r="T1418" s="405" t="s">
        <v>32746</v>
      </c>
      <c r="U1418" s="405" t="s">
        <v>2267</v>
      </c>
    </row>
    <row r="1419" spans="1:21" x14ac:dyDescent="0.25">
      <c r="A1419" s="405" t="s">
        <v>310</v>
      </c>
      <c r="B1419" s="405" t="s">
        <v>25762</v>
      </c>
      <c r="C1419" s="405" t="s">
        <v>327</v>
      </c>
      <c r="D1419" s="405"/>
      <c r="E1419" s="410">
        <v>43728</v>
      </c>
      <c r="F1419" s="410">
        <v>43821</v>
      </c>
      <c r="G1419" s="405" t="s">
        <v>25763</v>
      </c>
      <c r="H1419" s="405">
        <v>784668647</v>
      </c>
      <c r="I1419" s="405"/>
      <c r="J1419" s="405">
        <v>1.9376899999999999</v>
      </c>
      <c r="K1419" s="405">
        <v>33.330257000000003</v>
      </c>
      <c r="L1419" s="405" t="s">
        <v>590</v>
      </c>
      <c r="M1419" s="405" t="s">
        <v>20070</v>
      </c>
      <c r="N1419" s="405" t="s">
        <v>20076</v>
      </c>
      <c r="O1419" s="405" t="s">
        <v>25208</v>
      </c>
      <c r="P1419" s="405" t="s">
        <v>25209</v>
      </c>
      <c r="Q1419" s="411">
        <v>6</v>
      </c>
      <c r="R1419" s="405" t="s">
        <v>24106</v>
      </c>
      <c r="S1419" s="405" t="s">
        <v>27438</v>
      </c>
      <c r="T1419" s="405" t="s">
        <v>32746</v>
      </c>
      <c r="U1419" s="405" t="s">
        <v>2267</v>
      </c>
    </row>
    <row r="1420" spans="1:21" x14ac:dyDescent="0.25">
      <c r="A1420" s="405" t="s">
        <v>310</v>
      </c>
      <c r="B1420" s="405" t="s">
        <v>16938</v>
      </c>
      <c r="C1420" s="405" t="s">
        <v>327</v>
      </c>
      <c r="D1420" s="405"/>
      <c r="E1420" s="410">
        <v>43728</v>
      </c>
      <c r="F1420" s="410">
        <v>43738</v>
      </c>
      <c r="G1420" s="405" t="s">
        <v>16939</v>
      </c>
      <c r="H1420" s="405">
        <v>785696343</v>
      </c>
      <c r="I1420" s="405"/>
      <c r="J1420" s="405">
        <v>1.3524529999999999</v>
      </c>
      <c r="K1420" s="405">
        <v>34.467911999999998</v>
      </c>
      <c r="L1420" s="405" t="s">
        <v>6866</v>
      </c>
      <c r="M1420" s="405" t="s">
        <v>9763</v>
      </c>
      <c r="N1420" s="405" t="s">
        <v>9848</v>
      </c>
      <c r="O1420" s="405" t="s">
        <v>9792</v>
      </c>
      <c r="P1420" s="405" t="s">
        <v>12122</v>
      </c>
      <c r="Q1420" s="411">
        <v>6</v>
      </c>
      <c r="R1420" s="405" t="s">
        <v>7224</v>
      </c>
      <c r="S1420" s="405" t="s">
        <v>27067</v>
      </c>
      <c r="T1420" s="405" t="s">
        <v>884</v>
      </c>
      <c r="U1420" s="405" t="s">
        <v>319</v>
      </c>
    </row>
    <row r="1421" spans="1:21" x14ac:dyDescent="0.25">
      <c r="A1421" s="405" t="s">
        <v>310</v>
      </c>
      <c r="B1421" s="405" t="s">
        <v>7708</v>
      </c>
      <c r="C1421" s="405" t="s">
        <v>327</v>
      </c>
      <c r="D1421" s="405"/>
      <c r="E1421" s="410">
        <v>43728</v>
      </c>
      <c r="F1421" s="410">
        <v>43732</v>
      </c>
      <c r="G1421" s="405" t="s">
        <v>7709</v>
      </c>
      <c r="H1421" s="405">
        <v>772888213</v>
      </c>
      <c r="I1421" s="405"/>
      <c r="J1421" s="405">
        <v>0.37635200000000002</v>
      </c>
      <c r="K1421" s="405">
        <v>32.720008</v>
      </c>
      <c r="L1421" s="405" t="s">
        <v>314</v>
      </c>
      <c r="M1421" s="405" t="s">
        <v>329</v>
      </c>
      <c r="N1421" s="405" t="s">
        <v>7710</v>
      </c>
      <c r="O1421" s="405" t="s">
        <v>7710</v>
      </c>
      <c r="P1421" s="405" t="s">
        <v>7711</v>
      </c>
      <c r="Q1421" s="411">
        <v>6</v>
      </c>
      <c r="R1421" s="405" t="s">
        <v>5921</v>
      </c>
      <c r="S1421" s="405" t="s">
        <v>32960</v>
      </c>
      <c r="T1421" s="405" t="s">
        <v>884</v>
      </c>
      <c r="U1421" s="405" t="s">
        <v>319</v>
      </c>
    </row>
    <row r="1422" spans="1:21" x14ac:dyDescent="0.25">
      <c r="A1422" s="405" t="s">
        <v>310</v>
      </c>
      <c r="B1422" s="405" t="s">
        <v>17006</v>
      </c>
      <c r="C1422" s="405" t="s">
        <v>327</v>
      </c>
      <c r="D1422" s="405"/>
      <c r="E1422" s="410">
        <v>43728</v>
      </c>
      <c r="F1422" s="410">
        <v>43748</v>
      </c>
      <c r="G1422" s="405" t="s">
        <v>17007</v>
      </c>
      <c r="H1422" s="405">
        <v>774327313</v>
      </c>
      <c r="I1422" s="405"/>
      <c r="J1422" s="405">
        <v>1.9376899999999999</v>
      </c>
      <c r="K1422" s="405">
        <v>33.330257000000003</v>
      </c>
      <c r="L1422" s="405" t="s">
        <v>6866</v>
      </c>
      <c r="M1422" s="405" t="s">
        <v>9658</v>
      </c>
      <c r="N1422" s="405" t="s">
        <v>11057</v>
      </c>
      <c r="O1422" s="405" t="s">
        <v>13335</v>
      </c>
      <c r="P1422" s="405" t="s">
        <v>13335</v>
      </c>
      <c r="Q1422" s="411">
        <v>4</v>
      </c>
      <c r="R1422" s="405" t="s">
        <v>5655</v>
      </c>
      <c r="S1422" s="405" t="s">
        <v>27353</v>
      </c>
      <c r="T1422" s="405" t="s">
        <v>884</v>
      </c>
      <c r="U1422" s="405" t="s">
        <v>319</v>
      </c>
    </row>
    <row r="1423" spans="1:21" x14ac:dyDescent="0.25">
      <c r="A1423" s="405" t="s">
        <v>310</v>
      </c>
      <c r="B1423" s="405" t="s">
        <v>7715</v>
      </c>
      <c r="C1423" s="405" t="s">
        <v>327</v>
      </c>
      <c r="D1423" s="405"/>
      <c r="E1423" s="410">
        <v>43726</v>
      </c>
      <c r="F1423" s="410">
        <v>43738</v>
      </c>
      <c r="G1423" s="405" t="s">
        <v>7716</v>
      </c>
      <c r="H1423" s="405">
        <v>755387225</v>
      </c>
      <c r="I1423" s="405"/>
      <c r="J1423" s="405">
        <v>0.40652500000000003</v>
      </c>
      <c r="K1423" s="405">
        <v>33.084702999999998</v>
      </c>
      <c r="L1423" s="405" t="s">
        <v>314</v>
      </c>
      <c r="M1423" s="405" t="s">
        <v>349</v>
      </c>
      <c r="N1423" s="405" t="s">
        <v>7717</v>
      </c>
      <c r="O1423" s="405" t="s">
        <v>656</v>
      </c>
      <c r="P1423" s="405" t="s">
        <v>7718</v>
      </c>
      <c r="Q1423" s="411">
        <v>13</v>
      </c>
      <c r="R1423" s="405" t="s">
        <v>32164</v>
      </c>
      <c r="S1423" s="405" t="s">
        <v>6822</v>
      </c>
      <c r="T1423" s="405" t="s">
        <v>32102</v>
      </c>
      <c r="U1423" s="405" t="s">
        <v>319</v>
      </c>
    </row>
    <row r="1424" spans="1:21" x14ac:dyDescent="0.25">
      <c r="A1424" s="405" t="s">
        <v>310</v>
      </c>
      <c r="B1424" s="405" t="s">
        <v>25355</v>
      </c>
      <c r="C1424" s="405" t="s">
        <v>327</v>
      </c>
      <c r="D1424" s="405"/>
      <c r="E1424" s="410">
        <v>43726</v>
      </c>
      <c r="F1424" s="410">
        <v>43738</v>
      </c>
      <c r="G1424" s="405" t="s">
        <v>25356</v>
      </c>
      <c r="H1424" s="405">
        <v>704403138</v>
      </c>
      <c r="I1424" s="405"/>
      <c r="J1424" s="405">
        <v>0.47348299999999999</v>
      </c>
      <c r="K1424" s="405">
        <v>30.237918000000001</v>
      </c>
      <c r="L1424" s="405" t="s">
        <v>590</v>
      </c>
      <c r="M1424" s="405" t="s">
        <v>20125</v>
      </c>
      <c r="N1424" s="405" t="s">
        <v>24733</v>
      </c>
      <c r="O1424" s="405" t="s">
        <v>24845</v>
      </c>
      <c r="P1424" s="405" t="s">
        <v>25357</v>
      </c>
      <c r="Q1424" s="411">
        <v>12</v>
      </c>
      <c r="R1424" s="405" t="s">
        <v>5986</v>
      </c>
      <c r="S1424" s="405" t="s">
        <v>5986</v>
      </c>
      <c r="T1424" s="405" t="s">
        <v>884</v>
      </c>
      <c r="U1424" s="405" t="s">
        <v>319</v>
      </c>
    </row>
    <row r="1425" spans="1:21" x14ac:dyDescent="0.25">
      <c r="A1425" s="405" t="s">
        <v>310</v>
      </c>
      <c r="B1425" s="405" t="s">
        <v>16999</v>
      </c>
      <c r="C1425" s="405" t="s">
        <v>327</v>
      </c>
      <c r="D1425" s="405"/>
      <c r="E1425" s="410">
        <v>43726</v>
      </c>
      <c r="F1425" s="410">
        <v>43738</v>
      </c>
      <c r="G1425" s="405" t="s">
        <v>17000</v>
      </c>
      <c r="H1425" s="405">
        <v>779444902</v>
      </c>
      <c r="I1425" s="405"/>
      <c r="J1425" s="405">
        <v>0.47254600000000002</v>
      </c>
      <c r="K1425" s="405">
        <v>33.233339999999998</v>
      </c>
      <c r="L1425" s="405" t="s">
        <v>6866</v>
      </c>
      <c r="M1425" s="405" t="s">
        <v>9590</v>
      </c>
      <c r="N1425" s="405" t="s">
        <v>9591</v>
      </c>
      <c r="O1425" s="405" t="s">
        <v>17001</v>
      </c>
      <c r="P1425" s="405" t="s">
        <v>17002</v>
      </c>
      <c r="Q1425" s="411">
        <v>6</v>
      </c>
      <c r="R1425" s="405" t="s">
        <v>32164</v>
      </c>
      <c r="S1425" s="405" t="s">
        <v>6822</v>
      </c>
      <c r="T1425" s="405" t="s">
        <v>884</v>
      </c>
      <c r="U1425" s="405" t="s">
        <v>319</v>
      </c>
    </row>
    <row r="1426" spans="1:21" x14ac:dyDescent="0.25">
      <c r="A1426" s="405" t="s">
        <v>310</v>
      </c>
      <c r="B1426" s="405" t="s">
        <v>25410</v>
      </c>
      <c r="C1426" s="405" t="s">
        <v>327</v>
      </c>
      <c r="D1426" s="405"/>
      <c r="E1426" s="410">
        <v>43726</v>
      </c>
      <c r="F1426" s="410">
        <v>43736</v>
      </c>
      <c r="G1426" s="405" t="s">
        <v>25411</v>
      </c>
      <c r="H1426" s="405">
        <v>784154091</v>
      </c>
      <c r="I1426" s="405"/>
      <c r="J1426" s="405">
        <v>0.4829</v>
      </c>
      <c r="K1426" s="405">
        <v>34.112099999999998</v>
      </c>
      <c r="L1426" s="405" t="s">
        <v>590</v>
      </c>
      <c r="M1426" s="405" t="s">
        <v>20808</v>
      </c>
      <c r="N1426" s="405" t="s">
        <v>23390</v>
      </c>
      <c r="O1426" s="405" t="s">
        <v>21489</v>
      </c>
      <c r="P1426" s="405" t="s">
        <v>25412</v>
      </c>
      <c r="Q1426" s="411">
        <v>6</v>
      </c>
      <c r="R1426" s="405" t="s">
        <v>6572</v>
      </c>
      <c r="S1426" s="405" t="s">
        <v>27095</v>
      </c>
      <c r="T1426" s="405" t="s">
        <v>32746</v>
      </c>
      <c r="U1426" s="405" t="s">
        <v>2267</v>
      </c>
    </row>
    <row r="1427" spans="1:21" x14ac:dyDescent="0.25">
      <c r="A1427" s="405" t="s">
        <v>310</v>
      </c>
      <c r="B1427" s="405" t="s">
        <v>17557</v>
      </c>
      <c r="C1427" s="405" t="s">
        <v>327</v>
      </c>
      <c r="D1427" s="405"/>
      <c r="E1427" s="410">
        <v>43726</v>
      </c>
      <c r="F1427" s="410">
        <v>43749</v>
      </c>
      <c r="G1427" s="405" t="s">
        <v>17558</v>
      </c>
      <c r="H1427" s="405">
        <v>772487840</v>
      </c>
      <c r="I1427" s="405"/>
      <c r="J1427" s="405">
        <v>1.5625899999999999</v>
      </c>
      <c r="K1427" s="405">
        <v>33.369655000000002</v>
      </c>
      <c r="L1427" s="405" t="s">
        <v>6866</v>
      </c>
      <c r="M1427" s="405" t="s">
        <v>9658</v>
      </c>
      <c r="N1427" s="405" t="s">
        <v>11057</v>
      </c>
      <c r="O1427" s="405" t="s">
        <v>17559</v>
      </c>
      <c r="P1427" s="405" t="s">
        <v>17005</v>
      </c>
      <c r="Q1427" s="411">
        <v>4</v>
      </c>
      <c r="R1427" s="405" t="s">
        <v>5655</v>
      </c>
      <c r="S1427" s="405" t="s">
        <v>27289</v>
      </c>
      <c r="T1427" s="405" t="s">
        <v>884</v>
      </c>
      <c r="U1427" s="405" t="s">
        <v>319</v>
      </c>
    </row>
    <row r="1428" spans="1:21" x14ac:dyDescent="0.25">
      <c r="A1428" s="405" t="s">
        <v>310</v>
      </c>
      <c r="B1428" s="405" t="s">
        <v>17003</v>
      </c>
      <c r="C1428" s="405" t="s">
        <v>327</v>
      </c>
      <c r="D1428" s="405"/>
      <c r="E1428" s="410">
        <v>43726</v>
      </c>
      <c r="F1428" s="410">
        <v>43749</v>
      </c>
      <c r="G1428" s="405" t="s">
        <v>17004</v>
      </c>
      <c r="H1428" s="405">
        <v>783232080</v>
      </c>
      <c r="I1428" s="405"/>
      <c r="J1428" s="405">
        <v>-5.5708000000000001E-2</v>
      </c>
      <c r="K1428" s="405" t="s">
        <v>7372</v>
      </c>
      <c r="L1428" s="405" t="s">
        <v>6866</v>
      </c>
      <c r="M1428" s="405" t="s">
        <v>9658</v>
      </c>
      <c r="N1428" s="405" t="s">
        <v>11057</v>
      </c>
      <c r="O1428" s="405" t="s">
        <v>11057</v>
      </c>
      <c r="P1428" s="405" t="s">
        <v>17005</v>
      </c>
      <c r="Q1428" s="411">
        <v>4</v>
      </c>
      <c r="R1428" s="405" t="s">
        <v>5655</v>
      </c>
      <c r="S1428" s="405" t="s">
        <v>27366</v>
      </c>
      <c r="T1428" s="405" t="s">
        <v>884</v>
      </c>
      <c r="U1428" s="405" t="s">
        <v>319</v>
      </c>
    </row>
    <row r="1429" spans="1:21" x14ac:dyDescent="0.25">
      <c r="A1429" s="405" t="s">
        <v>310</v>
      </c>
      <c r="B1429" s="405" t="s">
        <v>25408</v>
      </c>
      <c r="C1429" s="405" t="s">
        <v>327</v>
      </c>
      <c r="D1429" s="405"/>
      <c r="E1429" s="410">
        <v>43725</v>
      </c>
      <c r="F1429" s="410">
        <v>43736</v>
      </c>
      <c r="G1429" s="405" t="s">
        <v>25409</v>
      </c>
      <c r="H1429" s="405">
        <v>787864101</v>
      </c>
      <c r="I1429" s="405"/>
      <c r="J1429" s="405">
        <v>1.0086280000000001</v>
      </c>
      <c r="K1429" s="405">
        <v>34.145156999999998</v>
      </c>
      <c r="L1429" s="405" t="s">
        <v>590</v>
      </c>
      <c r="M1429" s="405" t="s">
        <v>20808</v>
      </c>
      <c r="N1429" s="405" t="s">
        <v>25172</v>
      </c>
      <c r="O1429" s="405" t="s">
        <v>23326</v>
      </c>
      <c r="P1429" s="405" t="s">
        <v>22041</v>
      </c>
      <c r="Q1429" s="411">
        <v>6</v>
      </c>
      <c r="R1429" s="405" t="s">
        <v>6572</v>
      </c>
      <c r="S1429" s="405" t="s">
        <v>27161</v>
      </c>
      <c r="T1429" s="405" t="s">
        <v>884</v>
      </c>
      <c r="U1429" s="405" t="s">
        <v>319</v>
      </c>
    </row>
    <row r="1430" spans="1:21" x14ac:dyDescent="0.25">
      <c r="A1430" s="405" t="s">
        <v>310</v>
      </c>
      <c r="B1430" s="405" t="s">
        <v>7646</v>
      </c>
      <c r="C1430" s="405" t="s">
        <v>327</v>
      </c>
      <c r="D1430" s="405"/>
      <c r="E1430" s="410">
        <v>43724</v>
      </c>
      <c r="F1430" s="410">
        <v>43738</v>
      </c>
      <c r="G1430" s="405" t="s">
        <v>7647</v>
      </c>
      <c r="H1430" s="405">
        <v>776455003</v>
      </c>
      <c r="I1430" s="405"/>
      <c r="J1430" s="405">
        <v>-0.23760999999999999</v>
      </c>
      <c r="K1430" s="405">
        <v>31.763534</v>
      </c>
      <c r="L1430" s="405" t="s">
        <v>314</v>
      </c>
      <c r="M1430" s="405" t="s">
        <v>349</v>
      </c>
      <c r="N1430" s="405" t="s">
        <v>7648</v>
      </c>
      <c r="O1430" s="405" t="s">
        <v>1113</v>
      </c>
      <c r="P1430" s="405" t="s">
        <v>817</v>
      </c>
      <c r="Q1430" s="411">
        <v>13</v>
      </c>
      <c r="R1430" s="405" t="s">
        <v>32101</v>
      </c>
      <c r="S1430" s="405" t="s">
        <v>27186</v>
      </c>
      <c r="T1430" s="405" t="s">
        <v>884</v>
      </c>
      <c r="U1430" s="405" t="s">
        <v>319</v>
      </c>
    </row>
    <row r="1431" spans="1:21" x14ac:dyDescent="0.25">
      <c r="A1431" s="405" t="s">
        <v>310</v>
      </c>
      <c r="B1431" s="405" t="s">
        <v>7643</v>
      </c>
      <c r="C1431" s="405" t="s">
        <v>327</v>
      </c>
      <c r="D1431" s="405"/>
      <c r="E1431" s="410">
        <v>43724</v>
      </c>
      <c r="F1431" s="410">
        <v>43735</v>
      </c>
      <c r="G1431" s="405" t="s">
        <v>7644</v>
      </c>
      <c r="H1431" s="405">
        <v>755355999</v>
      </c>
      <c r="I1431" s="405"/>
      <c r="J1431" s="405">
        <v>0.4829</v>
      </c>
      <c r="K1431" s="405">
        <v>34.112099999999998</v>
      </c>
      <c r="L1431" s="405" t="s">
        <v>314</v>
      </c>
      <c r="M1431" s="405" t="s">
        <v>361</v>
      </c>
      <c r="N1431" s="405" t="s">
        <v>374</v>
      </c>
      <c r="O1431" s="405" t="s">
        <v>535</v>
      </c>
      <c r="P1431" s="405" t="s">
        <v>7645</v>
      </c>
      <c r="Q1431" s="411">
        <v>9</v>
      </c>
      <c r="R1431" s="405" t="s">
        <v>32101</v>
      </c>
      <c r="S1431" s="405" t="s">
        <v>27041</v>
      </c>
      <c r="T1431" s="405" t="s">
        <v>32102</v>
      </c>
      <c r="U1431" s="405" t="s">
        <v>319</v>
      </c>
    </row>
    <row r="1432" spans="1:21" x14ac:dyDescent="0.25">
      <c r="A1432" s="405" t="s">
        <v>310</v>
      </c>
      <c r="B1432" s="405" t="s">
        <v>25413</v>
      </c>
      <c r="C1432" s="405" t="s">
        <v>327</v>
      </c>
      <c r="D1432" s="405"/>
      <c r="E1432" s="410">
        <v>43724</v>
      </c>
      <c r="F1432" s="410">
        <v>43736</v>
      </c>
      <c r="G1432" s="405" t="s">
        <v>25414</v>
      </c>
      <c r="H1432" s="405">
        <v>782209058</v>
      </c>
      <c r="I1432" s="405"/>
      <c r="J1432" s="405">
        <v>1.3524529999999999</v>
      </c>
      <c r="K1432" s="405">
        <v>34.467911999999998</v>
      </c>
      <c r="L1432" s="405" t="s">
        <v>590</v>
      </c>
      <c r="M1432" s="405" t="s">
        <v>20808</v>
      </c>
      <c r="N1432" s="405" t="s">
        <v>25172</v>
      </c>
      <c r="O1432" s="405" t="s">
        <v>21489</v>
      </c>
      <c r="P1432" s="405" t="s">
        <v>21464</v>
      </c>
      <c r="Q1432" s="411">
        <v>6</v>
      </c>
      <c r="R1432" s="405" t="s">
        <v>6572</v>
      </c>
      <c r="S1432" s="405" t="s">
        <v>27154</v>
      </c>
      <c r="T1432" s="405" t="s">
        <v>32102</v>
      </c>
      <c r="U1432" s="405" t="s">
        <v>319</v>
      </c>
    </row>
    <row r="1433" spans="1:21" x14ac:dyDescent="0.25">
      <c r="A1433" s="405" t="s">
        <v>310</v>
      </c>
      <c r="B1433" s="405" t="s">
        <v>19536</v>
      </c>
      <c r="C1433" s="405" t="s">
        <v>311</v>
      </c>
      <c r="D1433" s="405" t="s">
        <v>2127</v>
      </c>
      <c r="E1433" s="410">
        <v>43724</v>
      </c>
      <c r="F1433" s="410">
        <v>43740</v>
      </c>
      <c r="G1433" s="405" t="s">
        <v>19537</v>
      </c>
      <c r="H1433" s="405">
        <v>780950884</v>
      </c>
      <c r="I1433" s="405">
        <v>776003184</v>
      </c>
      <c r="J1433" s="405">
        <v>1.972502</v>
      </c>
      <c r="K1433" s="405">
        <v>32.370114999999998</v>
      </c>
      <c r="L1433" s="405" t="s">
        <v>860</v>
      </c>
      <c r="M1433" s="405" t="s">
        <v>861</v>
      </c>
      <c r="N1433" s="405" t="s">
        <v>862</v>
      </c>
      <c r="O1433" s="405" t="s">
        <v>18441</v>
      </c>
      <c r="P1433" s="405" t="s">
        <v>864</v>
      </c>
      <c r="Q1433" s="411">
        <v>4</v>
      </c>
      <c r="R1433" s="405" t="s">
        <v>32101</v>
      </c>
      <c r="S1433" s="405" t="s">
        <v>27243</v>
      </c>
      <c r="T1433" s="405" t="s">
        <v>884</v>
      </c>
      <c r="U1433" s="405" t="s">
        <v>319</v>
      </c>
    </row>
    <row r="1434" spans="1:21" x14ac:dyDescent="0.25">
      <c r="A1434" s="405" t="s">
        <v>310</v>
      </c>
      <c r="B1434" s="405" t="s">
        <v>24</v>
      </c>
      <c r="C1434" s="405" t="s">
        <v>327</v>
      </c>
      <c r="D1434" s="405"/>
      <c r="E1434" s="410">
        <v>43723</v>
      </c>
      <c r="F1434" s="410">
        <v>43738</v>
      </c>
      <c r="G1434" s="405" t="s">
        <v>25353</v>
      </c>
      <c r="H1434" s="405">
        <v>772338755</v>
      </c>
      <c r="I1434" s="405"/>
      <c r="J1434" s="405">
        <v>0.99083600000000005</v>
      </c>
      <c r="K1434" s="405">
        <v>34.173879999999997</v>
      </c>
      <c r="L1434" s="405" t="s">
        <v>590</v>
      </c>
      <c r="M1434" s="405" t="s">
        <v>19659</v>
      </c>
      <c r="N1434" s="405" t="s">
        <v>25354</v>
      </c>
      <c r="O1434" s="405" t="s">
        <v>19934</v>
      </c>
      <c r="P1434" s="405" t="s">
        <v>19934</v>
      </c>
      <c r="Q1434" s="411">
        <v>13</v>
      </c>
      <c r="R1434" s="405" t="s">
        <v>5858</v>
      </c>
      <c r="S1434" s="405" t="s">
        <v>27227</v>
      </c>
      <c r="T1434" s="405" t="s">
        <v>884</v>
      </c>
      <c r="U1434" s="405" t="s">
        <v>319</v>
      </c>
    </row>
    <row r="1435" spans="1:21" x14ac:dyDescent="0.25">
      <c r="A1435" s="405" t="s">
        <v>310</v>
      </c>
      <c r="B1435" s="405" t="s">
        <v>25526</v>
      </c>
      <c r="C1435" s="405" t="s">
        <v>327</v>
      </c>
      <c r="D1435" s="405"/>
      <c r="E1435" s="410">
        <v>43723</v>
      </c>
      <c r="F1435" s="410">
        <v>43744</v>
      </c>
      <c r="G1435" s="405" t="s">
        <v>25527</v>
      </c>
      <c r="H1435" s="405">
        <v>703371472</v>
      </c>
      <c r="I1435" s="405"/>
      <c r="J1435" s="405">
        <v>0.29330000000000001</v>
      </c>
      <c r="K1435" s="405">
        <v>31.292300000000001</v>
      </c>
      <c r="L1435" s="405" t="s">
        <v>590</v>
      </c>
      <c r="M1435" s="405" t="s">
        <v>19725</v>
      </c>
      <c r="N1435" s="405" t="s">
        <v>25040</v>
      </c>
      <c r="O1435" s="405" t="s">
        <v>4525</v>
      </c>
      <c r="P1435" s="405" t="s">
        <v>25528</v>
      </c>
      <c r="Q1435" s="411">
        <v>6</v>
      </c>
      <c r="R1435" s="405" t="s">
        <v>32166</v>
      </c>
      <c r="S1435" s="405" t="s">
        <v>27444</v>
      </c>
      <c r="T1435" s="405" t="s">
        <v>884</v>
      </c>
      <c r="U1435" s="405" t="s">
        <v>319</v>
      </c>
    </row>
    <row r="1436" spans="1:21" x14ac:dyDescent="0.25">
      <c r="A1436" s="405" t="s">
        <v>310</v>
      </c>
      <c r="B1436" s="405" t="s">
        <v>7828</v>
      </c>
      <c r="C1436" s="405" t="s">
        <v>327</v>
      </c>
      <c r="D1436" s="405"/>
      <c r="E1436" s="410">
        <v>43723</v>
      </c>
      <c r="F1436" s="410">
        <v>43741</v>
      </c>
      <c r="G1436" s="405" t="s">
        <v>7829</v>
      </c>
      <c r="H1436" s="405">
        <v>772441770</v>
      </c>
      <c r="I1436" s="405"/>
      <c r="J1436" s="405">
        <v>1.0086280000000001</v>
      </c>
      <c r="K1436" s="405">
        <v>34.145156999999998</v>
      </c>
      <c r="L1436" s="405" t="s">
        <v>314</v>
      </c>
      <c r="M1436" s="405" t="s">
        <v>361</v>
      </c>
      <c r="N1436" s="405" t="s">
        <v>5603</v>
      </c>
      <c r="O1436" s="405" t="s">
        <v>5603</v>
      </c>
      <c r="P1436" s="405" t="s">
        <v>5603</v>
      </c>
      <c r="Q1436" s="411">
        <v>6</v>
      </c>
      <c r="R1436" s="405" t="s">
        <v>5921</v>
      </c>
      <c r="S1436" s="405" t="s">
        <v>32960</v>
      </c>
      <c r="T1436" s="405" t="s">
        <v>884</v>
      </c>
      <c r="U1436" s="405" t="s">
        <v>319</v>
      </c>
    </row>
    <row r="1437" spans="1:21" x14ac:dyDescent="0.25">
      <c r="A1437" s="405" t="s">
        <v>310</v>
      </c>
      <c r="B1437" s="405" t="s">
        <v>33040</v>
      </c>
      <c r="C1437" s="405" t="s">
        <v>327</v>
      </c>
      <c r="D1437" s="405"/>
      <c r="E1437" s="410">
        <v>43722</v>
      </c>
      <c r="F1437" s="410">
        <v>43747</v>
      </c>
      <c r="G1437" s="405" t="s">
        <v>7796</v>
      </c>
      <c r="H1437" s="405">
        <v>756723639</v>
      </c>
      <c r="I1437" s="405"/>
      <c r="J1437" s="405">
        <v>-0.22770099999999999</v>
      </c>
      <c r="K1437" s="405">
        <v>31.835443999999999</v>
      </c>
      <c r="L1437" s="405" t="s">
        <v>314</v>
      </c>
      <c r="M1437" s="405" t="s">
        <v>1189</v>
      </c>
      <c r="N1437" s="405" t="s">
        <v>7794</v>
      </c>
      <c r="O1437" s="405" t="s">
        <v>7797</v>
      </c>
      <c r="P1437" s="405" t="s">
        <v>7797</v>
      </c>
      <c r="Q1437" s="411">
        <v>6</v>
      </c>
      <c r="R1437" s="405" t="s">
        <v>5986</v>
      </c>
      <c r="S1437" s="405" t="s">
        <v>5986</v>
      </c>
      <c r="T1437" s="405" t="s">
        <v>884</v>
      </c>
      <c r="U1437" s="405" t="s">
        <v>319</v>
      </c>
    </row>
    <row r="1438" spans="1:21" x14ac:dyDescent="0.25">
      <c r="A1438" s="405" t="s">
        <v>310</v>
      </c>
      <c r="B1438" s="405" t="s">
        <v>25415</v>
      </c>
      <c r="C1438" s="405" t="s">
        <v>327</v>
      </c>
      <c r="D1438" s="405"/>
      <c r="E1438" s="410">
        <v>43722</v>
      </c>
      <c r="F1438" s="410">
        <v>43736</v>
      </c>
      <c r="G1438" s="405" t="s">
        <v>25416</v>
      </c>
      <c r="H1438" s="405">
        <v>772658730</v>
      </c>
      <c r="I1438" s="405"/>
      <c r="J1438" s="405">
        <v>0.29330000000000001</v>
      </c>
      <c r="K1438" s="405">
        <v>31.292300000000001</v>
      </c>
      <c r="L1438" s="405" t="s">
        <v>590</v>
      </c>
      <c r="M1438" s="405" t="s">
        <v>20808</v>
      </c>
      <c r="N1438" s="405" t="s">
        <v>23390</v>
      </c>
      <c r="O1438" s="405" t="s">
        <v>21489</v>
      </c>
      <c r="P1438" s="405" t="s">
        <v>25417</v>
      </c>
      <c r="Q1438" s="411">
        <v>6</v>
      </c>
      <c r="R1438" s="405" t="s">
        <v>6572</v>
      </c>
      <c r="S1438" s="405" t="s">
        <v>27443</v>
      </c>
      <c r="T1438" s="405" t="s">
        <v>884</v>
      </c>
      <c r="U1438" s="405" t="s">
        <v>319</v>
      </c>
    </row>
    <row r="1439" spans="1:21" x14ac:dyDescent="0.25">
      <c r="A1439" s="405" t="s">
        <v>310</v>
      </c>
      <c r="B1439" s="405" t="s">
        <v>25514</v>
      </c>
      <c r="C1439" s="405" t="s">
        <v>327</v>
      </c>
      <c r="D1439" s="405"/>
      <c r="E1439" s="410">
        <v>43721</v>
      </c>
      <c r="F1439" s="410">
        <v>43742</v>
      </c>
      <c r="G1439" s="405" t="s">
        <v>25515</v>
      </c>
      <c r="H1439" s="405">
        <v>782920104</v>
      </c>
      <c r="I1439" s="405">
        <v>757920104</v>
      </c>
      <c r="J1439" s="405">
        <v>1.9376899999999999</v>
      </c>
      <c r="K1439" s="405">
        <v>33.330257000000003</v>
      </c>
      <c r="L1439" s="405" t="s">
        <v>590</v>
      </c>
      <c r="M1439" s="405" t="s">
        <v>20808</v>
      </c>
      <c r="N1439" s="405" t="s">
        <v>23385</v>
      </c>
      <c r="O1439" s="405" t="s">
        <v>23283</v>
      </c>
      <c r="P1439" s="405" t="s">
        <v>25516</v>
      </c>
      <c r="Q1439" s="411">
        <v>6</v>
      </c>
      <c r="R1439" s="405" t="s">
        <v>6572</v>
      </c>
      <c r="S1439" s="405" t="s">
        <v>27095</v>
      </c>
      <c r="T1439" s="405" t="s">
        <v>884</v>
      </c>
      <c r="U1439" s="405" t="s">
        <v>319</v>
      </c>
    </row>
    <row r="1440" spans="1:21" x14ac:dyDescent="0.25">
      <c r="A1440" s="405" t="s">
        <v>310</v>
      </c>
      <c r="B1440" s="405" t="s">
        <v>25510</v>
      </c>
      <c r="C1440" s="405" t="s">
        <v>327</v>
      </c>
      <c r="D1440" s="405"/>
      <c r="E1440" s="410">
        <v>43721</v>
      </c>
      <c r="F1440" s="410">
        <v>43742</v>
      </c>
      <c r="G1440" s="405" t="s">
        <v>25511</v>
      </c>
      <c r="H1440" s="405">
        <v>392171906</v>
      </c>
      <c r="I1440" s="405"/>
      <c r="J1440" s="405" t="s">
        <v>7406</v>
      </c>
      <c r="K1440" s="405">
        <v>32.623615000000001</v>
      </c>
      <c r="L1440" s="405" t="s">
        <v>590</v>
      </c>
      <c r="M1440" s="405" t="s">
        <v>20808</v>
      </c>
      <c r="N1440" s="405" t="s">
        <v>25512</v>
      </c>
      <c r="O1440" s="405" t="s">
        <v>24811</v>
      </c>
      <c r="P1440" s="405" t="s">
        <v>25513</v>
      </c>
      <c r="Q1440" s="411">
        <v>6</v>
      </c>
      <c r="R1440" s="405" t="s">
        <v>6572</v>
      </c>
      <c r="S1440" s="405" t="s">
        <v>27166</v>
      </c>
      <c r="T1440" s="405" t="s">
        <v>884</v>
      </c>
      <c r="U1440" s="405" t="s">
        <v>319</v>
      </c>
    </row>
    <row r="1441" spans="1:21" x14ac:dyDescent="0.25">
      <c r="A1441" s="405" t="s">
        <v>310</v>
      </c>
      <c r="B1441" s="405" t="s">
        <v>7786</v>
      </c>
      <c r="C1441" s="405" t="s">
        <v>327</v>
      </c>
      <c r="D1441" s="405"/>
      <c r="E1441" s="410">
        <v>43720</v>
      </c>
      <c r="F1441" s="410">
        <v>43745</v>
      </c>
      <c r="G1441" s="405" t="s">
        <v>7787</v>
      </c>
      <c r="H1441" s="405">
        <v>751535986</v>
      </c>
      <c r="I1441" s="405"/>
      <c r="J1441" s="405">
        <v>0.24025299999999999</v>
      </c>
      <c r="K1441" s="405">
        <v>32.485962999999998</v>
      </c>
      <c r="L1441" s="405" t="s">
        <v>314</v>
      </c>
      <c r="M1441" s="405" t="s">
        <v>361</v>
      </c>
      <c r="N1441" s="405" t="s">
        <v>3590</v>
      </c>
      <c r="O1441" s="405" t="s">
        <v>375</v>
      </c>
      <c r="P1441" s="405" t="s">
        <v>4760</v>
      </c>
      <c r="Q1441" s="411">
        <v>9</v>
      </c>
      <c r="R1441" s="405" t="s">
        <v>32157</v>
      </c>
      <c r="S1441" s="405" t="s">
        <v>27045</v>
      </c>
      <c r="T1441" s="405" t="s">
        <v>884</v>
      </c>
      <c r="U1441" s="405" t="s">
        <v>319</v>
      </c>
    </row>
    <row r="1442" spans="1:21" x14ac:dyDescent="0.25">
      <c r="A1442" s="405" t="s">
        <v>310</v>
      </c>
      <c r="B1442" s="405" t="s">
        <v>25400</v>
      </c>
      <c r="C1442" s="405" t="s">
        <v>327</v>
      </c>
      <c r="D1442" s="405"/>
      <c r="E1442" s="410">
        <v>43720</v>
      </c>
      <c r="F1442" s="410">
        <v>43738</v>
      </c>
      <c r="G1442" s="405" t="s">
        <v>25401</v>
      </c>
      <c r="H1442" s="405">
        <v>782619544</v>
      </c>
      <c r="I1442" s="405"/>
      <c r="J1442" s="405">
        <v>-0.71088200000000001</v>
      </c>
      <c r="K1442" s="405">
        <v>29.693258</v>
      </c>
      <c r="L1442" s="405" t="s">
        <v>590</v>
      </c>
      <c r="M1442" s="405" t="s">
        <v>20808</v>
      </c>
      <c r="N1442" s="405" t="s">
        <v>25110</v>
      </c>
      <c r="O1442" s="405" t="s">
        <v>24892</v>
      </c>
      <c r="P1442" s="405" t="s">
        <v>25402</v>
      </c>
      <c r="Q1442" s="411">
        <v>6</v>
      </c>
      <c r="R1442" s="405" t="s">
        <v>6572</v>
      </c>
      <c r="S1442" s="405" t="s">
        <v>27440</v>
      </c>
      <c r="T1442" s="405" t="s">
        <v>884</v>
      </c>
      <c r="U1442" s="405" t="s">
        <v>319</v>
      </c>
    </row>
    <row r="1443" spans="1:21" x14ac:dyDescent="0.25">
      <c r="A1443" s="405" t="s">
        <v>310</v>
      </c>
      <c r="B1443" s="405" t="s">
        <v>25323</v>
      </c>
      <c r="C1443" s="405" t="s">
        <v>327</v>
      </c>
      <c r="D1443" s="405"/>
      <c r="E1443" s="410">
        <v>43720</v>
      </c>
      <c r="F1443" s="410">
        <v>43738</v>
      </c>
      <c r="G1443" s="405" t="s">
        <v>25324</v>
      </c>
      <c r="H1443" s="405">
        <v>777470760</v>
      </c>
      <c r="I1443" s="405">
        <v>784264339</v>
      </c>
      <c r="J1443" s="405">
        <v>-0.85391700000000004</v>
      </c>
      <c r="K1443" s="405">
        <v>29.728123</v>
      </c>
      <c r="L1443" s="405" t="s">
        <v>590</v>
      </c>
      <c r="M1443" s="405" t="s">
        <v>20808</v>
      </c>
      <c r="N1443" s="405" t="s">
        <v>23390</v>
      </c>
      <c r="O1443" s="405" t="s">
        <v>20810</v>
      </c>
      <c r="P1443" s="405" t="s">
        <v>25325</v>
      </c>
      <c r="Q1443" s="411">
        <v>6</v>
      </c>
      <c r="R1443" s="405" t="s">
        <v>6572</v>
      </c>
      <c r="S1443" s="405" t="s">
        <v>27137</v>
      </c>
      <c r="T1443" s="405" t="s">
        <v>884</v>
      </c>
      <c r="U1443" s="405" t="s">
        <v>319</v>
      </c>
    </row>
    <row r="1444" spans="1:21" x14ac:dyDescent="0.25">
      <c r="A1444" s="405" t="s">
        <v>310</v>
      </c>
      <c r="B1444" s="405" t="s">
        <v>25396</v>
      </c>
      <c r="C1444" s="405" t="s">
        <v>327</v>
      </c>
      <c r="D1444" s="405"/>
      <c r="E1444" s="410">
        <v>43720</v>
      </c>
      <c r="F1444" s="410">
        <v>43738</v>
      </c>
      <c r="G1444" s="405" t="s">
        <v>25397</v>
      </c>
      <c r="H1444" s="405">
        <v>703148847</v>
      </c>
      <c r="I1444" s="405"/>
      <c r="J1444" s="405">
        <v>-0.89048499999999997</v>
      </c>
      <c r="K1444" s="405">
        <v>29.762532</v>
      </c>
      <c r="L1444" s="405" t="s">
        <v>590</v>
      </c>
      <c r="M1444" s="405" t="s">
        <v>20808</v>
      </c>
      <c r="N1444" s="405" t="s">
        <v>23390</v>
      </c>
      <c r="O1444" s="405" t="s">
        <v>24811</v>
      </c>
      <c r="P1444" s="405" t="s">
        <v>25278</v>
      </c>
      <c r="Q1444" s="411">
        <v>6</v>
      </c>
      <c r="R1444" s="405" t="s">
        <v>6572</v>
      </c>
      <c r="S1444" s="405" t="s">
        <v>27181</v>
      </c>
      <c r="T1444" s="405" t="s">
        <v>884</v>
      </c>
      <c r="U1444" s="405" t="s">
        <v>319</v>
      </c>
    </row>
    <row r="1445" spans="1:21" x14ac:dyDescent="0.25">
      <c r="A1445" s="405" t="s">
        <v>310</v>
      </c>
      <c r="B1445" s="405" t="s">
        <v>25405</v>
      </c>
      <c r="C1445" s="405" t="s">
        <v>327</v>
      </c>
      <c r="D1445" s="405"/>
      <c r="E1445" s="410">
        <v>43720</v>
      </c>
      <c r="F1445" s="410">
        <v>43738</v>
      </c>
      <c r="G1445" s="405" t="s">
        <v>25406</v>
      </c>
      <c r="H1445" s="405">
        <v>772879158</v>
      </c>
      <c r="I1445" s="405"/>
      <c r="J1445" s="405">
        <v>-0.89300999999999997</v>
      </c>
      <c r="K1445" s="405">
        <v>29.770479999999999</v>
      </c>
      <c r="L1445" s="405" t="s">
        <v>590</v>
      </c>
      <c r="M1445" s="405" t="s">
        <v>20808</v>
      </c>
      <c r="N1445" s="405" t="s">
        <v>23390</v>
      </c>
      <c r="O1445" s="405" t="s">
        <v>24811</v>
      </c>
      <c r="P1445" s="405" t="s">
        <v>25407</v>
      </c>
      <c r="Q1445" s="411">
        <v>6</v>
      </c>
      <c r="R1445" s="405" t="s">
        <v>6572</v>
      </c>
      <c r="S1445" s="405" t="s">
        <v>27301</v>
      </c>
      <c r="T1445" s="405" t="s">
        <v>884</v>
      </c>
      <c r="U1445" s="405" t="s">
        <v>319</v>
      </c>
    </row>
    <row r="1446" spans="1:21" x14ac:dyDescent="0.25">
      <c r="A1446" s="405" t="s">
        <v>310</v>
      </c>
      <c r="B1446" s="405" t="s">
        <v>25326</v>
      </c>
      <c r="C1446" s="405" t="s">
        <v>327</v>
      </c>
      <c r="D1446" s="405"/>
      <c r="E1446" s="410">
        <v>43720</v>
      </c>
      <c r="F1446" s="410">
        <v>43738</v>
      </c>
      <c r="G1446" s="405" t="s">
        <v>25327</v>
      </c>
      <c r="H1446" s="405">
        <v>772341714</v>
      </c>
      <c r="I1446" s="405"/>
      <c r="J1446" s="405">
        <v>-0.74717800000000001</v>
      </c>
      <c r="K1446" s="405">
        <v>29.702905000000001</v>
      </c>
      <c r="L1446" s="405" t="s">
        <v>590</v>
      </c>
      <c r="M1446" s="405" t="s">
        <v>20808</v>
      </c>
      <c r="N1446" s="405" t="s">
        <v>25172</v>
      </c>
      <c r="O1446" s="405" t="s">
        <v>25328</v>
      </c>
      <c r="P1446" s="405" t="s">
        <v>25329</v>
      </c>
      <c r="Q1446" s="411">
        <v>6</v>
      </c>
      <c r="R1446" s="405" t="s">
        <v>6572</v>
      </c>
      <c r="S1446" s="405" t="s">
        <v>27205</v>
      </c>
      <c r="T1446" s="405" t="s">
        <v>884</v>
      </c>
      <c r="U1446" s="405" t="s">
        <v>319</v>
      </c>
    </row>
    <row r="1447" spans="1:21" x14ac:dyDescent="0.25">
      <c r="A1447" s="405" t="s">
        <v>310</v>
      </c>
      <c r="B1447" s="405" t="s">
        <v>7704</v>
      </c>
      <c r="C1447" s="405" t="s">
        <v>327</v>
      </c>
      <c r="D1447" s="405"/>
      <c r="E1447" s="410">
        <v>43718</v>
      </c>
      <c r="F1447" s="410">
        <v>43736</v>
      </c>
      <c r="G1447" s="405" t="s">
        <v>7705</v>
      </c>
      <c r="H1447" s="405">
        <v>783679616</v>
      </c>
      <c r="I1447" s="405"/>
      <c r="J1447" s="405">
        <v>1.0086280000000001</v>
      </c>
      <c r="K1447" s="405">
        <v>34.145156999999998</v>
      </c>
      <c r="L1447" s="405" t="s">
        <v>314</v>
      </c>
      <c r="M1447" s="405" t="s">
        <v>321</v>
      </c>
      <c r="N1447" s="405" t="s">
        <v>1854</v>
      </c>
      <c r="O1447" s="405" t="s">
        <v>5626</v>
      </c>
      <c r="P1447" s="405" t="s">
        <v>5882</v>
      </c>
      <c r="Q1447" s="411">
        <v>9</v>
      </c>
      <c r="R1447" s="405" t="s">
        <v>4176</v>
      </c>
      <c r="S1447" s="405" t="s">
        <v>27053</v>
      </c>
      <c r="T1447" s="405" t="s">
        <v>884</v>
      </c>
      <c r="U1447" s="405" t="s">
        <v>319</v>
      </c>
    </row>
    <row r="1448" spans="1:21" x14ac:dyDescent="0.25">
      <c r="A1448" s="405" t="s">
        <v>310</v>
      </c>
      <c r="B1448" s="405" t="s">
        <v>25671</v>
      </c>
      <c r="C1448" s="405" t="s">
        <v>311</v>
      </c>
      <c r="D1448" s="405" t="s">
        <v>839</v>
      </c>
      <c r="E1448" s="410">
        <v>43718</v>
      </c>
      <c r="F1448" s="410">
        <v>43732</v>
      </c>
      <c r="G1448" s="405" t="s">
        <v>25672</v>
      </c>
      <c r="H1448" s="405">
        <v>706123908</v>
      </c>
      <c r="I1448" s="405"/>
      <c r="J1448" s="405">
        <v>0.52878499999999995</v>
      </c>
      <c r="K1448" s="405">
        <v>33.384937000000001</v>
      </c>
      <c r="L1448" s="405" t="s">
        <v>590</v>
      </c>
      <c r="M1448" s="405" t="s">
        <v>19614</v>
      </c>
      <c r="N1448" s="405" t="s">
        <v>18043</v>
      </c>
      <c r="O1448" s="405" t="s">
        <v>23816</v>
      </c>
      <c r="P1448" s="405" t="s">
        <v>20169</v>
      </c>
      <c r="Q1448" s="411">
        <v>9</v>
      </c>
      <c r="R1448" s="405" t="s">
        <v>32166</v>
      </c>
      <c r="S1448" s="405" t="s">
        <v>27102</v>
      </c>
      <c r="T1448" s="405" t="s">
        <v>884</v>
      </c>
      <c r="U1448" s="405" t="s">
        <v>319</v>
      </c>
    </row>
    <row r="1449" spans="1:21" x14ac:dyDescent="0.25">
      <c r="A1449" s="405" t="s">
        <v>310</v>
      </c>
      <c r="B1449" s="405" t="s">
        <v>25418</v>
      </c>
      <c r="C1449" s="405" t="s">
        <v>327</v>
      </c>
      <c r="D1449" s="405"/>
      <c r="E1449" s="410">
        <v>43718</v>
      </c>
      <c r="F1449" s="410">
        <v>43736</v>
      </c>
      <c r="G1449" s="405" t="s">
        <v>25419</v>
      </c>
      <c r="H1449" s="405">
        <v>774387203</v>
      </c>
      <c r="I1449" s="405"/>
      <c r="J1449" s="405">
        <v>-0.25717699999999999</v>
      </c>
      <c r="K1449" s="405">
        <v>31.819427999999998</v>
      </c>
      <c r="L1449" s="405" t="s">
        <v>590</v>
      </c>
      <c r="M1449" s="405" t="s">
        <v>20808</v>
      </c>
      <c r="N1449" s="405" t="s">
        <v>23390</v>
      </c>
      <c r="O1449" s="405" t="s">
        <v>23326</v>
      </c>
      <c r="P1449" s="405" t="s">
        <v>20202</v>
      </c>
      <c r="Q1449" s="411">
        <v>6</v>
      </c>
      <c r="R1449" s="405" t="s">
        <v>6572</v>
      </c>
      <c r="S1449" s="405" t="s">
        <v>27161</v>
      </c>
      <c r="T1449" s="405" t="s">
        <v>32102</v>
      </c>
      <c r="U1449" s="405" t="s">
        <v>319</v>
      </c>
    </row>
    <row r="1450" spans="1:21" x14ac:dyDescent="0.25">
      <c r="A1450" s="405" t="s">
        <v>310</v>
      </c>
      <c r="B1450" s="405" t="s">
        <v>16972</v>
      </c>
      <c r="C1450" s="405" t="s">
        <v>327</v>
      </c>
      <c r="D1450" s="405"/>
      <c r="E1450" s="410">
        <v>43717</v>
      </c>
      <c r="F1450" s="410">
        <v>43734</v>
      </c>
      <c r="G1450" s="405" t="s">
        <v>16973</v>
      </c>
      <c r="H1450" s="405">
        <v>772404882</v>
      </c>
      <c r="I1450" s="405"/>
      <c r="J1450" s="405">
        <v>0.75469799999999998</v>
      </c>
      <c r="K1450" s="405">
        <v>33.659958000000003</v>
      </c>
      <c r="L1450" s="405" t="s">
        <v>6866</v>
      </c>
      <c r="M1450" s="405" t="s">
        <v>5345</v>
      </c>
      <c r="N1450" s="405" t="s">
        <v>16871</v>
      </c>
      <c r="O1450" s="405" t="s">
        <v>12062</v>
      </c>
      <c r="P1450" s="405" t="s">
        <v>16974</v>
      </c>
      <c r="Q1450" s="411">
        <v>9</v>
      </c>
      <c r="R1450" s="405" t="s">
        <v>32164</v>
      </c>
      <c r="S1450" s="405" t="s">
        <v>27045</v>
      </c>
      <c r="T1450" s="405" t="s">
        <v>32102</v>
      </c>
      <c r="U1450" s="405" t="s">
        <v>319</v>
      </c>
    </row>
    <row r="1451" spans="1:21" x14ac:dyDescent="0.25">
      <c r="A1451" s="405" t="s">
        <v>310</v>
      </c>
      <c r="B1451" s="405" t="s">
        <v>25349</v>
      </c>
      <c r="C1451" s="405" t="s">
        <v>327</v>
      </c>
      <c r="D1451" s="405"/>
      <c r="E1451" s="410">
        <v>43717</v>
      </c>
      <c r="F1451" s="410">
        <v>43727</v>
      </c>
      <c r="G1451" s="405" t="s">
        <v>25350</v>
      </c>
      <c r="H1451" s="405">
        <v>784257942</v>
      </c>
      <c r="I1451" s="405"/>
      <c r="J1451" s="405" t="s">
        <v>7406</v>
      </c>
      <c r="K1451" s="405">
        <v>32.623615000000001</v>
      </c>
      <c r="L1451" s="405" t="s">
        <v>590</v>
      </c>
      <c r="M1451" s="405" t="s">
        <v>19614</v>
      </c>
      <c r="N1451" s="405" t="s">
        <v>20230</v>
      </c>
      <c r="O1451" s="405" t="s">
        <v>25351</v>
      </c>
      <c r="P1451" s="405" t="s">
        <v>25352</v>
      </c>
      <c r="Q1451" s="411">
        <v>9</v>
      </c>
      <c r="R1451" s="405" t="s">
        <v>874</v>
      </c>
      <c r="S1451" s="405" t="s">
        <v>27405</v>
      </c>
      <c r="T1451" s="405" t="s">
        <v>884</v>
      </c>
      <c r="U1451" s="405" t="s">
        <v>319</v>
      </c>
    </row>
    <row r="1452" spans="1:21" x14ac:dyDescent="0.25">
      <c r="A1452" s="405" t="s">
        <v>310</v>
      </c>
      <c r="B1452" s="405" t="s">
        <v>7706</v>
      </c>
      <c r="C1452" s="405" t="s">
        <v>327</v>
      </c>
      <c r="D1452" s="405"/>
      <c r="E1452" s="410">
        <v>43717</v>
      </c>
      <c r="F1452" s="410">
        <v>43737</v>
      </c>
      <c r="G1452" s="405" t="s">
        <v>7707</v>
      </c>
      <c r="H1452" s="405">
        <v>794660271</v>
      </c>
      <c r="I1452" s="405"/>
      <c r="J1452" s="405">
        <v>1.0086280000000001</v>
      </c>
      <c r="K1452" s="405">
        <v>34.145156999999998</v>
      </c>
      <c r="L1452" s="405" t="s">
        <v>314</v>
      </c>
      <c r="M1452" s="405" t="s">
        <v>361</v>
      </c>
      <c r="N1452" s="405" t="s">
        <v>7018</v>
      </c>
      <c r="O1452" s="405" t="s">
        <v>410</v>
      </c>
      <c r="P1452" s="405" t="s">
        <v>1324</v>
      </c>
      <c r="Q1452" s="411">
        <v>6</v>
      </c>
      <c r="R1452" s="405" t="s">
        <v>4176</v>
      </c>
      <c r="S1452" s="405" t="s">
        <v>27243</v>
      </c>
      <c r="T1452" s="405" t="s">
        <v>32102</v>
      </c>
      <c r="U1452" s="405" t="s">
        <v>319</v>
      </c>
    </row>
    <row r="1453" spans="1:21" x14ac:dyDescent="0.25">
      <c r="A1453" s="405" t="s">
        <v>310</v>
      </c>
      <c r="B1453" s="405" t="s">
        <v>7712</v>
      </c>
      <c r="C1453" s="405" t="s">
        <v>327</v>
      </c>
      <c r="D1453" s="405"/>
      <c r="E1453" s="410">
        <v>43717</v>
      </c>
      <c r="F1453" s="410">
        <v>43727</v>
      </c>
      <c r="G1453" s="405" t="s">
        <v>7713</v>
      </c>
      <c r="H1453" s="405">
        <v>758943777</v>
      </c>
      <c r="I1453" s="405"/>
      <c r="J1453" s="405">
        <v>0.45007000000000003</v>
      </c>
      <c r="K1453" s="405">
        <v>33.169891999999997</v>
      </c>
      <c r="L1453" s="405" t="s">
        <v>314</v>
      </c>
      <c r="M1453" s="405" t="s">
        <v>349</v>
      </c>
      <c r="N1453" s="405" t="s">
        <v>349</v>
      </c>
      <c r="O1453" s="405" t="s">
        <v>1113</v>
      </c>
      <c r="P1453" s="405" t="s">
        <v>7714</v>
      </c>
      <c r="Q1453" s="411">
        <v>6</v>
      </c>
      <c r="R1453" s="405" t="s">
        <v>32164</v>
      </c>
      <c r="S1453" s="405" t="s">
        <v>27054</v>
      </c>
      <c r="T1453" s="405" t="s">
        <v>884</v>
      </c>
      <c r="U1453" s="405" t="s">
        <v>319</v>
      </c>
    </row>
    <row r="1454" spans="1:21" x14ac:dyDescent="0.25">
      <c r="A1454" s="405" t="s">
        <v>310</v>
      </c>
      <c r="B1454" s="405" t="s">
        <v>7685</v>
      </c>
      <c r="C1454" s="405" t="s">
        <v>327</v>
      </c>
      <c r="D1454" s="405"/>
      <c r="E1454" s="410">
        <v>43716</v>
      </c>
      <c r="F1454" s="410">
        <v>43735</v>
      </c>
      <c r="G1454" s="405" t="s">
        <v>7686</v>
      </c>
      <c r="H1454" s="405">
        <v>701693593</v>
      </c>
      <c r="I1454" s="405"/>
      <c r="J1454" s="405">
        <v>0.29330000000000001</v>
      </c>
      <c r="K1454" s="405">
        <v>31.292300000000001</v>
      </c>
      <c r="L1454" s="405" t="s">
        <v>314</v>
      </c>
      <c r="M1454" s="405" t="s">
        <v>315</v>
      </c>
      <c r="N1454" s="405" t="s">
        <v>7687</v>
      </c>
      <c r="O1454" s="405" t="s">
        <v>523</v>
      </c>
      <c r="P1454" s="405" t="s">
        <v>1791</v>
      </c>
      <c r="Q1454" s="411">
        <v>9</v>
      </c>
      <c r="R1454" s="405" t="s">
        <v>32101</v>
      </c>
      <c r="S1454" s="405" t="s">
        <v>27042</v>
      </c>
      <c r="T1454" s="405" t="s">
        <v>884</v>
      </c>
      <c r="U1454" s="405" t="s">
        <v>319</v>
      </c>
    </row>
    <row r="1455" spans="1:21" x14ac:dyDescent="0.25">
      <c r="A1455" s="405" t="s">
        <v>310</v>
      </c>
      <c r="B1455" s="405" t="s">
        <v>25468</v>
      </c>
      <c r="C1455" s="405" t="s">
        <v>327</v>
      </c>
      <c r="D1455" s="405"/>
      <c r="E1455" s="410">
        <v>43716</v>
      </c>
      <c r="F1455" s="410">
        <v>43733</v>
      </c>
      <c r="G1455" s="405" t="s">
        <v>25469</v>
      </c>
      <c r="H1455" s="405">
        <v>772471675</v>
      </c>
      <c r="I1455" s="405"/>
      <c r="J1455" s="405">
        <v>-0.79741499999999998</v>
      </c>
      <c r="K1455" s="405">
        <v>30.163302000000002</v>
      </c>
      <c r="L1455" s="405" t="s">
        <v>590</v>
      </c>
      <c r="M1455" s="405" t="s">
        <v>19659</v>
      </c>
      <c r="N1455" s="405" t="s">
        <v>19604</v>
      </c>
      <c r="O1455" s="405" t="s">
        <v>19822</v>
      </c>
      <c r="P1455" s="405" t="s">
        <v>24128</v>
      </c>
      <c r="Q1455" s="411">
        <v>9</v>
      </c>
      <c r="R1455" s="405" t="s">
        <v>32166</v>
      </c>
      <c r="S1455" s="405" t="s">
        <v>27410</v>
      </c>
      <c r="T1455" s="405" t="s">
        <v>884</v>
      </c>
      <c r="U1455" s="405" t="s">
        <v>319</v>
      </c>
    </row>
    <row r="1456" spans="1:21" x14ac:dyDescent="0.25">
      <c r="A1456" s="405" t="s">
        <v>310</v>
      </c>
      <c r="B1456" s="405" t="s">
        <v>17019</v>
      </c>
      <c r="C1456" s="405" t="s">
        <v>327</v>
      </c>
      <c r="D1456" s="405"/>
      <c r="E1456" s="410">
        <v>43716</v>
      </c>
      <c r="F1456" s="410">
        <v>43758</v>
      </c>
      <c r="G1456" s="405" t="s">
        <v>17020</v>
      </c>
      <c r="H1456" s="405">
        <v>756330520</v>
      </c>
      <c r="I1456" s="405"/>
      <c r="J1456" s="405">
        <v>1.364528</v>
      </c>
      <c r="K1456" s="405">
        <v>34.403238000000002</v>
      </c>
      <c r="L1456" s="405" t="s">
        <v>6866</v>
      </c>
      <c r="M1456" s="405" t="s">
        <v>9685</v>
      </c>
      <c r="N1456" s="405" t="s">
        <v>9686</v>
      </c>
      <c r="O1456" s="405" t="s">
        <v>9709</v>
      </c>
      <c r="P1456" s="405" t="s">
        <v>17021</v>
      </c>
      <c r="Q1456" s="411">
        <v>6</v>
      </c>
      <c r="R1456" s="405" t="s">
        <v>9506</v>
      </c>
      <c r="S1456" s="405" t="s">
        <v>27318</v>
      </c>
      <c r="T1456" s="405" t="s">
        <v>884</v>
      </c>
      <c r="U1456" s="405" t="s">
        <v>319</v>
      </c>
    </row>
    <row r="1457" spans="1:21" x14ac:dyDescent="0.25">
      <c r="A1457" s="405" t="s">
        <v>310</v>
      </c>
      <c r="B1457" s="405" t="s">
        <v>25423</v>
      </c>
      <c r="C1457" s="405" t="s">
        <v>327</v>
      </c>
      <c r="D1457" s="405"/>
      <c r="E1457" s="410">
        <v>43716</v>
      </c>
      <c r="F1457" s="410">
        <v>43736</v>
      </c>
      <c r="G1457" s="405" t="s">
        <v>25424</v>
      </c>
      <c r="H1457" s="405">
        <v>782316238</v>
      </c>
      <c r="I1457" s="405"/>
      <c r="J1457" s="405">
        <v>-5.5708000000000001E-2</v>
      </c>
      <c r="K1457" s="405" t="s">
        <v>7372</v>
      </c>
      <c r="L1457" s="405" t="s">
        <v>590</v>
      </c>
      <c r="M1457" s="405" t="s">
        <v>20808</v>
      </c>
      <c r="N1457" s="405" t="s">
        <v>23390</v>
      </c>
      <c r="O1457" s="405" t="s">
        <v>23559</v>
      </c>
      <c r="P1457" s="405" t="s">
        <v>25163</v>
      </c>
      <c r="Q1457" s="411">
        <v>6</v>
      </c>
      <c r="R1457" s="405" t="s">
        <v>6572</v>
      </c>
      <c r="S1457" s="405" t="s">
        <v>27154</v>
      </c>
      <c r="T1457" s="405" t="s">
        <v>884</v>
      </c>
      <c r="U1457" s="405" t="s">
        <v>319</v>
      </c>
    </row>
    <row r="1458" spans="1:21" x14ac:dyDescent="0.25">
      <c r="A1458" s="405" t="s">
        <v>310</v>
      </c>
      <c r="B1458" s="405" t="s">
        <v>17397</v>
      </c>
      <c r="C1458" s="405" t="s">
        <v>311</v>
      </c>
      <c r="D1458" s="405" t="s">
        <v>8702</v>
      </c>
      <c r="E1458" s="410">
        <v>43716</v>
      </c>
      <c r="F1458" s="410">
        <v>43726</v>
      </c>
      <c r="G1458" s="405" t="s">
        <v>17398</v>
      </c>
      <c r="H1458" s="405">
        <v>773558750</v>
      </c>
      <c r="I1458" s="405"/>
      <c r="J1458" s="405">
        <v>0.45803500000000003</v>
      </c>
      <c r="K1458" s="405">
        <v>33.484383000000001</v>
      </c>
      <c r="L1458" s="405" t="s">
        <v>6866</v>
      </c>
      <c r="M1458" s="405" t="s">
        <v>5411</v>
      </c>
      <c r="N1458" s="405" t="s">
        <v>13715</v>
      </c>
      <c r="O1458" s="405" t="s">
        <v>17399</v>
      </c>
      <c r="P1458" s="405" t="s">
        <v>17400</v>
      </c>
      <c r="Q1458" s="411">
        <v>4</v>
      </c>
      <c r="R1458" s="405" t="s">
        <v>32164</v>
      </c>
      <c r="S1458" s="405" t="s">
        <v>6822</v>
      </c>
      <c r="T1458" s="405" t="s">
        <v>884</v>
      </c>
      <c r="U1458" s="405" t="s">
        <v>319</v>
      </c>
    </row>
    <row r="1459" spans="1:21" x14ac:dyDescent="0.25">
      <c r="A1459" s="405" t="s">
        <v>310</v>
      </c>
      <c r="B1459" s="405" t="s">
        <v>25529</v>
      </c>
      <c r="C1459" s="405" t="s">
        <v>327</v>
      </c>
      <c r="D1459" s="405"/>
      <c r="E1459" s="410">
        <v>43715</v>
      </c>
      <c r="F1459" s="410">
        <v>43744</v>
      </c>
      <c r="G1459" s="405" t="s">
        <v>25530</v>
      </c>
      <c r="H1459" s="405">
        <v>772624142</v>
      </c>
      <c r="I1459" s="405"/>
      <c r="J1459" s="405">
        <v>-5.5708000000000001E-2</v>
      </c>
      <c r="K1459" s="405" t="s">
        <v>7372</v>
      </c>
      <c r="L1459" s="405" t="s">
        <v>590</v>
      </c>
      <c r="M1459" s="405" t="s">
        <v>21087</v>
      </c>
      <c r="N1459" s="405" t="s">
        <v>25531</v>
      </c>
      <c r="O1459" s="405" t="s">
        <v>2761</v>
      </c>
      <c r="P1459" s="405" t="s">
        <v>870</v>
      </c>
      <c r="Q1459" s="411">
        <v>9</v>
      </c>
      <c r="R1459" s="405" t="s">
        <v>32166</v>
      </c>
      <c r="S1459" s="405" t="s">
        <v>27102</v>
      </c>
      <c r="T1459" s="405" t="s">
        <v>884</v>
      </c>
      <c r="U1459" s="405" t="s">
        <v>319</v>
      </c>
    </row>
    <row r="1460" spans="1:21" x14ac:dyDescent="0.25">
      <c r="A1460" s="405" t="s">
        <v>310</v>
      </c>
      <c r="B1460" s="405" t="s">
        <v>7671</v>
      </c>
      <c r="C1460" s="405" t="s">
        <v>327</v>
      </c>
      <c r="D1460" s="405"/>
      <c r="E1460" s="410">
        <v>43715</v>
      </c>
      <c r="F1460" s="410">
        <v>43738</v>
      </c>
      <c r="G1460" s="405" t="s">
        <v>7672</v>
      </c>
      <c r="H1460" s="405">
        <v>757676117</v>
      </c>
      <c r="I1460" s="405"/>
      <c r="J1460" s="405" t="s">
        <v>7334</v>
      </c>
      <c r="K1460" s="405">
        <v>34.189390000000003</v>
      </c>
      <c r="L1460" s="405" t="s">
        <v>314</v>
      </c>
      <c r="M1460" s="405" t="s">
        <v>361</v>
      </c>
      <c r="N1460" s="405" t="s">
        <v>7361</v>
      </c>
      <c r="O1460" s="405" t="s">
        <v>410</v>
      </c>
      <c r="P1460" s="405" t="s">
        <v>7673</v>
      </c>
      <c r="Q1460" s="411">
        <v>9</v>
      </c>
      <c r="R1460" s="405" t="s">
        <v>32157</v>
      </c>
      <c r="S1460" s="405" t="s">
        <v>27047</v>
      </c>
      <c r="T1460" s="405" t="s">
        <v>884</v>
      </c>
      <c r="U1460" s="405" t="s">
        <v>319</v>
      </c>
    </row>
    <row r="1461" spans="1:21" x14ac:dyDescent="0.25">
      <c r="A1461" s="405" t="s">
        <v>310</v>
      </c>
      <c r="B1461" s="405" t="s">
        <v>16957</v>
      </c>
      <c r="C1461" s="405" t="s">
        <v>327</v>
      </c>
      <c r="D1461" s="405"/>
      <c r="E1461" s="410">
        <v>43715</v>
      </c>
      <c r="F1461" s="410">
        <v>43738</v>
      </c>
      <c r="G1461" s="405" t="s">
        <v>16958</v>
      </c>
      <c r="H1461" s="405">
        <v>777997874</v>
      </c>
      <c r="I1461" s="405"/>
      <c r="J1461" s="405">
        <v>1.721867</v>
      </c>
      <c r="K1461" s="405">
        <v>33.640377999999998</v>
      </c>
      <c r="L1461" s="405" t="s">
        <v>6866</v>
      </c>
      <c r="M1461" s="405" t="s">
        <v>10515</v>
      </c>
      <c r="N1461" s="405" t="s">
        <v>10765</v>
      </c>
      <c r="O1461" s="405" t="s">
        <v>16959</v>
      </c>
      <c r="P1461" s="405" t="s">
        <v>10542</v>
      </c>
      <c r="Q1461" s="411">
        <v>9</v>
      </c>
      <c r="R1461" s="405" t="s">
        <v>874</v>
      </c>
      <c r="S1461" s="405" t="s">
        <v>27271</v>
      </c>
      <c r="T1461" s="405" t="s">
        <v>884</v>
      </c>
      <c r="U1461" s="405" t="s">
        <v>319</v>
      </c>
    </row>
    <row r="1462" spans="1:21" x14ac:dyDescent="0.25">
      <c r="A1462" s="405" t="s">
        <v>310</v>
      </c>
      <c r="B1462" s="405" t="s">
        <v>7792</v>
      </c>
      <c r="C1462" s="405" t="s">
        <v>327</v>
      </c>
      <c r="D1462" s="405"/>
      <c r="E1462" s="410">
        <v>43714</v>
      </c>
      <c r="F1462" s="410">
        <v>43749</v>
      </c>
      <c r="G1462" s="405" t="s">
        <v>7793</v>
      </c>
      <c r="H1462" s="405">
        <v>757798075</v>
      </c>
      <c r="I1462" s="405">
        <v>759725363</v>
      </c>
      <c r="J1462" s="405">
        <v>-0.22770099999999999</v>
      </c>
      <c r="K1462" s="405">
        <v>31.835443999999999</v>
      </c>
      <c r="L1462" s="405" t="s">
        <v>314</v>
      </c>
      <c r="M1462" s="405" t="s">
        <v>1189</v>
      </c>
      <c r="N1462" s="405" t="s">
        <v>7794</v>
      </c>
      <c r="O1462" s="405" t="s">
        <v>1553</v>
      </c>
      <c r="P1462" s="405" t="s">
        <v>7795</v>
      </c>
      <c r="Q1462" s="411">
        <v>9</v>
      </c>
      <c r="R1462" s="405" t="s">
        <v>5986</v>
      </c>
      <c r="S1462" s="405" t="s">
        <v>5986</v>
      </c>
      <c r="T1462" s="405" t="s">
        <v>884</v>
      </c>
      <c r="U1462" s="405" t="s">
        <v>319</v>
      </c>
    </row>
    <row r="1463" spans="1:21" x14ac:dyDescent="0.25">
      <c r="A1463" s="405" t="s">
        <v>310</v>
      </c>
      <c r="B1463" s="405" t="s">
        <v>25523</v>
      </c>
      <c r="C1463" s="405" t="s">
        <v>327</v>
      </c>
      <c r="D1463" s="405"/>
      <c r="E1463" s="410">
        <v>43714</v>
      </c>
      <c r="F1463" s="410">
        <v>43743</v>
      </c>
      <c r="G1463" s="405" t="s">
        <v>25524</v>
      </c>
      <c r="H1463" s="405">
        <v>702640564</v>
      </c>
      <c r="I1463" s="405"/>
      <c r="J1463" s="405">
        <v>1.3524529999999999</v>
      </c>
      <c r="K1463" s="405">
        <v>34.467911999999998</v>
      </c>
      <c r="L1463" s="405" t="s">
        <v>590</v>
      </c>
      <c r="M1463" s="405" t="s">
        <v>19614</v>
      </c>
      <c r="N1463" s="405" t="s">
        <v>18043</v>
      </c>
      <c r="O1463" s="405" t="s">
        <v>23816</v>
      </c>
      <c r="P1463" s="405" t="s">
        <v>25525</v>
      </c>
      <c r="Q1463" s="411">
        <v>9</v>
      </c>
      <c r="R1463" s="405" t="s">
        <v>32166</v>
      </c>
      <c r="S1463" s="405" t="s">
        <v>27102</v>
      </c>
      <c r="T1463" s="405" t="s">
        <v>884</v>
      </c>
      <c r="U1463" s="405" t="s">
        <v>319</v>
      </c>
    </row>
    <row r="1464" spans="1:21" x14ac:dyDescent="0.25">
      <c r="A1464" s="405" t="s">
        <v>310</v>
      </c>
      <c r="B1464" s="405" t="s">
        <v>16904</v>
      </c>
      <c r="C1464" s="405" t="s">
        <v>327</v>
      </c>
      <c r="D1464" s="405"/>
      <c r="E1464" s="410">
        <v>43714</v>
      </c>
      <c r="F1464" s="410">
        <v>43729</v>
      </c>
      <c r="G1464" s="405" t="s">
        <v>16905</v>
      </c>
      <c r="H1464" s="405">
        <v>782818847</v>
      </c>
      <c r="I1464" s="405">
        <v>772806774</v>
      </c>
      <c r="J1464" s="405" t="s">
        <v>7334</v>
      </c>
      <c r="K1464" s="405">
        <v>34.189390000000003</v>
      </c>
      <c r="L1464" s="405" t="s">
        <v>6866</v>
      </c>
      <c r="M1464" s="405" t="s">
        <v>10515</v>
      </c>
      <c r="N1464" s="405" t="s">
        <v>10765</v>
      </c>
      <c r="O1464" s="405" t="s">
        <v>11545</v>
      </c>
      <c r="P1464" s="405" t="s">
        <v>16906</v>
      </c>
      <c r="Q1464" s="411">
        <v>9</v>
      </c>
      <c r="R1464" s="405" t="s">
        <v>5655</v>
      </c>
      <c r="S1464" s="405" t="s">
        <v>27072</v>
      </c>
      <c r="T1464" s="405" t="s">
        <v>884</v>
      </c>
      <c r="U1464" s="405" t="s">
        <v>319</v>
      </c>
    </row>
    <row r="1465" spans="1:21" x14ac:dyDescent="0.25">
      <c r="A1465" s="405" t="s">
        <v>310</v>
      </c>
      <c r="B1465" s="405" t="s">
        <v>17483</v>
      </c>
      <c r="C1465" s="405" t="s">
        <v>311</v>
      </c>
      <c r="D1465" s="405" t="s">
        <v>2127</v>
      </c>
      <c r="E1465" s="410">
        <v>43713</v>
      </c>
      <c r="F1465" s="410">
        <v>43736</v>
      </c>
      <c r="G1465" s="405" t="s">
        <v>17484</v>
      </c>
      <c r="H1465" s="405">
        <v>777997874</v>
      </c>
      <c r="I1465" s="405"/>
      <c r="J1465" s="405">
        <v>1.7218720000000001</v>
      </c>
      <c r="K1465" s="405">
        <v>33.640245</v>
      </c>
      <c r="L1465" s="405" t="s">
        <v>6866</v>
      </c>
      <c r="M1465" s="405" t="s">
        <v>10515</v>
      </c>
      <c r="N1465" s="405" t="s">
        <v>10765</v>
      </c>
      <c r="O1465" s="405" t="s">
        <v>16959</v>
      </c>
      <c r="P1465" s="405" t="s">
        <v>10542</v>
      </c>
      <c r="Q1465" s="411">
        <v>9</v>
      </c>
      <c r="R1465" s="405" t="s">
        <v>874</v>
      </c>
      <c r="S1465" s="405" t="s">
        <v>27271</v>
      </c>
      <c r="T1465" s="405" t="s">
        <v>884</v>
      </c>
      <c r="U1465" s="405" t="s">
        <v>319</v>
      </c>
    </row>
    <row r="1466" spans="1:21" x14ac:dyDescent="0.25">
      <c r="A1466" s="405" t="s">
        <v>310</v>
      </c>
      <c r="B1466" s="405" t="s">
        <v>16995</v>
      </c>
      <c r="C1466" s="405" t="s">
        <v>327</v>
      </c>
      <c r="D1466" s="405"/>
      <c r="E1466" s="410">
        <v>43713</v>
      </c>
      <c r="F1466" s="410">
        <v>43723</v>
      </c>
      <c r="G1466" s="405" t="s">
        <v>16996</v>
      </c>
      <c r="H1466" s="405">
        <v>752380331</v>
      </c>
      <c r="I1466" s="405"/>
      <c r="J1466" s="405">
        <v>0.99083600000000005</v>
      </c>
      <c r="K1466" s="405">
        <v>34.173879999999997</v>
      </c>
      <c r="L1466" s="405" t="s">
        <v>6866</v>
      </c>
      <c r="M1466" s="405" t="s">
        <v>11128</v>
      </c>
      <c r="N1466" s="405" t="s">
        <v>16997</v>
      </c>
      <c r="O1466" s="405" t="s">
        <v>16997</v>
      </c>
      <c r="P1466" s="405" t="s">
        <v>16998</v>
      </c>
      <c r="Q1466" s="411">
        <v>9</v>
      </c>
      <c r="R1466" s="405" t="s">
        <v>32164</v>
      </c>
      <c r="S1466" s="405" t="s">
        <v>27186</v>
      </c>
      <c r="T1466" s="405" t="s">
        <v>32102</v>
      </c>
      <c r="U1466" s="405" t="s">
        <v>319</v>
      </c>
    </row>
    <row r="1467" spans="1:21" x14ac:dyDescent="0.25">
      <c r="A1467" s="405" t="s">
        <v>310</v>
      </c>
      <c r="B1467" s="405" t="s">
        <v>8329</v>
      </c>
      <c r="C1467" s="405" t="s">
        <v>311</v>
      </c>
      <c r="D1467" s="405" t="s">
        <v>8330</v>
      </c>
      <c r="E1467" s="410">
        <v>43713</v>
      </c>
      <c r="F1467" s="410">
        <v>43733</v>
      </c>
      <c r="G1467" s="405" t="s">
        <v>8331</v>
      </c>
      <c r="H1467" s="405">
        <v>704800067</v>
      </c>
      <c r="I1467" s="405"/>
      <c r="J1467" s="405">
        <v>0.28194000000000002</v>
      </c>
      <c r="K1467" s="405">
        <v>32.481200000000001</v>
      </c>
      <c r="L1467" s="405" t="s">
        <v>314</v>
      </c>
      <c r="M1467" s="405" t="s">
        <v>361</v>
      </c>
      <c r="N1467" s="405" t="s">
        <v>3398</v>
      </c>
      <c r="O1467" s="405" t="s">
        <v>375</v>
      </c>
      <c r="P1467" s="405" t="s">
        <v>8332</v>
      </c>
      <c r="Q1467" s="411">
        <v>6</v>
      </c>
      <c r="R1467" s="405" t="s">
        <v>4176</v>
      </c>
      <c r="S1467" s="405" t="s">
        <v>27153</v>
      </c>
      <c r="T1467" s="405" t="s">
        <v>884</v>
      </c>
      <c r="U1467" s="405" t="s">
        <v>319</v>
      </c>
    </row>
    <row r="1468" spans="1:21" x14ac:dyDescent="0.25">
      <c r="A1468" s="405" t="s">
        <v>310</v>
      </c>
      <c r="B1468" s="405" t="s">
        <v>7719</v>
      </c>
      <c r="C1468" s="405" t="s">
        <v>327</v>
      </c>
      <c r="D1468" s="405"/>
      <c r="E1468" s="410">
        <v>43713</v>
      </c>
      <c r="F1468" s="410">
        <v>43723</v>
      </c>
      <c r="G1468" s="405" t="s">
        <v>7720</v>
      </c>
      <c r="H1468" s="405">
        <v>772558969</v>
      </c>
      <c r="I1468" s="405" t="s">
        <v>7721</v>
      </c>
      <c r="J1468" s="405">
        <v>0.52320500000000003</v>
      </c>
      <c r="K1468" s="405">
        <v>32.575907999999998</v>
      </c>
      <c r="L1468" s="405" t="s">
        <v>314</v>
      </c>
      <c r="M1468" s="405" t="s">
        <v>361</v>
      </c>
      <c r="N1468" s="405" t="s">
        <v>7722</v>
      </c>
      <c r="O1468" s="405" t="s">
        <v>433</v>
      </c>
      <c r="P1468" s="405" t="s">
        <v>1912</v>
      </c>
      <c r="Q1468" s="411">
        <v>6</v>
      </c>
      <c r="R1468" s="405" t="s">
        <v>4176</v>
      </c>
      <c r="S1468" s="405" t="s">
        <v>27153</v>
      </c>
      <c r="T1468" s="405" t="s">
        <v>884</v>
      </c>
      <c r="U1468" s="405" t="s">
        <v>319</v>
      </c>
    </row>
    <row r="1469" spans="1:21" x14ac:dyDescent="0.25">
      <c r="A1469" s="405" t="s">
        <v>310</v>
      </c>
      <c r="B1469" s="405" t="s">
        <v>16960</v>
      </c>
      <c r="C1469" s="405" t="s">
        <v>327</v>
      </c>
      <c r="D1469" s="405"/>
      <c r="E1469" s="410">
        <v>43713</v>
      </c>
      <c r="F1469" s="410">
        <v>43732</v>
      </c>
      <c r="G1469" s="405" t="s">
        <v>16961</v>
      </c>
      <c r="H1469" s="405">
        <v>782981520</v>
      </c>
      <c r="I1469" s="405"/>
      <c r="J1469" s="405" t="s">
        <v>7334</v>
      </c>
      <c r="K1469" s="405">
        <v>34.189390000000003</v>
      </c>
      <c r="L1469" s="405" t="s">
        <v>6866</v>
      </c>
      <c r="M1469" s="405" t="s">
        <v>12153</v>
      </c>
      <c r="N1469" s="405" t="s">
        <v>10377</v>
      </c>
      <c r="O1469" s="405" t="s">
        <v>16088</v>
      </c>
      <c r="P1469" s="405" t="s">
        <v>16962</v>
      </c>
      <c r="Q1469" s="411">
        <v>6</v>
      </c>
      <c r="R1469" s="405" t="s">
        <v>5655</v>
      </c>
      <c r="S1469" s="405" t="s">
        <v>27357</v>
      </c>
      <c r="T1469" s="405" t="s">
        <v>884</v>
      </c>
      <c r="U1469" s="405" t="s">
        <v>319</v>
      </c>
    </row>
    <row r="1470" spans="1:21" x14ac:dyDescent="0.25">
      <c r="A1470" s="405" t="s">
        <v>310</v>
      </c>
      <c r="B1470" s="405" t="s">
        <v>8306</v>
      </c>
      <c r="C1470" s="405" t="s">
        <v>311</v>
      </c>
      <c r="D1470" s="405" t="s">
        <v>839</v>
      </c>
      <c r="E1470" s="410">
        <v>43713</v>
      </c>
      <c r="F1470" s="410">
        <v>43718</v>
      </c>
      <c r="G1470" s="405" t="s">
        <v>8307</v>
      </c>
      <c r="H1470" s="405">
        <v>772456475</v>
      </c>
      <c r="I1470" s="405">
        <v>777869634</v>
      </c>
      <c r="J1470" s="405">
        <v>0.47838000000000003</v>
      </c>
      <c r="K1470" s="405">
        <v>32.746122</v>
      </c>
      <c r="L1470" s="405" t="s">
        <v>314</v>
      </c>
      <c r="M1470" s="405" t="s">
        <v>329</v>
      </c>
      <c r="N1470" s="405" t="s">
        <v>8308</v>
      </c>
      <c r="O1470" s="405" t="s">
        <v>8308</v>
      </c>
      <c r="P1470" s="405" t="s">
        <v>8309</v>
      </c>
      <c r="Q1470" s="411">
        <v>6</v>
      </c>
      <c r="R1470" s="405" t="s">
        <v>5921</v>
      </c>
      <c r="S1470" s="405" t="s">
        <v>32960</v>
      </c>
      <c r="T1470" s="405" t="s">
        <v>884</v>
      </c>
      <c r="U1470" s="405" t="s">
        <v>319</v>
      </c>
    </row>
    <row r="1471" spans="1:21" x14ac:dyDescent="0.25">
      <c r="A1471" s="405" t="s">
        <v>310</v>
      </c>
      <c r="B1471" s="405" t="s">
        <v>16986</v>
      </c>
      <c r="C1471" s="405" t="s">
        <v>327</v>
      </c>
      <c r="D1471" s="405"/>
      <c r="E1471" s="410">
        <v>43712</v>
      </c>
      <c r="F1471" s="410">
        <v>43738</v>
      </c>
      <c r="G1471" s="405" t="s">
        <v>16987</v>
      </c>
      <c r="H1471" s="405">
        <v>774225466</v>
      </c>
      <c r="I1471" s="405"/>
      <c r="J1471" s="405">
        <v>0.46545199999999998</v>
      </c>
      <c r="K1471" s="405">
        <v>33.472712000000001</v>
      </c>
      <c r="L1471" s="405" t="s">
        <v>6866</v>
      </c>
      <c r="M1471" s="405" t="s">
        <v>5411</v>
      </c>
      <c r="N1471" s="405" t="s">
        <v>13715</v>
      </c>
      <c r="O1471" s="405" t="s">
        <v>16988</v>
      </c>
      <c r="P1471" s="405" t="s">
        <v>16989</v>
      </c>
      <c r="Q1471" s="411">
        <v>9</v>
      </c>
      <c r="R1471" s="405" t="s">
        <v>32164</v>
      </c>
      <c r="S1471" s="405" t="s">
        <v>27054</v>
      </c>
      <c r="T1471" s="405" t="s">
        <v>884</v>
      </c>
      <c r="U1471" s="405" t="s">
        <v>319</v>
      </c>
    </row>
    <row r="1472" spans="1:21" x14ac:dyDescent="0.25">
      <c r="A1472" s="405" t="s">
        <v>310</v>
      </c>
      <c r="B1472" s="405" t="s">
        <v>25420</v>
      </c>
      <c r="C1472" s="405" t="s">
        <v>327</v>
      </c>
      <c r="D1472" s="405"/>
      <c r="E1472" s="410">
        <v>43712</v>
      </c>
      <c r="F1472" s="410">
        <v>43732</v>
      </c>
      <c r="G1472" s="405" t="s">
        <v>25421</v>
      </c>
      <c r="H1472" s="405">
        <v>772950138</v>
      </c>
      <c r="I1472" s="405"/>
      <c r="J1472" s="405">
        <v>-0.25717699999999999</v>
      </c>
      <c r="K1472" s="405">
        <v>31.819427999999998</v>
      </c>
      <c r="L1472" s="405" t="s">
        <v>590</v>
      </c>
      <c r="M1472" s="405" t="s">
        <v>20808</v>
      </c>
      <c r="N1472" s="405" t="s">
        <v>25110</v>
      </c>
      <c r="O1472" s="405" t="s">
        <v>23870</v>
      </c>
      <c r="P1472" s="405" t="s">
        <v>25422</v>
      </c>
      <c r="Q1472" s="411">
        <v>9</v>
      </c>
      <c r="R1472" s="405" t="s">
        <v>6572</v>
      </c>
      <c r="S1472" s="405" t="s">
        <v>27240</v>
      </c>
      <c r="T1472" s="405" t="s">
        <v>884</v>
      </c>
      <c r="U1472" s="405" t="s">
        <v>319</v>
      </c>
    </row>
    <row r="1473" spans="1:21" x14ac:dyDescent="0.25">
      <c r="A1473" s="405" t="s">
        <v>310</v>
      </c>
      <c r="B1473" s="405" t="s">
        <v>16918</v>
      </c>
      <c r="C1473" s="405" t="s">
        <v>327</v>
      </c>
      <c r="D1473" s="405"/>
      <c r="E1473" s="410">
        <v>43712</v>
      </c>
      <c r="F1473" s="410">
        <v>43733</v>
      </c>
      <c r="G1473" s="405" t="s">
        <v>16919</v>
      </c>
      <c r="H1473" s="405">
        <v>782919534</v>
      </c>
      <c r="I1473" s="405"/>
      <c r="J1473" s="405">
        <v>1.9376899999999999</v>
      </c>
      <c r="K1473" s="405">
        <v>33.330257000000003</v>
      </c>
      <c r="L1473" s="405" t="s">
        <v>6866</v>
      </c>
      <c r="M1473" s="405" t="s">
        <v>5345</v>
      </c>
      <c r="N1473" s="405" t="s">
        <v>16920</v>
      </c>
      <c r="O1473" s="405" t="s">
        <v>16389</v>
      </c>
      <c r="P1473" s="405" t="s">
        <v>16921</v>
      </c>
      <c r="Q1473" s="411">
        <v>6</v>
      </c>
      <c r="R1473" s="405" t="s">
        <v>7224</v>
      </c>
      <c r="S1473" s="405" t="s">
        <v>27294</v>
      </c>
      <c r="T1473" s="405" t="s">
        <v>884</v>
      </c>
      <c r="U1473" s="405" t="s">
        <v>319</v>
      </c>
    </row>
    <row r="1474" spans="1:21" x14ac:dyDescent="0.25">
      <c r="A1474" s="405" t="s">
        <v>310</v>
      </c>
      <c r="B1474" s="405" t="s">
        <v>16950</v>
      </c>
      <c r="C1474" s="405" t="s">
        <v>327</v>
      </c>
      <c r="D1474" s="405"/>
      <c r="E1474" s="410">
        <v>43712</v>
      </c>
      <c r="F1474" s="410">
        <v>43727</v>
      </c>
      <c r="G1474" s="405" t="s">
        <v>16951</v>
      </c>
      <c r="H1474" s="405">
        <v>704743527</v>
      </c>
      <c r="I1474" s="405"/>
      <c r="J1474" s="405">
        <v>0.99083600000000005</v>
      </c>
      <c r="K1474" s="405">
        <v>34.173879999999997</v>
      </c>
      <c r="L1474" s="405" t="s">
        <v>6866</v>
      </c>
      <c r="M1474" s="405" t="s">
        <v>9685</v>
      </c>
      <c r="N1474" s="405" t="s">
        <v>9686</v>
      </c>
      <c r="O1474" s="405" t="s">
        <v>9709</v>
      </c>
      <c r="P1474" s="405" t="s">
        <v>16952</v>
      </c>
      <c r="Q1474" s="411">
        <v>6</v>
      </c>
      <c r="R1474" s="405" t="s">
        <v>9506</v>
      </c>
      <c r="S1474" s="405" t="s">
        <v>27365</v>
      </c>
      <c r="T1474" s="405" t="s">
        <v>32102</v>
      </c>
      <c r="U1474" s="405" t="s">
        <v>319</v>
      </c>
    </row>
    <row r="1475" spans="1:21" x14ac:dyDescent="0.25">
      <c r="A1475" s="405" t="s">
        <v>310</v>
      </c>
      <c r="B1475" s="405" t="s">
        <v>25330</v>
      </c>
      <c r="C1475" s="405" t="s">
        <v>327</v>
      </c>
      <c r="D1475" s="405"/>
      <c r="E1475" s="410">
        <v>43712</v>
      </c>
      <c r="F1475" s="410">
        <v>43724</v>
      </c>
      <c r="G1475" s="405" t="s">
        <v>25331</v>
      </c>
      <c r="H1475" s="405">
        <v>772575186</v>
      </c>
      <c r="I1475" s="405"/>
      <c r="J1475" s="405">
        <v>-0.88991699999999996</v>
      </c>
      <c r="K1475" s="405">
        <v>29.767952000000001</v>
      </c>
      <c r="L1475" s="405" t="s">
        <v>590</v>
      </c>
      <c r="M1475" s="405" t="s">
        <v>20808</v>
      </c>
      <c r="N1475" s="405" t="s">
        <v>23390</v>
      </c>
      <c r="O1475" s="405" t="s">
        <v>24811</v>
      </c>
      <c r="P1475" s="405" t="s">
        <v>25273</v>
      </c>
      <c r="Q1475" s="411">
        <v>6</v>
      </c>
      <c r="R1475" s="405" t="s">
        <v>6572</v>
      </c>
      <c r="S1475" s="405" t="s">
        <v>27154</v>
      </c>
      <c r="T1475" s="405" t="s">
        <v>884</v>
      </c>
      <c r="U1475" s="405" t="s">
        <v>319</v>
      </c>
    </row>
    <row r="1476" spans="1:21" x14ac:dyDescent="0.25">
      <c r="A1476" s="405" t="s">
        <v>310</v>
      </c>
      <c r="B1476" s="405" t="s">
        <v>25392</v>
      </c>
      <c r="C1476" s="405" t="s">
        <v>327</v>
      </c>
      <c r="D1476" s="405"/>
      <c r="E1476" s="410">
        <v>43711</v>
      </c>
      <c r="F1476" s="410">
        <v>43738</v>
      </c>
      <c r="G1476" s="405" t="s">
        <v>25393</v>
      </c>
      <c r="H1476" s="405">
        <v>772428380</v>
      </c>
      <c r="I1476" s="405"/>
      <c r="J1476" s="405">
        <v>-0.84423800000000004</v>
      </c>
      <c r="K1476" s="405">
        <v>30.137796999999999</v>
      </c>
      <c r="L1476" s="405" t="s">
        <v>590</v>
      </c>
      <c r="M1476" s="405" t="s">
        <v>19659</v>
      </c>
      <c r="N1476" s="405" t="s">
        <v>19604</v>
      </c>
      <c r="O1476" s="405" t="s">
        <v>25394</v>
      </c>
      <c r="P1476" s="405" t="s">
        <v>25395</v>
      </c>
      <c r="Q1476" s="411">
        <v>9</v>
      </c>
      <c r="R1476" s="405" t="s">
        <v>6572</v>
      </c>
      <c r="S1476" s="405" t="s">
        <v>27399</v>
      </c>
      <c r="T1476" s="405" t="s">
        <v>32102</v>
      </c>
      <c r="U1476" s="405" t="s">
        <v>319</v>
      </c>
    </row>
    <row r="1477" spans="1:21" x14ac:dyDescent="0.25">
      <c r="A1477" s="405" t="s">
        <v>310</v>
      </c>
      <c r="B1477" s="405" t="s">
        <v>25386</v>
      </c>
      <c r="C1477" s="405" t="s">
        <v>327</v>
      </c>
      <c r="D1477" s="405"/>
      <c r="E1477" s="410">
        <v>43711</v>
      </c>
      <c r="F1477" s="410">
        <v>43731</v>
      </c>
      <c r="G1477" s="405" t="s">
        <v>25387</v>
      </c>
      <c r="H1477" s="405">
        <v>782446061</v>
      </c>
      <c r="I1477" s="405"/>
      <c r="J1477" s="405">
        <v>-5.5708000000000001E-2</v>
      </c>
      <c r="K1477" s="405" t="s">
        <v>7372</v>
      </c>
      <c r="L1477" s="405" t="s">
        <v>590</v>
      </c>
      <c r="M1477" s="405" t="s">
        <v>20808</v>
      </c>
      <c r="N1477" s="405" t="s">
        <v>23390</v>
      </c>
      <c r="O1477" s="405" t="s">
        <v>23326</v>
      </c>
      <c r="P1477" s="405" t="s">
        <v>25388</v>
      </c>
      <c r="Q1477" s="411">
        <v>9</v>
      </c>
      <c r="R1477" s="405" t="s">
        <v>6572</v>
      </c>
      <c r="S1477" s="405" t="s">
        <v>27154</v>
      </c>
      <c r="T1477" s="405" t="s">
        <v>32102</v>
      </c>
      <c r="U1477" s="405" t="s">
        <v>319</v>
      </c>
    </row>
    <row r="1478" spans="1:21" x14ac:dyDescent="0.25">
      <c r="A1478" s="405" t="s">
        <v>310</v>
      </c>
      <c r="B1478" s="405" t="s">
        <v>25438</v>
      </c>
      <c r="C1478" s="405" t="s">
        <v>327</v>
      </c>
      <c r="D1478" s="405"/>
      <c r="E1478" s="410">
        <v>43711</v>
      </c>
      <c r="F1478" s="410">
        <v>43731</v>
      </c>
      <c r="G1478" s="405" t="s">
        <v>25439</v>
      </c>
      <c r="H1478" s="405">
        <v>782146668</v>
      </c>
      <c r="I1478" s="405"/>
      <c r="J1478" s="405">
        <v>-0.52188299999999999</v>
      </c>
      <c r="K1478" s="405">
        <v>30.932492</v>
      </c>
      <c r="L1478" s="405" t="s">
        <v>590</v>
      </c>
      <c r="M1478" s="405" t="s">
        <v>3236</v>
      </c>
      <c r="N1478" s="405" t="s">
        <v>19706</v>
      </c>
      <c r="O1478" s="405" t="s">
        <v>25440</v>
      </c>
      <c r="P1478" s="405" t="s">
        <v>2864</v>
      </c>
      <c r="Q1478" s="411">
        <v>9</v>
      </c>
      <c r="R1478" s="405" t="s">
        <v>32166</v>
      </c>
      <c r="S1478" s="405" t="s">
        <v>27173</v>
      </c>
      <c r="T1478" s="405" t="s">
        <v>884</v>
      </c>
      <c r="U1478" s="405" t="s">
        <v>319</v>
      </c>
    </row>
    <row r="1479" spans="1:21" x14ac:dyDescent="0.25">
      <c r="A1479" s="405" t="s">
        <v>310</v>
      </c>
      <c r="B1479" s="405" t="s">
        <v>7674</v>
      </c>
      <c r="C1479" s="405" t="s">
        <v>327</v>
      </c>
      <c r="D1479" s="405"/>
      <c r="E1479" s="410">
        <v>43711</v>
      </c>
      <c r="F1479" s="410">
        <v>43728</v>
      </c>
      <c r="G1479" s="405" t="s">
        <v>7675</v>
      </c>
      <c r="H1479" s="405">
        <v>758250361</v>
      </c>
      <c r="I1479" s="405"/>
      <c r="J1479" s="405">
        <v>-0.23760999999999999</v>
      </c>
      <c r="K1479" s="405">
        <v>31.763534</v>
      </c>
      <c r="L1479" s="405" t="s">
        <v>314</v>
      </c>
      <c r="M1479" s="405" t="s">
        <v>900</v>
      </c>
      <c r="N1479" s="405" t="s">
        <v>1120</v>
      </c>
      <c r="O1479" s="405" t="s">
        <v>1120</v>
      </c>
      <c r="P1479" s="405" t="s">
        <v>7676</v>
      </c>
      <c r="Q1479" s="411">
        <v>9</v>
      </c>
      <c r="R1479" s="405" t="s">
        <v>5986</v>
      </c>
      <c r="S1479" s="405" t="s">
        <v>5986</v>
      </c>
      <c r="T1479" s="405" t="s">
        <v>32102</v>
      </c>
      <c r="U1479" s="405" t="s">
        <v>319</v>
      </c>
    </row>
    <row r="1480" spans="1:21" x14ac:dyDescent="0.25">
      <c r="A1480" s="405" t="s">
        <v>310</v>
      </c>
      <c r="B1480" s="405" t="s">
        <v>25457</v>
      </c>
      <c r="C1480" s="405" t="s">
        <v>327</v>
      </c>
      <c r="D1480" s="405"/>
      <c r="E1480" s="410">
        <v>43711</v>
      </c>
      <c r="F1480" s="410">
        <v>43727</v>
      </c>
      <c r="G1480" s="405" t="s">
        <v>25458</v>
      </c>
      <c r="H1480" s="405">
        <v>772656902</v>
      </c>
      <c r="I1480" s="405"/>
      <c r="J1480" s="405">
        <v>-6.2802999999999998E-2</v>
      </c>
      <c r="K1480" s="405">
        <v>29.834150000000001</v>
      </c>
      <c r="L1480" s="405" t="s">
        <v>590</v>
      </c>
      <c r="M1480" s="405" t="s">
        <v>7300</v>
      </c>
      <c r="N1480" s="405" t="s">
        <v>25459</v>
      </c>
      <c r="O1480" s="405" t="s">
        <v>25460</v>
      </c>
      <c r="P1480" s="405" t="s">
        <v>1225</v>
      </c>
      <c r="Q1480" s="411">
        <v>9</v>
      </c>
      <c r="R1480" s="405" t="s">
        <v>6013</v>
      </c>
      <c r="S1480" s="405" t="s">
        <v>27445</v>
      </c>
      <c r="T1480" s="405" t="s">
        <v>884</v>
      </c>
      <c r="U1480" s="405" t="s">
        <v>319</v>
      </c>
    </row>
    <row r="1481" spans="1:21" x14ac:dyDescent="0.25">
      <c r="A1481" s="405" t="s">
        <v>310</v>
      </c>
      <c r="B1481" s="405" t="s">
        <v>25453</v>
      </c>
      <c r="C1481" s="405" t="s">
        <v>327</v>
      </c>
      <c r="D1481" s="405"/>
      <c r="E1481" s="410">
        <v>43711</v>
      </c>
      <c r="F1481" s="410">
        <v>43726</v>
      </c>
      <c r="G1481" s="405" t="s">
        <v>25454</v>
      </c>
      <c r="H1481" s="405">
        <v>772992360</v>
      </c>
      <c r="I1481" s="405"/>
      <c r="J1481" s="405">
        <v>0.62045799999999995</v>
      </c>
      <c r="K1481" s="405">
        <v>30.264783000000001</v>
      </c>
      <c r="L1481" s="405" t="s">
        <v>590</v>
      </c>
      <c r="M1481" s="405" t="s">
        <v>20125</v>
      </c>
      <c r="N1481" s="405" t="s">
        <v>25455</v>
      </c>
      <c r="O1481" s="405" t="s">
        <v>20827</v>
      </c>
      <c r="P1481" s="405" t="s">
        <v>25456</v>
      </c>
      <c r="Q1481" s="411">
        <v>9</v>
      </c>
      <c r="R1481" s="405" t="s">
        <v>6013</v>
      </c>
      <c r="S1481" s="405" t="s">
        <v>27278</v>
      </c>
      <c r="T1481" s="405" t="s">
        <v>884</v>
      </c>
      <c r="U1481" s="405" t="s">
        <v>319</v>
      </c>
    </row>
    <row r="1482" spans="1:21" x14ac:dyDescent="0.25">
      <c r="A1482" s="405" t="s">
        <v>310</v>
      </c>
      <c r="B1482" s="405" t="s">
        <v>25475</v>
      </c>
      <c r="C1482" s="405" t="s">
        <v>327</v>
      </c>
      <c r="D1482" s="405"/>
      <c r="E1482" s="410">
        <v>43711</v>
      </c>
      <c r="F1482" s="410">
        <v>43750</v>
      </c>
      <c r="G1482" s="405" t="s">
        <v>25476</v>
      </c>
      <c r="H1482" s="405">
        <v>772577278</v>
      </c>
      <c r="I1482" s="405">
        <v>702905644</v>
      </c>
      <c r="J1482" s="405">
        <v>0.53577770000000002</v>
      </c>
      <c r="K1482" s="405">
        <v>29.444444000000001</v>
      </c>
      <c r="L1482" s="405" t="s">
        <v>590</v>
      </c>
      <c r="M1482" s="405" t="s">
        <v>25315</v>
      </c>
      <c r="N1482" s="405" t="s">
        <v>25477</v>
      </c>
      <c r="O1482" s="405" t="s">
        <v>20810</v>
      </c>
      <c r="P1482" s="405" t="s">
        <v>25478</v>
      </c>
      <c r="Q1482" s="411">
        <v>6</v>
      </c>
      <c r="R1482" s="405" t="s">
        <v>6572</v>
      </c>
      <c r="S1482" s="405" t="s">
        <v>27439</v>
      </c>
      <c r="T1482" s="405" t="s">
        <v>884</v>
      </c>
      <c r="U1482" s="405" t="s">
        <v>319</v>
      </c>
    </row>
    <row r="1483" spans="1:21" x14ac:dyDescent="0.25">
      <c r="A1483" s="405" t="s">
        <v>310</v>
      </c>
      <c r="B1483" s="405" t="s">
        <v>16898</v>
      </c>
      <c r="C1483" s="405" t="s">
        <v>327</v>
      </c>
      <c r="D1483" s="405"/>
      <c r="E1483" s="410">
        <v>43711</v>
      </c>
      <c r="F1483" s="410">
        <v>43731</v>
      </c>
      <c r="G1483" s="405" t="s">
        <v>16899</v>
      </c>
      <c r="H1483" s="405">
        <v>782788650</v>
      </c>
      <c r="I1483" s="405"/>
      <c r="J1483" s="405">
        <v>2.0867650000000002</v>
      </c>
      <c r="K1483" s="405">
        <v>33.820909999999998</v>
      </c>
      <c r="L1483" s="405" t="s">
        <v>6866</v>
      </c>
      <c r="M1483" s="405" t="s">
        <v>10495</v>
      </c>
      <c r="N1483" s="405" t="s">
        <v>11495</v>
      </c>
      <c r="O1483" s="405" t="s">
        <v>16900</v>
      </c>
      <c r="P1483" s="405" t="s">
        <v>16901</v>
      </c>
      <c r="Q1483" s="411">
        <v>6</v>
      </c>
      <c r="R1483" s="405" t="s">
        <v>5655</v>
      </c>
      <c r="S1483" s="405" t="s">
        <v>27353</v>
      </c>
      <c r="T1483" s="405" t="s">
        <v>884</v>
      </c>
      <c r="U1483" s="405" t="s">
        <v>319</v>
      </c>
    </row>
    <row r="1484" spans="1:21" x14ac:dyDescent="0.25">
      <c r="A1484" s="405" t="s">
        <v>310</v>
      </c>
      <c r="B1484" s="405" t="s">
        <v>25434</v>
      </c>
      <c r="C1484" s="405" t="s">
        <v>327</v>
      </c>
      <c r="D1484" s="405"/>
      <c r="E1484" s="410">
        <v>43711</v>
      </c>
      <c r="F1484" s="410">
        <v>43729</v>
      </c>
      <c r="G1484" s="405" t="s">
        <v>25435</v>
      </c>
      <c r="H1484" s="405">
        <v>772919926</v>
      </c>
      <c r="I1484" s="405"/>
      <c r="J1484" s="405">
        <v>-0.718777</v>
      </c>
      <c r="K1484" s="405">
        <v>30.389140000000001</v>
      </c>
      <c r="L1484" s="405" t="s">
        <v>590</v>
      </c>
      <c r="M1484" s="405" t="s">
        <v>19614</v>
      </c>
      <c r="N1484" s="405" t="s">
        <v>19654</v>
      </c>
      <c r="O1484" s="405" t="s">
        <v>25436</v>
      </c>
      <c r="P1484" s="405" t="s">
        <v>25437</v>
      </c>
      <c r="Q1484" s="411">
        <v>6</v>
      </c>
      <c r="R1484" s="405" t="s">
        <v>32166</v>
      </c>
      <c r="S1484" s="405" t="s">
        <v>27102</v>
      </c>
      <c r="T1484" s="405" t="s">
        <v>884</v>
      </c>
      <c r="U1484" s="405" t="s">
        <v>319</v>
      </c>
    </row>
    <row r="1485" spans="1:21" x14ac:dyDescent="0.25">
      <c r="A1485" s="405" t="s">
        <v>310</v>
      </c>
      <c r="B1485" s="405" t="s">
        <v>16927</v>
      </c>
      <c r="C1485" s="405" t="s">
        <v>327</v>
      </c>
      <c r="D1485" s="405"/>
      <c r="E1485" s="410">
        <v>43711</v>
      </c>
      <c r="F1485" s="410">
        <v>43711</v>
      </c>
      <c r="G1485" s="405" t="s">
        <v>16928</v>
      </c>
      <c r="H1485" s="405">
        <v>774897091</v>
      </c>
      <c r="I1485" s="405"/>
      <c r="J1485" s="405">
        <v>0.88361500000000004</v>
      </c>
      <c r="K1485" s="405">
        <v>34.118777999999999</v>
      </c>
      <c r="L1485" s="405" t="s">
        <v>6866</v>
      </c>
      <c r="M1485" s="405" t="s">
        <v>9534</v>
      </c>
      <c r="N1485" s="405" t="s">
        <v>16929</v>
      </c>
      <c r="O1485" s="405" t="s">
        <v>16930</v>
      </c>
      <c r="P1485" s="405" t="s">
        <v>16930</v>
      </c>
      <c r="Q1485" s="411">
        <v>6</v>
      </c>
      <c r="R1485" s="405" t="s">
        <v>7224</v>
      </c>
      <c r="S1485" s="405" t="s">
        <v>27259</v>
      </c>
      <c r="T1485" s="405" t="s">
        <v>32102</v>
      </c>
      <c r="U1485" s="405" t="s">
        <v>319</v>
      </c>
    </row>
    <row r="1486" spans="1:21" x14ac:dyDescent="0.25">
      <c r="A1486" s="405" t="s">
        <v>310</v>
      </c>
      <c r="B1486" s="405" t="s">
        <v>17048</v>
      </c>
      <c r="C1486" s="405" t="s">
        <v>327</v>
      </c>
      <c r="D1486" s="405"/>
      <c r="E1486" s="410">
        <v>43711</v>
      </c>
      <c r="F1486" s="410">
        <v>43798</v>
      </c>
      <c r="G1486" s="405" t="s">
        <v>17049</v>
      </c>
      <c r="H1486" s="405">
        <v>753110076</v>
      </c>
      <c r="I1486" s="405"/>
      <c r="J1486" s="405">
        <v>1.710243</v>
      </c>
      <c r="K1486" s="405">
        <v>33.622689999999999</v>
      </c>
      <c r="L1486" s="405" t="s">
        <v>6866</v>
      </c>
      <c r="M1486" s="405" t="s">
        <v>10515</v>
      </c>
      <c r="N1486" s="405" t="s">
        <v>10765</v>
      </c>
      <c r="O1486" s="405" t="s">
        <v>6748</v>
      </c>
      <c r="P1486" s="405" t="s">
        <v>17050</v>
      </c>
      <c r="Q1486" s="411">
        <v>4</v>
      </c>
      <c r="R1486" s="405" t="s">
        <v>5655</v>
      </c>
      <c r="S1486" s="405" t="s">
        <v>27047</v>
      </c>
      <c r="T1486" s="405" t="s">
        <v>884</v>
      </c>
      <c r="U1486" s="405" t="s">
        <v>319</v>
      </c>
    </row>
    <row r="1487" spans="1:21" x14ac:dyDescent="0.25">
      <c r="A1487" s="405" t="s">
        <v>310</v>
      </c>
      <c r="B1487" s="405" t="s">
        <v>25443</v>
      </c>
      <c r="C1487" s="405" t="s">
        <v>327</v>
      </c>
      <c r="D1487" s="405"/>
      <c r="E1487" s="410">
        <v>43710</v>
      </c>
      <c r="F1487" s="410">
        <v>43738</v>
      </c>
      <c r="G1487" s="405" t="s">
        <v>25444</v>
      </c>
      <c r="H1487" s="405">
        <v>774981514</v>
      </c>
      <c r="I1487" s="405"/>
      <c r="J1487" s="405">
        <v>-0.91167799999999999</v>
      </c>
      <c r="K1487" s="405">
        <v>30.419502999999999</v>
      </c>
      <c r="L1487" s="405" t="s">
        <v>590</v>
      </c>
      <c r="M1487" s="405" t="s">
        <v>19659</v>
      </c>
      <c r="N1487" s="405" t="s">
        <v>19664</v>
      </c>
      <c r="O1487" s="405" t="s">
        <v>19701</v>
      </c>
      <c r="P1487" s="405" t="s">
        <v>25445</v>
      </c>
      <c r="Q1487" s="411">
        <v>9</v>
      </c>
      <c r="R1487" s="405" t="s">
        <v>32166</v>
      </c>
      <c r="S1487" s="405" t="s">
        <v>27444</v>
      </c>
      <c r="T1487" s="405" t="s">
        <v>884</v>
      </c>
      <c r="U1487" s="405" t="s">
        <v>319</v>
      </c>
    </row>
    <row r="1488" spans="1:21" x14ac:dyDescent="0.25">
      <c r="A1488" s="405" t="s">
        <v>310</v>
      </c>
      <c r="B1488" s="405" t="s">
        <v>25449</v>
      </c>
      <c r="C1488" s="405" t="s">
        <v>327</v>
      </c>
      <c r="D1488" s="405"/>
      <c r="E1488" s="410">
        <v>43710</v>
      </c>
      <c r="F1488" s="410">
        <v>43736</v>
      </c>
      <c r="G1488" s="405" t="s">
        <v>25450</v>
      </c>
      <c r="H1488" s="405">
        <v>772619309</v>
      </c>
      <c r="I1488" s="405">
        <v>701490128</v>
      </c>
      <c r="J1488" s="405">
        <v>-6.2802999999999998E-2</v>
      </c>
      <c r="K1488" s="405">
        <v>29.834150000000001</v>
      </c>
      <c r="L1488" s="405" t="s">
        <v>590</v>
      </c>
      <c r="M1488" s="405" t="s">
        <v>20125</v>
      </c>
      <c r="N1488" s="405" t="s">
        <v>24863</v>
      </c>
      <c r="O1488" s="405" t="s">
        <v>20853</v>
      </c>
      <c r="P1488" s="405" t="s">
        <v>20853</v>
      </c>
      <c r="Q1488" s="411">
        <v>9</v>
      </c>
      <c r="R1488" s="405" t="s">
        <v>6013</v>
      </c>
      <c r="S1488" s="405" t="s">
        <v>27099</v>
      </c>
      <c r="T1488" s="405" t="s">
        <v>884</v>
      </c>
      <c r="U1488" s="405" t="s">
        <v>319</v>
      </c>
    </row>
    <row r="1489" spans="1:21" x14ac:dyDescent="0.25">
      <c r="A1489" s="405" t="s">
        <v>310</v>
      </c>
      <c r="B1489" s="405" t="s">
        <v>17090</v>
      </c>
      <c r="C1489" s="405" t="s">
        <v>327</v>
      </c>
      <c r="D1489" s="405"/>
      <c r="E1489" s="410">
        <v>43710</v>
      </c>
      <c r="F1489" s="410">
        <v>43791</v>
      </c>
      <c r="G1489" s="405" t="s">
        <v>17091</v>
      </c>
      <c r="H1489" s="405">
        <v>753473028</v>
      </c>
      <c r="I1489" s="405"/>
      <c r="J1489" s="405" t="s">
        <v>7420</v>
      </c>
      <c r="K1489" s="405">
        <v>31.835087999999999</v>
      </c>
      <c r="L1489" s="405" t="s">
        <v>6866</v>
      </c>
      <c r="M1489" s="405" t="s">
        <v>5411</v>
      </c>
      <c r="N1489" s="405" t="s">
        <v>17092</v>
      </c>
      <c r="O1489" s="405" t="s">
        <v>10577</v>
      </c>
      <c r="P1489" s="405" t="s">
        <v>5413</v>
      </c>
      <c r="Q1489" s="411">
        <v>6</v>
      </c>
      <c r="R1489" s="405" t="s">
        <v>32164</v>
      </c>
      <c r="S1489" s="405" t="s">
        <v>6822</v>
      </c>
      <c r="T1489" s="405" t="s">
        <v>884</v>
      </c>
      <c r="U1489" s="405" t="s">
        <v>319</v>
      </c>
    </row>
    <row r="1490" spans="1:21" x14ac:dyDescent="0.25">
      <c r="A1490" s="405" t="s">
        <v>310</v>
      </c>
      <c r="B1490" s="405" t="s">
        <v>17093</v>
      </c>
      <c r="C1490" s="405" t="s">
        <v>327</v>
      </c>
      <c r="D1490" s="405"/>
      <c r="E1490" s="410">
        <v>43710</v>
      </c>
      <c r="F1490" s="410">
        <v>43771</v>
      </c>
      <c r="G1490" s="405" t="s">
        <v>17094</v>
      </c>
      <c r="H1490" s="405">
        <v>779572725</v>
      </c>
      <c r="I1490" s="405">
        <v>772964635</v>
      </c>
      <c r="J1490" s="405" t="s">
        <v>7406</v>
      </c>
      <c r="K1490" s="405">
        <v>32.623615000000001</v>
      </c>
      <c r="L1490" s="405" t="s">
        <v>6866</v>
      </c>
      <c r="M1490" s="405" t="s">
        <v>10515</v>
      </c>
      <c r="N1490" s="405" t="s">
        <v>10765</v>
      </c>
      <c r="O1490" s="405" t="s">
        <v>10645</v>
      </c>
      <c r="P1490" s="405" t="s">
        <v>17095</v>
      </c>
      <c r="Q1490" s="411">
        <v>6</v>
      </c>
      <c r="R1490" s="405" t="s">
        <v>5655</v>
      </c>
      <c r="S1490" s="405" t="s">
        <v>27056</v>
      </c>
      <c r="T1490" s="405" t="s">
        <v>884</v>
      </c>
      <c r="U1490" s="405" t="s">
        <v>319</v>
      </c>
    </row>
    <row r="1491" spans="1:21" x14ac:dyDescent="0.25">
      <c r="A1491" s="405" t="s">
        <v>310</v>
      </c>
      <c r="B1491" s="405" t="s">
        <v>856</v>
      </c>
      <c r="C1491" s="405" t="s">
        <v>857</v>
      </c>
      <c r="D1491" s="405" t="s">
        <v>858</v>
      </c>
      <c r="E1491" s="410">
        <v>43710</v>
      </c>
      <c r="F1491" s="410">
        <v>43735</v>
      </c>
      <c r="G1491" s="405" t="s">
        <v>859</v>
      </c>
      <c r="H1491" s="405">
        <v>776003184</v>
      </c>
      <c r="I1491" s="405"/>
      <c r="J1491" s="405">
        <v>-0.23760999999999999</v>
      </c>
      <c r="K1491" s="405">
        <v>31.763534</v>
      </c>
      <c r="L1491" s="405" t="s">
        <v>860</v>
      </c>
      <c r="M1491" s="405" t="s">
        <v>861</v>
      </c>
      <c r="N1491" s="405" t="s">
        <v>862</v>
      </c>
      <c r="O1491" s="405" t="s">
        <v>863</v>
      </c>
      <c r="P1491" s="405" t="s">
        <v>864</v>
      </c>
      <c r="Q1491" s="411">
        <v>6</v>
      </c>
      <c r="R1491" s="405" t="s">
        <v>32101</v>
      </c>
      <c r="S1491" s="405" t="s">
        <v>27243</v>
      </c>
      <c r="T1491" s="405" t="s">
        <v>884</v>
      </c>
      <c r="U1491" s="405" t="s">
        <v>319</v>
      </c>
    </row>
    <row r="1492" spans="1:21" x14ac:dyDescent="0.25">
      <c r="A1492" s="405" t="s">
        <v>310</v>
      </c>
      <c r="B1492" s="405" t="s">
        <v>16947</v>
      </c>
      <c r="C1492" s="405" t="s">
        <v>327</v>
      </c>
      <c r="D1492" s="405"/>
      <c r="E1492" s="410">
        <v>43710</v>
      </c>
      <c r="F1492" s="410">
        <v>43727</v>
      </c>
      <c r="G1492" s="405" t="s">
        <v>16948</v>
      </c>
      <c r="H1492" s="405">
        <v>704135639</v>
      </c>
      <c r="I1492" s="405"/>
      <c r="J1492" s="405">
        <v>1.3524529999999999</v>
      </c>
      <c r="K1492" s="405">
        <v>34.467911999999998</v>
      </c>
      <c r="L1492" s="405" t="s">
        <v>6866</v>
      </c>
      <c r="M1492" s="405" t="s">
        <v>9685</v>
      </c>
      <c r="N1492" s="405" t="s">
        <v>9686</v>
      </c>
      <c r="O1492" s="405" t="s">
        <v>9709</v>
      </c>
      <c r="P1492" s="405" t="s">
        <v>16949</v>
      </c>
      <c r="Q1492" s="411">
        <v>6</v>
      </c>
      <c r="R1492" s="405" t="s">
        <v>9506</v>
      </c>
      <c r="S1492" s="405" t="s">
        <v>27318</v>
      </c>
      <c r="T1492" s="405" t="s">
        <v>32102</v>
      </c>
      <c r="U1492" s="405" t="s">
        <v>319</v>
      </c>
    </row>
    <row r="1493" spans="1:21" x14ac:dyDescent="0.25">
      <c r="A1493" s="405" t="s">
        <v>310</v>
      </c>
      <c r="B1493" s="405" t="s">
        <v>16907</v>
      </c>
      <c r="C1493" s="405" t="s">
        <v>327</v>
      </c>
      <c r="D1493" s="405"/>
      <c r="E1493" s="410">
        <v>43709</v>
      </c>
      <c r="F1493" s="410">
        <v>43727</v>
      </c>
      <c r="G1493" s="405" t="s">
        <v>16908</v>
      </c>
      <c r="H1493" s="405">
        <v>785275922</v>
      </c>
      <c r="I1493" s="405"/>
      <c r="J1493" s="405">
        <v>-5.5708000000000001E-2</v>
      </c>
      <c r="K1493" s="405" t="s">
        <v>7372</v>
      </c>
      <c r="L1493" s="405" t="s">
        <v>6866</v>
      </c>
      <c r="M1493" s="405" t="s">
        <v>9514</v>
      </c>
      <c r="N1493" s="405" t="s">
        <v>16909</v>
      </c>
      <c r="O1493" s="405" t="s">
        <v>9780</v>
      </c>
      <c r="P1493" s="405" t="s">
        <v>16910</v>
      </c>
      <c r="Q1493" s="411">
        <v>6</v>
      </c>
      <c r="R1493" s="405" t="s">
        <v>6871</v>
      </c>
      <c r="S1493" s="405" t="s">
        <v>27074</v>
      </c>
      <c r="T1493" s="405" t="s">
        <v>884</v>
      </c>
      <c r="U1493" s="405" t="s">
        <v>319</v>
      </c>
    </row>
    <row r="1494" spans="1:21" x14ac:dyDescent="0.25">
      <c r="A1494" s="405" t="s">
        <v>310</v>
      </c>
      <c r="B1494" s="405" t="s">
        <v>16969</v>
      </c>
      <c r="C1494" s="405" t="s">
        <v>327</v>
      </c>
      <c r="D1494" s="405"/>
      <c r="E1494" s="410">
        <v>43709</v>
      </c>
      <c r="F1494" s="410">
        <v>43716</v>
      </c>
      <c r="G1494" s="405" t="s">
        <v>16970</v>
      </c>
      <c r="H1494" s="405">
        <v>772406366</v>
      </c>
      <c r="I1494" s="405">
        <v>754406366</v>
      </c>
      <c r="J1494" s="405" t="s">
        <v>7406</v>
      </c>
      <c r="K1494" s="405">
        <v>32.623615000000001</v>
      </c>
      <c r="L1494" s="405" t="s">
        <v>6866</v>
      </c>
      <c r="M1494" s="405" t="s">
        <v>9514</v>
      </c>
      <c r="N1494" s="405" t="s">
        <v>16971</v>
      </c>
      <c r="O1494" s="405" t="s">
        <v>9529</v>
      </c>
      <c r="P1494" s="405" t="s">
        <v>13831</v>
      </c>
      <c r="Q1494" s="411">
        <v>6</v>
      </c>
      <c r="R1494" s="405" t="s">
        <v>5921</v>
      </c>
      <c r="S1494" s="405" t="s">
        <v>32960</v>
      </c>
      <c r="T1494" s="405" t="s">
        <v>884</v>
      </c>
      <c r="U1494" s="405" t="s">
        <v>319</v>
      </c>
    </row>
    <row r="1495" spans="1:21" x14ac:dyDescent="0.25">
      <c r="A1495" s="405" t="s">
        <v>310</v>
      </c>
      <c r="B1495" s="405" t="s">
        <v>7731</v>
      </c>
      <c r="C1495" s="405" t="s">
        <v>327</v>
      </c>
      <c r="D1495" s="405"/>
      <c r="E1495" s="410">
        <v>43708</v>
      </c>
      <c r="F1495" s="410">
        <v>43769</v>
      </c>
      <c r="G1495" s="405" t="s">
        <v>7732</v>
      </c>
      <c r="H1495" s="405">
        <v>752695903</v>
      </c>
      <c r="I1495" s="405"/>
      <c r="J1495" s="405">
        <v>-0.50534999999999997</v>
      </c>
      <c r="K1495" s="405">
        <v>31.180192999999999</v>
      </c>
      <c r="L1495" s="405" t="s">
        <v>314</v>
      </c>
      <c r="M1495" s="405" t="s">
        <v>398</v>
      </c>
      <c r="N1495" s="405" t="s">
        <v>399</v>
      </c>
      <c r="O1495" s="405" t="s">
        <v>7733</v>
      </c>
      <c r="P1495" s="405" t="s">
        <v>7734</v>
      </c>
      <c r="Q1495" s="411">
        <v>13</v>
      </c>
      <c r="R1495" s="405" t="s">
        <v>32101</v>
      </c>
      <c r="S1495" s="405" t="s">
        <v>27243</v>
      </c>
      <c r="T1495" s="405" t="s">
        <v>32102</v>
      </c>
      <c r="U1495" s="405" t="s">
        <v>319</v>
      </c>
    </row>
    <row r="1496" spans="1:21" x14ac:dyDescent="0.25">
      <c r="A1496" s="405" t="s">
        <v>310</v>
      </c>
      <c r="B1496" s="405" t="s">
        <v>7735</v>
      </c>
      <c r="C1496" s="405" t="s">
        <v>327</v>
      </c>
      <c r="D1496" s="405"/>
      <c r="E1496" s="410">
        <v>43708</v>
      </c>
      <c r="F1496" s="410">
        <v>43766</v>
      </c>
      <c r="G1496" s="405" t="s">
        <v>7736</v>
      </c>
      <c r="H1496" s="405">
        <v>701576768</v>
      </c>
      <c r="I1496" s="405"/>
      <c r="J1496" s="405">
        <v>0.29330000000000001</v>
      </c>
      <c r="K1496" s="405">
        <v>31.292300000000001</v>
      </c>
      <c r="L1496" s="405" t="s">
        <v>314</v>
      </c>
      <c r="M1496" s="405" t="s">
        <v>959</v>
      </c>
      <c r="N1496" s="405" t="s">
        <v>960</v>
      </c>
      <c r="O1496" s="405" t="s">
        <v>960</v>
      </c>
      <c r="P1496" s="405" t="s">
        <v>1508</v>
      </c>
      <c r="Q1496" s="411">
        <v>13</v>
      </c>
      <c r="R1496" s="405" t="s">
        <v>32101</v>
      </c>
      <c r="S1496" s="405" t="s">
        <v>27235</v>
      </c>
      <c r="T1496" s="405" t="s">
        <v>884</v>
      </c>
      <c r="U1496" s="405" t="s">
        <v>319</v>
      </c>
    </row>
    <row r="1497" spans="1:21" x14ac:dyDescent="0.25">
      <c r="A1497" s="405" t="s">
        <v>310</v>
      </c>
      <c r="B1497" s="405" t="s">
        <v>16922</v>
      </c>
      <c r="C1497" s="405" t="s">
        <v>327</v>
      </c>
      <c r="D1497" s="405"/>
      <c r="E1497" s="410">
        <v>43708</v>
      </c>
      <c r="F1497" s="410">
        <v>43723</v>
      </c>
      <c r="G1497" s="405" t="s">
        <v>16923</v>
      </c>
      <c r="H1497" s="405">
        <v>782463158</v>
      </c>
      <c r="I1497" s="405"/>
      <c r="J1497" s="405">
        <v>0.89235200000000003</v>
      </c>
      <c r="K1497" s="405">
        <v>33.724094999999998</v>
      </c>
      <c r="L1497" s="405" t="s">
        <v>6866</v>
      </c>
      <c r="M1497" s="405" t="s">
        <v>5345</v>
      </c>
      <c r="N1497" s="405" t="s">
        <v>16871</v>
      </c>
      <c r="O1497" s="405" t="s">
        <v>16389</v>
      </c>
      <c r="P1497" s="405" t="s">
        <v>16389</v>
      </c>
      <c r="Q1497" s="411">
        <v>9</v>
      </c>
      <c r="R1497" s="405" t="s">
        <v>7224</v>
      </c>
      <c r="S1497" s="405" t="s">
        <v>27259</v>
      </c>
      <c r="T1497" s="405" t="s">
        <v>884</v>
      </c>
      <c r="U1497" s="405" t="s">
        <v>319</v>
      </c>
    </row>
    <row r="1498" spans="1:21" x14ac:dyDescent="0.25">
      <c r="A1498" s="405" t="s">
        <v>310</v>
      </c>
      <c r="B1498" s="405" t="s">
        <v>25621</v>
      </c>
      <c r="C1498" s="405" t="s">
        <v>857</v>
      </c>
      <c r="D1498" s="405" t="s">
        <v>4394</v>
      </c>
      <c r="E1498" s="410">
        <v>43708</v>
      </c>
      <c r="F1498" s="410">
        <v>43720</v>
      </c>
      <c r="G1498" s="405" t="s">
        <v>25622</v>
      </c>
      <c r="H1498" s="405">
        <v>772659355</v>
      </c>
      <c r="I1498" s="405"/>
      <c r="J1498" s="405">
        <v>-0.74364799999999998</v>
      </c>
      <c r="K1498" s="405">
        <v>29.710978000000001</v>
      </c>
      <c r="L1498" s="405" t="s">
        <v>590</v>
      </c>
      <c r="M1498" s="405" t="s">
        <v>20808</v>
      </c>
      <c r="N1498" s="405" t="s">
        <v>25110</v>
      </c>
      <c r="O1498" s="405" t="s">
        <v>24892</v>
      </c>
      <c r="P1498" s="405" t="s">
        <v>1313</v>
      </c>
      <c r="Q1498" s="411">
        <v>9</v>
      </c>
      <c r="R1498" s="405" t="s">
        <v>6572</v>
      </c>
      <c r="S1498" s="405" t="s">
        <v>27301</v>
      </c>
      <c r="T1498" s="405" t="s">
        <v>884</v>
      </c>
      <c r="U1498" s="405" t="s">
        <v>319</v>
      </c>
    </row>
    <row r="1499" spans="1:21" x14ac:dyDescent="0.25">
      <c r="A1499" s="405" t="s">
        <v>310</v>
      </c>
      <c r="B1499" s="405" t="s">
        <v>17025</v>
      </c>
      <c r="C1499" s="405" t="s">
        <v>327</v>
      </c>
      <c r="D1499" s="405"/>
      <c r="E1499" s="410">
        <v>43708</v>
      </c>
      <c r="F1499" s="410">
        <v>43764</v>
      </c>
      <c r="G1499" s="405" t="s">
        <v>17026</v>
      </c>
      <c r="H1499" s="405">
        <v>751758187</v>
      </c>
      <c r="I1499" s="405">
        <v>782482091</v>
      </c>
      <c r="J1499" s="405">
        <v>0.86218700000000004</v>
      </c>
      <c r="K1499" s="405">
        <v>33.123922</v>
      </c>
      <c r="L1499" s="405" t="s">
        <v>6866</v>
      </c>
      <c r="M1499" s="405" t="s">
        <v>17027</v>
      </c>
      <c r="N1499" s="405" t="s">
        <v>17028</v>
      </c>
      <c r="O1499" s="405" t="s">
        <v>9843</v>
      </c>
      <c r="P1499" s="405" t="s">
        <v>17029</v>
      </c>
      <c r="Q1499" s="411">
        <v>6</v>
      </c>
      <c r="R1499" s="405" t="s">
        <v>32164</v>
      </c>
      <c r="S1499" s="405" t="s">
        <v>6822</v>
      </c>
      <c r="T1499" s="405" t="s">
        <v>884</v>
      </c>
      <c r="U1499" s="405" t="s">
        <v>319</v>
      </c>
    </row>
    <row r="1500" spans="1:21" x14ac:dyDescent="0.25">
      <c r="A1500" s="405" t="s">
        <v>310</v>
      </c>
      <c r="B1500" s="405" t="s">
        <v>25384</v>
      </c>
      <c r="C1500" s="405" t="s">
        <v>327</v>
      </c>
      <c r="D1500" s="405"/>
      <c r="E1500" s="410">
        <v>43708</v>
      </c>
      <c r="F1500" s="410">
        <v>43721</v>
      </c>
      <c r="G1500" s="405" t="s">
        <v>25385</v>
      </c>
      <c r="H1500" s="405">
        <v>789434395</v>
      </c>
      <c r="I1500" s="405">
        <v>780143684</v>
      </c>
      <c r="J1500" s="405">
        <v>-0.924315</v>
      </c>
      <c r="K1500" s="405">
        <v>29.840990000000001</v>
      </c>
      <c r="L1500" s="405" t="s">
        <v>590</v>
      </c>
      <c r="M1500" s="405" t="s">
        <v>20808</v>
      </c>
      <c r="N1500" s="405" t="s">
        <v>23390</v>
      </c>
      <c r="O1500" s="405" t="s">
        <v>23326</v>
      </c>
      <c r="P1500" s="405" t="s">
        <v>19938</v>
      </c>
      <c r="Q1500" s="411">
        <v>6</v>
      </c>
      <c r="R1500" s="405" t="s">
        <v>6572</v>
      </c>
      <c r="S1500" s="405" t="s">
        <v>27249</v>
      </c>
      <c r="T1500" s="405" t="s">
        <v>32102</v>
      </c>
      <c r="U1500" s="405" t="s">
        <v>319</v>
      </c>
    </row>
    <row r="1501" spans="1:21" x14ac:dyDescent="0.25">
      <c r="A1501" s="405" t="s">
        <v>310</v>
      </c>
      <c r="B1501" s="405" t="s">
        <v>7902</v>
      </c>
      <c r="C1501" s="405" t="s">
        <v>327</v>
      </c>
      <c r="D1501" s="405"/>
      <c r="E1501" s="410">
        <v>43707</v>
      </c>
      <c r="F1501" s="410">
        <v>43774</v>
      </c>
      <c r="G1501" s="405" t="s">
        <v>7903</v>
      </c>
      <c r="H1501" s="405">
        <v>776882881</v>
      </c>
      <c r="I1501" s="405"/>
      <c r="J1501" s="405">
        <v>-6.2802999999999998E-2</v>
      </c>
      <c r="K1501" s="405">
        <v>29.834150000000001</v>
      </c>
      <c r="L1501" s="405" t="s">
        <v>314</v>
      </c>
      <c r="M1501" s="405" t="s">
        <v>339</v>
      </c>
      <c r="N1501" s="405" t="s">
        <v>339</v>
      </c>
      <c r="O1501" s="405" t="s">
        <v>339</v>
      </c>
      <c r="P1501" s="405" t="s">
        <v>7904</v>
      </c>
      <c r="Q1501" s="411">
        <v>13</v>
      </c>
      <c r="R1501" s="405" t="s">
        <v>32101</v>
      </c>
      <c r="S1501" s="405" t="s">
        <v>27279</v>
      </c>
      <c r="T1501" s="405" t="s">
        <v>884</v>
      </c>
      <c r="U1501" s="405" t="s">
        <v>319</v>
      </c>
    </row>
    <row r="1502" spans="1:21" x14ac:dyDescent="0.25">
      <c r="A1502" s="405" t="s">
        <v>310</v>
      </c>
      <c r="B1502" s="405" t="s">
        <v>25718</v>
      </c>
      <c r="C1502" s="405" t="s">
        <v>311</v>
      </c>
      <c r="D1502" s="405" t="s">
        <v>1789</v>
      </c>
      <c r="E1502" s="410">
        <v>43707</v>
      </c>
      <c r="F1502" s="410">
        <v>43767</v>
      </c>
      <c r="G1502" s="405" t="s">
        <v>25719</v>
      </c>
      <c r="H1502" s="405">
        <v>772412139</v>
      </c>
      <c r="I1502" s="405"/>
      <c r="J1502" s="405">
        <v>0.4829</v>
      </c>
      <c r="K1502" s="405">
        <v>34.112099999999998</v>
      </c>
      <c r="L1502" s="405" t="s">
        <v>590</v>
      </c>
      <c r="M1502" s="405" t="s">
        <v>870</v>
      </c>
      <c r="N1502" s="405" t="s">
        <v>19614</v>
      </c>
      <c r="O1502" s="405" t="s">
        <v>20387</v>
      </c>
      <c r="P1502" s="405" t="s">
        <v>25720</v>
      </c>
      <c r="Q1502" s="411">
        <v>13</v>
      </c>
      <c r="R1502" s="405" t="s">
        <v>32101</v>
      </c>
      <c r="S1502" s="405" t="s">
        <v>27095</v>
      </c>
      <c r="T1502" s="405" t="s">
        <v>884</v>
      </c>
      <c r="U1502" s="405" t="s">
        <v>319</v>
      </c>
    </row>
    <row r="1503" spans="1:21" x14ac:dyDescent="0.25">
      <c r="A1503" s="405" t="s">
        <v>310</v>
      </c>
      <c r="B1503" s="405" t="s">
        <v>7640</v>
      </c>
      <c r="C1503" s="405" t="s">
        <v>327</v>
      </c>
      <c r="D1503" s="405"/>
      <c r="E1503" s="410">
        <v>43707</v>
      </c>
      <c r="F1503" s="410">
        <v>43730</v>
      </c>
      <c r="G1503" s="405" t="s">
        <v>7641</v>
      </c>
      <c r="H1503" s="405">
        <v>752868377</v>
      </c>
      <c r="I1503" s="405"/>
      <c r="J1503" s="405">
        <v>1.9376899999999999</v>
      </c>
      <c r="K1503" s="405">
        <v>33.330257000000003</v>
      </c>
      <c r="L1503" s="405" t="s">
        <v>314</v>
      </c>
      <c r="M1503" s="405" t="s">
        <v>361</v>
      </c>
      <c r="N1503" s="405" t="s">
        <v>535</v>
      </c>
      <c r="O1503" s="405" t="s">
        <v>535</v>
      </c>
      <c r="P1503" s="405" t="s">
        <v>7642</v>
      </c>
      <c r="Q1503" s="411">
        <v>9</v>
      </c>
      <c r="R1503" s="405" t="s">
        <v>32101</v>
      </c>
      <c r="S1503" s="405" t="s">
        <v>27041</v>
      </c>
      <c r="T1503" s="405" t="s">
        <v>884</v>
      </c>
      <c r="U1503" s="405" t="s">
        <v>319</v>
      </c>
    </row>
    <row r="1504" spans="1:21" x14ac:dyDescent="0.25">
      <c r="A1504" s="405" t="s">
        <v>310</v>
      </c>
      <c r="B1504" s="405" t="s">
        <v>8211</v>
      </c>
      <c r="C1504" s="405" t="s">
        <v>311</v>
      </c>
      <c r="D1504" s="405" t="s">
        <v>2127</v>
      </c>
      <c r="E1504" s="410">
        <v>43707</v>
      </c>
      <c r="F1504" s="410">
        <v>43732</v>
      </c>
      <c r="G1504" s="405" t="s">
        <v>8212</v>
      </c>
      <c r="H1504" s="405">
        <v>772901160</v>
      </c>
      <c r="I1504" s="405"/>
      <c r="J1504" s="405">
        <v>0.22452800000000001</v>
      </c>
      <c r="K1504" s="405">
        <v>32.957312999999999</v>
      </c>
      <c r="L1504" s="405" t="s">
        <v>314</v>
      </c>
      <c r="M1504" s="405" t="s">
        <v>349</v>
      </c>
      <c r="N1504" s="405" t="s">
        <v>549</v>
      </c>
      <c r="O1504" s="405" t="s">
        <v>686</v>
      </c>
      <c r="P1504" s="405" t="s">
        <v>6819</v>
      </c>
      <c r="Q1504" s="411">
        <v>6</v>
      </c>
      <c r="R1504" s="405" t="s">
        <v>6798</v>
      </c>
      <c r="S1504" s="405" t="s">
        <v>27049</v>
      </c>
      <c r="T1504" s="405" t="s">
        <v>884</v>
      </c>
      <c r="U1504" s="405" t="s">
        <v>319</v>
      </c>
    </row>
    <row r="1505" spans="1:21" x14ac:dyDescent="0.25">
      <c r="A1505" s="405" t="s">
        <v>310</v>
      </c>
      <c r="B1505" s="405" t="s">
        <v>25378</v>
      </c>
      <c r="C1505" s="405" t="s">
        <v>327</v>
      </c>
      <c r="D1505" s="405"/>
      <c r="E1505" s="410">
        <v>43707</v>
      </c>
      <c r="F1505" s="410">
        <v>43731</v>
      </c>
      <c r="G1505" s="405" t="s">
        <v>25379</v>
      </c>
      <c r="H1505" s="405">
        <v>772648710</v>
      </c>
      <c r="I1505" s="405">
        <v>752648710</v>
      </c>
      <c r="J1505" s="405">
        <v>-0.98745499999999997</v>
      </c>
      <c r="K1505" s="405">
        <v>30.34074</v>
      </c>
      <c r="L1505" s="405" t="s">
        <v>590</v>
      </c>
      <c r="M1505" s="405" t="s">
        <v>19659</v>
      </c>
      <c r="N1505" s="405" t="s">
        <v>19664</v>
      </c>
      <c r="O1505" s="405" t="s">
        <v>19664</v>
      </c>
      <c r="P1505" s="405" t="s">
        <v>20136</v>
      </c>
      <c r="Q1505" s="411">
        <v>6</v>
      </c>
      <c r="R1505" s="405" t="s">
        <v>6572</v>
      </c>
      <c r="S1505" s="405" t="s">
        <v>27240</v>
      </c>
      <c r="T1505" s="405" t="s">
        <v>884</v>
      </c>
      <c r="U1505" s="405" t="s">
        <v>319</v>
      </c>
    </row>
    <row r="1506" spans="1:21" x14ac:dyDescent="0.25">
      <c r="A1506" s="405" t="s">
        <v>310</v>
      </c>
      <c r="B1506" s="405" t="s">
        <v>7695</v>
      </c>
      <c r="C1506" s="405" t="s">
        <v>327</v>
      </c>
      <c r="D1506" s="405"/>
      <c r="E1506" s="410">
        <v>43707</v>
      </c>
      <c r="F1506" s="410">
        <v>43726</v>
      </c>
      <c r="G1506" s="405" t="s">
        <v>7696</v>
      </c>
      <c r="H1506" s="405">
        <v>774219065</v>
      </c>
      <c r="I1506" s="405">
        <v>781890265</v>
      </c>
      <c r="J1506" s="405">
        <v>0.52746599999999999</v>
      </c>
      <c r="K1506" s="405">
        <v>32.781469999999999</v>
      </c>
      <c r="L1506" s="405" t="s">
        <v>314</v>
      </c>
      <c r="M1506" s="405" t="s">
        <v>502</v>
      </c>
      <c r="N1506" s="405" t="s">
        <v>528</v>
      </c>
      <c r="O1506" s="405" t="s">
        <v>2229</v>
      </c>
      <c r="P1506" s="405" t="s">
        <v>6727</v>
      </c>
      <c r="Q1506" s="411">
        <v>6</v>
      </c>
      <c r="R1506" s="405" t="s">
        <v>4176</v>
      </c>
      <c r="S1506" s="405" t="s">
        <v>27266</v>
      </c>
      <c r="T1506" s="405" t="s">
        <v>32102</v>
      </c>
      <c r="U1506" s="405" t="s">
        <v>319</v>
      </c>
    </row>
    <row r="1507" spans="1:21" x14ac:dyDescent="0.25">
      <c r="A1507" s="405" t="s">
        <v>310</v>
      </c>
      <c r="B1507" s="405" t="s">
        <v>7636</v>
      </c>
      <c r="C1507" s="405" t="s">
        <v>327</v>
      </c>
      <c r="D1507" s="405"/>
      <c r="E1507" s="410">
        <v>43707</v>
      </c>
      <c r="F1507" s="410">
        <v>43721</v>
      </c>
      <c r="G1507" s="405" t="s">
        <v>7637</v>
      </c>
      <c r="H1507" s="405">
        <v>781802175</v>
      </c>
      <c r="I1507" s="405"/>
      <c r="J1507" s="405">
        <v>0.49211300000000002</v>
      </c>
      <c r="K1507" s="405">
        <v>32.685963000000001</v>
      </c>
      <c r="L1507" s="405" t="s">
        <v>314</v>
      </c>
      <c r="M1507" s="405" t="s">
        <v>329</v>
      </c>
      <c r="N1507" s="405" t="s">
        <v>7638</v>
      </c>
      <c r="O1507" s="405" t="s">
        <v>336</v>
      </c>
      <c r="P1507" s="405" t="s">
        <v>7639</v>
      </c>
      <c r="Q1507" s="411">
        <v>6</v>
      </c>
      <c r="R1507" s="405" t="s">
        <v>32101</v>
      </c>
      <c r="S1507" s="405" t="s">
        <v>27275</v>
      </c>
      <c r="T1507" s="405" t="s">
        <v>884</v>
      </c>
      <c r="U1507" s="405" t="s">
        <v>319</v>
      </c>
    </row>
    <row r="1508" spans="1:21" x14ac:dyDescent="0.25">
      <c r="A1508" s="405" t="s">
        <v>310</v>
      </c>
      <c r="B1508" s="405" t="s">
        <v>25235</v>
      </c>
      <c r="C1508" s="405" t="s">
        <v>327</v>
      </c>
      <c r="D1508" s="405"/>
      <c r="E1508" s="410">
        <v>43706</v>
      </c>
      <c r="F1508" s="410">
        <v>43707</v>
      </c>
      <c r="G1508" s="405" t="s">
        <v>25236</v>
      </c>
      <c r="H1508" s="405">
        <v>782341050</v>
      </c>
      <c r="I1508" s="405"/>
      <c r="J1508" s="405">
        <v>0.56801500000000005</v>
      </c>
      <c r="K1508" s="405">
        <v>30.143160000000002</v>
      </c>
      <c r="L1508" s="405" t="s">
        <v>590</v>
      </c>
      <c r="M1508" s="405" t="s">
        <v>20125</v>
      </c>
      <c r="N1508" s="405" t="s">
        <v>20866</v>
      </c>
      <c r="O1508" s="405" t="s">
        <v>25237</v>
      </c>
      <c r="P1508" s="405" t="s">
        <v>24830</v>
      </c>
      <c r="Q1508" s="411">
        <v>9</v>
      </c>
      <c r="R1508" s="405" t="s">
        <v>874</v>
      </c>
      <c r="S1508" s="405" t="s">
        <v>27271</v>
      </c>
      <c r="T1508" s="405" t="s">
        <v>884</v>
      </c>
      <c r="U1508" s="405" t="s">
        <v>319</v>
      </c>
    </row>
    <row r="1509" spans="1:21" x14ac:dyDescent="0.25">
      <c r="A1509" s="405" t="s">
        <v>310</v>
      </c>
      <c r="B1509" s="405" t="s">
        <v>16892</v>
      </c>
      <c r="C1509" s="405" t="s">
        <v>327</v>
      </c>
      <c r="D1509" s="405"/>
      <c r="E1509" s="410">
        <v>43706</v>
      </c>
      <c r="F1509" s="410">
        <v>43721</v>
      </c>
      <c r="G1509" s="405" t="s">
        <v>16893</v>
      </c>
      <c r="H1509" s="405">
        <v>787386366</v>
      </c>
      <c r="I1509" s="405"/>
      <c r="J1509" s="405">
        <v>0.541153</v>
      </c>
      <c r="K1509" s="405">
        <v>33.742866999999997</v>
      </c>
      <c r="L1509" s="405" t="s">
        <v>6866</v>
      </c>
      <c r="M1509" s="405" t="s">
        <v>13470</v>
      </c>
      <c r="N1509" s="405" t="s">
        <v>16485</v>
      </c>
      <c r="O1509" s="405" t="s">
        <v>1260</v>
      </c>
      <c r="P1509" s="405" t="s">
        <v>15524</v>
      </c>
      <c r="Q1509" s="411">
        <v>6</v>
      </c>
      <c r="R1509" s="405" t="s">
        <v>5655</v>
      </c>
      <c r="S1509" s="405" t="s">
        <v>27072</v>
      </c>
      <c r="T1509" s="405" t="s">
        <v>884</v>
      </c>
      <c r="U1509" s="405" t="s">
        <v>319</v>
      </c>
    </row>
    <row r="1510" spans="1:21" x14ac:dyDescent="0.25">
      <c r="A1510" s="405" t="s">
        <v>310</v>
      </c>
      <c r="B1510" s="405" t="s">
        <v>25317</v>
      </c>
      <c r="C1510" s="405" t="s">
        <v>327</v>
      </c>
      <c r="D1510" s="405"/>
      <c r="E1510" s="410">
        <v>43705</v>
      </c>
      <c r="F1510" s="410">
        <v>43718</v>
      </c>
      <c r="G1510" s="405" t="s">
        <v>25318</v>
      </c>
      <c r="H1510" s="405">
        <v>772328670</v>
      </c>
      <c r="I1510" s="405"/>
      <c r="J1510" s="405">
        <v>-0.83438000000000001</v>
      </c>
      <c r="K1510" s="405">
        <v>29.910257000000001</v>
      </c>
      <c r="L1510" s="405" t="s">
        <v>590</v>
      </c>
      <c r="M1510" s="405" t="s">
        <v>19619</v>
      </c>
      <c r="N1510" s="405" t="s">
        <v>19765</v>
      </c>
      <c r="O1510" s="405" t="s">
        <v>16533</v>
      </c>
      <c r="P1510" s="405" t="s">
        <v>25319</v>
      </c>
      <c r="Q1510" s="411">
        <v>9</v>
      </c>
      <c r="R1510" s="405" t="s">
        <v>6572</v>
      </c>
      <c r="S1510" s="405" t="s">
        <v>27205</v>
      </c>
      <c r="T1510" s="405" t="s">
        <v>884</v>
      </c>
      <c r="U1510" s="405" t="s">
        <v>319</v>
      </c>
    </row>
    <row r="1511" spans="1:21" x14ac:dyDescent="0.25">
      <c r="A1511" s="405" t="s">
        <v>310</v>
      </c>
      <c r="B1511" s="405" t="s">
        <v>16911</v>
      </c>
      <c r="C1511" s="405" t="s">
        <v>327</v>
      </c>
      <c r="D1511" s="405"/>
      <c r="E1511" s="410">
        <v>43705</v>
      </c>
      <c r="F1511" s="410">
        <v>43725</v>
      </c>
      <c r="G1511" s="405" t="s">
        <v>16912</v>
      </c>
      <c r="H1511" s="405">
        <v>782319615</v>
      </c>
      <c r="I1511" s="405"/>
      <c r="J1511" s="405">
        <v>0.99083600000000005</v>
      </c>
      <c r="K1511" s="405">
        <v>34.173879999999997</v>
      </c>
      <c r="L1511" s="405" t="s">
        <v>6866</v>
      </c>
      <c r="M1511" s="405" t="s">
        <v>9514</v>
      </c>
      <c r="N1511" s="405" t="s">
        <v>16909</v>
      </c>
      <c r="O1511" s="405" t="s">
        <v>9780</v>
      </c>
      <c r="P1511" s="405" t="s">
        <v>16913</v>
      </c>
      <c r="Q1511" s="411">
        <v>6</v>
      </c>
      <c r="R1511" s="405" t="s">
        <v>6871</v>
      </c>
      <c r="S1511" s="405" t="s">
        <v>17013</v>
      </c>
      <c r="T1511" s="405" t="s">
        <v>884</v>
      </c>
      <c r="U1511" s="405" t="s">
        <v>319</v>
      </c>
    </row>
    <row r="1512" spans="1:21" x14ac:dyDescent="0.25">
      <c r="A1512" s="405" t="s">
        <v>310</v>
      </c>
      <c r="B1512" s="405" t="s">
        <v>25466</v>
      </c>
      <c r="C1512" s="405" t="s">
        <v>327</v>
      </c>
      <c r="D1512" s="405"/>
      <c r="E1512" s="410">
        <v>43705</v>
      </c>
      <c r="F1512" s="410">
        <v>43720</v>
      </c>
      <c r="G1512" s="405" t="s">
        <v>25467</v>
      </c>
      <c r="H1512" s="405">
        <v>783472982</v>
      </c>
      <c r="I1512" s="405"/>
      <c r="J1512" s="405">
        <v>1.0086280000000001</v>
      </c>
      <c r="K1512" s="405">
        <v>34.145156999999998</v>
      </c>
      <c r="L1512" s="405" t="s">
        <v>590</v>
      </c>
      <c r="M1512" s="405" t="s">
        <v>20070</v>
      </c>
      <c r="N1512" s="405" t="s">
        <v>20076</v>
      </c>
      <c r="O1512" s="405" t="s">
        <v>24110</v>
      </c>
      <c r="P1512" s="405" t="s">
        <v>24859</v>
      </c>
      <c r="Q1512" s="411">
        <v>6</v>
      </c>
      <c r="R1512" s="405" t="s">
        <v>24106</v>
      </c>
      <c r="S1512" s="405" t="s">
        <v>27447</v>
      </c>
      <c r="T1512" s="405" t="s">
        <v>884</v>
      </c>
      <c r="U1512" s="405" t="s">
        <v>319</v>
      </c>
    </row>
    <row r="1513" spans="1:21" x14ac:dyDescent="0.25">
      <c r="A1513" s="405" t="s">
        <v>310</v>
      </c>
      <c r="B1513" s="405" t="s">
        <v>17045</v>
      </c>
      <c r="C1513" s="405" t="s">
        <v>327</v>
      </c>
      <c r="D1513" s="405"/>
      <c r="E1513" s="410">
        <v>43705</v>
      </c>
      <c r="F1513" s="410">
        <v>43784</v>
      </c>
      <c r="G1513" s="405" t="s">
        <v>17046</v>
      </c>
      <c r="H1513" s="405">
        <v>784942729</v>
      </c>
      <c r="I1513" s="405"/>
      <c r="J1513" s="405">
        <v>1.0086280000000001</v>
      </c>
      <c r="K1513" s="405">
        <v>34.145156999999998</v>
      </c>
      <c r="L1513" s="405" t="s">
        <v>6866</v>
      </c>
      <c r="M1513" s="405" t="s">
        <v>11355</v>
      </c>
      <c r="N1513" s="405" t="s">
        <v>11356</v>
      </c>
      <c r="O1513" s="405" t="s">
        <v>13069</v>
      </c>
      <c r="P1513" s="405" t="s">
        <v>17047</v>
      </c>
      <c r="Q1513" s="411">
        <v>4</v>
      </c>
      <c r="R1513" s="405" t="s">
        <v>5655</v>
      </c>
      <c r="S1513" s="405" t="s">
        <v>27353</v>
      </c>
      <c r="T1513" s="405" t="s">
        <v>884</v>
      </c>
      <c r="U1513" s="405" t="s">
        <v>319</v>
      </c>
    </row>
    <row r="1514" spans="1:21" x14ac:dyDescent="0.25">
      <c r="A1514" s="405" t="s">
        <v>310</v>
      </c>
      <c r="B1514" s="405" t="s">
        <v>16894</v>
      </c>
      <c r="C1514" s="405" t="s">
        <v>327</v>
      </c>
      <c r="D1514" s="405"/>
      <c r="E1514" s="410">
        <v>43705</v>
      </c>
      <c r="F1514" s="410">
        <v>43736</v>
      </c>
      <c r="G1514" s="405" t="s">
        <v>16895</v>
      </c>
      <c r="H1514" s="405">
        <v>772682062</v>
      </c>
      <c r="I1514" s="405"/>
      <c r="J1514" s="405">
        <v>0.4829</v>
      </c>
      <c r="K1514" s="405">
        <v>34.112099999999998</v>
      </c>
      <c r="L1514" s="405" t="s">
        <v>6866</v>
      </c>
      <c r="M1514" s="405" t="s">
        <v>10515</v>
      </c>
      <c r="N1514" s="405" t="s">
        <v>16896</v>
      </c>
      <c r="O1514" s="405" t="s">
        <v>12948</v>
      </c>
      <c r="P1514" s="405" t="s">
        <v>16897</v>
      </c>
      <c r="Q1514" s="411">
        <v>4</v>
      </c>
      <c r="R1514" s="405" t="s">
        <v>5655</v>
      </c>
      <c r="S1514" s="405" t="s">
        <v>27357</v>
      </c>
      <c r="T1514" s="405" t="s">
        <v>884</v>
      </c>
      <c r="U1514" s="405" t="s">
        <v>319</v>
      </c>
    </row>
    <row r="1515" spans="1:21" x14ac:dyDescent="0.25">
      <c r="A1515" s="405" t="s">
        <v>310</v>
      </c>
      <c r="B1515" s="405" t="s">
        <v>25380</v>
      </c>
      <c r="C1515" s="405" t="s">
        <v>327</v>
      </c>
      <c r="D1515" s="405"/>
      <c r="E1515" s="410">
        <v>43704</v>
      </c>
      <c r="F1515" s="410">
        <v>43719</v>
      </c>
      <c r="G1515" s="405" t="s">
        <v>25381</v>
      </c>
      <c r="H1515" s="405">
        <v>772712344</v>
      </c>
      <c r="I1515" s="405"/>
      <c r="J1515" s="405" t="s">
        <v>7406</v>
      </c>
      <c r="K1515" s="405">
        <v>32.623615000000001</v>
      </c>
      <c r="L1515" s="405" t="s">
        <v>590</v>
      </c>
      <c r="M1515" s="405" t="s">
        <v>19619</v>
      </c>
      <c r="N1515" s="405" t="s">
        <v>2430</v>
      </c>
      <c r="O1515" s="405" t="s">
        <v>25382</v>
      </c>
      <c r="P1515" s="405" t="s">
        <v>25383</v>
      </c>
      <c r="Q1515" s="411">
        <v>13</v>
      </c>
      <c r="R1515" s="405" t="s">
        <v>6572</v>
      </c>
      <c r="S1515" s="405" t="s">
        <v>27193</v>
      </c>
      <c r="T1515" s="405" t="s">
        <v>884</v>
      </c>
      <c r="U1515" s="405" t="s">
        <v>319</v>
      </c>
    </row>
    <row r="1516" spans="1:21" x14ac:dyDescent="0.25">
      <c r="A1516" s="405" t="s">
        <v>310</v>
      </c>
      <c r="B1516" s="405" t="s">
        <v>25403</v>
      </c>
      <c r="C1516" s="405" t="s">
        <v>327</v>
      </c>
      <c r="D1516" s="405"/>
      <c r="E1516" s="410">
        <v>43704</v>
      </c>
      <c r="F1516" s="410">
        <v>43721</v>
      </c>
      <c r="G1516" s="405" t="s">
        <v>25404</v>
      </c>
      <c r="H1516" s="405">
        <v>772445495</v>
      </c>
      <c r="I1516" s="405"/>
      <c r="J1516" s="405">
        <v>-0.85321199999999997</v>
      </c>
      <c r="K1516" s="405">
        <v>29.758220000000001</v>
      </c>
      <c r="L1516" s="405" t="s">
        <v>590</v>
      </c>
      <c r="M1516" s="405" t="s">
        <v>20808</v>
      </c>
      <c r="N1516" s="405" t="s">
        <v>23390</v>
      </c>
      <c r="O1516" s="405" t="s">
        <v>20810</v>
      </c>
      <c r="P1516" s="405" t="s">
        <v>2929</v>
      </c>
      <c r="Q1516" s="411">
        <v>9</v>
      </c>
      <c r="R1516" s="405" t="s">
        <v>6572</v>
      </c>
      <c r="S1516" s="405" t="s">
        <v>27301</v>
      </c>
      <c r="T1516" s="405" t="s">
        <v>32102</v>
      </c>
      <c r="U1516" s="405" t="s">
        <v>319</v>
      </c>
    </row>
    <row r="1517" spans="1:21" x14ac:dyDescent="0.25">
      <c r="A1517" s="405" t="s">
        <v>310</v>
      </c>
      <c r="B1517" s="405" t="s">
        <v>25232</v>
      </c>
      <c r="C1517" s="405" t="s">
        <v>327</v>
      </c>
      <c r="D1517" s="405"/>
      <c r="E1517" s="410">
        <v>43704</v>
      </c>
      <c r="F1517" s="410">
        <v>43705</v>
      </c>
      <c r="G1517" s="405" t="s">
        <v>25233</v>
      </c>
      <c r="H1517" s="405">
        <v>777291414</v>
      </c>
      <c r="I1517" s="405"/>
      <c r="J1517" s="405">
        <v>-5.3918000000000001E-2</v>
      </c>
      <c r="K1517" s="405">
        <v>29.829435</v>
      </c>
      <c r="L1517" s="405" t="s">
        <v>590</v>
      </c>
      <c r="M1517" s="405" t="s">
        <v>21087</v>
      </c>
      <c r="N1517" s="405" t="s">
        <v>25225</v>
      </c>
      <c r="O1517" s="405" t="s">
        <v>25087</v>
      </c>
      <c r="P1517" s="405" t="s">
        <v>25234</v>
      </c>
      <c r="Q1517" s="411">
        <v>9</v>
      </c>
      <c r="R1517" s="405" t="s">
        <v>874</v>
      </c>
      <c r="S1517" s="405" t="s">
        <v>27271</v>
      </c>
      <c r="T1517" s="405" t="s">
        <v>884</v>
      </c>
      <c r="U1517" s="405" t="s">
        <v>319</v>
      </c>
    </row>
    <row r="1518" spans="1:21" x14ac:dyDescent="0.25">
      <c r="A1518" s="405" t="s">
        <v>310</v>
      </c>
      <c r="B1518" s="405" t="s">
        <v>16981</v>
      </c>
      <c r="C1518" s="405" t="s">
        <v>327</v>
      </c>
      <c r="D1518" s="405"/>
      <c r="E1518" s="410">
        <v>43704</v>
      </c>
      <c r="F1518" s="410">
        <v>43724</v>
      </c>
      <c r="G1518" s="405" t="s">
        <v>16982</v>
      </c>
      <c r="H1518" s="405">
        <v>782197938</v>
      </c>
      <c r="I1518" s="405"/>
      <c r="J1518" s="405">
        <v>0.80050200000000005</v>
      </c>
      <c r="K1518" s="405">
        <v>33.190494000000001</v>
      </c>
      <c r="L1518" s="405" t="s">
        <v>6866</v>
      </c>
      <c r="M1518" s="405" t="s">
        <v>3009</v>
      </c>
      <c r="N1518" s="405" t="s">
        <v>9842</v>
      </c>
      <c r="O1518" s="405" t="s">
        <v>9843</v>
      </c>
      <c r="P1518" s="405" t="s">
        <v>6277</v>
      </c>
      <c r="Q1518" s="411">
        <v>6</v>
      </c>
      <c r="R1518" s="405" t="s">
        <v>32164</v>
      </c>
      <c r="S1518" s="405" t="s">
        <v>6822</v>
      </c>
      <c r="T1518" s="405" t="s">
        <v>884</v>
      </c>
      <c r="U1518" s="405" t="s">
        <v>319</v>
      </c>
    </row>
    <row r="1519" spans="1:21" x14ac:dyDescent="0.25">
      <c r="A1519" s="405" t="s">
        <v>310</v>
      </c>
      <c r="B1519" s="405" t="s">
        <v>25398</v>
      </c>
      <c r="C1519" s="405" t="s">
        <v>327</v>
      </c>
      <c r="D1519" s="405"/>
      <c r="E1519" s="410">
        <v>43704</v>
      </c>
      <c r="F1519" s="410">
        <v>43720</v>
      </c>
      <c r="G1519" s="405" t="s">
        <v>25399</v>
      </c>
      <c r="H1519" s="405">
        <v>772983486</v>
      </c>
      <c r="I1519" s="405">
        <v>789036699</v>
      </c>
      <c r="J1519" s="405">
        <v>-0.75638799999999995</v>
      </c>
      <c r="K1519" s="405">
        <v>29.656808000000002</v>
      </c>
      <c r="L1519" s="405" t="s">
        <v>590</v>
      </c>
      <c r="M1519" s="405" t="s">
        <v>20808</v>
      </c>
      <c r="N1519" s="405" t="s">
        <v>25110</v>
      </c>
      <c r="O1519" s="405" t="s">
        <v>20560</v>
      </c>
      <c r="P1519" s="405" t="s">
        <v>1881</v>
      </c>
      <c r="Q1519" s="411">
        <v>6</v>
      </c>
      <c r="R1519" s="405" t="s">
        <v>6572</v>
      </c>
      <c r="S1519" s="405" t="s">
        <v>27442</v>
      </c>
      <c r="T1519" s="405" t="s">
        <v>32102</v>
      </c>
      <c r="U1519" s="405" t="s">
        <v>319</v>
      </c>
    </row>
    <row r="1520" spans="1:21" x14ac:dyDescent="0.25">
      <c r="A1520" s="405" t="s">
        <v>310</v>
      </c>
      <c r="B1520" s="405" t="s">
        <v>25335</v>
      </c>
      <c r="C1520" s="405" t="s">
        <v>327</v>
      </c>
      <c r="D1520" s="405"/>
      <c r="E1520" s="410">
        <v>43703</v>
      </c>
      <c r="F1520" s="410">
        <v>43711</v>
      </c>
      <c r="G1520" s="405" t="s">
        <v>25336</v>
      </c>
      <c r="H1520" s="405">
        <v>779121612</v>
      </c>
      <c r="I1520" s="405"/>
      <c r="J1520" s="405">
        <v>-0.86915799999999999</v>
      </c>
      <c r="K1520" s="405">
        <v>30.867455</v>
      </c>
      <c r="L1520" s="405" t="s">
        <v>590</v>
      </c>
      <c r="M1520" s="405" t="s">
        <v>879</v>
      </c>
      <c r="N1520" s="405" t="s">
        <v>12376</v>
      </c>
      <c r="O1520" s="405" t="s">
        <v>20176</v>
      </c>
      <c r="P1520" s="405" t="s">
        <v>25337</v>
      </c>
      <c r="Q1520" s="411">
        <v>9</v>
      </c>
      <c r="R1520" s="405" t="s">
        <v>883</v>
      </c>
      <c r="S1520" s="405" t="s">
        <v>27097</v>
      </c>
      <c r="T1520" s="405" t="s">
        <v>884</v>
      </c>
      <c r="U1520" s="405" t="s">
        <v>319</v>
      </c>
    </row>
    <row r="1521" spans="1:21" x14ac:dyDescent="0.25">
      <c r="A1521" s="405" t="s">
        <v>310</v>
      </c>
      <c r="B1521" s="405" t="s">
        <v>25229</v>
      </c>
      <c r="C1521" s="405" t="s">
        <v>327</v>
      </c>
      <c r="D1521" s="405"/>
      <c r="E1521" s="410">
        <v>43703</v>
      </c>
      <c r="F1521" s="410">
        <v>43704</v>
      </c>
      <c r="G1521" s="405" t="s">
        <v>25230</v>
      </c>
      <c r="H1521" s="405">
        <v>782667149</v>
      </c>
      <c r="I1521" s="405"/>
      <c r="J1521" s="405">
        <v>-6.5095E-2</v>
      </c>
      <c r="K1521" s="405">
        <v>29.846550000000001</v>
      </c>
      <c r="L1521" s="405" t="s">
        <v>590</v>
      </c>
      <c r="M1521" s="405" t="s">
        <v>21087</v>
      </c>
      <c r="N1521" s="405" t="s">
        <v>21523</v>
      </c>
      <c r="O1521" s="405" t="s">
        <v>25087</v>
      </c>
      <c r="P1521" s="405" t="s">
        <v>25231</v>
      </c>
      <c r="Q1521" s="411">
        <v>9</v>
      </c>
      <c r="R1521" s="405" t="s">
        <v>874</v>
      </c>
      <c r="S1521" s="405" t="s">
        <v>27271</v>
      </c>
      <c r="T1521" s="405" t="s">
        <v>884</v>
      </c>
      <c r="U1521" s="405" t="s">
        <v>319</v>
      </c>
    </row>
    <row r="1522" spans="1:21" x14ac:dyDescent="0.25">
      <c r="A1522" s="405" t="s">
        <v>310</v>
      </c>
      <c r="B1522" s="405" t="s">
        <v>25544</v>
      </c>
      <c r="C1522" s="405" t="s">
        <v>327</v>
      </c>
      <c r="D1522" s="405"/>
      <c r="E1522" s="410">
        <v>43703</v>
      </c>
      <c r="F1522" s="410">
        <v>43741</v>
      </c>
      <c r="G1522" s="405" t="s">
        <v>25545</v>
      </c>
      <c r="H1522" s="405">
        <v>773570094</v>
      </c>
      <c r="I1522" s="405"/>
      <c r="J1522" s="405">
        <v>-1.1267450000000001</v>
      </c>
      <c r="K1522" s="405">
        <v>29.680502000000001</v>
      </c>
      <c r="L1522" s="405" t="s">
        <v>590</v>
      </c>
      <c r="M1522" s="405" t="s">
        <v>20070</v>
      </c>
      <c r="N1522" s="405" t="s">
        <v>20076</v>
      </c>
      <c r="O1522" s="405" t="s">
        <v>25208</v>
      </c>
      <c r="P1522" s="405" t="s">
        <v>25209</v>
      </c>
      <c r="Q1522" s="411">
        <v>6</v>
      </c>
      <c r="R1522" s="405" t="s">
        <v>24106</v>
      </c>
      <c r="S1522" s="405" t="s">
        <v>27438</v>
      </c>
      <c r="T1522" s="405" t="s">
        <v>32102</v>
      </c>
      <c r="U1522" s="405" t="s">
        <v>319</v>
      </c>
    </row>
    <row r="1523" spans="1:21" x14ac:dyDescent="0.25">
      <c r="A1523" s="405" t="s">
        <v>310</v>
      </c>
      <c r="B1523" s="405" t="s">
        <v>16983</v>
      </c>
      <c r="C1523" s="405" t="s">
        <v>327</v>
      </c>
      <c r="D1523" s="405"/>
      <c r="E1523" s="410">
        <v>43703</v>
      </c>
      <c r="F1523" s="410">
        <v>43724</v>
      </c>
      <c r="G1523" s="405" t="s">
        <v>16984</v>
      </c>
      <c r="H1523" s="405">
        <v>772471603</v>
      </c>
      <c r="I1523" s="405"/>
      <c r="J1523" s="405">
        <v>0.599298</v>
      </c>
      <c r="K1523" s="405">
        <v>33.452748</v>
      </c>
      <c r="L1523" s="405" t="s">
        <v>6866</v>
      </c>
      <c r="M1523" s="405" t="s">
        <v>10853</v>
      </c>
      <c r="N1523" s="405" t="s">
        <v>4802</v>
      </c>
      <c r="O1523" s="405" t="s">
        <v>12832</v>
      </c>
      <c r="P1523" s="405" t="s">
        <v>16985</v>
      </c>
      <c r="Q1523" s="411">
        <v>6</v>
      </c>
      <c r="R1523" s="405" t="s">
        <v>32164</v>
      </c>
      <c r="S1523" s="405" t="s">
        <v>27054</v>
      </c>
      <c r="T1523" s="405" t="s">
        <v>32746</v>
      </c>
      <c r="U1523" s="405" t="s">
        <v>2267</v>
      </c>
    </row>
    <row r="1524" spans="1:21" x14ac:dyDescent="0.25">
      <c r="A1524" s="405" t="s">
        <v>310</v>
      </c>
      <c r="B1524" s="405" t="s">
        <v>7700</v>
      </c>
      <c r="C1524" s="405" t="s">
        <v>327</v>
      </c>
      <c r="D1524" s="405"/>
      <c r="E1524" s="410">
        <v>43702</v>
      </c>
      <c r="F1524" s="410">
        <v>43717</v>
      </c>
      <c r="G1524" s="405" t="s">
        <v>7701</v>
      </c>
      <c r="H1524" s="405">
        <v>702114874</v>
      </c>
      <c r="I1524" s="405">
        <v>706508967</v>
      </c>
      <c r="J1524" s="405">
        <v>0.39584444000000002</v>
      </c>
      <c r="K1524" s="405">
        <v>32.482666600000002</v>
      </c>
      <c r="L1524" s="405" t="s">
        <v>314</v>
      </c>
      <c r="M1524" s="405" t="s">
        <v>361</v>
      </c>
      <c r="N1524" s="405" t="s">
        <v>374</v>
      </c>
      <c r="O1524" s="405" t="s">
        <v>6249</v>
      </c>
      <c r="P1524" s="405" t="s">
        <v>523</v>
      </c>
      <c r="Q1524" s="411">
        <v>9</v>
      </c>
      <c r="R1524" s="405" t="s">
        <v>4176</v>
      </c>
      <c r="S1524" s="405" t="s">
        <v>27277</v>
      </c>
      <c r="T1524" s="405" t="s">
        <v>884</v>
      </c>
      <c r="U1524" s="405" t="s">
        <v>319</v>
      </c>
    </row>
    <row r="1525" spans="1:21" x14ac:dyDescent="0.25">
      <c r="A1525" s="405" t="s">
        <v>310</v>
      </c>
      <c r="B1525" s="405" t="s">
        <v>25227</v>
      </c>
      <c r="C1525" s="405" t="s">
        <v>327</v>
      </c>
      <c r="D1525" s="405"/>
      <c r="E1525" s="410">
        <v>43702</v>
      </c>
      <c r="F1525" s="410">
        <v>43703</v>
      </c>
      <c r="G1525" s="405" t="s">
        <v>25228</v>
      </c>
      <c r="H1525" s="405">
        <v>780564321</v>
      </c>
      <c r="I1525" s="405"/>
      <c r="J1525" s="405">
        <v>-1.413E-3</v>
      </c>
      <c r="K1525" s="405">
        <v>29.772787000000001</v>
      </c>
      <c r="L1525" s="405" t="s">
        <v>590</v>
      </c>
      <c r="M1525" s="405" t="s">
        <v>21087</v>
      </c>
      <c r="N1525" s="405" t="s">
        <v>25225</v>
      </c>
      <c r="O1525" s="405" t="s">
        <v>20298</v>
      </c>
      <c r="P1525" s="405" t="s">
        <v>25226</v>
      </c>
      <c r="Q1525" s="411">
        <v>9</v>
      </c>
      <c r="R1525" s="405" t="s">
        <v>874</v>
      </c>
      <c r="S1525" s="405" t="s">
        <v>27271</v>
      </c>
      <c r="T1525" s="405" t="s">
        <v>884</v>
      </c>
      <c r="U1525" s="405" t="s">
        <v>319</v>
      </c>
    </row>
    <row r="1526" spans="1:21" x14ac:dyDescent="0.25">
      <c r="A1526" s="405" t="s">
        <v>310</v>
      </c>
      <c r="B1526" s="405" t="s">
        <v>16935</v>
      </c>
      <c r="C1526" s="405" t="s">
        <v>327</v>
      </c>
      <c r="D1526" s="405"/>
      <c r="E1526" s="410">
        <v>43702</v>
      </c>
      <c r="F1526" s="410">
        <v>43722</v>
      </c>
      <c r="G1526" s="405" t="s">
        <v>16936</v>
      </c>
      <c r="H1526" s="405">
        <v>783845185</v>
      </c>
      <c r="I1526" s="405"/>
      <c r="J1526" s="405">
        <v>1.0086280000000001</v>
      </c>
      <c r="K1526" s="405">
        <v>34.145156999999998</v>
      </c>
      <c r="L1526" s="405" t="s">
        <v>6866</v>
      </c>
      <c r="M1526" s="405" t="s">
        <v>9534</v>
      </c>
      <c r="N1526" s="405" t="s">
        <v>10191</v>
      </c>
      <c r="O1526" s="405" t="s">
        <v>16929</v>
      </c>
      <c r="P1526" s="405" t="s">
        <v>16937</v>
      </c>
      <c r="Q1526" s="411">
        <v>4</v>
      </c>
      <c r="R1526" s="405" t="s">
        <v>7224</v>
      </c>
      <c r="S1526" s="405" t="s">
        <v>27348</v>
      </c>
      <c r="T1526" s="405" t="s">
        <v>884</v>
      </c>
      <c r="U1526" s="405" t="s">
        <v>319</v>
      </c>
    </row>
    <row r="1527" spans="1:21" x14ac:dyDescent="0.25">
      <c r="A1527" s="405" t="s">
        <v>310</v>
      </c>
      <c r="B1527" s="405" t="s">
        <v>7633</v>
      </c>
      <c r="C1527" s="405" t="s">
        <v>327</v>
      </c>
      <c r="D1527" s="405"/>
      <c r="E1527" s="410">
        <v>43701</v>
      </c>
      <c r="F1527" s="410">
        <v>43714</v>
      </c>
      <c r="G1527" s="405" t="s">
        <v>7634</v>
      </c>
      <c r="H1527" s="405">
        <v>779334465</v>
      </c>
      <c r="I1527" s="405"/>
      <c r="J1527" s="405">
        <v>0.13641300000000001</v>
      </c>
      <c r="K1527" s="405">
        <v>32.376736999999999</v>
      </c>
      <c r="L1527" s="405" t="s">
        <v>314</v>
      </c>
      <c r="M1527" s="405" t="s">
        <v>361</v>
      </c>
      <c r="N1527" s="405" t="s">
        <v>374</v>
      </c>
      <c r="O1527" s="405" t="s">
        <v>2091</v>
      </c>
      <c r="P1527" s="405" t="s">
        <v>7635</v>
      </c>
      <c r="Q1527" s="411">
        <v>13</v>
      </c>
      <c r="R1527" s="405" t="s">
        <v>32101</v>
      </c>
      <c r="S1527" s="405" t="s">
        <v>27034</v>
      </c>
      <c r="T1527" s="405" t="s">
        <v>884</v>
      </c>
      <c r="U1527" s="405" t="s">
        <v>319</v>
      </c>
    </row>
    <row r="1528" spans="1:21" x14ac:dyDescent="0.25">
      <c r="A1528" s="405" t="s">
        <v>310</v>
      </c>
      <c r="B1528" s="405" t="s">
        <v>25429</v>
      </c>
      <c r="C1528" s="405" t="s">
        <v>327</v>
      </c>
      <c r="D1528" s="405"/>
      <c r="E1528" s="410">
        <v>43701</v>
      </c>
      <c r="F1528" s="410">
        <v>43713</v>
      </c>
      <c r="G1528" s="405" t="s">
        <v>25430</v>
      </c>
      <c r="H1528" s="405">
        <v>772644543</v>
      </c>
      <c r="I1528" s="405"/>
      <c r="J1528" s="405">
        <v>-0.27783999999999998</v>
      </c>
      <c r="K1528" s="405">
        <v>30.124227000000001</v>
      </c>
      <c r="L1528" s="405" t="s">
        <v>590</v>
      </c>
      <c r="M1528" s="405" t="s">
        <v>19625</v>
      </c>
      <c r="N1528" s="405" t="s">
        <v>19927</v>
      </c>
      <c r="O1528" s="405" t="s">
        <v>25431</v>
      </c>
      <c r="P1528" s="405" t="s">
        <v>3022</v>
      </c>
      <c r="Q1528" s="411">
        <v>9</v>
      </c>
      <c r="R1528" s="405" t="s">
        <v>32166</v>
      </c>
      <c r="S1528" s="405" t="s">
        <v>27102</v>
      </c>
      <c r="T1528" s="405" t="s">
        <v>884</v>
      </c>
      <c r="U1528" s="405" t="s">
        <v>319</v>
      </c>
    </row>
    <row r="1529" spans="1:21" x14ac:dyDescent="0.25">
      <c r="A1529" s="405" t="s">
        <v>310</v>
      </c>
      <c r="B1529" s="405" t="s">
        <v>25223</v>
      </c>
      <c r="C1529" s="405" t="s">
        <v>327</v>
      </c>
      <c r="D1529" s="405"/>
      <c r="E1529" s="410">
        <v>43701</v>
      </c>
      <c r="F1529" s="410">
        <v>43703</v>
      </c>
      <c r="G1529" s="405" t="s">
        <v>25224</v>
      </c>
      <c r="H1529" s="405">
        <v>783941234</v>
      </c>
      <c r="I1529" s="405"/>
      <c r="J1529" s="405">
        <v>-1.8680000000000001E-3</v>
      </c>
      <c r="K1529" s="405">
        <v>29.837250000000001</v>
      </c>
      <c r="L1529" s="405" t="s">
        <v>590</v>
      </c>
      <c r="M1529" s="405" t="s">
        <v>21087</v>
      </c>
      <c r="N1529" s="405" t="s">
        <v>25225</v>
      </c>
      <c r="O1529" s="405" t="s">
        <v>20298</v>
      </c>
      <c r="P1529" s="405" t="s">
        <v>25226</v>
      </c>
      <c r="Q1529" s="411">
        <v>9</v>
      </c>
      <c r="R1529" s="405" t="s">
        <v>874</v>
      </c>
      <c r="S1529" s="405" t="s">
        <v>27271</v>
      </c>
      <c r="T1529" s="405" t="s">
        <v>884</v>
      </c>
      <c r="U1529" s="405" t="s">
        <v>319</v>
      </c>
    </row>
    <row r="1530" spans="1:21" x14ac:dyDescent="0.25">
      <c r="A1530" s="405" t="s">
        <v>310</v>
      </c>
      <c r="B1530" s="405" t="s">
        <v>25451</v>
      </c>
      <c r="C1530" s="405" t="s">
        <v>311</v>
      </c>
      <c r="D1530" s="405" t="s">
        <v>2127</v>
      </c>
      <c r="E1530" s="410">
        <v>43701</v>
      </c>
      <c r="F1530" s="410">
        <v>43702</v>
      </c>
      <c r="G1530" s="405" t="s">
        <v>25452</v>
      </c>
      <c r="H1530" s="405">
        <v>783941234</v>
      </c>
      <c r="I1530" s="405"/>
      <c r="J1530" s="405">
        <v>-1.8929999999999999E-3</v>
      </c>
      <c r="K1530" s="405">
        <v>29.837022000000001</v>
      </c>
      <c r="L1530" s="405" t="s">
        <v>590</v>
      </c>
      <c r="M1530" s="405" t="s">
        <v>21087</v>
      </c>
      <c r="N1530" s="405" t="s">
        <v>25225</v>
      </c>
      <c r="O1530" s="405" t="s">
        <v>20298</v>
      </c>
      <c r="P1530" s="405" t="s">
        <v>25226</v>
      </c>
      <c r="Q1530" s="411">
        <v>9</v>
      </c>
      <c r="R1530" s="405" t="s">
        <v>874</v>
      </c>
      <c r="S1530" s="405" t="s">
        <v>27271</v>
      </c>
      <c r="T1530" s="405" t="s">
        <v>884</v>
      </c>
      <c r="U1530" s="405" t="s">
        <v>319</v>
      </c>
    </row>
    <row r="1531" spans="1:21" x14ac:dyDescent="0.25">
      <c r="A1531" s="405" t="s">
        <v>310</v>
      </c>
      <c r="B1531" s="405" t="s">
        <v>7677</v>
      </c>
      <c r="C1531" s="405" t="s">
        <v>327</v>
      </c>
      <c r="D1531" s="405"/>
      <c r="E1531" s="410">
        <v>43701</v>
      </c>
      <c r="F1531" s="410">
        <v>43716</v>
      </c>
      <c r="G1531" s="405" t="s">
        <v>7678</v>
      </c>
      <c r="H1531" s="405">
        <v>392840426</v>
      </c>
      <c r="I1531" s="405"/>
      <c r="J1531" s="405">
        <v>0.42314200000000002</v>
      </c>
      <c r="K1531" s="405">
        <v>32.572380000000003</v>
      </c>
      <c r="L1531" s="405" t="s">
        <v>314</v>
      </c>
      <c r="M1531" s="405" t="s">
        <v>329</v>
      </c>
      <c r="N1531" s="405" t="s">
        <v>1107</v>
      </c>
      <c r="O1531" s="405" t="s">
        <v>545</v>
      </c>
      <c r="P1531" s="405" t="s">
        <v>1456</v>
      </c>
      <c r="Q1531" s="411">
        <v>6</v>
      </c>
      <c r="R1531" s="405" t="s">
        <v>5903</v>
      </c>
      <c r="S1531" s="405" t="s">
        <v>27153</v>
      </c>
      <c r="T1531" s="405" t="s">
        <v>884</v>
      </c>
      <c r="U1531" s="405" t="s">
        <v>319</v>
      </c>
    </row>
    <row r="1532" spans="1:21" x14ac:dyDescent="0.25">
      <c r="A1532" s="405" t="s">
        <v>310</v>
      </c>
      <c r="B1532" s="405" t="s">
        <v>16888</v>
      </c>
      <c r="C1532" s="405" t="s">
        <v>327</v>
      </c>
      <c r="D1532" s="405"/>
      <c r="E1532" s="410">
        <v>43701</v>
      </c>
      <c r="F1532" s="410">
        <v>43716</v>
      </c>
      <c r="G1532" s="405" t="s">
        <v>16889</v>
      </c>
      <c r="H1532" s="405">
        <v>779830724</v>
      </c>
      <c r="I1532" s="405"/>
      <c r="J1532" s="405">
        <v>0.52325999999999995</v>
      </c>
      <c r="K1532" s="405">
        <v>33.454210000000003</v>
      </c>
      <c r="L1532" s="405" t="s">
        <v>6866</v>
      </c>
      <c r="M1532" s="405" t="s">
        <v>13470</v>
      </c>
      <c r="N1532" s="405" t="s">
        <v>16890</v>
      </c>
      <c r="O1532" s="405" t="s">
        <v>6748</v>
      </c>
      <c r="P1532" s="405" t="s">
        <v>16891</v>
      </c>
      <c r="Q1532" s="411">
        <v>6</v>
      </c>
      <c r="R1532" s="405" t="s">
        <v>5655</v>
      </c>
      <c r="S1532" s="405" t="s">
        <v>27072</v>
      </c>
      <c r="T1532" s="405" t="s">
        <v>884</v>
      </c>
      <c r="U1532" s="405" t="s">
        <v>319</v>
      </c>
    </row>
    <row r="1533" spans="1:21" x14ac:dyDescent="0.25">
      <c r="A1533" s="405" t="s">
        <v>310</v>
      </c>
      <c r="B1533" s="405" t="s">
        <v>7691</v>
      </c>
      <c r="C1533" s="405" t="s">
        <v>327</v>
      </c>
      <c r="D1533" s="405"/>
      <c r="E1533" s="410">
        <v>43700</v>
      </c>
      <c r="F1533" s="410">
        <v>43729</v>
      </c>
      <c r="G1533" s="405" t="s">
        <v>7692</v>
      </c>
      <c r="H1533" s="405">
        <v>772489722</v>
      </c>
      <c r="I1533" s="405">
        <v>704653835</v>
      </c>
      <c r="J1533" s="405">
        <v>0.156028</v>
      </c>
      <c r="K1533" s="405">
        <v>32.548363000000002</v>
      </c>
      <c r="L1533" s="405" t="s">
        <v>314</v>
      </c>
      <c r="M1533" s="405" t="s">
        <v>361</v>
      </c>
      <c r="N1533" s="405" t="s">
        <v>6357</v>
      </c>
      <c r="O1533" s="405" t="s">
        <v>7693</v>
      </c>
      <c r="P1533" s="405" t="s">
        <v>7694</v>
      </c>
      <c r="Q1533" s="411">
        <v>13</v>
      </c>
      <c r="R1533" s="405" t="s">
        <v>4176</v>
      </c>
      <c r="S1533" s="405" t="s">
        <v>27059</v>
      </c>
      <c r="T1533" s="405" t="s">
        <v>884</v>
      </c>
      <c r="U1533" s="405" t="s">
        <v>319</v>
      </c>
    </row>
    <row r="1534" spans="1:21" x14ac:dyDescent="0.25">
      <c r="A1534" s="405" t="s">
        <v>310</v>
      </c>
      <c r="B1534" s="405" t="s">
        <v>25366</v>
      </c>
      <c r="C1534" s="405" t="s">
        <v>327</v>
      </c>
      <c r="D1534" s="405"/>
      <c r="E1534" s="410">
        <v>43700</v>
      </c>
      <c r="F1534" s="410">
        <v>43711</v>
      </c>
      <c r="G1534" s="405" t="s">
        <v>25367</v>
      </c>
      <c r="H1534" s="405">
        <v>772545092</v>
      </c>
      <c r="I1534" s="405"/>
      <c r="J1534" s="405">
        <v>-0.90836700000000004</v>
      </c>
      <c r="K1534" s="405">
        <v>29.832652</v>
      </c>
      <c r="L1534" s="405" t="s">
        <v>590</v>
      </c>
      <c r="M1534" s="405" t="s">
        <v>20808</v>
      </c>
      <c r="N1534" s="405" t="s">
        <v>23390</v>
      </c>
      <c r="O1534" s="405" t="s">
        <v>23326</v>
      </c>
      <c r="P1534" s="405" t="s">
        <v>24801</v>
      </c>
      <c r="Q1534" s="411">
        <v>9</v>
      </c>
      <c r="R1534" s="405" t="s">
        <v>6572</v>
      </c>
      <c r="S1534" s="405" t="s">
        <v>27249</v>
      </c>
      <c r="T1534" s="405" t="s">
        <v>884</v>
      </c>
      <c r="U1534" s="405" t="s">
        <v>319</v>
      </c>
    </row>
    <row r="1535" spans="1:21" x14ac:dyDescent="0.25">
      <c r="A1535" s="405" t="s">
        <v>310</v>
      </c>
      <c r="B1535" s="405" t="s">
        <v>7629</v>
      </c>
      <c r="C1535" s="405" t="s">
        <v>327</v>
      </c>
      <c r="D1535" s="405"/>
      <c r="E1535" s="410">
        <v>43699</v>
      </c>
      <c r="F1535" s="410">
        <v>43718</v>
      </c>
      <c r="G1535" s="405" t="s">
        <v>7630</v>
      </c>
      <c r="H1535" s="405">
        <v>772964140</v>
      </c>
      <c r="I1535" s="405"/>
      <c r="J1535" s="405">
        <v>0.42118</v>
      </c>
      <c r="K1535" s="405">
        <v>32.415253</v>
      </c>
      <c r="L1535" s="405" t="s">
        <v>314</v>
      </c>
      <c r="M1535" s="405" t="s">
        <v>361</v>
      </c>
      <c r="N1535" s="405" t="s">
        <v>374</v>
      </c>
      <c r="O1535" s="405" t="s">
        <v>952</v>
      </c>
      <c r="P1535" s="405" t="s">
        <v>7331</v>
      </c>
      <c r="Q1535" s="411">
        <v>9</v>
      </c>
      <c r="R1535" s="405" t="s">
        <v>32101</v>
      </c>
      <c r="S1535" s="405" t="s">
        <v>27275</v>
      </c>
      <c r="T1535" s="405" t="s">
        <v>32102</v>
      </c>
      <c r="U1535" s="405" t="s">
        <v>319</v>
      </c>
    </row>
    <row r="1536" spans="1:21" x14ac:dyDescent="0.25">
      <c r="A1536" s="405" t="s">
        <v>310</v>
      </c>
      <c r="B1536" s="405" t="s">
        <v>16979</v>
      </c>
      <c r="C1536" s="405" t="s">
        <v>327</v>
      </c>
      <c r="D1536" s="405"/>
      <c r="E1536" s="410">
        <v>43699</v>
      </c>
      <c r="F1536" s="410">
        <v>43713</v>
      </c>
      <c r="G1536" s="405" t="s">
        <v>16980</v>
      </c>
      <c r="H1536" s="405">
        <v>702763186</v>
      </c>
      <c r="I1536" s="405"/>
      <c r="J1536" s="405">
        <v>0.50974399999999997</v>
      </c>
      <c r="K1536" s="405">
        <v>33.219645</v>
      </c>
      <c r="L1536" s="405" t="s">
        <v>6866</v>
      </c>
      <c r="M1536" s="405" t="s">
        <v>9590</v>
      </c>
      <c r="N1536" s="405" t="s">
        <v>9591</v>
      </c>
      <c r="O1536" s="405" t="s">
        <v>9592</v>
      </c>
      <c r="P1536" s="405" t="s">
        <v>7511</v>
      </c>
      <c r="Q1536" s="411">
        <v>4</v>
      </c>
      <c r="R1536" s="405" t="s">
        <v>32164</v>
      </c>
      <c r="S1536" s="405" t="s">
        <v>414</v>
      </c>
      <c r="T1536" s="405" t="s">
        <v>884</v>
      </c>
      <c r="U1536" s="405" t="s">
        <v>319</v>
      </c>
    </row>
    <row r="1537" spans="1:21" x14ac:dyDescent="0.25">
      <c r="A1537" s="405" t="s">
        <v>310</v>
      </c>
      <c r="B1537" s="405" t="s">
        <v>7621</v>
      </c>
      <c r="C1537" s="405" t="s">
        <v>327</v>
      </c>
      <c r="D1537" s="405"/>
      <c r="E1537" s="410">
        <v>43698</v>
      </c>
      <c r="F1537" s="410">
        <v>43714</v>
      </c>
      <c r="G1537" s="405" t="s">
        <v>7622</v>
      </c>
      <c r="H1537" s="405">
        <v>782771287</v>
      </c>
      <c r="I1537" s="405"/>
      <c r="J1537" s="405">
        <v>-6.2802999999999998E-2</v>
      </c>
      <c r="K1537" s="405">
        <v>29.834150000000001</v>
      </c>
      <c r="L1537" s="405" t="s">
        <v>314</v>
      </c>
      <c r="M1537" s="405" t="s">
        <v>959</v>
      </c>
      <c r="N1537" s="405" t="s">
        <v>959</v>
      </c>
      <c r="O1537" s="405" t="s">
        <v>7623</v>
      </c>
      <c r="P1537" s="405" t="s">
        <v>7624</v>
      </c>
      <c r="Q1537" s="411">
        <v>13</v>
      </c>
      <c r="R1537" s="405" t="s">
        <v>6798</v>
      </c>
      <c r="S1537" s="405" t="s">
        <v>27049</v>
      </c>
      <c r="T1537" s="405" t="s">
        <v>884</v>
      </c>
      <c r="U1537" s="405" t="s">
        <v>319</v>
      </c>
    </row>
    <row r="1538" spans="1:21" x14ac:dyDescent="0.25">
      <c r="A1538" s="405" t="s">
        <v>310</v>
      </c>
      <c r="B1538" s="405" t="s">
        <v>7664</v>
      </c>
      <c r="C1538" s="405" t="s">
        <v>327</v>
      </c>
      <c r="D1538" s="405"/>
      <c r="E1538" s="410">
        <v>43698</v>
      </c>
      <c r="F1538" s="410">
        <v>43714</v>
      </c>
      <c r="G1538" s="405" t="s">
        <v>7665</v>
      </c>
      <c r="H1538" s="405">
        <v>789958402</v>
      </c>
      <c r="I1538" s="405"/>
      <c r="J1538" s="405">
        <v>-0.22770099999999999</v>
      </c>
      <c r="K1538" s="405">
        <v>31.835443999999999</v>
      </c>
      <c r="L1538" s="405" t="s">
        <v>314</v>
      </c>
      <c r="M1538" s="405" t="s">
        <v>2512</v>
      </c>
      <c r="N1538" s="405" t="s">
        <v>7666</v>
      </c>
      <c r="O1538" s="405" t="s">
        <v>7667</v>
      </c>
      <c r="P1538" s="405" t="s">
        <v>7668</v>
      </c>
      <c r="Q1538" s="411">
        <v>13</v>
      </c>
      <c r="R1538" s="405" t="s">
        <v>32157</v>
      </c>
      <c r="S1538" s="405" t="s">
        <v>27046</v>
      </c>
      <c r="T1538" s="405" t="s">
        <v>32102</v>
      </c>
      <c r="U1538" s="405" t="s">
        <v>319</v>
      </c>
    </row>
    <row r="1539" spans="1:21" x14ac:dyDescent="0.25">
      <c r="A1539" s="405" t="s">
        <v>310</v>
      </c>
      <c r="B1539" s="405" t="s">
        <v>25441</v>
      </c>
      <c r="C1539" s="405" t="s">
        <v>311</v>
      </c>
      <c r="D1539" s="405" t="s">
        <v>2127</v>
      </c>
      <c r="E1539" s="410">
        <v>43698</v>
      </c>
      <c r="F1539" s="410">
        <v>43700</v>
      </c>
      <c r="G1539" s="405" t="s">
        <v>25442</v>
      </c>
      <c r="H1539" s="405">
        <v>775841161</v>
      </c>
      <c r="I1539" s="405"/>
      <c r="J1539" s="405">
        <v>-0.42105500000000001</v>
      </c>
      <c r="K1539" s="405">
        <v>30.564817000000001</v>
      </c>
      <c r="L1539" s="405" t="s">
        <v>590</v>
      </c>
      <c r="M1539" s="405" t="s">
        <v>19614</v>
      </c>
      <c r="N1539" s="405" t="s">
        <v>20230</v>
      </c>
      <c r="O1539" s="405" t="s">
        <v>19650</v>
      </c>
      <c r="P1539" s="405" t="s">
        <v>20763</v>
      </c>
      <c r="Q1539" s="411">
        <v>9</v>
      </c>
      <c r="R1539" s="405" t="s">
        <v>874</v>
      </c>
      <c r="S1539" s="405" t="s">
        <v>27271</v>
      </c>
      <c r="T1539" s="405" t="s">
        <v>884</v>
      </c>
      <c r="U1539" s="405" t="s">
        <v>319</v>
      </c>
    </row>
    <row r="1540" spans="1:21" x14ac:dyDescent="0.25">
      <c r="A1540" s="405" t="s">
        <v>310</v>
      </c>
      <c r="B1540" s="405" t="s">
        <v>7702</v>
      </c>
      <c r="C1540" s="405" t="s">
        <v>327</v>
      </c>
      <c r="D1540" s="405"/>
      <c r="E1540" s="410">
        <v>43698</v>
      </c>
      <c r="F1540" s="410">
        <v>43713</v>
      </c>
      <c r="G1540" s="405" t="s">
        <v>7703</v>
      </c>
      <c r="H1540" s="405">
        <v>783167009</v>
      </c>
      <c r="I1540" s="405">
        <v>700466469</v>
      </c>
      <c r="J1540" s="405" t="s">
        <v>7334</v>
      </c>
      <c r="K1540" s="405">
        <v>34.189390000000003</v>
      </c>
      <c r="L1540" s="405" t="s">
        <v>314</v>
      </c>
      <c r="M1540" s="405" t="s">
        <v>361</v>
      </c>
      <c r="N1540" s="405" t="s">
        <v>6178</v>
      </c>
      <c r="O1540" s="405" t="s">
        <v>433</v>
      </c>
      <c r="P1540" s="405" t="s">
        <v>1903</v>
      </c>
      <c r="Q1540" s="411">
        <v>6</v>
      </c>
      <c r="R1540" s="405" t="s">
        <v>4176</v>
      </c>
      <c r="S1540" s="405" t="s">
        <v>27153</v>
      </c>
      <c r="T1540" s="405" t="s">
        <v>884</v>
      </c>
      <c r="U1540" s="405" t="s">
        <v>319</v>
      </c>
    </row>
    <row r="1541" spans="1:21" x14ac:dyDescent="0.25">
      <c r="A1541" s="405" t="s">
        <v>310</v>
      </c>
      <c r="B1541" s="405" t="s">
        <v>19083</v>
      </c>
      <c r="C1541" s="405" t="s">
        <v>327</v>
      </c>
      <c r="D1541" s="405"/>
      <c r="E1541" s="410">
        <v>43698</v>
      </c>
      <c r="F1541" s="410">
        <v>43744</v>
      </c>
      <c r="G1541" s="405" t="s">
        <v>19084</v>
      </c>
      <c r="H1541" s="405">
        <v>772359372</v>
      </c>
      <c r="I1541" s="405"/>
      <c r="J1541" s="405">
        <v>0.29330000000000001</v>
      </c>
      <c r="K1541" s="405">
        <v>31.292300000000001</v>
      </c>
      <c r="L1541" s="405" t="s">
        <v>860</v>
      </c>
      <c r="M1541" s="405" t="s">
        <v>18234</v>
      </c>
      <c r="N1541" s="405" t="s">
        <v>18252</v>
      </c>
      <c r="O1541" s="405" t="s">
        <v>18234</v>
      </c>
      <c r="P1541" s="405" t="s">
        <v>18816</v>
      </c>
      <c r="Q1541" s="411">
        <v>6</v>
      </c>
      <c r="R1541" s="405" t="s">
        <v>7208</v>
      </c>
      <c r="S1541" s="405" t="s">
        <v>27273</v>
      </c>
      <c r="T1541" s="405" t="s">
        <v>884</v>
      </c>
      <c r="U1541" s="405" t="s">
        <v>319</v>
      </c>
    </row>
    <row r="1542" spans="1:21" x14ac:dyDescent="0.25">
      <c r="A1542" s="405" t="s">
        <v>310</v>
      </c>
      <c r="B1542" s="405" t="s">
        <v>25691</v>
      </c>
      <c r="C1542" s="405" t="s">
        <v>311</v>
      </c>
      <c r="D1542" s="405" t="s">
        <v>890</v>
      </c>
      <c r="E1542" s="410">
        <v>43698</v>
      </c>
      <c r="F1542" s="410">
        <v>43710</v>
      </c>
      <c r="G1542" s="405" t="s">
        <v>25692</v>
      </c>
      <c r="H1542" s="405">
        <v>777679110</v>
      </c>
      <c r="I1542" s="405"/>
      <c r="J1542" s="405">
        <v>-0.91167799999999999</v>
      </c>
      <c r="K1542" s="405">
        <v>30.419495000000001</v>
      </c>
      <c r="L1542" s="405" t="s">
        <v>590</v>
      </c>
      <c r="M1542" s="405" t="s">
        <v>19659</v>
      </c>
      <c r="N1542" s="405" t="s">
        <v>19664</v>
      </c>
      <c r="O1542" s="405" t="s">
        <v>19701</v>
      </c>
      <c r="P1542" s="405" t="s">
        <v>25445</v>
      </c>
      <c r="Q1542" s="411">
        <v>6</v>
      </c>
      <c r="R1542" s="405" t="s">
        <v>32166</v>
      </c>
      <c r="S1542" s="405" t="s">
        <v>27444</v>
      </c>
      <c r="T1542" s="405" t="s">
        <v>884</v>
      </c>
      <c r="U1542" s="405" t="s">
        <v>319</v>
      </c>
    </row>
    <row r="1543" spans="1:21" x14ac:dyDescent="0.25">
      <c r="A1543" s="405" t="s">
        <v>310</v>
      </c>
      <c r="B1543" s="405" t="s">
        <v>7824</v>
      </c>
      <c r="C1543" s="405" t="s">
        <v>327</v>
      </c>
      <c r="D1543" s="405"/>
      <c r="E1543" s="410">
        <v>43697</v>
      </c>
      <c r="F1543" s="410">
        <v>43751</v>
      </c>
      <c r="G1543" s="405" t="s">
        <v>7825</v>
      </c>
      <c r="H1543" s="405">
        <v>775615422</v>
      </c>
      <c r="I1543" s="405"/>
      <c r="J1543" s="405" t="s">
        <v>7420</v>
      </c>
      <c r="K1543" s="405">
        <v>31.835087999999999</v>
      </c>
      <c r="L1543" s="405" t="s">
        <v>314</v>
      </c>
      <c r="M1543" s="405" t="s">
        <v>329</v>
      </c>
      <c r="N1543" s="405" t="s">
        <v>7826</v>
      </c>
      <c r="O1543" s="405" t="s">
        <v>7802</v>
      </c>
      <c r="P1543" s="405" t="s">
        <v>7827</v>
      </c>
      <c r="Q1543" s="411">
        <v>13</v>
      </c>
      <c r="R1543" s="405" t="s">
        <v>5665</v>
      </c>
      <c r="S1543" s="405" t="s">
        <v>27110</v>
      </c>
      <c r="T1543" s="405" t="s">
        <v>884</v>
      </c>
      <c r="U1543" s="405" t="s">
        <v>319</v>
      </c>
    </row>
    <row r="1544" spans="1:21" x14ac:dyDescent="0.25">
      <c r="A1544" s="405" t="s">
        <v>310</v>
      </c>
      <c r="B1544" s="405" t="s">
        <v>7896</v>
      </c>
      <c r="C1544" s="405" t="s">
        <v>327</v>
      </c>
      <c r="D1544" s="405"/>
      <c r="E1544" s="410">
        <v>43697</v>
      </c>
      <c r="F1544" s="410">
        <v>43774</v>
      </c>
      <c r="G1544" s="405" t="s">
        <v>7897</v>
      </c>
      <c r="H1544" s="405">
        <v>775208841</v>
      </c>
      <c r="I1544" s="405"/>
      <c r="J1544" s="405">
        <v>0.16986499999999999</v>
      </c>
      <c r="K1544" s="405">
        <v>31.903758</v>
      </c>
      <c r="L1544" s="405" t="s">
        <v>314</v>
      </c>
      <c r="M1544" s="405" t="s">
        <v>339</v>
      </c>
      <c r="N1544" s="405" t="s">
        <v>339</v>
      </c>
      <c r="O1544" s="405" t="s">
        <v>7898</v>
      </c>
      <c r="P1544" s="405" t="s">
        <v>5766</v>
      </c>
      <c r="Q1544" s="411">
        <v>9</v>
      </c>
      <c r="R1544" s="405" t="s">
        <v>32101</v>
      </c>
      <c r="S1544" s="405" t="s">
        <v>27279</v>
      </c>
      <c r="T1544" s="405" t="s">
        <v>884</v>
      </c>
      <c r="U1544" s="405" t="s">
        <v>319</v>
      </c>
    </row>
    <row r="1545" spans="1:21" x14ac:dyDescent="0.25">
      <c r="A1545" s="405" t="s">
        <v>310</v>
      </c>
      <c r="B1545" s="405" t="s">
        <v>7649</v>
      </c>
      <c r="C1545" s="405" t="s">
        <v>327</v>
      </c>
      <c r="D1545" s="405"/>
      <c r="E1545" s="410">
        <v>43697</v>
      </c>
      <c r="F1545" s="410">
        <v>43715</v>
      </c>
      <c r="G1545" s="405" t="s">
        <v>7650</v>
      </c>
      <c r="H1545" s="405">
        <v>782944299</v>
      </c>
      <c r="I1545" s="405"/>
      <c r="J1545" s="405" t="s">
        <v>7420</v>
      </c>
      <c r="K1545" s="405">
        <v>31.835087999999999</v>
      </c>
      <c r="L1545" s="405" t="s">
        <v>314</v>
      </c>
      <c r="M1545" s="405" t="s">
        <v>349</v>
      </c>
      <c r="N1545" s="405" t="s">
        <v>349</v>
      </c>
      <c r="O1545" s="405" t="s">
        <v>349</v>
      </c>
      <c r="P1545" s="405" t="s">
        <v>7651</v>
      </c>
      <c r="Q1545" s="411">
        <v>9</v>
      </c>
      <c r="R1545" s="405" t="s">
        <v>32157</v>
      </c>
      <c r="S1545" s="405" t="s">
        <v>27045</v>
      </c>
      <c r="T1545" s="405" t="s">
        <v>884</v>
      </c>
      <c r="U1545" s="405" t="s">
        <v>319</v>
      </c>
    </row>
    <row r="1546" spans="1:21" x14ac:dyDescent="0.25">
      <c r="A1546" s="405" t="s">
        <v>310</v>
      </c>
      <c r="B1546" s="405" t="s">
        <v>25259</v>
      </c>
      <c r="C1546" s="405" t="s">
        <v>327</v>
      </c>
      <c r="D1546" s="405"/>
      <c r="E1546" s="410">
        <v>43697</v>
      </c>
      <c r="F1546" s="410">
        <v>43707</v>
      </c>
      <c r="G1546" s="405" t="s">
        <v>25260</v>
      </c>
      <c r="H1546" s="405">
        <v>775009222</v>
      </c>
      <c r="I1546" s="405"/>
      <c r="J1546" s="405">
        <v>1.6729130000000001</v>
      </c>
      <c r="K1546" s="405">
        <v>31.725462</v>
      </c>
      <c r="L1546" s="405" t="s">
        <v>590</v>
      </c>
      <c r="M1546" s="405" t="s">
        <v>19608</v>
      </c>
      <c r="N1546" s="405" t="s">
        <v>19783</v>
      </c>
      <c r="O1546" s="405" t="s">
        <v>25261</v>
      </c>
      <c r="P1546" s="405" t="s">
        <v>25262</v>
      </c>
      <c r="Q1546" s="411">
        <v>9</v>
      </c>
      <c r="R1546" s="405" t="s">
        <v>32101</v>
      </c>
      <c r="S1546" s="405" t="s">
        <v>414</v>
      </c>
      <c r="T1546" s="405" t="s">
        <v>884</v>
      </c>
      <c r="U1546" s="405" t="s">
        <v>319</v>
      </c>
    </row>
    <row r="1547" spans="1:21" x14ac:dyDescent="0.25">
      <c r="A1547" s="405" t="s">
        <v>310</v>
      </c>
      <c r="B1547" s="405" t="s">
        <v>25220</v>
      </c>
      <c r="C1547" s="405" t="s">
        <v>311</v>
      </c>
      <c r="D1547" s="405" t="s">
        <v>32748</v>
      </c>
      <c r="E1547" s="410">
        <v>43697</v>
      </c>
      <c r="F1547" s="410">
        <v>43699</v>
      </c>
      <c r="G1547" s="405" t="s">
        <v>25221</v>
      </c>
      <c r="H1547" s="405">
        <v>702118398</v>
      </c>
      <c r="I1547" s="405"/>
      <c r="J1547" s="405">
        <v>-0.42098200000000002</v>
      </c>
      <c r="K1547" s="405">
        <v>30.564782000000001</v>
      </c>
      <c r="L1547" s="405" t="s">
        <v>590</v>
      </c>
      <c r="M1547" s="405" t="s">
        <v>19614</v>
      </c>
      <c r="N1547" s="405" t="s">
        <v>23624</v>
      </c>
      <c r="O1547" s="405" t="s">
        <v>19752</v>
      </c>
      <c r="P1547" s="405" t="s">
        <v>25222</v>
      </c>
      <c r="Q1547" s="411">
        <v>9</v>
      </c>
      <c r="R1547" s="405" t="s">
        <v>874</v>
      </c>
      <c r="S1547" s="405" t="s">
        <v>27271</v>
      </c>
      <c r="T1547" s="405" t="s">
        <v>884</v>
      </c>
      <c r="U1547" s="405" t="s">
        <v>319</v>
      </c>
    </row>
    <row r="1548" spans="1:21" x14ac:dyDescent="0.25">
      <c r="A1548" s="405" t="s">
        <v>310</v>
      </c>
      <c r="B1548" s="405" t="s">
        <v>25374</v>
      </c>
      <c r="C1548" s="405" t="s">
        <v>327</v>
      </c>
      <c r="D1548" s="405"/>
      <c r="E1548" s="410">
        <v>43697</v>
      </c>
      <c r="F1548" s="410">
        <v>43720</v>
      </c>
      <c r="G1548" s="405" t="s">
        <v>25375</v>
      </c>
      <c r="H1548" s="405">
        <v>774279804</v>
      </c>
      <c r="I1548" s="405"/>
      <c r="J1548" s="405">
        <v>0.44500000000000001</v>
      </c>
      <c r="K1548" s="405">
        <v>29.412777699999999</v>
      </c>
      <c r="L1548" s="405" t="s">
        <v>590</v>
      </c>
      <c r="M1548" s="405" t="s">
        <v>25315</v>
      </c>
      <c r="N1548" s="405" t="s">
        <v>23385</v>
      </c>
      <c r="O1548" s="405" t="s">
        <v>25376</v>
      </c>
      <c r="P1548" s="405" t="s">
        <v>25377</v>
      </c>
      <c r="Q1548" s="411">
        <v>6</v>
      </c>
      <c r="R1548" s="405" t="s">
        <v>6572</v>
      </c>
      <c r="S1548" s="405" t="s">
        <v>27301</v>
      </c>
      <c r="T1548" s="405" t="s">
        <v>884</v>
      </c>
      <c r="U1548" s="405" t="s">
        <v>319</v>
      </c>
    </row>
    <row r="1549" spans="1:21" x14ac:dyDescent="0.25">
      <c r="A1549" s="405" t="s">
        <v>310</v>
      </c>
      <c r="B1549" s="405" t="s">
        <v>25368</v>
      </c>
      <c r="C1549" s="405" t="s">
        <v>327</v>
      </c>
      <c r="D1549" s="405"/>
      <c r="E1549" s="410">
        <v>43697</v>
      </c>
      <c r="F1549" s="410">
        <v>43712</v>
      </c>
      <c r="G1549" s="405" t="s">
        <v>25369</v>
      </c>
      <c r="H1549" s="405">
        <v>782402080</v>
      </c>
      <c r="I1549" s="405">
        <v>771838846</v>
      </c>
      <c r="J1549" s="405">
        <v>0.4829</v>
      </c>
      <c r="K1549" s="405">
        <v>34.112099999999998</v>
      </c>
      <c r="L1549" s="405" t="s">
        <v>590</v>
      </c>
      <c r="M1549" s="405" t="s">
        <v>25315</v>
      </c>
      <c r="N1549" s="405" t="s">
        <v>23390</v>
      </c>
      <c r="O1549" s="405" t="s">
        <v>20810</v>
      </c>
      <c r="P1549" s="405" t="s">
        <v>25370</v>
      </c>
      <c r="Q1549" s="411">
        <v>6</v>
      </c>
      <c r="R1549" s="405" t="s">
        <v>6572</v>
      </c>
      <c r="S1549" s="405" t="s">
        <v>27137</v>
      </c>
      <c r="T1549" s="405" t="s">
        <v>884</v>
      </c>
      <c r="U1549" s="405" t="s">
        <v>319</v>
      </c>
    </row>
    <row r="1550" spans="1:21" x14ac:dyDescent="0.25">
      <c r="A1550" s="405" t="s">
        <v>310</v>
      </c>
      <c r="B1550" s="405" t="s">
        <v>25463</v>
      </c>
      <c r="C1550" s="405" t="s">
        <v>327</v>
      </c>
      <c r="D1550" s="405"/>
      <c r="E1550" s="410">
        <v>43697</v>
      </c>
      <c r="F1550" s="410">
        <v>43712</v>
      </c>
      <c r="G1550" s="405" t="s">
        <v>25464</v>
      </c>
      <c r="H1550" s="405">
        <v>772900847</v>
      </c>
      <c r="I1550" s="405"/>
      <c r="J1550" s="405">
        <v>-5.5708000000000001E-2</v>
      </c>
      <c r="K1550" s="405" t="s">
        <v>7372</v>
      </c>
      <c r="L1550" s="405" t="s">
        <v>590</v>
      </c>
      <c r="M1550" s="405" t="s">
        <v>20070</v>
      </c>
      <c r="N1550" s="405" t="s">
        <v>20076</v>
      </c>
      <c r="O1550" s="405" t="s">
        <v>25465</v>
      </c>
      <c r="P1550" s="405" t="s">
        <v>25209</v>
      </c>
      <c r="Q1550" s="411">
        <v>6</v>
      </c>
      <c r="R1550" s="405" t="s">
        <v>24106</v>
      </c>
      <c r="S1550" s="405" t="s">
        <v>27438</v>
      </c>
      <c r="T1550" s="405" t="s">
        <v>884</v>
      </c>
      <c r="U1550" s="405" t="s">
        <v>319</v>
      </c>
    </row>
    <row r="1551" spans="1:21" x14ac:dyDescent="0.25">
      <c r="A1551" s="405" t="s">
        <v>310</v>
      </c>
      <c r="B1551" s="405" t="s">
        <v>25363</v>
      </c>
      <c r="C1551" s="405" t="s">
        <v>327</v>
      </c>
      <c r="D1551" s="405"/>
      <c r="E1551" s="410">
        <v>43697</v>
      </c>
      <c r="F1551" s="410">
        <v>43711</v>
      </c>
      <c r="G1551" s="405" t="s">
        <v>25364</v>
      </c>
      <c r="H1551" s="405">
        <v>781043673</v>
      </c>
      <c r="I1551" s="405"/>
      <c r="J1551" s="405">
        <v>-0.90544199999999997</v>
      </c>
      <c r="K1551" s="405">
        <v>29.827580000000001</v>
      </c>
      <c r="L1551" s="405" t="s">
        <v>590</v>
      </c>
      <c r="M1551" s="405" t="s">
        <v>20808</v>
      </c>
      <c r="N1551" s="405" t="s">
        <v>23390</v>
      </c>
      <c r="O1551" s="405" t="s">
        <v>23326</v>
      </c>
      <c r="P1551" s="405" t="s">
        <v>25365</v>
      </c>
      <c r="Q1551" s="411">
        <v>6</v>
      </c>
      <c r="R1551" s="405" t="s">
        <v>6572</v>
      </c>
      <c r="S1551" s="405" t="s">
        <v>27166</v>
      </c>
      <c r="T1551" s="405" t="s">
        <v>884</v>
      </c>
      <c r="U1551" s="405" t="s">
        <v>319</v>
      </c>
    </row>
    <row r="1552" spans="1:21" x14ac:dyDescent="0.25">
      <c r="A1552" s="405" t="s">
        <v>310</v>
      </c>
      <c r="B1552" s="405" t="s">
        <v>7658</v>
      </c>
      <c r="C1552" s="405" t="s">
        <v>327</v>
      </c>
      <c r="D1552" s="405"/>
      <c r="E1552" s="410">
        <v>43696</v>
      </c>
      <c r="F1552" s="410">
        <v>43715</v>
      </c>
      <c r="G1552" s="405" t="s">
        <v>7659</v>
      </c>
      <c r="H1552" s="405">
        <v>772506418</v>
      </c>
      <c r="I1552" s="405"/>
      <c r="J1552" s="405">
        <v>1.3524529999999999</v>
      </c>
      <c r="K1552" s="405">
        <v>34.467911999999998</v>
      </c>
      <c r="L1552" s="405" t="s">
        <v>314</v>
      </c>
      <c r="M1552" s="405" t="s">
        <v>361</v>
      </c>
      <c r="N1552" s="405" t="s">
        <v>618</v>
      </c>
      <c r="O1552" s="405" t="s">
        <v>374</v>
      </c>
      <c r="P1552" s="405" t="s">
        <v>7660</v>
      </c>
      <c r="Q1552" s="411">
        <v>13</v>
      </c>
      <c r="R1552" s="405" t="s">
        <v>32157</v>
      </c>
      <c r="S1552" s="405" t="s">
        <v>27045</v>
      </c>
      <c r="T1552" s="405" t="s">
        <v>884</v>
      </c>
      <c r="U1552" s="405" t="s">
        <v>319</v>
      </c>
    </row>
    <row r="1553" spans="1:21" x14ac:dyDescent="0.25">
      <c r="A1553" s="405" t="s">
        <v>310</v>
      </c>
      <c r="B1553" s="405" t="s">
        <v>7546</v>
      </c>
      <c r="C1553" s="405" t="s">
        <v>327</v>
      </c>
      <c r="D1553" s="405"/>
      <c r="E1553" s="410">
        <v>43696</v>
      </c>
      <c r="F1553" s="410">
        <v>43707</v>
      </c>
      <c r="G1553" s="405" t="s">
        <v>7547</v>
      </c>
      <c r="H1553" s="405">
        <v>772413576</v>
      </c>
      <c r="I1553" s="405"/>
      <c r="J1553" s="405">
        <v>0.42963200000000001</v>
      </c>
      <c r="K1553" s="405">
        <v>32.612881999999999</v>
      </c>
      <c r="L1553" s="405" t="s">
        <v>314</v>
      </c>
      <c r="M1553" s="405" t="s">
        <v>361</v>
      </c>
      <c r="N1553" s="405" t="s">
        <v>4961</v>
      </c>
      <c r="O1553" s="405" t="s">
        <v>410</v>
      </c>
      <c r="P1553" s="405" t="s">
        <v>1881</v>
      </c>
      <c r="Q1553" s="411">
        <v>9</v>
      </c>
      <c r="R1553" s="405" t="s">
        <v>32101</v>
      </c>
      <c r="S1553" s="405" t="s">
        <v>27235</v>
      </c>
      <c r="T1553" s="405" t="s">
        <v>884</v>
      </c>
      <c r="U1553" s="405" t="s">
        <v>319</v>
      </c>
    </row>
    <row r="1554" spans="1:21" x14ac:dyDescent="0.25">
      <c r="A1554" s="405" t="s">
        <v>310</v>
      </c>
      <c r="B1554" s="405" t="s">
        <v>25266</v>
      </c>
      <c r="C1554" s="405" t="s">
        <v>327</v>
      </c>
      <c r="D1554" s="405"/>
      <c r="E1554" s="410">
        <v>43695</v>
      </c>
      <c r="F1554" s="410">
        <v>43707</v>
      </c>
      <c r="G1554" s="405" t="s">
        <v>25267</v>
      </c>
      <c r="H1554" s="405">
        <v>772316567</v>
      </c>
      <c r="I1554" s="405"/>
      <c r="J1554" s="405">
        <v>-0.75694799999999995</v>
      </c>
      <c r="K1554" s="405">
        <v>29.743594999999999</v>
      </c>
      <c r="L1554" s="405" t="s">
        <v>590</v>
      </c>
      <c r="M1554" s="405" t="s">
        <v>20808</v>
      </c>
      <c r="N1554" s="405" t="s">
        <v>25110</v>
      </c>
      <c r="O1554" s="405" t="s">
        <v>23870</v>
      </c>
      <c r="P1554" s="405" t="s">
        <v>23871</v>
      </c>
      <c r="Q1554" s="411">
        <v>9</v>
      </c>
      <c r="R1554" s="405" t="s">
        <v>6572</v>
      </c>
      <c r="S1554" s="405" t="s">
        <v>27161</v>
      </c>
      <c r="T1554" s="405" t="s">
        <v>884</v>
      </c>
      <c r="U1554" s="405" t="s">
        <v>319</v>
      </c>
    </row>
    <row r="1555" spans="1:21" x14ac:dyDescent="0.25">
      <c r="A1555" s="405" t="s">
        <v>310</v>
      </c>
      <c r="B1555" s="405" t="s">
        <v>7930</v>
      </c>
      <c r="C1555" s="405" t="s">
        <v>327</v>
      </c>
      <c r="D1555" s="405"/>
      <c r="E1555" s="410">
        <v>43694</v>
      </c>
      <c r="F1555" s="410">
        <v>43780</v>
      </c>
      <c r="G1555" s="405" t="s">
        <v>7931</v>
      </c>
      <c r="H1555" s="405">
        <v>758222075</v>
      </c>
      <c r="I1555" s="405"/>
      <c r="J1555" s="405">
        <v>-6.2802999999999998E-2</v>
      </c>
      <c r="K1555" s="405">
        <v>29.834150000000001</v>
      </c>
      <c r="L1555" s="405" t="s">
        <v>314</v>
      </c>
      <c r="M1555" s="405" t="s">
        <v>900</v>
      </c>
      <c r="N1555" s="405" t="s">
        <v>7932</v>
      </c>
      <c r="O1555" s="405" t="s">
        <v>1302</v>
      </c>
      <c r="P1555" s="405" t="s">
        <v>7933</v>
      </c>
      <c r="Q1555" s="411">
        <v>9</v>
      </c>
      <c r="R1555" s="405" t="s">
        <v>5986</v>
      </c>
      <c r="S1555" s="405" t="s">
        <v>27251</v>
      </c>
      <c r="T1555" s="405" t="s">
        <v>884</v>
      </c>
      <c r="U1555" s="405" t="s">
        <v>319</v>
      </c>
    </row>
    <row r="1556" spans="1:21" x14ac:dyDescent="0.25">
      <c r="A1556" s="405" t="s">
        <v>310</v>
      </c>
      <c r="B1556" s="405" t="s">
        <v>25313</v>
      </c>
      <c r="C1556" s="405" t="s">
        <v>327</v>
      </c>
      <c r="D1556" s="405"/>
      <c r="E1556" s="410">
        <v>43694</v>
      </c>
      <c r="F1556" s="410">
        <v>43720</v>
      </c>
      <c r="G1556" s="405" t="s">
        <v>25314</v>
      </c>
      <c r="H1556" s="405">
        <v>392949199</v>
      </c>
      <c r="I1556" s="405">
        <v>788886082</v>
      </c>
      <c r="J1556" s="405">
        <v>0.52878499999999995</v>
      </c>
      <c r="K1556" s="405">
        <v>33.384937000000001</v>
      </c>
      <c r="L1556" s="405" t="s">
        <v>590</v>
      </c>
      <c r="M1556" s="405" t="s">
        <v>25315</v>
      </c>
      <c r="N1556" s="405" t="s">
        <v>25110</v>
      </c>
      <c r="O1556" s="405" t="s">
        <v>22780</v>
      </c>
      <c r="P1556" s="405" t="s">
        <v>25316</v>
      </c>
      <c r="Q1556" s="411">
        <v>6</v>
      </c>
      <c r="R1556" s="405" t="s">
        <v>6572</v>
      </c>
      <c r="S1556" s="405" t="s">
        <v>27405</v>
      </c>
      <c r="T1556" s="405" t="s">
        <v>884</v>
      </c>
      <c r="U1556" s="405" t="s">
        <v>319</v>
      </c>
    </row>
    <row r="1557" spans="1:21" x14ac:dyDescent="0.25">
      <c r="A1557" s="405" t="s">
        <v>310</v>
      </c>
      <c r="B1557" s="405" t="s">
        <v>16873</v>
      </c>
      <c r="C1557" s="405" t="s">
        <v>327</v>
      </c>
      <c r="D1557" s="405"/>
      <c r="E1557" s="410">
        <v>43694</v>
      </c>
      <c r="F1557" s="410">
        <v>43707</v>
      </c>
      <c r="G1557" s="405" t="s">
        <v>16874</v>
      </c>
      <c r="H1557" s="405">
        <v>775972199</v>
      </c>
      <c r="I1557" s="405"/>
      <c r="J1557" s="405">
        <v>0.85138199999999997</v>
      </c>
      <c r="K1557" s="405">
        <v>33.126541000000003</v>
      </c>
      <c r="L1557" s="405" t="s">
        <v>6866</v>
      </c>
      <c r="M1557" s="405" t="s">
        <v>3009</v>
      </c>
      <c r="N1557" s="405" t="s">
        <v>9662</v>
      </c>
      <c r="O1557" s="405" t="s">
        <v>9663</v>
      </c>
      <c r="P1557" s="405" t="s">
        <v>16875</v>
      </c>
      <c r="Q1557" s="411">
        <v>6</v>
      </c>
      <c r="R1557" s="405" t="s">
        <v>32164</v>
      </c>
      <c r="S1557" s="405" t="s">
        <v>6822</v>
      </c>
      <c r="T1557" s="405" t="s">
        <v>884</v>
      </c>
      <c r="U1557" s="405" t="s">
        <v>319</v>
      </c>
    </row>
    <row r="1558" spans="1:21" x14ac:dyDescent="0.25">
      <c r="A1558" s="405" t="s">
        <v>310</v>
      </c>
      <c r="B1558" s="405" t="s">
        <v>25286</v>
      </c>
      <c r="C1558" s="405" t="s">
        <v>327</v>
      </c>
      <c r="D1558" s="405"/>
      <c r="E1558" s="410">
        <v>43694</v>
      </c>
      <c r="F1558" s="410">
        <v>43707</v>
      </c>
      <c r="G1558" s="405" t="s">
        <v>25287</v>
      </c>
      <c r="H1558" s="405">
        <v>774489330</v>
      </c>
      <c r="I1558" s="405"/>
      <c r="J1558" s="405">
        <v>-0.258162</v>
      </c>
      <c r="K1558" s="405">
        <v>30.607067000000001</v>
      </c>
      <c r="L1558" s="405" t="s">
        <v>590</v>
      </c>
      <c r="M1558" s="405" t="s">
        <v>19614</v>
      </c>
      <c r="N1558" s="405" t="s">
        <v>21297</v>
      </c>
      <c r="O1558" s="405" t="s">
        <v>20108</v>
      </c>
      <c r="P1558" s="405" t="s">
        <v>25288</v>
      </c>
      <c r="Q1558" s="411">
        <v>6</v>
      </c>
      <c r="R1558" s="405" t="s">
        <v>32166</v>
      </c>
      <c r="S1558" s="405" t="s">
        <v>27173</v>
      </c>
      <c r="T1558" s="405" t="s">
        <v>884</v>
      </c>
      <c r="U1558" s="405" t="s">
        <v>319</v>
      </c>
    </row>
    <row r="1559" spans="1:21" x14ac:dyDescent="0.25">
      <c r="A1559" s="405" t="s">
        <v>310</v>
      </c>
      <c r="B1559" s="405" t="s">
        <v>25432</v>
      </c>
      <c r="C1559" s="405" t="s">
        <v>327</v>
      </c>
      <c r="D1559" s="405"/>
      <c r="E1559" s="410">
        <v>43693</v>
      </c>
      <c r="F1559" s="410">
        <v>43713</v>
      </c>
      <c r="G1559" s="405" t="s">
        <v>25433</v>
      </c>
      <c r="H1559" s="405">
        <v>753794716</v>
      </c>
      <c r="I1559" s="405"/>
      <c r="J1559" s="405">
        <v>-0.21740000000000001</v>
      </c>
      <c r="K1559" s="405">
        <v>30.186631999999999</v>
      </c>
      <c r="L1559" s="405" t="s">
        <v>590</v>
      </c>
      <c r="M1559" s="405" t="s">
        <v>19625</v>
      </c>
      <c r="N1559" s="405" t="s">
        <v>24353</v>
      </c>
      <c r="O1559" s="405" t="s">
        <v>19660</v>
      </c>
      <c r="P1559" s="405" t="s">
        <v>19923</v>
      </c>
      <c r="Q1559" s="411">
        <v>9</v>
      </c>
      <c r="R1559" s="405" t="s">
        <v>32166</v>
      </c>
      <c r="S1559" s="405" t="s">
        <v>27401</v>
      </c>
      <c r="T1559" s="405" t="s">
        <v>884</v>
      </c>
      <c r="U1559" s="405" t="s">
        <v>319</v>
      </c>
    </row>
    <row r="1560" spans="1:21" x14ac:dyDescent="0.25">
      <c r="A1560" s="405" t="s">
        <v>310</v>
      </c>
      <c r="B1560" s="405" t="s">
        <v>7899</v>
      </c>
      <c r="C1560" s="405" t="s">
        <v>327</v>
      </c>
      <c r="D1560" s="405"/>
      <c r="E1560" s="410">
        <v>43693</v>
      </c>
      <c r="F1560" s="410">
        <v>43774</v>
      </c>
      <c r="G1560" s="405" t="s">
        <v>7900</v>
      </c>
      <c r="H1560" s="405">
        <v>774113006</v>
      </c>
      <c r="I1560" s="405"/>
      <c r="J1560" s="405">
        <v>0.4829</v>
      </c>
      <c r="K1560" s="405">
        <v>34.112099999999998</v>
      </c>
      <c r="L1560" s="405" t="s">
        <v>314</v>
      </c>
      <c r="M1560" s="405" t="s">
        <v>339</v>
      </c>
      <c r="N1560" s="405" t="s">
        <v>339</v>
      </c>
      <c r="O1560" s="405" t="s">
        <v>6759</v>
      </c>
      <c r="P1560" s="405" t="s">
        <v>7901</v>
      </c>
      <c r="Q1560" s="411">
        <v>6</v>
      </c>
      <c r="R1560" s="405" t="s">
        <v>32101</v>
      </c>
      <c r="S1560" s="405" t="s">
        <v>27279</v>
      </c>
      <c r="T1560" s="405" t="s">
        <v>884</v>
      </c>
      <c r="U1560" s="405" t="s">
        <v>319</v>
      </c>
    </row>
    <row r="1561" spans="1:21" x14ac:dyDescent="0.25">
      <c r="A1561" s="405" t="s">
        <v>310</v>
      </c>
      <c r="B1561" s="405" t="s">
        <v>16802</v>
      </c>
      <c r="C1561" s="405" t="s">
        <v>327</v>
      </c>
      <c r="D1561" s="405"/>
      <c r="E1561" s="410">
        <v>43692</v>
      </c>
      <c r="F1561" s="410">
        <v>43705</v>
      </c>
      <c r="G1561" s="405" t="s">
        <v>16803</v>
      </c>
      <c r="H1561" s="405">
        <v>706737294</v>
      </c>
      <c r="I1561" s="405"/>
      <c r="J1561" s="405">
        <v>0.49001299999999998</v>
      </c>
      <c r="K1561" s="405">
        <v>33.221592000000001</v>
      </c>
      <c r="L1561" s="405" t="s">
        <v>6866</v>
      </c>
      <c r="M1561" s="405" t="s">
        <v>9590</v>
      </c>
      <c r="N1561" s="405" t="s">
        <v>16804</v>
      </c>
      <c r="O1561" s="405" t="s">
        <v>9592</v>
      </c>
      <c r="P1561" s="405" t="s">
        <v>16805</v>
      </c>
      <c r="Q1561" s="411">
        <v>9</v>
      </c>
      <c r="R1561" s="405" t="s">
        <v>874</v>
      </c>
      <c r="S1561" s="405" t="s">
        <v>27271</v>
      </c>
      <c r="T1561" s="405" t="s">
        <v>884</v>
      </c>
      <c r="U1561" s="405" t="s">
        <v>319</v>
      </c>
    </row>
    <row r="1562" spans="1:21" x14ac:dyDescent="0.25">
      <c r="A1562" s="405" t="s">
        <v>310</v>
      </c>
      <c r="B1562" s="405" t="s">
        <v>7625</v>
      </c>
      <c r="C1562" s="405" t="s">
        <v>327</v>
      </c>
      <c r="D1562" s="405"/>
      <c r="E1562" s="410">
        <v>43692</v>
      </c>
      <c r="F1562" s="410">
        <v>43715</v>
      </c>
      <c r="G1562" s="405" t="s">
        <v>7626</v>
      </c>
      <c r="H1562" s="405">
        <v>702561340</v>
      </c>
      <c r="I1562" s="405"/>
      <c r="J1562" s="405">
        <v>0.32068799999999997</v>
      </c>
      <c r="K1562" s="405">
        <v>32.480497999999997</v>
      </c>
      <c r="L1562" s="405" t="s">
        <v>314</v>
      </c>
      <c r="M1562" s="405" t="s">
        <v>361</v>
      </c>
      <c r="N1562" s="405" t="s">
        <v>374</v>
      </c>
      <c r="O1562" s="405" t="s">
        <v>374</v>
      </c>
      <c r="P1562" s="405" t="s">
        <v>4517</v>
      </c>
      <c r="Q1562" s="411">
        <v>6</v>
      </c>
      <c r="R1562" s="405" t="s">
        <v>7269</v>
      </c>
      <c r="S1562" s="405" t="s">
        <v>27039</v>
      </c>
      <c r="T1562" s="405" t="s">
        <v>884</v>
      </c>
      <c r="U1562" s="405" t="s">
        <v>319</v>
      </c>
    </row>
    <row r="1563" spans="1:21" x14ac:dyDescent="0.25">
      <c r="A1563" s="405" t="s">
        <v>310</v>
      </c>
      <c r="B1563" s="405" t="s">
        <v>25213</v>
      </c>
      <c r="C1563" s="405" t="s">
        <v>327</v>
      </c>
      <c r="D1563" s="405"/>
      <c r="E1563" s="410">
        <v>43692</v>
      </c>
      <c r="F1563" s="410">
        <v>43697</v>
      </c>
      <c r="G1563" s="405" t="s">
        <v>25214</v>
      </c>
      <c r="H1563" s="405">
        <v>754126684</v>
      </c>
      <c r="I1563" s="405"/>
      <c r="J1563" s="405">
        <v>-0.26718799999999998</v>
      </c>
      <c r="K1563" s="405">
        <v>30.112131999999999</v>
      </c>
      <c r="L1563" s="405" t="s">
        <v>590</v>
      </c>
      <c r="M1563" s="405" t="s">
        <v>19926</v>
      </c>
      <c r="N1563" s="405" t="s">
        <v>19927</v>
      </c>
      <c r="O1563" s="405" t="s">
        <v>25215</v>
      </c>
      <c r="P1563" s="405" t="s">
        <v>25216</v>
      </c>
      <c r="Q1563" s="411">
        <v>6</v>
      </c>
      <c r="R1563" s="405" t="s">
        <v>883</v>
      </c>
      <c r="S1563" s="405" t="s">
        <v>27097</v>
      </c>
      <c r="T1563" s="405" t="s">
        <v>884</v>
      </c>
      <c r="U1563" s="405" t="s">
        <v>319</v>
      </c>
    </row>
    <row r="1564" spans="1:21" x14ac:dyDescent="0.25">
      <c r="A1564" s="405" t="s">
        <v>310</v>
      </c>
      <c r="B1564" s="405" t="s">
        <v>25284</v>
      </c>
      <c r="C1564" s="405" t="s">
        <v>327</v>
      </c>
      <c r="D1564" s="405"/>
      <c r="E1564" s="410">
        <v>43691</v>
      </c>
      <c r="F1564" s="410">
        <v>43701</v>
      </c>
      <c r="G1564" s="405" t="s">
        <v>25285</v>
      </c>
      <c r="H1564" s="405">
        <v>752465101</v>
      </c>
      <c r="I1564" s="405"/>
      <c r="J1564" s="405">
        <v>-0.58843999999999996</v>
      </c>
      <c r="K1564" s="405">
        <v>30.659147000000001</v>
      </c>
      <c r="L1564" s="405" t="s">
        <v>590</v>
      </c>
      <c r="M1564" s="405" t="s">
        <v>19614</v>
      </c>
      <c r="N1564" s="405" t="s">
        <v>23624</v>
      </c>
      <c r="O1564" s="405" t="s">
        <v>20619</v>
      </c>
      <c r="P1564" s="405" t="s">
        <v>23863</v>
      </c>
      <c r="Q1564" s="411">
        <v>13</v>
      </c>
      <c r="R1564" s="405" t="s">
        <v>32166</v>
      </c>
      <c r="S1564" s="405" t="s">
        <v>27102</v>
      </c>
      <c r="T1564" s="405" t="s">
        <v>884</v>
      </c>
      <c r="U1564" s="405" t="s">
        <v>319</v>
      </c>
    </row>
    <row r="1565" spans="1:21" x14ac:dyDescent="0.25">
      <c r="A1565" s="405" t="s">
        <v>310</v>
      </c>
      <c r="B1565" s="405" t="s">
        <v>25281</v>
      </c>
      <c r="C1565" s="405" t="s">
        <v>327</v>
      </c>
      <c r="D1565" s="405"/>
      <c r="E1565" s="410">
        <v>43691</v>
      </c>
      <c r="F1565" s="410">
        <v>43706</v>
      </c>
      <c r="G1565" s="405" t="s">
        <v>25282</v>
      </c>
      <c r="H1565" s="405">
        <v>775163458</v>
      </c>
      <c r="I1565" s="405"/>
      <c r="J1565" s="405">
        <v>-0.82431299999999996</v>
      </c>
      <c r="K1565" s="405">
        <v>29.810777999999999</v>
      </c>
      <c r="L1565" s="405" t="s">
        <v>590</v>
      </c>
      <c r="M1565" s="405" t="s">
        <v>20808</v>
      </c>
      <c r="N1565" s="405" t="s">
        <v>23390</v>
      </c>
      <c r="O1565" s="405" t="s">
        <v>21489</v>
      </c>
      <c r="P1565" s="405" t="s">
        <v>25283</v>
      </c>
      <c r="Q1565" s="411">
        <v>9</v>
      </c>
      <c r="R1565" s="405" t="s">
        <v>6572</v>
      </c>
      <c r="S1565" s="405" t="s">
        <v>27440</v>
      </c>
      <c r="T1565" s="405" t="s">
        <v>884</v>
      </c>
      <c r="U1565" s="405" t="s">
        <v>319</v>
      </c>
    </row>
    <row r="1566" spans="1:21" x14ac:dyDescent="0.25">
      <c r="A1566" s="405" t="s">
        <v>310</v>
      </c>
      <c r="B1566" s="405" t="s">
        <v>16838</v>
      </c>
      <c r="C1566" s="405" t="s">
        <v>327</v>
      </c>
      <c r="D1566" s="405"/>
      <c r="E1566" s="410">
        <v>43691</v>
      </c>
      <c r="F1566" s="410">
        <v>43706</v>
      </c>
      <c r="G1566" s="405" t="s">
        <v>16839</v>
      </c>
      <c r="H1566" s="405">
        <v>7188977596</v>
      </c>
      <c r="I1566" s="405"/>
      <c r="J1566" s="405" t="s">
        <v>7420</v>
      </c>
      <c r="K1566" s="405">
        <v>31.835087999999999</v>
      </c>
      <c r="L1566" s="405" t="s">
        <v>6866</v>
      </c>
      <c r="M1566" s="405" t="s">
        <v>10163</v>
      </c>
      <c r="N1566" s="405" t="s">
        <v>10164</v>
      </c>
      <c r="O1566" s="405" t="s">
        <v>12081</v>
      </c>
      <c r="P1566" s="405" t="s">
        <v>16840</v>
      </c>
      <c r="Q1566" s="411">
        <v>6</v>
      </c>
      <c r="R1566" s="405" t="s">
        <v>9506</v>
      </c>
      <c r="S1566" s="405" t="s">
        <v>27193</v>
      </c>
      <c r="T1566" s="405" t="s">
        <v>884</v>
      </c>
      <c r="U1566" s="405" t="s">
        <v>319</v>
      </c>
    </row>
    <row r="1567" spans="1:21" x14ac:dyDescent="0.25">
      <c r="A1567" s="405" t="s">
        <v>310</v>
      </c>
      <c r="B1567" s="405" t="s">
        <v>7503</v>
      </c>
      <c r="C1567" s="405" t="s">
        <v>327</v>
      </c>
      <c r="D1567" s="405"/>
      <c r="E1567" s="410">
        <v>43690</v>
      </c>
      <c r="F1567" s="410">
        <v>43695</v>
      </c>
      <c r="G1567" s="405" t="s">
        <v>7504</v>
      </c>
      <c r="H1567" s="405">
        <v>775227722</v>
      </c>
      <c r="I1567" s="405"/>
      <c r="J1567" s="405">
        <v>-0.38934800000000003</v>
      </c>
      <c r="K1567" s="405">
        <v>31.466538</v>
      </c>
      <c r="L1567" s="405" t="s">
        <v>314</v>
      </c>
      <c r="M1567" s="405" t="s">
        <v>1189</v>
      </c>
      <c r="N1567" s="405" t="s">
        <v>1189</v>
      </c>
      <c r="O1567" s="405" t="s">
        <v>7505</v>
      </c>
      <c r="P1567" s="405" t="s">
        <v>7506</v>
      </c>
      <c r="Q1567" s="411">
        <v>9</v>
      </c>
      <c r="R1567" s="405" t="s">
        <v>874</v>
      </c>
      <c r="S1567" s="405" t="s">
        <v>27271</v>
      </c>
      <c r="T1567" s="405" t="s">
        <v>884</v>
      </c>
      <c r="U1567" s="405" t="s">
        <v>319</v>
      </c>
    </row>
    <row r="1568" spans="1:21" x14ac:dyDescent="0.25">
      <c r="A1568" s="405" t="s">
        <v>310</v>
      </c>
      <c r="B1568" s="405" t="s">
        <v>7617</v>
      </c>
      <c r="C1568" s="405" t="s">
        <v>327</v>
      </c>
      <c r="D1568" s="405"/>
      <c r="E1568" s="410">
        <v>43690</v>
      </c>
      <c r="F1568" s="410">
        <v>43705</v>
      </c>
      <c r="G1568" s="405" t="s">
        <v>7618</v>
      </c>
      <c r="H1568" s="405">
        <v>772642275</v>
      </c>
      <c r="I1568" s="405"/>
      <c r="J1568" s="405">
        <v>0.47552299999999997</v>
      </c>
      <c r="K1568" s="405">
        <v>32.549463000000003</v>
      </c>
      <c r="L1568" s="405" t="s">
        <v>314</v>
      </c>
      <c r="M1568" s="405" t="s">
        <v>361</v>
      </c>
      <c r="N1568" s="405" t="s">
        <v>7619</v>
      </c>
      <c r="O1568" s="405" t="s">
        <v>7620</v>
      </c>
      <c r="P1568" s="405" t="s">
        <v>7620</v>
      </c>
      <c r="Q1568" s="411">
        <v>6</v>
      </c>
      <c r="R1568" s="405" t="s">
        <v>4176</v>
      </c>
      <c r="S1568" s="405" t="s">
        <v>27153</v>
      </c>
      <c r="T1568" s="405" t="s">
        <v>884</v>
      </c>
      <c r="U1568" s="405" t="s">
        <v>319</v>
      </c>
    </row>
    <row r="1569" spans="1:21" x14ac:dyDescent="0.25">
      <c r="A1569" s="405" t="s">
        <v>310</v>
      </c>
      <c r="B1569" s="405" t="s">
        <v>7697</v>
      </c>
      <c r="C1569" s="405" t="s">
        <v>327</v>
      </c>
      <c r="D1569" s="405"/>
      <c r="E1569" s="410">
        <v>43689</v>
      </c>
      <c r="F1569" s="410">
        <v>43713</v>
      </c>
      <c r="G1569" s="405" t="s">
        <v>7698</v>
      </c>
      <c r="H1569" s="405">
        <v>772520148</v>
      </c>
      <c r="I1569" s="405"/>
      <c r="J1569" s="405">
        <v>0.4829</v>
      </c>
      <c r="K1569" s="405">
        <v>34.112099999999998</v>
      </c>
      <c r="L1569" s="405" t="s">
        <v>314</v>
      </c>
      <c r="M1569" s="405" t="s">
        <v>992</v>
      </c>
      <c r="N1569" s="405" t="s">
        <v>5902</v>
      </c>
      <c r="O1569" s="405" t="s">
        <v>5916</v>
      </c>
      <c r="P1569" s="405" t="s">
        <v>7699</v>
      </c>
      <c r="Q1569" s="411">
        <v>6</v>
      </c>
      <c r="R1569" s="405" t="s">
        <v>4176</v>
      </c>
      <c r="S1569" s="405" t="s">
        <v>27153</v>
      </c>
      <c r="T1569" s="405" t="s">
        <v>884</v>
      </c>
      <c r="U1569" s="405" t="s">
        <v>319</v>
      </c>
    </row>
    <row r="1570" spans="1:21" x14ac:dyDescent="0.25">
      <c r="A1570" s="405" t="s">
        <v>310</v>
      </c>
      <c r="B1570" s="405" t="s">
        <v>25276</v>
      </c>
      <c r="C1570" s="405" t="s">
        <v>327</v>
      </c>
      <c r="D1570" s="405"/>
      <c r="E1570" s="410">
        <v>43689</v>
      </c>
      <c r="F1570" s="410">
        <v>43707</v>
      </c>
      <c r="G1570" s="405" t="s">
        <v>25277</v>
      </c>
      <c r="H1570" s="405">
        <v>789718924</v>
      </c>
      <c r="I1570" s="405">
        <v>783514125</v>
      </c>
      <c r="J1570" s="405">
        <v>-0.88236999999999999</v>
      </c>
      <c r="K1570" s="405">
        <v>29.762937000000001</v>
      </c>
      <c r="L1570" s="405" t="s">
        <v>590</v>
      </c>
      <c r="M1570" s="405" t="s">
        <v>20808</v>
      </c>
      <c r="N1570" s="405" t="s">
        <v>23390</v>
      </c>
      <c r="O1570" s="405" t="s">
        <v>24811</v>
      </c>
      <c r="P1570" s="405" t="s">
        <v>25278</v>
      </c>
      <c r="Q1570" s="411">
        <v>6</v>
      </c>
      <c r="R1570" s="405" t="s">
        <v>6572</v>
      </c>
      <c r="S1570" s="405" t="s">
        <v>27439</v>
      </c>
      <c r="T1570" s="405" t="s">
        <v>32102</v>
      </c>
      <c r="U1570" s="405" t="s">
        <v>319</v>
      </c>
    </row>
    <row r="1571" spans="1:21" x14ac:dyDescent="0.25">
      <c r="A1571" s="405" t="s">
        <v>310</v>
      </c>
      <c r="B1571" s="405" t="s">
        <v>7553</v>
      </c>
      <c r="C1571" s="405" t="s">
        <v>327</v>
      </c>
      <c r="D1571" s="405"/>
      <c r="E1571" s="410">
        <v>43689</v>
      </c>
      <c r="F1571" s="410">
        <v>43701</v>
      </c>
      <c r="G1571" s="405" t="s">
        <v>7554</v>
      </c>
      <c r="H1571" s="405">
        <v>705922693</v>
      </c>
      <c r="I1571" s="405"/>
      <c r="J1571" s="405">
        <v>0.52878499999999995</v>
      </c>
      <c r="K1571" s="405">
        <v>33.384937000000001</v>
      </c>
      <c r="L1571" s="405" t="s">
        <v>314</v>
      </c>
      <c r="M1571" s="405" t="s">
        <v>361</v>
      </c>
      <c r="N1571" s="405" t="s">
        <v>374</v>
      </c>
      <c r="O1571" s="405" t="s">
        <v>535</v>
      </c>
      <c r="P1571" s="405" t="s">
        <v>7555</v>
      </c>
      <c r="Q1571" s="411">
        <v>6</v>
      </c>
      <c r="R1571" s="405" t="s">
        <v>32101</v>
      </c>
      <c r="S1571" s="405" t="s">
        <v>27164</v>
      </c>
      <c r="T1571" s="405" t="s">
        <v>884</v>
      </c>
      <c r="U1571" s="405" t="s">
        <v>319</v>
      </c>
    </row>
    <row r="1572" spans="1:21" x14ac:dyDescent="0.25">
      <c r="A1572" s="405" t="s">
        <v>310</v>
      </c>
      <c r="B1572" s="405" t="s">
        <v>19075</v>
      </c>
      <c r="C1572" s="405" t="s">
        <v>327</v>
      </c>
      <c r="D1572" s="405"/>
      <c r="E1572" s="410">
        <v>43688</v>
      </c>
      <c r="F1572" s="410">
        <v>43714</v>
      </c>
      <c r="G1572" s="405" t="s">
        <v>19076</v>
      </c>
      <c r="H1572" s="405">
        <v>778362940</v>
      </c>
      <c r="I1572" s="405">
        <v>758495180</v>
      </c>
      <c r="J1572" s="405">
        <v>1.0086280000000001</v>
      </c>
      <c r="K1572" s="405">
        <v>34.145156999999998</v>
      </c>
      <c r="L1572" s="405" t="s">
        <v>860</v>
      </c>
      <c r="M1572" s="405" t="s">
        <v>18234</v>
      </c>
      <c r="N1572" s="405" t="s">
        <v>18252</v>
      </c>
      <c r="O1572" s="405" t="s">
        <v>19077</v>
      </c>
      <c r="P1572" s="405" t="s">
        <v>19078</v>
      </c>
      <c r="Q1572" s="411">
        <v>9</v>
      </c>
      <c r="R1572" s="405" t="s">
        <v>7208</v>
      </c>
      <c r="S1572" s="405" t="s">
        <v>27264</v>
      </c>
      <c r="T1572" s="405" t="s">
        <v>884</v>
      </c>
      <c r="U1572" s="405" t="s">
        <v>319</v>
      </c>
    </row>
    <row r="1573" spans="1:21" x14ac:dyDescent="0.25">
      <c r="A1573" s="405" t="s">
        <v>310</v>
      </c>
      <c r="B1573" s="405" t="s">
        <v>25446</v>
      </c>
      <c r="C1573" s="405" t="s">
        <v>327</v>
      </c>
      <c r="D1573" s="405"/>
      <c r="E1573" s="410">
        <v>43687</v>
      </c>
      <c r="F1573" s="410">
        <v>43713</v>
      </c>
      <c r="G1573" s="405" t="s">
        <v>25447</v>
      </c>
      <c r="H1573" s="405">
        <v>702430562</v>
      </c>
      <c r="I1573" s="405"/>
      <c r="J1573" s="405">
        <v>-0.54142800000000002</v>
      </c>
      <c r="K1573" s="405">
        <v>30.169087000000001</v>
      </c>
      <c r="L1573" s="405" t="s">
        <v>590</v>
      </c>
      <c r="M1573" s="405" t="s">
        <v>19625</v>
      </c>
      <c r="N1573" s="405" t="s">
        <v>18043</v>
      </c>
      <c r="O1573" s="405" t="s">
        <v>25448</v>
      </c>
      <c r="P1573" s="405" t="s">
        <v>25448</v>
      </c>
      <c r="Q1573" s="411">
        <v>9</v>
      </c>
      <c r="R1573" s="405" t="s">
        <v>32166</v>
      </c>
      <c r="S1573" s="405" t="s">
        <v>27410</v>
      </c>
      <c r="T1573" s="405" t="s">
        <v>884</v>
      </c>
      <c r="U1573" s="405" t="s">
        <v>319</v>
      </c>
    </row>
    <row r="1574" spans="1:21" x14ac:dyDescent="0.25">
      <c r="A1574" s="405" t="s">
        <v>310</v>
      </c>
      <c r="B1574" s="405" t="s">
        <v>25371</v>
      </c>
      <c r="C1574" s="405" t="s">
        <v>327</v>
      </c>
      <c r="D1574" s="405"/>
      <c r="E1574" s="410">
        <v>43687</v>
      </c>
      <c r="F1574" s="410">
        <v>43711</v>
      </c>
      <c r="G1574" s="405" t="s">
        <v>25372</v>
      </c>
      <c r="H1574" s="405">
        <v>772555197</v>
      </c>
      <c r="I1574" s="405">
        <v>775736867</v>
      </c>
      <c r="J1574" s="405">
        <v>-6.2802999999999998E-2</v>
      </c>
      <c r="K1574" s="405">
        <v>29.834150000000001</v>
      </c>
      <c r="L1574" s="405" t="s">
        <v>590</v>
      </c>
      <c r="M1574" s="405" t="s">
        <v>20808</v>
      </c>
      <c r="N1574" s="405" t="s">
        <v>23390</v>
      </c>
      <c r="O1574" s="405" t="s">
        <v>23326</v>
      </c>
      <c r="P1574" s="405" t="s">
        <v>25373</v>
      </c>
      <c r="Q1574" s="411">
        <v>9</v>
      </c>
      <c r="R1574" s="405" t="s">
        <v>6572</v>
      </c>
      <c r="S1574" s="405" t="s">
        <v>27154</v>
      </c>
      <c r="T1574" s="405" t="s">
        <v>32102</v>
      </c>
      <c r="U1574" s="405" t="s">
        <v>319</v>
      </c>
    </row>
    <row r="1575" spans="1:21" x14ac:dyDescent="0.25">
      <c r="A1575" s="405" t="s">
        <v>310</v>
      </c>
      <c r="B1575" s="405" t="s">
        <v>25299</v>
      </c>
      <c r="C1575" s="405" t="s">
        <v>327</v>
      </c>
      <c r="D1575" s="405"/>
      <c r="E1575" s="410">
        <v>43686</v>
      </c>
      <c r="F1575" s="410">
        <v>43705</v>
      </c>
      <c r="G1575" s="405" t="s">
        <v>25300</v>
      </c>
      <c r="H1575" s="405">
        <v>774547686</v>
      </c>
      <c r="I1575" s="405"/>
      <c r="J1575" s="405">
        <v>0.586233</v>
      </c>
      <c r="K1575" s="405">
        <v>30.305962999999998</v>
      </c>
      <c r="L1575" s="405" t="s">
        <v>590</v>
      </c>
      <c r="M1575" s="405" t="s">
        <v>20125</v>
      </c>
      <c r="N1575" s="405" t="s">
        <v>24863</v>
      </c>
      <c r="O1575" s="405" t="s">
        <v>20837</v>
      </c>
      <c r="P1575" s="405" t="s">
        <v>19938</v>
      </c>
      <c r="Q1575" s="411">
        <v>9</v>
      </c>
      <c r="R1575" s="405" t="s">
        <v>6013</v>
      </c>
      <c r="S1575" s="405" t="s">
        <v>27441</v>
      </c>
      <c r="T1575" s="405" t="s">
        <v>884</v>
      </c>
      <c r="U1575" s="405" t="s">
        <v>319</v>
      </c>
    </row>
    <row r="1576" spans="1:21" x14ac:dyDescent="0.25">
      <c r="A1576" s="405" t="s">
        <v>310</v>
      </c>
      <c r="B1576" s="405" t="s">
        <v>25217</v>
      </c>
      <c r="C1576" s="405" t="s">
        <v>327</v>
      </c>
      <c r="D1576" s="405"/>
      <c r="E1576" s="410">
        <v>43686</v>
      </c>
      <c r="F1576" s="410">
        <v>43697</v>
      </c>
      <c r="G1576" s="405" t="s">
        <v>25218</v>
      </c>
      <c r="H1576" s="405">
        <v>775841161</v>
      </c>
      <c r="I1576" s="405"/>
      <c r="J1576" s="405">
        <v>-0.42105500000000001</v>
      </c>
      <c r="K1576" s="405">
        <v>30.564817000000001</v>
      </c>
      <c r="L1576" s="405" t="s">
        <v>590</v>
      </c>
      <c r="M1576" s="405" t="s">
        <v>19614</v>
      </c>
      <c r="N1576" s="405" t="s">
        <v>20230</v>
      </c>
      <c r="O1576" s="405" t="s">
        <v>19650</v>
      </c>
      <c r="P1576" s="405" t="s">
        <v>20763</v>
      </c>
      <c r="Q1576" s="411">
        <v>9</v>
      </c>
      <c r="R1576" s="405" t="s">
        <v>874</v>
      </c>
      <c r="S1576" s="405" t="s">
        <v>27271</v>
      </c>
      <c r="T1576" s="405" t="s">
        <v>884</v>
      </c>
      <c r="U1576" s="405" t="s">
        <v>319</v>
      </c>
    </row>
    <row r="1577" spans="1:21" x14ac:dyDescent="0.25">
      <c r="A1577" s="405" t="s">
        <v>310</v>
      </c>
      <c r="B1577" s="405" t="s">
        <v>7518</v>
      </c>
      <c r="C1577" s="405" t="s">
        <v>327</v>
      </c>
      <c r="D1577" s="405"/>
      <c r="E1577" s="410">
        <v>43686</v>
      </c>
      <c r="F1577" s="410">
        <v>43691</v>
      </c>
      <c r="G1577" s="405" t="s">
        <v>7519</v>
      </c>
      <c r="H1577" s="405">
        <v>750978483</v>
      </c>
      <c r="I1577" s="405"/>
      <c r="J1577" s="405">
        <v>-0.28791</v>
      </c>
      <c r="K1577" s="405">
        <v>31.737919999999999</v>
      </c>
      <c r="L1577" s="405" t="s">
        <v>314</v>
      </c>
      <c r="M1577" s="405" t="s">
        <v>382</v>
      </c>
      <c r="N1577" s="405" t="s">
        <v>383</v>
      </c>
      <c r="O1577" s="405" t="s">
        <v>7520</v>
      </c>
      <c r="P1577" s="405" t="s">
        <v>7520</v>
      </c>
      <c r="Q1577" s="411">
        <v>9</v>
      </c>
      <c r="R1577" s="405" t="s">
        <v>874</v>
      </c>
      <c r="S1577" s="405" t="s">
        <v>27271</v>
      </c>
      <c r="T1577" s="405" t="s">
        <v>884</v>
      </c>
      <c r="U1577" s="405" t="s">
        <v>319</v>
      </c>
    </row>
    <row r="1578" spans="1:21" x14ac:dyDescent="0.25">
      <c r="A1578" s="405" t="s">
        <v>310</v>
      </c>
      <c r="B1578" s="405" t="s">
        <v>7544</v>
      </c>
      <c r="C1578" s="405" t="s">
        <v>327</v>
      </c>
      <c r="D1578" s="405"/>
      <c r="E1578" s="410">
        <v>43686</v>
      </c>
      <c r="F1578" s="410">
        <v>43698</v>
      </c>
      <c r="G1578" s="405" t="s">
        <v>7545</v>
      </c>
      <c r="H1578" s="405">
        <v>772449344</v>
      </c>
      <c r="I1578" s="405"/>
      <c r="J1578" s="405">
        <v>-0.22770099999999999</v>
      </c>
      <c r="K1578" s="405">
        <v>31.835443999999999</v>
      </c>
      <c r="L1578" s="405" t="s">
        <v>314</v>
      </c>
      <c r="M1578" s="405" t="s">
        <v>361</v>
      </c>
      <c r="N1578" s="405" t="s">
        <v>4961</v>
      </c>
      <c r="O1578" s="405" t="s">
        <v>410</v>
      </c>
      <c r="P1578" s="405" t="s">
        <v>6451</v>
      </c>
      <c r="Q1578" s="411">
        <v>6</v>
      </c>
      <c r="R1578" s="405" t="s">
        <v>32101</v>
      </c>
      <c r="S1578" s="405" t="s">
        <v>27243</v>
      </c>
      <c r="T1578" s="405" t="s">
        <v>884</v>
      </c>
      <c r="U1578" s="405" t="s">
        <v>319</v>
      </c>
    </row>
    <row r="1579" spans="1:21" x14ac:dyDescent="0.25">
      <c r="A1579" s="405" t="s">
        <v>310</v>
      </c>
      <c r="B1579" s="405" t="s">
        <v>16795</v>
      </c>
      <c r="C1579" s="405" t="s">
        <v>327</v>
      </c>
      <c r="D1579" s="405"/>
      <c r="E1579" s="410">
        <v>43686</v>
      </c>
      <c r="F1579" s="410">
        <v>43701</v>
      </c>
      <c r="G1579" s="405" t="s">
        <v>16796</v>
      </c>
      <c r="H1579" s="405">
        <v>775247726</v>
      </c>
      <c r="I1579" s="405"/>
      <c r="J1579" s="405">
        <v>0.29330000000000001</v>
      </c>
      <c r="K1579" s="405">
        <v>31.292300000000001</v>
      </c>
      <c r="L1579" s="405" t="s">
        <v>6866</v>
      </c>
      <c r="M1579" s="405" t="s">
        <v>10495</v>
      </c>
      <c r="N1579" s="405" t="s">
        <v>10495</v>
      </c>
      <c r="O1579" s="405" t="s">
        <v>16623</v>
      </c>
      <c r="P1579" s="405" t="s">
        <v>16797</v>
      </c>
      <c r="Q1579" s="411">
        <v>4</v>
      </c>
      <c r="R1579" s="405" t="s">
        <v>5655</v>
      </c>
      <c r="S1579" s="405" t="s">
        <v>27353</v>
      </c>
      <c r="T1579" s="405" t="s">
        <v>884</v>
      </c>
      <c r="U1579" s="405" t="s">
        <v>319</v>
      </c>
    </row>
    <row r="1580" spans="1:21" x14ac:dyDescent="0.25">
      <c r="A1580" s="405" t="s">
        <v>310</v>
      </c>
      <c r="B1580" s="405" t="s">
        <v>7934</v>
      </c>
      <c r="C1580" s="405" t="s">
        <v>327</v>
      </c>
      <c r="D1580" s="405"/>
      <c r="E1580" s="410">
        <v>43685</v>
      </c>
      <c r="F1580" s="410">
        <v>43783</v>
      </c>
      <c r="G1580" s="405" t="s">
        <v>7935</v>
      </c>
      <c r="H1580" s="405">
        <v>752596998</v>
      </c>
      <c r="I1580" s="405">
        <v>782401445</v>
      </c>
      <c r="J1580" s="405">
        <v>-0.22770099999999999</v>
      </c>
      <c r="K1580" s="405">
        <v>31.835443999999999</v>
      </c>
      <c r="L1580" s="405" t="s">
        <v>314</v>
      </c>
      <c r="M1580" s="405" t="s">
        <v>349</v>
      </c>
      <c r="N1580" s="405" t="s">
        <v>349</v>
      </c>
      <c r="O1580" s="405" t="s">
        <v>1113</v>
      </c>
      <c r="P1580" s="405" t="s">
        <v>7936</v>
      </c>
      <c r="Q1580" s="411">
        <v>13</v>
      </c>
      <c r="R1580" s="405" t="s">
        <v>5986</v>
      </c>
      <c r="S1580" s="405" t="s">
        <v>5986</v>
      </c>
      <c r="T1580" s="405" t="s">
        <v>884</v>
      </c>
      <c r="U1580" s="405" t="s">
        <v>319</v>
      </c>
    </row>
    <row r="1581" spans="1:21" x14ac:dyDescent="0.25">
      <c r="A1581" s="405" t="s">
        <v>310</v>
      </c>
      <c r="B1581" s="405" t="s">
        <v>25360</v>
      </c>
      <c r="C1581" s="405" t="s">
        <v>327</v>
      </c>
      <c r="D1581" s="405"/>
      <c r="E1581" s="410">
        <v>43685</v>
      </c>
      <c r="F1581" s="410">
        <v>43711</v>
      </c>
      <c r="G1581" s="405" t="s">
        <v>25361</v>
      </c>
      <c r="H1581" s="405">
        <v>782391917</v>
      </c>
      <c r="I1581" s="405"/>
      <c r="J1581" s="405">
        <v>-0.53492799999999996</v>
      </c>
      <c r="K1581" s="405">
        <v>30.007705000000001</v>
      </c>
      <c r="L1581" s="405" t="s">
        <v>590</v>
      </c>
      <c r="M1581" s="405" t="s">
        <v>20032</v>
      </c>
      <c r="N1581" s="405" t="s">
        <v>24029</v>
      </c>
      <c r="O1581" s="405" t="s">
        <v>20790</v>
      </c>
      <c r="P1581" s="405" t="s">
        <v>25362</v>
      </c>
      <c r="Q1581" s="411">
        <v>9</v>
      </c>
      <c r="R1581" s="405" t="s">
        <v>6572</v>
      </c>
      <c r="S1581" s="405" t="s">
        <v>27399</v>
      </c>
      <c r="T1581" s="405" t="s">
        <v>7342</v>
      </c>
      <c r="U1581" s="405" t="s">
        <v>7343</v>
      </c>
    </row>
    <row r="1582" spans="1:21" x14ac:dyDescent="0.25">
      <c r="A1582" s="405" t="s">
        <v>310</v>
      </c>
      <c r="B1582" s="405" t="s">
        <v>25425</v>
      </c>
      <c r="C1582" s="405" t="s">
        <v>327</v>
      </c>
      <c r="D1582" s="405"/>
      <c r="E1582" s="410">
        <v>43685</v>
      </c>
      <c r="F1582" s="410">
        <v>43712</v>
      </c>
      <c r="G1582" s="405" t="s">
        <v>25426</v>
      </c>
      <c r="H1582" s="405">
        <v>773117313</v>
      </c>
      <c r="I1582" s="405"/>
      <c r="J1582" s="405">
        <v>0.99083600000000005</v>
      </c>
      <c r="K1582" s="405">
        <v>34.173879999999997</v>
      </c>
      <c r="L1582" s="405" t="s">
        <v>590</v>
      </c>
      <c r="M1582" s="405" t="s">
        <v>20808</v>
      </c>
      <c r="N1582" s="405" t="s">
        <v>23390</v>
      </c>
      <c r="O1582" s="405" t="s">
        <v>25427</v>
      </c>
      <c r="P1582" s="405" t="s">
        <v>25428</v>
      </c>
      <c r="Q1582" s="411">
        <v>6</v>
      </c>
      <c r="R1582" s="405" t="s">
        <v>6572</v>
      </c>
      <c r="S1582" s="405" t="s">
        <v>27166</v>
      </c>
      <c r="T1582" s="405" t="s">
        <v>884</v>
      </c>
      <c r="U1582" s="405" t="s">
        <v>319</v>
      </c>
    </row>
    <row r="1583" spans="1:21" x14ac:dyDescent="0.25">
      <c r="A1583" s="405" t="s">
        <v>310</v>
      </c>
      <c r="B1583" s="405" t="s">
        <v>16858</v>
      </c>
      <c r="C1583" s="405" t="s">
        <v>327</v>
      </c>
      <c r="D1583" s="405"/>
      <c r="E1583" s="410">
        <v>43685</v>
      </c>
      <c r="F1583" s="410">
        <v>43703</v>
      </c>
      <c r="G1583" s="405" t="s">
        <v>16859</v>
      </c>
      <c r="H1583" s="405">
        <v>773114712</v>
      </c>
      <c r="I1583" s="405"/>
      <c r="J1583" s="405">
        <v>0.29330000000000001</v>
      </c>
      <c r="K1583" s="405">
        <v>31.292300000000001</v>
      </c>
      <c r="L1583" s="405" t="s">
        <v>6866</v>
      </c>
      <c r="M1583" s="405" t="s">
        <v>9658</v>
      </c>
      <c r="N1583" s="405" t="s">
        <v>9658</v>
      </c>
      <c r="O1583" s="405" t="s">
        <v>14307</v>
      </c>
      <c r="P1583" s="405" t="s">
        <v>16860</v>
      </c>
      <c r="Q1583" s="411">
        <v>6</v>
      </c>
      <c r="R1583" s="405" t="s">
        <v>5655</v>
      </c>
      <c r="S1583" s="405" t="s">
        <v>27072</v>
      </c>
      <c r="T1583" s="405" t="s">
        <v>884</v>
      </c>
      <c r="U1583" s="405" t="s">
        <v>319</v>
      </c>
    </row>
    <row r="1584" spans="1:21" x14ac:dyDescent="0.25">
      <c r="A1584" s="405" t="s">
        <v>310</v>
      </c>
      <c r="B1584" s="405" t="s">
        <v>16829</v>
      </c>
      <c r="C1584" s="405" t="s">
        <v>327</v>
      </c>
      <c r="D1584" s="405"/>
      <c r="E1584" s="410">
        <v>43685</v>
      </c>
      <c r="F1584" s="410">
        <v>43696</v>
      </c>
      <c r="G1584" s="405" t="s">
        <v>16830</v>
      </c>
      <c r="H1584" s="405">
        <v>775666211</v>
      </c>
      <c r="I1584" s="405"/>
      <c r="J1584" s="405">
        <v>1.429727</v>
      </c>
      <c r="K1584" s="405">
        <v>34.579475000000002</v>
      </c>
      <c r="L1584" s="405" t="s">
        <v>6866</v>
      </c>
      <c r="M1584" s="405" t="s">
        <v>9705</v>
      </c>
      <c r="N1584" s="405" t="s">
        <v>9705</v>
      </c>
      <c r="O1584" s="405" t="s">
        <v>10311</v>
      </c>
      <c r="P1584" s="405" t="s">
        <v>16780</v>
      </c>
      <c r="Q1584" s="411">
        <v>6</v>
      </c>
      <c r="R1584" s="405" t="s">
        <v>9506</v>
      </c>
      <c r="S1584" s="405" t="s">
        <v>27306</v>
      </c>
      <c r="T1584" s="405" t="s">
        <v>884</v>
      </c>
      <c r="U1584" s="405" t="s">
        <v>319</v>
      </c>
    </row>
    <row r="1585" spans="1:21" x14ac:dyDescent="0.25">
      <c r="A1585" s="405" t="s">
        <v>310</v>
      </c>
      <c r="B1585" s="405" t="s">
        <v>16827</v>
      </c>
      <c r="C1585" s="405" t="s">
        <v>327</v>
      </c>
      <c r="D1585" s="405"/>
      <c r="E1585" s="410">
        <v>43685</v>
      </c>
      <c r="F1585" s="410">
        <v>43696</v>
      </c>
      <c r="G1585" s="405" t="s">
        <v>16828</v>
      </c>
      <c r="H1585" s="405">
        <v>777921704</v>
      </c>
      <c r="I1585" s="405"/>
      <c r="J1585" s="405">
        <v>1.4259569999999999</v>
      </c>
      <c r="K1585" s="405">
        <v>34.582507</v>
      </c>
      <c r="L1585" s="405" t="s">
        <v>6866</v>
      </c>
      <c r="M1585" s="405" t="s">
        <v>11128</v>
      </c>
      <c r="N1585" s="405" t="s">
        <v>9705</v>
      </c>
      <c r="O1585" s="405" t="s">
        <v>10311</v>
      </c>
      <c r="P1585" s="405" t="s">
        <v>16780</v>
      </c>
      <c r="Q1585" s="411">
        <v>6</v>
      </c>
      <c r="R1585" s="405" t="s">
        <v>9506</v>
      </c>
      <c r="S1585" s="405" t="s">
        <v>27318</v>
      </c>
      <c r="T1585" s="405" t="s">
        <v>7342</v>
      </c>
      <c r="U1585" s="405" t="s">
        <v>7343</v>
      </c>
    </row>
    <row r="1586" spans="1:21" x14ac:dyDescent="0.25">
      <c r="A1586" s="405" t="s">
        <v>310</v>
      </c>
      <c r="B1586" s="405" t="s">
        <v>25358</v>
      </c>
      <c r="C1586" s="405" t="s">
        <v>327</v>
      </c>
      <c r="D1586" s="405"/>
      <c r="E1586" s="410">
        <v>43684</v>
      </c>
      <c r="F1586" s="410">
        <v>43713</v>
      </c>
      <c r="G1586" s="405" t="s">
        <v>25359</v>
      </c>
      <c r="H1586" s="405">
        <v>784789363</v>
      </c>
      <c r="I1586" s="405"/>
      <c r="J1586" s="405">
        <v>0.29330000000000001</v>
      </c>
      <c r="K1586" s="405">
        <v>31.292300000000001</v>
      </c>
      <c r="L1586" s="405" t="s">
        <v>24158</v>
      </c>
      <c r="M1586" s="405" t="s">
        <v>20808</v>
      </c>
      <c r="N1586" s="405" t="s">
        <v>23390</v>
      </c>
      <c r="O1586" s="405" t="s">
        <v>23326</v>
      </c>
      <c r="P1586" s="405" t="s">
        <v>2084</v>
      </c>
      <c r="Q1586" s="411">
        <v>6</v>
      </c>
      <c r="R1586" s="405" t="s">
        <v>6572</v>
      </c>
      <c r="S1586" s="405" t="s">
        <v>27154</v>
      </c>
      <c r="T1586" s="405" t="s">
        <v>884</v>
      </c>
      <c r="U1586" s="405" t="s">
        <v>319</v>
      </c>
    </row>
    <row r="1587" spans="1:21" x14ac:dyDescent="0.25">
      <c r="A1587" s="405" t="s">
        <v>310</v>
      </c>
      <c r="B1587" s="405" t="s">
        <v>25210</v>
      </c>
      <c r="C1587" s="405" t="s">
        <v>327</v>
      </c>
      <c r="D1587" s="405"/>
      <c r="E1587" s="410">
        <v>43684</v>
      </c>
      <c r="F1587" s="410">
        <v>43699</v>
      </c>
      <c r="G1587" s="405" t="s">
        <v>25211</v>
      </c>
      <c r="H1587" s="405">
        <v>787475838</v>
      </c>
      <c r="I1587" s="405">
        <v>708864762</v>
      </c>
      <c r="J1587" s="405">
        <v>0.29330000000000001</v>
      </c>
      <c r="K1587" s="405">
        <v>31.292300000000001</v>
      </c>
      <c r="L1587" s="405" t="s">
        <v>24158</v>
      </c>
      <c r="M1587" s="405" t="s">
        <v>20808</v>
      </c>
      <c r="N1587" s="405" t="s">
        <v>23390</v>
      </c>
      <c r="O1587" s="405" t="s">
        <v>20810</v>
      </c>
      <c r="P1587" s="405" t="s">
        <v>25212</v>
      </c>
      <c r="Q1587" s="411">
        <v>6</v>
      </c>
      <c r="R1587" s="405" t="s">
        <v>6572</v>
      </c>
      <c r="S1587" s="405" t="s">
        <v>27137</v>
      </c>
      <c r="T1587" s="405" t="s">
        <v>7342</v>
      </c>
      <c r="U1587" s="405" t="s">
        <v>7343</v>
      </c>
    </row>
    <row r="1588" spans="1:21" x14ac:dyDescent="0.25">
      <c r="A1588" s="405" t="s">
        <v>310</v>
      </c>
      <c r="B1588" s="405" t="s">
        <v>7661</v>
      </c>
      <c r="C1588" s="405" t="s">
        <v>327</v>
      </c>
      <c r="D1588" s="405"/>
      <c r="E1588" s="410">
        <v>43683</v>
      </c>
      <c r="F1588" s="410">
        <v>43709</v>
      </c>
      <c r="G1588" s="405" t="s">
        <v>7662</v>
      </c>
      <c r="H1588" s="405">
        <v>779936154</v>
      </c>
      <c r="I1588" s="405"/>
      <c r="J1588" s="405">
        <v>1.9376899999999999</v>
      </c>
      <c r="K1588" s="405">
        <v>33.330257000000003</v>
      </c>
      <c r="L1588" s="405" t="s">
        <v>314</v>
      </c>
      <c r="M1588" s="405" t="s">
        <v>2512</v>
      </c>
      <c r="N1588" s="405" t="s">
        <v>3906</v>
      </c>
      <c r="O1588" s="405" t="s">
        <v>3906</v>
      </c>
      <c r="P1588" s="405" t="s">
        <v>7663</v>
      </c>
      <c r="Q1588" s="411">
        <v>13</v>
      </c>
      <c r="R1588" s="405" t="s">
        <v>32157</v>
      </c>
      <c r="S1588" s="405" t="s">
        <v>27045</v>
      </c>
      <c r="T1588" s="405" t="s">
        <v>7342</v>
      </c>
      <c r="U1588" s="405" t="s">
        <v>7343</v>
      </c>
    </row>
    <row r="1589" spans="1:21" x14ac:dyDescent="0.25">
      <c r="A1589" s="405" t="s">
        <v>310</v>
      </c>
      <c r="B1589" s="405" t="s">
        <v>7548</v>
      </c>
      <c r="C1589" s="405" t="s">
        <v>327</v>
      </c>
      <c r="D1589" s="405"/>
      <c r="E1589" s="410">
        <v>43683</v>
      </c>
      <c r="F1589" s="410">
        <v>43701</v>
      </c>
      <c r="G1589" s="405" t="s">
        <v>7549</v>
      </c>
      <c r="H1589" s="405">
        <v>772964842</v>
      </c>
      <c r="I1589" s="405"/>
      <c r="J1589" s="405" t="s">
        <v>7420</v>
      </c>
      <c r="K1589" s="405">
        <v>31.835087999999999</v>
      </c>
      <c r="L1589" s="405" t="s">
        <v>314</v>
      </c>
      <c r="M1589" s="405" t="s">
        <v>361</v>
      </c>
      <c r="N1589" s="405" t="s">
        <v>374</v>
      </c>
      <c r="O1589" s="405" t="s">
        <v>952</v>
      </c>
      <c r="P1589" s="405" t="s">
        <v>7550</v>
      </c>
      <c r="Q1589" s="411">
        <v>9</v>
      </c>
      <c r="R1589" s="405" t="s">
        <v>32101</v>
      </c>
      <c r="S1589" s="405" t="s">
        <v>27041</v>
      </c>
      <c r="T1589" s="405" t="s">
        <v>884</v>
      </c>
      <c r="U1589" s="405" t="s">
        <v>319</v>
      </c>
    </row>
    <row r="1590" spans="1:21" x14ac:dyDescent="0.25">
      <c r="A1590" s="405" t="s">
        <v>310</v>
      </c>
      <c r="B1590" s="405" t="s">
        <v>16869</v>
      </c>
      <c r="C1590" s="405" t="s">
        <v>327</v>
      </c>
      <c r="D1590" s="405"/>
      <c r="E1590" s="410">
        <v>43683</v>
      </c>
      <c r="F1590" s="410">
        <v>43698</v>
      </c>
      <c r="G1590" s="405" t="s">
        <v>16870</v>
      </c>
      <c r="H1590" s="405">
        <v>701537280</v>
      </c>
      <c r="I1590" s="405"/>
      <c r="J1590" s="405" t="s">
        <v>7406</v>
      </c>
      <c r="K1590" s="405">
        <v>32.623615000000001</v>
      </c>
      <c r="L1590" s="405" t="s">
        <v>6866</v>
      </c>
      <c r="M1590" s="405" t="s">
        <v>5345</v>
      </c>
      <c r="N1590" s="405" t="s">
        <v>16871</v>
      </c>
      <c r="O1590" s="405" t="s">
        <v>16872</v>
      </c>
      <c r="P1590" s="405" t="s">
        <v>11478</v>
      </c>
      <c r="Q1590" s="411">
        <v>9</v>
      </c>
      <c r="R1590" s="405" t="s">
        <v>32164</v>
      </c>
      <c r="S1590" s="405" t="s">
        <v>27054</v>
      </c>
      <c r="T1590" s="405" t="s">
        <v>884</v>
      </c>
      <c r="U1590" s="405" t="s">
        <v>319</v>
      </c>
    </row>
    <row r="1591" spans="1:21" x14ac:dyDescent="0.25">
      <c r="A1591" s="405" t="s">
        <v>310</v>
      </c>
      <c r="B1591" s="405" t="s">
        <v>8576</v>
      </c>
      <c r="C1591" s="405" t="s">
        <v>857</v>
      </c>
      <c r="D1591" s="405" t="s">
        <v>33039</v>
      </c>
      <c r="E1591" s="410">
        <v>43683</v>
      </c>
      <c r="F1591" s="410">
        <v>43774</v>
      </c>
      <c r="G1591" s="405" t="s">
        <v>8577</v>
      </c>
      <c r="H1591" s="405">
        <v>779190606</v>
      </c>
      <c r="I1591" s="405"/>
      <c r="J1591" s="405">
        <v>0.17832799999999999</v>
      </c>
      <c r="K1591" s="405">
        <v>31.913473</v>
      </c>
      <c r="L1591" s="405" t="s">
        <v>314</v>
      </c>
      <c r="M1591" s="405" t="s">
        <v>339</v>
      </c>
      <c r="N1591" s="405" t="s">
        <v>339</v>
      </c>
      <c r="O1591" s="405" t="s">
        <v>7898</v>
      </c>
      <c r="P1591" s="405" t="s">
        <v>5624</v>
      </c>
      <c r="Q1591" s="411">
        <v>6</v>
      </c>
      <c r="R1591" s="405" t="s">
        <v>32101</v>
      </c>
      <c r="S1591" s="405" t="s">
        <v>27279</v>
      </c>
      <c r="T1591" s="405" t="s">
        <v>884</v>
      </c>
      <c r="U1591" s="405" t="s">
        <v>319</v>
      </c>
    </row>
    <row r="1592" spans="1:21" x14ac:dyDescent="0.25">
      <c r="A1592" s="405" t="s">
        <v>310</v>
      </c>
      <c r="B1592" s="405" t="s">
        <v>16863</v>
      </c>
      <c r="C1592" s="405" t="s">
        <v>327</v>
      </c>
      <c r="D1592" s="405"/>
      <c r="E1592" s="410">
        <v>43683</v>
      </c>
      <c r="F1592" s="410">
        <v>43707</v>
      </c>
      <c r="G1592" s="405" t="s">
        <v>16864</v>
      </c>
      <c r="H1592" s="405">
        <v>779978631</v>
      </c>
      <c r="I1592" s="405"/>
      <c r="J1592" s="405">
        <v>0.71694999999999998</v>
      </c>
      <c r="K1592" s="405">
        <v>34.214731999999998</v>
      </c>
      <c r="L1592" s="405" t="s">
        <v>6866</v>
      </c>
      <c r="M1592" s="405" t="s">
        <v>9534</v>
      </c>
      <c r="N1592" s="405" t="s">
        <v>9534</v>
      </c>
      <c r="O1592" s="405" t="s">
        <v>14050</v>
      </c>
      <c r="P1592" s="405" t="s">
        <v>16865</v>
      </c>
      <c r="Q1592" s="411">
        <v>6</v>
      </c>
      <c r="R1592" s="405" t="s">
        <v>5655</v>
      </c>
      <c r="S1592" s="405" t="s">
        <v>27357</v>
      </c>
      <c r="T1592" s="405" t="s">
        <v>884</v>
      </c>
      <c r="U1592" s="405" t="s">
        <v>319</v>
      </c>
    </row>
    <row r="1593" spans="1:21" x14ac:dyDescent="0.25">
      <c r="A1593" s="405" t="s">
        <v>310</v>
      </c>
      <c r="B1593" s="405" t="s">
        <v>25271</v>
      </c>
      <c r="C1593" s="405" t="s">
        <v>327</v>
      </c>
      <c r="D1593" s="405"/>
      <c r="E1593" s="410">
        <v>43683</v>
      </c>
      <c r="F1593" s="410">
        <v>43707</v>
      </c>
      <c r="G1593" s="405" t="s">
        <v>25272</v>
      </c>
      <c r="H1593" s="405">
        <v>782956523</v>
      </c>
      <c r="I1593" s="405"/>
      <c r="J1593" s="405">
        <v>-0.89015</v>
      </c>
      <c r="K1593" s="405">
        <v>29.770588</v>
      </c>
      <c r="L1593" s="405" t="s">
        <v>590</v>
      </c>
      <c r="M1593" s="405" t="s">
        <v>20808</v>
      </c>
      <c r="N1593" s="405" t="s">
        <v>25172</v>
      </c>
      <c r="O1593" s="405" t="s">
        <v>20808</v>
      </c>
      <c r="P1593" s="405" t="s">
        <v>25273</v>
      </c>
      <c r="Q1593" s="411">
        <v>6</v>
      </c>
      <c r="R1593" s="405" t="s">
        <v>6572</v>
      </c>
      <c r="S1593" s="405" t="s">
        <v>27154</v>
      </c>
      <c r="T1593" s="405" t="s">
        <v>32102</v>
      </c>
      <c r="U1593" s="405" t="s">
        <v>319</v>
      </c>
    </row>
    <row r="1594" spans="1:21" x14ac:dyDescent="0.25">
      <c r="A1594" s="405" t="s">
        <v>310</v>
      </c>
      <c r="B1594" s="405" t="s">
        <v>16940</v>
      </c>
      <c r="C1594" s="405" t="s">
        <v>327</v>
      </c>
      <c r="D1594" s="405"/>
      <c r="E1594" s="410">
        <v>43682</v>
      </c>
      <c r="F1594" s="410">
        <v>43711</v>
      </c>
      <c r="G1594" s="405" t="s">
        <v>16941</v>
      </c>
      <c r="H1594" s="405">
        <v>753687357</v>
      </c>
      <c r="I1594" s="405"/>
      <c r="J1594" s="405">
        <v>-0.23760999999999999</v>
      </c>
      <c r="K1594" s="405">
        <v>31.763534</v>
      </c>
      <c r="L1594" s="405" t="s">
        <v>6866</v>
      </c>
      <c r="M1594" s="405" t="s">
        <v>9590</v>
      </c>
      <c r="N1594" s="405" t="s">
        <v>16804</v>
      </c>
      <c r="O1594" s="405" t="s">
        <v>16942</v>
      </c>
      <c r="P1594" s="405" t="s">
        <v>16943</v>
      </c>
      <c r="Q1594" s="411">
        <v>9</v>
      </c>
      <c r="R1594" s="405" t="s">
        <v>874</v>
      </c>
      <c r="S1594" s="405" t="s">
        <v>27271</v>
      </c>
      <c r="T1594" s="405" t="s">
        <v>884</v>
      </c>
      <c r="U1594" s="405" t="s">
        <v>319</v>
      </c>
    </row>
    <row r="1595" spans="1:21" x14ac:dyDescent="0.25">
      <c r="A1595" s="405" t="s">
        <v>310</v>
      </c>
      <c r="B1595" s="405" t="s">
        <v>16966</v>
      </c>
      <c r="C1595" s="405" t="s">
        <v>327</v>
      </c>
      <c r="D1595" s="405"/>
      <c r="E1595" s="410">
        <v>43682</v>
      </c>
      <c r="F1595" s="410">
        <v>43714</v>
      </c>
      <c r="G1595" s="405" t="s">
        <v>16967</v>
      </c>
      <c r="H1595" s="405">
        <v>772595263</v>
      </c>
      <c r="I1595" s="405"/>
      <c r="J1595" s="405">
        <v>0.660748</v>
      </c>
      <c r="K1595" s="405">
        <v>34.045499999999997</v>
      </c>
      <c r="L1595" s="405" t="s">
        <v>6866</v>
      </c>
      <c r="M1595" s="405" t="s">
        <v>9534</v>
      </c>
      <c r="N1595" s="405" t="s">
        <v>9769</v>
      </c>
      <c r="O1595" s="405" t="s">
        <v>10114</v>
      </c>
      <c r="P1595" s="405" t="s">
        <v>16968</v>
      </c>
      <c r="Q1595" s="411">
        <v>6</v>
      </c>
      <c r="R1595" s="405" t="s">
        <v>4176</v>
      </c>
      <c r="S1595" s="405" t="s">
        <v>27153</v>
      </c>
      <c r="T1595" s="405" t="s">
        <v>32102</v>
      </c>
      <c r="U1595" s="405" t="s">
        <v>319</v>
      </c>
    </row>
    <row r="1596" spans="1:21" x14ac:dyDescent="0.25">
      <c r="A1596" s="405" t="s">
        <v>310</v>
      </c>
      <c r="B1596" s="405" t="s">
        <v>27876</v>
      </c>
      <c r="C1596" s="405" t="s">
        <v>311</v>
      </c>
      <c r="D1596" s="405" t="s">
        <v>890</v>
      </c>
      <c r="E1596" s="410">
        <v>43682</v>
      </c>
      <c r="F1596" s="410">
        <v>43713</v>
      </c>
      <c r="G1596" s="405" t="s">
        <v>17516</v>
      </c>
      <c r="H1596" s="405">
        <v>782127683</v>
      </c>
      <c r="I1596" s="405"/>
      <c r="J1596" s="405">
        <v>1.8645799999999999</v>
      </c>
      <c r="K1596" s="405">
        <v>33.721992</v>
      </c>
      <c r="L1596" s="405" t="s">
        <v>6866</v>
      </c>
      <c r="M1596" s="405" t="s">
        <v>10495</v>
      </c>
      <c r="N1596" s="405" t="s">
        <v>11255</v>
      </c>
      <c r="O1596" s="405" t="s">
        <v>11255</v>
      </c>
      <c r="P1596" s="405" t="s">
        <v>17517</v>
      </c>
      <c r="Q1596" s="411">
        <v>4</v>
      </c>
      <c r="R1596" s="405" t="s">
        <v>5655</v>
      </c>
      <c r="S1596" s="405" t="s">
        <v>27357</v>
      </c>
      <c r="T1596" s="405" t="s">
        <v>884</v>
      </c>
      <c r="U1596" s="405" t="s">
        <v>319</v>
      </c>
    </row>
    <row r="1597" spans="1:21" x14ac:dyDescent="0.25">
      <c r="A1597" s="405" t="s">
        <v>310</v>
      </c>
      <c r="B1597" s="405" t="s">
        <v>16824</v>
      </c>
      <c r="C1597" s="405" t="s">
        <v>327</v>
      </c>
      <c r="D1597" s="405"/>
      <c r="E1597" s="410">
        <v>43681</v>
      </c>
      <c r="F1597" s="410">
        <v>43692</v>
      </c>
      <c r="G1597" s="405" t="s">
        <v>16825</v>
      </c>
      <c r="H1597" s="405">
        <v>783360083</v>
      </c>
      <c r="I1597" s="405"/>
      <c r="J1597" s="405">
        <v>1.3922620000000001</v>
      </c>
      <c r="K1597" s="405">
        <v>34.462468000000001</v>
      </c>
      <c r="L1597" s="405" t="s">
        <v>6866</v>
      </c>
      <c r="M1597" s="405" t="s">
        <v>9685</v>
      </c>
      <c r="N1597" s="405" t="s">
        <v>9686</v>
      </c>
      <c r="O1597" s="405" t="s">
        <v>15669</v>
      </c>
      <c r="P1597" s="405" t="s">
        <v>16826</v>
      </c>
      <c r="Q1597" s="411">
        <v>6</v>
      </c>
      <c r="R1597" s="405" t="s">
        <v>9506</v>
      </c>
      <c r="S1597" s="405" t="s">
        <v>27306</v>
      </c>
      <c r="T1597" s="405" t="s">
        <v>884</v>
      </c>
      <c r="U1597" s="405" t="s">
        <v>319</v>
      </c>
    </row>
    <row r="1598" spans="1:21" x14ac:dyDescent="0.25">
      <c r="A1598" s="405" t="s">
        <v>310</v>
      </c>
      <c r="B1598" s="405" t="s">
        <v>25255</v>
      </c>
      <c r="C1598" s="405" t="s">
        <v>327</v>
      </c>
      <c r="D1598" s="405"/>
      <c r="E1598" s="410">
        <v>43681</v>
      </c>
      <c r="F1598" s="410">
        <v>43691</v>
      </c>
      <c r="G1598" s="405" t="s">
        <v>25256</v>
      </c>
      <c r="H1598" s="405">
        <v>782762080</v>
      </c>
      <c r="I1598" s="405"/>
      <c r="J1598" s="405">
        <v>-0.82880200000000004</v>
      </c>
      <c r="K1598" s="405">
        <v>30.273054999999999</v>
      </c>
      <c r="L1598" s="405" t="s">
        <v>590</v>
      </c>
      <c r="M1598" s="405" t="s">
        <v>19659</v>
      </c>
      <c r="N1598" s="405" t="s">
        <v>19604</v>
      </c>
      <c r="O1598" s="405" t="s">
        <v>25257</v>
      </c>
      <c r="P1598" s="405" t="s">
        <v>25258</v>
      </c>
      <c r="Q1598" s="411">
        <v>6</v>
      </c>
      <c r="R1598" s="405" t="s">
        <v>32166</v>
      </c>
      <c r="S1598" s="405" t="s">
        <v>27401</v>
      </c>
      <c r="T1598" s="405" t="s">
        <v>884</v>
      </c>
      <c r="U1598" s="405" t="s">
        <v>319</v>
      </c>
    </row>
    <row r="1599" spans="1:21" x14ac:dyDescent="0.25">
      <c r="A1599" s="405" t="s">
        <v>310</v>
      </c>
      <c r="B1599" s="405" t="s">
        <v>25332</v>
      </c>
      <c r="C1599" s="405" t="s">
        <v>327</v>
      </c>
      <c r="D1599" s="405"/>
      <c r="E1599" s="410">
        <v>43680</v>
      </c>
      <c r="F1599" s="410">
        <v>43734</v>
      </c>
      <c r="G1599" s="405" t="s">
        <v>25333</v>
      </c>
      <c r="H1599" s="405">
        <v>774230341</v>
      </c>
      <c r="I1599" s="405"/>
      <c r="J1599" s="405">
        <v>0.35555500000000001</v>
      </c>
      <c r="K1599" s="405">
        <v>30.2811111</v>
      </c>
      <c r="L1599" s="405" t="s">
        <v>590</v>
      </c>
      <c r="M1599" s="405" t="s">
        <v>870</v>
      </c>
      <c r="N1599" s="405" t="s">
        <v>870</v>
      </c>
      <c r="O1599" s="405" t="s">
        <v>872</v>
      </c>
      <c r="P1599" s="405" t="s">
        <v>25334</v>
      </c>
      <c r="Q1599" s="411">
        <v>9</v>
      </c>
      <c r="R1599" s="405" t="s">
        <v>883</v>
      </c>
      <c r="S1599" s="405" t="s">
        <v>27271</v>
      </c>
      <c r="T1599" s="405" t="s">
        <v>884</v>
      </c>
      <c r="U1599" s="405" t="s">
        <v>319</v>
      </c>
    </row>
    <row r="1600" spans="1:21" x14ac:dyDescent="0.25">
      <c r="A1600" s="405" t="s">
        <v>310</v>
      </c>
      <c r="B1600" s="405" t="s">
        <v>7572</v>
      </c>
      <c r="C1600" s="405" t="s">
        <v>327</v>
      </c>
      <c r="D1600" s="405"/>
      <c r="E1600" s="410">
        <v>43680</v>
      </c>
      <c r="F1600" s="410">
        <v>43697</v>
      </c>
      <c r="G1600" s="405" t="s">
        <v>7573</v>
      </c>
      <c r="H1600" s="405">
        <v>772595440</v>
      </c>
      <c r="I1600" s="405"/>
      <c r="J1600" s="405" t="s">
        <v>7406</v>
      </c>
      <c r="K1600" s="405">
        <v>32.623615000000001</v>
      </c>
      <c r="L1600" s="405" t="s">
        <v>314</v>
      </c>
      <c r="M1600" s="405" t="s">
        <v>992</v>
      </c>
      <c r="N1600" s="405" t="s">
        <v>362</v>
      </c>
      <c r="O1600" s="405" t="s">
        <v>936</v>
      </c>
      <c r="P1600" s="405" t="s">
        <v>937</v>
      </c>
      <c r="Q1600" s="411">
        <v>6</v>
      </c>
      <c r="R1600" s="405" t="s">
        <v>5903</v>
      </c>
      <c r="S1600" s="405" t="s">
        <v>27153</v>
      </c>
      <c r="T1600" s="405" t="s">
        <v>884</v>
      </c>
      <c r="U1600" s="405" t="s">
        <v>319</v>
      </c>
    </row>
    <row r="1601" spans="1:21" x14ac:dyDescent="0.25">
      <c r="A1601" s="405" t="s">
        <v>310</v>
      </c>
      <c r="B1601" s="405" t="s">
        <v>16944</v>
      </c>
      <c r="C1601" s="405" t="s">
        <v>327</v>
      </c>
      <c r="D1601" s="405"/>
      <c r="E1601" s="410">
        <v>43680</v>
      </c>
      <c r="F1601" s="410">
        <v>43727</v>
      </c>
      <c r="G1601" s="405" t="s">
        <v>16945</v>
      </c>
      <c r="H1601" s="405">
        <v>774825759</v>
      </c>
      <c r="I1601" s="405"/>
      <c r="J1601" s="405">
        <v>1.3524529999999999</v>
      </c>
      <c r="K1601" s="405">
        <v>34.467911999999998</v>
      </c>
      <c r="L1601" s="405" t="s">
        <v>6866</v>
      </c>
      <c r="M1601" s="405" t="s">
        <v>9685</v>
      </c>
      <c r="N1601" s="405" t="s">
        <v>9686</v>
      </c>
      <c r="O1601" s="405" t="s">
        <v>9709</v>
      </c>
      <c r="P1601" s="405" t="s">
        <v>16946</v>
      </c>
      <c r="Q1601" s="411">
        <v>6</v>
      </c>
      <c r="R1601" s="405" t="s">
        <v>9506</v>
      </c>
      <c r="S1601" s="405" t="s">
        <v>27365</v>
      </c>
      <c r="T1601" s="405" t="s">
        <v>884</v>
      </c>
      <c r="U1601" s="405" t="s">
        <v>319</v>
      </c>
    </row>
    <row r="1602" spans="1:21" x14ac:dyDescent="0.25">
      <c r="A1602" s="405" t="s">
        <v>310</v>
      </c>
      <c r="B1602" s="405" t="s">
        <v>16963</v>
      </c>
      <c r="C1602" s="405" t="s">
        <v>327</v>
      </c>
      <c r="D1602" s="405"/>
      <c r="E1602" s="410">
        <v>43680</v>
      </c>
      <c r="F1602" s="410">
        <v>43711</v>
      </c>
      <c r="G1602" s="405" t="s">
        <v>16964</v>
      </c>
      <c r="H1602" s="405">
        <v>772437806</v>
      </c>
      <c r="I1602" s="405"/>
      <c r="J1602" s="405">
        <v>-0.22770099999999999</v>
      </c>
      <c r="K1602" s="405">
        <v>31.835443999999999</v>
      </c>
      <c r="L1602" s="405" t="s">
        <v>6866</v>
      </c>
      <c r="M1602" s="405" t="s">
        <v>9658</v>
      </c>
      <c r="N1602" s="405" t="s">
        <v>14307</v>
      </c>
      <c r="O1602" s="405" t="s">
        <v>9658</v>
      </c>
      <c r="P1602" s="405" t="s">
        <v>16965</v>
      </c>
      <c r="Q1602" s="411">
        <v>6</v>
      </c>
      <c r="R1602" s="405" t="s">
        <v>5655</v>
      </c>
      <c r="S1602" s="405" t="s">
        <v>27072</v>
      </c>
      <c r="T1602" s="405" t="s">
        <v>32102</v>
      </c>
      <c r="U1602" s="405" t="s">
        <v>319</v>
      </c>
    </row>
    <row r="1603" spans="1:21" x14ac:dyDescent="0.25">
      <c r="A1603" s="405" t="s">
        <v>310</v>
      </c>
      <c r="B1603" s="405" t="s">
        <v>7627</v>
      </c>
      <c r="C1603" s="405" t="s">
        <v>327</v>
      </c>
      <c r="D1603" s="405"/>
      <c r="E1603" s="410">
        <v>43679</v>
      </c>
      <c r="F1603" s="410">
        <v>43711</v>
      </c>
      <c r="G1603" s="405" t="s">
        <v>7628</v>
      </c>
      <c r="H1603" s="405">
        <v>772607328</v>
      </c>
      <c r="I1603" s="405"/>
      <c r="J1603" s="405">
        <v>1.9376899999999999</v>
      </c>
      <c r="K1603" s="405">
        <v>33.330257000000003</v>
      </c>
      <c r="L1603" s="405" t="s">
        <v>314</v>
      </c>
      <c r="M1603" s="405" t="s">
        <v>361</v>
      </c>
      <c r="N1603" s="405" t="s">
        <v>374</v>
      </c>
      <c r="O1603" s="405" t="s">
        <v>952</v>
      </c>
      <c r="P1603" s="405" t="s">
        <v>4097</v>
      </c>
      <c r="Q1603" s="411">
        <v>9</v>
      </c>
      <c r="R1603" s="405" t="s">
        <v>32101</v>
      </c>
      <c r="S1603" s="405" t="s">
        <v>27243</v>
      </c>
      <c r="T1603" s="405" t="s">
        <v>884</v>
      </c>
      <c r="U1603" s="405" t="s">
        <v>319</v>
      </c>
    </row>
    <row r="1604" spans="1:21" x14ac:dyDescent="0.25">
      <c r="A1604" s="405" t="s">
        <v>310</v>
      </c>
      <c r="B1604" s="405" t="s">
        <v>7542</v>
      </c>
      <c r="C1604" s="405" t="s">
        <v>327</v>
      </c>
      <c r="D1604" s="405"/>
      <c r="E1604" s="410">
        <v>43679</v>
      </c>
      <c r="F1604" s="410">
        <v>43693</v>
      </c>
      <c r="G1604" s="405" t="s">
        <v>7543</v>
      </c>
      <c r="H1604" s="405">
        <v>783062233</v>
      </c>
      <c r="I1604" s="405">
        <v>754359471</v>
      </c>
      <c r="J1604" s="405" t="s">
        <v>7420</v>
      </c>
      <c r="K1604" s="405">
        <v>31.835087999999999</v>
      </c>
      <c r="L1604" s="405" t="s">
        <v>314</v>
      </c>
      <c r="M1604" s="405" t="s">
        <v>382</v>
      </c>
      <c r="N1604" s="405" t="s">
        <v>988</v>
      </c>
      <c r="O1604" s="405" t="s">
        <v>6459</v>
      </c>
      <c r="P1604" s="405" t="s">
        <v>6459</v>
      </c>
      <c r="Q1604" s="411">
        <v>9</v>
      </c>
      <c r="R1604" s="405" t="s">
        <v>32101</v>
      </c>
      <c r="S1604" s="405" t="s">
        <v>27041</v>
      </c>
      <c r="T1604" s="405" t="s">
        <v>884</v>
      </c>
      <c r="U1604" s="405" t="s">
        <v>319</v>
      </c>
    </row>
    <row r="1605" spans="1:21" x14ac:dyDescent="0.25">
      <c r="A1605" s="405" t="s">
        <v>310</v>
      </c>
      <c r="B1605" s="405" t="s">
        <v>25320</v>
      </c>
      <c r="C1605" s="405" t="s">
        <v>327</v>
      </c>
      <c r="D1605" s="405"/>
      <c r="E1605" s="410">
        <v>43679</v>
      </c>
      <c r="F1605" s="410">
        <v>43715</v>
      </c>
      <c r="G1605" s="405" t="s">
        <v>25321</v>
      </c>
      <c r="H1605" s="405">
        <v>772442258</v>
      </c>
      <c r="I1605" s="405"/>
      <c r="J1605" s="405">
        <v>-0.52268499999999996</v>
      </c>
      <c r="K1605" s="405">
        <v>29.996582</v>
      </c>
      <c r="L1605" s="405" t="s">
        <v>590</v>
      </c>
      <c r="M1605" s="405" t="s">
        <v>20032</v>
      </c>
      <c r="N1605" s="405" t="s">
        <v>22715</v>
      </c>
      <c r="O1605" s="405" t="s">
        <v>20790</v>
      </c>
      <c r="P1605" s="405" t="s">
        <v>25322</v>
      </c>
      <c r="Q1605" s="411">
        <v>6</v>
      </c>
      <c r="R1605" s="405" t="s">
        <v>6572</v>
      </c>
      <c r="S1605" s="405" t="s">
        <v>27161</v>
      </c>
      <c r="T1605" s="405" t="s">
        <v>884</v>
      </c>
      <c r="U1605" s="405" t="s">
        <v>319</v>
      </c>
    </row>
    <row r="1606" spans="1:21" x14ac:dyDescent="0.25">
      <c r="A1606" s="405" t="s">
        <v>310</v>
      </c>
      <c r="B1606" s="405" t="s">
        <v>16924</v>
      </c>
      <c r="C1606" s="405" t="s">
        <v>327</v>
      </c>
      <c r="D1606" s="405"/>
      <c r="E1606" s="410">
        <v>43679</v>
      </c>
      <c r="F1606" s="410">
        <v>43710</v>
      </c>
      <c r="G1606" s="405" t="s">
        <v>16925</v>
      </c>
      <c r="H1606" s="405">
        <v>782061484</v>
      </c>
      <c r="I1606" s="405"/>
      <c r="J1606" s="405">
        <v>0.99083600000000005</v>
      </c>
      <c r="K1606" s="405">
        <v>34.173879999999997</v>
      </c>
      <c r="L1606" s="405" t="s">
        <v>6866</v>
      </c>
      <c r="M1606" s="405" t="s">
        <v>5345</v>
      </c>
      <c r="N1606" s="405" t="s">
        <v>16920</v>
      </c>
      <c r="O1606" s="405" t="s">
        <v>16389</v>
      </c>
      <c r="P1606" s="405" t="s">
        <v>16926</v>
      </c>
      <c r="Q1606" s="411">
        <v>6</v>
      </c>
      <c r="R1606" s="405" t="s">
        <v>7224</v>
      </c>
      <c r="S1606" s="405" t="s">
        <v>27067</v>
      </c>
      <c r="T1606" s="405" t="s">
        <v>884</v>
      </c>
      <c r="U1606" s="405" t="s">
        <v>319</v>
      </c>
    </row>
    <row r="1607" spans="1:21" x14ac:dyDescent="0.25">
      <c r="A1607" s="405" t="s">
        <v>310</v>
      </c>
      <c r="B1607" s="405" t="s">
        <v>7529</v>
      </c>
      <c r="C1607" s="405" t="s">
        <v>327</v>
      </c>
      <c r="D1607" s="405"/>
      <c r="E1607" s="410">
        <v>43678</v>
      </c>
      <c r="F1607" s="410">
        <v>43693</v>
      </c>
      <c r="G1607" s="405" t="s">
        <v>7530</v>
      </c>
      <c r="H1607" s="405">
        <v>782376263</v>
      </c>
      <c r="I1607" s="405"/>
      <c r="J1607" s="405">
        <v>0.4829</v>
      </c>
      <c r="K1607" s="405">
        <v>34.112099999999998</v>
      </c>
      <c r="L1607" s="405" t="s">
        <v>314</v>
      </c>
      <c r="M1607" s="405" t="s">
        <v>2297</v>
      </c>
      <c r="N1607" s="405" t="s">
        <v>2520</v>
      </c>
      <c r="O1607" s="405" t="s">
        <v>1215</v>
      </c>
      <c r="P1607" s="405" t="s">
        <v>7531</v>
      </c>
      <c r="Q1607" s="411">
        <v>13</v>
      </c>
      <c r="R1607" s="405" t="s">
        <v>32101</v>
      </c>
      <c r="S1607" s="405" t="s">
        <v>27235</v>
      </c>
      <c r="T1607" s="405" t="s">
        <v>884</v>
      </c>
      <c r="U1607" s="405" t="s">
        <v>319</v>
      </c>
    </row>
    <row r="1608" spans="1:21" x14ac:dyDescent="0.25">
      <c r="A1608" s="405" t="s">
        <v>310</v>
      </c>
      <c r="B1608" s="405" t="s">
        <v>25301</v>
      </c>
      <c r="C1608" s="405" t="s">
        <v>327</v>
      </c>
      <c r="D1608" s="405"/>
      <c r="E1608" s="410">
        <v>43678</v>
      </c>
      <c r="F1608" s="410">
        <v>43696</v>
      </c>
      <c r="G1608" s="405" t="s">
        <v>25302</v>
      </c>
      <c r="H1608" s="405">
        <v>703771136</v>
      </c>
      <c r="I1608" s="405"/>
      <c r="J1608" s="405">
        <v>-0.73813200000000001</v>
      </c>
      <c r="K1608" s="405">
        <v>30.809667999999999</v>
      </c>
      <c r="L1608" s="405" t="s">
        <v>590</v>
      </c>
      <c r="M1608" s="405" t="s">
        <v>879</v>
      </c>
      <c r="N1608" s="405" t="s">
        <v>879</v>
      </c>
      <c r="O1608" s="405" t="s">
        <v>881</v>
      </c>
      <c r="P1608" s="405" t="s">
        <v>25303</v>
      </c>
      <c r="Q1608" s="411">
        <v>9</v>
      </c>
      <c r="R1608" s="405" t="s">
        <v>883</v>
      </c>
      <c r="S1608" s="405" t="s">
        <v>27104</v>
      </c>
      <c r="T1608" s="405" t="s">
        <v>32102</v>
      </c>
      <c r="U1608" s="405" t="s">
        <v>319</v>
      </c>
    </row>
    <row r="1609" spans="1:21" x14ac:dyDescent="0.25">
      <c r="A1609" s="405" t="s">
        <v>310</v>
      </c>
      <c r="B1609" s="405" t="s">
        <v>16847</v>
      </c>
      <c r="C1609" s="405" t="s">
        <v>327</v>
      </c>
      <c r="D1609" s="405"/>
      <c r="E1609" s="410">
        <v>43678</v>
      </c>
      <c r="F1609" s="410">
        <v>43693</v>
      </c>
      <c r="G1609" s="405" t="s">
        <v>16848</v>
      </c>
      <c r="H1609" s="405">
        <v>776182810</v>
      </c>
      <c r="I1609" s="405"/>
      <c r="J1609" s="405">
        <v>1.2666170000000001</v>
      </c>
      <c r="K1609" s="405">
        <v>34.326661999999999</v>
      </c>
      <c r="L1609" s="405" t="s">
        <v>6866</v>
      </c>
      <c r="M1609" s="405" t="s">
        <v>9550</v>
      </c>
      <c r="N1609" s="405" t="s">
        <v>9550</v>
      </c>
      <c r="O1609" s="405" t="s">
        <v>14815</v>
      </c>
      <c r="P1609" s="405" t="s">
        <v>16849</v>
      </c>
      <c r="Q1609" s="411">
        <v>6</v>
      </c>
      <c r="R1609" s="405" t="s">
        <v>9506</v>
      </c>
      <c r="S1609" s="405" t="s">
        <v>27259</v>
      </c>
      <c r="T1609" s="405" t="s">
        <v>884</v>
      </c>
      <c r="U1609" s="405" t="s">
        <v>319</v>
      </c>
    </row>
    <row r="1610" spans="1:21" x14ac:dyDescent="0.25">
      <c r="A1610" s="405" t="s">
        <v>310</v>
      </c>
      <c r="B1610" s="405" t="s">
        <v>7595</v>
      </c>
      <c r="C1610" s="405" t="s">
        <v>327</v>
      </c>
      <c r="D1610" s="405"/>
      <c r="E1610" s="410">
        <v>43677</v>
      </c>
      <c r="F1610" s="410">
        <v>43695</v>
      </c>
      <c r="G1610" s="405" t="s">
        <v>7596</v>
      </c>
      <c r="H1610" s="405">
        <v>752103062</v>
      </c>
      <c r="I1610" s="405"/>
      <c r="J1610" s="405">
        <v>-0.306892</v>
      </c>
      <c r="K1610" s="405">
        <v>32.001783000000003</v>
      </c>
      <c r="L1610" s="405" t="s">
        <v>314</v>
      </c>
      <c r="M1610" s="405" t="s">
        <v>382</v>
      </c>
      <c r="N1610" s="405" t="s">
        <v>988</v>
      </c>
      <c r="O1610" s="405" t="s">
        <v>6459</v>
      </c>
      <c r="P1610" s="405" t="s">
        <v>7597</v>
      </c>
      <c r="Q1610" s="411">
        <v>13</v>
      </c>
      <c r="R1610" s="405" t="s">
        <v>32101</v>
      </c>
      <c r="S1610" s="405" t="s">
        <v>27275</v>
      </c>
      <c r="T1610" s="405" t="s">
        <v>884</v>
      </c>
      <c r="U1610" s="405" t="s">
        <v>319</v>
      </c>
    </row>
    <row r="1611" spans="1:21" x14ac:dyDescent="0.25">
      <c r="A1611" s="405" t="s">
        <v>310</v>
      </c>
      <c r="B1611" s="405" t="s">
        <v>7540</v>
      </c>
      <c r="C1611" s="405" t="s">
        <v>327</v>
      </c>
      <c r="D1611" s="405"/>
      <c r="E1611" s="410">
        <v>43677</v>
      </c>
      <c r="F1611" s="410">
        <v>43687</v>
      </c>
      <c r="G1611" s="405" t="s">
        <v>7541</v>
      </c>
      <c r="H1611" s="405">
        <v>752597305</v>
      </c>
      <c r="I1611" s="405"/>
      <c r="J1611" s="405">
        <v>1.9376899999999999</v>
      </c>
      <c r="K1611" s="405">
        <v>33.330257000000003</v>
      </c>
      <c r="L1611" s="405" t="s">
        <v>314</v>
      </c>
      <c r="M1611" s="405" t="s">
        <v>382</v>
      </c>
      <c r="N1611" s="405" t="s">
        <v>1080</v>
      </c>
      <c r="O1611" s="405" t="s">
        <v>1080</v>
      </c>
      <c r="P1611" s="405" t="s">
        <v>1184</v>
      </c>
      <c r="Q1611" s="411">
        <v>9</v>
      </c>
      <c r="R1611" s="405" t="s">
        <v>32101</v>
      </c>
      <c r="S1611" s="405" t="s">
        <v>27167</v>
      </c>
      <c r="T1611" s="405" t="s">
        <v>884</v>
      </c>
      <c r="U1611" s="405" t="s">
        <v>319</v>
      </c>
    </row>
    <row r="1612" spans="1:21" x14ac:dyDescent="0.25">
      <c r="A1612" s="405" t="s">
        <v>310</v>
      </c>
      <c r="B1612" s="405" t="s">
        <v>16821</v>
      </c>
      <c r="C1612" s="405" t="s">
        <v>327</v>
      </c>
      <c r="D1612" s="405"/>
      <c r="E1612" s="410">
        <v>43677</v>
      </c>
      <c r="F1612" s="410">
        <v>43698</v>
      </c>
      <c r="G1612" s="405" t="s">
        <v>16822</v>
      </c>
      <c r="H1612" s="405">
        <v>786563991</v>
      </c>
      <c r="I1612" s="405"/>
      <c r="J1612" s="405">
        <v>1.4238580000000001</v>
      </c>
      <c r="K1612" s="405">
        <v>34.583423000000003</v>
      </c>
      <c r="L1612" s="405" t="s">
        <v>6866</v>
      </c>
      <c r="M1612" s="405" t="s">
        <v>9705</v>
      </c>
      <c r="N1612" s="405" t="s">
        <v>9705</v>
      </c>
      <c r="O1612" s="405" t="s">
        <v>10311</v>
      </c>
      <c r="P1612" s="405" t="s">
        <v>16823</v>
      </c>
      <c r="Q1612" s="411">
        <v>6</v>
      </c>
      <c r="R1612" s="405" t="s">
        <v>9506</v>
      </c>
      <c r="S1612" s="405" t="s">
        <v>27318</v>
      </c>
      <c r="T1612" s="405" t="s">
        <v>884</v>
      </c>
      <c r="U1612" s="405" t="s">
        <v>319</v>
      </c>
    </row>
    <row r="1613" spans="1:21" x14ac:dyDescent="0.25">
      <c r="A1613" s="405" t="s">
        <v>310</v>
      </c>
      <c r="B1613" s="405" t="s">
        <v>25289</v>
      </c>
      <c r="C1613" s="405" t="s">
        <v>327</v>
      </c>
      <c r="D1613" s="405"/>
      <c r="E1613" s="410">
        <v>43677</v>
      </c>
      <c r="F1613" s="410">
        <v>43693</v>
      </c>
      <c r="G1613" s="405" t="s">
        <v>25290</v>
      </c>
      <c r="H1613" s="405">
        <v>772194096</v>
      </c>
      <c r="I1613" s="405"/>
      <c r="J1613" s="405">
        <v>-0.83595799999999998</v>
      </c>
      <c r="K1613" s="405">
        <v>29.739591999999998</v>
      </c>
      <c r="L1613" s="405" t="s">
        <v>590</v>
      </c>
      <c r="M1613" s="405" t="s">
        <v>20808</v>
      </c>
      <c r="N1613" s="405" t="s">
        <v>23390</v>
      </c>
      <c r="O1613" s="405" t="s">
        <v>20810</v>
      </c>
      <c r="P1613" s="405" t="s">
        <v>25291</v>
      </c>
      <c r="Q1613" s="411">
        <v>6</v>
      </c>
      <c r="R1613" s="405" t="s">
        <v>6572</v>
      </c>
      <c r="S1613" s="405" t="s">
        <v>27137</v>
      </c>
      <c r="T1613" s="405" t="s">
        <v>884</v>
      </c>
      <c r="U1613" s="405" t="s">
        <v>319</v>
      </c>
    </row>
    <row r="1614" spans="1:21" x14ac:dyDescent="0.25">
      <c r="A1614" s="405" t="s">
        <v>310</v>
      </c>
      <c r="B1614" s="405" t="s">
        <v>25304</v>
      </c>
      <c r="C1614" s="405" t="s">
        <v>327</v>
      </c>
      <c r="D1614" s="405"/>
      <c r="E1614" s="410">
        <v>43677</v>
      </c>
      <c r="F1614" s="410">
        <v>43680</v>
      </c>
      <c r="G1614" s="405" t="s">
        <v>25305</v>
      </c>
      <c r="H1614" s="405">
        <v>772993344</v>
      </c>
      <c r="I1614" s="405"/>
      <c r="J1614" s="405">
        <v>-0.803755</v>
      </c>
      <c r="K1614" s="405">
        <v>29.943581999999999</v>
      </c>
      <c r="L1614" s="405" t="s">
        <v>590</v>
      </c>
      <c r="M1614" s="405" t="s">
        <v>19619</v>
      </c>
      <c r="N1614" s="405" t="s">
        <v>25306</v>
      </c>
      <c r="O1614" s="405" t="s">
        <v>25307</v>
      </c>
      <c r="P1614" s="405" t="s">
        <v>25308</v>
      </c>
      <c r="Q1614" s="411">
        <v>6</v>
      </c>
      <c r="R1614" s="405" t="s">
        <v>5858</v>
      </c>
      <c r="S1614" s="405" t="s">
        <v>27227</v>
      </c>
      <c r="T1614" s="405" t="s">
        <v>884</v>
      </c>
      <c r="U1614" s="405" t="s">
        <v>319</v>
      </c>
    </row>
    <row r="1615" spans="1:21" x14ac:dyDescent="0.25">
      <c r="A1615" s="405" t="s">
        <v>310</v>
      </c>
      <c r="B1615" s="405" t="s">
        <v>7580</v>
      </c>
      <c r="C1615" s="405" t="s">
        <v>327</v>
      </c>
      <c r="D1615" s="405"/>
      <c r="E1615" s="410">
        <v>43676</v>
      </c>
      <c r="F1615" s="410">
        <v>43691</v>
      </c>
      <c r="G1615" s="405" t="s">
        <v>7581</v>
      </c>
      <c r="H1615" s="405">
        <v>751666017</v>
      </c>
      <c r="I1615" s="405"/>
      <c r="J1615" s="405">
        <v>0.39805299999999999</v>
      </c>
      <c r="K1615" s="405">
        <v>32.453440000000001</v>
      </c>
      <c r="L1615" s="405" t="s">
        <v>314</v>
      </c>
      <c r="M1615" s="405" t="s">
        <v>361</v>
      </c>
      <c r="N1615" s="405" t="s">
        <v>374</v>
      </c>
      <c r="O1615" s="405" t="s">
        <v>361</v>
      </c>
      <c r="P1615" s="405" t="s">
        <v>7582</v>
      </c>
      <c r="Q1615" s="411">
        <v>9</v>
      </c>
      <c r="R1615" s="405" t="s">
        <v>32101</v>
      </c>
      <c r="S1615" s="405" t="s">
        <v>27041</v>
      </c>
      <c r="T1615" s="405" t="s">
        <v>884</v>
      </c>
      <c r="U1615" s="405" t="s">
        <v>319</v>
      </c>
    </row>
    <row r="1616" spans="1:21" x14ac:dyDescent="0.25">
      <c r="A1616" s="405" t="s">
        <v>310</v>
      </c>
      <c r="B1616" s="405" t="s">
        <v>25252</v>
      </c>
      <c r="C1616" s="405" t="s">
        <v>327</v>
      </c>
      <c r="D1616" s="405"/>
      <c r="E1616" s="410">
        <v>43675</v>
      </c>
      <c r="F1616" s="410">
        <v>43690</v>
      </c>
      <c r="G1616" s="405" t="s">
        <v>25253</v>
      </c>
      <c r="H1616" s="405">
        <v>702430562</v>
      </c>
      <c r="I1616" s="405"/>
      <c r="J1616" s="405">
        <v>-0.55832000000000004</v>
      </c>
      <c r="K1616" s="405">
        <v>30.208608000000002</v>
      </c>
      <c r="L1616" s="405" t="s">
        <v>590</v>
      </c>
      <c r="M1616" s="405" t="s">
        <v>19625</v>
      </c>
      <c r="N1616" s="405" t="s">
        <v>18043</v>
      </c>
      <c r="O1616" s="405" t="s">
        <v>25254</v>
      </c>
      <c r="P1616" s="405" t="s">
        <v>22032</v>
      </c>
      <c r="Q1616" s="411">
        <v>13</v>
      </c>
      <c r="R1616" s="405" t="s">
        <v>32166</v>
      </c>
      <c r="S1616" s="405" t="s">
        <v>27181</v>
      </c>
      <c r="T1616" s="405" t="s">
        <v>884</v>
      </c>
      <c r="U1616" s="405" t="s">
        <v>319</v>
      </c>
    </row>
    <row r="1617" spans="1:21" x14ac:dyDescent="0.25">
      <c r="A1617" s="405" t="s">
        <v>310</v>
      </c>
      <c r="B1617" s="405" t="s">
        <v>16975</v>
      </c>
      <c r="C1617" s="405" t="s">
        <v>327</v>
      </c>
      <c r="D1617" s="405"/>
      <c r="E1617" s="410">
        <v>43675</v>
      </c>
      <c r="F1617" s="410">
        <v>43724</v>
      </c>
      <c r="G1617" s="405" t="s">
        <v>16976</v>
      </c>
      <c r="H1617" s="405">
        <v>771274242</v>
      </c>
      <c r="I1617" s="405"/>
      <c r="J1617" s="405">
        <v>-0.22770099999999999</v>
      </c>
      <c r="K1617" s="405">
        <v>31.835443999999999</v>
      </c>
      <c r="L1617" s="405" t="s">
        <v>6866</v>
      </c>
      <c r="M1617" s="405" t="s">
        <v>5437</v>
      </c>
      <c r="N1617" s="405" t="s">
        <v>16189</v>
      </c>
      <c r="O1617" s="405" t="s">
        <v>16977</v>
      </c>
      <c r="P1617" s="405" t="s">
        <v>16978</v>
      </c>
      <c r="Q1617" s="411">
        <v>6</v>
      </c>
      <c r="R1617" s="405" t="s">
        <v>32164</v>
      </c>
      <c r="S1617" s="405" t="s">
        <v>6822</v>
      </c>
      <c r="T1617" s="405" t="s">
        <v>884</v>
      </c>
      <c r="U1617" s="405" t="s">
        <v>319</v>
      </c>
    </row>
    <row r="1618" spans="1:21" x14ac:dyDescent="0.25">
      <c r="A1618" s="405" t="s">
        <v>310</v>
      </c>
      <c r="B1618" s="405" t="s">
        <v>16812</v>
      </c>
      <c r="C1618" s="405" t="s">
        <v>327</v>
      </c>
      <c r="D1618" s="405"/>
      <c r="E1618" s="410">
        <v>43675</v>
      </c>
      <c r="F1618" s="410">
        <v>43698</v>
      </c>
      <c r="G1618" s="405" t="s">
        <v>16813</v>
      </c>
      <c r="H1618" s="405">
        <v>779765389</v>
      </c>
      <c r="I1618" s="405"/>
      <c r="J1618" s="405">
        <v>1.4264669999999999</v>
      </c>
      <c r="K1618" s="405">
        <v>34.582168000000003</v>
      </c>
      <c r="L1618" s="405" t="s">
        <v>6866</v>
      </c>
      <c r="M1618" s="405" t="s">
        <v>9705</v>
      </c>
      <c r="N1618" s="405" t="s">
        <v>9705</v>
      </c>
      <c r="O1618" s="405" t="s">
        <v>10311</v>
      </c>
      <c r="P1618" s="405" t="s">
        <v>16814</v>
      </c>
      <c r="Q1618" s="411">
        <v>6</v>
      </c>
      <c r="R1618" s="405" t="s">
        <v>9506</v>
      </c>
      <c r="S1618" s="405" t="s">
        <v>27353</v>
      </c>
      <c r="T1618" s="405" t="s">
        <v>7342</v>
      </c>
      <c r="U1618" s="405" t="s">
        <v>7343</v>
      </c>
    </row>
    <row r="1619" spans="1:21" x14ac:dyDescent="0.25">
      <c r="A1619" s="405" t="s">
        <v>310</v>
      </c>
      <c r="B1619" s="405" t="s">
        <v>7598</v>
      </c>
      <c r="C1619" s="405" t="s">
        <v>327</v>
      </c>
      <c r="D1619" s="405"/>
      <c r="E1619" s="410">
        <v>43674</v>
      </c>
      <c r="F1619" s="410">
        <v>43684</v>
      </c>
      <c r="G1619" s="405" t="s">
        <v>7599</v>
      </c>
      <c r="H1619" s="405">
        <v>701876292</v>
      </c>
      <c r="I1619" s="405">
        <v>759346579</v>
      </c>
      <c r="J1619" s="405">
        <v>-5.5708000000000001E-2</v>
      </c>
      <c r="K1619" s="405" t="s">
        <v>7372</v>
      </c>
      <c r="L1619" s="405" t="s">
        <v>314</v>
      </c>
      <c r="M1619" s="405" t="s">
        <v>361</v>
      </c>
      <c r="N1619" s="405" t="s">
        <v>4961</v>
      </c>
      <c r="O1619" s="405" t="s">
        <v>1290</v>
      </c>
      <c r="P1619" s="405" t="s">
        <v>1291</v>
      </c>
      <c r="Q1619" s="411">
        <v>13</v>
      </c>
      <c r="R1619" s="405" t="s">
        <v>32101</v>
      </c>
      <c r="S1619" s="405" t="s">
        <v>27276</v>
      </c>
      <c r="T1619" s="405" t="s">
        <v>884</v>
      </c>
      <c r="U1619" s="405" t="s">
        <v>319</v>
      </c>
    </row>
    <row r="1620" spans="1:21" x14ac:dyDescent="0.25">
      <c r="A1620" s="405" t="s">
        <v>310</v>
      </c>
      <c r="B1620" s="405" t="s">
        <v>25296</v>
      </c>
      <c r="C1620" s="405" t="s">
        <v>327</v>
      </c>
      <c r="D1620" s="405"/>
      <c r="E1620" s="410">
        <v>43674</v>
      </c>
      <c r="F1620" s="410">
        <v>43688</v>
      </c>
      <c r="G1620" s="405" t="s">
        <v>25297</v>
      </c>
      <c r="H1620" s="405">
        <v>772588204</v>
      </c>
      <c r="I1620" s="405"/>
      <c r="J1620" s="405" t="s">
        <v>7334</v>
      </c>
      <c r="K1620" s="405">
        <v>34.189390000000003</v>
      </c>
      <c r="L1620" s="405" t="s">
        <v>590</v>
      </c>
      <c r="M1620" s="405" t="s">
        <v>20125</v>
      </c>
      <c r="N1620" s="405" t="s">
        <v>2958</v>
      </c>
      <c r="O1620" s="405" t="s">
        <v>25298</v>
      </c>
      <c r="P1620" s="405" t="s">
        <v>22878</v>
      </c>
      <c r="Q1620" s="411">
        <v>9</v>
      </c>
      <c r="R1620" s="405" t="s">
        <v>6013</v>
      </c>
      <c r="S1620" s="405" t="s">
        <v>27060</v>
      </c>
      <c r="T1620" s="405" t="s">
        <v>884</v>
      </c>
      <c r="U1620" s="405" t="s">
        <v>319</v>
      </c>
    </row>
    <row r="1621" spans="1:21" x14ac:dyDescent="0.25">
      <c r="A1621" s="405" t="s">
        <v>310</v>
      </c>
      <c r="B1621" s="405" t="s">
        <v>16844</v>
      </c>
      <c r="C1621" s="405" t="s">
        <v>327</v>
      </c>
      <c r="D1621" s="405"/>
      <c r="E1621" s="410">
        <v>43674</v>
      </c>
      <c r="F1621" s="410">
        <v>43692</v>
      </c>
      <c r="G1621" s="405" t="s">
        <v>16845</v>
      </c>
      <c r="H1621" s="405">
        <v>703905496</v>
      </c>
      <c r="I1621" s="405"/>
      <c r="J1621" s="405">
        <v>1.2634300000000001</v>
      </c>
      <c r="K1621" s="405">
        <v>34.331789999999998</v>
      </c>
      <c r="L1621" s="405" t="s">
        <v>6866</v>
      </c>
      <c r="M1621" s="405" t="s">
        <v>9550</v>
      </c>
      <c r="N1621" s="405" t="s">
        <v>9550</v>
      </c>
      <c r="O1621" s="405" t="s">
        <v>14815</v>
      </c>
      <c r="P1621" s="405" t="s">
        <v>16846</v>
      </c>
      <c r="Q1621" s="411">
        <v>6</v>
      </c>
      <c r="R1621" s="405" t="s">
        <v>9506</v>
      </c>
      <c r="S1621" s="405" t="s">
        <v>27074</v>
      </c>
      <c r="T1621" s="405" t="s">
        <v>7342</v>
      </c>
      <c r="U1621" s="405" t="s">
        <v>7343</v>
      </c>
    </row>
    <row r="1622" spans="1:21" x14ac:dyDescent="0.25">
      <c r="A1622" s="405" t="s">
        <v>310</v>
      </c>
      <c r="B1622" s="405" t="s">
        <v>7800</v>
      </c>
      <c r="C1622" s="405" t="s">
        <v>327</v>
      </c>
      <c r="D1622" s="405"/>
      <c r="E1622" s="410">
        <v>43673</v>
      </c>
      <c r="F1622" s="410">
        <v>43759</v>
      </c>
      <c r="G1622" s="405" t="s">
        <v>7801</v>
      </c>
      <c r="H1622" s="405">
        <v>752159136</v>
      </c>
      <c r="I1622" s="405"/>
      <c r="J1622" s="405">
        <v>0.448127</v>
      </c>
      <c r="K1622" s="405">
        <v>32.824852</v>
      </c>
      <c r="L1622" s="405" t="s">
        <v>6897</v>
      </c>
      <c r="M1622" s="405" t="s">
        <v>329</v>
      </c>
      <c r="N1622" s="405" t="s">
        <v>5950</v>
      </c>
      <c r="O1622" s="405" t="s">
        <v>546</v>
      </c>
      <c r="P1622" s="405" t="s">
        <v>7802</v>
      </c>
      <c r="Q1622" s="411">
        <v>13</v>
      </c>
      <c r="R1622" s="405" t="s">
        <v>414</v>
      </c>
      <c r="S1622" s="405" t="s">
        <v>414</v>
      </c>
      <c r="T1622" s="405" t="s">
        <v>884</v>
      </c>
      <c r="U1622" s="405" t="s">
        <v>319</v>
      </c>
    </row>
    <row r="1623" spans="1:21" x14ac:dyDescent="0.25">
      <c r="A1623" s="405" t="s">
        <v>310</v>
      </c>
      <c r="B1623" s="405" t="s">
        <v>25242</v>
      </c>
      <c r="C1623" s="405" t="s">
        <v>327</v>
      </c>
      <c r="D1623" s="405"/>
      <c r="E1623" s="410">
        <v>43673</v>
      </c>
      <c r="F1623" s="410">
        <v>43688</v>
      </c>
      <c r="G1623" s="405" t="s">
        <v>25243</v>
      </c>
      <c r="H1623" s="405">
        <v>778694697</v>
      </c>
      <c r="I1623" s="405"/>
      <c r="J1623" s="405">
        <v>-0.19733800000000001</v>
      </c>
      <c r="K1623" s="405">
        <v>30.897538000000001</v>
      </c>
      <c r="L1623" s="405" t="s">
        <v>590</v>
      </c>
      <c r="M1623" s="405" t="s">
        <v>19705</v>
      </c>
      <c r="N1623" s="405" t="s">
        <v>25244</v>
      </c>
      <c r="O1623" s="405" t="s">
        <v>19707</v>
      </c>
      <c r="P1623" s="405" t="s">
        <v>25245</v>
      </c>
      <c r="Q1623" s="411">
        <v>13</v>
      </c>
      <c r="R1623" s="405" t="s">
        <v>32166</v>
      </c>
      <c r="S1623" s="405" t="s">
        <v>27102</v>
      </c>
      <c r="T1623" s="405" t="s">
        <v>884</v>
      </c>
      <c r="U1623" s="405" t="s">
        <v>319</v>
      </c>
    </row>
    <row r="1624" spans="1:21" x14ac:dyDescent="0.25">
      <c r="A1624" s="405" t="s">
        <v>310</v>
      </c>
      <c r="B1624" s="405" t="s">
        <v>16914</v>
      </c>
      <c r="C1624" s="405" t="s">
        <v>327</v>
      </c>
      <c r="D1624" s="405"/>
      <c r="E1624" s="410">
        <v>43673</v>
      </c>
      <c r="F1624" s="410">
        <v>43710</v>
      </c>
      <c r="G1624" s="405" t="s">
        <v>16915</v>
      </c>
      <c r="H1624" s="405">
        <v>774169039</v>
      </c>
      <c r="I1624" s="405"/>
      <c r="J1624" s="405">
        <v>-0.22770099999999999</v>
      </c>
      <c r="K1624" s="405">
        <v>31.835443999999999</v>
      </c>
      <c r="L1624" s="405" t="s">
        <v>6866</v>
      </c>
      <c r="M1624" s="405" t="s">
        <v>9575</v>
      </c>
      <c r="N1624" s="405" t="s">
        <v>9852</v>
      </c>
      <c r="O1624" s="405" t="s">
        <v>16916</v>
      </c>
      <c r="P1624" s="405" t="s">
        <v>16917</v>
      </c>
      <c r="Q1624" s="411">
        <v>6</v>
      </c>
      <c r="R1624" s="405" t="s">
        <v>7224</v>
      </c>
      <c r="S1624" s="405" t="s">
        <v>27348</v>
      </c>
      <c r="T1624" s="405" t="s">
        <v>884</v>
      </c>
      <c r="U1624" s="405" t="s">
        <v>319</v>
      </c>
    </row>
    <row r="1625" spans="1:21" x14ac:dyDescent="0.25">
      <c r="A1625" s="405" t="s">
        <v>310</v>
      </c>
      <c r="B1625" s="405" t="s">
        <v>16806</v>
      </c>
      <c r="C1625" s="405" t="s">
        <v>327</v>
      </c>
      <c r="D1625" s="405"/>
      <c r="E1625" s="410">
        <v>43673</v>
      </c>
      <c r="F1625" s="410">
        <v>43708</v>
      </c>
      <c r="G1625" s="405" t="s">
        <v>16807</v>
      </c>
      <c r="H1625" s="405">
        <v>779737792</v>
      </c>
      <c r="I1625" s="405"/>
      <c r="J1625" s="405">
        <v>1.4315370000000001</v>
      </c>
      <c r="K1625" s="405">
        <v>34.576037999999997</v>
      </c>
      <c r="L1625" s="405" t="s">
        <v>6866</v>
      </c>
      <c r="M1625" s="405" t="s">
        <v>9705</v>
      </c>
      <c r="N1625" s="405" t="s">
        <v>9705</v>
      </c>
      <c r="O1625" s="405" t="s">
        <v>10311</v>
      </c>
      <c r="P1625" s="405" t="s">
        <v>16808</v>
      </c>
      <c r="Q1625" s="411">
        <v>6</v>
      </c>
      <c r="R1625" s="405" t="s">
        <v>9506</v>
      </c>
      <c r="S1625" s="405" t="s">
        <v>27365</v>
      </c>
      <c r="T1625" s="405" t="s">
        <v>884</v>
      </c>
      <c r="U1625" s="405" t="s">
        <v>319</v>
      </c>
    </row>
    <row r="1626" spans="1:21" x14ac:dyDescent="0.25">
      <c r="A1626" s="405" t="s">
        <v>310</v>
      </c>
      <c r="B1626" s="405" t="s">
        <v>16809</v>
      </c>
      <c r="C1626" s="405" t="s">
        <v>327</v>
      </c>
      <c r="D1626" s="405"/>
      <c r="E1626" s="410">
        <v>43673</v>
      </c>
      <c r="F1626" s="410">
        <v>43688</v>
      </c>
      <c r="G1626" s="405" t="s">
        <v>16810</v>
      </c>
      <c r="H1626" s="405">
        <v>779830857</v>
      </c>
      <c r="I1626" s="405"/>
      <c r="J1626" s="405">
        <v>1.399327</v>
      </c>
      <c r="K1626" s="405">
        <v>34.541544999999999</v>
      </c>
      <c r="L1626" s="405" t="s">
        <v>6866</v>
      </c>
      <c r="M1626" s="405" t="s">
        <v>9705</v>
      </c>
      <c r="N1626" s="405" t="s">
        <v>9705</v>
      </c>
      <c r="O1626" s="405" t="s">
        <v>16811</v>
      </c>
      <c r="P1626" s="405" t="s">
        <v>14428</v>
      </c>
      <c r="Q1626" s="411">
        <v>4</v>
      </c>
      <c r="R1626" s="405" t="s">
        <v>9506</v>
      </c>
      <c r="S1626" s="405" t="s">
        <v>17013</v>
      </c>
      <c r="T1626" s="405" t="s">
        <v>884</v>
      </c>
      <c r="U1626" s="405" t="s">
        <v>319</v>
      </c>
    </row>
    <row r="1627" spans="1:21" x14ac:dyDescent="0.25">
      <c r="A1627" s="405" t="s">
        <v>310</v>
      </c>
      <c r="B1627" s="405" t="s">
        <v>7583</v>
      </c>
      <c r="C1627" s="405" t="s">
        <v>327</v>
      </c>
      <c r="D1627" s="405"/>
      <c r="E1627" s="410">
        <v>43672</v>
      </c>
      <c r="F1627" s="410">
        <v>43698</v>
      </c>
      <c r="G1627" s="405" t="s">
        <v>7584</v>
      </c>
      <c r="H1627" s="405">
        <v>772421999</v>
      </c>
      <c r="I1627" s="405">
        <v>702004090</v>
      </c>
      <c r="J1627" s="405">
        <v>0.4829</v>
      </c>
      <c r="K1627" s="405">
        <v>34.112099999999998</v>
      </c>
      <c r="L1627" s="405" t="s">
        <v>314</v>
      </c>
      <c r="M1627" s="405" t="s">
        <v>361</v>
      </c>
      <c r="N1627" s="405" t="s">
        <v>374</v>
      </c>
      <c r="O1627" s="405" t="s">
        <v>535</v>
      </c>
      <c r="P1627" s="405" t="s">
        <v>7585</v>
      </c>
      <c r="Q1627" s="411">
        <v>13</v>
      </c>
      <c r="R1627" s="405" t="s">
        <v>32101</v>
      </c>
      <c r="S1627" s="405" t="s">
        <v>27041</v>
      </c>
      <c r="T1627" s="405" t="s">
        <v>884</v>
      </c>
      <c r="U1627" s="405" t="s">
        <v>319</v>
      </c>
    </row>
    <row r="1628" spans="1:21" x14ac:dyDescent="0.25">
      <c r="A1628" s="405" t="s">
        <v>310</v>
      </c>
      <c r="B1628" s="405" t="s">
        <v>7576</v>
      </c>
      <c r="C1628" s="405" t="s">
        <v>327</v>
      </c>
      <c r="D1628" s="405"/>
      <c r="E1628" s="410">
        <v>43672</v>
      </c>
      <c r="F1628" s="410">
        <v>43692</v>
      </c>
      <c r="G1628" s="405" t="s">
        <v>7577</v>
      </c>
      <c r="H1628" s="405">
        <v>772328978</v>
      </c>
      <c r="I1628" s="405"/>
      <c r="J1628" s="405">
        <v>-7.7471999999999999E-2</v>
      </c>
      <c r="K1628" s="405">
        <v>31.758075000000002</v>
      </c>
      <c r="L1628" s="405" t="s">
        <v>314</v>
      </c>
      <c r="M1628" s="405" t="s">
        <v>900</v>
      </c>
      <c r="N1628" s="405" t="s">
        <v>900</v>
      </c>
      <c r="O1628" s="405" t="s">
        <v>5422</v>
      </c>
      <c r="P1628" s="405" t="s">
        <v>4391</v>
      </c>
      <c r="Q1628" s="411">
        <v>9</v>
      </c>
      <c r="R1628" s="405" t="s">
        <v>32101</v>
      </c>
      <c r="S1628" s="405" t="s">
        <v>27041</v>
      </c>
      <c r="T1628" s="405" t="s">
        <v>884</v>
      </c>
      <c r="U1628" s="405" t="s">
        <v>319</v>
      </c>
    </row>
    <row r="1629" spans="1:21" x14ac:dyDescent="0.25">
      <c r="A1629" s="405" t="s">
        <v>310</v>
      </c>
      <c r="B1629" s="405" t="s">
        <v>7600</v>
      </c>
      <c r="C1629" s="405" t="s">
        <v>327</v>
      </c>
      <c r="D1629" s="405"/>
      <c r="E1629" s="410">
        <v>43672</v>
      </c>
      <c r="F1629" s="410">
        <v>43687</v>
      </c>
      <c r="G1629" s="405" t="s">
        <v>7601</v>
      </c>
      <c r="H1629" s="405">
        <v>752612395</v>
      </c>
      <c r="I1629" s="405">
        <v>783990006</v>
      </c>
      <c r="J1629" s="405">
        <v>-0.25717699999999999</v>
      </c>
      <c r="K1629" s="405">
        <v>31.819427999999998</v>
      </c>
      <c r="L1629" s="405" t="s">
        <v>314</v>
      </c>
      <c r="M1629" s="405" t="s">
        <v>382</v>
      </c>
      <c r="N1629" s="405" t="s">
        <v>988</v>
      </c>
      <c r="O1629" s="405" t="s">
        <v>6459</v>
      </c>
      <c r="P1629" s="405" t="s">
        <v>7602</v>
      </c>
      <c r="Q1629" s="411">
        <v>9</v>
      </c>
      <c r="R1629" s="405" t="s">
        <v>32101</v>
      </c>
      <c r="S1629" s="405" t="s">
        <v>27243</v>
      </c>
      <c r="T1629" s="405" t="s">
        <v>884</v>
      </c>
      <c r="U1629" s="405" t="s">
        <v>319</v>
      </c>
    </row>
    <row r="1630" spans="1:21" x14ac:dyDescent="0.25">
      <c r="A1630" s="405" t="s">
        <v>310</v>
      </c>
      <c r="B1630" s="405" t="s">
        <v>16861</v>
      </c>
      <c r="C1630" s="405" t="s">
        <v>327</v>
      </c>
      <c r="D1630" s="405"/>
      <c r="E1630" s="410">
        <v>43672</v>
      </c>
      <c r="F1630" s="410">
        <v>43694</v>
      </c>
      <c r="G1630" s="405" t="s">
        <v>16862</v>
      </c>
      <c r="H1630" s="405">
        <v>772485851</v>
      </c>
      <c r="I1630" s="405"/>
      <c r="J1630" s="405">
        <v>-0.23760999999999999</v>
      </c>
      <c r="K1630" s="405">
        <v>31.763534</v>
      </c>
      <c r="L1630" s="405" t="s">
        <v>6866</v>
      </c>
      <c r="M1630" s="405" t="s">
        <v>9534</v>
      </c>
      <c r="N1630" s="405" t="s">
        <v>9534</v>
      </c>
      <c r="O1630" s="405" t="s">
        <v>9770</v>
      </c>
      <c r="P1630" s="405" t="s">
        <v>11777</v>
      </c>
      <c r="Q1630" s="411">
        <v>6</v>
      </c>
      <c r="R1630" s="405" t="s">
        <v>5655</v>
      </c>
      <c r="S1630" s="405" t="s">
        <v>27357</v>
      </c>
      <c r="T1630" s="405" t="s">
        <v>884</v>
      </c>
      <c r="U1630" s="405" t="s">
        <v>319</v>
      </c>
    </row>
    <row r="1631" spans="1:21" x14ac:dyDescent="0.25">
      <c r="A1631" s="405" t="s">
        <v>310</v>
      </c>
      <c r="B1631" s="405" t="s">
        <v>7593</v>
      </c>
      <c r="C1631" s="405" t="s">
        <v>327</v>
      </c>
      <c r="D1631" s="405"/>
      <c r="E1631" s="410">
        <v>43671</v>
      </c>
      <c r="F1631" s="410">
        <v>43691</v>
      </c>
      <c r="G1631" s="405" t="s">
        <v>7594</v>
      </c>
      <c r="H1631" s="405">
        <v>754114575</v>
      </c>
      <c r="I1631" s="405"/>
      <c r="J1631" s="405">
        <v>-0.59692500000000004</v>
      </c>
      <c r="K1631" s="405">
        <v>31.513732000000001</v>
      </c>
      <c r="L1631" s="405" t="s">
        <v>314</v>
      </c>
      <c r="M1631" s="405" t="s">
        <v>382</v>
      </c>
      <c r="N1631" s="405" t="s">
        <v>5856</v>
      </c>
      <c r="O1631" s="405" t="s">
        <v>4383</v>
      </c>
      <c r="P1631" s="405" t="s">
        <v>2250</v>
      </c>
      <c r="Q1631" s="411">
        <v>13</v>
      </c>
      <c r="R1631" s="405" t="s">
        <v>32101</v>
      </c>
      <c r="S1631" s="405" t="s">
        <v>27039</v>
      </c>
      <c r="T1631" s="405" t="s">
        <v>884</v>
      </c>
      <c r="U1631" s="405" t="s">
        <v>319</v>
      </c>
    </row>
    <row r="1632" spans="1:21" x14ac:dyDescent="0.25">
      <c r="A1632" s="405" t="s">
        <v>310</v>
      </c>
      <c r="B1632" s="405" t="s">
        <v>25238</v>
      </c>
      <c r="C1632" s="405" t="s">
        <v>327</v>
      </c>
      <c r="D1632" s="405"/>
      <c r="E1632" s="410">
        <v>43671</v>
      </c>
      <c r="F1632" s="410">
        <v>43701</v>
      </c>
      <c r="G1632" s="405" t="s">
        <v>25239</v>
      </c>
      <c r="H1632" s="405">
        <v>780218868</v>
      </c>
      <c r="I1632" s="405"/>
      <c r="J1632" s="405">
        <v>8.7252999999999997E-2</v>
      </c>
      <c r="K1632" s="405">
        <v>30.049154999999999</v>
      </c>
      <c r="L1632" s="405" t="s">
        <v>590</v>
      </c>
      <c r="M1632" s="405" t="s">
        <v>21087</v>
      </c>
      <c r="N1632" s="405" t="s">
        <v>10026</v>
      </c>
      <c r="O1632" s="405" t="s">
        <v>25240</v>
      </c>
      <c r="P1632" s="405" t="s">
        <v>25241</v>
      </c>
      <c r="Q1632" s="411">
        <v>9</v>
      </c>
      <c r="R1632" s="405" t="s">
        <v>32166</v>
      </c>
      <c r="S1632" s="405" t="s">
        <v>27063</v>
      </c>
      <c r="T1632" s="405" t="s">
        <v>32102</v>
      </c>
      <c r="U1632" s="405" t="s">
        <v>319</v>
      </c>
    </row>
    <row r="1633" spans="1:21" x14ac:dyDescent="0.25">
      <c r="A1633" s="405" t="s">
        <v>310</v>
      </c>
      <c r="B1633" s="405" t="s">
        <v>16798</v>
      </c>
      <c r="C1633" s="405" t="s">
        <v>327</v>
      </c>
      <c r="D1633" s="405"/>
      <c r="E1633" s="410">
        <v>43670</v>
      </c>
      <c r="F1633" s="410">
        <v>43707</v>
      </c>
      <c r="G1633" s="405" t="s">
        <v>16799</v>
      </c>
      <c r="H1633" s="405">
        <v>775119782</v>
      </c>
      <c r="I1633" s="405"/>
      <c r="J1633" s="405" t="s">
        <v>7420</v>
      </c>
      <c r="K1633" s="405">
        <v>31.835087999999999</v>
      </c>
      <c r="L1633" s="405" t="s">
        <v>6866</v>
      </c>
      <c r="M1633" s="405" t="s">
        <v>9550</v>
      </c>
      <c r="N1633" s="405" t="s">
        <v>16467</v>
      </c>
      <c r="O1633" s="405" t="s">
        <v>16800</v>
      </c>
      <c r="P1633" s="405" t="s">
        <v>16801</v>
      </c>
      <c r="Q1633" s="411">
        <v>9</v>
      </c>
      <c r="R1633" s="405" t="s">
        <v>7224</v>
      </c>
      <c r="S1633" s="405" t="s">
        <v>27348</v>
      </c>
      <c r="T1633" s="405" t="s">
        <v>32102</v>
      </c>
      <c r="U1633" s="405" t="s">
        <v>319</v>
      </c>
    </row>
    <row r="1634" spans="1:21" x14ac:dyDescent="0.25">
      <c r="A1634" s="405" t="s">
        <v>310</v>
      </c>
      <c r="B1634" s="405" t="s">
        <v>8195</v>
      </c>
      <c r="C1634" s="405" t="s">
        <v>311</v>
      </c>
      <c r="D1634" s="405" t="s">
        <v>8196</v>
      </c>
      <c r="E1634" s="410">
        <v>43670</v>
      </c>
      <c r="F1634" s="410">
        <v>43680</v>
      </c>
      <c r="G1634" s="405" t="s">
        <v>8197</v>
      </c>
      <c r="H1634" s="405">
        <v>782025208</v>
      </c>
      <c r="I1634" s="405"/>
      <c r="J1634" s="405">
        <v>0.46070699999999998</v>
      </c>
      <c r="K1634" s="405">
        <v>32.610193000000002</v>
      </c>
      <c r="L1634" s="405" t="s">
        <v>314</v>
      </c>
      <c r="M1634" s="405" t="s">
        <v>361</v>
      </c>
      <c r="N1634" s="405" t="s">
        <v>410</v>
      </c>
      <c r="O1634" s="405" t="s">
        <v>8198</v>
      </c>
      <c r="P1634" s="405" t="s">
        <v>8198</v>
      </c>
      <c r="Q1634" s="411">
        <v>9</v>
      </c>
      <c r="R1634" s="405" t="s">
        <v>4176</v>
      </c>
      <c r="S1634" s="405" t="s">
        <v>27059</v>
      </c>
      <c r="T1634" s="405" t="s">
        <v>884</v>
      </c>
      <c r="U1634" s="405" t="s">
        <v>319</v>
      </c>
    </row>
    <row r="1635" spans="1:21" x14ac:dyDescent="0.25">
      <c r="A1635" s="405" t="s">
        <v>310</v>
      </c>
      <c r="B1635" s="405" t="s">
        <v>16841</v>
      </c>
      <c r="C1635" s="405" t="s">
        <v>327</v>
      </c>
      <c r="D1635" s="405"/>
      <c r="E1635" s="410">
        <v>43670</v>
      </c>
      <c r="F1635" s="410">
        <v>43700</v>
      </c>
      <c r="G1635" s="405" t="s">
        <v>16842</v>
      </c>
      <c r="H1635" s="405">
        <v>781164159</v>
      </c>
      <c r="I1635" s="405"/>
      <c r="J1635" s="405">
        <v>1.266967</v>
      </c>
      <c r="K1635" s="405">
        <v>34.336449999999999</v>
      </c>
      <c r="L1635" s="405" t="s">
        <v>6866</v>
      </c>
      <c r="M1635" s="405" t="s">
        <v>9550</v>
      </c>
      <c r="N1635" s="405" t="s">
        <v>9550</v>
      </c>
      <c r="O1635" s="405" t="s">
        <v>14815</v>
      </c>
      <c r="P1635" s="405" t="s">
        <v>16843</v>
      </c>
      <c r="Q1635" s="411">
        <v>6</v>
      </c>
      <c r="R1635" s="405" t="s">
        <v>9506</v>
      </c>
      <c r="S1635" s="405" t="s">
        <v>27074</v>
      </c>
      <c r="T1635" s="405" t="s">
        <v>884</v>
      </c>
      <c r="U1635" s="405" t="s">
        <v>319</v>
      </c>
    </row>
    <row r="1636" spans="1:21" x14ac:dyDescent="0.25">
      <c r="A1636" s="405" t="s">
        <v>310</v>
      </c>
      <c r="B1636" s="405" t="s">
        <v>7615</v>
      </c>
      <c r="C1636" s="405" t="s">
        <v>327</v>
      </c>
      <c r="D1636" s="405"/>
      <c r="E1636" s="410">
        <v>43670</v>
      </c>
      <c r="F1636" s="410">
        <v>43695</v>
      </c>
      <c r="G1636" s="405" t="s">
        <v>7616</v>
      </c>
      <c r="H1636" s="405">
        <v>755998591</v>
      </c>
      <c r="I1636" s="405"/>
      <c r="J1636" s="405">
        <v>0.52878499999999995</v>
      </c>
      <c r="K1636" s="405">
        <v>33.384937000000001</v>
      </c>
      <c r="L1636" s="405" t="s">
        <v>314</v>
      </c>
      <c r="M1636" s="405" t="s">
        <v>349</v>
      </c>
      <c r="N1636" s="405" t="s">
        <v>2184</v>
      </c>
      <c r="O1636" s="405" t="s">
        <v>487</v>
      </c>
      <c r="P1636" s="405" t="s">
        <v>7054</v>
      </c>
      <c r="Q1636" s="411">
        <v>6</v>
      </c>
      <c r="R1636" s="405" t="s">
        <v>4176</v>
      </c>
      <c r="S1636" s="405" t="s">
        <v>27059</v>
      </c>
      <c r="T1636" s="405" t="s">
        <v>884</v>
      </c>
      <c r="U1636" s="405" t="s">
        <v>319</v>
      </c>
    </row>
    <row r="1637" spans="1:21" x14ac:dyDescent="0.25">
      <c r="A1637" s="405" t="s">
        <v>310</v>
      </c>
      <c r="B1637" s="405" t="s">
        <v>16852</v>
      </c>
      <c r="C1637" s="405" t="s">
        <v>327</v>
      </c>
      <c r="D1637" s="405"/>
      <c r="E1637" s="410">
        <v>43670</v>
      </c>
      <c r="F1637" s="410">
        <v>43688</v>
      </c>
      <c r="G1637" s="405" t="s">
        <v>16853</v>
      </c>
      <c r="H1637" s="405">
        <v>751832525</v>
      </c>
      <c r="I1637" s="405"/>
      <c r="J1637" s="405">
        <v>1.382395</v>
      </c>
      <c r="K1637" s="405">
        <v>34.438052999999996</v>
      </c>
      <c r="L1637" s="405" t="s">
        <v>6866</v>
      </c>
      <c r="M1637" s="405" t="s">
        <v>9685</v>
      </c>
      <c r="N1637" s="405" t="s">
        <v>9686</v>
      </c>
      <c r="O1637" s="405" t="s">
        <v>14943</v>
      </c>
      <c r="P1637" s="405" t="s">
        <v>16741</v>
      </c>
      <c r="Q1637" s="411">
        <v>6</v>
      </c>
      <c r="R1637" s="405" t="s">
        <v>9506</v>
      </c>
      <c r="S1637" s="405" t="s">
        <v>27353</v>
      </c>
      <c r="T1637" s="405" t="s">
        <v>884</v>
      </c>
      <c r="U1637" s="405" t="s">
        <v>319</v>
      </c>
    </row>
    <row r="1638" spans="1:21" x14ac:dyDescent="0.25">
      <c r="A1638" s="405" t="s">
        <v>310</v>
      </c>
      <c r="B1638" s="405" t="s">
        <v>16818</v>
      </c>
      <c r="C1638" s="405" t="s">
        <v>327</v>
      </c>
      <c r="D1638" s="405"/>
      <c r="E1638" s="410">
        <v>43670</v>
      </c>
      <c r="F1638" s="410">
        <v>43688</v>
      </c>
      <c r="G1638" s="405" t="s">
        <v>16819</v>
      </c>
      <c r="H1638" s="405">
        <v>775990600</v>
      </c>
      <c r="I1638" s="405"/>
      <c r="J1638" s="405">
        <v>1.4337200000000001</v>
      </c>
      <c r="K1638" s="405">
        <v>34.580860000000001</v>
      </c>
      <c r="L1638" s="405" t="s">
        <v>6866</v>
      </c>
      <c r="M1638" s="405" t="s">
        <v>9705</v>
      </c>
      <c r="N1638" s="405" t="s">
        <v>9705</v>
      </c>
      <c r="O1638" s="405" t="s">
        <v>10311</v>
      </c>
      <c r="P1638" s="405" t="s">
        <v>16820</v>
      </c>
      <c r="Q1638" s="411">
        <v>6</v>
      </c>
      <c r="R1638" s="405" t="s">
        <v>9506</v>
      </c>
      <c r="S1638" s="405" t="s">
        <v>27318</v>
      </c>
      <c r="T1638" s="405" t="s">
        <v>884</v>
      </c>
      <c r="U1638" s="405" t="s">
        <v>319</v>
      </c>
    </row>
    <row r="1639" spans="1:21" x14ac:dyDescent="0.25">
      <c r="A1639" s="405" t="s">
        <v>310</v>
      </c>
      <c r="B1639" s="405" t="s">
        <v>7521</v>
      </c>
      <c r="C1639" s="405" t="s">
        <v>327</v>
      </c>
      <c r="D1639" s="405"/>
      <c r="E1639" s="410">
        <v>43669</v>
      </c>
      <c r="F1639" s="410">
        <v>43687</v>
      </c>
      <c r="G1639" s="405" t="s">
        <v>7522</v>
      </c>
      <c r="H1639" s="405">
        <v>752748066</v>
      </c>
      <c r="I1639" s="405"/>
      <c r="J1639" s="405">
        <v>-0.32485799999999998</v>
      </c>
      <c r="K1639" s="405">
        <v>32.291032000000001</v>
      </c>
      <c r="L1639" s="405" t="s">
        <v>314</v>
      </c>
      <c r="M1639" s="405" t="s">
        <v>694</v>
      </c>
      <c r="N1639" s="405" t="s">
        <v>7523</v>
      </c>
      <c r="O1639" s="405" t="s">
        <v>7524</v>
      </c>
      <c r="P1639" s="405" t="s">
        <v>7525</v>
      </c>
      <c r="Q1639" s="411">
        <v>6</v>
      </c>
      <c r="R1639" s="405" t="s">
        <v>6795</v>
      </c>
      <c r="S1639" s="405" t="s">
        <v>27267</v>
      </c>
      <c r="T1639" s="405" t="s">
        <v>884</v>
      </c>
      <c r="U1639" s="405" t="s">
        <v>319</v>
      </c>
    </row>
    <row r="1640" spans="1:21" x14ac:dyDescent="0.25">
      <c r="A1640" s="405" t="s">
        <v>310</v>
      </c>
      <c r="B1640" s="405" t="s">
        <v>17332</v>
      </c>
      <c r="C1640" s="405" t="s">
        <v>857</v>
      </c>
      <c r="D1640" s="405" t="s">
        <v>4394</v>
      </c>
      <c r="E1640" s="410">
        <v>43669</v>
      </c>
      <c r="F1640" s="410">
        <v>43687</v>
      </c>
      <c r="G1640" s="405" t="s">
        <v>17333</v>
      </c>
      <c r="H1640" s="405">
        <v>700406104</v>
      </c>
      <c r="I1640" s="405"/>
      <c r="J1640" s="405">
        <v>1.2669220000000001</v>
      </c>
      <c r="K1640" s="405">
        <v>34.326413000000002</v>
      </c>
      <c r="L1640" s="405" t="s">
        <v>6866</v>
      </c>
      <c r="M1640" s="405" t="s">
        <v>9550</v>
      </c>
      <c r="N1640" s="405" t="s">
        <v>9550</v>
      </c>
      <c r="O1640" s="405" t="s">
        <v>14815</v>
      </c>
      <c r="P1640" s="405" t="s">
        <v>16849</v>
      </c>
      <c r="Q1640" s="411">
        <v>6</v>
      </c>
      <c r="R1640" s="405" t="s">
        <v>9506</v>
      </c>
      <c r="S1640" s="405" t="s">
        <v>27259</v>
      </c>
      <c r="T1640" s="405" t="s">
        <v>884</v>
      </c>
      <c r="U1640" s="405" t="s">
        <v>319</v>
      </c>
    </row>
    <row r="1641" spans="1:21" x14ac:dyDescent="0.25">
      <c r="A1641" s="405" t="s">
        <v>310</v>
      </c>
      <c r="B1641" s="405" t="s">
        <v>16854</v>
      </c>
      <c r="C1641" s="405" t="s">
        <v>327</v>
      </c>
      <c r="D1641" s="405"/>
      <c r="E1641" s="410">
        <v>43669</v>
      </c>
      <c r="F1641" s="410">
        <v>43685</v>
      </c>
      <c r="G1641" s="405" t="s">
        <v>16855</v>
      </c>
      <c r="H1641" s="405">
        <v>786568868</v>
      </c>
      <c r="I1641" s="405"/>
      <c r="J1641" s="405">
        <v>1.3984319999999999</v>
      </c>
      <c r="K1641" s="405">
        <v>34.541528</v>
      </c>
      <c r="L1641" s="405" t="s">
        <v>6866</v>
      </c>
      <c r="M1641" s="405" t="s">
        <v>9705</v>
      </c>
      <c r="N1641" s="405" t="s">
        <v>9705</v>
      </c>
      <c r="O1641" s="405" t="s">
        <v>16811</v>
      </c>
      <c r="P1641" s="405" t="s">
        <v>14428</v>
      </c>
      <c r="Q1641" s="411">
        <v>6</v>
      </c>
      <c r="R1641" s="405" t="s">
        <v>9506</v>
      </c>
      <c r="S1641" s="405" t="s">
        <v>17013</v>
      </c>
      <c r="T1641" s="405" t="s">
        <v>884</v>
      </c>
      <c r="U1641" s="405" t="s">
        <v>319</v>
      </c>
    </row>
    <row r="1642" spans="1:21" x14ac:dyDescent="0.25">
      <c r="A1642" s="405" t="s">
        <v>310</v>
      </c>
      <c r="B1642" s="405" t="s">
        <v>25268</v>
      </c>
      <c r="C1642" s="405" t="s">
        <v>327</v>
      </c>
      <c r="D1642" s="405"/>
      <c r="E1642" s="410">
        <v>43669</v>
      </c>
      <c r="F1642" s="410">
        <v>43683</v>
      </c>
      <c r="G1642" s="405" t="s">
        <v>25269</v>
      </c>
      <c r="H1642" s="405">
        <v>773490731</v>
      </c>
      <c r="I1642" s="405">
        <v>780523660</v>
      </c>
      <c r="J1642" s="405">
        <v>0.52878499999999995</v>
      </c>
      <c r="K1642" s="405">
        <v>33.384937000000001</v>
      </c>
      <c r="L1642" s="405" t="s">
        <v>24705</v>
      </c>
      <c r="M1642" s="405" t="s">
        <v>20808</v>
      </c>
      <c r="N1642" s="405" t="s">
        <v>23390</v>
      </c>
      <c r="O1642" s="405" t="s">
        <v>23326</v>
      </c>
      <c r="P1642" s="405" t="s">
        <v>25270</v>
      </c>
      <c r="Q1642" s="411">
        <v>6</v>
      </c>
      <c r="R1642" s="405" t="s">
        <v>6572</v>
      </c>
      <c r="S1642" s="405" t="s">
        <v>27154</v>
      </c>
      <c r="T1642" s="405" t="s">
        <v>884</v>
      </c>
      <c r="U1642" s="405" t="s">
        <v>319</v>
      </c>
    </row>
    <row r="1643" spans="1:21" x14ac:dyDescent="0.25">
      <c r="A1643" s="405" t="s">
        <v>310</v>
      </c>
      <c r="B1643" s="405" t="s">
        <v>16850</v>
      </c>
      <c r="C1643" s="405" t="s">
        <v>327</v>
      </c>
      <c r="D1643" s="405"/>
      <c r="E1643" s="410">
        <v>43669</v>
      </c>
      <c r="F1643" s="410">
        <v>43680</v>
      </c>
      <c r="G1643" s="405" t="s">
        <v>16851</v>
      </c>
      <c r="H1643" s="405">
        <v>756514682</v>
      </c>
      <c r="I1643" s="405"/>
      <c r="J1643" s="405">
        <v>1.388282</v>
      </c>
      <c r="K1643" s="405">
        <v>34.492959999999997</v>
      </c>
      <c r="L1643" s="405" t="s">
        <v>6866</v>
      </c>
      <c r="M1643" s="405" t="s">
        <v>9705</v>
      </c>
      <c r="N1643" s="405" t="s">
        <v>9705</v>
      </c>
      <c r="O1643" s="405" t="s">
        <v>9706</v>
      </c>
      <c r="P1643" s="405" t="s">
        <v>11944</v>
      </c>
      <c r="Q1643" s="411">
        <v>6</v>
      </c>
      <c r="R1643" s="405" t="s">
        <v>9506</v>
      </c>
      <c r="S1643" s="405" t="s">
        <v>27306</v>
      </c>
      <c r="T1643" s="405" t="s">
        <v>884</v>
      </c>
      <c r="U1643" s="405" t="s">
        <v>319</v>
      </c>
    </row>
    <row r="1644" spans="1:21" x14ac:dyDescent="0.25">
      <c r="A1644" s="405" t="s">
        <v>310</v>
      </c>
      <c r="B1644" s="405" t="s">
        <v>16856</v>
      </c>
      <c r="C1644" s="405" t="s">
        <v>327</v>
      </c>
      <c r="D1644" s="405"/>
      <c r="E1644" s="410">
        <v>43669</v>
      </c>
      <c r="F1644" s="410">
        <v>43680</v>
      </c>
      <c r="G1644" s="405" t="s">
        <v>16857</v>
      </c>
      <c r="H1644" s="405">
        <v>772602813</v>
      </c>
      <c r="I1644" s="405"/>
      <c r="J1644" s="405">
        <v>1.365253</v>
      </c>
      <c r="K1644" s="405">
        <v>34.389290000000003</v>
      </c>
      <c r="L1644" s="405" t="s">
        <v>6866</v>
      </c>
      <c r="M1644" s="405" t="s">
        <v>9705</v>
      </c>
      <c r="N1644" s="405" t="s">
        <v>9686</v>
      </c>
      <c r="O1644" s="405" t="s">
        <v>9709</v>
      </c>
      <c r="P1644" s="405" t="s">
        <v>9709</v>
      </c>
      <c r="Q1644" s="411">
        <v>6</v>
      </c>
      <c r="R1644" s="405" t="s">
        <v>9506</v>
      </c>
      <c r="S1644" s="405" t="s">
        <v>27067</v>
      </c>
      <c r="T1644" s="405" t="s">
        <v>884</v>
      </c>
      <c r="U1644" s="405" t="s">
        <v>319</v>
      </c>
    </row>
    <row r="1645" spans="1:21" x14ac:dyDescent="0.25">
      <c r="A1645" s="405" t="s">
        <v>310</v>
      </c>
      <c r="B1645" s="405" t="s">
        <v>16866</v>
      </c>
      <c r="C1645" s="405" t="s">
        <v>327</v>
      </c>
      <c r="D1645" s="405"/>
      <c r="E1645" s="410">
        <v>43668</v>
      </c>
      <c r="F1645" s="410">
        <v>43679</v>
      </c>
      <c r="G1645" s="405" t="s">
        <v>16867</v>
      </c>
      <c r="H1645" s="405">
        <v>752400243</v>
      </c>
      <c r="I1645" s="405"/>
      <c r="J1645" s="405">
        <v>0.52905400000000002</v>
      </c>
      <c r="K1645" s="405">
        <v>33.465854</v>
      </c>
      <c r="L1645" s="405" t="s">
        <v>6866</v>
      </c>
      <c r="M1645" s="405" t="s">
        <v>10853</v>
      </c>
      <c r="N1645" s="405" t="s">
        <v>10853</v>
      </c>
      <c r="O1645" s="405" t="s">
        <v>16868</v>
      </c>
      <c r="P1645" s="405" t="s">
        <v>16868</v>
      </c>
      <c r="Q1645" s="411">
        <v>13</v>
      </c>
      <c r="R1645" s="405" t="s">
        <v>4176</v>
      </c>
      <c r="S1645" s="405" t="s">
        <v>27266</v>
      </c>
      <c r="T1645" s="405" t="s">
        <v>32102</v>
      </c>
      <c r="U1645" s="405" t="s">
        <v>319</v>
      </c>
    </row>
    <row r="1646" spans="1:21" x14ac:dyDescent="0.25">
      <c r="A1646" s="405" t="s">
        <v>310</v>
      </c>
      <c r="B1646" s="405" t="s">
        <v>7610</v>
      </c>
      <c r="C1646" s="405" t="s">
        <v>327</v>
      </c>
      <c r="D1646" s="405"/>
      <c r="E1646" s="410">
        <v>43668</v>
      </c>
      <c r="F1646" s="410">
        <v>43679</v>
      </c>
      <c r="G1646" s="405" t="s">
        <v>7611</v>
      </c>
      <c r="H1646" s="405">
        <v>778345211</v>
      </c>
      <c r="I1646" s="405">
        <v>788900106</v>
      </c>
      <c r="J1646" s="405">
        <v>1.9376899999999999</v>
      </c>
      <c r="K1646" s="405">
        <v>33.330257000000003</v>
      </c>
      <c r="L1646" s="405" t="s">
        <v>314</v>
      </c>
      <c r="M1646" s="405" t="s">
        <v>992</v>
      </c>
      <c r="N1646" s="405" t="s">
        <v>3409</v>
      </c>
      <c r="O1646" s="405" t="s">
        <v>2133</v>
      </c>
      <c r="P1646" s="405" t="s">
        <v>3408</v>
      </c>
      <c r="Q1646" s="411">
        <v>6</v>
      </c>
      <c r="R1646" s="405" t="s">
        <v>4176</v>
      </c>
      <c r="S1646" s="405" t="s">
        <v>27153</v>
      </c>
      <c r="T1646" s="405" t="s">
        <v>884</v>
      </c>
      <c r="U1646" s="405" t="s">
        <v>319</v>
      </c>
    </row>
    <row r="1647" spans="1:21" x14ac:dyDescent="0.25">
      <c r="A1647" s="405" t="s">
        <v>310</v>
      </c>
      <c r="B1647" s="405" t="s">
        <v>7606</v>
      </c>
      <c r="C1647" s="405" t="s">
        <v>327</v>
      </c>
      <c r="D1647" s="405"/>
      <c r="E1647" s="410">
        <v>43667</v>
      </c>
      <c r="F1647" s="410">
        <v>43678</v>
      </c>
      <c r="G1647" s="405" t="s">
        <v>7607</v>
      </c>
      <c r="H1647" s="405">
        <v>777564431</v>
      </c>
      <c r="I1647" s="405"/>
      <c r="J1647" s="405">
        <v>0.35248800000000002</v>
      </c>
      <c r="K1647" s="405">
        <v>32.569265999999999</v>
      </c>
      <c r="L1647" s="405" t="s">
        <v>314</v>
      </c>
      <c r="M1647" s="405" t="s">
        <v>992</v>
      </c>
      <c r="N1647" s="405" t="s">
        <v>936</v>
      </c>
      <c r="O1647" s="405" t="s">
        <v>7608</v>
      </c>
      <c r="P1647" s="405" t="s">
        <v>7609</v>
      </c>
      <c r="Q1647" s="411">
        <v>13</v>
      </c>
      <c r="R1647" s="405" t="s">
        <v>4176</v>
      </c>
      <c r="S1647" s="405" t="s">
        <v>27266</v>
      </c>
      <c r="T1647" s="405" t="s">
        <v>884</v>
      </c>
      <c r="U1647" s="405" t="s">
        <v>319</v>
      </c>
    </row>
    <row r="1648" spans="1:21" x14ac:dyDescent="0.25">
      <c r="A1648" s="405" t="s">
        <v>310</v>
      </c>
      <c r="B1648" s="405" t="s">
        <v>16775</v>
      </c>
      <c r="C1648" s="405" t="s">
        <v>327</v>
      </c>
      <c r="D1648" s="405"/>
      <c r="E1648" s="410">
        <v>43667</v>
      </c>
      <c r="F1648" s="410">
        <v>43677</v>
      </c>
      <c r="G1648" s="405" t="s">
        <v>16776</v>
      </c>
      <c r="H1648" s="405">
        <v>782446306</v>
      </c>
      <c r="I1648" s="405"/>
      <c r="J1648" s="405">
        <v>1.9290830000000001</v>
      </c>
      <c r="K1648" s="405">
        <v>33.312562</v>
      </c>
      <c r="L1648" s="405" t="s">
        <v>6866</v>
      </c>
      <c r="M1648" s="405" t="s">
        <v>12153</v>
      </c>
      <c r="N1648" s="405" t="s">
        <v>10377</v>
      </c>
      <c r="O1648" s="405" t="s">
        <v>16088</v>
      </c>
      <c r="P1648" s="405" t="s">
        <v>16777</v>
      </c>
      <c r="Q1648" s="411">
        <v>4</v>
      </c>
      <c r="R1648" s="405" t="s">
        <v>5655</v>
      </c>
      <c r="S1648" s="405" t="s">
        <v>27056</v>
      </c>
      <c r="T1648" s="405" t="s">
        <v>884</v>
      </c>
      <c r="U1648" s="405" t="s">
        <v>319</v>
      </c>
    </row>
    <row r="1649" spans="1:21" x14ac:dyDescent="0.25">
      <c r="A1649" s="405" t="s">
        <v>310</v>
      </c>
      <c r="B1649" s="405" t="s">
        <v>25249</v>
      </c>
      <c r="C1649" s="405" t="s">
        <v>327</v>
      </c>
      <c r="D1649" s="405"/>
      <c r="E1649" s="410">
        <v>43666</v>
      </c>
      <c r="F1649" s="410">
        <v>43678</v>
      </c>
      <c r="G1649" s="405" t="s">
        <v>25250</v>
      </c>
      <c r="H1649" s="405">
        <v>782457966</v>
      </c>
      <c r="I1649" s="405"/>
      <c r="J1649" s="405">
        <v>-0.25425700000000001</v>
      </c>
      <c r="K1649" s="405">
        <v>30.696494999999999</v>
      </c>
      <c r="L1649" s="405" t="s">
        <v>590</v>
      </c>
      <c r="M1649" s="405" t="s">
        <v>19705</v>
      </c>
      <c r="N1649" s="405" t="s">
        <v>21675</v>
      </c>
      <c r="O1649" s="405" t="s">
        <v>21675</v>
      </c>
      <c r="P1649" s="405" t="s">
        <v>25251</v>
      </c>
      <c r="Q1649" s="411">
        <v>9</v>
      </c>
      <c r="R1649" s="405" t="s">
        <v>32166</v>
      </c>
      <c r="S1649" s="405" t="s">
        <v>27172</v>
      </c>
      <c r="T1649" s="405" t="s">
        <v>884</v>
      </c>
      <c r="U1649" s="405" t="s">
        <v>319</v>
      </c>
    </row>
    <row r="1650" spans="1:21" x14ac:dyDescent="0.25">
      <c r="A1650" s="405" t="s">
        <v>310</v>
      </c>
      <c r="B1650" s="405" t="s">
        <v>17142</v>
      </c>
      <c r="C1650" s="405" t="s">
        <v>327</v>
      </c>
      <c r="D1650" s="405"/>
      <c r="E1650" s="410">
        <v>43666</v>
      </c>
      <c r="F1650" s="410">
        <v>43810</v>
      </c>
      <c r="G1650" s="405" t="s">
        <v>17143</v>
      </c>
      <c r="H1650" s="405">
        <v>777768798</v>
      </c>
      <c r="I1650" s="405"/>
      <c r="J1650" s="405">
        <v>1.9537119999999999</v>
      </c>
      <c r="K1650" s="405">
        <v>33.360557999999997</v>
      </c>
      <c r="L1650" s="405" t="s">
        <v>6866</v>
      </c>
      <c r="M1650" s="405" t="s">
        <v>12153</v>
      </c>
      <c r="N1650" s="405" t="s">
        <v>10377</v>
      </c>
      <c r="O1650" s="405" t="s">
        <v>12728</v>
      </c>
      <c r="P1650" s="405" t="s">
        <v>17144</v>
      </c>
      <c r="Q1650" s="411">
        <v>6</v>
      </c>
      <c r="R1650" s="405" t="s">
        <v>5655</v>
      </c>
      <c r="S1650" s="405" t="s">
        <v>27072</v>
      </c>
      <c r="T1650" s="405" t="s">
        <v>884</v>
      </c>
      <c r="U1650" s="405" t="s">
        <v>319</v>
      </c>
    </row>
    <row r="1651" spans="1:21" x14ac:dyDescent="0.25">
      <c r="A1651" s="405" t="s">
        <v>310</v>
      </c>
      <c r="B1651" s="405" t="s">
        <v>7526</v>
      </c>
      <c r="C1651" s="405" t="s">
        <v>327</v>
      </c>
      <c r="D1651" s="405"/>
      <c r="E1651" s="410">
        <v>43666</v>
      </c>
      <c r="F1651" s="410">
        <v>43679</v>
      </c>
      <c r="G1651" s="405" t="s">
        <v>7527</v>
      </c>
      <c r="H1651" s="405">
        <v>701580196</v>
      </c>
      <c r="I1651" s="405"/>
      <c r="J1651" s="405">
        <v>-0.32489000000000001</v>
      </c>
      <c r="K1651" s="405">
        <v>32.291072</v>
      </c>
      <c r="L1651" s="405" t="s">
        <v>314</v>
      </c>
      <c r="M1651" s="405" t="s">
        <v>694</v>
      </c>
      <c r="N1651" s="405" t="s">
        <v>7528</v>
      </c>
      <c r="O1651" s="405" t="s">
        <v>7265</v>
      </c>
      <c r="P1651" s="405" t="s">
        <v>7528</v>
      </c>
      <c r="Q1651" s="411">
        <v>6</v>
      </c>
      <c r="R1651" s="405" t="s">
        <v>6795</v>
      </c>
      <c r="S1651" s="405" t="s">
        <v>27267</v>
      </c>
      <c r="T1651" s="405" t="s">
        <v>884</v>
      </c>
      <c r="U1651" s="405" t="s">
        <v>319</v>
      </c>
    </row>
    <row r="1652" spans="1:21" x14ac:dyDescent="0.25">
      <c r="A1652" s="405" t="s">
        <v>310</v>
      </c>
      <c r="B1652" s="405" t="s">
        <v>25185</v>
      </c>
      <c r="C1652" s="405" t="s">
        <v>327</v>
      </c>
      <c r="D1652" s="405"/>
      <c r="E1652" s="410">
        <v>43666</v>
      </c>
      <c r="F1652" s="410">
        <v>43677</v>
      </c>
      <c r="G1652" s="405" t="s">
        <v>25186</v>
      </c>
      <c r="H1652" s="405">
        <v>788127019</v>
      </c>
      <c r="I1652" s="405"/>
      <c r="J1652" s="405">
        <v>-0.869722</v>
      </c>
      <c r="K1652" s="405">
        <v>29.822649999999999</v>
      </c>
      <c r="L1652" s="405" t="s">
        <v>590</v>
      </c>
      <c r="M1652" s="405" t="s">
        <v>20808</v>
      </c>
      <c r="N1652" s="405" t="s">
        <v>25172</v>
      </c>
      <c r="O1652" s="405" t="s">
        <v>23326</v>
      </c>
      <c r="P1652" s="405" t="s">
        <v>8281</v>
      </c>
      <c r="Q1652" s="411">
        <v>6</v>
      </c>
      <c r="R1652" s="405" t="s">
        <v>6572</v>
      </c>
      <c r="S1652" s="405" t="s">
        <v>27161</v>
      </c>
      <c r="T1652" s="405" t="s">
        <v>884</v>
      </c>
      <c r="U1652" s="405" t="s">
        <v>319</v>
      </c>
    </row>
    <row r="1653" spans="1:21" x14ac:dyDescent="0.25">
      <c r="A1653" s="405" t="s">
        <v>310</v>
      </c>
      <c r="B1653" s="405" t="s">
        <v>7454</v>
      </c>
      <c r="C1653" s="405" t="s">
        <v>327</v>
      </c>
      <c r="D1653" s="405"/>
      <c r="E1653" s="410">
        <v>43666</v>
      </c>
      <c r="F1653" s="410">
        <v>43673</v>
      </c>
      <c r="G1653" s="405" t="s">
        <v>7455</v>
      </c>
      <c r="H1653" s="405">
        <v>755000445</v>
      </c>
      <c r="I1653" s="405"/>
      <c r="J1653" s="405">
        <v>0.42932199999999998</v>
      </c>
      <c r="K1653" s="405">
        <v>32.641435000000001</v>
      </c>
      <c r="L1653" s="405" t="s">
        <v>314</v>
      </c>
      <c r="M1653" s="405" t="s">
        <v>361</v>
      </c>
      <c r="N1653" s="405" t="s">
        <v>7134</v>
      </c>
      <c r="O1653" s="405" t="s">
        <v>6588</v>
      </c>
      <c r="P1653" s="405" t="s">
        <v>4885</v>
      </c>
      <c r="Q1653" s="411">
        <v>6</v>
      </c>
      <c r="R1653" s="405" t="s">
        <v>32157</v>
      </c>
      <c r="S1653" s="405" t="s">
        <v>5986</v>
      </c>
      <c r="T1653" s="405" t="s">
        <v>884</v>
      </c>
      <c r="U1653" s="405" t="s">
        <v>319</v>
      </c>
    </row>
    <row r="1654" spans="1:21" x14ac:dyDescent="0.25">
      <c r="A1654" s="405" t="s">
        <v>310</v>
      </c>
      <c r="B1654" s="405" t="s">
        <v>7462</v>
      </c>
      <c r="C1654" s="405" t="s">
        <v>327</v>
      </c>
      <c r="D1654" s="405"/>
      <c r="E1654" s="410">
        <v>43665</v>
      </c>
      <c r="F1654" s="410">
        <v>43676</v>
      </c>
      <c r="G1654" s="405" t="s">
        <v>7463</v>
      </c>
      <c r="H1654" s="405">
        <v>701020131</v>
      </c>
      <c r="I1654" s="405"/>
      <c r="J1654" s="405">
        <v>0.262793</v>
      </c>
      <c r="K1654" s="405">
        <v>31.336072000000001</v>
      </c>
      <c r="L1654" s="405" t="s">
        <v>314</v>
      </c>
      <c r="M1654" s="405" t="s">
        <v>339</v>
      </c>
      <c r="N1654" s="405" t="s">
        <v>1662</v>
      </c>
      <c r="O1654" s="405" t="s">
        <v>1662</v>
      </c>
      <c r="P1654" s="405" t="s">
        <v>2528</v>
      </c>
      <c r="Q1654" s="411">
        <v>13</v>
      </c>
      <c r="R1654" s="405" t="s">
        <v>32164</v>
      </c>
      <c r="S1654" s="405" t="s">
        <v>27054</v>
      </c>
      <c r="T1654" s="405" t="s">
        <v>7342</v>
      </c>
      <c r="U1654" s="405" t="s">
        <v>7343</v>
      </c>
    </row>
    <row r="1655" spans="1:21" x14ac:dyDescent="0.25">
      <c r="A1655" s="405" t="s">
        <v>310</v>
      </c>
      <c r="B1655" s="405" t="s">
        <v>7578</v>
      </c>
      <c r="C1655" s="405" t="s">
        <v>327</v>
      </c>
      <c r="D1655" s="405"/>
      <c r="E1655" s="410">
        <v>43665</v>
      </c>
      <c r="F1655" s="410">
        <v>43682</v>
      </c>
      <c r="G1655" s="405" t="s">
        <v>7579</v>
      </c>
      <c r="H1655" s="405">
        <v>774157070</v>
      </c>
      <c r="I1655" s="405"/>
      <c r="J1655" s="405">
        <v>-6.2802999999999998E-2</v>
      </c>
      <c r="K1655" s="405">
        <v>29.834150000000001</v>
      </c>
      <c r="L1655" s="405" t="s">
        <v>314</v>
      </c>
      <c r="M1655" s="405" t="s">
        <v>900</v>
      </c>
      <c r="N1655" s="405" t="s">
        <v>900</v>
      </c>
      <c r="O1655" s="405" t="s">
        <v>5422</v>
      </c>
      <c r="P1655" s="405" t="s">
        <v>4391</v>
      </c>
      <c r="Q1655" s="411">
        <v>9</v>
      </c>
      <c r="R1655" s="405" t="s">
        <v>32101</v>
      </c>
      <c r="S1655" s="405" t="s">
        <v>27041</v>
      </c>
      <c r="T1655" s="405" t="s">
        <v>884</v>
      </c>
      <c r="U1655" s="405" t="s">
        <v>319</v>
      </c>
    </row>
    <row r="1656" spans="1:21" x14ac:dyDescent="0.25">
      <c r="A1656" s="405" t="s">
        <v>310</v>
      </c>
      <c r="B1656" s="405" t="s">
        <v>16770</v>
      </c>
      <c r="C1656" s="405" t="s">
        <v>327</v>
      </c>
      <c r="D1656" s="405"/>
      <c r="E1656" s="410">
        <v>43665</v>
      </c>
      <c r="F1656" s="410">
        <v>43676</v>
      </c>
      <c r="G1656" s="405" t="s">
        <v>16771</v>
      </c>
      <c r="H1656" s="405">
        <v>702223813</v>
      </c>
      <c r="I1656" s="405"/>
      <c r="J1656" s="405">
        <v>1.375947</v>
      </c>
      <c r="K1656" s="405">
        <v>34.398338000000003</v>
      </c>
      <c r="L1656" s="405" t="s">
        <v>6866</v>
      </c>
      <c r="M1656" s="405" t="s">
        <v>9685</v>
      </c>
      <c r="N1656" s="405" t="s">
        <v>9686</v>
      </c>
      <c r="O1656" s="405" t="s">
        <v>9709</v>
      </c>
      <c r="P1656" s="405" t="s">
        <v>16772</v>
      </c>
      <c r="Q1656" s="411">
        <v>6</v>
      </c>
      <c r="R1656" s="405" t="s">
        <v>9506</v>
      </c>
      <c r="S1656" s="405" t="s">
        <v>27365</v>
      </c>
      <c r="T1656" s="405" t="s">
        <v>884</v>
      </c>
      <c r="U1656" s="405" t="s">
        <v>319</v>
      </c>
    </row>
    <row r="1657" spans="1:21" x14ac:dyDescent="0.25">
      <c r="A1657" s="405" t="s">
        <v>310</v>
      </c>
      <c r="B1657" s="405" t="s">
        <v>25124</v>
      </c>
      <c r="C1657" s="405" t="s">
        <v>327</v>
      </c>
      <c r="D1657" s="405"/>
      <c r="E1657" s="410">
        <v>43664</v>
      </c>
      <c r="F1657" s="410">
        <v>43676</v>
      </c>
      <c r="G1657" s="405" t="s">
        <v>25125</v>
      </c>
      <c r="H1657" s="405">
        <v>787526372</v>
      </c>
      <c r="I1657" s="405">
        <v>704167583</v>
      </c>
      <c r="J1657" s="405">
        <v>-6.2802999999999998E-2</v>
      </c>
      <c r="K1657" s="405">
        <v>29.834150000000001</v>
      </c>
      <c r="L1657" s="405" t="s">
        <v>590</v>
      </c>
      <c r="M1657" s="405" t="s">
        <v>19614</v>
      </c>
      <c r="N1657" s="405" t="s">
        <v>19654</v>
      </c>
      <c r="O1657" s="405" t="s">
        <v>19995</v>
      </c>
      <c r="P1657" s="405" t="s">
        <v>25126</v>
      </c>
      <c r="Q1657" s="411">
        <v>9</v>
      </c>
      <c r="R1657" s="405" t="s">
        <v>883</v>
      </c>
      <c r="S1657" s="405" t="s">
        <v>27065</v>
      </c>
      <c r="T1657" s="405" t="s">
        <v>884</v>
      </c>
      <c r="U1657" s="405" t="s">
        <v>319</v>
      </c>
    </row>
    <row r="1658" spans="1:21" x14ac:dyDescent="0.25">
      <c r="A1658" s="405" t="s">
        <v>310</v>
      </c>
      <c r="B1658" s="405" t="s">
        <v>16835</v>
      </c>
      <c r="C1658" s="405" t="s">
        <v>327</v>
      </c>
      <c r="D1658" s="405"/>
      <c r="E1658" s="410">
        <v>43664</v>
      </c>
      <c r="F1658" s="410">
        <v>43703</v>
      </c>
      <c r="G1658" s="405" t="s">
        <v>16836</v>
      </c>
      <c r="H1658" s="405">
        <v>704928213</v>
      </c>
      <c r="I1658" s="405"/>
      <c r="J1658" s="405">
        <v>1.266805</v>
      </c>
      <c r="K1658" s="405">
        <v>34.335433000000002</v>
      </c>
      <c r="L1658" s="405" t="s">
        <v>6866</v>
      </c>
      <c r="M1658" s="405" t="s">
        <v>9550</v>
      </c>
      <c r="N1658" s="405" t="s">
        <v>9550</v>
      </c>
      <c r="O1658" s="405" t="s">
        <v>14815</v>
      </c>
      <c r="P1658" s="405" t="s">
        <v>16837</v>
      </c>
      <c r="Q1658" s="411">
        <v>6</v>
      </c>
      <c r="R1658" s="405" t="s">
        <v>9506</v>
      </c>
      <c r="S1658" s="405" t="s">
        <v>27259</v>
      </c>
      <c r="T1658" s="405" t="s">
        <v>7342</v>
      </c>
      <c r="U1658" s="405" t="s">
        <v>7343</v>
      </c>
    </row>
    <row r="1659" spans="1:21" x14ac:dyDescent="0.25">
      <c r="A1659" s="405" t="s">
        <v>310</v>
      </c>
      <c r="B1659" s="405" t="s">
        <v>25279</v>
      </c>
      <c r="C1659" s="405" t="s">
        <v>327</v>
      </c>
      <c r="D1659" s="405"/>
      <c r="E1659" s="410">
        <v>43664</v>
      </c>
      <c r="F1659" s="410">
        <v>43686</v>
      </c>
      <c r="G1659" s="405" t="s">
        <v>25280</v>
      </c>
      <c r="H1659" s="405">
        <v>772318167</v>
      </c>
      <c r="I1659" s="405">
        <v>704158107</v>
      </c>
      <c r="J1659" s="405">
        <v>-0.88344800000000001</v>
      </c>
      <c r="K1659" s="405">
        <v>29.763887</v>
      </c>
      <c r="L1659" s="405" t="s">
        <v>590</v>
      </c>
      <c r="M1659" s="405" t="s">
        <v>20808</v>
      </c>
      <c r="N1659" s="405" t="s">
        <v>23390</v>
      </c>
      <c r="O1659" s="405" t="s">
        <v>24811</v>
      </c>
      <c r="P1659" s="405" t="s">
        <v>25278</v>
      </c>
      <c r="Q1659" s="411">
        <v>6</v>
      </c>
      <c r="R1659" s="405" t="s">
        <v>6572</v>
      </c>
      <c r="S1659" s="405" t="s">
        <v>27166</v>
      </c>
      <c r="T1659" s="405" t="s">
        <v>884</v>
      </c>
      <c r="U1659" s="405" t="s">
        <v>319</v>
      </c>
    </row>
    <row r="1660" spans="1:21" x14ac:dyDescent="0.25">
      <c r="A1660" s="405" t="s">
        <v>310</v>
      </c>
      <c r="B1660" s="405" t="s">
        <v>7589</v>
      </c>
      <c r="C1660" s="405" t="s">
        <v>327</v>
      </c>
      <c r="D1660" s="405"/>
      <c r="E1660" s="410">
        <v>43664</v>
      </c>
      <c r="F1660" s="410">
        <v>43680</v>
      </c>
      <c r="G1660" s="405" t="s">
        <v>7590</v>
      </c>
      <c r="H1660" s="405">
        <v>782936304</v>
      </c>
      <c r="I1660" s="405">
        <v>708077234</v>
      </c>
      <c r="J1660" s="405">
        <v>1.0086280000000001</v>
      </c>
      <c r="K1660" s="405">
        <v>34.145156999999998</v>
      </c>
      <c r="L1660" s="405" t="s">
        <v>314</v>
      </c>
      <c r="M1660" s="405" t="s">
        <v>1080</v>
      </c>
      <c r="N1660" s="405" t="s">
        <v>1080</v>
      </c>
      <c r="O1660" s="405" t="s">
        <v>7591</v>
      </c>
      <c r="P1660" s="405" t="s">
        <v>7592</v>
      </c>
      <c r="Q1660" s="411">
        <v>6</v>
      </c>
      <c r="R1660" s="405" t="s">
        <v>32101</v>
      </c>
      <c r="S1660" s="405" t="s">
        <v>27039</v>
      </c>
      <c r="T1660" s="405" t="s">
        <v>884</v>
      </c>
      <c r="U1660" s="405" t="s">
        <v>319</v>
      </c>
    </row>
    <row r="1661" spans="1:21" x14ac:dyDescent="0.25">
      <c r="A1661" s="405" t="s">
        <v>310</v>
      </c>
      <c r="B1661" s="405" t="s">
        <v>19071</v>
      </c>
      <c r="C1661" s="405" t="s">
        <v>327</v>
      </c>
      <c r="D1661" s="405"/>
      <c r="E1661" s="410">
        <v>43663</v>
      </c>
      <c r="F1661" s="410">
        <v>43707</v>
      </c>
      <c r="G1661" s="405" t="s">
        <v>19072</v>
      </c>
      <c r="H1661" s="405">
        <v>772384735</v>
      </c>
      <c r="I1661" s="405">
        <v>704368694</v>
      </c>
      <c r="J1661" s="405">
        <v>2.01702</v>
      </c>
      <c r="K1661" s="405">
        <v>32.498215000000002</v>
      </c>
      <c r="L1661" s="405" t="s">
        <v>860</v>
      </c>
      <c r="M1661" s="405" t="s">
        <v>861</v>
      </c>
      <c r="N1661" s="405" t="s">
        <v>19073</v>
      </c>
      <c r="O1661" s="405" t="s">
        <v>19073</v>
      </c>
      <c r="P1661" s="405" t="s">
        <v>19074</v>
      </c>
      <c r="Q1661" s="411">
        <v>9</v>
      </c>
      <c r="R1661" s="405" t="s">
        <v>7208</v>
      </c>
      <c r="S1661" s="405" t="s">
        <v>27264</v>
      </c>
      <c r="T1661" s="405" t="s">
        <v>884</v>
      </c>
      <c r="U1661" s="405" t="s">
        <v>319</v>
      </c>
    </row>
    <row r="1662" spans="1:21" x14ac:dyDescent="0.25">
      <c r="A1662" s="405" t="s">
        <v>310</v>
      </c>
      <c r="B1662" s="405" t="s">
        <v>7586</v>
      </c>
      <c r="C1662" s="405" t="s">
        <v>327</v>
      </c>
      <c r="D1662" s="405"/>
      <c r="E1662" s="410">
        <v>43663</v>
      </c>
      <c r="F1662" s="410">
        <v>43680</v>
      </c>
      <c r="G1662" s="405" t="s">
        <v>7587</v>
      </c>
      <c r="H1662" s="405">
        <v>751095615</v>
      </c>
      <c r="I1662" s="405"/>
      <c r="J1662" s="405" t="s">
        <v>7420</v>
      </c>
      <c r="K1662" s="405">
        <v>31.835087999999999</v>
      </c>
      <c r="L1662" s="405" t="s">
        <v>314</v>
      </c>
      <c r="M1662" s="405" t="s">
        <v>1189</v>
      </c>
      <c r="N1662" s="405" t="s">
        <v>1189</v>
      </c>
      <c r="O1662" s="405" t="s">
        <v>1190</v>
      </c>
      <c r="P1662" s="405" t="s">
        <v>7588</v>
      </c>
      <c r="Q1662" s="411">
        <v>9</v>
      </c>
      <c r="R1662" s="405" t="s">
        <v>32101</v>
      </c>
      <c r="S1662" s="405" t="s">
        <v>27275</v>
      </c>
      <c r="T1662" s="405" t="s">
        <v>884</v>
      </c>
      <c r="U1662" s="405" t="s">
        <v>319</v>
      </c>
    </row>
    <row r="1663" spans="1:21" x14ac:dyDescent="0.25">
      <c r="A1663" s="405" t="s">
        <v>310</v>
      </c>
      <c r="B1663" s="405" t="s">
        <v>25140</v>
      </c>
      <c r="C1663" s="405" t="s">
        <v>327</v>
      </c>
      <c r="D1663" s="405"/>
      <c r="E1663" s="410">
        <v>43663</v>
      </c>
      <c r="F1663" s="410">
        <v>43676</v>
      </c>
      <c r="G1663" s="405" t="s">
        <v>25141</v>
      </c>
      <c r="H1663" s="405">
        <v>789686671</v>
      </c>
      <c r="I1663" s="405"/>
      <c r="J1663" s="405">
        <v>0.58336699999999997</v>
      </c>
      <c r="K1663" s="405">
        <v>30.327926999999999</v>
      </c>
      <c r="L1663" s="405" t="s">
        <v>590</v>
      </c>
      <c r="M1663" s="405" t="s">
        <v>20125</v>
      </c>
      <c r="N1663" s="405" t="s">
        <v>24863</v>
      </c>
      <c r="O1663" s="405" t="s">
        <v>20841</v>
      </c>
      <c r="P1663" s="405" t="s">
        <v>25142</v>
      </c>
      <c r="Q1663" s="411">
        <v>9</v>
      </c>
      <c r="R1663" s="405" t="s">
        <v>32166</v>
      </c>
      <c r="S1663" s="405" t="s">
        <v>27243</v>
      </c>
      <c r="T1663" s="405" t="s">
        <v>7342</v>
      </c>
      <c r="U1663" s="405" t="s">
        <v>7343</v>
      </c>
    </row>
    <row r="1664" spans="1:21" x14ac:dyDescent="0.25">
      <c r="A1664" s="405" t="s">
        <v>310</v>
      </c>
      <c r="B1664" s="405" t="s">
        <v>25191</v>
      </c>
      <c r="C1664" s="405" t="s">
        <v>327</v>
      </c>
      <c r="D1664" s="405"/>
      <c r="E1664" s="410">
        <v>43663</v>
      </c>
      <c r="F1664" s="410">
        <v>43676</v>
      </c>
      <c r="G1664" s="405" t="s">
        <v>25192</v>
      </c>
      <c r="H1664" s="405">
        <v>774718298</v>
      </c>
      <c r="I1664" s="405"/>
      <c r="J1664" s="405">
        <v>-0.84399000000000002</v>
      </c>
      <c r="K1664" s="405">
        <v>29.741665000000001</v>
      </c>
      <c r="L1664" s="405" t="s">
        <v>590</v>
      </c>
      <c r="M1664" s="405" t="s">
        <v>20808</v>
      </c>
      <c r="N1664" s="405" t="s">
        <v>23390</v>
      </c>
      <c r="O1664" s="405" t="s">
        <v>20810</v>
      </c>
      <c r="P1664" s="405" t="s">
        <v>25193</v>
      </c>
      <c r="Q1664" s="411">
        <v>9</v>
      </c>
      <c r="R1664" s="405" t="s">
        <v>6572</v>
      </c>
      <c r="S1664" s="405" t="s">
        <v>27137</v>
      </c>
      <c r="T1664" s="405" t="s">
        <v>7342</v>
      </c>
      <c r="U1664" s="405" t="s">
        <v>7343</v>
      </c>
    </row>
    <row r="1665" spans="1:21" x14ac:dyDescent="0.25">
      <c r="A1665" s="405" t="s">
        <v>310</v>
      </c>
      <c r="B1665" s="405" t="s">
        <v>25136</v>
      </c>
      <c r="C1665" s="405" t="s">
        <v>327</v>
      </c>
      <c r="D1665" s="405"/>
      <c r="E1665" s="410">
        <v>43663</v>
      </c>
      <c r="F1665" s="410">
        <v>43676</v>
      </c>
      <c r="G1665" s="405" t="s">
        <v>25137</v>
      </c>
      <c r="H1665" s="405">
        <v>782074344</v>
      </c>
      <c r="I1665" s="405"/>
      <c r="J1665" s="405">
        <v>0.63503500000000002</v>
      </c>
      <c r="K1665" s="405">
        <v>30.268560000000001</v>
      </c>
      <c r="L1665" s="405" t="s">
        <v>590</v>
      </c>
      <c r="M1665" s="405" t="s">
        <v>20125</v>
      </c>
      <c r="N1665" s="405" t="s">
        <v>25138</v>
      </c>
      <c r="O1665" s="405" t="s">
        <v>4793</v>
      </c>
      <c r="P1665" s="405" t="s">
        <v>25139</v>
      </c>
      <c r="Q1665" s="411">
        <v>9</v>
      </c>
      <c r="R1665" s="405" t="s">
        <v>32166</v>
      </c>
      <c r="S1665" s="405" t="s">
        <v>27163</v>
      </c>
      <c r="T1665" s="405" t="s">
        <v>884</v>
      </c>
      <c r="U1665" s="405" t="s">
        <v>319</v>
      </c>
    </row>
    <row r="1666" spans="1:21" x14ac:dyDescent="0.25">
      <c r="A1666" s="405" t="s">
        <v>310</v>
      </c>
      <c r="B1666" s="405" t="s">
        <v>28482</v>
      </c>
      <c r="C1666" s="405" t="s">
        <v>857</v>
      </c>
      <c r="D1666" s="405" t="s">
        <v>32754</v>
      </c>
      <c r="E1666" s="410">
        <v>43663</v>
      </c>
      <c r="F1666" s="410">
        <v>43678</v>
      </c>
      <c r="G1666" s="405" t="s">
        <v>8125</v>
      </c>
      <c r="H1666" s="405">
        <v>753630037</v>
      </c>
      <c r="I1666" s="405">
        <v>782630037</v>
      </c>
      <c r="J1666" s="405">
        <v>-5.5708000000000001E-2</v>
      </c>
      <c r="K1666" s="405" t="s">
        <v>7372</v>
      </c>
      <c r="L1666" s="405" t="s">
        <v>314</v>
      </c>
      <c r="M1666" s="405" t="s">
        <v>361</v>
      </c>
      <c r="N1666" s="405" t="s">
        <v>374</v>
      </c>
      <c r="O1666" s="405" t="s">
        <v>8126</v>
      </c>
      <c r="P1666" s="405" t="s">
        <v>8127</v>
      </c>
      <c r="Q1666" s="411">
        <v>6</v>
      </c>
      <c r="R1666" s="405" t="s">
        <v>32157</v>
      </c>
      <c r="S1666" s="405" t="s">
        <v>5986</v>
      </c>
      <c r="T1666" s="405" t="s">
        <v>7342</v>
      </c>
      <c r="U1666" s="405" t="s">
        <v>7343</v>
      </c>
    </row>
    <row r="1667" spans="1:21" x14ac:dyDescent="0.25">
      <c r="A1667" s="405" t="s">
        <v>310</v>
      </c>
      <c r="B1667" s="405" t="s">
        <v>16768</v>
      </c>
      <c r="C1667" s="405" t="s">
        <v>327</v>
      </c>
      <c r="D1667" s="405"/>
      <c r="E1667" s="410">
        <v>43663</v>
      </c>
      <c r="F1667" s="410">
        <v>43676</v>
      </c>
      <c r="G1667" s="405" t="s">
        <v>16769</v>
      </c>
      <c r="H1667" s="405">
        <v>752323009</v>
      </c>
      <c r="I1667" s="405"/>
      <c r="J1667" s="405">
        <v>1.366312</v>
      </c>
      <c r="K1667" s="405">
        <v>34.389755000000001</v>
      </c>
      <c r="L1667" s="405" t="s">
        <v>6866</v>
      </c>
      <c r="M1667" s="405" t="s">
        <v>9685</v>
      </c>
      <c r="N1667" s="405" t="s">
        <v>9686</v>
      </c>
      <c r="O1667" s="405" t="s">
        <v>9709</v>
      </c>
      <c r="P1667" s="405" t="s">
        <v>9709</v>
      </c>
      <c r="Q1667" s="411">
        <v>6</v>
      </c>
      <c r="R1667" s="405" t="s">
        <v>9506</v>
      </c>
      <c r="S1667" s="405" t="s">
        <v>27318</v>
      </c>
      <c r="T1667" s="405" t="s">
        <v>7342</v>
      </c>
      <c r="U1667" s="405" t="s">
        <v>7343</v>
      </c>
    </row>
    <row r="1668" spans="1:21" x14ac:dyDescent="0.25">
      <c r="A1668" s="405" t="s">
        <v>310</v>
      </c>
      <c r="B1668" s="405" t="s">
        <v>7481</v>
      </c>
      <c r="C1668" s="405" t="s">
        <v>327</v>
      </c>
      <c r="D1668" s="405"/>
      <c r="E1668" s="410">
        <v>43663</v>
      </c>
      <c r="F1668" s="410">
        <v>43675</v>
      </c>
      <c r="G1668" s="405" t="s">
        <v>7482</v>
      </c>
      <c r="H1668" s="405">
        <v>788660211</v>
      </c>
      <c r="I1668" s="405">
        <v>772670044</v>
      </c>
      <c r="J1668" s="405">
        <v>-0.25717699999999999</v>
      </c>
      <c r="K1668" s="405">
        <v>31.819427999999998</v>
      </c>
      <c r="L1668" s="405" t="s">
        <v>314</v>
      </c>
      <c r="M1668" s="405" t="s">
        <v>361</v>
      </c>
      <c r="N1668" s="405" t="s">
        <v>3590</v>
      </c>
      <c r="O1668" s="405" t="s">
        <v>4689</v>
      </c>
      <c r="P1668" s="405" t="s">
        <v>4356</v>
      </c>
      <c r="Q1668" s="411">
        <v>6</v>
      </c>
      <c r="R1668" s="405" t="s">
        <v>32101</v>
      </c>
      <c r="S1668" s="405" t="s">
        <v>27235</v>
      </c>
      <c r="T1668" s="405" t="s">
        <v>7342</v>
      </c>
      <c r="U1668" s="405" t="s">
        <v>7343</v>
      </c>
    </row>
    <row r="1669" spans="1:21" x14ac:dyDescent="0.25">
      <c r="A1669" s="405" t="s">
        <v>310</v>
      </c>
      <c r="B1669" s="405" t="s">
        <v>25108</v>
      </c>
      <c r="C1669" s="405" t="s">
        <v>327</v>
      </c>
      <c r="D1669" s="405"/>
      <c r="E1669" s="410">
        <v>43663</v>
      </c>
      <c r="F1669" s="410">
        <v>43674</v>
      </c>
      <c r="G1669" s="405" t="s">
        <v>25109</v>
      </c>
      <c r="H1669" s="405">
        <v>782350052</v>
      </c>
      <c r="I1669" s="405"/>
      <c r="J1669" s="405">
        <v>-0.75275300000000001</v>
      </c>
      <c r="K1669" s="405">
        <v>29.700074999999998</v>
      </c>
      <c r="L1669" s="405" t="s">
        <v>590</v>
      </c>
      <c r="M1669" s="405" t="s">
        <v>20808</v>
      </c>
      <c r="N1669" s="405" t="s">
        <v>25110</v>
      </c>
      <c r="O1669" s="405" t="s">
        <v>25111</v>
      </c>
      <c r="P1669" s="405" t="s">
        <v>25112</v>
      </c>
      <c r="Q1669" s="411">
        <v>6</v>
      </c>
      <c r="R1669" s="405" t="s">
        <v>6572</v>
      </c>
      <c r="S1669" s="405" t="s">
        <v>27137</v>
      </c>
      <c r="T1669" s="405" t="s">
        <v>7342</v>
      </c>
      <c r="U1669" s="405" t="s">
        <v>7343</v>
      </c>
    </row>
    <row r="1670" spans="1:21" x14ac:dyDescent="0.25">
      <c r="A1670" s="405" t="s">
        <v>310</v>
      </c>
      <c r="B1670" s="405" t="s">
        <v>16719</v>
      </c>
      <c r="C1670" s="405" t="s">
        <v>327</v>
      </c>
      <c r="D1670" s="405"/>
      <c r="E1670" s="410">
        <v>43662</v>
      </c>
      <c r="F1670" s="410">
        <v>43677</v>
      </c>
      <c r="G1670" s="405" t="s">
        <v>16720</v>
      </c>
      <c r="H1670" s="405">
        <v>772456807</v>
      </c>
      <c r="I1670" s="405">
        <v>702640960</v>
      </c>
      <c r="J1670" s="405">
        <v>0.4829</v>
      </c>
      <c r="K1670" s="405">
        <v>34.112099999999998</v>
      </c>
      <c r="L1670" s="405" t="s">
        <v>6866</v>
      </c>
      <c r="M1670" s="405" t="s">
        <v>9534</v>
      </c>
      <c r="N1670" s="405" t="s">
        <v>10252</v>
      </c>
      <c r="O1670" s="405" t="s">
        <v>10192</v>
      </c>
      <c r="P1670" s="405" t="s">
        <v>16721</v>
      </c>
      <c r="Q1670" s="411">
        <v>9</v>
      </c>
      <c r="R1670" s="405" t="s">
        <v>7224</v>
      </c>
      <c r="S1670" s="405" t="s">
        <v>27067</v>
      </c>
      <c r="T1670" s="405" t="s">
        <v>884</v>
      </c>
      <c r="U1670" s="405" t="s">
        <v>319</v>
      </c>
    </row>
    <row r="1671" spans="1:21" x14ac:dyDescent="0.25">
      <c r="A1671" s="405" t="s">
        <v>310</v>
      </c>
      <c r="B1671" s="405" t="s">
        <v>25164</v>
      </c>
      <c r="C1671" s="405" t="s">
        <v>327</v>
      </c>
      <c r="D1671" s="405"/>
      <c r="E1671" s="410">
        <v>43662</v>
      </c>
      <c r="F1671" s="410">
        <v>43672</v>
      </c>
      <c r="G1671" s="405" t="s">
        <v>25165</v>
      </c>
      <c r="H1671" s="405">
        <v>783346704</v>
      </c>
      <c r="I1671" s="405"/>
      <c r="J1671" s="405">
        <v>-0.86927699999999997</v>
      </c>
      <c r="K1671" s="405">
        <v>29.752375000000001</v>
      </c>
      <c r="L1671" s="405" t="s">
        <v>590</v>
      </c>
      <c r="M1671" s="405" t="s">
        <v>20808</v>
      </c>
      <c r="N1671" s="405" t="s">
        <v>23390</v>
      </c>
      <c r="O1671" s="405" t="s">
        <v>25166</v>
      </c>
      <c r="P1671" s="405" t="s">
        <v>20763</v>
      </c>
      <c r="Q1671" s="411">
        <v>6</v>
      </c>
      <c r="R1671" s="405" t="s">
        <v>6572</v>
      </c>
      <c r="S1671" s="405" t="s">
        <v>27161</v>
      </c>
      <c r="T1671" s="405" t="s">
        <v>884</v>
      </c>
      <c r="U1671" s="405" t="s">
        <v>319</v>
      </c>
    </row>
    <row r="1672" spans="1:21" x14ac:dyDescent="0.25">
      <c r="A1672" s="405" t="s">
        <v>310</v>
      </c>
      <c r="B1672" s="405" t="s">
        <v>7469</v>
      </c>
      <c r="C1672" s="405" t="s">
        <v>327</v>
      </c>
      <c r="D1672" s="405"/>
      <c r="E1672" s="410">
        <v>43659</v>
      </c>
      <c r="F1672" s="410">
        <v>43670</v>
      </c>
      <c r="G1672" s="405" t="s">
        <v>7470</v>
      </c>
      <c r="H1672" s="405">
        <v>772362862</v>
      </c>
      <c r="I1672" s="405">
        <v>702362862</v>
      </c>
      <c r="J1672" s="405" t="s">
        <v>7334</v>
      </c>
      <c r="K1672" s="405">
        <v>34.189390000000003</v>
      </c>
      <c r="L1672" s="405" t="s">
        <v>314</v>
      </c>
      <c r="M1672" s="405" t="s">
        <v>361</v>
      </c>
      <c r="N1672" s="405" t="s">
        <v>374</v>
      </c>
      <c r="O1672" s="405" t="s">
        <v>375</v>
      </c>
      <c r="P1672" s="405" t="s">
        <v>7471</v>
      </c>
      <c r="Q1672" s="411">
        <v>6</v>
      </c>
      <c r="R1672" s="405" t="s">
        <v>32101</v>
      </c>
      <c r="S1672" s="405" t="s">
        <v>27193</v>
      </c>
      <c r="T1672" s="405" t="s">
        <v>884</v>
      </c>
      <c r="U1672" s="405" t="s">
        <v>319</v>
      </c>
    </row>
    <row r="1673" spans="1:21" x14ac:dyDescent="0.25">
      <c r="A1673" s="405" t="s">
        <v>310</v>
      </c>
      <c r="B1673" s="405" t="s">
        <v>7811</v>
      </c>
      <c r="C1673" s="405" t="s">
        <v>327</v>
      </c>
      <c r="D1673" s="405"/>
      <c r="E1673" s="410">
        <v>43658</v>
      </c>
      <c r="F1673" s="410">
        <v>43763</v>
      </c>
      <c r="G1673" s="405" t="s">
        <v>7812</v>
      </c>
      <c r="H1673" s="405">
        <v>703478635</v>
      </c>
      <c r="I1673" s="405"/>
      <c r="J1673" s="405">
        <v>1.0086280000000001</v>
      </c>
      <c r="K1673" s="405">
        <v>34.145156999999998</v>
      </c>
      <c r="L1673" s="405" t="s">
        <v>314</v>
      </c>
      <c r="M1673" s="405" t="s">
        <v>321</v>
      </c>
      <c r="N1673" s="405" t="s">
        <v>7813</v>
      </c>
      <c r="O1673" s="405" t="s">
        <v>7814</v>
      </c>
      <c r="P1673" s="405" t="s">
        <v>7815</v>
      </c>
      <c r="Q1673" s="411">
        <v>13</v>
      </c>
      <c r="R1673" s="405" t="s">
        <v>32101</v>
      </c>
      <c r="S1673" s="405" t="s">
        <v>27047</v>
      </c>
      <c r="T1673" s="405" t="s">
        <v>884</v>
      </c>
      <c r="U1673" s="405" t="s">
        <v>319</v>
      </c>
    </row>
    <row r="1674" spans="1:21" x14ac:dyDescent="0.25">
      <c r="A1674" s="405" t="s">
        <v>310</v>
      </c>
      <c r="B1674" s="405" t="s">
        <v>7532</v>
      </c>
      <c r="C1674" s="405" t="s">
        <v>327</v>
      </c>
      <c r="D1674" s="405"/>
      <c r="E1674" s="410">
        <v>43658</v>
      </c>
      <c r="F1674" s="410">
        <v>43706</v>
      </c>
      <c r="G1674" s="405" t="s">
        <v>7533</v>
      </c>
      <c r="H1674" s="405">
        <v>706316037</v>
      </c>
      <c r="I1674" s="405"/>
      <c r="J1674" s="405">
        <v>1.0086280000000001</v>
      </c>
      <c r="K1674" s="405">
        <v>34.145156999999998</v>
      </c>
      <c r="L1674" s="405" t="s">
        <v>314</v>
      </c>
      <c r="M1674" s="405" t="s">
        <v>398</v>
      </c>
      <c r="N1674" s="405" t="s">
        <v>7534</v>
      </c>
      <c r="O1674" s="405" t="s">
        <v>7535</v>
      </c>
      <c r="P1674" s="405" t="s">
        <v>7536</v>
      </c>
      <c r="Q1674" s="411">
        <v>13</v>
      </c>
      <c r="R1674" s="405" t="s">
        <v>6798</v>
      </c>
      <c r="S1674" s="405" t="s">
        <v>27049</v>
      </c>
      <c r="T1674" s="405" t="s">
        <v>7342</v>
      </c>
      <c r="U1674" s="405" t="s">
        <v>7343</v>
      </c>
    </row>
    <row r="1675" spans="1:21" x14ac:dyDescent="0.25">
      <c r="A1675" s="405" t="s">
        <v>310</v>
      </c>
      <c r="B1675" s="405" t="s">
        <v>25182</v>
      </c>
      <c r="C1675" s="405" t="s">
        <v>327</v>
      </c>
      <c r="D1675" s="405"/>
      <c r="E1675" s="410">
        <v>43658</v>
      </c>
      <c r="F1675" s="410">
        <v>43676</v>
      </c>
      <c r="G1675" s="405" t="s">
        <v>25183</v>
      </c>
      <c r="H1675" s="405">
        <v>772684174</v>
      </c>
      <c r="I1675" s="405"/>
      <c r="J1675" s="405">
        <v>-0.80337999999999998</v>
      </c>
      <c r="K1675" s="405">
        <v>29.765515000000001</v>
      </c>
      <c r="L1675" s="405" t="s">
        <v>590</v>
      </c>
      <c r="M1675" s="405" t="s">
        <v>20808</v>
      </c>
      <c r="N1675" s="405" t="s">
        <v>25172</v>
      </c>
      <c r="O1675" s="405" t="s">
        <v>20169</v>
      </c>
      <c r="P1675" s="405" t="s">
        <v>25184</v>
      </c>
      <c r="Q1675" s="411">
        <v>9</v>
      </c>
      <c r="R1675" s="405" t="s">
        <v>6572</v>
      </c>
      <c r="S1675" s="405" t="s">
        <v>27399</v>
      </c>
      <c r="T1675" s="405" t="s">
        <v>7342</v>
      </c>
      <c r="U1675" s="405" t="s">
        <v>7343</v>
      </c>
    </row>
    <row r="1676" spans="1:21" x14ac:dyDescent="0.25">
      <c r="A1676" s="405" t="s">
        <v>310</v>
      </c>
      <c r="B1676" s="405" t="s">
        <v>7479</v>
      </c>
      <c r="C1676" s="405" t="s">
        <v>327</v>
      </c>
      <c r="D1676" s="405"/>
      <c r="E1676" s="410">
        <v>43658</v>
      </c>
      <c r="F1676" s="410">
        <v>43676</v>
      </c>
      <c r="G1676" s="405" t="s">
        <v>7480</v>
      </c>
      <c r="H1676" s="405">
        <v>778526046</v>
      </c>
      <c r="I1676" s="405"/>
      <c r="J1676" s="405" t="s">
        <v>7406</v>
      </c>
      <c r="K1676" s="405">
        <v>32.623615000000001</v>
      </c>
      <c r="L1676" s="405" t="s">
        <v>314</v>
      </c>
      <c r="M1676" s="405" t="s">
        <v>675</v>
      </c>
      <c r="N1676" s="405" t="s">
        <v>1065</v>
      </c>
      <c r="O1676" s="405" t="s">
        <v>5668</v>
      </c>
      <c r="P1676" s="405" t="s">
        <v>2016</v>
      </c>
      <c r="Q1676" s="411">
        <v>6</v>
      </c>
      <c r="R1676" s="405" t="s">
        <v>32101</v>
      </c>
      <c r="S1676" s="405" t="s">
        <v>27273</v>
      </c>
      <c r="T1676" s="405" t="s">
        <v>884</v>
      </c>
      <c r="U1676" s="405" t="s">
        <v>319</v>
      </c>
    </row>
    <row r="1677" spans="1:21" x14ac:dyDescent="0.25">
      <c r="A1677" s="405" t="s">
        <v>310</v>
      </c>
      <c r="B1677" s="405" t="s">
        <v>7574</v>
      </c>
      <c r="C1677" s="405" t="s">
        <v>327</v>
      </c>
      <c r="D1677" s="405"/>
      <c r="E1677" s="410">
        <v>43657</v>
      </c>
      <c r="F1677" s="410">
        <v>43682</v>
      </c>
      <c r="G1677" s="405" t="s">
        <v>7575</v>
      </c>
      <c r="H1677" s="405">
        <v>788587952</v>
      </c>
      <c r="I1677" s="405"/>
      <c r="J1677" s="405">
        <v>1.0086280000000001</v>
      </c>
      <c r="K1677" s="405">
        <v>34.145156999999998</v>
      </c>
      <c r="L1677" s="405" t="s">
        <v>314</v>
      </c>
      <c r="M1677" s="405" t="s">
        <v>900</v>
      </c>
      <c r="N1677" s="405" t="s">
        <v>900</v>
      </c>
      <c r="O1677" s="405" t="s">
        <v>900</v>
      </c>
      <c r="P1677" s="405" t="s">
        <v>5422</v>
      </c>
      <c r="Q1677" s="411">
        <v>6</v>
      </c>
      <c r="R1677" s="405" t="s">
        <v>32101</v>
      </c>
      <c r="S1677" s="405" t="s">
        <v>27186</v>
      </c>
      <c r="T1677" s="405" t="s">
        <v>25219</v>
      </c>
      <c r="U1677" s="405" t="s">
        <v>7343</v>
      </c>
    </row>
    <row r="1678" spans="1:21" x14ac:dyDescent="0.25">
      <c r="A1678" s="405" t="s">
        <v>310</v>
      </c>
      <c r="B1678" s="405" t="s">
        <v>25341</v>
      </c>
      <c r="C1678" s="405" t="s">
        <v>327</v>
      </c>
      <c r="D1678" s="405"/>
      <c r="E1678" s="410">
        <v>43656</v>
      </c>
      <c r="F1678" s="410">
        <v>43738</v>
      </c>
      <c r="G1678" s="405" t="s">
        <v>25342</v>
      </c>
      <c r="H1678" s="405">
        <v>776594400</v>
      </c>
      <c r="I1678" s="405"/>
      <c r="J1678" s="405">
        <v>-0.42088799999999998</v>
      </c>
      <c r="K1678" s="405">
        <v>30.504708000000001</v>
      </c>
      <c r="L1678" s="405" t="s">
        <v>590</v>
      </c>
      <c r="M1678" s="405" t="s">
        <v>19614</v>
      </c>
      <c r="N1678" s="405" t="s">
        <v>19615</v>
      </c>
      <c r="O1678" s="405" t="s">
        <v>19650</v>
      </c>
      <c r="P1678" s="405" t="s">
        <v>19914</v>
      </c>
      <c r="Q1678" s="411">
        <v>13</v>
      </c>
      <c r="R1678" s="405" t="s">
        <v>883</v>
      </c>
      <c r="S1678" s="405" t="s">
        <v>27104</v>
      </c>
      <c r="T1678" s="405" t="s">
        <v>884</v>
      </c>
      <c r="U1678" s="405" t="s">
        <v>319</v>
      </c>
    </row>
    <row r="1679" spans="1:21" x14ac:dyDescent="0.25">
      <c r="A1679" s="405" t="s">
        <v>310</v>
      </c>
      <c r="B1679" s="405" t="s">
        <v>25343</v>
      </c>
      <c r="C1679" s="405" t="s">
        <v>327</v>
      </c>
      <c r="D1679" s="405"/>
      <c r="E1679" s="410">
        <v>43656</v>
      </c>
      <c r="F1679" s="410">
        <v>43726</v>
      </c>
      <c r="G1679" s="405" t="s">
        <v>25344</v>
      </c>
      <c r="H1679" s="405">
        <v>772435421</v>
      </c>
      <c r="I1679" s="405"/>
      <c r="J1679" s="405">
        <v>-0.25717699999999999</v>
      </c>
      <c r="K1679" s="405">
        <v>31.819427999999998</v>
      </c>
      <c r="L1679" s="405" t="s">
        <v>590</v>
      </c>
      <c r="M1679" s="405" t="s">
        <v>19614</v>
      </c>
      <c r="N1679" s="405" t="s">
        <v>19654</v>
      </c>
      <c r="O1679" s="405" t="s">
        <v>20015</v>
      </c>
      <c r="P1679" s="405" t="s">
        <v>25345</v>
      </c>
      <c r="Q1679" s="411">
        <v>13</v>
      </c>
      <c r="R1679" s="405" t="s">
        <v>883</v>
      </c>
      <c r="S1679" s="405" t="s">
        <v>27065</v>
      </c>
      <c r="T1679" s="405" t="s">
        <v>884</v>
      </c>
      <c r="U1679" s="405" t="s">
        <v>319</v>
      </c>
    </row>
    <row r="1680" spans="1:21" x14ac:dyDescent="0.25">
      <c r="A1680" s="405" t="s">
        <v>310</v>
      </c>
      <c r="B1680" s="405" t="s">
        <v>7472</v>
      </c>
      <c r="C1680" s="405" t="s">
        <v>327</v>
      </c>
      <c r="D1680" s="405"/>
      <c r="E1680" s="410">
        <v>43656</v>
      </c>
      <c r="F1680" s="410">
        <v>43674</v>
      </c>
      <c r="G1680" s="405" t="s">
        <v>7473</v>
      </c>
      <c r="H1680" s="405">
        <v>789060614</v>
      </c>
      <c r="I1680" s="405"/>
      <c r="J1680" s="405">
        <v>-5.5708000000000001E-2</v>
      </c>
      <c r="K1680" s="405" t="s">
        <v>7372</v>
      </c>
      <c r="L1680" s="405" t="s">
        <v>314</v>
      </c>
      <c r="M1680" s="405" t="s">
        <v>361</v>
      </c>
      <c r="N1680" s="405" t="s">
        <v>374</v>
      </c>
      <c r="O1680" s="405" t="s">
        <v>662</v>
      </c>
      <c r="P1680" s="405" t="s">
        <v>5368</v>
      </c>
      <c r="Q1680" s="411">
        <v>9</v>
      </c>
      <c r="R1680" s="405" t="s">
        <v>32101</v>
      </c>
      <c r="S1680" s="405" t="s">
        <v>27041</v>
      </c>
      <c r="T1680" s="405" t="s">
        <v>7342</v>
      </c>
      <c r="U1680" s="405" t="s">
        <v>7343</v>
      </c>
    </row>
    <row r="1681" spans="1:21" x14ac:dyDescent="0.25">
      <c r="A1681" s="405" t="s">
        <v>310</v>
      </c>
      <c r="B1681" s="405" t="s">
        <v>25116</v>
      </c>
      <c r="C1681" s="405" t="s">
        <v>327</v>
      </c>
      <c r="D1681" s="405"/>
      <c r="E1681" s="410">
        <v>43656</v>
      </c>
      <c r="F1681" s="410">
        <v>43671</v>
      </c>
      <c r="G1681" s="405" t="s">
        <v>25117</v>
      </c>
      <c r="H1681" s="405">
        <v>776666534</v>
      </c>
      <c r="I1681" s="405">
        <v>756848332</v>
      </c>
      <c r="J1681" s="405">
        <v>1.3524529999999999</v>
      </c>
      <c r="K1681" s="405">
        <v>34.467911999999998</v>
      </c>
      <c r="L1681" s="405" t="s">
        <v>590</v>
      </c>
      <c r="M1681" s="405" t="s">
        <v>19705</v>
      </c>
      <c r="N1681" s="405" t="s">
        <v>19706</v>
      </c>
      <c r="O1681" s="405" t="s">
        <v>25118</v>
      </c>
      <c r="P1681" s="405" t="s">
        <v>25119</v>
      </c>
      <c r="Q1681" s="411">
        <v>9</v>
      </c>
      <c r="R1681" s="405" t="s">
        <v>883</v>
      </c>
      <c r="S1681" s="405" t="s">
        <v>27161</v>
      </c>
      <c r="T1681" s="405" t="s">
        <v>884</v>
      </c>
      <c r="U1681" s="405" t="s">
        <v>319</v>
      </c>
    </row>
    <row r="1682" spans="1:21" x14ac:dyDescent="0.25">
      <c r="A1682" s="405" t="s">
        <v>310</v>
      </c>
      <c r="B1682" s="405" t="s">
        <v>7569</v>
      </c>
      <c r="C1682" s="405" t="s">
        <v>327</v>
      </c>
      <c r="D1682" s="405"/>
      <c r="E1682" s="410">
        <v>43655</v>
      </c>
      <c r="F1682" s="410">
        <v>43678</v>
      </c>
      <c r="G1682" s="405" t="s">
        <v>7570</v>
      </c>
      <c r="H1682" s="405">
        <v>785871473</v>
      </c>
      <c r="I1682" s="405"/>
      <c r="J1682" s="405">
        <v>0.29330000000000001</v>
      </c>
      <c r="K1682" s="405">
        <v>31.292300000000001</v>
      </c>
      <c r="L1682" s="405" t="s">
        <v>314</v>
      </c>
      <c r="M1682" s="405" t="s">
        <v>361</v>
      </c>
      <c r="N1682" s="405" t="s">
        <v>1290</v>
      </c>
      <c r="O1682" s="405" t="s">
        <v>433</v>
      </c>
      <c r="P1682" s="405" t="s">
        <v>7571</v>
      </c>
      <c r="Q1682" s="411">
        <v>9</v>
      </c>
      <c r="R1682" s="405" t="s">
        <v>5903</v>
      </c>
      <c r="S1682" s="405" t="s">
        <v>27274</v>
      </c>
      <c r="T1682" s="405" t="s">
        <v>884</v>
      </c>
      <c r="U1682" s="405" t="s">
        <v>319</v>
      </c>
    </row>
    <row r="1683" spans="1:21" x14ac:dyDescent="0.25">
      <c r="A1683" s="405" t="s">
        <v>310</v>
      </c>
      <c r="B1683" s="405" t="s">
        <v>25167</v>
      </c>
      <c r="C1683" s="405" t="s">
        <v>327</v>
      </c>
      <c r="D1683" s="405"/>
      <c r="E1683" s="410">
        <v>43655</v>
      </c>
      <c r="F1683" s="410">
        <v>43676</v>
      </c>
      <c r="G1683" s="405" t="s">
        <v>25168</v>
      </c>
      <c r="H1683" s="405">
        <v>779002341</v>
      </c>
      <c r="I1683" s="405"/>
      <c r="J1683" s="405">
        <v>-0.77244999999999997</v>
      </c>
      <c r="K1683" s="405">
        <v>29.941009999999999</v>
      </c>
      <c r="L1683" s="405" t="s">
        <v>590</v>
      </c>
      <c r="M1683" s="405" t="s">
        <v>19619</v>
      </c>
      <c r="N1683" s="405" t="s">
        <v>19765</v>
      </c>
      <c r="O1683" s="405" t="s">
        <v>6748</v>
      </c>
      <c r="P1683" s="405" t="s">
        <v>25169</v>
      </c>
      <c r="Q1683" s="411">
        <v>9</v>
      </c>
      <c r="R1683" s="405" t="s">
        <v>6572</v>
      </c>
      <c r="S1683" s="405" t="s">
        <v>27154</v>
      </c>
      <c r="T1683" s="405" t="s">
        <v>7342</v>
      </c>
      <c r="U1683" s="405" t="s">
        <v>7343</v>
      </c>
    </row>
    <row r="1684" spans="1:21" x14ac:dyDescent="0.25">
      <c r="A1684" s="405" t="s">
        <v>310</v>
      </c>
      <c r="B1684" s="405" t="s">
        <v>25274</v>
      </c>
      <c r="C1684" s="405" t="s">
        <v>327</v>
      </c>
      <c r="D1684" s="405"/>
      <c r="E1684" s="410">
        <v>43654</v>
      </c>
      <c r="F1684" s="410">
        <v>43696</v>
      </c>
      <c r="G1684" s="405" t="s">
        <v>25275</v>
      </c>
      <c r="H1684" s="405">
        <v>772937609</v>
      </c>
      <c r="I1684" s="405"/>
      <c r="J1684" s="405">
        <v>-0.869807</v>
      </c>
      <c r="K1684" s="405">
        <v>29.759715</v>
      </c>
      <c r="L1684" s="405" t="s">
        <v>590</v>
      </c>
      <c r="M1684" s="405" t="s">
        <v>20808</v>
      </c>
      <c r="N1684" s="405" t="s">
        <v>23390</v>
      </c>
      <c r="O1684" s="405" t="s">
        <v>20810</v>
      </c>
      <c r="P1684" s="405" t="s">
        <v>20763</v>
      </c>
      <c r="Q1684" s="411">
        <v>9</v>
      </c>
      <c r="R1684" s="405" t="s">
        <v>6572</v>
      </c>
      <c r="S1684" s="405" t="s">
        <v>27301</v>
      </c>
      <c r="T1684" s="405" t="s">
        <v>884</v>
      </c>
      <c r="U1684" s="405" t="s">
        <v>319</v>
      </c>
    </row>
    <row r="1685" spans="1:21" x14ac:dyDescent="0.25">
      <c r="A1685" s="405" t="s">
        <v>310</v>
      </c>
      <c r="B1685" s="405" t="s">
        <v>25309</v>
      </c>
      <c r="C1685" s="405" t="s">
        <v>327</v>
      </c>
      <c r="D1685" s="405"/>
      <c r="E1685" s="410">
        <v>43654</v>
      </c>
      <c r="F1685" s="410">
        <v>43715</v>
      </c>
      <c r="G1685" s="405" t="s">
        <v>25310</v>
      </c>
      <c r="H1685" s="405">
        <v>782431042</v>
      </c>
      <c r="I1685" s="405"/>
      <c r="J1685" s="405">
        <v>-0.50931300000000002</v>
      </c>
      <c r="K1685" s="405">
        <v>30.018058</v>
      </c>
      <c r="L1685" s="405" t="s">
        <v>590</v>
      </c>
      <c r="M1685" s="405" t="s">
        <v>20032</v>
      </c>
      <c r="N1685" s="405" t="s">
        <v>24029</v>
      </c>
      <c r="O1685" s="405" t="s">
        <v>25311</v>
      </c>
      <c r="P1685" s="405" t="s">
        <v>25312</v>
      </c>
      <c r="Q1685" s="411">
        <v>6</v>
      </c>
      <c r="R1685" s="405" t="s">
        <v>6572</v>
      </c>
      <c r="S1685" s="405" t="s">
        <v>27161</v>
      </c>
      <c r="T1685" s="405" t="s">
        <v>884</v>
      </c>
      <c r="U1685" s="405" t="s">
        <v>319</v>
      </c>
    </row>
    <row r="1686" spans="1:21" x14ac:dyDescent="0.25">
      <c r="A1686" s="405" t="s">
        <v>310</v>
      </c>
      <c r="B1686" s="405" t="s">
        <v>16764</v>
      </c>
      <c r="C1686" s="405" t="s">
        <v>327</v>
      </c>
      <c r="D1686" s="405"/>
      <c r="E1686" s="410">
        <v>43654</v>
      </c>
      <c r="F1686" s="410">
        <v>43676</v>
      </c>
      <c r="G1686" s="405" t="s">
        <v>16765</v>
      </c>
      <c r="H1686" s="405">
        <v>758604079</v>
      </c>
      <c r="I1686" s="405"/>
      <c r="J1686" s="405">
        <v>1.39984</v>
      </c>
      <c r="K1686" s="405">
        <v>34.501083000000001</v>
      </c>
      <c r="L1686" s="405" t="s">
        <v>6866</v>
      </c>
      <c r="M1686" s="405" t="s">
        <v>9705</v>
      </c>
      <c r="N1686" s="405" t="s">
        <v>9705</v>
      </c>
      <c r="O1686" s="405" t="s">
        <v>9706</v>
      </c>
      <c r="P1686" s="405" t="s">
        <v>10058</v>
      </c>
      <c r="Q1686" s="411">
        <v>6</v>
      </c>
      <c r="R1686" s="405" t="s">
        <v>9506</v>
      </c>
      <c r="S1686" s="405" t="s">
        <v>27365</v>
      </c>
      <c r="T1686" s="405" t="s">
        <v>884</v>
      </c>
      <c r="U1686" s="405" t="s">
        <v>319</v>
      </c>
    </row>
    <row r="1687" spans="1:21" x14ac:dyDescent="0.25">
      <c r="A1687" s="405" t="s">
        <v>310</v>
      </c>
      <c r="B1687" s="405" t="s">
        <v>25179</v>
      </c>
      <c r="C1687" s="405" t="s">
        <v>327</v>
      </c>
      <c r="D1687" s="405"/>
      <c r="E1687" s="410">
        <v>43654</v>
      </c>
      <c r="F1687" s="410">
        <v>43669</v>
      </c>
      <c r="G1687" s="405" t="s">
        <v>25180</v>
      </c>
      <c r="H1687" s="405">
        <v>784419141</v>
      </c>
      <c r="I1687" s="405"/>
      <c r="J1687" s="405">
        <v>1.3524529999999999</v>
      </c>
      <c r="K1687" s="405">
        <v>34.467911999999998</v>
      </c>
      <c r="L1687" s="405" t="s">
        <v>590</v>
      </c>
      <c r="M1687" s="405" t="s">
        <v>20808</v>
      </c>
      <c r="N1687" s="405" t="s">
        <v>20810</v>
      </c>
      <c r="O1687" s="405" t="s">
        <v>25181</v>
      </c>
      <c r="P1687" s="405" t="s">
        <v>25181</v>
      </c>
      <c r="Q1687" s="411">
        <v>6</v>
      </c>
      <c r="R1687" s="405" t="s">
        <v>6572</v>
      </c>
      <c r="S1687" s="405" t="s">
        <v>27166</v>
      </c>
      <c r="T1687" s="405" t="s">
        <v>884</v>
      </c>
      <c r="U1687" s="405" t="s">
        <v>319</v>
      </c>
    </row>
    <row r="1688" spans="1:21" x14ac:dyDescent="0.25">
      <c r="A1688" s="405" t="s">
        <v>310</v>
      </c>
      <c r="B1688" s="405" t="s">
        <v>8188</v>
      </c>
      <c r="C1688" s="405" t="s">
        <v>311</v>
      </c>
      <c r="D1688" s="405" t="s">
        <v>8189</v>
      </c>
      <c r="E1688" s="410">
        <v>43653</v>
      </c>
      <c r="F1688" s="410">
        <v>43680</v>
      </c>
      <c r="G1688" s="405" t="s">
        <v>8190</v>
      </c>
      <c r="H1688" s="405">
        <v>701910208</v>
      </c>
      <c r="I1688" s="405"/>
      <c r="J1688" s="405">
        <v>1.9376899999999999</v>
      </c>
      <c r="K1688" s="405">
        <v>33.330257000000003</v>
      </c>
      <c r="L1688" s="405" t="s">
        <v>314</v>
      </c>
      <c r="M1688" s="405" t="s">
        <v>361</v>
      </c>
      <c r="N1688" s="405" t="s">
        <v>7018</v>
      </c>
      <c r="O1688" s="405" t="s">
        <v>6417</v>
      </c>
      <c r="P1688" s="405" t="s">
        <v>8191</v>
      </c>
      <c r="Q1688" s="411">
        <v>6</v>
      </c>
      <c r="R1688" s="405" t="s">
        <v>4176</v>
      </c>
      <c r="S1688" s="405" t="s">
        <v>27153</v>
      </c>
      <c r="T1688" s="405" t="s">
        <v>884</v>
      </c>
      <c r="U1688" s="405" t="s">
        <v>319</v>
      </c>
    </row>
    <row r="1689" spans="1:21" x14ac:dyDescent="0.25">
      <c r="A1689" s="405" t="s">
        <v>310</v>
      </c>
      <c r="B1689" s="405" t="s">
        <v>25470</v>
      </c>
      <c r="C1689" s="405" t="s">
        <v>327</v>
      </c>
      <c r="D1689" s="405"/>
      <c r="E1689" s="410">
        <v>43652</v>
      </c>
      <c r="F1689" s="410">
        <v>43742</v>
      </c>
      <c r="G1689" s="405" t="s">
        <v>25471</v>
      </c>
      <c r="H1689" s="405">
        <v>772961175</v>
      </c>
      <c r="I1689" s="405"/>
      <c r="J1689" s="405">
        <v>-0.88366800000000001</v>
      </c>
      <c r="K1689" s="405">
        <v>29.780218000000001</v>
      </c>
      <c r="L1689" s="405" t="s">
        <v>590</v>
      </c>
      <c r="M1689" s="405" t="s">
        <v>20808</v>
      </c>
      <c r="N1689" s="405" t="s">
        <v>25472</v>
      </c>
      <c r="O1689" s="405" t="s">
        <v>24811</v>
      </c>
      <c r="P1689" s="405" t="s">
        <v>24812</v>
      </c>
      <c r="Q1689" s="411">
        <v>6</v>
      </c>
      <c r="R1689" s="405" t="s">
        <v>6572</v>
      </c>
      <c r="S1689" s="405" t="s">
        <v>27166</v>
      </c>
      <c r="T1689" s="405" t="s">
        <v>884</v>
      </c>
      <c r="U1689" s="405" t="s">
        <v>319</v>
      </c>
    </row>
    <row r="1690" spans="1:21" x14ac:dyDescent="0.25">
      <c r="A1690" s="405" t="s">
        <v>310</v>
      </c>
      <c r="B1690" s="405" t="s">
        <v>16766</v>
      </c>
      <c r="C1690" s="405" t="s">
        <v>327</v>
      </c>
      <c r="D1690" s="405"/>
      <c r="E1690" s="410">
        <v>43652</v>
      </c>
      <c r="F1690" s="410">
        <v>43666</v>
      </c>
      <c r="G1690" s="405" t="s">
        <v>16767</v>
      </c>
      <c r="H1690" s="405">
        <v>774773948</v>
      </c>
      <c r="I1690" s="405"/>
      <c r="J1690" s="405">
        <v>1.388455</v>
      </c>
      <c r="K1690" s="405">
        <v>34.497947000000003</v>
      </c>
      <c r="L1690" s="405" t="s">
        <v>6866</v>
      </c>
      <c r="M1690" s="405" t="s">
        <v>9705</v>
      </c>
      <c r="N1690" s="405" t="s">
        <v>9705</v>
      </c>
      <c r="O1690" s="405" t="s">
        <v>9706</v>
      </c>
      <c r="P1690" s="405" t="s">
        <v>11944</v>
      </c>
      <c r="Q1690" s="411">
        <v>6</v>
      </c>
      <c r="R1690" s="405" t="s">
        <v>9506</v>
      </c>
      <c r="S1690" s="405" t="s">
        <v>27357</v>
      </c>
      <c r="T1690" s="405" t="s">
        <v>32746</v>
      </c>
      <c r="U1690" s="405" t="s">
        <v>2267</v>
      </c>
    </row>
    <row r="1691" spans="1:21" x14ac:dyDescent="0.25">
      <c r="A1691" s="405" t="s">
        <v>310</v>
      </c>
      <c r="B1691" s="405" t="s">
        <v>25120</v>
      </c>
      <c r="C1691" s="405" t="s">
        <v>327</v>
      </c>
      <c r="D1691" s="405"/>
      <c r="E1691" s="410">
        <v>43651</v>
      </c>
      <c r="F1691" s="410">
        <v>43666</v>
      </c>
      <c r="G1691" s="405" t="s">
        <v>25121</v>
      </c>
      <c r="H1691" s="405">
        <v>757040232</v>
      </c>
      <c r="I1691" s="405">
        <v>756505794</v>
      </c>
      <c r="J1691" s="405">
        <v>0.29330000000000001</v>
      </c>
      <c r="K1691" s="405">
        <v>31.292300000000001</v>
      </c>
      <c r="L1691" s="405" t="s">
        <v>590</v>
      </c>
      <c r="M1691" s="405" t="s">
        <v>19614</v>
      </c>
      <c r="N1691" s="405" t="s">
        <v>25122</v>
      </c>
      <c r="O1691" s="405" t="s">
        <v>25123</v>
      </c>
      <c r="P1691" s="405" t="s">
        <v>19911</v>
      </c>
      <c r="Q1691" s="411">
        <v>13</v>
      </c>
      <c r="R1691" s="405" t="s">
        <v>883</v>
      </c>
      <c r="S1691" s="405" t="s">
        <v>27104</v>
      </c>
      <c r="T1691" s="405" t="s">
        <v>884</v>
      </c>
      <c r="U1691" s="405" t="s">
        <v>319</v>
      </c>
    </row>
    <row r="1692" spans="1:21" x14ac:dyDescent="0.25">
      <c r="A1692" s="405" t="s">
        <v>310</v>
      </c>
      <c r="B1692" s="405" t="s">
        <v>25161</v>
      </c>
      <c r="C1692" s="405" t="s">
        <v>327</v>
      </c>
      <c r="D1692" s="405"/>
      <c r="E1692" s="410">
        <v>43651</v>
      </c>
      <c r="F1692" s="410">
        <v>43668</v>
      </c>
      <c r="G1692" s="405" t="s">
        <v>25162</v>
      </c>
      <c r="H1692" s="405">
        <v>772574042</v>
      </c>
      <c r="I1692" s="405"/>
      <c r="J1692" s="405">
        <v>0.5333</v>
      </c>
      <c r="K1692" s="405">
        <v>29.4559</v>
      </c>
      <c r="L1692" s="405" t="s">
        <v>590</v>
      </c>
      <c r="M1692" s="405" t="s">
        <v>20808</v>
      </c>
      <c r="N1692" s="405" t="s">
        <v>23962</v>
      </c>
      <c r="O1692" s="405" t="s">
        <v>25163</v>
      </c>
      <c r="P1692" s="405" t="s">
        <v>25163</v>
      </c>
      <c r="Q1692" s="411">
        <v>6</v>
      </c>
      <c r="R1692" s="405" t="s">
        <v>6572</v>
      </c>
      <c r="S1692" s="405" t="s">
        <v>27137</v>
      </c>
      <c r="T1692" s="405" t="s">
        <v>884</v>
      </c>
      <c r="U1692" s="405" t="s">
        <v>319</v>
      </c>
    </row>
    <row r="1693" spans="1:21" x14ac:dyDescent="0.25">
      <c r="A1693" s="405" t="s">
        <v>310</v>
      </c>
      <c r="B1693" s="405" t="s">
        <v>7432</v>
      </c>
      <c r="C1693" s="405" t="s">
        <v>327</v>
      </c>
      <c r="D1693" s="405"/>
      <c r="E1693" s="410">
        <v>43651</v>
      </c>
      <c r="F1693" s="410">
        <v>43666</v>
      </c>
      <c r="G1693" s="405" t="s">
        <v>7433</v>
      </c>
      <c r="H1693" s="405">
        <v>753511105</v>
      </c>
      <c r="I1693" s="405"/>
      <c r="J1693" s="405">
        <v>-0.23760999999999999</v>
      </c>
      <c r="K1693" s="405">
        <v>31.763534</v>
      </c>
      <c r="L1693" s="405" t="s">
        <v>314</v>
      </c>
      <c r="M1693" s="405" t="s">
        <v>398</v>
      </c>
      <c r="N1693" s="405" t="s">
        <v>7434</v>
      </c>
      <c r="O1693" s="405" t="s">
        <v>7435</v>
      </c>
      <c r="P1693" s="405" t="s">
        <v>6285</v>
      </c>
      <c r="Q1693" s="411">
        <v>6</v>
      </c>
      <c r="R1693" s="405" t="s">
        <v>402</v>
      </c>
      <c r="S1693" s="405" t="s">
        <v>27052</v>
      </c>
      <c r="T1693" s="405" t="s">
        <v>884</v>
      </c>
      <c r="U1693" s="405" t="s">
        <v>319</v>
      </c>
    </row>
    <row r="1694" spans="1:21" x14ac:dyDescent="0.25">
      <c r="A1694" s="405" t="s">
        <v>310</v>
      </c>
      <c r="B1694" s="405" t="s">
        <v>25170</v>
      </c>
      <c r="C1694" s="405" t="s">
        <v>327</v>
      </c>
      <c r="D1694" s="405"/>
      <c r="E1694" s="410">
        <v>43650</v>
      </c>
      <c r="F1694" s="410">
        <v>43670</v>
      </c>
      <c r="G1694" s="405" t="s">
        <v>25171</v>
      </c>
      <c r="H1694" s="405">
        <v>772950155</v>
      </c>
      <c r="I1694" s="405">
        <v>783606135</v>
      </c>
      <c r="J1694" s="405">
        <v>-0.89825200000000005</v>
      </c>
      <c r="K1694" s="405">
        <v>29.831033000000001</v>
      </c>
      <c r="L1694" s="405" t="s">
        <v>590</v>
      </c>
      <c r="M1694" s="405" t="s">
        <v>20808</v>
      </c>
      <c r="N1694" s="405" t="s">
        <v>25172</v>
      </c>
      <c r="O1694" s="405" t="s">
        <v>23326</v>
      </c>
      <c r="P1694" s="405" t="s">
        <v>21464</v>
      </c>
      <c r="Q1694" s="411">
        <v>9</v>
      </c>
      <c r="R1694" s="405" t="s">
        <v>6572</v>
      </c>
      <c r="S1694" s="405" t="s">
        <v>27137</v>
      </c>
      <c r="T1694" s="405" t="s">
        <v>32102</v>
      </c>
      <c r="U1694" s="405" t="s">
        <v>319</v>
      </c>
    </row>
    <row r="1695" spans="1:21" x14ac:dyDescent="0.25">
      <c r="A1695" s="405" t="s">
        <v>310</v>
      </c>
      <c r="B1695" s="405" t="s">
        <v>17213</v>
      </c>
      <c r="C1695" s="405" t="s">
        <v>311</v>
      </c>
      <c r="D1695" s="405" t="s">
        <v>1789</v>
      </c>
      <c r="E1695" s="410">
        <v>43650</v>
      </c>
      <c r="F1695" s="410">
        <v>43670</v>
      </c>
      <c r="G1695" s="405" t="s">
        <v>17214</v>
      </c>
      <c r="H1695" s="405">
        <v>783368768</v>
      </c>
      <c r="I1695" s="405"/>
      <c r="J1695" s="405">
        <v>1.3147530000000001</v>
      </c>
      <c r="K1695" s="405">
        <v>34.390287999999998</v>
      </c>
      <c r="L1695" s="405" t="s">
        <v>6866</v>
      </c>
      <c r="M1695" s="405" t="s">
        <v>9685</v>
      </c>
      <c r="N1695" s="405" t="s">
        <v>9686</v>
      </c>
      <c r="O1695" s="405" t="s">
        <v>17215</v>
      </c>
      <c r="P1695" s="405" t="s">
        <v>17216</v>
      </c>
      <c r="Q1695" s="411">
        <v>6</v>
      </c>
      <c r="R1695" s="405" t="s">
        <v>9506</v>
      </c>
      <c r="S1695" s="405" t="s">
        <v>27357</v>
      </c>
      <c r="T1695" s="405" t="s">
        <v>884</v>
      </c>
      <c r="U1695" s="405" t="s">
        <v>319</v>
      </c>
    </row>
    <row r="1696" spans="1:21" x14ac:dyDescent="0.25">
      <c r="A1696" s="405" t="s">
        <v>310</v>
      </c>
      <c r="B1696" s="405" t="s">
        <v>25173</v>
      </c>
      <c r="C1696" s="405" t="s">
        <v>327</v>
      </c>
      <c r="D1696" s="405"/>
      <c r="E1696" s="410">
        <v>43650</v>
      </c>
      <c r="F1696" s="410">
        <v>43670</v>
      </c>
      <c r="G1696" s="405" t="s">
        <v>25174</v>
      </c>
      <c r="H1696" s="405">
        <v>782934134</v>
      </c>
      <c r="I1696" s="405">
        <v>772853267</v>
      </c>
      <c r="J1696" s="405">
        <v>-0.75376200000000004</v>
      </c>
      <c r="K1696" s="405">
        <v>29.695577</v>
      </c>
      <c r="L1696" s="405" t="s">
        <v>590</v>
      </c>
      <c r="M1696" s="405" t="s">
        <v>20808</v>
      </c>
      <c r="N1696" s="405" t="s">
        <v>25110</v>
      </c>
      <c r="O1696" s="405" t="s">
        <v>25175</v>
      </c>
      <c r="P1696" s="405" t="s">
        <v>24893</v>
      </c>
      <c r="Q1696" s="411">
        <v>6</v>
      </c>
      <c r="R1696" s="405" t="s">
        <v>6572</v>
      </c>
      <c r="S1696" s="405" t="s">
        <v>27301</v>
      </c>
      <c r="T1696" s="405" t="s">
        <v>884</v>
      </c>
      <c r="U1696" s="405" t="s">
        <v>319</v>
      </c>
    </row>
    <row r="1697" spans="1:21" x14ac:dyDescent="0.25">
      <c r="A1697" s="405" t="s">
        <v>310</v>
      </c>
      <c r="B1697" s="405" t="s">
        <v>16761</v>
      </c>
      <c r="C1697" s="405" t="s">
        <v>327</v>
      </c>
      <c r="D1697" s="405"/>
      <c r="E1697" s="410">
        <v>43650</v>
      </c>
      <c r="F1697" s="410">
        <v>43669</v>
      </c>
      <c r="G1697" s="405" t="s">
        <v>16762</v>
      </c>
      <c r="H1697" s="405">
        <v>777253984</v>
      </c>
      <c r="I1697" s="405"/>
      <c r="J1697" s="405">
        <v>1.3365830000000001</v>
      </c>
      <c r="K1697" s="405">
        <v>34.668377999999997</v>
      </c>
      <c r="L1697" s="405" t="s">
        <v>6866</v>
      </c>
      <c r="M1697" s="405" t="s">
        <v>10163</v>
      </c>
      <c r="N1697" s="405" t="s">
        <v>10164</v>
      </c>
      <c r="O1697" s="405" t="s">
        <v>12081</v>
      </c>
      <c r="P1697" s="405" t="s">
        <v>16763</v>
      </c>
      <c r="Q1697" s="411">
        <v>6</v>
      </c>
      <c r="R1697" s="405" t="s">
        <v>9506</v>
      </c>
      <c r="S1697" s="405" t="s">
        <v>27353</v>
      </c>
      <c r="T1697" s="405" t="s">
        <v>884</v>
      </c>
      <c r="U1697" s="405" t="s">
        <v>319</v>
      </c>
    </row>
    <row r="1698" spans="1:21" x14ac:dyDescent="0.25">
      <c r="A1698" s="405" t="s">
        <v>310</v>
      </c>
      <c r="B1698" s="405" t="s">
        <v>25196</v>
      </c>
      <c r="C1698" s="405" t="s">
        <v>327</v>
      </c>
      <c r="D1698" s="405"/>
      <c r="E1698" s="410">
        <v>43649</v>
      </c>
      <c r="F1698" s="410">
        <v>43654</v>
      </c>
      <c r="G1698" s="405" t="s">
        <v>25197</v>
      </c>
      <c r="H1698" s="405">
        <v>772306239</v>
      </c>
      <c r="I1698" s="405">
        <v>784530662</v>
      </c>
      <c r="J1698" s="405">
        <v>0.64242699999999997</v>
      </c>
      <c r="K1698" s="405">
        <v>30.268671999999999</v>
      </c>
      <c r="L1698" s="405" t="s">
        <v>24158</v>
      </c>
      <c r="M1698" s="405" t="s">
        <v>20125</v>
      </c>
      <c r="N1698" s="405" t="s">
        <v>18043</v>
      </c>
      <c r="O1698" s="405" t="s">
        <v>16533</v>
      </c>
      <c r="P1698" s="405" t="s">
        <v>25198</v>
      </c>
      <c r="Q1698" s="411">
        <v>13</v>
      </c>
      <c r="R1698" s="405" t="s">
        <v>5665</v>
      </c>
      <c r="S1698" s="405" t="s">
        <v>27051</v>
      </c>
      <c r="T1698" s="405" t="s">
        <v>884</v>
      </c>
      <c r="U1698" s="405" t="s">
        <v>319</v>
      </c>
    </row>
    <row r="1699" spans="1:21" x14ac:dyDescent="0.25">
      <c r="A1699" s="405" t="s">
        <v>310</v>
      </c>
      <c r="B1699" s="405" t="s">
        <v>7474</v>
      </c>
      <c r="C1699" s="405" t="s">
        <v>327</v>
      </c>
      <c r="D1699" s="405"/>
      <c r="E1699" s="410">
        <v>43649</v>
      </c>
      <c r="F1699" s="410">
        <v>43674</v>
      </c>
      <c r="G1699" s="405" t="s">
        <v>7475</v>
      </c>
      <c r="H1699" s="405">
        <v>772512525</v>
      </c>
      <c r="I1699" s="405">
        <v>771901662</v>
      </c>
      <c r="J1699" s="405">
        <v>1.3524529999999999</v>
      </c>
      <c r="K1699" s="405">
        <v>34.467911999999998</v>
      </c>
      <c r="L1699" s="405" t="s">
        <v>314</v>
      </c>
      <c r="M1699" s="405" t="s">
        <v>361</v>
      </c>
      <c r="N1699" s="405" t="s">
        <v>374</v>
      </c>
      <c r="O1699" s="405" t="s">
        <v>535</v>
      </c>
      <c r="P1699" s="405" t="s">
        <v>611</v>
      </c>
      <c r="Q1699" s="411">
        <v>9</v>
      </c>
      <c r="R1699" s="405" t="s">
        <v>32101</v>
      </c>
      <c r="S1699" s="405" t="s">
        <v>27041</v>
      </c>
      <c r="T1699" s="405" t="s">
        <v>884</v>
      </c>
      <c r="U1699" s="405" t="s">
        <v>319</v>
      </c>
    </row>
    <row r="1700" spans="1:21" x14ac:dyDescent="0.25">
      <c r="A1700" s="405" t="s">
        <v>310</v>
      </c>
      <c r="B1700" s="405" t="s">
        <v>7476</v>
      </c>
      <c r="C1700" s="405" t="s">
        <v>327</v>
      </c>
      <c r="D1700" s="405"/>
      <c r="E1700" s="410">
        <v>43648</v>
      </c>
      <c r="F1700" s="410">
        <v>43660</v>
      </c>
      <c r="G1700" s="405" t="s">
        <v>7477</v>
      </c>
      <c r="H1700" s="405">
        <v>771687345</v>
      </c>
      <c r="I1700" s="405"/>
      <c r="J1700" s="405">
        <v>0.99083600000000005</v>
      </c>
      <c r="K1700" s="405">
        <v>34.173879999999997</v>
      </c>
      <c r="L1700" s="405" t="s">
        <v>314</v>
      </c>
      <c r="M1700" s="405" t="s">
        <v>361</v>
      </c>
      <c r="N1700" s="405" t="s">
        <v>4961</v>
      </c>
      <c r="O1700" s="405" t="s">
        <v>410</v>
      </c>
      <c r="P1700" s="405" t="s">
        <v>7478</v>
      </c>
      <c r="Q1700" s="411">
        <v>13</v>
      </c>
      <c r="R1700" s="405" t="s">
        <v>32101</v>
      </c>
      <c r="S1700" s="405" t="s">
        <v>27167</v>
      </c>
      <c r="T1700" s="405" t="s">
        <v>884</v>
      </c>
      <c r="U1700" s="405" t="s">
        <v>319</v>
      </c>
    </row>
    <row r="1701" spans="1:21" x14ac:dyDescent="0.25">
      <c r="A1701" s="405" t="s">
        <v>310</v>
      </c>
      <c r="B1701" s="405" t="s">
        <v>25389</v>
      </c>
      <c r="C1701" s="405" t="s">
        <v>857</v>
      </c>
      <c r="D1701" s="405" t="s">
        <v>32465</v>
      </c>
      <c r="E1701" s="410">
        <v>43648</v>
      </c>
      <c r="F1701" s="410">
        <v>43658</v>
      </c>
      <c r="G1701" s="405" t="s">
        <v>25390</v>
      </c>
      <c r="H1701" s="405">
        <v>773254078</v>
      </c>
      <c r="I1701" s="405">
        <v>772851943</v>
      </c>
      <c r="J1701" s="405">
        <v>7.208E-3</v>
      </c>
      <c r="K1701" s="405">
        <v>29.911138000000001</v>
      </c>
      <c r="L1701" s="405" t="s">
        <v>590</v>
      </c>
      <c r="M1701" s="405" t="s">
        <v>21087</v>
      </c>
      <c r="N1701" s="405" t="s">
        <v>25048</v>
      </c>
      <c r="O1701" s="405" t="s">
        <v>25391</v>
      </c>
      <c r="P1701" s="405" t="s">
        <v>21870</v>
      </c>
      <c r="Q1701" s="411">
        <v>13</v>
      </c>
      <c r="R1701" s="405" t="s">
        <v>6572</v>
      </c>
      <c r="S1701" s="405" t="s">
        <v>27301</v>
      </c>
      <c r="T1701" s="405" t="s">
        <v>884</v>
      </c>
      <c r="U1701" s="405" t="s">
        <v>319</v>
      </c>
    </row>
    <row r="1702" spans="1:21" x14ac:dyDescent="0.25">
      <c r="A1702" s="405" t="s">
        <v>310</v>
      </c>
      <c r="B1702" s="405" t="s">
        <v>16884</v>
      </c>
      <c r="C1702" s="405" t="s">
        <v>327</v>
      </c>
      <c r="D1702" s="405"/>
      <c r="E1702" s="410">
        <v>43648</v>
      </c>
      <c r="F1702" s="410">
        <v>43701</v>
      </c>
      <c r="G1702" s="405" t="s">
        <v>16885</v>
      </c>
      <c r="H1702" s="405">
        <v>779604453</v>
      </c>
      <c r="I1702" s="405"/>
      <c r="J1702" s="405">
        <v>0.63405100000000003</v>
      </c>
      <c r="K1702" s="405">
        <v>33.490720000000003</v>
      </c>
      <c r="L1702" s="405" t="s">
        <v>6866</v>
      </c>
      <c r="M1702" s="405" t="s">
        <v>10853</v>
      </c>
      <c r="N1702" s="405" t="s">
        <v>16886</v>
      </c>
      <c r="O1702" s="405" t="s">
        <v>13757</v>
      </c>
      <c r="P1702" s="405" t="s">
        <v>16887</v>
      </c>
      <c r="Q1702" s="411">
        <v>9</v>
      </c>
      <c r="R1702" s="405" t="s">
        <v>32164</v>
      </c>
      <c r="S1702" s="405" t="s">
        <v>27188</v>
      </c>
      <c r="T1702" s="405" t="s">
        <v>884</v>
      </c>
      <c r="U1702" s="405" t="s">
        <v>319</v>
      </c>
    </row>
    <row r="1703" spans="1:21" x14ac:dyDescent="0.25">
      <c r="A1703" s="405" t="s">
        <v>310</v>
      </c>
      <c r="B1703" s="405" t="s">
        <v>16758</v>
      </c>
      <c r="C1703" s="405" t="s">
        <v>327</v>
      </c>
      <c r="D1703" s="405"/>
      <c r="E1703" s="410">
        <v>43648</v>
      </c>
      <c r="F1703" s="410">
        <v>43668</v>
      </c>
      <c r="G1703" s="405" t="s">
        <v>16759</v>
      </c>
      <c r="H1703" s="405">
        <v>777774543</v>
      </c>
      <c r="I1703" s="405"/>
      <c r="J1703" s="405">
        <v>1.409543</v>
      </c>
      <c r="K1703" s="405">
        <v>34.486603000000002</v>
      </c>
      <c r="L1703" s="405" t="s">
        <v>6866</v>
      </c>
      <c r="M1703" s="405" t="s">
        <v>9705</v>
      </c>
      <c r="N1703" s="405" t="s">
        <v>9705</v>
      </c>
      <c r="O1703" s="405" t="s">
        <v>9706</v>
      </c>
      <c r="P1703" s="405" t="s">
        <v>16760</v>
      </c>
      <c r="Q1703" s="411">
        <v>6</v>
      </c>
      <c r="R1703" s="405" t="s">
        <v>9506</v>
      </c>
      <c r="S1703" s="405" t="s">
        <v>27067</v>
      </c>
      <c r="T1703" s="405" t="s">
        <v>32102</v>
      </c>
      <c r="U1703" s="405" t="s">
        <v>319</v>
      </c>
    </row>
    <row r="1704" spans="1:21" x14ac:dyDescent="0.25">
      <c r="A1704" s="405" t="s">
        <v>310</v>
      </c>
      <c r="B1704" s="405" t="s">
        <v>7444</v>
      </c>
      <c r="C1704" s="405" t="s">
        <v>327</v>
      </c>
      <c r="D1704" s="405"/>
      <c r="E1704" s="410">
        <v>43647</v>
      </c>
      <c r="F1704" s="410">
        <v>43659</v>
      </c>
      <c r="G1704" s="405" t="s">
        <v>7445</v>
      </c>
      <c r="H1704" s="405">
        <v>752460660</v>
      </c>
      <c r="I1704" s="405">
        <v>785077360</v>
      </c>
      <c r="J1704" s="405">
        <v>-0.25717699999999999</v>
      </c>
      <c r="K1704" s="405">
        <v>31.819427999999998</v>
      </c>
      <c r="L1704" s="405" t="s">
        <v>314</v>
      </c>
      <c r="M1704" s="405" t="s">
        <v>349</v>
      </c>
      <c r="N1704" s="405" t="s">
        <v>349</v>
      </c>
      <c r="O1704" s="405" t="s">
        <v>686</v>
      </c>
      <c r="P1704" s="405" t="s">
        <v>7446</v>
      </c>
      <c r="Q1704" s="411">
        <v>13</v>
      </c>
      <c r="R1704" s="405" t="s">
        <v>32157</v>
      </c>
      <c r="S1704" s="405" t="s">
        <v>5986</v>
      </c>
      <c r="T1704" s="405" t="s">
        <v>884</v>
      </c>
      <c r="U1704" s="405" t="s">
        <v>319</v>
      </c>
    </row>
    <row r="1705" spans="1:21" x14ac:dyDescent="0.25">
      <c r="A1705" s="405" t="s">
        <v>310</v>
      </c>
      <c r="B1705" s="405" t="s">
        <v>25154</v>
      </c>
      <c r="C1705" s="405" t="s">
        <v>327</v>
      </c>
      <c r="D1705" s="405"/>
      <c r="E1705" s="410">
        <v>43647</v>
      </c>
      <c r="F1705" s="410">
        <v>43658</v>
      </c>
      <c r="G1705" s="405" t="s">
        <v>25155</v>
      </c>
      <c r="H1705" s="405">
        <v>772367066</v>
      </c>
      <c r="I1705" s="405">
        <v>702367066</v>
      </c>
      <c r="J1705" s="405">
        <v>-5.4422999999999999E-2</v>
      </c>
      <c r="K1705" s="405">
        <v>29.824304999999999</v>
      </c>
      <c r="L1705" s="405" t="s">
        <v>590</v>
      </c>
      <c r="M1705" s="405" t="s">
        <v>21087</v>
      </c>
      <c r="N1705" s="405" t="s">
        <v>25086</v>
      </c>
      <c r="O1705" s="405" t="s">
        <v>25087</v>
      </c>
      <c r="P1705" s="405" t="s">
        <v>25156</v>
      </c>
      <c r="Q1705" s="411">
        <v>13</v>
      </c>
      <c r="R1705" s="405" t="s">
        <v>6572</v>
      </c>
      <c r="S1705" s="405" t="s">
        <v>27095</v>
      </c>
      <c r="T1705" s="405" t="s">
        <v>884</v>
      </c>
      <c r="U1705" s="405" t="s">
        <v>319</v>
      </c>
    </row>
    <row r="1706" spans="1:21" x14ac:dyDescent="0.25">
      <c r="A1706" s="405" t="s">
        <v>310</v>
      </c>
      <c r="B1706" s="405" t="s">
        <v>25151</v>
      </c>
      <c r="C1706" s="405" t="s">
        <v>327</v>
      </c>
      <c r="D1706" s="405"/>
      <c r="E1706" s="410">
        <v>43647</v>
      </c>
      <c r="F1706" s="410">
        <v>43667</v>
      </c>
      <c r="G1706" s="405" t="s">
        <v>25152</v>
      </c>
      <c r="H1706" s="405">
        <v>772492145</v>
      </c>
      <c r="I1706" s="405">
        <v>776653881</v>
      </c>
      <c r="J1706" s="405">
        <v>0.67575200000000002</v>
      </c>
      <c r="K1706" s="405">
        <v>30.320277999999998</v>
      </c>
      <c r="L1706" s="405" t="s">
        <v>590</v>
      </c>
      <c r="M1706" s="405" t="s">
        <v>20125</v>
      </c>
      <c r="N1706" s="405" t="s">
        <v>20126</v>
      </c>
      <c r="O1706" s="405" t="s">
        <v>20853</v>
      </c>
      <c r="P1706" s="405" t="s">
        <v>25153</v>
      </c>
      <c r="Q1706" s="411">
        <v>9</v>
      </c>
      <c r="R1706" s="405" t="s">
        <v>6572</v>
      </c>
      <c r="S1706" s="405" t="s">
        <v>27154</v>
      </c>
      <c r="T1706" s="405" t="s">
        <v>884</v>
      </c>
      <c r="U1706" s="405" t="s">
        <v>319</v>
      </c>
    </row>
    <row r="1707" spans="1:21" x14ac:dyDescent="0.25">
      <c r="A1707" s="405" t="s">
        <v>310</v>
      </c>
      <c r="B1707" s="405" t="s">
        <v>16750</v>
      </c>
      <c r="C1707" s="405" t="s">
        <v>327</v>
      </c>
      <c r="D1707" s="405"/>
      <c r="E1707" s="410">
        <v>43647</v>
      </c>
      <c r="F1707" s="410">
        <v>43674</v>
      </c>
      <c r="G1707" s="405" t="s">
        <v>16751</v>
      </c>
      <c r="H1707" s="405">
        <v>704738767</v>
      </c>
      <c r="I1707" s="405"/>
      <c r="J1707" s="405">
        <v>0.52878499999999995</v>
      </c>
      <c r="K1707" s="405">
        <v>33.384937000000001</v>
      </c>
      <c r="L1707" s="405" t="s">
        <v>6866</v>
      </c>
      <c r="M1707" s="405" t="s">
        <v>9685</v>
      </c>
      <c r="N1707" s="405" t="s">
        <v>16752</v>
      </c>
      <c r="O1707" s="405" t="s">
        <v>16753</v>
      </c>
      <c r="P1707" s="405" t="s">
        <v>16754</v>
      </c>
      <c r="Q1707" s="411">
        <v>6</v>
      </c>
      <c r="R1707" s="405" t="s">
        <v>9506</v>
      </c>
      <c r="S1707" s="405" t="s">
        <v>27318</v>
      </c>
      <c r="T1707" s="405" t="s">
        <v>884</v>
      </c>
      <c r="U1707" s="405" t="s">
        <v>319</v>
      </c>
    </row>
    <row r="1708" spans="1:21" x14ac:dyDescent="0.25">
      <c r="A1708" s="405" t="s">
        <v>310</v>
      </c>
      <c r="B1708" s="405" t="s">
        <v>16755</v>
      </c>
      <c r="C1708" s="405" t="s">
        <v>327</v>
      </c>
      <c r="D1708" s="405"/>
      <c r="E1708" s="410">
        <v>43647</v>
      </c>
      <c r="F1708" s="410">
        <v>43667</v>
      </c>
      <c r="G1708" s="405" t="s">
        <v>16756</v>
      </c>
      <c r="H1708" s="405">
        <v>772889649</v>
      </c>
      <c r="I1708" s="405"/>
      <c r="J1708" s="405">
        <v>-0.23760999999999999</v>
      </c>
      <c r="K1708" s="405">
        <v>31.763534</v>
      </c>
      <c r="L1708" s="405" t="s">
        <v>6866</v>
      </c>
      <c r="M1708" s="405" t="s">
        <v>9685</v>
      </c>
      <c r="N1708" s="405" t="s">
        <v>9686</v>
      </c>
      <c r="O1708" s="405" t="s">
        <v>13002</v>
      </c>
      <c r="P1708" s="405" t="s">
        <v>16757</v>
      </c>
      <c r="Q1708" s="411">
        <v>6</v>
      </c>
      <c r="R1708" s="405" t="s">
        <v>9506</v>
      </c>
      <c r="S1708" s="405" t="s">
        <v>27318</v>
      </c>
      <c r="T1708" s="405" t="s">
        <v>32102</v>
      </c>
      <c r="U1708" s="405" t="s">
        <v>319</v>
      </c>
    </row>
    <row r="1709" spans="1:21" x14ac:dyDescent="0.25">
      <c r="A1709" s="405" t="s">
        <v>310</v>
      </c>
      <c r="B1709" s="405" t="s">
        <v>16786</v>
      </c>
      <c r="C1709" s="405" t="s">
        <v>327</v>
      </c>
      <c r="D1709" s="405"/>
      <c r="E1709" s="410">
        <v>43647</v>
      </c>
      <c r="F1709" s="410">
        <v>43660</v>
      </c>
      <c r="G1709" s="405" t="s">
        <v>16787</v>
      </c>
      <c r="H1709" s="405">
        <v>776870091</v>
      </c>
      <c r="I1709" s="405"/>
      <c r="J1709" s="405">
        <v>1.4119269999999999</v>
      </c>
      <c r="K1709" s="405">
        <v>34.581397000000003</v>
      </c>
      <c r="L1709" s="405" t="s">
        <v>6866</v>
      </c>
      <c r="M1709" s="405" t="s">
        <v>9705</v>
      </c>
      <c r="N1709" s="405" t="s">
        <v>9705</v>
      </c>
      <c r="O1709" s="405" t="s">
        <v>10311</v>
      </c>
      <c r="P1709" s="405" t="s">
        <v>16788</v>
      </c>
      <c r="Q1709" s="411">
        <v>6</v>
      </c>
      <c r="R1709" s="405" t="s">
        <v>9506</v>
      </c>
      <c r="S1709" s="405" t="s">
        <v>27072</v>
      </c>
      <c r="T1709" s="405" t="s">
        <v>884</v>
      </c>
      <c r="U1709" s="405" t="s">
        <v>319</v>
      </c>
    </row>
    <row r="1710" spans="1:21" x14ac:dyDescent="0.25">
      <c r="A1710" s="405" t="s">
        <v>310</v>
      </c>
      <c r="B1710" s="405" t="s">
        <v>7537</v>
      </c>
      <c r="C1710" s="405" t="s">
        <v>327</v>
      </c>
      <c r="D1710" s="405"/>
      <c r="E1710" s="410">
        <v>43646</v>
      </c>
      <c r="F1710" s="410">
        <v>43686</v>
      </c>
      <c r="G1710" s="405" t="s">
        <v>7538</v>
      </c>
      <c r="H1710" s="405">
        <v>782877718</v>
      </c>
      <c r="I1710" s="405">
        <v>782817188</v>
      </c>
      <c r="J1710" s="405">
        <v>0.259052</v>
      </c>
      <c r="K1710" s="405">
        <v>32.408617</v>
      </c>
      <c r="L1710" s="405" t="s">
        <v>314</v>
      </c>
      <c r="M1710" s="405" t="s">
        <v>321</v>
      </c>
      <c r="N1710" s="405" t="s">
        <v>322</v>
      </c>
      <c r="O1710" s="405" t="s">
        <v>519</v>
      </c>
      <c r="P1710" s="405" t="s">
        <v>7539</v>
      </c>
      <c r="Q1710" s="411">
        <v>13</v>
      </c>
      <c r="R1710" s="405" t="s">
        <v>7269</v>
      </c>
      <c r="S1710" s="405" t="s">
        <v>27039</v>
      </c>
      <c r="T1710" s="405" t="s">
        <v>32102</v>
      </c>
      <c r="U1710" s="405" t="s">
        <v>319</v>
      </c>
    </row>
    <row r="1711" spans="1:21" x14ac:dyDescent="0.25">
      <c r="A1711" s="405" t="s">
        <v>310</v>
      </c>
      <c r="B1711" s="405" t="s">
        <v>7450</v>
      </c>
      <c r="C1711" s="405" t="s">
        <v>327</v>
      </c>
      <c r="D1711" s="405"/>
      <c r="E1711" s="410">
        <v>43646</v>
      </c>
      <c r="F1711" s="410">
        <v>43660</v>
      </c>
      <c r="G1711" s="405" t="s">
        <v>7451</v>
      </c>
      <c r="H1711" s="405">
        <v>752694193</v>
      </c>
      <c r="I1711" s="405">
        <v>780660680</v>
      </c>
      <c r="J1711" s="405">
        <v>-6.2802999999999998E-2</v>
      </c>
      <c r="K1711" s="405">
        <v>29.834150000000001</v>
      </c>
      <c r="L1711" s="405" t="s">
        <v>314</v>
      </c>
      <c r="M1711" s="405" t="s">
        <v>675</v>
      </c>
      <c r="N1711" s="405" t="s">
        <v>7452</v>
      </c>
      <c r="O1711" s="405" t="s">
        <v>1608</v>
      </c>
      <c r="P1711" s="405" t="s">
        <v>7453</v>
      </c>
      <c r="Q1711" s="411">
        <v>9</v>
      </c>
      <c r="R1711" s="405" t="s">
        <v>32157</v>
      </c>
      <c r="S1711" s="405" t="s">
        <v>27045</v>
      </c>
      <c r="T1711" s="405" t="s">
        <v>884</v>
      </c>
      <c r="U1711" s="405" t="s">
        <v>319</v>
      </c>
    </row>
    <row r="1712" spans="1:21" x14ac:dyDescent="0.25">
      <c r="A1712" s="405" t="s">
        <v>310</v>
      </c>
      <c r="B1712" s="405" t="s">
        <v>7447</v>
      </c>
      <c r="C1712" s="405" t="s">
        <v>327</v>
      </c>
      <c r="D1712" s="405"/>
      <c r="E1712" s="410">
        <v>43646</v>
      </c>
      <c r="F1712" s="410">
        <v>43659</v>
      </c>
      <c r="G1712" s="405" t="s">
        <v>7448</v>
      </c>
      <c r="H1712" s="405">
        <v>782883232</v>
      </c>
      <c r="I1712" s="405"/>
      <c r="J1712" s="405" t="s">
        <v>7420</v>
      </c>
      <c r="K1712" s="405">
        <v>31.835087999999999</v>
      </c>
      <c r="L1712" s="405" t="s">
        <v>314</v>
      </c>
      <c r="M1712" s="405" t="s">
        <v>361</v>
      </c>
      <c r="N1712" s="405" t="s">
        <v>374</v>
      </c>
      <c r="O1712" s="405" t="s">
        <v>375</v>
      </c>
      <c r="P1712" s="405" t="s">
        <v>7449</v>
      </c>
      <c r="Q1712" s="411">
        <v>9</v>
      </c>
      <c r="R1712" s="405" t="s">
        <v>32157</v>
      </c>
      <c r="S1712" s="405" t="s">
        <v>27045</v>
      </c>
      <c r="T1712" s="405" t="s">
        <v>884</v>
      </c>
      <c r="U1712" s="405" t="s">
        <v>319</v>
      </c>
    </row>
    <row r="1713" spans="1:21" x14ac:dyDescent="0.25">
      <c r="A1713" s="405" t="s">
        <v>310</v>
      </c>
      <c r="B1713" s="405" t="s">
        <v>7688</v>
      </c>
      <c r="C1713" s="405" t="s">
        <v>327</v>
      </c>
      <c r="D1713" s="405"/>
      <c r="E1713" s="410">
        <v>43646</v>
      </c>
      <c r="F1713" s="410">
        <v>43713</v>
      </c>
      <c r="G1713" s="405" t="s">
        <v>7689</v>
      </c>
      <c r="H1713" s="405">
        <v>779276737</v>
      </c>
      <c r="I1713" s="405"/>
      <c r="J1713" s="405">
        <v>-0.22770099999999999</v>
      </c>
      <c r="K1713" s="405">
        <v>31.835443999999999</v>
      </c>
      <c r="L1713" s="405" t="s">
        <v>314</v>
      </c>
      <c r="M1713" s="405" t="s">
        <v>361</v>
      </c>
      <c r="N1713" s="405" t="s">
        <v>3398</v>
      </c>
      <c r="O1713" s="405" t="s">
        <v>535</v>
      </c>
      <c r="P1713" s="405" t="s">
        <v>7690</v>
      </c>
      <c r="Q1713" s="411">
        <v>6</v>
      </c>
      <c r="R1713" s="405" t="s">
        <v>4176</v>
      </c>
      <c r="S1713" s="405" t="s">
        <v>27053</v>
      </c>
      <c r="T1713" s="405" t="s">
        <v>884</v>
      </c>
      <c r="U1713" s="405" t="s">
        <v>319</v>
      </c>
    </row>
    <row r="1714" spans="1:21" x14ac:dyDescent="0.25">
      <c r="A1714" s="405" t="s">
        <v>310</v>
      </c>
      <c r="B1714" s="405" t="s">
        <v>7439</v>
      </c>
      <c r="C1714" s="405" t="s">
        <v>327</v>
      </c>
      <c r="D1714" s="405"/>
      <c r="E1714" s="410">
        <v>43645</v>
      </c>
      <c r="F1714" s="410">
        <v>43675</v>
      </c>
      <c r="G1714" s="405" t="s">
        <v>7440</v>
      </c>
      <c r="H1714" s="405">
        <v>783687902</v>
      </c>
      <c r="I1714" s="405"/>
      <c r="J1714" s="405">
        <v>-0.23760999999999999</v>
      </c>
      <c r="K1714" s="405">
        <v>31.763534</v>
      </c>
      <c r="L1714" s="405" t="s">
        <v>314</v>
      </c>
      <c r="M1714" s="405" t="s">
        <v>329</v>
      </c>
      <c r="N1714" s="405" t="s">
        <v>5950</v>
      </c>
      <c r="O1714" s="405" t="s">
        <v>546</v>
      </c>
      <c r="P1714" s="405" t="s">
        <v>3619</v>
      </c>
      <c r="Q1714" s="411">
        <v>6</v>
      </c>
      <c r="R1714" s="405" t="s">
        <v>6798</v>
      </c>
      <c r="S1714" s="405" t="s">
        <v>27049</v>
      </c>
      <c r="T1714" s="405" t="s">
        <v>884</v>
      </c>
      <c r="U1714" s="405" t="s">
        <v>319</v>
      </c>
    </row>
    <row r="1715" spans="1:21" x14ac:dyDescent="0.25">
      <c r="A1715" s="405" t="s">
        <v>310</v>
      </c>
      <c r="B1715" s="405" t="s">
        <v>25130</v>
      </c>
      <c r="C1715" s="405" t="s">
        <v>327</v>
      </c>
      <c r="D1715" s="405"/>
      <c r="E1715" s="410">
        <v>43644</v>
      </c>
      <c r="F1715" s="410">
        <v>43660</v>
      </c>
      <c r="G1715" s="405" t="s">
        <v>25131</v>
      </c>
      <c r="H1715" s="405">
        <v>700844635</v>
      </c>
      <c r="I1715" s="405"/>
      <c r="J1715" s="405">
        <v>1.9376899999999999</v>
      </c>
      <c r="K1715" s="405">
        <v>33.330257000000003</v>
      </c>
      <c r="L1715" s="405" t="s">
        <v>590</v>
      </c>
      <c r="M1715" s="405" t="s">
        <v>19619</v>
      </c>
      <c r="N1715" s="405" t="s">
        <v>19793</v>
      </c>
      <c r="O1715" s="405" t="s">
        <v>19794</v>
      </c>
      <c r="P1715" s="405" t="s">
        <v>20275</v>
      </c>
      <c r="Q1715" s="411">
        <v>9</v>
      </c>
      <c r="R1715" s="405" t="s">
        <v>5858</v>
      </c>
      <c r="S1715" s="405" t="s">
        <v>27227</v>
      </c>
      <c r="T1715" s="405" t="s">
        <v>884</v>
      </c>
      <c r="U1715" s="405" t="s">
        <v>319</v>
      </c>
    </row>
    <row r="1716" spans="1:21" x14ac:dyDescent="0.25">
      <c r="A1716" s="405" t="s">
        <v>310</v>
      </c>
      <c r="B1716" s="405" t="s">
        <v>7456</v>
      </c>
      <c r="C1716" s="405" t="s">
        <v>327</v>
      </c>
      <c r="D1716" s="405"/>
      <c r="E1716" s="410">
        <v>43644</v>
      </c>
      <c r="F1716" s="410">
        <v>43662</v>
      </c>
      <c r="G1716" s="405" t="s">
        <v>7457</v>
      </c>
      <c r="H1716" s="405">
        <v>782616855</v>
      </c>
      <c r="I1716" s="405"/>
      <c r="J1716" s="405">
        <v>1.0086280000000001</v>
      </c>
      <c r="K1716" s="405">
        <v>34.145156999999998</v>
      </c>
      <c r="L1716" s="405" t="s">
        <v>314</v>
      </c>
      <c r="M1716" s="405" t="s">
        <v>361</v>
      </c>
      <c r="N1716" s="405" t="s">
        <v>2996</v>
      </c>
      <c r="O1716" s="405" t="s">
        <v>363</v>
      </c>
      <c r="P1716" s="405" t="s">
        <v>7458</v>
      </c>
      <c r="Q1716" s="411">
        <v>6</v>
      </c>
      <c r="R1716" s="405" t="s">
        <v>5903</v>
      </c>
      <c r="S1716" s="405" t="s">
        <v>27153</v>
      </c>
      <c r="T1716" s="405" t="s">
        <v>884</v>
      </c>
      <c r="U1716" s="405" t="s">
        <v>319</v>
      </c>
    </row>
    <row r="1717" spans="1:21" x14ac:dyDescent="0.25">
      <c r="A1717" s="405" t="s">
        <v>310</v>
      </c>
      <c r="B1717" s="405" t="s">
        <v>16773</v>
      </c>
      <c r="C1717" s="405" t="s">
        <v>327</v>
      </c>
      <c r="D1717" s="405"/>
      <c r="E1717" s="410">
        <v>43644</v>
      </c>
      <c r="F1717" s="410">
        <v>43654</v>
      </c>
      <c r="G1717" s="405" t="s">
        <v>16774</v>
      </c>
      <c r="H1717" s="405">
        <v>771489445</v>
      </c>
      <c r="I1717" s="405"/>
      <c r="J1717" s="405">
        <v>-5.5708000000000001E-2</v>
      </c>
      <c r="K1717" s="405" t="s">
        <v>7372</v>
      </c>
      <c r="L1717" s="405" t="s">
        <v>6866</v>
      </c>
      <c r="M1717" s="405" t="s">
        <v>9590</v>
      </c>
      <c r="N1717" s="405" t="s">
        <v>9591</v>
      </c>
      <c r="O1717" s="405" t="s">
        <v>9592</v>
      </c>
      <c r="P1717" s="405" t="s">
        <v>11055</v>
      </c>
      <c r="Q1717" s="411">
        <v>6</v>
      </c>
      <c r="R1717" s="405" t="s">
        <v>32164</v>
      </c>
      <c r="S1717" s="405" t="s">
        <v>6822</v>
      </c>
      <c r="T1717" s="405" t="s">
        <v>884</v>
      </c>
      <c r="U1717" s="405" t="s">
        <v>319</v>
      </c>
    </row>
    <row r="1718" spans="1:21" x14ac:dyDescent="0.25">
      <c r="A1718" s="405" t="s">
        <v>310</v>
      </c>
      <c r="B1718" s="405" t="s">
        <v>25132</v>
      </c>
      <c r="C1718" s="405" t="s">
        <v>327</v>
      </c>
      <c r="D1718" s="405"/>
      <c r="E1718" s="410">
        <v>43643</v>
      </c>
      <c r="F1718" s="410">
        <v>43675</v>
      </c>
      <c r="G1718" s="405" t="s">
        <v>25133</v>
      </c>
      <c r="H1718" s="405">
        <v>789983831</v>
      </c>
      <c r="I1718" s="405"/>
      <c r="J1718" s="405">
        <v>0.4829</v>
      </c>
      <c r="K1718" s="405">
        <v>34.112099999999998</v>
      </c>
      <c r="L1718" s="405" t="s">
        <v>590</v>
      </c>
      <c r="M1718" s="405" t="s">
        <v>19725</v>
      </c>
      <c r="N1718" s="405" t="s">
        <v>19725</v>
      </c>
      <c r="O1718" s="405" t="s">
        <v>25134</v>
      </c>
      <c r="P1718" s="405" t="s">
        <v>25135</v>
      </c>
      <c r="Q1718" s="411">
        <v>9</v>
      </c>
      <c r="R1718" s="405" t="s">
        <v>6943</v>
      </c>
      <c r="S1718" s="405" t="s">
        <v>27435</v>
      </c>
      <c r="T1718" s="405" t="s">
        <v>884</v>
      </c>
      <c r="U1718" s="405" t="s">
        <v>319</v>
      </c>
    </row>
    <row r="1719" spans="1:21" x14ac:dyDescent="0.25">
      <c r="A1719" s="405" t="s">
        <v>310</v>
      </c>
      <c r="B1719" s="405" t="s">
        <v>16747</v>
      </c>
      <c r="C1719" s="405" t="s">
        <v>327</v>
      </c>
      <c r="D1719" s="405"/>
      <c r="E1719" s="410">
        <v>43643</v>
      </c>
      <c r="F1719" s="410">
        <v>43659</v>
      </c>
      <c r="G1719" s="405" t="s">
        <v>16748</v>
      </c>
      <c r="H1719" s="405">
        <v>788291740</v>
      </c>
      <c r="I1719" s="405"/>
      <c r="J1719" s="405">
        <v>-5.5708000000000001E-2</v>
      </c>
      <c r="K1719" s="405" t="s">
        <v>7372</v>
      </c>
      <c r="L1719" s="405" t="s">
        <v>6866</v>
      </c>
      <c r="M1719" s="405" t="s">
        <v>10163</v>
      </c>
      <c r="N1719" s="405" t="s">
        <v>10164</v>
      </c>
      <c r="O1719" s="405" t="s">
        <v>12081</v>
      </c>
      <c r="P1719" s="405" t="s">
        <v>16749</v>
      </c>
      <c r="Q1719" s="411">
        <v>6</v>
      </c>
      <c r="R1719" s="405" t="s">
        <v>9506</v>
      </c>
      <c r="S1719" s="405" t="s">
        <v>27353</v>
      </c>
      <c r="T1719" s="405" t="s">
        <v>884</v>
      </c>
      <c r="U1719" s="405" t="s">
        <v>319</v>
      </c>
    </row>
    <row r="1720" spans="1:21" x14ac:dyDescent="0.25">
      <c r="A1720" s="405" t="s">
        <v>310</v>
      </c>
      <c r="B1720" s="405" t="s">
        <v>16745</v>
      </c>
      <c r="C1720" s="405" t="s">
        <v>327</v>
      </c>
      <c r="D1720" s="405"/>
      <c r="E1720" s="410">
        <v>43643</v>
      </c>
      <c r="F1720" s="410">
        <v>43658</v>
      </c>
      <c r="G1720" s="405" t="s">
        <v>16746</v>
      </c>
      <c r="H1720" s="405">
        <v>784146361</v>
      </c>
      <c r="I1720" s="405"/>
      <c r="J1720" s="405">
        <v>1.2332000000000001</v>
      </c>
      <c r="K1720" s="405">
        <v>34.262799999999999</v>
      </c>
      <c r="L1720" s="405" t="s">
        <v>6866</v>
      </c>
      <c r="M1720" s="405" t="s">
        <v>9685</v>
      </c>
      <c r="N1720" s="405" t="s">
        <v>9686</v>
      </c>
      <c r="O1720" s="405" t="s">
        <v>15669</v>
      </c>
      <c r="P1720" s="405" t="s">
        <v>15670</v>
      </c>
      <c r="Q1720" s="411">
        <v>6</v>
      </c>
      <c r="R1720" s="405" t="s">
        <v>9506</v>
      </c>
      <c r="S1720" s="405" t="s">
        <v>27357</v>
      </c>
      <c r="T1720" s="405" t="s">
        <v>884</v>
      </c>
      <c r="U1720" s="405" t="s">
        <v>319</v>
      </c>
    </row>
    <row r="1721" spans="1:21" x14ac:dyDescent="0.25">
      <c r="A1721" s="405" t="s">
        <v>310</v>
      </c>
      <c r="B1721" s="405" t="s">
        <v>16742</v>
      </c>
      <c r="C1721" s="405" t="s">
        <v>327</v>
      </c>
      <c r="D1721" s="405"/>
      <c r="E1721" s="410">
        <v>43643</v>
      </c>
      <c r="F1721" s="410">
        <v>43656</v>
      </c>
      <c r="G1721" s="405" t="s">
        <v>16743</v>
      </c>
      <c r="H1721" s="405">
        <v>789165712</v>
      </c>
      <c r="I1721" s="405"/>
      <c r="J1721" s="405">
        <v>1.4021479999999999</v>
      </c>
      <c r="K1721" s="405">
        <v>34.497095999999999</v>
      </c>
      <c r="L1721" s="405" t="s">
        <v>6866</v>
      </c>
      <c r="M1721" s="405" t="s">
        <v>9705</v>
      </c>
      <c r="N1721" s="405" t="s">
        <v>9705</v>
      </c>
      <c r="O1721" s="405" t="s">
        <v>9706</v>
      </c>
      <c r="P1721" s="405" t="s">
        <v>16744</v>
      </c>
      <c r="Q1721" s="411">
        <v>6</v>
      </c>
      <c r="R1721" s="405" t="s">
        <v>9506</v>
      </c>
      <c r="S1721" s="405" t="s">
        <v>27067</v>
      </c>
      <c r="T1721" s="405" t="s">
        <v>884</v>
      </c>
      <c r="U1721" s="405" t="s">
        <v>319</v>
      </c>
    </row>
    <row r="1722" spans="1:21" x14ac:dyDescent="0.25">
      <c r="A1722" s="405" t="s">
        <v>310</v>
      </c>
      <c r="B1722" s="405" t="s">
        <v>7441</v>
      </c>
      <c r="C1722" s="405" t="s">
        <v>327</v>
      </c>
      <c r="D1722" s="405"/>
      <c r="E1722" s="410">
        <v>43642</v>
      </c>
      <c r="F1722" s="410">
        <v>43656</v>
      </c>
      <c r="G1722" s="405" t="s">
        <v>7442</v>
      </c>
      <c r="H1722" s="405">
        <v>755600198</v>
      </c>
      <c r="I1722" s="405"/>
      <c r="J1722" s="405">
        <v>0.483628</v>
      </c>
      <c r="K1722" s="405">
        <v>32.627791999999999</v>
      </c>
      <c r="L1722" s="405" t="s">
        <v>314</v>
      </c>
      <c r="M1722" s="405" t="s">
        <v>361</v>
      </c>
      <c r="N1722" s="405" t="s">
        <v>5924</v>
      </c>
      <c r="O1722" s="405" t="s">
        <v>7443</v>
      </c>
      <c r="P1722" s="405" t="s">
        <v>6682</v>
      </c>
      <c r="Q1722" s="411">
        <v>13</v>
      </c>
      <c r="R1722" s="405" t="s">
        <v>32157</v>
      </c>
      <c r="S1722" s="405" t="s">
        <v>27045</v>
      </c>
      <c r="T1722" s="405" t="s">
        <v>884</v>
      </c>
      <c r="U1722" s="405" t="s">
        <v>319</v>
      </c>
    </row>
    <row r="1723" spans="1:21" x14ac:dyDescent="0.25">
      <c r="A1723" s="405" t="s">
        <v>310</v>
      </c>
      <c r="B1723" s="405" t="s">
        <v>25263</v>
      </c>
      <c r="C1723" s="405" t="s">
        <v>327</v>
      </c>
      <c r="D1723" s="405"/>
      <c r="E1723" s="410">
        <v>43642</v>
      </c>
      <c r="F1723" s="410">
        <v>43689</v>
      </c>
      <c r="G1723" s="405" t="s">
        <v>25264</v>
      </c>
      <c r="H1723" s="405">
        <v>782767767</v>
      </c>
      <c r="I1723" s="405"/>
      <c r="J1723" s="405">
        <v>-0.89264200000000005</v>
      </c>
      <c r="K1723" s="405">
        <v>29.811578000000001</v>
      </c>
      <c r="L1723" s="405" t="s">
        <v>590</v>
      </c>
      <c r="M1723" s="405" t="s">
        <v>20808</v>
      </c>
      <c r="N1723" s="405" t="s">
        <v>25172</v>
      </c>
      <c r="O1723" s="405" t="s">
        <v>23326</v>
      </c>
      <c r="P1723" s="405" t="s">
        <v>25265</v>
      </c>
      <c r="Q1723" s="411">
        <v>9</v>
      </c>
      <c r="R1723" s="405" t="s">
        <v>6572</v>
      </c>
      <c r="S1723" s="405" t="s">
        <v>27399</v>
      </c>
      <c r="T1723" s="405" t="s">
        <v>884</v>
      </c>
      <c r="U1723" s="405" t="s">
        <v>319</v>
      </c>
    </row>
    <row r="1724" spans="1:21" x14ac:dyDescent="0.25">
      <c r="A1724" s="405" t="s">
        <v>310</v>
      </c>
      <c r="B1724" s="405" t="s">
        <v>16737</v>
      </c>
      <c r="C1724" s="405" t="s">
        <v>327</v>
      </c>
      <c r="D1724" s="405"/>
      <c r="E1724" s="410">
        <v>43642</v>
      </c>
      <c r="F1724" s="410">
        <v>43661</v>
      </c>
      <c r="G1724" s="405" t="s">
        <v>16738</v>
      </c>
      <c r="H1724" s="405">
        <v>705595447</v>
      </c>
      <c r="I1724" s="405"/>
      <c r="J1724" s="405">
        <v>1.3977550000000001</v>
      </c>
      <c r="K1724" s="405">
        <v>34.399464999999999</v>
      </c>
      <c r="L1724" s="405" t="s">
        <v>6866</v>
      </c>
      <c r="M1724" s="405" t="s">
        <v>9685</v>
      </c>
      <c r="N1724" s="405" t="s">
        <v>9686</v>
      </c>
      <c r="O1724" s="405" t="s">
        <v>14943</v>
      </c>
      <c r="P1724" s="405" t="s">
        <v>10982</v>
      </c>
      <c r="Q1724" s="411">
        <v>6</v>
      </c>
      <c r="R1724" s="405" t="s">
        <v>9506</v>
      </c>
      <c r="S1724" s="405" t="s">
        <v>27318</v>
      </c>
      <c r="T1724" s="405" t="s">
        <v>884</v>
      </c>
      <c r="U1724" s="405" t="s">
        <v>319</v>
      </c>
    </row>
    <row r="1725" spans="1:21" x14ac:dyDescent="0.25">
      <c r="A1725" s="405" t="s">
        <v>310</v>
      </c>
      <c r="B1725" s="405" t="s">
        <v>16739</v>
      </c>
      <c r="C1725" s="405" t="s">
        <v>327</v>
      </c>
      <c r="D1725" s="405"/>
      <c r="E1725" s="410">
        <v>43642</v>
      </c>
      <c r="F1725" s="410">
        <v>43667</v>
      </c>
      <c r="G1725" s="405" t="s">
        <v>16740</v>
      </c>
      <c r="H1725" s="405">
        <v>781829479</v>
      </c>
      <c r="I1725" s="405"/>
      <c r="J1725" s="405">
        <v>1.382903</v>
      </c>
      <c r="K1725" s="405">
        <v>34.438592</v>
      </c>
      <c r="L1725" s="405" t="s">
        <v>6866</v>
      </c>
      <c r="M1725" s="405" t="s">
        <v>9685</v>
      </c>
      <c r="N1725" s="405" t="s">
        <v>9686</v>
      </c>
      <c r="O1725" s="405" t="s">
        <v>14943</v>
      </c>
      <c r="P1725" s="405" t="s">
        <v>16741</v>
      </c>
      <c r="Q1725" s="411">
        <v>4</v>
      </c>
      <c r="R1725" s="405" t="s">
        <v>9506</v>
      </c>
      <c r="S1725" s="405" t="s">
        <v>27318</v>
      </c>
      <c r="T1725" s="405" t="s">
        <v>884</v>
      </c>
      <c r="U1725" s="405" t="s">
        <v>319</v>
      </c>
    </row>
    <row r="1726" spans="1:21" x14ac:dyDescent="0.25">
      <c r="A1726" s="405" t="s">
        <v>310</v>
      </c>
      <c r="B1726" s="405" t="s">
        <v>16783</v>
      </c>
      <c r="C1726" s="405" t="s">
        <v>327</v>
      </c>
      <c r="D1726" s="405"/>
      <c r="E1726" s="410">
        <v>43641</v>
      </c>
      <c r="F1726" s="410">
        <v>43656</v>
      </c>
      <c r="G1726" s="405" t="s">
        <v>16784</v>
      </c>
      <c r="H1726" s="405">
        <v>704963579</v>
      </c>
      <c r="I1726" s="405"/>
      <c r="J1726" s="405">
        <v>1.268208</v>
      </c>
      <c r="K1726" s="405">
        <v>34.332793000000002</v>
      </c>
      <c r="L1726" s="405" t="s">
        <v>6866</v>
      </c>
      <c r="M1726" s="405" t="s">
        <v>9550</v>
      </c>
      <c r="N1726" s="405" t="s">
        <v>9550</v>
      </c>
      <c r="O1726" s="405" t="s">
        <v>14815</v>
      </c>
      <c r="P1726" s="405" t="s">
        <v>16785</v>
      </c>
      <c r="Q1726" s="411">
        <v>6</v>
      </c>
      <c r="R1726" s="405" t="s">
        <v>9506</v>
      </c>
      <c r="S1726" s="405" t="s">
        <v>27072</v>
      </c>
      <c r="T1726" s="405" t="s">
        <v>884</v>
      </c>
      <c r="U1726" s="405" t="s">
        <v>319</v>
      </c>
    </row>
    <row r="1727" spans="1:21" x14ac:dyDescent="0.25">
      <c r="A1727" s="405" t="s">
        <v>310</v>
      </c>
      <c r="B1727" s="405" t="s">
        <v>17393</v>
      </c>
      <c r="C1727" s="405" t="s">
        <v>311</v>
      </c>
      <c r="D1727" s="405" t="s">
        <v>2127</v>
      </c>
      <c r="E1727" s="410">
        <v>43640</v>
      </c>
      <c r="F1727" s="410">
        <v>43707</v>
      </c>
      <c r="G1727" s="405" t="s">
        <v>17394</v>
      </c>
      <c r="H1727" s="405">
        <v>703584356</v>
      </c>
      <c r="I1727" s="405">
        <v>782958756</v>
      </c>
      <c r="J1727" s="405">
        <v>1.1147769999999999</v>
      </c>
      <c r="K1727" s="405">
        <v>33.789009</v>
      </c>
      <c r="L1727" s="405" t="s">
        <v>6866</v>
      </c>
      <c r="M1727" s="405" t="s">
        <v>9509</v>
      </c>
      <c r="N1727" s="405" t="s">
        <v>16881</v>
      </c>
      <c r="O1727" s="405" t="s">
        <v>16882</v>
      </c>
      <c r="P1727" s="405" t="s">
        <v>16883</v>
      </c>
      <c r="Q1727" s="411">
        <v>9</v>
      </c>
      <c r="R1727" s="405" t="s">
        <v>32164</v>
      </c>
      <c r="S1727" s="405" t="s">
        <v>27174</v>
      </c>
      <c r="T1727" s="405" t="s">
        <v>884</v>
      </c>
      <c r="U1727" s="405" t="s">
        <v>319</v>
      </c>
    </row>
    <row r="1728" spans="1:21" x14ac:dyDescent="0.25">
      <c r="A1728" s="405" t="s">
        <v>310</v>
      </c>
      <c r="B1728" s="405" t="s">
        <v>16704</v>
      </c>
      <c r="C1728" s="405" t="s">
        <v>327</v>
      </c>
      <c r="D1728" s="405"/>
      <c r="E1728" s="410">
        <v>43639</v>
      </c>
      <c r="F1728" s="410">
        <v>43643</v>
      </c>
      <c r="G1728" s="405" t="s">
        <v>16705</v>
      </c>
      <c r="H1728" s="405">
        <v>779738625</v>
      </c>
      <c r="I1728" s="405"/>
      <c r="J1728" s="405">
        <v>1.4023939999999999</v>
      </c>
      <c r="K1728" s="405">
        <v>34.479792000000003</v>
      </c>
      <c r="L1728" s="405" t="s">
        <v>6866</v>
      </c>
      <c r="M1728" s="405" t="s">
        <v>9705</v>
      </c>
      <c r="N1728" s="405" t="s">
        <v>9705</v>
      </c>
      <c r="O1728" s="405" t="s">
        <v>14427</v>
      </c>
      <c r="P1728" s="405" t="s">
        <v>16706</v>
      </c>
      <c r="Q1728" s="411">
        <v>6</v>
      </c>
      <c r="R1728" s="405" t="s">
        <v>9506</v>
      </c>
      <c r="S1728" s="405" t="s">
        <v>27067</v>
      </c>
      <c r="T1728" s="405" t="s">
        <v>7342</v>
      </c>
      <c r="U1728" s="405" t="s">
        <v>7343</v>
      </c>
    </row>
    <row r="1729" spans="1:21" x14ac:dyDescent="0.25">
      <c r="A1729" s="405" t="s">
        <v>310</v>
      </c>
      <c r="B1729" s="405" t="s">
        <v>25206</v>
      </c>
      <c r="C1729" s="405" t="s">
        <v>327</v>
      </c>
      <c r="D1729" s="405"/>
      <c r="E1729" s="410">
        <v>43638</v>
      </c>
      <c r="F1729" s="410">
        <v>43654</v>
      </c>
      <c r="G1729" s="405" t="s">
        <v>25207</v>
      </c>
      <c r="H1729" s="405">
        <v>777830854</v>
      </c>
      <c r="I1729" s="405"/>
      <c r="J1729" s="405">
        <v>1.0086280000000001</v>
      </c>
      <c r="K1729" s="405">
        <v>34.145156999999998</v>
      </c>
      <c r="L1729" s="405" t="s">
        <v>24545</v>
      </c>
      <c r="M1729" s="405" t="s">
        <v>20070</v>
      </c>
      <c r="N1729" s="405" t="s">
        <v>20076</v>
      </c>
      <c r="O1729" s="405" t="s">
        <v>25208</v>
      </c>
      <c r="P1729" s="405" t="s">
        <v>25209</v>
      </c>
      <c r="Q1729" s="411">
        <v>9</v>
      </c>
      <c r="R1729" s="405" t="s">
        <v>24106</v>
      </c>
      <c r="S1729" s="405" t="s">
        <v>27438</v>
      </c>
      <c r="T1729" s="405" t="s">
        <v>884</v>
      </c>
      <c r="U1729" s="405" t="s">
        <v>319</v>
      </c>
    </row>
    <row r="1730" spans="1:21" x14ac:dyDescent="0.25">
      <c r="A1730" s="405" t="s">
        <v>310</v>
      </c>
      <c r="B1730" s="405" t="s">
        <v>7436</v>
      </c>
      <c r="C1730" s="405" t="s">
        <v>327</v>
      </c>
      <c r="D1730" s="405"/>
      <c r="E1730" s="410">
        <v>43638</v>
      </c>
      <c r="F1730" s="410">
        <v>43651</v>
      </c>
      <c r="G1730" s="405" t="s">
        <v>7437</v>
      </c>
      <c r="H1730" s="405">
        <v>782532860</v>
      </c>
      <c r="I1730" s="405"/>
      <c r="J1730" s="405">
        <v>0.99083600000000005</v>
      </c>
      <c r="K1730" s="405">
        <v>34.173879999999997</v>
      </c>
      <c r="L1730" s="405" t="s">
        <v>314</v>
      </c>
      <c r="M1730" s="405" t="s">
        <v>329</v>
      </c>
      <c r="N1730" s="405" t="s">
        <v>652</v>
      </c>
      <c r="O1730" s="405" t="s">
        <v>909</v>
      </c>
      <c r="P1730" s="405" t="s">
        <v>7438</v>
      </c>
      <c r="Q1730" s="411">
        <v>6</v>
      </c>
      <c r="R1730" s="405" t="s">
        <v>6798</v>
      </c>
      <c r="S1730" s="405" t="s">
        <v>27049</v>
      </c>
      <c r="T1730" s="405" t="s">
        <v>884</v>
      </c>
      <c r="U1730" s="405" t="s">
        <v>319</v>
      </c>
    </row>
    <row r="1731" spans="1:21" x14ac:dyDescent="0.25">
      <c r="A1731" s="405" t="s">
        <v>310</v>
      </c>
      <c r="B1731" s="405" t="s">
        <v>16778</v>
      </c>
      <c r="C1731" s="405" t="s">
        <v>327</v>
      </c>
      <c r="D1731" s="405"/>
      <c r="E1731" s="410">
        <v>43638</v>
      </c>
      <c r="F1731" s="410">
        <v>43650</v>
      </c>
      <c r="G1731" s="405" t="s">
        <v>16779</v>
      </c>
      <c r="H1731" s="405">
        <v>782512337</v>
      </c>
      <c r="I1731" s="405"/>
      <c r="J1731" s="405">
        <v>-0.25717699999999999</v>
      </c>
      <c r="K1731" s="405">
        <v>31.819427999999998</v>
      </c>
      <c r="L1731" s="405" t="s">
        <v>6866</v>
      </c>
      <c r="M1731" s="405" t="s">
        <v>9705</v>
      </c>
      <c r="N1731" s="405" t="s">
        <v>9705</v>
      </c>
      <c r="O1731" s="405" t="s">
        <v>10311</v>
      </c>
      <c r="P1731" s="405" t="s">
        <v>16780</v>
      </c>
      <c r="Q1731" s="411">
        <v>6</v>
      </c>
      <c r="R1731" s="405" t="s">
        <v>9506</v>
      </c>
      <c r="S1731" s="405" t="s">
        <v>27259</v>
      </c>
      <c r="T1731" s="405" t="s">
        <v>7342</v>
      </c>
      <c r="U1731" s="405" t="s">
        <v>7343</v>
      </c>
    </row>
    <row r="1732" spans="1:21" x14ac:dyDescent="0.25">
      <c r="A1732" s="405" t="s">
        <v>310</v>
      </c>
      <c r="B1732" s="405" t="s">
        <v>25113</v>
      </c>
      <c r="C1732" s="405" t="s">
        <v>327</v>
      </c>
      <c r="D1732" s="405"/>
      <c r="E1732" s="410">
        <v>43637</v>
      </c>
      <c r="F1732" s="410">
        <v>43667</v>
      </c>
      <c r="G1732" s="405" t="s">
        <v>25114</v>
      </c>
      <c r="H1732" s="405">
        <v>776745600</v>
      </c>
      <c r="I1732" s="405"/>
      <c r="J1732" s="405">
        <v>-0.53437299999999999</v>
      </c>
      <c r="K1732" s="405">
        <v>30.218923</v>
      </c>
      <c r="L1732" s="405" t="s">
        <v>590</v>
      </c>
      <c r="M1732" s="405" t="s">
        <v>19625</v>
      </c>
      <c r="N1732" s="405" t="s">
        <v>25115</v>
      </c>
      <c r="O1732" s="405" t="s">
        <v>24623</v>
      </c>
      <c r="P1732" s="405" t="s">
        <v>24067</v>
      </c>
      <c r="Q1732" s="411">
        <v>13</v>
      </c>
      <c r="R1732" s="405" t="s">
        <v>883</v>
      </c>
      <c r="S1732" s="405" t="s">
        <v>27097</v>
      </c>
      <c r="T1732" s="405" t="s">
        <v>32102</v>
      </c>
      <c r="U1732" s="405" t="s">
        <v>319</v>
      </c>
    </row>
    <row r="1733" spans="1:21" x14ac:dyDescent="0.25">
      <c r="A1733" s="405" t="s">
        <v>310</v>
      </c>
      <c r="B1733" s="405" t="s">
        <v>17254</v>
      </c>
      <c r="C1733" s="405" t="s">
        <v>311</v>
      </c>
      <c r="D1733" s="405" t="s">
        <v>1789</v>
      </c>
      <c r="E1733" s="410">
        <v>43637</v>
      </c>
      <c r="F1733" s="410">
        <v>43664</v>
      </c>
      <c r="G1733" s="405" t="s">
        <v>17255</v>
      </c>
      <c r="H1733" s="405">
        <v>773377263</v>
      </c>
      <c r="I1733" s="405"/>
      <c r="J1733" s="405" t="s">
        <v>7420</v>
      </c>
      <c r="K1733" s="405">
        <v>31.835087999999999</v>
      </c>
      <c r="L1733" s="405" t="s">
        <v>6866</v>
      </c>
      <c r="M1733" s="405" t="s">
        <v>9534</v>
      </c>
      <c r="N1733" s="405" t="s">
        <v>3870</v>
      </c>
      <c r="O1733" s="405" t="s">
        <v>9770</v>
      </c>
      <c r="P1733" s="405" t="s">
        <v>11777</v>
      </c>
      <c r="Q1733" s="411">
        <v>6</v>
      </c>
      <c r="R1733" s="405" t="s">
        <v>5655</v>
      </c>
      <c r="S1733" s="405" t="s">
        <v>27072</v>
      </c>
      <c r="T1733" s="405" t="s">
        <v>884</v>
      </c>
      <c r="U1733" s="405" t="s">
        <v>319</v>
      </c>
    </row>
    <row r="1734" spans="1:21" x14ac:dyDescent="0.25">
      <c r="A1734" s="405" t="s">
        <v>310</v>
      </c>
      <c r="B1734" s="405" t="s">
        <v>16781</v>
      </c>
      <c r="C1734" s="405" t="s">
        <v>327</v>
      </c>
      <c r="D1734" s="405"/>
      <c r="E1734" s="410">
        <v>43637</v>
      </c>
      <c r="F1734" s="410">
        <v>43650</v>
      </c>
      <c r="G1734" s="405" t="s">
        <v>16782</v>
      </c>
      <c r="H1734" s="405">
        <v>705866665</v>
      </c>
      <c r="I1734" s="405"/>
      <c r="J1734" s="405">
        <v>0.99083600000000005</v>
      </c>
      <c r="K1734" s="405">
        <v>34.173879999999997</v>
      </c>
      <c r="L1734" s="405" t="s">
        <v>6866</v>
      </c>
      <c r="M1734" s="405" t="s">
        <v>9685</v>
      </c>
      <c r="N1734" s="405" t="s">
        <v>9686</v>
      </c>
      <c r="O1734" s="405" t="s">
        <v>9709</v>
      </c>
      <c r="P1734" s="405" t="s">
        <v>15829</v>
      </c>
      <c r="Q1734" s="411">
        <v>6</v>
      </c>
      <c r="R1734" s="405" t="s">
        <v>9506</v>
      </c>
      <c r="S1734" s="405" t="s">
        <v>27353</v>
      </c>
      <c r="T1734" s="405" t="s">
        <v>32102</v>
      </c>
      <c r="U1734" s="405" t="s">
        <v>319</v>
      </c>
    </row>
    <row r="1735" spans="1:21" x14ac:dyDescent="0.25">
      <c r="A1735" s="405" t="s">
        <v>310</v>
      </c>
      <c r="B1735" s="405" t="s">
        <v>7682</v>
      </c>
      <c r="C1735" s="405" t="s">
        <v>327</v>
      </c>
      <c r="D1735" s="405"/>
      <c r="E1735" s="410">
        <v>43636</v>
      </c>
      <c r="F1735" s="410">
        <v>43710</v>
      </c>
      <c r="G1735" s="405" t="s">
        <v>7683</v>
      </c>
      <c r="H1735" s="405">
        <v>772560281</v>
      </c>
      <c r="I1735" s="405"/>
      <c r="J1735" s="405">
        <v>0.52878499999999995</v>
      </c>
      <c r="K1735" s="405">
        <v>33.384937000000001</v>
      </c>
      <c r="L1735" s="405" t="s">
        <v>314</v>
      </c>
      <c r="M1735" s="405" t="s">
        <v>361</v>
      </c>
      <c r="N1735" s="405" t="s">
        <v>5838</v>
      </c>
      <c r="O1735" s="405" t="s">
        <v>3041</v>
      </c>
      <c r="P1735" s="405" t="s">
        <v>7684</v>
      </c>
      <c r="Q1735" s="411">
        <v>13</v>
      </c>
      <c r="R1735" s="405" t="s">
        <v>414</v>
      </c>
      <c r="S1735" s="405" t="s">
        <v>414</v>
      </c>
      <c r="T1735" s="405" t="s">
        <v>32102</v>
      </c>
      <c r="U1735" s="405" t="s">
        <v>319</v>
      </c>
    </row>
    <row r="1736" spans="1:21" x14ac:dyDescent="0.25">
      <c r="A1736" s="405" t="s">
        <v>310</v>
      </c>
      <c r="B1736" s="405" t="s">
        <v>7382</v>
      </c>
      <c r="C1736" s="405" t="s">
        <v>327</v>
      </c>
      <c r="D1736" s="405"/>
      <c r="E1736" s="410">
        <v>43636</v>
      </c>
      <c r="F1736" s="410">
        <v>43636</v>
      </c>
      <c r="G1736" s="405" t="s">
        <v>7383</v>
      </c>
      <c r="H1736" s="405">
        <v>752703994</v>
      </c>
      <c r="I1736" s="405"/>
      <c r="J1736" s="405">
        <v>-0.33238200000000001</v>
      </c>
      <c r="K1736" s="405">
        <v>31.741132</v>
      </c>
      <c r="L1736" s="405" t="s">
        <v>314</v>
      </c>
      <c r="M1736" s="405" t="s">
        <v>382</v>
      </c>
      <c r="N1736" s="405" t="s">
        <v>382</v>
      </c>
      <c r="O1736" s="405" t="s">
        <v>7384</v>
      </c>
      <c r="P1736" s="405" t="s">
        <v>1265</v>
      </c>
      <c r="Q1736" s="411">
        <v>13</v>
      </c>
      <c r="R1736" s="405" t="s">
        <v>5986</v>
      </c>
      <c r="S1736" s="405" t="s">
        <v>5986</v>
      </c>
      <c r="T1736" s="405" t="s">
        <v>884</v>
      </c>
      <c r="U1736" s="405" t="s">
        <v>319</v>
      </c>
    </row>
    <row r="1737" spans="1:21" x14ac:dyDescent="0.25">
      <c r="A1737" s="405" t="s">
        <v>310</v>
      </c>
      <c r="B1737" s="405" t="s">
        <v>16722</v>
      </c>
      <c r="C1737" s="405" t="s">
        <v>327</v>
      </c>
      <c r="D1737" s="405"/>
      <c r="E1737" s="410">
        <v>43636</v>
      </c>
      <c r="F1737" s="410">
        <v>43665</v>
      </c>
      <c r="G1737" s="405" t="s">
        <v>16723</v>
      </c>
      <c r="H1737" s="405">
        <v>776626466</v>
      </c>
      <c r="I1737" s="405">
        <v>777922968</v>
      </c>
      <c r="J1737" s="405">
        <v>0.99083600000000005</v>
      </c>
      <c r="K1737" s="405">
        <v>34.173879999999997</v>
      </c>
      <c r="L1737" s="405" t="s">
        <v>6866</v>
      </c>
      <c r="M1737" s="405" t="s">
        <v>9575</v>
      </c>
      <c r="N1737" s="405" t="s">
        <v>14364</v>
      </c>
      <c r="O1737" s="405" t="s">
        <v>14956</v>
      </c>
      <c r="P1737" s="405" t="s">
        <v>16724</v>
      </c>
      <c r="Q1737" s="411">
        <v>6</v>
      </c>
      <c r="R1737" s="405" t="s">
        <v>7224</v>
      </c>
      <c r="S1737" s="405" t="s">
        <v>27074</v>
      </c>
      <c r="T1737" s="405" t="s">
        <v>884</v>
      </c>
      <c r="U1737" s="405" t="s">
        <v>319</v>
      </c>
    </row>
    <row r="1738" spans="1:21" x14ac:dyDescent="0.25">
      <c r="A1738" s="405" t="s">
        <v>310</v>
      </c>
      <c r="B1738" s="405" t="s">
        <v>16716</v>
      </c>
      <c r="C1738" s="405" t="s">
        <v>327</v>
      </c>
      <c r="D1738" s="405"/>
      <c r="E1738" s="410">
        <v>43636</v>
      </c>
      <c r="F1738" s="410">
        <v>43660</v>
      </c>
      <c r="G1738" s="405" t="s">
        <v>16717</v>
      </c>
      <c r="H1738" s="405">
        <v>772404283</v>
      </c>
      <c r="I1738" s="405"/>
      <c r="J1738" s="405">
        <v>0.56210000000000004</v>
      </c>
      <c r="K1738" s="405">
        <v>34.027372</v>
      </c>
      <c r="L1738" s="405" t="s">
        <v>6866</v>
      </c>
      <c r="M1738" s="405" t="s">
        <v>10390</v>
      </c>
      <c r="N1738" s="405" t="s">
        <v>12372</v>
      </c>
      <c r="O1738" s="405" t="s">
        <v>12372</v>
      </c>
      <c r="P1738" s="405" t="s">
        <v>16718</v>
      </c>
      <c r="Q1738" s="411">
        <v>6</v>
      </c>
      <c r="R1738" s="405" t="s">
        <v>6871</v>
      </c>
      <c r="S1738" s="405" t="s">
        <v>17062</v>
      </c>
      <c r="T1738" s="405" t="s">
        <v>884</v>
      </c>
      <c r="U1738" s="405" t="s">
        <v>319</v>
      </c>
    </row>
    <row r="1739" spans="1:21" x14ac:dyDescent="0.25">
      <c r="A1739" s="405" t="s">
        <v>310</v>
      </c>
      <c r="B1739" s="405" t="s">
        <v>17277</v>
      </c>
      <c r="C1739" s="405" t="s">
        <v>311</v>
      </c>
      <c r="D1739" s="405" t="s">
        <v>2127</v>
      </c>
      <c r="E1739" s="410">
        <v>43636</v>
      </c>
      <c r="F1739" s="410">
        <v>43656</v>
      </c>
      <c r="G1739" s="405" t="s">
        <v>17278</v>
      </c>
      <c r="H1739" s="405">
        <v>706737294</v>
      </c>
      <c r="I1739" s="405"/>
      <c r="J1739" s="405">
        <v>0.49193700000000001</v>
      </c>
      <c r="K1739" s="405">
        <v>33.216484999999999</v>
      </c>
      <c r="L1739" s="405" t="s">
        <v>6866</v>
      </c>
      <c r="M1739" s="405" t="s">
        <v>9590</v>
      </c>
      <c r="N1739" s="405" t="s">
        <v>9591</v>
      </c>
      <c r="O1739" s="405" t="s">
        <v>9592</v>
      </c>
      <c r="P1739" s="405" t="s">
        <v>11055</v>
      </c>
      <c r="Q1739" s="411">
        <v>6</v>
      </c>
      <c r="R1739" s="405" t="s">
        <v>874</v>
      </c>
      <c r="S1739" s="405" t="s">
        <v>27271</v>
      </c>
      <c r="T1739" s="405" t="s">
        <v>884</v>
      </c>
      <c r="U1739" s="405" t="s">
        <v>319</v>
      </c>
    </row>
    <row r="1740" spans="1:21" x14ac:dyDescent="0.25">
      <c r="A1740" s="405" t="s">
        <v>310</v>
      </c>
      <c r="B1740" s="405" t="s">
        <v>16789</v>
      </c>
      <c r="C1740" s="405" t="s">
        <v>327</v>
      </c>
      <c r="D1740" s="405"/>
      <c r="E1740" s="410">
        <v>43636</v>
      </c>
      <c r="F1740" s="410">
        <v>43656</v>
      </c>
      <c r="G1740" s="405" t="s">
        <v>16790</v>
      </c>
      <c r="H1740" s="405">
        <v>772683494</v>
      </c>
      <c r="I1740" s="405"/>
      <c r="J1740" s="405">
        <v>0.49391499999999999</v>
      </c>
      <c r="K1740" s="405">
        <v>33.216836000000001</v>
      </c>
      <c r="L1740" s="405" t="s">
        <v>6866</v>
      </c>
      <c r="M1740" s="405" t="s">
        <v>9590</v>
      </c>
      <c r="N1740" s="405" t="s">
        <v>9591</v>
      </c>
      <c r="O1740" s="405" t="s">
        <v>9592</v>
      </c>
      <c r="P1740" s="405" t="s">
        <v>11055</v>
      </c>
      <c r="Q1740" s="411">
        <v>6</v>
      </c>
      <c r="R1740" s="405" t="s">
        <v>874</v>
      </c>
      <c r="S1740" s="405" t="s">
        <v>6822</v>
      </c>
      <c r="T1740" s="405" t="s">
        <v>884</v>
      </c>
      <c r="U1740" s="405" t="s">
        <v>319</v>
      </c>
    </row>
    <row r="1741" spans="1:21" x14ac:dyDescent="0.25">
      <c r="A1741" s="405" t="s">
        <v>310</v>
      </c>
      <c r="B1741" s="405" t="s">
        <v>25760</v>
      </c>
      <c r="C1741" s="405" t="s">
        <v>327</v>
      </c>
      <c r="D1741" s="405"/>
      <c r="E1741" s="410">
        <v>43634</v>
      </c>
      <c r="F1741" s="410">
        <v>43802</v>
      </c>
      <c r="G1741" s="405" t="s">
        <v>25761</v>
      </c>
      <c r="H1741" s="405">
        <v>772524191</v>
      </c>
      <c r="I1741" s="405"/>
      <c r="J1741" s="405">
        <v>-0.22770099999999999</v>
      </c>
      <c r="K1741" s="405">
        <v>31.835443999999999</v>
      </c>
      <c r="L1741" s="405" t="s">
        <v>24545</v>
      </c>
      <c r="M1741" s="405" t="s">
        <v>20070</v>
      </c>
      <c r="N1741" s="405" t="s">
        <v>20076</v>
      </c>
      <c r="O1741" s="405" t="s">
        <v>25208</v>
      </c>
      <c r="P1741" s="405" t="s">
        <v>20073</v>
      </c>
      <c r="Q1741" s="411">
        <v>13</v>
      </c>
      <c r="R1741" s="405" t="s">
        <v>24106</v>
      </c>
      <c r="S1741" s="405" t="s">
        <v>27447</v>
      </c>
      <c r="T1741" s="405" t="s">
        <v>884</v>
      </c>
      <c r="U1741" s="405" t="s">
        <v>319</v>
      </c>
    </row>
    <row r="1742" spans="1:21" x14ac:dyDescent="0.25">
      <c r="A1742" s="405" t="s">
        <v>310</v>
      </c>
      <c r="B1742" s="405" t="s">
        <v>25127</v>
      </c>
      <c r="C1742" s="405" t="s">
        <v>327</v>
      </c>
      <c r="D1742" s="405"/>
      <c r="E1742" s="410">
        <v>43634</v>
      </c>
      <c r="F1742" s="410">
        <v>43649</v>
      </c>
      <c r="G1742" s="405" t="s">
        <v>25128</v>
      </c>
      <c r="H1742" s="405">
        <v>772694857</v>
      </c>
      <c r="I1742" s="405">
        <v>702459833</v>
      </c>
      <c r="J1742" s="405">
        <v>0.67284299999999997</v>
      </c>
      <c r="K1742" s="405">
        <v>30.325279999999999</v>
      </c>
      <c r="L1742" s="405" t="s">
        <v>590</v>
      </c>
      <c r="M1742" s="405" t="s">
        <v>21917</v>
      </c>
      <c r="N1742" s="405" t="s">
        <v>20853</v>
      </c>
      <c r="O1742" s="405" t="s">
        <v>25129</v>
      </c>
      <c r="P1742" s="405" t="s">
        <v>25129</v>
      </c>
      <c r="Q1742" s="411">
        <v>9</v>
      </c>
      <c r="R1742" s="405" t="s">
        <v>32157</v>
      </c>
      <c r="S1742" s="405" t="s">
        <v>27059</v>
      </c>
      <c r="T1742" s="405" t="s">
        <v>884</v>
      </c>
      <c r="U1742" s="405" t="s">
        <v>319</v>
      </c>
    </row>
    <row r="1743" spans="1:21" x14ac:dyDescent="0.25">
      <c r="A1743" s="405" t="s">
        <v>310</v>
      </c>
      <c r="B1743" s="405" t="s">
        <v>25075</v>
      </c>
      <c r="C1743" s="405" t="s">
        <v>327</v>
      </c>
      <c r="D1743" s="405"/>
      <c r="E1743" s="410">
        <v>43634</v>
      </c>
      <c r="F1743" s="410">
        <v>43646</v>
      </c>
      <c r="G1743" s="405" t="s">
        <v>25076</v>
      </c>
      <c r="H1743" s="405">
        <v>771670204</v>
      </c>
      <c r="I1743" s="405"/>
      <c r="J1743" s="405">
        <v>-0.50330799999999998</v>
      </c>
      <c r="K1743" s="405">
        <v>30.437280000000001</v>
      </c>
      <c r="L1743" s="405" t="s">
        <v>590</v>
      </c>
      <c r="M1743" s="405" t="s">
        <v>19725</v>
      </c>
      <c r="N1743" s="405" t="s">
        <v>19725</v>
      </c>
      <c r="O1743" s="405" t="s">
        <v>19938</v>
      </c>
      <c r="P1743" s="405" t="s">
        <v>21557</v>
      </c>
      <c r="Q1743" s="411">
        <v>9</v>
      </c>
      <c r="R1743" s="405" t="s">
        <v>883</v>
      </c>
      <c r="S1743" s="405" t="s">
        <v>27161</v>
      </c>
      <c r="T1743" s="405" t="s">
        <v>884</v>
      </c>
      <c r="U1743" s="405" t="s">
        <v>319</v>
      </c>
    </row>
    <row r="1744" spans="1:21" x14ac:dyDescent="0.25">
      <c r="A1744" s="405" t="s">
        <v>310</v>
      </c>
      <c r="B1744" s="405" t="s">
        <v>25144</v>
      </c>
      <c r="C1744" s="405" t="s">
        <v>327</v>
      </c>
      <c r="D1744" s="405"/>
      <c r="E1744" s="410">
        <v>43632</v>
      </c>
      <c r="F1744" s="410">
        <v>43648</v>
      </c>
      <c r="G1744" s="405" t="s">
        <v>25145</v>
      </c>
      <c r="H1744" s="405">
        <v>774131931</v>
      </c>
      <c r="I1744" s="405" t="s">
        <v>25146</v>
      </c>
      <c r="J1744" s="405" t="s">
        <v>7334</v>
      </c>
      <c r="K1744" s="405">
        <v>34.189390000000003</v>
      </c>
      <c r="L1744" s="405" t="s">
        <v>590</v>
      </c>
      <c r="M1744" s="405" t="s">
        <v>20125</v>
      </c>
      <c r="N1744" s="405" t="s">
        <v>20126</v>
      </c>
      <c r="O1744" s="405" t="s">
        <v>25147</v>
      </c>
      <c r="P1744" s="405" t="s">
        <v>25148</v>
      </c>
      <c r="Q1744" s="411">
        <v>6</v>
      </c>
      <c r="R1744" s="405" t="s">
        <v>6572</v>
      </c>
      <c r="S1744" s="405" t="s">
        <v>27193</v>
      </c>
      <c r="T1744" s="405" t="s">
        <v>884</v>
      </c>
      <c r="U1744" s="405" t="s">
        <v>319</v>
      </c>
    </row>
    <row r="1745" spans="1:21" x14ac:dyDescent="0.25">
      <c r="A1745" s="405" t="s">
        <v>310</v>
      </c>
      <c r="B1745" s="405" t="s">
        <v>7495</v>
      </c>
      <c r="C1745" s="405" t="s">
        <v>327</v>
      </c>
      <c r="D1745" s="405"/>
      <c r="E1745" s="410">
        <v>43631</v>
      </c>
      <c r="F1745" s="410">
        <v>43649</v>
      </c>
      <c r="G1745" s="405" t="s">
        <v>7496</v>
      </c>
      <c r="H1745" s="405">
        <v>703517843</v>
      </c>
      <c r="I1745" s="405"/>
      <c r="J1745" s="405">
        <v>1.3524529999999999</v>
      </c>
      <c r="K1745" s="405">
        <v>34.467911999999998</v>
      </c>
      <c r="L1745" s="405" t="s">
        <v>314</v>
      </c>
      <c r="M1745" s="405" t="s">
        <v>361</v>
      </c>
      <c r="N1745" s="405" t="s">
        <v>5924</v>
      </c>
      <c r="O1745" s="405" t="s">
        <v>374</v>
      </c>
      <c r="P1745" s="405" t="s">
        <v>7497</v>
      </c>
      <c r="Q1745" s="411">
        <v>6</v>
      </c>
      <c r="R1745" s="405" t="s">
        <v>5921</v>
      </c>
      <c r="S1745" s="405" t="s">
        <v>32960</v>
      </c>
      <c r="T1745" s="405" t="s">
        <v>884</v>
      </c>
      <c r="U1745" s="405" t="s">
        <v>319</v>
      </c>
    </row>
    <row r="1746" spans="1:21" x14ac:dyDescent="0.25">
      <c r="A1746" s="405" t="s">
        <v>310</v>
      </c>
      <c r="B1746" s="405" t="s">
        <v>25103</v>
      </c>
      <c r="C1746" s="405" t="s">
        <v>327</v>
      </c>
      <c r="D1746" s="405"/>
      <c r="E1746" s="410">
        <v>43631</v>
      </c>
      <c r="F1746" s="410">
        <v>43646</v>
      </c>
      <c r="G1746" s="405" t="s">
        <v>25104</v>
      </c>
      <c r="H1746" s="405">
        <v>772662530</v>
      </c>
      <c r="I1746" s="405"/>
      <c r="J1746" s="405">
        <v>-0.53790000000000004</v>
      </c>
      <c r="K1746" s="405">
        <v>30.179144999999998</v>
      </c>
      <c r="L1746" s="405" t="s">
        <v>590</v>
      </c>
      <c r="M1746" s="405" t="s">
        <v>19625</v>
      </c>
      <c r="N1746" s="405" t="s">
        <v>19625</v>
      </c>
      <c r="O1746" s="405" t="s">
        <v>7426</v>
      </c>
      <c r="P1746" s="405" t="s">
        <v>22309</v>
      </c>
      <c r="Q1746" s="411">
        <v>6</v>
      </c>
      <c r="R1746" s="405" t="s">
        <v>883</v>
      </c>
      <c r="S1746" s="405" t="s">
        <v>27172</v>
      </c>
      <c r="T1746" s="405" t="s">
        <v>884</v>
      </c>
      <c r="U1746" s="405" t="s">
        <v>319</v>
      </c>
    </row>
    <row r="1747" spans="1:21" x14ac:dyDescent="0.25">
      <c r="A1747" s="405" t="s">
        <v>310</v>
      </c>
      <c r="B1747" s="405" t="s">
        <v>16642</v>
      </c>
      <c r="C1747" s="405" t="s">
        <v>327</v>
      </c>
      <c r="D1747" s="405"/>
      <c r="E1747" s="410">
        <v>43630</v>
      </c>
      <c r="F1747" s="410">
        <v>43643</v>
      </c>
      <c r="G1747" s="405" t="s">
        <v>16643</v>
      </c>
      <c r="H1747" s="405">
        <v>702771346</v>
      </c>
      <c r="I1747" s="405"/>
      <c r="J1747" s="405">
        <v>1.288718</v>
      </c>
      <c r="K1747" s="405">
        <v>34.284447</v>
      </c>
      <c r="L1747" s="405" t="s">
        <v>6866</v>
      </c>
      <c r="M1747" s="405" t="s">
        <v>9550</v>
      </c>
      <c r="N1747" s="405" t="s">
        <v>9550</v>
      </c>
      <c r="O1747" s="405" t="s">
        <v>9869</v>
      </c>
      <c r="P1747" s="405" t="s">
        <v>16644</v>
      </c>
      <c r="Q1747" s="411">
        <v>4</v>
      </c>
      <c r="R1747" s="405" t="s">
        <v>874</v>
      </c>
      <c r="S1747" s="405" t="s">
        <v>23838</v>
      </c>
      <c r="T1747" s="405" t="s">
        <v>884</v>
      </c>
      <c r="U1747" s="405" t="s">
        <v>319</v>
      </c>
    </row>
    <row r="1748" spans="1:21" x14ac:dyDescent="0.25">
      <c r="A1748" s="405" t="s">
        <v>310</v>
      </c>
      <c r="B1748" s="405" t="s">
        <v>7464</v>
      </c>
      <c r="C1748" s="405" t="s">
        <v>327</v>
      </c>
      <c r="D1748" s="405"/>
      <c r="E1748" s="410">
        <v>43628</v>
      </c>
      <c r="F1748" s="410">
        <v>43655</v>
      </c>
      <c r="G1748" s="405" t="s">
        <v>7465</v>
      </c>
      <c r="H1748" s="405">
        <v>750888355</v>
      </c>
      <c r="I1748" s="405"/>
      <c r="J1748" s="405">
        <v>-6.2802999999999998E-2</v>
      </c>
      <c r="K1748" s="405">
        <v>29.834150000000001</v>
      </c>
      <c r="L1748" s="405" t="s">
        <v>314</v>
      </c>
      <c r="M1748" s="405" t="s">
        <v>361</v>
      </c>
      <c r="N1748" s="405" t="s">
        <v>2496</v>
      </c>
      <c r="O1748" s="405" t="s">
        <v>638</v>
      </c>
      <c r="P1748" s="405" t="s">
        <v>6366</v>
      </c>
      <c r="Q1748" s="411">
        <v>9</v>
      </c>
      <c r="R1748" s="405" t="s">
        <v>32101</v>
      </c>
      <c r="S1748" s="405" t="s">
        <v>27167</v>
      </c>
      <c r="T1748" s="405" t="s">
        <v>884</v>
      </c>
      <c r="U1748" s="405" t="s">
        <v>319</v>
      </c>
    </row>
    <row r="1749" spans="1:21" x14ac:dyDescent="0.25">
      <c r="A1749" s="405" t="s">
        <v>310</v>
      </c>
      <c r="B1749" s="405" t="s">
        <v>7385</v>
      </c>
      <c r="C1749" s="405" t="s">
        <v>327</v>
      </c>
      <c r="D1749" s="405"/>
      <c r="E1749" s="410">
        <v>43627</v>
      </c>
      <c r="F1749" s="410">
        <v>43642</v>
      </c>
      <c r="G1749" s="405" t="s">
        <v>7386</v>
      </c>
      <c r="H1749" s="405">
        <v>704890374</v>
      </c>
      <c r="I1749" s="405"/>
      <c r="J1749" s="405">
        <v>-0.39057799999999998</v>
      </c>
      <c r="K1749" s="405">
        <v>31.467017999999999</v>
      </c>
      <c r="L1749" s="405" t="s">
        <v>314</v>
      </c>
      <c r="M1749" s="405" t="s">
        <v>1189</v>
      </c>
      <c r="N1749" s="405" t="s">
        <v>1189</v>
      </c>
      <c r="O1749" s="405" t="s">
        <v>7387</v>
      </c>
      <c r="P1749" s="405" t="s">
        <v>7388</v>
      </c>
      <c r="Q1749" s="411">
        <v>6</v>
      </c>
      <c r="R1749" s="405" t="s">
        <v>402</v>
      </c>
      <c r="S1749" s="405" t="s">
        <v>27121</v>
      </c>
      <c r="T1749" s="405" t="s">
        <v>884</v>
      </c>
      <c r="U1749" s="405" t="s">
        <v>319</v>
      </c>
    </row>
    <row r="1750" spans="1:21" x14ac:dyDescent="0.25">
      <c r="A1750" s="405" t="s">
        <v>310</v>
      </c>
      <c r="B1750" s="405" t="s">
        <v>25157</v>
      </c>
      <c r="C1750" s="405" t="s">
        <v>327</v>
      </c>
      <c r="D1750" s="405"/>
      <c r="E1750" s="410">
        <v>43626</v>
      </c>
      <c r="F1750" s="410">
        <v>43647</v>
      </c>
      <c r="G1750" s="405" t="s">
        <v>25158</v>
      </c>
      <c r="H1750" s="405">
        <v>782356255</v>
      </c>
      <c r="I1750" s="405"/>
      <c r="J1750" s="405" t="s">
        <v>7406</v>
      </c>
      <c r="K1750" s="405">
        <v>32.623615000000001</v>
      </c>
      <c r="L1750" s="405" t="s">
        <v>590</v>
      </c>
      <c r="M1750" s="405" t="s">
        <v>25159</v>
      </c>
      <c r="N1750" s="405" t="s">
        <v>19911</v>
      </c>
      <c r="O1750" s="405" t="s">
        <v>25160</v>
      </c>
      <c r="P1750" s="405" t="s">
        <v>25160</v>
      </c>
      <c r="Q1750" s="411">
        <v>9</v>
      </c>
      <c r="R1750" s="405" t="s">
        <v>6572</v>
      </c>
      <c r="S1750" s="405" t="s">
        <v>27166</v>
      </c>
      <c r="T1750" s="405" t="s">
        <v>884</v>
      </c>
      <c r="U1750" s="405" t="s">
        <v>319</v>
      </c>
    </row>
    <row r="1751" spans="1:21" x14ac:dyDescent="0.25">
      <c r="A1751" s="405" t="s">
        <v>310</v>
      </c>
      <c r="B1751" s="405" t="s">
        <v>7398</v>
      </c>
      <c r="C1751" s="405" t="s">
        <v>327</v>
      </c>
      <c r="D1751" s="405"/>
      <c r="E1751" s="410">
        <v>43626</v>
      </c>
      <c r="F1751" s="410">
        <v>43642</v>
      </c>
      <c r="G1751" s="405" t="s">
        <v>7399</v>
      </c>
      <c r="H1751" s="405">
        <v>782475301</v>
      </c>
      <c r="I1751" s="405"/>
      <c r="J1751" s="405">
        <v>-0.27426299999999998</v>
      </c>
      <c r="K1751" s="405">
        <v>31.11835</v>
      </c>
      <c r="L1751" s="405" t="s">
        <v>314</v>
      </c>
      <c r="M1751" s="405" t="s">
        <v>1805</v>
      </c>
      <c r="N1751" s="405" t="s">
        <v>7400</v>
      </c>
      <c r="O1751" s="405" t="s">
        <v>7401</v>
      </c>
      <c r="P1751" s="405" t="s">
        <v>7401</v>
      </c>
      <c r="Q1751" s="411">
        <v>9</v>
      </c>
      <c r="R1751" s="405" t="s">
        <v>32166</v>
      </c>
      <c r="S1751" s="405" t="s">
        <v>27102</v>
      </c>
      <c r="T1751" s="405" t="s">
        <v>884</v>
      </c>
      <c r="U1751" s="405" t="s">
        <v>319</v>
      </c>
    </row>
    <row r="1752" spans="1:21" x14ac:dyDescent="0.25">
      <c r="A1752" s="405" t="s">
        <v>310</v>
      </c>
      <c r="B1752" s="405" t="s">
        <v>16638</v>
      </c>
      <c r="C1752" s="405" t="s">
        <v>327</v>
      </c>
      <c r="D1752" s="405"/>
      <c r="E1752" s="410">
        <v>43626</v>
      </c>
      <c r="F1752" s="410">
        <v>43640</v>
      </c>
      <c r="G1752" s="405" t="s">
        <v>16639</v>
      </c>
      <c r="H1752" s="405">
        <v>772367478</v>
      </c>
      <c r="I1752" s="405"/>
      <c r="J1752" s="405">
        <v>1.116457</v>
      </c>
      <c r="K1752" s="405">
        <v>34.019821999999998</v>
      </c>
      <c r="L1752" s="405" t="s">
        <v>6866</v>
      </c>
      <c r="M1752" s="405" t="s">
        <v>6867</v>
      </c>
      <c r="N1752" s="405" t="s">
        <v>16640</v>
      </c>
      <c r="O1752" s="405" t="s">
        <v>16640</v>
      </c>
      <c r="P1752" s="405" t="s">
        <v>16641</v>
      </c>
      <c r="Q1752" s="411">
        <v>9</v>
      </c>
      <c r="R1752" s="405" t="s">
        <v>7224</v>
      </c>
      <c r="S1752" s="405" t="s">
        <v>27067</v>
      </c>
      <c r="T1752" s="405" t="s">
        <v>884</v>
      </c>
      <c r="U1752" s="405" t="s">
        <v>319</v>
      </c>
    </row>
    <row r="1753" spans="1:21" x14ac:dyDescent="0.25">
      <c r="A1753" s="405" t="s">
        <v>310</v>
      </c>
      <c r="B1753" s="405" t="s">
        <v>16707</v>
      </c>
      <c r="C1753" s="405" t="s">
        <v>327</v>
      </c>
      <c r="D1753" s="405"/>
      <c r="E1753" s="410">
        <v>43626</v>
      </c>
      <c r="F1753" s="410">
        <v>43641</v>
      </c>
      <c r="G1753" s="405" t="s">
        <v>16708</v>
      </c>
      <c r="H1753" s="405">
        <v>782442240</v>
      </c>
      <c r="I1753" s="405" t="s">
        <v>16709</v>
      </c>
      <c r="J1753" s="405">
        <v>1.5548</v>
      </c>
      <c r="K1753" s="405">
        <v>33.564300000000003</v>
      </c>
      <c r="L1753" s="405" t="s">
        <v>6866</v>
      </c>
      <c r="M1753" s="405" t="s">
        <v>11355</v>
      </c>
      <c r="N1753" s="405" t="s">
        <v>11356</v>
      </c>
      <c r="O1753" s="405" t="s">
        <v>11355</v>
      </c>
      <c r="P1753" s="405" t="s">
        <v>13159</v>
      </c>
      <c r="Q1753" s="411">
        <v>6</v>
      </c>
      <c r="R1753" s="405" t="s">
        <v>5655</v>
      </c>
      <c r="S1753" s="405" t="s">
        <v>27056</v>
      </c>
      <c r="T1753" s="405" t="s">
        <v>884</v>
      </c>
      <c r="U1753" s="405" t="s">
        <v>319</v>
      </c>
    </row>
    <row r="1754" spans="1:21" x14ac:dyDescent="0.25">
      <c r="A1754" s="405" t="s">
        <v>310</v>
      </c>
      <c r="B1754" s="405" t="s">
        <v>7389</v>
      </c>
      <c r="C1754" s="405" t="s">
        <v>327</v>
      </c>
      <c r="D1754" s="405"/>
      <c r="E1754" s="410">
        <v>43626</v>
      </c>
      <c r="F1754" s="410">
        <v>43638</v>
      </c>
      <c r="G1754" s="405" t="s">
        <v>7390</v>
      </c>
      <c r="H1754" s="405">
        <v>782524289</v>
      </c>
      <c r="I1754" s="405"/>
      <c r="J1754" s="405">
        <v>0.23189999</v>
      </c>
      <c r="K1754" s="405">
        <v>21.275666600000001</v>
      </c>
      <c r="L1754" s="405" t="s">
        <v>314</v>
      </c>
      <c r="M1754" s="405" t="s">
        <v>382</v>
      </c>
      <c r="N1754" s="405" t="s">
        <v>7391</v>
      </c>
      <c r="O1754" s="405" t="s">
        <v>5911</v>
      </c>
      <c r="P1754" s="405" t="s">
        <v>7392</v>
      </c>
      <c r="Q1754" s="411">
        <v>6</v>
      </c>
      <c r="R1754" s="405" t="s">
        <v>402</v>
      </c>
      <c r="S1754" s="405" t="s">
        <v>27121</v>
      </c>
      <c r="T1754" s="405" t="s">
        <v>32102</v>
      </c>
      <c r="U1754" s="405" t="s">
        <v>319</v>
      </c>
    </row>
    <row r="1755" spans="1:21" x14ac:dyDescent="0.25">
      <c r="A1755" s="405" t="s">
        <v>310</v>
      </c>
      <c r="B1755" s="405" t="s">
        <v>16879</v>
      </c>
      <c r="C1755" s="405" t="s">
        <v>327</v>
      </c>
      <c r="D1755" s="405"/>
      <c r="E1755" s="410">
        <v>43625</v>
      </c>
      <c r="F1755" s="410">
        <v>43702</v>
      </c>
      <c r="G1755" s="405" t="s">
        <v>16880</v>
      </c>
      <c r="H1755" s="405">
        <v>782958756</v>
      </c>
      <c r="I1755" s="405"/>
      <c r="J1755" s="405">
        <v>0.99083600000000005</v>
      </c>
      <c r="K1755" s="405">
        <v>34.173879999999997</v>
      </c>
      <c r="L1755" s="405" t="s">
        <v>6866</v>
      </c>
      <c r="M1755" s="405" t="s">
        <v>9509</v>
      </c>
      <c r="N1755" s="405" t="s">
        <v>16881</v>
      </c>
      <c r="O1755" s="405" t="s">
        <v>16882</v>
      </c>
      <c r="P1755" s="405" t="s">
        <v>16883</v>
      </c>
      <c r="Q1755" s="411">
        <v>9</v>
      </c>
      <c r="R1755" s="405" t="s">
        <v>32164</v>
      </c>
      <c r="S1755" s="405" t="s">
        <v>27174</v>
      </c>
      <c r="T1755" s="405" t="s">
        <v>32102</v>
      </c>
      <c r="U1755" s="405" t="s">
        <v>319</v>
      </c>
    </row>
    <row r="1756" spans="1:21" x14ac:dyDescent="0.25">
      <c r="A1756" s="405" t="s">
        <v>310</v>
      </c>
      <c r="B1756" s="405" t="s">
        <v>16701</v>
      </c>
      <c r="C1756" s="405" t="s">
        <v>327</v>
      </c>
      <c r="D1756" s="405"/>
      <c r="E1756" s="410">
        <v>43624</v>
      </c>
      <c r="F1756" s="410">
        <v>43639</v>
      </c>
      <c r="G1756" s="405" t="s">
        <v>16702</v>
      </c>
      <c r="H1756" s="405">
        <v>777670726</v>
      </c>
      <c r="I1756" s="405">
        <v>778576476</v>
      </c>
      <c r="J1756" s="405">
        <v>0.29330000000000001</v>
      </c>
      <c r="K1756" s="405">
        <v>31.292300000000001</v>
      </c>
      <c r="L1756" s="405" t="s">
        <v>16357</v>
      </c>
      <c r="M1756" s="405" t="s">
        <v>10163</v>
      </c>
      <c r="N1756" s="405" t="s">
        <v>16694</v>
      </c>
      <c r="O1756" s="405" t="s">
        <v>12081</v>
      </c>
      <c r="P1756" s="405" t="s">
        <v>16703</v>
      </c>
      <c r="Q1756" s="411">
        <v>6</v>
      </c>
      <c r="R1756" s="405" t="s">
        <v>9506</v>
      </c>
      <c r="S1756" s="405" t="s">
        <v>27353</v>
      </c>
      <c r="T1756" s="405" t="s">
        <v>884</v>
      </c>
      <c r="U1756" s="405" t="s">
        <v>319</v>
      </c>
    </row>
    <row r="1757" spans="1:21" x14ac:dyDescent="0.25">
      <c r="A1757" s="405" t="s">
        <v>310</v>
      </c>
      <c r="B1757" s="405" t="s">
        <v>7396</v>
      </c>
      <c r="C1757" s="405" t="s">
        <v>327</v>
      </c>
      <c r="D1757" s="405"/>
      <c r="E1757" s="410">
        <v>43624</v>
      </c>
      <c r="F1757" s="410">
        <v>43633</v>
      </c>
      <c r="G1757" s="405" t="s">
        <v>7397</v>
      </c>
      <c r="H1757" s="405">
        <v>754867934</v>
      </c>
      <c r="I1757" s="405"/>
      <c r="J1757" s="405">
        <v>0.1716</v>
      </c>
      <c r="K1757" s="405">
        <v>31.441400000000002</v>
      </c>
      <c r="L1757" s="405" t="s">
        <v>314</v>
      </c>
      <c r="M1757" s="405" t="s">
        <v>382</v>
      </c>
      <c r="N1757" s="405" t="s">
        <v>383</v>
      </c>
      <c r="O1757" s="405" t="s">
        <v>5911</v>
      </c>
      <c r="P1757" s="405" t="s">
        <v>7392</v>
      </c>
      <c r="Q1757" s="411">
        <v>6</v>
      </c>
      <c r="R1757" s="405" t="s">
        <v>402</v>
      </c>
      <c r="S1757" s="405" t="s">
        <v>27052</v>
      </c>
      <c r="T1757" s="405" t="s">
        <v>884</v>
      </c>
      <c r="U1757" s="405" t="s">
        <v>319</v>
      </c>
    </row>
    <row r="1758" spans="1:21" x14ac:dyDescent="0.25">
      <c r="A1758" s="405" t="s">
        <v>310</v>
      </c>
      <c r="B1758" s="405" t="s">
        <v>16725</v>
      </c>
      <c r="C1758" s="405" t="s">
        <v>327</v>
      </c>
      <c r="D1758" s="405"/>
      <c r="E1758" s="410">
        <v>43623</v>
      </c>
      <c r="F1758" s="410">
        <v>43666</v>
      </c>
      <c r="G1758" s="405" t="s">
        <v>16726</v>
      </c>
      <c r="H1758" s="405">
        <v>777042836</v>
      </c>
      <c r="I1758" s="405">
        <v>788080128</v>
      </c>
      <c r="J1758" s="405">
        <v>-5.5708000000000001E-2</v>
      </c>
      <c r="K1758" s="405" t="s">
        <v>7372</v>
      </c>
      <c r="L1758" s="405" t="s">
        <v>6866</v>
      </c>
      <c r="M1758" s="405" t="s">
        <v>9575</v>
      </c>
      <c r="N1758" s="405" t="s">
        <v>9576</v>
      </c>
      <c r="O1758" s="405" t="s">
        <v>16727</v>
      </c>
      <c r="P1758" s="405" t="s">
        <v>16728</v>
      </c>
      <c r="Q1758" s="411">
        <v>6</v>
      </c>
      <c r="R1758" s="405" t="s">
        <v>7224</v>
      </c>
      <c r="S1758" s="405" t="s">
        <v>27074</v>
      </c>
      <c r="T1758" s="405" t="s">
        <v>884</v>
      </c>
      <c r="U1758" s="405" t="s">
        <v>319</v>
      </c>
    </row>
    <row r="1759" spans="1:21" x14ac:dyDescent="0.25">
      <c r="A1759" s="405" t="s">
        <v>310</v>
      </c>
      <c r="B1759" s="405" t="s">
        <v>7483</v>
      </c>
      <c r="C1759" s="405" t="s">
        <v>327</v>
      </c>
      <c r="D1759" s="405"/>
      <c r="E1759" s="410">
        <v>43622</v>
      </c>
      <c r="F1759" s="410">
        <v>43661</v>
      </c>
      <c r="G1759" s="405" t="s">
        <v>7484</v>
      </c>
      <c r="H1759" s="405">
        <v>758010994</v>
      </c>
      <c r="I1759" s="405"/>
      <c r="J1759" s="405">
        <v>0.37378299999999998</v>
      </c>
      <c r="K1759" s="405">
        <v>32.605392000000002</v>
      </c>
      <c r="L1759" s="405" t="s">
        <v>314</v>
      </c>
      <c r="M1759" s="405" t="s">
        <v>361</v>
      </c>
      <c r="N1759" s="405" t="s">
        <v>987</v>
      </c>
      <c r="O1759" s="405" t="s">
        <v>987</v>
      </c>
      <c r="P1759" s="405" t="s">
        <v>4525</v>
      </c>
      <c r="Q1759" s="411">
        <v>13</v>
      </c>
      <c r="R1759" s="405" t="s">
        <v>5665</v>
      </c>
      <c r="S1759" s="405" t="s">
        <v>27110</v>
      </c>
      <c r="T1759" s="405" t="s">
        <v>884</v>
      </c>
      <c r="U1759" s="405" t="s">
        <v>319</v>
      </c>
    </row>
    <row r="1760" spans="1:21" x14ac:dyDescent="0.25">
      <c r="A1760" s="405" t="s">
        <v>310</v>
      </c>
      <c r="B1760" s="405" t="s">
        <v>25092</v>
      </c>
      <c r="C1760" s="405" t="s">
        <v>327</v>
      </c>
      <c r="D1760" s="405"/>
      <c r="E1760" s="410">
        <v>43622</v>
      </c>
      <c r="F1760" s="410">
        <v>43642</v>
      </c>
      <c r="G1760" s="405" t="s">
        <v>25093</v>
      </c>
      <c r="H1760" s="405">
        <v>772367427</v>
      </c>
      <c r="I1760" s="405"/>
      <c r="J1760" s="405">
        <v>-0.51533200000000001</v>
      </c>
      <c r="K1760" s="405">
        <v>30.417816999999999</v>
      </c>
      <c r="L1760" s="405" t="s">
        <v>590</v>
      </c>
      <c r="M1760" s="405" t="s">
        <v>19725</v>
      </c>
      <c r="N1760" s="405" t="s">
        <v>19725</v>
      </c>
      <c r="O1760" s="405" t="s">
        <v>19938</v>
      </c>
      <c r="P1760" s="405" t="s">
        <v>25094</v>
      </c>
      <c r="Q1760" s="411">
        <v>13</v>
      </c>
      <c r="R1760" s="405" t="s">
        <v>32166</v>
      </c>
      <c r="S1760" s="405" t="s">
        <v>27410</v>
      </c>
      <c r="T1760" s="405" t="s">
        <v>884</v>
      </c>
      <c r="U1760" s="405" t="s">
        <v>319</v>
      </c>
    </row>
    <row r="1761" spans="1:21" x14ac:dyDescent="0.25">
      <c r="A1761" s="405" t="s">
        <v>310</v>
      </c>
      <c r="B1761" s="405" t="s">
        <v>19694</v>
      </c>
      <c r="C1761" s="405" t="s">
        <v>311</v>
      </c>
      <c r="D1761" s="405" t="s">
        <v>9623</v>
      </c>
      <c r="E1761" s="410">
        <v>44349</v>
      </c>
      <c r="F1761" s="410">
        <v>44411</v>
      </c>
      <c r="G1761" s="405" t="s">
        <v>19695</v>
      </c>
      <c r="H1761" s="405">
        <v>789858052</v>
      </c>
      <c r="I1761" s="405"/>
      <c r="J1761" s="405">
        <v>3.3329629999999999</v>
      </c>
      <c r="K1761" s="405">
        <v>32.811424000000002</v>
      </c>
      <c r="L1761" s="405" t="s">
        <v>860</v>
      </c>
      <c r="M1761" s="405" t="s">
        <v>19696</v>
      </c>
      <c r="N1761" s="405" t="s">
        <v>19696</v>
      </c>
      <c r="O1761" s="405" t="s">
        <v>19697</v>
      </c>
      <c r="P1761" s="405" t="s">
        <v>19698</v>
      </c>
      <c r="Q1761" s="411">
        <v>30</v>
      </c>
      <c r="R1761" s="405" t="s">
        <v>32101</v>
      </c>
      <c r="S1761" s="405" t="s">
        <v>27275</v>
      </c>
      <c r="T1761" s="405" t="s">
        <v>884</v>
      </c>
      <c r="U1761" s="405" t="s">
        <v>319</v>
      </c>
    </row>
    <row r="1762" spans="1:21" x14ac:dyDescent="0.25">
      <c r="A1762" s="405" t="s">
        <v>310</v>
      </c>
      <c r="B1762" s="405" t="s">
        <v>7563</v>
      </c>
      <c r="C1762" s="405" t="s">
        <v>327</v>
      </c>
      <c r="D1762" s="405"/>
      <c r="E1762" s="410">
        <v>43620</v>
      </c>
      <c r="F1762" s="410">
        <v>43699</v>
      </c>
      <c r="G1762" s="405" t="s">
        <v>7564</v>
      </c>
      <c r="H1762" s="405" t="s">
        <v>7565</v>
      </c>
      <c r="I1762" s="405" t="s">
        <v>7566</v>
      </c>
      <c r="J1762" s="405">
        <v>0.31050499999999998</v>
      </c>
      <c r="K1762" s="405">
        <v>32.525083000000002</v>
      </c>
      <c r="L1762" s="405" t="s">
        <v>314</v>
      </c>
      <c r="M1762" s="405" t="s">
        <v>959</v>
      </c>
      <c r="N1762" s="405" t="s">
        <v>1094</v>
      </c>
      <c r="O1762" s="405" t="s">
        <v>7567</v>
      </c>
      <c r="P1762" s="405" t="s">
        <v>7568</v>
      </c>
      <c r="Q1762" s="411">
        <v>13</v>
      </c>
      <c r="R1762" s="405" t="s">
        <v>6561</v>
      </c>
      <c r="S1762" s="405" t="s">
        <v>27210</v>
      </c>
      <c r="T1762" s="405" t="s">
        <v>884</v>
      </c>
      <c r="U1762" s="405" t="s">
        <v>319</v>
      </c>
    </row>
    <row r="1763" spans="1:21" x14ac:dyDescent="0.25">
      <c r="A1763" s="405" t="s">
        <v>310</v>
      </c>
      <c r="B1763" s="405" t="s">
        <v>7498</v>
      </c>
      <c r="C1763" s="405" t="s">
        <v>327</v>
      </c>
      <c r="D1763" s="405"/>
      <c r="E1763" s="410">
        <v>43620</v>
      </c>
      <c r="F1763" s="410">
        <v>43649</v>
      </c>
      <c r="G1763" s="405" t="s">
        <v>7499</v>
      </c>
      <c r="H1763" s="405">
        <v>772661039</v>
      </c>
      <c r="I1763" s="405"/>
      <c r="J1763" s="405" t="s">
        <v>7406</v>
      </c>
      <c r="K1763" s="405">
        <v>32.623615000000001</v>
      </c>
      <c r="L1763" s="405" t="s">
        <v>314</v>
      </c>
      <c r="M1763" s="405" t="s">
        <v>329</v>
      </c>
      <c r="N1763" s="405" t="s">
        <v>787</v>
      </c>
      <c r="O1763" s="405" t="s">
        <v>787</v>
      </c>
      <c r="P1763" s="405" t="s">
        <v>7500</v>
      </c>
      <c r="Q1763" s="411">
        <v>6</v>
      </c>
      <c r="R1763" s="405" t="s">
        <v>5921</v>
      </c>
      <c r="S1763" s="405" t="s">
        <v>32960</v>
      </c>
      <c r="T1763" s="405" t="s">
        <v>884</v>
      </c>
      <c r="U1763" s="405" t="s">
        <v>319</v>
      </c>
    </row>
    <row r="1764" spans="1:21" x14ac:dyDescent="0.25">
      <c r="A1764" s="405" t="s">
        <v>310</v>
      </c>
      <c r="B1764" s="405" t="s">
        <v>25099</v>
      </c>
      <c r="C1764" s="405" t="s">
        <v>327</v>
      </c>
      <c r="D1764" s="405"/>
      <c r="E1764" s="410">
        <v>43619</v>
      </c>
      <c r="F1764" s="410">
        <v>43634</v>
      </c>
      <c r="G1764" s="405" t="s">
        <v>25100</v>
      </c>
      <c r="H1764" s="405">
        <v>772880961</v>
      </c>
      <c r="I1764" s="405">
        <v>701341494</v>
      </c>
      <c r="J1764" s="405">
        <v>-6.2802999999999998E-2</v>
      </c>
      <c r="K1764" s="405">
        <v>29.834150000000001</v>
      </c>
      <c r="L1764" s="405" t="s">
        <v>24158</v>
      </c>
      <c r="M1764" s="405" t="s">
        <v>21087</v>
      </c>
      <c r="N1764" s="405" t="s">
        <v>25086</v>
      </c>
      <c r="O1764" s="405" t="s">
        <v>25087</v>
      </c>
      <c r="P1764" s="405" t="s">
        <v>25088</v>
      </c>
      <c r="Q1764" s="411">
        <v>9</v>
      </c>
      <c r="R1764" s="405" t="s">
        <v>6572</v>
      </c>
      <c r="S1764" s="405" t="s">
        <v>27301</v>
      </c>
      <c r="T1764" s="405" t="s">
        <v>884</v>
      </c>
      <c r="U1764" s="405" t="s">
        <v>319</v>
      </c>
    </row>
    <row r="1765" spans="1:21" x14ac:dyDescent="0.25">
      <c r="A1765" s="405" t="s">
        <v>310</v>
      </c>
      <c r="B1765" s="405" t="s">
        <v>16731</v>
      </c>
      <c r="C1765" s="405" t="s">
        <v>327</v>
      </c>
      <c r="D1765" s="405"/>
      <c r="E1765" s="410">
        <v>43619</v>
      </c>
      <c r="F1765" s="410">
        <v>43651</v>
      </c>
      <c r="G1765" s="405" t="s">
        <v>16732</v>
      </c>
      <c r="H1765" s="405">
        <v>776998232</v>
      </c>
      <c r="I1765" s="405"/>
      <c r="J1765" s="405">
        <v>-0.23760999999999999</v>
      </c>
      <c r="K1765" s="405">
        <v>31.763534</v>
      </c>
      <c r="L1765" s="405" t="s">
        <v>16357</v>
      </c>
      <c r="M1765" s="405" t="s">
        <v>9705</v>
      </c>
      <c r="N1765" s="405" t="s">
        <v>9705</v>
      </c>
      <c r="O1765" s="405" t="s">
        <v>10311</v>
      </c>
      <c r="P1765" s="405" t="s">
        <v>16733</v>
      </c>
      <c r="Q1765" s="411">
        <v>6</v>
      </c>
      <c r="R1765" s="405" t="s">
        <v>9506</v>
      </c>
      <c r="S1765" s="405" t="s">
        <v>27072</v>
      </c>
      <c r="T1765" s="405" t="s">
        <v>32102</v>
      </c>
      <c r="U1765" s="405" t="s">
        <v>319</v>
      </c>
    </row>
    <row r="1766" spans="1:21" x14ac:dyDescent="0.25">
      <c r="A1766" s="405" t="s">
        <v>310</v>
      </c>
      <c r="B1766" s="405" t="s">
        <v>16699</v>
      </c>
      <c r="C1766" s="405" t="s">
        <v>327</v>
      </c>
      <c r="D1766" s="405"/>
      <c r="E1766" s="410">
        <v>43619</v>
      </c>
      <c r="F1766" s="410">
        <v>43634</v>
      </c>
      <c r="G1766" s="405" t="s">
        <v>16700</v>
      </c>
      <c r="H1766" s="405">
        <v>782582196</v>
      </c>
      <c r="I1766" s="405">
        <v>701393212</v>
      </c>
      <c r="J1766" s="405">
        <v>1.2245999999999999</v>
      </c>
      <c r="K1766" s="405">
        <v>34.255000000000003</v>
      </c>
      <c r="L1766" s="405" t="s">
        <v>16357</v>
      </c>
      <c r="M1766" s="405" t="s">
        <v>9685</v>
      </c>
      <c r="N1766" s="405" t="s">
        <v>9686</v>
      </c>
      <c r="O1766" s="405" t="s">
        <v>9687</v>
      </c>
      <c r="P1766" s="405" t="s">
        <v>16416</v>
      </c>
      <c r="Q1766" s="411">
        <v>6</v>
      </c>
      <c r="R1766" s="405" t="s">
        <v>9506</v>
      </c>
      <c r="S1766" s="405" t="s">
        <v>27318</v>
      </c>
      <c r="T1766" s="405" t="s">
        <v>884</v>
      </c>
      <c r="U1766" s="405" t="s">
        <v>319</v>
      </c>
    </row>
    <row r="1767" spans="1:21" x14ac:dyDescent="0.25">
      <c r="A1767" s="405" t="s">
        <v>310</v>
      </c>
      <c r="B1767" s="405" t="s">
        <v>25089</v>
      </c>
      <c r="C1767" s="405" t="s">
        <v>327</v>
      </c>
      <c r="D1767" s="405"/>
      <c r="E1767" s="410">
        <v>43619</v>
      </c>
      <c r="F1767" s="410">
        <v>43634</v>
      </c>
      <c r="G1767" s="405" t="s">
        <v>25090</v>
      </c>
      <c r="H1767" s="405">
        <v>771445560</v>
      </c>
      <c r="I1767" s="405"/>
      <c r="J1767" s="405">
        <v>-5.7426999999999999E-2</v>
      </c>
      <c r="K1767" s="405">
        <v>29.834097</v>
      </c>
      <c r="L1767" s="405" t="s">
        <v>24545</v>
      </c>
      <c r="M1767" s="405" t="s">
        <v>21087</v>
      </c>
      <c r="N1767" s="405" t="s">
        <v>25086</v>
      </c>
      <c r="O1767" s="405" t="s">
        <v>25087</v>
      </c>
      <c r="P1767" s="405" t="s">
        <v>25091</v>
      </c>
      <c r="Q1767" s="411">
        <v>6</v>
      </c>
      <c r="R1767" s="405" t="s">
        <v>6572</v>
      </c>
      <c r="S1767" s="405" t="s">
        <v>27095</v>
      </c>
      <c r="T1767" s="405" t="s">
        <v>884</v>
      </c>
      <c r="U1767" s="405" t="s">
        <v>319</v>
      </c>
    </row>
    <row r="1768" spans="1:21" x14ac:dyDescent="0.25">
      <c r="A1768" s="405" t="s">
        <v>310</v>
      </c>
      <c r="B1768" s="405" t="s">
        <v>16692</v>
      </c>
      <c r="C1768" s="405" t="s">
        <v>327</v>
      </c>
      <c r="D1768" s="405"/>
      <c r="E1768" s="410">
        <v>43617</v>
      </c>
      <c r="F1768" s="410">
        <v>43632</v>
      </c>
      <c r="G1768" s="405" t="s">
        <v>16693</v>
      </c>
      <c r="H1768" s="405">
        <v>777468442</v>
      </c>
      <c r="I1768" s="405">
        <v>770671332</v>
      </c>
      <c r="J1768" s="405">
        <v>1.2032</v>
      </c>
      <c r="K1768" s="405">
        <v>34.395000000000003</v>
      </c>
      <c r="L1768" s="405" t="s">
        <v>16357</v>
      </c>
      <c r="M1768" s="405" t="s">
        <v>10163</v>
      </c>
      <c r="N1768" s="405" t="s">
        <v>16694</v>
      </c>
      <c r="O1768" s="405" t="s">
        <v>12081</v>
      </c>
      <c r="P1768" s="405" t="s">
        <v>16695</v>
      </c>
      <c r="Q1768" s="411">
        <v>6</v>
      </c>
      <c r="R1768" s="405" t="s">
        <v>9506</v>
      </c>
      <c r="S1768" s="405" t="s">
        <v>27353</v>
      </c>
      <c r="T1768" s="405" t="s">
        <v>884</v>
      </c>
      <c r="U1768" s="405" t="s">
        <v>319</v>
      </c>
    </row>
    <row r="1769" spans="1:21" x14ac:dyDescent="0.25">
      <c r="A1769" s="405" t="s">
        <v>310</v>
      </c>
      <c r="B1769" s="405" t="s">
        <v>16645</v>
      </c>
      <c r="C1769" s="405" t="s">
        <v>327</v>
      </c>
      <c r="D1769" s="405"/>
      <c r="E1769" s="410">
        <v>43617</v>
      </c>
      <c r="F1769" s="410">
        <v>43617</v>
      </c>
      <c r="G1769" s="405" t="s">
        <v>16646</v>
      </c>
      <c r="H1769" s="405">
        <v>704168447</v>
      </c>
      <c r="I1769" s="405">
        <v>778916789</v>
      </c>
      <c r="J1769" s="405">
        <v>0.59658999999999995</v>
      </c>
      <c r="K1769" s="405">
        <v>33.485022999999998</v>
      </c>
      <c r="L1769" s="405" t="s">
        <v>6866</v>
      </c>
      <c r="M1769" s="405" t="s">
        <v>10853</v>
      </c>
      <c r="N1769" s="405" t="s">
        <v>16647</v>
      </c>
      <c r="O1769" s="405" t="s">
        <v>11581</v>
      </c>
      <c r="P1769" s="405" t="s">
        <v>16647</v>
      </c>
      <c r="Q1769" s="411">
        <v>6</v>
      </c>
      <c r="R1769" s="405" t="s">
        <v>32101</v>
      </c>
      <c r="S1769" s="405" t="s">
        <v>27186</v>
      </c>
      <c r="T1769" s="405" t="s">
        <v>884</v>
      </c>
      <c r="U1769" s="405" t="s">
        <v>319</v>
      </c>
    </row>
    <row r="1770" spans="1:21" x14ac:dyDescent="0.25">
      <c r="A1770" s="405" t="s">
        <v>310</v>
      </c>
      <c r="B1770" s="405" t="s">
        <v>16689</v>
      </c>
      <c r="C1770" s="405" t="s">
        <v>327</v>
      </c>
      <c r="D1770" s="405"/>
      <c r="E1770" s="410">
        <v>43616</v>
      </c>
      <c r="F1770" s="410">
        <v>43637</v>
      </c>
      <c r="G1770" s="405" t="s">
        <v>16690</v>
      </c>
      <c r="H1770" s="405">
        <v>771454757</v>
      </c>
      <c r="I1770" s="405"/>
      <c r="J1770" s="405">
        <v>1.401818</v>
      </c>
      <c r="K1770" s="405">
        <v>34.495598000000001</v>
      </c>
      <c r="L1770" s="405" t="s">
        <v>6866</v>
      </c>
      <c r="M1770" s="405" t="s">
        <v>9705</v>
      </c>
      <c r="N1770" s="405" t="s">
        <v>9705</v>
      </c>
      <c r="O1770" s="405" t="s">
        <v>16691</v>
      </c>
      <c r="P1770" s="405" t="s">
        <v>16691</v>
      </c>
      <c r="Q1770" s="411">
        <v>6</v>
      </c>
      <c r="R1770" s="405" t="s">
        <v>9506</v>
      </c>
      <c r="S1770" s="405" t="s">
        <v>27169</v>
      </c>
      <c r="T1770" s="405" t="s">
        <v>884</v>
      </c>
      <c r="U1770" s="405" t="s">
        <v>319</v>
      </c>
    </row>
    <row r="1771" spans="1:21" x14ac:dyDescent="0.25">
      <c r="A1771" s="405" t="s">
        <v>310</v>
      </c>
      <c r="B1771" s="405" t="s">
        <v>16686</v>
      </c>
      <c r="C1771" s="405" t="s">
        <v>327</v>
      </c>
      <c r="D1771" s="405"/>
      <c r="E1771" s="410">
        <v>43616</v>
      </c>
      <c r="F1771" s="410">
        <v>43626</v>
      </c>
      <c r="G1771" s="405" t="s">
        <v>16687</v>
      </c>
      <c r="H1771" s="405">
        <v>777106370</v>
      </c>
      <c r="I1771" s="405"/>
      <c r="J1771" s="405">
        <v>1.25</v>
      </c>
      <c r="K1771" s="405">
        <v>34.345599999999997</v>
      </c>
      <c r="L1771" s="405" t="s">
        <v>16357</v>
      </c>
      <c r="M1771" s="405" t="s">
        <v>9705</v>
      </c>
      <c r="N1771" s="405" t="s">
        <v>9705</v>
      </c>
      <c r="O1771" s="405" t="s">
        <v>10311</v>
      </c>
      <c r="P1771" s="405" t="s">
        <v>16688</v>
      </c>
      <c r="Q1771" s="411">
        <v>6</v>
      </c>
      <c r="R1771" s="405" t="s">
        <v>9506</v>
      </c>
      <c r="S1771" s="405" t="s">
        <v>27306</v>
      </c>
      <c r="T1771" s="405" t="s">
        <v>32102</v>
      </c>
      <c r="U1771" s="405" t="s">
        <v>319</v>
      </c>
    </row>
    <row r="1772" spans="1:21" x14ac:dyDescent="0.25">
      <c r="A1772" s="405" t="s">
        <v>310</v>
      </c>
      <c r="B1772" s="405" t="s">
        <v>7603</v>
      </c>
      <c r="C1772" s="405" t="s">
        <v>327</v>
      </c>
      <c r="D1772" s="405"/>
      <c r="E1772" s="410">
        <v>43615</v>
      </c>
      <c r="F1772" s="410">
        <v>43695</v>
      </c>
      <c r="G1772" s="405" t="s">
        <v>7604</v>
      </c>
      <c r="H1772" s="405">
        <v>759800121</v>
      </c>
      <c r="I1772" s="405"/>
      <c r="J1772" s="405">
        <v>-0.23760999999999999</v>
      </c>
      <c r="K1772" s="405">
        <v>31.763534</v>
      </c>
      <c r="L1772" s="405" t="s">
        <v>314</v>
      </c>
      <c r="M1772" s="405" t="s">
        <v>329</v>
      </c>
      <c r="N1772" s="405" t="s">
        <v>803</v>
      </c>
      <c r="O1772" s="405" t="s">
        <v>2901</v>
      </c>
      <c r="P1772" s="405" t="s">
        <v>7605</v>
      </c>
      <c r="Q1772" s="411">
        <v>13</v>
      </c>
      <c r="R1772" s="405" t="s">
        <v>4176</v>
      </c>
      <c r="S1772" s="405" t="s">
        <v>27059</v>
      </c>
      <c r="T1772" s="405" t="s">
        <v>884</v>
      </c>
      <c r="U1772" s="405" t="s">
        <v>319</v>
      </c>
    </row>
    <row r="1773" spans="1:21" x14ac:dyDescent="0.25">
      <c r="A1773" s="405" t="s">
        <v>310</v>
      </c>
      <c r="B1773" s="405" t="s">
        <v>17096</v>
      </c>
      <c r="C1773" s="405" t="s">
        <v>311</v>
      </c>
      <c r="D1773" s="405" t="s">
        <v>1789</v>
      </c>
      <c r="E1773" s="410">
        <v>43615</v>
      </c>
      <c r="F1773" s="410">
        <v>43626</v>
      </c>
      <c r="G1773" s="405" t="s">
        <v>17097</v>
      </c>
      <c r="H1773" s="405">
        <v>783239356</v>
      </c>
      <c r="I1773" s="405"/>
      <c r="J1773" s="405">
        <v>2.3493680000000001</v>
      </c>
      <c r="K1773" s="405">
        <v>34.591247000000003</v>
      </c>
      <c r="L1773" s="405" t="s">
        <v>6866</v>
      </c>
      <c r="M1773" s="405" t="s">
        <v>11461</v>
      </c>
      <c r="N1773" s="405" t="s">
        <v>16650</v>
      </c>
      <c r="O1773" s="405" t="s">
        <v>16651</v>
      </c>
      <c r="P1773" s="405" t="s">
        <v>17098</v>
      </c>
      <c r="Q1773" s="411">
        <v>6</v>
      </c>
      <c r="R1773" s="405" t="s">
        <v>7269</v>
      </c>
      <c r="S1773" s="405" t="s">
        <v>27179</v>
      </c>
      <c r="T1773" s="405" t="s">
        <v>884</v>
      </c>
      <c r="U1773" s="405" t="s">
        <v>319</v>
      </c>
    </row>
    <row r="1774" spans="1:21" x14ac:dyDescent="0.25">
      <c r="A1774" s="405" t="s">
        <v>310</v>
      </c>
      <c r="B1774" s="405" t="s">
        <v>16710</v>
      </c>
      <c r="C1774" s="405" t="s">
        <v>327</v>
      </c>
      <c r="D1774" s="405"/>
      <c r="E1774" s="410">
        <v>43614</v>
      </c>
      <c r="F1774" s="410">
        <v>43629</v>
      </c>
      <c r="G1774" s="405" t="s">
        <v>16711</v>
      </c>
      <c r="H1774" s="405">
        <v>753521155</v>
      </c>
      <c r="I1774" s="405">
        <v>700895649</v>
      </c>
      <c r="J1774" s="405">
        <v>0.4829</v>
      </c>
      <c r="K1774" s="405">
        <v>34.112099999999998</v>
      </c>
      <c r="L1774" s="405" t="s">
        <v>6866</v>
      </c>
      <c r="M1774" s="405" t="s">
        <v>9590</v>
      </c>
      <c r="N1774" s="405" t="s">
        <v>9591</v>
      </c>
      <c r="O1774" s="405" t="s">
        <v>9592</v>
      </c>
      <c r="P1774" s="405" t="s">
        <v>15923</v>
      </c>
      <c r="Q1774" s="411">
        <v>13</v>
      </c>
      <c r="R1774" s="405" t="s">
        <v>32164</v>
      </c>
      <c r="S1774" s="405" t="s">
        <v>6822</v>
      </c>
      <c r="T1774" s="405" t="s">
        <v>884</v>
      </c>
      <c r="U1774" s="405" t="s">
        <v>319</v>
      </c>
    </row>
    <row r="1775" spans="1:21" x14ac:dyDescent="0.25">
      <c r="A1775" s="405" t="s">
        <v>310</v>
      </c>
      <c r="B1775" s="405" t="s">
        <v>25095</v>
      </c>
      <c r="C1775" s="405" t="s">
        <v>327</v>
      </c>
      <c r="D1775" s="405"/>
      <c r="E1775" s="410">
        <v>43614</v>
      </c>
      <c r="F1775" s="410">
        <v>43626</v>
      </c>
      <c r="G1775" s="405" t="s">
        <v>25096</v>
      </c>
      <c r="H1775" s="405">
        <v>782753843</v>
      </c>
      <c r="I1775" s="405"/>
      <c r="J1775" s="405">
        <v>-1.176337</v>
      </c>
      <c r="K1775" s="405">
        <v>30.040742000000002</v>
      </c>
      <c r="L1775" s="405" t="s">
        <v>590</v>
      </c>
      <c r="M1775" s="405" t="s">
        <v>5312</v>
      </c>
      <c r="N1775" s="405" t="s">
        <v>25097</v>
      </c>
      <c r="O1775" s="405" t="s">
        <v>21267</v>
      </c>
      <c r="P1775" s="405" t="s">
        <v>25098</v>
      </c>
      <c r="Q1775" s="411">
        <v>9</v>
      </c>
      <c r="R1775" s="405" t="s">
        <v>6572</v>
      </c>
      <c r="S1775" s="405" t="s">
        <v>27154</v>
      </c>
      <c r="T1775" s="405" t="s">
        <v>884</v>
      </c>
      <c r="U1775" s="405" t="s">
        <v>319</v>
      </c>
    </row>
    <row r="1776" spans="1:21" x14ac:dyDescent="0.25">
      <c r="A1776" s="405" t="s">
        <v>310</v>
      </c>
      <c r="B1776" s="405" t="s">
        <v>25101</v>
      </c>
      <c r="C1776" s="405" t="s">
        <v>327</v>
      </c>
      <c r="D1776" s="405"/>
      <c r="E1776" s="410">
        <v>43614</v>
      </c>
      <c r="F1776" s="410">
        <v>43618</v>
      </c>
      <c r="G1776" s="405" t="s">
        <v>25102</v>
      </c>
      <c r="H1776" s="405">
        <v>779783611</v>
      </c>
      <c r="I1776" s="405"/>
      <c r="J1776" s="405">
        <v>0.48695699999999997</v>
      </c>
      <c r="K1776" s="405">
        <v>31.034417000000001</v>
      </c>
      <c r="L1776" s="405" t="s">
        <v>590</v>
      </c>
      <c r="M1776" s="405" t="s">
        <v>20757</v>
      </c>
      <c r="N1776" s="405" t="s">
        <v>22733</v>
      </c>
      <c r="O1776" s="405" t="s">
        <v>22734</v>
      </c>
      <c r="P1776" s="405" t="s">
        <v>25002</v>
      </c>
      <c r="Q1776" s="411">
        <v>6</v>
      </c>
      <c r="R1776" s="405" t="s">
        <v>7208</v>
      </c>
      <c r="S1776" s="405" t="s">
        <v>27163</v>
      </c>
      <c r="T1776" s="405" t="s">
        <v>884</v>
      </c>
      <c r="U1776" s="405" t="s">
        <v>319</v>
      </c>
    </row>
    <row r="1777" spans="1:21" x14ac:dyDescent="0.25">
      <c r="A1777" s="405" t="s">
        <v>310</v>
      </c>
      <c r="B1777" s="405" t="s">
        <v>16682</v>
      </c>
      <c r="C1777" s="405" t="s">
        <v>327</v>
      </c>
      <c r="D1777" s="405"/>
      <c r="E1777" s="410">
        <v>43613</v>
      </c>
      <c r="F1777" s="410">
        <v>43628</v>
      </c>
      <c r="G1777" s="405" t="s">
        <v>16683</v>
      </c>
      <c r="H1777" s="405">
        <v>772325386</v>
      </c>
      <c r="I1777" s="405">
        <v>777008825</v>
      </c>
      <c r="J1777" s="405">
        <v>0.52878499999999995</v>
      </c>
      <c r="K1777" s="405">
        <v>33.384937000000001</v>
      </c>
      <c r="L1777" s="405" t="s">
        <v>6866</v>
      </c>
      <c r="M1777" s="405" t="s">
        <v>9685</v>
      </c>
      <c r="N1777" s="405" t="s">
        <v>9686</v>
      </c>
      <c r="O1777" s="405" t="s">
        <v>16684</v>
      </c>
      <c r="P1777" s="405" t="s">
        <v>16685</v>
      </c>
      <c r="Q1777" s="411">
        <v>6</v>
      </c>
      <c r="R1777" s="405" t="s">
        <v>9506</v>
      </c>
      <c r="S1777" s="405" t="s">
        <v>27067</v>
      </c>
      <c r="T1777" s="405" t="s">
        <v>884</v>
      </c>
      <c r="U1777" s="405" t="s">
        <v>319</v>
      </c>
    </row>
    <row r="1778" spans="1:21" x14ac:dyDescent="0.25">
      <c r="A1778" s="405" t="s">
        <v>310</v>
      </c>
      <c r="B1778" s="405" t="s">
        <v>16680</v>
      </c>
      <c r="C1778" s="405" t="s">
        <v>327</v>
      </c>
      <c r="D1778" s="405"/>
      <c r="E1778" s="410">
        <v>43613</v>
      </c>
      <c r="F1778" s="410">
        <v>43628</v>
      </c>
      <c r="G1778" s="405" t="s">
        <v>16681</v>
      </c>
      <c r="H1778" s="405">
        <v>770505621</v>
      </c>
      <c r="I1778" s="405"/>
      <c r="J1778" s="405">
        <v>1.2116</v>
      </c>
      <c r="K1778" s="405">
        <v>34.234099999999998</v>
      </c>
      <c r="L1778" s="405" t="s">
        <v>16357</v>
      </c>
      <c r="M1778" s="405" t="s">
        <v>9685</v>
      </c>
      <c r="N1778" s="405" t="s">
        <v>9686</v>
      </c>
      <c r="O1778" s="405" t="s">
        <v>9709</v>
      </c>
      <c r="P1778" s="405" t="s">
        <v>10058</v>
      </c>
      <c r="Q1778" s="411">
        <v>6</v>
      </c>
      <c r="R1778" s="405" t="s">
        <v>9506</v>
      </c>
      <c r="S1778" s="405" t="s">
        <v>27306</v>
      </c>
      <c r="T1778" s="405" t="s">
        <v>884</v>
      </c>
      <c r="U1778" s="405" t="s">
        <v>319</v>
      </c>
    </row>
    <row r="1779" spans="1:21" x14ac:dyDescent="0.25">
      <c r="A1779" s="405" t="s">
        <v>310</v>
      </c>
      <c r="B1779" s="405" t="s">
        <v>16673</v>
      </c>
      <c r="C1779" s="405" t="s">
        <v>327</v>
      </c>
      <c r="D1779" s="405"/>
      <c r="E1779" s="410">
        <v>43613</v>
      </c>
      <c r="F1779" s="410">
        <v>43628</v>
      </c>
      <c r="G1779" s="405" t="s">
        <v>16674</v>
      </c>
      <c r="H1779" s="405">
        <v>782452920</v>
      </c>
      <c r="I1779" s="405">
        <v>787314908</v>
      </c>
      <c r="J1779" s="405">
        <v>1.2325999999999999</v>
      </c>
      <c r="K1779" s="405">
        <v>34.281999999999996</v>
      </c>
      <c r="L1779" s="405" t="s">
        <v>6866</v>
      </c>
      <c r="M1779" s="405" t="s">
        <v>9685</v>
      </c>
      <c r="N1779" s="405" t="s">
        <v>9686</v>
      </c>
      <c r="O1779" s="405" t="s">
        <v>16675</v>
      </c>
      <c r="P1779" s="405" t="s">
        <v>16675</v>
      </c>
      <c r="Q1779" s="411">
        <v>6</v>
      </c>
      <c r="R1779" s="405" t="s">
        <v>9506</v>
      </c>
      <c r="S1779" s="405" t="s">
        <v>27072</v>
      </c>
      <c r="T1779" s="405" t="s">
        <v>884</v>
      </c>
      <c r="U1779" s="405" t="s">
        <v>319</v>
      </c>
    </row>
    <row r="1780" spans="1:21" x14ac:dyDescent="0.25">
      <c r="A1780" s="405" t="s">
        <v>310</v>
      </c>
      <c r="B1780" s="405" t="s">
        <v>16831</v>
      </c>
      <c r="C1780" s="405" t="s">
        <v>327</v>
      </c>
      <c r="D1780" s="405"/>
      <c r="E1780" s="410">
        <v>43612</v>
      </c>
      <c r="F1780" s="410">
        <v>43683</v>
      </c>
      <c r="G1780" s="405" t="s">
        <v>16832</v>
      </c>
      <c r="H1780" s="405">
        <v>780211993</v>
      </c>
      <c r="I1780" s="405">
        <v>786435990</v>
      </c>
      <c r="J1780" s="405">
        <v>1.2415</v>
      </c>
      <c r="K1780" s="405">
        <v>34.244999999999997</v>
      </c>
      <c r="L1780" s="405" t="s">
        <v>16357</v>
      </c>
      <c r="M1780" s="405" t="s">
        <v>9685</v>
      </c>
      <c r="N1780" s="405" t="s">
        <v>9686</v>
      </c>
      <c r="O1780" s="405" t="s">
        <v>16833</v>
      </c>
      <c r="P1780" s="405" t="s">
        <v>16834</v>
      </c>
      <c r="Q1780" s="411">
        <v>6</v>
      </c>
      <c r="R1780" s="405" t="s">
        <v>9506</v>
      </c>
      <c r="S1780" s="405" t="s">
        <v>27074</v>
      </c>
      <c r="T1780" s="405" t="s">
        <v>884</v>
      </c>
      <c r="U1780" s="405" t="s">
        <v>319</v>
      </c>
    </row>
    <row r="1781" spans="1:21" x14ac:dyDescent="0.25">
      <c r="A1781" s="405" t="s">
        <v>310</v>
      </c>
      <c r="B1781" s="405" t="s">
        <v>16676</v>
      </c>
      <c r="C1781" s="405" t="s">
        <v>327</v>
      </c>
      <c r="D1781" s="405"/>
      <c r="E1781" s="410">
        <v>43612</v>
      </c>
      <c r="F1781" s="410">
        <v>43628</v>
      </c>
      <c r="G1781" s="405" t="s">
        <v>16677</v>
      </c>
      <c r="H1781" s="405">
        <v>779795042</v>
      </c>
      <c r="I1781" s="405">
        <v>784285816</v>
      </c>
      <c r="J1781" s="405">
        <v>1.9376899999999999</v>
      </c>
      <c r="K1781" s="405">
        <v>33.330257000000003</v>
      </c>
      <c r="L1781" s="405" t="s">
        <v>16357</v>
      </c>
      <c r="M1781" s="405" t="s">
        <v>9685</v>
      </c>
      <c r="N1781" s="405" t="s">
        <v>9686</v>
      </c>
      <c r="O1781" s="405" t="s">
        <v>16678</v>
      </c>
      <c r="P1781" s="405" t="s">
        <v>16679</v>
      </c>
      <c r="Q1781" s="411">
        <v>6</v>
      </c>
      <c r="R1781" s="405" t="s">
        <v>9506</v>
      </c>
      <c r="S1781" s="405" t="s">
        <v>17013</v>
      </c>
      <c r="T1781" s="405" t="s">
        <v>884</v>
      </c>
      <c r="U1781" s="405" t="s">
        <v>319</v>
      </c>
    </row>
    <row r="1782" spans="1:21" x14ac:dyDescent="0.25">
      <c r="A1782" s="405" t="s">
        <v>310</v>
      </c>
      <c r="B1782" s="405" t="s">
        <v>7429</v>
      </c>
      <c r="C1782" s="405" t="s">
        <v>327</v>
      </c>
      <c r="D1782" s="405"/>
      <c r="E1782" s="410">
        <v>43612</v>
      </c>
      <c r="F1782" s="410">
        <v>43618</v>
      </c>
      <c r="G1782" s="405" t="s">
        <v>7430</v>
      </c>
      <c r="H1782" s="405">
        <v>7763336590</v>
      </c>
      <c r="I1782" s="405"/>
      <c r="J1782" s="405">
        <v>0.39534200000000003</v>
      </c>
      <c r="K1782" s="405">
        <v>32.696981000000001</v>
      </c>
      <c r="L1782" s="405" t="s">
        <v>314</v>
      </c>
      <c r="M1782" s="405" t="s">
        <v>361</v>
      </c>
      <c r="N1782" s="405" t="s">
        <v>7431</v>
      </c>
      <c r="O1782" s="405" t="s">
        <v>363</v>
      </c>
      <c r="P1782" s="405" t="s">
        <v>4594</v>
      </c>
      <c r="Q1782" s="411">
        <v>6</v>
      </c>
      <c r="R1782" s="405" t="s">
        <v>5921</v>
      </c>
      <c r="S1782" s="405" t="s">
        <v>32960</v>
      </c>
      <c r="T1782" s="405" t="s">
        <v>884</v>
      </c>
      <c r="U1782" s="405" t="s">
        <v>319</v>
      </c>
    </row>
    <row r="1783" spans="1:21" x14ac:dyDescent="0.25">
      <c r="A1783" s="405" t="s">
        <v>310</v>
      </c>
      <c r="B1783" s="405" t="s">
        <v>25077</v>
      </c>
      <c r="C1783" s="405" t="s">
        <v>327</v>
      </c>
      <c r="D1783" s="405"/>
      <c r="E1783" s="410">
        <v>43611</v>
      </c>
      <c r="F1783" s="410">
        <v>43619</v>
      </c>
      <c r="G1783" s="405" t="s">
        <v>25078</v>
      </c>
      <c r="H1783" s="405">
        <v>772364619</v>
      </c>
      <c r="I1783" s="405"/>
      <c r="J1783" s="405">
        <v>-0.76474799999999998</v>
      </c>
      <c r="K1783" s="405">
        <v>30.162102000000001</v>
      </c>
      <c r="L1783" s="405" t="s">
        <v>590</v>
      </c>
      <c r="M1783" s="405" t="s">
        <v>19659</v>
      </c>
      <c r="N1783" s="405" t="s">
        <v>19604</v>
      </c>
      <c r="O1783" s="405" t="s">
        <v>25079</v>
      </c>
      <c r="P1783" s="405" t="s">
        <v>25080</v>
      </c>
      <c r="Q1783" s="411">
        <v>9</v>
      </c>
      <c r="R1783" s="405" t="s">
        <v>874</v>
      </c>
      <c r="S1783" s="405" t="s">
        <v>27399</v>
      </c>
      <c r="T1783" s="405" t="s">
        <v>884</v>
      </c>
      <c r="U1783" s="405" t="s">
        <v>319</v>
      </c>
    </row>
    <row r="1784" spans="1:21" x14ac:dyDescent="0.25">
      <c r="A1784" s="405" t="s">
        <v>310</v>
      </c>
      <c r="B1784" s="405" t="s">
        <v>7424</v>
      </c>
      <c r="C1784" s="405" t="s">
        <v>327</v>
      </c>
      <c r="D1784" s="405"/>
      <c r="E1784" s="410">
        <v>43610</v>
      </c>
      <c r="F1784" s="410">
        <v>43626</v>
      </c>
      <c r="G1784" s="405" t="s">
        <v>7425</v>
      </c>
      <c r="H1784" s="405">
        <v>702071601</v>
      </c>
      <c r="I1784" s="405"/>
      <c r="J1784" s="405">
        <v>0.37112000000000001</v>
      </c>
      <c r="K1784" s="405">
        <v>32.771329999999999</v>
      </c>
      <c r="L1784" s="405" t="s">
        <v>314</v>
      </c>
      <c r="M1784" s="405" t="s">
        <v>329</v>
      </c>
      <c r="N1784" s="405" t="s">
        <v>330</v>
      </c>
      <c r="O1784" s="405" t="s">
        <v>7426</v>
      </c>
      <c r="P1784" s="405" t="s">
        <v>1427</v>
      </c>
      <c r="Q1784" s="411">
        <v>9</v>
      </c>
      <c r="R1784" s="405" t="s">
        <v>4176</v>
      </c>
      <c r="S1784" s="405" t="s">
        <v>27053</v>
      </c>
      <c r="T1784" s="405" t="s">
        <v>884</v>
      </c>
      <c r="U1784" s="405" t="s">
        <v>319</v>
      </c>
    </row>
    <row r="1785" spans="1:21" x14ac:dyDescent="0.25">
      <c r="A1785" s="405" t="s">
        <v>310</v>
      </c>
      <c r="B1785" s="405" t="s">
        <v>25030</v>
      </c>
      <c r="C1785" s="405" t="s">
        <v>327</v>
      </c>
      <c r="D1785" s="405"/>
      <c r="E1785" s="410">
        <v>43610</v>
      </c>
      <c r="F1785" s="410">
        <v>43616</v>
      </c>
      <c r="G1785" s="405" t="s">
        <v>25031</v>
      </c>
      <c r="H1785" s="405">
        <v>782314228</v>
      </c>
      <c r="I1785" s="405"/>
      <c r="J1785" s="405">
        <v>-0.11307300000000001</v>
      </c>
      <c r="K1785" s="405">
        <v>30.440511999999998</v>
      </c>
      <c r="L1785" s="405" t="s">
        <v>590</v>
      </c>
      <c r="M1785" s="405" t="s">
        <v>870</v>
      </c>
      <c r="N1785" s="405" t="s">
        <v>19841</v>
      </c>
      <c r="O1785" s="405" t="s">
        <v>25032</v>
      </c>
      <c r="P1785" s="405" t="s">
        <v>25033</v>
      </c>
      <c r="Q1785" s="411">
        <v>9</v>
      </c>
      <c r="R1785" s="405" t="s">
        <v>874</v>
      </c>
      <c r="S1785" s="405" t="s">
        <v>27405</v>
      </c>
      <c r="T1785" s="405" t="s">
        <v>884</v>
      </c>
      <c r="U1785" s="405" t="s">
        <v>319</v>
      </c>
    </row>
    <row r="1786" spans="1:21" x14ac:dyDescent="0.25">
      <c r="A1786" s="405" t="s">
        <v>310</v>
      </c>
      <c r="B1786" s="405" t="s">
        <v>16667</v>
      </c>
      <c r="C1786" s="405" t="s">
        <v>327</v>
      </c>
      <c r="D1786" s="405"/>
      <c r="E1786" s="410">
        <v>43610</v>
      </c>
      <c r="F1786" s="410">
        <v>43625</v>
      </c>
      <c r="G1786" s="405" t="s">
        <v>16668</v>
      </c>
      <c r="H1786" s="405">
        <v>703730729</v>
      </c>
      <c r="I1786" s="405">
        <v>752613622</v>
      </c>
      <c r="J1786" s="405">
        <v>1.2237</v>
      </c>
      <c r="K1786" s="405">
        <v>34.232399999999998</v>
      </c>
      <c r="L1786" s="405" t="s">
        <v>16357</v>
      </c>
      <c r="M1786" s="405" t="s">
        <v>9685</v>
      </c>
      <c r="N1786" s="405" t="s">
        <v>9686</v>
      </c>
      <c r="O1786" s="405" t="s">
        <v>9709</v>
      </c>
      <c r="P1786" s="405" t="s">
        <v>16669</v>
      </c>
      <c r="Q1786" s="411">
        <v>6</v>
      </c>
      <c r="R1786" s="405" t="s">
        <v>9506</v>
      </c>
      <c r="S1786" s="405" t="s">
        <v>27318</v>
      </c>
      <c r="T1786" s="405" t="s">
        <v>884</v>
      </c>
      <c r="U1786" s="405" t="s">
        <v>319</v>
      </c>
    </row>
    <row r="1787" spans="1:21" x14ac:dyDescent="0.25">
      <c r="A1787" s="405" t="s">
        <v>310</v>
      </c>
      <c r="B1787" s="405" t="s">
        <v>7421</v>
      </c>
      <c r="C1787" s="405" t="s">
        <v>327</v>
      </c>
      <c r="D1787" s="405"/>
      <c r="E1787" s="410">
        <v>43610</v>
      </c>
      <c r="F1787" s="410">
        <v>43625</v>
      </c>
      <c r="G1787" s="405" t="s">
        <v>7422</v>
      </c>
      <c r="H1787" s="405">
        <v>751553911</v>
      </c>
      <c r="I1787" s="405"/>
      <c r="J1787" s="405">
        <v>0.19958799999999999</v>
      </c>
      <c r="K1787" s="405">
        <v>32.531697000000001</v>
      </c>
      <c r="L1787" s="405" t="s">
        <v>314</v>
      </c>
      <c r="M1787" s="405" t="s">
        <v>361</v>
      </c>
      <c r="N1787" s="405" t="s">
        <v>6531</v>
      </c>
      <c r="O1787" s="405" t="s">
        <v>6531</v>
      </c>
      <c r="P1787" s="405" t="s">
        <v>7423</v>
      </c>
      <c r="Q1787" s="411">
        <v>6</v>
      </c>
      <c r="R1787" s="405" t="s">
        <v>4176</v>
      </c>
      <c r="S1787" s="405" t="s">
        <v>27053</v>
      </c>
      <c r="T1787" s="405" t="s">
        <v>884</v>
      </c>
      <c r="U1787" s="405" t="s">
        <v>319</v>
      </c>
    </row>
    <row r="1788" spans="1:21" x14ac:dyDescent="0.25">
      <c r="A1788" s="405" t="s">
        <v>310</v>
      </c>
      <c r="B1788" s="405" t="s">
        <v>16662</v>
      </c>
      <c r="C1788" s="405" t="s">
        <v>327</v>
      </c>
      <c r="D1788" s="405"/>
      <c r="E1788" s="410">
        <v>43610</v>
      </c>
      <c r="F1788" s="410">
        <v>43622</v>
      </c>
      <c r="G1788" s="405" t="s">
        <v>16663</v>
      </c>
      <c r="H1788" s="405">
        <v>772867158</v>
      </c>
      <c r="I1788" s="405" t="s">
        <v>16664</v>
      </c>
      <c r="J1788" s="405">
        <v>1.2444</v>
      </c>
      <c r="K1788" s="405">
        <v>34.273200000000003</v>
      </c>
      <c r="L1788" s="405" t="s">
        <v>16357</v>
      </c>
      <c r="M1788" s="405" t="s">
        <v>9685</v>
      </c>
      <c r="N1788" s="405" t="s">
        <v>9686</v>
      </c>
      <c r="O1788" s="405" t="s">
        <v>16665</v>
      </c>
      <c r="P1788" s="405" t="s">
        <v>16666</v>
      </c>
      <c r="Q1788" s="411">
        <v>6</v>
      </c>
      <c r="R1788" s="405" t="s">
        <v>9506</v>
      </c>
      <c r="S1788" s="405" t="s">
        <v>27353</v>
      </c>
      <c r="T1788" s="405" t="s">
        <v>884</v>
      </c>
      <c r="U1788" s="405" t="s">
        <v>319</v>
      </c>
    </row>
    <row r="1789" spans="1:21" x14ac:dyDescent="0.25">
      <c r="A1789" s="405" t="s">
        <v>310</v>
      </c>
      <c r="B1789" s="405" t="s">
        <v>7908</v>
      </c>
      <c r="C1789" s="405" t="s">
        <v>311</v>
      </c>
      <c r="D1789" s="405" t="s">
        <v>2127</v>
      </c>
      <c r="E1789" s="410">
        <v>43609</v>
      </c>
      <c r="F1789" s="410">
        <v>43615</v>
      </c>
      <c r="G1789" s="405" t="s">
        <v>7909</v>
      </c>
      <c r="H1789" s="405">
        <v>770730093</v>
      </c>
      <c r="I1789" s="405"/>
      <c r="J1789" s="405">
        <v>0.86121300000000001</v>
      </c>
      <c r="K1789" s="405">
        <v>32.353892000000002</v>
      </c>
      <c r="L1789" s="405" t="s">
        <v>314</v>
      </c>
      <c r="M1789" s="405" t="s">
        <v>2297</v>
      </c>
      <c r="N1789" s="405" t="s">
        <v>7248</v>
      </c>
      <c r="O1789" s="405" t="s">
        <v>7340</v>
      </c>
      <c r="P1789" s="405" t="s">
        <v>7341</v>
      </c>
      <c r="Q1789" s="411">
        <v>9</v>
      </c>
      <c r="R1789" s="405" t="s">
        <v>874</v>
      </c>
      <c r="S1789" s="405" t="s">
        <v>27271</v>
      </c>
      <c r="T1789" s="405" t="s">
        <v>32102</v>
      </c>
      <c r="U1789" s="405" t="s">
        <v>319</v>
      </c>
    </row>
    <row r="1790" spans="1:21" x14ac:dyDescent="0.25">
      <c r="A1790" s="405" t="s">
        <v>310</v>
      </c>
      <c r="B1790" s="405" t="s">
        <v>16648</v>
      </c>
      <c r="C1790" s="405" t="s">
        <v>327</v>
      </c>
      <c r="D1790" s="405"/>
      <c r="E1790" s="410">
        <v>43609</v>
      </c>
      <c r="F1790" s="410">
        <v>43626</v>
      </c>
      <c r="G1790" s="405" t="s">
        <v>16649</v>
      </c>
      <c r="H1790" s="405">
        <v>778282735</v>
      </c>
      <c r="I1790" s="405"/>
      <c r="J1790" s="405">
        <v>2.3558469999999998</v>
      </c>
      <c r="K1790" s="405">
        <v>34.579917999999999</v>
      </c>
      <c r="L1790" s="405" t="s">
        <v>6866</v>
      </c>
      <c r="M1790" s="405" t="s">
        <v>11461</v>
      </c>
      <c r="N1790" s="405" t="s">
        <v>16650</v>
      </c>
      <c r="O1790" s="405" t="s">
        <v>16651</v>
      </c>
      <c r="P1790" s="405" t="s">
        <v>16652</v>
      </c>
      <c r="Q1790" s="411">
        <v>6</v>
      </c>
      <c r="R1790" s="405" t="s">
        <v>7269</v>
      </c>
      <c r="S1790" s="405" t="s">
        <v>27179</v>
      </c>
      <c r="T1790" s="405" t="s">
        <v>884</v>
      </c>
      <c r="U1790" s="405" t="s">
        <v>319</v>
      </c>
    </row>
    <row r="1791" spans="1:21" x14ac:dyDescent="0.25">
      <c r="A1791" s="405" t="s">
        <v>310</v>
      </c>
      <c r="B1791" s="405" t="s">
        <v>16659</v>
      </c>
      <c r="C1791" s="405" t="s">
        <v>327</v>
      </c>
      <c r="D1791" s="405"/>
      <c r="E1791" s="410">
        <v>43609</v>
      </c>
      <c r="F1791" s="410">
        <v>43622</v>
      </c>
      <c r="G1791" s="405" t="s">
        <v>16660</v>
      </c>
      <c r="H1791" s="405">
        <v>772668349</v>
      </c>
      <c r="I1791" s="405"/>
      <c r="J1791" s="405">
        <v>0.4829</v>
      </c>
      <c r="K1791" s="405">
        <v>34.112099999999998</v>
      </c>
      <c r="L1791" s="405" t="s">
        <v>6866</v>
      </c>
      <c r="M1791" s="405" t="s">
        <v>9685</v>
      </c>
      <c r="N1791" s="405" t="s">
        <v>9686</v>
      </c>
      <c r="O1791" s="405" t="s">
        <v>15669</v>
      </c>
      <c r="P1791" s="405" t="s">
        <v>16661</v>
      </c>
      <c r="Q1791" s="411">
        <v>6</v>
      </c>
      <c r="R1791" s="405" t="s">
        <v>9506</v>
      </c>
      <c r="S1791" s="405" t="s">
        <v>27072</v>
      </c>
      <c r="T1791" s="405" t="s">
        <v>884</v>
      </c>
      <c r="U1791" s="405" t="s">
        <v>319</v>
      </c>
    </row>
    <row r="1792" spans="1:21" x14ac:dyDescent="0.25">
      <c r="A1792" s="405" t="s">
        <v>310</v>
      </c>
      <c r="B1792" s="405" t="s">
        <v>25081</v>
      </c>
      <c r="C1792" s="405" t="s">
        <v>327</v>
      </c>
      <c r="D1792" s="405"/>
      <c r="E1792" s="410">
        <v>43608</v>
      </c>
      <c r="F1792" s="410">
        <v>43623</v>
      </c>
      <c r="G1792" s="405" t="s">
        <v>25082</v>
      </c>
      <c r="H1792" s="405">
        <v>775577255</v>
      </c>
      <c r="I1792" s="405"/>
      <c r="J1792" s="405">
        <v>0.54190000000000005</v>
      </c>
      <c r="K1792" s="405">
        <v>29.541899999999998</v>
      </c>
      <c r="L1792" s="405" t="s">
        <v>24545</v>
      </c>
      <c r="M1792" s="405" t="s">
        <v>19619</v>
      </c>
      <c r="N1792" s="405" t="s">
        <v>19620</v>
      </c>
      <c r="O1792" s="405" t="s">
        <v>23948</v>
      </c>
      <c r="P1792" s="405" t="s">
        <v>25083</v>
      </c>
      <c r="Q1792" s="411">
        <v>13</v>
      </c>
      <c r="R1792" s="405" t="s">
        <v>6572</v>
      </c>
      <c r="S1792" s="405" t="s">
        <v>27193</v>
      </c>
      <c r="T1792" s="405" t="s">
        <v>884</v>
      </c>
      <c r="U1792" s="405" t="s">
        <v>319</v>
      </c>
    </row>
    <row r="1793" spans="1:21" x14ac:dyDescent="0.25">
      <c r="A1793" s="405" t="s">
        <v>310</v>
      </c>
      <c r="B1793" s="405" t="s">
        <v>25084</v>
      </c>
      <c r="C1793" s="405" t="s">
        <v>327</v>
      </c>
      <c r="D1793" s="405"/>
      <c r="E1793" s="410">
        <v>43607</v>
      </c>
      <c r="F1793" s="410">
        <v>43622</v>
      </c>
      <c r="G1793" s="405" t="s">
        <v>25085</v>
      </c>
      <c r="H1793" s="405">
        <v>751469817</v>
      </c>
      <c r="I1793" s="405"/>
      <c r="J1793" s="405">
        <v>-5.5708000000000001E-2</v>
      </c>
      <c r="K1793" s="405" t="s">
        <v>7372</v>
      </c>
      <c r="L1793" s="405" t="s">
        <v>24158</v>
      </c>
      <c r="M1793" s="405" t="s">
        <v>21087</v>
      </c>
      <c r="N1793" s="405" t="s">
        <v>25086</v>
      </c>
      <c r="O1793" s="405" t="s">
        <v>25087</v>
      </c>
      <c r="P1793" s="405" t="s">
        <v>25088</v>
      </c>
      <c r="Q1793" s="411">
        <v>9</v>
      </c>
      <c r="R1793" s="405" t="s">
        <v>6572</v>
      </c>
      <c r="S1793" s="405" t="s">
        <v>27301</v>
      </c>
      <c r="T1793" s="405" t="s">
        <v>32102</v>
      </c>
      <c r="U1793" s="405" t="s">
        <v>6890</v>
      </c>
    </row>
    <row r="1794" spans="1:21" x14ac:dyDescent="0.25">
      <c r="A1794" s="405" t="s">
        <v>310</v>
      </c>
      <c r="B1794" s="405" t="s">
        <v>7338</v>
      </c>
      <c r="C1794" s="405" t="s">
        <v>327</v>
      </c>
      <c r="D1794" s="405"/>
      <c r="E1794" s="410">
        <v>43607</v>
      </c>
      <c r="F1794" s="410">
        <v>43613</v>
      </c>
      <c r="G1794" s="405" t="s">
        <v>7339</v>
      </c>
      <c r="H1794" s="405">
        <v>770730093</v>
      </c>
      <c r="I1794" s="405"/>
      <c r="J1794" s="405">
        <v>0.86121300000000001</v>
      </c>
      <c r="K1794" s="405">
        <v>32.353892000000002</v>
      </c>
      <c r="L1794" s="405" t="s">
        <v>314</v>
      </c>
      <c r="M1794" s="405" t="s">
        <v>2297</v>
      </c>
      <c r="N1794" s="405" t="s">
        <v>7248</v>
      </c>
      <c r="O1794" s="405" t="s">
        <v>7340</v>
      </c>
      <c r="P1794" s="405" t="s">
        <v>7341</v>
      </c>
      <c r="Q1794" s="411">
        <v>9</v>
      </c>
      <c r="R1794" s="405" t="s">
        <v>874</v>
      </c>
      <c r="S1794" s="405" t="s">
        <v>27271</v>
      </c>
      <c r="T1794" s="405" t="s">
        <v>32746</v>
      </c>
      <c r="U1794" s="405" t="s">
        <v>2267</v>
      </c>
    </row>
    <row r="1795" spans="1:21" x14ac:dyDescent="0.25">
      <c r="A1795" s="405" t="s">
        <v>310</v>
      </c>
      <c r="B1795" s="405" t="s">
        <v>16670</v>
      </c>
      <c r="C1795" s="405" t="s">
        <v>327</v>
      </c>
      <c r="D1795" s="405"/>
      <c r="E1795" s="410">
        <v>43607</v>
      </c>
      <c r="F1795" s="410">
        <v>43646</v>
      </c>
      <c r="G1795" s="405" t="s">
        <v>16671</v>
      </c>
      <c r="H1795" s="405">
        <v>704241872</v>
      </c>
      <c r="I1795" s="405"/>
      <c r="J1795" s="405">
        <v>1.3770370000000001</v>
      </c>
      <c r="K1795" s="405">
        <v>34.401018000000001</v>
      </c>
      <c r="L1795" s="405" t="s">
        <v>6866</v>
      </c>
      <c r="M1795" s="405" t="s">
        <v>9685</v>
      </c>
      <c r="N1795" s="405" t="s">
        <v>9686</v>
      </c>
      <c r="O1795" s="405" t="s">
        <v>9687</v>
      </c>
      <c r="P1795" s="405" t="s">
        <v>16672</v>
      </c>
      <c r="Q1795" s="411">
        <v>6</v>
      </c>
      <c r="R1795" s="405" t="s">
        <v>9506</v>
      </c>
      <c r="S1795" s="405" t="s">
        <v>27318</v>
      </c>
      <c r="T1795" s="405" t="s">
        <v>884</v>
      </c>
      <c r="U1795" s="405" t="s">
        <v>319</v>
      </c>
    </row>
    <row r="1796" spans="1:21" x14ac:dyDescent="0.25">
      <c r="A1796" s="405" t="s">
        <v>310</v>
      </c>
      <c r="B1796" s="405" t="s">
        <v>16656</v>
      </c>
      <c r="C1796" s="405" t="s">
        <v>327</v>
      </c>
      <c r="D1796" s="405"/>
      <c r="E1796" s="410">
        <v>43607</v>
      </c>
      <c r="F1796" s="410">
        <v>43636</v>
      </c>
      <c r="G1796" s="405" t="s">
        <v>16657</v>
      </c>
      <c r="H1796" s="405">
        <v>701983335</v>
      </c>
      <c r="I1796" s="405"/>
      <c r="J1796" s="405">
        <v>1.3643829999999999</v>
      </c>
      <c r="K1796" s="405">
        <v>34.390729999999998</v>
      </c>
      <c r="L1796" s="405" t="s">
        <v>6866</v>
      </c>
      <c r="M1796" s="405" t="s">
        <v>9685</v>
      </c>
      <c r="N1796" s="405" t="s">
        <v>9686</v>
      </c>
      <c r="O1796" s="405" t="s">
        <v>9709</v>
      </c>
      <c r="P1796" s="405" t="s">
        <v>16658</v>
      </c>
      <c r="Q1796" s="411">
        <v>6</v>
      </c>
      <c r="R1796" s="405" t="s">
        <v>9506</v>
      </c>
      <c r="S1796" s="405" t="s">
        <v>27306</v>
      </c>
      <c r="T1796" s="405" t="s">
        <v>884</v>
      </c>
      <c r="U1796" s="405" t="s">
        <v>319</v>
      </c>
    </row>
    <row r="1797" spans="1:21" x14ac:dyDescent="0.25">
      <c r="A1797" s="405" t="s">
        <v>310</v>
      </c>
      <c r="B1797" s="405" t="s">
        <v>16653</v>
      </c>
      <c r="C1797" s="405" t="s">
        <v>327</v>
      </c>
      <c r="D1797" s="405"/>
      <c r="E1797" s="410">
        <v>43607</v>
      </c>
      <c r="F1797" s="410">
        <v>43622</v>
      </c>
      <c r="G1797" s="405" t="s">
        <v>16654</v>
      </c>
      <c r="H1797" s="405">
        <v>777249455</v>
      </c>
      <c r="I1797" s="405">
        <v>774188415</v>
      </c>
      <c r="J1797" s="405">
        <v>1.3524529999999999</v>
      </c>
      <c r="K1797" s="405">
        <v>34.467911999999998</v>
      </c>
      <c r="L1797" s="405" t="s">
        <v>6866</v>
      </c>
      <c r="M1797" s="405" t="s">
        <v>9685</v>
      </c>
      <c r="N1797" s="405" t="s">
        <v>9686</v>
      </c>
      <c r="O1797" s="405" t="s">
        <v>14943</v>
      </c>
      <c r="P1797" s="405" t="s">
        <v>16655</v>
      </c>
      <c r="Q1797" s="411">
        <v>6</v>
      </c>
      <c r="R1797" s="405" t="s">
        <v>9506</v>
      </c>
      <c r="S1797" s="405" t="s">
        <v>27074</v>
      </c>
      <c r="T1797" s="405" t="s">
        <v>884</v>
      </c>
      <c r="U1797" s="405" t="s">
        <v>319</v>
      </c>
    </row>
    <row r="1798" spans="1:21" x14ac:dyDescent="0.25">
      <c r="A1798" s="405" t="s">
        <v>310</v>
      </c>
      <c r="B1798" s="405" t="s">
        <v>25292</v>
      </c>
      <c r="C1798" s="405" t="s">
        <v>327</v>
      </c>
      <c r="D1798" s="405"/>
      <c r="E1798" s="410">
        <v>43606</v>
      </c>
      <c r="F1798" s="410">
        <v>43616</v>
      </c>
      <c r="G1798" s="405" t="s">
        <v>25293</v>
      </c>
      <c r="H1798" s="405">
        <v>772858852</v>
      </c>
      <c r="I1798" s="405"/>
      <c r="J1798" s="405">
        <v>-0.51095299999999999</v>
      </c>
      <c r="K1798" s="405">
        <v>30.418223000000001</v>
      </c>
      <c r="L1798" s="405" t="s">
        <v>590</v>
      </c>
      <c r="M1798" s="405" t="s">
        <v>19725</v>
      </c>
      <c r="N1798" s="405" t="s">
        <v>25040</v>
      </c>
      <c r="O1798" s="405" t="s">
        <v>25294</v>
      </c>
      <c r="P1798" s="405" t="s">
        <v>25295</v>
      </c>
      <c r="Q1798" s="411">
        <v>13</v>
      </c>
      <c r="R1798" s="405" t="s">
        <v>32166</v>
      </c>
      <c r="S1798" s="405" t="s">
        <v>27172</v>
      </c>
      <c r="T1798" s="405" t="s">
        <v>32102</v>
      </c>
      <c r="U1798" s="405" t="s">
        <v>319</v>
      </c>
    </row>
    <row r="1799" spans="1:21" x14ac:dyDescent="0.25">
      <c r="A1799" s="405" t="s">
        <v>310</v>
      </c>
      <c r="B1799" s="405" t="s">
        <v>16953</v>
      </c>
      <c r="C1799" s="405" t="s">
        <v>327</v>
      </c>
      <c r="D1799" s="405"/>
      <c r="E1799" s="410">
        <v>43606</v>
      </c>
      <c r="F1799" s="410">
        <v>43736</v>
      </c>
      <c r="G1799" s="405" t="s">
        <v>16954</v>
      </c>
      <c r="H1799" s="405">
        <v>789982233</v>
      </c>
      <c r="I1799" s="405"/>
      <c r="J1799" s="405">
        <v>0.51200000000000001</v>
      </c>
      <c r="K1799" s="405">
        <v>33.824033</v>
      </c>
      <c r="L1799" s="405" t="s">
        <v>6866</v>
      </c>
      <c r="M1799" s="405" t="s">
        <v>3009</v>
      </c>
      <c r="N1799" s="405" t="s">
        <v>15915</v>
      </c>
      <c r="O1799" s="405" t="s">
        <v>9663</v>
      </c>
      <c r="P1799" s="405" t="s">
        <v>16875</v>
      </c>
      <c r="Q1799" s="411">
        <v>6</v>
      </c>
      <c r="R1799" s="405" t="s">
        <v>32164</v>
      </c>
      <c r="S1799" s="405" t="s">
        <v>27056</v>
      </c>
      <c r="T1799" s="405" t="s">
        <v>884</v>
      </c>
      <c r="U1799" s="405" t="s">
        <v>319</v>
      </c>
    </row>
    <row r="1800" spans="1:21" x14ac:dyDescent="0.25">
      <c r="A1800" s="405" t="s">
        <v>310</v>
      </c>
      <c r="B1800" s="405" t="s">
        <v>7416</v>
      </c>
      <c r="C1800" s="405" t="s">
        <v>327</v>
      </c>
      <c r="D1800" s="405"/>
      <c r="E1800" s="410">
        <v>43606</v>
      </c>
      <c r="F1800" s="410">
        <v>43618</v>
      </c>
      <c r="G1800" s="405" t="s">
        <v>7417</v>
      </c>
      <c r="H1800" s="405">
        <v>774275005</v>
      </c>
      <c r="I1800" s="405"/>
      <c r="J1800" s="405">
        <v>-0.23760999999999999</v>
      </c>
      <c r="K1800" s="405">
        <v>31.763534</v>
      </c>
      <c r="L1800" s="405" t="s">
        <v>314</v>
      </c>
      <c r="M1800" s="405" t="s">
        <v>361</v>
      </c>
      <c r="N1800" s="405" t="s">
        <v>1290</v>
      </c>
      <c r="O1800" s="405" t="s">
        <v>1290</v>
      </c>
      <c r="P1800" s="405" t="s">
        <v>2250</v>
      </c>
      <c r="Q1800" s="411">
        <v>6</v>
      </c>
      <c r="R1800" s="405" t="s">
        <v>32101</v>
      </c>
      <c r="S1800" s="405" t="s">
        <v>27167</v>
      </c>
      <c r="T1800" s="405" t="s">
        <v>32102</v>
      </c>
      <c r="U1800" s="405" t="s">
        <v>319</v>
      </c>
    </row>
    <row r="1801" spans="1:21" x14ac:dyDescent="0.25">
      <c r="A1801" s="405" t="s">
        <v>310</v>
      </c>
      <c r="B1801" s="405" t="s">
        <v>16729</v>
      </c>
      <c r="C1801" s="405" t="s">
        <v>327</v>
      </c>
      <c r="D1801" s="405"/>
      <c r="E1801" s="410">
        <v>43605</v>
      </c>
      <c r="F1801" s="410">
        <v>43666</v>
      </c>
      <c r="G1801" s="405" t="s">
        <v>16730</v>
      </c>
      <c r="H1801" s="405">
        <v>705081049</v>
      </c>
      <c r="I1801" s="405"/>
      <c r="J1801" s="405">
        <v>0.44497599999999998</v>
      </c>
      <c r="K1801" s="405">
        <v>33.171199999999999</v>
      </c>
      <c r="L1801" s="405" t="s">
        <v>6866</v>
      </c>
      <c r="M1801" s="405" t="s">
        <v>9590</v>
      </c>
      <c r="N1801" s="405" t="s">
        <v>405</v>
      </c>
      <c r="O1801" s="405" t="s">
        <v>9127</v>
      </c>
      <c r="P1801" s="405" t="s">
        <v>488</v>
      </c>
      <c r="Q1801" s="411">
        <v>6</v>
      </c>
      <c r="R1801" s="405" t="s">
        <v>874</v>
      </c>
      <c r="S1801" s="405" t="s">
        <v>6822</v>
      </c>
      <c r="T1801" s="405" t="s">
        <v>884</v>
      </c>
      <c r="U1801" s="405" t="s">
        <v>319</v>
      </c>
    </row>
    <row r="1802" spans="1:21" x14ac:dyDescent="0.25">
      <c r="A1802" s="405" t="s">
        <v>310</v>
      </c>
      <c r="B1802" s="405" t="s">
        <v>7501</v>
      </c>
      <c r="C1802" s="405" t="s">
        <v>327</v>
      </c>
      <c r="D1802" s="405"/>
      <c r="E1802" s="410">
        <v>43605</v>
      </c>
      <c r="F1802" s="410">
        <v>43649</v>
      </c>
      <c r="G1802" s="405" t="s">
        <v>7502</v>
      </c>
      <c r="H1802" s="405">
        <v>772404408</v>
      </c>
      <c r="I1802" s="405"/>
      <c r="J1802" s="405">
        <v>-0.22770099999999999</v>
      </c>
      <c r="K1802" s="405">
        <v>31.835443999999999</v>
      </c>
      <c r="L1802" s="405" t="s">
        <v>314</v>
      </c>
      <c r="M1802" s="405" t="s">
        <v>329</v>
      </c>
      <c r="N1802" s="405" t="s">
        <v>330</v>
      </c>
      <c r="O1802" s="405" t="s">
        <v>600</v>
      </c>
      <c r="P1802" s="405" t="s">
        <v>788</v>
      </c>
      <c r="Q1802" s="411">
        <v>6</v>
      </c>
      <c r="R1802" s="405" t="s">
        <v>5921</v>
      </c>
      <c r="S1802" s="405" t="s">
        <v>32960</v>
      </c>
      <c r="T1802" s="405" t="s">
        <v>884</v>
      </c>
      <c r="U1802" s="405" t="s">
        <v>319</v>
      </c>
    </row>
    <row r="1803" spans="1:21" x14ac:dyDescent="0.25">
      <c r="A1803" s="405" t="s">
        <v>310</v>
      </c>
      <c r="B1803" s="405" t="s">
        <v>25068</v>
      </c>
      <c r="C1803" s="405" t="s">
        <v>327</v>
      </c>
      <c r="D1803" s="405"/>
      <c r="E1803" s="410">
        <v>43605</v>
      </c>
      <c r="F1803" s="410">
        <v>43616</v>
      </c>
      <c r="G1803" s="405" t="s">
        <v>25069</v>
      </c>
      <c r="H1803" s="405">
        <v>783986784</v>
      </c>
      <c r="I1803" s="405"/>
      <c r="J1803" s="405">
        <v>0.37368699999999999</v>
      </c>
      <c r="K1803" s="405">
        <v>31.091830000000002</v>
      </c>
      <c r="L1803" s="405" t="s">
        <v>590</v>
      </c>
      <c r="M1803" s="405" t="s">
        <v>20757</v>
      </c>
      <c r="N1803" s="405" t="s">
        <v>22733</v>
      </c>
      <c r="O1803" s="405" t="s">
        <v>22734</v>
      </c>
      <c r="P1803" s="405" t="s">
        <v>23145</v>
      </c>
      <c r="Q1803" s="411">
        <v>6</v>
      </c>
      <c r="R1803" s="405" t="s">
        <v>7208</v>
      </c>
      <c r="S1803" s="405" t="s">
        <v>27181</v>
      </c>
      <c r="T1803" s="405" t="s">
        <v>884</v>
      </c>
      <c r="U1803" s="405" t="s">
        <v>319</v>
      </c>
    </row>
    <row r="1804" spans="1:21" x14ac:dyDescent="0.25">
      <c r="A1804" s="405" t="s">
        <v>310</v>
      </c>
      <c r="B1804" s="405" t="s">
        <v>16625</v>
      </c>
      <c r="C1804" s="405" t="s">
        <v>327</v>
      </c>
      <c r="D1804" s="405"/>
      <c r="E1804" s="410">
        <v>43605</v>
      </c>
      <c r="F1804" s="410">
        <v>43615</v>
      </c>
      <c r="G1804" s="405" t="s">
        <v>16626</v>
      </c>
      <c r="H1804" s="405">
        <v>772998184</v>
      </c>
      <c r="I1804" s="405"/>
      <c r="J1804" s="405">
        <v>0.43745699999999998</v>
      </c>
      <c r="K1804" s="405">
        <v>33.476360999999997</v>
      </c>
      <c r="L1804" s="405" t="s">
        <v>6866</v>
      </c>
      <c r="M1804" s="405" t="s">
        <v>5411</v>
      </c>
      <c r="N1804" s="405" t="s">
        <v>11239</v>
      </c>
      <c r="O1804" s="405" t="s">
        <v>10881</v>
      </c>
      <c r="P1804" s="405" t="s">
        <v>16627</v>
      </c>
      <c r="Q1804" s="411">
        <v>6</v>
      </c>
      <c r="R1804" s="405" t="s">
        <v>32164</v>
      </c>
      <c r="S1804" s="405" t="s">
        <v>6822</v>
      </c>
      <c r="T1804" s="405" t="s">
        <v>884</v>
      </c>
      <c r="U1804" s="405" t="s">
        <v>319</v>
      </c>
    </row>
    <row r="1805" spans="1:21" x14ac:dyDescent="0.25">
      <c r="A1805" s="405" t="s">
        <v>310</v>
      </c>
      <c r="B1805" s="405" t="s">
        <v>25034</v>
      </c>
      <c r="C1805" s="405" t="s">
        <v>327</v>
      </c>
      <c r="D1805" s="405"/>
      <c r="E1805" s="410">
        <v>43604</v>
      </c>
      <c r="F1805" s="410">
        <v>43615</v>
      </c>
      <c r="G1805" s="405" t="s">
        <v>25035</v>
      </c>
      <c r="H1805" s="405">
        <v>772432719</v>
      </c>
      <c r="I1805" s="405"/>
      <c r="J1805" s="405">
        <v>-6.2802999999999998E-2</v>
      </c>
      <c r="K1805" s="405">
        <v>29.834150000000001</v>
      </c>
      <c r="L1805" s="405" t="s">
        <v>590</v>
      </c>
      <c r="M1805" s="405" t="s">
        <v>19725</v>
      </c>
      <c r="N1805" s="405" t="s">
        <v>25036</v>
      </c>
      <c r="O1805" s="405" t="s">
        <v>1310</v>
      </c>
      <c r="P1805" s="405" t="s">
        <v>25037</v>
      </c>
      <c r="Q1805" s="411">
        <v>13</v>
      </c>
      <c r="R1805" s="405" t="s">
        <v>32166</v>
      </c>
      <c r="S1805" s="405" t="s">
        <v>27401</v>
      </c>
      <c r="T1805" s="405" t="s">
        <v>884</v>
      </c>
      <c r="U1805" s="405" t="s">
        <v>319</v>
      </c>
    </row>
    <row r="1806" spans="1:21" x14ac:dyDescent="0.25">
      <c r="A1806" s="405" t="s">
        <v>310</v>
      </c>
      <c r="B1806" s="405" t="s">
        <v>25038</v>
      </c>
      <c r="C1806" s="405" t="s">
        <v>327</v>
      </c>
      <c r="D1806" s="405"/>
      <c r="E1806" s="410">
        <v>43602</v>
      </c>
      <c r="F1806" s="410">
        <v>43615</v>
      </c>
      <c r="G1806" s="405" t="s">
        <v>25039</v>
      </c>
      <c r="H1806" s="405">
        <v>772302195</v>
      </c>
      <c r="I1806" s="405"/>
      <c r="J1806" s="405">
        <v>-0.55893700000000002</v>
      </c>
      <c r="K1806" s="405">
        <v>30.342224999999999</v>
      </c>
      <c r="L1806" s="405" t="s">
        <v>590</v>
      </c>
      <c r="M1806" s="405" t="s">
        <v>19725</v>
      </c>
      <c r="N1806" s="405" t="s">
        <v>25040</v>
      </c>
      <c r="O1806" s="405" t="s">
        <v>25041</v>
      </c>
      <c r="P1806" s="405" t="s">
        <v>25042</v>
      </c>
      <c r="Q1806" s="411">
        <v>9</v>
      </c>
      <c r="R1806" s="405" t="s">
        <v>32166</v>
      </c>
      <c r="S1806" s="405" t="s">
        <v>27102</v>
      </c>
      <c r="T1806" s="405" t="s">
        <v>884</v>
      </c>
      <c r="U1806" s="405" t="s">
        <v>319</v>
      </c>
    </row>
    <row r="1807" spans="1:21" x14ac:dyDescent="0.25">
      <c r="A1807" s="405" t="s">
        <v>310</v>
      </c>
      <c r="B1807" s="405" t="s">
        <v>16734</v>
      </c>
      <c r="C1807" s="405" t="s">
        <v>327</v>
      </c>
      <c r="D1807" s="405"/>
      <c r="E1807" s="410">
        <v>43600</v>
      </c>
      <c r="F1807" s="410">
        <v>43655</v>
      </c>
      <c r="G1807" s="405" t="s">
        <v>16735</v>
      </c>
      <c r="H1807" s="405">
        <v>779072071</v>
      </c>
      <c r="I1807" s="405"/>
      <c r="J1807" s="405" t="s">
        <v>7420</v>
      </c>
      <c r="K1807" s="405">
        <v>31.835087999999999</v>
      </c>
      <c r="L1807" s="405" t="s">
        <v>6866</v>
      </c>
      <c r="M1807" s="405" t="s">
        <v>9705</v>
      </c>
      <c r="N1807" s="405" t="s">
        <v>9705</v>
      </c>
      <c r="O1807" s="405" t="s">
        <v>15735</v>
      </c>
      <c r="P1807" s="405" t="s">
        <v>16736</v>
      </c>
      <c r="Q1807" s="411">
        <v>6</v>
      </c>
      <c r="R1807" s="405" t="s">
        <v>9506</v>
      </c>
      <c r="S1807" s="405" t="s">
        <v>27067</v>
      </c>
      <c r="T1807" s="405" t="s">
        <v>884</v>
      </c>
      <c r="U1807" s="405" t="s">
        <v>319</v>
      </c>
    </row>
    <row r="1808" spans="1:21" x14ac:dyDescent="0.25">
      <c r="A1808" s="405" t="s">
        <v>310</v>
      </c>
      <c r="B1808" s="405" t="s">
        <v>19066</v>
      </c>
      <c r="C1808" s="405" t="s">
        <v>327</v>
      </c>
      <c r="D1808" s="405"/>
      <c r="E1808" s="410">
        <v>43599</v>
      </c>
      <c r="F1808" s="410">
        <v>43616</v>
      </c>
      <c r="G1808" s="405" t="s">
        <v>19067</v>
      </c>
      <c r="H1808" s="405">
        <v>775782400</v>
      </c>
      <c r="I1808" s="405"/>
      <c r="J1808" s="405">
        <v>2.4639950000000002</v>
      </c>
      <c r="K1808" s="405">
        <v>31.893958000000001</v>
      </c>
      <c r="L1808" s="405" t="s">
        <v>860</v>
      </c>
      <c r="M1808" s="405" t="s">
        <v>19068</v>
      </c>
      <c r="N1808" s="405" t="s">
        <v>19069</v>
      </c>
      <c r="O1808" s="405" t="s">
        <v>19069</v>
      </c>
      <c r="P1808" s="405" t="s">
        <v>19070</v>
      </c>
      <c r="Q1808" s="411">
        <v>13</v>
      </c>
      <c r="R1808" s="405" t="s">
        <v>32164</v>
      </c>
      <c r="S1808" s="405" t="s">
        <v>27174</v>
      </c>
      <c r="T1808" s="405" t="s">
        <v>884</v>
      </c>
      <c r="U1808" s="405" t="s">
        <v>319</v>
      </c>
    </row>
    <row r="1809" spans="1:21" x14ac:dyDescent="0.25">
      <c r="A1809" s="405" t="s">
        <v>310</v>
      </c>
      <c r="B1809" s="405" t="s">
        <v>16635</v>
      </c>
      <c r="C1809" s="405" t="s">
        <v>327</v>
      </c>
      <c r="D1809" s="405"/>
      <c r="E1809" s="410">
        <v>43599</v>
      </c>
      <c r="F1809" s="410">
        <v>43635</v>
      </c>
      <c r="G1809" s="405" t="s">
        <v>16636</v>
      </c>
      <c r="H1809" s="405">
        <v>785555555</v>
      </c>
      <c r="I1809" s="405"/>
      <c r="J1809" s="405">
        <v>1.0679879999999999</v>
      </c>
      <c r="K1809" s="405">
        <v>34.169862000000002</v>
      </c>
      <c r="L1809" s="405" t="s">
        <v>6866</v>
      </c>
      <c r="M1809" s="405" t="s">
        <v>10495</v>
      </c>
      <c r="N1809" s="405" t="s">
        <v>16623</v>
      </c>
      <c r="O1809" s="405" t="s">
        <v>16623</v>
      </c>
      <c r="P1809" s="405" t="s">
        <v>16637</v>
      </c>
      <c r="Q1809" s="411">
        <v>4</v>
      </c>
      <c r="R1809" s="405" t="s">
        <v>7224</v>
      </c>
      <c r="S1809" s="405" t="s">
        <v>27298</v>
      </c>
      <c r="T1809" s="405" t="s">
        <v>884</v>
      </c>
      <c r="U1809" s="405" t="s">
        <v>319</v>
      </c>
    </row>
    <row r="1810" spans="1:21" x14ac:dyDescent="0.25">
      <c r="A1810" s="405" t="s">
        <v>310</v>
      </c>
      <c r="B1810" s="405" t="s">
        <v>16616</v>
      </c>
      <c r="C1810" s="405" t="s">
        <v>327</v>
      </c>
      <c r="D1810" s="405"/>
      <c r="E1810" s="410">
        <v>43598</v>
      </c>
      <c r="F1810" s="410">
        <v>43610</v>
      </c>
      <c r="G1810" s="405" t="s">
        <v>16617</v>
      </c>
      <c r="H1810" s="405">
        <v>778854532</v>
      </c>
      <c r="I1810" s="405"/>
      <c r="J1810" s="405">
        <v>2.3620100000000002</v>
      </c>
      <c r="K1810" s="405">
        <v>34.526102999999999</v>
      </c>
      <c r="L1810" s="405" t="s">
        <v>6866</v>
      </c>
      <c r="M1810" s="405" t="s">
        <v>16584</v>
      </c>
      <c r="N1810" s="405" t="s">
        <v>16614</v>
      </c>
      <c r="O1810" s="405" t="s">
        <v>16586</v>
      </c>
      <c r="P1810" s="405" t="s">
        <v>16618</v>
      </c>
      <c r="Q1810" s="411">
        <v>6</v>
      </c>
      <c r="R1810" s="405" t="s">
        <v>7269</v>
      </c>
      <c r="S1810" s="405" t="s">
        <v>27179</v>
      </c>
      <c r="T1810" s="405" t="s">
        <v>884</v>
      </c>
      <c r="U1810" s="405" t="s">
        <v>319</v>
      </c>
    </row>
    <row r="1811" spans="1:21" x14ac:dyDescent="0.25">
      <c r="A1811" s="405" t="s">
        <v>310</v>
      </c>
      <c r="B1811" s="405" t="s">
        <v>25063</v>
      </c>
      <c r="C1811" s="405" t="s">
        <v>327</v>
      </c>
      <c r="D1811" s="405"/>
      <c r="E1811" s="410">
        <v>43597</v>
      </c>
      <c r="F1811" s="410">
        <v>43614</v>
      </c>
      <c r="G1811" s="405" t="s">
        <v>25064</v>
      </c>
      <c r="H1811" s="405">
        <v>773114843</v>
      </c>
      <c r="I1811" s="405"/>
      <c r="J1811" s="405">
        <v>0.40732499999999999</v>
      </c>
      <c r="K1811" s="405">
        <v>31.005845000000001</v>
      </c>
      <c r="L1811" s="405" t="s">
        <v>590</v>
      </c>
      <c r="M1811" s="405" t="s">
        <v>20757</v>
      </c>
      <c r="N1811" s="405" t="s">
        <v>22733</v>
      </c>
      <c r="O1811" s="405" t="s">
        <v>22734</v>
      </c>
      <c r="P1811" s="405" t="s">
        <v>25002</v>
      </c>
      <c r="Q1811" s="411">
        <v>6</v>
      </c>
      <c r="R1811" s="405" t="s">
        <v>7208</v>
      </c>
      <c r="S1811" s="405" t="s">
        <v>27275</v>
      </c>
      <c r="T1811" s="405" t="s">
        <v>884</v>
      </c>
      <c r="U1811" s="405" t="s">
        <v>319</v>
      </c>
    </row>
    <row r="1812" spans="1:21" x14ac:dyDescent="0.25">
      <c r="A1812" s="405" t="s">
        <v>310</v>
      </c>
      <c r="B1812" s="405" t="s">
        <v>7413</v>
      </c>
      <c r="C1812" s="405" t="s">
        <v>327</v>
      </c>
      <c r="D1812" s="405"/>
      <c r="E1812" s="410">
        <v>43595</v>
      </c>
      <c r="F1812" s="410">
        <v>43618</v>
      </c>
      <c r="G1812" s="405" t="s">
        <v>7414</v>
      </c>
      <c r="H1812" s="405">
        <v>752788427</v>
      </c>
      <c r="I1812" s="405"/>
      <c r="J1812" s="405">
        <v>-6.2802999999999998E-2</v>
      </c>
      <c r="K1812" s="405">
        <v>29.834150000000001</v>
      </c>
      <c r="L1812" s="405" t="s">
        <v>314</v>
      </c>
      <c r="M1812" s="405" t="s">
        <v>2297</v>
      </c>
      <c r="N1812" s="405" t="s">
        <v>2297</v>
      </c>
      <c r="O1812" s="405" t="s">
        <v>7415</v>
      </c>
      <c r="P1812" s="405" t="s">
        <v>1922</v>
      </c>
      <c r="Q1812" s="411">
        <v>9</v>
      </c>
      <c r="R1812" s="405" t="s">
        <v>32101</v>
      </c>
      <c r="S1812" s="405" t="s">
        <v>27167</v>
      </c>
      <c r="T1812" s="405" t="s">
        <v>884</v>
      </c>
      <c r="U1812" s="405" t="s">
        <v>319</v>
      </c>
    </row>
    <row r="1813" spans="1:21" x14ac:dyDescent="0.25">
      <c r="A1813" s="405" t="s">
        <v>310</v>
      </c>
      <c r="B1813" s="405" t="s">
        <v>25051</v>
      </c>
      <c r="C1813" s="405" t="s">
        <v>327</v>
      </c>
      <c r="D1813" s="405"/>
      <c r="E1813" s="410">
        <v>43595</v>
      </c>
      <c r="F1813" s="410">
        <v>43615</v>
      </c>
      <c r="G1813" s="405" t="s">
        <v>25052</v>
      </c>
      <c r="H1813" s="405">
        <v>782082667</v>
      </c>
      <c r="I1813" s="405">
        <v>775878854</v>
      </c>
      <c r="J1813" s="405" t="s">
        <v>7406</v>
      </c>
      <c r="K1813" s="405">
        <v>32.623615000000001</v>
      </c>
      <c r="L1813" s="405" t="s">
        <v>590</v>
      </c>
      <c r="M1813" s="405" t="s">
        <v>21087</v>
      </c>
      <c r="N1813" s="405" t="s">
        <v>25048</v>
      </c>
      <c r="O1813" s="405" t="s">
        <v>4710</v>
      </c>
      <c r="P1813" s="405" t="s">
        <v>21933</v>
      </c>
      <c r="Q1813" s="411">
        <v>9</v>
      </c>
      <c r="R1813" s="405" t="s">
        <v>6572</v>
      </c>
      <c r="S1813" s="405" t="s">
        <v>27301</v>
      </c>
      <c r="T1813" s="405" t="s">
        <v>884</v>
      </c>
      <c r="U1813" s="405" t="s">
        <v>319</v>
      </c>
    </row>
    <row r="1814" spans="1:21" x14ac:dyDescent="0.25">
      <c r="A1814" s="405" t="s">
        <v>310</v>
      </c>
      <c r="B1814" s="405" t="s">
        <v>28567</v>
      </c>
      <c r="C1814" s="405" t="s">
        <v>327</v>
      </c>
      <c r="D1814" s="405"/>
      <c r="E1814" s="410">
        <v>43595</v>
      </c>
      <c r="F1814" s="410">
        <v>43598</v>
      </c>
      <c r="G1814" s="405" t="s">
        <v>16608</v>
      </c>
      <c r="H1814" s="405">
        <v>787819161</v>
      </c>
      <c r="I1814" s="405"/>
      <c r="J1814" s="405">
        <v>1.34202</v>
      </c>
      <c r="K1814" s="405">
        <v>34.302295000000001</v>
      </c>
      <c r="L1814" s="405" t="s">
        <v>6866</v>
      </c>
      <c r="M1814" s="405" t="s">
        <v>9550</v>
      </c>
      <c r="N1814" s="405" t="s">
        <v>16609</v>
      </c>
      <c r="O1814" s="405" t="s">
        <v>16610</v>
      </c>
      <c r="P1814" s="405" t="s">
        <v>16611</v>
      </c>
      <c r="Q1814" s="411">
        <v>4</v>
      </c>
      <c r="R1814" s="405" t="s">
        <v>874</v>
      </c>
      <c r="S1814" s="405" t="s">
        <v>23838</v>
      </c>
      <c r="T1814" s="405" t="s">
        <v>884</v>
      </c>
      <c r="U1814" s="405" t="s">
        <v>319</v>
      </c>
    </row>
    <row r="1815" spans="1:21" x14ac:dyDescent="0.25">
      <c r="A1815" s="405" t="s">
        <v>310</v>
      </c>
      <c r="B1815" s="405" t="s">
        <v>7966</v>
      </c>
      <c r="C1815" s="405" t="s">
        <v>857</v>
      </c>
      <c r="D1815" s="405" t="s">
        <v>32747</v>
      </c>
      <c r="E1815" s="410">
        <v>43593</v>
      </c>
      <c r="F1815" s="410">
        <v>43618</v>
      </c>
      <c r="G1815" s="405" t="s">
        <v>7967</v>
      </c>
      <c r="H1815" s="405">
        <v>752841016</v>
      </c>
      <c r="I1815" s="405"/>
      <c r="J1815" s="405">
        <v>-0.25717699999999999</v>
      </c>
      <c r="K1815" s="405">
        <v>31.819427999999998</v>
      </c>
      <c r="L1815" s="405" t="s">
        <v>314</v>
      </c>
      <c r="M1815" s="405" t="s">
        <v>382</v>
      </c>
      <c r="N1815" s="405" t="s">
        <v>941</v>
      </c>
      <c r="O1815" s="405" t="s">
        <v>1076</v>
      </c>
      <c r="P1815" s="405" t="s">
        <v>4525</v>
      </c>
      <c r="Q1815" s="411">
        <v>9</v>
      </c>
      <c r="R1815" s="405" t="s">
        <v>32101</v>
      </c>
      <c r="S1815" s="405" t="s">
        <v>27186</v>
      </c>
      <c r="T1815" s="405" t="s">
        <v>884</v>
      </c>
      <c r="U1815" s="405" t="s">
        <v>319</v>
      </c>
    </row>
    <row r="1816" spans="1:21" x14ac:dyDescent="0.25">
      <c r="A1816" s="405" t="s">
        <v>310</v>
      </c>
      <c r="B1816" s="405" t="s">
        <v>16630</v>
      </c>
      <c r="C1816" s="405" t="s">
        <v>327</v>
      </c>
      <c r="D1816" s="405"/>
      <c r="E1816" s="410">
        <v>43592</v>
      </c>
      <c r="F1816" s="410">
        <v>43607</v>
      </c>
      <c r="G1816" s="405" t="s">
        <v>16631</v>
      </c>
      <c r="H1816" s="405">
        <v>774545484</v>
      </c>
      <c r="I1816" s="405">
        <v>787298064</v>
      </c>
      <c r="J1816" s="405">
        <v>0.58869700000000003</v>
      </c>
      <c r="K1816" s="405">
        <v>33.129002</v>
      </c>
      <c r="L1816" s="405" t="s">
        <v>6866</v>
      </c>
      <c r="M1816" s="405" t="s">
        <v>9590</v>
      </c>
      <c r="N1816" s="405" t="s">
        <v>542</v>
      </c>
      <c r="O1816" s="405" t="s">
        <v>12090</v>
      </c>
      <c r="P1816" s="405" t="s">
        <v>11179</v>
      </c>
      <c r="Q1816" s="411">
        <v>9</v>
      </c>
      <c r="R1816" s="405" t="s">
        <v>32164</v>
      </c>
      <c r="S1816" s="405" t="s">
        <v>6822</v>
      </c>
      <c r="T1816" s="405" t="s">
        <v>32102</v>
      </c>
      <c r="U1816" s="405" t="s">
        <v>319</v>
      </c>
    </row>
    <row r="1817" spans="1:21" x14ac:dyDescent="0.25">
      <c r="A1817" s="405" t="s">
        <v>310</v>
      </c>
      <c r="B1817" s="405" t="s">
        <v>16628</v>
      </c>
      <c r="C1817" s="405" t="s">
        <v>327</v>
      </c>
      <c r="D1817" s="405"/>
      <c r="E1817" s="410">
        <v>43592</v>
      </c>
      <c r="F1817" s="410">
        <v>43607</v>
      </c>
      <c r="G1817" s="405" t="s">
        <v>16629</v>
      </c>
      <c r="H1817" s="405">
        <v>751303296</v>
      </c>
      <c r="I1817" s="405"/>
      <c r="J1817" s="405">
        <v>0.58869700000000003</v>
      </c>
      <c r="K1817" s="405">
        <v>33.129002</v>
      </c>
      <c r="L1817" s="405" t="s">
        <v>6866</v>
      </c>
      <c r="M1817" s="405" t="s">
        <v>9590</v>
      </c>
      <c r="N1817" s="405" t="s">
        <v>542</v>
      </c>
      <c r="O1817" s="405" t="s">
        <v>12090</v>
      </c>
      <c r="P1817" s="405" t="s">
        <v>11179</v>
      </c>
      <c r="Q1817" s="411">
        <v>9</v>
      </c>
      <c r="R1817" s="405" t="s">
        <v>32164</v>
      </c>
      <c r="S1817" s="405" t="s">
        <v>6822</v>
      </c>
      <c r="T1817" s="405" t="s">
        <v>884</v>
      </c>
      <c r="U1817" s="405" t="s">
        <v>319</v>
      </c>
    </row>
    <row r="1818" spans="1:21" x14ac:dyDescent="0.25">
      <c r="A1818" s="405" t="s">
        <v>310</v>
      </c>
      <c r="B1818" s="405" t="s">
        <v>7402</v>
      </c>
      <c r="C1818" s="405" t="s">
        <v>327</v>
      </c>
      <c r="D1818" s="405"/>
      <c r="E1818" s="410">
        <v>43591</v>
      </c>
      <c r="F1818" s="410">
        <v>43617</v>
      </c>
      <c r="G1818" s="405" t="s">
        <v>7403</v>
      </c>
      <c r="H1818" s="405">
        <v>756226117</v>
      </c>
      <c r="I1818" s="405"/>
      <c r="J1818" s="405">
        <v>0.42308699999999999</v>
      </c>
      <c r="K1818" s="405">
        <v>32.572322999999997</v>
      </c>
      <c r="L1818" s="405" t="s">
        <v>314</v>
      </c>
      <c r="M1818" s="405" t="s">
        <v>361</v>
      </c>
      <c r="N1818" s="405" t="s">
        <v>2996</v>
      </c>
      <c r="O1818" s="405" t="s">
        <v>6198</v>
      </c>
      <c r="P1818" s="405" t="s">
        <v>510</v>
      </c>
      <c r="Q1818" s="411">
        <v>6</v>
      </c>
      <c r="R1818" s="405" t="s">
        <v>5903</v>
      </c>
      <c r="S1818" s="405" t="s">
        <v>27153</v>
      </c>
      <c r="T1818" s="405" t="s">
        <v>884</v>
      </c>
      <c r="U1818" s="405" t="s">
        <v>319</v>
      </c>
    </row>
    <row r="1819" spans="1:21" x14ac:dyDescent="0.25">
      <c r="A1819" s="405" t="s">
        <v>310</v>
      </c>
      <c r="B1819" s="405" t="s">
        <v>25024</v>
      </c>
      <c r="C1819" s="405" t="s">
        <v>327</v>
      </c>
      <c r="D1819" s="405"/>
      <c r="E1819" s="410">
        <v>43590</v>
      </c>
      <c r="F1819" s="410">
        <v>43607</v>
      </c>
      <c r="G1819" s="405" t="s">
        <v>25025</v>
      </c>
      <c r="H1819" s="405">
        <v>702946219</v>
      </c>
      <c r="I1819" s="405"/>
      <c r="J1819" s="405">
        <v>-0.58142499999999997</v>
      </c>
      <c r="K1819" s="405">
        <v>31.071204999999999</v>
      </c>
      <c r="L1819" s="405" t="s">
        <v>590</v>
      </c>
      <c r="M1819" s="405" t="s">
        <v>19705</v>
      </c>
      <c r="N1819" s="405" t="s">
        <v>19706</v>
      </c>
      <c r="O1819" s="405" t="s">
        <v>22327</v>
      </c>
      <c r="P1819" s="405" t="s">
        <v>25026</v>
      </c>
      <c r="Q1819" s="411">
        <v>9</v>
      </c>
      <c r="R1819" s="405" t="s">
        <v>874</v>
      </c>
      <c r="S1819" s="405" t="s">
        <v>27164</v>
      </c>
      <c r="T1819" s="405" t="s">
        <v>884</v>
      </c>
      <c r="U1819" s="405" t="s">
        <v>319</v>
      </c>
    </row>
    <row r="1820" spans="1:21" x14ac:dyDescent="0.25">
      <c r="A1820" s="405" t="s">
        <v>310</v>
      </c>
      <c r="B1820" s="405" t="s">
        <v>16612</v>
      </c>
      <c r="C1820" s="405" t="s">
        <v>327</v>
      </c>
      <c r="D1820" s="405"/>
      <c r="E1820" s="410">
        <v>43589</v>
      </c>
      <c r="F1820" s="410">
        <v>43610</v>
      </c>
      <c r="G1820" s="405" t="s">
        <v>16613</v>
      </c>
      <c r="H1820" s="405">
        <v>778141079</v>
      </c>
      <c r="I1820" s="405"/>
      <c r="J1820" s="405" t="s">
        <v>7420</v>
      </c>
      <c r="K1820" s="405">
        <v>31.835087999999999</v>
      </c>
      <c r="L1820" s="405" t="s">
        <v>6866</v>
      </c>
      <c r="M1820" s="405" t="s">
        <v>16584</v>
      </c>
      <c r="N1820" s="405" t="s">
        <v>16614</v>
      </c>
      <c r="O1820" s="405" t="s">
        <v>16586</v>
      </c>
      <c r="P1820" s="405" t="s">
        <v>16615</v>
      </c>
      <c r="Q1820" s="411">
        <v>6</v>
      </c>
      <c r="R1820" s="405" t="s">
        <v>7269</v>
      </c>
      <c r="S1820" s="405" t="s">
        <v>27179</v>
      </c>
      <c r="T1820" s="405" t="s">
        <v>884</v>
      </c>
      <c r="U1820" s="405" t="s">
        <v>319</v>
      </c>
    </row>
    <row r="1821" spans="1:21" x14ac:dyDescent="0.25">
      <c r="A1821" s="405" t="s">
        <v>310</v>
      </c>
      <c r="B1821" s="405" t="s">
        <v>7353</v>
      </c>
      <c r="C1821" s="405" t="s">
        <v>327</v>
      </c>
      <c r="D1821" s="405"/>
      <c r="E1821" s="410">
        <v>43588</v>
      </c>
      <c r="F1821" s="410">
        <v>43597</v>
      </c>
      <c r="G1821" s="405" t="s">
        <v>7354</v>
      </c>
      <c r="H1821" s="405">
        <v>752473118</v>
      </c>
      <c r="I1821" s="405"/>
      <c r="J1821" s="405">
        <v>7.9930000000000001E-2</v>
      </c>
      <c r="K1821" s="405">
        <v>32.512107</v>
      </c>
      <c r="L1821" s="405" t="s">
        <v>314</v>
      </c>
      <c r="M1821" s="405" t="s">
        <v>361</v>
      </c>
      <c r="N1821" s="405" t="s">
        <v>374</v>
      </c>
      <c r="O1821" s="405" t="s">
        <v>7355</v>
      </c>
      <c r="P1821" s="405" t="s">
        <v>7356</v>
      </c>
      <c r="Q1821" s="411">
        <v>9</v>
      </c>
      <c r="R1821" s="405" t="s">
        <v>32157</v>
      </c>
      <c r="S1821" s="405" t="s">
        <v>27045</v>
      </c>
      <c r="T1821" s="405" t="s">
        <v>884</v>
      </c>
      <c r="U1821" s="405" t="s">
        <v>319</v>
      </c>
    </row>
    <row r="1822" spans="1:21" x14ac:dyDescent="0.25">
      <c r="A1822" s="405" t="s">
        <v>310</v>
      </c>
      <c r="B1822" s="405" t="s">
        <v>25043</v>
      </c>
      <c r="C1822" s="405" t="s">
        <v>327</v>
      </c>
      <c r="D1822" s="405"/>
      <c r="E1822" s="410">
        <v>43587</v>
      </c>
      <c r="F1822" s="410">
        <v>43602</v>
      </c>
      <c r="G1822" s="405" t="s">
        <v>25044</v>
      </c>
      <c r="H1822" s="405">
        <v>782385669</v>
      </c>
      <c r="I1822" s="405">
        <v>704351010</v>
      </c>
      <c r="J1822" s="405">
        <v>0.99083600000000005</v>
      </c>
      <c r="K1822" s="405">
        <v>34.173879999999997</v>
      </c>
      <c r="L1822" s="405" t="s">
        <v>590</v>
      </c>
      <c r="M1822" s="405" t="s">
        <v>19619</v>
      </c>
      <c r="N1822" s="405" t="s">
        <v>19793</v>
      </c>
      <c r="O1822" s="405" t="s">
        <v>25045</v>
      </c>
      <c r="P1822" s="405" t="s">
        <v>20015</v>
      </c>
      <c r="Q1822" s="411">
        <v>13</v>
      </c>
      <c r="R1822" s="405" t="s">
        <v>6572</v>
      </c>
      <c r="S1822" s="405" t="s">
        <v>27193</v>
      </c>
      <c r="T1822" s="405" t="s">
        <v>32102</v>
      </c>
      <c r="U1822" s="405" t="s">
        <v>319</v>
      </c>
    </row>
    <row r="1823" spans="1:21" x14ac:dyDescent="0.25">
      <c r="A1823" s="405" t="s">
        <v>310</v>
      </c>
      <c r="B1823" s="405" t="s">
        <v>25018</v>
      </c>
      <c r="C1823" s="405" t="s">
        <v>327</v>
      </c>
      <c r="D1823" s="405"/>
      <c r="E1823" s="410">
        <v>43587</v>
      </c>
      <c r="F1823" s="410">
        <v>43599</v>
      </c>
      <c r="G1823" s="405" t="s">
        <v>25019</v>
      </c>
      <c r="H1823" s="405">
        <v>772526677</v>
      </c>
      <c r="I1823" s="405"/>
      <c r="J1823" s="405">
        <v>-0.41331800000000002</v>
      </c>
      <c r="K1823" s="405">
        <v>30.902735</v>
      </c>
      <c r="L1823" s="405" t="s">
        <v>590</v>
      </c>
      <c r="M1823" s="405" t="s">
        <v>19705</v>
      </c>
      <c r="N1823" s="405" t="s">
        <v>25020</v>
      </c>
      <c r="O1823" s="405" t="s">
        <v>4156</v>
      </c>
      <c r="P1823" s="405" t="s">
        <v>21538</v>
      </c>
      <c r="Q1823" s="411">
        <v>13</v>
      </c>
      <c r="R1823" s="405" t="s">
        <v>874</v>
      </c>
      <c r="S1823" s="405" t="s">
        <v>27405</v>
      </c>
      <c r="T1823" s="405" t="s">
        <v>884</v>
      </c>
      <c r="U1823" s="405" t="s">
        <v>319</v>
      </c>
    </row>
    <row r="1824" spans="1:21" x14ac:dyDescent="0.25">
      <c r="A1824" s="405" t="s">
        <v>310</v>
      </c>
      <c r="B1824" s="405" t="s">
        <v>25049</v>
      </c>
      <c r="C1824" s="405" t="s">
        <v>327</v>
      </c>
      <c r="D1824" s="405"/>
      <c r="E1824" s="410">
        <v>43587</v>
      </c>
      <c r="F1824" s="410">
        <v>43609</v>
      </c>
      <c r="G1824" s="405" t="s">
        <v>25050</v>
      </c>
      <c r="H1824" s="405">
        <v>772551023</v>
      </c>
      <c r="I1824" s="405">
        <v>701340052</v>
      </c>
      <c r="J1824" s="405">
        <v>-0.25717699999999999</v>
      </c>
      <c r="K1824" s="405">
        <v>31.819427999999998</v>
      </c>
      <c r="L1824" s="405" t="s">
        <v>590</v>
      </c>
      <c r="M1824" s="405" t="s">
        <v>20808</v>
      </c>
      <c r="N1824" s="405" t="s">
        <v>23390</v>
      </c>
      <c r="O1824" s="405" t="s">
        <v>20560</v>
      </c>
      <c r="P1824" s="405" t="s">
        <v>19915</v>
      </c>
      <c r="Q1824" s="411">
        <v>9</v>
      </c>
      <c r="R1824" s="405" t="s">
        <v>6572</v>
      </c>
      <c r="S1824" s="405" t="s">
        <v>27166</v>
      </c>
      <c r="T1824" s="405" t="s">
        <v>884</v>
      </c>
      <c r="U1824" s="405" t="s">
        <v>319</v>
      </c>
    </row>
    <row r="1825" spans="1:21" x14ac:dyDescent="0.25">
      <c r="A1825" s="405" t="s">
        <v>310</v>
      </c>
      <c r="B1825" s="405" t="s">
        <v>17140</v>
      </c>
      <c r="C1825" s="405" t="s">
        <v>327</v>
      </c>
      <c r="D1825" s="405"/>
      <c r="E1825" s="410">
        <v>43587</v>
      </c>
      <c r="F1825" s="410">
        <v>43814</v>
      </c>
      <c r="G1825" s="405" t="s">
        <v>17141</v>
      </c>
      <c r="H1825" s="405">
        <v>782421523</v>
      </c>
      <c r="I1825" s="405"/>
      <c r="J1825" s="405">
        <v>0.4829</v>
      </c>
      <c r="K1825" s="405">
        <v>34.112099999999998</v>
      </c>
      <c r="L1825" s="405" t="s">
        <v>6866</v>
      </c>
      <c r="M1825" s="405" t="s">
        <v>12153</v>
      </c>
      <c r="N1825" s="405" t="s">
        <v>10377</v>
      </c>
      <c r="O1825" s="405" t="s">
        <v>16088</v>
      </c>
      <c r="P1825" s="405" t="s">
        <v>16962</v>
      </c>
      <c r="Q1825" s="411">
        <v>6</v>
      </c>
      <c r="R1825" s="405" t="s">
        <v>5655</v>
      </c>
      <c r="S1825" s="405" t="s">
        <v>27357</v>
      </c>
      <c r="T1825" s="405" t="s">
        <v>32102</v>
      </c>
      <c r="U1825" s="405" t="s">
        <v>319</v>
      </c>
    </row>
    <row r="1826" spans="1:21" x14ac:dyDescent="0.25">
      <c r="A1826" s="405" t="s">
        <v>310</v>
      </c>
      <c r="B1826" s="405" t="s">
        <v>25016</v>
      </c>
      <c r="C1826" s="405" t="s">
        <v>327</v>
      </c>
      <c r="D1826" s="405"/>
      <c r="E1826" s="410">
        <v>43586</v>
      </c>
      <c r="F1826" s="410">
        <v>43605</v>
      </c>
      <c r="G1826" s="405" t="s">
        <v>25017</v>
      </c>
      <c r="H1826" s="405">
        <v>788220564</v>
      </c>
      <c r="I1826" s="405"/>
      <c r="J1826" s="405">
        <v>-9.0499999999999997E-2</v>
      </c>
      <c r="K1826" s="405">
        <v>31.142534999999999</v>
      </c>
      <c r="L1826" s="405" t="s">
        <v>590</v>
      </c>
      <c r="M1826" s="405" t="s">
        <v>19705</v>
      </c>
      <c r="N1826" s="405" t="s">
        <v>7400</v>
      </c>
      <c r="O1826" s="405" t="s">
        <v>5898</v>
      </c>
      <c r="P1826" s="405" t="s">
        <v>5898</v>
      </c>
      <c r="Q1826" s="411">
        <v>9</v>
      </c>
      <c r="R1826" s="405" t="s">
        <v>874</v>
      </c>
      <c r="S1826" s="405" t="s">
        <v>27161</v>
      </c>
      <c r="T1826" s="405" t="s">
        <v>884</v>
      </c>
      <c r="U1826" s="405" t="s">
        <v>319</v>
      </c>
    </row>
    <row r="1827" spans="1:21" x14ac:dyDescent="0.25">
      <c r="A1827" s="405" t="s">
        <v>310</v>
      </c>
      <c r="B1827" s="405" t="s">
        <v>25065</v>
      </c>
      <c r="C1827" s="405" t="s">
        <v>327</v>
      </c>
      <c r="D1827" s="405"/>
      <c r="E1827" s="410">
        <v>43586</v>
      </c>
      <c r="F1827" s="410">
        <v>43615</v>
      </c>
      <c r="G1827" s="405" t="s">
        <v>25066</v>
      </c>
      <c r="H1827" s="405">
        <v>782682745</v>
      </c>
      <c r="I1827" s="405"/>
      <c r="J1827" s="405">
        <v>0.37622299999999997</v>
      </c>
      <c r="K1827" s="405">
        <v>31.059987</v>
      </c>
      <c r="L1827" s="405" t="s">
        <v>590</v>
      </c>
      <c r="M1827" s="405" t="s">
        <v>20757</v>
      </c>
      <c r="N1827" s="405" t="s">
        <v>22733</v>
      </c>
      <c r="O1827" s="405" t="s">
        <v>22734</v>
      </c>
      <c r="P1827" s="405" t="s">
        <v>25067</v>
      </c>
      <c r="Q1827" s="411">
        <v>6</v>
      </c>
      <c r="R1827" s="405" t="s">
        <v>7208</v>
      </c>
      <c r="S1827" s="405" t="s">
        <v>27205</v>
      </c>
      <c r="T1827" s="405" t="s">
        <v>884</v>
      </c>
      <c r="U1827" s="405" t="s">
        <v>319</v>
      </c>
    </row>
    <row r="1828" spans="1:21" x14ac:dyDescent="0.25">
      <c r="A1828" s="405" t="s">
        <v>310</v>
      </c>
      <c r="B1828" s="405" t="s">
        <v>16598</v>
      </c>
      <c r="C1828" s="405" t="s">
        <v>327</v>
      </c>
      <c r="D1828" s="405"/>
      <c r="E1828" s="410">
        <v>43585</v>
      </c>
      <c r="F1828" s="410">
        <v>43608</v>
      </c>
      <c r="G1828" s="405" t="s">
        <v>16599</v>
      </c>
      <c r="H1828" s="405">
        <v>777436393</v>
      </c>
      <c r="I1828" s="405"/>
      <c r="J1828" s="405">
        <v>0.54893499999999995</v>
      </c>
      <c r="K1828" s="405">
        <v>34.052416999999998</v>
      </c>
      <c r="L1828" s="405" t="s">
        <v>6866</v>
      </c>
      <c r="M1828" s="405" t="s">
        <v>10390</v>
      </c>
      <c r="N1828" s="405" t="s">
        <v>16600</v>
      </c>
      <c r="O1828" s="405" t="s">
        <v>12372</v>
      </c>
      <c r="P1828" s="405" t="s">
        <v>16600</v>
      </c>
      <c r="Q1828" s="411">
        <v>6</v>
      </c>
      <c r="R1828" s="405" t="s">
        <v>6871</v>
      </c>
      <c r="S1828" s="405" t="s">
        <v>17013</v>
      </c>
      <c r="T1828" s="405" t="s">
        <v>884</v>
      </c>
      <c r="U1828" s="405" t="s">
        <v>319</v>
      </c>
    </row>
    <row r="1829" spans="1:21" x14ac:dyDescent="0.25">
      <c r="A1829" s="405" t="s">
        <v>310</v>
      </c>
      <c r="B1829" s="405" t="s">
        <v>7375</v>
      </c>
      <c r="C1829" s="405" t="s">
        <v>327</v>
      </c>
      <c r="D1829" s="405"/>
      <c r="E1829" s="410">
        <v>43585</v>
      </c>
      <c r="F1829" s="410">
        <v>43605</v>
      </c>
      <c r="G1829" s="405" t="s">
        <v>7376</v>
      </c>
      <c r="H1829" s="405">
        <v>705829189</v>
      </c>
      <c r="I1829" s="405"/>
      <c r="J1829" s="405">
        <v>-0.27939799999999998</v>
      </c>
      <c r="K1829" s="405">
        <v>31.74766</v>
      </c>
      <c r="L1829" s="405" t="s">
        <v>314</v>
      </c>
      <c r="M1829" s="405" t="s">
        <v>382</v>
      </c>
      <c r="N1829" s="405" t="s">
        <v>382</v>
      </c>
      <c r="O1829" s="405" t="s">
        <v>1076</v>
      </c>
      <c r="P1829" s="405" t="s">
        <v>502</v>
      </c>
      <c r="Q1829" s="411">
        <v>6</v>
      </c>
      <c r="R1829" s="405" t="s">
        <v>32101</v>
      </c>
      <c r="S1829" s="405" t="s">
        <v>27041</v>
      </c>
      <c r="T1829" s="405" t="s">
        <v>884</v>
      </c>
      <c r="U1829" s="405" t="s">
        <v>319</v>
      </c>
    </row>
    <row r="1830" spans="1:21" x14ac:dyDescent="0.25">
      <c r="A1830" s="405" t="s">
        <v>310</v>
      </c>
      <c r="B1830" s="405" t="s">
        <v>25070</v>
      </c>
      <c r="C1830" s="405" t="s">
        <v>327</v>
      </c>
      <c r="D1830" s="405"/>
      <c r="E1830" s="410">
        <v>43584</v>
      </c>
      <c r="F1830" s="410">
        <v>43588</v>
      </c>
      <c r="G1830" s="405" t="s">
        <v>25071</v>
      </c>
      <c r="H1830" s="405">
        <v>782944521</v>
      </c>
      <c r="I1830" s="405">
        <v>771847810</v>
      </c>
      <c r="J1830" s="405">
        <v>-1.3135300000000001</v>
      </c>
      <c r="K1830" s="405">
        <v>29.712738000000002</v>
      </c>
      <c r="L1830" s="405" t="s">
        <v>590</v>
      </c>
      <c r="M1830" s="405" t="s">
        <v>20070</v>
      </c>
      <c r="N1830" s="405" t="s">
        <v>25072</v>
      </c>
      <c r="O1830" s="405" t="s">
        <v>25073</v>
      </c>
      <c r="P1830" s="405" t="s">
        <v>25074</v>
      </c>
      <c r="Q1830" s="411">
        <v>9</v>
      </c>
      <c r="R1830" s="405" t="s">
        <v>24106</v>
      </c>
      <c r="S1830" s="405" t="s">
        <v>27402</v>
      </c>
      <c r="T1830" s="405" t="s">
        <v>884</v>
      </c>
      <c r="U1830" s="405" t="s">
        <v>319</v>
      </c>
    </row>
    <row r="1831" spans="1:21" x14ac:dyDescent="0.25">
      <c r="A1831" s="405" t="s">
        <v>310</v>
      </c>
      <c r="B1831" s="405" t="s">
        <v>7370</v>
      </c>
      <c r="C1831" s="405" t="s">
        <v>327</v>
      </c>
      <c r="D1831" s="405"/>
      <c r="E1831" s="410">
        <v>43583</v>
      </c>
      <c r="F1831" s="410">
        <v>43598</v>
      </c>
      <c r="G1831" s="405" t="s">
        <v>7371</v>
      </c>
      <c r="H1831" s="405">
        <v>772615593</v>
      </c>
      <c r="I1831" s="405">
        <v>702615593</v>
      </c>
      <c r="J1831" s="405">
        <v>-5.5708000000000001E-2</v>
      </c>
      <c r="K1831" s="405" t="s">
        <v>7372</v>
      </c>
      <c r="L1831" s="405" t="s">
        <v>314</v>
      </c>
      <c r="M1831" s="405" t="s">
        <v>399</v>
      </c>
      <c r="N1831" s="405" t="s">
        <v>1563</v>
      </c>
      <c r="O1831" s="405" t="s">
        <v>7373</v>
      </c>
      <c r="P1831" s="405" t="s">
        <v>7374</v>
      </c>
      <c r="Q1831" s="411">
        <v>13</v>
      </c>
      <c r="R1831" s="405" t="s">
        <v>32101</v>
      </c>
      <c r="S1831" s="405" t="s">
        <v>27047</v>
      </c>
      <c r="T1831" s="405" t="s">
        <v>884</v>
      </c>
      <c r="U1831" s="405" t="s">
        <v>319</v>
      </c>
    </row>
    <row r="1832" spans="1:21" x14ac:dyDescent="0.25">
      <c r="A1832" s="405" t="s">
        <v>310</v>
      </c>
      <c r="B1832" s="405" t="s">
        <v>25046</v>
      </c>
      <c r="C1832" s="405" t="s">
        <v>327</v>
      </c>
      <c r="D1832" s="405"/>
      <c r="E1832" s="410">
        <v>43582</v>
      </c>
      <c r="F1832" s="410">
        <v>43597</v>
      </c>
      <c r="G1832" s="405" t="s">
        <v>25047</v>
      </c>
      <c r="H1832" s="405">
        <v>782657510</v>
      </c>
      <c r="I1832" s="405">
        <v>771860575</v>
      </c>
      <c r="J1832" s="405">
        <v>-0.23760999999999999</v>
      </c>
      <c r="K1832" s="405">
        <v>31.763534</v>
      </c>
      <c r="L1832" s="405" t="s">
        <v>590</v>
      </c>
      <c r="M1832" s="405" t="s">
        <v>21087</v>
      </c>
      <c r="N1832" s="405" t="s">
        <v>25048</v>
      </c>
      <c r="O1832" s="405" t="s">
        <v>4710</v>
      </c>
      <c r="P1832" s="405" t="s">
        <v>21933</v>
      </c>
      <c r="Q1832" s="411">
        <v>9</v>
      </c>
      <c r="R1832" s="405" t="s">
        <v>6572</v>
      </c>
      <c r="S1832" s="405" t="s">
        <v>27301</v>
      </c>
      <c r="T1832" s="405" t="s">
        <v>884</v>
      </c>
      <c r="U1832" s="405" t="s">
        <v>319</v>
      </c>
    </row>
    <row r="1833" spans="1:21" x14ac:dyDescent="0.25">
      <c r="A1833" s="405" t="s">
        <v>310</v>
      </c>
      <c r="B1833" s="405" t="s">
        <v>25027</v>
      </c>
      <c r="C1833" s="405" t="s">
        <v>327</v>
      </c>
      <c r="D1833" s="405"/>
      <c r="E1833" s="410">
        <v>43580</v>
      </c>
      <c r="F1833" s="410">
        <v>43593</v>
      </c>
      <c r="G1833" s="405" t="s">
        <v>25028</v>
      </c>
      <c r="H1833" s="405">
        <v>784130551</v>
      </c>
      <c r="I1833" s="405"/>
      <c r="J1833" s="405">
        <v>-0.36463200000000001</v>
      </c>
      <c r="K1833" s="405">
        <v>31.082635</v>
      </c>
      <c r="L1833" s="405" t="s">
        <v>590</v>
      </c>
      <c r="M1833" s="405" t="s">
        <v>19705</v>
      </c>
      <c r="N1833" s="405" t="s">
        <v>19706</v>
      </c>
      <c r="O1833" s="405" t="s">
        <v>22327</v>
      </c>
      <c r="P1833" s="405" t="s">
        <v>25029</v>
      </c>
      <c r="Q1833" s="411">
        <v>9</v>
      </c>
      <c r="R1833" s="405" t="s">
        <v>874</v>
      </c>
      <c r="S1833" s="405" t="s">
        <v>27405</v>
      </c>
      <c r="T1833" s="405" t="s">
        <v>884</v>
      </c>
      <c r="U1833" s="405" t="s">
        <v>319</v>
      </c>
    </row>
    <row r="1834" spans="1:21" x14ac:dyDescent="0.25">
      <c r="A1834" s="405" t="s">
        <v>310</v>
      </c>
      <c r="B1834" s="405" t="s">
        <v>16621</v>
      </c>
      <c r="C1834" s="405" t="s">
        <v>327</v>
      </c>
      <c r="D1834" s="405"/>
      <c r="E1834" s="410">
        <v>43579</v>
      </c>
      <c r="F1834" s="410">
        <v>43594</v>
      </c>
      <c r="G1834" s="405" t="s">
        <v>16622</v>
      </c>
      <c r="H1834" s="405">
        <v>774913609</v>
      </c>
      <c r="I1834" s="405"/>
      <c r="J1834" s="405">
        <v>-0.22770099999999999</v>
      </c>
      <c r="K1834" s="405">
        <v>31.835443999999999</v>
      </c>
      <c r="L1834" s="405" t="s">
        <v>6866</v>
      </c>
      <c r="M1834" s="405" t="s">
        <v>10495</v>
      </c>
      <c r="N1834" s="405" t="s">
        <v>10495</v>
      </c>
      <c r="O1834" s="405" t="s">
        <v>16623</v>
      </c>
      <c r="P1834" s="405" t="s">
        <v>16624</v>
      </c>
      <c r="Q1834" s="411">
        <v>6</v>
      </c>
      <c r="R1834" s="405" t="s">
        <v>5655</v>
      </c>
      <c r="S1834" s="405" t="s">
        <v>27072</v>
      </c>
      <c r="T1834" s="405" t="s">
        <v>884</v>
      </c>
      <c r="U1834" s="405" t="s">
        <v>319</v>
      </c>
    </row>
    <row r="1835" spans="1:21" x14ac:dyDescent="0.25">
      <c r="A1835" s="405" t="s">
        <v>310</v>
      </c>
      <c r="B1835" s="405" t="s">
        <v>7377</v>
      </c>
      <c r="C1835" s="405" t="s">
        <v>327</v>
      </c>
      <c r="D1835" s="405"/>
      <c r="E1835" s="410">
        <v>43578</v>
      </c>
      <c r="F1835" s="410">
        <v>43615</v>
      </c>
      <c r="G1835" s="405" t="s">
        <v>7378</v>
      </c>
      <c r="H1835" s="405">
        <v>701639184</v>
      </c>
      <c r="I1835" s="405"/>
      <c r="J1835" s="405">
        <v>-6.2802999999999998E-2</v>
      </c>
      <c r="K1835" s="405">
        <v>29.834150000000001</v>
      </c>
      <c r="L1835" s="405" t="s">
        <v>314</v>
      </c>
      <c r="M1835" s="405" t="s">
        <v>992</v>
      </c>
      <c r="N1835" s="405" t="s">
        <v>992</v>
      </c>
      <c r="O1835" s="405" t="s">
        <v>936</v>
      </c>
      <c r="P1835" s="405" t="s">
        <v>6432</v>
      </c>
      <c r="Q1835" s="411">
        <v>13</v>
      </c>
      <c r="R1835" s="405" t="s">
        <v>4176</v>
      </c>
      <c r="S1835" s="405" t="s">
        <v>27059</v>
      </c>
      <c r="T1835" s="405" t="s">
        <v>884</v>
      </c>
      <c r="U1835" s="405" t="s">
        <v>319</v>
      </c>
    </row>
    <row r="1836" spans="1:21" x14ac:dyDescent="0.25">
      <c r="A1836" s="405" t="s">
        <v>310</v>
      </c>
      <c r="B1836" s="405" t="s">
        <v>7367</v>
      </c>
      <c r="C1836" s="405" t="s">
        <v>327</v>
      </c>
      <c r="D1836" s="405"/>
      <c r="E1836" s="410">
        <v>43577</v>
      </c>
      <c r="F1836" s="410">
        <v>43601</v>
      </c>
      <c r="G1836" s="405" t="s">
        <v>7368</v>
      </c>
      <c r="H1836" s="405">
        <v>777728243</v>
      </c>
      <c r="I1836" s="405"/>
      <c r="J1836" s="405">
        <v>0.14013700000000001</v>
      </c>
      <c r="K1836" s="405">
        <v>32.509008000000001</v>
      </c>
      <c r="L1836" s="405" t="s">
        <v>314</v>
      </c>
      <c r="M1836" s="405" t="s">
        <v>361</v>
      </c>
      <c r="N1836" s="405" t="s">
        <v>5838</v>
      </c>
      <c r="O1836" s="405" t="s">
        <v>7369</v>
      </c>
      <c r="P1836" s="405" t="s">
        <v>611</v>
      </c>
      <c r="Q1836" s="411">
        <v>13</v>
      </c>
      <c r="R1836" s="405" t="s">
        <v>414</v>
      </c>
      <c r="S1836" s="405" t="s">
        <v>414</v>
      </c>
      <c r="T1836" s="405" t="s">
        <v>884</v>
      </c>
      <c r="U1836" s="405" t="s">
        <v>319</v>
      </c>
    </row>
    <row r="1837" spans="1:21" x14ac:dyDescent="0.25">
      <c r="A1837" s="405" t="s">
        <v>310</v>
      </c>
      <c r="B1837" s="405" t="s">
        <v>16712</v>
      </c>
      <c r="C1837" s="405" t="s">
        <v>327</v>
      </c>
      <c r="D1837" s="405"/>
      <c r="E1837" s="410">
        <v>43577</v>
      </c>
      <c r="F1837" s="410">
        <v>43620</v>
      </c>
      <c r="G1837" s="405" t="s">
        <v>16713</v>
      </c>
      <c r="H1837" s="405">
        <v>783435412</v>
      </c>
      <c r="I1837" s="405"/>
      <c r="J1837" s="405">
        <v>2.0920230000000002</v>
      </c>
      <c r="K1837" s="405">
        <v>34.064566999999997</v>
      </c>
      <c r="L1837" s="405" t="s">
        <v>6866</v>
      </c>
      <c r="M1837" s="405" t="s">
        <v>11355</v>
      </c>
      <c r="N1837" s="405" t="s">
        <v>11356</v>
      </c>
      <c r="O1837" s="405" t="s">
        <v>16714</v>
      </c>
      <c r="P1837" s="405" t="s">
        <v>16715</v>
      </c>
      <c r="Q1837" s="411">
        <v>6</v>
      </c>
      <c r="R1837" s="405" t="s">
        <v>5655</v>
      </c>
      <c r="S1837" s="405" t="s">
        <v>27072</v>
      </c>
      <c r="T1837" s="405" t="s">
        <v>32746</v>
      </c>
      <c r="U1837" s="405" t="s">
        <v>2267</v>
      </c>
    </row>
    <row r="1838" spans="1:21" x14ac:dyDescent="0.25">
      <c r="A1838" s="405" t="s">
        <v>310</v>
      </c>
      <c r="B1838" s="405" t="s">
        <v>7329</v>
      </c>
      <c r="C1838" s="405" t="s">
        <v>327</v>
      </c>
      <c r="D1838" s="405"/>
      <c r="E1838" s="410">
        <v>43572</v>
      </c>
      <c r="F1838" s="410">
        <v>43585</v>
      </c>
      <c r="G1838" s="405" t="s">
        <v>7330</v>
      </c>
      <c r="H1838" s="405">
        <v>752498488</v>
      </c>
      <c r="I1838" s="405"/>
      <c r="J1838" s="405">
        <v>0.41841800000000001</v>
      </c>
      <c r="K1838" s="405">
        <v>32.406840000000003</v>
      </c>
      <c r="L1838" s="405" t="s">
        <v>314</v>
      </c>
      <c r="M1838" s="405" t="s">
        <v>361</v>
      </c>
      <c r="N1838" s="405" t="s">
        <v>374</v>
      </c>
      <c r="O1838" s="405" t="s">
        <v>952</v>
      </c>
      <c r="P1838" s="405" t="s">
        <v>7331</v>
      </c>
      <c r="Q1838" s="411">
        <v>13</v>
      </c>
      <c r="R1838" s="405" t="s">
        <v>32101</v>
      </c>
      <c r="S1838" s="405" t="s">
        <v>27041</v>
      </c>
      <c r="T1838" s="405" t="s">
        <v>884</v>
      </c>
      <c r="U1838" s="405" t="s">
        <v>319</v>
      </c>
    </row>
    <row r="1839" spans="1:21" x14ac:dyDescent="0.25">
      <c r="A1839" s="405" t="s">
        <v>310</v>
      </c>
      <c r="B1839" s="405" t="s">
        <v>7336</v>
      </c>
      <c r="C1839" s="405" t="s">
        <v>327</v>
      </c>
      <c r="D1839" s="405"/>
      <c r="E1839" s="410">
        <v>43571</v>
      </c>
      <c r="F1839" s="410">
        <v>43585</v>
      </c>
      <c r="G1839" s="405" t="s">
        <v>7337</v>
      </c>
      <c r="H1839" s="405">
        <v>753108280</v>
      </c>
      <c r="I1839" s="405"/>
      <c r="J1839" s="405">
        <v>0.29330000000000001</v>
      </c>
      <c r="K1839" s="405">
        <v>31.292300000000001</v>
      </c>
      <c r="L1839" s="405" t="s">
        <v>314</v>
      </c>
      <c r="M1839" s="405" t="s">
        <v>1189</v>
      </c>
      <c r="N1839" s="405" t="s">
        <v>1189</v>
      </c>
      <c r="O1839" s="405" t="s">
        <v>1190</v>
      </c>
      <c r="P1839" s="405" t="s">
        <v>7297</v>
      </c>
      <c r="Q1839" s="411">
        <v>9</v>
      </c>
      <c r="R1839" s="405" t="s">
        <v>32101</v>
      </c>
      <c r="S1839" s="405" t="s">
        <v>27266</v>
      </c>
      <c r="T1839" s="405" t="s">
        <v>884</v>
      </c>
      <c r="U1839" s="405" t="s">
        <v>319</v>
      </c>
    </row>
    <row r="1840" spans="1:21" x14ac:dyDescent="0.25">
      <c r="A1840" s="405" t="s">
        <v>310</v>
      </c>
      <c r="B1840" s="405" t="s">
        <v>16582</v>
      </c>
      <c r="C1840" s="405" t="s">
        <v>327</v>
      </c>
      <c r="D1840" s="405"/>
      <c r="E1840" s="410">
        <v>43571</v>
      </c>
      <c r="F1840" s="410">
        <v>43576</v>
      </c>
      <c r="G1840" s="405" t="s">
        <v>16583</v>
      </c>
      <c r="H1840" s="405">
        <v>392003908</v>
      </c>
      <c r="I1840" s="405"/>
      <c r="J1840" s="405">
        <v>2.392271</v>
      </c>
      <c r="K1840" s="405">
        <v>34.559054000000003</v>
      </c>
      <c r="L1840" s="405" t="s">
        <v>6866</v>
      </c>
      <c r="M1840" s="405" t="s">
        <v>16584</v>
      </c>
      <c r="N1840" s="405" t="s">
        <v>16585</v>
      </c>
      <c r="O1840" s="405" t="s">
        <v>16586</v>
      </c>
      <c r="P1840" s="405" t="s">
        <v>16587</v>
      </c>
      <c r="Q1840" s="411">
        <v>6</v>
      </c>
      <c r="R1840" s="405" t="s">
        <v>7269</v>
      </c>
      <c r="S1840" s="405" t="s">
        <v>27179</v>
      </c>
      <c r="T1840" s="405" t="s">
        <v>884</v>
      </c>
      <c r="U1840" s="405" t="s">
        <v>319</v>
      </c>
    </row>
    <row r="1841" spans="1:21" x14ac:dyDescent="0.25">
      <c r="A1841" s="405" t="s">
        <v>310</v>
      </c>
      <c r="B1841" s="405" t="s">
        <v>25008</v>
      </c>
      <c r="C1841" s="405" t="s">
        <v>327</v>
      </c>
      <c r="D1841" s="405"/>
      <c r="E1841" s="410">
        <v>43570</v>
      </c>
      <c r="F1841" s="410">
        <v>43584</v>
      </c>
      <c r="G1841" s="405" t="s">
        <v>25009</v>
      </c>
      <c r="H1841" s="405">
        <v>774210423</v>
      </c>
      <c r="I1841" s="405"/>
      <c r="J1841" s="405">
        <v>1.3524529999999999</v>
      </c>
      <c r="K1841" s="405">
        <v>34.467911999999998</v>
      </c>
      <c r="L1841" s="405" t="s">
        <v>590</v>
      </c>
      <c r="M1841" s="405" t="s">
        <v>20757</v>
      </c>
      <c r="N1841" s="405" t="s">
        <v>22733</v>
      </c>
      <c r="O1841" s="405" t="s">
        <v>22734</v>
      </c>
      <c r="P1841" s="405" t="s">
        <v>25002</v>
      </c>
      <c r="Q1841" s="411">
        <v>6</v>
      </c>
      <c r="R1841" s="405" t="s">
        <v>7208</v>
      </c>
      <c r="S1841" s="405" t="s">
        <v>27205</v>
      </c>
      <c r="T1841" s="405" t="s">
        <v>884</v>
      </c>
      <c r="U1841" s="405" t="s">
        <v>319</v>
      </c>
    </row>
    <row r="1842" spans="1:21" x14ac:dyDescent="0.25">
      <c r="A1842" s="405" t="s">
        <v>310</v>
      </c>
      <c r="B1842" s="405" t="s">
        <v>25055</v>
      </c>
      <c r="C1842" s="405" t="s">
        <v>327</v>
      </c>
      <c r="D1842" s="405"/>
      <c r="E1842" s="410">
        <v>43569</v>
      </c>
      <c r="F1842" s="410">
        <v>43599</v>
      </c>
      <c r="G1842" s="405" t="s">
        <v>25056</v>
      </c>
      <c r="H1842" s="405">
        <v>705223773</v>
      </c>
      <c r="I1842" s="405"/>
      <c r="J1842" s="405">
        <v>-0.66856899999999997</v>
      </c>
      <c r="K1842" s="405">
        <v>30.694821000000001</v>
      </c>
      <c r="L1842" s="405" t="s">
        <v>590</v>
      </c>
      <c r="M1842" s="405" t="s">
        <v>879</v>
      </c>
      <c r="N1842" s="405" t="s">
        <v>879</v>
      </c>
      <c r="O1842" s="405" t="s">
        <v>25057</v>
      </c>
      <c r="P1842" s="405" t="s">
        <v>25058</v>
      </c>
      <c r="Q1842" s="411">
        <v>13</v>
      </c>
      <c r="R1842" s="405" t="s">
        <v>402</v>
      </c>
      <c r="S1842" s="405" t="s">
        <v>27052</v>
      </c>
      <c r="T1842" s="405" t="s">
        <v>32102</v>
      </c>
      <c r="U1842" s="405" t="s">
        <v>319</v>
      </c>
    </row>
    <row r="1843" spans="1:21" x14ac:dyDescent="0.25">
      <c r="A1843" s="405" t="s">
        <v>310</v>
      </c>
      <c r="B1843" s="405" t="s">
        <v>7359</v>
      </c>
      <c r="C1843" s="405" t="s">
        <v>327</v>
      </c>
      <c r="D1843" s="405"/>
      <c r="E1843" s="410">
        <v>43569</v>
      </c>
      <c r="F1843" s="410">
        <v>43613</v>
      </c>
      <c r="G1843" s="405" t="s">
        <v>7360</v>
      </c>
      <c r="H1843" s="405">
        <v>756603552</v>
      </c>
      <c r="I1843" s="405"/>
      <c r="J1843" s="405">
        <v>0.435477</v>
      </c>
      <c r="K1843" s="405">
        <v>32.620207999999998</v>
      </c>
      <c r="L1843" s="405" t="s">
        <v>314</v>
      </c>
      <c r="M1843" s="405" t="s">
        <v>361</v>
      </c>
      <c r="N1843" s="405" t="s">
        <v>7361</v>
      </c>
      <c r="O1843" s="405" t="s">
        <v>7362</v>
      </c>
      <c r="P1843" s="405" t="s">
        <v>7363</v>
      </c>
      <c r="Q1843" s="411">
        <v>9</v>
      </c>
      <c r="R1843" s="405" t="s">
        <v>414</v>
      </c>
      <c r="S1843" s="405" t="s">
        <v>414</v>
      </c>
      <c r="T1843" s="405" t="s">
        <v>884</v>
      </c>
      <c r="U1843" s="405" t="s">
        <v>319</v>
      </c>
    </row>
    <row r="1844" spans="1:21" x14ac:dyDescent="0.25">
      <c r="A1844" s="405" t="s">
        <v>310</v>
      </c>
      <c r="B1844" s="405" t="s">
        <v>7325</v>
      </c>
      <c r="C1844" s="405" t="s">
        <v>327</v>
      </c>
      <c r="D1844" s="405"/>
      <c r="E1844" s="410">
        <v>43569</v>
      </c>
      <c r="F1844" s="410">
        <v>43583</v>
      </c>
      <c r="G1844" s="405" t="s">
        <v>7326</v>
      </c>
      <c r="H1844" s="405">
        <v>787372208</v>
      </c>
      <c r="I1844" s="405"/>
      <c r="J1844" s="405">
        <v>0.42257499999999998</v>
      </c>
      <c r="K1844" s="405">
        <v>33.150992000000002</v>
      </c>
      <c r="L1844" s="405" t="s">
        <v>314</v>
      </c>
      <c r="M1844" s="405" t="s">
        <v>349</v>
      </c>
      <c r="N1844" s="405" t="s">
        <v>7327</v>
      </c>
      <c r="O1844" s="405" t="s">
        <v>7327</v>
      </c>
      <c r="P1844" s="405" t="s">
        <v>7328</v>
      </c>
      <c r="Q1844" s="411">
        <v>9</v>
      </c>
      <c r="R1844" s="405" t="s">
        <v>32164</v>
      </c>
      <c r="S1844" s="405" t="s">
        <v>27174</v>
      </c>
      <c r="T1844" s="405" t="s">
        <v>884</v>
      </c>
      <c r="U1844" s="405" t="s">
        <v>319</v>
      </c>
    </row>
    <row r="1845" spans="1:21" x14ac:dyDescent="0.25">
      <c r="A1845" s="405" t="s">
        <v>310</v>
      </c>
      <c r="B1845" s="405" t="s">
        <v>24981</v>
      </c>
      <c r="C1845" s="405" t="s">
        <v>327</v>
      </c>
      <c r="D1845" s="405"/>
      <c r="E1845" s="410">
        <v>43568</v>
      </c>
      <c r="F1845" s="410">
        <v>43585</v>
      </c>
      <c r="G1845" s="405" t="s">
        <v>24982</v>
      </c>
      <c r="H1845" s="405">
        <v>750394973</v>
      </c>
      <c r="I1845" s="405"/>
      <c r="J1845" s="405" t="s">
        <v>7334</v>
      </c>
      <c r="K1845" s="405">
        <v>34.189390000000003</v>
      </c>
      <c r="L1845" s="405" t="s">
        <v>590</v>
      </c>
      <c r="M1845" s="405" t="s">
        <v>879</v>
      </c>
      <c r="N1845" s="405" t="s">
        <v>879</v>
      </c>
      <c r="O1845" s="405" t="s">
        <v>879</v>
      </c>
      <c r="P1845" s="405" t="s">
        <v>24983</v>
      </c>
      <c r="Q1845" s="411">
        <v>9</v>
      </c>
      <c r="R1845" s="405" t="s">
        <v>32166</v>
      </c>
      <c r="S1845" s="405" t="s">
        <v>27095</v>
      </c>
      <c r="T1845" s="405" t="s">
        <v>884</v>
      </c>
      <c r="U1845" s="405" t="s">
        <v>319</v>
      </c>
    </row>
    <row r="1846" spans="1:21" x14ac:dyDescent="0.25">
      <c r="A1846" s="405" t="s">
        <v>310</v>
      </c>
      <c r="B1846" s="405" t="s">
        <v>7918</v>
      </c>
      <c r="C1846" s="405" t="s">
        <v>311</v>
      </c>
      <c r="D1846" s="405" t="s">
        <v>2127</v>
      </c>
      <c r="E1846" s="410">
        <v>43567</v>
      </c>
      <c r="F1846" s="410">
        <v>43592</v>
      </c>
      <c r="G1846" s="405" t="s">
        <v>7919</v>
      </c>
      <c r="H1846" s="405" t="s">
        <v>7920</v>
      </c>
      <c r="I1846" s="405" t="s">
        <v>7921</v>
      </c>
      <c r="J1846" s="405">
        <v>0.37173499999999998</v>
      </c>
      <c r="K1846" s="405">
        <v>32.718313999999999</v>
      </c>
      <c r="L1846" s="405" t="s">
        <v>314</v>
      </c>
      <c r="M1846" s="405" t="s">
        <v>329</v>
      </c>
      <c r="N1846" s="405" t="s">
        <v>787</v>
      </c>
      <c r="O1846" s="405" t="s">
        <v>787</v>
      </c>
      <c r="P1846" s="405" t="s">
        <v>7558</v>
      </c>
      <c r="Q1846" s="411">
        <v>13</v>
      </c>
      <c r="R1846" s="405" t="s">
        <v>5986</v>
      </c>
      <c r="S1846" s="405" t="s">
        <v>5986</v>
      </c>
      <c r="T1846" s="405" t="s">
        <v>884</v>
      </c>
      <c r="U1846" s="405" t="s">
        <v>319</v>
      </c>
    </row>
    <row r="1847" spans="1:21" x14ac:dyDescent="0.25">
      <c r="A1847" s="405" t="s">
        <v>310</v>
      </c>
      <c r="B1847" s="405" t="s">
        <v>7332</v>
      </c>
      <c r="C1847" s="405" t="s">
        <v>327</v>
      </c>
      <c r="D1847" s="405"/>
      <c r="E1847" s="410">
        <v>43567</v>
      </c>
      <c r="F1847" s="410">
        <v>43585</v>
      </c>
      <c r="G1847" s="405" t="s">
        <v>7333</v>
      </c>
      <c r="H1847" s="405">
        <v>703617386</v>
      </c>
      <c r="I1847" s="405"/>
      <c r="J1847" s="405" t="s">
        <v>7334</v>
      </c>
      <c r="K1847" s="405">
        <v>34.189390000000003</v>
      </c>
      <c r="L1847" s="405" t="s">
        <v>314</v>
      </c>
      <c r="M1847" s="405" t="s">
        <v>1189</v>
      </c>
      <c r="N1847" s="405" t="s">
        <v>988</v>
      </c>
      <c r="O1847" s="405" t="s">
        <v>1189</v>
      </c>
      <c r="P1847" s="405" t="s">
        <v>7335</v>
      </c>
      <c r="Q1847" s="411">
        <v>13</v>
      </c>
      <c r="R1847" s="405" t="s">
        <v>32101</v>
      </c>
      <c r="S1847" s="405" t="s">
        <v>27047</v>
      </c>
      <c r="T1847" s="405" t="s">
        <v>884</v>
      </c>
      <c r="U1847" s="405" t="s">
        <v>319</v>
      </c>
    </row>
    <row r="1848" spans="1:21" x14ac:dyDescent="0.25">
      <c r="A1848" s="405" t="s">
        <v>310</v>
      </c>
      <c r="B1848" s="405" t="s">
        <v>25003</v>
      </c>
      <c r="C1848" s="405" t="s">
        <v>327</v>
      </c>
      <c r="D1848" s="405"/>
      <c r="E1848" s="410">
        <v>43567</v>
      </c>
      <c r="F1848" s="410">
        <v>43583</v>
      </c>
      <c r="G1848" s="405" t="s">
        <v>25004</v>
      </c>
      <c r="H1848" s="405">
        <v>778710757</v>
      </c>
      <c r="I1848" s="405"/>
      <c r="J1848" s="405">
        <v>-0.22770099999999999</v>
      </c>
      <c r="K1848" s="405">
        <v>31.835443999999999</v>
      </c>
      <c r="L1848" s="405" t="s">
        <v>590</v>
      </c>
      <c r="M1848" s="405" t="s">
        <v>20757</v>
      </c>
      <c r="N1848" s="405" t="s">
        <v>22733</v>
      </c>
      <c r="O1848" s="405" t="s">
        <v>22734</v>
      </c>
      <c r="P1848" s="405" t="s">
        <v>25005</v>
      </c>
      <c r="Q1848" s="411">
        <v>6</v>
      </c>
      <c r="R1848" s="405" t="s">
        <v>7208</v>
      </c>
      <c r="S1848" s="405" t="s">
        <v>27181</v>
      </c>
      <c r="T1848" s="405" t="s">
        <v>32102</v>
      </c>
      <c r="U1848" s="405" t="s">
        <v>6890</v>
      </c>
    </row>
    <row r="1849" spans="1:21" x14ac:dyDescent="0.25">
      <c r="A1849" s="405" t="s">
        <v>310</v>
      </c>
      <c r="B1849" s="405" t="s">
        <v>24984</v>
      </c>
      <c r="C1849" s="405" t="s">
        <v>327</v>
      </c>
      <c r="D1849" s="405"/>
      <c r="E1849" s="410">
        <v>43566</v>
      </c>
      <c r="F1849" s="410">
        <v>43585</v>
      </c>
      <c r="G1849" s="405" t="s">
        <v>24985</v>
      </c>
      <c r="H1849" s="405">
        <v>781666300</v>
      </c>
      <c r="I1849" s="405"/>
      <c r="J1849" s="405">
        <v>-0.25809700000000002</v>
      </c>
      <c r="K1849" s="405">
        <v>31.001449999999998</v>
      </c>
      <c r="L1849" s="405" t="s">
        <v>590</v>
      </c>
      <c r="M1849" s="405" t="s">
        <v>19705</v>
      </c>
      <c r="N1849" s="405" t="s">
        <v>19706</v>
      </c>
      <c r="O1849" s="405" t="s">
        <v>19707</v>
      </c>
      <c r="P1849" s="405" t="s">
        <v>24986</v>
      </c>
      <c r="Q1849" s="411">
        <v>13</v>
      </c>
      <c r="R1849" s="405" t="s">
        <v>32166</v>
      </c>
      <c r="S1849" s="405" t="s">
        <v>27163</v>
      </c>
      <c r="T1849" s="405" t="s">
        <v>884</v>
      </c>
      <c r="U1849" s="405" t="s">
        <v>319</v>
      </c>
    </row>
    <row r="1850" spans="1:21" x14ac:dyDescent="0.25">
      <c r="A1850" s="405" t="s">
        <v>310</v>
      </c>
      <c r="B1850" s="405" t="s">
        <v>25006</v>
      </c>
      <c r="C1850" s="405" t="s">
        <v>327</v>
      </c>
      <c r="D1850" s="405"/>
      <c r="E1850" s="410">
        <v>43565</v>
      </c>
      <c r="F1850" s="410">
        <v>43581</v>
      </c>
      <c r="G1850" s="405" t="s">
        <v>25007</v>
      </c>
      <c r="H1850" s="405">
        <v>775120531</v>
      </c>
      <c r="I1850" s="405">
        <v>788832503</v>
      </c>
      <c r="J1850" s="405">
        <v>-0.23760999999999999</v>
      </c>
      <c r="K1850" s="405">
        <v>31.763534</v>
      </c>
      <c r="L1850" s="405" t="s">
        <v>590</v>
      </c>
      <c r="M1850" s="405" t="s">
        <v>20757</v>
      </c>
      <c r="N1850" s="405" t="s">
        <v>22733</v>
      </c>
      <c r="O1850" s="405" t="s">
        <v>22734</v>
      </c>
      <c r="P1850" s="405" t="s">
        <v>25002</v>
      </c>
      <c r="Q1850" s="411">
        <v>9</v>
      </c>
      <c r="R1850" s="405" t="s">
        <v>7208</v>
      </c>
      <c r="S1850" s="405" t="s">
        <v>27163</v>
      </c>
      <c r="T1850" s="405" t="s">
        <v>884</v>
      </c>
      <c r="U1850" s="405" t="s">
        <v>6890</v>
      </c>
    </row>
    <row r="1851" spans="1:21" x14ac:dyDescent="0.25">
      <c r="A1851" s="405" t="s">
        <v>310</v>
      </c>
      <c r="B1851" s="405" t="s">
        <v>7350</v>
      </c>
      <c r="C1851" s="405" t="s">
        <v>327</v>
      </c>
      <c r="D1851" s="405"/>
      <c r="E1851" s="410">
        <v>43561</v>
      </c>
      <c r="F1851" s="410">
        <v>43589</v>
      </c>
      <c r="G1851" s="405" t="s">
        <v>7351</v>
      </c>
      <c r="H1851" s="405">
        <v>772826309</v>
      </c>
      <c r="I1851" s="405"/>
      <c r="J1851" s="405">
        <v>0.25230200000000003</v>
      </c>
      <c r="K1851" s="405">
        <v>32.988008000000001</v>
      </c>
      <c r="L1851" s="405" t="s">
        <v>314</v>
      </c>
      <c r="M1851" s="405" t="s">
        <v>349</v>
      </c>
      <c r="N1851" s="405" t="s">
        <v>349</v>
      </c>
      <c r="O1851" s="405" t="s">
        <v>686</v>
      </c>
      <c r="P1851" s="405" t="s">
        <v>7352</v>
      </c>
      <c r="Q1851" s="411">
        <v>6</v>
      </c>
      <c r="R1851" s="405" t="s">
        <v>32157</v>
      </c>
      <c r="S1851" s="405" t="s">
        <v>414</v>
      </c>
      <c r="T1851" s="405" t="s">
        <v>884</v>
      </c>
      <c r="U1851" s="405" t="s">
        <v>319</v>
      </c>
    </row>
    <row r="1852" spans="1:21" x14ac:dyDescent="0.25">
      <c r="A1852" s="405" t="s">
        <v>310</v>
      </c>
      <c r="B1852" s="405" t="s">
        <v>7418</v>
      </c>
      <c r="C1852" s="405" t="s">
        <v>327</v>
      </c>
      <c r="D1852" s="405"/>
      <c r="E1852" s="410">
        <v>43560</v>
      </c>
      <c r="F1852" s="410">
        <v>43628</v>
      </c>
      <c r="G1852" s="405" t="s">
        <v>7419</v>
      </c>
      <c r="H1852" s="405">
        <v>777882329</v>
      </c>
      <c r="I1852" s="405"/>
      <c r="J1852" s="405" t="s">
        <v>7420</v>
      </c>
      <c r="K1852" s="405">
        <v>31.835087999999999</v>
      </c>
      <c r="L1852" s="405" t="s">
        <v>314</v>
      </c>
      <c r="M1852" s="405" t="s">
        <v>361</v>
      </c>
      <c r="N1852" s="405" t="s">
        <v>6588</v>
      </c>
      <c r="O1852" s="405" t="s">
        <v>6588</v>
      </c>
      <c r="P1852" s="405" t="s">
        <v>6366</v>
      </c>
      <c r="Q1852" s="411">
        <v>9</v>
      </c>
      <c r="R1852" s="405" t="s">
        <v>4176</v>
      </c>
      <c r="S1852" s="405" t="s">
        <v>27059</v>
      </c>
      <c r="T1852" s="405" t="s">
        <v>884</v>
      </c>
      <c r="U1852" s="405" t="s">
        <v>319</v>
      </c>
    </row>
    <row r="1853" spans="1:21" x14ac:dyDescent="0.25">
      <c r="A1853" s="405" t="s">
        <v>310</v>
      </c>
      <c r="B1853" s="405" t="s">
        <v>25010</v>
      </c>
      <c r="C1853" s="405" t="s">
        <v>327</v>
      </c>
      <c r="D1853" s="405"/>
      <c r="E1853" s="410">
        <v>43560</v>
      </c>
      <c r="F1853" s="410">
        <v>43595</v>
      </c>
      <c r="G1853" s="405" t="s">
        <v>25011</v>
      </c>
      <c r="H1853" s="405">
        <v>784226748</v>
      </c>
      <c r="I1853" s="405"/>
      <c r="J1853" s="405">
        <v>1.3524529999999999</v>
      </c>
      <c r="K1853" s="405">
        <v>34.467911999999998</v>
      </c>
      <c r="L1853" s="405" t="s">
        <v>590</v>
      </c>
      <c r="M1853" s="405" t="s">
        <v>19659</v>
      </c>
      <c r="N1853" s="405" t="s">
        <v>19677</v>
      </c>
      <c r="O1853" s="405" t="s">
        <v>20207</v>
      </c>
      <c r="P1853" s="405" t="s">
        <v>25012</v>
      </c>
      <c r="Q1853" s="411">
        <v>9</v>
      </c>
      <c r="R1853" s="405" t="s">
        <v>5858</v>
      </c>
      <c r="S1853" s="405" t="s">
        <v>27227</v>
      </c>
      <c r="T1853" s="405" t="s">
        <v>884</v>
      </c>
      <c r="U1853" s="405" t="s">
        <v>319</v>
      </c>
    </row>
    <row r="1854" spans="1:21" x14ac:dyDescent="0.25">
      <c r="A1854" s="405" t="s">
        <v>310</v>
      </c>
      <c r="B1854" s="405" t="s">
        <v>25059</v>
      </c>
      <c r="C1854" s="405" t="s">
        <v>327</v>
      </c>
      <c r="D1854" s="405"/>
      <c r="E1854" s="410">
        <v>43560</v>
      </c>
      <c r="F1854" s="410">
        <v>43612</v>
      </c>
      <c r="G1854" s="405" t="s">
        <v>25060</v>
      </c>
      <c r="H1854" s="405">
        <v>776930190</v>
      </c>
      <c r="I1854" s="405">
        <v>754930190</v>
      </c>
      <c r="J1854" s="405" t="s">
        <v>7406</v>
      </c>
      <c r="K1854" s="405">
        <v>32.623615000000001</v>
      </c>
      <c r="L1854" s="405" t="s">
        <v>590</v>
      </c>
      <c r="M1854" s="405" t="s">
        <v>20757</v>
      </c>
      <c r="N1854" s="405" t="s">
        <v>22733</v>
      </c>
      <c r="O1854" s="405" t="s">
        <v>22734</v>
      </c>
      <c r="P1854" s="405" t="s">
        <v>25002</v>
      </c>
      <c r="Q1854" s="411">
        <v>6</v>
      </c>
      <c r="R1854" s="405" t="s">
        <v>7208</v>
      </c>
      <c r="S1854" s="405" t="s">
        <v>27275</v>
      </c>
      <c r="T1854" s="405" t="s">
        <v>32102</v>
      </c>
      <c r="U1854" s="405" t="s">
        <v>319</v>
      </c>
    </row>
    <row r="1855" spans="1:21" x14ac:dyDescent="0.25">
      <c r="A1855" s="405" t="s">
        <v>310</v>
      </c>
      <c r="B1855" s="405" t="s">
        <v>25675</v>
      </c>
      <c r="C1855" s="405" t="s">
        <v>327</v>
      </c>
      <c r="D1855" s="405"/>
      <c r="E1855" s="410">
        <v>43558</v>
      </c>
      <c r="F1855" s="410">
        <v>43773</v>
      </c>
      <c r="G1855" s="405" t="s">
        <v>25676</v>
      </c>
      <c r="H1855" s="405">
        <v>787821103</v>
      </c>
      <c r="I1855" s="405"/>
      <c r="J1855" s="405">
        <v>-0.116017</v>
      </c>
      <c r="K1855" s="405">
        <v>31.934415000000001</v>
      </c>
      <c r="L1855" s="405" t="s">
        <v>590</v>
      </c>
      <c r="M1855" s="405" t="s">
        <v>21087</v>
      </c>
      <c r="N1855" s="405" t="s">
        <v>25677</v>
      </c>
      <c r="O1855" s="405" t="s">
        <v>7809</v>
      </c>
      <c r="P1855" s="405" t="s">
        <v>20298</v>
      </c>
      <c r="Q1855" s="411">
        <v>9</v>
      </c>
      <c r="R1855" s="405" t="s">
        <v>874</v>
      </c>
      <c r="S1855" s="405" t="s">
        <v>27271</v>
      </c>
      <c r="T1855" s="405" t="s">
        <v>884</v>
      </c>
      <c r="U1855" s="405" t="s">
        <v>319</v>
      </c>
    </row>
    <row r="1856" spans="1:21" x14ac:dyDescent="0.25">
      <c r="A1856" s="405" t="s">
        <v>310</v>
      </c>
      <c r="B1856" s="405" t="s">
        <v>7886</v>
      </c>
      <c r="C1856" s="405" t="s">
        <v>311</v>
      </c>
      <c r="D1856" s="405" t="s">
        <v>1007</v>
      </c>
      <c r="E1856" s="410">
        <v>43558</v>
      </c>
      <c r="F1856" s="410">
        <v>43570</v>
      </c>
      <c r="G1856" s="405" t="s">
        <v>7887</v>
      </c>
      <c r="H1856" s="405">
        <v>784744555</v>
      </c>
      <c r="I1856" s="405"/>
      <c r="J1856" s="405">
        <v>0.52878499999999995</v>
      </c>
      <c r="K1856" s="405">
        <v>33.384937000000001</v>
      </c>
      <c r="L1856" s="405" t="s">
        <v>314</v>
      </c>
      <c r="M1856" s="405" t="s">
        <v>361</v>
      </c>
      <c r="N1856" s="405" t="s">
        <v>374</v>
      </c>
      <c r="O1856" s="405" t="s">
        <v>535</v>
      </c>
      <c r="P1856" s="405" t="s">
        <v>975</v>
      </c>
      <c r="Q1856" s="411">
        <v>6</v>
      </c>
      <c r="R1856" s="405" t="s">
        <v>32157</v>
      </c>
      <c r="S1856" s="405" t="s">
        <v>27045</v>
      </c>
      <c r="T1856" s="405" t="s">
        <v>32102</v>
      </c>
      <c r="U1856" s="405" t="s">
        <v>319</v>
      </c>
    </row>
    <row r="1857" spans="1:21" x14ac:dyDescent="0.25">
      <c r="A1857" s="405" t="s">
        <v>310</v>
      </c>
      <c r="B1857" s="405" t="s">
        <v>7404</v>
      </c>
      <c r="C1857" s="405" t="s">
        <v>327</v>
      </c>
      <c r="D1857" s="405"/>
      <c r="E1857" s="410">
        <v>43557</v>
      </c>
      <c r="F1857" s="410">
        <v>43637</v>
      </c>
      <c r="G1857" s="405" t="s">
        <v>7405</v>
      </c>
      <c r="H1857" s="405">
        <v>782940421</v>
      </c>
      <c r="I1857" s="405">
        <v>788151768</v>
      </c>
      <c r="J1857" s="405" t="s">
        <v>7406</v>
      </c>
      <c r="K1857" s="405">
        <v>32.623615000000001</v>
      </c>
      <c r="L1857" s="405" t="s">
        <v>314</v>
      </c>
      <c r="M1857" s="405" t="s">
        <v>675</v>
      </c>
      <c r="N1857" s="405" t="s">
        <v>7407</v>
      </c>
      <c r="O1857" s="405" t="s">
        <v>7408</v>
      </c>
      <c r="P1857" s="405" t="s">
        <v>7409</v>
      </c>
      <c r="Q1857" s="411">
        <v>9</v>
      </c>
      <c r="R1857" s="405" t="s">
        <v>414</v>
      </c>
      <c r="S1857" s="405" t="s">
        <v>27272</v>
      </c>
      <c r="T1857" s="405" t="s">
        <v>884</v>
      </c>
      <c r="U1857" s="405" t="s">
        <v>319</v>
      </c>
    </row>
    <row r="1858" spans="1:21" x14ac:dyDescent="0.25">
      <c r="A1858" s="405" t="s">
        <v>310</v>
      </c>
      <c r="B1858" s="405" t="s">
        <v>29013</v>
      </c>
      <c r="C1858" s="405" t="s">
        <v>327</v>
      </c>
      <c r="D1858" s="405"/>
      <c r="E1858" s="410">
        <v>43557</v>
      </c>
      <c r="F1858" s="410">
        <v>43601</v>
      </c>
      <c r="G1858" s="405" t="s">
        <v>25053</v>
      </c>
      <c r="H1858" s="405">
        <v>772172124</v>
      </c>
      <c r="I1858" s="405"/>
      <c r="J1858" s="405">
        <v>-5.5708000000000001E-2</v>
      </c>
      <c r="K1858" s="405" t="s">
        <v>7372</v>
      </c>
      <c r="L1858" s="405" t="s">
        <v>590</v>
      </c>
      <c r="M1858" s="405" t="s">
        <v>20757</v>
      </c>
      <c r="N1858" s="405" t="s">
        <v>22733</v>
      </c>
      <c r="O1858" s="405" t="s">
        <v>22734</v>
      </c>
      <c r="P1858" s="405" t="s">
        <v>25054</v>
      </c>
      <c r="Q1858" s="411">
        <v>6</v>
      </c>
      <c r="R1858" s="405" t="s">
        <v>7208</v>
      </c>
      <c r="S1858" s="405" t="s">
        <v>27205</v>
      </c>
      <c r="T1858" s="405" t="s">
        <v>884</v>
      </c>
      <c r="U1858" s="405" t="s">
        <v>319</v>
      </c>
    </row>
    <row r="1859" spans="1:21" x14ac:dyDescent="0.25">
      <c r="A1859" s="405" t="s">
        <v>310</v>
      </c>
      <c r="B1859" s="405" t="s">
        <v>16619</v>
      </c>
      <c r="C1859" s="405" t="s">
        <v>327</v>
      </c>
      <c r="D1859" s="405"/>
      <c r="E1859" s="410">
        <v>43556</v>
      </c>
      <c r="F1859" s="410">
        <v>43586</v>
      </c>
      <c r="G1859" s="405" t="s">
        <v>16620</v>
      </c>
      <c r="H1859" s="405">
        <v>701393231</v>
      </c>
      <c r="I1859" s="405"/>
      <c r="J1859" s="405">
        <v>0.29330000000000001</v>
      </c>
      <c r="K1859" s="405">
        <v>31.292300000000001</v>
      </c>
      <c r="L1859" s="405" t="s">
        <v>6866</v>
      </c>
      <c r="M1859" s="405" t="s">
        <v>9685</v>
      </c>
      <c r="N1859" s="405" t="s">
        <v>9686</v>
      </c>
      <c r="O1859" s="405" t="s">
        <v>9709</v>
      </c>
      <c r="P1859" s="405" t="s">
        <v>16413</v>
      </c>
      <c r="Q1859" s="411">
        <v>6</v>
      </c>
      <c r="R1859" s="405" t="s">
        <v>9506</v>
      </c>
      <c r="S1859" s="405" t="s">
        <v>27318</v>
      </c>
      <c r="T1859" s="405" t="s">
        <v>32102</v>
      </c>
      <c r="U1859" s="405" t="s">
        <v>319</v>
      </c>
    </row>
    <row r="1860" spans="1:21" x14ac:dyDescent="0.25">
      <c r="A1860" s="405" t="s">
        <v>310</v>
      </c>
      <c r="B1860" s="405" t="s">
        <v>24987</v>
      </c>
      <c r="C1860" s="405" t="s">
        <v>327</v>
      </c>
      <c r="D1860" s="405"/>
      <c r="E1860" s="410">
        <v>43555</v>
      </c>
      <c r="F1860" s="410">
        <v>43575</v>
      </c>
      <c r="G1860" s="405" t="s">
        <v>24988</v>
      </c>
      <c r="H1860" s="405">
        <v>772301143</v>
      </c>
      <c r="I1860" s="405"/>
      <c r="J1860" s="405">
        <v>0.32240000000000002</v>
      </c>
      <c r="K1860" s="405">
        <v>30.120999999999999</v>
      </c>
      <c r="L1860" s="405" t="s">
        <v>24158</v>
      </c>
      <c r="M1860" s="405" t="s">
        <v>20032</v>
      </c>
      <c r="N1860" s="405" t="s">
        <v>22715</v>
      </c>
      <c r="O1860" s="405" t="s">
        <v>24989</v>
      </c>
      <c r="P1860" s="405" t="s">
        <v>24386</v>
      </c>
      <c r="Q1860" s="411">
        <v>9</v>
      </c>
      <c r="R1860" s="405" t="s">
        <v>6572</v>
      </c>
      <c r="S1860" s="405" t="s">
        <v>27166</v>
      </c>
      <c r="T1860" s="405" t="s">
        <v>884</v>
      </c>
      <c r="U1860" s="405" t="s">
        <v>319</v>
      </c>
    </row>
    <row r="1861" spans="1:21" x14ac:dyDescent="0.25">
      <c r="A1861" s="405" t="s">
        <v>310</v>
      </c>
      <c r="B1861" s="405" t="s">
        <v>24990</v>
      </c>
      <c r="C1861" s="405" t="s">
        <v>327</v>
      </c>
      <c r="D1861" s="405"/>
      <c r="E1861" s="410">
        <v>43553</v>
      </c>
      <c r="F1861" s="410">
        <v>43572</v>
      </c>
      <c r="G1861" s="405" t="s">
        <v>24991</v>
      </c>
      <c r="H1861" s="405">
        <v>772820903</v>
      </c>
      <c r="I1861" s="405"/>
      <c r="J1861" s="405">
        <v>0.32350000000000001</v>
      </c>
      <c r="K1861" s="405">
        <v>30.151</v>
      </c>
      <c r="L1861" s="405" t="s">
        <v>24158</v>
      </c>
      <c r="M1861" s="405" t="s">
        <v>20032</v>
      </c>
      <c r="N1861" s="405" t="s">
        <v>22715</v>
      </c>
      <c r="O1861" s="405" t="s">
        <v>24992</v>
      </c>
      <c r="P1861" s="405" t="s">
        <v>24993</v>
      </c>
      <c r="Q1861" s="411">
        <v>9</v>
      </c>
      <c r="R1861" s="405" t="s">
        <v>6572</v>
      </c>
      <c r="S1861" s="405" t="s">
        <v>27161</v>
      </c>
      <c r="T1861" s="405" t="s">
        <v>884</v>
      </c>
      <c r="U1861" s="405" t="s">
        <v>319</v>
      </c>
    </row>
    <row r="1862" spans="1:21" x14ac:dyDescent="0.25">
      <c r="A1862" s="405" t="s">
        <v>310</v>
      </c>
      <c r="B1862" s="405" t="s">
        <v>24974</v>
      </c>
      <c r="C1862" s="405" t="s">
        <v>327</v>
      </c>
      <c r="D1862" s="405"/>
      <c r="E1862" s="410">
        <v>43553</v>
      </c>
      <c r="F1862" s="410">
        <v>43558</v>
      </c>
      <c r="G1862" s="405" t="s">
        <v>24975</v>
      </c>
      <c r="H1862" s="405">
        <v>772658261</v>
      </c>
      <c r="I1862" s="405"/>
      <c r="J1862" s="405">
        <v>0.74776799999999999</v>
      </c>
      <c r="K1862" s="405">
        <v>30.332107000000001</v>
      </c>
      <c r="L1862" s="405" t="s">
        <v>24158</v>
      </c>
      <c r="M1862" s="405" t="s">
        <v>20125</v>
      </c>
      <c r="N1862" s="405" t="s">
        <v>20125</v>
      </c>
      <c r="O1862" s="405" t="s">
        <v>20125</v>
      </c>
      <c r="P1862" s="405" t="s">
        <v>24976</v>
      </c>
      <c r="Q1862" s="411">
        <v>9</v>
      </c>
      <c r="R1862" s="405" t="s">
        <v>6572</v>
      </c>
      <c r="S1862" s="405" t="s">
        <v>27301</v>
      </c>
      <c r="T1862" s="405" t="s">
        <v>884</v>
      </c>
      <c r="U1862" s="405" t="s">
        <v>319</v>
      </c>
    </row>
    <row r="1863" spans="1:21" x14ac:dyDescent="0.25">
      <c r="A1863" s="405" t="s">
        <v>310</v>
      </c>
      <c r="B1863" s="405" t="s">
        <v>8906</v>
      </c>
      <c r="C1863" s="405" t="s">
        <v>327</v>
      </c>
      <c r="D1863" s="405"/>
      <c r="E1863" s="410">
        <v>44352</v>
      </c>
      <c r="F1863" s="410">
        <v>44415</v>
      </c>
      <c r="G1863" s="405" t="s">
        <v>8907</v>
      </c>
      <c r="H1863" s="405" t="s">
        <v>8908</v>
      </c>
      <c r="I1863" s="405" t="s">
        <v>8909</v>
      </c>
      <c r="J1863" s="405">
        <v>0.334088</v>
      </c>
      <c r="K1863" s="405">
        <v>32.529487000000003</v>
      </c>
      <c r="L1863" s="405" t="s">
        <v>314</v>
      </c>
      <c r="M1863" s="405" t="s">
        <v>361</v>
      </c>
      <c r="N1863" s="405" t="s">
        <v>3398</v>
      </c>
      <c r="O1863" s="405" t="s">
        <v>7063</v>
      </c>
      <c r="P1863" s="405" t="s">
        <v>3632</v>
      </c>
      <c r="Q1863" s="411">
        <v>20</v>
      </c>
      <c r="R1863" s="405" t="s">
        <v>32157</v>
      </c>
      <c r="S1863" s="405" t="s">
        <v>6822</v>
      </c>
      <c r="T1863" s="405" t="s">
        <v>884</v>
      </c>
      <c r="U1863" s="405" t="s">
        <v>319</v>
      </c>
    </row>
    <row r="1864" spans="1:21" x14ac:dyDescent="0.25">
      <c r="A1864" s="405" t="s">
        <v>310</v>
      </c>
      <c r="B1864" s="405" t="s">
        <v>24997</v>
      </c>
      <c r="C1864" s="405" t="s">
        <v>327</v>
      </c>
      <c r="D1864" s="405"/>
      <c r="E1864" s="410">
        <v>43552</v>
      </c>
      <c r="F1864" s="410">
        <v>43558</v>
      </c>
      <c r="G1864" s="405" t="s">
        <v>24998</v>
      </c>
      <c r="H1864" s="405">
        <v>771496209</v>
      </c>
      <c r="I1864" s="405"/>
      <c r="J1864" s="405">
        <v>0.38207200000000002</v>
      </c>
      <c r="K1864" s="405">
        <v>31.045645</v>
      </c>
      <c r="L1864" s="405" t="s">
        <v>590</v>
      </c>
      <c r="M1864" s="405" t="s">
        <v>20757</v>
      </c>
      <c r="N1864" s="405" t="s">
        <v>22733</v>
      </c>
      <c r="O1864" s="405" t="s">
        <v>22734</v>
      </c>
      <c r="P1864" s="405" t="s">
        <v>24999</v>
      </c>
      <c r="Q1864" s="411">
        <v>6</v>
      </c>
      <c r="R1864" s="405" t="s">
        <v>7208</v>
      </c>
      <c r="S1864" s="405" t="s">
        <v>27275</v>
      </c>
      <c r="T1864" s="405" t="s">
        <v>884</v>
      </c>
      <c r="U1864" s="405" t="s">
        <v>319</v>
      </c>
    </row>
    <row r="1865" spans="1:21" x14ac:dyDescent="0.25">
      <c r="A1865" s="405" t="s">
        <v>310</v>
      </c>
      <c r="B1865" s="405" t="s">
        <v>7276</v>
      </c>
      <c r="C1865" s="405" t="s">
        <v>327</v>
      </c>
      <c r="D1865" s="405"/>
      <c r="E1865" s="410">
        <v>43551</v>
      </c>
      <c r="F1865" s="410">
        <v>43551</v>
      </c>
      <c r="G1865" s="405" t="s">
        <v>7277</v>
      </c>
      <c r="H1865" s="405">
        <v>757350711</v>
      </c>
      <c r="I1865" s="405"/>
      <c r="J1865" s="405">
        <v>0.52529499999999996</v>
      </c>
      <c r="K1865" s="405">
        <v>31.427688</v>
      </c>
      <c r="L1865" s="405" t="s">
        <v>314</v>
      </c>
      <c r="M1865" s="405" t="s">
        <v>1189</v>
      </c>
      <c r="N1865" s="405" t="s">
        <v>1189</v>
      </c>
      <c r="O1865" s="405" t="s">
        <v>3973</v>
      </c>
      <c r="P1865" s="405" t="s">
        <v>6256</v>
      </c>
      <c r="Q1865" s="411">
        <v>13</v>
      </c>
      <c r="R1865" s="405" t="s">
        <v>402</v>
      </c>
      <c r="S1865" s="405" t="s">
        <v>27265</v>
      </c>
      <c r="T1865" s="405" t="s">
        <v>884</v>
      </c>
      <c r="U1865" s="405" t="s">
        <v>319</v>
      </c>
    </row>
    <row r="1866" spans="1:21" x14ac:dyDescent="0.25">
      <c r="A1866" s="405" t="s">
        <v>310</v>
      </c>
      <c r="B1866" s="405" t="s">
        <v>24962</v>
      </c>
      <c r="C1866" s="405" t="s">
        <v>327</v>
      </c>
      <c r="D1866" s="405"/>
      <c r="E1866" s="410">
        <v>43551</v>
      </c>
      <c r="F1866" s="410">
        <v>43551</v>
      </c>
      <c r="G1866" s="405" t="s">
        <v>24963</v>
      </c>
      <c r="H1866" s="405">
        <v>772417896</v>
      </c>
      <c r="I1866" s="405"/>
      <c r="J1866" s="405">
        <v>-0.481933</v>
      </c>
      <c r="K1866" s="405">
        <v>30.751117000000001</v>
      </c>
      <c r="L1866" s="405" t="s">
        <v>590</v>
      </c>
      <c r="M1866" s="405" t="s">
        <v>19614</v>
      </c>
      <c r="N1866" s="405" t="s">
        <v>19615</v>
      </c>
      <c r="O1866" s="405" t="s">
        <v>19616</v>
      </c>
      <c r="P1866" s="405" t="s">
        <v>24964</v>
      </c>
      <c r="Q1866" s="411">
        <v>6</v>
      </c>
      <c r="R1866" s="405" t="s">
        <v>32166</v>
      </c>
      <c r="S1866" s="405" t="s">
        <v>27401</v>
      </c>
      <c r="T1866" s="405" t="s">
        <v>884</v>
      </c>
      <c r="U1866" s="405" t="s">
        <v>319</v>
      </c>
    </row>
    <row r="1867" spans="1:21" x14ac:dyDescent="0.25">
      <c r="A1867" s="405" t="s">
        <v>310</v>
      </c>
      <c r="B1867" s="405" t="s">
        <v>7314</v>
      </c>
      <c r="C1867" s="405" t="s">
        <v>327</v>
      </c>
      <c r="D1867" s="405"/>
      <c r="E1867" s="410">
        <v>43550</v>
      </c>
      <c r="F1867" s="410">
        <v>43555</v>
      </c>
      <c r="G1867" s="405" t="s">
        <v>7315</v>
      </c>
      <c r="H1867" s="405">
        <v>782444634</v>
      </c>
      <c r="I1867" s="405"/>
      <c r="J1867" s="405">
        <v>0.12481200000000001</v>
      </c>
      <c r="K1867" s="405">
        <v>32.108114999999998</v>
      </c>
      <c r="L1867" s="405" t="s">
        <v>314</v>
      </c>
      <c r="M1867" s="405" t="s">
        <v>321</v>
      </c>
      <c r="N1867" s="405" t="s">
        <v>322</v>
      </c>
      <c r="O1867" s="405" t="s">
        <v>476</v>
      </c>
      <c r="P1867" s="405" t="s">
        <v>7316</v>
      </c>
      <c r="Q1867" s="411">
        <v>9</v>
      </c>
      <c r="R1867" s="405" t="s">
        <v>32101</v>
      </c>
      <c r="S1867" s="405" t="s">
        <v>27047</v>
      </c>
      <c r="T1867" s="405" t="s">
        <v>32102</v>
      </c>
      <c r="U1867" s="405" t="s">
        <v>319</v>
      </c>
    </row>
    <row r="1868" spans="1:21" x14ac:dyDescent="0.25">
      <c r="A1868" s="405" t="s">
        <v>310</v>
      </c>
      <c r="B1868" s="405" t="s">
        <v>7320</v>
      </c>
      <c r="C1868" s="405" t="s">
        <v>327</v>
      </c>
      <c r="D1868" s="405"/>
      <c r="E1868" s="410">
        <v>43547</v>
      </c>
      <c r="F1868" s="410">
        <v>43573</v>
      </c>
      <c r="G1868" s="405" t="s">
        <v>7321</v>
      </c>
      <c r="H1868" s="405">
        <v>772568359</v>
      </c>
      <c r="I1868" s="405"/>
      <c r="J1868" s="405">
        <v>1.3524529999999999</v>
      </c>
      <c r="K1868" s="405">
        <v>34.467911999999998</v>
      </c>
      <c r="L1868" s="405" t="s">
        <v>314</v>
      </c>
      <c r="M1868" s="405" t="s">
        <v>361</v>
      </c>
      <c r="N1868" s="405" t="s">
        <v>6357</v>
      </c>
      <c r="O1868" s="405" t="s">
        <v>375</v>
      </c>
      <c r="P1868" s="405" t="s">
        <v>1881</v>
      </c>
      <c r="Q1868" s="411">
        <v>13</v>
      </c>
      <c r="R1868" s="405" t="s">
        <v>414</v>
      </c>
      <c r="S1868" s="405" t="s">
        <v>27270</v>
      </c>
      <c r="T1868" s="405" t="s">
        <v>884</v>
      </c>
      <c r="U1868" s="405" t="s">
        <v>319</v>
      </c>
    </row>
    <row r="1869" spans="1:21" x14ac:dyDescent="0.25">
      <c r="A1869" s="405" t="s">
        <v>310</v>
      </c>
      <c r="B1869" s="405" t="s">
        <v>7270</v>
      </c>
      <c r="C1869" s="405" t="s">
        <v>327</v>
      </c>
      <c r="D1869" s="405"/>
      <c r="E1869" s="410">
        <v>43547</v>
      </c>
      <c r="F1869" s="410">
        <v>43547</v>
      </c>
      <c r="G1869" s="405" t="s">
        <v>7271</v>
      </c>
      <c r="H1869" s="405">
        <v>705740527</v>
      </c>
      <c r="I1869" s="405"/>
      <c r="J1869" s="405">
        <v>-0.15389</v>
      </c>
      <c r="K1869" s="405">
        <v>31.553654999999999</v>
      </c>
      <c r="L1869" s="405" t="s">
        <v>314</v>
      </c>
      <c r="M1869" s="405" t="s">
        <v>1080</v>
      </c>
      <c r="N1869" s="405" t="s">
        <v>1080</v>
      </c>
      <c r="O1869" s="405" t="s">
        <v>5799</v>
      </c>
      <c r="P1869" s="405" t="s">
        <v>7272</v>
      </c>
      <c r="Q1869" s="411">
        <v>13</v>
      </c>
      <c r="R1869" s="405" t="s">
        <v>32157</v>
      </c>
      <c r="S1869" s="405" t="s">
        <v>27045</v>
      </c>
      <c r="T1869" s="405" t="s">
        <v>884</v>
      </c>
      <c r="U1869" s="405" t="s">
        <v>319</v>
      </c>
    </row>
    <row r="1870" spans="1:21" x14ac:dyDescent="0.25">
      <c r="A1870" s="405" t="s">
        <v>310</v>
      </c>
      <c r="B1870" s="405" t="s">
        <v>7307</v>
      </c>
      <c r="C1870" s="405" t="s">
        <v>327</v>
      </c>
      <c r="D1870" s="405"/>
      <c r="E1870" s="410">
        <v>43546</v>
      </c>
      <c r="F1870" s="410">
        <v>43555</v>
      </c>
      <c r="G1870" s="405" t="s">
        <v>7308</v>
      </c>
      <c r="H1870" s="405">
        <v>779398404</v>
      </c>
      <c r="I1870" s="405">
        <v>754203850</v>
      </c>
      <c r="J1870" s="405">
        <v>-0.38471300000000003</v>
      </c>
      <c r="K1870" s="405">
        <v>31.697637</v>
      </c>
      <c r="L1870" s="405" t="s">
        <v>314</v>
      </c>
      <c r="M1870" s="405" t="s">
        <v>382</v>
      </c>
      <c r="N1870" s="405" t="s">
        <v>383</v>
      </c>
      <c r="O1870" s="405" t="s">
        <v>894</v>
      </c>
      <c r="P1870" s="405" t="s">
        <v>5451</v>
      </c>
      <c r="Q1870" s="411">
        <v>9</v>
      </c>
      <c r="R1870" s="405" t="s">
        <v>32101</v>
      </c>
      <c r="S1870" s="405" t="s">
        <v>5986</v>
      </c>
      <c r="T1870" s="405" t="s">
        <v>884</v>
      </c>
      <c r="U1870" s="405" t="s">
        <v>319</v>
      </c>
    </row>
    <row r="1871" spans="1:21" x14ac:dyDescent="0.25">
      <c r="A1871" s="405" t="s">
        <v>310</v>
      </c>
      <c r="B1871" s="405" t="s">
        <v>7309</v>
      </c>
      <c r="C1871" s="405" t="s">
        <v>327</v>
      </c>
      <c r="D1871" s="405"/>
      <c r="E1871" s="410">
        <v>43546</v>
      </c>
      <c r="F1871" s="410">
        <v>43554</v>
      </c>
      <c r="G1871" s="405" t="s">
        <v>7310</v>
      </c>
      <c r="H1871" s="405">
        <v>759646556</v>
      </c>
      <c r="I1871" s="405"/>
      <c r="J1871" s="405">
        <v>-0.47151199999999999</v>
      </c>
      <c r="K1871" s="405">
        <v>31.450783000000001</v>
      </c>
      <c r="L1871" s="405" t="s">
        <v>314</v>
      </c>
      <c r="M1871" s="405" t="s">
        <v>1189</v>
      </c>
      <c r="N1871" s="405" t="s">
        <v>1189</v>
      </c>
      <c r="O1871" s="405" t="s">
        <v>1189</v>
      </c>
      <c r="P1871" s="405" t="s">
        <v>7311</v>
      </c>
      <c r="Q1871" s="411">
        <v>6</v>
      </c>
      <c r="R1871" s="405" t="s">
        <v>32101</v>
      </c>
      <c r="S1871" s="405" t="s">
        <v>27186</v>
      </c>
      <c r="T1871" s="405" t="s">
        <v>884</v>
      </c>
      <c r="U1871" s="405" t="s">
        <v>319</v>
      </c>
    </row>
    <row r="1872" spans="1:21" x14ac:dyDescent="0.25">
      <c r="A1872" s="405" t="s">
        <v>310</v>
      </c>
      <c r="B1872" s="405" t="s">
        <v>24958</v>
      </c>
      <c r="C1872" s="405" t="s">
        <v>327</v>
      </c>
      <c r="D1872" s="405"/>
      <c r="E1872" s="410">
        <v>43546</v>
      </c>
      <c r="F1872" s="410">
        <v>43546</v>
      </c>
      <c r="G1872" s="405" t="s">
        <v>24959</v>
      </c>
      <c r="H1872" s="405">
        <v>772836369</v>
      </c>
      <c r="I1872" s="405"/>
      <c r="J1872" s="405">
        <v>-0.51708699999999996</v>
      </c>
      <c r="K1872" s="405">
        <v>30.788045</v>
      </c>
      <c r="L1872" s="405" t="s">
        <v>590</v>
      </c>
      <c r="M1872" s="405" t="s">
        <v>19614</v>
      </c>
      <c r="N1872" s="405" t="s">
        <v>24960</v>
      </c>
      <c r="O1872" s="405" t="s">
        <v>20253</v>
      </c>
      <c r="P1872" s="405" t="s">
        <v>24961</v>
      </c>
      <c r="Q1872" s="411">
        <v>6</v>
      </c>
      <c r="R1872" s="405" t="s">
        <v>32166</v>
      </c>
      <c r="S1872" s="405" t="s">
        <v>27065</v>
      </c>
      <c r="T1872" s="405" t="s">
        <v>884</v>
      </c>
      <c r="U1872" s="405" t="s">
        <v>319</v>
      </c>
    </row>
    <row r="1873" spans="1:21" x14ac:dyDescent="0.25">
      <c r="A1873" s="405" t="s">
        <v>310</v>
      </c>
      <c r="B1873" s="405" t="s">
        <v>19062</v>
      </c>
      <c r="C1873" s="405" t="s">
        <v>327</v>
      </c>
      <c r="D1873" s="405"/>
      <c r="E1873" s="410">
        <v>43544</v>
      </c>
      <c r="F1873" s="410">
        <v>43575</v>
      </c>
      <c r="G1873" s="405" t="s">
        <v>19063</v>
      </c>
      <c r="H1873" s="405">
        <v>772513927</v>
      </c>
      <c r="I1873" s="405"/>
      <c r="J1873" s="405">
        <v>0.99083600000000005</v>
      </c>
      <c r="K1873" s="405">
        <v>34.173879999999997</v>
      </c>
      <c r="L1873" s="405" t="s">
        <v>860</v>
      </c>
      <c r="M1873" s="405" t="s">
        <v>19025</v>
      </c>
      <c r="N1873" s="405" t="s">
        <v>19064</v>
      </c>
      <c r="O1873" s="405" t="s">
        <v>19064</v>
      </c>
      <c r="P1873" s="405" t="s">
        <v>19065</v>
      </c>
      <c r="Q1873" s="411">
        <v>13</v>
      </c>
      <c r="R1873" s="405" t="s">
        <v>4176</v>
      </c>
      <c r="S1873" s="405" t="s">
        <v>27266</v>
      </c>
      <c r="T1873" s="405" t="s">
        <v>884</v>
      </c>
      <c r="U1873" s="405" t="s">
        <v>319</v>
      </c>
    </row>
    <row r="1874" spans="1:21" x14ac:dyDescent="0.25">
      <c r="A1874" s="405" t="s">
        <v>310</v>
      </c>
      <c r="B1874" s="405" t="s">
        <v>7317</v>
      </c>
      <c r="C1874" s="405" t="s">
        <v>327</v>
      </c>
      <c r="D1874" s="405"/>
      <c r="E1874" s="410">
        <v>43544</v>
      </c>
      <c r="F1874" s="410">
        <v>43556</v>
      </c>
      <c r="G1874" s="405" t="s">
        <v>7318</v>
      </c>
      <c r="H1874" s="405">
        <v>783084535</v>
      </c>
      <c r="I1874" s="405"/>
      <c r="J1874" s="405">
        <v>0.13730300000000001</v>
      </c>
      <c r="K1874" s="405">
        <v>32.556795000000001</v>
      </c>
      <c r="L1874" s="405" t="s">
        <v>314</v>
      </c>
      <c r="M1874" s="405" t="s">
        <v>361</v>
      </c>
      <c r="N1874" s="405" t="s">
        <v>374</v>
      </c>
      <c r="O1874" s="405" t="s">
        <v>6366</v>
      </c>
      <c r="P1874" s="405" t="s">
        <v>7319</v>
      </c>
      <c r="Q1874" s="411">
        <v>6</v>
      </c>
      <c r="R1874" s="405" t="s">
        <v>5903</v>
      </c>
      <c r="S1874" s="405" t="s">
        <v>27153</v>
      </c>
      <c r="T1874" s="405" t="s">
        <v>884</v>
      </c>
      <c r="U1874" s="405" t="s">
        <v>319</v>
      </c>
    </row>
    <row r="1875" spans="1:21" x14ac:dyDescent="0.25">
      <c r="A1875" s="405" t="s">
        <v>310</v>
      </c>
      <c r="B1875" s="405" t="s">
        <v>7312</v>
      </c>
      <c r="C1875" s="405" t="s">
        <v>327</v>
      </c>
      <c r="D1875" s="405"/>
      <c r="E1875" s="410">
        <v>43544</v>
      </c>
      <c r="F1875" s="410">
        <v>43555</v>
      </c>
      <c r="G1875" s="405" t="s">
        <v>7313</v>
      </c>
      <c r="H1875" s="405">
        <v>700835376</v>
      </c>
      <c r="I1875" s="405">
        <v>772503885</v>
      </c>
      <c r="J1875" s="405">
        <v>0.44939699999999999</v>
      </c>
      <c r="K1875" s="405">
        <v>32.335507</v>
      </c>
      <c r="L1875" s="405" t="s">
        <v>314</v>
      </c>
      <c r="M1875" s="405" t="s">
        <v>361</v>
      </c>
      <c r="N1875" s="405" t="s">
        <v>7069</v>
      </c>
      <c r="O1875" s="405" t="s">
        <v>952</v>
      </c>
      <c r="P1875" s="405" t="s">
        <v>4059</v>
      </c>
      <c r="Q1875" s="411">
        <v>6</v>
      </c>
      <c r="R1875" s="405" t="s">
        <v>32101</v>
      </c>
      <c r="S1875" s="405" t="s">
        <v>27041</v>
      </c>
      <c r="T1875" s="405" t="s">
        <v>884</v>
      </c>
      <c r="U1875" s="405" t="s">
        <v>319</v>
      </c>
    </row>
    <row r="1876" spans="1:21" x14ac:dyDescent="0.25">
      <c r="A1876" s="405" t="s">
        <v>310</v>
      </c>
      <c r="B1876" s="405" t="s">
        <v>24952</v>
      </c>
      <c r="C1876" s="405" t="s">
        <v>327</v>
      </c>
      <c r="D1876" s="405"/>
      <c r="E1876" s="410">
        <v>43544</v>
      </c>
      <c r="F1876" s="410">
        <v>43544</v>
      </c>
      <c r="G1876" s="405" t="s">
        <v>24953</v>
      </c>
      <c r="H1876" s="405">
        <v>782632160</v>
      </c>
      <c r="I1876" s="405"/>
      <c r="J1876" s="405">
        <v>-0.28228300000000001</v>
      </c>
      <c r="K1876" s="405">
        <v>30.649011999999999</v>
      </c>
      <c r="L1876" s="405" t="s">
        <v>590</v>
      </c>
      <c r="M1876" s="405" t="s">
        <v>19705</v>
      </c>
      <c r="N1876" s="405" t="s">
        <v>21675</v>
      </c>
      <c r="O1876" s="405" t="s">
        <v>21675</v>
      </c>
      <c r="P1876" s="405" t="s">
        <v>21675</v>
      </c>
      <c r="Q1876" s="411">
        <v>6</v>
      </c>
      <c r="R1876" s="405" t="s">
        <v>32166</v>
      </c>
      <c r="S1876" s="405" t="s">
        <v>27401</v>
      </c>
      <c r="T1876" s="405" t="s">
        <v>884</v>
      </c>
      <c r="U1876" s="405" t="s">
        <v>319</v>
      </c>
    </row>
    <row r="1877" spans="1:21" x14ac:dyDescent="0.25">
      <c r="A1877" s="405" t="s">
        <v>310</v>
      </c>
      <c r="B1877" s="405" t="s">
        <v>16555</v>
      </c>
      <c r="C1877" s="405" t="s">
        <v>327</v>
      </c>
      <c r="D1877" s="405"/>
      <c r="E1877" s="410">
        <v>43543</v>
      </c>
      <c r="F1877" s="410">
        <v>43555</v>
      </c>
      <c r="G1877" s="405" t="s">
        <v>16556</v>
      </c>
      <c r="H1877" s="405">
        <v>780672995</v>
      </c>
      <c r="I1877" s="405"/>
      <c r="J1877" s="405">
        <v>1.1459999999999999</v>
      </c>
      <c r="K1877" s="405">
        <v>34.936999999999998</v>
      </c>
      <c r="L1877" s="405" t="s">
        <v>16357</v>
      </c>
      <c r="M1877" s="405" t="s">
        <v>9514</v>
      </c>
      <c r="N1877" s="405" t="s">
        <v>9529</v>
      </c>
      <c r="O1877" s="405" t="s">
        <v>9529</v>
      </c>
      <c r="P1877" s="405" t="s">
        <v>16557</v>
      </c>
      <c r="Q1877" s="411">
        <v>9</v>
      </c>
      <c r="R1877" s="405" t="s">
        <v>7224</v>
      </c>
      <c r="S1877" s="405" t="s">
        <v>27067</v>
      </c>
      <c r="T1877" s="405" t="s">
        <v>884</v>
      </c>
      <c r="U1877" s="405" t="s">
        <v>319</v>
      </c>
    </row>
    <row r="1878" spans="1:21" x14ac:dyDescent="0.25">
      <c r="A1878" s="405" t="s">
        <v>310</v>
      </c>
      <c r="B1878" s="405" t="s">
        <v>25000</v>
      </c>
      <c r="C1878" s="405" t="s">
        <v>327</v>
      </c>
      <c r="D1878" s="405"/>
      <c r="E1878" s="410">
        <v>43543</v>
      </c>
      <c r="F1878" s="410">
        <v>43558</v>
      </c>
      <c r="G1878" s="405" t="s">
        <v>25001</v>
      </c>
      <c r="H1878" s="405">
        <v>774900271</v>
      </c>
      <c r="I1878" s="405"/>
      <c r="J1878" s="405">
        <v>-0.22770099999999999</v>
      </c>
      <c r="K1878" s="405">
        <v>31.835443999999999</v>
      </c>
      <c r="L1878" s="405" t="s">
        <v>590</v>
      </c>
      <c r="M1878" s="405" t="s">
        <v>20757</v>
      </c>
      <c r="N1878" s="405" t="s">
        <v>22733</v>
      </c>
      <c r="O1878" s="405" t="s">
        <v>22734</v>
      </c>
      <c r="P1878" s="405" t="s">
        <v>25002</v>
      </c>
      <c r="Q1878" s="411">
        <v>6</v>
      </c>
      <c r="R1878" s="405" t="s">
        <v>7208</v>
      </c>
      <c r="S1878" s="405" t="s">
        <v>27205</v>
      </c>
      <c r="T1878" s="405" t="s">
        <v>884</v>
      </c>
      <c r="U1878" s="405" t="s">
        <v>319</v>
      </c>
    </row>
    <row r="1879" spans="1:21" x14ac:dyDescent="0.25">
      <c r="A1879" s="405" t="s">
        <v>310</v>
      </c>
      <c r="B1879" s="405" t="s">
        <v>7302</v>
      </c>
      <c r="C1879" s="405" t="s">
        <v>327</v>
      </c>
      <c r="D1879" s="405"/>
      <c r="E1879" s="410">
        <v>43541</v>
      </c>
      <c r="F1879" s="410">
        <v>43545</v>
      </c>
      <c r="G1879" s="405" t="s">
        <v>7303</v>
      </c>
      <c r="H1879" s="405">
        <v>772405238</v>
      </c>
      <c r="I1879" s="405"/>
      <c r="J1879" s="405">
        <v>0.506355</v>
      </c>
      <c r="K1879" s="405">
        <v>32.365405000000003</v>
      </c>
      <c r="L1879" s="405" t="s">
        <v>314</v>
      </c>
      <c r="M1879" s="405" t="s">
        <v>361</v>
      </c>
      <c r="N1879" s="405" t="s">
        <v>374</v>
      </c>
      <c r="O1879" s="405" t="s">
        <v>427</v>
      </c>
      <c r="P1879" s="405" t="s">
        <v>427</v>
      </c>
      <c r="Q1879" s="411">
        <v>6</v>
      </c>
      <c r="R1879" s="405" t="s">
        <v>32101</v>
      </c>
      <c r="S1879" s="405" t="s">
        <v>27167</v>
      </c>
      <c r="T1879" s="405" t="s">
        <v>884</v>
      </c>
      <c r="U1879" s="405" t="s">
        <v>319</v>
      </c>
    </row>
    <row r="1880" spans="1:21" x14ac:dyDescent="0.25">
      <c r="A1880" s="405" t="s">
        <v>310</v>
      </c>
      <c r="B1880" s="405" t="s">
        <v>7293</v>
      </c>
      <c r="C1880" s="405" t="s">
        <v>327</v>
      </c>
      <c r="D1880" s="405"/>
      <c r="E1880" s="410">
        <v>43540</v>
      </c>
      <c r="F1880" s="410">
        <v>43551</v>
      </c>
      <c r="G1880" s="405" t="s">
        <v>7294</v>
      </c>
      <c r="H1880" s="405">
        <v>782437351</v>
      </c>
      <c r="I1880" s="405"/>
      <c r="J1880" s="405">
        <v>-0.43880000000000002</v>
      </c>
      <c r="K1880" s="405">
        <v>31.439363</v>
      </c>
      <c r="L1880" s="405" t="s">
        <v>314</v>
      </c>
      <c r="M1880" s="405" t="s">
        <v>1189</v>
      </c>
      <c r="N1880" s="405" t="s">
        <v>988</v>
      </c>
      <c r="O1880" s="405" t="s">
        <v>1189</v>
      </c>
      <c r="P1880" s="405" t="s">
        <v>1189</v>
      </c>
      <c r="Q1880" s="411">
        <v>13</v>
      </c>
      <c r="R1880" s="405" t="s">
        <v>32101</v>
      </c>
      <c r="S1880" s="405" t="s">
        <v>27186</v>
      </c>
      <c r="T1880" s="405" t="s">
        <v>32102</v>
      </c>
      <c r="U1880" s="405" t="s">
        <v>319</v>
      </c>
    </row>
    <row r="1881" spans="1:21" x14ac:dyDescent="0.25">
      <c r="A1881" s="405" t="s">
        <v>310</v>
      </c>
      <c r="B1881" s="405" t="s">
        <v>16591</v>
      </c>
      <c r="C1881" s="405" t="s">
        <v>327</v>
      </c>
      <c r="D1881" s="405"/>
      <c r="E1881" s="410">
        <v>43540</v>
      </c>
      <c r="F1881" s="410">
        <v>43556</v>
      </c>
      <c r="G1881" s="405" t="s">
        <v>16592</v>
      </c>
      <c r="H1881" s="405">
        <v>751906308</v>
      </c>
      <c r="I1881" s="405">
        <v>788266997</v>
      </c>
      <c r="J1881" s="405">
        <v>1.234</v>
      </c>
      <c r="K1881" s="405" t="s">
        <v>16593</v>
      </c>
      <c r="L1881" s="405" t="s">
        <v>6866</v>
      </c>
      <c r="M1881" s="405" t="s">
        <v>9685</v>
      </c>
      <c r="N1881" s="405" t="s">
        <v>9686</v>
      </c>
      <c r="O1881" s="405" t="s">
        <v>9686</v>
      </c>
      <c r="P1881" s="405" t="s">
        <v>16594</v>
      </c>
      <c r="Q1881" s="411">
        <v>9</v>
      </c>
      <c r="R1881" s="405" t="s">
        <v>9506</v>
      </c>
      <c r="S1881" s="405" t="s">
        <v>27259</v>
      </c>
      <c r="T1881" s="405" t="s">
        <v>884</v>
      </c>
      <c r="U1881" s="405" t="s">
        <v>319</v>
      </c>
    </row>
    <row r="1882" spans="1:21" x14ac:dyDescent="0.25">
      <c r="A1882" s="405" t="s">
        <v>310</v>
      </c>
      <c r="B1882" s="405" t="s">
        <v>16575</v>
      </c>
      <c r="C1882" s="405" t="s">
        <v>327</v>
      </c>
      <c r="D1882" s="405"/>
      <c r="E1882" s="410">
        <v>43539</v>
      </c>
      <c r="F1882" s="410">
        <v>43556</v>
      </c>
      <c r="G1882" s="405" t="s">
        <v>16576</v>
      </c>
      <c r="H1882" s="405">
        <v>784443507</v>
      </c>
      <c r="I1882" s="405">
        <v>776112675</v>
      </c>
      <c r="J1882" s="405">
        <v>1.2258</v>
      </c>
      <c r="K1882" s="405" t="s">
        <v>16577</v>
      </c>
      <c r="L1882" s="405" t="s">
        <v>6866</v>
      </c>
      <c r="M1882" s="405" t="s">
        <v>9705</v>
      </c>
      <c r="N1882" s="405" t="s">
        <v>9705</v>
      </c>
      <c r="O1882" s="405" t="s">
        <v>9706</v>
      </c>
      <c r="P1882" s="405" t="s">
        <v>15761</v>
      </c>
      <c r="Q1882" s="411">
        <v>6</v>
      </c>
      <c r="R1882" s="405" t="s">
        <v>9506</v>
      </c>
      <c r="S1882" s="405" t="s">
        <v>27074</v>
      </c>
      <c r="T1882" s="405" t="s">
        <v>884</v>
      </c>
      <c r="U1882" s="405" t="s">
        <v>319</v>
      </c>
    </row>
    <row r="1883" spans="1:21" x14ac:dyDescent="0.25">
      <c r="A1883" s="405" t="s">
        <v>310</v>
      </c>
      <c r="B1883" s="405" t="s">
        <v>7263</v>
      </c>
      <c r="C1883" s="405" t="s">
        <v>327</v>
      </c>
      <c r="D1883" s="405"/>
      <c r="E1883" s="410">
        <v>43539</v>
      </c>
      <c r="F1883" s="410">
        <v>43539</v>
      </c>
      <c r="G1883" s="405" t="s">
        <v>7264</v>
      </c>
      <c r="H1883" s="405">
        <v>783871271</v>
      </c>
      <c r="I1883" s="405"/>
      <c r="J1883" s="405">
        <v>-0.25742300000000001</v>
      </c>
      <c r="K1883" s="405">
        <v>32.083703</v>
      </c>
      <c r="L1883" s="405" t="s">
        <v>314</v>
      </c>
      <c r="M1883" s="405" t="s">
        <v>694</v>
      </c>
      <c r="N1883" s="405" t="s">
        <v>3730</v>
      </c>
      <c r="O1883" s="405" t="s">
        <v>7265</v>
      </c>
      <c r="P1883" s="405" t="s">
        <v>7266</v>
      </c>
      <c r="Q1883" s="411">
        <v>6</v>
      </c>
      <c r="R1883" s="405" t="s">
        <v>6795</v>
      </c>
      <c r="S1883" s="405" t="s">
        <v>27267</v>
      </c>
      <c r="T1883" s="405" t="s">
        <v>884</v>
      </c>
      <c r="U1883" s="405" t="s">
        <v>319</v>
      </c>
    </row>
    <row r="1884" spans="1:21" x14ac:dyDescent="0.25">
      <c r="A1884" s="405" t="s">
        <v>310</v>
      </c>
      <c r="B1884" s="405" t="s">
        <v>16990</v>
      </c>
      <c r="C1884" s="405" t="s">
        <v>311</v>
      </c>
      <c r="D1884" s="405" t="s">
        <v>839</v>
      </c>
      <c r="E1884" s="410">
        <v>43539</v>
      </c>
      <c r="F1884" s="410">
        <v>43539</v>
      </c>
      <c r="G1884" s="405" t="s">
        <v>16991</v>
      </c>
      <c r="H1884" s="405">
        <v>772669964</v>
      </c>
      <c r="I1884" s="405"/>
      <c r="J1884" s="405">
        <v>1.708575</v>
      </c>
      <c r="K1884" s="405">
        <v>33.610422</v>
      </c>
      <c r="L1884" s="405" t="s">
        <v>6866</v>
      </c>
      <c r="M1884" s="405" t="s">
        <v>10515</v>
      </c>
      <c r="N1884" s="405" t="s">
        <v>16992</v>
      </c>
      <c r="O1884" s="405" t="s">
        <v>16993</v>
      </c>
      <c r="P1884" s="405" t="s">
        <v>16994</v>
      </c>
      <c r="Q1884" s="411">
        <v>6</v>
      </c>
      <c r="R1884" s="405" t="s">
        <v>6871</v>
      </c>
      <c r="S1884" s="405" t="s">
        <v>17013</v>
      </c>
      <c r="T1884" s="405" t="s">
        <v>32102</v>
      </c>
      <c r="U1884" s="405" t="s">
        <v>319</v>
      </c>
    </row>
    <row r="1885" spans="1:21" x14ac:dyDescent="0.25">
      <c r="A1885" s="405" t="s">
        <v>310</v>
      </c>
      <c r="B1885" s="405" t="s">
        <v>7882</v>
      </c>
      <c r="C1885" s="405" t="s">
        <v>327</v>
      </c>
      <c r="D1885" s="405"/>
      <c r="E1885" s="410">
        <v>43538</v>
      </c>
      <c r="F1885" s="410">
        <v>43554</v>
      </c>
      <c r="G1885" s="405" t="s">
        <v>7883</v>
      </c>
      <c r="H1885" s="405">
        <v>702084060</v>
      </c>
      <c r="I1885" s="405"/>
      <c r="J1885" s="405">
        <v>0.50653800000000004</v>
      </c>
      <c r="K1885" s="405" t="s">
        <v>7884</v>
      </c>
      <c r="L1885" s="405" t="s">
        <v>314</v>
      </c>
      <c r="M1885" s="405" t="s">
        <v>1189</v>
      </c>
      <c r="N1885" s="405" t="s">
        <v>2556</v>
      </c>
      <c r="O1885" s="405" t="s">
        <v>3973</v>
      </c>
      <c r="P1885" s="405" t="s">
        <v>7885</v>
      </c>
      <c r="Q1885" s="411">
        <v>9</v>
      </c>
      <c r="R1885" s="405" t="s">
        <v>4176</v>
      </c>
      <c r="S1885" s="405" t="s">
        <v>27053</v>
      </c>
      <c r="T1885" s="405" t="s">
        <v>884</v>
      </c>
      <c r="U1885" s="405" t="s">
        <v>319</v>
      </c>
    </row>
    <row r="1886" spans="1:21" x14ac:dyDescent="0.25">
      <c r="A1886" s="405" t="s">
        <v>310</v>
      </c>
      <c r="B1886" s="405" t="s">
        <v>7295</v>
      </c>
      <c r="C1886" s="405" t="s">
        <v>327</v>
      </c>
      <c r="D1886" s="405"/>
      <c r="E1886" s="410">
        <v>43537</v>
      </c>
      <c r="F1886" s="410">
        <v>43546</v>
      </c>
      <c r="G1886" s="405" t="s">
        <v>7296</v>
      </c>
      <c r="H1886" s="405">
        <v>755642841</v>
      </c>
      <c r="I1886" s="405"/>
      <c r="J1886" s="405">
        <v>-0.35540300000000002</v>
      </c>
      <c r="K1886" s="405">
        <v>31.685012</v>
      </c>
      <c r="L1886" s="405" t="s">
        <v>314</v>
      </c>
      <c r="M1886" s="405" t="s">
        <v>1189</v>
      </c>
      <c r="N1886" s="405" t="s">
        <v>1189</v>
      </c>
      <c r="O1886" s="405" t="s">
        <v>1190</v>
      </c>
      <c r="P1886" s="405" t="s">
        <v>7297</v>
      </c>
      <c r="Q1886" s="411">
        <v>9</v>
      </c>
      <c r="R1886" s="405" t="s">
        <v>32101</v>
      </c>
      <c r="S1886" s="405" t="s">
        <v>27041</v>
      </c>
      <c r="T1886" s="405" t="s">
        <v>884</v>
      </c>
      <c r="U1886" s="405" t="s">
        <v>319</v>
      </c>
    </row>
    <row r="1887" spans="1:21" x14ac:dyDescent="0.25">
      <c r="A1887" s="405" t="s">
        <v>310</v>
      </c>
      <c r="B1887" s="405" t="s">
        <v>8014</v>
      </c>
      <c r="C1887" s="405" t="s">
        <v>311</v>
      </c>
      <c r="D1887" s="405" t="s">
        <v>33041</v>
      </c>
      <c r="E1887" s="410">
        <v>43537</v>
      </c>
      <c r="F1887" s="410">
        <v>43665</v>
      </c>
      <c r="G1887" s="405" t="s">
        <v>8015</v>
      </c>
      <c r="H1887" s="405">
        <v>774429912</v>
      </c>
      <c r="I1887" s="405">
        <v>750811661</v>
      </c>
      <c r="J1887" s="405">
        <v>0.99083600000000005</v>
      </c>
      <c r="K1887" s="405">
        <v>34.173879999999997</v>
      </c>
      <c r="L1887" s="405" t="s">
        <v>314</v>
      </c>
      <c r="M1887" s="405" t="s">
        <v>900</v>
      </c>
      <c r="N1887" s="405" t="s">
        <v>1120</v>
      </c>
      <c r="O1887" s="405" t="s">
        <v>1120</v>
      </c>
      <c r="P1887" s="405" t="s">
        <v>8016</v>
      </c>
      <c r="Q1887" s="411">
        <v>6</v>
      </c>
      <c r="R1887" s="405" t="s">
        <v>5986</v>
      </c>
      <c r="S1887" s="405" t="s">
        <v>5986</v>
      </c>
      <c r="T1887" s="405" t="s">
        <v>884</v>
      </c>
      <c r="U1887" s="405" t="s">
        <v>319</v>
      </c>
    </row>
    <row r="1888" spans="1:21" x14ac:dyDescent="0.25">
      <c r="A1888" s="405" t="s">
        <v>310</v>
      </c>
      <c r="B1888" s="405" t="s">
        <v>17030</v>
      </c>
      <c r="C1888" s="405" t="s">
        <v>311</v>
      </c>
      <c r="D1888" s="405" t="s">
        <v>312</v>
      </c>
      <c r="E1888" s="410">
        <v>43536</v>
      </c>
      <c r="F1888" s="410">
        <v>43556</v>
      </c>
      <c r="G1888" s="405" t="s">
        <v>17031</v>
      </c>
      <c r="H1888" s="405">
        <v>772325886</v>
      </c>
      <c r="I1888" s="405"/>
      <c r="J1888" s="405">
        <v>1.2351000000000001</v>
      </c>
      <c r="K1888" s="405" t="s">
        <v>17032</v>
      </c>
      <c r="L1888" s="405" t="s">
        <v>6866</v>
      </c>
      <c r="M1888" s="405" t="s">
        <v>9685</v>
      </c>
      <c r="N1888" s="405" t="s">
        <v>9686</v>
      </c>
      <c r="O1888" s="405" t="s">
        <v>9687</v>
      </c>
      <c r="P1888" s="405" t="s">
        <v>17033</v>
      </c>
      <c r="Q1888" s="411">
        <v>6</v>
      </c>
      <c r="R1888" s="405" t="s">
        <v>9506</v>
      </c>
      <c r="S1888" s="405" t="s">
        <v>27318</v>
      </c>
      <c r="T1888" s="405" t="s">
        <v>884</v>
      </c>
      <c r="U1888" s="405" t="s">
        <v>319</v>
      </c>
    </row>
    <row r="1889" spans="1:21" x14ac:dyDescent="0.25">
      <c r="A1889" s="405" t="s">
        <v>310</v>
      </c>
      <c r="B1889" s="405" t="s">
        <v>7288</v>
      </c>
      <c r="C1889" s="405" t="s">
        <v>327</v>
      </c>
      <c r="D1889" s="405"/>
      <c r="E1889" s="410">
        <v>43536</v>
      </c>
      <c r="F1889" s="410">
        <v>43543</v>
      </c>
      <c r="G1889" s="405" t="s">
        <v>7289</v>
      </c>
      <c r="H1889" s="405">
        <v>703468292</v>
      </c>
      <c r="I1889" s="405"/>
      <c r="J1889" s="405">
        <v>-0.50980499999999995</v>
      </c>
      <c r="K1889" s="405">
        <v>31.485804999999999</v>
      </c>
      <c r="L1889" s="405" t="s">
        <v>314</v>
      </c>
      <c r="M1889" s="405" t="s">
        <v>1189</v>
      </c>
      <c r="N1889" s="405" t="s">
        <v>1189</v>
      </c>
      <c r="O1889" s="405" t="s">
        <v>3973</v>
      </c>
      <c r="P1889" s="405" t="s">
        <v>7290</v>
      </c>
      <c r="Q1889" s="411">
        <v>6</v>
      </c>
      <c r="R1889" s="405" t="s">
        <v>32101</v>
      </c>
      <c r="S1889" s="405" t="s">
        <v>27047</v>
      </c>
      <c r="T1889" s="405" t="s">
        <v>884</v>
      </c>
      <c r="U1889" s="405" t="s">
        <v>319</v>
      </c>
    </row>
    <row r="1890" spans="1:21" x14ac:dyDescent="0.25">
      <c r="A1890" s="405" t="s">
        <v>310</v>
      </c>
      <c r="B1890" s="405" t="s">
        <v>25199</v>
      </c>
      <c r="C1890" s="405" t="s">
        <v>857</v>
      </c>
      <c r="D1890" s="405" t="s">
        <v>32466</v>
      </c>
      <c r="E1890" s="410">
        <v>43532</v>
      </c>
      <c r="F1890" s="410">
        <v>43547</v>
      </c>
      <c r="G1890" s="405" t="s">
        <v>25200</v>
      </c>
      <c r="H1890" s="405">
        <v>782900819</v>
      </c>
      <c r="I1890" s="405">
        <v>704800866</v>
      </c>
      <c r="J1890" s="405">
        <v>1.0900000000000001</v>
      </c>
      <c r="K1890" s="405">
        <v>30.212</v>
      </c>
      <c r="L1890" s="405" t="s">
        <v>590</v>
      </c>
      <c r="M1890" s="405" t="s">
        <v>19659</v>
      </c>
      <c r="N1890" s="405" t="s">
        <v>21353</v>
      </c>
      <c r="O1890" s="405" t="s">
        <v>19664</v>
      </c>
      <c r="P1890" s="405" t="s">
        <v>25201</v>
      </c>
      <c r="Q1890" s="411">
        <v>13</v>
      </c>
      <c r="R1890" s="405" t="s">
        <v>6572</v>
      </c>
      <c r="S1890" s="405" t="s">
        <v>27166</v>
      </c>
      <c r="T1890" s="405" t="s">
        <v>884</v>
      </c>
      <c r="U1890" s="405" t="s">
        <v>319</v>
      </c>
    </row>
    <row r="1891" spans="1:21" x14ac:dyDescent="0.25">
      <c r="A1891" s="405" t="s">
        <v>310</v>
      </c>
      <c r="B1891" s="405" t="s">
        <v>9049</v>
      </c>
      <c r="C1891" s="405" t="s">
        <v>327</v>
      </c>
      <c r="D1891" s="405"/>
      <c r="E1891" s="410">
        <v>44468</v>
      </c>
      <c r="F1891" s="410">
        <v>44477</v>
      </c>
      <c r="G1891" s="405" t="s">
        <v>9050</v>
      </c>
      <c r="H1891" s="405" t="s">
        <v>9051</v>
      </c>
      <c r="I1891" s="405" t="s">
        <v>9052</v>
      </c>
      <c r="J1891" s="405">
        <v>0.45110499999999998</v>
      </c>
      <c r="K1891" s="405">
        <v>32.654812</v>
      </c>
      <c r="L1891" s="405" t="s">
        <v>314</v>
      </c>
      <c r="M1891" s="405" t="s">
        <v>361</v>
      </c>
      <c r="N1891" s="405" t="s">
        <v>363</v>
      </c>
      <c r="O1891" s="405" t="s">
        <v>363</v>
      </c>
      <c r="P1891" s="405" t="s">
        <v>7954</v>
      </c>
      <c r="Q1891" s="411">
        <v>30</v>
      </c>
      <c r="R1891" s="405" t="s">
        <v>7224</v>
      </c>
      <c r="S1891" s="405" t="s">
        <v>27041</v>
      </c>
      <c r="T1891" s="405" t="s">
        <v>884</v>
      </c>
      <c r="U1891" s="405" t="s">
        <v>319</v>
      </c>
    </row>
    <row r="1892" spans="1:21" x14ac:dyDescent="0.25">
      <c r="A1892" s="405" t="s">
        <v>310</v>
      </c>
      <c r="B1892" s="405" t="s">
        <v>24977</v>
      </c>
      <c r="C1892" s="405" t="s">
        <v>327</v>
      </c>
      <c r="D1892" s="405"/>
      <c r="E1892" s="410">
        <v>43530</v>
      </c>
      <c r="F1892" s="410">
        <v>43557</v>
      </c>
      <c r="G1892" s="405" t="s">
        <v>24978</v>
      </c>
      <c r="H1892" s="405">
        <v>787622172</v>
      </c>
      <c r="I1892" s="405"/>
      <c r="J1892" s="405">
        <v>-0.47479500000000002</v>
      </c>
      <c r="K1892" s="405">
        <v>30.410038</v>
      </c>
      <c r="L1892" s="405" t="s">
        <v>24158</v>
      </c>
      <c r="M1892" s="405" t="s">
        <v>19725</v>
      </c>
      <c r="N1892" s="405" t="s">
        <v>19725</v>
      </c>
      <c r="O1892" s="405" t="s">
        <v>24979</v>
      </c>
      <c r="P1892" s="405" t="s">
        <v>24980</v>
      </c>
      <c r="Q1892" s="411">
        <v>9</v>
      </c>
      <c r="R1892" s="405" t="s">
        <v>883</v>
      </c>
      <c r="S1892" s="405" t="s">
        <v>27065</v>
      </c>
      <c r="T1892" s="405" t="s">
        <v>884</v>
      </c>
      <c r="U1892" s="405" t="s">
        <v>319</v>
      </c>
    </row>
    <row r="1893" spans="1:21" x14ac:dyDescent="0.25">
      <c r="A1893" s="405" t="s">
        <v>310</v>
      </c>
      <c r="B1893" s="405" t="s">
        <v>24944</v>
      </c>
      <c r="C1893" s="405" t="s">
        <v>327</v>
      </c>
      <c r="D1893" s="405"/>
      <c r="E1893" s="410">
        <v>43530</v>
      </c>
      <c r="F1893" s="410">
        <v>43530</v>
      </c>
      <c r="G1893" s="405" t="s">
        <v>24945</v>
      </c>
      <c r="H1893" s="405">
        <v>772619988</v>
      </c>
      <c r="I1893" s="405"/>
      <c r="J1893" s="405">
        <v>-1.272845</v>
      </c>
      <c r="K1893" s="405">
        <v>29.989615000000001</v>
      </c>
      <c r="L1893" s="405" t="s">
        <v>590</v>
      </c>
      <c r="M1893" s="405" t="s">
        <v>5312</v>
      </c>
      <c r="N1893" s="405" t="s">
        <v>20119</v>
      </c>
      <c r="O1893" s="405" t="s">
        <v>10031</v>
      </c>
      <c r="P1893" s="405" t="s">
        <v>24946</v>
      </c>
      <c r="Q1893" s="411">
        <v>9</v>
      </c>
      <c r="R1893" s="405" t="s">
        <v>6572</v>
      </c>
      <c r="S1893" s="405" t="s">
        <v>27399</v>
      </c>
      <c r="T1893" s="405" t="s">
        <v>884</v>
      </c>
      <c r="U1893" s="405" t="s">
        <v>319</v>
      </c>
    </row>
    <row r="1894" spans="1:21" x14ac:dyDescent="0.25">
      <c r="A1894" s="405" t="s">
        <v>310</v>
      </c>
      <c r="B1894" s="405" t="s">
        <v>16540</v>
      </c>
      <c r="C1894" s="405" t="s">
        <v>327</v>
      </c>
      <c r="D1894" s="405"/>
      <c r="E1894" s="410">
        <v>43529</v>
      </c>
      <c r="F1894" s="410">
        <v>43544</v>
      </c>
      <c r="G1894" s="405" t="s">
        <v>16541</v>
      </c>
      <c r="H1894" s="405">
        <v>776751847</v>
      </c>
      <c r="I1894" s="405">
        <v>753099543</v>
      </c>
      <c r="J1894" s="405">
        <v>1.5510999999999999</v>
      </c>
      <c r="K1894" s="405">
        <v>33.571899999999999</v>
      </c>
      <c r="L1894" s="405" t="s">
        <v>16357</v>
      </c>
      <c r="M1894" s="405" t="s">
        <v>11355</v>
      </c>
      <c r="N1894" s="405" t="s">
        <v>11356</v>
      </c>
      <c r="O1894" s="405" t="s">
        <v>11355</v>
      </c>
      <c r="P1894" s="405" t="s">
        <v>16321</v>
      </c>
      <c r="Q1894" s="411">
        <v>6</v>
      </c>
      <c r="R1894" s="405" t="s">
        <v>5655</v>
      </c>
      <c r="S1894" s="405" t="s">
        <v>27353</v>
      </c>
      <c r="T1894" s="405" t="s">
        <v>884</v>
      </c>
      <c r="U1894" s="405" t="s">
        <v>319</v>
      </c>
    </row>
    <row r="1895" spans="1:21" x14ac:dyDescent="0.25">
      <c r="A1895" s="405" t="s">
        <v>310</v>
      </c>
      <c r="B1895" s="405" t="s">
        <v>7851</v>
      </c>
      <c r="C1895" s="405" t="s">
        <v>311</v>
      </c>
      <c r="D1895" s="405" t="s">
        <v>839</v>
      </c>
      <c r="E1895" s="410">
        <v>43528</v>
      </c>
      <c r="F1895" s="410">
        <v>43549</v>
      </c>
      <c r="G1895" s="405" t="s">
        <v>7852</v>
      </c>
      <c r="H1895" s="405">
        <v>772982555</v>
      </c>
      <c r="I1895" s="405">
        <v>779010527</v>
      </c>
      <c r="J1895" s="405">
        <v>0.47949799999999998</v>
      </c>
      <c r="K1895" s="405">
        <v>32.6128</v>
      </c>
      <c r="L1895" s="405" t="s">
        <v>6897</v>
      </c>
      <c r="M1895" s="405" t="s">
        <v>361</v>
      </c>
      <c r="N1895" s="405" t="s">
        <v>362</v>
      </c>
      <c r="O1895" s="405" t="s">
        <v>421</v>
      </c>
      <c r="P1895" s="405" t="s">
        <v>7853</v>
      </c>
      <c r="Q1895" s="411">
        <v>13</v>
      </c>
      <c r="R1895" s="405" t="s">
        <v>5665</v>
      </c>
      <c r="S1895" s="405" t="s">
        <v>27051</v>
      </c>
      <c r="T1895" s="405" t="s">
        <v>884</v>
      </c>
      <c r="U1895" s="405" t="s">
        <v>319</v>
      </c>
    </row>
    <row r="1896" spans="1:21" x14ac:dyDescent="0.25">
      <c r="A1896" s="405" t="s">
        <v>310</v>
      </c>
      <c r="B1896" s="405" t="s">
        <v>94</v>
      </c>
      <c r="C1896" s="405" t="s">
        <v>327</v>
      </c>
      <c r="D1896" s="405"/>
      <c r="E1896" s="410">
        <v>43528</v>
      </c>
      <c r="F1896" s="410">
        <v>43534</v>
      </c>
      <c r="G1896" s="405" t="s">
        <v>24950</v>
      </c>
      <c r="H1896" s="405">
        <v>772694015</v>
      </c>
      <c r="I1896" s="405"/>
      <c r="J1896" s="405">
        <v>-0.64895700000000001</v>
      </c>
      <c r="K1896" s="405">
        <v>30.555502000000001</v>
      </c>
      <c r="L1896" s="405" t="s">
        <v>24158</v>
      </c>
      <c r="M1896" s="405" t="s">
        <v>19614</v>
      </c>
      <c r="N1896" s="405" t="s">
        <v>19654</v>
      </c>
      <c r="O1896" s="405" t="s">
        <v>19911</v>
      </c>
      <c r="P1896" s="405" t="s">
        <v>24951</v>
      </c>
      <c r="Q1896" s="411">
        <v>9</v>
      </c>
      <c r="R1896" s="405" t="s">
        <v>32166</v>
      </c>
      <c r="S1896" s="405" t="s">
        <v>27173</v>
      </c>
      <c r="T1896" s="405" t="s">
        <v>884</v>
      </c>
      <c r="U1896" s="405" t="s">
        <v>319</v>
      </c>
    </row>
    <row r="1897" spans="1:21" x14ac:dyDescent="0.25">
      <c r="A1897" s="405" t="s">
        <v>310</v>
      </c>
      <c r="B1897" s="405" t="s">
        <v>7679</v>
      </c>
      <c r="C1897" s="405" t="s">
        <v>327</v>
      </c>
      <c r="D1897" s="405"/>
      <c r="E1897" s="410">
        <v>43528</v>
      </c>
      <c r="F1897" s="410">
        <v>43721</v>
      </c>
      <c r="G1897" s="405" t="s">
        <v>7680</v>
      </c>
      <c r="H1897" s="405">
        <v>773848738</v>
      </c>
      <c r="I1897" s="405"/>
      <c r="J1897" s="405" t="s">
        <v>7334</v>
      </c>
      <c r="K1897" s="405">
        <v>34.189390000000003</v>
      </c>
      <c r="L1897" s="405" t="s">
        <v>314</v>
      </c>
      <c r="M1897" s="405" t="s">
        <v>329</v>
      </c>
      <c r="N1897" s="405" t="s">
        <v>803</v>
      </c>
      <c r="O1897" s="405" t="s">
        <v>7681</v>
      </c>
      <c r="P1897" s="405" t="s">
        <v>1321</v>
      </c>
      <c r="Q1897" s="411">
        <v>6</v>
      </c>
      <c r="R1897" s="405" t="s">
        <v>414</v>
      </c>
      <c r="S1897" s="405" t="s">
        <v>27034</v>
      </c>
      <c r="T1897" s="405" t="s">
        <v>884</v>
      </c>
      <c r="U1897" s="405" t="s">
        <v>319</v>
      </c>
    </row>
    <row r="1898" spans="1:21" x14ac:dyDescent="0.25">
      <c r="A1898" s="405" t="s">
        <v>310</v>
      </c>
      <c r="B1898" s="405" t="s">
        <v>16561</v>
      </c>
      <c r="C1898" s="405" t="s">
        <v>327</v>
      </c>
      <c r="D1898" s="405"/>
      <c r="E1898" s="410">
        <v>43528</v>
      </c>
      <c r="F1898" s="410">
        <v>43532</v>
      </c>
      <c r="G1898" s="405" t="s">
        <v>16562</v>
      </c>
      <c r="H1898" s="405">
        <v>773080262</v>
      </c>
      <c r="I1898" s="405"/>
      <c r="J1898" s="405">
        <v>1.3781099999999999</v>
      </c>
      <c r="K1898" s="405">
        <v>34.425454999999999</v>
      </c>
      <c r="L1898" s="405" t="s">
        <v>6866</v>
      </c>
      <c r="M1898" s="405" t="s">
        <v>9685</v>
      </c>
      <c r="N1898" s="405" t="s">
        <v>9686</v>
      </c>
      <c r="O1898" s="405" t="s">
        <v>14943</v>
      </c>
      <c r="P1898" s="405" t="s">
        <v>16523</v>
      </c>
      <c r="Q1898" s="411">
        <v>6</v>
      </c>
      <c r="R1898" s="405" t="s">
        <v>9506</v>
      </c>
      <c r="S1898" s="405" t="s">
        <v>27335</v>
      </c>
      <c r="T1898" s="405" t="s">
        <v>884</v>
      </c>
      <c r="U1898" s="405" t="s">
        <v>319</v>
      </c>
    </row>
    <row r="1899" spans="1:21" x14ac:dyDescent="0.25">
      <c r="A1899" s="405" t="s">
        <v>310</v>
      </c>
      <c r="B1899" s="405" t="s">
        <v>16566</v>
      </c>
      <c r="C1899" s="405" t="s">
        <v>327</v>
      </c>
      <c r="D1899" s="405"/>
      <c r="E1899" s="410">
        <v>43527</v>
      </c>
      <c r="F1899" s="410">
        <v>43554</v>
      </c>
      <c r="G1899" s="405" t="s">
        <v>16567</v>
      </c>
      <c r="H1899" s="405">
        <v>758093842</v>
      </c>
      <c r="I1899" s="405"/>
      <c r="J1899" s="405">
        <v>0.60965800000000003</v>
      </c>
      <c r="K1899" s="405">
        <v>33.434123</v>
      </c>
      <c r="L1899" s="405" t="s">
        <v>6866</v>
      </c>
      <c r="M1899" s="405" t="s">
        <v>10853</v>
      </c>
      <c r="N1899" s="405" t="s">
        <v>12832</v>
      </c>
      <c r="O1899" s="405" t="s">
        <v>12832</v>
      </c>
      <c r="P1899" s="405" t="s">
        <v>16568</v>
      </c>
      <c r="Q1899" s="411">
        <v>9</v>
      </c>
      <c r="R1899" s="405" t="s">
        <v>32157</v>
      </c>
      <c r="S1899" s="405" t="s">
        <v>27057</v>
      </c>
      <c r="T1899" s="405" t="s">
        <v>884</v>
      </c>
      <c r="U1899" s="405" t="s">
        <v>319</v>
      </c>
    </row>
    <row r="1900" spans="1:21" x14ac:dyDescent="0.25">
      <c r="A1900" s="405" t="s">
        <v>310</v>
      </c>
      <c r="B1900" s="405" t="s">
        <v>16563</v>
      </c>
      <c r="C1900" s="405" t="s">
        <v>327</v>
      </c>
      <c r="D1900" s="405"/>
      <c r="E1900" s="410">
        <v>43527</v>
      </c>
      <c r="F1900" s="410">
        <v>43532</v>
      </c>
      <c r="G1900" s="405" t="s">
        <v>16564</v>
      </c>
      <c r="H1900" s="405">
        <v>757386646</v>
      </c>
      <c r="I1900" s="405"/>
      <c r="J1900" s="405">
        <v>1.3678900000000001</v>
      </c>
      <c r="K1900" s="405">
        <v>34.425339999999998</v>
      </c>
      <c r="L1900" s="405" t="s">
        <v>6866</v>
      </c>
      <c r="M1900" s="405" t="s">
        <v>9685</v>
      </c>
      <c r="N1900" s="405" t="s">
        <v>9686</v>
      </c>
      <c r="O1900" s="405" t="s">
        <v>9687</v>
      </c>
      <c r="P1900" s="405" t="s">
        <v>16565</v>
      </c>
      <c r="Q1900" s="411">
        <v>6</v>
      </c>
      <c r="R1900" s="405" t="s">
        <v>9506</v>
      </c>
      <c r="S1900" s="405" t="s">
        <v>27335</v>
      </c>
      <c r="T1900" s="405" t="s">
        <v>884</v>
      </c>
      <c r="U1900" s="405" t="s">
        <v>319</v>
      </c>
    </row>
    <row r="1901" spans="1:21" x14ac:dyDescent="0.25">
      <c r="A1901" s="405" t="s">
        <v>310</v>
      </c>
      <c r="B1901" s="405" t="s">
        <v>7273</v>
      </c>
      <c r="C1901" s="405" t="s">
        <v>327</v>
      </c>
      <c r="D1901" s="405"/>
      <c r="E1901" s="410">
        <v>43526</v>
      </c>
      <c r="F1901" s="410">
        <v>43534</v>
      </c>
      <c r="G1901" s="405" t="s">
        <v>7274</v>
      </c>
      <c r="H1901" s="405">
        <v>752438310</v>
      </c>
      <c r="I1901" s="405"/>
      <c r="J1901" s="405">
        <v>0.45021</v>
      </c>
      <c r="K1901" s="405">
        <v>31.416436999999998</v>
      </c>
      <c r="L1901" s="405" t="s">
        <v>314</v>
      </c>
      <c r="M1901" s="405" t="s">
        <v>1189</v>
      </c>
      <c r="N1901" s="405" t="s">
        <v>1189</v>
      </c>
      <c r="O1901" s="405" t="s">
        <v>1189</v>
      </c>
      <c r="P1901" s="405" t="s">
        <v>7275</v>
      </c>
      <c r="Q1901" s="411">
        <v>13</v>
      </c>
      <c r="R1901" s="405" t="s">
        <v>402</v>
      </c>
      <c r="S1901" s="405" t="s">
        <v>27265</v>
      </c>
      <c r="T1901" s="405" t="s">
        <v>884</v>
      </c>
      <c r="U1901" s="405" t="s">
        <v>319</v>
      </c>
    </row>
    <row r="1902" spans="1:21" ht="25.5" x14ac:dyDescent="0.25">
      <c r="A1902" s="419" t="s">
        <v>310</v>
      </c>
      <c r="B1902" s="413" t="s">
        <v>25246</v>
      </c>
      <c r="C1902" s="413" t="s">
        <v>311</v>
      </c>
      <c r="D1902" s="420" t="s">
        <v>32749</v>
      </c>
      <c r="E1902" s="418">
        <v>43526</v>
      </c>
      <c r="F1902" s="418">
        <v>43558</v>
      </c>
      <c r="G1902" s="413" t="s">
        <v>25247</v>
      </c>
      <c r="H1902" s="405">
        <v>772577965</v>
      </c>
      <c r="I1902" s="405"/>
      <c r="J1902" s="405">
        <v>-0.773872</v>
      </c>
      <c r="K1902" s="405">
        <v>29.704564999999999</v>
      </c>
      <c r="L1902" s="405" t="s">
        <v>590</v>
      </c>
      <c r="M1902" s="405" t="s">
        <v>20808</v>
      </c>
      <c r="N1902" s="405" t="s">
        <v>23390</v>
      </c>
      <c r="O1902" s="405" t="s">
        <v>25248</v>
      </c>
      <c r="P1902" s="405" t="s">
        <v>19875</v>
      </c>
      <c r="Q1902" s="411">
        <v>9</v>
      </c>
      <c r="R1902" s="405" t="s">
        <v>6572</v>
      </c>
      <c r="S1902" s="405" t="s">
        <v>27166</v>
      </c>
      <c r="T1902" s="405" t="s">
        <v>32102</v>
      </c>
      <c r="U1902" s="405" t="s">
        <v>319</v>
      </c>
    </row>
    <row r="1903" spans="1:21" x14ac:dyDescent="0.25">
      <c r="A1903" s="405" t="s">
        <v>310</v>
      </c>
      <c r="B1903" s="405" t="s">
        <v>9824</v>
      </c>
      <c r="C1903" s="405" t="s">
        <v>311</v>
      </c>
      <c r="D1903" s="405" t="s">
        <v>9825</v>
      </c>
      <c r="E1903" s="410">
        <v>44471</v>
      </c>
      <c r="F1903" s="410">
        <v>44489</v>
      </c>
      <c r="G1903" s="405" t="s">
        <v>9826</v>
      </c>
      <c r="H1903" s="405" t="s">
        <v>9827</v>
      </c>
      <c r="I1903" s="405" t="s">
        <v>9828</v>
      </c>
      <c r="J1903" s="405">
        <v>-0.315805</v>
      </c>
      <c r="K1903" s="405">
        <v>31.740637</v>
      </c>
      <c r="L1903" s="405" t="s">
        <v>314</v>
      </c>
      <c r="M1903" s="405" t="s">
        <v>398</v>
      </c>
      <c r="N1903" s="405" t="s">
        <v>1225</v>
      </c>
      <c r="O1903" s="405" t="s">
        <v>2493</v>
      </c>
      <c r="P1903" s="405" t="s">
        <v>9829</v>
      </c>
      <c r="Q1903" s="411">
        <v>75</v>
      </c>
      <c r="R1903" s="405" t="s">
        <v>32101</v>
      </c>
      <c r="S1903" s="405" t="s">
        <v>27243</v>
      </c>
      <c r="T1903" s="405" t="s">
        <v>884</v>
      </c>
      <c r="U1903" s="405" t="s">
        <v>319</v>
      </c>
    </row>
    <row r="1904" spans="1:21" x14ac:dyDescent="0.25">
      <c r="A1904" s="405" t="s">
        <v>310</v>
      </c>
      <c r="B1904" s="405" t="s">
        <v>16569</v>
      </c>
      <c r="C1904" s="405" t="s">
        <v>327</v>
      </c>
      <c r="D1904" s="405"/>
      <c r="E1904" s="410">
        <v>43526</v>
      </c>
      <c r="F1904" s="410">
        <v>43536</v>
      </c>
      <c r="G1904" s="405" t="s">
        <v>16570</v>
      </c>
      <c r="H1904" s="405">
        <v>758418663</v>
      </c>
      <c r="I1904" s="405"/>
      <c r="J1904" s="405">
        <v>0.76185800000000004</v>
      </c>
      <c r="K1904" s="405">
        <v>33.623449999999998</v>
      </c>
      <c r="L1904" s="405" t="s">
        <v>6866</v>
      </c>
      <c r="M1904" s="405" t="s">
        <v>10853</v>
      </c>
      <c r="N1904" s="405" t="s">
        <v>15097</v>
      </c>
      <c r="O1904" s="405" t="s">
        <v>16571</v>
      </c>
      <c r="P1904" s="405" t="s">
        <v>15156</v>
      </c>
      <c r="Q1904" s="411">
        <v>6</v>
      </c>
      <c r="R1904" s="405" t="s">
        <v>6822</v>
      </c>
      <c r="S1904" s="405" t="s">
        <v>6822</v>
      </c>
      <c r="T1904" s="405" t="s">
        <v>884</v>
      </c>
      <c r="U1904" s="405" t="s">
        <v>319</v>
      </c>
    </row>
    <row r="1905" spans="1:21" x14ac:dyDescent="0.25">
      <c r="A1905" s="405" t="s">
        <v>310</v>
      </c>
      <c r="B1905" s="405" t="s">
        <v>25013</v>
      </c>
      <c r="C1905" s="405" t="s">
        <v>327</v>
      </c>
      <c r="D1905" s="405"/>
      <c r="E1905" s="410">
        <v>43525</v>
      </c>
      <c r="F1905" s="410">
        <v>43588</v>
      </c>
      <c r="G1905" s="405" t="s">
        <v>25014</v>
      </c>
      <c r="H1905" s="405">
        <v>772401020</v>
      </c>
      <c r="I1905" s="405"/>
      <c r="J1905" s="405">
        <v>-0.96684999999999999</v>
      </c>
      <c r="K1905" s="405">
        <v>30.507591999999999</v>
      </c>
      <c r="L1905" s="405" t="s">
        <v>590</v>
      </c>
      <c r="M1905" s="405" t="s">
        <v>19659</v>
      </c>
      <c r="N1905" s="405" t="s">
        <v>19664</v>
      </c>
      <c r="O1905" s="405" t="s">
        <v>25015</v>
      </c>
      <c r="P1905" s="405" t="s">
        <v>6636</v>
      </c>
      <c r="Q1905" s="411">
        <v>13</v>
      </c>
      <c r="R1905" s="405" t="s">
        <v>6572</v>
      </c>
      <c r="S1905" s="405" t="s">
        <v>27095</v>
      </c>
      <c r="T1905" s="405" t="s">
        <v>884</v>
      </c>
      <c r="U1905" s="405" t="s">
        <v>319</v>
      </c>
    </row>
    <row r="1906" spans="1:21" x14ac:dyDescent="0.25">
      <c r="A1906" s="405" t="s">
        <v>310</v>
      </c>
      <c r="B1906" s="405" t="s">
        <v>25202</v>
      </c>
      <c r="C1906" s="405" t="s">
        <v>857</v>
      </c>
      <c r="D1906" s="405" t="s">
        <v>25203</v>
      </c>
      <c r="E1906" s="410">
        <v>43525</v>
      </c>
      <c r="F1906" s="410">
        <v>43526</v>
      </c>
      <c r="G1906" s="405" t="s">
        <v>25204</v>
      </c>
      <c r="H1906" s="405">
        <v>772662630</v>
      </c>
      <c r="I1906" s="405">
        <v>704915958</v>
      </c>
      <c r="J1906" s="405">
        <v>-0.67914799999999997</v>
      </c>
      <c r="K1906" s="405">
        <v>30.445347000000002</v>
      </c>
      <c r="L1906" s="405" t="s">
        <v>24158</v>
      </c>
      <c r="M1906" s="405" t="s">
        <v>19614</v>
      </c>
      <c r="N1906" s="405" t="s">
        <v>19654</v>
      </c>
      <c r="O1906" s="405" t="s">
        <v>20015</v>
      </c>
      <c r="P1906" s="405" t="s">
        <v>25205</v>
      </c>
      <c r="Q1906" s="411">
        <v>9</v>
      </c>
      <c r="R1906" s="405" t="s">
        <v>32166</v>
      </c>
      <c r="S1906" s="405" t="s">
        <v>27172</v>
      </c>
      <c r="T1906" s="405" t="s">
        <v>884</v>
      </c>
      <c r="U1906" s="405" t="s">
        <v>319</v>
      </c>
    </row>
    <row r="1907" spans="1:21" x14ac:dyDescent="0.25">
      <c r="A1907" s="405" t="s">
        <v>310</v>
      </c>
      <c r="B1907" s="405" t="s">
        <v>24968</v>
      </c>
      <c r="C1907" s="405" t="s">
        <v>327</v>
      </c>
      <c r="D1907" s="405"/>
      <c r="E1907" s="410">
        <v>43523</v>
      </c>
      <c r="F1907" s="410">
        <v>43546</v>
      </c>
      <c r="G1907" s="405" t="s">
        <v>24969</v>
      </c>
      <c r="H1907" s="405">
        <v>702511479</v>
      </c>
      <c r="I1907" s="405"/>
      <c r="J1907" s="405">
        <v>-0.69637800000000005</v>
      </c>
      <c r="K1907" s="405">
        <v>30.696705000000001</v>
      </c>
      <c r="L1907" s="405" t="s">
        <v>24158</v>
      </c>
      <c r="M1907" s="405" t="s">
        <v>879</v>
      </c>
      <c r="N1907" s="405" t="s">
        <v>879</v>
      </c>
      <c r="O1907" s="405" t="s">
        <v>22197</v>
      </c>
      <c r="P1907" s="405" t="s">
        <v>20420</v>
      </c>
      <c r="Q1907" s="411">
        <v>13</v>
      </c>
      <c r="R1907" s="405" t="s">
        <v>883</v>
      </c>
      <c r="S1907" s="405" t="s">
        <v>27104</v>
      </c>
      <c r="T1907" s="405" t="s">
        <v>884</v>
      </c>
      <c r="U1907" s="405" t="s">
        <v>319</v>
      </c>
    </row>
    <row r="1908" spans="1:21" x14ac:dyDescent="0.25">
      <c r="A1908" s="405" t="s">
        <v>310</v>
      </c>
      <c r="B1908" s="405" t="s">
        <v>16551</v>
      </c>
      <c r="C1908" s="405" t="s">
        <v>327</v>
      </c>
      <c r="D1908" s="405"/>
      <c r="E1908" s="410">
        <v>43522</v>
      </c>
      <c r="F1908" s="410">
        <v>43547</v>
      </c>
      <c r="G1908" s="405" t="s">
        <v>16552</v>
      </c>
      <c r="H1908" s="405">
        <v>774094930</v>
      </c>
      <c r="I1908" s="405"/>
      <c r="J1908" s="405">
        <v>0.87275800000000003</v>
      </c>
      <c r="K1908" s="405">
        <v>34.366961000000003</v>
      </c>
      <c r="L1908" s="405" t="s">
        <v>16357</v>
      </c>
      <c r="M1908" s="405" t="s">
        <v>9575</v>
      </c>
      <c r="N1908" s="405" t="s">
        <v>9576</v>
      </c>
      <c r="O1908" s="405" t="s">
        <v>16553</v>
      </c>
      <c r="P1908" s="405" t="s">
        <v>16554</v>
      </c>
      <c r="Q1908" s="411">
        <v>6</v>
      </c>
      <c r="R1908" s="405" t="s">
        <v>7224</v>
      </c>
      <c r="S1908" s="405" t="s">
        <v>27259</v>
      </c>
      <c r="T1908" s="405" t="s">
        <v>884</v>
      </c>
      <c r="U1908" s="405" t="s">
        <v>319</v>
      </c>
    </row>
    <row r="1909" spans="1:21" x14ac:dyDescent="0.25">
      <c r="A1909" s="405" t="s">
        <v>310</v>
      </c>
      <c r="B1909" s="405" t="s">
        <v>7267</v>
      </c>
      <c r="C1909" s="405" t="s">
        <v>327</v>
      </c>
      <c r="D1909" s="405"/>
      <c r="E1909" s="410">
        <v>43521</v>
      </c>
      <c r="F1909" s="410">
        <v>43527</v>
      </c>
      <c r="G1909" s="405" t="s">
        <v>7268</v>
      </c>
      <c r="H1909" s="405">
        <v>759488002</v>
      </c>
      <c r="I1909" s="405"/>
      <c r="J1909" s="405">
        <v>0.27601900000000001</v>
      </c>
      <c r="K1909" s="405">
        <v>32.495289999999997</v>
      </c>
      <c r="L1909" s="405" t="s">
        <v>314</v>
      </c>
      <c r="M1909" s="405" t="s">
        <v>361</v>
      </c>
      <c r="N1909" s="405" t="s">
        <v>374</v>
      </c>
      <c r="O1909" s="405" t="s">
        <v>375</v>
      </c>
      <c r="P1909" s="405" t="s">
        <v>3257</v>
      </c>
      <c r="Q1909" s="411">
        <v>6</v>
      </c>
      <c r="R1909" s="405" t="s">
        <v>7269</v>
      </c>
      <c r="S1909" s="405" t="s">
        <v>27269</v>
      </c>
      <c r="T1909" s="405" t="s">
        <v>884</v>
      </c>
      <c r="U1909" s="405" t="s">
        <v>319</v>
      </c>
    </row>
    <row r="1910" spans="1:21" x14ac:dyDescent="0.25">
      <c r="A1910" s="405" t="s">
        <v>310</v>
      </c>
      <c r="B1910" s="405" t="s">
        <v>26889</v>
      </c>
      <c r="C1910" s="405" t="s">
        <v>311</v>
      </c>
      <c r="D1910" s="405" t="s">
        <v>26890</v>
      </c>
      <c r="E1910" s="410">
        <v>44478</v>
      </c>
      <c r="F1910" s="410">
        <v>44491</v>
      </c>
      <c r="G1910" s="405" t="s">
        <v>26891</v>
      </c>
      <c r="H1910" s="405" t="s">
        <v>26892</v>
      </c>
      <c r="I1910" s="405"/>
      <c r="J1910" s="405">
        <v>0.62218600000000002</v>
      </c>
      <c r="K1910" s="405">
        <v>30.520893000000001</v>
      </c>
      <c r="L1910" s="405" t="s">
        <v>590</v>
      </c>
      <c r="M1910" s="405" t="s">
        <v>20426</v>
      </c>
      <c r="N1910" s="405" t="s">
        <v>10925</v>
      </c>
      <c r="O1910" s="405" t="s">
        <v>26893</v>
      </c>
      <c r="P1910" s="405" t="s">
        <v>26894</v>
      </c>
      <c r="Q1910" s="411">
        <v>40</v>
      </c>
      <c r="R1910" s="405" t="s">
        <v>4176</v>
      </c>
      <c r="S1910" s="405" t="s">
        <v>27286</v>
      </c>
      <c r="T1910" s="405" t="s">
        <v>884</v>
      </c>
      <c r="U1910" s="405" t="s">
        <v>319</v>
      </c>
    </row>
    <row r="1911" spans="1:21" x14ac:dyDescent="0.25">
      <c r="A1911" s="405" t="s">
        <v>310</v>
      </c>
      <c r="B1911" s="405" t="s">
        <v>16572</v>
      </c>
      <c r="C1911" s="405" t="s">
        <v>327</v>
      </c>
      <c r="D1911" s="405"/>
      <c r="E1911" s="410">
        <v>43519</v>
      </c>
      <c r="F1911" s="410">
        <v>43549</v>
      </c>
      <c r="G1911" s="405" t="s">
        <v>16573</v>
      </c>
      <c r="H1911" s="405">
        <v>756927379</v>
      </c>
      <c r="I1911" s="405">
        <v>772356686</v>
      </c>
      <c r="J1911" s="405">
        <v>0.44962600000000003</v>
      </c>
      <c r="K1911" s="405">
        <v>33.550105000000002</v>
      </c>
      <c r="L1911" s="405" t="s">
        <v>6866</v>
      </c>
      <c r="M1911" s="405" t="s">
        <v>5411</v>
      </c>
      <c r="N1911" s="405" t="s">
        <v>5411</v>
      </c>
      <c r="O1911" s="405" t="s">
        <v>16142</v>
      </c>
      <c r="P1911" s="405" t="s">
        <v>16574</v>
      </c>
      <c r="Q1911" s="411">
        <v>6</v>
      </c>
      <c r="R1911" s="405" t="s">
        <v>6822</v>
      </c>
      <c r="S1911" s="405" t="s">
        <v>6822</v>
      </c>
      <c r="T1911" s="405" t="s">
        <v>884</v>
      </c>
      <c r="U1911" s="405" t="s">
        <v>319</v>
      </c>
    </row>
    <row r="1912" spans="1:21" x14ac:dyDescent="0.25">
      <c r="A1912" s="405" t="s">
        <v>310</v>
      </c>
      <c r="B1912" s="405" t="s">
        <v>16524</v>
      </c>
      <c r="C1912" s="405" t="s">
        <v>327</v>
      </c>
      <c r="D1912" s="405"/>
      <c r="E1912" s="410">
        <v>43517</v>
      </c>
      <c r="F1912" s="410">
        <v>43517</v>
      </c>
      <c r="G1912" s="405" t="s">
        <v>16525</v>
      </c>
      <c r="H1912" s="405">
        <v>788336738</v>
      </c>
      <c r="I1912" s="405"/>
      <c r="J1912" s="405">
        <v>1.3676619999999999</v>
      </c>
      <c r="K1912" s="405">
        <v>34.423136999999997</v>
      </c>
      <c r="L1912" s="405" t="s">
        <v>6866</v>
      </c>
      <c r="M1912" s="405" t="s">
        <v>9685</v>
      </c>
      <c r="N1912" s="405" t="s">
        <v>9686</v>
      </c>
      <c r="O1912" s="405" t="s">
        <v>9709</v>
      </c>
      <c r="P1912" s="405" t="s">
        <v>16526</v>
      </c>
      <c r="Q1912" s="411">
        <v>6</v>
      </c>
      <c r="R1912" s="405" t="s">
        <v>9506</v>
      </c>
      <c r="S1912" s="405" t="s">
        <v>27335</v>
      </c>
      <c r="T1912" s="405" t="s">
        <v>884</v>
      </c>
      <c r="U1912" s="405" t="s">
        <v>319</v>
      </c>
    </row>
    <row r="1913" spans="1:21" x14ac:dyDescent="0.25">
      <c r="A1913" s="405" t="s">
        <v>310</v>
      </c>
      <c r="B1913" s="405" t="s">
        <v>24947</v>
      </c>
      <c r="C1913" s="405" t="s">
        <v>327</v>
      </c>
      <c r="D1913" s="405"/>
      <c r="E1913" s="410">
        <v>43516</v>
      </c>
      <c r="F1913" s="410">
        <v>43539</v>
      </c>
      <c r="G1913" s="405" t="s">
        <v>24948</v>
      </c>
      <c r="H1913" s="405">
        <v>702661468</v>
      </c>
      <c r="I1913" s="405"/>
      <c r="J1913" s="405">
        <v>-0.66089299999999995</v>
      </c>
      <c r="K1913" s="405">
        <v>30.714655</v>
      </c>
      <c r="L1913" s="405" t="s">
        <v>24158</v>
      </c>
      <c r="M1913" s="405" t="s">
        <v>879</v>
      </c>
      <c r="N1913" s="405" t="s">
        <v>879</v>
      </c>
      <c r="O1913" s="405" t="s">
        <v>881</v>
      </c>
      <c r="P1913" s="405" t="s">
        <v>24949</v>
      </c>
      <c r="Q1913" s="411">
        <v>13</v>
      </c>
      <c r="R1913" s="405" t="s">
        <v>883</v>
      </c>
      <c r="S1913" s="405" t="s">
        <v>27104</v>
      </c>
      <c r="T1913" s="405" t="s">
        <v>884</v>
      </c>
      <c r="U1913" s="405" t="s">
        <v>319</v>
      </c>
    </row>
    <row r="1914" spans="1:21" x14ac:dyDescent="0.25">
      <c r="A1914" s="405" t="s">
        <v>310</v>
      </c>
      <c r="B1914" s="405" t="s">
        <v>7285</v>
      </c>
      <c r="C1914" s="405" t="s">
        <v>327</v>
      </c>
      <c r="D1914" s="405"/>
      <c r="E1914" s="410">
        <v>43516</v>
      </c>
      <c r="F1914" s="410">
        <v>43539</v>
      </c>
      <c r="G1914" s="405" t="s">
        <v>7286</v>
      </c>
      <c r="H1914" s="405">
        <v>757345728</v>
      </c>
      <c r="I1914" s="405"/>
      <c r="J1914" s="405">
        <v>-0.23269999999999999</v>
      </c>
      <c r="K1914" s="405">
        <v>31.3445</v>
      </c>
      <c r="L1914" s="405" t="s">
        <v>6897</v>
      </c>
      <c r="M1914" s="405" t="s">
        <v>382</v>
      </c>
      <c r="N1914" s="405" t="s">
        <v>988</v>
      </c>
      <c r="O1914" s="405" t="s">
        <v>894</v>
      </c>
      <c r="P1914" s="405" t="s">
        <v>7287</v>
      </c>
      <c r="Q1914" s="411">
        <v>6</v>
      </c>
      <c r="R1914" s="405" t="s">
        <v>32101</v>
      </c>
      <c r="S1914" s="405" t="s">
        <v>27041</v>
      </c>
      <c r="T1914" s="405" t="s">
        <v>884</v>
      </c>
      <c r="U1914" s="405" t="s">
        <v>319</v>
      </c>
    </row>
    <row r="1915" spans="1:21" x14ac:dyDescent="0.25">
      <c r="A1915" s="405" t="s">
        <v>310</v>
      </c>
      <c r="B1915" s="405" t="s">
        <v>7281</v>
      </c>
      <c r="C1915" s="405" t="s">
        <v>327</v>
      </c>
      <c r="D1915" s="405"/>
      <c r="E1915" s="410">
        <v>43514</v>
      </c>
      <c r="F1915" s="410">
        <v>43537</v>
      </c>
      <c r="G1915" s="405" t="s">
        <v>7282</v>
      </c>
      <c r="H1915" s="405">
        <v>772905139</v>
      </c>
      <c r="I1915" s="405"/>
      <c r="J1915" s="405">
        <v>0.32569999999999999</v>
      </c>
      <c r="K1915" s="405">
        <v>31.485600000000002</v>
      </c>
      <c r="L1915" s="405" t="s">
        <v>6897</v>
      </c>
      <c r="M1915" s="405" t="s">
        <v>361</v>
      </c>
      <c r="N1915" s="405" t="s">
        <v>5584</v>
      </c>
      <c r="O1915" s="405" t="s">
        <v>7283</v>
      </c>
      <c r="P1915" s="405" t="s">
        <v>7284</v>
      </c>
      <c r="Q1915" s="411">
        <v>9</v>
      </c>
      <c r="R1915" s="405" t="s">
        <v>32101</v>
      </c>
      <c r="S1915" s="405" t="s">
        <v>27167</v>
      </c>
      <c r="T1915" s="405" t="s">
        <v>884</v>
      </c>
      <c r="U1915" s="405" t="s">
        <v>319</v>
      </c>
    </row>
    <row r="1916" spans="1:21" x14ac:dyDescent="0.25">
      <c r="A1916" s="405" t="s">
        <v>310</v>
      </c>
      <c r="B1916" s="405" t="s">
        <v>24994</v>
      </c>
      <c r="C1916" s="405" t="s">
        <v>327</v>
      </c>
      <c r="D1916" s="405"/>
      <c r="E1916" s="410">
        <v>43513</v>
      </c>
      <c r="F1916" s="410">
        <v>43556</v>
      </c>
      <c r="G1916" s="405" t="s">
        <v>24995</v>
      </c>
      <c r="H1916" s="405">
        <v>784133461</v>
      </c>
      <c r="I1916" s="405"/>
      <c r="J1916" s="405">
        <v>0.99083600000000005</v>
      </c>
      <c r="K1916" s="405">
        <v>34.173879999999997</v>
      </c>
      <c r="L1916" s="405" t="s">
        <v>590</v>
      </c>
      <c r="M1916" s="405" t="s">
        <v>20757</v>
      </c>
      <c r="N1916" s="405" t="s">
        <v>22733</v>
      </c>
      <c r="O1916" s="405" t="s">
        <v>22734</v>
      </c>
      <c r="P1916" s="405" t="s">
        <v>24996</v>
      </c>
      <c r="Q1916" s="411">
        <v>6</v>
      </c>
      <c r="R1916" s="405" t="s">
        <v>7208</v>
      </c>
      <c r="S1916" s="405" t="s">
        <v>27275</v>
      </c>
      <c r="T1916" s="405" t="s">
        <v>884</v>
      </c>
      <c r="U1916" s="405" t="s">
        <v>319</v>
      </c>
    </row>
    <row r="1917" spans="1:21" x14ac:dyDescent="0.25">
      <c r="A1917" s="405" t="s">
        <v>310</v>
      </c>
      <c r="B1917" s="405" t="s">
        <v>16601</v>
      </c>
      <c r="C1917" s="405" t="s">
        <v>327</v>
      </c>
      <c r="D1917" s="405"/>
      <c r="E1917" s="410">
        <v>43511</v>
      </c>
      <c r="F1917" s="410">
        <v>43603</v>
      </c>
      <c r="G1917" s="405" t="s">
        <v>16602</v>
      </c>
      <c r="H1917" s="405">
        <v>784710070</v>
      </c>
      <c r="I1917" s="405"/>
      <c r="J1917" s="405" t="s">
        <v>7406</v>
      </c>
      <c r="K1917" s="405">
        <v>32.623615000000001</v>
      </c>
      <c r="L1917" s="405" t="s">
        <v>6866</v>
      </c>
      <c r="M1917" s="405" t="s">
        <v>9534</v>
      </c>
      <c r="N1917" s="405" t="s">
        <v>16603</v>
      </c>
      <c r="O1917" s="405" t="s">
        <v>3870</v>
      </c>
      <c r="P1917" s="405" t="s">
        <v>16604</v>
      </c>
      <c r="Q1917" s="411">
        <v>6</v>
      </c>
      <c r="R1917" s="405" t="s">
        <v>7224</v>
      </c>
      <c r="S1917" s="405" t="s">
        <v>27364</v>
      </c>
      <c r="T1917" s="405" t="s">
        <v>884</v>
      </c>
      <c r="U1917" s="405" t="s">
        <v>319</v>
      </c>
    </row>
    <row r="1918" spans="1:21" x14ac:dyDescent="0.25">
      <c r="A1918" s="405" t="s">
        <v>310</v>
      </c>
      <c r="B1918" s="405" t="s">
        <v>24909</v>
      </c>
      <c r="C1918" s="405" t="s">
        <v>327</v>
      </c>
      <c r="D1918" s="405"/>
      <c r="E1918" s="410">
        <v>43511</v>
      </c>
      <c r="F1918" s="410">
        <v>43516</v>
      </c>
      <c r="G1918" s="405" t="s">
        <v>24910</v>
      </c>
      <c r="H1918" s="405">
        <v>772417666</v>
      </c>
      <c r="I1918" s="405"/>
      <c r="J1918" s="405">
        <v>0.43185299999999999</v>
      </c>
      <c r="K1918" s="405">
        <v>30.548511999999999</v>
      </c>
      <c r="L1918" s="405" t="s">
        <v>590</v>
      </c>
      <c r="M1918" s="405" t="s">
        <v>19614</v>
      </c>
      <c r="N1918" s="405" t="s">
        <v>19615</v>
      </c>
      <c r="O1918" s="405" t="s">
        <v>19650</v>
      </c>
      <c r="P1918" s="405" t="s">
        <v>19650</v>
      </c>
      <c r="Q1918" s="411">
        <v>6</v>
      </c>
      <c r="R1918" s="405" t="s">
        <v>5858</v>
      </c>
      <c r="S1918" s="405" t="s">
        <v>27153</v>
      </c>
      <c r="T1918" s="405" t="s">
        <v>884</v>
      </c>
      <c r="U1918" s="405" t="s">
        <v>319</v>
      </c>
    </row>
    <row r="1919" spans="1:21" x14ac:dyDescent="0.25">
      <c r="A1919" s="405" t="s">
        <v>310</v>
      </c>
      <c r="B1919" s="405" t="s">
        <v>7278</v>
      </c>
      <c r="C1919" s="405" t="s">
        <v>327</v>
      </c>
      <c r="D1919" s="405"/>
      <c r="E1919" s="410">
        <v>43509</v>
      </c>
      <c r="F1919" s="410">
        <v>43529</v>
      </c>
      <c r="G1919" s="405" t="s">
        <v>7279</v>
      </c>
      <c r="H1919" s="405">
        <v>772523689</v>
      </c>
      <c r="I1919" s="405"/>
      <c r="J1919" s="405">
        <v>0.22459999999999999</v>
      </c>
      <c r="K1919" s="405">
        <v>32.221699999999998</v>
      </c>
      <c r="L1919" s="405" t="s">
        <v>6897</v>
      </c>
      <c r="M1919" s="405" t="s">
        <v>361</v>
      </c>
      <c r="N1919" s="405" t="s">
        <v>374</v>
      </c>
      <c r="O1919" s="405" t="s">
        <v>952</v>
      </c>
      <c r="P1919" s="405" t="s">
        <v>7280</v>
      </c>
      <c r="Q1919" s="411">
        <v>6</v>
      </c>
      <c r="R1919" s="405" t="s">
        <v>32101</v>
      </c>
      <c r="S1919" s="405" t="s">
        <v>27041</v>
      </c>
      <c r="T1919" s="405" t="s">
        <v>884</v>
      </c>
      <c r="U1919" s="405" t="s">
        <v>319</v>
      </c>
    </row>
    <row r="1920" spans="1:21" x14ac:dyDescent="0.25">
      <c r="A1920" s="405" t="s">
        <v>310</v>
      </c>
      <c r="B1920" s="405" t="s">
        <v>7347</v>
      </c>
      <c r="C1920" s="405" t="s">
        <v>327</v>
      </c>
      <c r="D1920" s="405"/>
      <c r="E1920" s="410">
        <v>43508</v>
      </c>
      <c r="F1920" s="410">
        <v>43597</v>
      </c>
      <c r="G1920" s="405" t="s">
        <v>7348</v>
      </c>
      <c r="H1920" s="405">
        <v>703419567</v>
      </c>
      <c r="I1920" s="405"/>
      <c r="J1920" s="405" t="s">
        <v>7334</v>
      </c>
      <c r="K1920" s="405">
        <v>34.189390000000003</v>
      </c>
      <c r="L1920" s="405" t="s">
        <v>314</v>
      </c>
      <c r="M1920" s="405" t="s">
        <v>1189</v>
      </c>
      <c r="N1920" s="405" t="s">
        <v>4921</v>
      </c>
      <c r="O1920" s="405" t="s">
        <v>894</v>
      </c>
      <c r="P1920" s="405" t="s">
        <v>7349</v>
      </c>
      <c r="Q1920" s="411">
        <v>9</v>
      </c>
      <c r="R1920" s="405" t="s">
        <v>5986</v>
      </c>
      <c r="S1920" s="405" t="s">
        <v>5986</v>
      </c>
      <c r="T1920" s="405" t="s">
        <v>884</v>
      </c>
      <c r="U1920" s="405" t="s">
        <v>319</v>
      </c>
    </row>
    <row r="1921" spans="1:21" x14ac:dyDescent="0.25">
      <c r="A1921" s="405" t="s">
        <v>310</v>
      </c>
      <c r="B1921" s="405" t="s">
        <v>9074</v>
      </c>
      <c r="C1921" s="405" t="s">
        <v>327</v>
      </c>
      <c r="D1921" s="405"/>
      <c r="E1921" s="410">
        <v>44474</v>
      </c>
      <c r="F1921" s="410">
        <v>44491</v>
      </c>
      <c r="G1921" s="405" t="s">
        <v>9075</v>
      </c>
      <c r="H1921" s="405" t="s">
        <v>9076</v>
      </c>
      <c r="I1921" s="405" t="s">
        <v>2913</v>
      </c>
      <c r="J1921" s="405">
        <v>0.179976</v>
      </c>
      <c r="K1921" s="405">
        <v>32.533562000000003</v>
      </c>
      <c r="L1921" s="405" t="s">
        <v>314</v>
      </c>
      <c r="M1921" s="405" t="s">
        <v>361</v>
      </c>
      <c r="N1921" s="405" t="s">
        <v>374</v>
      </c>
      <c r="O1921" s="405" t="s">
        <v>9077</v>
      </c>
      <c r="P1921" s="405" t="s">
        <v>9078</v>
      </c>
      <c r="Q1921" s="411">
        <v>20</v>
      </c>
      <c r="R1921" s="405" t="s">
        <v>32157</v>
      </c>
      <c r="S1921" s="405" t="s">
        <v>27055</v>
      </c>
      <c r="T1921" s="405" t="s">
        <v>32102</v>
      </c>
      <c r="U1921" s="405" t="s">
        <v>319</v>
      </c>
    </row>
    <row r="1922" spans="1:21" x14ac:dyDescent="0.25">
      <c r="A1922" s="405" t="s">
        <v>310</v>
      </c>
      <c r="B1922" s="405" t="s">
        <v>16518</v>
      </c>
      <c r="C1922" s="405" t="s">
        <v>327</v>
      </c>
      <c r="D1922" s="405"/>
      <c r="E1922" s="410">
        <v>43508</v>
      </c>
      <c r="F1922" s="410">
        <v>43512</v>
      </c>
      <c r="G1922" s="405" t="s">
        <v>16519</v>
      </c>
      <c r="H1922" s="405">
        <v>778641847</v>
      </c>
      <c r="I1922" s="405"/>
      <c r="J1922" s="405">
        <v>1.3529869999999999</v>
      </c>
      <c r="K1922" s="405">
        <v>34.395808000000002</v>
      </c>
      <c r="L1922" s="405" t="s">
        <v>6866</v>
      </c>
      <c r="M1922" s="405" t="s">
        <v>9685</v>
      </c>
      <c r="N1922" s="405" t="s">
        <v>9686</v>
      </c>
      <c r="O1922" s="405" t="s">
        <v>15770</v>
      </c>
      <c r="P1922" s="405" t="s">
        <v>16520</v>
      </c>
      <c r="Q1922" s="411">
        <v>6</v>
      </c>
      <c r="R1922" s="405" t="s">
        <v>9506</v>
      </c>
      <c r="S1922" s="405" t="s">
        <v>27259</v>
      </c>
      <c r="T1922" s="405" t="s">
        <v>884</v>
      </c>
      <c r="U1922" s="405" t="s">
        <v>319</v>
      </c>
    </row>
    <row r="1923" spans="1:21" x14ac:dyDescent="0.25">
      <c r="A1923" s="405" t="s">
        <v>310</v>
      </c>
      <c r="B1923" s="405" t="s">
        <v>16514</v>
      </c>
      <c r="C1923" s="405" t="s">
        <v>327</v>
      </c>
      <c r="D1923" s="405"/>
      <c r="E1923" s="410">
        <v>43506</v>
      </c>
      <c r="F1923" s="410">
        <v>43509</v>
      </c>
      <c r="G1923" s="405" t="s">
        <v>16515</v>
      </c>
      <c r="H1923" s="405">
        <v>706678530</v>
      </c>
      <c r="I1923" s="405"/>
      <c r="J1923" s="405">
        <v>1.3550979999999999</v>
      </c>
      <c r="K1923" s="405">
        <v>34.393417999999997</v>
      </c>
      <c r="L1923" s="405" t="s">
        <v>6866</v>
      </c>
      <c r="M1923" s="405" t="s">
        <v>9685</v>
      </c>
      <c r="N1923" s="405" t="s">
        <v>9686</v>
      </c>
      <c r="O1923" s="405" t="s">
        <v>9709</v>
      </c>
      <c r="P1923" s="405" t="s">
        <v>10058</v>
      </c>
      <c r="Q1923" s="411">
        <v>6</v>
      </c>
      <c r="R1923" s="405" t="s">
        <v>9506</v>
      </c>
      <c r="S1923" s="405" t="s">
        <v>27074</v>
      </c>
      <c r="T1923" s="405" t="s">
        <v>32102</v>
      </c>
      <c r="U1923" s="405" t="s">
        <v>319</v>
      </c>
    </row>
    <row r="1924" spans="1:21" x14ac:dyDescent="0.25">
      <c r="A1924" s="405" t="s">
        <v>310</v>
      </c>
      <c r="B1924" s="405" t="s">
        <v>16632</v>
      </c>
      <c r="C1924" s="405" t="s">
        <v>327</v>
      </c>
      <c r="D1924" s="405"/>
      <c r="E1924" s="410">
        <v>43505</v>
      </c>
      <c r="F1924" s="410">
        <v>43588</v>
      </c>
      <c r="G1924" s="405" t="s">
        <v>16633</v>
      </c>
      <c r="H1924" s="405">
        <v>782794104</v>
      </c>
      <c r="I1924" s="405"/>
      <c r="J1924" s="405">
        <v>1.8541780000000001</v>
      </c>
      <c r="K1924" s="405">
        <v>33.775714999999998</v>
      </c>
      <c r="L1924" s="405" t="s">
        <v>6866</v>
      </c>
      <c r="M1924" s="405" t="s">
        <v>10495</v>
      </c>
      <c r="N1924" s="405" t="s">
        <v>10495</v>
      </c>
      <c r="O1924" s="405" t="s">
        <v>11255</v>
      </c>
      <c r="P1924" s="405" t="s">
        <v>16634</v>
      </c>
      <c r="Q1924" s="411">
        <v>6</v>
      </c>
      <c r="R1924" s="405" t="s">
        <v>5655</v>
      </c>
      <c r="S1924" s="405" t="s">
        <v>27357</v>
      </c>
      <c r="T1924" s="405" t="s">
        <v>884</v>
      </c>
      <c r="U1924" s="405" t="s">
        <v>319</v>
      </c>
    </row>
    <row r="1925" spans="1:21" x14ac:dyDescent="0.25">
      <c r="A1925" s="405" t="s">
        <v>310</v>
      </c>
      <c r="B1925" s="405" t="s">
        <v>16955</v>
      </c>
      <c r="C1925" s="405" t="s">
        <v>311</v>
      </c>
      <c r="D1925" s="405" t="s">
        <v>33042</v>
      </c>
      <c r="E1925" s="410">
        <v>43505</v>
      </c>
      <c r="F1925" s="410">
        <v>43509</v>
      </c>
      <c r="G1925" s="405" t="s">
        <v>16956</v>
      </c>
      <c r="H1925" s="405">
        <v>778121471</v>
      </c>
      <c r="I1925" s="405"/>
      <c r="J1925" s="405">
        <v>1.3240499999999999</v>
      </c>
      <c r="K1925" s="405">
        <v>34.388223000000004</v>
      </c>
      <c r="L1925" s="405" t="s">
        <v>6866</v>
      </c>
      <c r="M1925" s="405" t="s">
        <v>9685</v>
      </c>
      <c r="N1925" s="405" t="s">
        <v>9686</v>
      </c>
      <c r="O1925" s="405" t="s">
        <v>15770</v>
      </c>
      <c r="P1925" s="405" t="s">
        <v>16520</v>
      </c>
      <c r="Q1925" s="411">
        <v>6</v>
      </c>
      <c r="R1925" s="405" t="s">
        <v>9506</v>
      </c>
      <c r="S1925" s="405" t="s">
        <v>27335</v>
      </c>
      <c r="T1925" s="405" t="s">
        <v>884</v>
      </c>
      <c r="U1925" s="405" t="s">
        <v>319</v>
      </c>
    </row>
    <row r="1926" spans="1:21" x14ac:dyDescent="0.25">
      <c r="A1926" s="405" t="s">
        <v>310</v>
      </c>
      <c r="B1926" s="405" t="s">
        <v>16511</v>
      </c>
      <c r="C1926" s="405" t="s">
        <v>327</v>
      </c>
      <c r="D1926" s="405"/>
      <c r="E1926" s="410">
        <v>43504</v>
      </c>
      <c r="F1926" s="410">
        <v>43509</v>
      </c>
      <c r="G1926" s="405" t="s">
        <v>16512</v>
      </c>
      <c r="H1926" s="405">
        <v>701880019</v>
      </c>
      <c r="I1926" s="405"/>
      <c r="J1926" s="405">
        <v>1.3335319999999999</v>
      </c>
      <c r="K1926" s="405">
        <v>34.402054999999997</v>
      </c>
      <c r="L1926" s="405" t="s">
        <v>6866</v>
      </c>
      <c r="M1926" s="405" t="s">
        <v>9685</v>
      </c>
      <c r="N1926" s="405" t="s">
        <v>9686</v>
      </c>
      <c r="O1926" s="405" t="s">
        <v>9709</v>
      </c>
      <c r="P1926" s="405" t="s">
        <v>16513</v>
      </c>
      <c r="Q1926" s="411">
        <v>6</v>
      </c>
      <c r="R1926" s="405" t="s">
        <v>9506</v>
      </c>
      <c r="S1926" s="405" t="s">
        <v>27072</v>
      </c>
      <c r="T1926" s="405" t="s">
        <v>884</v>
      </c>
      <c r="U1926" s="405" t="s">
        <v>319</v>
      </c>
    </row>
    <row r="1927" spans="1:21" x14ac:dyDescent="0.25">
      <c r="A1927" s="405" t="s">
        <v>310</v>
      </c>
      <c r="B1927" s="405" t="s">
        <v>16516</v>
      </c>
      <c r="C1927" s="405" t="s">
        <v>327</v>
      </c>
      <c r="D1927" s="405"/>
      <c r="E1927" s="410">
        <v>43504</v>
      </c>
      <c r="F1927" s="410">
        <v>43509</v>
      </c>
      <c r="G1927" s="405" t="s">
        <v>16517</v>
      </c>
      <c r="H1927" s="405">
        <v>778243563</v>
      </c>
      <c r="I1927" s="405"/>
      <c r="J1927" s="405">
        <v>1.3246549999999999</v>
      </c>
      <c r="K1927" s="405">
        <v>34.386279999999999</v>
      </c>
      <c r="L1927" s="405" t="s">
        <v>6866</v>
      </c>
      <c r="M1927" s="405" t="s">
        <v>9685</v>
      </c>
      <c r="N1927" s="405" t="s">
        <v>9686</v>
      </c>
      <c r="O1927" s="405" t="s">
        <v>15770</v>
      </c>
      <c r="P1927" s="405" t="s">
        <v>15771</v>
      </c>
      <c r="Q1927" s="411">
        <v>6</v>
      </c>
      <c r="R1927" s="405" t="s">
        <v>9506</v>
      </c>
      <c r="S1927" s="405" t="s">
        <v>27259</v>
      </c>
      <c r="T1927" s="405" t="s">
        <v>884</v>
      </c>
      <c r="U1927" s="405" t="s">
        <v>319</v>
      </c>
    </row>
    <row r="1928" spans="1:21" x14ac:dyDescent="0.25">
      <c r="A1928" s="405" t="s">
        <v>310</v>
      </c>
      <c r="B1928" s="405" t="s">
        <v>24939</v>
      </c>
      <c r="C1928" s="405" t="s">
        <v>327</v>
      </c>
      <c r="D1928" s="405"/>
      <c r="E1928" s="410">
        <v>43502</v>
      </c>
      <c r="F1928" s="410">
        <v>43512</v>
      </c>
      <c r="G1928" s="405" t="s">
        <v>24940</v>
      </c>
      <c r="H1928" s="405">
        <v>777244648</v>
      </c>
      <c r="I1928" s="405"/>
      <c r="J1928" s="405">
        <v>1.430177</v>
      </c>
      <c r="K1928" s="405" t="s">
        <v>24941</v>
      </c>
      <c r="L1928" s="405" t="s">
        <v>24158</v>
      </c>
      <c r="M1928" s="405" t="s">
        <v>24942</v>
      </c>
      <c r="N1928" s="405" t="s">
        <v>8736</v>
      </c>
      <c r="O1928" s="405" t="s">
        <v>24943</v>
      </c>
      <c r="P1928" s="405" t="s">
        <v>6759</v>
      </c>
      <c r="Q1928" s="411">
        <v>9</v>
      </c>
      <c r="R1928" s="405" t="s">
        <v>5665</v>
      </c>
      <c r="S1928" s="405" t="s">
        <v>27046</v>
      </c>
      <c r="T1928" s="405" t="s">
        <v>884</v>
      </c>
      <c r="U1928" s="405" t="s">
        <v>319</v>
      </c>
    </row>
    <row r="1929" spans="1:21" x14ac:dyDescent="0.25">
      <c r="A1929" s="405" t="s">
        <v>310</v>
      </c>
      <c r="B1929" s="405" t="s">
        <v>7255</v>
      </c>
      <c r="C1929" s="405" t="s">
        <v>327</v>
      </c>
      <c r="D1929" s="405"/>
      <c r="E1929" s="410">
        <v>43502</v>
      </c>
      <c r="F1929" s="410">
        <v>43522</v>
      </c>
      <c r="G1929" s="405" t="s">
        <v>7256</v>
      </c>
      <c r="H1929" s="405">
        <v>772574040</v>
      </c>
      <c r="I1929" s="405"/>
      <c r="J1929" s="405">
        <v>0.25900000000000001</v>
      </c>
      <c r="K1929" s="405">
        <v>32.2331</v>
      </c>
      <c r="L1929" s="405" t="s">
        <v>6897</v>
      </c>
      <c r="M1929" s="405" t="s">
        <v>361</v>
      </c>
      <c r="N1929" s="405" t="s">
        <v>374</v>
      </c>
      <c r="O1929" s="405" t="s">
        <v>952</v>
      </c>
      <c r="P1929" s="405" t="s">
        <v>952</v>
      </c>
      <c r="Q1929" s="411">
        <v>6</v>
      </c>
      <c r="R1929" s="405" t="s">
        <v>32101</v>
      </c>
      <c r="S1929" s="405" t="s">
        <v>27041</v>
      </c>
      <c r="T1929" s="405" t="s">
        <v>884</v>
      </c>
      <c r="U1929" s="405" t="s">
        <v>319</v>
      </c>
    </row>
    <row r="1930" spans="1:21" x14ac:dyDescent="0.25">
      <c r="A1930" s="405" t="s">
        <v>310</v>
      </c>
      <c r="B1930" s="405" t="s">
        <v>24914</v>
      </c>
      <c r="C1930" s="405" t="s">
        <v>327</v>
      </c>
      <c r="D1930" s="405"/>
      <c r="E1930" s="410">
        <v>43502</v>
      </c>
      <c r="F1930" s="410">
        <v>43502</v>
      </c>
      <c r="G1930" s="405" t="s">
        <v>24915</v>
      </c>
      <c r="H1930" s="405">
        <v>772369784</v>
      </c>
      <c r="I1930" s="405"/>
      <c r="J1930" s="405">
        <v>-0.84160000000000001</v>
      </c>
      <c r="K1930" s="405">
        <v>29.808109999999999</v>
      </c>
      <c r="L1930" s="405" t="s">
        <v>590</v>
      </c>
      <c r="M1930" s="405" t="s">
        <v>20808</v>
      </c>
      <c r="N1930" s="405" t="s">
        <v>20809</v>
      </c>
      <c r="O1930" s="405" t="s">
        <v>21489</v>
      </c>
      <c r="P1930" s="405" t="s">
        <v>24513</v>
      </c>
      <c r="Q1930" s="411">
        <v>6</v>
      </c>
      <c r="R1930" s="405" t="s">
        <v>6572</v>
      </c>
      <c r="S1930" s="405" t="s">
        <v>27264</v>
      </c>
      <c r="T1930" s="405" t="s">
        <v>884</v>
      </c>
      <c r="U1930" s="405" t="s">
        <v>319</v>
      </c>
    </row>
    <row r="1931" spans="1:21" x14ac:dyDescent="0.25">
      <c r="A1931" s="405" t="s">
        <v>310</v>
      </c>
      <c r="B1931" s="405" t="s">
        <v>24965</v>
      </c>
      <c r="C1931" s="405" t="s">
        <v>327</v>
      </c>
      <c r="D1931" s="405"/>
      <c r="E1931" s="410">
        <v>43501</v>
      </c>
      <c r="F1931" s="410">
        <v>43535</v>
      </c>
      <c r="G1931" s="405" t="s">
        <v>24966</v>
      </c>
      <c r="H1931" s="405">
        <v>789602163</v>
      </c>
      <c r="I1931" s="405"/>
      <c r="J1931" s="405">
        <v>-0.59495299999999995</v>
      </c>
      <c r="K1931" s="405">
        <v>30.614972000000002</v>
      </c>
      <c r="L1931" s="405" t="s">
        <v>590</v>
      </c>
      <c r="M1931" s="405" t="s">
        <v>19614</v>
      </c>
      <c r="N1931" s="405" t="s">
        <v>23624</v>
      </c>
      <c r="O1931" s="405" t="s">
        <v>20619</v>
      </c>
      <c r="P1931" s="405" t="s">
        <v>24967</v>
      </c>
      <c r="Q1931" s="411">
        <v>13</v>
      </c>
      <c r="R1931" s="405" t="s">
        <v>5665</v>
      </c>
      <c r="S1931" s="405" t="s">
        <v>27110</v>
      </c>
      <c r="T1931" s="405" t="s">
        <v>884</v>
      </c>
      <c r="U1931" s="405" t="s">
        <v>319</v>
      </c>
    </row>
    <row r="1932" spans="1:21" x14ac:dyDescent="0.25">
      <c r="A1932" s="405" t="s">
        <v>310</v>
      </c>
      <c r="B1932" s="405" t="s">
        <v>16521</v>
      </c>
      <c r="C1932" s="405" t="s">
        <v>327</v>
      </c>
      <c r="D1932" s="405"/>
      <c r="E1932" s="410">
        <v>43501</v>
      </c>
      <c r="F1932" s="410">
        <v>43514</v>
      </c>
      <c r="G1932" s="405" t="s">
        <v>16522</v>
      </c>
      <c r="H1932" s="405">
        <v>705734152</v>
      </c>
      <c r="I1932" s="405"/>
      <c r="J1932" s="405">
        <v>1.379775</v>
      </c>
      <c r="K1932" s="405">
        <v>34.427415000000003</v>
      </c>
      <c r="L1932" s="405" t="s">
        <v>6866</v>
      </c>
      <c r="M1932" s="405" t="s">
        <v>9685</v>
      </c>
      <c r="N1932" s="405" t="s">
        <v>9686</v>
      </c>
      <c r="O1932" s="405" t="s">
        <v>14943</v>
      </c>
      <c r="P1932" s="405" t="s">
        <v>16523</v>
      </c>
      <c r="Q1932" s="411">
        <v>6</v>
      </c>
      <c r="R1932" s="405" t="s">
        <v>9506</v>
      </c>
      <c r="S1932" s="405" t="s">
        <v>27067</v>
      </c>
      <c r="T1932" s="405" t="s">
        <v>884</v>
      </c>
      <c r="U1932" s="405" t="s">
        <v>319</v>
      </c>
    </row>
    <row r="1933" spans="1:21" x14ac:dyDescent="0.25">
      <c r="A1933" s="405" t="s">
        <v>310</v>
      </c>
      <c r="B1933" s="405" t="s">
        <v>24926</v>
      </c>
      <c r="C1933" s="405" t="s">
        <v>327</v>
      </c>
      <c r="D1933" s="405"/>
      <c r="E1933" s="410">
        <v>43501</v>
      </c>
      <c r="F1933" s="410">
        <v>43501</v>
      </c>
      <c r="G1933" s="405" t="s">
        <v>24927</v>
      </c>
      <c r="H1933" s="405">
        <v>782622394</v>
      </c>
      <c r="I1933" s="405"/>
      <c r="J1933" s="405">
        <v>-0.76816200000000001</v>
      </c>
      <c r="K1933" s="405">
        <v>29.653855</v>
      </c>
      <c r="L1933" s="405" t="s">
        <v>590</v>
      </c>
      <c r="M1933" s="405" t="s">
        <v>20808</v>
      </c>
      <c r="N1933" s="405" t="s">
        <v>23490</v>
      </c>
      <c r="O1933" s="405" t="s">
        <v>20560</v>
      </c>
      <c r="P1933" s="405" t="s">
        <v>24925</v>
      </c>
      <c r="Q1933" s="411">
        <v>6</v>
      </c>
      <c r="R1933" s="405" t="s">
        <v>6572</v>
      </c>
      <c r="S1933" s="405" t="s">
        <v>27161</v>
      </c>
      <c r="T1933" s="405" t="s">
        <v>884</v>
      </c>
      <c r="U1933" s="405" t="s">
        <v>319</v>
      </c>
    </row>
    <row r="1934" spans="1:21" x14ac:dyDescent="0.25">
      <c r="A1934" s="405" t="s">
        <v>310</v>
      </c>
      <c r="B1934" s="405" t="s">
        <v>24937</v>
      </c>
      <c r="C1934" s="405" t="s">
        <v>327</v>
      </c>
      <c r="D1934" s="405"/>
      <c r="E1934" s="410">
        <v>43500</v>
      </c>
      <c r="F1934" s="410">
        <v>43500</v>
      </c>
      <c r="G1934" s="405" t="s">
        <v>24938</v>
      </c>
      <c r="H1934" s="405">
        <v>701904920</v>
      </c>
      <c r="I1934" s="405"/>
      <c r="J1934" s="405">
        <v>-0.64978499999999995</v>
      </c>
      <c r="K1934" s="405">
        <v>30.462223000000002</v>
      </c>
      <c r="L1934" s="405" t="s">
        <v>590</v>
      </c>
      <c r="M1934" s="405" t="s">
        <v>19614</v>
      </c>
      <c r="N1934" s="405" t="s">
        <v>19654</v>
      </c>
      <c r="O1934" s="405" t="s">
        <v>20015</v>
      </c>
      <c r="P1934" s="405" t="s">
        <v>24936</v>
      </c>
      <c r="Q1934" s="411">
        <v>9</v>
      </c>
      <c r="R1934" s="405" t="s">
        <v>32166</v>
      </c>
      <c r="S1934" s="405" t="s">
        <v>27401</v>
      </c>
      <c r="T1934" s="405" t="s">
        <v>884</v>
      </c>
      <c r="U1934" s="405" t="s">
        <v>319</v>
      </c>
    </row>
    <row r="1935" spans="1:21" x14ac:dyDescent="0.25">
      <c r="A1935" s="405" t="s">
        <v>310</v>
      </c>
      <c r="B1935" s="405" t="s">
        <v>16508</v>
      </c>
      <c r="C1935" s="405" t="s">
        <v>327</v>
      </c>
      <c r="D1935" s="405"/>
      <c r="E1935" s="410">
        <v>43500</v>
      </c>
      <c r="F1935" s="410">
        <v>43514</v>
      </c>
      <c r="G1935" s="405" t="s">
        <v>16509</v>
      </c>
      <c r="H1935" s="405">
        <v>786278693</v>
      </c>
      <c r="I1935" s="405"/>
      <c r="J1935" s="405">
        <v>1.3713979999999999</v>
      </c>
      <c r="K1935" s="405">
        <v>34.422477000000001</v>
      </c>
      <c r="L1935" s="405" t="s">
        <v>6866</v>
      </c>
      <c r="M1935" s="405" t="s">
        <v>9685</v>
      </c>
      <c r="N1935" s="405" t="s">
        <v>9686</v>
      </c>
      <c r="O1935" s="405" t="s">
        <v>9687</v>
      </c>
      <c r="P1935" s="405" t="s">
        <v>16510</v>
      </c>
      <c r="Q1935" s="411">
        <v>6</v>
      </c>
      <c r="R1935" s="405" t="s">
        <v>9506</v>
      </c>
      <c r="S1935" s="405" t="s">
        <v>27074</v>
      </c>
      <c r="T1935" s="405" t="s">
        <v>884</v>
      </c>
      <c r="U1935" s="405" t="s">
        <v>319</v>
      </c>
    </row>
    <row r="1936" spans="1:21" x14ac:dyDescent="0.25">
      <c r="A1936" s="405" t="s">
        <v>310</v>
      </c>
      <c r="B1936" s="405" t="s">
        <v>16502</v>
      </c>
      <c r="C1936" s="405" t="s">
        <v>327</v>
      </c>
      <c r="D1936" s="405"/>
      <c r="E1936" s="410">
        <v>43500</v>
      </c>
      <c r="F1936" s="410">
        <v>43509</v>
      </c>
      <c r="G1936" s="405" t="s">
        <v>16503</v>
      </c>
      <c r="H1936" s="405">
        <v>781601885</v>
      </c>
      <c r="I1936" s="405"/>
      <c r="J1936" s="405">
        <v>1.353693</v>
      </c>
      <c r="K1936" s="405">
        <v>34.390667000000001</v>
      </c>
      <c r="L1936" s="405" t="s">
        <v>6866</v>
      </c>
      <c r="M1936" s="405" t="s">
        <v>9685</v>
      </c>
      <c r="N1936" s="405" t="s">
        <v>9686</v>
      </c>
      <c r="O1936" s="405" t="s">
        <v>14943</v>
      </c>
      <c r="P1936" s="405" t="s">
        <v>16504</v>
      </c>
      <c r="Q1936" s="411">
        <v>6</v>
      </c>
      <c r="R1936" s="405" t="s">
        <v>9506</v>
      </c>
      <c r="S1936" s="405" t="s">
        <v>27363</v>
      </c>
      <c r="T1936" s="405" t="s">
        <v>884</v>
      </c>
      <c r="U1936" s="405" t="s">
        <v>319</v>
      </c>
    </row>
    <row r="1937" spans="1:21" x14ac:dyDescent="0.25">
      <c r="A1937" s="405" t="s">
        <v>310</v>
      </c>
      <c r="B1937" s="405" t="s">
        <v>7556</v>
      </c>
      <c r="C1937" s="405" t="s">
        <v>327</v>
      </c>
      <c r="D1937" s="405"/>
      <c r="E1937" s="410">
        <v>43498</v>
      </c>
      <c r="F1937" s="410">
        <v>43684</v>
      </c>
      <c r="G1937" s="405" t="s">
        <v>7557</v>
      </c>
      <c r="H1937" s="405">
        <v>758113318</v>
      </c>
      <c r="I1937" s="405"/>
      <c r="J1937" s="405">
        <v>0.37173499999999998</v>
      </c>
      <c r="K1937" s="405">
        <v>32.718313999999999</v>
      </c>
      <c r="L1937" s="405" t="s">
        <v>314</v>
      </c>
      <c r="M1937" s="405" t="s">
        <v>329</v>
      </c>
      <c r="N1937" s="405" t="s">
        <v>787</v>
      </c>
      <c r="O1937" s="405" t="s">
        <v>787</v>
      </c>
      <c r="P1937" s="405" t="s">
        <v>7558</v>
      </c>
      <c r="Q1937" s="411">
        <v>13</v>
      </c>
      <c r="R1937" s="405" t="s">
        <v>5986</v>
      </c>
      <c r="S1937" s="405" t="s">
        <v>5986</v>
      </c>
      <c r="T1937" s="405" t="s">
        <v>884</v>
      </c>
      <c r="U1937" s="405" t="s">
        <v>319</v>
      </c>
    </row>
    <row r="1938" spans="1:21" x14ac:dyDescent="0.25">
      <c r="A1938" s="405" t="s">
        <v>310</v>
      </c>
      <c r="B1938" s="405" t="s">
        <v>25532</v>
      </c>
      <c r="C1938" s="405" t="s">
        <v>327</v>
      </c>
      <c r="D1938" s="405"/>
      <c r="E1938" s="410">
        <v>43498</v>
      </c>
      <c r="F1938" s="410">
        <v>43749</v>
      </c>
      <c r="G1938" s="405" t="s">
        <v>25533</v>
      </c>
      <c r="H1938" s="405">
        <v>772424491</v>
      </c>
      <c r="I1938" s="405"/>
      <c r="J1938" s="405">
        <v>0.19233330000000001</v>
      </c>
      <c r="K1938" s="405">
        <v>30.344000000000001</v>
      </c>
      <c r="L1938" s="405" t="s">
        <v>590</v>
      </c>
      <c r="M1938" s="405" t="s">
        <v>19614</v>
      </c>
      <c r="N1938" s="405" t="s">
        <v>19615</v>
      </c>
      <c r="O1938" s="405" t="s">
        <v>20112</v>
      </c>
      <c r="P1938" s="405" t="s">
        <v>25534</v>
      </c>
      <c r="Q1938" s="411">
        <v>9</v>
      </c>
      <c r="R1938" s="405" t="s">
        <v>6943</v>
      </c>
      <c r="S1938" s="405" t="s">
        <v>27435</v>
      </c>
      <c r="T1938" s="405" t="s">
        <v>884</v>
      </c>
      <c r="U1938" s="405" t="s">
        <v>319</v>
      </c>
    </row>
    <row r="1939" spans="1:21" x14ac:dyDescent="0.25">
      <c r="A1939" s="405" t="s">
        <v>310</v>
      </c>
      <c r="B1939" s="405" t="s">
        <v>16505</v>
      </c>
      <c r="C1939" s="405" t="s">
        <v>327</v>
      </c>
      <c r="D1939" s="405"/>
      <c r="E1939" s="410">
        <v>43498</v>
      </c>
      <c r="F1939" s="410">
        <v>43509</v>
      </c>
      <c r="G1939" s="405" t="s">
        <v>16506</v>
      </c>
      <c r="H1939" s="405">
        <v>755174480</v>
      </c>
      <c r="I1939" s="405"/>
      <c r="J1939" s="405">
        <v>1.320845</v>
      </c>
      <c r="K1939" s="405">
        <v>34.383220000000001</v>
      </c>
      <c r="L1939" s="405" t="s">
        <v>6866</v>
      </c>
      <c r="M1939" s="405" t="s">
        <v>9685</v>
      </c>
      <c r="N1939" s="405" t="s">
        <v>9686</v>
      </c>
      <c r="O1939" s="405" t="s">
        <v>14943</v>
      </c>
      <c r="P1939" s="405" t="s">
        <v>16507</v>
      </c>
      <c r="Q1939" s="411">
        <v>6</v>
      </c>
      <c r="R1939" s="405" t="s">
        <v>9506</v>
      </c>
      <c r="S1939" s="405" t="s">
        <v>27067</v>
      </c>
      <c r="T1939" s="405" t="s">
        <v>884</v>
      </c>
      <c r="U1939" s="405" t="s">
        <v>319</v>
      </c>
    </row>
    <row r="1940" spans="1:21" x14ac:dyDescent="0.25">
      <c r="A1940" s="405" t="s">
        <v>310</v>
      </c>
      <c r="B1940" s="405" t="s">
        <v>7257</v>
      </c>
      <c r="C1940" s="405" t="s">
        <v>327</v>
      </c>
      <c r="D1940" s="405"/>
      <c r="E1940" s="410">
        <v>43496</v>
      </c>
      <c r="F1940" s="410">
        <v>43543</v>
      </c>
      <c r="G1940" s="405" t="s">
        <v>7258</v>
      </c>
      <c r="H1940" s="405">
        <v>701900996</v>
      </c>
      <c r="I1940" s="405"/>
      <c r="J1940" s="405">
        <v>0.43935800000000003</v>
      </c>
      <c r="K1940" s="405">
        <v>32.746307999999999</v>
      </c>
      <c r="L1940" s="405" t="s">
        <v>314</v>
      </c>
      <c r="M1940" s="405" t="s">
        <v>329</v>
      </c>
      <c r="N1940" s="405" t="s">
        <v>545</v>
      </c>
      <c r="O1940" s="405" t="s">
        <v>546</v>
      </c>
      <c r="P1940" s="405" t="s">
        <v>7259</v>
      </c>
      <c r="Q1940" s="411">
        <v>13</v>
      </c>
      <c r="R1940" s="405" t="s">
        <v>6798</v>
      </c>
      <c r="S1940" s="405" t="s">
        <v>27049</v>
      </c>
      <c r="T1940" s="405" t="s">
        <v>884</v>
      </c>
      <c r="U1940" s="405" t="s">
        <v>319</v>
      </c>
    </row>
    <row r="1941" spans="1:21" x14ac:dyDescent="0.25">
      <c r="A1941" s="405" t="s">
        <v>310</v>
      </c>
      <c r="B1941" s="405" t="s">
        <v>16496</v>
      </c>
      <c r="C1941" s="405" t="s">
        <v>327</v>
      </c>
      <c r="D1941" s="405"/>
      <c r="E1941" s="410">
        <v>43496</v>
      </c>
      <c r="F1941" s="410">
        <v>43514</v>
      </c>
      <c r="G1941" s="405" t="s">
        <v>16497</v>
      </c>
      <c r="H1941" s="405">
        <v>772867904</v>
      </c>
      <c r="I1941" s="405"/>
      <c r="J1941" s="405">
        <v>1.3763069999999999</v>
      </c>
      <c r="K1941" s="405">
        <v>34.426912999999999</v>
      </c>
      <c r="L1941" s="405" t="s">
        <v>6866</v>
      </c>
      <c r="M1941" s="405" t="s">
        <v>9685</v>
      </c>
      <c r="N1941" s="405" t="s">
        <v>9686</v>
      </c>
      <c r="O1941" s="405" t="s">
        <v>14943</v>
      </c>
      <c r="P1941" s="405" t="s">
        <v>16498</v>
      </c>
      <c r="Q1941" s="411">
        <v>6</v>
      </c>
      <c r="R1941" s="405" t="s">
        <v>9506</v>
      </c>
      <c r="S1941" s="405" t="s">
        <v>27072</v>
      </c>
      <c r="T1941" s="405" t="s">
        <v>884</v>
      </c>
      <c r="U1941" s="405" t="s">
        <v>319</v>
      </c>
    </row>
    <row r="1942" spans="1:21" x14ac:dyDescent="0.25">
      <c r="A1942" s="405" t="s">
        <v>310</v>
      </c>
      <c r="B1942" s="405" t="s">
        <v>16558</v>
      </c>
      <c r="C1942" s="405" t="s">
        <v>327</v>
      </c>
      <c r="D1942" s="405"/>
      <c r="E1942" s="410">
        <v>43495</v>
      </c>
      <c r="F1942" s="410">
        <v>43536</v>
      </c>
      <c r="G1942" s="405" t="s">
        <v>16559</v>
      </c>
      <c r="H1942" s="405">
        <v>782982848</v>
      </c>
      <c r="I1942" s="405"/>
      <c r="J1942" s="405">
        <v>1.372965</v>
      </c>
      <c r="K1942" s="405">
        <v>34.003582999999999</v>
      </c>
      <c r="L1942" s="405" t="s">
        <v>6866</v>
      </c>
      <c r="M1942" s="405" t="s">
        <v>10029</v>
      </c>
      <c r="N1942" s="405" t="s">
        <v>10029</v>
      </c>
      <c r="O1942" s="405" t="s">
        <v>10545</v>
      </c>
      <c r="P1942" s="405" t="s">
        <v>16560</v>
      </c>
      <c r="Q1942" s="411">
        <v>6</v>
      </c>
      <c r="R1942" s="405" t="s">
        <v>9506</v>
      </c>
      <c r="S1942" s="405" t="s">
        <v>27335</v>
      </c>
      <c r="T1942" s="405" t="s">
        <v>32746</v>
      </c>
      <c r="U1942" s="405" t="s">
        <v>2267</v>
      </c>
    </row>
    <row r="1943" spans="1:21" x14ac:dyDescent="0.25">
      <c r="A1943" s="405" t="s">
        <v>310</v>
      </c>
      <c r="B1943" s="405" t="s">
        <v>16499</v>
      </c>
      <c r="C1943" s="405" t="s">
        <v>327</v>
      </c>
      <c r="D1943" s="405"/>
      <c r="E1943" s="410">
        <v>43495</v>
      </c>
      <c r="F1943" s="410">
        <v>43519</v>
      </c>
      <c r="G1943" s="405" t="s">
        <v>16500</v>
      </c>
      <c r="H1943" s="405">
        <v>772645455</v>
      </c>
      <c r="I1943" s="405"/>
      <c r="J1943" s="405">
        <v>-1.921902</v>
      </c>
      <c r="K1943" s="405">
        <v>33.353802999999999</v>
      </c>
      <c r="L1943" s="405" t="s">
        <v>16357</v>
      </c>
      <c r="M1943" s="405" t="s">
        <v>12153</v>
      </c>
      <c r="N1943" s="405" t="s">
        <v>10377</v>
      </c>
      <c r="O1943" s="405" t="s">
        <v>16088</v>
      </c>
      <c r="P1943" s="405" t="s">
        <v>16501</v>
      </c>
      <c r="Q1943" s="411">
        <v>6</v>
      </c>
      <c r="R1943" s="405" t="s">
        <v>5655</v>
      </c>
      <c r="S1943" s="405" t="s">
        <v>27357</v>
      </c>
      <c r="T1943" s="405" t="s">
        <v>884</v>
      </c>
      <c r="U1943" s="405" t="s">
        <v>319</v>
      </c>
    </row>
    <row r="1944" spans="1:21" x14ac:dyDescent="0.25">
      <c r="A1944" s="405" t="s">
        <v>310</v>
      </c>
      <c r="B1944" s="405" t="s">
        <v>25149</v>
      </c>
      <c r="C1944" s="405" t="s">
        <v>311</v>
      </c>
      <c r="D1944" s="405" t="s">
        <v>890</v>
      </c>
      <c r="E1944" s="410">
        <v>43494</v>
      </c>
      <c r="F1944" s="410">
        <v>43494</v>
      </c>
      <c r="G1944" s="405" t="s">
        <v>25150</v>
      </c>
      <c r="H1944" s="405">
        <v>777294260</v>
      </c>
      <c r="I1944" s="405"/>
      <c r="J1944" s="405">
        <v>-0.65878300000000001</v>
      </c>
      <c r="K1944" s="405">
        <v>30.553944999999999</v>
      </c>
      <c r="L1944" s="405" t="s">
        <v>590</v>
      </c>
      <c r="M1944" s="405" t="s">
        <v>19614</v>
      </c>
      <c r="N1944" s="405" t="s">
        <v>24904</v>
      </c>
      <c r="O1944" s="405" t="s">
        <v>19911</v>
      </c>
      <c r="P1944" s="405" t="s">
        <v>24905</v>
      </c>
      <c r="Q1944" s="411">
        <v>13</v>
      </c>
      <c r="R1944" s="405" t="s">
        <v>32166</v>
      </c>
      <c r="S1944" s="405" t="s">
        <v>27102</v>
      </c>
      <c r="T1944" s="405" t="s">
        <v>884</v>
      </c>
      <c r="U1944" s="405" t="s">
        <v>319</v>
      </c>
    </row>
    <row r="1945" spans="1:21" x14ac:dyDescent="0.25">
      <c r="A1945" s="405" t="s">
        <v>310</v>
      </c>
      <c r="B1945" s="405" t="s">
        <v>16449</v>
      </c>
      <c r="C1945" s="405" t="s">
        <v>327</v>
      </c>
      <c r="D1945" s="405"/>
      <c r="E1945" s="410">
        <v>43493</v>
      </c>
      <c r="F1945" s="410">
        <v>43496</v>
      </c>
      <c r="G1945" s="405" t="s">
        <v>16450</v>
      </c>
      <c r="H1945" s="405">
        <v>783151402</v>
      </c>
      <c r="I1945" s="405"/>
      <c r="J1945" s="405">
        <v>1.378903</v>
      </c>
      <c r="K1945" s="405">
        <v>34.418197999999997</v>
      </c>
      <c r="L1945" s="405" t="s">
        <v>6866</v>
      </c>
      <c r="M1945" s="405" t="s">
        <v>9685</v>
      </c>
      <c r="N1945" s="405" t="s">
        <v>9686</v>
      </c>
      <c r="O1945" s="405" t="s">
        <v>9687</v>
      </c>
      <c r="P1945" s="405" t="s">
        <v>16451</v>
      </c>
      <c r="Q1945" s="411">
        <v>6</v>
      </c>
      <c r="R1945" s="405" t="s">
        <v>9506</v>
      </c>
      <c r="S1945" s="405" t="s">
        <v>27306</v>
      </c>
      <c r="T1945" s="405" t="s">
        <v>884</v>
      </c>
      <c r="U1945" s="405" t="s">
        <v>319</v>
      </c>
    </row>
    <row r="1946" spans="1:21" x14ac:dyDescent="0.25">
      <c r="A1946" s="405" t="s">
        <v>310</v>
      </c>
      <c r="B1946" s="405" t="s">
        <v>16433</v>
      </c>
      <c r="C1946" s="405" t="s">
        <v>327</v>
      </c>
      <c r="D1946" s="405"/>
      <c r="E1946" s="410">
        <v>43493</v>
      </c>
      <c r="F1946" s="410">
        <v>43496</v>
      </c>
      <c r="G1946" s="405" t="s">
        <v>16434</v>
      </c>
      <c r="H1946" s="405">
        <v>752711632</v>
      </c>
      <c r="I1946" s="405"/>
      <c r="J1946" s="405">
        <v>0.78982300000000005</v>
      </c>
      <c r="K1946" s="405">
        <v>30.547923000000001</v>
      </c>
      <c r="L1946" s="405" t="s">
        <v>6866</v>
      </c>
      <c r="M1946" s="405" t="s">
        <v>9685</v>
      </c>
      <c r="N1946" s="405" t="s">
        <v>9686</v>
      </c>
      <c r="O1946" s="405" t="s">
        <v>14983</v>
      </c>
      <c r="P1946" s="405" t="s">
        <v>15982</v>
      </c>
      <c r="Q1946" s="411">
        <v>6</v>
      </c>
      <c r="R1946" s="405" t="s">
        <v>9506</v>
      </c>
      <c r="S1946" s="405" t="s">
        <v>27072</v>
      </c>
      <c r="T1946" s="405" t="s">
        <v>884</v>
      </c>
      <c r="U1946" s="405" t="s">
        <v>319</v>
      </c>
    </row>
    <row r="1947" spans="1:21" x14ac:dyDescent="0.25">
      <c r="A1947" s="405" t="s">
        <v>310</v>
      </c>
      <c r="B1947" s="405" t="s">
        <v>16443</v>
      </c>
      <c r="C1947" s="405" t="s">
        <v>327</v>
      </c>
      <c r="D1947" s="405"/>
      <c r="E1947" s="410">
        <v>43493</v>
      </c>
      <c r="F1947" s="410">
        <v>43494</v>
      </c>
      <c r="G1947" s="405" t="s">
        <v>16444</v>
      </c>
      <c r="H1947" s="405">
        <v>705216933</v>
      </c>
      <c r="I1947" s="405"/>
      <c r="J1947" s="405">
        <v>1.3832530000000001</v>
      </c>
      <c r="K1947" s="405">
        <v>34.423896999999997</v>
      </c>
      <c r="L1947" s="405" t="s">
        <v>6866</v>
      </c>
      <c r="M1947" s="405" t="s">
        <v>9685</v>
      </c>
      <c r="N1947" s="405" t="s">
        <v>9686</v>
      </c>
      <c r="O1947" s="405" t="s">
        <v>14943</v>
      </c>
      <c r="P1947" s="405" t="s">
        <v>16445</v>
      </c>
      <c r="Q1947" s="411">
        <v>6</v>
      </c>
      <c r="R1947" s="405" t="s">
        <v>9506</v>
      </c>
      <c r="S1947" s="405" t="s">
        <v>27067</v>
      </c>
      <c r="T1947" s="405" t="s">
        <v>884</v>
      </c>
      <c r="U1947" s="405" t="s">
        <v>319</v>
      </c>
    </row>
    <row r="1948" spans="1:21" x14ac:dyDescent="0.25">
      <c r="A1948" s="405" t="s">
        <v>310</v>
      </c>
      <c r="B1948" s="405" t="s">
        <v>16440</v>
      </c>
      <c r="C1948" s="405" t="s">
        <v>327</v>
      </c>
      <c r="D1948" s="405"/>
      <c r="E1948" s="410">
        <v>43492</v>
      </c>
      <c r="F1948" s="410">
        <v>43493</v>
      </c>
      <c r="G1948" s="405" t="s">
        <v>16441</v>
      </c>
      <c r="H1948" s="405">
        <v>751830287</v>
      </c>
      <c r="I1948" s="405"/>
      <c r="J1948" s="405">
        <v>1.3715580000000001</v>
      </c>
      <c r="K1948" s="405">
        <v>34.401359999999997</v>
      </c>
      <c r="L1948" s="405" t="s">
        <v>6866</v>
      </c>
      <c r="M1948" s="405" t="s">
        <v>9685</v>
      </c>
      <c r="N1948" s="405" t="s">
        <v>9686</v>
      </c>
      <c r="O1948" s="405" t="s">
        <v>9709</v>
      </c>
      <c r="P1948" s="405" t="s">
        <v>16442</v>
      </c>
      <c r="Q1948" s="411">
        <v>6</v>
      </c>
      <c r="R1948" s="405" t="s">
        <v>9506</v>
      </c>
      <c r="S1948" s="405" t="s">
        <v>27306</v>
      </c>
      <c r="T1948" s="405" t="s">
        <v>884</v>
      </c>
      <c r="U1948" s="405" t="s">
        <v>319</v>
      </c>
    </row>
    <row r="1949" spans="1:21" x14ac:dyDescent="0.25">
      <c r="A1949" s="405" t="s">
        <v>310</v>
      </c>
      <c r="B1949" s="405" t="s">
        <v>16435</v>
      </c>
      <c r="C1949" s="405" t="s">
        <v>327</v>
      </c>
      <c r="D1949" s="405"/>
      <c r="E1949" s="410">
        <v>43490</v>
      </c>
      <c r="F1949" s="410">
        <v>43492</v>
      </c>
      <c r="G1949" s="405" t="s">
        <v>16436</v>
      </c>
      <c r="H1949" s="405">
        <v>755200982</v>
      </c>
      <c r="I1949" s="405"/>
      <c r="J1949" s="405">
        <v>1.369982</v>
      </c>
      <c r="K1949" s="405">
        <v>34.394823000000002</v>
      </c>
      <c r="L1949" s="405" t="s">
        <v>6866</v>
      </c>
      <c r="M1949" s="405" t="s">
        <v>9685</v>
      </c>
      <c r="N1949" s="405" t="s">
        <v>9686</v>
      </c>
      <c r="O1949" s="405" t="s">
        <v>9709</v>
      </c>
      <c r="P1949" s="405" t="s">
        <v>16437</v>
      </c>
      <c r="Q1949" s="411">
        <v>6</v>
      </c>
      <c r="R1949" s="405" t="s">
        <v>9506</v>
      </c>
      <c r="S1949" s="405" t="s">
        <v>27363</v>
      </c>
      <c r="T1949" s="405" t="s">
        <v>884</v>
      </c>
      <c r="U1949" s="405" t="s">
        <v>319</v>
      </c>
    </row>
    <row r="1950" spans="1:21" x14ac:dyDescent="0.25">
      <c r="A1950" s="405" t="s">
        <v>310</v>
      </c>
      <c r="B1950" s="405" t="s">
        <v>16438</v>
      </c>
      <c r="C1950" s="405" t="s">
        <v>327</v>
      </c>
      <c r="D1950" s="405"/>
      <c r="E1950" s="410">
        <v>43490</v>
      </c>
      <c r="F1950" s="410">
        <v>43491</v>
      </c>
      <c r="G1950" s="405" t="s">
        <v>16439</v>
      </c>
      <c r="H1950" s="405">
        <v>705803596</v>
      </c>
      <c r="I1950" s="405"/>
      <c r="J1950" s="405">
        <v>1.370287</v>
      </c>
      <c r="K1950" s="405">
        <v>34.400202999999998</v>
      </c>
      <c r="L1950" s="405" t="s">
        <v>6866</v>
      </c>
      <c r="M1950" s="405" t="s">
        <v>9685</v>
      </c>
      <c r="N1950" s="405" t="s">
        <v>9686</v>
      </c>
      <c r="O1950" s="405" t="s">
        <v>9709</v>
      </c>
      <c r="P1950" s="405" t="s">
        <v>12362</v>
      </c>
      <c r="Q1950" s="411">
        <v>6</v>
      </c>
      <c r="R1950" s="405" t="s">
        <v>9506</v>
      </c>
      <c r="S1950" s="405" t="s">
        <v>17013</v>
      </c>
      <c r="T1950" s="405" t="s">
        <v>884</v>
      </c>
      <c r="U1950" s="405" t="s">
        <v>319</v>
      </c>
    </row>
    <row r="1951" spans="1:21" x14ac:dyDescent="0.25">
      <c r="A1951" s="405" t="s">
        <v>310</v>
      </c>
      <c r="B1951" s="405" t="s">
        <v>25176</v>
      </c>
      <c r="C1951" s="405" t="s">
        <v>311</v>
      </c>
      <c r="D1951" s="405" t="s">
        <v>1789</v>
      </c>
      <c r="E1951" s="410">
        <v>43489</v>
      </c>
      <c r="F1951" s="410">
        <v>43505</v>
      </c>
      <c r="G1951" s="405" t="s">
        <v>25177</v>
      </c>
      <c r="H1951" s="405">
        <v>781229447</v>
      </c>
      <c r="I1951" s="405"/>
      <c r="J1951" s="405">
        <v>0.55269999999999997</v>
      </c>
      <c r="K1951" s="405">
        <v>29.481110000000001</v>
      </c>
      <c r="L1951" s="405" t="s">
        <v>590</v>
      </c>
      <c r="M1951" s="405" t="s">
        <v>20808</v>
      </c>
      <c r="N1951" s="405" t="s">
        <v>20809</v>
      </c>
      <c r="O1951" s="405" t="s">
        <v>23326</v>
      </c>
      <c r="P1951" s="405" t="s">
        <v>25178</v>
      </c>
      <c r="Q1951" s="411">
        <v>9</v>
      </c>
      <c r="R1951" s="405" t="s">
        <v>6572</v>
      </c>
      <c r="S1951" s="405" t="s">
        <v>27399</v>
      </c>
      <c r="T1951" s="405" t="s">
        <v>884</v>
      </c>
      <c r="U1951" s="405" t="s">
        <v>319</v>
      </c>
    </row>
    <row r="1952" spans="1:21" x14ac:dyDescent="0.25">
      <c r="A1952" s="405" t="s">
        <v>310</v>
      </c>
      <c r="B1952" s="405" t="s">
        <v>16400</v>
      </c>
      <c r="C1952" s="405" t="s">
        <v>327</v>
      </c>
      <c r="D1952" s="405"/>
      <c r="E1952" s="410">
        <v>43489</v>
      </c>
      <c r="F1952" s="410">
        <v>43494</v>
      </c>
      <c r="G1952" s="405" t="s">
        <v>16401</v>
      </c>
      <c r="H1952" s="405">
        <v>702829939</v>
      </c>
      <c r="I1952" s="405"/>
      <c r="J1952" s="405">
        <v>1.347197</v>
      </c>
      <c r="K1952" s="405">
        <v>34.363661999999998</v>
      </c>
      <c r="L1952" s="405" t="s">
        <v>6866</v>
      </c>
      <c r="M1952" s="405" t="s">
        <v>9685</v>
      </c>
      <c r="N1952" s="405" t="s">
        <v>9686</v>
      </c>
      <c r="O1952" s="405" t="s">
        <v>9966</v>
      </c>
      <c r="P1952" s="405" t="s">
        <v>16402</v>
      </c>
      <c r="Q1952" s="411">
        <v>6</v>
      </c>
      <c r="R1952" s="405" t="s">
        <v>9506</v>
      </c>
      <c r="S1952" s="405" t="s">
        <v>27259</v>
      </c>
      <c r="T1952" s="405" t="s">
        <v>884</v>
      </c>
      <c r="U1952" s="405" t="s">
        <v>319</v>
      </c>
    </row>
    <row r="1953" spans="1:21" x14ac:dyDescent="0.25">
      <c r="A1953" s="405" t="s">
        <v>310</v>
      </c>
      <c r="B1953" s="405" t="s">
        <v>16446</v>
      </c>
      <c r="C1953" s="405" t="s">
        <v>327</v>
      </c>
      <c r="D1953" s="405"/>
      <c r="E1953" s="410">
        <v>43489</v>
      </c>
      <c r="F1953" s="410">
        <v>43489</v>
      </c>
      <c r="G1953" s="405" t="s">
        <v>16447</v>
      </c>
      <c r="H1953" s="405">
        <v>778970798</v>
      </c>
      <c r="I1953" s="405"/>
      <c r="J1953" s="405">
        <v>1.316122</v>
      </c>
      <c r="K1953" s="405">
        <v>34.390005000000002</v>
      </c>
      <c r="L1953" s="405" t="s">
        <v>6866</v>
      </c>
      <c r="M1953" s="405" t="s">
        <v>9685</v>
      </c>
      <c r="N1953" s="405" t="s">
        <v>9686</v>
      </c>
      <c r="O1953" s="405" t="s">
        <v>15836</v>
      </c>
      <c r="P1953" s="405" t="s">
        <v>16448</v>
      </c>
      <c r="Q1953" s="411">
        <v>6</v>
      </c>
      <c r="R1953" s="405" t="s">
        <v>9506</v>
      </c>
      <c r="S1953" s="405" t="s">
        <v>27067</v>
      </c>
      <c r="T1953" s="405" t="s">
        <v>884</v>
      </c>
      <c r="U1953" s="405" t="s">
        <v>319</v>
      </c>
    </row>
    <row r="1954" spans="1:21" x14ac:dyDescent="0.25">
      <c r="A1954" s="405" t="s">
        <v>310</v>
      </c>
      <c r="B1954" s="405" t="s">
        <v>16421</v>
      </c>
      <c r="C1954" s="405" t="s">
        <v>327</v>
      </c>
      <c r="D1954" s="405"/>
      <c r="E1954" s="410">
        <v>43487</v>
      </c>
      <c r="F1954" s="410">
        <v>43489</v>
      </c>
      <c r="G1954" s="405" t="s">
        <v>16422</v>
      </c>
      <c r="H1954" s="405">
        <v>705960140</v>
      </c>
      <c r="I1954" s="405"/>
      <c r="J1954" s="405">
        <v>1.353148</v>
      </c>
      <c r="K1954" s="405">
        <v>34.407941999999998</v>
      </c>
      <c r="L1954" s="405" t="s">
        <v>6866</v>
      </c>
      <c r="M1954" s="405" t="s">
        <v>9685</v>
      </c>
      <c r="N1954" s="405" t="s">
        <v>9686</v>
      </c>
      <c r="O1954" s="405" t="s">
        <v>9709</v>
      </c>
      <c r="P1954" s="405" t="s">
        <v>16423</v>
      </c>
      <c r="Q1954" s="411">
        <v>6</v>
      </c>
      <c r="R1954" s="405" t="s">
        <v>9506</v>
      </c>
      <c r="S1954" s="405" t="s">
        <v>27335</v>
      </c>
      <c r="T1954" s="405" t="s">
        <v>884</v>
      </c>
      <c r="U1954" s="405" t="s">
        <v>319</v>
      </c>
    </row>
    <row r="1955" spans="1:21" x14ac:dyDescent="0.25">
      <c r="A1955" s="405" t="s">
        <v>310</v>
      </c>
      <c r="B1955" s="405" t="s">
        <v>16424</v>
      </c>
      <c r="C1955" s="405" t="s">
        <v>327</v>
      </c>
      <c r="D1955" s="405"/>
      <c r="E1955" s="410">
        <v>43487</v>
      </c>
      <c r="F1955" s="410">
        <v>43489</v>
      </c>
      <c r="G1955" s="405" t="s">
        <v>16425</v>
      </c>
      <c r="H1955" s="405">
        <v>778393563</v>
      </c>
      <c r="I1955" s="405"/>
      <c r="J1955" s="405">
        <v>1.316292</v>
      </c>
      <c r="K1955" s="405">
        <v>34.398359999999997</v>
      </c>
      <c r="L1955" s="405" t="s">
        <v>6866</v>
      </c>
      <c r="M1955" s="405" t="s">
        <v>9685</v>
      </c>
      <c r="N1955" s="405" t="s">
        <v>9686</v>
      </c>
      <c r="O1955" s="405" t="s">
        <v>15836</v>
      </c>
      <c r="P1955" s="405" t="s">
        <v>10588</v>
      </c>
      <c r="Q1955" s="411">
        <v>6</v>
      </c>
      <c r="R1955" s="405" t="s">
        <v>9506</v>
      </c>
      <c r="S1955" s="405" t="s">
        <v>27306</v>
      </c>
      <c r="T1955" s="405" t="s">
        <v>884</v>
      </c>
      <c r="U1955" s="405" t="s">
        <v>319</v>
      </c>
    </row>
    <row r="1956" spans="1:21" x14ac:dyDescent="0.25">
      <c r="A1956" s="405" t="s">
        <v>310</v>
      </c>
      <c r="B1956" s="405" t="s">
        <v>16537</v>
      </c>
      <c r="C1956" s="405" t="s">
        <v>327</v>
      </c>
      <c r="D1956" s="405"/>
      <c r="E1956" s="410">
        <v>43487</v>
      </c>
      <c r="F1956" s="410">
        <v>43488</v>
      </c>
      <c r="G1956" s="405" t="s">
        <v>16538</v>
      </c>
      <c r="H1956" s="405">
        <v>700663621</v>
      </c>
      <c r="I1956" s="405"/>
      <c r="J1956" s="405">
        <v>1.337202</v>
      </c>
      <c r="K1956" s="405">
        <v>34.403247999999998</v>
      </c>
      <c r="L1956" s="405" t="s">
        <v>6866</v>
      </c>
      <c r="M1956" s="405" t="s">
        <v>9685</v>
      </c>
      <c r="N1956" s="405" t="s">
        <v>9686</v>
      </c>
      <c r="O1956" s="405" t="s">
        <v>14983</v>
      </c>
      <c r="P1956" s="405" t="s">
        <v>16539</v>
      </c>
      <c r="Q1956" s="411">
        <v>6</v>
      </c>
      <c r="R1956" s="405" t="s">
        <v>9506</v>
      </c>
      <c r="S1956" s="405" t="s">
        <v>27072</v>
      </c>
      <c r="T1956" s="405" t="s">
        <v>884</v>
      </c>
      <c r="U1956" s="405" t="s">
        <v>319</v>
      </c>
    </row>
    <row r="1957" spans="1:21" x14ac:dyDescent="0.25">
      <c r="A1957" s="405" t="s">
        <v>310</v>
      </c>
      <c r="B1957" s="405" t="s">
        <v>7807</v>
      </c>
      <c r="C1957" s="405" t="s">
        <v>311</v>
      </c>
      <c r="D1957" s="405" t="s">
        <v>3381</v>
      </c>
      <c r="E1957" s="410">
        <v>43486</v>
      </c>
      <c r="F1957" s="410">
        <v>43501</v>
      </c>
      <c r="G1957" s="405" t="s">
        <v>7808</v>
      </c>
      <c r="H1957" s="405">
        <v>782609966</v>
      </c>
      <c r="I1957" s="405"/>
      <c r="J1957" s="405">
        <v>-0.59793799999999997</v>
      </c>
      <c r="K1957" s="405">
        <v>30.6098</v>
      </c>
      <c r="L1957" s="405" t="s">
        <v>314</v>
      </c>
      <c r="M1957" s="405" t="s">
        <v>1805</v>
      </c>
      <c r="N1957" s="405" t="s">
        <v>5855</v>
      </c>
      <c r="O1957" s="405" t="s">
        <v>7809</v>
      </c>
      <c r="P1957" s="405" t="s">
        <v>7810</v>
      </c>
      <c r="Q1957" s="411">
        <v>9</v>
      </c>
      <c r="R1957" s="405" t="s">
        <v>32166</v>
      </c>
      <c r="S1957" s="405" t="s">
        <v>27173</v>
      </c>
      <c r="T1957" s="405" t="s">
        <v>884</v>
      </c>
      <c r="U1957" s="405" t="s">
        <v>319</v>
      </c>
    </row>
    <row r="1958" spans="1:21" x14ac:dyDescent="0.25">
      <c r="A1958" s="405" t="s">
        <v>310</v>
      </c>
      <c r="B1958" s="405" t="s">
        <v>24928</v>
      </c>
      <c r="C1958" s="405" t="s">
        <v>327</v>
      </c>
      <c r="D1958" s="405"/>
      <c r="E1958" s="410">
        <v>43486</v>
      </c>
      <c r="F1958" s="410">
        <v>43504</v>
      </c>
      <c r="G1958" s="405" t="s">
        <v>24929</v>
      </c>
      <c r="H1958" s="405">
        <v>779168400</v>
      </c>
      <c r="I1958" s="405"/>
      <c r="J1958" s="405">
        <v>-0.87922699999999998</v>
      </c>
      <c r="K1958" s="405">
        <v>29.640461999999999</v>
      </c>
      <c r="L1958" s="405" t="s">
        <v>590</v>
      </c>
      <c r="M1958" s="405" t="s">
        <v>20808</v>
      </c>
      <c r="N1958" s="405" t="s">
        <v>23555</v>
      </c>
      <c r="O1958" s="405" t="s">
        <v>24930</v>
      </c>
      <c r="P1958" s="405" t="s">
        <v>24931</v>
      </c>
      <c r="Q1958" s="411">
        <v>6</v>
      </c>
      <c r="R1958" s="405" t="s">
        <v>6572</v>
      </c>
      <c r="S1958" s="405" t="s">
        <v>27264</v>
      </c>
      <c r="T1958" s="405" t="s">
        <v>884</v>
      </c>
      <c r="U1958" s="405" t="s">
        <v>319</v>
      </c>
    </row>
    <row r="1959" spans="1:21" x14ac:dyDescent="0.25">
      <c r="A1959" s="405" t="s">
        <v>310</v>
      </c>
      <c r="B1959" s="405" t="s">
        <v>16428</v>
      </c>
      <c r="C1959" s="405" t="s">
        <v>327</v>
      </c>
      <c r="D1959" s="405"/>
      <c r="E1959" s="410">
        <v>43486</v>
      </c>
      <c r="F1959" s="410">
        <v>43487</v>
      </c>
      <c r="G1959" s="405" t="s">
        <v>16429</v>
      </c>
      <c r="H1959" s="405">
        <v>754031703</v>
      </c>
      <c r="I1959" s="405"/>
      <c r="J1959" s="405">
        <v>1.336665</v>
      </c>
      <c r="K1959" s="405">
        <v>34.404496999999999</v>
      </c>
      <c r="L1959" s="405" t="s">
        <v>6866</v>
      </c>
      <c r="M1959" s="405" t="s">
        <v>9685</v>
      </c>
      <c r="N1959" s="405" t="s">
        <v>9686</v>
      </c>
      <c r="O1959" s="405" t="s">
        <v>14983</v>
      </c>
      <c r="P1959" s="405" t="s">
        <v>15860</v>
      </c>
      <c r="Q1959" s="411">
        <v>6</v>
      </c>
      <c r="R1959" s="405" t="s">
        <v>9506</v>
      </c>
      <c r="S1959" s="405" t="s">
        <v>17013</v>
      </c>
      <c r="T1959" s="405" t="s">
        <v>32102</v>
      </c>
      <c r="U1959" s="405" t="s">
        <v>319</v>
      </c>
    </row>
    <row r="1960" spans="1:21" x14ac:dyDescent="0.25">
      <c r="A1960" s="405" t="s">
        <v>310</v>
      </c>
      <c r="B1960" s="405" t="s">
        <v>26596</v>
      </c>
      <c r="C1960" s="405" t="s">
        <v>327</v>
      </c>
      <c r="D1960" s="405"/>
      <c r="E1960" s="410">
        <v>44484</v>
      </c>
      <c r="F1960" s="410">
        <v>44492</v>
      </c>
      <c r="G1960" s="405" t="s">
        <v>26597</v>
      </c>
      <c r="H1960" s="405" t="s">
        <v>26598</v>
      </c>
      <c r="I1960" s="405" t="s">
        <v>26599</v>
      </c>
      <c r="J1960" s="405">
        <v>0.71169300000000002</v>
      </c>
      <c r="K1960" s="405">
        <v>30.380068000000001</v>
      </c>
      <c r="L1960" s="405" t="s">
        <v>590</v>
      </c>
      <c r="M1960" s="405" t="s">
        <v>20125</v>
      </c>
      <c r="N1960" s="405" t="s">
        <v>20125</v>
      </c>
      <c r="O1960" s="405" t="s">
        <v>20862</v>
      </c>
      <c r="P1960" s="405" t="s">
        <v>26600</v>
      </c>
      <c r="Q1960" s="411">
        <v>20</v>
      </c>
      <c r="R1960" s="405" t="s">
        <v>32101</v>
      </c>
      <c r="S1960" s="405" t="s">
        <v>27055</v>
      </c>
      <c r="T1960" s="405" t="s">
        <v>884</v>
      </c>
      <c r="U1960" s="405" t="s">
        <v>319</v>
      </c>
    </row>
    <row r="1961" spans="1:21" x14ac:dyDescent="0.25">
      <c r="A1961" s="405" t="s">
        <v>310</v>
      </c>
      <c r="B1961" s="405" t="s">
        <v>24932</v>
      </c>
      <c r="C1961" s="405" t="s">
        <v>327</v>
      </c>
      <c r="D1961" s="405"/>
      <c r="E1961" s="410">
        <v>43485</v>
      </c>
      <c r="F1961" s="410">
        <v>43501</v>
      </c>
      <c r="G1961" s="405" t="s">
        <v>24933</v>
      </c>
      <c r="H1961" s="405">
        <v>750124356</v>
      </c>
      <c r="I1961" s="405"/>
      <c r="J1961" s="405">
        <v>-0.78697799999999996</v>
      </c>
      <c r="K1961" s="405">
        <v>29.887551999999999</v>
      </c>
      <c r="L1961" s="405" t="s">
        <v>590</v>
      </c>
      <c r="M1961" s="405" t="s">
        <v>19619</v>
      </c>
      <c r="N1961" s="405" t="s">
        <v>19793</v>
      </c>
      <c r="O1961" s="405" t="s">
        <v>22290</v>
      </c>
      <c r="P1961" s="405" t="s">
        <v>19769</v>
      </c>
      <c r="Q1961" s="411">
        <v>9</v>
      </c>
      <c r="R1961" s="405" t="s">
        <v>6572</v>
      </c>
      <c r="S1961" s="405" t="s">
        <v>27301</v>
      </c>
      <c r="T1961" s="405" t="s">
        <v>884</v>
      </c>
      <c r="U1961" s="405" t="s">
        <v>319</v>
      </c>
    </row>
    <row r="1962" spans="1:21" x14ac:dyDescent="0.25">
      <c r="A1962" s="405" t="s">
        <v>310</v>
      </c>
      <c r="B1962" s="405" t="s">
        <v>16530</v>
      </c>
      <c r="C1962" s="405" t="s">
        <v>327</v>
      </c>
      <c r="D1962" s="405"/>
      <c r="E1962" s="410">
        <v>43485</v>
      </c>
      <c r="F1962" s="410">
        <v>43521</v>
      </c>
      <c r="G1962" s="405" t="s">
        <v>16531</v>
      </c>
      <c r="H1962" s="405">
        <v>716677637</v>
      </c>
      <c r="I1962" s="405">
        <v>753677937</v>
      </c>
      <c r="J1962" s="405">
        <v>0.98843700000000001</v>
      </c>
      <c r="K1962" s="405">
        <v>33.111421999999997</v>
      </c>
      <c r="L1962" s="405" t="s">
        <v>6866</v>
      </c>
      <c r="M1962" s="405" t="s">
        <v>3009</v>
      </c>
      <c r="N1962" s="405" t="s">
        <v>16532</v>
      </c>
      <c r="O1962" s="405" t="s">
        <v>16533</v>
      </c>
      <c r="P1962" s="405" t="s">
        <v>16529</v>
      </c>
      <c r="Q1962" s="411">
        <v>6</v>
      </c>
      <c r="R1962" s="405" t="s">
        <v>32157</v>
      </c>
      <c r="S1962" s="405" t="s">
        <v>27045</v>
      </c>
      <c r="T1962" s="405" t="s">
        <v>884</v>
      </c>
      <c r="U1962" s="405" t="s">
        <v>319</v>
      </c>
    </row>
    <row r="1963" spans="1:21" x14ac:dyDescent="0.25">
      <c r="A1963" s="405" t="s">
        <v>310</v>
      </c>
      <c r="B1963" s="405" t="s">
        <v>7243</v>
      </c>
      <c r="C1963" s="405" t="s">
        <v>327</v>
      </c>
      <c r="D1963" s="405"/>
      <c r="E1963" s="410">
        <v>43484</v>
      </c>
      <c r="F1963" s="410">
        <v>43503</v>
      </c>
      <c r="G1963" s="405" t="s">
        <v>7244</v>
      </c>
      <c r="H1963" s="405">
        <v>772702322</v>
      </c>
      <c r="I1963" s="405"/>
      <c r="J1963" s="405">
        <v>0.41325000000000001</v>
      </c>
      <c r="K1963" s="405">
        <v>32.486252</v>
      </c>
      <c r="L1963" s="405" t="s">
        <v>314</v>
      </c>
      <c r="M1963" s="405" t="s">
        <v>361</v>
      </c>
      <c r="N1963" s="405" t="s">
        <v>6538</v>
      </c>
      <c r="O1963" s="405" t="s">
        <v>361</v>
      </c>
      <c r="P1963" s="405" t="s">
        <v>7245</v>
      </c>
      <c r="Q1963" s="411">
        <v>13</v>
      </c>
      <c r="R1963" s="405" t="s">
        <v>5986</v>
      </c>
      <c r="S1963" s="405" t="s">
        <v>5986</v>
      </c>
      <c r="T1963" s="405" t="s">
        <v>884</v>
      </c>
      <c r="U1963" s="405" t="s">
        <v>319</v>
      </c>
    </row>
    <row r="1964" spans="1:21" x14ac:dyDescent="0.25">
      <c r="A1964" s="405" t="s">
        <v>310</v>
      </c>
      <c r="B1964" s="405" t="s">
        <v>24934</v>
      </c>
      <c r="C1964" s="405" t="s">
        <v>327</v>
      </c>
      <c r="D1964" s="405"/>
      <c r="E1964" s="410">
        <v>43484</v>
      </c>
      <c r="F1964" s="410">
        <v>43499</v>
      </c>
      <c r="G1964" s="405" t="s">
        <v>24935</v>
      </c>
      <c r="H1964" s="405">
        <v>772401410</v>
      </c>
      <c r="I1964" s="405">
        <v>754567619</v>
      </c>
      <c r="J1964" s="405">
        <v>-0.38540000000000002</v>
      </c>
      <c r="K1964" s="405">
        <v>30.275200000000002</v>
      </c>
      <c r="L1964" s="405" t="s">
        <v>24158</v>
      </c>
      <c r="M1964" s="405" t="s">
        <v>19614</v>
      </c>
      <c r="N1964" s="405" t="s">
        <v>19654</v>
      </c>
      <c r="O1964" s="405" t="s">
        <v>20015</v>
      </c>
      <c r="P1964" s="405" t="s">
        <v>24936</v>
      </c>
      <c r="Q1964" s="411">
        <v>9</v>
      </c>
      <c r="R1964" s="405" t="s">
        <v>32166</v>
      </c>
      <c r="S1964" s="405" t="s">
        <v>27102</v>
      </c>
      <c r="T1964" s="405" t="s">
        <v>884</v>
      </c>
      <c r="U1964" s="405" t="s">
        <v>319</v>
      </c>
    </row>
    <row r="1965" spans="1:21" x14ac:dyDescent="0.25">
      <c r="A1965" s="405" t="s">
        <v>310</v>
      </c>
      <c r="B1965" s="405" t="s">
        <v>7241</v>
      </c>
      <c r="C1965" s="405" t="s">
        <v>327</v>
      </c>
      <c r="D1965" s="405"/>
      <c r="E1965" s="410">
        <v>43484</v>
      </c>
      <c r="F1965" s="410">
        <v>43491</v>
      </c>
      <c r="G1965" s="405" t="s">
        <v>7242</v>
      </c>
      <c r="H1965" s="405">
        <v>781293558</v>
      </c>
      <c r="I1965" s="405"/>
      <c r="J1965" s="405">
        <v>0.479792</v>
      </c>
      <c r="K1965" s="405">
        <v>33.140233000000002</v>
      </c>
      <c r="L1965" s="405" t="s">
        <v>314</v>
      </c>
      <c r="M1965" s="405" t="s">
        <v>349</v>
      </c>
      <c r="N1965" s="405" t="s">
        <v>1113</v>
      </c>
      <c r="O1965" s="405" t="s">
        <v>2107</v>
      </c>
      <c r="P1965" s="405" t="s">
        <v>2363</v>
      </c>
      <c r="Q1965" s="411">
        <v>6</v>
      </c>
      <c r="R1965" s="405" t="s">
        <v>32101</v>
      </c>
      <c r="S1965" s="405" t="s">
        <v>27186</v>
      </c>
      <c r="T1965" s="405" t="s">
        <v>32102</v>
      </c>
      <c r="U1965" s="405" t="s">
        <v>319</v>
      </c>
    </row>
    <row r="1966" spans="1:21" x14ac:dyDescent="0.25">
      <c r="A1966" s="405" t="s">
        <v>310</v>
      </c>
      <c r="B1966" s="405" t="s">
        <v>16430</v>
      </c>
      <c r="C1966" s="405" t="s">
        <v>327</v>
      </c>
      <c r="D1966" s="405"/>
      <c r="E1966" s="410">
        <v>43484</v>
      </c>
      <c r="F1966" s="410">
        <v>43489</v>
      </c>
      <c r="G1966" s="405" t="s">
        <v>16431</v>
      </c>
      <c r="H1966" s="405">
        <v>771678280</v>
      </c>
      <c r="I1966" s="405"/>
      <c r="J1966" s="405">
        <v>1.31707</v>
      </c>
      <c r="K1966" s="405">
        <v>34.392907999999998</v>
      </c>
      <c r="L1966" s="405" t="s">
        <v>6866</v>
      </c>
      <c r="M1966" s="405" t="s">
        <v>9685</v>
      </c>
      <c r="N1966" s="405" t="s">
        <v>9686</v>
      </c>
      <c r="O1966" s="405" t="s">
        <v>15836</v>
      </c>
      <c r="P1966" s="405" t="s">
        <v>16432</v>
      </c>
      <c r="Q1966" s="411">
        <v>6</v>
      </c>
      <c r="R1966" s="405" t="s">
        <v>9506</v>
      </c>
      <c r="S1966" s="405" t="s">
        <v>27067</v>
      </c>
      <c r="T1966" s="405" t="s">
        <v>884</v>
      </c>
      <c r="U1966" s="405" t="s">
        <v>319</v>
      </c>
    </row>
    <row r="1967" spans="1:21" x14ac:dyDescent="0.25">
      <c r="A1967" s="405" t="s">
        <v>310</v>
      </c>
      <c r="B1967" s="405" t="s">
        <v>7253</v>
      </c>
      <c r="C1967" s="405" t="s">
        <v>327</v>
      </c>
      <c r="D1967" s="405"/>
      <c r="E1967" s="410">
        <v>43483</v>
      </c>
      <c r="F1967" s="410">
        <v>43498</v>
      </c>
      <c r="G1967" s="405" t="s">
        <v>7254</v>
      </c>
      <c r="H1967" s="405">
        <v>753457173</v>
      </c>
      <c r="I1967" s="405"/>
      <c r="J1967" s="405">
        <v>0.29901499999999998</v>
      </c>
      <c r="K1967" s="405">
        <v>30.405146999999999</v>
      </c>
      <c r="L1967" s="405" t="s">
        <v>6897</v>
      </c>
      <c r="M1967" s="405" t="s">
        <v>361</v>
      </c>
      <c r="N1967" s="405" t="s">
        <v>374</v>
      </c>
      <c r="O1967" s="405" t="s">
        <v>427</v>
      </c>
      <c r="P1967" s="405" t="s">
        <v>1029</v>
      </c>
      <c r="Q1967" s="411">
        <v>6</v>
      </c>
      <c r="R1967" s="405" t="s">
        <v>32101</v>
      </c>
      <c r="S1967" s="405" t="s">
        <v>27167</v>
      </c>
      <c r="T1967" s="405" t="s">
        <v>884</v>
      </c>
      <c r="U1967" s="405" t="s">
        <v>319</v>
      </c>
    </row>
    <row r="1968" spans="1:21" x14ac:dyDescent="0.25">
      <c r="A1968" s="405" t="s">
        <v>310</v>
      </c>
      <c r="B1968" s="405" t="s">
        <v>16419</v>
      </c>
      <c r="C1968" s="405" t="s">
        <v>327</v>
      </c>
      <c r="D1968" s="405"/>
      <c r="E1968" s="410">
        <v>43483</v>
      </c>
      <c r="F1968" s="410">
        <v>43495</v>
      </c>
      <c r="G1968" s="405" t="s">
        <v>16420</v>
      </c>
      <c r="H1968" s="405">
        <v>785650378</v>
      </c>
      <c r="I1968" s="405"/>
      <c r="J1968" s="405">
        <v>1.3836170000000001</v>
      </c>
      <c r="K1968" s="405">
        <v>34.419992999999998</v>
      </c>
      <c r="L1968" s="405" t="s">
        <v>6866</v>
      </c>
      <c r="M1968" s="405" t="s">
        <v>9685</v>
      </c>
      <c r="N1968" s="405" t="s">
        <v>9686</v>
      </c>
      <c r="O1968" s="405" t="s">
        <v>9687</v>
      </c>
      <c r="P1968" s="405" t="s">
        <v>16416</v>
      </c>
      <c r="Q1968" s="411">
        <v>6</v>
      </c>
      <c r="R1968" s="405" t="s">
        <v>9506</v>
      </c>
      <c r="S1968" s="405" t="s">
        <v>27072</v>
      </c>
      <c r="T1968" s="405" t="s">
        <v>884</v>
      </c>
      <c r="U1968" s="405" t="s">
        <v>319</v>
      </c>
    </row>
    <row r="1969" spans="1:21" x14ac:dyDescent="0.25">
      <c r="A1969" s="405" t="s">
        <v>310</v>
      </c>
      <c r="B1969" s="405" t="s">
        <v>16487</v>
      </c>
      <c r="C1969" s="405" t="s">
        <v>327</v>
      </c>
      <c r="D1969" s="405"/>
      <c r="E1969" s="410">
        <v>43483</v>
      </c>
      <c r="F1969" s="410">
        <v>43486</v>
      </c>
      <c r="G1969" s="405" t="s">
        <v>16488</v>
      </c>
      <c r="H1969" s="405">
        <v>759082766</v>
      </c>
      <c r="I1969" s="405"/>
      <c r="J1969" s="405">
        <v>1.2710779999999999</v>
      </c>
      <c r="K1969" s="405">
        <v>34.328392999999998</v>
      </c>
      <c r="L1969" s="405" t="s">
        <v>6866</v>
      </c>
      <c r="M1969" s="405" t="s">
        <v>9550</v>
      </c>
      <c r="N1969" s="405" t="s">
        <v>9638</v>
      </c>
      <c r="O1969" s="405" t="s">
        <v>14815</v>
      </c>
      <c r="P1969" s="405" t="s">
        <v>16489</v>
      </c>
      <c r="Q1969" s="411">
        <v>6</v>
      </c>
      <c r="R1969" s="405" t="s">
        <v>7224</v>
      </c>
      <c r="S1969" s="405" t="s">
        <v>27259</v>
      </c>
      <c r="T1969" s="405" t="s">
        <v>884</v>
      </c>
      <c r="U1969" s="405" t="s">
        <v>319</v>
      </c>
    </row>
    <row r="1970" spans="1:21" x14ac:dyDescent="0.25">
      <c r="A1970" s="405" t="s">
        <v>310</v>
      </c>
      <c r="B1970" s="405" t="s">
        <v>16414</v>
      </c>
      <c r="C1970" s="405" t="s">
        <v>327</v>
      </c>
      <c r="D1970" s="405"/>
      <c r="E1970" s="410">
        <v>43483</v>
      </c>
      <c r="F1970" s="410">
        <v>43484</v>
      </c>
      <c r="G1970" s="405" t="s">
        <v>16415</v>
      </c>
      <c r="H1970" s="405">
        <v>780409911</v>
      </c>
      <c r="I1970" s="405"/>
      <c r="J1970" s="405">
        <v>1.381462</v>
      </c>
      <c r="K1970" s="405">
        <v>34.419995</v>
      </c>
      <c r="L1970" s="405" t="s">
        <v>6866</v>
      </c>
      <c r="M1970" s="405" t="s">
        <v>9685</v>
      </c>
      <c r="N1970" s="405" t="s">
        <v>9686</v>
      </c>
      <c r="O1970" s="405" t="s">
        <v>9687</v>
      </c>
      <c r="P1970" s="405" t="s">
        <v>16416</v>
      </c>
      <c r="Q1970" s="411">
        <v>6</v>
      </c>
      <c r="R1970" s="405" t="s">
        <v>9506</v>
      </c>
      <c r="S1970" s="405" t="s">
        <v>17013</v>
      </c>
      <c r="T1970" s="405" t="s">
        <v>884</v>
      </c>
      <c r="U1970" s="405" t="s">
        <v>319</v>
      </c>
    </row>
    <row r="1971" spans="1:21" x14ac:dyDescent="0.25">
      <c r="A1971" s="405" t="s">
        <v>310</v>
      </c>
      <c r="B1971" s="405" t="s">
        <v>16417</v>
      </c>
      <c r="C1971" s="405" t="s">
        <v>327</v>
      </c>
      <c r="D1971" s="405"/>
      <c r="E1971" s="410">
        <v>43483</v>
      </c>
      <c r="F1971" s="410">
        <v>43484</v>
      </c>
      <c r="G1971" s="405" t="s">
        <v>16418</v>
      </c>
      <c r="H1971" s="405">
        <v>773332250</v>
      </c>
      <c r="I1971" s="405"/>
      <c r="J1971" s="405">
        <v>1.380377</v>
      </c>
      <c r="K1971" s="405">
        <v>34.417487000000001</v>
      </c>
      <c r="L1971" s="405" t="s">
        <v>6866</v>
      </c>
      <c r="M1971" s="405" t="s">
        <v>9685</v>
      </c>
      <c r="N1971" s="405" t="s">
        <v>9686</v>
      </c>
      <c r="O1971" s="405" t="s">
        <v>9687</v>
      </c>
      <c r="P1971" s="405" t="s">
        <v>16416</v>
      </c>
      <c r="Q1971" s="411">
        <v>6</v>
      </c>
      <c r="R1971" s="405" t="s">
        <v>9506</v>
      </c>
      <c r="S1971" s="405" t="s">
        <v>27306</v>
      </c>
      <c r="T1971" s="405" t="s">
        <v>884</v>
      </c>
      <c r="U1971" s="405" t="s">
        <v>319</v>
      </c>
    </row>
    <row r="1972" spans="1:21" x14ac:dyDescent="0.25">
      <c r="A1972" s="405" t="s">
        <v>310</v>
      </c>
      <c r="B1972" s="405" t="s">
        <v>7246</v>
      </c>
      <c r="C1972" s="405" t="s">
        <v>327</v>
      </c>
      <c r="D1972" s="405"/>
      <c r="E1972" s="410">
        <v>43482</v>
      </c>
      <c r="F1972" s="410">
        <v>43498</v>
      </c>
      <c r="G1972" s="405" t="s">
        <v>7247</v>
      </c>
      <c r="H1972" s="405">
        <v>772461209</v>
      </c>
      <c r="I1972" s="405"/>
      <c r="J1972" s="405">
        <v>0.78793000000000002</v>
      </c>
      <c r="K1972" s="405">
        <v>32.397914999999998</v>
      </c>
      <c r="L1972" s="405" t="s">
        <v>314</v>
      </c>
      <c r="M1972" s="405" t="s">
        <v>2297</v>
      </c>
      <c r="N1972" s="405" t="s">
        <v>7248</v>
      </c>
      <c r="O1972" s="405" t="s">
        <v>7249</v>
      </c>
      <c r="P1972" s="405" t="s">
        <v>3009</v>
      </c>
      <c r="Q1972" s="411">
        <v>9</v>
      </c>
      <c r="R1972" s="405" t="s">
        <v>414</v>
      </c>
      <c r="S1972" s="405" t="s">
        <v>414</v>
      </c>
      <c r="T1972" s="405" t="s">
        <v>884</v>
      </c>
      <c r="U1972" s="405" t="s">
        <v>319</v>
      </c>
    </row>
    <row r="1973" spans="1:21" x14ac:dyDescent="0.25">
      <c r="A1973" s="405" t="s">
        <v>310</v>
      </c>
      <c r="B1973" s="405" t="s">
        <v>16408</v>
      </c>
      <c r="C1973" s="405" t="s">
        <v>327</v>
      </c>
      <c r="D1973" s="405"/>
      <c r="E1973" s="410">
        <v>43482</v>
      </c>
      <c r="F1973" s="410">
        <v>43484</v>
      </c>
      <c r="G1973" s="405" t="s">
        <v>16409</v>
      </c>
      <c r="H1973" s="405">
        <v>704738736</v>
      </c>
      <c r="I1973" s="405"/>
      <c r="J1973" s="405">
        <v>1.3616900000000001</v>
      </c>
      <c r="K1973" s="405">
        <v>34.408442000000001</v>
      </c>
      <c r="L1973" s="405" t="s">
        <v>6866</v>
      </c>
      <c r="M1973" s="405" t="s">
        <v>9685</v>
      </c>
      <c r="N1973" s="405" t="s">
        <v>9686</v>
      </c>
      <c r="O1973" s="405" t="s">
        <v>9687</v>
      </c>
      <c r="P1973" s="405" t="s">
        <v>16410</v>
      </c>
      <c r="Q1973" s="411">
        <v>6</v>
      </c>
      <c r="R1973" s="405" t="s">
        <v>9506</v>
      </c>
      <c r="S1973" s="405" t="s">
        <v>17013</v>
      </c>
      <c r="T1973" s="405" t="s">
        <v>884</v>
      </c>
      <c r="U1973" s="405" t="s">
        <v>319</v>
      </c>
    </row>
    <row r="1974" spans="1:21" x14ac:dyDescent="0.25">
      <c r="A1974" s="405" t="s">
        <v>310</v>
      </c>
      <c r="B1974" s="405" t="s">
        <v>7239</v>
      </c>
      <c r="C1974" s="405" t="s">
        <v>327</v>
      </c>
      <c r="D1974" s="405"/>
      <c r="E1974" s="410">
        <v>43481</v>
      </c>
      <c r="F1974" s="410">
        <v>43492</v>
      </c>
      <c r="G1974" s="405" t="s">
        <v>7240</v>
      </c>
      <c r="H1974" s="405">
        <v>772403653</v>
      </c>
      <c r="I1974" s="405">
        <v>782923456</v>
      </c>
      <c r="J1974" s="405">
        <v>0.19259999999999999</v>
      </c>
      <c r="K1974" s="405">
        <v>32.496000000000002</v>
      </c>
      <c r="L1974" s="405" t="s">
        <v>6897</v>
      </c>
      <c r="M1974" s="405" t="s">
        <v>329</v>
      </c>
      <c r="N1974" s="405" t="s">
        <v>1107</v>
      </c>
      <c r="O1974" s="405" t="s">
        <v>653</v>
      </c>
      <c r="P1974" s="405" t="s">
        <v>3490</v>
      </c>
      <c r="Q1974" s="411">
        <v>9</v>
      </c>
      <c r="R1974" s="405" t="s">
        <v>32101</v>
      </c>
      <c r="S1974" s="405" t="s">
        <v>27041</v>
      </c>
      <c r="T1974" s="405" t="s">
        <v>884</v>
      </c>
      <c r="U1974" s="405" t="s">
        <v>319</v>
      </c>
    </row>
    <row r="1975" spans="1:21" x14ac:dyDescent="0.25">
      <c r="A1975" s="405" t="s">
        <v>310</v>
      </c>
      <c r="B1975" s="405" t="s">
        <v>16534</v>
      </c>
      <c r="C1975" s="405" t="s">
        <v>327</v>
      </c>
      <c r="D1975" s="405"/>
      <c r="E1975" s="410">
        <v>43479</v>
      </c>
      <c r="F1975" s="410">
        <v>43498</v>
      </c>
      <c r="G1975" s="405" t="s">
        <v>16535</v>
      </c>
      <c r="H1975" s="405">
        <v>703610811</v>
      </c>
      <c r="I1975" s="405"/>
      <c r="J1975" s="405">
        <v>1.263423</v>
      </c>
      <c r="K1975" s="405">
        <v>34.330550000000002</v>
      </c>
      <c r="L1975" s="405" t="s">
        <v>6866</v>
      </c>
      <c r="M1975" s="405" t="s">
        <v>9550</v>
      </c>
      <c r="N1975" s="405" t="s">
        <v>9638</v>
      </c>
      <c r="O1975" s="405" t="s">
        <v>14815</v>
      </c>
      <c r="P1975" s="405" t="s">
        <v>16536</v>
      </c>
      <c r="Q1975" s="411">
        <v>6</v>
      </c>
      <c r="R1975" s="405" t="s">
        <v>7224</v>
      </c>
      <c r="S1975" s="405" t="s">
        <v>27259</v>
      </c>
      <c r="T1975" s="405" t="s">
        <v>884</v>
      </c>
      <c r="U1975" s="405" t="s">
        <v>319</v>
      </c>
    </row>
    <row r="1976" spans="1:21" x14ac:dyDescent="0.25">
      <c r="A1976" s="405" t="s">
        <v>310</v>
      </c>
      <c r="B1976" s="405" t="s">
        <v>16902</v>
      </c>
      <c r="C1976" s="405" t="s">
        <v>311</v>
      </c>
      <c r="D1976" s="405" t="s">
        <v>839</v>
      </c>
      <c r="E1976" s="410">
        <v>43479</v>
      </c>
      <c r="F1976" s="410">
        <v>43481</v>
      </c>
      <c r="G1976" s="405" t="s">
        <v>16903</v>
      </c>
      <c r="H1976" s="405">
        <v>702622675</v>
      </c>
      <c r="I1976" s="405"/>
      <c r="J1976" s="405">
        <v>1.3171820000000001</v>
      </c>
      <c r="K1976" s="405">
        <v>34.346387</v>
      </c>
      <c r="L1976" s="405" t="s">
        <v>6866</v>
      </c>
      <c r="M1976" s="405" t="s">
        <v>9685</v>
      </c>
      <c r="N1976" s="405" t="s">
        <v>9686</v>
      </c>
      <c r="O1976" s="405" t="s">
        <v>14908</v>
      </c>
      <c r="P1976" s="405" t="s">
        <v>16878</v>
      </c>
      <c r="Q1976" s="411">
        <v>6</v>
      </c>
      <c r="R1976" s="405" t="s">
        <v>9506</v>
      </c>
      <c r="S1976" s="405" t="s">
        <v>27335</v>
      </c>
      <c r="T1976" s="405" t="s">
        <v>884</v>
      </c>
      <c r="U1976" s="405" t="s">
        <v>319</v>
      </c>
    </row>
    <row r="1977" spans="1:21" x14ac:dyDescent="0.25">
      <c r="A1977" s="405" t="s">
        <v>310</v>
      </c>
      <c r="B1977" s="405" t="s">
        <v>16454</v>
      </c>
      <c r="C1977" s="405" t="s">
        <v>327</v>
      </c>
      <c r="D1977" s="405"/>
      <c r="E1977" s="410">
        <v>43479</v>
      </c>
      <c r="F1977" s="410">
        <v>43481</v>
      </c>
      <c r="G1977" s="405" t="s">
        <v>16455</v>
      </c>
      <c r="H1977" s="405">
        <v>788627494</v>
      </c>
      <c r="I1977" s="405"/>
      <c r="J1977" s="405">
        <v>1.3784430000000001</v>
      </c>
      <c r="K1977" s="405">
        <v>34.418819999999997</v>
      </c>
      <c r="L1977" s="405" t="s">
        <v>6866</v>
      </c>
      <c r="M1977" s="405" t="s">
        <v>9685</v>
      </c>
      <c r="N1977" s="405" t="s">
        <v>9686</v>
      </c>
      <c r="O1977" s="405" t="s">
        <v>9687</v>
      </c>
      <c r="P1977" s="405" t="s">
        <v>16451</v>
      </c>
      <c r="Q1977" s="411">
        <v>6</v>
      </c>
      <c r="R1977" s="405" t="s">
        <v>9506</v>
      </c>
      <c r="S1977" s="405" t="s">
        <v>17013</v>
      </c>
      <c r="T1977" s="405" t="s">
        <v>884</v>
      </c>
      <c r="U1977" s="405" t="s">
        <v>319</v>
      </c>
    </row>
    <row r="1978" spans="1:21" x14ac:dyDescent="0.25">
      <c r="A1978" s="405" t="s">
        <v>310</v>
      </c>
      <c r="B1978" s="405" t="s">
        <v>16411</v>
      </c>
      <c r="C1978" s="405" t="s">
        <v>327</v>
      </c>
      <c r="D1978" s="405"/>
      <c r="E1978" s="410">
        <v>43479</v>
      </c>
      <c r="F1978" s="410">
        <v>43481</v>
      </c>
      <c r="G1978" s="405" t="s">
        <v>16412</v>
      </c>
      <c r="H1978" s="405">
        <v>706262162</v>
      </c>
      <c r="I1978" s="405"/>
      <c r="J1978" s="405">
        <v>1.35409</v>
      </c>
      <c r="K1978" s="405">
        <v>34.410665000000002</v>
      </c>
      <c r="L1978" s="405" t="s">
        <v>6866</v>
      </c>
      <c r="M1978" s="405" t="s">
        <v>9685</v>
      </c>
      <c r="N1978" s="405" t="s">
        <v>9686</v>
      </c>
      <c r="O1978" s="405" t="s">
        <v>9709</v>
      </c>
      <c r="P1978" s="405" t="s">
        <v>16413</v>
      </c>
      <c r="Q1978" s="411">
        <v>6</v>
      </c>
      <c r="R1978" s="405" t="s">
        <v>9506</v>
      </c>
      <c r="S1978" s="405" t="s">
        <v>27335</v>
      </c>
      <c r="T1978" s="405" t="s">
        <v>884</v>
      </c>
      <c r="U1978" s="405" t="s">
        <v>319</v>
      </c>
    </row>
    <row r="1979" spans="1:21" x14ac:dyDescent="0.25">
      <c r="A1979" s="405" t="s">
        <v>310</v>
      </c>
      <c r="B1979" s="405" t="s">
        <v>16406</v>
      </c>
      <c r="C1979" s="405" t="s">
        <v>327</v>
      </c>
      <c r="D1979" s="405"/>
      <c r="E1979" s="410">
        <v>43479</v>
      </c>
      <c r="F1979" s="410">
        <v>43479</v>
      </c>
      <c r="G1979" s="405" t="s">
        <v>16407</v>
      </c>
      <c r="H1979" s="405">
        <v>704625335</v>
      </c>
      <c r="I1979" s="405"/>
      <c r="J1979" s="405">
        <v>1.3573299999999999</v>
      </c>
      <c r="K1979" s="405">
        <v>34.413621999999997</v>
      </c>
      <c r="L1979" s="405" t="s">
        <v>6866</v>
      </c>
      <c r="M1979" s="405" t="s">
        <v>9685</v>
      </c>
      <c r="N1979" s="405" t="s">
        <v>9686</v>
      </c>
      <c r="O1979" s="405" t="s">
        <v>9687</v>
      </c>
      <c r="P1979" s="405" t="s">
        <v>16405</v>
      </c>
      <c r="Q1979" s="411">
        <v>6</v>
      </c>
      <c r="R1979" s="405" t="s">
        <v>9506</v>
      </c>
      <c r="S1979" s="405" t="s">
        <v>27072</v>
      </c>
      <c r="T1979" s="405" t="s">
        <v>884</v>
      </c>
      <c r="U1979" s="405" t="s">
        <v>319</v>
      </c>
    </row>
    <row r="1980" spans="1:21" x14ac:dyDescent="0.25">
      <c r="A1980" s="405" t="s">
        <v>310</v>
      </c>
      <c r="B1980" s="405" t="s">
        <v>16403</v>
      </c>
      <c r="C1980" s="405" t="s">
        <v>327</v>
      </c>
      <c r="D1980" s="405"/>
      <c r="E1980" s="410">
        <v>43478</v>
      </c>
      <c r="F1980" s="410">
        <v>43479</v>
      </c>
      <c r="G1980" s="405" t="s">
        <v>16404</v>
      </c>
      <c r="H1980" s="405">
        <v>705884867</v>
      </c>
      <c r="I1980" s="405"/>
      <c r="J1980" s="405">
        <v>1.357013</v>
      </c>
      <c r="K1980" s="405">
        <v>34.416519999999998</v>
      </c>
      <c r="L1980" s="405" t="s">
        <v>6866</v>
      </c>
      <c r="M1980" s="405" t="s">
        <v>9685</v>
      </c>
      <c r="N1980" s="405" t="s">
        <v>9686</v>
      </c>
      <c r="O1980" s="405" t="s">
        <v>9687</v>
      </c>
      <c r="P1980" s="405" t="s">
        <v>16405</v>
      </c>
      <c r="Q1980" s="411">
        <v>6</v>
      </c>
      <c r="R1980" s="405" t="s">
        <v>9506</v>
      </c>
      <c r="S1980" s="405" t="s">
        <v>27306</v>
      </c>
      <c r="T1980" s="405" t="s">
        <v>884</v>
      </c>
      <c r="U1980" s="405" t="s">
        <v>319</v>
      </c>
    </row>
    <row r="1981" spans="1:21" x14ac:dyDescent="0.25">
      <c r="A1981" s="405" t="s">
        <v>310</v>
      </c>
      <c r="B1981" s="405" t="s">
        <v>24894</v>
      </c>
      <c r="C1981" s="405" t="s">
        <v>327</v>
      </c>
      <c r="D1981" s="405"/>
      <c r="E1981" s="410">
        <v>43477</v>
      </c>
      <c r="F1981" s="410">
        <v>43486</v>
      </c>
      <c r="G1981" s="405" t="s">
        <v>24895</v>
      </c>
      <c r="H1981" s="405">
        <v>772557245</v>
      </c>
      <c r="I1981" s="405"/>
      <c r="J1981" s="405">
        <v>-0.78389699999999995</v>
      </c>
      <c r="K1981" s="405">
        <v>29.706643</v>
      </c>
      <c r="L1981" s="405" t="s">
        <v>590</v>
      </c>
      <c r="M1981" s="405" t="s">
        <v>20808</v>
      </c>
      <c r="N1981" s="405" t="s">
        <v>23490</v>
      </c>
      <c r="O1981" s="405" t="s">
        <v>24896</v>
      </c>
      <c r="P1981" s="405" t="s">
        <v>23992</v>
      </c>
      <c r="Q1981" s="411">
        <v>9</v>
      </c>
      <c r="R1981" s="405" t="s">
        <v>6572</v>
      </c>
      <c r="S1981" s="405" t="s">
        <v>27436</v>
      </c>
      <c r="T1981" s="405" t="s">
        <v>884</v>
      </c>
      <c r="U1981" s="405" t="s">
        <v>319</v>
      </c>
    </row>
    <row r="1982" spans="1:21" x14ac:dyDescent="0.25">
      <c r="A1982" s="405" t="s">
        <v>310</v>
      </c>
      <c r="B1982" s="405" t="s">
        <v>24918</v>
      </c>
      <c r="C1982" s="405" t="s">
        <v>327</v>
      </c>
      <c r="D1982" s="405"/>
      <c r="E1982" s="410">
        <v>43475</v>
      </c>
      <c r="F1982" s="410">
        <v>43498</v>
      </c>
      <c r="G1982" s="405" t="s">
        <v>24919</v>
      </c>
      <c r="H1982" s="405">
        <v>787798627</v>
      </c>
      <c r="I1982" s="405"/>
      <c r="J1982" s="405">
        <v>-0.71373200000000003</v>
      </c>
      <c r="K1982" s="405">
        <v>29.949393000000001</v>
      </c>
      <c r="L1982" s="405" t="s">
        <v>590</v>
      </c>
      <c r="M1982" s="405" t="s">
        <v>19619</v>
      </c>
      <c r="N1982" s="405" t="s">
        <v>19793</v>
      </c>
      <c r="O1982" s="405" t="s">
        <v>20033</v>
      </c>
      <c r="P1982" s="405" t="s">
        <v>21382</v>
      </c>
      <c r="Q1982" s="411">
        <v>9</v>
      </c>
      <c r="R1982" s="405" t="s">
        <v>5858</v>
      </c>
      <c r="S1982" s="405" t="s">
        <v>27098</v>
      </c>
      <c r="T1982" s="405" t="s">
        <v>884</v>
      </c>
      <c r="U1982" s="405" t="s">
        <v>319</v>
      </c>
    </row>
    <row r="1983" spans="1:21" x14ac:dyDescent="0.25">
      <c r="A1983" s="405" t="s">
        <v>310</v>
      </c>
      <c r="B1983" s="405" t="s">
        <v>16476</v>
      </c>
      <c r="C1983" s="405" t="s">
        <v>327</v>
      </c>
      <c r="D1983" s="405"/>
      <c r="E1983" s="410">
        <v>43475</v>
      </c>
      <c r="F1983" s="410">
        <v>43486</v>
      </c>
      <c r="G1983" s="405" t="s">
        <v>16477</v>
      </c>
      <c r="H1983" s="405">
        <v>701497343</v>
      </c>
      <c r="I1983" s="405"/>
      <c r="J1983" s="405">
        <v>1.2708349999999999</v>
      </c>
      <c r="K1983" s="405">
        <v>34.32358</v>
      </c>
      <c r="L1983" s="405" t="s">
        <v>6866</v>
      </c>
      <c r="M1983" s="405" t="s">
        <v>9550</v>
      </c>
      <c r="N1983" s="405" t="s">
        <v>9638</v>
      </c>
      <c r="O1983" s="405" t="s">
        <v>14815</v>
      </c>
      <c r="P1983" s="405" t="s">
        <v>16478</v>
      </c>
      <c r="Q1983" s="411">
        <v>6</v>
      </c>
      <c r="R1983" s="405" t="s">
        <v>7224</v>
      </c>
      <c r="S1983" s="405" t="s">
        <v>27259</v>
      </c>
      <c r="T1983" s="405" t="s">
        <v>884</v>
      </c>
      <c r="U1983" s="405" t="s">
        <v>319</v>
      </c>
    </row>
    <row r="1984" spans="1:21" x14ac:dyDescent="0.25">
      <c r="A1984" s="405" t="s">
        <v>310</v>
      </c>
      <c r="B1984" s="405" t="s">
        <v>24881</v>
      </c>
      <c r="C1984" s="405" t="s">
        <v>327</v>
      </c>
      <c r="D1984" s="405"/>
      <c r="E1984" s="410">
        <v>43474</v>
      </c>
      <c r="F1984" s="410">
        <v>43489</v>
      </c>
      <c r="G1984" s="405" t="s">
        <v>24882</v>
      </c>
      <c r="H1984" s="405">
        <v>772654270</v>
      </c>
      <c r="I1984" s="405" t="s">
        <v>24883</v>
      </c>
      <c r="J1984" s="405">
        <v>0.54732800000000004</v>
      </c>
      <c r="K1984" s="405">
        <v>30.709648000000001</v>
      </c>
      <c r="L1984" s="405" t="s">
        <v>590</v>
      </c>
      <c r="M1984" s="405" t="s">
        <v>19614</v>
      </c>
      <c r="N1984" s="405" t="s">
        <v>19873</v>
      </c>
      <c r="O1984" s="405" t="s">
        <v>24884</v>
      </c>
      <c r="P1984" s="405" t="s">
        <v>19733</v>
      </c>
      <c r="Q1984" s="411">
        <v>13</v>
      </c>
      <c r="R1984" s="405" t="s">
        <v>883</v>
      </c>
      <c r="S1984" s="405" t="s">
        <v>27104</v>
      </c>
      <c r="T1984" s="405" t="s">
        <v>884</v>
      </c>
      <c r="U1984" s="405" t="s">
        <v>319</v>
      </c>
    </row>
    <row r="1985" spans="1:21" x14ac:dyDescent="0.25">
      <c r="A1985" s="405" t="s">
        <v>310</v>
      </c>
      <c r="B1985" s="405" t="s">
        <v>16397</v>
      </c>
      <c r="C1985" s="405" t="s">
        <v>327</v>
      </c>
      <c r="D1985" s="405"/>
      <c r="E1985" s="410">
        <v>43474</v>
      </c>
      <c r="F1985" s="410">
        <v>43489</v>
      </c>
      <c r="G1985" s="405" t="s">
        <v>16398</v>
      </c>
      <c r="H1985" s="405">
        <v>7832221213</v>
      </c>
      <c r="I1985" s="405">
        <v>7532221213</v>
      </c>
      <c r="J1985" s="405">
        <v>1.445605</v>
      </c>
      <c r="K1985" s="405">
        <v>33.392699999999998</v>
      </c>
      <c r="L1985" s="405" t="s">
        <v>6866</v>
      </c>
      <c r="M1985" s="405" t="s">
        <v>9658</v>
      </c>
      <c r="N1985" s="405" t="s">
        <v>14138</v>
      </c>
      <c r="O1985" s="405" t="s">
        <v>14138</v>
      </c>
      <c r="P1985" s="405" t="s">
        <v>16399</v>
      </c>
      <c r="Q1985" s="411">
        <v>6</v>
      </c>
      <c r="R1985" s="405" t="s">
        <v>5655</v>
      </c>
      <c r="S1985" s="405" t="s">
        <v>27357</v>
      </c>
      <c r="T1985" s="405" t="s">
        <v>884</v>
      </c>
      <c r="U1985" s="405" t="s">
        <v>319</v>
      </c>
    </row>
    <row r="1986" spans="1:21" x14ac:dyDescent="0.25">
      <c r="A1986" s="405" t="s">
        <v>310</v>
      </c>
      <c r="B1986" s="405" t="s">
        <v>24897</v>
      </c>
      <c r="C1986" s="405" t="s">
        <v>327</v>
      </c>
      <c r="D1986" s="405"/>
      <c r="E1986" s="410">
        <v>43473</v>
      </c>
      <c r="F1986" s="410">
        <v>43484</v>
      </c>
      <c r="G1986" s="405" t="s">
        <v>24898</v>
      </c>
      <c r="H1986" s="405">
        <v>777956702</v>
      </c>
      <c r="I1986" s="405"/>
      <c r="J1986" s="405">
        <v>-0.60597299999999998</v>
      </c>
      <c r="K1986" s="405">
        <v>30.678258</v>
      </c>
      <c r="L1986" s="405" t="s">
        <v>24158</v>
      </c>
      <c r="M1986" s="405" t="s">
        <v>19614</v>
      </c>
      <c r="N1986" s="405" t="s">
        <v>19911</v>
      </c>
      <c r="O1986" s="405" t="s">
        <v>20139</v>
      </c>
      <c r="P1986" s="405" t="s">
        <v>19875</v>
      </c>
      <c r="Q1986" s="411">
        <v>9</v>
      </c>
      <c r="R1986" s="405" t="s">
        <v>32166</v>
      </c>
      <c r="S1986" s="405" t="s">
        <v>27102</v>
      </c>
      <c r="T1986" s="405" t="s">
        <v>884</v>
      </c>
      <c r="U1986" s="405" t="s">
        <v>319</v>
      </c>
    </row>
    <row r="1987" spans="1:21" x14ac:dyDescent="0.25">
      <c r="A1987" s="405" t="s">
        <v>310</v>
      </c>
      <c r="B1987" s="405" t="s">
        <v>16931</v>
      </c>
      <c r="C1987" s="405" t="s">
        <v>311</v>
      </c>
      <c r="D1987" s="405" t="s">
        <v>16932</v>
      </c>
      <c r="E1987" s="410">
        <v>43473</v>
      </c>
      <c r="F1987" s="410">
        <v>43475</v>
      </c>
      <c r="G1987" s="405" t="s">
        <v>16933</v>
      </c>
      <c r="H1987" s="405">
        <v>783949718</v>
      </c>
      <c r="I1987" s="405"/>
      <c r="J1987" s="405">
        <v>0.51492000000000004</v>
      </c>
      <c r="K1987" s="405">
        <v>33.223858999999997</v>
      </c>
      <c r="L1987" s="405" t="s">
        <v>6866</v>
      </c>
      <c r="M1987" s="405" t="s">
        <v>9590</v>
      </c>
      <c r="N1987" s="405" t="s">
        <v>9591</v>
      </c>
      <c r="O1987" s="405" t="s">
        <v>9592</v>
      </c>
      <c r="P1987" s="405" t="s">
        <v>16934</v>
      </c>
      <c r="Q1987" s="411">
        <v>6</v>
      </c>
      <c r="R1987" s="405" t="s">
        <v>6822</v>
      </c>
      <c r="S1987" s="405" t="s">
        <v>6822</v>
      </c>
      <c r="T1987" s="405" t="s">
        <v>884</v>
      </c>
      <c r="U1987" s="405" t="s">
        <v>319</v>
      </c>
    </row>
    <row r="1988" spans="1:21" x14ac:dyDescent="0.25">
      <c r="A1988" s="405" t="s">
        <v>310</v>
      </c>
      <c r="B1988" s="405" t="s">
        <v>16605</v>
      </c>
      <c r="C1988" s="405" t="s">
        <v>327</v>
      </c>
      <c r="D1988" s="405"/>
      <c r="E1988" s="410">
        <v>43470</v>
      </c>
      <c r="F1988" s="410">
        <v>43613</v>
      </c>
      <c r="G1988" s="405" t="s">
        <v>16606</v>
      </c>
      <c r="H1988" s="405">
        <v>772372816</v>
      </c>
      <c r="I1988" s="405"/>
      <c r="J1988" s="405">
        <v>-0.22770099999999999</v>
      </c>
      <c r="K1988" s="405">
        <v>31.835443999999999</v>
      </c>
      <c r="L1988" s="405" t="s">
        <v>6866</v>
      </c>
      <c r="M1988" s="405" t="s">
        <v>9534</v>
      </c>
      <c r="N1988" s="405" t="s">
        <v>10085</v>
      </c>
      <c r="O1988" s="405" t="s">
        <v>3870</v>
      </c>
      <c r="P1988" s="405" t="s">
        <v>16607</v>
      </c>
      <c r="Q1988" s="411">
        <v>6</v>
      </c>
      <c r="R1988" s="405" t="s">
        <v>7224</v>
      </c>
      <c r="S1988" s="405" t="s">
        <v>27309</v>
      </c>
      <c r="T1988" s="405" t="s">
        <v>884</v>
      </c>
      <c r="U1988" s="405" t="s">
        <v>319</v>
      </c>
    </row>
    <row r="1989" spans="1:21" x14ac:dyDescent="0.25">
      <c r="A1989" s="405" t="s">
        <v>310</v>
      </c>
      <c r="B1989" s="405" t="s">
        <v>16473</v>
      </c>
      <c r="C1989" s="405" t="s">
        <v>327</v>
      </c>
      <c r="D1989" s="405"/>
      <c r="E1989" s="410">
        <v>43470</v>
      </c>
      <c r="F1989" s="410">
        <v>43486</v>
      </c>
      <c r="G1989" s="405" t="s">
        <v>16474</v>
      </c>
      <c r="H1989" s="405">
        <v>755286125</v>
      </c>
      <c r="I1989" s="405"/>
      <c r="J1989" s="405">
        <v>1.2716019999999999</v>
      </c>
      <c r="K1989" s="405">
        <v>34.326794999999997</v>
      </c>
      <c r="L1989" s="405" t="s">
        <v>6866</v>
      </c>
      <c r="M1989" s="405" t="s">
        <v>9550</v>
      </c>
      <c r="N1989" s="405" t="s">
        <v>9638</v>
      </c>
      <c r="O1989" s="405" t="s">
        <v>14815</v>
      </c>
      <c r="P1989" s="405" t="s">
        <v>16475</v>
      </c>
      <c r="Q1989" s="411">
        <v>6</v>
      </c>
      <c r="R1989" s="405" t="s">
        <v>7224</v>
      </c>
      <c r="S1989" s="405" t="s">
        <v>27259</v>
      </c>
      <c r="T1989" s="405" t="s">
        <v>884</v>
      </c>
      <c r="U1989" s="405" t="s">
        <v>319</v>
      </c>
    </row>
    <row r="1990" spans="1:21" x14ac:dyDescent="0.25">
      <c r="A1990" s="405" t="s">
        <v>310</v>
      </c>
      <c r="B1990" s="405" t="s">
        <v>16469</v>
      </c>
      <c r="C1990" s="405" t="s">
        <v>327</v>
      </c>
      <c r="D1990" s="405"/>
      <c r="E1990" s="410">
        <v>43470</v>
      </c>
      <c r="F1990" s="410">
        <v>43486</v>
      </c>
      <c r="G1990" s="405" t="s">
        <v>16470</v>
      </c>
      <c r="H1990" s="405">
        <v>782965255</v>
      </c>
      <c r="I1990" s="405"/>
      <c r="J1990" s="405">
        <v>1.0451280000000001</v>
      </c>
      <c r="K1990" s="405">
        <v>34.180197</v>
      </c>
      <c r="L1990" s="405" t="s">
        <v>6866</v>
      </c>
      <c r="M1990" s="405" t="s">
        <v>9514</v>
      </c>
      <c r="N1990" s="405" t="s">
        <v>16012</v>
      </c>
      <c r="O1990" s="405" t="s">
        <v>16471</v>
      </c>
      <c r="P1990" s="405" t="s">
        <v>16472</v>
      </c>
      <c r="Q1990" s="411">
        <v>6</v>
      </c>
      <c r="R1990" s="405" t="s">
        <v>7224</v>
      </c>
      <c r="S1990" s="405" t="s">
        <v>27067</v>
      </c>
      <c r="T1990" s="405" t="s">
        <v>884</v>
      </c>
      <c r="U1990" s="405" t="s">
        <v>319</v>
      </c>
    </row>
    <row r="1991" spans="1:21" x14ac:dyDescent="0.25">
      <c r="A1991" s="405" t="s">
        <v>310</v>
      </c>
      <c r="B1991" s="405" t="s">
        <v>7803</v>
      </c>
      <c r="C1991" s="405" t="s">
        <v>327</v>
      </c>
      <c r="D1991" s="405"/>
      <c r="E1991" s="410">
        <v>43469</v>
      </c>
      <c r="F1991" s="410">
        <v>43480</v>
      </c>
      <c r="G1991" s="405" t="s">
        <v>7804</v>
      </c>
      <c r="H1991" s="405">
        <v>771485600</v>
      </c>
      <c r="I1991" s="405"/>
      <c r="J1991" s="405">
        <v>0.38667499999999999</v>
      </c>
      <c r="K1991" s="405">
        <v>32.755198</v>
      </c>
      <c r="L1991" s="405" t="s">
        <v>314</v>
      </c>
      <c r="M1991" s="405" t="s">
        <v>329</v>
      </c>
      <c r="N1991" s="405" t="s">
        <v>330</v>
      </c>
      <c r="O1991" s="405" t="s">
        <v>7805</v>
      </c>
      <c r="P1991" s="405" t="s">
        <v>7806</v>
      </c>
      <c r="Q1991" s="411">
        <v>9</v>
      </c>
      <c r="R1991" s="405" t="s">
        <v>4176</v>
      </c>
      <c r="S1991" s="405" t="s">
        <v>27059</v>
      </c>
      <c r="T1991" s="405" t="s">
        <v>884</v>
      </c>
      <c r="U1991" s="405" t="s">
        <v>319</v>
      </c>
    </row>
    <row r="1992" spans="1:21" x14ac:dyDescent="0.25">
      <c r="A1992" s="405" t="s">
        <v>310</v>
      </c>
      <c r="B1992" s="405" t="s">
        <v>24885</v>
      </c>
      <c r="C1992" s="405" t="s">
        <v>327</v>
      </c>
      <c r="D1992" s="405"/>
      <c r="E1992" s="410">
        <v>43469</v>
      </c>
      <c r="F1992" s="410">
        <v>43484</v>
      </c>
      <c r="G1992" s="405" t="s">
        <v>24886</v>
      </c>
      <c r="H1992" s="405">
        <v>782869616</v>
      </c>
      <c r="I1992" s="405"/>
      <c r="J1992" s="405">
        <v>-0.55685300000000004</v>
      </c>
      <c r="K1992" s="405">
        <v>30.588854999999999</v>
      </c>
      <c r="L1992" s="405" t="s">
        <v>590</v>
      </c>
      <c r="M1992" s="405" t="s">
        <v>19614</v>
      </c>
      <c r="N1992" s="405" t="s">
        <v>19615</v>
      </c>
      <c r="O1992" s="405" t="s">
        <v>20154</v>
      </c>
      <c r="P1992" s="405" t="s">
        <v>24887</v>
      </c>
      <c r="Q1992" s="411">
        <v>6</v>
      </c>
      <c r="R1992" s="405" t="s">
        <v>5858</v>
      </c>
      <c r="S1992" s="405" t="s">
        <v>27098</v>
      </c>
      <c r="T1992" s="405" t="s">
        <v>32102</v>
      </c>
      <c r="U1992" s="405" t="s">
        <v>319</v>
      </c>
    </row>
    <row r="1993" spans="1:21" x14ac:dyDescent="0.25">
      <c r="A1993" s="405" t="s">
        <v>310</v>
      </c>
      <c r="B1993" s="405" t="s">
        <v>7209</v>
      </c>
      <c r="C1993" s="405" t="s">
        <v>327</v>
      </c>
      <c r="D1993" s="405"/>
      <c r="E1993" s="410">
        <v>43469</v>
      </c>
      <c r="F1993" s="410">
        <v>43469</v>
      </c>
      <c r="G1993" s="405" t="s">
        <v>7210</v>
      </c>
      <c r="H1993" s="405">
        <v>775262286</v>
      </c>
      <c r="I1993" s="405"/>
      <c r="J1993" s="405">
        <v>-0.23093</v>
      </c>
      <c r="K1993" s="405">
        <v>31.727557000000001</v>
      </c>
      <c r="L1993" s="405" t="s">
        <v>314</v>
      </c>
      <c r="M1993" s="405" t="s">
        <v>382</v>
      </c>
      <c r="N1993" s="405" t="s">
        <v>900</v>
      </c>
      <c r="O1993" s="405" t="s">
        <v>900</v>
      </c>
      <c r="P1993" s="405" t="s">
        <v>1184</v>
      </c>
      <c r="Q1993" s="411">
        <v>6</v>
      </c>
      <c r="R1993" s="405" t="s">
        <v>7211</v>
      </c>
      <c r="S1993" s="405" t="s">
        <v>6918</v>
      </c>
      <c r="T1993" s="405" t="s">
        <v>884</v>
      </c>
      <c r="U1993" s="405" t="s">
        <v>319</v>
      </c>
    </row>
    <row r="1994" spans="1:21" x14ac:dyDescent="0.25">
      <c r="A1994" s="405" t="s">
        <v>310</v>
      </c>
      <c r="B1994" s="405" t="s">
        <v>24869</v>
      </c>
      <c r="C1994" s="405" t="s">
        <v>327</v>
      </c>
      <c r="D1994" s="405"/>
      <c r="E1994" s="410">
        <v>43468</v>
      </c>
      <c r="F1994" s="410">
        <v>43493</v>
      </c>
      <c r="G1994" s="405" t="s">
        <v>24870</v>
      </c>
      <c r="H1994" s="405">
        <v>782789838</v>
      </c>
      <c r="I1994" s="405"/>
      <c r="J1994" s="405">
        <v>0.78982300000000005</v>
      </c>
      <c r="K1994" s="405">
        <v>30.547923000000001</v>
      </c>
      <c r="L1994" s="405" t="s">
        <v>24158</v>
      </c>
      <c r="M1994" s="405" t="s">
        <v>20426</v>
      </c>
      <c r="N1994" s="405" t="s">
        <v>24871</v>
      </c>
      <c r="O1994" s="405" t="s">
        <v>24872</v>
      </c>
      <c r="P1994" s="405" t="s">
        <v>24873</v>
      </c>
      <c r="Q1994" s="411">
        <v>9</v>
      </c>
      <c r="R1994" s="405" t="s">
        <v>5858</v>
      </c>
      <c r="S1994" s="405" t="s">
        <v>27065</v>
      </c>
      <c r="T1994" s="405" t="s">
        <v>884</v>
      </c>
      <c r="U1994" s="405" t="s">
        <v>319</v>
      </c>
    </row>
    <row r="1995" spans="1:21" x14ac:dyDescent="0.25">
      <c r="A1995" s="405" t="s">
        <v>310</v>
      </c>
      <c r="B1995" s="405" t="s">
        <v>7250</v>
      </c>
      <c r="C1995" s="405" t="s">
        <v>327</v>
      </c>
      <c r="D1995" s="405"/>
      <c r="E1995" s="410">
        <v>43468</v>
      </c>
      <c r="F1995" s="410">
        <v>43506</v>
      </c>
      <c r="G1995" s="405" t="s">
        <v>7251</v>
      </c>
      <c r="H1995" s="405">
        <v>701177387</v>
      </c>
      <c r="I1995" s="405">
        <v>776177387</v>
      </c>
      <c r="J1995" s="405">
        <v>0.2326</v>
      </c>
      <c r="K1995" s="405">
        <v>32.314599999999999</v>
      </c>
      <c r="L1995" s="405" t="s">
        <v>314</v>
      </c>
      <c r="M1995" s="405" t="s">
        <v>361</v>
      </c>
      <c r="N1995" s="405" t="s">
        <v>6178</v>
      </c>
      <c r="O1995" s="405" t="s">
        <v>7050</v>
      </c>
      <c r="P1995" s="405" t="s">
        <v>7252</v>
      </c>
      <c r="Q1995" s="411">
        <v>6</v>
      </c>
      <c r="R1995" s="405" t="s">
        <v>414</v>
      </c>
      <c r="S1995" s="405" t="s">
        <v>414</v>
      </c>
      <c r="T1995" s="405" t="s">
        <v>884</v>
      </c>
      <c r="U1995" s="405" t="s">
        <v>319</v>
      </c>
    </row>
    <row r="1996" spans="1:21" x14ac:dyDescent="0.25">
      <c r="A1996" s="405" t="s">
        <v>310</v>
      </c>
      <c r="B1996" s="405" t="s">
        <v>7379</v>
      </c>
      <c r="C1996" s="405" t="s">
        <v>327</v>
      </c>
      <c r="D1996" s="405"/>
      <c r="E1996" s="410">
        <v>43467</v>
      </c>
      <c r="F1996" s="410">
        <v>43589</v>
      </c>
      <c r="G1996" s="405" t="s">
        <v>7380</v>
      </c>
      <c r="H1996" s="405">
        <v>756751100</v>
      </c>
      <c r="I1996" s="405"/>
      <c r="J1996" s="405">
        <v>0.62207999999999997</v>
      </c>
      <c r="K1996" s="405">
        <v>32.532533000000001</v>
      </c>
      <c r="L1996" s="405" t="s">
        <v>314</v>
      </c>
      <c r="M1996" s="405" t="s">
        <v>959</v>
      </c>
      <c r="N1996" s="405" t="s">
        <v>3982</v>
      </c>
      <c r="O1996" s="405" t="s">
        <v>3983</v>
      </c>
      <c r="P1996" s="405" t="s">
        <v>7381</v>
      </c>
      <c r="Q1996" s="411">
        <v>13</v>
      </c>
      <c r="R1996" s="405" t="s">
        <v>5665</v>
      </c>
      <c r="S1996" s="405" t="s">
        <v>27110</v>
      </c>
      <c r="T1996" s="405" t="s">
        <v>884</v>
      </c>
      <c r="U1996" s="405" t="s">
        <v>319</v>
      </c>
    </row>
    <row r="1997" spans="1:21" x14ac:dyDescent="0.25">
      <c r="A1997" s="405" t="s">
        <v>310</v>
      </c>
      <c r="B1997" s="405" t="s">
        <v>24906</v>
      </c>
      <c r="C1997" s="405" t="s">
        <v>327</v>
      </c>
      <c r="D1997" s="405"/>
      <c r="E1997" s="410">
        <v>43467</v>
      </c>
      <c r="F1997" s="410">
        <v>43482</v>
      </c>
      <c r="G1997" s="405" t="s">
        <v>24907</v>
      </c>
      <c r="H1997" s="405">
        <v>772322512</v>
      </c>
      <c r="I1997" s="405"/>
      <c r="J1997" s="405">
        <v>0.103197</v>
      </c>
      <c r="K1997" s="405">
        <v>31.492428</v>
      </c>
      <c r="L1997" s="405" t="s">
        <v>590</v>
      </c>
      <c r="M1997" s="405" t="s">
        <v>19725</v>
      </c>
      <c r="N1997" s="405" t="s">
        <v>19725</v>
      </c>
      <c r="O1997" s="405" t="s">
        <v>19992</v>
      </c>
      <c r="P1997" s="405" t="s">
        <v>24908</v>
      </c>
      <c r="Q1997" s="411">
        <v>9</v>
      </c>
      <c r="R1997" s="405" t="s">
        <v>883</v>
      </c>
      <c r="S1997" s="405" t="s">
        <v>27065</v>
      </c>
      <c r="T1997" s="405" t="s">
        <v>884</v>
      </c>
      <c r="U1997" s="405" t="s">
        <v>319</v>
      </c>
    </row>
    <row r="1998" spans="1:21" x14ac:dyDescent="0.25">
      <c r="A1998" s="405" t="s">
        <v>310</v>
      </c>
      <c r="B1998" s="405" t="s">
        <v>9830</v>
      </c>
      <c r="C1998" s="405" t="s">
        <v>311</v>
      </c>
      <c r="D1998" s="405" t="s">
        <v>9825</v>
      </c>
      <c r="E1998" s="410">
        <v>44487</v>
      </c>
      <c r="F1998" s="410">
        <v>44499</v>
      </c>
      <c r="G1998" s="405" t="s">
        <v>9831</v>
      </c>
      <c r="H1998" s="405" t="s">
        <v>9827</v>
      </c>
      <c r="I1998" s="405" t="s">
        <v>9828</v>
      </c>
      <c r="J1998" s="405">
        <v>-0.75642799999999999</v>
      </c>
      <c r="K1998" s="405">
        <v>31.561302999999999</v>
      </c>
      <c r="L1998" s="405" t="s">
        <v>314</v>
      </c>
      <c r="M1998" s="405" t="s">
        <v>399</v>
      </c>
      <c r="N1998" s="405" t="s">
        <v>2493</v>
      </c>
      <c r="O1998" s="405" t="s">
        <v>1225</v>
      </c>
      <c r="P1998" s="405" t="s">
        <v>9832</v>
      </c>
      <c r="Q1998" s="411">
        <v>75</v>
      </c>
      <c r="R1998" s="405" t="s">
        <v>32101</v>
      </c>
      <c r="S1998" s="405" t="s">
        <v>27243</v>
      </c>
      <c r="T1998" s="405" t="s">
        <v>884</v>
      </c>
      <c r="U1998" s="405" t="s">
        <v>319</v>
      </c>
    </row>
    <row r="1999" spans="1:21" x14ac:dyDescent="0.25">
      <c r="A1999" s="405" t="s">
        <v>310</v>
      </c>
      <c r="B1999" s="405" t="s">
        <v>28466</v>
      </c>
      <c r="C1999" s="405" t="s">
        <v>327</v>
      </c>
      <c r="D1999" s="405"/>
      <c r="E1999" s="410">
        <v>43464</v>
      </c>
      <c r="F1999" s="410">
        <v>43479</v>
      </c>
      <c r="G1999" s="405" t="s">
        <v>24903</v>
      </c>
      <c r="H1999" s="405">
        <v>777294260</v>
      </c>
      <c r="I1999" s="405"/>
      <c r="J1999" s="405">
        <v>0.65878300000000001</v>
      </c>
      <c r="K1999" s="405">
        <v>30.553944999999999</v>
      </c>
      <c r="L1999" s="405" t="s">
        <v>590</v>
      </c>
      <c r="M1999" s="405" t="s">
        <v>19614</v>
      </c>
      <c r="N1999" s="405" t="s">
        <v>24904</v>
      </c>
      <c r="O1999" s="405" t="s">
        <v>19911</v>
      </c>
      <c r="P1999" s="405" t="s">
        <v>24905</v>
      </c>
      <c r="Q1999" s="411">
        <v>13</v>
      </c>
      <c r="R1999" s="405" t="s">
        <v>32166</v>
      </c>
      <c r="S1999" s="405" t="s">
        <v>27132</v>
      </c>
      <c r="T1999" s="405" t="s">
        <v>884</v>
      </c>
      <c r="U1999" s="405" t="s">
        <v>319</v>
      </c>
    </row>
    <row r="2000" spans="1:21" x14ac:dyDescent="0.25">
      <c r="A2000" s="405" t="s">
        <v>310</v>
      </c>
      <c r="B2000" s="405" t="s">
        <v>27560</v>
      </c>
      <c r="C2000" s="405" t="s">
        <v>327</v>
      </c>
      <c r="D2000" s="405"/>
      <c r="E2000" s="410">
        <v>43464</v>
      </c>
      <c r="F2000" s="410">
        <v>43471</v>
      </c>
      <c r="G2000" s="405" t="s">
        <v>7213</v>
      </c>
      <c r="H2000" s="405">
        <v>772602514</v>
      </c>
      <c r="I2000" s="405"/>
      <c r="J2000" s="405">
        <v>0.704403</v>
      </c>
      <c r="K2000" s="405">
        <v>32.747858000000001</v>
      </c>
      <c r="L2000" s="405" t="s">
        <v>314</v>
      </c>
      <c r="M2000" s="405" t="s">
        <v>959</v>
      </c>
      <c r="N2000" s="405" t="s">
        <v>960</v>
      </c>
      <c r="O2000" s="405" t="s">
        <v>2921</v>
      </c>
      <c r="P2000" s="405" t="s">
        <v>7214</v>
      </c>
      <c r="Q2000" s="411">
        <v>13</v>
      </c>
      <c r="R2000" s="405" t="s">
        <v>32101</v>
      </c>
      <c r="S2000" s="405" t="s">
        <v>27268</v>
      </c>
      <c r="T2000" s="405" t="s">
        <v>32102</v>
      </c>
      <c r="U2000" s="405" t="s">
        <v>319</v>
      </c>
    </row>
    <row r="2001" spans="1:21" x14ac:dyDescent="0.25">
      <c r="A2001" s="405" t="s">
        <v>310</v>
      </c>
      <c r="B2001" s="405" t="s">
        <v>24901</v>
      </c>
      <c r="C2001" s="405" t="s">
        <v>327</v>
      </c>
      <c r="D2001" s="405"/>
      <c r="E2001" s="410">
        <v>43464</v>
      </c>
      <c r="F2001" s="410">
        <v>43479</v>
      </c>
      <c r="G2001" s="405" t="s">
        <v>24902</v>
      </c>
      <c r="H2001" s="405">
        <v>782905438</v>
      </c>
      <c r="I2001" s="405"/>
      <c r="J2001" s="405">
        <v>0.56896100000000005</v>
      </c>
      <c r="K2001" s="405">
        <v>30.188154999999998</v>
      </c>
      <c r="L2001" s="405" t="s">
        <v>24158</v>
      </c>
      <c r="M2001" s="405" t="s">
        <v>20757</v>
      </c>
      <c r="N2001" s="405" t="s">
        <v>20757</v>
      </c>
      <c r="O2001" s="405" t="s">
        <v>21497</v>
      </c>
      <c r="P2001" s="405" t="s">
        <v>21497</v>
      </c>
      <c r="Q2001" s="411">
        <v>9</v>
      </c>
      <c r="R2001" s="405" t="s">
        <v>32166</v>
      </c>
      <c r="S2001" s="405" t="s">
        <v>27172</v>
      </c>
      <c r="T2001" s="405" t="s">
        <v>884</v>
      </c>
      <c r="U2001" s="405" t="s">
        <v>319</v>
      </c>
    </row>
    <row r="2002" spans="1:21" x14ac:dyDescent="0.25">
      <c r="A2002" s="405" t="s">
        <v>310</v>
      </c>
      <c r="B2002" s="405" t="s">
        <v>16490</v>
      </c>
      <c r="C2002" s="405" t="s">
        <v>327</v>
      </c>
      <c r="D2002" s="405"/>
      <c r="E2002" s="410">
        <v>43464</v>
      </c>
      <c r="F2002" s="410">
        <v>43478</v>
      </c>
      <c r="G2002" s="405" t="s">
        <v>16491</v>
      </c>
      <c r="H2002" s="405">
        <v>777537389</v>
      </c>
      <c r="I2002" s="405"/>
      <c r="J2002" s="405">
        <v>0.59371499999999999</v>
      </c>
      <c r="K2002" s="405">
        <v>33.450090000000003</v>
      </c>
      <c r="L2002" s="405" t="s">
        <v>6866</v>
      </c>
      <c r="M2002" s="405" t="s">
        <v>9590</v>
      </c>
      <c r="N2002" s="405" t="s">
        <v>11650</v>
      </c>
      <c r="O2002" s="405" t="s">
        <v>12832</v>
      </c>
      <c r="P2002" s="405" t="s">
        <v>16492</v>
      </c>
      <c r="Q2002" s="411">
        <v>9</v>
      </c>
      <c r="R2002" s="405" t="s">
        <v>6822</v>
      </c>
      <c r="S2002" s="405" t="s">
        <v>27054</v>
      </c>
      <c r="T2002" s="405" t="s">
        <v>884</v>
      </c>
      <c r="U2002" s="405" t="s">
        <v>319</v>
      </c>
    </row>
    <row r="2003" spans="1:21" x14ac:dyDescent="0.25">
      <c r="A2003" s="405" t="s">
        <v>310</v>
      </c>
      <c r="B2003" s="405" t="s">
        <v>27514</v>
      </c>
      <c r="C2003" s="405" t="s">
        <v>327</v>
      </c>
      <c r="D2003" s="405"/>
      <c r="E2003" s="410">
        <v>43463</v>
      </c>
      <c r="F2003" s="410">
        <v>43471</v>
      </c>
      <c r="G2003" s="405" t="s">
        <v>7212</v>
      </c>
      <c r="H2003" s="405">
        <v>772631867</v>
      </c>
      <c r="I2003" s="405"/>
      <c r="J2003" s="405">
        <v>0.653837</v>
      </c>
      <c r="K2003" s="405">
        <v>31.365819999999999</v>
      </c>
      <c r="L2003" s="405" t="s">
        <v>314</v>
      </c>
      <c r="M2003" s="405" t="s">
        <v>445</v>
      </c>
      <c r="N2003" s="405" t="s">
        <v>445</v>
      </c>
      <c r="O2003" s="405" t="s">
        <v>2953</v>
      </c>
      <c r="P2003" s="405" t="s">
        <v>1918</v>
      </c>
      <c r="Q2003" s="411">
        <v>13</v>
      </c>
      <c r="R2003" s="405" t="s">
        <v>32101</v>
      </c>
      <c r="S2003" s="405" t="s">
        <v>27193</v>
      </c>
      <c r="T2003" s="405" t="s">
        <v>884</v>
      </c>
      <c r="U2003" s="405" t="s">
        <v>319</v>
      </c>
    </row>
    <row r="2004" spans="1:21" x14ac:dyDescent="0.25">
      <c r="A2004" s="405" t="s">
        <v>310</v>
      </c>
      <c r="B2004" s="405" t="s">
        <v>16527</v>
      </c>
      <c r="C2004" s="405" t="s">
        <v>327</v>
      </c>
      <c r="D2004" s="405"/>
      <c r="E2004" s="410">
        <v>43463</v>
      </c>
      <c r="F2004" s="410">
        <v>43508</v>
      </c>
      <c r="G2004" s="405" t="s">
        <v>16528</v>
      </c>
      <c r="H2004" s="405">
        <v>753677637</v>
      </c>
      <c r="I2004" s="405"/>
      <c r="J2004" s="405">
        <v>0.98174300000000003</v>
      </c>
      <c r="K2004" s="405">
        <v>33.114755000000002</v>
      </c>
      <c r="L2004" s="405" t="s">
        <v>6866</v>
      </c>
      <c r="M2004" s="405" t="s">
        <v>3009</v>
      </c>
      <c r="N2004" s="405" t="s">
        <v>15915</v>
      </c>
      <c r="O2004" s="405" t="s">
        <v>9613</v>
      </c>
      <c r="P2004" s="405" t="s">
        <v>16529</v>
      </c>
      <c r="Q2004" s="411">
        <v>6</v>
      </c>
      <c r="R2004" s="405" t="s">
        <v>32157</v>
      </c>
      <c r="S2004" s="405" t="s">
        <v>27045</v>
      </c>
      <c r="T2004" s="405" t="s">
        <v>884</v>
      </c>
      <c r="U2004" s="405" t="s">
        <v>319</v>
      </c>
    </row>
    <row r="2005" spans="1:21" x14ac:dyDescent="0.25">
      <c r="A2005" s="405" t="s">
        <v>310</v>
      </c>
      <c r="B2005" s="405" t="s">
        <v>28022</v>
      </c>
      <c r="C2005" s="405" t="s">
        <v>327</v>
      </c>
      <c r="D2005" s="405"/>
      <c r="E2005" s="410">
        <v>43463</v>
      </c>
      <c r="F2005" s="410">
        <v>43471</v>
      </c>
      <c r="G2005" s="405" t="s">
        <v>7215</v>
      </c>
      <c r="H2005" s="405">
        <v>755084835</v>
      </c>
      <c r="I2005" s="405"/>
      <c r="J2005" s="405">
        <v>-0.33163799999999999</v>
      </c>
      <c r="K2005" s="405">
        <v>31.656372999999999</v>
      </c>
      <c r="L2005" s="405" t="s">
        <v>314</v>
      </c>
      <c r="M2005" s="405" t="s">
        <v>1189</v>
      </c>
      <c r="N2005" s="405" t="s">
        <v>1189</v>
      </c>
      <c r="O2005" s="405" t="s">
        <v>1190</v>
      </c>
      <c r="P2005" s="405" t="s">
        <v>2822</v>
      </c>
      <c r="Q2005" s="411">
        <v>6</v>
      </c>
      <c r="R2005" s="405" t="s">
        <v>32101</v>
      </c>
      <c r="S2005" s="405" t="s">
        <v>27041</v>
      </c>
      <c r="T2005" s="405" t="s">
        <v>32102</v>
      </c>
      <c r="U2005" s="405" t="s">
        <v>319</v>
      </c>
    </row>
    <row r="2006" spans="1:21" x14ac:dyDescent="0.25">
      <c r="A2006" s="405" t="s">
        <v>310</v>
      </c>
      <c r="B2006" s="405" t="s">
        <v>24815</v>
      </c>
      <c r="C2006" s="405" t="s">
        <v>327</v>
      </c>
      <c r="D2006" s="405"/>
      <c r="E2006" s="410">
        <v>43456</v>
      </c>
      <c r="F2006" s="410">
        <v>43463</v>
      </c>
      <c r="G2006" s="405" t="s">
        <v>24816</v>
      </c>
      <c r="H2006" s="405">
        <v>772500282</v>
      </c>
      <c r="I2006" s="405"/>
      <c r="J2006" s="405">
        <v>-0.64934800000000004</v>
      </c>
      <c r="K2006" s="405">
        <v>30.670870000000001</v>
      </c>
      <c r="L2006" s="405" t="s">
        <v>590</v>
      </c>
      <c r="M2006" s="405" t="s">
        <v>879</v>
      </c>
      <c r="N2006" s="405" t="s">
        <v>880</v>
      </c>
      <c r="O2006" s="405" t="s">
        <v>20737</v>
      </c>
      <c r="P2006" s="405" t="s">
        <v>2312</v>
      </c>
      <c r="Q2006" s="411">
        <v>13</v>
      </c>
      <c r="R2006" s="405" t="s">
        <v>6572</v>
      </c>
      <c r="S2006" s="405" t="s">
        <v>27301</v>
      </c>
      <c r="T2006" s="405" t="s">
        <v>884</v>
      </c>
      <c r="U2006" s="405" t="s">
        <v>319</v>
      </c>
    </row>
    <row r="2007" spans="1:21" x14ac:dyDescent="0.25">
      <c r="A2007" s="405" t="s">
        <v>310</v>
      </c>
      <c r="B2007" s="405" t="s">
        <v>24890</v>
      </c>
      <c r="C2007" s="405" t="s">
        <v>327</v>
      </c>
      <c r="D2007" s="405"/>
      <c r="E2007" s="410">
        <v>43456</v>
      </c>
      <c r="F2007" s="410">
        <v>43471</v>
      </c>
      <c r="G2007" s="405" t="s">
        <v>24891</v>
      </c>
      <c r="H2007" s="405">
        <v>772557927</v>
      </c>
      <c r="I2007" s="405"/>
      <c r="J2007" s="405">
        <v>-0.45100000000000001</v>
      </c>
      <c r="K2007" s="405">
        <v>29.4133</v>
      </c>
      <c r="L2007" s="405" t="s">
        <v>24158</v>
      </c>
      <c r="M2007" s="405" t="s">
        <v>20808</v>
      </c>
      <c r="N2007" s="405" t="s">
        <v>23490</v>
      </c>
      <c r="O2007" s="405" t="s">
        <v>24892</v>
      </c>
      <c r="P2007" s="405" t="s">
        <v>24893</v>
      </c>
      <c r="Q2007" s="411">
        <v>9</v>
      </c>
      <c r="R2007" s="405" t="s">
        <v>6572</v>
      </c>
      <c r="S2007" s="405" t="s">
        <v>27434</v>
      </c>
      <c r="T2007" s="405" t="s">
        <v>884</v>
      </c>
      <c r="U2007" s="405" t="s">
        <v>319</v>
      </c>
    </row>
    <row r="2008" spans="1:21" x14ac:dyDescent="0.25">
      <c r="A2008" s="405" t="s">
        <v>310</v>
      </c>
      <c r="B2008" s="405" t="s">
        <v>24877</v>
      </c>
      <c r="C2008" s="405" t="s">
        <v>327</v>
      </c>
      <c r="D2008" s="405"/>
      <c r="E2008" s="410">
        <v>43456</v>
      </c>
      <c r="F2008" s="410">
        <v>43489</v>
      </c>
      <c r="G2008" s="405" t="s">
        <v>24878</v>
      </c>
      <c r="H2008" s="405">
        <v>772467802</v>
      </c>
      <c r="I2008" s="405"/>
      <c r="J2008" s="405">
        <v>0.55152199999999996</v>
      </c>
      <c r="K2008" s="405">
        <v>30.173787000000001</v>
      </c>
      <c r="L2008" s="405" t="s">
        <v>590</v>
      </c>
      <c r="M2008" s="405" t="s">
        <v>24733</v>
      </c>
      <c r="N2008" s="405" t="s">
        <v>20866</v>
      </c>
      <c r="O2008" s="405" t="s">
        <v>24879</v>
      </c>
      <c r="P2008" s="405" t="s">
        <v>24880</v>
      </c>
      <c r="Q2008" s="411">
        <v>6</v>
      </c>
      <c r="R2008" s="405" t="s">
        <v>883</v>
      </c>
      <c r="S2008" s="405" t="s">
        <v>27132</v>
      </c>
      <c r="T2008" s="405" t="s">
        <v>884</v>
      </c>
      <c r="U2008" s="405" t="s">
        <v>319</v>
      </c>
    </row>
    <row r="2009" spans="1:21" x14ac:dyDescent="0.25">
      <c r="A2009" s="405" t="s">
        <v>310</v>
      </c>
      <c r="B2009" s="405" t="s">
        <v>16456</v>
      </c>
      <c r="C2009" s="405" t="s">
        <v>327</v>
      </c>
      <c r="D2009" s="405"/>
      <c r="E2009" s="410">
        <v>43456</v>
      </c>
      <c r="F2009" s="410">
        <v>43480</v>
      </c>
      <c r="G2009" s="405" t="s">
        <v>16457</v>
      </c>
      <c r="H2009" s="405">
        <v>774804223</v>
      </c>
      <c r="I2009" s="405">
        <v>704631095</v>
      </c>
      <c r="J2009" s="405">
        <v>0.51170700000000002</v>
      </c>
      <c r="K2009" s="405">
        <v>33.358992999999998</v>
      </c>
      <c r="L2009" s="405" t="s">
        <v>6866</v>
      </c>
      <c r="M2009" s="405" t="s">
        <v>5411</v>
      </c>
      <c r="N2009" s="405" t="s">
        <v>13715</v>
      </c>
      <c r="O2009" s="405" t="s">
        <v>16458</v>
      </c>
      <c r="P2009" s="405" t="s">
        <v>13471</v>
      </c>
      <c r="Q2009" s="411">
        <v>6</v>
      </c>
      <c r="R2009" s="405" t="s">
        <v>32157</v>
      </c>
      <c r="S2009" s="405" t="s">
        <v>27056</v>
      </c>
      <c r="T2009" s="405" t="s">
        <v>884</v>
      </c>
      <c r="U2009" s="405" t="s">
        <v>319</v>
      </c>
    </row>
    <row r="2010" spans="1:21" x14ac:dyDescent="0.25">
      <c r="A2010" s="405" t="s">
        <v>310</v>
      </c>
      <c r="B2010" s="405" t="s">
        <v>24888</v>
      </c>
      <c r="C2010" s="405" t="s">
        <v>327</v>
      </c>
      <c r="D2010" s="405"/>
      <c r="E2010" s="410">
        <v>43456</v>
      </c>
      <c r="F2010" s="410">
        <v>43471</v>
      </c>
      <c r="G2010" s="405" t="s">
        <v>24889</v>
      </c>
      <c r="H2010" s="405">
        <v>782848109</v>
      </c>
      <c r="I2010" s="405"/>
      <c r="J2010" s="405">
        <v>-0.54339999999999999</v>
      </c>
      <c r="K2010" s="405">
        <v>29.415600000000001</v>
      </c>
      <c r="L2010" s="405" t="s">
        <v>24158</v>
      </c>
      <c r="M2010" s="405" t="s">
        <v>20808</v>
      </c>
      <c r="N2010" s="405" t="s">
        <v>20809</v>
      </c>
      <c r="O2010" s="405" t="s">
        <v>23326</v>
      </c>
      <c r="P2010" s="405" t="s">
        <v>24801</v>
      </c>
      <c r="Q2010" s="411">
        <v>6</v>
      </c>
      <c r="R2010" s="405" t="s">
        <v>6572</v>
      </c>
      <c r="S2010" s="405" t="s">
        <v>27154</v>
      </c>
      <c r="T2010" s="405" t="s">
        <v>32102</v>
      </c>
      <c r="U2010" s="405" t="s">
        <v>319</v>
      </c>
    </row>
    <row r="2011" spans="1:21" x14ac:dyDescent="0.25">
      <c r="A2011" s="405" t="s">
        <v>310</v>
      </c>
      <c r="B2011" s="405" t="s">
        <v>25105</v>
      </c>
      <c r="C2011" s="405" t="s">
        <v>327</v>
      </c>
      <c r="D2011" s="405"/>
      <c r="E2011" s="410">
        <v>43455</v>
      </c>
      <c r="F2011" s="410">
        <v>43468</v>
      </c>
      <c r="G2011" s="405" t="s">
        <v>25106</v>
      </c>
      <c r="H2011" s="405">
        <v>772559862</v>
      </c>
      <c r="I2011" s="405">
        <v>702559862</v>
      </c>
      <c r="J2011" s="405">
        <v>0.55730999999999997</v>
      </c>
      <c r="K2011" s="405">
        <v>30.180624999999999</v>
      </c>
      <c r="L2011" s="405" t="s">
        <v>24158</v>
      </c>
      <c r="M2011" s="405" t="s">
        <v>24733</v>
      </c>
      <c r="N2011" s="405" t="s">
        <v>24733</v>
      </c>
      <c r="O2011" s="405" t="s">
        <v>23473</v>
      </c>
      <c r="P2011" s="405" t="s">
        <v>25107</v>
      </c>
      <c r="Q2011" s="411">
        <v>6</v>
      </c>
      <c r="R2011" s="405" t="s">
        <v>883</v>
      </c>
      <c r="S2011" s="405" t="s">
        <v>27401</v>
      </c>
      <c r="T2011" s="405" t="s">
        <v>32102</v>
      </c>
      <c r="U2011" s="405" t="s">
        <v>319</v>
      </c>
    </row>
    <row r="2012" spans="1:21" x14ac:dyDescent="0.25">
      <c r="A2012" s="405" t="s">
        <v>310</v>
      </c>
      <c r="B2012" s="405" t="s">
        <v>25187</v>
      </c>
      <c r="C2012" s="405" t="s">
        <v>311</v>
      </c>
      <c r="D2012" s="405" t="s">
        <v>25188</v>
      </c>
      <c r="E2012" s="410">
        <v>43454</v>
      </c>
      <c r="F2012" s="410">
        <v>43499</v>
      </c>
      <c r="G2012" s="405" t="s">
        <v>25189</v>
      </c>
      <c r="H2012" s="405">
        <v>776668360</v>
      </c>
      <c r="I2012" s="405"/>
      <c r="J2012" s="405"/>
      <c r="K2012" s="405"/>
      <c r="L2012" s="405" t="s">
        <v>24158</v>
      </c>
      <c r="M2012" s="405" t="s">
        <v>591</v>
      </c>
      <c r="N2012" s="405" t="s">
        <v>592</v>
      </c>
      <c r="O2012" s="405" t="s">
        <v>25190</v>
      </c>
      <c r="P2012" s="405" t="s">
        <v>25190</v>
      </c>
      <c r="Q2012" s="411">
        <v>6</v>
      </c>
      <c r="R2012" s="405" t="s">
        <v>5665</v>
      </c>
      <c r="S2012" s="405" t="s">
        <v>27046</v>
      </c>
      <c r="T2012" s="405" t="s">
        <v>884</v>
      </c>
      <c r="U2012" s="405" t="s">
        <v>319</v>
      </c>
    </row>
    <row r="2013" spans="1:21" x14ac:dyDescent="0.25">
      <c r="A2013" s="405" t="s">
        <v>310</v>
      </c>
      <c r="B2013" s="405" t="s">
        <v>16493</v>
      </c>
      <c r="C2013" s="405" t="s">
        <v>327</v>
      </c>
      <c r="D2013" s="405"/>
      <c r="E2013" s="410">
        <v>43454</v>
      </c>
      <c r="F2013" s="410">
        <v>43469</v>
      </c>
      <c r="G2013" s="405" t="s">
        <v>16494</v>
      </c>
      <c r="H2013" s="405">
        <v>750491263</v>
      </c>
      <c r="I2013" s="405"/>
      <c r="J2013" s="405">
        <v>0.42470000000000002</v>
      </c>
      <c r="K2013" s="405">
        <v>33.343299999999999</v>
      </c>
      <c r="L2013" s="405" t="s">
        <v>6866</v>
      </c>
      <c r="M2013" s="405" t="s">
        <v>10853</v>
      </c>
      <c r="N2013" s="405" t="s">
        <v>15097</v>
      </c>
      <c r="O2013" s="405" t="s">
        <v>2430</v>
      </c>
      <c r="P2013" s="405" t="s">
        <v>16495</v>
      </c>
      <c r="Q2013" s="411">
        <v>6</v>
      </c>
      <c r="R2013" s="405" t="s">
        <v>6822</v>
      </c>
      <c r="S2013" s="405" t="s">
        <v>6822</v>
      </c>
      <c r="T2013" s="405" t="s">
        <v>884</v>
      </c>
      <c r="U2013" s="405" t="s">
        <v>319</v>
      </c>
    </row>
    <row r="2014" spans="1:21" x14ac:dyDescent="0.25">
      <c r="A2014" s="405" t="s">
        <v>310</v>
      </c>
      <c r="B2014" s="405" t="s">
        <v>19057</v>
      </c>
      <c r="C2014" s="405" t="s">
        <v>327</v>
      </c>
      <c r="D2014" s="405"/>
      <c r="E2014" s="410">
        <v>43454</v>
      </c>
      <c r="F2014" s="410">
        <v>43461</v>
      </c>
      <c r="G2014" s="405" t="s">
        <v>19058</v>
      </c>
      <c r="H2014" s="405">
        <v>786047588</v>
      </c>
      <c r="I2014" s="405"/>
      <c r="J2014" s="405">
        <v>3.1875309999999999</v>
      </c>
      <c r="K2014" s="405">
        <v>31.777421</v>
      </c>
      <c r="L2014" s="405" t="s">
        <v>860</v>
      </c>
      <c r="M2014" s="405" t="s">
        <v>18944</v>
      </c>
      <c r="N2014" s="405" t="s">
        <v>19059</v>
      </c>
      <c r="O2014" s="405" t="s">
        <v>19060</v>
      </c>
      <c r="P2014" s="405" t="s">
        <v>19061</v>
      </c>
      <c r="Q2014" s="411">
        <v>6</v>
      </c>
      <c r="R2014" s="405" t="s">
        <v>5921</v>
      </c>
      <c r="S2014" s="405" t="s">
        <v>32960</v>
      </c>
      <c r="T2014" s="405" t="s">
        <v>884</v>
      </c>
      <c r="U2014" s="405" t="s">
        <v>319</v>
      </c>
    </row>
    <row r="2015" spans="1:21" x14ac:dyDescent="0.25">
      <c r="A2015" s="405" t="s">
        <v>310</v>
      </c>
      <c r="B2015" s="405" t="s">
        <v>7771</v>
      </c>
      <c r="C2015" s="405" t="s">
        <v>311</v>
      </c>
      <c r="D2015" s="405" t="s">
        <v>839</v>
      </c>
      <c r="E2015" s="410">
        <v>43454</v>
      </c>
      <c r="F2015" s="410">
        <v>43460</v>
      </c>
      <c r="G2015" s="405" t="s">
        <v>7772</v>
      </c>
      <c r="H2015" s="405">
        <v>758608286</v>
      </c>
      <c r="I2015" s="405">
        <v>757415544</v>
      </c>
      <c r="J2015" s="405">
        <v>0.40979599999999999</v>
      </c>
      <c r="K2015" s="405">
        <v>32.643110999999998</v>
      </c>
      <c r="L2015" s="405" t="s">
        <v>314</v>
      </c>
      <c r="M2015" s="405" t="s">
        <v>361</v>
      </c>
      <c r="N2015" s="405" t="s">
        <v>363</v>
      </c>
      <c r="O2015" s="405" t="s">
        <v>363</v>
      </c>
      <c r="P2015" s="405" t="s">
        <v>2114</v>
      </c>
      <c r="Q2015" s="411">
        <v>6</v>
      </c>
      <c r="R2015" s="405" t="s">
        <v>5921</v>
      </c>
      <c r="S2015" s="405" t="s">
        <v>32960</v>
      </c>
      <c r="T2015" s="405" t="s">
        <v>884</v>
      </c>
      <c r="U2015" s="405" t="s">
        <v>319</v>
      </c>
    </row>
    <row r="2016" spans="1:21" x14ac:dyDescent="0.25">
      <c r="A2016" s="405" t="s">
        <v>310</v>
      </c>
      <c r="B2016" s="405" t="s">
        <v>16459</v>
      </c>
      <c r="C2016" s="405" t="s">
        <v>327</v>
      </c>
      <c r="D2016" s="405"/>
      <c r="E2016" s="410">
        <v>43453</v>
      </c>
      <c r="F2016" s="410">
        <v>43495</v>
      </c>
      <c r="G2016" s="405" t="s">
        <v>16460</v>
      </c>
      <c r="H2016" s="405">
        <v>755438627</v>
      </c>
      <c r="I2016" s="405"/>
      <c r="J2016" s="405">
        <v>0.42603799999999997</v>
      </c>
      <c r="K2016" s="405">
        <v>33.466639999999998</v>
      </c>
      <c r="L2016" s="405" t="s">
        <v>6866</v>
      </c>
      <c r="M2016" s="405" t="s">
        <v>5411</v>
      </c>
      <c r="N2016" s="405" t="s">
        <v>13715</v>
      </c>
      <c r="O2016" s="405" t="s">
        <v>16461</v>
      </c>
      <c r="P2016" s="405" t="s">
        <v>11023</v>
      </c>
      <c r="Q2016" s="411">
        <v>9</v>
      </c>
      <c r="R2016" s="405" t="s">
        <v>32157</v>
      </c>
      <c r="S2016" s="405" t="s">
        <v>6822</v>
      </c>
      <c r="T2016" s="405" t="s">
        <v>884</v>
      </c>
      <c r="U2016" s="405" t="s">
        <v>319</v>
      </c>
    </row>
    <row r="2017" spans="1:21" x14ac:dyDescent="0.25">
      <c r="A2017" s="405" t="s">
        <v>310</v>
      </c>
      <c r="B2017" s="405" t="s">
        <v>7183</v>
      </c>
      <c r="C2017" s="405" t="s">
        <v>327</v>
      </c>
      <c r="D2017" s="405"/>
      <c r="E2017" s="410">
        <v>43452</v>
      </c>
      <c r="F2017" s="410">
        <v>43462</v>
      </c>
      <c r="G2017" s="405" t="s">
        <v>7184</v>
      </c>
      <c r="H2017" s="405">
        <v>783807775</v>
      </c>
      <c r="I2017" s="405"/>
      <c r="J2017" s="405">
        <v>0.58549200000000001</v>
      </c>
      <c r="K2017" s="405">
        <v>31.409307999999999</v>
      </c>
      <c r="L2017" s="405" t="s">
        <v>6897</v>
      </c>
      <c r="M2017" s="405" t="s">
        <v>398</v>
      </c>
      <c r="N2017" s="405" t="s">
        <v>7185</v>
      </c>
      <c r="O2017" s="405" t="s">
        <v>5856</v>
      </c>
      <c r="P2017" s="405" t="s">
        <v>3606</v>
      </c>
      <c r="Q2017" s="411">
        <v>9</v>
      </c>
      <c r="R2017" s="405" t="s">
        <v>32157</v>
      </c>
      <c r="S2017" s="405" t="s">
        <v>6822</v>
      </c>
      <c r="T2017" s="405" t="s">
        <v>884</v>
      </c>
      <c r="U2017" s="405" t="s">
        <v>319</v>
      </c>
    </row>
    <row r="2018" spans="1:21" x14ac:dyDescent="0.25">
      <c r="A2018" s="405" t="s">
        <v>310</v>
      </c>
      <c r="B2018" s="405" t="s">
        <v>7199</v>
      </c>
      <c r="C2018" s="405" t="s">
        <v>327</v>
      </c>
      <c r="D2018" s="405"/>
      <c r="E2018" s="410">
        <v>43452</v>
      </c>
      <c r="F2018" s="410">
        <v>43456</v>
      </c>
      <c r="G2018" s="405" t="s">
        <v>7200</v>
      </c>
      <c r="H2018" s="405">
        <v>782099047</v>
      </c>
      <c r="I2018" s="405"/>
      <c r="J2018" s="405">
        <v>0.52349500000000004</v>
      </c>
      <c r="K2018" s="405">
        <v>32.617418000000001</v>
      </c>
      <c r="L2018" s="405" t="s">
        <v>314</v>
      </c>
      <c r="M2018" s="405" t="s">
        <v>361</v>
      </c>
      <c r="N2018" s="405" t="s">
        <v>6178</v>
      </c>
      <c r="O2018" s="405" t="s">
        <v>433</v>
      </c>
      <c r="P2018" s="405" t="s">
        <v>7201</v>
      </c>
      <c r="Q2018" s="411">
        <v>9</v>
      </c>
      <c r="R2018" s="405" t="s">
        <v>4176</v>
      </c>
      <c r="S2018" s="405" t="s">
        <v>27193</v>
      </c>
      <c r="T2018" s="405" t="s">
        <v>884</v>
      </c>
      <c r="U2018" s="405" t="s">
        <v>319</v>
      </c>
    </row>
    <row r="2019" spans="1:21" x14ac:dyDescent="0.25">
      <c r="A2019" s="405" t="s">
        <v>310</v>
      </c>
      <c r="B2019" s="405" t="s">
        <v>7196</v>
      </c>
      <c r="C2019" s="405" t="s">
        <v>327</v>
      </c>
      <c r="D2019" s="405"/>
      <c r="E2019" s="410">
        <v>43452</v>
      </c>
      <c r="F2019" s="410">
        <v>43454</v>
      </c>
      <c r="G2019" s="405" t="s">
        <v>7197</v>
      </c>
      <c r="H2019" s="405">
        <v>776849636</v>
      </c>
      <c r="I2019" s="405"/>
      <c r="J2019" s="405">
        <v>0.535443</v>
      </c>
      <c r="K2019" s="405">
        <v>32.639327999999999</v>
      </c>
      <c r="L2019" s="405" t="s">
        <v>314</v>
      </c>
      <c r="M2019" s="405" t="s">
        <v>361</v>
      </c>
      <c r="N2019" s="405" t="s">
        <v>6178</v>
      </c>
      <c r="O2019" s="405" t="s">
        <v>433</v>
      </c>
      <c r="P2019" s="405" t="s">
        <v>7198</v>
      </c>
      <c r="Q2019" s="411">
        <v>9</v>
      </c>
      <c r="R2019" s="405" t="s">
        <v>4176</v>
      </c>
      <c r="S2019" s="405" t="s">
        <v>27193</v>
      </c>
      <c r="T2019" s="405" t="s">
        <v>884</v>
      </c>
      <c r="U2019" s="405" t="s">
        <v>319</v>
      </c>
    </row>
    <row r="2020" spans="1:21" x14ac:dyDescent="0.25">
      <c r="A2020" s="405" t="s">
        <v>310</v>
      </c>
      <c r="B2020" s="405" t="s">
        <v>28515</v>
      </c>
      <c r="C2020" s="405" t="s">
        <v>327</v>
      </c>
      <c r="D2020" s="405"/>
      <c r="E2020" s="410">
        <v>43452</v>
      </c>
      <c r="F2020" s="410">
        <v>43471</v>
      </c>
      <c r="G2020" s="405" t="s">
        <v>7216</v>
      </c>
      <c r="H2020" s="405">
        <v>784248234</v>
      </c>
      <c r="I2020" s="405"/>
      <c r="J2020" s="405">
        <v>-0.344358</v>
      </c>
      <c r="K2020" s="405">
        <v>31.706164999999999</v>
      </c>
      <c r="L2020" s="405" t="s">
        <v>314</v>
      </c>
      <c r="M2020" s="405" t="s">
        <v>1189</v>
      </c>
      <c r="N2020" s="405" t="s">
        <v>2265</v>
      </c>
      <c r="O2020" s="405" t="s">
        <v>1190</v>
      </c>
      <c r="P2020" s="405" t="s">
        <v>7217</v>
      </c>
      <c r="Q2020" s="411">
        <v>6</v>
      </c>
      <c r="R2020" s="405" t="s">
        <v>32101</v>
      </c>
      <c r="S2020" s="405" t="s">
        <v>27041</v>
      </c>
      <c r="T2020" s="405" t="s">
        <v>884</v>
      </c>
      <c r="U2020" s="405" t="s">
        <v>319</v>
      </c>
    </row>
    <row r="2021" spans="1:21" x14ac:dyDescent="0.25">
      <c r="A2021" s="405" t="s">
        <v>310</v>
      </c>
      <c r="B2021" s="405" t="s">
        <v>7189</v>
      </c>
      <c r="C2021" s="405" t="s">
        <v>327</v>
      </c>
      <c r="D2021" s="405"/>
      <c r="E2021" s="410">
        <v>43449</v>
      </c>
      <c r="F2021" s="410">
        <v>43459</v>
      </c>
      <c r="G2021" s="405" t="s">
        <v>7190</v>
      </c>
      <c r="H2021" s="405">
        <v>703111040</v>
      </c>
      <c r="I2021" s="405"/>
      <c r="J2021" s="405">
        <v>-0.35287299999999999</v>
      </c>
      <c r="K2021" s="405">
        <v>31.738212999999998</v>
      </c>
      <c r="L2021" s="405" t="s">
        <v>314</v>
      </c>
      <c r="M2021" s="405" t="s">
        <v>382</v>
      </c>
      <c r="N2021" s="405" t="s">
        <v>383</v>
      </c>
      <c r="O2021" s="405" t="s">
        <v>2818</v>
      </c>
      <c r="P2021" s="405" t="s">
        <v>7191</v>
      </c>
      <c r="Q2021" s="411">
        <v>9</v>
      </c>
      <c r="R2021" s="405" t="s">
        <v>402</v>
      </c>
      <c r="S2021" s="405" t="s">
        <v>27265</v>
      </c>
      <c r="T2021" s="405" t="s">
        <v>884</v>
      </c>
      <c r="U2021" s="405" t="s">
        <v>319</v>
      </c>
    </row>
    <row r="2022" spans="1:21" x14ac:dyDescent="0.25">
      <c r="A2022" s="405" t="s">
        <v>310</v>
      </c>
      <c r="B2022" s="405" t="s">
        <v>7172</v>
      </c>
      <c r="C2022" s="405" t="s">
        <v>327</v>
      </c>
      <c r="D2022" s="405"/>
      <c r="E2022" s="410">
        <v>43449</v>
      </c>
      <c r="F2022" s="410">
        <v>43458</v>
      </c>
      <c r="G2022" s="405" t="s">
        <v>7173</v>
      </c>
      <c r="H2022" s="405">
        <v>783134783</v>
      </c>
      <c r="I2022" s="405">
        <v>706515396</v>
      </c>
      <c r="J2022" s="405">
        <v>0.15590000000000001</v>
      </c>
      <c r="K2022" s="405">
        <v>32.572899999999997</v>
      </c>
      <c r="L2022" s="405" t="s">
        <v>314</v>
      </c>
      <c r="M2022" s="405" t="s">
        <v>349</v>
      </c>
      <c r="N2022" s="405" t="s">
        <v>349</v>
      </c>
      <c r="O2022" s="405" t="s">
        <v>349</v>
      </c>
      <c r="P2022" s="405" t="s">
        <v>547</v>
      </c>
      <c r="Q2022" s="411">
        <v>6</v>
      </c>
      <c r="R2022" s="405" t="s">
        <v>32157</v>
      </c>
      <c r="S2022" s="405" t="s">
        <v>6822</v>
      </c>
      <c r="T2022" s="405" t="s">
        <v>884</v>
      </c>
      <c r="U2022" s="405" t="s">
        <v>319</v>
      </c>
    </row>
    <row r="2023" spans="1:21" x14ac:dyDescent="0.25">
      <c r="A2023" s="405" t="s">
        <v>310</v>
      </c>
      <c r="B2023" s="405" t="s">
        <v>24795</v>
      </c>
      <c r="C2023" s="405" t="s">
        <v>327</v>
      </c>
      <c r="D2023" s="405"/>
      <c r="E2023" s="410">
        <v>43448</v>
      </c>
      <c r="F2023" s="410">
        <v>43463</v>
      </c>
      <c r="G2023" s="405" t="s">
        <v>24796</v>
      </c>
      <c r="H2023" s="405">
        <v>703203318</v>
      </c>
      <c r="I2023" s="405"/>
      <c r="J2023" s="405" t="s">
        <v>24797</v>
      </c>
      <c r="K2023" s="405">
        <v>30.852799999999998</v>
      </c>
      <c r="L2023" s="405" t="s">
        <v>590</v>
      </c>
      <c r="M2023" s="405" t="s">
        <v>879</v>
      </c>
      <c r="N2023" s="405" t="s">
        <v>20176</v>
      </c>
      <c r="O2023" s="405" t="s">
        <v>20176</v>
      </c>
      <c r="P2023" s="405" t="s">
        <v>24798</v>
      </c>
      <c r="Q2023" s="411">
        <v>9</v>
      </c>
      <c r="R2023" s="405" t="s">
        <v>883</v>
      </c>
      <c r="S2023" s="405" t="s">
        <v>27104</v>
      </c>
      <c r="T2023" s="405" t="s">
        <v>884</v>
      </c>
      <c r="U2023" s="405" t="s">
        <v>319</v>
      </c>
    </row>
    <row r="2024" spans="1:21" x14ac:dyDescent="0.25">
      <c r="A2024" s="405" t="s">
        <v>310</v>
      </c>
      <c r="B2024" s="405" t="s">
        <v>24791</v>
      </c>
      <c r="C2024" s="405" t="s">
        <v>327</v>
      </c>
      <c r="D2024" s="405"/>
      <c r="E2024" s="410">
        <v>43447</v>
      </c>
      <c r="F2024" s="410">
        <v>43462</v>
      </c>
      <c r="G2024" s="405" t="s">
        <v>24792</v>
      </c>
      <c r="H2024" s="405">
        <v>755512192</v>
      </c>
      <c r="I2024" s="405"/>
      <c r="J2024" s="405">
        <v>0.70099999999999996</v>
      </c>
      <c r="K2024" s="405" t="s">
        <v>24793</v>
      </c>
      <c r="L2024" s="405" t="s">
        <v>590</v>
      </c>
      <c r="M2024" s="405" t="s">
        <v>19705</v>
      </c>
      <c r="N2024" s="405" t="s">
        <v>19706</v>
      </c>
      <c r="O2024" s="405" t="s">
        <v>24794</v>
      </c>
      <c r="P2024" s="405" t="s">
        <v>1215</v>
      </c>
      <c r="Q2024" s="411">
        <v>9</v>
      </c>
      <c r="R2024" s="405" t="s">
        <v>883</v>
      </c>
      <c r="S2024" s="405" t="s">
        <v>27097</v>
      </c>
      <c r="T2024" s="405" t="s">
        <v>884</v>
      </c>
      <c r="U2024" s="405" t="s">
        <v>319</v>
      </c>
    </row>
    <row r="2025" spans="1:21" x14ac:dyDescent="0.25">
      <c r="A2025" s="405" t="s">
        <v>310</v>
      </c>
      <c r="B2025" s="405" t="s">
        <v>24809</v>
      </c>
      <c r="C2025" s="405" t="s">
        <v>327</v>
      </c>
      <c r="D2025" s="405"/>
      <c r="E2025" s="410">
        <v>43446</v>
      </c>
      <c r="F2025" s="410">
        <v>43451</v>
      </c>
      <c r="G2025" s="405" t="s">
        <v>24810</v>
      </c>
      <c r="H2025" s="405">
        <v>772681488</v>
      </c>
      <c r="I2025" s="405"/>
      <c r="J2025" s="405">
        <v>-0.88381200000000004</v>
      </c>
      <c r="K2025" s="405">
        <v>29.779786999999999</v>
      </c>
      <c r="L2025" s="405" t="s">
        <v>590</v>
      </c>
      <c r="M2025" s="405" t="s">
        <v>20808</v>
      </c>
      <c r="N2025" s="405" t="s">
        <v>20809</v>
      </c>
      <c r="O2025" s="405" t="s">
        <v>24811</v>
      </c>
      <c r="P2025" s="405" t="s">
        <v>24812</v>
      </c>
      <c r="Q2025" s="411">
        <v>9</v>
      </c>
      <c r="R2025" s="405" t="s">
        <v>6572</v>
      </c>
      <c r="S2025" s="405" t="s">
        <v>27154</v>
      </c>
      <c r="T2025" s="405" t="s">
        <v>884</v>
      </c>
      <c r="U2025" s="405" t="s">
        <v>319</v>
      </c>
    </row>
    <row r="2026" spans="1:21" x14ac:dyDescent="0.25">
      <c r="A2026" s="405" t="s">
        <v>310</v>
      </c>
      <c r="B2026" s="405" t="s">
        <v>16465</v>
      </c>
      <c r="C2026" s="405" t="s">
        <v>327</v>
      </c>
      <c r="D2026" s="405"/>
      <c r="E2026" s="410">
        <v>43446</v>
      </c>
      <c r="F2026" s="410">
        <v>43480</v>
      </c>
      <c r="G2026" s="405" t="s">
        <v>16466</v>
      </c>
      <c r="H2026" s="405">
        <v>788055838</v>
      </c>
      <c r="I2026" s="405"/>
      <c r="J2026" s="405">
        <v>1.301682</v>
      </c>
      <c r="K2026" s="405">
        <v>34.2941</v>
      </c>
      <c r="L2026" s="405" t="s">
        <v>6866</v>
      </c>
      <c r="M2026" s="405" t="s">
        <v>9550</v>
      </c>
      <c r="N2026" s="405" t="s">
        <v>16467</v>
      </c>
      <c r="O2026" s="405" t="s">
        <v>9639</v>
      </c>
      <c r="P2026" s="405" t="s">
        <v>16468</v>
      </c>
      <c r="Q2026" s="411">
        <v>6</v>
      </c>
      <c r="R2026" s="405" t="s">
        <v>7224</v>
      </c>
      <c r="S2026" s="405" t="s">
        <v>27067</v>
      </c>
      <c r="T2026" s="405" t="s">
        <v>884</v>
      </c>
      <c r="U2026" s="405" t="s">
        <v>319</v>
      </c>
    </row>
    <row r="2027" spans="1:21" x14ac:dyDescent="0.25">
      <c r="A2027" s="405" t="s">
        <v>310</v>
      </c>
      <c r="B2027" s="405" t="s">
        <v>7236</v>
      </c>
      <c r="C2027" s="405" t="s">
        <v>327</v>
      </c>
      <c r="D2027" s="405"/>
      <c r="E2027" s="410">
        <v>43446</v>
      </c>
      <c r="F2027" s="410">
        <v>43471</v>
      </c>
      <c r="G2027" s="405" t="s">
        <v>7237</v>
      </c>
      <c r="H2027" s="405">
        <v>759860056</v>
      </c>
      <c r="I2027" s="405"/>
      <c r="J2027" s="405">
        <v>-0.41164699999999999</v>
      </c>
      <c r="K2027" s="405">
        <v>31.707992000000001</v>
      </c>
      <c r="L2027" s="405" t="s">
        <v>314</v>
      </c>
      <c r="M2027" s="405" t="s">
        <v>382</v>
      </c>
      <c r="N2027" s="405" t="s">
        <v>2265</v>
      </c>
      <c r="O2027" s="405" t="s">
        <v>1260</v>
      </c>
      <c r="P2027" s="405" t="s">
        <v>7238</v>
      </c>
      <c r="Q2027" s="411">
        <v>6</v>
      </c>
      <c r="R2027" s="405" t="s">
        <v>32101</v>
      </c>
      <c r="S2027" s="405" t="s">
        <v>27041</v>
      </c>
      <c r="T2027" s="405" t="s">
        <v>884</v>
      </c>
      <c r="U2027" s="405" t="s">
        <v>319</v>
      </c>
    </row>
    <row r="2028" spans="1:21" x14ac:dyDescent="0.25">
      <c r="A2028" s="405" t="s">
        <v>310</v>
      </c>
      <c r="B2028" s="405" t="s">
        <v>7231</v>
      </c>
      <c r="C2028" s="405" t="s">
        <v>327</v>
      </c>
      <c r="D2028" s="405"/>
      <c r="E2028" s="410">
        <v>43444</v>
      </c>
      <c r="F2028" s="410">
        <v>43471</v>
      </c>
      <c r="G2028" s="405" t="s">
        <v>7232</v>
      </c>
      <c r="H2028" s="405">
        <v>752983458</v>
      </c>
      <c r="I2028" s="405"/>
      <c r="J2028" s="405">
        <v>0.41857299999999997</v>
      </c>
      <c r="K2028" s="405">
        <v>31.668199999999999</v>
      </c>
      <c r="L2028" s="405" t="s">
        <v>314</v>
      </c>
      <c r="M2028" s="405" t="s">
        <v>382</v>
      </c>
      <c r="N2028" s="405" t="s">
        <v>2265</v>
      </c>
      <c r="O2028" s="405" t="s">
        <v>894</v>
      </c>
      <c r="P2028" s="405" t="s">
        <v>7233</v>
      </c>
      <c r="Q2028" s="411">
        <v>6</v>
      </c>
      <c r="R2028" s="405" t="s">
        <v>32101</v>
      </c>
      <c r="S2028" s="405" t="s">
        <v>27047</v>
      </c>
      <c r="T2028" s="405" t="s">
        <v>884</v>
      </c>
      <c r="U2028" s="405" t="s">
        <v>319</v>
      </c>
    </row>
    <row r="2029" spans="1:21" x14ac:dyDescent="0.25">
      <c r="A2029" s="405" t="s">
        <v>310</v>
      </c>
      <c r="B2029" s="405" t="s">
        <v>7177</v>
      </c>
      <c r="C2029" s="405" t="s">
        <v>327</v>
      </c>
      <c r="D2029" s="405"/>
      <c r="E2029" s="410">
        <v>43443</v>
      </c>
      <c r="F2029" s="410">
        <v>43457</v>
      </c>
      <c r="G2029" s="405" t="s">
        <v>7178</v>
      </c>
      <c r="H2029" s="405">
        <v>703594329</v>
      </c>
      <c r="I2029" s="405">
        <v>782770714</v>
      </c>
      <c r="J2029" s="405">
        <v>0.265625</v>
      </c>
      <c r="K2029" s="405">
        <v>32.983217000000003</v>
      </c>
      <c r="L2029" s="405" t="s">
        <v>314</v>
      </c>
      <c r="M2029" s="405" t="s">
        <v>349</v>
      </c>
      <c r="N2029" s="405" t="s">
        <v>349</v>
      </c>
      <c r="O2029" s="405" t="s">
        <v>349</v>
      </c>
      <c r="P2029" s="405" t="s">
        <v>7179</v>
      </c>
      <c r="Q2029" s="411">
        <v>6</v>
      </c>
      <c r="R2029" s="405" t="s">
        <v>32157</v>
      </c>
      <c r="S2029" s="405" t="s">
        <v>6822</v>
      </c>
      <c r="T2029" s="405" t="s">
        <v>884</v>
      </c>
      <c r="U2029" s="405" t="s">
        <v>319</v>
      </c>
    </row>
    <row r="2030" spans="1:21" x14ac:dyDescent="0.25">
      <c r="A2030" s="405" t="s">
        <v>310</v>
      </c>
      <c r="B2030" s="405" t="s">
        <v>24813</v>
      </c>
      <c r="C2030" s="405" t="s">
        <v>327</v>
      </c>
      <c r="D2030" s="405"/>
      <c r="E2030" s="410">
        <v>43443</v>
      </c>
      <c r="F2030" s="410">
        <v>43451</v>
      </c>
      <c r="G2030" s="405" t="s">
        <v>24814</v>
      </c>
      <c r="H2030" s="405">
        <v>782390908</v>
      </c>
      <c r="I2030" s="405"/>
      <c r="J2030" s="405">
        <v>-0.84663999999999995</v>
      </c>
      <c r="K2030" s="405">
        <v>29.682053</v>
      </c>
      <c r="L2030" s="405" t="s">
        <v>590</v>
      </c>
      <c r="M2030" s="405" t="s">
        <v>20808</v>
      </c>
      <c r="N2030" s="405" t="s">
        <v>23490</v>
      </c>
      <c r="O2030" s="405" t="s">
        <v>23995</v>
      </c>
      <c r="P2030" s="405" t="s">
        <v>13470</v>
      </c>
      <c r="Q2030" s="411">
        <v>6</v>
      </c>
      <c r="R2030" s="405" t="s">
        <v>6572</v>
      </c>
      <c r="S2030" s="405" t="s">
        <v>27434</v>
      </c>
      <c r="T2030" s="405" t="s">
        <v>884</v>
      </c>
      <c r="U2030" s="405" t="s">
        <v>319</v>
      </c>
    </row>
    <row r="2031" spans="1:21" x14ac:dyDescent="0.25">
      <c r="A2031" s="405" t="s">
        <v>310</v>
      </c>
      <c r="B2031" s="405" t="s">
        <v>7228</v>
      </c>
      <c r="C2031" s="405" t="s">
        <v>327</v>
      </c>
      <c r="D2031" s="405"/>
      <c r="E2031" s="410">
        <v>43442</v>
      </c>
      <c r="F2031" s="410">
        <v>43471</v>
      </c>
      <c r="G2031" s="405" t="s">
        <v>7229</v>
      </c>
      <c r="H2031" s="405">
        <v>703743925</v>
      </c>
      <c r="I2031" s="405"/>
      <c r="J2031" s="405">
        <v>-0.41162199999999999</v>
      </c>
      <c r="K2031" s="405">
        <v>31.664622999999999</v>
      </c>
      <c r="L2031" s="405" t="s">
        <v>314</v>
      </c>
      <c r="M2031" s="405" t="s">
        <v>382</v>
      </c>
      <c r="N2031" s="405" t="s">
        <v>5308</v>
      </c>
      <c r="O2031" s="405" t="s">
        <v>988</v>
      </c>
      <c r="P2031" s="405" t="s">
        <v>7230</v>
      </c>
      <c r="Q2031" s="411">
        <v>6</v>
      </c>
      <c r="R2031" s="405" t="s">
        <v>32101</v>
      </c>
      <c r="S2031" s="405" t="s">
        <v>5986</v>
      </c>
      <c r="T2031" s="405" t="s">
        <v>32102</v>
      </c>
      <c r="U2031" s="405" t="s">
        <v>319</v>
      </c>
    </row>
    <row r="2032" spans="1:21" x14ac:dyDescent="0.25">
      <c r="A2032" s="405" t="s">
        <v>310</v>
      </c>
      <c r="B2032" s="405" t="s">
        <v>7168</v>
      </c>
      <c r="C2032" s="405" t="s">
        <v>327</v>
      </c>
      <c r="D2032" s="405"/>
      <c r="E2032" s="410">
        <v>43441</v>
      </c>
      <c r="F2032" s="410">
        <v>43451</v>
      </c>
      <c r="G2032" s="405" t="s">
        <v>7169</v>
      </c>
      <c r="H2032" s="405">
        <v>755134978</v>
      </c>
      <c r="I2032" s="405"/>
      <c r="J2032" s="405">
        <v>0.34643600000000002</v>
      </c>
      <c r="K2032" s="405">
        <v>32.424720000000001</v>
      </c>
      <c r="L2032" s="405" t="s">
        <v>314</v>
      </c>
      <c r="M2032" s="405" t="s">
        <v>361</v>
      </c>
      <c r="N2032" s="405" t="s">
        <v>6598</v>
      </c>
      <c r="O2032" s="405" t="s">
        <v>382</v>
      </c>
      <c r="P2032" s="405" t="s">
        <v>6598</v>
      </c>
      <c r="Q2032" s="411">
        <v>9</v>
      </c>
      <c r="R2032" s="405" t="s">
        <v>6795</v>
      </c>
      <c r="S2032" s="405" t="s">
        <v>27267</v>
      </c>
      <c r="T2032" s="405" t="s">
        <v>884</v>
      </c>
      <c r="U2032" s="405" t="s">
        <v>319</v>
      </c>
    </row>
    <row r="2033" spans="1:21" x14ac:dyDescent="0.25">
      <c r="A2033" s="405" t="s">
        <v>310</v>
      </c>
      <c r="B2033" s="405" t="s">
        <v>7225</v>
      </c>
      <c r="C2033" s="405" t="s">
        <v>327</v>
      </c>
      <c r="D2033" s="405"/>
      <c r="E2033" s="410">
        <v>43440</v>
      </c>
      <c r="F2033" s="410">
        <v>43471</v>
      </c>
      <c r="G2033" s="405" t="s">
        <v>7226</v>
      </c>
      <c r="H2033" s="405">
        <v>756867216</v>
      </c>
      <c r="I2033" s="405">
        <v>773026673</v>
      </c>
      <c r="J2033" s="405">
        <v>0.1356</v>
      </c>
      <c r="K2033" s="405">
        <v>32.361998999999997</v>
      </c>
      <c r="L2033" s="405" t="s">
        <v>314</v>
      </c>
      <c r="M2033" s="405" t="s">
        <v>361</v>
      </c>
      <c r="N2033" s="405" t="s">
        <v>362</v>
      </c>
      <c r="O2033" s="405" t="s">
        <v>618</v>
      </c>
      <c r="P2033" s="405" t="s">
        <v>7227</v>
      </c>
      <c r="Q2033" s="411">
        <v>13</v>
      </c>
      <c r="R2033" s="405" t="s">
        <v>5903</v>
      </c>
      <c r="S2033" s="405" t="s">
        <v>27153</v>
      </c>
      <c r="T2033" s="405" t="s">
        <v>32102</v>
      </c>
      <c r="U2033" s="405" t="s">
        <v>319</v>
      </c>
    </row>
    <row r="2034" spans="1:21" x14ac:dyDescent="0.25">
      <c r="A2034" s="405" t="s">
        <v>310</v>
      </c>
      <c r="B2034" s="405" t="s">
        <v>7194</v>
      </c>
      <c r="C2034" s="405" t="s">
        <v>327</v>
      </c>
      <c r="D2034" s="405"/>
      <c r="E2034" s="410">
        <v>43440</v>
      </c>
      <c r="F2034" s="410">
        <v>43455</v>
      </c>
      <c r="G2034" s="405" t="s">
        <v>7195</v>
      </c>
      <c r="H2034" s="405">
        <v>753722488</v>
      </c>
      <c r="I2034" s="405">
        <v>785303927</v>
      </c>
      <c r="J2034" s="405">
        <v>0.390403</v>
      </c>
      <c r="K2034" s="405">
        <v>31.660008000000001</v>
      </c>
      <c r="L2034" s="405" t="s">
        <v>6897</v>
      </c>
      <c r="M2034" s="405" t="s">
        <v>382</v>
      </c>
      <c r="N2034" s="405" t="s">
        <v>2265</v>
      </c>
      <c r="O2034" s="405" t="s">
        <v>894</v>
      </c>
      <c r="P2034" s="405" t="s">
        <v>502</v>
      </c>
      <c r="Q2034" s="411">
        <v>6</v>
      </c>
      <c r="R2034" s="405" t="s">
        <v>32101</v>
      </c>
      <c r="S2034" s="405" t="s">
        <v>27041</v>
      </c>
      <c r="T2034" s="405" t="s">
        <v>884</v>
      </c>
      <c r="U2034" s="405" t="s">
        <v>319</v>
      </c>
    </row>
    <row r="2035" spans="1:21" x14ac:dyDescent="0.25">
      <c r="A2035" s="405" t="s">
        <v>310</v>
      </c>
      <c r="B2035" s="405" t="s">
        <v>24854</v>
      </c>
      <c r="C2035" s="405" t="s">
        <v>327</v>
      </c>
      <c r="D2035" s="405"/>
      <c r="E2035" s="410">
        <v>43440</v>
      </c>
      <c r="F2035" s="410">
        <v>43447</v>
      </c>
      <c r="G2035" s="405" t="s">
        <v>24855</v>
      </c>
      <c r="H2035" s="405">
        <v>776651799</v>
      </c>
      <c r="I2035" s="405"/>
      <c r="J2035" s="405">
        <v>0.366865</v>
      </c>
      <c r="K2035" s="405">
        <v>32.435361</v>
      </c>
      <c r="L2035" s="405" t="s">
        <v>24158</v>
      </c>
      <c r="M2035" s="405" t="s">
        <v>19659</v>
      </c>
      <c r="N2035" s="405" t="s">
        <v>24856</v>
      </c>
      <c r="O2035" s="405" t="s">
        <v>19822</v>
      </c>
      <c r="P2035" s="405" t="s">
        <v>24857</v>
      </c>
      <c r="Q2035" s="411">
        <v>6</v>
      </c>
      <c r="R2035" s="405" t="s">
        <v>7211</v>
      </c>
      <c r="S2035" s="405" t="s">
        <v>6918</v>
      </c>
      <c r="T2035" s="405" t="s">
        <v>884</v>
      </c>
      <c r="U2035" s="405" t="s">
        <v>319</v>
      </c>
    </row>
    <row r="2036" spans="1:21" x14ac:dyDescent="0.25">
      <c r="A2036" s="405" t="s">
        <v>310</v>
      </c>
      <c r="B2036" s="405" t="s">
        <v>24874</v>
      </c>
      <c r="C2036" s="405" t="s">
        <v>327</v>
      </c>
      <c r="D2036" s="405"/>
      <c r="E2036" s="410">
        <v>43439</v>
      </c>
      <c r="F2036" s="410">
        <v>43483</v>
      </c>
      <c r="G2036" s="405" t="s">
        <v>24875</v>
      </c>
      <c r="H2036" s="405">
        <v>705864927</v>
      </c>
      <c r="I2036" s="405"/>
      <c r="J2036" s="405">
        <v>-0.80557500000000004</v>
      </c>
      <c r="K2036" s="405">
        <v>30.442502000000001</v>
      </c>
      <c r="L2036" s="405" t="s">
        <v>590</v>
      </c>
      <c r="M2036" s="405" t="s">
        <v>19614</v>
      </c>
      <c r="N2036" s="405" t="s">
        <v>19654</v>
      </c>
      <c r="O2036" s="405" t="s">
        <v>23202</v>
      </c>
      <c r="P2036" s="405" t="s">
        <v>24876</v>
      </c>
      <c r="Q2036" s="411">
        <v>13</v>
      </c>
      <c r="R2036" s="405" t="s">
        <v>883</v>
      </c>
      <c r="S2036" s="405" t="s">
        <v>27104</v>
      </c>
      <c r="T2036" s="405" t="s">
        <v>32746</v>
      </c>
      <c r="U2036" s="405" t="s">
        <v>2267</v>
      </c>
    </row>
    <row r="2037" spans="1:21" x14ac:dyDescent="0.25">
      <c r="A2037" s="405" t="s">
        <v>310</v>
      </c>
      <c r="B2037" s="405" t="s">
        <v>25021</v>
      </c>
      <c r="C2037" s="405" t="s">
        <v>857</v>
      </c>
      <c r="D2037" s="405" t="s">
        <v>32467</v>
      </c>
      <c r="E2037" s="410">
        <v>43439</v>
      </c>
      <c r="F2037" s="410">
        <v>43454</v>
      </c>
      <c r="G2037" s="405" t="s">
        <v>25022</v>
      </c>
      <c r="H2037" s="405">
        <v>773988274</v>
      </c>
      <c r="I2037" s="405">
        <v>700291155</v>
      </c>
      <c r="J2037" s="405">
        <v>0.55879500000000004</v>
      </c>
      <c r="K2037" s="405">
        <v>30.178180000000001</v>
      </c>
      <c r="L2037" s="405" t="s">
        <v>590</v>
      </c>
      <c r="M2037" s="405" t="s">
        <v>24733</v>
      </c>
      <c r="N2037" s="405" t="s">
        <v>24733</v>
      </c>
      <c r="O2037" s="405" t="s">
        <v>25023</v>
      </c>
      <c r="P2037" s="405" t="s">
        <v>24879</v>
      </c>
      <c r="Q2037" s="411">
        <v>13</v>
      </c>
      <c r="R2037" s="405" t="s">
        <v>883</v>
      </c>
      <c r="S2037" s="405" t="s">
        <v>27301</v>
      </c>
      <c r="T2037" s="405" t="s">
        <v>884</v>
      </c>
      <c r="U2037" s="405" t="s">
        <v>319</v>
      </c>
    </row>
    <row r="2038" spans="1:21" x14ac:dyDescent="0.25">
      <c r="A2038" s="405" t="s">
        <v>310</v>
      </c>
      <c r="B2038" s="405" t="s">
        <v>24783</v>
      </c>
      <c r="C2038" s="405" t="s">
        <v>327</v>
      </c>
      <c r="D2038" s="405"/>
      <c r="E2038" s="410">
        <v>43439</v>
      </c>
      <c r="F2038" s="410">
        <v>43454</v>
      </c>
      <c r="G2038" s="405" t="s">
        <v>24784</v>
      </c>
      <c r="H2038" s="405">
        <v>789193853</v>
      </c>
      <c r="I2038" s="405"/>
      <c r="J2038" s="405">
        <v>0.54779</v>
      </c>
      <c r="K2038" s="405">
        <v>30.150383000000001</v>
      </c>
      <c r="L2038" s="405" t="s">
        <v>24158</v>
      </c>
      <c r="M2038" s="405" t="s">
        <v>24733</v>
      </c>
      <c r="N2038" s="405" t="s">
        <v>24733</v>
      </c>
      <c r="O2038" s="405" t="s">
        <v>23473</v>
      </c>
      <c r="P2038" s="405" t="s">
        <v>24785</v>
      </c>
      <c r="Q2038" s="411">
        <v>9</v>
      </c>
      <c r="R2038" s="405" t="s">
        <v>883</v>
      </c>
      <c r="S2038" s="405" t="s">
        <v>27161</v>
      </c>
      <c r="T2038" s="405" t="s">
        <v>884</v>
      </c>
      <c r="U2038" s="405" t="s">
        <v>319</v>
      </c>
    </row>
    <row r="2039" spans="1:21" x14ac:dyDescent="0.25">
      <c r="A2039" s="405" t="s">
        <v>310</v>
      </c>
      <c r="B2039" s="405" t="s">
        <v>7790</v>
      </c>
      <c r="C2039" s="405" t="s">
        <v>311</v>
      </c>
      <c r="D2039" s="405" t="s">
        <v>839</v>
      </c>
      <c r="E2039" s="410">
        <v>43438</v>
      </c>
      <c r="F2039" s="410">
        <v>43471</v>
      </c>
      <c r="G2039" s="405" t="s">
        <v>7791</v>
      </c>
      <c r="H2039" s="405">
        <v>704883929</v>
      </c>
      <c r="I2039" s="405"/>
      <c r="J2039" s="405">
        <v>7.6880000000000004E-2</v>
      </c>
      <c r="K2039" s="405">
        <v>32.474564999999998</v>
      </c>
      <c r="L2039" s="405" t="s">
        <v>314</v>
      </c>
      <c r="M2039" s="405" t="s">
        <v>361</v>
      </c>
      <c r="N2039" s="405" t="s">
        <v>374</v>
      </c>
      <c r="O2039" s="405" t="s">
        <v>638</v>
      </c>
      <c r="P2039" s="405" t="s">
        <v>638</v>
      </c>
      <c r="Q2039" s="411">
        <v>9</v>
      </c>
      <c r="R2039" s="405" t="s">
        <v>32101</v>
      </c>
      <c r="S2039" s="405" t="s">
        <v>27266</v>
      </c>
      <c r="T2039" s="405" t="s">
        <v>884</v>
      </c>
      <c r="U2039" s="405" t="s">
        <v>319</v>
      </c>
    </row>
    <row r="2040" spans="1:21" x14ac:dyDescent="0.25">
      <c r="A2040" s="405" t="s">
        <v>310</v>
      </c>
      <c r="B2040" s="405" t="s">
        <v>24831</v>
      </c>
      <c r="C2040" s="405" t="s">
        <v>327</v>
      </c>
      <c r="D2040" s="405"/>
      <c r="E2040" s="410">
        <v>43438</v>
      </c>
      <c r="F2040" s="410">
        <v>43453</v>
      </c>
      <c r="G2040" s="405" t="s">
        <v>24832</v>
      </c>
      <c r="H2040" s="405">
        <v>782694603</v>
      </c>
      <c r="I2040" s="405">
        <v>773987799</v>
      </c>
      <c r="J2040" s="405">
        <v>0.34699999999999998</v>
      </c>
      <c r="K2040" s="405">
        <v>30.832999999999998</v>
      </c>
      <c r="L2040" s="405" t="s">
        <v>590</v>
      </c>
      <c r="M2040" s="405" t="s">
        <v>24733</v>
      </c>
      <c r="N2040" s="405" t="s">
        <v>24733</v>
      </c>
      <c r="O2040" s="405" t="s">
        <v>24833</v>
      </c>
      <c r="P2040" s="405" t="s">
        <v>24834</v>
      </c>
      <c r="Q2040" s="411">
        <v>6</v>
      </c>
      <c r="R2040" s="405" t="s">
        <v>32166</v>
      </c>
      <c r="S2040" s="405" t="s">
        <v>27166</v>
      </c>
      <c r="T2040" s="405" t="s">
        <v>884</v>
      </c>
      <c r="U2040" s="405" t="s">
        <v>319</v>
      </c>
    </row>
    <row r="2041" spans="1:21" x14ac:dyDescent="0.25">
      <c r="A2041" s="405" t="s">
        <v>310</v>
      </c>
      <c r="B2041" s="405" t="s">
        <v>24848</v>
      </c>
      <c r="C2041" s="405" t="s">
        <v>327</v>
      </c>
      <c r="D2041" s="405"/>
      <c r="E2041" s="410">
        <v>43435</v>
      </c>
      <c r="F2041" s="410">
        <v>43450</v>
      </c>
      <c r="G2041" s="405" t="s">
        <v>24849</v>
      </c>
      <c r="H2041" s="405">
        <v>779775789</v>
      </c>
      <c r="I2041" s="405"/>
      <c r="J2041" s="405">
        <v>30.831</v>
      </c>
      <c r="K2041" s="405">
        <v>30.831</v>
      </c>
      <c r="L2041" s="405" t="s">
        <v>590</v>
      </c>
      <c r="M2041" s="405" t="s">
        <v>24733</v>
      </c>
      <c r="N2041" s="405" t="s">
        <v>24733</v>
      </c>
      <c r="O2041" s="405" t="s">
        <v>21499</v>
      </c>
      <c r="P2041" s="405" t="s">
        <v>24850</v>
      </c>
      <c r="Q2041" s="411">
        <v>6</v>
      </c>
      <c r="R2041" s="405" t="s">
        <v>32166</v>
      </c>
      <c r="S2041" s="405" t="s">
        <v>27063</v>
      </c>
      <c r="T2041" s="405" t="s">
        <v>884</v>
      </c>
      <c r="U2041" s="405" t="s">
        <v>319</v>
      </c>
    </row>
    <row r="2042" spans="1:21" x14ac:dyDescent="0.25">
      <c r="A2042" s="405" t="s">
        <v>310</v>
      </c>
      <c r="B2042" s="405" t="s">
        <v>16391</v>
      </c>
      <c r="C2042" s="405" t="s">
        <v>327</v>
      </c>
      <c r="D2042" s="405"/>
      <c r="E2042" s="410">
        <v>43434</v>
      </c>
      <c r="F2042" s="410">
        <v>43448</v>
      </c>
      <c r="G2042" s="405" t="s">
        <v>16392</v>
      </c>
      <c r="H2042" s="405">
        <v>787747258</v>
      </c>
      <c r="I2042" s="405"/>
      <c r="J2042" s="405">
        <v>0.48225299999999999</v>
      </c>
      <c r="K2042" s="405">
        <v>33.211288000000003</v>
      </c>
      <c r="L2042" s="405" t="s">
        <v>6866</v>
      </c>
      <c r="M2042" s="405" t="s">
        <v>9590</v>
      </c>
      <c r="N2042" s="405" t="s">
        <v>9591</v>
      </c>
      <c r="O2042" s="405" t="s">
        <v>9592</v>
      </c>
      <c r="P2042" s="405" t="s">
        <v>16393</v>
      </c>
      <c r="Q2042" s="411">
        <v>9</v>
      </c>
      <c r="R2042" s="405" t="s">
        <v>6822</v>
      </c>
      <c r="S2042" s="405" t="s">
        <v>27174</v>
      </c>
      <c r="T2042" s="405" t="s">
        <v>884</v>
      </c>
      <c r="U2042" s="405" t="s">
        <v>319</v>
      </c>
    </row>
    <row r="2043" spans="1:21" x14ac:dyDescent="0.25">
      <c r="A2043" s="405" t="s">
        <v>310</v>
      </c>
      <c r="B2043" s="405" t="s">
        <v>16385</v>
      </c>
      <c r="C2043" s="405" t="s">
        <v>327</v>
      </c>
      <c r="D2043" s="405"/>
      <c r="E2043" s="410">
        <v>43433</v>
      </c>
      <c r="F2043" s="410">
        <v>43463</v>
      </c>
      <c r="G2043" s="405" t="s">
        <v>16386</v>
      </c>
      <c r="H2043" s="405">
        <v>753748747</v>
      </c>
      <c r="I2043" s="405">
        <v>752923934</v>
      </c>
      <c r="J2043" s="405">
        <v>0.93838100000000002</v>
      </c>
      <c r="K2043" s="405">
        <v>33.126893000000003</v>
      </c>
      <c r="L2043" s="405" t="s">
        <v>6866</v>
      </c>
      <c r="M2043" s="405" t="s">
        <v>3009</v>
      </c>
      <c r="N2043" s="405" t="s">
        <v>9842</v>
      </c>
      <c r="O2043" s="405" t="s">
        <v>12865</v>
      </c>
      <c r="P2043" s="405" t="s">
        <v>4999</v>
      </c>
      <c r="Q2043" s="411">
        <v>6</v>
      </c>
      <c r="R2043" s="405" t="s">
        <v>15368</v>
      </c>
      <c r="S2043" s="405" t="s">
        <v>27357</v>
      </c>
      <c r="T2043" s="405" t="s">
        <v>32102</v>
      </c>
      <c r="U2043" s="405" t="s">
        <v>319</v>
      </c>
    </row>
    <row r="2044" spans="1:21" x14ac:dyDescent="0.25">
      <c r="A2044" s="405" t="s">
        <v>310</v>
      </c>
      <c r="B2044" s="405" t="s">
        <v>16387</v>
      </c>
      <c r="C2044" s="405" t="s">
        <v>327</v>
      </c>
      <c r="D2044" s="405"/>
      <c r="E2044" s="410">
        <v>43432</v>
      </c>
      <c r="F2044" s="410">
        <v>43447</v>
      </c>
      <c r="G2044" s="405" t="s">
        <v>16388</v>
      </c>
      <c r="H2044" s="405">
        <v>703221110</v>
      </c>
      <c r="I2044" s="405">
        <v>772404882</v>
      </c>
      <c r="J2044" s="405">
        <v>0.52539999999999998</v>
      </c>
      <c r="K2044" s="405">
        <v>33.431100000000001</v>
      </c>
      <c r="L2044" s="405" t="s">
        <v>6866</v>
      </c>
      <c r="M2044" s="405" t="s">
        <v>5345</v>
      </c>
      <c r="N2044" s="405" t="s">
        <v>12058</v>
      </c>
      <c r="O2044" s="405" t="s">
        <v>16389</v>
      </c>
      <c r="P2044" s="405" t="s">
        <v>16390</v>
      </c>
      <c r="Q2044" s="411">
        <v>9</v>
      </c>
      <c r="R2044" s="405" t="s">
        <v>6822</v>
      </c>
      <c r="S2044" s="405" t="s">
        <v>27174</v>
      </c>
      <c r="T2044" s="405" t="s">
        <v>884</v>
      </c>
      <c r="U2044" s="405" t="s">
        <v>319</v>
      </c>
    </row>
    <row r="2045" spans="1:21" x14ac:dyDescent="0.25">
      <c r="A2045" s="405" t="s">
        <v>310</v>
      </c>
      <c r="B2045" s="405" t="s">
        <v>24843</v>
      </c>
      <c r="C2045" s="405" t="s">
        <v>327</v>
      </c>
      <c r="D2045" s="405"/>
      <c r="E2045" s="410">
        <v>43432</v>
      </c>
      <c r="F2045" s="410">
        <v>43447</v>
      </c>
      <c r="G2045" s="405" t="s">
        <v>24844</v>
      </c>
      <c r="H2045" s="405">
        <v>783508899</v>
      </c>
      <c r="I2045" s="405">
        <v>776837798</v>
      </c>
      <c r="J2045" s="405">
        <v>0.27800000000000002</v>
      </c>
      <c r="K2045" s="405">
        <v>30.1036</v>
      </c>
      <c r="L2045" s="405" t="s">
        <v>590</v>
      </c>
      <c r="M2045" s="405" t="s">
        <v>24733</v>
      </c>
      <c r="N2045" s="405" t="s">
        <v>24845</v>
      </c>
      <c r="O2045" s="405" t="s">
        <v>24846</v>
      </c>
      <c r="P2045" s="405" t="s">
        <v>24847</v>
      </c>
      <c r="Q2045" s="411">
        <v>9</v>
      </c>
      <c r="R2045" s="405" t="s">
        <v>32166</v>
      </c>
      <c r="S2045" s="405" t="s">
        <v>27264</v>
      </c>
      <c r="T2045" s="405" t="s">
        <v>884</v>
      </c>
      <c r="U2045" s="405" t="s">
        <v>319</v>
      </c>
    </row>
    <row r="2046" spans="1:21" x14ac:dyDescent="0.25">
      <c r="A2046" s="405" t="s">
        <v>310</v>
      </c>
      <c r="B2046" s="405" t="s">
        <v>24835</v>
      </c>
      <c r="C2046" s="405" t="s">
        <v>327</v>
      </c>
      <c r="D2046" s="405"/>
      <c r="E2046" s="410">
        <v>43431</v>
      </c>
      <c r="F2046" s="410">
        <v>43437</v>
      </c>
      <c r="G2046" s="405" t="s">
        <v>24836</v>
      </c>
      <c r="H2046" s="405">
        <v>785332166</v>
      </c>
      <c r="I2046" s="405"/>
      <c r="J2046" s="405">
        <v>0.51138799999999995</v>
      </c>
      <c r="K2046" s="405">
        <v>30.119685</v>
      </c>
      <c r="L2046" s="405" t="s">
        <v>590</v>
      </c>
      <c r="M2046" s="405" t="s">
        <v>20125</v>
      </c>
      <c r="N2046" s="405" t="s">
        <v>20866</v>
      </c>
      <c r="O2046" s="405" t="s">
        <v>24738</v>
      </c>
      <c r="P2046" s="405" t="s">
        <v>24837</v>
      </c>
      <c r="Q2046" s="411">
        <v>9</v>
      </c>
      <c r="R2046" s="405" t="s">
        <v>32166</v>
      </c>
      <c r="S2046" s="405" t="s">
        <v>27301</v>
      </c>
      <c r="T2046" s="405" t="s">
        <v>32102</v>
      </c>
      <c r="U2046" s="405" t="s">
        <v>319</v>
      </c>
    </row>
    <row r="2047" spans="1:21" x14ac:dyDescent="0.25">
      <c r="A2047" s="405" t="s">
        <v>310</v>
      </c>
      <c r="B2047" s="405" t="s">
        <v>24827</v>
      </c>
      <c r="C2047" s="405" t="s">
        <v>327</v>
      </c>
      <c r="D2047" s="405"/>
      <c r="E2047" s="410">
        <v>43431</v>
      </c>
      <c r="F2047" s="410">
        <v>43437</v>
      </c>
      <c r="G2047" s="405" t="s">
        <v>24828</v>
      </c>
      <c r="H2047" s="405">
        <v>772902889</v>
      </c>
      <c r="I2047" s="405">
        <v>755933668</v>
      </c>
      <c r="J2047" s="405">
        <v>0.56740000000000002</v>
      </c>
      <c r="K2047" s="405">
        <v>30.144297999999999</v>
      </c>
      <c r="L2047" s="405" t="s">
        <v>590</v>
      </c>
      <c r="M2047" s="405" t="s">
        <v>24733</v>
      </c>
      <c r="N2047" s="405" t="s">
        <v>20866</v>
      </c>
      <c r="O2047" s="405" t="s">
        <v>24829</v>
      </c>
      <c r="P2047" s="405" t="s">
        <v>24830</v>
      </c>
      <c r="Q2047" s="411">
        <v>6</v>
      </c>
      <c r="R2047" s="405" t="s">
        <v>32166</v>
      </c>
      <c r="S2047" s="405" t="s">
        <v>27041</v>
      </c>
      <c r="T2047" s="405" t="s">
        <v>884</v>
      </c>
      <c r="U2047" s="405" t="s">
        <v>319</v>
      </c>
    </row>
    <row r="2048" spans="1:21" x14ac:dyDescent="0.25">
      <c r="A2048" s="405" t="s">
        <v>310</v>
      </c>
      <c r="B2048" s="405" t="s">
        <v>24860</v>
      </c>
      <c r="C2048" s="405" t="s">
        <v>327</v>
      </c>
      <c r="D2048" s="405"/>
      <c r="E2048" s="410">
        <v>43431</v>
      </c>
      <c r="F2048" s="410">
        <v>43436</v>
      </c>
      <c r="G2048" s="405" t="s">
        <v>24861</v>
      </c>
      <c r="H2048" s="405">
        <v>703882529</v>
      </c>
      <c r="I2048" s="405" t="s">
        <v>24862</v>
      </c>
      <c r="J2048" s="405">
        <v>0.64688000000000001</v>
      </c>
      <c r="K2048" s="405">
        <v>30.16037</v>
      </c>
      <c r="L2048" s="405" t="s">
        <v>590</v>
      </c>
      <c r="M2048" s="405" t="s">
        <v>20125</v>
      </c>
      <c r="N2048" s="405" t="s">
        <v>24863</v>
      </c>
      <c r="O2048" s="405" t="s">
        <v>16378</v>
      </c>
      <c r="P2048" s="405" t="s">
        <v>24864</v>
      </c>
      <c r="Q2048" s="411">
        <v>6</v>
      </c>
      <c r="R2048" s="405" t="s">
        <v>5921</v>
      </c>
      <c r="S2048" s="405" t="s">
        <v>32960</v>
      </c>
      <c r="T2048" s="405" t="s">
        <v>884</v>
      </c>
      <c r="U2048" s="405" t="s">
        <v>319</v>
      </c>
    </row>
    <row r="2049" spans="1:21" x14ac:dyDescent="0.25">
      <c r="A2049" s="405" t="s">
        <v>310</v>
      </c>
      <c r="B2049" s="405" t="s">
        <v>24817</v>
      </c>
      <c r="C2049" s="405" t="s">
        <v>327</v>
      </c>
      <c r="D2049" s="405"/>
      <c r="E2049" s="410">
        <v>43430</v>
      </c>
      <c r="F2049" s="410">
        <v>43445</v>
      </c>
      <c r="G2049" s="405" t="s">
        <v>24818</v>
      </c>
      <c r="H2049" s="405">
        <v>779484608</v>
      </c>
      <c r="I2049" s="405"/>
      <c r="J2049" s="405">
        <v>0.45352300000000001</v>
      </c>
      <c r="K2049" s="405">
        <v>30.173500000000001</v>
      </c>
      <c r="L2049" s="405" t="s">
        <v>24158</v>
      </c>
      <c r="M2049" s="405" t="s">
        <v>24733</v>
      </c>
      <c r="N2049" s="405" t="s">
        <v>24733</v>
      </c>
      <c r="O2049" s="405" t="s">
        <v>24738</v>
      </c>
      <c r="P2049" s="405" t="s">
        <v>24819</v>
      </c>
      <c r="Q2049" s="411">
        <v>6</v>
      </c>
      <c r="R2049" s="405" t="s">
        <v>6572</v>
      </c>
      <c r="S2049" s="405" t="s">
        <v>27264</v>
      </c>
      <c r="T2049" s="405" t="s">
        <v>884</v>
      </c>
      <c r="U2049" s="405" t="s">
        <v>319</v>
      </c>
    </row>
    <row r="2050" spans="1:21" x14ac:dyDescent="0.25">
      <c r="A2050" s="405" t="s">
        <v>310</v>
      </c>
      <c r="B2050" s="405" t="s">
        <v>24838</v>
      </c>
      <c r="C2050" s="405" t="s">
        <v>327</v>
      </c>
      <c r="D2050" s="405"/>
      <c r="E2050" s="410">
        <v>43430</v>
      </c>
      <c r="F2050" s="410">
        <v>43445</v>
      </c>
      <c r="G2050" s="405" t="s">
        <v>24839</v>
      </c>
      <c r="H2050" s="405">
        <v>776300801</v>
      </c>
      <c r="I2050" s="405"/>
      <c r="J2050" s="405">
        <v>0.4133</v>
      </c>
      <c r="K2050" s="405">
        <v>30.111000000000001</v>
      </c>
      <c r="L2050" s="405" t="s">
        <v>590</v>
      </c>
      <c r="M2050" s="405" t="s">
        <v>20125</v>
      </c>
      <c r="N2050" s="405" t="s">
        <v>24840</v>
      </c>
      <c r="O2050" s="405" t="s">
        <v>24841</v>
      </c>
      <c r="P2050" s="405" t="s">
        <v>24842</v>
      </c>
      <c r="Q2050" s="411">
        <v>6</v>
      </c>
      <c r="R2050" s="405" t="s">
        <v>32166</v>
      </c>
      <c r="S2050" s="405" t="s">
        <v>27161</v>
      </c>
      <c r="T2050" s="405" t="s">
        <v>884</v>
      </c>
      <c r="U2050" s="405" t="s">
        <v>319</v>
      </c>
    </row>
    <row r="2051" spans="1:21" x14ac:dyDescent="0.25">
      <c r="A2051" s="405" t="s">
        <v>310</v>
      </c>
      <c r="B2051" s="405" t="s">
        <v>24820</v>
      </c>
      <c r="C2051" s="405" t="s">
        <v>327</v>
      </c>
      <c r="D2051" s="405"/>
      <c r="E2051" s="410">
        <v>43429</v>
      </c>
      <c r="F2051" s="410">
        <v>43444</v>
      </c>
      <c r="G2051" s="405" t="s">
        <v>24821</v>
      </c>
      <c r="H2051" s="405">
        <v>702967130</v>
      </c>
      <c r="I2051" s="405" t="s">
        <v>24822</v>
      </c>
      <c r="J2051" s="405">
        <v>-0.17338999999999999</v>
      </c>
      <c r="K2051" s="405">
        <v>31.133900000000001</v>
      </c>
      <c r="L2051" s="405" t="s">
        <v>590</v>
      </c>
      <c r="M2051" s="405" t="s">
        <v>1805</v>
      </c>
      <c r="N2051" s="405" t="s">
        <v>5855</v>
      </c>
      <c r="O2051" s="405" t="s">
        <v>7809</v>
      </c>
      <c r="P2051" s="405" t="s">
        <v>24823</v>
      </c>
      <c r="Q2051" s="411">
        <v>9</v>
      </c>
      <c r="R2051" s="405" t="s">
        <v>32166</v>
      </c>
      <c r="S2051" s="405" t="s">
        <v>27173</v>
      </c>
      <c r="T2051" s="405" t="s">
        <v>884</v>
      </c>
      <c r="U2051" s="405" t="s">
        <v>319</v>
      </c>
    </row>
    <row r="2052" spans="1:21" x14ac:dyDescent="0.25">
      <c r="A2052" s="405" t="s">
        <v>310</v>
      </c>
      <c r="B2052" s="405" t="s">
        <v>24786</v>
      </c>
      <c r="C2052" s="405" t="s">
        <v>327</v>
      </c>
      <c r="D2052" s="405"/>
      <c r="E2052" s="410">
        <v>43429</v>
      </c>
      <c r="F2052" s="410">
        <v>43439</v>
      </c>
      <c r="G2052" s="405" t="s">
        <v>24787</v>
      </c>
      <c r="H2052" s="405">
        <v>701515056</v>
      </c>
      <c r="I2052" s="405">
        <v>782515050</v>
      </c>
      <c r="J2052" s="405">
        <v>0.21301500000000001</v>
      </c>
      <c r="K2052" s="405" t="s">
        <v>24788</v>
      </c>
      <c r="L2052" s="405" t="s">
        <v>590</v>
      </c>
      <c r="M2052" s="405" t="s">
        <v>19705</v>
      </c>
      <c r="N2052" s="405" t="s">
        <v>19706</v>
      </c>
      <c r="O2052" s="405" t="s">
        <v>24782</v>
      </c>
      <c r="P2052" s="405" t="s">
        <v>23406</v>
      </c>
      <c r="Q2052" s="411">
        <v>9</v>
      </c>
      <c r="R2052" s="405" t="s">
        <v>883</v>
      </c>
      <c r="S2052" s="405" t="s">
        <v>27104</v>
      </c>
      <c r="T2052" s="405" t="s">
        <v>884</v>
      </c>
      <c r="U2052" s="405" t="s">
        <v>319</v>
      </c>
    </row>
    <row r="2053" spans="1:21" x14ac:dyDescent="0.25">
      <c r="A2053" s="405" t="s">
        <v>310</v>
      </c>
      <c r="B2053" s="405" t="s">
        <v>24745</v>
      </c>
      <c r="C2053" s="405" t="s">
        <v>327</v>
      </c>
      <c r="D2053" s="405"/>
      <c r="E2053" s="410">
        <v>43429</v>
      </c>
      <c r="F2053" s="410">
        <v>43434</v>
      </c>
      <c r="G2053" s="405" t="s">
        <v>24746</v>
      </c>
      <c r="H2053" s="405">
        <v>772986235</v>
      </c>
      <c r="I2053" s="405"/>
      <c r="J2053" s="405">
        <v>0.64688000000000001</v>
      </c>
      <c r="K2053" s="405">
        <v>30.16037</v>
      </c>
      <c r="L2053" s="405" t="s">
        <v>590</v>
      </c>
      <c r="M2053" s="405" t="s">
        <v>20125</v>
      </c>
      <c r="N2053" s="405" t="s">
        <v>20126</v>
      </c>
      <c r="O2053" s="405" t="s">
        <v>24747</v>
      </c>
      <c r="P2053" s="405" t="s">
        <v>24748</v>
      </c>
      <c r="Q2053" s="411">
        <v>6</v>
      </c>
      <c r="R2053" s="405" t="s">
        <v>6572</v>
      </c>
      <c r="S2053" s="405" t="s">
        <v>27166</v>
      </c>
      <c r="T2053" s="405" t="s">
        <v>884</v>
      </c>
      <c r="U2053" s="405" t="s">
        <v>319</v>
      </c>
    </row>
    <row r="2054" spans="1:21" x14ac:dyDescent="0.25">
      <c r="A2054" s="405" t="s">
        <v>310</v>
      </c>
      <c r="B2054" s="405" t="s">
        <v>24765</v>
      </c>
      <c r="C2054" s="405" t="s">
        <v>327</v>
      </c>
      <c r="D2054" s="405"/>
      <c r="E2054" s="410">
        <v>43428</v>
      </c>
      <c r="F2054" s="410">
        <v>43433</v>
      </c>
      <c r="G2054" s="405" t="s">
        <v>24766</v>
      </c>
      <c r="H2054" s="405">
        <v>772408375</v>
      </c>
      <c r="I2054" s="405"/>
      <c r="J2054" s="405">
        <v>0.66561400000000004</v>
      </c>
      <c r="K2054" s="405">
        <v>30.230177000000001</v>
      </c>
      <c r="L2054" s="405" t="s">
        <v>590</v>
      </c>
      <c r="M2054" s="405" t="s">
        <v>20125</v>
      </c>
      <c r="N2054" s="405" t="s">
        <v>20126</v>
      </c>
      <c r="O2054" s="405" t="s">
        <v>20823</v>
      </c>
      <c r="P2054" s="405" t="s">
        <v>20373</v>
      </c>
      <c r="Q2054" s="411">
        <v>6</v>
      </c>
      <c r="R2054" s="405" t="s">
        <v>5921</v>
      </c>
      <c r="S2054" s="405" t="s">
        <v>32960</v>
      </c>
      <c r="T2054" s="405" t="s">
        <v>884</v>
      </c>
      <c r="U2054" s="405" t="s">
        <v>319</v>
      </c>
    </row>
    <row r="2055" spans="1:21" x14ac:dyDescent="0.25">
      <c r="A2055" s="405" t="s">
        <v>310</v>
      </c>
      <c r="B2055" s="405" t="s">
        <v>16462</v>
      </c>
      <c r="C2055" s="405" t="s">
        <v>327</v>
      </c>
      <c r="D2055" s="405"/>
      <c r="E2055" s="410">
        <v>43424</v>
      </c>
      <c r="F2055" s="410">
        <v>43491</v>
      </c>
      <c r="G2055" s="405" t="s">
        <v>16463</v>
      </c>
      <c r="H2055" s="405">
        <v>702597322</v>
      </c>
      <c r="I2055" s="405"/>
      <c r="J2055" s="405">
        <v>0.86376699999999995</v>
      </c>
      <c r="K2055" s="405">
        <v>33.121732999999999</v>
      </c>
      <c r="L2055" s="405" t="s">
        <v>6866</v>
      </c>
      <c r="M2055" s="405" t="s">
        <v>3009</v>
      </c>
      <c r="N2055" s="405" t="s">
        <v>15915</v>
      </c>
      <c r="O2055" s="405" t="s">
        <v>15807</v>
      </c>
      <c r="P2055" s="405" t="s">
        <v>16464</v>
      </c>
      <c r="Q2055" s="411">
        <v>9</v>
      </c>
      <c r="R2055" s="405" t="s">
        <v>32157</v>
      </c>
      <c r="S2055" s="405" t="s">
        <v>27054</v>
      </c>
      <c r="T2055" s="405" t="s">
        <v>884</v>
      </c>
      <c r="U2055" s="405" t="s">
        <v>319</v>
      </c>
    </row>
    <row r="2056" spans="1:21" x14ac:dyDescent="0.25">
      <c r="A2056" s="405" t="s">
        <v>310</v>
      </c>
      <c r="B2056" s="405" t="s">
        <v>7192</v>
      </c>
      <c r="C2056" s="405" t="s">
        <v>327</v>
      </c>
      <c r="D2056" s="405"/>
      <c r="E2056" s="410">
        <v>43424</v>
      </c>
      <c r="F2056" s="410">
        <v>43444</v>
      </c>
      <c r="G2056" s="405" t="s">
        <v>7193</v>
      </c>
      <c r="H2056" s="405">
        <v>752603755</v>
      </c>
      <c r="I2056" s="405"/>
      <c r="J2056" s="405">
        <v>0.25531199999999998</v>
      </c>
      <c r="K2056" s="405">
        <v>31.943738</v>
      </c>
      <c r="L2056" s="405" t="s">
        <v>6897</v>
      </c>
      <c r="M2056" s="405" t="s">
        <v>361</v>
      </c>
      <c r="N2056" s="405" t="s">
        <v>374</v>
      </c>
      <c r="O2056" s="405" t="s">
        <v>535</v>
      </c>
      <c r="P2056" s="405" t="s">
        <v>1701</v>
      </c>
      <c r="Q2056" s="411">
        <v>9</v>
      </c>
      <c r="R2056" s="405" t="s">
        <v>32101</v>
      </c>
      <c r="S2056" s="405" t="s">
        <v>27167</v>
      </c>
      <c r="T2056" s="405" t="s">
        <v>884</v>
      </c>
      <c r="U2056" s="405" t="s">
        <v>319</v>
      </c>
    </row>
    <row r="2057" spans="1:21" x14ac:dyDescent="0.25">
      <c r="A2057" s="405" t="s">
        <v>310</v>
      </c>
      <c r="B2057" s="405" t="s">
        <v>24740</v>
      </c>
      <c r="C2057" s="405" t="s">
        <v>327</v>
      </c>
      <c r="D2057" s="405"/>
      <c r="E2057" s="410">
        <v>43424</v>
      </c>
      <c r="F2057" s="410">
        <v>43434</v>
      </c>
      <c r="G2057" s="405" t="s">
        <v>24741</v>
      </c>
      <c r="H2057" s="405">
        <v>777288983</v>
      </c>
      <c r="I2057" s="405"/>
      <c r="J2057" s="405">
        <v>0.47362700000000002</v>
      </c>
      <c r="K2057" s="405">
        <v>30.174710000000001</v>
      </c>
      <c r="L2057" s="405" t="s">
        <v>590</v>
      </c>
      <c r="M2057" s="405" t="s">
        <v>24733</v>
      </c>
      <c r="N2057" s="405" t="s">
        <v>20866</v>
      </c>
      <c r="O2057" s="405" t="s">
        <v>24738</v>
      </c>
      <c r="P2057" s="405" t="s">
        <v>24742</v>
      </c>
      <c r="Q2057" s="411">
        <v>6</v>
      </c>
      <c r="R2057" s="405" t="s">
        <v>6572</v>
      </c>
      <c r="S2057" s="405" t="s">
        <v>27399</v>
      </c>
      <c r="T2057" s="405" t="s">
        <v>884</v>
      </c>
      <c r="U2057" s="405" t="s">
        <v>319</v>
      </c>
    </row>
    <row r="2058" spans="1:21" x14ac:dyDescent="0.25">
      <c r="A2058" s="405" t="s">
        <v>310</v>
      </c>
      <c r="B2058" s="405" t="s">
        <v>24736</v>
      </c>
      <c r="C2058" s="405" t="s">
        <v>327</v>
      </c>
      <c r="D2058" s="405"/>
      <c r="E2058" s="410">
        <v>43424</v>
      </c>
      <c r="F2058" s="410">
        <v>43431</v>
      </c>
      <c r="G2058" s="405" t="s">
        <v>24737</v>
      </c>
      <c r="H2058" s="405">
        <v>783413245</v>
      </c>
      <c r="I2058" s="405">
        <v>777925562</v>
      </c>
      <c r="J2058" s="405">
        <v>0.47375499999999998</v>
      </c>
      <c r="K2058" s="405">
        <v>30.166575000000002</v>
      </c>
      <c r="L2058" s="405" t="s">
        <v>590</v>
      </c>
      <c r="M2058" s="405" t="s">
        <v>24733</v>
      </c>
      <c r="N2058" s="405" t="s">
        <v>20866</v>
      </c>
      <c r="O2058" s="405" t="s">
        <v>24738</v>
      </c>
      <c r="P2058" s="405" t="s">
        <v>24739</v>
      </c>
      <c r="Q2058" s="411">
        <v>6</v>
      </c>
      <c r="R2058" s="405" t="s">
        <v>6572</v>
      </c>
      <c r="S2058" s="405" t="s">
        <v>27063</v>
      </c>
      <c r="T2058" s="405" t="s">
        <v>884</v>
      </c>
      <c r="U2058" s="405" t="s">
        <v>319</v>
      </c>
    </row>
    <row r="2059" spans="1:21" x14ac:dyDescent="0.25">
      <c r="A2059" s="405" t="s">
        <v>310</v>
      </c>
      <c r="B2059" s="405" t="s">
        <v>16876</v>
      </c>
      <c r="C2059" s="405" t="s">
        <v>311</v>
      </c>
      <c r="D2059" s="405" t="s">
        <v>2127</v>
      </c>
      <c r="E2059" s="410">
        <v>43423</v>
      </c>
      <c r="F2059" s="410">
        <v>43487</v>
      </c>
      <c r="G2059" s="405" t="s">
        <v>16877</v>
      </c>
      <c r="H2059" s="405">
        <v>702622675</v>
      </c>
      <c r="I2059" s="405"/>
      <c r="J2059" s="405">
        <v>1.3174319999999999</v>
      </c>
      <c r="K2059" s="405">
        <v>34.344814999999997</v>
      </c>
      <c r="L2059" s="405" t="s">
        <v>6866</v>
      </c>
      <c r="M2059" s="405" t="s">
        <v>9685</v>
      </c>
      <c r="N2059" s="405" t="s">
        <v>9686</v>
      </c>
      <c r="O2059" s="405" t="s">
        <v>14908</v>
      </c>
      <c r="P2059" s="405" t="s">
        <v>16878</v>
      </c>
      <c r="Q2059" s="411">
        <v>6</v>
      </c>
      <c r="R2059" s="405" t="s">
        <v>9506</v>
      </c>
      <c r="S2059" s="405" t="s">
        <v>27363</v>
      </c>
      <c r="T2059" s="405" t="s">
        <v>884</v>
      </c>
      <c r="U2059" s="405" t="s">
        <v>319</v>
      </c>
    </row>
    <row r="2060" spans="1:21" x14ac:dyDescent="0.25">
      <c r="A2060" s="405" t="s">
        <v>310</v>
      </c>
      <c r="B2060" s="405" t="s">
        <v>24806</v>
      </c>
      <c r="C2060" s="405" t="s">
        <v>327</v>
      </c>
      <c r="D2060" s="405"/>
      <c r="E2060" s="410">
        <v>43422</v>
      </c>
      <c r="F2060" s="410">
        <v>43446</v>
      </c>
      <c r="G2060" s="405" t="s">
        <v>24807</v>
      </c>
      <c r="H2060" s="405">
        <v>775343672</v>
      </c>
      <c r="I2060" s="405">
        <v>705858636</v>
      </c>
      <c r="J2060" s="405">
        <v>0.3836</v>
      </c>
      <c r="K2060" s="405">
        <v>30.93</v>
      </c>
      <c r="L2060" s="405" t="s">
        <v>590</v>
      </c>
      <c r="M2060" s="405" t="s">
        <v>20125</v>
      </c>
      <c r="N2060" s="405" t="s">
        <v>20126</v>
      </c>
      <c r="O2060" s="405" t="s">
        <v>24747</v>
      </c>
      <c r="P2060" s="405" t="s">
        <v>24808</v>
      </c>
      <c r="Q2060" s="411">
        <v>6</v>
      </c>
      <c r="R2060" s="405" t="s">
        <v>6572</v>
      </c>
      <c r="S2060" s="405" t="s">
        <v>27041</v>
      </c>
      <c r="T2060" s="405" t="s">
        <v>884</v>
      </c>
      <c r="U2060" s="405" t="s">
        <v>319</v>
      </c>
    </row>
    <row r="2061" spans="1:21" x14ac:dyDescent="0.25">
      <c r="A2061" s="405" t="s">
        <v>310</v>
      </c>
      <c r="B2061" s="405" t="s">
        <v>19047</v>
      </c>
      <c r="C2061" s="405" t="s">
        <v>327</v>
      </c>
      <c r="D2061" s="405"/>
      <c r="E2061" s="410">
        <v>43422</v>
      </c>
      <c r="F2061" s="410">
        <v>43437</v>
      </c>
      <c r="G2061" s="405" t="s">
        <v>19048</v>
      </c>
      <c r="H2061" s="405">
        <v>782170331</v>
      </c>
      <c r="I2061" s="405">
        <v>772360948</v>
      </c>
      <c r="J2061" s="405">
        <v>2.1723569999999999</v>
      </c>
      <c r="K2061" s="405">
        <v>32.819195000000001</v>
      </c>
      <c r="L2061" s="405" t="s">
        <v>860</v>
      </c>
      <c r="M2061" s="405" t="s">
        <v>18234</v>
      </c>
      <c r="N2061" s="405" t="s">
        <v>18252</v>
      </c>
      <c r="O2061" s="405" t="s">
        <v>19049</v>
      </c>
      <c r="P2061" s="405" t="s">
        <v>19050</v>
      </c>
      <c r="Q2061" s="411">
        <v>6</v>
      </c>
      <c r="R2061" s="405" t="s">
        <v>7208</v>
      </c>
      <c r="S2061" s="405" t="s">
        <v>27382</v>
      </c>
      <c r="T2061" s="405" t="s">
        <v>884</v>
      </c>
      <c r="U2061" s="405" t="s">
        <v>319</v>
      </c>
    </row>
    <row r="2062" spans="1:21" x14ac:dyDescent="0.25">
      <c r="A2062" s="405" t="s">
        <v>310</v>
      </c>
      <c r="B2062" s="405" t="s">
        <v>24802</v>
      </c>
      <c r="C2062" s="405" t="s">
        <v>327</v>
      </c>
      <c r="D2062" s="405"/>
      <c r="E2062" s="410">
        <v>43421</v>
      </c>
      <c r="F2062" s="410">
        <v>43436</v>
      </c>
      <c r="G2062" s="405" t="s">
        <v>24803</v>
      </c>
      <c r="H2062" s="405">
        <v>779785503</v>
      </c>
      <c r="I2062" s="405"/>
      <c r="J2062" s="405">
        <v>0.33</v>
      </c>
      <c r="K2062" s="405">
        <v>30.855</v>
      </c>
      <c r="L2062" s="405" t="s">
        <v>590</v>
      </c>
      <c r="M2062" s="405" t="s">
        <v>24733</v>
      </c>
      <c r="N2062" s="405" t="s">
        <v>24733</v>
      </c>
      <c r="O2062" s="405" t="s">
        <v>21499</v>
      </c>
      <c r="P2062" s="405" t="s">
        <v>10449</v>
      </c>
      <c r="Q2062" s="411">
        <v>6</v>
      </c>
      <c r="R2062" s="405" t="s">
        <v>6572</v>
      </c>
      <c r="S2062" s="405" t="s">
        <v>27161</v>
      </c>
      <c r="T2062" s="405" t="s">
        <v>32102</v>
      </c>
      <c r="U2062" s="405" t="s">
        <v>319</v>
      </c>
    </row>
    <row r="2063" spans="1:21" x14ac:dyDescent="0.25">
      <c r="A2063" s="405" t="s">
        <v>310</v>
      </c>
      <c r="B2063" s="405" t="s">
        <v>24743</v>
      </c>
      <c r="C2063" s="405" t="s">
        <v>857</v>
      </c>
      <c r="D2063" s="405" t="s">
        <v>32750</v>
      </c>
      <c r="E2063" s="410">
        <v>43420</v>
      </c>
      <c r="F2063" s="410">
        <v>43432</v>
      </c>
      <c r="G2063" s="405" t="s">
        <v>24744</v>
      </c>
      <c r="H2063" s="405">
        <v>789267342</v>
      </c>
      <c r="I2063" s="405"/>
      <c r="J2063" s="405">
        <v>0.54766300000000001</v>
      </c>
      <c r="K2063" s="405">
        <v>30.150258000000001</v>
      </c>
      <c r="L2063" s="405" t="s">
        <v>590</v>
      </c>
      <c r="M2063" s="405" t="s">
        <v>20866</v>
      </c>
      <c r="N2063" s="405" t="s">
        <v>20866</v>
      </c>
      <c r="O2063" s="405" t="s">
        <v>21499</v>
      </c>
      <c r="P2063" s="405" t="s">
        <v>10449</v>
      </c>
      <c r="Q2063" s="411">
        <v>9</v>
      </c>
      <c r="R2063" s="405" t="s">
        <v>6572</v>
      </c>
      <c r="S2063" s="405" t="s">
        <v>27301</v>
      </c>
      <c r="T2063" s="405" t="s">
        <v>884</v>
      </c>
      <c r="U2063" s="405" t="s">
        <v>319</v>
      </c>
    </row>
    <row r="2064" spans="1:21" x14ac:dyDescent="0.25">
      <c r="A2064" s="405" t="s">
        <v>310</v>
      </c>
      <c r="B2064" s="405" t="s">
        <v>16379</v>
      </c>
      <c r="C2064" s="405" t="s">
        <v>327</v>
      </c>
      <c r="D2064" s="405"/>
      <c r="E2064" s="410">
        <v>43420</v>
      </c>
      <c r="F2064" s="410">
        <v>43436</v>
      </c>
      <c r="G2064" s="405" t="s">
        <v>16380</v>
      </c>
      <c r="H2064" s="405">
        <v>752955302</v>
      </c>
      <c r="I2064" s="405">
        <v>772458039</v>
      </c>
      <c r="J2064" s="405">
        <v>1.2850220000000001</v>
      </c>
      <c r="K2064" s="405">
        <v>34.280417</v>
      </c>
      <c r="L2064" s="405" t="s">
        <v>6866</v>
      </c>
      <c r="M2064" s="405" t="s">
        <v>9550</v>
      </c>
      <c r="N2064" s="405" t="s">
        <v>9550</v>
      </c>
      <c r="O2064" s="405" t="s">
        <v>9869</v>
      </c>
      <c r="P2064" s="405" t="s">
        <v>11992</v>
      </c>
      <c r="Q2064" s="411">
        <v>6</v>
      </c>
      <c r="R2064" s="405" t="s">
        <v>6871</v>
      </c>
      <c r="S2064" s="405" t="s">
        <v>27074</v>
      </c>
      <c r="T2064" s="405" t="s">
        <v>884</v>
      </c>
      <c r="U2064" s="405" t="s">
        <v>319</v>
      </c>
    </row>
    <row r="2065" spans="1:21" x14ac:dyDescent="0.25">
      <c r="A2065" s="405" t="s">
        <v>310</v>
      </c>
      <c r="B2065" s="405" t="s">
        <v>24851</v>
      </c>
      <c r="C2065" s="405" t="s">
        <v>327</v>
      </c>
      <c r="D2065" s="405"/>
      <c r="E2065" s="410">
        <v>43420</v>
      </c>
      <c r="F2065" s="410">
        <v>43435</v>
      </c>
      <c r="G2065" s="405" t="s">
        <v>24852</v>
      </c>
      <c r="H2065" s="405">
        <v>777741162</v>
      </c>
      <c r="I2065" s="405">
        <v>784988351</v>
      </c>
      <c r="J2065" s="405">
        <v>0.30249999999999999</v>
      </c>
      <c r="K2065" s="405">
        <v>30.721</v>
      </c>
      <c r="L2065" s="405" t="s">
        <v>590</v>
      </c>
      <c r="M2065" s="405" t="s">
        <v>24733</v>
      </c>
      <c r="N2065" s="405" t="s">
        <v>24733</v>
      </c>
      <c r="O2065" s="405" t="s">
        <v>24738</v>
      </c>
      <c r="P2065" s="405" t="s">
        <v>24853</v>
      </c>
      <c r="Q2065" s="411">
        <v>6</v>
      </c>
      <c r="R2065" s="405" t="s">
        <v>32166</v>
      </c>
      <c r="S2065" s="405" t="s">
        <v>27132</v>
      </c>
      <c r="T2065" s="405" t="s">
        <v>884</v>
      </c>
      <c r="U2065" s="405" t="s">
        <v>319</v>
      </c>
    </row>
    <row r="2066" spans="1:21" x14ac:dyDescent="0.25">
      <c r="A2066" s="405" t="s">
        <v>310</v>
      </c>
      <c r="B2066" s="405" t="s">
        <v>7163</v>
      </c>
      <c r="C2066" s="405" t="s">
        <v>327</v>
      </c>
      <c r="D2066" s="405"/>
      <c r="E2066" s="410">
        <v>43419</v>
      </c>
      <c r="F2066" s="410">
        <v>43445</v>
      </c>
      <c r="G2066" s="405" t="s">
        <v>7164</v>
      </c>
      <c r="H2066" s="405">
        <v>757888008</v>
      </c>
      <c r="I2066" s="405" t="s">
        <v>7165</v>
      </c>
      <c r="J2066" s="405">
        <v>0.63700000000000001</v>
      </c>
      <c r="K2066" s="405">
        <v>32.193899999999999</v>
      </c>
      <c r="L2066" s="405" t="s">
        <v>314</v>
      </c>
      <c r="M2066" s="405" t="s">
        <v>361</v>
      </c>
      <c r="N2066" s="405" t="s">
        <v>1682</v>
      </c>
      <c r="O2066" s="405" t="s">
        <v>7166</v>
      </c>
      <c r="P2066" s="405" t="s">
        <v>7167</v>
      </c>
      <c r="Q2066" s="411">
        <v>6</v>
      </c>
      <c r="R2066" s="405" t="s">
        <v>6798</v>
      </c>
      <c r="S2066" s="405" t="s">
        <v>27248</v>
      </c>
      <c r="T2066" s="405" t="s">
        <v>32102</v>
      </c>
      <c r="U2066" s="405" t="s">
        <v>319</v>
      </c>
    </row>
    <row r="2067" spans="1:21" x14ac:dyDescent="0.25">
      <c r="A2067" s="405" t="s">
        <v>310</v>
      </c>
      <c r="B2067" s="405" t="s">
        <v>16376</v>
      </c>
      <c r="C2067" s="405" t="s">
        <v>327</v>
      </c>
      <c r="D2067" s="405"/>
      <c r="E2067" s="410">
        <v>43419</v>
      </c>
      <c r="F2067" s="410">
        <v>43424</v>
      </c>
      <c r="G2067" s="405" t="s">
        <v>16377</v>
      </c>
      <c r="H2067" s="405">
        <v>778877443</v>
      </c>
      <c r="I2067" s="405"/>
      <c r="J2067" s="405">
        <v>0.31631500000000001</v>
      </c>
      <c r="K2067" s="405">
        <v>32.622571999999998</v>
      </c>
      <c r="L2067" s="405" t="s">
        <v>6866</v>
      </c>
      <c r="M2067" s="405" t="s">
        <v>9590</v>
      </c>
      <c r="N2067" s="405" t="s">
        <v>10716</v>
      </c>
      <c r="O2067" s="405" t="s">
        <v>15093</v>
      </c>
      <c r="P2067" s="405" t="s">
        <v>16378</v>
      </c>
      <c r="Q2067" s="411">
        <v>6</v>
      </c>
      <c r="R2067" s="405" t="s">
        <v>5921</v>
      </c>
      <c r="S2067" s="405" t="s">
        <v>32960</v>
      </c>
      <c r="T2067" s="405" t="s">
        <v>884</v>
      </c>
      <c r="U2067" s="405" t="s">
        <v>319</v>
      </c>
    </row>
    <row r="2068" spans="1:21" x14ac:dyDescent="0.25">
      <c r="A2068" s="405" t="s">
        <v>310</v>
      </c>
      <c r="B2068" s="405" t="s">
        <v>16791</v>
      </c>
      <c r="C2068" s="405" t="s">
        <v>311</v>
      </c>
      <c r="D2068" s="405" t="s">
        <v>839</v>
      </c>
      <c r="E2068" s="410">
        <v>43418</v>
      </c>
      <c r="F2068" s="410">
        <v>43433</v>
      </c>
      <c r="G2068" s="405" t="s">
        <v>16792</v>
      </c>
      <c r="H2068" s="405">
        <v>778861922</v>
      </c>
      <c r="I2068" s="405">
        <v>777429879</v>
      </c>
      <c r="J2068" s="405">
        <v>0.63935500000000001</v>
      </c>
      <c r="K2068" s="405" t="s">
        <v>16793</v>
      </c>
      <c r="L2068" s="405" t="s">
        <v>6866</v>
      </c>
      <c r="M2068" s="405" t="s">
        <v>9534</v>
      </c>
      <c r="N2068" s="405" t="s">
        <v>10201</v>
      </c>
      <c r="O2068" s="405" t="s">
        <v>14050</v>
      </c>
      <c r="P2068" s="405" t="s">
        <v>16794</v>
      </c>
      <c r="Q2068" s="411">
        <v>9</v>
      </c>
      <c r="R2068" s="405" t="s">
        <v>7224</v>
      </c>
      <c r="S2068" s="405" t="s">
        <v>27259</v>
      </c>
      <c r="T2068" s="405" t="s">
        <v>884</v>
      </c>
      <c r="U2068" s="405" t="s">
        <v>319</v>
      </c>
    </row>
    <row r="2069" spans="1:21" x14ac:dyDescent="0.25">
      <c r="A2069" s="405" t="s">
        <v>310</v>
      </c>
      <c r="B2069" s="405" t="s">
        <v>7205</v>
      </c>
      <c r="C2069" s="405" t="s">
        <v>327</v>
      </c>
      <c r="D2069" s="405"/>
      <c r="E2069" s="410">
        <v>43418</v>
      </c>
      <c r="F2069" s="410">
        <v>43442</v>
      </c>
      <c r="G2069" s="405" t="s">
        <v>7206</v>
      </c>
      <c r="H2069" s="405">
        <v>702818704</v>
      </c>
      <c r="I2069" s="405"/>
      <c r="J2069" s="405">
        <v>0.21360000000000001</v>
      </c>
      <c r="K2069" s="405">
        <v>31.434539999999998</v>
      </c>
      <c r="L2069" s="405" t="s">
        <v>314</v>
      </c>
      <c r="M2069" s="405" t="s">
        <v>329</v>
      </c>
      <c r="N2069" s="405" t="s">
        <v>627</v>
      </c>
      <c r="O2069" s="405" t="s">
        <v>627</v>
      </c>
      <c r="P2069" s="405" t="s">
        <v>7207</v>
      </c>
      <c r="Q2069" s="411">
        <v>6</v>
      </c>
      <c r="R2069" s="405" t="s">
        <v>7208</v>
      </c>
      <c r="S2069" s="405" t="s">
        <v>27243</v>
      </c>
      <c r="T2069" s="405" t="s">
        <v>884</v>
      </c>
      <c r="U2069" s="405" t="s">
        <v>319</v>
      </c>
    </row>
    <row r="2070" spans="1:21" x14ac:dyDescent="0.25">
      <c r="A2070" s="405" t="s">
        <v>310</v>
      </c>
      <c r="B2070" s="405" t="s">
        <v>16367</v>
      </c>
      <c r="C2070" s="405" t="s">
        <v>857</v>
      </c>
      <c r="D2070" s="405" t="s">
        <v>32757</v>
      </c>
      <c r="E2070" s="410">
        <v>43418</v>
      </c>
      <c r="F2070" s="410">
        <v>43433</v>
      </c>
      <c r="G2070" s="405" t="s">
        <v>16368</v>
      </c>
      <c r="H2070" s="405">
        <v>776914297</v>
      </c>
      <c r="I2070" s="405"/>
      <c r="J2070" s="405">
        <v>0.27141999999999999</v>
      </c>
      <c r="K2070" s="405">
        <v>33.524332000000001</v>
      </c>
      <c r="L2070" s="405" t="s">
        <v>6866</v>
      </c>
      <c r="M2070" s="405" t="s">
        <v>5411</v>
      </c>
      <c r="N2070" s="405" t="s">
        <v>16338</v>
      </c>
      <c r="O2070" s="405" t="s">
        <v>2335</v>
      </c>
      <c r="P2070" s="405" t="s">
        <v>16369</v>
      </c>
      <c r="Q2070" s="411">
        <v>6</v>
      </c>
      <c r="R2070" s="405" t="s">
        <v>6822</v>
      </c>
      <c r="S2070" s="405" t="s">
        <v>27054</v>
      </c>
      <c r="T2070" s="405" t="s">
        <v>884</v>
      </c>
      <c r="U2070" s="405" t="s">
        <v>319</v>
      </c>
    </row>
    <row r="2071" spans="1:21" x14ac:dyDescent="0.25">
      <c r="A2071" s="405" t="s">
        <v>310</v>
      </c>
      <c r="B2071" s="405" t="s">
        <v>24731</v>
      </c>
      <c r="C2071" s="405" t="s">
        <v>327</v>
      </c>
      <c r="D2071" s="405"/>
      <c r="E2071" s="410">
        <v>43417</v>
      </c>
      <c r="F2071" s="410">
        <v>43432</v>
      </c>
      <c r="G2071" s="405" t="s">
        <v>24732</v>
      </c>
      <c r="H2071" s="405">
        <v>772482297</v>
      </c>
      <c r="I2071" s="405">
        <v>701482297</v>
      </c>
      <c r="J2071" s="405">
        <v>0.3342</v>
      </c>
      <c r="K2071" s="405">
        <v>30.954999999999998</v>
      </c>
      <c r="L2071" s="405" t="s">
        <v>590</v>
      </c>
      <c r="M2071" s="405" t="s">
        <v>24733</v>
      </c>
      <c r="N2071" s="405" t="s">
        <v>24733</v>
      </c>
      <c r="O2071" s="405" t="s">
        <v>24734</v>
      </c>
      <c r="P2071" s="405" t="s">
        <v>24735</v>
      </c>
      <c r="Q2071" s="411">
        <v>9</v>
      </c>
      <c r="R2071" s="405" t="s">
        <v>6572</v>
      </c>
      <c r="S2071" s="405" t="s">
        <v>27399</v>
      </c>
      <c r="T2071" s="405" t="s">
        <v>884</v>
      </c>
      <c r="U2071" s="405" t="s">
        <v>319</v>
      </c>
    </row>
    <row r="2072" spans="1:21" x14ac:dyDescent="0.25">
      <c r="A2072" s="405" t="s">
        <v>310</v>
      </c>
      <c r="B2072" s="405" t="s">
        <v>16355</v>
      </c>
      <c r="C2072" s="405" t="s">
        <v>327</v>
      </c>
      <c r="D2072" s="405"/>
      <c r="E2072" s="410">
        <v>43417</v>
      </c>
      <c r="F2072" s="410">
        <v>43432</v>
      </c>
      <c r="G2072" s="405" t="s">
        <v>16356</v>
      </c>
      <c r="H2072" s="405">
        <v>773154438</v>
      </c>
      <c r="I2072" s="405"/>
      <c r="J2072" s="405">
        <v>0.20593500000000001</v>
      </c>
      <c r="K2072" s="405">
        <v>33.478462999999998</v>
      </c>
      <c r="L2072" s="405" t="s">
        <v>16357</v>
      </c>
      <c r="M2072" s="405" t="s">
        <v>5411</v>
      </c>
      <c r="N2072" s="405" t="s">
        <v>16358</v>
      </c>
      <c r="O2072" s="405" t="s">
        <v>16359</v>
      </c>
      <c r="P2072" s="405" t="s">
        <v>16358</v>
      </c>
      <c r="Q2072" s="411">
        <v>6</v>
      </c>
      <c r="R2072" s="405" t="s">
        <v>32157</v>
      </c>
      <c r="S2072" s="405" t="s">
        <v>6822</v>
      </c>
      <c r="T2072" s="405" t="s">
        <v>884</v>
      </c>
      <c r="U2072" s="405" t="s">
        <v>319</v>
      </c>
    </row>
    <row r="2073" spans="1:21" x14ac:dyDescent="0.25">
      <c r="A2073" s="405" t="s">
        <v>310</v>
      </c>
      <c r="B2073" s="405" t="s">
        <v>24920</v>
      </c>
      <c r="C2073" s="405" t="s">
        <v>327</v>
      </c>
      <c r="D2073" s="405"/>
      <c r="E2073" s="410">
        <v>43416</v>
      </c>
      <c r="F2073" s="410">
        <v>43516</v>
      </c>
      <c r="G2073" s="405" t="s">
        <v>24921</v>
      </c>
      <c r="H2073" s="405">
        <v>774656844</v>
      </c>
      <c r="I2073" s="405"/>
      <c r="J2073" s="405">
        <v>0.46485799999999999</v>
      </c>
      <c r="K2073" s="405">
        <v>30.691604999999999</v>
      </c>
      <c r="L2073" s="405" t="s">
        <v>590</v>
      </c>
      <c r="M2073" s="405" t="s">
        <v>19614</v>
      </c>
      <c r="N2073" s="405" t="s">
        <v>19615</v>
      </c>
      <c r="O2073" s="405" t="s">
        <v>19616</v>
      </c>
      <c r="P2073" s="405" t="s">
        <v>24922</v>
      </c>
      <c r="Q2073" s="411">
        <v>9</v>
      </c>
      <c r="R2073" s="405" t="s">
        <v>6943</v>
      </c>
      <c r="S2073" s="405" t="s">
        <v>27435</v>
      </c>
      <c r="T2073" s="405" t="s">
        <v>32102</v>
      </c>
      <c r="U2073" s="405" t="s">
        <v>319</v>
      </c>
    </row>
    <row r="2074" spans="1:21" x14ac:dyDescent="0.25">
      <c r="A2074" s="405" t="s">
        <v>310</v>
      </c>
      <c r="B2074" s="405" t="s">
        <v>7186</v>
      </c>
      <c r="C2074" s="405" t="s">
        <v>327</v>
      </c>
      <c r="D2074" s="405"/>
      <c r="E2074" s="410">
        <v>43415</v>
      </c>
      <c r="F2074" s="410">
        <v>43445</v>
      </c>
      <c r="G2074" s="405" t="s">
        <v>7187</v>
      </c>
      <c r="H2074" s="405">
        <v>781869354</v>
      </c>
      <c r="I2074" s="405"/>
      <c r="J2074" s="405">
        <v>0.37518699999999999</v>
      </c>
      <c r="K2074" s="405">
        <v>32.604958000000003</v>
      </c>
      <c r="L2074" s="405" t="s">
        <v>314</v>
      </c>
      <c r="M2074" s="405" t="s">
        <v>992</v>
      </c>
      <c r="N2074" s="405" t="s">
        <v>3412</v>
      </c>
      <c r="O2074" s="405" t="s">
        <v>4241</v>
      </c>
      <c r="P2074" s="405" t="s">
        <v>7188</v>
      </c>
      <c r="Q2074" s="411">
        <v>9</v>
      </c>
      <c r="R2074" s="405" t="s">
        <v>402</v>
      </c>
      <c r="S2074" s="405" t="s">
        <v>27265</v>
      </c>
      <c r="T2074" s="405" t="s">
        <v>884</v>
      </c>
      <c r="U2074" s="405" t="s">
        <v>319</v>
      </c>
    </row>
    <row r="2075" spans="1:21" x14ac:dyDescent="0.25">
      <c r="A2075" s="405" t="s">
        <v>310</v>
      </c>
      <c r="B2075" s="405" t="s">
        <v>24804</v>
      </c>
      <c r="C2075" s="405" t="s">
        <v>327</v>
      </c>
      <c r="D2075" s="405"/>
      <c r="E2075" s="410">
        <v>43415</v>
      </c>
      <c r="F2075" s="410">
        <v>43435</v>
      </c>
      <c r="G2075" s="405" t="s">
        <v>24805</v>
      </c>
      <c r="H2075" s="405">
        <v>781913499</v>
      </c>
      <c r="I2075" s="405"/>
      <c r="J2075" s="405">
        <v>0.32550000000000001</v>
      </c>
      <c r="K2075" s="405">
        <v>30.853000000000002</v>
      </c>
      <c r="L2075" s="405" t="s">
        <v>590</v>
      </c>
      <c r="M2075" s="405" t="s">
        <v>24733</v>
      </c>
      <c r="N2075" s="405" t="s">
        <v>24733</v>
      </c>
      <c r="O2075" s="405" t="s">
        <v>21499</v>
      </c>
      <c r="P2075" s="405" t="s">
        <v>10449</v>
      </c>
      <c r="Q2075" s="411">
        <v>9</v>
      </c>
      <c r="R2075" s="405" t="s">
        <v>6572</v>
      </c>
      <c r="S2075" s="405" t="s">
        <v>27264</v>
      </c>
      <c r="T2075" s="405" t="s">
        <v>884</v>
      </c>
      <c r="U2075" s="405" t="s">
        <v>319</v>
      </c>
    </row>
    <row r="2076" spans="1:21" x14ac:dyDescent="0.25">
      <c r="A2076" s="405" t="s">
        <v>310</v>
      </c>
      <c r="B2076" s="405" t="s">
        <v>24728</v>
      </c>
      <c r="C2076" s="405" t="s">
        <v>327</v>
      </c>
      <c r="D2076" s="405"/>
      <c r="E2076" s="410">
        <v>43415</v>
      </c>
      <c r="F2076" s="410">
        <v>43430</v>
      </c>
      <c r="G2076" s="405" t="s">
        <v>24729</v>
      </c>
      <c r="H2076" s="405">
        <v>774152309</v>
      </c>
      <c r="I2076" s="405">
        <v>781590130</v>
      </c>
      <c r="J2076" s="405">
        <v>-0.4138</v>
      </c>
      <c r="K2076" s="405">
        <v>29.532900000000001</v>
      </c>
      <c r="L2076" s="405" t="s">
        <v>24158</v>
      </c>
      <c r="M2076" s="405" t="s">
        <v>19619</v>
      </c>
      <c r="N2076" s="405" t="s">
        <v>19793</v>
      </c>
      <c r="O2076" s="405" t="s">
        <v>6395</v>
      </c>
      <c r="P2076" s="405" t="s">
        <v>24730</v>
      </c>
      <c r="Q2076" s="411">
        <v>9</v>
      </c>
      <c r="R2076" s="405" t="s">
        <v>6572</v>
      </c>
      <c r="S2076" s="405" t="s">
        <v>27166</v>
      </c>
      <c r="T2076" s="405" t="s">
        <v>884</v>
      </c>
      <c r="U2076" s="405" t="s">
        <v>319</v>
      </c>
    </row>
    <row r="2077" spans="1:21" x14ac:dyDescent="0.25">
      <c r="A2077" s="405" t="s">
        <v>310</v>
      </c>
      <c r="B2077" s="405" t="s">
        <v>24779</v>
      </c>
      <c r="C2077" s="405" t="s">
        <v>327</v>
      </c>
      <c r="D2077" s="405"/>
      <c r="E2077" s="410">
        <v>43414</v>
      </c>
      <c r="F2077" s="410">
        <v>43434</v>
      </c>
      <c r="G2077" s="405" t="s">
        <v>24780</v>
      </c>
      <c r="H2077" s="405">
        <v>703714764</v>
      </c>
      <c r="I2077" s="405"/>
      <c r="J2077" s="405">
        <v>0.34581000000000001</v>
      </c>
      <c r="K2077" s="405" t="s">
        <v>24781</v>
      </c>
      <c r="L2077" s="405" t="s">
        <v>590</v>
      </c>
      <c r="M2077" s="405" t="s">
        <v>19705</v>
      </c>
      <c r="N2077" s="405" t="s">
        <v>19706</v>
      </c>
      <c r="O2077" s="405" t="s">
        <v>24782</v>
      </c>
      <c r="P2077" s="405" t="s">
        <v>2864</v>
      </c>
      <c r="Q2077" s="411">
        <v>9</v>
      </c>
      <c r="R2077" s="405" t="s">
        <v>883</v>
      </c>
      <c r="S2077" s="405" t="s">
        <v>27104</v>
      </c>
      <c r="T2077" s="405" t="s">
        <v>884</v>
      </c>
      <c r="U2077" s="405" t="s">
        <v>319</v>
      </c>
    </row>
    <row r="2078" spans="1:21" x14ac:dyDescent="0.25">
      <c r="A2078" s="405" t="s">
        <v>310</v>
      </c>
      <c r="B2078" s="405" t="s">
        <v>7147</v>
      </c>
      <c r="C2078" s="405" t="s">
        <v>327</v>
      </c>
      <c r="D2078" s="405"/>
      <c r="E2078" s="410">
        <v>43414</v>
      </c>
      <c r="F2078" s="410">
        <v>43425</v>
      </c>
      <c r="G2078" s="405" t="s">
        <v>7148</v>
      </c>
      <c r="H2078" s="405">
        <v>758309272</v>
      </c>
      <c r="I2078" s="405"/>
      <c r="J2078" s="405">
        <v>0.187</v>
      </c>
      <c r="K2078" s="405">
        <v>32.264400000000002</v>
      </c>
      <c r="L2078" s="405" t="s">
        <v>314</v>
      </c>
      <c r="M2078" s="405" t="s">
        <v>361</v>
      </c>
      <c r="N2078" s="405" t="s">
        <v>3398</v>
      </c>
      <c r="O2078" s="405" t="s">
        <v>375</v>
      </c>
      <c r="P2078" s="405" t="s">
        <v>3738</v>
      </c>
      <c r="Q2078" s="411">
        <v>6</v>
      </c>
      <c r="R2078" s="405" t="s">
        <v>4176</v>
      </c>
      <c r="S2078" s="405" t="s">
        <v>27153</v>
      </c>
      <c r="T2078" s="405" t="s">
        <v>884</v>
      </c>
      <c r="U2078" s="405" t="s">
        <v>319</v>
      </c>
    </row>
    <row r="2079" spans="1:21" x14ac:dyDescent="0.25">
      <c r="A2079" s="405" t="s">
        <v>310</v>
      </c>
      <c r="B2079" s="405" t="s">
        <v>16349</v>
      </c>
      <c r="C2079" s="405" t="s">
        <v>327</v>
      </c>
      <c r="D2079" s="405"/>
      <c r="E2079" s="410">
        <v>43414</v>
      </c>
      <c r="F2079" s="410">
        <v>43429</v>
      </c>
      <c r="G2079" s="405" t="s">
        <v>16350</v>
      </c>
      <c r="H2079" s="405">
        <v>781696397</v>
      </c>
      <c r="I2079" s="405"/>
      <c r="J2079" s="405">
        <v>1.9588129999999999</v>
      </c>
      <c r="K2079" s="405">
        <v>33.705444999999997</v>
      </c>
      <c r="L2079" s="405" t="s">
        <v>6866</v>
      </c>
      <c r="M2079" s="405" t="s">
        <v>10495</v>
      </c>
      <c r="N2079" s="405" t="s">
        <v>10495</v>
      </c>
      <c r="O2079" s="405" t="s">
        <v>11435</v>
      </c>
      <c r="P2079" s="405" t="s">
        <v>16351</v>
      </c>
      <c r="Q2079" s="411">
        <v>6</v>
      </c>
      <c r="R2079" s="405" t="s">
        <v>5655</v>
      </c>
      <c r="S2079" s="405" t="s">
        <v>27072</v>
      </c>
      <c r="T2079" s="405" t="s">
        <v>884</v>
      </c>
      <c r="U2079" s="405" t="s">
        <v>319</v>
      </c>
    </row>
    <row r="2080" spans="1:21" x14ac:dyDescent="0.25">
      <c r="A2080" s="405" t="s">
        <v>310</v>
      </c>
      <c r="B2080" s="405" t="s">
        <v>27764</v>
      </c>
      <c r="C2080" s="405" t="s">
        <v>311</v>
      </c>
      <c r="D2080" s="405" t="s">
        <v>9261</v>
      </c>
      <c r="E2080" s="410">
        <v>43412</v>
      </c>
      <c r="F2080" s="410">
        <v>43449</v>
      </c>
      <c r="G2080" s="405" t="s">
        <v>25061</v>
      </c>
      <c r="H2080" s="405">
        <v>787639177</v>
      </c>
      <c r="I2080" s="405"/>
      <c r="J2080" s="405">
        <v>-0.4138</v>
      </c>
      <c r="K2080" s="405">
        <v>29.532900000000001</v>
      </c>
      <c r="L2080" s="405" t="s">
        <v>590</v>
      </c>
      <c r="M2080" s="405" t="s">
        <v>19619</v>
      </c>
      <c r="N2080" s="405" t="s">
        <v>19793</v>
      </c>
      <c r="O2080" s="405" t="s">
        <v>22290</v>
      </c>
      <c r="P2080" s="405" t="s">
        <v>25062</v>
      </c>
      <c r="Q2080" s="411">
        <v>9</v>
      </c>
      <c r="R2080" s="405" t="s">
        <v>6572</v>
      </c>
      <c r="S2080" s="405" t="s">
        <v>27301</v>
      </c>
      <c r="T2080" s="405" t="s">
        <v>884</v>
      </c>
      <c r="U2080" s="405" t="s">
        <v>319</v>
      </c>
    </row>
    <row r="2081" spans="1:21" x14ac:dyDescent="0.25">
      <c r="A2081" s="405" t="s">
        <v>310</v>
      </c>
      <c r="B2081" s="405" t="s">
        <v>19051</v>
      </c>
      <c r="C2081" s="405" t="s">
        <v>327</v>
      </c>
      <c r="D2081" s="405"/>
      <c r="E2081" s="410">
        <v>43411</v>
      </c>
      <c r="F2081" s="410">
        <v>43446</v>
      </c>
      <c r="G2081" s="405" t="s">
        <v>19052</v>
      </c>
      <c r="H2081" s="405">
        <v>785559923</v>
      </c>
      <c r="I2081" s="405">
        <v>778786909</v>
      </c>
      <c r="J2081" s="405">
        <v>2.1723569999999999</v>
      </c>
      <c r="K2081" s="405">
        <v>32.819195000000001</v>
      </c>
      <c r="L2081" s="405" t="s">
        <v>860</v>
      </c>
      <c r="M2081" s="405" t="s">
        <v>18234</v>
      </c>
      <c r="N2081" s="405" t="s">
        <v>19053</v>
      </c>
      <c r="O2081" s="405" t="s">
        <v>19053</v>
      </c>
      <c r="P2081" s="405" t="s">
        <v>19054</v>
      </c>
      <c r="Q2081" s="411">
        <v>9</v>
      </c>
      <c r="R2081" s="405" t="s">
        <v>7208</v>
      </c>
      <c r="S2081" s="405" t="s">
        <v>27275</v>
      </c>
      <c r="T2081" s="405" t="s">
        <v>32102</v>
      </c>
      <c r="U2081" s="405" t="s">
        <v>319</v>
      </c>
    </row>
    <row r="2082" spans="1:21" x14ac:dyDescent="0.25">
      <c r="A2082" s="405" t="s">
        <v>310</v>
      </c>
      <c r="B2082" s="405" t="s">
        <v>24865</v>
      </c>
      <c r="C2082" s="405" t="s">
        <v>327</v>
      </c>
      <c r="D2082" s="405"/>
      <c r="E2082" s="410">
        <v>43411</v>
      </c>
      <c r="F2082" s="410">
        <v>43416</v>
      </c>
      <c r="G2082" s="405" t="s">
        <v>24866</v>
      </c>
      <c r="H2082" s="405">
        <v>788530066</v>
      </c>
      <c r="I2082" s="405">
        <v>703636756</v>
      </c>
      <c r="J2082" s="405">
        <v>0.60665199999999997</v>
      </c>
      <c r="K2082" s="405">
        <v>30.673762</v>
      </c>
      <c r="L2082" s="405" t="s">
        <v>590</v>
      </c>
      <c r="M2082" s="405" t="s">
        <v>19614</v>
      </c>
      <c r="N2082" s="405" t="s">
        <v>19873</v>
      </c>
      <c r="O2082" s="405" t="s">
        <v>24867</v>
      </c>
      <c r="P2082" s="405" t="s">
        <v>24868</v>
      </c>
      <c r="Q2082" s="411">
        <v>6</v>
      </c>
      <c r="R2082" s="405" t="s">
        <v>883</v>
      </c>
      <c r="S2082" s="405" t="s">
        <v>27104</v>
      </c>
      <c r="T2082" s="405" t="s">
        <v>884</v>
      </c>
      <c r="U2082" s="405" t="s">
        <v>319</v>
      </c>
    </row>
    <row r="2083" spans="1:21" x14ac:dyDescent="0.25">
      <c r="A2083" s="405" t="s">
        <v>310</v>
      </c>
      <c r="B2083" s="405" t="s">
        <v>28995</v>
      </c>
      <c r="C2083" s="405" t="s">
        <v>327</v>
      </c>
      <c r="D2083" s="405"/>
      <c r="E2083" s="410">
        <v>43410</v>
      </c>
      <c r="F2083" s="410">
        <v>43442</v>
      </c>
      <c r="G2083" s="405" t="s">
        <v>24858</v>
      </c>
      <c r="H2083" s="405">
        <v>787484466</v>
      </c>
      <c r="I2083" s="405">
        <v>782193135</v>
      </c>
      <c r="J2083" s="405">
        <v>1.0841449999999999</v>
      </c>
      <c r="K2083" s="405">
        <v>29.631489999999999</v>
      </c>
      <c r="L2083" s="405" t="s">
        <v>590</v>
      </c>
      <c r="M2083" s="405" t="s">
        <v>20070</v>
      </c>
      <c r="N2083" s="405" t="s">
        <v>20076</v>
      </c>
      <c r="O2083" s="405" t="s">
        <v>24110</v>
      </c>
      <c r="P2083" s="405" t="s">
        <v>24859</v>
      </c>
      <c r="Q2083" s="411">
        <v>13</v>
      </c>
      <c r="R2083" s="405" t="s">
        <v>24106</v>
      </c>
      <c r="S2083" s="405" t="s">
        <v>27402</v>
      </c>
      <c r="T2083" s="405" t="s">
        <v>884</v>
      </c>
      <c r="U2083" s="405" t="s">
        <v>319</v>
      </c>
    </row>
    <row r="2084" spans="1:21" x14ac:dyDescent="0.25">
      <c r="A2084" s="405" t="s">
        <v>310</v>
      </c>
      <c r="B2084" s="405" t="s">
        <v>24725</v>
      </c>
      <c r="C2084" s="405" t="s">
        <v>327</v>
      </c>
      <c r="D2084" s="405"/>
      <c r="E2084" s="410">
        <v>43409</v>
      </c>
      <c r="F2084" s="410">
        <v>43429</v>
      </c>
      <c r="G2084" s="405" t="s">
        <v>24726</v>
      </c>
      <c r="H2084" s="405">
        <v>772481947</v>
      </c>
      <c r="I2084" s="405"/>
      <c r="J2084" s="405">
        <v>-0.41389999999999999</v>
      </c>
      <c r="K2084" s="405">
        <v>30.101400000000002</v>
      </c>
      <c r="L2084" s="405" t="s">
        <v>590</v>
      </c>
      <c r="M2084" s="405" t="s">
        <v>19725</v>
      </c>
      <c r="N2084" s="405" t="s">
        <v>22297</v>
      </c>
      <c r="O2084" s="405" t="s">
        <v>24727</v>
      </c>
      <c r="P2084" s="405" t="s">
        <v>22435</v>
      </c>
      <c r="Q2084" s="411">
        <v>9</v>
      </c>
      <c r="R2084" s="405" t="s">
        <v>6572</v>
      </c>
      <c r="S2084" s="405" t="s">
        <v>27166</v>
      </c>
      <c r="T2084" s="405" t="s">
        <v>884</v>
      </c>
      <c r="U2084" s="405" t="s">
        <v>319</v>
      </c>
    </row>
    <row r="2085" spans="1:21" x14ac:dyDescent="0.25">
      <c r="A2085" s="405" t="s">
        <v>310</v>
      </c>
      <c r="B2085" s="405" t="s">
        <v>24799</v>
      </c>
      <c r="C2085" s="405" t="s">
        <v>327</v>
      </c>
      <c r="D2085" s="405"/>
      <c r="E2085" s="410">
        <v>43408</v>
      </c>
      <c r="F2085" s="410">
        <v>43451</v>
      </c>
      <c r="G2085" s="405" t="s">
        <v>24800</v>
      </c>
      <c r="H2085" s="405">
        <v>782344054</v>
      </c>
      <c r="I2085" s="405">
        <v>772531668</v>
      </c>
      <c r="J2085" s="405">
        <v>-0.504</v>
      </c>
      <c r="K2085" s="405">
        <v>29.431000000000001</v>
      </c>
      <c r="L2085" s="405" t="s">
        <v>24158</v>
      </c>
      <c r="M2085" s="405" t="s">
        <v>20808</v>
      </c>
      <c r="N2085" s="405" t="s">
        <v>23490</v>
      </c>
      <c r="O2085" s="405" t="s">
        <v>23995</v>
      </c>
      <c r="P2085" s="405" t="s">
        <v>24801</v>
      </c>
      <c r="Q2085" s="411">
        <v>6</v>
      </c>
      <c r="R2085" s="405" t="s">
        <v>6572</v>
      </c>
      <c r="S2085" s="405" t="s">
        <v>27161</v>
      </c>
      <c r="T2085" s="405" t="s">
        <v>32102</v>
      </c>
      <c r="U2085" s="405" t="s">
        <v>319</v>
      </c>
    </row>
    <row r="2086" spans="1:21" x14ac:dyDescent="0.25">
      <c r="A2086" s="405" t="s">
        <v>310</v>
      </c>
      <c r="B2086" s="405" t="s">
        <v>28841</v>
      </c>
      <c r="C2086" s="405" t="s">
        <v>327</v>
      </c>
      <c r="D2086" s="405"/>
      <c r="E2086" s="410">
        <v>44469</v>
      </c>
      <c r="F2086" s="410">
        <v>44499</v>
      </c>
      <c r="G2086" s="405" t="s">
        <v>9132</v>
      </c>
      <c r="H2086" s="405" t="s">
        <v>9133</v>
      </c>
      <c r="I2086" s="405" t="s">
        <v>2913</v>
      </c>
      <c r="J2086" s="405">
        <v>0.46090999999999999</v>
      </c>
      <c r="K2086" s="405">
        <v>32.597923000000002</v>
      </c>
      <c r="L2086" s="405" t="s">
        <v>314</v>
      </c>
      <c r="M2086" s="405" t="s">
        <v>361</v>
      </c>
      <c r="N2086" s="405" t="s">
        <v>5924</v>
      </c>
      <c r="O2086" s="405" t="s">
        <v>9134</v>
      </c>
      <c r="P2086" s="405" t="s">
        <v>9135</v>
      </c>
      <c r="Q2086" s="411">
        <v>20</v>
      </c>
      <c r="R2086" s="405" t="s">
        <v>5903</v>
      </c>
      <c r="S2086" s="405" t="s">
        <v>27153</v>
      </c>
      <c r="T2086" s="405" t="s">
        <v>884</v>
      </c>
      <c r="U2086" s="405" t="s">
        <v>319</v>
      </c>
    </row>
    <row r="2087" spans="1:21" x14ac:dyDescent="0.25">
      <c r="A2087" s="405" t="s">
        <v>310</v>
      </c>
      <c r="B2087" s="405" t="s">
        <v>7123</v>
      </c>
      <c r="C2087" s="405" t="s">
        <v>327</v>
      </c>
      <c r="D2087" s="405"/>
      <c r="E2087" s="410">
        <v>43407</v>
      </c>
      <c r="F2087" s="410">
        <v>43432</v>
      </c>
      <c r="G2087" s="405" t="s">
        <v>7124</v>
      </c>
      <c r="H2087" s="405">
        <v>703280439</v>
      </c>
      <c r="I2087" s="405"/>
      <c r="J2087" s="405">
        <v>0.13746800000000001</v>
      </c>
      <c r="K2087" s="405">
        <v>32.520045000000003</v>
      </c>
      <c r="L2087" s="405" t="s">
        <v>314</v>
      </c>
      <c r="M2087" s="405" t="s">
        <v>361</v>
      </c>
      <c r="N2087" s="405" t="s">
        <v>374</v>
      </c>
      <c r="O2087" s="405" t="s">
        <v>2496</v>
      </c>
      <c r="P2087" s="405" t="s">
        <v>7125</v>
      </c>
      <c r="Q2087" s="411">
        <v>6</v>
      </c>
      <c r="R2087" s="405" t="s">
        <v>5903</v>
      </c>
      <c r="S2087" s="405" t="s">
        <v>27153</v>
      </c>
      <c r="T2087" s="405" t="s">
        <v>884</v>
      </c>
      <c r="U2087" s="405" t="s">
        <v>319</v>
      </c>
    </row>
    <row r="2088" spans="1:21" x14ac:dyDescent="0.25">
      <c r="A2088" s="405" t="s">
        <v>310</v>
      </c>
      <c r="B2088" s="405" t="s">
        <v>24702</v>
      </c>
      <c r="C2088" s="405" t="s">
        <v>327</v>
      </c>
      <c r="D2088" s="405"/>
      <c r="E2088" s="410">
        <v>43406</v>
      </c>
      <c r="F2088" s="410">
        <v>43421</v>
      </c>
      <c r="G2088" s="405" t="s">
        <v>24703</v>
      </c>
      <c r="H2088" s="405">
        <v>750919417</v>
      </c>
      <c r="I2088" s="405"/>
      <c r="J2088" s="405">
        <v>0.58663200000000004</v>
      </c>
      <c r="K2088" s="405" t="s">
        <v>24704</v>
      </c>
      <c r="L2088" s="405" t="s">
        <v>24705</v>
      </c>
      <c r="M2088" s="405" t="s">
        <v>19625</v>
      </c>
      <c r="N2088" s="405" t="s">
        <v>19642</v>
      </c>
      <c r="O2088" s="405" t="s">
        <v>21382</v>
      </c>
      <c r="P2088" s="405" t="s">
        <v>21382</v>
      </c>
      <c r="Q2088" s="411">
        <v>13</v>
      </c>
      <c r="R2088" s="405" t="s">
        <v>883</v>
      </c>
      <c r="S2088" s="405" t="s">
        <v>27183</v>
      </c>
      <c r="T2088" s="405" t="s">
        <v>32102</v>
      </c>
      <c r="U2088" s="405" t="s">
        <v>319</v>
      </c>
    </row>
    <row r="2089" spans="1:21" x14ac:dyDescent="0.25">
      <c r="A2089" s="405" t="s">
        <v>310</v>
      </c>
      <c r="B2089" s="405" t="s">
        <v>24824</v>
      </c>
      <c r="C2089" s="405" t="s">
        <v>327</v>
      </c>
      <c r="D2089" s="405"/>
      <c r="E2089" s="410">
        <v>43406</v>
      </c>
      <c r="F2089" s="410">
        <v>43446</v>
      </c>
      <c r="G2089" s="405" t="s">
        <v>24825</v>
      </c>
      <c r="H2089" s="405">
        <v>782442582</v>
      </c>
      <c r="I2089" s="405" t="s">
        <v>24826</v>
      </c>
      <c r="J2089" s="405">
        <v>0.31559999999999999</v>
      </c>
      <c r="K2089" s="405">
        <v>30.84</v>
      </c>
      <c r="L2089" s="405" t="s">
        <v>24158</v>
      </c>
      <c r="M2089" s="405" t="s">
        <v>24733</v>
      </c>
      <c r="N2089" s="405" t="s">
        <v>24733</v>
      </c>
      <c r="O2089" s="405" t="s">
        <v>21499</v>
      </c>
      <c r="P2089" s="405" t="s">
        <v>20859</v>
      </c>
      <c r="Q2089" s="411">
        <v>6</v>
      </c>
      <c r="R2089" s="405" t="s">
        <v>32166</v>
      </c>
      <c r="S2089" s="405" t="s">
        <v>27132</v>
      </c>
      <c r="T2089" s="405" t="s">
        <v>884</v>
      </c>
      <c r="U2089" s="405" t="s">
        <v>319</v>
      </c>
    </row>
    <row r="2090" spans="1:21" x14ac:dyDescent="0.25">
      <c r="A2090" s="405" t="s">
        <v>310</v>
      </c>
      <c r="B2090" s="405" t="s">
        <v>7118</v>
      </c>
      <c r="C2090" s="405" t="s">
        <v>327</v>
      </c>
      <c r="D2090" s="405"/>
      <c r="E2090" s="410">
        <v>43405</v>
      </c>
      <c r="F2090" s="410">
        <v>43420</v>
      </c>
      <c r="G2090" s="405" t="s">
        <v>7119</v>
      </c>
      <c r="H2090" s="405">
        <v>701881815</v>
      </c>
      <c r="I2090" s="405">
        <v>778777628</v>
      </c>
      <c r="J2090" s="405">
        <v>0.1033</v>
      </c>
      <c r="K2090" s="405">
        <v>32.3324</v>
      </c>
      <c r="L2090" s="405" t="s">
        <v>314</v>
      </c>
      <c r="M2090" s="405" t="s">
        <v>361</v>
      </c>
      <c r="N2090" s="405" t="s">
        <v>374</v>
      </c>
      <c r="O2090" s="405" t="s">
        <v>2496</v>
      </c>
      <c r="P2090" s="405" t="s">
        <v>6650</v>
      </c>
      <c r="Q2090" s="411">
        <v>13</v>
      </c>
      <c r="R2090" s="405" t="s">
        <v>6798</v>
      </c>
      <c r="S2090" s="405" t="s">
        <v>27049</v>
      </c>
      <c r="T2090" s="405" t="s">
        <v>884</v>
      </c>
      <c r="U2090" s="405" t="s">
        <v>319</v>
      </c>
    </row>
    <row r="2091" spans="1:21" x14ac:dyDescent="0.25">
      <c r="A2091" s="405" t="s">
        <v>310</v>
      </c>
      <c r="B2091" s="405" t="s">
        <v>32751</v>
      </c>
      <c r="C2091" s="405" t="s">
        <v>327</v>
      </c>
      <c r="D2091" s="405"/>
      <c r="E2091" s="410">
        <v>43405</v>
      </c>
      <c r="F2091" s="410">
        <v>43413</v>
      </c>
      <c r="G2091" s="405" t="s">
        <v>24767</v>
      </c>
      <c r="H2091" s="405">
        <v>703999186</v>
      </c>
      <c r="I2091" s="405"/>
      <c r="J2091" s="405">
        <v>0.34330699999999997</v>
      </c>
      <c r="K2091" s="405" t="s">
        <v>24768</v>
      </c>
      <c r="L2091" s="405" t="s">
        <v>590</v>
      </c>
      <c r="M2091" s="405" t="s">
        <v>19705</v>
      </c>
      <c r="N2091" s="405" t="s">
        <v>19706</v>
      </c>
      <c r="O2091" s="405" t="s">
        <v>21675</v>
      </c>
      <c r="P2091" s="405" t="s">
        <v>1215</v>
      </c>
      <c r="Q2091" s="411">
        <v>9</v>
      </c>
      <c r="R2091" s="405" t="s">
        <v>883</v>
      </c>
      <c r="S2091" s="405" t="s">
        <v>27104</v>
      </c>
      <c r="T2091" s="405" t="s">
        <v>884</v>
      </c>
      <c r="U2091" s="405" t="s">
        <v>319</v>
      </c>
    </row>
    <row r="2092" spans="1:21" x14ac:dyDescent="0.25">
      <c r="A2092" s="405" t="s">
        <v>310</v>
      </c>
      <c r="B2092" s="405" t="s">
        <v>24775</v>
      </c>
      <c r="C2092" s="405" t="s">
        <v>327</v>
      </c>
      <c r="D2092" s="405"/>
      <c r="E2092" s="410">
        <v>43405</v>
      </c>
      <c r="F2092" s="410">
        <v>43413</v>
      </c>
      <c r="G2092" s="405" t="s">
        <v>24776</v>
      </c>
      <c r="H2092" s="405">
        <v>703999186</v>
      </c>
      <c r="I2092" s="405"/>
      <c r="J2092" s="405">
        <v>0.33152199999999998</v>
      </c>
      <c r="K2092" s="405" t="s">
        <v>24777</v>
      </c>
      <c r="L2092" s="405" t="s">
        <v>590</v>
      </c>
      <c r="M2092" s="405" t="s">
        <v>19705</v>
      </c>
      <c r="N2092" s="405" t="s">
        <v>19706</v>
      </c>
      <c r="O2092" s="405" t="s">
        <v>21675</v>
      </c>
      <c r="P2092" s="405" t="s">
        <v>24778</v>
      </c>
      <c r="Q2092" s="411">
        <v>9</v>
      </c>
      <c r="R2092" s="405" t="s">
        <v>883</v>
      </c>
      <c r="S2092" s="405" t="s">
        <v>27104</v>
      </c>
      <c r="T2092" s="405" t="s">
        <v>884</v>
      </c>
      <c r="U2092" s="405" t="s">
        <v>319</v>
      </c>
    </row>
    <row r="2093" spans="1:21" x14ac:dyDescent="0.25">
      <c r="A2093" s="405" t="s">
        <v>310</v>
      </c>
      <c r="B2093" s="405" t="s">
        <v>16360</v>
      </c>
      <c r="C2093" s="405" t="s">
        <v>327</v>
      </c>
      <c r="D2093" s="405"/>
      <c r="E2093" s="410">
        <v>43405</v>
      </c>
      <c r="F2093" s="410">
        <v>43420</v>
      </c>
      <c r="G2093" s="405" t="s">
        <v>16361</v>
      </c>
      <c r="H2093" s="405">
        <v>783860954</v>
      </c>
      <c r="I2093" s="405"/>
      <c r="J2093" s="405">
        <v>0.90551000000000004</v>
      </c>
      <c r="K2093" s="405" t="s">
        <v>16362</v>
      </c>
      <c r="L2093" s="405" t="s">
        <v>6866</v>
      </c>
      <c r="M2093" s="405" t="s">
        <v>9763</v>
      </c>
      <c r="N2093" s="405" t="s">
        <v>10174</v>
      </c>
      <c r="O2093" s="405" t="s">
        <v>9792</v>
      </c>
      <c r="P2093" s="405" t="s">
        <v>16363</v>
      </c>
      <c r="Q2093" s="411">
        <v>6</v>
      </c>
      <c r="R2093" s="405" t="s">
        <v>7224</v>
      </c>
      <c r="S2093" s="405" t="s">
        <v>27074</v>
      </c>
      <c r="T2093" s="405" t="s">
        <v>884</v>
      </c>
      <c r="U2093" s="405" t="s">
        <v>319</v>
      </c>
    </row>
    <row r="2094" spans="1:21" x14ac:dyDescent="0.25">
      <c r="A2094" s="405" t="s">
        <v>310</v>
      </c>
      <c r="B2094" s="405" t="s">
        <v>7151</v>
      </c>
      <c r="C2094" s="405" t="s">
        <v>327</v>
      </c>
      <c r="D2094" s="405"/>
      <c r="E2094" s="410">
        <v>43402</v>
      </c>
      <c r="F2094" s="410">
        <v>43407</v>
      </c>
      <c r="G2094" s="405" t="s">
        <v>7152</v>
      </c>
      <c r="H2094" s="405">
        <v>700778980</v>
      </c>
      <c r="I2094" s="405"/>
      <c r="J2094" s="405">
        <v>0.40490399999999999</v>
      </c>
      <c r="K2094" s="405">
        <v>32.460700000000003</v>
      </c>
      <c r="L2094" s="405" t="s">
        <v>314</v>
      </c>
      <c r="M2094" s="405" t="s">
        <v>361</v>
      </c>
      <c r="N2094" s="405" t="s">
        <v>7153</v>
      </c>
      <c r="O2094" s="405" t="s">
        <v>361</v>
      </c>
      <c r="P2094" s="405" t="s">
        <v>5606</v>
      </c>
      <c r="Q2094" s="411">
        <v>4</v>
      </c>
      <c r="R2094" s="405" t="s">
        <v>5921</v>
      </c>
      <c r="S2094" s="405" t="s">
        <v>32960</v>
      </c>
      <c r="T2094" s="405" t="s">
        <v>884</v>
      </c>
      <c r="U2094" s="405" t="s">
        <v>319</v>
      </c>
    </row>
    <row r="2095" spans="1:21" x14ac:dyDescent="0.25">
      <c r="A2095" s="405" t="s">
        <v>310</v>
      </c>
      <c r="B2095" s="405" t="s">
        <v>7141</v>
      </c>
      <c r="C2095" s="405" t="s">
        <v>327</v>
      </c>
      <c r="D2095" s="405"/>
      <c r="E2095" s="410">
        <v>43400</v>
      </c>
      <c r="F2095" s="410">
        <v>43430</v>
      </c>
      <c r="G2095" s="405" t="s">
        <v>7142</v>
      </c>
      <c r="H2095" s="405">
        <v>703993864</v>
      </c>
      <c r="I2095" s="405"/>
      <c r="J2095" s="405">
        <v>0.77571000000000001</v>
      </c>
      <c r="K2095" s="405" t="s">
        <v>7143</v>
      </c>
      <c r="L2095" s="405" t="s">
        <v>314</v>
      </c>
      <c r="M2095" s="405" t="s">
        <v>361</v>
      </c>
      <c r="N2095" s="405" t="s">
        <v>374</v>
      </c>
      <c r="O2095" s="405" t="s">
        <v>952</v>
      </c>
      <c r="P2095" s="405" t="s">
        <v>1692</v>
      </c>
      <c r="Q2095" s="411">
        <v>6</v>
      </c>
      <c r="R2095" s="405" t="s">
        <v>32101</v>
      </c>
      <c r="S2095" s="405" t="s">
        <v>27041</v>
      </c>
      <c r="T2095" s="405" t="s">
        <v>884</v>
      </c>
      <c r="U2095" s="405" t="s">
        <v>319</v>
      </c>
    </row>
    <row r="2096" spans="1:21" x14ac:dyDescent="0.25">
      <c r="A2096" s="405" t="s">
        <v>310</v>
      </c>
      <c r="B2096" s="405" t="s">
        <v>24749</v>
      </c>
      <c r="C2096" s="405" t="s">
        <v>327</v>
      </c>
      <c r="D2096" s="405"/>
      <c r="E2096" s="410">
        <v>43399</v>
      </c>
      <c r="F2096" s="410">
        <v>43415</v>
      </c>
      <c r="G2096" s="405" t="s">
        <v>24750</v>
      </c>
      <c r="H2096" s="405">
        <v>779404375</v>
      </c>
      <c r="I2096" s="405"/>
      <c r="J2096" s="405">
        <v>1.4118999999999999</v>
      </c>
      <c r="K2096" s="405">
        <v>31.414100000000001</v>
      </c>
      <c r="L2096" s="405" t="s">
        <v>590</v>
      </c>
      <c r="M2096" s="405" t="s">
        <v>7300</v>
      </c>
      <c r="N2096" s="405" t="s">
        <v>20091</v>
      </c>
      <c r="O2096" s="405" t="s">
        <v>22942</v>
      </c>
      <c r="P2096" s="405" t="s">
        <v>24751</v>
      </c>
      <c r="Q2096" s="411">
        <v>9</v>
      </c>
      <c r="R2096" s="405" t="s">
        <v>6397</v>
      </c>
      <c r="S2096" s="405" t="s">
        <v>22880</v>
      </c>
      <c r="T2096" s="405" t="s">
        <v>884</v>
      </c>
      <c r="U2096" s="405" t="s">
        <v>319</v>
      </c>
    </row>
    <row r="2097" spans="1:21" x14ac:dyDescent="0.25">
      <c r="A2097" s="405" t="s">
        <v>310</v>
      </c>
      <c r="B2097" s="405" t="s">
        <v>16313</v>
      </c>
      <c r="C2097" s="405" t="s">
        <v>327</v>
      </c>
      <c r="D2097" s="405"/>
      <c r="E2097" s="410">
        <v>43399</v>
      </c>
      <c r="F2097" s="410">
        <v>43403</v>
      </c>
      <c r="G2097" s="405" t="s">
        <v>16314</v>
      </c>
      <c r="H2097" s="405">
        <v>773084550</v>
      </c>
      <c r="I2097" s="405"/>
      <c r="J2097" s="405">
        <v>1.0434829999999999</v>
      </c>
      <c r="K2097" s="405">
        <v>34.020490000000002</v>
      </c>
      <c r="L2097" s="405" t="s">
        <v>6866</v>
      </c>
      <c r="M2097" s="405" t="s">
        <v>9676</v>
      </c>
      <c r="N2097" s="405" t="s">
        <v>9676</v>
      </c>
      <c r="O2097" s="405" t="s">
        <v>16315</v>
      </c>
      <c r="P2097" s="405" t="s">
        <v>16316</v>
      </c>
      <c r="Q2097" s="411">
        <v>6</v>
      </c>
      <c r="R2097" s="405" t="s">
        <v>9506</v>
      </c>
      <c r="S2097" s="405" t="s">
        <v>27306</v>
      </c>
      <c r="T2097" s="405" t="s">
        <v>884</v>
      </c>
      <c r="U2097" s="405" t="s">
        <v>319</v>
      </c>
    </row>
    <row r="2098" spans="1:21" x14ac:dyDescent="0.25">
      <c r="A2098" s="405" t="s">
        <v>310</v>
      </c>
      <c r="B2098" s="405" t="s">
        <v>24956</v>
      </c>
      <c r="C2098" s="405" t="s">
        <v>311</v>
      </c>
      <c r="D2098" s="405" t="s">
        <v>5973</v>
      </c>
      <c r="E2098" s="410">
        <v>43397</v>
      </c>
      <c r="F2098" s="410">
        <v>43404</v>
      </c>
      <c r="G2098" s="405" t="s">
        <v>24957</v>
      </c>
      <c r="H2098" s="405">
        <v>776224224</v>
      </c>
      <c r="I2098" s="405"/>
      <c r="J2098" s="405">
        <v>-0.44941500000000001</v>
      </c>
      <c r="K2098" s="405">
        <v>30.555430000000001</v>
      </c>
      <c r="L2098" s="405" t="s">
        <v>590</v>
      </c>
      <c r="M2098" s="405" t="s">
        <v>19614</v>
      </c>
      <c r="N2098" s="405" t="s">
        <v>21192</v>
      </c>
      <c r="O2098" s="405" t="s">
        <v>21192</v>
      </c>
      <c r="P2098" s="405" t="s">
        <v>21192</v>
      </c>
      <c r="Q2098" s="411">
        <v>6</v>
      </c>
      <c r="R2098" s="405" t="s">
        <v>5921</v>
      </c>
      <c r="S2098" s="405" t="s">
        <v>32960</v>
      </c>
      <c r="T2098" s="405" t="s">
        <v>884</v>
      </c>
      <c r="U2098" s="405" t="s">
        <v>319</v>
      </c>
    </row>
    <row r="2099" spans="1:21" x14ac:dyDescent="0.25">
      <c r="A2099" s="405" t="s">
        <v>310</v>
      </c>
      <c r="B2099" s="405" t="s">
        <v>24715</v>
      </c>
      <c r="C2099" s="405" t="s">
        <v>327</v>
      </c>
      <c r="D2099" s="405"/>
      <c r="E2099" s="410">
        <v>43396</v>
      </c>
      <c r="F2099" s="410">
        <v>43411</v>
      </c>
      <c r="G2099" s="405" t="s">
        <v>24716</v>
      </c>
      <c r="H2099" s="405">
        <v>702200170</v>
      </c>
      <c r="I2099" s="405">
        <v>776200170</v>
      </c>
      <c r="J2099" s="405">
        <v>-0.51459999999999995</v>
      </c>
      <c r="K2099" s="405">
        <v>29.582999999999998</v>
      </c>
      <c r="L2099" s="405" t="s">
        <v>590</v>
      </c>
      <c r="M2099" s="405" t="s">
        <v>19619</v>
      </c>
      <c r="N2099" s="405" t="s">
        <v>19620</v>
      </c>
      <c r="O2099" s="405" t="s">
        <v>2430</v>
      </c>
      <c r="P2099" s="405" t="s">
        <v>21347</v>
      </c>
      <c r="Q2099" s="411">
        <v>13</v>
      </c>
      <c r="R2099" s="405" t="s">
        <v>5858</v>
      </c>
      <c r="S2099" s="405" t="s">
        <v>27065</v>
      </c>
      <c r="T2099" s="405" t="s">
        <v>884</v>
      </c>
      <c r="U2099" s="405" t="s">
        <v>319</v>
      </c>
    </row>
    <row r="2100" spans="1:21" x14ac:dyDescent="0.25">
      <c r="A2100" s="405" t="s">
        <v>310</v>
      </c>
      <c r="B2100" s="405" t="s">
        <v>24712</v>
      </c>
      <c r="C2100" s="405" t="s">
        <v>327</v>
      </c>
      <c r="D2100" s="405"/>
      <c r="E2100" s="410">
        <v>43396</v>
      </c>
      <c r="F2100" s="410">
        <v>43419</v>
      </c>
      <c r="G2100" s="405" t="s">
        <v>24713</v>
      </c>
      <c r="H2100" s="405">
        <v>703579151</v>
      </c>
      <c r="I2100" s="405"/>
      <c r="J2100" s="405">
        <v>-0.2525</v>
      </c>
      <c r="K2100" s="405">
        <v>30.532</v>
      </c>
      <c r="L2100" s="405" t="s">
        <v>590</v>
      </c>
      <c r="M2100" s="405" t="s">
        <v>19705</v>
      </c>
      <c r="N2100" s="405" t="s">
        <v>19706</v>
      </c>
      <c r="O2100" s="405" t="s">
        <v>4156</v>
      </c>
      <c r="P2100" s="405" t="s">
        <v>24714</v>
      </c>
      <c r="Q2100" s="411">
        <v>9</v>
      </c>
      <c r="R2100" s="405" t="s">
        <v>874</v>
      </c>
      <c r="S2100" s="405" t="s">
        <v>27405</v>
      </c>
      <c r="T2100" s="405" t="s">
        <v>32102</v>
      </c>
      <c r="U2100" s="405" t="s">
        <v>319</v>
      </c>
    </row>
    <row r="2101" spans="1:21" x14ac:dyDescent="0.25">
      <c r="A2101" s="405" t="s">
        <v>310</v>
      </c>
      <c r="B2101" s="405" t="s">
        <v>24706</v>
      </c>
      <c r="C2101" s="405" t="s">
        <v>327</v>
      </c>
      <c r="D2101" s="405"/>
      <c r="E2101" s="410">
        <v>43396</v>
      </c>
      <c r="F2101" s="410">
        <v>43411</v>
      </c>
      <c r="G2101" s="405" t="s">
        <v>24707</v>
      </c>
      <c r="H2101" s="405">
        <v>703156454</v>
      </c>
      <c r="I2101" s="405"/>
      <c r="J2101" s="405">
        <v>-0.33643299999999998</v>
      </c>
      <c r="K2101" s="405">
        <v>31.09628</v>
      </c>
      <c r="L2101" s="405" t="s">
        <v>590</v>
      </c>
      <c r="M2101" s="405" t="s">
        <v>19705</v>
      </c>
      <c r="N2101" s="405" t="s">
        <v>19706</v>
      </c>
      <c r="O2101" s="405" t="s">
        <v>19706</v>
      </c>
      <c r="P2101" s="405" t="s">
        <v>24708</v>
      </c>
      <c r="Q2101" s="411">
        <v>9</v>
      </c>
      <c r="R2101" s="405" t="s">
        <v>883</v>
      </c>
      <c r="S2101" s="405" t="s">
        <v>27183</v>
      </c>
      <c r="T2101" s="405" t="s">
        <v>884</v>
      </c>
      <c r="U2101" s="405" t="s">
        <v>319</v>
      </c>
    </row>
    <row r="2102" spans="1:21" x14ac:dyDescent="0.25">
      <c r="A2102" s="405" t="s">
        <v>310</v>
      </c>
      <c r="B2102" s="405" t="s">
        <v>24693</v>
      </c>
      <c r="C2102" s="405" t="s">
        <v>327</v>
      </c>
      <c r="D2102" s="405"/>
      <c r="E2102" s="410">
        <v>43396</v>
      </c>
      <c r="F2102" s="410">
        <v>43396</v>
      </c>
      <c r="G2102" s="405" t="s">
        <v>24694</v>
      </c>
      <c r="H2102" s="405">
        <v>787411804</v>
      </c>
      <c r="I2102" s="405"/>
      <c r="J2102" s="405">
        <v>-0.79471800000000004</v>
      </c>
      <c r="K2102" s="405">
        <v>31.007950000000001</v>
      </c>
      <c r="L2102" s="405" t="s">
        <v>590</v>
      </c>
      <c r="M2102" s="405" t="s">
        <v>879</v>
      </c>
      <c r="N2102" s="405" t="s">
        <v>12376</v>
      </c>
      <c r="O2102" s="405" t="s">
        <v>20871</v>
      </c>
      <c r="P2102" s="405" t="s">
        <v>24695</v>
      </c>
      <c r="Q2102" s="411">
        <v>9</v>
      </c>
      <c r="R2102" s="405" t="s">
        <v>883</v>
      </c>
      <c r="S2102" s="405" t="s">
        <v>27301</v>
      </c>
      <c r="T2102" s="405" t="s">
        <v>884</v>
      </c>
      <c r="U2102" s="405" t="s">
        <v>319</v>
      </c>
    </row>
    <row r="2103" spans="1:21" x14ac:dyDescent="0.25">
      <c r="A2103" s="405" t="s">
        <v>310</v>
      </c>
      <c r="B2103" s="405" t="s">
        <v>7144</v>
      </c>
      <c r="C2103" s="405" t="s">
        <v>327</v>
      </c>
      <c r="D2103" s="405"/>
      <c r="E2103" s="410">
        <v>43395</v>
      </c>
      <c r="F2103" s="410">
        <v>43408</v>
      </c>
      <c r="G2103" s="405" t="s">
        <v>7145</v>
      </c>
      <c r="H2103" s="405">
        <v>771886962</v>
      </c>
      <c r="I2103" s="405"/>
      <c r="J2103" s="405">
        <v>0.1114</v>
      </c>
      <c r="K2103" s="405">
        <v>32.202599999999997</v>
      </c>
      <c r="L2103" s="405" t="s">
        <v>314</v>
      </c>
      <c r="M2103" s="405" t="s">
        <v>321</v>
      </c>
      <c r="N2103" s="405" t="s">
        <v>6512</v>
      </c>
      <c r="O2103" s="405" t="s">
        <v>7146</v>
      </c>
      <c r="P2103" s="405" t="s">
        <v>1163</v>
      </c>
      <c r="Q2103" s="411">
        <v>9</v>
      </c>
      <c r="R2103" s="405" t="s">
        <v>4176</v>
      </c>
      <c r="S2103" s="405" t="s">
        <v>27266</v>
      </c>
      <c r="T2103" s="405" t="s">
        <v>32102</v>
      </c>
      <c r="U2103" s="405" t="s">
        <v>319</v>
      </c>
    </row>
    <row r="2104" spans="1:21" x14ac:dyDescent="0.25">
      <c r="A2104" s="405" t="s">
        <v>310</v>
      </c>
      <c r="B2104" s="405" t="s">
        <v>7111</v>
      </c>
      <c r="C2104" s="405" t="s">
        <v>327</v>
      </c>
      <c r="D2104" s="405"/>
      <c r="E2104" s="410">
        <v>43395</v>
      </c>
      <c r="F2104" s="410">
        <v>43400</v>
      </c>
      <c r="G2104" s="405" t="s">
        <v>7112</v>
      </c>
      <c r="H2104" s="405">
        <v>782974852</v>
      </c>
      <c r="I2104" s="405"/>
      <c r="J2104" s="405">
        <v>0.28966799999999998</v>
      </c>
      <c r="K2104" s="405">
        <v>32.819909000000003</v>
      </c>
      <c r="L2104" s="405" t="s">
        <v>314</v>
      </c>
      <c r="M2104" s="405" t="s">
        <v>329</v>
      </c>
      <c r="N2104" s="405" t="s">
        <v>329</v>
      </c>
      <c r="O2104" s="405" t="s">
        <v>7113</v>
      </c>
      <c r="P2104" s="405" t="s">
        <v>7114</v>
      </c>
      <c r="Q2104" s="411">
        <v>6</v>
      </c>
      <c r="R2104" s="405" t="s">
        <v>5921</v>
      </c>
      <c r="S2104" s="405" t="s">
        <v>32960</v>
      </c>
      <c r="T2104" s="405" t="s">
        <v>884</v>
      </c>
      <c r="U2104" s="405" t="s">
        <v>319</v>
      </c>
    </row>
    <row r="2105" spans="1:21" x14ac:dyDescent="0.25">
      <c r="A2105" s="405" t="s">
        <v>310</v>
      </c>
      <c r="B2105" s="405" t="s">
        <v>7138</v>
      </c>
      <c r="C2105" s="405" t="s">
        <v>327</v>
      </c>
      <c r="D2105" s="405"/>
      <c r="E2105" s="410">
        <v>43393</v>
      </c>
      <c r="F2105" s="410">
        <v>43408</v>
      </c>
      <c r="G2105" s="405" t="s">
        <v>7139</v>
      </c>
      <c r="H2105" s="405">
        <v>753487788</v>
      </c>
      <c r="I2105" s="405"/>
      <c r="J2105" s="405">
        <v>0.1736</v>
      </c>
      <c r="K2105" s="405">
        <v>32.493699999999997</v>
      </c>
      <c r="L2105" s="405" t="s">
        <v>314</v>
      </c>
      <c r="M2105" s="405" t="s">
        <v>329</v>
      </c>
      <c r="N2105" s="405" t="s">
        <v>329</v>
      </c>
      <c r="O2105" s="405" t="s">
        <v>909</v>
      </c>
      <c r="P2105" s="405" t="s">
        <v>7140</v>
      </c>
      <c r="Q2105" s="411">
        <v>13</v>
      </c>
      <c r="R2105" s="405" t="s">
        <v>32101</v>
      </c>
      <c r="S2105" s="405" t="s">
        <v>5986</v>
      </c>
      <c r="T2105" s="405" t="s">
        <v>884</v>
      </c>
      <c r="U2105" s="405" t="s">
        <v>319</v>
      </c>
    </row>
    <row r="2106" spans="1:21" x14ac:dyDescent="0.25">
      <c r="A2106" s="405" t="s">
        <v>310</v>
      </c>
      <c r="B2106" s="405" t="s">
        <v>16364</v>
      </c>
      <c r="C2106" s="405" t="s">
        <v>327</v>
      </c>
      <c r="D2106" s="405"/>
      <c r="E2106" s="410">
        <v>43393</v>
      </c>
      <c r="F2106" s="410">
        <v>43408</v>
      </c>
      <c r="G2106" s="405" t="s">
        <v>16365</v>
      </c>
      <c r="H2106" s="405">
        <v>776604457</v>
      </c>
      <c r="I2106" s="405"/>
      <c r="J2106" s="405">
        <v>0.47170000000000001</v>
      </c>
      <c r="K2106" s="405">
        <v>33.381900000000002</v>
      </c>
      <c r="L2106" s="405" t="s">
        <v>6866</v>
      </c>
      <c r="M2106" s="405" t="s">
        <v>5345</v>
      </c>
      <c r="N2106" s="405" t="s">
        <v>16077</v>
      </c>
      <c r="O2106" s="405" t="s">
        <v>1851</v>
      </c>
      <c r="P2106" s="405" t="s">
        <v>16366</v>
      </c>
      <c r="Q2106" s="411">
        <v>9</v>
      </c>
      <c r="R2106" s="405" t="s">
        <v>6822</v>
      </c>
      <c r="S2106" s="405" t="s">
        <v>27174</v>
      </c>
      <c r="T2106" s="405" t="s">
        <v>884</v>
      </c>
      <c r="U2106" s="405" t="s">
        <v>319</v>
      </c>
    </row>
    <row r="2107" spans="1:21" x14ac:dyDescent="0.25">
      <c r="A2107" s="405" t="s">
        <v>310</v>
      </c>
      <c r="B2107" s="405" t="s">
        <v>19033</v>
      </c>
      <c r="C2107" s="405" t="s">
        <v>327</v>
      </c>
      <c r="D2107" s="405"/>
      <c r="E2107" s="410">
        <v>43393</v>
      </c>
      <c r="F2107" s="410">
        <v>43409</v>
      </c>
      <c r="G2107" s="405" t="s">
        <v>19034</v>
      </c>
      <c r="H2107" s="405">
        <v>782133954</v>
      </c>
      <c r="I2107" s="405"/>
      <c r="J2107" s="405">
        <v>2.4137149999999998</v>
      </c>
      <c r="K2107" s="405">
        <v>32.753430000000002</v>
      </c>
      <c r="L2107" s="405" t="s">
        <v>860</v>
      </c>
      <c r="M2107" s="405" t="s">
        <v>18288</v>
      </c>
      <c r="N2107" s="405" t="s">
        <v>18681</v>
      </c>
      <c r="O2107" s="405" t="s">
        <v>18685</v>
      </c>
      <c r="P2107" s="405" t="s">
        <v>19035</v>
      </c>
      <c r="Q2107" s="411">
        <v>6</v>
      </c>
      <c r="R2107" s="405" t="s">
        <v>7208</v>
      </c>
      <c r="S2107" s="405" t="s">
        <v>27275</v>
      </c>
      <c r="T2107" s="405" t="s">
        <v>884</v>
      </c>
      <c r="U2107" s="405" t="s">
        <v>319</v>
      </c>
    </row>
    <row r="2108" spans="1:21" x14ac:dyDescent="0.25">
      <c r="A2108" s="405" t="s">
        <v>310</v>
      </c>
      <c r="B2108" s="405" t="s">
        <v>24752</v>
      </c>
      <c r="C2108" s="405" t="s">
        <v>327</v>
      </c>
      <c r="D2108" s="405"/>
      <c r="E2108" s="410">
        <v>43392</v>
      </c>
      <c r="F2108" s="410">
        <v>43407</v>
      </c>
      <c r="G2108" s="405" t="s">
        <v>24753</v>
      </c>
      <c r="H2108" s="405">
        <v>782341805</v>
      </c>
      <c r="I2108" s="405"/>
      <c r="J2108" s="405">
        <v>-0.70929799999999998</v>
      </c>
      <c r="K2108" s="405">
        <v>30.17258</v>
      </c>
      <c r="L2108" s="405" t="s">
        <v>590</v>
      </c>
      <c r="M2108" s="405" t="s">
        <v>19725</v>
      </c>
      <c r="N2108" s="405" t="s">
        <v>19725</v>
      </c>
      <c r="O2108" s="405" t="s">
        <v>20013</v>
      </c>
      <c r="P2108" s="405" t="s">
        <v>24754</v>
      </c>
      <c r="Q2108" s="411">
        <v>9</v>
      </c>
      <c r="R2108" s="405" t="s">
        <v>883</v>
      </c>
      <c r="S2108" s="405" t="s">
        <v>27399</v>
      </c>
      <c r="T2108" s="405" t="s">
        <v>884</v>
      </c>
      <c r="U2108" s="405" t="s">
        <v>319</v>
      </c>
    </row>
    <row r="2109" spans="1:21" x14ac:dyDescent="0.25">
      <c r="A2109" s="405" t="s">
        <v>310</v>
      </c>
      <c r="B2109" s="405" t="s">
        <v>7135</v>
      </c>
      <c r="C2109" s="405" t="s">
        <v>327</v>
      </c>
      <c r="D2109" s="405"/>
      <c r="E2109" s="410">
        <v>43391</v>
      </c>
      <c r="F2109" s="410">
        <v>43406</v>
      </c>
      <c r="G2109" s="405" t="s">
        <v>7136</v>
      </c>
      <c r="H2109" s="405">
        <v>706791569</v>
      </c>
      <c r="I2109" s="405">
        <v>754156673</v>
      </c>
      <c r="J2109" s="405">
        <v>0.42307</v>
      </c>
      <c r="K2109" s="405">
        <v>31.616882</v>
      </c>
      <c r="L2109" s="405" t="s">
        <v>314</v>
      </c>
      <c r="M2109" s="405" t="s">
        <v>382</v>
      </c>
      <c r="N2109" s="405" t="s">
        <v>2265</v>
      </c>
      <c r="O2109" s="405" t="s">
        <v>894</v>
      </c>
      <c r="P2109" s="405" t="s">
        <v>7137</v>
      </c>
      <c r="Q2109" s="411">
        <v>9</v>
      </c>
      <c r="R2109" s="405" t="s">
        <v>32101</v>
      </c>
      <c r="S2109" s="405" t="s">
        <v>27041</v>
      </c>
      <c r="T2109" s="405" t="s">
        <v>884</v>
      </c>
      <c r="U2109" s="405" t="s">
        <v>319</v>
      </c>
    </row>
    <row r="2110" spans="1:21" x14ac:dyDescent="0.25">
      <c r="A2110" s="405" t="s">
        <v>310</v>
      </c>
      <c r="B2110" s="405" t="s">
        <v>7132</v>
      </c>
      <c r="C2110" s="405" t="s">
        <v>327</v>
      </c>
      <c r="D2110" s="405"/>
      <c r="E2110" s="410">
        <v>43389</v>
      </c>
      <c r="F2110" s="410">
        <v>43424</v>
      </c>
      <c r="G2110" s="405" t="s">
        <v>7133</v>
      </c>
      <c r="H2110" s="405">
        <v>772592770</v>
      </c>
      <c r="I2110" s="405">
        <v>772952838</v>
      </c>
      <c r="J2110" s="405">
        <v>1.2490000000000001</v>
      </c>
      <c r="K2110" s="405">
        <v>33.372399999999999</v>
      </c>
      <c r="L2110" s="405" t="s">
        <v>314</v>
      </c>
      <c r="M2110" s="405" t="s">
        <v>361</v>
      </c>
      <c r="N2110" s="405" t="s">
        <v>6588</v>
      </c>
      <c r="O2110" s="405" t="s">
        <v>7134</v>
      </c>
      <c r="P2110" s="405" t="s">
        <v>7088</v>
      </c>
      <c r="Q2110" s="411">
        <v>9</v>
      </c>
      <c r="R2110" s="405" t="s">
        <v>5665</v>
      </c>
      <c r="S2110" s="405" t="s">
        <v>27051</v>
      </c>
      <c r="T2110" s="405" t="s">
        <v>884</v>
      </c>
      <c r="U2110" s="405" t="s">
        <v>319</v>
      </c>
    </row>
    <row r="2111" spans="1:21" x14ac:dyDescent="0.25">
      <c r="A2111" s="405" t="s">
        <v>310</v>
      </c>
      <c r="B2111" s="405" t="s">
        <v>19040</v>
      </c>
      <c r="C2111" s="405" t="s">
        <v>327</v>
      </c>
      <c r="D2111" s="405"/>
      <c r="E2111" s="410">
        <v>43388</v>
      </c>
      <c r="F2111" s="410">
        <v>43412</v>
      </c>
      <c r="G2111" s="405" t="s">
        <v>19041</v>
      </c>
      <c r="H2111" s="405">
        <v>782877733</v>
      </c>
      <c r="I2111" s="405">
        <v>772840259</v>
      </c>
      <c r="J2111" s="405">
        <v>0.24858</v>
      </c>
      <c r="K2111" s="405">
        <v>32.2027</v>
      </c>
      <c r="L2111" s="405" t="s">
        <v>860</v>
      </c>
      <c r="M2111" s="405" t="s">
        <v>853</v>
      </c>
      <c r="N2111" s="405" t="s">
        <v>18335</v>
      </c>
      <c r="O2111" s="405" t="s">
        <v>18976</v>
      </c>
      <c r="P2111" s="405" t="s">
        <v>19042</v>
      </c>
      <c r="Q2111" s="411">
        <v>9</v>
      </c>
      <c r="R2111" s="405" t="s">
        <v>5665</v>
      </c>
      <c r="S2111" s="405" t="s">
        <v>27179</v>
      </c>
      <c r="T2111" s="405" t="s">
        <v>884</v>
      </c>
      <c r="U2111" s="405" t="s">
        <v>319</v>
      </c>
    </row>
    <row r="2112" spans="1:21" x14ac:dyDescent="0.25">
      <c r="A2112" s="405" t="s">
        <v>310</v>
      </c>
      <c r="B2112" s="405" t="s">
        <v>7108</v>
      </c>
      <c r="C2112" s="405" t="s">
        <v>327</v>
      </c>
      <c r="D2112" s="405"/>
      <c r="E2112" s="410">
        <v>43386</v>
      </c>
      <c r="F2112" s="410">
        <v>43399</v>
      </c>
      <c r="G2112" s="405" t="s">
        <v>7109</v>
      </c>
      <c r="H2112" s="405">
        <v>773954227</v>
      </c>
      <c r="I2112" s="405"/>
      <c r="J2112" s="405">
        <v>0.154</v>
      </c>
      <c r="K2112" s="405">
        <v>32.383699999999997</v>
      </c>
      <c r="L2112" s="405" t="s">
        <v>314</v>
      </c>
      <c r="M2112" s="405" t="s">
        <v>361</v>
      </c>
      <c r="N2112" s="405" t="s">
        <v>374</v>
      </c>
      <c r="O2112" s="405" t="s">
        <v>3590</v>
      </c>
      <c r="P2112" s="405" t="s">
        <v>7110</v>
      </c>
      <c r="Q2112" s="411">
        <v>9</v>
      </c>
      <c r="R2112" s="405" t="s">
        <v>4176</v>
      </c>
      <c r="S2112" s="405" t="s">
        <v>27266</v>
      </c>
      <c r="T2112" s="405" t="s">
        <v>884</v>
      </c>
      <c r="U2112" s="405" t="s">
        <v>319</v>
      </c>
    </row>
    <row r="2113" spans="1:21" x14ac:dyDescent="0.25">
      <c r="A2113" s="405" t="s">
        <v>310</v>
      </c>
      <c r="B2113" s="405" t="s">
        <v>24954</v>
      </c>
      <c r="C2113" s="405" t="s">
        <v>311</v>
      </c>
      <c r="D2113" s="405" t="s">
        <v>9261</v>
      </c>
      <c r="E2113" s="410">
        <v>43385</v>
      </c>
      <c r="F2113" s="410">
        <v>43401</v>
      </c>
      <c r="G2113" s="405" t="s">
        <v>24955</v>
      </c>
      <c r="H2113" s="405">
        <v>772589047</v>
      </c>
      <c r="I2113" s="405"/>
      <c r="J2113" s="405">
        <v>-0.56732000000000005</v>
      </c>
      <c r="K2113" s="405">
        <v>30.137922</v>
      </c>
      <c r="L2113" s="405" t="s">
        <v>590</v>
      </c>
      <c r="M2113" s="405" t="s">
        <v>19625</v>
      </c>
      <c r="N2113" s="405" t="s">
        <v>19626</v>
      </c>
      <c r="O2113" s="405" t="s">
        <v>19979</v>
      </c>
      <c r="P2113" s="405" t="s">
        <v>19980</v>
      </c>
      <c r="Q2113" s="411">
        <v>9</v>
      </c>
      <c r="R2113" s="405" t="s">
        <v>5858</v>
      </c>
      <c r="S2113" s="405" t="s">
        <v>27183</v>
      </c>
      <c r="T2113" s="405" t="s">
        <v>884</v>
      </c>
      <c r="U2113" s="405" t="s">
        <v>319</v>
      </c>
    </row>
    <row r="2114" spans="1:21" x14ac:dyDescent="0.25">
      <c r="A2114" s="405" t="s">
        <v>310</v>
      </c>
      <c r="B2114" s="405" t="s">
        <v>7105</v>
      </c>
      <c r="C2114" s="405" t="s">
        <v>327</v>
      </c>
      <c r="D2114" s="405"/>
      <c r="E2114" s="410">
        <v>43385</v>
      </c>
      <c r="F2114" s="410">
        <v>43400</v>
      </c>
      <c r="G2114" s="405" t="s">
        <v>7106</v>
      </c>
      <c r="H2114" s="405">
        <v>753744158</v>
      </c>
      <c r="I2114" s="405">
        <v>781090745</v>
      </c>
      <c r="J2114" s="405">
        <v>0.22140499999999999</v>
      </c>
      <c r="K2114" s="405">
        <v>32.432231999999999</v>
      </c>
      <c r="L2114" s="405" t="s">
        <v>314</v>
      </c>
      <c r="M2114" s="405" t="s">
        <v>361</v>
      </c>
      <c r="N2114" s="405" t="s">
        <v>5838</v>
      </c>
      <c r="O2114" s="405" t="s">
        <v>2091</v>
      </c>
      <c r="P2114" s="405" t="s">
        <v>7107</v>
      </c>
      <c r="Q2114" s="411">
        <v>9</v>
      </c>
      <c r="R2114" s="405" t="s">
        <v>4176</v>
      </c>
      <c r="S2114" s="405" t="s">
        <v>27053</v>
      </c>
      <c r="T2114" s="405" t="s">
        <v>884</v>
      </c>
      <c r="U2114" s="405" t="s">
        <v>319</v>
      </c>
    </row>
    <row r="2115" spans="1:21" x14ac:dyDescent="0.25">
      <c r="A2115" s="405" t="s">
        <v>310</v>
      </c>
      <c r="B2115" s="405" t="s">
        <v>7157</v>
      </c>
      <c r="C2115" s="405" t="s">
        <v>327</v>
      </c>
      <c r="D2115" s="405"/>
      <c r="E2115" s="410">
        <v>43384</v>
      </c>
      <c r="F2115" s="410">
        <v>43451</v>
      </c>
      <c r="G2115" s="405" t="s">
        <v>7158</v>
      </c>
      <c r="H2115" s="405">
        <v>752942344</v>
      </c>
      <c r="I2115" s="405"/>
      <c r="J2115" s="405">
        <v>-0.41162199999999999</v>
      </c>
      <c r="K2115" s="405">
        <v>31.664622999999999</v>
      </c>
      <c r="L2115" s="405" t="s">
        <v>314</v>
      </c>
      <c r="M2115" s="405" t="s">
        <v>382</v>
      </c>
      <c r="N2115" s="405" t="s">
        <v>4710</v>
      </c>
      <c r="O2115" s="405" t="s">
        <v>5416</v>
      </c>
      <c r="P2115" s="405" t="s">
        <v>7159</v>
      </c>
      <c r="Q2115" s="411">
        <v>9</v>
      </c>
      <c r="R2115" s="405" t="s">
        <v>5986</v>
      </c>
      <c r="S2115" s="405" t="s">
        <v>27117</v>
      </c>
      <c r="T2115" s="405" t="s">
        <v>884</v>
      </c>
      <c r="U2115" s="405" t="s">
        <v>319</v>
      </c>
    </row>
    <row r="2116" spans="1:21" x14ac:dyDescent="0.25">
      <c r="A2116" s="405" t="s">
        <v>310</v>
      </c>
      <c r="B2116" s="405" t="s">
        <v>28217</v>
      </c>
      <c r="C2116" s="405" t="s">
        <v>311</v>
      </c>
      <c r="D2116" s="405" t="s">
        <v>24899</v>
      </c>
      <c r="E2116" s="410">
        <v>43384</v>
      </c>
      <c r="F2116" s="410">
        <v>43399</v>
      </c>
      <c r="G2116" s="405" t="s">
        <v>24900</v>
      </c>
      <c r="H2116" s="405">
        <v>752589047</v>
      </c>
      <c r="I2116" s="405"/>
      <c r="J2116" s="405">
        <v>-0.56732000000000005</v>
      </c>
      <c r="K2116" s="405">
        <v>30.137922</v>
      </c>
      <c r="L2116" s="405" t="s">
        <v>590</v>
      </c>
      <c r="M2116" s="405" t="s">
        <v>19625</v>
      </c>
      <c r="N2116" s="405" t="s">
        <v>19626</v>
      </c>
      <c r="O2116" s="405" t="s">
        <v>19979</v>
      </c>
      <c r="P2116" s="405" t="s">
        <v>19980</v>
      </c>
      <c r="Q2116" s="411">
        <v>9</v>
      </c>
      <c r="R2116" s="405" t="s">
        <v>5858</v>
      </c>
      <c r="S2116" s="405" t="s">
        <v>27183</v>
      </c>
      <c r="T2116" s="405" t="s">
        <v>884</v>
      </c>
      <c r="U2116" s="405" t="s">
        <v>319</v>
      </c>
    </row>
    <row r="2117" spans="1:21" x14ac:dyDescent="0.25">
      <c r="A2117" s="405" t="s">
        <v>310</v>
      </c>
      <c r="B2117" s="405" t="s">
        <v>24638</v>
      </c>
      <c r="C2117" s="405" t="s">
        <v>327</v>
      </c>
      <c r="D2117" s="405"/>
      <c r="E2117" s="410">
        <v>43383</v>
      </c>
      <c r="F2117" s="410">
        <v>43401</v>
      </c>
      <c r="G2117" s="405" t="s">
        <v>24639</v>
      </c>
      <c r="H2117" s="405">
        <v>752415679</v>
      </c>
      <c r="I2117" s="405"/>
      <c r="J2117" s="405">
        <v>-0.828955</v>
      </c>
      <c r="K2117" s="405">
        <v>30.692460000000001</v>
      </c>
      <c r="L2117" s="405" t="s">
        <v>590</v>
      </c>
      <c r="M2117" s="405" t="s">
        <v>879</v>
      </c>
      <c r="N2117" s="405" t="s">
        <v>20145</v>
      </c>
      <c r="O2117" s="405" t="s">
        <v>20304</v>
      </c>
      <c r="P2117" s="405" t="s">
        <v>20304</v>
      </c>
      <c r="Q2117" s="411">
        <v>9</v>
      </c>
      <c r="R2117" s="405" t="s">
        <v>5858</v>
      </c>
      <c r="S2117" s="405" t="s">
        <v>27104</v>
      </c>
      <c r="T2117" s="405" t="s">
        <v>884</v>
      </c>
      <c r="U2117" s="405" t="s">
        <v>319</v>
      </c>
    </row>
    <row r="2118" spans="1:21" x14ac:dyDescent="0.25">
      <c r="A2118" s="405" t="s">
        <v>310</v>
      </c>
      <c r="B2118" s="405" t="s">
        <v>8030</v>
      </c>
      <c r="C2118" s="405" t="s">
        <v>327</v>
      </c>
      <c r="D2118" s="405"/>
      <c r="E2118" s="410">
        <v>43383</v>
      </c>
      <c r="F2118" s="410">
        <v>43806</v>
      </c>
      <c r="G2118" s="405" t="s">
        <v>8031</v>
      </c>
      <c r="H2118" s="405">
        <v>756198239</v>
      </c>
      <c r="I2118" s="405">
        <v>772379787</v>
      </c>
      <c r="J2118" s="405">
        <v>-0.25717699999999999</v>
      </c>
      <c r="K2118" s="405">
        <v>31.819427999999998</v>
      </c>
      <c r="L2118" s="405" t="s">
        <v>314</v>
      </c>
      <c r="M2118" s="405" t="s">
        <v>361</v>
      </c>
      <c r="N2118" s="405" t="s">
        <v>374</v>
      </c>
      <c r="O2118" s="405" t="s">
        <v>2091</v>
      </c>
      <c r="P2118" s="405" t="s">
        <v>8032</v>
      </c>
      <c r="Q2118" s="411">
        <v>6</v>
      </c>
      <c r="R2118" s="405" t="s">
        <v>414</v>
      </c>
      <c r="S2118" s="405" t="s">
        <v>27034</v>
      </c>
      <c r="T2118" s="405" t="s">
        <v>884</v>
      </c>
      <c r="U2118" s="405" t="s">
        <v>319</v>
      </c>
    </row>
    <row r="2119" spans="1:21" x14ac:dyDescent="0.25">
      <c r="A2119" s="405" t="s">
        <v>310</v>
      </c>
      <c r="B2119" s="405" t="s">
        <v>24911</v>
      </c>
      <c r="C2119" s="405" t="s">
        <v>327</v>
      </c>
      <c r="D2119" s="405"/>
      <c r="E2119" s="410">
        <v>43383</v>
      </c>
      <c r="F2119" s="410">
        <v>43521</v>
      </c>
      <c r="G2119" s="405" t="s">
        <v>24912</v>
      </c>
      <c r="H2119" s="405">
        <v>772609082</v>
      </c>
      <c r="I2119" s="405"/>
      <c r="J2119" s="405">
        <v>-0.51342200000000005</v>
      </c>
      <c r="K2119" s="405">
        <v>30.475446999999999</v>
      </c>
      <c r="L2119" s="405" t="s">
        <v>590</v>
      </c>
      <c r="M2119" s="405" t="s">
        <v>19614</v>
      </c>
      <c r="N2119" s="405" t="s">
        <v>19615</v>
      </c>
      <c r="O2119" s="405" t="s">
        <v>20154</v>
      </c>
      <c r="P2119" s="405" t="s">
        <v>24913</v>
      </c>
      <c r="Q2119" s="411">
        <v>6</v>
      </c>
      <c r="R2119" s="405" t="s">
        <v>5858</v>
      </c>
      <c r="S2119" s="405" t="s">
        <v>27227</v>
      </c>
      <c r="T2119" s="405" t="s">
        <v>884</v>
      </c>
      <c r="U2119" s="405" t="s">
        <v>319</v>
      </c>
    </row>
    <row r="2120" spans="1:21" x14ac:dyDescent="0.25">
      <c r="A2120" s="405" t="s">
        <v>310</v>
      </c>
      <c r="B2120" s="405" t="s">
        <v>7102</v>
      </c>
      <c r="C2120" s="405" t="s">
        <v>327</v>
      </c>
      <c r="D2120" s="405"/>
      <c r="E2120" s="410">
        <v>43382</v>
      </c>
      <c r="F2120" s="410">
        <v>43397</v>
      </c>
      <c r="G2120" s="405" t="s">
        <v>7103</v>
      </c>
      <c r="H2120" s="405">
        <v>756151266</v>
      </c>
      <c r="I2120" s="405">
        <v>772503063</v>
      </c>
      <c r="J2120" s="405">
        <v>0.23300000000000001</v>
      </c>
      <c r="K2120" s="405">
        <v>31.212700000000002</v>
      </c>
      <c r="L2120" s="405" t="s">
        <v>314</v>
      </c>
      <c r="M2120" s="405" t="s">
        <v>343</v>
      </c>
      <c r="N2120" s="405" t="s">
        <v>6323</v>
      </c>
      <c r="O2120" s="405" t="s">
        <v>6105</v>
      </c>
      <c r="P2120" s="405" t="s">
        <v>7104</v>
      </c>
      <c r="Q2120" s="411">
        <v>13</v>
      </c>
      <c r="R2120" s="405" t="s">
        <v>32101</v>
      </c>
      <c r="S2120" s="405" t="s">
        <v>27041</v>
      </c>
      <c r="T2120" s="405" t="s">
        <v>32102</v>
      </c>
      <c r="U2120" s="405" t="s">
        <v>319</v>
      </c>
    </row>
    <row r="2121" spans="1:21" x14ac:dyDescent="0.25">
      <c r="A2121" s="405" t="s">
        <v>310</v>
      </c>
      <c r="B2121" s="405" t="s">
        <v>7071</v>
      </c>
      <c r="C2121" s="405" t="s">
        <v>327</v>
      </c>
      <c r="D2121" s="405"/>
      <c r="E2121" s="410">
        <v>43382</v>
      </c>
      <c r="F2121" s="410">
        <v>43397</v>
      </c>
      <c r="G2121" s="405" t="s">
        <v>7072</v>
      </c>
      <c r="H2121" s="405">
        <v>774629595</v>
      </c>
      <c r="I2121" s="405">
        <v>256414348774</v>
      </c>
      <c r="J2121" s="405">
        <v>0.18793199999999999</v>
      </c>
      <c r="K2121" s="405">
        <v>32.79739</v>
      </c>
      <c r="L2121" s="405" t="s">
        <v>314</v>
      </c>
      <c r="M2121" s="405" t="s">
        <v>329</v>
      </c>
      <c r="N2121" s="405" t="s">
        <v>652</v>
      </c>
      <c r="O2121" s="405" t="s">
        <v>909</v>
      </c>
      <c r="P2121" s="405" t="s">
        <v>7073</v>
      </c>
      <c r="Q2121" s="411">
        <v>9</v>
      </c>
      <c r="R2121" s="405" t="s">
        <v>6798</v>
      </c>
      <c r="S2121" s="405" t="s">
        <v>27049</v>
      </c>
      <c r="T2121" s="405" t="s">
        <v>32102</v>
      </c>
      <c r="U2121" s="405" t="s">
        <v>319</v>
      </c>
    </row>
    <row r="2122" spans="1:21" x14ac:dyDescent="0.25">
      <c r="A2122" s="405" t="s">
        <v>310</v>
      </c>
      <c r="B2122" s="405" t="s">
        <v>24690</v>
      </c>
      <c r="C2122" s="405" t="s">
        <v>327</v>
      </c>
      <c r="D2122" s="405"/>
      <c r="E2122" s="410">
        <v>43381</v>
      </c>
      <c r="F2122" s="410">
        <v>43396</v>
      </c>
      <c r="G2122" s="405" t="s">
        <v>24691</v>
      </c>
      <c r="H2122" s="405">
        <v>772568124</v>
      </c>
      <c r="I2122" s="405"/>
      <c r="J2122" s="405">
        <v>-0.65583999999999998</v>
      </c>
      <c r="K2122" s="405">
        <v>30.181923000000001</v>
      </c>
      <c r="L2122" s="405" t="s">
        <v>590</v>
      </c>
      <c r="M2122" s="405" t="s">
        <v>19725</v>
      </c>
      <c r="N2122" s="405" t="s">
        <v>19725</v>
      </c>
      <c r="O2122" s="405" t="s">
        <v>19965</v>
      </c>
      <c r="P2122" s="405" t="s">
        <v>24692</v>
      </c>
      <c r="Q2122" s="411">
        <v>9</v>
      </c>
      <c r="R2122" s="405" t="s">
        <v>883</v>
      </c>
      <c r="S2122" s="405" t="s">
        <v>27227</v>
      </c>
      <c r="T2122" s="405" t="s">
        <v>884</v>
      </c>
      <c r="U2122" s="405" t="s">
        <v>319</v>
      </c>
    </row>
    <row r="2123" spans="1:21" x14ac:dyDescent="0.25">
      <c r="A2123" s="405" t="s">
        <v>310</v>
      </c>
      <c r="B2123" s="405" t="s">
        <v>24761</v>
      </c>
      <c r="C2123" s="405" t="s">
        <v>327</v>
      </c>
      <c r="D2123" s="405"/>
      <c r="E2123" s="410">
        <v>43380</v>
      </c>
      <c r="F2123" s="410">
        <v>43413</v>
      </c>
      <c r="G2123" s="405" t="s">
        <v>24762</v>
      </c>
      <c r="H2123" s="405">
        <v>782555476</v>
      </c>
      <c r="I2123" s="405"/>
      <c r="J2123" s="405">
        <v>-0.41777500000000001</v>
      </c>
      <c r="K2123" s="405">
        <v>30.440837999999999</v>
      </c>
      <c r="L2123" s="405" t="s">
        <v>590</v>
      </c>
      <c r="M2123" s="405" t="s">
        <v>24487</v>
      </c>
      <c r="N2123" s="405" t="s">
        <v>24763</v>
      </c>
      <c r="O2123" s="405" t="s">
        <v>24764</v>
      </c>
      <c r="P2123" s="405" t="s">
        <v>24764</v>
      </c>
      <c r="Q2123" s="411">
        <v>9</v>
      </c>
      <c r="R2123" s="405" t="s">
        <v>883</v>
      </c>
      <c r="S2123" s="405" t="s">
        <v>27104</v>
      </c>
      <c r="T2123" s="405" t="s">
        <v>884</v>
      </c>
      <c r="U2123" s="405" t="s">
        <v>319</v>
      </c>
    </row>
    <row r="2124" spans="1:21" x14ac:dyDescent="0.25">
      <c r="A2124" s="405" t="s">
        <v>310</v>
      </c>
      <c r="B2124" s="405" t="s">
        <v>27534</v>
      </c>
      <c r="C2124" s="405" t="s">
        <v>311</v>
      </c>
      <c r="D2124" s="405" t="s">
        <v>9261</v>
      </c>
      <c r="E2124" s="410">
        <v>43379</v>
      </c>
      <c r="F2124" s="410">
        <v>43495</v>
      </c>
      <c r="G2124" s="405" t="s">
        <v>25143</v>
      </c>
      <c r="H2124" s="405">
        <v>782193135</v>
      </c>
      <c r="I2124" s="405"/>
      <c r="J2124" s="405">
        <v>-1.0841449999999999</v>
      </c>
      <c r="K2124" s="405">
        <v>29.631489999999999</v>
      </c>
      <c r="L2124" s="405" t="s">
        <v>590</v>
      </c>
      <c r="M2124" s="405" t="s">
        <v>20070</v>
      </c>
      <c r="N2124" s="405" t="s">
        <v>20076</v>
      </c>
      <c r="O2124" s="405" t="s">
        <v>24110</v>
      </c>
      <c r="P2124" s="405" t="s">
        <v>24859</v>
      </c>
      <c r="Q2124" s="411">
        <v>13</v>
      </c>
      <c r="R2124" s="405" t="s">
        <v>24106</v>
      </c>
      <c r="S2124" s="405" t="s">
        <v>27402</v>
      </c>
      <c r="T2124" s="405" t="s">
        <v>884</v>
      </c>
      <c r="U2124" s="405" t="s">
        <v>319</v>
      </c>
    </row>
    <row r="2125" spans="1:21" x14ac:dyDescent="0.25">
      <c r="A2125" s="405" t="s">
        <v>310</v>
      </c>
      <c r="B2125" s="405" t="s">
        <v>24659</v>
      </c>
      <c r="C2125" s="405" t="s">
        <v>327</v>
      </c>
      <c r="D2125" s="405"/>
      <c r="E2125" s="410">
        <v>43378</v>
      </c>
      <c r="F2125" s="410">
        <v>43378</v>
      </c>
      <c r="G2125" s="405" t="s">
        <v>24660</v>
      </c>
      <c r="H2125" s="405">
        <v>784129281</v>
      </c>
      <c r="I2125" s="405">
        <v>781080776</v>
      </c>
      <c r="J2125" s="405">
        <v>-0.25283</v>
      </c>
      <c r="K2125" s="405">
        <v>30.352177999999999</v>
      </c>
      <c r="L2125" s="405" t="s">
        <v>590</v>
      </c>
      <c r="M2125" s="405" t="s">
        <v>24487</v>
      </c>
      <c r="N2125" s="405" t="s">
        <v>24487</v>
      </c>
      <c r="O2125" s="405" t="s">
        <v>19722</v>
      </c>
      <c r="P2125" s="405" t="s">
        <v>21492</v>
      </c>
      <c r="Q2125" s="411">
        <v>9</v>
      </c>
      <c r="R2125" s="405" t="s">
        <v>6572</v>
      </c>
      <c r="S2125" s="405" t="s">
        <v>27173</v>
      </c>
      <c r="T2125" s="405" t="s">
        <v>32102</v>
      </c>
      <c r="U2125" s="405" t="s">
        <v>319</v>
      </c>
    </row>
    <row r="2126" spans="1:21" x14ac:dyDescent="0.25">
      <c r="A2126" s="405" t="s">
        <v>310</v>
      </c>
      <c r="B2126" s="405" t="s">
        <v>24636</v>
      </c>
      <c r="C2126" s="405" t="s">
        <v>327</v>
      </c>
      <c r="D2126" s="405"/>
      <c r="E2126" s="410">
        <v>43377</v>
      </c>
      <c r="F2126" s="410">
        <v>43401</v>
      </c>
      <c r="G2126" s="405" t="s">
        <v>24637</v>
      </c>
      <c r="H2126" s="405">
        <v>782460424</v>
      </c>
      <c r="I2126" s="405">
        <v>784272731</v>
      </c>
      <c r="J2126" s="405">
        <v>-0.70908300000000002</v>
      </c>
      <c r="K2126" s="405">
        <v>31.050778000000001</v>
      </c>
      <c r="L2126" s="405" t="s">
        <v>590</v>
      </c>
      <c r="M2126" s="405" t="s">
        <v>879</v>
      </c>
      <c r="N2126" s="405" t="s">
        <v>12376</v>
      </c>
      <c r="O2126" s="405" t="s">
        <v>20481</v>
      </c>
      <c r="P2126" s="405" t="s">
        <v>20155</v>
      </c>
      <c r="Q2126" s="411">
        <v>9</v>
      </c>
      <c r="R2126" s="405" t="s">
        <v>5858</v>
      </c>
      <c r="S2126" s="405" t="s">
        <v>27065</v>
      </c>
      <c r="T2126" s="405" t="s">
        <v>884</v>
      </c>
      <c r="U2126" s="405" t="s">
        <v>319</v>
      </c>
    </row>
    <row r="2127" spans="1:21" x14ac:dyDescent="0.25">
      <c r="A2127" s="405" t="s">
        <v>310</v>
      </c>
      <c r="B2127" s="405" t="s">
        <v>24700</v>
      </c>
      <c r="C2127" s="405" t="s">
        <v>327</v>
      </c>
      <c r="D2127" s="405"/>
      <c r="E2127" s="410">
        <v>43377</v>
      </c>
      <c r="F2127" s="410">
        <v>43392</v>
      </c>
      <c r="G2127" s="405" t="s">
        <v>24701</v>
      </c>
      <c r="H2127" s="405">
        <v>774644984</v>
      </c>
      <c r="I2127" s="405"/>
      <c r="J2127" s="405">
        <v>-0.56936699999999996</v>
      </c>
      <c r="K2127" s="405">
        <v>30.411553000000001</v>
      </c>
      <c r="L2127" s="405" t="s">
        <v>590</v>
      </c>
      <c r="M2127" s="405" t="s">
        <v>19725</v>
      </c>
      <c r="N2127" s="405" t="s">
        <v>19725</v>
      </c>
      <c r="O2127" s="405" t="s">
        <v>20611</v>
      </c>
      <c r="P2127" s="405" t="s">
        <v>20611</v>
      </c>
      <c r="Q2127" s="411">
        <v>9</v>
      </c>
      <c r="R2127" s="405" t="s">
        <v>883</v>
      </c>
      <c r="S2127" s="405" t="s">
        <v>27437</v>
      </c>
      <c r="T2127" s="405" t="s">
        <v>884</v>
      </c>
      <c r="U2127" s="405" t="s">
        <v>319</v>
      </c>
    </row>
    <row r="2128" spans="1:21" x14ac:dyDescent="0.25">
      <c r="A2128" s="405" t="s">
        <v>310</v>
      </c>
      <c r="B2128" s="405" t="s">
        <v>7077</v>
      </c>
      <c r="C2128" s="405" t="s">
        <v>327</v>
      </c>
      <c r="D2128" s="405"/>
      <c r="E2128" s="410">
        <v>43376</v>
      </c>
      <c r="F2128" s="410">
        <v>43403</v>
      </c>
      <c r="G2128" s="405" t="s">
        <v>7078</v>
      </c>
      <c r="H2128" s="405">
        <v>782148920</v>
      </c>
      <c r="I2128" s="405">
        <v>701209559</v>
      </c>
      <c r="J2128" s="405" t="s">
        <v>7079</v>
      </c>
      <c r="K2128" s="405">
        <v>32.596263</v>
      </c>
      <c r="L2128" s="405" t="s">
        <v>314</v>
      </c>
      <c r="M2128" s="405" t="s">
        <v>361</v>
      </c>
      <c r="N2128" s="405" t="s">
        <v>374</v>
      </c>
      <c r="O2128" s="405" t="s">
        <v>618</v>
      </c>
      <c r="P2128" s="405" t="s">
        <v>7080</v>
      </c>
      <c r="Q2128" s="411">
        <v>6</v>
      </c>
      <c r="R2128" s="405" t="s">
        <v>5903</v>
      </c>
      <c r="S2128" s="405" t="s">
        <v>27153</v>
      </c>
      <c r="T2128" s="405" t="s">
        <v>884</v>
      </c>
      <c r="U2128" s="405" t="s">
        <v>319</v>
      </c>
    </row>
    <row r="2129" spans="1:21" x14ac:dyDescent="0.25">
      <c r="A2129" s="405" t="s">
        <v>310</v>
      </c>
      <c r="B2129" s="405" t="s">
        <v>24723</v>
      </c>
      <c r="C2129" s="405" t="s">
        <v>327</v>
      </c>
      <c r="D2129" s="405"/>
      <c r="E2129" s="410">
        <v>43375</v>
      </c>
      <c r="F2129" s="410">
        <v>43405</v>
      </c>
      <c r="G2129" s="405" t="s">
        <v>24724</v>
      </c>
      <c r="H2129" s="405">
        <v>700158365</v>
      </c>
      <c r="I2129" s="405">
        <v>782421855</v>
      </c>
      <c r="J2129" s="405">
        <v>-0.20280000000000001</v>
      </c>
      <c r="K2129" s="405">
        <v>30.473600000000001</v>
      </c>
      <c r="L2129" s="405" t="s">
        <v>590</v>
      </c>
      <c r="M2129" s="405" t="s">
        <v>19705</v>
      </c>
      <c r="N2129" s="405" t="s">
        <v>19706</v>
      </c>
      <c r="O2129" s="405" t="s">
        <v>21291</v>
      </c>
      <c r="P2129" s="405" t="s">
        <v>21291</v>
      </c>
      <c r="Q2129" s="411">
        <v>9</v>
      </c>
      <c r="R2129" s="405" t="s">
        <v>6572</v>
      </c>
      <c r="S2129" s="405" t="s">
        <v>27399</v>
      </c>
      <c r="T2129" s="405" t="s">
        <v>884</v>
      </c>
      <c r="U2129" s="405" t="s">
        <v>319</v>
      </c>
    </row>
    <row r="2130" spans="1:21" x14ac:dyDescent="0.25">
      <c r="A2130" s="405" t="s">
        <v>310</v>
      </c>
      <c r="B2130" s="405" t="s">
        <v>16330</v>
      </c>
      <c r="C2130" s="405" t="s">
        <v>327</v>
      </c>
      <c r="D2130" s="405"/>
      <c r="E2130" s="410">
        <v>43375</v>
      </c>
      <c r="F2130" s="410">
        <v>43390</v>
      </c>
      <c r="G2130" s="405" t="s">
        <v>16331</v>
      </c>
      <c r="H2130" s="405">
        <v>772997565</v>
      </c>
      <c r="I2130" s="405"/>
      <c r="J2130" s="405">
        <v>1.5541</v>
      </c>
      <c r="K2130" s="405">
        <v>33.383299999999998</v>
      </c>
      <c r="L2130" s="405" t="s">
        <v>6866</v>
      </c>
      <c r="M2130" s="405" t="s">
        <v>10495</v>
      </c>
      <c r="N2130" s="405" t="s">
        <v>10525</v>
      </c>
      <c r="O2130" s="405" t="s">
        <v>10526</v>
      </c>
      <c r="P2130" s="405" t="s">
        <v>16332</v>
      </c>
      <c r="Q2130" s="411">
        <v>6</v>
      </c>
      <c r="R2130" s="405" t="s">
        <v>5655</v>
      </c>
      <c r="S2130" s="405" t="s">
        <v>27351</v>
      </c>
      <c r="T2130" s="405" t="s">
        <v>884</v>
      </c>
      <c r="U2130" s="405" t="s">
        <v>319</v>
      </c>
    </row>
    <row r="2131" spans="1:21" x14ac:dyDescent="0.25">
      <c r="A2131" s="405" t="s">
        <v>310</v>
      </c>
      <c r="B2131" s="405" t="s">
        <v>24640</v>
      </c>
      <c r="C2131" s="405" t="s">
        <v>327</v>
      </c>
      <c r="D2131" s="405"/>
      <c r="E2131" s="410">
        <v>43374</v>
      </c>
      <c r="F2131" s="410">
        <v>43395</v>
      </c>
      <c r="G2131" s="405" t="s">
        <v>24641</v>
      </c>
      <c r="H2131" s="405">
        <v>779698716</v>
      </c>
      <c r="I2131" s="405"/>
      <c r="J2131" s="405">
        <v>0.39015499999999997</v>
      </c>
      <c r="K2131" s="405">
        <v>30.309197999999999</v>
      </c>
      <c r="L2131" s="405" t="s">
        <v>590</v>
      </c>
      <c r="M2131" s="405" t="s">
        <v>24487</v>
      </c>
      <c r="N2131" s="405" t="s">
        <v>24487</v>
      </c>
      <c r="O2131" s="405" t="s">
        <v>24552</v>
      </c>
      <c r="P2131" s="405" t="s">
        <v>24642</v>
      </c>
      <c r="Q2131" s="411">
        <v>9</v>
      </c>
      <c r="R2131" s="405" t="s">
        <v>6943</v>
      </c>
      <c r="S2131" s="405" t="s">
        <v>27227</v>
      </c>
      <c r="T2131" s="405" t="s">
        <v>884</v>
      </c>
      <c r="U2131" s="405" t="s">
        <v>319</v>
      </c>
    </row>
    <row r="2132" spans="1:21" x14ac:dyDescent="0.25">
      <c r="A2132" s="405" t="s">
        <v>310</v>
      </c>
      <c r="B2132" s="405" t="s">
        <v>24646</v>
      </c>
      <c r="C2132" s="405" t="s">
        <v>327</v>
      </c>
      <c r="D2132" s="405"/>
      <c r="E2132" s="410">
        <v>43374</v>
      </c>
      <c r="F2132" s="410">
        <v>43389</v>
      </c>
      <c r="G2132" s="405" t="s">
        <v>24647</v>
      </c>
      <c r="H2132" s="405">
        <v>702680262</v>
      </c>
      <c r="I2132" s="405" t="s">
        <v>24648</v>
      </c>
      <c r="J2132" s="405">
        <v>0.31240000000000001</v>
      </c>
      <c r="K2132" s="405">
        <v>30.3931</v>
      </c>
      <c r="L2132" s="405" t="s">
        <v>24545</v>
      </c>
      <c r="M2132" s="405" t="s">
        <v>19614</v>
      </c>
      <c r="N2132" s="405" t="s">
        <v>20619</v>
      </c>
      <c r="O2132" s="405" t="s">
        <v>19615</v>
      </c>
      <c r="P2132" s="405" t="s">
        <v>1564</v>
      </c>
      <c r="Q2132" s="411">
        <v>9</v>
      </c>
      <c r="R2132" s="405" t="s">
        <v>6943</v>
      </c>
      <c r="S2132" s="405" t="s">
        <v>27435</v>
      </c>
      <c r="T2132" s="405" t="s">
        <v>32102</v>
      </c>
      <c r="U2132" s="405" t="s">
        <v>319</v>
      </c>
    </row>
    <row r="2133" spans="1:21" x14ac:dyDescent="0.25">
      <c r="A2133" s="405" t="s">
        <v>310</v>
      </c>
      <c r="B2133" s="405" t="s">
        <v>24670</v>
      </c>
      <c r="C2133" s="405" t="s">
        <v>327</v>
      </c>
      <c r="D2133" s="405"/>
      <c r="E2133" s="410">
        <v>43373</v>
      </c>
      <c r="F2133" s="410">
        <v>43403</v>
      </c>
      <c r="G2133" s="405" t="s">
        <v>24671</v>
      </c>
      <c r="H2133" s="405">
        <v>772440639</v>
      </c>
      <c r="I2133" s="405"/>
      <c r="J2133" s="405">
        <v>-1.010292</v>
      </c>
      <c r="K2133" s="405">
        <v>30.088736999999998</v>
      </c>
      <c r="L2133" s="405" t="s">
        <v>590</v>
      </c>
      <c r="M2133" s="405" t="s">
        <v>19659</v>
      </c>
      <c r="N2133" s="405" t="s">
        <v>19677</v>
      </c>
      <c r="O2133" s="405" t="s">
        <v>19726</v>
      </c>
      <c r="P2133" s="405" t="s">
        <v>24672</v>
      </c>
      <c r="Q2133" s="411">
        <v>9</v>
      </c>
      <c r="R2133" s="405" t="s">
        <v>5858</v>
      </c>
      <c r="S2133" s="405" t="s">
        <v>27436</v>
      </c>
      <c r="T2133" s="405" t="s">
        <v>884</v>
      </c>
      <c r="U2133" s="405" t="s">
        <v>319</v>
      </c>
    </row>
    <row r="2134" spans="1:21" x14ac:dyDescent="0.25">
      <c r="A2134" s="405" t="s">
        <v>310</v>
      </c>
      <c r="B2134" s="405" t="s">
        <v>24664</v>
      </c>
      <c r="C2134" s="405" t="s">
        <v>327</v>
      </c>
      <c r="D2134" s="405"/>
      <c r="E2134" s="410">
        <v>43373</v>
      </c>
      <c r="F2134" s="410">
        <v>43403</v>
      </c>
      <c r="G2134" s="405" t="s">
        <v>24665</v>
      </c>
      <c r="H2134" s="405">
        <v>775234727</v>
      </c>
      <c r="I2134" s="405">
        <v>782420097</v>
      </c>
      <c r="J2134" s="405">
        <v>0.59399999999999997</v>
      </c>
      <c r="K2134" s="405">
        <v>30.1525</v>
      </c>
      <c r="L2134" s="405" t="s">
        <v>590</v>
      </c>
      <c r="M2134" s="405" t="s">
        <v>19659</v>
      </c>
      <c r="N2134" s="405" t="s">
        <v>23674</v>
      </c>
      <c r="O2134" s="405" t="s">
        <v>19968</v>
      </c>
      <c r="P2134" s="405" t="s">
        <v>24666</v>
      </c>
      <c r="Q2134" s="411">
        <v>9</v>
      </c>
      <c r="R2134" s="405" t="s">
        <v>6572</v>
      </c>
      <c r="S2134" s="405" t="s">
        <v>27434</v>
      </c>
      <c r="T2134" s="405" t="s">
        <v>884</v>
      </c>
      <c r="U2134" s="405" t="s">
        <v>319</v>
      </c>
    </row>
    <row r="2135" spans="1:21" x14ac:dyDescent="0.25">
      <c r="A2135" s="405" t="s">
        <v>310</v>
      </c>
      <c r="B2135" s="405" t="s">
        <v>24643</v>
      </c>
      <c r="C2135" s="405" t="s">
        <v>327</v>
      </c>
      <c r="D2135" s="405"/>
      <c r="E2135" s="410">
        <v>43373</v>
      </c>
      <c r="F2135" s="410">
        <v>43388</v>
      </c>
      <c r="G2135" s="405" t="s">
        <v>24644</v>
      </c>
      <c r="H2135" s="405">
        <v>776634463</v>
      </c>
      <c r="I2135" s="405" t="s">
        <v>24645</v>
      </c>
      <c r="J2135" s="405">
        <v>0.19420000000000001</v>
      </c>
      <c r="K2135" s="405">
        <v>30.501200000000001</v>
      </c>
      <c r="L2135" s="405" t="s">
        <v>24158</v>
      </c>
      <c r="M2135" s="405" t="s">
        <v>19705</v>
      </c>
      <c r="N2135" s="405" t="s">
        <v>21291</v>
      </c>
      <c r="O2135" s="405" t="s">
        <v>19706</v>
      </c>
      <c r="P2135" s="405" t="s">
        <v>21291</v>
      </c>
      <c r="Q2135" s="411">
        <v>9</v>
      </c>
      <c r="R2135" s="405" t="s">
        <v>6943</v>
      </c>
      <c r="S2135" s="405" t="s">
        <v>27095</v>
      </c>
      <c r="T2135" s="405" t="s">
        <v>884</v>
      </c>
      <c r="U2135" s="405" t="s">
        <v>319</v>
      </c>
    </row>
    <row r="2136" spans="1:21" x14ac:dyDescent="0.25">
      <c r="A2136" s="405" t="s">
        <v>310</v>
      </c>
      <c r="B2136" s="405" t="s">
        <v>16308</v>
      </c>
      <c r="C2136" s="405" t="s">
        <v>327</v>
      </c>
      <c r="D2136" s="405"/>
      <c r="E2136" s="410">
        <v>43373</v>
      </c>
      <c r="F2136" s="410">
        <v>43377</v>
      </c>
      <c r="G2136" s="405" t="s">
        <v>16309</v>
      </c>
      <c r="H2136" s="405">
        <v>777774009</v>
      </c>
      <c r="I2136" s="405"/>
      <c r="J2136" s="405">
        <v>0.91532199999999997</v>
      </c>
      <c r="K2136" s="405">
        <v>34.343437000000002</v>
      </c>
      <c r="L2136" s="405" t="s">
        <v>6866</v>
      </c>
      <c r="M2136" s="405" t="s">
        <v>9763</v>
      </c>
      <c r="N2136" s="405" t="s">
        <v>10174</v>
      </c>
      <c r="O2136" s="405" t="s">
        <v>11333</v>
      </c>
      <c r="P2136" s="405" t="s">
        <v>16310</v>
      </c>
      <c r="Q2136" s="411">
        <v>6</v>
      </c>
      <c r="R2136" s="405" t="s">
        <v>6871</v>
      </c>
      <c r="S2136" s="405" t="s">
        <v>27074</v>
      </c>
      <c r="T2136" s="405" t="s">
        <v>32102</v>
      </c>
      <c r="U2136" s="405" t="s">
        <v>319</v>
      </c>
    </row>
    <row r="2137" spans="1:21" x14ac:dyDescent="0.25">
      <c r="A2137" s="405" t="s">
        <v>310</v>
      </c>
      <c r="B2137" s="405" t="s">
        <v>7100</v>
      </c>
      <c r="C2137" s="405" t="s">
        <v>327</v>
      </c>
      <c r="D2137" s="405"/>
      <c r="E2137" s="410">
        <v>43371</v>
      </c>
      <c r="F2137" s="410">
        <v>43386</v>
      </c>
      <c r="G2137" s="405" t="s">
        <v>7101</v>
      </c>
      <c r="H2137" s="405">
        <v>772525375</v>
      </c>
      <c r="I2137" s="405">
        <v>755015468</v>
      </c>
      <c r="J2137" s="405">
        <v>-0.19589999999999999</v>
      </c>
      <c r="K2137" s="405">
        <v>31.4544</v>
      </c>
      <c r="L2137" s="405" t="s">
        <v>314</v>
      </c>
      <c r="M2137" s="405" t="s">
        <v>382</v>
      </c>
      <c r="N2137" s="405" t="s">
        <v>2265</v>
      </c>
      <c r="O2137" s="405" t="s">
        <v>1265</v>
      </c>
      <c r="P2137" s="405" t="s">
        <v>946</v>
      </c>
      <c r="Q2137" s="411">
        <v>9</v>
      </c>
      <c r="R2137" s="405" t="s">
        <v>32101</v>
      </c>
      <c r="S2137" s="405" t="s">
        <v>27186</v>
      </c>
      <c r="T2137" s="405" t="s">
        <v>884</v>
      </c>
      <c r="U2137" s="405" t="s">
        <v>319</v>
      </c>
    </row>
    <row r="2138" spans="1:21" x14ac:dyDescent="0.25">
      <c r="A2138" s="405" t="s">
        <v>310</v>
      </c>
      <c r="B2138" s="405" t="s">
        <v>24923</v>
      </c>
      <c r="C2138" s="405" t="s">
        <v>311</v>
      </c>
      <c r="D2138" s="405" t="s">
        <v>5973</v>
      </c>
      <c r="E2138" s="410">
        <v>43371</v>
      </c>
      <c r="F2138" s="410">
        <v>43386</v>
      </c>
      <c r="G2138" s="405" t="s">
        <v>24924</v>
      </c>
      <c r="H2138" s="405">
        <v>774718769</v>
      </c>
      <c r="I2138" s="405">
        <v>782622395</v>
      </c>
      <c r="J2138" s="405">
        <v>0.46500000000000002</v>
      </c>
      <c r="K2138" s="405">
        <v>29.391300000000001</v>
      </c>
      <c r="L2138" s="405" t="s">
        <v>590</v>
      </c>
      <c r="M2138" s="405" t="s">
        <v>20808</v>
      </c>
      <c r="N2138" s="405" t="s">
        <v>23490</v>
      </c>
      <c r="O2138" s="405" t="s">
        <v>20560</v>
      </c>
      <c r="P2138" s="405" t="s">
        <v>24925</v>
      </c>
      <c r="Q2138" s="411">
        <v>9</v>
      </c>
      <c r="R2138" s="405" t="s">
        <v>6572</v>
      </c>
      <c r="S2138" s="405" t="s">
        <v>27161</v>
      </c>
      <c r="T2138" s="405" t="s">
        <v>884</v>
      </c>
      <c r="U2138" s="405" t="s">
        <v>319</v>
      </c>
    </row>
    <row r="2139" spans="1:21" x14ac:dyDescent="0.25">
      <c r="A2139" s="405" t="s">
        <v>310</v>
      </c>
      <c r="B2139" s="405" t="s">
        <v>24661</v>
      </c>
      <c r="C2139" s="405" t="s">
        <v>327</v>
      </c>
      <c r="D2139" s="405"/>
      <c r="E2139" s="410">
        <v>43371</v>
      </c>
      <c r="F2139" s="410">
        <v>43386</v>
      </c>
      <c r="G2139" s="405" t="s">
        <v>24662</v>
      </c>
      <c r="H2139" s="405">
        <v>775760208</v>
      </c>
      <c r="I2139" s="405">
        <v>774570580</v>
      </c>
      <c r="J2139" s="405">
        <v>0.49099999999999999</v>
      </c>
      <c r="K2139" s="405">
        <v>29.485600000000002</v>
      </c>
      <c r="L2139" s="405" t="s">
        <v>590</v>
      </c>
      <c r="M2139" s="405" t="s">
        <v>20808</v>
      </c>
      <c r="N2139" s="405" t="s">
        <v>20809</v>
      </c>
      <c r="O2139" s="405" t="s">
        <v>21489</v>
      </c>
      <c r="P2139" s="405" t="s">
        <v>24663</v>
      </c>
      <c r="Q2139" s="411">
        <v>9</v>
      </c>
      <c r="R2139" s="405" t="s">
        <v>6572</v>
      </c>
      <c r="S2139" s="405" t="s">
        <v>27166</v>
      </c>
      <c r="T2139" s="405" t="s">
        <v>884</v>
      </c>
      <c r="U2139" s="405" t="s">
        <v>319</v>
      </c>
    </row>
    <row r="2140" spans="1:21" x14ac:dyDescent="0.25">
      <c r="A2140" s="405" t="s">
        <v>310</v>
      </c>
      <c r="B2140" s="405" t="s">
        <v>7160</v>
      </c>
      <c r="C2140" s="405" t="s">
        <v>327</v>
      </c>
      <c r="D2140" s="405"/>
      <c r="E2140" s="410">
        <v>43369</v>
      </c>
      <c r="F2140" s="410">
        <v>43444</v>
      </c>
      <c r="G2140" s="405" t="s">
        <v>7161</v>
      </c>
      <c r="H2140" s="405">
        <v>772382625</v>
      </c>
      <c r="I2140" s="405"/>
      <c r="J2140" s="405">
        <v>0.27256200000000003</v>
      </c>
      <c r="K2140" s="405">
        <v>32.810876999999998</v>
      </c>
      <c r="L2140" s="405" t="s">
        <v>314</v>
      </c>
      <c r="M2140" s="405" t="s">
        <v>329</v>
      </c>
      <c r="N2140" s="405" t="s">
        <v>652</v>
      </c>
      <c r="O2140" s="405" t="s">
        <v>653</v>
      </c>
      <c r="P2140" s="405" t="s">
        <v>7162</v>
      </c>
      <c r="Q2140" s="411">
        <v>9</v>
      </c>
      <c r="R2140" s="405" t="s">
        <v>6798</v>
      </c>
      <c r="S2140" s="405" t="s">
        <v>27049</v>
      </c>
      <c r="T2140" s="405" t="s">
        <v>884</v>
      </c>
      <c r="U2140" s="405" t="s">
        <v>319</v>
      </c>
    </row>
    <row r="2141" spans="1:21" x14ac:dyDescent="0.25">
      <c r="A2141" s="405" t="s">
        <v>310</v>
      </c>
      <c r="B2141" s="405" t="s">
        <v>7094</v>
      </c>
      <c r="C2141" s="405" t="s">
        <v>327</v>
      </c>
      <c r="D2141" s="405"/>
      <c r="E2141" s="410">
        <v>43369</v>
      </c>
      <c r="F2141" s="410">
        <v>43384</v>
      </c>
      <c r="G2141" s="405" t="s">
        <v>7095</v>
      </c>
      <c r="H2141" s="405">
        <v>772920672</v>
      </c>
      <c r="I2141" s="405">
        <v>702920672</v>
      </c>
      <c r="J2141" s="405">
        <v>0.25269999999999998</v>
      </c>
      <c r="K2141" s="405">
        <v>32.302999999999997</v>
      </c>
      <c r="L2141" s="405" t="s">
        <v>314</v>
      </c>
      <c r="M2141" s="405" t="s">
        <v>361</v>
      </c>
      <c r="N2141" s="405" t="s">
        <v>374</v>
      </c>
      <c r="O2141" s="405" t="s">
        <v>7063</v>
      </c>
      <c r="P2141" s="405" t="s">
        <v>7096</v>
      </c>
      <c r="Q2141" s="411">
        <v>9</v>
      </c>
      <c r="R2141" s="405" t="s">
        <v>32101</v>
      </c>
      <c r="S2141" s="405" t="s">
        <v>5986</v>
      </c>
      <c r="T2141" s="405" t="s">
        <v>884</v>
      </c>
      <c r="U2141" s="405" t="s">
        <v>319</v>
      </c>
    </row>
    <row r="2142" spans="1:21" x14ac:dyDescent="0.25">
      <c r="A2142" s="405" t="s">
        <v>310</v>
      </c>
      <c r="B2142" s="405" t="s">
        <v>7091</v>
      </c>
      <c r="C2142" s="405" t="s">
        <v>327</v>
      </c>
      <c r="D2142" s="405"/>
      <c r="E2142" s="410">
        <v>43368</v>
      </c>
      <c r="F2142" s="410">
        <v>43383</v>
      </c>
      <c r="G2142" s="405" t="s">
        <v>7092</v>
      </c>
      <c r="H2142" s="405">
        <v>704589937</v>
      </c>
      <c r="I2142" s="405">
        <v>775544591</v>
      </c>
      <c r="J2142" s="405">
        <v>-0.56900300000000004</v>
      </c>
      <c r="K2142" s="405">
        <v>30.548492</v>
      </c>
      <c r="L2142" s="405" t="s">
        <v>6994</v>
      </c>
      <c r="M2142" s="405" t="s">
        <v>329</v>
      </c>
      <c r="N2142" s="405" t="s">
        <v>5950</v>
      </c>
      <c r="O2142" s="405" t="s">
        <v>546</v>
      </c>
      <c r="P2142" s="405" t="s">
        <v>7093</v>
      </c>
      <c r="Q2142" s="411">
        <v>13</v>
      </c>
      <c r="R2142" s="405" t="s">
        <v>414</v>
      </c>
      <c r="S2142" s="405" t="s">
        <v>414</v>
      </c>
      <c r="T2142" s="405" t="s">
        <v>32102</v>
      </c>
      <c r="U2142" s="405" t="s">
        <v>319</v>
      </c>
    </row>
    <row r="2143" spans="1:21" x14ac:dyDescent="0.25">
      <c r="A2143" s="405" t="s">
        <v>310</v>
      </c>
      <c r="B2143" s="405" t="s">
        <v>24717</v>
      </c>
      <c r="C2143" s="405" t="s">
        <v>327</v>
      </c>
      <c r="D2143" s="405"/>
      <c r="E2143" s="410">
        <v>43366</v>
      </c>
      <c r="F2143" s="410">
        <v>43433</v>
      </c>
      <c r="G2143" s="405" t="s">
        <v>24718</v>
      </c>
      <c r="H2143" s="405">
        <v>772318006</v>
      </c>
      <c r="I2143" s="405" t="s">
        <v>24719</v>
      </c>
      <c r="J2143" s="405">
        <v>1.0301180000000001</v>
      </c>
      <c r="K2143" s="405">
        <v>30.279945000000001</v>
      </c>
      <c r="L2143" s="405" t="s">
        <v>590</v>
      </c>
      <c r="M2143" s="405" t="s">
        <v>24720</v>
      </c>
      <c r="N2143" s="405" t="s">
        <v>24720</v>
      </c>
      <c r="O2143" s="405" t="s">
        <v>24721</v>
      </c>
      <c r="P2143" s="405" t="s">
        <v>24722</v>
      </c>
      <c r="Q2143" s="411">
        <v>13</v>
      </c>
      <c r="R2143" s="405" t="s">
        <v>6572</v>
      </c>
      <c r="S2143" s="405" t="s">
        <v>27301</v>
      </c>
      <c r="T2143" s="405" t="s">
        <v>884</v>
      </c>
      <c r="U2143" s="405" t="s">
        <v>319</v>
      </c>
    </row>
    <row r="2144" spans="1:21" x14ac:dyDescent="0.25">
      <c r="A2144" s="405" t="s">
        <v>310</v>
      </c>
      <c r="B2144" s="405" t="s">
        <v>24685</v>
      </c>
      <c r="C2144" s="405" t="s">
        <v>327</v>
      </c>
      <c r="D2144" s="405"/>
      <c r="E2144" s="410">
        <v>43366</v>
      </c>
      <c r="F2144" s="410">
        <v>43396</v>
      </c>
      <c r="G2144" s="405" t="s">
        <v>24686</v>
      </c>
      <c r="H2144" s="405">
        <v>772308161</v>
      </c>
      <c r="I2144" s="405"/>
      <c r="J2144" s="405">
        <v>-0.74713189999999996</v>
      </c>
      <c r="K2144" s="405" t="s">
        <v>24687</v>
      </c>
      <c r="L2144" s="405" t="s">
        <v>24158</v>
      </c>
      <c r="M2144" s="405" t="s">
        <v>21087</v>
      </c>
      <c r="N2144" s="405" t="s">
        <v>21194</v>
      </c>
      <c r="O2144" s="405" t="s">
        <v>24688</v>
      </c>
      <c r="P2144" s="405" t="s">
        <v>24689</v>
      </c>
      <c r="Q2144" s="411">
        <v>13</v>
      </c>
      <c r="R2144" s="405" t="s">
        <v>5665</v>
      </c>
      <c r="S2144" s="405" t="s">
        <v>27051</v>
      </c>
      <c r="T2144" s="405" t="s">
        <v>884</v>
      </c>
      <c r="U2144" s="405" t="s">
        <v>319</v>
      </c>
    </row>
    <row r="2145" spans="1:21" x14ac:dyDescent="0.25">
      <c r="A2145" s="405" t="s">
        <v>310</v>
      </c>
      <c r="B2145" s="405" t="s">
        <v>7097</v>
      </c>
      <c r="C2145" s="405" t="s">
        <v>327</v>
      </c>
      <c r="D2145" s="405"/>
      <c r="E2145" s="410">
        <v>43365</v>
      </c>
      <c r="F2145" s="410">
        <v>43380</v>
      </c>
      <c r="G2145" s="405" t="s">
        <v>7098</v>
      </c>
      <c r="H2145" s="405">
        <v>775192883</v>
      </c>
      <c r="I2145" s="405">
        <v>700414577</v>
      </c>
      <c r="J2145" s="405">
        <v>0.28260000000000002</v>
      </c>
      <c r="K2145" s="405">
        <v>32.411099999999998</v>
      </c>
      <c r="L2145" s="405" t="s">
        <v>314</v>
      </c>
      <c r="M2145" s="405" t="s">
        <v>329</v>
      </c>
      <c r="N2145" s="405" t="s">
        <v>1107</v>
      </c>
      <c r="O2145" s="405" t="s">
        <v>336</v>
      </c>
      <c r="P2145" s="405" t="s">
        <v>7099</v>
      </c>
      <c r="Q2145" s="411">
        <v>9</v>
      </c>
      <c r="R2145" s="405" t="s">
        <v>32101</v>
      </c>
      <c r="S2145" s="405" t="s">
        <v>27041</v>
      </c>
      <c r="T2145" s="405" t="s">
        <v>884</v>
      </c>
      <c r="U2145" s="405" t="s">
        <v>319</v>
      </c>
    </row>
    <row r="2146" spans="1:21" x14ac:dyDescent="0.25">
      <c r="A2146" s="405" t="s">
        <v>310</v>
      </c>
      <c r="B2146" s="405" t="s">
        <v>24554</v>
      </c>
      <c r="C2146" s="405" t="s">
        <v>327</v>
      </c>
      <c r="D2146" s="405"/>
      <c r="E2146" s="410">
        <v>43365</v>
      </c>
      <c r="F2146" s="410">
        <v>43373</v>
      </c>
      <c r="G2146" s="405" t="s">
        <v>24555</v>
      </c>
      <c r="H2146" s="405">
        <v>781251341</v>
      </c>
      <c r="I2146" s="405"/>
      <c r="J2146" s="405">
        <v>-0.41977999999999999</v>
      </c>
      <c r="K2146" s="405">
        <v>30.369712</v>
      </c>
      <c r="L2146" s="405" t="s">
        <v>590</v>
      </c>
      <c r="M2146" s="405" t="s">
        <v>24487</v>
      </c>
      <c r="N2146" s="405" t="s">
        <v>24487</v>
      </c>
      <c r="O2146" s="405" t="s">
        <v>24556</v>
      </c>
      <c r="P2146" s="405" t="s">
        <v>24557</v>
      </c>
      <c r="Q2146" s="411">
        <v>9</v>
      </c>
      <c r="R2146" s="405" t="s">
        <v>6943</v>
      </c>
      <c r="S2146" s="405" t="s">
        <v>27301</v>
      </c>
      <c r="T2146" s="405" t="s">
        <v>884</v>
      </c>
      <c r="U2146" s="405" t="s">
        <v>319</v>
      </c>
    </row>
    <row r="2147" spans="1:21" x14ac:dyDescent="0.25">
      <c r="A2147" s="405" t="s">
        <v>310</v>
      </c>
      <c r="B2147" s="405" t="s">
        <v>24680</v>
      </c>
      <c r="C2147" s="405" t="s">
        <v>327</v>
      </c>
      <c r="D2147" s="405"/>
      <c r="E2147" s="410">
        <v>43364</v>
      </c>
      <c r="F2147" s="410">
        <v>43390</v>
      </c>
      <c r="G2147" s="405" t="s">
        <v>24681</v>
      </c>
      <c r="H2147" s="405">
        <v>772390488</v>
      </c>
      <c r="I2147" s="405"/>
      <c r="J2147" s="405">
        <v>-0.61016999999999999</v>
      </c>
      <c r="K2147" s="405">
        <v>30.051238000000001</v>
      </c>
      <c r="L2147" s="405" t="s">
        <v>590</v>
      </c>
      <c r="M2147" s="405" t="s">
        <v>20032</v>
      </c>
      <c r="N2147" s="405" t="s">
        <v>24682</v>
      </c>
      <c r="O2147" s="405" t="s">
        <v>24683</v>
      </c>
      <c r="P2147" s="405" t="s">
        <v>24684</v>
      </c>
      <c r="Q2147" s="411">
        <v>9</v>
      </c>
      <c r="R2147" s="405" t="s">
        <v>32166</v>
      </c>
      <c r="S2147" s="405" t="s">
        <v>27399</v>
      </c>
      <c r="T2147" s="405" t="s">
        <v>884</v>
      </c>
      <c r="U2147" s="405" t="s">
        <v>319</v>
      </c>
    </row>
    <row r="2148" spans="1:21" x14ac:dyDescent="0.25">
      <c r="A2148" s="405" t="s">
        <v>310</v>
      </c>
      <c r="B2148" s="405" t="s">
        <v>24550</v>
      </c>
      <c r="C2148" s="405" t="s">
        <v>327</v>
      </c>
      <c r="D2148" s="405"/>
      <c r="E2148" s="410">
        <v>43364</v>
      </c>
      <c r="F2148" s="410">
        <v>43373</v>
      </c>
      <c r="G2148" s="405" t="s">
        <v>24551</v>
      </c>
      <c r="H2148" s="405">
        <v>785787420</v>
      </c>
      <c r="I2148" s="405"/>
      <c r="J2148" s="405">
        <v>-0.38815699999999997</v>
      </c>
      <c r="K2148" s="405">
        <v>30.306905</v>
      </c>
      <c r="L2148" s="405" t="s">
        <v>590</v>
      </c>
      <c r="M2148" s="405" t="s">
        <v>24487</v>
      </c>
      <c r="N2148" s="405" t="s">
        <v>24487</v>
      </c>
      <c r="O2148" s="405" t="s">
        <v>24552</v>
      </c>
      <c r="P2148" s="405" t="s">
        <v>24553</v>
      </c>
      <c r="Q2148" s="411">
        <v>9</v>
      </c>
      <c r="R2148" s="405" t="s">
        <v>6943</v>
      </c>
      <c r="S2148" s="405" t="s">
        <v>27227</v>
      </c>
      <c r="T2148" s="405" t="s">
        <v>884</v>
      </c>
      <c r="U2148" s="405" t="s">
        <v>319</v>
      </c>
    </row>
    <row r="2149" spans="1:21" x14ac:dyDescent="0.25">
      <c r="A2149" s="405" t="s">
        <v>310</v>
      </c>
      <c r="B2149" s="405" t="s">
        <v>16333</v>
      </c>
      <c r="C2149" s="405" t="s">
        <v>327</v>
      </c>
      <c r="D2149" s="405"/>
      <c r="E2149" s="410">
        <v>43363</v>
      </c>
      <c r="F2149" s="410">
        <v>43378</v>
      </c>
      <c r="G2149" s="405" t="s">
        <v>16334</v>
      </c>
      <c r="H2149" s="405">
        <v>772469156</v>
      </c>
      <c r="I2149" s="405">
        <v>783674407</v>
      </c>
      <c r="J2149" s="405">
        <v>0.34449999999999997</v>
      </c>
      <c r="K2149" s="405">
        <v>33.254800000000003</v>
      </c>
      <c r="L2149" s="405" t="s">
        <v>6866</v>
      </c>
      <c r="M2149" s="405" t="s">
        <v>10853</v>
      </c>
      <c r="N2149" s="405" t="s">
        <v>11650</v>
      </c>
      <c r="O2149" s="405" t="s">
        <v>12832</v>
      </c>
      <c r="P2149" s="405" t="s">
        <v>16335</v>
      </c>
      <c r="Q2149" s="411">
        <v>9</v>
      </c>
      <c r="R2149" s="405" t="s">
        <v>6822</v>
      </c>
      <c r="S2149" s="405" t="s">
        <v>27054</v>
      </c>
      <c r="T2149" s="405" t="s">
        <v>884</v>
      </c>
      <c r="U2149" s="405" t="s">
        <v>319</v>
      </c>
    </row>
    <row r="2150" spans="1:21" x14ac:dyDescent="0.25">
      <c r="A2150" s="405" t="s">
        <v>310</v>
      </c>
      <c r="B2150" s="405" t="s">
        <v>7669</v>
      </c>
      <c r="C2150" s="405" t="s">
        <v>857</v>
      </c>
      <c r="D2150" s="405" t="s">
        <v>32752</v>
      </c>
      <c r="E2150" s="410">
        <v>43363</v>
      </c>
      <c r="F2150" s="410">
        <v>43378</v>
      </c>
      <c r="G2150" s="405" t="s">
        <v>7670</v>
      </c>
      <c r="H2150" s="405">
        <v>772522722</v>
      </c>
      <c r="I2150" s="405">
        <v>779902370</v>
      </c>
      <c r="J2150" s="405">
        <v>0.25900000000000001</v>
      </c>
      <c r="K2150" s="405">
        <v>32.254300000000001</v>
      </c>
      <c r="L2150" s="405" t="s">
        <v>314</v>
      </c>
      <c r="M2150" s="405" t="s">
        <v>361</v>
      </c>
      <c r="N2150" s="405" t="s">
        <v>374</v>
      </c>
      <c r="O2150" s="405" t="s">
        <v>535</v>
      </c>
      <c r="P2150" s="405" t="s">
        <v>1701</v>
      </c>
      <c r="Q2150" s="411">
        <v>9</v>
      </c>
      <c r="R2150" s="405" t="s">
        <v>32101</v>
      </c>
      <c r="S2150" s="405" t="s">
        <v>27167</v>
      </c>
      <c r="T2150" s="405" t="s">
        <v>884</v>
      </c>
      <c r="U2150" s="405" t="s">
        <v>319</v>
      </c>
    </row>
    <row r="2151" spans="1:21" x14ac:dyDescent="0.25">
      <c r="A2151" s="405" t="s">
        <v>310</v>
      </c>
      <c r="B2151" s="405" t="s">
        <v>24571</v>
      </c>
      <c r="C2151" s="405" t="s">
        <v>327</v>
      </c>
      <c r="D2151" s="405"/>
      <c r="E2151" s="410">
        <v>43363</v>
      </c>
      <c r="F2151" s="410">
        <v>43373</v>
      </c>
      <c r="G2151" s="405" t="s">
        <v>24572</v>
      </c>
      <c r="H2151" s="405">
        <v>777409604</v>
      </c>
      <c r="I2151" s="405"/>
      <c r="J2151" s="405">
        <v>-0.72553800000000002</v>
      </c>
      <c r="K2151" s="405">
        <v>30.088740000000001</v>
      </c>
      <c r="L2151" s="405" t="s">
        <v>590</v>
      </c>
      <c r="M2151" s="405" t="s">
        <v>20032</v>
      </c>
      <c r="N2151" s="405" t="s">
        <v>20033</v>
      </c>
      <c r="O2151" s="405" t="s">
        <v>20101</v>
      </c>
      <c r="P2151" s="405" t="s">
        <v>24573</v>
      </c>
      <c r="Q2151" s="411">
        <v>9</v>
      </c>
      <c r="R2151" s="405" t="s">
        <v>6572</v>
      </c>
      <c r="S2151" s="405" t="s">
        <v>27065</v>
      </c>
      <c r="T2151" s="405" t="s">
        <v>884</v>
      </c>
      <c r="U2151" s="405" t="s">
        <v>319</v>
      </c>
    </row>
    <row r="2152" spans="1:21" x14ac:dyDescent="0.25">
      <c r="A2152" s="405" t="s">
        <v>310</v>
      </c>
      <c r="B2152" s="405" t="s">
        <v>16336</v>
      </c>
      <c r="C2152" s="405" t="s">
        <v>327</v>
      </c>
      <c r="D2152" s="405"/>
      <c r="E2152" s="410">
        <v>43363</v>
      </c>
      <c r="F2152" s="410">
        <v>43402</v>
      </c>
      <c r="G2152" s="405" t="s">
        <v>16337</v>
      </c>
      <c r="H2152" s="405">
        <v>773901897</v>
      </c>
      <c r="I2152" s="405"/>
      <c r="J2152" s="405">
        <v>0.32195400000000002</v>
      </c>
      <c r="K2152" s="405">
        <v>33.5139</v>
      </c>
      <c r="L2152" s="405" t="s">
        <v>6866</v>
      </c>
      <c r="M2152" s="405" t="s">
        <v>5411</v>
      </c>
      <c r="N2152" s="405" t="s">
        <v>16338</v>
      </c>
      <c r="O2152" s="405" t="s">
        <v>16339</v>
      </c>
      <c r="P2152" s="405" t="s">
        <v>16340</v>
      </c>
      <c r="Q2152" s="411">
        <v>6</v>
      </c>
      <c r="R2152" s="405" t="s">
        <v>6822</v>
      </c>
      <c r="S2152" s="405" t="s">
        <v>27188</v>
      </c>
      <c r="T2152" s="405" t="s">
        <v>884</v>
      </c>
      <c r="U2152" s="405" t="s">
        <v>319</v>
      </c>
    </row>
    <row r="2153" spans="1:21" x14ac:dyDescent="0.25">
      <c r="A2153" s="405" t="s">
        <v>310</v>
      </c>
      <c r="B2153" s="405" t="s">
        <v>7089</v>
      </c>
      <c r="C2153" s="405" t="s">
        <v>327</v>
      </c>
      <c r="D2153" s="405"/>
      <c r="E2153" s="410">
        <v>43361</v>
      </c>
      <c r="F2153" s="410">
        <v>43376</v>
      </c>
      <c r="G2153" s="405" t="s">
        <v>7090</v>
      </c>
      <c r="H2153" s="405">
        <v>774121836</v>
      </c>
      <c r="I2153" s="405">
        <v>754666806</v>
      </c>
      <c r="J2153" s="405">
        <v>0.26446999999999998</v>
      </c>
      <c r="K2153" s="405">
        <v>32.219368000000003</v>
      </c>
      <c r="L2153" s="405" t="s">
        <v>6994</v>
      </c>
      <c r="M2153" s="405" t="s">
        <v>315</v>
      </c>
      <c r="N2153" s="405" t="s">
        <v>315</v>
      </c>
      <c r="O2153" s="405" t="s">
        <v>316</v>
      </c>
      <c r="P2153" s="405" t="s">
        <v>415</v>
      </c>
      <c r="Q2153" s="411">
        <v>9</v>
      </c>
      <c r="R2153" s="405" t="s">
        <v>414</v>
      </c>
      <c r="S2153" s="405" t="s">
        <v>414</v>
      </c>
      <c r="T2153" s="405" t="s">
        <v>884</v>
      </c>
      <c r="U2153" s="405" t="s">
        <v>319</v>
      </c>
    </row>
    <row r="2154" spans="1:21" x14ac:dyDescent="0.25">
      <c r="A2154" s="405" t="s">
        <v>310</v>
      </c>
      <c r="B2154" s="405" t="s">
        <v>9172</v>
      </c>
      <c r="C2154" s="405" t="s">
        <v>327</v>
      </c>
      <c r="D2154" s="405"/>
      <c r="E2154" s="410">
        <v>44466</v>
      </c>
      <c r="F2154" s="410">
        <v>44503</v>
      </c>
      <c r="G2154" s="405" t="s">
        <v>9173</v>
      </c>
      <c r="H2154" s="405" t="s">
        <v>9174</v>
      </c>
      <c r="I2154" s="405" t="s">
        <v>2913</v>
      </c>
      <c r="J2154" s="405">
        <v>0.49287500000000001</v>
      </c>
      <c r="K2154" s="405">
        <v>32.779224999999997</v>
      </c>
      <c r="L2154" s="405" t="s">
        <v>314</v>
      </c>
      <c r="M2154" s="405" t="s">
        <v>329</v>
      </c>
      <c r="N2154" s="405" t="s">
        <v>8308</v>
      </c>
      <c r="O2154" s="405" t="s">
        <v>336</v>
      </c>
      <c r="P2154" s="405" t="s">
        <v>2041</v>
      </c>
      <c r="Q2154" s="411">
        <v>20</v>
      </c>
      <c r="R2154" s="405" t="s">
        <v>32101</v>
      </c>
      <c r="S2154" s="405" t="s">
        <v>27193</v>
      </c>
      <c r="T2154" s="405" t="s">
        <v>884</v>
      </c>
      <c r="U2154" s="405" t="s">
        <v>319</v>
      </c>
    </row>
    <row r="2155" spans="1:21" x14ac:dyDescent="0.25">
      <c r="A2155" s="405" t="s">
        <v>310</v>
      </c>
      <c r="B2155" s="405" t="s">
        <v>24534</v>
      </c>
      <c r="C2155" s="405" t="s">
        <v>327</v>
      </c>
      <c r="D2155" s="405"/>
      <c r="E2155" s="410">
        <v>43358</v>
      </c>
      <c r="F2155" s="410">
        <v>43373</v>
      </c>
      <c r="G2155" s="405" t="s">
        <v>24535</v>
      </c>
      <c r="H2155" s="405">
        <v>781493270</v>
      </c>
      <c r="I2155" s="405"/>
      <c r="J2155" s="405">
        <v>-0.68198199999999998</v>
      </c>
      <c r="K2155" s="405">
        <v>30.203143000000001</v>
      </c>
      <c r="L2155" s="405" t="s">
        <v>590</v>
      </c>
      <c r="M2155" s="405" t="s">
        <v>19725</v>
      </c>
      <c r="N2155" s="405" t="s">
        <v>19725</v>
      </c>
      <c r="O2155" s="405" t="s">
        <v>20716</v>
      </c>
      <c r="P2155" s="405" t="s">
        <v>20426</v>
      </c>
      <c r="Q2155" s="411">
        <v>6</v>
      </c>
      <c r="R2155" s="405" t="s">
        <v>5858</v>
      </c>
      <c r="S2155" s="405" t="s">
        <v>27205</v>
      </c>
      <c r="T2155" s="405" t="s">
        <v>884</v>
      </c>
      <c r="U2155" s="405" t="s">
        <v>319</v>
      </c>
    </row>
    <row r="2156" spans="1:21" x14ac:dyDescent="0.25">
      <c r="A2156" s="405" t="s">
        <v>310</v>
      </c>
      <c r="B2156" s="405" t="s">
        <v>16229</v>
      </c>
      <c r="C2156" s="405" t="s">
        <v>327</v>
      </c>
      <c r="D2156" s="405"/>
      <c r="E2156" s="410">
        <v>43358</v>
      </c>
      <c r="F2156" s="410">
        <v>43373</v>
      </c>
      <c r="G2156" s="405" t="s">
        <v>16230</v>
      </c>
      <c r="H2156" s="405">
        <v>788820674</v>
      </c>
      <c r="I2156" s="405"/>
      <c r="J2156" s="405">
        <v>0.83698499999999998</v>
      </c>
      <c r="K2156" s="405">
        <v>34.277692000000002</v>
      </c>
      <c r="L2156" s="405" t="s">
        <v>6866</v>
      </c>
      <c r="M2156" s="405" t="s">
        <v>9763</v>
      </c>
      <c r="N2156" s="405" t="s">
        <v>10174</v>
      </c>
      <c r="O2156" s="405" t="s">
        <v>10880</v>
      </c>
      <c r="P2156" s="405" t="s">
        <v>16231</v>
      </c>
      <c r="Q2156" s="411">
        <v>6</v>
      </c>
      <c r="R2156" s="405" t="s">
        <v>5655</v>
      </c>
      <c r="S2156" s="405" t="s">
        <v>27074</v>
      </c>
      <c r="T2156" s="405" t="s">
        <v>884</v>
      </c>
      <c r="U2156" s="405" t="s">
        <v>319</v>
      </c>
    </row>
    <row r="2157" spans="1:21" x14ac:dyDescent="0.25">
      <c r="A2157" s="405" t="s">
        <v>310</v>
      </c>
      <c r="B2157" s="405" t="s">
        <v>24597</v>
      </c>
      <c r="C2157" s="405" t="s">
        <v>327</v>
      </c>
      <c r="D2157" s="405"/>
      <c r="E2157" s="410">
        <v>43356</v>
      </c>
      <c r="F2157" s="410">
        <v>43371</v>
      </c>
      <c r="G2157" s="405" t="s">
        <v>24598</v>
      </c>
      <c r="H2157" s="405">
        <v>751812787</v>
      </c>
      <c r="I2157" s="405"/>
      <c r="J2157" s="405">
        <v>0.50349999999999995</v>
      </c>
      <c r="K2157" s="405">
        <v>31.135000000000002</v>
      </c>
      <c r="L2157" s="405" t="s">
        <v>590</v>
      </c>
      <c r="M2157" s="405" t="s">
        <v>879</v>
      </c>
      <c r="N2157" s="405" t="s">
        <v>12376</v>
      </c>
      <c r="O2157" s="405" t="s">
        <v>12376</v>
      </c>
      <c r="P2157" s="405" t="s">
        <v>24599</v>
      </c>
      <c r="Q2157" s="411">
        <v>9</v>
      </c>
      <c r="R2157" s="405" t="s">
        <v>32166</v>
      </c>
      <c r="S2157" s="405" t="s">
        <v>27102</v>
      </c>
      <c r="T2157" s="405" t="s">
        <v>884</v>
      </c>
      <c r="U2157" s="405" t="s">
        <v>319</v>
      </c>
    </row>
    <row r="2158" spans="1:21" x14ac:dyDescent="0.25">
      <c r="A2158" s="405" t="s">
        <v>310</v>
      </c>
      <c r="B2158" s="405" t="s">
        <v>7631</v>
      </c>
      <c r="C2158" s="405" t="s">
        <v>311</v>
      </c>
      <c r="D2158" s="405" t="s">
        <v>1789</v>
      </c>
      <c r="E2158" s="410">
        <v>43355</v>
      </c>
      <c r="F2158" s="410">
        <v>43370</v>
      </c>
      <c r="G2158" s="405" t="s">
        <v>7632</v>
      </c>
      <c r="H2158" s="405">
        <v>782568028</v>
      </c>
      <c r="I2158" s="405">
        <v>775530817</v>
      </c>
      <c r="J2158" s="405">
        <v>0.22120000000000001</v>
      </c>
      <c r="K2158" s="405">
        <v>32.265900000000002</v>
      </c>
      <c r="L2158" s="405" t="s">
        <v>314</v>
      </c>
      <c r="M2158" s="405" t="s">
        <v>361</v>
      </c>
      <c r="N2158" s="405" t="s">
        <v>374</v>
      </c>
      <c r="O2158" s="405" t="s">
        <v>361</v>
      </c>
      <c r="P2158" s="405" t="s">
        <v>6598</v>
      </c>
      <c r="Q2158" s="411">
        <v>13</v>
      </c>
      <c r="R2158" s="405" t="s">
        <v>32101</v>
      </c>
      <c r="S2158" s="405" t="s">
        <v>27041</v>
      </c>
      <c r="T2158" s="405" t="s">
        <v>884</v>
      </c>
      <c r="U2158" s="405" t="s">
        <v>319</v>
      </c>
    </row>
    <row r="2159" spans="1:21" x14ac:dyDescent="0.25">
      <c r="A2159" s="405" t="s">
        <v>310</v>
      </c>
      <c r="B2159" s="405" t="s">
        <v>16341</v>
      </c>
      <c r="C2159" s="405" t="s">
        <v>327</v>
      </c>
      <c r="D2159" s="405"/>
      <c r="E2159" s="410">
        <v>43353</v>
      </c>
      <c r="F2159" s="410">
        <v>43401</v>
      </c>
      <c r="G2159" s="405" t="s">
        <v>16342</v>
      </c>
      <c r="H2159" s="405">
        <v>772500836</v>
      </c>
      <c r="I2159" s="405">
        <v>776804191</v>
      </c>
      <c r="J2159" s="405">
        <v>1.3860129999999999</v>
      </c>
      <c r="K2159" s="405">
        <v>34.471845000000002</v>
      </c>
      <c r="L2159" s="405" t="s">
        <v>6866</v>
      </c>
      <c r="M2159" s="405" t="s">
        <v>9685</v>
      </c>
      <c r="N2159" s="405" t="s">
        <v>9880</v>
      </c>
      <c r="O2159" s="405" t="s">
        <v>16343</v>
      </c>
      <c r="P2159" s="405" t="s">
        <v>16344</v>
      </c>
      <c r="Q2159" s="411">
        <v>9</v>
      </c>
      <c r="R2159" s="405" t="s">
        <v>9506</v>
      </c>
      <c r="S2159" s="405" t="s">
        <v>27306</v>
      </c>
      <c r="T2159" s="405" t="s">
        <v>884</v>
      </c>
      <c r="U2159" s="405" t="s">
        <v>319</v>
      </c>
    </row>
    <row r="2160" spans="1:21" x14ac:dyDescent="0.25">
      <c r="A2160" s="405" t="s">
        <v>310</v>
      </c>
      <c r="B2160" s="405" t="s">
        <v>24649</v>
      </c>
      <c r="C2160" s="405" t="s">
        <v>327</v>
      </c>
      <c r="D2160" s="405"/>
      <c r="E2160" s="410">
        <v>43353</v>
      </c>
      <c r="F2160" s="410">
        <v>43395</v>
      </c>
      <c r="G2160" s="405" t="s">
        <v>24650</v>
      </c>
      <c r="H2160" s="405">
        <v>774230131</v>
      </c>
      <c r="I2160" s="405" t="s">
        <v>24651</v>
      </c>
      <c r="J2160" s="405">
        <v>-0.29785699999999998</v>
      </c>
      <c r="K2160" s="405">
        <v>30.515927999999999</v>
      </c>
      <c r="L2160" s="405" t="s">
        <v>24158</v>
      </c>
      <c r="M2160" s="405" t="s">
        <v>19614</v>
      </c>
      <c r="N2160" s="405" t="s">
        <v>19615</v>
      </c>
      <c r="O2160" s="405" t="s">
        <v>19650</v>
      </c>
      <c r="P2160" s="405" t="s">
        <v>24652</v>
      </c>
      <c r="Q2160" s="411">
        <v>6</v>
      </c>
      <c r="R2160" s="405" t="s">
        <v>6943</v>
      </c>
      <c r="S2160" s="405" t="s">
        <v>27435</v>
      </c>
      <c r="T2160" s="405" t="s">
        <v>884</v>
      </c>
      <c r="U2160" s="405" t="s">
        <v>319</v>
      </c>
    </row>
    <row r="2161" spans="1:21" x14ac:dyDescent="0.25">
      <c r="A2161" s="405" t="s">
        <v>310</v>
      </c>
      <c r="B2161" s="405" t="s">
        <v>16248</v>
      </c>
      <c r="C2161" s="405" t="s">
        <v>327</v>
      </c>
      <c r="D2161" s="405"/>
      <c r="E2161" s="410">
        <v>43353</v>
      </c>
      <c r="F2161" s="410">
        <v>43368</v>
      </c>
      <c r="G2161" s="405" t="s">
        <v>16249</v>
      </c>
      <c r="H2161" s="405">
        <v>702573044</v>
      </c>
      <c r="I2161" s="405"/>
      <c r="J2161" s="405">
        <v>1.1076680000000001</v>
      </c>
      <c r="K2161" s="405">
        <v>33.836717999999998</v>
      </c>
      <c r="L2161" s="405" t="s">
        <v>6866</v>
      </c>
      <c r="M2161" s="405" t="s">
        <v>10152</v>
      </c>
      <c r="N2161" s="405" t="s">
        <v>10153</v>
      </c>
      <c r="O2161" s="405" t="s">
        <v>4432</v>
      </c>
      <c r="P2161" s="405" t="s">
        <v>16250</v>
      </c>
      <c r="Q2161" s="411">
        <v>6</v>
      </c>
      <c r="R2161" s="405" t="s">
        <v>7224</v>
      </c>
      <c r="S2161" s="405" t="s">
        <v>27041</v>
      </c>
      <c r="T2161" s="405" t="s">
        <v>32102</v>
      </c>
      <c r="U2161" s="405" t="s">
        <v>319</v>
      </c>
    </row>
    <row r="2162" spans="1:21" x14ac:dyDescent="0.25">
      <c r="A2162" s="405" t="s">
        <v>310</v>
      </c>
      <c r="B2162" s="405" t="s">
        <v>24628</v>
      </c>
      <c r="C2162" s="405" t="s">
        <v>327</v>
      </c>
      <c r="D2162" s="405"/>
      <c r="E2162" s="410">
        <v>43352</v>
      </c>
      <c r="F2162" s="410">
        <v>43374</v>
      </c>
      <c r="G2162" s="405" t="s">
        <v>24629</v>
      </c>
      <c r="H2162" s="405">
        <v>784854061</v>
      </c>
      <c r="I2162" s="405">
        <v>702253652</v>
      </c>
      <c r="J2162" s="405">
        <v>-0.42099999999999999</v>
      </c>
      <c r="K2162" s="405">
        <v>30.484999999999999</v>
      </c>
      <c r="L2162" s="405" t="s">
        <v>590</v>
      </c>
      <c r="M2162" s="405" t="s">
        <v>879</v>
      </c>
      <c r="N2162" s="405" t="s">
        <v>879</v>
      </c>
      <c r="O2162" s="405" t="s">
        <v>24630</v>
      </c>
      <c r="P2162" s="405" t="s">
        <v>24631</v>
      </c>
      <c r="Q2162" s="411">
        <v>13</v>
      </c>
      <c r="R2162" s="405" t="s">
        <v>883</v>
      </c>
      <c r="S2162" s="405" t="s">
        <v>27097</v>
      </c>
      <c r="T2162" s="405" t="s">
        <v>884</v>
      </c>
      <c r="U2162" s="405" t="s">
        <v>319</v>
      </c>
    </row>
    <row r="2163" spans="1:21" x14ac:dyDescent="0.25">
      <c r="A2163" s="405" t="s">
        <v>310</v>
      </c>
      <c r="B2163" s="405" t="s">
        <v>7067</v>
      </c>
      <c r="C2163" s="405" t="s">
        <v>327</v>
      </c>
      <c r="D2163" s="405"/>
      <c r="E2163" s="410">
        <v>43352</v>
      </c>
      <c r="F2163" s="410">
        <v>43363</v>
      </c>
      <c r="G2163" s="405" t="s">
        <v>7068</v>
      </c>
      <c r="H2163" s="405">
        <v>782834769</v>
      </c>
      <c r="I2163" s="405"/>
      <c r="J2163" s="405">
        <v>0.37841200000000003</v>
      </c>
      <c r="K2163" s="405">
        <v>32.414327</v>
      </c>
      <c r="L2163" s="405" t="s">
        <v>314</v>
      </c>
      <c r="M2163" s="405" t="s">
        <v>361</v>
      </c>
      <c r="N2163" s="405" t="s">
        <v>7069</v>
      </c>
      <c r="O2163" s="405" t="s">
        <v>952</v>
      </c>
      <c r="P2163" s="405" t="s">
        <v>7070</v>
      </c>
      <c r="Q2163" s="411">
        <v>9</v>
      </c>
      <c r="R2163" s="405" t="s">
        <v>4176</v>
      </c>
      <c r="S2163" s="405" t="s">
        <v>27069</v>
      </c>
      <c r="T2163" s="405" t="s">
        <v>884</v>
      </c>
      <c r="U2163" s="405" t="s">
        <v>319</v>
      </c>
    </row>
    <row r="2164" spans="1:21" x14ac:dyDescent="0.25">
      <c r="A2164" s="405" t="s">
        <v>310</v>
      </c>
      <c r="B2164" s="405" t="s">
        <v>24524</v>
      </c>
      <c r="C2164" s="405" t="s">
        <v>327</v>
      </c>
      <c r="D2164" s="405"/>
      <c r="E2164" s="410">
        <v>43351</v>
      </c>
      <c r="F2164" s="410">
        <v>43366</v>
      </c>
      <c r="G2164" s="405" t="s">
        <v>24525</v>
      </c>
      <c r="H2164" s="405">
        <v>781296226</v>
      </c>
      <c r="I2164" s="405" t="s">
        <v>24526</v>
      </c>
      <c r="J2164" s="405">
        <v>-0.38500000000000001</v>
      </c>
      <c r="K2164" s="405">
        <v>30.231400000000001</v>
      </c>
      <c r="L2164" s="405" t="s">
        <v>590</v>
      </c>
      <c r="M2164" s="405" t="s">
        <v>19725</v>
      </c>
      <c r="N2164" s="405" t="s">
        <v>22130</v>
      </c>
      <c r="O2164" s="405" t="s">
        <v>20611</v>
      </c>
      <c r="P2164" s="405" t="s">
        <v>20633</v>
      </c>
      <c r="Q2164" s="411">
        <v>9</v>
      </c>
      <c r="R2164" s="405" t="s">
        <v>883</v>
      </c>
      <c r="S2164" s="405" t="s">
        <v>27161</v>
      </c>
      <c r="T2164" s="405" t="s">
        <v>884</v>
      </c>
      <c r="U2164" s="405" t="s">
        <v>319</v>
      </c>
    </row>
    <row r="2165" spans="1:21" x14ac:dyDescent="0.25">
      <c r="A2165" s="405" t="s">
        <v>310</v>
      </c>
      <c r="B2165" s="405" t="s">
        <v>7081</v>
      </c>
      <c r="C2165" s="405" t="s">
        <v>327</v>
      </c>
      <c r="D2165" s="405"/>
      <c r="E2165" s="410">
        <v>43351</v>
      </c>
      <c r="F2165" s="410">
        <v>43381</v>
      </c>
      <c r="G2165" s="405" t="s">
        <v>7082</v>
      </c>
      <c r="H2165" s="405">
        <v>701853877</v>
      </c>
      <c r="I2165" s="405"/>
      <c r="J2165" s="405">
        <v>0.19</v>
      </c>
      <c r="K2165" s="405">
        <v>32.264600000000002</v>
      </c>
      <c r="L2165" s="405" t="s">
        <v>314</v>
      </c>
      <c r="M2165" s="405" t="s">
        <v>361</v>
      </c>
      <c r="N2165" s="405" t="s">
        <v>374</v>
      </c>
      <c r="O2165" s="405" t="s">
        <v>374</v>
      </c>
      <c r="P2165" s="405" t="s">
        <v>3405</v>
      </c>
      <c r="Q2165" s="411">
        <v>6</v>
      </c>
      <c r="R2165" s="405" t="s">
        <v>5903</v>
      </c>
      <c r="S2165" s="405" t="s">
        <v>27153</v>
      </c>
      <c r="T2165" s="405" t="s">
        <v>884</v>
      </c>
      <c r="U2165" s="405" t="s">
        <v>319</v>
      </c>
    </row>
    <row r="2166" spans="1:21" x14ac:dyDescent="0.25">
      <c r="A2166" s="405" t="s">
        <v>310</v>
      </c>
      <c r="B2166" s="405" t="s">
        <v>24618</v>
      </c>
      <c r="C2166" s="405" t="s">
        <v>327</v>
      </c>
      <c r="D2166" s="405"/>
      <c r="E2166" s="410">
        <v>43350</v>
      </c>
      <c r="F2166" s="410">
        <v>43365</v>
      </c>
      <c r="G2166" s="405" t="s">
        <v>24619</v>
      </c>
      <c r="H2166" s="405">
        <v>771605610</v>
      </c>
      <c r="I2166" s="405">
        <v>787612387</v>
      </c>
      <c r="J2166" s="405">
        <v>-0.2828</v>
      </c>
      <c r="K2166" s="405">
        <v>30.194900000000001</v>
      </c>
      <c r="L2166" s="405" t="s">
        <v>590</v>
      </c>
      <c r="M2166" s="405" t="s">
        <v>19725</v>
      </c>
      <c r="N2166" s="405" t="s">
        <v>22130</v>
      </c>
      <c r="O2166" s="405" t="s">
        <v>24620</v>
      </c>
      <c r="P2166" s="405" t="s">
        <v>21165</v>
      </c>
      <c r="Q2166" s="411">
        <v>9</v>
      </c>
      <c r="R2166" s="405" t="s">
        <v>883</v>
      </c>
      <c r="S2166" s="405" t="s">
        <v>27181</v>
      </c>
      <c r="T2166" s="405" t="s">
        <v>32102</v>
      </c>
      <c r="U2166" s="405" t="s">
        <v>319</v>
      </c>
    </row>
    <row r="2167" spans="1:21" x14ac:dyDescent="0.25">
      <c r="A2167" s="405" t="s">
        <v>310</v>
      </c>
      <c r="B2167" s="405" t="s">
        <v>24621</v>
      </c>
      <c r="C2167" s="405" t="s">
        <v>327</v>
      </c>
      <c r="D2167" s="405"/>
      <c r="E2167" s="410">
        <v>43349</v>
      </c>
      <c r="F2167" s="410">
        <v>43364</v>
      </c>
      <c r="G2167" s="405" t="s">
        <v>24622</v>
      </c>
      <c r="H2167" s="405">
        <v>772665173</v>
      </c>
      <c r="I2167" s="405"/>
      <c r="J2167" s="405">
        <v>0.54819200000000001</v>
      </c>
      <c r="K2167" s="405">
        <v>30.208580000000001</v>
      </c>
      <c r="L2167" s="405" t="s">
        <v>590</v>
      </c>
      <c r="M2167" s="405" t="s">
        <v>19625</v>
      </c>
      <c r="N2167" s="405" t="s">
        <v>19625</v>
      </c>
      <c r="O2167" s="405" t="s">
        <v>24623</v>
      </c>
      <c r="P2167" s="405" t="s">
        <v>24624</v>
      </c>
      <c r="Q2167" s="411">
        <v>9</v>
      </c>
      <c r="R2167" s="405" t="s">
        <v>883</v>
      </c>
      <c r="S2167" s="405" t="s">
        <v>27172</v>
      </c>
      <c r="T2167" s="405" t="s">
        <v>884</v>
      </c>
      <c r="U2167" s="405" t="s">
        <v>319</v>
      </c>
    </row>
    <row r="2168" spans="1:21" x14ac:dyDescent="0.25">
      <c r="A2168" s="405" t="s">
        <v>310</v>
      </c>
      <c r="B2168" s="405" t="s">
        <v>7064</v>
      </c>
      <c r="C2168" s="405" t="s">
        <v>327</v>
      </c>
      <c r="D2168" s="405"/>
      <c r="E2168" s="410">
        <v>43348</v>
      </c>
      <c r="F2168" s="410">
        <v>43363</v>
      </c>
      <c r="G2168" s="405" t="s">
        <v>7065</v>
      </c>
      <c r="H2168" s="405">
        <v>772465035</v>
      </c>
      <c r="I2168" s="405">
        <v>772465036</v>
      </c>
      <c r="J2168" s="405">
        <v>0.1153</v>
      </c>
      <c r="K2168" s="405">
        <v>32.252000000000002</v>
      </c>
      <c r="L2168" s="405" t="s">
        <v>314</v>
      </c>
      <c r="M2168" s="405" t="s">
        <v>321</v>
      </c>
      <c r="N2168" s="405" t="s">
        <v>1244</v>
      </c>
      <c r="O2168" s="405" t="s">
        <v>2496</v>
      </c>
      <c r="P2168" s="405" t="s">
        <v>7066</v>
      </c>
      <c r="Q2168" s="411">
        <v>9</v>
      </c>
      <c r="R2168" s="405" t="s">
        <v>32101</v>
      </c>
      <c r="S2168" s="405" t="s">
        <v>27041</v>
      </c>
      <c r="T2168" s="405" t="s">
        <v>32102</v>
      </c>
      <c r="U2168" s="405" t="s">
        <v>319</v>
      </c>
    </row>
    <row r="2169" spans="1:21" x14ac:dyDescent="0.25">
      <c r="A2169" s="405" t="s">
        <v>310</v>
      </c>
      <c r="B2169" s="405" t="s">
        <v>24564</v>
      </c>
      <c r="C2169" s="405" t="s">
        <v>327</v>
      </c>
      <c r="D2169" s="405"/>
      <c r="E2169" s="410">
        <v>43348</v>
      </c>
      <c r="F2169" s="410">
        <v>43353</v>
      </c>
      <c r="G2169" s="405" t="s">
        <v>24565</v>
      </c>
      <c r="H2169" s="405">
        <v>777777702</v>
      </c>
      <c r="I2169" s="405"/>
      <c r="J2169" s="405" t="s">
        <v>24566</v>
      </c>
      <c r="K2169" s="405">
        <v>30.163779999999999</v>
      </c>
      <c r="L2169" s="405" t="s">
        <v>590</v>
      </c>
      <c r="M2169" s="405" t="s">
        <v>19725</v>
      </c>
      <c r="N2169" s="405" t="s">
        <v>22297</v>
      </c>
      <c r="O2169" s="405" t="s">
        <v>24567</v>
      </c>
      <c r="P2169" s="405" t="s">
        <v>19934</v>
      </c>
      <c r="Q2169" s="411">
        <v>9</v>
      </c>
      <c r="R2169" s="405" t="s">
        <v>6572</v>
      </c>
      <c r="S2169" s="405" t="s">
        <v>27434</v>
      </c>
      <c r="T2169" s="405" t="s">
        <v>884</v>
      </c>
      <c r="U2169" s="405" t="s">
        <v>319</v>
      </c>
    </row>
    <row r="2170" spans="1:21" x14ac:dyDescent="0.25">
      <c r="A2170" s="405" t="s">
        <v>310</v>
      </c>
      <c r="B2170" s="405" t="s">
        <v>7126</v>
      </c>
      <c r="C2170" s="405" t="s">
        <v>327</v>
      </c>
      <c r="D2170" s="405"/>
      <c r="E2170" s="410">
        <v>43348</v>
      </c>
      <c r="F2170" s="410">
        <v>43407</v>
      </c>
      <c r="G2170" s="405" t="s">
        <v>7127</v>
      </c>
      <c r="H2170" s="405">
        <v>776977399</v>
      </c>
      <c r="I2170" s="405"/>
      <c r="J2170" s="405">
        <v>-0.26101799999999997</v>
      </c>
      <c r="K2170" s="405">
        <v>31.695627000000002</v>
      </c>
      <c r="L2170" s="405" t="s">
        <v>314</v>
      </c>
      <c r="M2170" s="405" t="s">
        <v>1080</v>
      </c>
      <c r="N2170" s="405" t="s">
        <v>1080</v>
      </c>
      <c r="O2170" s="405" t="s">
        <v>3814</v>
      </c>
      <c r="P2170" s="405" t="s">
        <v>7128</v>
      </c>
      <c r="Q2170" s="411">
        <v>6</v>
      </c>
      <c r="R2170" s="405" t="s">
        <v>414</v>
      </c>
      <c r="S2170" s="405" t="s">
        <v>414</v>
      </c>
      <c r="T2170" s="405" t="s">
        <v>884</v>
      </c>
      <c r="U2170" s="405" t="s">
        <v>319</v>
      </c>
    </row>
    <row r="2171" spans="1:21" x14ac:dyDescent="0.25">
      <c r="A2171" s="405" t="s">
        <v>310</v>
      </c>
      <c r="B2171" s="405" t="s">
        <v>24698</v>
      </c>
      <c r="C2171" s="405" t="s">
        <v>327</v>
      </c>
      <c r="D2171" s="405"/>
      <c r="E2171" s="410">
        <v>43347</v>
      </c>
      <c r="F2171" s="410">
        <v>43381</v>
      </c>
      <c r="G2171" s="405" t="s">
        <v>24699</v>
      </c>
      <c r="H2171" s="405">
        <v>789005276</v>
      </c>
      <c r="I2171" s="405"/>
      <c r="J2171" s="405">
        <v>1.1026</v>
      </c>
      <c r="K2171" s="405">
        <v>29.3949</v>
      </c>
      <c r="L2171" s="405" t="s">
        <v>590</v>
      </c>
      <c r="M2171" s="405" t="s">
        <v>20070</v>
      </c>
      <c r="N2171" s="405" t="s">
        <v>20071</v>
      </c>
      <c r="O2171" s="405" t="s">
        <v>20072</v>
      </c>
      <c r="P2171" s="405" t="s">
        <v>24119</v>
      </c>
      <c r="Q2171" s="411">
        <v>13</v>
      </c>
      <c r="R2171" s="405" t="s">
        <v>24106</v>
      </c>
      <c r="S2171" s="405" t="s">
        <v>27402</v>
      </c>
      <c r="T2171" s="405" t="s">
        <v>884</v>
      </c>
      <c r="U2171" s="405" t="s">
        <v>319</v>
      </c>
    </row>
    <row r="2172" spans="1:21" x14ac:dyDescent="0.25">
      <c r="A2172" s="405" t="s">
        <v>310</v>
      </c>
      <c r="B2172" s="405" t="s">
        <v>7612</v>
      </c>
      <c r="C2172" s="405" t="s">
        <v>327</v>
      </c>
      <c r="D2172" s="405"/>
      <c r="E2172" s="410">
        <v>43346</v>
      </c>
      <c r="F2172" s="410">
        <v>43690</v>
      </c>
      <c r="G2172" s="405" t="s">
        <v>7613</v>
      </c>
      <c r="H2172" s="405">
        <v>757707410</v>
      </c>
      <c r="I2172" s="405"/>
      <c r="J2172" s="405">
        <v>0.29645700000000003</v>
      </c>
      <c r="K2172" s="405">
        <v>33.086030000000001</v>
      </c>
      <c r="L2172" s="405" t="s">
        <v>7494</v>
      </c>
      <c r="M2172" s="405" t="s">
        <v>349</v>
      </c>
      <c r="N2172" s="405" t="s">
        <v>7614</v>
      </c>
      <c r="O2172" s="405" t="s">
        <v>1062</v>
      </c>
      <c r="P2172" s="405" t="s">
        <v>1062</v>
      </c>
      <c r="Q2172" s="411">
        <v>13</v>
      </c>
      <c r="R2172" s="405" t="s">
        <v>5665</v>
      </c>
      <c r="S2172" s="405" t="s">
        <v>27110</v>
      </c>
      <c r="T2172" s="405" t="s">
        <v>884</v>
      </c>
      <c r="U2172" s="405" t="s">
        <v>319</v>
      </c>
    </row>
    <row r="2173" spans="1:21" x14ac:dyDescent="0.25">
      <c r="A2173" s="405" t="s">
        <v>310</v>
      </c>
      <c r="B2173" s="405" t="s">
        <v>24547</v>
      </c>
      <c r="C2173" s="405" t="s">
        <v>327</v>
      </c>
      <c r="D2173" s="405"/>
      <c r="E2173" s="410">
        <v>43346</v>
      </c>
      <c r="F2173" s="410">
        <v>43358</v>
      </c>
      <c r="G2173" s="405" t="s">
        <v>24548</v>
      </c>
      <c r="H2173" s="405">
        <v>772458881</v>
      </c>
      <c r="I2173" s="405">
        <v>704458881</v>
      </c>
      <c r="J2173" s="405">
        <v>0.13200000000000001</v>
      </c>
      <c r="K2173" s="405">
        <v>30.452000000000002</v>
      </c>
      <c r="L2173" s="405" t="s">
        <v>24158</v>
      </c>
      <c r="M2173" s="405" t="s">
        <v>19705</v>
      </c>
      <c r="N2173" s="405" t="s">
        <v>2250</v>
      </c>
      <c r="O2173" s="405" t="s">
        <v>2250</v>
      </c>
      <c r="P2173" s="405" t="s">
        <v>24549</v>
      </c>
      <c r="Q2173" s="411">
        <v>9</v>
      </c>
      <c r="R2173" s="405" t="s">
        <v>6943</v>
      </c>
      <c r="S2173" s="405" t="s">
        <v>27173</v>
      </c>
      <c r="T2173" s="405" t="s">
        <v>884</v>
      </c>
      <c r="U2173" s="405" t="s">
        <v>319</v>
      </c>
    </row>
    <row r="2174" spans="1:21" x14ac:dyDescent="0.25">
      <c r="A2174" s="405" t="s">
        <v>310</v>
      </c>
      <c r="B2174" s="405" t="s">
        <v>16370</v>
      </c>
      <c r="C2174" s="405" t="s">
        <v>327</v>
      </c>
      <c r="D2174" s="405"/>
      <c r="E2174" s="410">
        <v>43346</v>
      </c>
      <c r="F2174" s="410">
        <v>43433</v>
      </c>
      <c r="G2174" s="405" t="s">
        <v>16371</v>
      </c>
      <c r="H2174" s="405">
        <v>773183523</v>
      </c>
      <c r="I2174" s="405">
        <v>779057015</v>
      </c>
      <c r="J2174" s="405">
        <v>1.5797650000000001</v>
      </c>
      <c r="K2174" s="405">
        <v>33.482959999999999</v>
      </c>
      <c r="L2174" s="405" t="s">
        <v>6866</v>
      </c>
      <c r="M2174" s="405" t="s">
        <v>9658</v>
      </c>
      <c r="N2174" s="405" t="s">
        <v>9658</v>
      </c>
      <c r="O2174" s="405" t="s">
        <v>12037</v>
      </c>
      <c r="P2174" s="405" t="s">
        <v>16372</v>
      </c>
      <c r="Q2174" s="411">
        <v>6</v>
      </c>
      <c r="R2174" s="405" t="s">
        <v>5655</v>
      </c>
      <c r="S2174" s="405" t="s">
        <v>27357</v>
      </c>
      <c r="T2174" s="405" t="s">
        <v>884</v>
      </c>
      <c r="U2174" s="405" t="s">
        <v>319</v>
      </c>
    </row>
    <row r="2175" spans="1:21" x14ac:dyDescent="0.25">
      <c r="A2175" s="405" t="s">
        <v>310</v>
      </c>
      <c r="B2175" s="405" t="s">
        <v>7061</v>
      </c>
      <c r="C2175" s="405" t="s">
        <v>327</v>
      </c>
      <c r="D2175" s="405"/>
      <c r="E2175" s="410">
        <v>43345</v>
      </c>
      <c r="F2175" s="410">
        <v>43355</v>
      </c>
      <c r="G2175" s="405" t="s">
        <v>7062</v>
      </c>
      <c r="H2175" s="405">
        <v>775179686</v>
      </c>
      <c r="I2175" s="405">
        <v>776655422</v>
      </c>
      <c r="J2175" s="405">
        <v>0.25219999999999998</v>
      </c>
      <c r="K2175" s="405">
        <v>32.2517</v>
      </c>
      <c r="L2175" s="405" t="s">
        <v>314</v>
      </c>
      <c r="M2175" s="405" t="s">
        <v>361</v>
      </c>
      <c r="N2175" s="405" t="s">
        <v>374</v>
      </c>
      <c r="O2175" s="405" t="s">
        <v>7063</v>
      </c>
      <c r="P2175" s="405" t="s">
        <v>1701</v>
      </c>
      <c r="Q2175" s="411">
        <v>13</v>
      </c>
      <c r="R2175" s="405" t="s">
        <v>32101</v>
      </c>
      <c r="S2175" s="405" t="s">
        <v>27193</v>
      </c>
      <c r="T2175" s="405" t="s">
        <v>884</v>
      </c>
      <c r="U2175" s="405" t="s">
        <v>319</v>
      </c>
    </row>
    <row r="2176" spans="1:21" x14ac:dyDescent="0.25">
      <c r="A2176" s="405" t="s">
        <v>310</v>
      </c>
      <c r="B2176" s="405" t="s">
        <v>28790</v>
      </c>
      <c r="C2176" s="405" t="s">
        <v>327</v>
      </c>
      <c r="D2176" s="405"/>
      <c r="E2176" s="410">
        <v>43343</v>
      </c>
      <c r="F2176" s="410">
        <v>43433</v>
      </c>
      <c r="G2176" s="405" t="s">
        <v>16373</v>
      </c>
      <c r="H2176" s="405">
        <v>78307229</v>
      </c>
      <c r="I2176" s="405" t="s">
        <v>16374</v>
      </c>
      <c r="J2176" s="405">
        <v>1.7055480000000001</v>
      </c>
      <c r="K2176" s="405">
        <v>33.635328000000001</v>
      </c>
      <c r="L2176" s="405" t="s">
        <v>6866</v>
      </c>
      <c r="M2176" s="405" t="s">
        <v>10515</v>
      </c>
      <c r="N2176" s="405" t="s">
        <v>10515</v>
      </c>
      <c r="O2176" s="405" t="s">
        <v>10515</v>
      </c>
      <c r="P2176" s="405" t="s">
        <v>16375</v>
      </c>
      <c r="Q2176" s="411">
        <v>6</v>
      </c>
      <c r="R2176" s="405" t="s">
        <v>5655</v>
      </c>
      <c r="S2176" s="405" t="s">
        <v>27072</v>
      </c>
      <c r="T2176" s="405" t="s">
        <v>884</v>
      </c>
      <c r="U2176" s="405" t="s">
        <v>319</v>
      </c>
    </row>
    <row r="2177" spans="1:21" x14ac:dyDescent="0.25">
      <c r="A2177" s="405" t="s">
        <v>310</v>
      </c>
      <c r="B2177" s="405" t="s">
        <v>7051</v>
      </c>
      <c r="C2177" s="405" t="s">
        <v>327</v>
      </c>
      <c r="D2177" s="405"/>
      <c r="E2177" s="410">
        <v>43342</v>
      </c>
      <c r="F2177" s="410">
        <v>43369</v>
      </c>
      <c r="G2177" s="405" t="s">
        <v>7052</v>
      </c>
      <c r="H2177" s="405">
        <v>772401537</v>
      </c>
      <c r="I2177" s="405">
        <v>757961967</v>
      </c>
      <c r="J2177" s="405">
        <v>0.2424</v>
      </c>
      <c r="K2177" s="405">
        <v>33.1038</v>
      </c>
      <c r="L2177" s="405" t="s">
        <v>314</v>
      </c>
      <c r="M2177" s="405" t="s">
        <v>349</v>
      </c>
      <c r="N2177" s="405" t="s">
        <v>7053</v>
      </c>
      <c r="O2177" s="405" t="s">
        <v>4861</v>
      </c>
      <c r="P2177" s="405" t="s">
        <v>7054</v>
      </c>
      <c r="Q2177" s="411">
        <v>13</v>
      </c>
      <c r="R2177" s="405" t="s">
        <v>6822</v>
      </c>
      <c r="S2177" s="405" t="s">
        <v>6822</v>
      </c>
      <c r="T2177" s="405" t="s">
        <v>884</v>
      </c>
      <c r="U2177" s="405" t="s">
        <v>319</v>
      </c>
    </row>
    <row r="2178" spans="1:21" x14ac:dyDescent="0.25">
      <c r="A2178" s="405" t="s">
        <v>310</v>
      </c>
      <c r="B2178" s="405" t="s">
        <v>7046</v>
      </c>
      <c r="C2178" s="405" t="s">
        <v>327</v>
      </c>
      <c r="D2178" s="405"/>
      <c r="E2178" s="410">
        <v>43342</v>
      </c>
      <c r="F2178" s="410">
        <v>43357</v>
      </c>
      <c r="G2178" s="405" t="s">
        <v>7047</v>
      </c>
      <c r="H2178" s="405">
        <v>778985319</v>
      </c>
      <c r="I2178" s="405"/>
      <c r="J2178" s="405">
        <v>0.46125300000000002</v>
      </c>
      <c r="K2178" s="405">
        <v>32.378222999999998</v>
      </c>
      <c r="L2178" s="405" t="s">
        <v>314</v>
      </c>
      <c r="M2178" s="405" t="s">
        <v>361</v>
      </c>
      <c r="N2178" s="405" t="s">
        <v>374</v>
      </c>
      <c r="O2178" s="405" t="s">
        <v>952</v>
      </c>
      <c r="P2178" s="405" t="s">
        <v>3009</v>
      </c>
      <c r="Q2178" s="411">
        <v>13</v>
      </c>
      <c r="R2178" s="405" t="s">
        <v>402</v>
      </c>
      <c r="S2178" s="405" t="s">
        <v>27265</v>
      </c>
      <c r="T2178" s="405" t="s">
        <v>884</v>
      </c>
      <c r="U2178" s="405" t="s">
        <v>319</v>
      </c>
    </row>
    <row r="2179" spans="1:21" x14ac:dyDescent="0.25">
      <c r="A2179" s="405" t="s">
        <v>310</v>
      </c>
      <c r="B2179" s="405" t="s">
        <v>24541</v>
      </c>
      <c r="C2179" s="405" t="s">
        <v>327</v>
      </c>
      <c r="D2179" s="405"/>
      <c r="E2179" s="410">
        <v>43342</v>
      </c>
      <c r="F2179" s="410">
        <v>43357</v>
      </c>
      <c r="G2179" s="405" t="s">
        <v>24542</v>
      </c>
      <c r="H2179" s="405">
        <v>703187632</v>
      </c>
      <c r="I2179" s="405">
        <v>775600196</v>
      </c>
      <c r="J2179" s="405">
        <v>0.82799999999999996</v>
      </c>
      <c r="K2179" s="405">
        <v>31.06</v>
      </c>
      <c r="L2179" s="405" t="s">
        <v>24158</v>
      </c>
      <c r="M2179" s="405" t="s">
        <v>19705</v>
      </c>
      <c r="N2179" s="405" t="s">
        <v>2250</v>
      </c>
      <c r="O2179" s="405" t="s">
        <v>7810</v>
      </c>
      <c r="P2179" s="405" t="s">
        <v>16571</v>
      </c>
      <c r="Q2179" s="411">
        <v>9</v>
      </c>
      <c r="R2179" s="405" t="s">
        <v>6943</v>
      </c>
      <c r="S2179" s="405" t="s">
        <v>27435</v>
      </c>
      <c r="T2179" s="405" t="s">
        <v>32102</v>
      </c>
      <c r="U2179" s="405" t="s">
        <v>319</v>
      </c>
    </row>
    <row r="2180" spans="1:21" x14ac:dyDescent="0.25">
      <c r="A2180" s="405" t="s">
        <v>310</v>
      </c>
      <c r="B2180" s="405" t="s">
        <v>24591</v>
      </c>
      <c r="C2180" s="405" t="s">
        <v>327</v>
      </c>
      <c r="D2180" s="405"/>
      <c r="E2180" s="410">
        <v>43342</v>
      </c>
      <c r="F2180" s="410">
        <v>43348</v>
      </c>
      <c r="G2180" s="405" t="s">
        <v>24592</v>
      </c>
      <c r="H2180" s="405">
        <v>783728886</v>
      </c>
      <c r="I2180" s="405"/>
      <c r="J2180" s="405">
        <v>-0.59816499999999995</v>
      </c>
      <c r="K2180" s="405">
        <v>30.656034999999999</v>
      </c>
      <c r="L2180" s="405" t="s">
        <v>590</v>
      </c>
      <c r="M2180" s="405" t="s">
        <v>19614</v>
      </c>
      <c r="N2180" s="405" t="s">
        <v>19654</v>
      </c>
      <c r="O2180" s="405" t="s">
        <v>24593</v>
      </c>
      <c r="P2180" s="405" t="s">
        <v>24593</v>
      </c>
      <c r="Q2180" s="411">
        <v>9</v>
      </c>
      <c r="R2180" s="405" t="s">
        <v>32166</v>
      </c>
      <c r="S2180" s="405" t="s">
        <v>27161</v>
      </c>
      <c r="T2180" s="405" t="s">
        <v>32102</v>
      </c>
      <c r="U2180" s="405" t="s">
        <v>319</v>
      </c>
    </row>
    <row r="2181" spans="1:21" x14ac:dyDescent="0.25">
      <c r="A2181" s="405" t="s">
        <v>310</v>
      </c>
      <c r="B2181" s="405" t="s">
        <v>24773</v>
      </c>
      <c r="C2181" s="405" t="s">
        <v>311</v>
      </c>
      <c r="D2181" s="405" t="s">
        <v>5973</v>
      </c>
      <c r="E2181" s="410">
        <v>43341</v>
      </c>
      <c r="F2181" s="410">
        <v>43343</v>
      </c>
      <c r="G2181" s="405" t="s">
        <v>24774</v>
      </c>
      <c r="H2181" s="405">
        <v>773048711</v>
      </c>
      <c r="I2181" s="405"/>
      <c r="J2181" s="405">
        <v>-0.71444300000000005</v>
      </c>
      <c r="K2181" s="405">
        <v>30.736632</v>
      </c>
      <c r="L2181" s="405" t="s">
        <v>590</v>
      </c>
      <c r="M2181" s="405" t="s">
        <v>879</v>
      </c>
      <c r="N2181" s="405" t="s">
        <v>879</v>
      </c>
      <c r="O2181" s="405" t="s">
        <v>881</v>
      </c>
      <c r="P2181" s="405" t="s">
        <v>892</v>
      </c>
      <c r="Q2181" s="411">
        <v>9</v>
      </c>
      <c r="R2181" s="405" t="s">
        <v>32166</v>
      </c>
      <c r="S2181" s="405" t="s">
        <v>27102</v>
      </c>
      <c r="T2181" s="405" t="s">
        <v>884</v>
      </c>
      <c r="U2181" s="405" t="s">
        <v>319</v>
      </c>
    </row>
    <row r="2182" spans="1:21" x14ac:dyDescent="0.25">
      <c r="A2182" s="405" t="s">
        <v>310</v>
      </c>
      <c r="B2182" s="405" t="s">
        <v>887</v>
      </c>
      <c r="C2182" s="405" t="s">
        <v>311</v>
      </c>
      <c r="D2182" s="405" t="s">
        <v>890</v>
      </c>
      <c r="E2182" s="410">
        <v>43341</v>
      </c>
      <c r="F2182" s="410">
        <v>43341</v>
      </c>
      <c r="G2182" s="405" t="s">
        <v>891</v>
      </c>
      <c r="H2182" s="405">
        <v>773248711</v>
      </c>
      <c r="I2182" s="405"/>
      <c r="J2182" s="405">
        <v>-0.71444300000000005</v>
      </c>
      <c r="K2182" s="405">
        <v>30.736632</v>
      </c>
      <c r="L2182" s="405" t="s">
        <v>590</v>
      </c>
      <c r="M2182" s="405" t="s">
        <v>879</v>
      </c>
      <c r="N2182" s="405" t="s">
        <v>879</v>
      </c>
      <c r="O2182" s="405" t="s">
        <v>881</v>
      </c>
      <c r="P2182" s="405" t="s">
        <v>892</v>
      </c>
      <c r="Q2182" s="411">
        <v>9</v>
      </c>
      <c r="R2182" s="405" t="s">
        <v>32166</v>
      </c>
      <c r="S2182" s="405" t="s">
        <v>27102</v>
      </c>
      <c r="T2182" s="405" t="s">
        <v>884</v>
      </c>
      <c r="U2182" s="405" t="s">
        <v>319</v>
      </c>
    </row>
    <row r="2183" spans="1:21" x14ac:dyDescent="0.25">
      <c r="A2183" s="405" t="s">
        <v>310</v>
      </c>
      <c r="B2183" s="405" t="s">
        <v>24536</v>
      </c>
      <c r="C2183" s="405" t="s">
        <v>327</v>
      </c>
      <c r="D2183" s="405"/>
      <c r="E2183" s="410">
        <v>43340</v>
      </c>
      <c r="F2183" s="410">
        <v>43359</v>
      </c>
      <c r="G2183" s="405" t="s">
        <v>24537</v>
      </c>
      <c r="H2183" s="405">
        <v>782910072</v>
      </c>
      <c r="I2183" s="405"/>
      <c r="J2183" s="405">
        <v>-0.70665699999999998</v>
      </c>
      <c r="K2183" s="405">
        <v>30.026281999999998</v>
      </c>
      <c r="L2183" s="405" t="s">
        <v>590</v>
      </c>
      <c r="M2183" s="405" t="s">
        <v>19725</v>
      </c>
      <c r="N2183" s="405" t="s">
        <v>19725</v>
      </c>
      <c r="O2183" s="405" t="s">
        <v>1310</v>
      </c>
      <c r="P2183" s="405" t="s">
        <v>24538</v>
      </c>
      <c r="Q2183" s="411">
        <v>9</v>
      </c>
      <c r="R2183" s="405" t="s">
        <v>5858</v>
      </c>
      <c r="S2183" s="405" t="s">
        <v>27399</v>
      </c>
      <c r="T2183" s="405" t="s">
        <v>884</v>
      </c>
      <c r="U2183" s="405" t="s">
        <v>319</v>
      </c>
    </row>
    <row r="2184" spans="1:21" x14ac:dyDescent="0.25">
      <c r="A2184" s="405" t="s">
        <v>310</v>
      </c>
      <c r="B2184" s="405" t="s">
        <v>24603</v>
      </c>
      <c r="C2184" s="405" t="s">
        <v>327</v>
      </c>
      <c r="D2184" s="405"/>
      <c r="E2184" s="410">
        <v>43340</v>
      </c>
      <c r="F2184" s="410">
        <v>43351</v>
      </c>
      <c r="G2184" s="405" t="s">
        <v>24604</v>
      </c>
      <c r="H2184" s="405">
        <v>773943422</v>
      </c>
      <c r="I2184" s="405">
        <v>703145898</v>
      </c>
      <c r="J2184" s="405">
        <v>-0.60556600000000005</v>
      </c>
      <c r="K2184" s="405">
        <v>30.185331659999999</v>
      </c>
      <c r="L2184" s="405" t="s">
        <v>590</v>
      </c>
      <c r="M2184" s="405" t="s">
        <v>19625</v>
      </c>
      <c r="N2184" s="405" t="s">
        <v>20086</v>
      </c>
      <c r="O2184" s="405" t="s">
        <v>21955</v>
      </c>
      <c r="P2184" s="405" t="s">
        <v>2210</v>
      </c>
      <c r="Q2184" s="411">
        <v>6</v>
      </c>
      <c r="R2184" s="405" t="s">
        <v>883</v>
      </c>
      <c r="S2184" s="405" t="s">
        <v>27161</v>
      </c>
      <c r="T2184" s="405" t="s">
        <v>32102</v>
      </c>
      <c r="U2184" s="405" t="s">
        <v>319</v>
      </c>
    </row>
    <row r="2185" spans="1:21" x14ac:dyDescent="0.25">
      <c r="A2185" s="405" t="s">
        <v>310</v>
      </c>
      <c r="B2185" s="405" t="s">
        <v>24586</v>
      </c>
      <c r="C2185" s="405" t="s">
        <v>327</v>
      </c>
      <c r="D2185" s="405"/>
      <c r="E2185" s="410">
        <v>43339</v>
      </c>
      <c r="F2185" s="410">
        <v>43358</v>
      </c>
      <c r="G2185" s="405" t="s">
        <v>24587</v>
      </c>
      <c r="H2185" s="405">
        <v>774561583</v>
      </c>
      <c r="I2185" s="405"/>
      <c r="J2185" s="405">
        <v>0.46703699999999998</v>
      </c>
      <c r="K2185" s="405">
        <v>31.023776999999999</v>
      </c>
      <c r="L2185" s="405" t="s">
        <v>590</v>
      </c>
      <c r="M2185" s="405" t="s">
        <v>20757</v>
      </c>
      <c r="N2185" s="405" t="s">
        <v>24588</v>
      </c>
      <c r="O2185" s="405" t="s">
        <v>24589</v>
      </c>
      <c r="P2185" s="405" t="s">
        <v>24590</v>
      </c>
      <c r="Q2185" s="411">
        <v>9</v>
      </c>
      <c r="R2185" s="405" t="s">
        <v>32166</v>
      </c>
      <c r="S2185" s="405" t="s">
        <v>27401</v>
      </c>
      <c r="T2185" s="405" t="s">
        <v>884</v>
      </c>
      <c r="U2185" s="405" t="s">
        <v>319</v>
      </c>
    </row>
    <row r="2186" spans="1:21" x14ac:dyDescent="0.25">
      <c r="A2186" s="405" t="s">
        <v>310</v>
      </c>
      <c r="B2186" s="405" t="s">
        <v>16578</v>
      </c>
      <c r="C2186" s="405" t="s">
        <v>327</v>
      </c>
      <c r="D2186" s="405"/>
      <c r="E2186" s="410">
        <v>43339</v>
      </c>
      <c r="F2186" s="410">
        <v>43583</v>
      </c>
      <c r="G2186" s="405" t="s">
        <v>16579</v>
      </c>
      <c r="H2186" s="405">
        <v>782415162</v>
      </c>
      <c r="I2186" s="405"/>
      <c r="J2186" s="405">
        <v>0.91922899999999996</v>
      </c>
      <c r="K2186" s="405">
        <v>33.110371000000001</v>
      </c>
      <c r="L2186" s="405" t="s">
        <v>6866</v>
      </c>
      <c r="M2186" s="405" t="s">
        <v>3009</v>
      </c>
      <c r="N2186" s="405" t="s">
        <v>16580</v>
      </c>
      <c r="O2186" s="405" t="s">
        <v>13500</v>
      </c>
      <c r="P2186" s="405" t="s">
        <v>16581</v>
      </c>
      <c r="Q2186" s="411">
        <v>6</v>
      </c>
      <c r="R2186" s="405" t="s">
        <v>15368</v>
      </c>
      <c r="S2186" s="405" t="s">
        <v>27036</v>
      </c>
      <c r="T2186" s="405" t="s">
        <v>32102</v>
      </c>
      <c r="U2186" s="405" t="s">
        <v>319</v>
      </c>
    </row>
    <row r="2187" spans="1:21" x14ac:dyDescent="0.25">
      <c r="A2187" s="405" t="s">
        <v>310</v>
      </c>
      <c r="B2187" s="405" t="s">
        <v>24625</v>
      </c>
      <c r="C2187" s="405" t="s">
        <v>327</v>
      </c>
      <c r="D2187" s="405"/>
      <c r="E2187" s="410">
        <v>43338</v>
      </c>
      <c r="F2187" s="410">
        <v>43348</v>
      </c>
      <c r="G2187" s="405" t="s">
        <v>24626</v>
      </c>
      <c r="H2187" s="405">
        <v>776863737</v>
      </c>
      <c r="I2187" s="405">
        <v>758600023</v>
      </c>
      <c r="J2187" s="405" t="s">
        <v>24627</v>
      </c>
      <c r="K2187" s="405">
        <v>30.422853</v>
      </c>
      <c r="L2187" s="405" t="s">
        <v>590</v>
      </c>
      <c r="M2187" s="405" t="s">
        <v>19725</v>
      </c>
      <c r="N2187" s="405" t="s">
        <v>19725</v>
      </c>
      <c r="O2187" s="405" t="s">
        <v>19992</v>
      </c>
      <c r="P2187" s="405" t="s">
        <v>19911</v>
      </c>
      <c r="Q2187" s="411">
        <v>9</v>
      </c>
      <c r="R2187" s="405" t="s">
        <v>883</v>
      </c>
      <c r="S2187" s="405" t="s">
        <v>27172</v>
      </c>
      <c r="T2187" s="405" t="s">
        <v>884</v>
      </c>
      <c r="U2187" s="405" t="s">
        <v>319</v>
      </c>
    </row>
    <row r="2188" spans="1:21" x14ac:dyDescent="0.25">
      <c r="A2188" s="405" t="s">
        <v>310</v>
      </c>
      <c r="B2188" s="405" t="s">
        <v>16237</v>
      </c>
      <c r="C2188" s="405" t="s">
        <v>327</v>
      </c>
      <c r="D2188" s="405"/>
      <c r="E2188" s="410">
        <v>43338</v>
      </c>
      <c r="F2188" s="410">
        <v>43353</v>
      </c>
      <c r="G2188" s="405" t="s">
        <v>16238</v>
      </c>
      <c r="H2188" s="405">
        <v>751757069</v>
      </c>
      <c r="I2188" s="405">
        <v>712055268</v>
      </c>
      <c r="J2188" s="405">
        <v>1.1427</v>
      </c>
      <c r="K2188" s="405">
        <v>34.1753</v>
      </c>
      <c r="L2188" s="405" t="s">
        <v>6866</v>
      </c>
      <c r="M2188" s="405" t="s">
        <v>9575</v>
      </c>
      <c r="N2188" s="405" t="s">
        <v>16239</v>
      </c>
      <c r="O2188" s="405" t="s">
        <v>16240</v>
      </c>
      <c r="P2188" s="405" t="s">
        <v>5963</v>
      </c>
      <c r="Q2188" s="411">
        <v>6</v>
      </c>
      <c r="R2188" s="405" t="s">
        <v>9506</v>
      </c>
      <c r="S2188" s="405" t="s">
        <v>27259</v>
      </c>
      <c r="T2188" s="405" t="s">
        <v>884</v>
      </c>
      <c r="U2188" s="405" t="s">
        <v>319</v>
      </c>
    </row>
    <row r="2189" spans="1:21" x14ac:dyDescent="0.25">
      <c r="A2189" s="405" t="s">
        <v>310</v>
      </c>
      <c r="B2189" s="405" t="s">
        <v>16244</v>
      </c>
      <c r="C2189" s="405" t="s">
        <v>327</v>
      </c>
      <c r="D2189" s="405"/>
      <c r="E2189" s="410">
        <v>43338</v>
      </c>
      <c r="F2189" s="410">
        <v>43345</v>
      </c>
      <c r="G2189" s="405" t="s">
        <v>16245</v>
      </c>
      <c r="H2189" s="405">
        <v>706614213</v>
      </c>
      <c r="I2189" s="405">
        <v>772379888</v>
      </c>
      <c r="J2189" s="405" t="s">
        <v>16246</v>
      </c>
      <c r="K2189" s="405">
        <v>34.153264999999998</v>
      </c>
      <c r="L2189" s="405" t="s">
        <v>6866</v>
      </c>
      <c r="M2189" s="405" t="s">
        <v>9514</v>
      </c>
      <c r="N2189" s="405" t="s">
        <v>16012</v>
      </c>
      <c r="O2189" s="405" t="s">
        <v>16247</v>
      </c>
      <c r="P2189" s="405" t="s">
        <v>10198</v>
      </c>
      <c r="Q2189" s="411">
        <v>6</v>
      </c>
      <c r="R2189" s="405" t="s">
        <v>7224</v>
      </c>
      <c r="S2189" s="405" t="s">
        <v>27067</v>
      </c>
      <c r="T2189" s="405" t="s">
        <v>884</v>
      </c>
      <c r="U2189" s="405" t="s">
        <v>319</v>
      </c>
    </row>
    <row r="2190" spans="1:21" x14ac:dyDescent="0.25">
      <c r="A2190" s="405" t="s">
        <v>310</v>
      </c>
      <c r="B2190" s="405" t="s">
        <v>6976</v>
      </c>
      <c r="C2190" s="405" t="s">
        <v>327</v>
      </c>
      <c r="D2190" s="405"/>
      <c r="E2190" s="410">
        <v>43337</v>
      </c>
      <c r="F2190" s="410">
        <v>43342</v>
      </c>
      <c r="G2190" s="405" t="s">
        <v>6977</v>
      </c>
      <c r="H2190" s="405">
        <v>753892443</v>
      </c>
      <c r="I2190" s="405">
        <v>754622628</v>
      </c>
      <c r="J2190" s="405">
        <v>-0.71667800000000004</v>
      </c>
      <c r="K2190" s="405">
        <v>31.404722</v>
      </c>
      <c r="L2190" s="405" t="s">
        <v>314</v>
      </c>
      <c r="M2190" s="405" t="s">
        <v>343</v>
      </c>
      <c r="N2190" s="405" t="s">
        <v>6323</v>
      </c>
      <c r="O2190" s="405" t="s">
        <v>6480</v>
      </c>
      <c r="P2190" s="405" t="s">
        <v>6978</v>
      </c>
      <c r="Q2190" s="411">
        <v>13</v>
      </c>
      <c r="R2190" s="405" t="s">
        <v>402</v>
      </c>
      <c r="S2190" s="405" t="s">
        <v>27265</v>
      </c>
      <c r="T2190" s="405" t="s">
        <v>884</v>
      </c>
      <c r="U2190" s="405" t="s">
        <v>319</v>
      </c>
    </row>
    <row r="2191" spans="1:21" x14ac:dyDescent="0.25">
      <c r="A2191" s="405" t="s">
        <v>310</v>
      </c>
      <c r="B2191" s="405" t="s">
        <v>24605</v>
      </c>
      <c r="C2191" s="405" t="s">
        <v>327</v>
      </c>
      <c r="D2191" s="405"/>
      <c r="E2191" s="410">
        <v>43337</v>
      </c>
      <c r="F2191" s="410">
        <v>43347</v>
      </c>
      <c r="G2191" s="405" t="s">
        <v>24606</v>
      </c>
      <c r="H2191" s="405">
        <v>777934887</v>
      </c>
      <c r="I2191" s="405">
        <v>773418513</v>
      </c>
      <c r="J2191" s="405" t="s">
        <v>24607</v>
      </c>
      <c r="K2191" s="405">
        <v>31.190526999999999</v>
      </c>
      <c r="L2191" s="405" t="s">
        <v>590</v>
      </c>
      <c r="M2191" s="405" t="s">
        <v>879</v>
      </c>
      <c r="N2191" s="405" t="s">
        <v>12376</v>
      </c>
      <c r="O2191" s="405" t="s">
        <v>23151</v>
      </c>
      <c r="P2191" s="405" t="s">
        <v>24608</v>
      </c>
      <c r="Q2191" s="411">
        <v>9</v>
      </c>
      <c r="R2191" s="405" t="s">
        <v>883</v>
      </c>
      <c r="S2191" s="405" t="s">
        <v>27183</v>
      </c>
      <c r="T2191" s="405" t="s">
        <v>884</v>
      </c>
      <c r="U2191" s="405" t="s">
        <v>319</v>
      </c>
    </row>
    <row r="2192" spans="1:21" x14ac:dyDescent="0.25">
      <c r="A2192" s="405" t="s">
        <v>310</v>
      </c>
      <c r="B2192" s="405" t="s">
        <v>7048</v>
      </c>
      <c r="C2192" s="405" t="s">
        <v>327</v>
      </c>
      <c r="D2192" s="405"/>
      <c r="E2192" s="410">
        <v>43337</v>
      </c>
      <c r="F2192" s="410">
        <v>43352</v>
      </c>
      <c r="G2192" s="405" t="s">
        <v>7049</v>
      </c>
      <c r="H2192" s="405">
        <v>772198165</v>
      </c>
      <c r="I2192" s="405"/>
      <c r="J2192" s="405">
        <v>0.39472800000000002</v>
      </c>
      <c r="K2192" s="405">
        <v>32.527630000000002</v>
      </c>
      <c r="L2192" s="405" t="s">
        <v>6994</v>
      </c>
      <c r="M2192" s="405" t="s">
        <v>6072</v>
      </c>
      <c r="N2192" s="405" t="s">
        <v>6178</v>
      </c>
      <c r="O2192" s="405" t="s">
        <v>7050</v>
      </c>
      <c r="P2192" s="405" t="s">
        <v>563</v>
      </c>
      <c r="Q2192" s="411">
        <v>6</v>
      </c>
      <c r="R2192" s="405" t="s">
        <v>414</v>
      </c>
      <c r="S2192" s="405" t="s">
        <v>414</v>
      </c>
      <c r="T2192" s="405" t="s">
        <v>884</v>
      </c>
      <c r="U2192" s="405" t="s">
        <v>319</v>
      </c>
    </row>
    <row r="2193" spans="1:21" x14ac:dyDescent="0.25">
      <c r="A2193" s="405" t="s">
        <v>310</v>
      </c>
      <c r="B2193" s="405" t="s">
        <v>16235</v>
      </c>
      <c r="C2193" s="405" t="s">
        <v>327</v>
      </c>
      <c r="D2193" s="405"/>
      <c r="E2193" s="410">
        <v>43337</v>
      </c>
      <c r="F2193" s="410">
        <v>43352</v>
      </c>
      <c r="G2193" s="405" t="s">
        <v>16236</v>
      </c>
      <c r="H2193" s="405">
        <v>773194802</v>
      </c>
      <c r="I2193" s="405">
        <v>786719530</v>
      </c>
      <c r="J2193" s="405">
        <v>1.2354000000000001</v>
      </c>
      <c r="K2193" s="405">
        <v>34.253999999999998</v>
      </c>
      <c r="L2193" s="405" t="s">
        <v>6866</v>
      </c>
      <c r="M2193" s="405" t="s">
        <v>9685</v>
      </c>
      <c r="N2193" s="405" t="s">
        <v>9686</v>
      </c>
      <c r="O2193" s="405" t="s">
        <v>14943</v>
      </c>
      <c r="P2193" s="405" t="s">
        <v>14951</v>
      </c>
      <c r="Q2193" s="411">
        <v>6</v>
      </c>
      <c r="R2193" s="405" t="s">
        <v>9506</v>
      </c>
      <c r="S2193" s="405" t="s">
        <v>27306</v>
      </c>
      <c r="T2193" s="405" t="s">
        <v>32102</v>
      </c>
      <c r="U2193" s="405" t="s">
        <v>319</v>
      </c>
    </row>
    <row r="2194" spans="1:21" x14ac:dyDescent="0.25">
      <c r="A2194" s="405" t="s">
        <v>310</v>
      </c>
      <c r="B2194" s="405" t="s">
        <v>24653</v>
      </c>
      <c r="C2194" s="405" t="s">
        <v>327</v>
      </c>
      <c r="D2194" s="405"/>
      <c r="E2194" s="410">
        <v>43336</v>
      </c>
      <c r="F2194" s="410">
        <v>43395</v>
      </c>
      <c r="G2194" s="405" t="s">
        <v>24654</v>
      </c>
      <c r="H2194" s="405">
        <v>785222558</v>
      </c>
      <c r="I2194" s="405"/>
      <c r="J2194" s="405">
        <v>0.23400000000000001</v>
      </c>
      <c r="K2194" s="405">
        <v>30.182600000000001</v>
      </c>
      <c r="L2194" s="405" t="s">
        <v>590</v>
      </c>
      <c r="M2194" s="405" t="s">
        <v>24487</v>
      </c>
      <c r="N2194" s="405" t="s">
        <v>24552</v>
      </c>
      <c r="O2194" s="405" t="s">
        <v>24655</v>
      </c>
      <c r="P2194" s="405" t="s">
        <v>24553</v>
      </c>
      <c r="Q2194" s="411">
        <v>9</v>
      </c>
      <c r="R2194" s="405" t="s">
        <v>6943</v>
      </c>
      <c r="S2194" s="405" t="s">
        <v>27227</v>
      </c>
      <c r="T2194" s="405" t="s">
        <v>32102</v>
      </c>
      <c r="U2194" s="405" t="s">
        <v>319</v>
      </c>
    </row>
    <row r="2195" spans="1:21" x14ac:dyDescent="0.25">
      <c r="A2195" s="405" t="s">
        <v>310</v>
      </c>
      <c r="B2195" s="405" t="s">
        <v>24574</v>
      </c>
      <c r="C2195" s="405" t="s">
        <v>327</v>
      </c>
      <c r="D2195" s="405"/>
      <c r="E2195" s="410">
        <v>43336</v>
      </c>
      <c r="F2195" s="410">
        <v>43353</v>
      </c>
      <c r="G2195" s="405" t="s">
        <v>24575</v>
      </c>
      <c r="H2195" s="405">
        <v>777100231</v>
      </c>
      <c r="I2195" s="405">
        <v>784833281</v>
      </c>
      <c r="J2195" s="405" t="s">
        <v>24576</v>
      </c>
      <c r="K2195" s="405">
        <v>29.915215</v>
      </c>
      <c r="L2195" s="405" t="s">
        <v>590</v>
      </c>
      <c r="M2195" s="405" t="s">
        <v>19619</v>
      </c>
      <c r="N2195" s="405" t="s">
        <v>19765</v>
      </c>
      <c r="O2195" s="405" t="s">
        <v>24577</v>
      </c>
      <c r="P2195" s="405" t="s">
        <v>20396</v>
      </c>
      <c r="Q2195" s="411">
        <v>6</v>
      </c>
      <c r="R2195" s="405" t="s">
        <v>5858</v>
      </c>
      <c r="S2195" s="405" t="s">
        <v>27166</v>
      </c>
      <c r="T2195" s="405" t="s">
        <v>32102</v>
      </c>
      <c r="U2195" s="405" t="s">
        <v>319</v>
      </c>
    </row>
    <row r="2196" spans="1:21" x14ac:dyDescent="0.25">
      <c r="A2196" s="405" t="s">
        <v>310</v>
      </c>
      <c r="B2196" s="405" t="s">
        <v>16232</v>
      </c>
      <c r="C2196" s="405" t="s">
        <v>327</v>
      </c>
      <c r="D2196" s="405"/>
      <c r="E2196" s="410">
        <v>43336</v>
      </c>
      <c r="F2196" s="410">
        <v>43351</v>
      </c>
      <c r="G2196" s="405" t="s">
        <v>16233</v>
      </c>
      <c r="H2196" s="405">
        <v>782668636</v>
      </c>
      <c r="I2196" s="405">
        <v>781833611</v>
      </c>
      <c r="J2196" s="405">
        <v>1.2424999999999999</v>
      </c>
      <c r="K2196" s="405">
        <v>34.245800000000003</v>
      </c>
      <c r="L2196" s="405" t="s">
        <v>6866</v>
      </c>
      <c r="M2196" s="405" t="s">
        <v>9685</v>
      </c>
      <c r="N2196" s="405" t="s">
        <v>9686</v>
      </c>
      <c r="O2196" s="405" t="s">
        <v>14943</v>
      </c>
      <c r="P2196" s="405" t="s">
        <v>16234</v>
      </c>
      <c r="Q2196" s="411">
        <v>6</v>
      </c>
      <c r="R2196" s="405" t="s">
        <v>9506</v>
      </c>
      <c r="S2196" s="405" t="s">
        <v>17013</v>
      </c>
      <c r="T2196" s="405" t="s">
        <v>884</v>
      </c>
      <c r="U2196" s="405" t="s">
        <v>319</v>
      </c>
    </row>
    <row r="2197" spans="1:21" x14ac:dyDescent="0.25">
      <c r="A2197" s="405" t="s">
        <v>310</v>
      </c>
      <c r="B2197" s="405" t="s">
        <v>16295</v>
      </c>
      <c r="C2197" s="405" t="s">
        <v>327</v>
      </c>
      <c r="D2197" s="405"/>
      <c r="E2197" s="410">
        <v>43336</v>
      </c>
      <c r="F2197" s="410">
        <v>43351</v>
      </c>
      <c r="G2197" s="405" t="s">
        <v>16296</v>
      </c>
      <c r="H2197" s="405">
        <v>701953368</v>
      </c>
      <c r="I2197" s="405">
        <v>700367494</v>
      </c>
      <c r="J2197" s="405">
        <v>1.113</v>
      </c>
      <c r="K2197" s="405">
        <v>34.213099999999997</v>
      </c>
      <c r="L2197" s="405" t="s">
        <v>6866</v>
      </c>
      <c r="M2197" s="405" t="s">
        <v>9685</v>
      </c>
      <c r="N2197" s="405" t="s">
        <v>9686</v>
      </c>
      <c r="O2197" s="405" t="s">
        <v>15774</v>
      </c>
      <c r="P2197" s="405" t="s">
        <v>16297</v>
      </c>
      <c r="Q2197" s="411">
        <v>6</v>
      </c>
      <c r="R2197" s="405" t="s">
        <v>9506</v>
      </c>
      <c r="S2197" s="405" t="s">
        <v>27072</v>
      </c>
      <c r="T2197" s="405" t="s">
        <v>32102</v>
      </c>
      <c r="U2197" s="405" t="s">
        <v>319</v>
      </c>
    </row>
    <row r="2198" spans="1:21" x14ac:dyDescent="0.25">
      <c r="A2198" s="405" t="s">
        <v>310</v>
      </c>
      <c r="B2198" s="405" t="s">
        <v>16209</v>
      </c>
      <c r="C2198" s="405" t="s">
        <v>327</v>
      </c>
      <c r="D2198" s="405"/>
      <c r="E2198" s="410">
        <v>43336</v>
      </c>
      <c r="F2198" s="410">
        <v>43342</v>
      </c>
      <c r="G2198" s="405" t="s">
        <v>16210</v>
      </c>
      <c r="H2198" s="405">
        <v>779381088</v>
      </c>
      <c r="I2198" s="405">
        <v>780369509</v>
      </c>
      <c r="J2198" s="405">
        <v>1.2432000000000001</v>
      </c>
      <c r="K2198" s="405">
        <v>34.314300000000003</v>
      </c>
      <c r="L2198" s="405" t="s">
        <v>6866</v>
      </c>
      <c r="M2198" s="405" t="s">
        <v>9705</v>
      </c>
      <c r="N2198" s="405" t="s">
        <v>9705</v>
      </c>
      <c r="O2198" s="405" t="s">
        <v>16211</v>
      </c>
      <c r="P2198" s="405" t="s">
        <v>16212</v>
      </c>
      <c r="Q2198" s="411">
        <v>6</v>
      </c>
      <c r="R2198" s="405" t="s">
        <v>9506</v>
      </c>
      <c r="S2198" s="405" t="s">
        <v>27074</v>
      </c>
      <c r="T2198" s="405" t="s">
        <v>884</v>
      </c>
      <c r="U2198" s="405" t="s">
        <v>319</v>
      </c>
    </row>
    <row r="2199" spans="1:21" x14ac:dyDescent="0.25">
      <c r="A2199" s="405" t="s">
        <v>310</v>
      </c>
      <c r="B2199" s="405" t="s">
        <v>24614</v>
      </c>
      <c r="C2199" s="405" t="s">
        <v>327</v>
      </c>
      <c r="D2199" s="405"/>
      <c r="E2199" s="410">
        <v>43334</v>
      </c>
      <c r="F2199" s="410">
        <v>43349</v>
      </c>
      <c r="G2199" s="405" t="s">
        <v>24615</v>
      </c>
      <c r="H2199" s="405">
        <v>772970526</v>
      </c>
      <c r="I2199" s="405" t="s">
        <v>24616</v>
      </c>
      <c r="J2199" s="405">
        <v>-0.29430000000000001</v>
      </c>
      <c r="K2199" s="405">
        <v>30.25</v>
      </c>
      <c r="L2199" s="405" t="s">
        <v>590</v>
      </c>
      <c r="M2199" s="405" t="s">
        <v>19725</v>
      </c>
      <c r="N2199" s="405" t="s">
        <v>22130</v>
      </c>
      <c r="O2199" s="405" t="s">
        <v>19938</v>
      </c>
      <c r="P2199" s="405" t="s">
        <v>24617</v>
      </c>
      <c r="Q2199" s="411">
        <v>9</v>
      </c>
      <c r="R2199" s="405" t="s">
        <v>883</v>
      </c>
      <c r="S2199" s="405" t="s">
        <v>27181</v>
      </c>
      <c r="T2199" s="405" t="s">
        <v>32102</v>
      </c>
      <c r="U2199" s="405" t="s">
        <v>319</v>
      </c>
    </row>
    <row r="2200" spans="1:21" x14ac:dyDescent="0.25">
      <c r="A2200" s="405" t="s">
        <v>310</v>
      </c>
      <c r="B2200" s="405" t="s">
        <v>24594</v>
      </c>
      <c r="C2200" s="405" t="s">
        <v>327</v>
      </c>
      <c r="D2200" s="405"/>
      <c r="E2200" s="410">
        <v>43334</v>
      </c>
      <c r="F2200" s="410">
        <v>43349</v>
      </c>
      <c r="G2200" s="405" t="s">
        <v>24595</v>
      </c>
      <c r="H2200" s="405">
        <v>782577756</v>
      </c>
      <c r="I2200" s="405"/>
      <c r="J2200" s="405">
        <v>-0.27243699999999998</v>
      </c>
      <c r="K2200" s="405">
        <v>30.353183000000001</v>
      </c>
      <c r="L2200" s="405" t="s">
        <v>590</v>
      </c>
      <c r="M2200" s="405" t="s">
        <v>24487</v>
      </c>
      <c r="N2200" s="405" t="s">
        <v>24487</v>
      </c>
      <c r="O2200" s="405" t="s">
        <v>24487</v>
      </c>
      <c r="P2200" s="405" t="s">
        <v>24596</v>
      </c>
      <c r="Q2200" s="411">
        <v>9</v>
      </c>
      <c r="R2200" s="405" t="s">
        <v>32166</v>
      </c>
      <c r="S2200" s="405" t="s">
        <v>27104</v>
      </c>
      <c r="T2200" s="405" t="s">
        <v>884</v>
      </c>
      <c r="U2200" s="405" t="s">
        <v>319</v>
      </c>
    </row>
    <row r="2201" spans="1:21" x14ac:dyDescent="0.25">
      <c r="A2201" s="405" t="s">
        <v>310</v>
      </c>
      <c r="B2201" s="405" t="s">
        <v>24435</v>
      </c>
      <c r="C2201" s="405" t="s">
        <v>327</v>
      </c>
      <c r="D2201" s="405"/>
      <c r="E2201" s="410">
        <v>43334</v>
      </c>
      <c r="F2201" s="410">
        <v>43342</v>
      </c>
      <c r="G2201" s="405" t="s">
        <v>24436</v>
      </c>
      <c r="H2201" s="405">
        <v>782426835</v>
      </c>
      <c r="I2201" s="405">
        <v>782618356</v>
      </c>
      <c r="J2201" s="405" t="s">
        <v>24437</v>
      </c>
      <c r="K2201" s="405">
        <v>30.324522000000002</v>
      </c>
      <c r="L2201" s="405" t="s">
        <v>590</v>
      </c>
      <c r="M2201" s="405" t="s">
        <v>19725</v>
      </c>
      <c r="N2201" s="405" t="s">
        <v>19725</v>
      </c>
      <c r="O2201" s="405" t="s">
        <v>24438</v>
      </c>
      <c r="P2201" s="405" t="s">
        <v>24439</v>
      </c>
      <c r="Q2201" s="411">
        <v>9</v>
      </c>
      <c r="R2201" s="405" t="s">
        <v>5858</v>
      </c>
      <c r="S2201" s="405" t="s">
        <v>27205</v>
      </c>
      <c r="T2201" s="405" t="s">
        <v>32102</v>
      </c>
      <c r="U2201" s="405" t="s">
        <v>319</v>
      </c>
    </row>
    <row r="2202" spans="1:21" x14ac:dyDescent="0.25">
      <c r="A2202" s="405" t="s">
        <v>310</v>
      </c>
      <c r="B2202" s="405" t="s">
        <v>7058</v>
      </c>
      <c r="C2202" s="405" t="s">
        <v>327</v>
      </c>
      <c r="D2202" s="405"/>
      <c r="E2202" s="410">
        <v>43333</v>
      </c>
      <c r="F2202" s="410">
        <v>43348</v>
      </c>
      <c r="G2202" s="405" t="s">
        <v>7059</v>
      </c>
      <c r="H2202" s="405">
        <v>700705502</v>
      </c>
      <c r="I2202" s="405">
        <v>782672009</v>
      </c>
      <c r="J2202" s="405">
        <v>-0.42230000000000001</v>
      </c>
      <c r="K2202" s="405">
        <v>31.242999999999999</v>
      </c>
      <c r="L2202" s="405" t="s">
        <v>314</v>
      </c>
      <c r="M2202" s="405" t="s">
        <v>398</v>
      </c>
      <c r="N2202" s="405" t="s">
        <v>5856</v>
      </c>
      <c r="O2202" s="405" t="s">
        <v>398</v>
      </c>
      <c r="P2202" s="405" t="s">
        <v>7060</v>
      </c>
      <c r="Q2202" s="411">
        <v>6</v>
      </c>
      <c r="R2202" s="405" t="s">
        <v>32101</v>
      </c>
      <c r="S2202" s="405" t="s">
        <v>27193</v>
      </c>
      <c r="T2202" s="405" t="s">
        <v>32102</v>
      </c>
      <c r="U2202" s="405" t="s">
        <v>319</v>
      </c>
    </row>
    <row r="2203" spans="1:21" x14ac:dyDescent="0.25">
      <c r="A2203" s="405" t="s">
        <v>310</v>
      </c>
      <c r="B2203" s="405" t="s">
        <v>24578</v>
      </c>
      <c r="C2203" s="405" t="s">
        <v>327</v>
      </c>
      <c r="D2203" s="405"/>
      <c r="E2203" s="410">
        <v>43332</v>
      </c>
      <c r="F2203" s="410">
        <v>43355</v>
      </c>
      <c r="G2203" s="405" t="s">
        <v>24579</v>
      </c>
      <c r="H2203" s="405">
        <v>785022652</v>
      </c>
      <c r="I2203" s="405">
        <v>775920531</v>
      </c>
      <c r="J2203" s="405">
        <v>1.4120999999999999</v>
      </c>
      <c r="K2203" s="405">
        <v>31.414000000000001</v>
      </c>
      <c r="L2203" s="405" t="s">
        <v>590</v>
      </c>
      <c r="M2203" s="405" t="s">
        <v>2512</v>
      </c>
      <c r="N2203" s="405" t="s">
        <v>19609</v>
      </c>
      <c r="O2203" s="405" t="s">
        <v>24580</v>
      </c>
      <c r="P2203" s="405" t="s">
        <v>24581</v>
      </c>
      <c r="Q2203" s="411">
        <v>9</v>
      </c>
      <c r="R2203" s="405" t="s">
        <v>6397</v>
      </c>
      <c r="S2203" s="405" t="s">
        <v>22880</v>
      </c>
      <c r="T2203" s="405" t="s">
        <v>32102</v>
      </c>
      <c r="U2203" s="405" t="s">
        <v>319</v>
      </c>
    </row>
    <row r="2204" spans="1:21" x14ac:dyDescent="0.25">
      <c r="A2204" s="405" t="s">
        <v>310</v>
      </c>
      <c r="B2204" s="405" t="s">
        <v>19474</v>
      </c>
      <c r="C2204" s="405" t="s">
        <v>311</v>
      </c>
      <c r="D2204" s="405" t="s">
        <v>3381</v>
      </c>
      <c r="E2204" s="410">
        <v>43332</v>
      </c>
      <c r="F2204" s="410">
        <v>43347</v>
      </c>
      <c r="G2204" s="405" t="s">
        <v>19475</v>
      </c>
      <c r="H2204" s="405">
        <v>772548731</v>
      </c>
      <c r="I2204" s="405">
        <v>773826996</v>
      </c>
      <c r="J2204" s="405">
        <v>2.4972430000000001</v>
      </c>
      <c r="K2204" s="405" t="s">
        <v>19476</v>
      </c>
      <c r="L2204" s="405" t="s">
        <v>860</v>
      </c>
      <c r="M2204" s="405" t="s">
        <v>18368</v>
      </c>
      <c r="N2204" s="405" t="s">
        <v>19319</v>
      </c>
      <c r="O2204" s="405" t="s">
        <v>18370</v>
      </c>
      <c r="P2204" s="405" t="s">
        <v>19477</v>
      </c>
      <c r="Q2204" s="411">
        <v>9</v>
      </c>
      <c r="R2204" s="405" t="s">
        <v>7208</v>
      </c>
      <c r="S2204" s="405" t="s">
        <v>27264</v>
      </c>
      <c r="T2204" s="405" t="s">
        <v>32102</v>
      </c>
      <c r="U2204" s="405" t="s">
        <v>319</v>
      </c>
    </row>
    <row r="2205" spans="1:21" x14ac:dyDescent="0.25">
      <c r="A2205" s="405" t="s">
        <v>310</v>
      </c>
      <c r="B2205" s="405" t="s">
        <v>24419</v>
      </c>
      <c r="C2205" s="405" t="s">
        <v>327</v>
      </c>
      <c r="D2205" s="405"/>
      <c r="E2205" s="410">
        <v>43332</v>
      </c>
      <c r="F2205" s="410">
        <v>43342</v>
      </c>
      <c r="G2205" s="405" t="s">
        <v>24420</v>
      </c>
      <c r="H2205" s="405">
        <v>751881841</v>
      </c>
      <c r="I2205" s="405"/>
      <c r="J2205" s="405">
        <v>0.69688300000000003</v>
      </c>
      <c r="K2205" s="405">
        <v>30.007867000000001</v>
      </c>
      <c r="L2205" s="405" t="s">
        <v>590</v>
      </c>
      <c r="M2205" s="405" t="s">
        <v>20032</v>
      </c>
      <c r="N2205" s="405" t="s">
        <v>24421</v>
      </c>
      <c r="O2205" s="405" t="s">
        <v>24086</v>
      </c>
      <c r="P2205" s="405" t="s">
        <v>24422</v>
      </c>
      <c r="Q2205" s="411">
        <v>9</v>
      </c>
      <c r="R2205" s="405" t="s">
        <v>5858</v>
      </c>
      <c r="S2205" s="405" t="s">
        <v>27280</v>
      </c>
      <c r="T2205" s="405" t="s">
        <v>32102</v>
      </c>
      <c r="U2205" s="405" t="s">
        <v>319</v>
      </c>
    </row>
    <row r="2206" spans="1:21" x14ac:dyDescent="0.25">
      <c r="A2206" s="405" t="s">
        <v>310</v>
      </c>
      <c r="B2206" s="405" t="s">
        <v>16292</v>
      </c>
      <c r="C2206" s="405" t="s">
        <v>327</v>
      </c>
      <c r="D2206" s="405"/>
      <c r="E2206" s="410">
        <v>43332</v>
      </c>
      <c r="F2206" s="410">
        <v>43347</v>
      </c>
      <c r="G2206" s="405" t="s">
        <v>16293</v>
      </c>
      <c r="H2206" s="405">
        <v>784436046</v>
      </c>
      <c r="I2206" s="405"/>
      <c r="J2206" s="405">
        <v>1.143</v>
      </c>
      <c r="K2206" s="405">
        <v>34.1813</v>
      </c>
      <c r="L2206" s="405" t="s">
        <v>6866</v>
      </c>
      <c r="M2206" s="405" t="s">
        <v>9575</v>
      </c>
      <c r="N2206" s="405" t="s">
        <v>9576</v>
      </c>
      <c r="O2206" s="405" t="s">
        <v>16240</v>
      </c>
      <c r="P2206" s="405" t="s">
        <v>16294</v>
      </c>
      <c r="Q2206" s="411">
        <v>6</v>
      </c>
      <c r="R2206" s="405" t="s">
        <v>9506</v>
      </c>
      <c r="S2206" s="405" t="s">
        <v>27067</v>
      </c>
      <c r="T2206" s="405" t="s">
        <v>32102</v>
      </c>
      <c r="U2206" s="405" t="s">
        <v>319</v>
      </c>
    </row>
    <row r="2207" spans="1:21" x14ac:dyDescent="0.25">
      <c r="A2207" s="405" t="s">
        <v>310</v>
      </c>
      <c r="B2207" s="405" t="s">
        <v>16305</v>
      </c>
      <c r="C2207" s="405" t="s">
        <v>327</v>
      </c>
      <c r="D2207" s="405"/>
      <c r="E2207" s="410">
        <v>43331</v>
      </c>
      <c r="F2207" s="410">
        <v>43393</v>
      </c>
      <c r="G2207" s="405" t="s">
        <v>16306</v>
      </c>
      <c r="H2207" s="405">
        <v>772467432</v>
      </c>
      <c r="I2207" s="405"/>
      <c r="J2207" s="405">
        <v>0.98196300000000003</v>
      </c>
      <c r="K2207" s="405">
        <v>34.205109999999998</v>
      </c>
      <c r="L2207" s="405" t="s">
        <v>6866</v>
      </c>
      <c r="M2207" s="405" t="s">
        <v>9514</v>
      </c>
      <c r="N2207" s="405" t="s">
        <v>9616</v>
      </c>
      <c r="O2207" s="405" t="s">
        <v>9603</v>
      </c>
      <c r="P2207" s="405" t="s">
        <v>16307</v>
      </c>
      <c r="Q2207" s="411">
        <v>12</v>
      </c>
      <c r="R2207" s="405" t="s">
        <v>6871</v>
      </c>
      <c r="S2207" s="405" t="s">
        <v>27074</v>
      </c>
      <c r="T2207" s="405" t="s">
        <v>32102</v>
      </c>
      <c r="U2207" s="405" t="s">
        <v>319</v>
      </c>
    </row>
    <row r="2208" spans="1:21" x14ac:dyDescent="0.25">
      <c r="A2208" s="405" t="s">
        <v>310</v>
      </c>
      <c r="B2208" s="405" t="s">
        <v>24673</v>
      </c>
      <c r="C2208" s="405" t="s">
        <v>327</v>
      </c>
      <c r="D2208" s="405"/>
      <c r="E2208" s="410">
        <v>43330</v>
      </c>
      <c r="F2208" s="410">
        <v>43387</v>
      </c>
      <c r="G2208" s="405" t="s">
        <v>24674</v>
      </c>
      <c r="H2208" s="405">
        <v>774425273</v>
      </c>
      <c r="I2208" s="405">
        <v>778094134</v>
      </c>
      <c r="J2208" s="405">
        <v>-0.16800000000000001</v>
      </c>
      <c r="K2208" s="405">
        <v>30.163900000000002</v>
      </c>
      <c r="L2208" s="405" t="s">
        <v>590</v>
      </c>
      <c r="M2208" s="405" t="s">
        <v>19659</v>
      </c>
      <c r="N2208" s="405" t="s">
        <v>19677</v>
      </c>
      <c r="O2208" s="405" t="s">
        <v>2520</v>
      </c>
      <c r="P2208" s="405" t="s">
        <v>24675</v>
      </c>
      <c r="Q2208" s="411">
        <v>9</v>
      </c>
      <c r="R2208" s="405" t="s">
        <v>5858</v>
      </c>
      <c r="S2208" s="405" t="s">
        <v>27394</v>
      </c>
      <c r="T2208" s="405" t="s">
        <v>884</v>
      </c>
      <c r="U2208" s="405" t="s">
        <v>319</v>
      </c>
    </row>
    <row r="2209" spans="1:21" x14ac:dyDescent="0.25">
      <c r="A2209" s="405" t="s">
        <v>310</v>
      </c>
      <c r="B2209" s="405" t="s">
        <v>24560</v>
      </c>
      <c r="C2209" s="405" t="s">
        <v>327</v>
      </c>
      <c r="D2209" s="405"/>
      <c r="E2209" s="410">
        <v>43330</v>
      </c>
      <c r="F2209" s="410">
        <v>43345</v>
      </c>
      <c r="G2209" s="405" t="s">
        <v>24561</v>
      </c>
      <c r="H2209" s="405">
        <v>774091066</v>
      </c>
      <c r="I2209" s="405">
        <v>782692792</v>
      </c>
      <c r="J2209" s="405">
        <v>-0.75046299999999999</v>
      </c>
      <c r="K2209" s="405">
        <v>30.066669999999998</v>
      </c>
      <c r="L2209" s="405" t="s">
        <v>590</v>
      </c>
      <c r="M2209" s="405" t="s">
        <v>20032</v>
      </c>
      <c r="N2209" s="405" t="s">
        <v>20033</v>
      </c>
      <c r="O2209" s="405" t="s">
        <v>24562</v>
      </c>
      <c r="P2209" s="405" t="s">
        <v>24563</v>
      </c>
      <c r="Q2209" s="411">
        <v>9</v>
      </c>
      <c r="R2209" s="405" t="s">
        <v>6572</v>
      </c>
      <c r="S2209" s="405" t="s">
        <v>27065</v>
      </c>
      <c r="T2209" s="405" t="s">
        <v>884</v>
      </c>
      <c r="U2209" s="405" t="s">
        <v>319</v>
      </c>
    </row>
    <row r="2210" spans="1:21" x14ac:dyDescent="0.25">
      <c r="A2210" s="405" t="s">
        <v>310</v>
      </c>
      <c r="B2210" s="405" t="s">
        <v>7055</v>
      </c>
      <c r="C2210" s="405" t="s">
        <v>327</v>
      </c>
      <c r="D2210" s="405"/>
      <c r="E2210" s="410">
        <v>43330</v>
      </c>
      <c r="F2210" s="410">
        <v>43345</v>
      </c>
      <c r="G2210" s="405" t="s">
        <v>7056</v>
      </c>
      <c r="H2210" s="405">
        <v>787723352</v>
      </c>
      <c r="I2210" s="405" t="s">
        <v>7057</v>
      </c>
      <c r="J2210" s="405">
        <v>-0.317</v>
      </c>
      <c r="K2210" s="405">
        <v>31.3736</v>
      </c>
      <c r="L2210" s="405" t="s">
        <v>314</v>
      </c>
      <c r="M2210" s="405" t="s">
        <v>398</v>
      </c>
      <c r="N2210" s="405" t="s">
        <v>2265</v>
      </c>
      <c r="O2210" s="405" t="s">
        <v>949</v>
      </c>
      <c r="P2210" s="405" t="s">
        <v>2788</v>
      </c>
      <c r="Q2210" s="411">
        <v>9</v>
      </c>
      <c r="R2210" s="405" t="s">
        <v>32101</v>
      </c>
      <c r="S2210" s="405" t="s">
        <v>27186</v>
      </c>
      <c r="T2210" s="405" t="s">
        <v>32102</v>
      </c>
      <c r="U2210" s="405" t="s">
        <v>319</v>
      </c>
    </row>
    <row r="2211" spans="1:21" x14ac:dyDescent="0.25">
      <c r="A2211" s="405" t="s">
        <v>310</v>
      </c>
      <c r="B2211" s="405" t="s">
        <v>24479</v>
      </c>
      <c r="C2211" s="405" t="s">
        <v>327</v>
      </c>
      <c r="D2211" s="405"/>
      <c r="E2211" s="410">
        <v>43330</v>
      </c>
      <c r="F2211" s="410">
        <v>43336</v>
      </c>
      <c r="G2211" s="405" t="s">
        <v>24480</v>
      </c>
      <c r="H2211" s="405">
        <v>704899122</v>
      </c>
      <c r="I2211" s="405">
        <v>772694519</v>
      </c>
      <c r="J2211" s="405">
        <v>-0.3342</v>
      </c>
      <c r="K2211" s="405">
        <v>30.911999999999999</v>
      </c>
      <c r="L2211" s="405" t="s">
        <v>590</v>
      </c>
      <c r="M2211" s="405" t="s">
        <v>19625</v>
      </c>
      <c r="N2211" s="405" t="s">
        <v>19626</v>
      </c>
      <c r="O2211" s="405" t="s">
        <v>13002</v>
      </c>
      <c r="P2211" s="405" t="s">
        <v>24481</v>
      </c>
      <c r="Q2211" s="411">
        <v>9</v>
      </c>
      <c r="R2211" s="405" t="s">
        <v>32166</v>
      </c>
      <c r="S2211" s="405" t="s">
        <v>27205</v>
      </c>
      <c r="T2211" s="405" t="s">
        <v>884</v>
      </c>
      <c r="U2211" s="405" t="s">
        <v>319</v>
      </c>
    </row>
    <row r="2212" spans="1:21" x14ac:dyDescent="0.25">
      <c r="A2212" s="405" t="s">
        <v>310</v>
      </c>
      <c r="B2212" s="405" t="s">
        <v>16267</v>
      </c>
      <c r="C2212" s="405" t="s">
        <v>327</v>
      </c>
      <c r="D2212" s="405"/>
      <c r="E2212" s="410">
        <v>43330</v>
      </c>
      <c r="F2212" s="410">
        <v>43345</v>
      </c>
      <c r="G2212" s="405" t="s">
        <v>16268</v>
      </c>
      <c r="H2212" s="405">
        <v>778917421</v>
      </c>
      <c r="I2212" s="405" t="s">
        <v>16269</v>
      </c>
      <c r="J2212" s="405">
        <v>1.25</v>
      </c>
      <c r="K2212" s="405">
        <v>34.313400000000001</v>
      </c>
      <c r="L2212" s="405" t="s">
        <v>6866</v>
      </c>
      <c r="M2212" s="405" t="s">
        <v>9705</v>
      </c>
      <c r="N2212" s="405" t="s">
        <v>9705</v>
      </c>
      <c r="O2212" s="405" t="s">
        <v>16211</v>
      </c>
      <c r="P2212" s="405" t="s">
        <v>16270</v>
      </c>
      <c r="Q2212" s="411">
        <v>6</v>
      </c>
      <c r="R2212" s="405" t="s">
        <v>9506</v>
      </c>
      <c r="S2212" s="405" t="s">
        <v>27318</v>
      </c>
      <c r="T2212" s="405" t="s">
        <v>32102</v>
      </c>
      <c r="U2212" s="405" t="s">
        <v>319</v>
      </c>
    </row>
    <row r="2213" spans="1:21" x14ac:dyDescent="0.25">
      <c r="A2213" s="405" t="s">
        <v>310</v>
      </c>
      <c r="B2213" s="405" t="s">
        <v>16277</v>
      </c>
      <c r="C2213" s="405" t="s">
        <v>327</v>
      </c>
      <c r="D2213" s="405"/>
      <c r="E2213" s="410">
        <v>43330</v>
      </c>
      <c r="F2213" s="410">
        <v>43345</v>
      </c>
      <c r="G2213" s="405" t="s">
        <v>16278</v>
      </c>
      <c r="H2213" s="405">
        <v>788816415</v>
      </c>
      <c r="I2213" s="405">
        <v>702044361</v>
      </c>
      <c r="J2213" s="405">
        <v>1.1451</v>
      </c>
      <c r="K2213" s="405">
        <v>34.204000000000001</v>
      </c>
      <c r="L2213" s="405" t="s">
        <v>6866</v>
      </c>
      <c r="M2213" s="405" t="s">
        <v>9550</v>
      </c>
      <c r="N2213" s="405" t="s">
        <v>9550</v>
      </c>
      <c r="O2213" s="405" t="s">
        <v>14815</v>
      </c>
      <c r="P2213" s="405" t="s">
        <v>16279</v>
      </c>
      <c r="Q2213" s="411">
        <v>6</v>
      </c>
      <c r="R2213" s="405" t="s">
        <v>9506</v>
      </c>
      <c r="S2213" s="405" t="s">
        <v>27259</v>
      </c>
      <c r="T2213" s="405" t="s">
        <v>884</v>
      </c>
      <c r="U2213" s="405" t="s">
        <v>319</v>
      </c>
    </row>
    <row r="2214" spans="1:21" x14ac:dyDescent="0.25">
      <c r="A2214" s="405" t="s">
        <v>310</v>
      </c>
      <c r="B2214" s="405" t="s">
        <v>24558</v>
      </c>
      <c r="C2214" s="405" t="s">
        <v>327</v>
      </c>
      <c r="D2214" s="405"/>
      <c r="E2214" s="410">
        <v>43329</v>
      </c>
      <c r="F2214" s="410">
        <v>43344</v>
      </c>
      <c r="G2214" s="405" t="s">
        <v>24559</v>
      </c>
      <c r="H2214" s="405">
        <v>774089779</v>
      </c>
      <c r="I2214" s="405"/>
      <c r="J2214" s="405">
        <v>0.40150000000000002</v>
      </c>
      <c r="K2214" s="405">
        <v>30.63</v>
      </c>
      <c r="L2214" s="405" t="s">
        <v>590</v>
      </c>
      <c r="M2214" s="405" t="s">
        <v>20032</v>
      </c>
      <c r="N2214" s="405" t="s">
        <v>20033</v>
      </c>
      <c r="O2214" s="405" t="s">
        <v>23294</v>
      </c>
      <c r="P2214" s="405" t="s">
        <v>23294</v>
      </c>
      <c r="Q2214" s="411">
        <v>9</v>
      </c>
      <c r="R2214" s="405" t="s">
        <v>6572</v>
      </c>
      <c r="S2214" s="405" t="s">
        <v>27173</v>
      </c>
      <c r="T2214" s="405" t="s">
        <v>884</v>
      </c>
      <c r="U2214" s="405" t="s">
        <v>319</v>
      </c>
    </row>
    <row r="2215" spans="1:21" x14ac:dyDescent="0.25">
      <c r="A2215" s="405" t="s">
        <v>310</v>
      </c>
      <c r="B2215" s="405" t="s">
        <v>16290</v>
      </c>
      <c r="C2215" s="405" t="s">
        <v>327</v>
      </c>
      <c r="D2215" s="405"/>
      <c r="E2215" s="410">
        <v>43329</v>
      </c>
      <c r="F2215" s="410">
        <v>43368</v>
      </c>
      <c r="G2215" s="405" t="s">
        <v>16291</v>
      </c>
      <c r="H2215" s="405">
        <v>7820371333</v>
      </c>
      <c r="I2215" s="405">
        <v>7520371333</v>
      </c>
      <c r="J2215" s="405">
        <v>1.3065869999999999</v>
      </c>
      <c r="K2215" s="405">
        <v>34.384512000000001</v>
      </c>
      <c r="L2215" s="405" t="s">
        <v>6866</v>
      </c>
      <c r="M2215" s="405" t="s">
        <v>9685</v>
      </c>
      <c r="N2215" s="405" t="s">
        <v>9686</v>
      </c>
      <c r="O2215" s="405" t="s">
        <v>15836</v>
      </c>
      <c r="P2215" s="405" t="s">
        <v>15670</v>
      </c>
      <c r="Q2215" s="411">
        <v>6</v>
      </c>
      <c r="R2215" s="405" t="s">
        <v>9506</v>
      </c>
      <c r="S2215" s="405" t="s">
        <v>27067</v>
      </c>
      <c r="T2215" s="405" t="s">
        <v>32102</v>
      </c>
      <c r="U2215" s="405" t="s">
        <v>319</v>
      </c>
    </row>
    <row r="2216" spans="1:21" x14ac:dyDescent="0.25">
      <c r="A2216" s="405" t="s">
        <v>310</v>
      </c>
      <c r="B2216" s="405" t="s">
        <v>16283</v>
      </c>
      <c r="C2216" s="405" t="s">
        <v>327</v>
      </c>
      <c r="D2216" s="405"/>
      <c r="E2216" s="410">
        <v>43328</v>
      </c>
      <c r="F2216" s="410">
        <v>43343</v>
      </c>
      <c r="G2216" s="405" t="s">
        <v>16284</v>
      </c>
      <c r="H2216" s="405">
        <v>702384862</v>
      </c>
      <c r="I2216" s="405"/>
      <c r="J2216" s="405">
        <v>1.1556</v>
      </c>
      <c r="K2216" s="405">
        <v>34.195700000000002</v>
      </c>
      <c r="L2216" s="405" t="s">
        <v>6866</v>
      </c>
      <c r="M2216" s="405" t="s">
        <v>9550</v>
      </c>
      <c r="N2216" s="405" t="s">
        <v>9550</v>
      </c>
      <c r="O2216" s="405" t="s">
        <v>14815</v>
      </c>
      <c r="P2216" s="405" t="s">
        <v>16285</v>
      </c>
      <c r="Q2216" s="411">
        <v>6</v>
      </c>
      <c r="R2216" s="405" t="s">
        <v>9506</v>
      </c>
      <c r="S2216" s="405" t="s">
        <v>27072</v>
      </c>
      <c r="T2216" s="405" t="s">
        <v>884</v>
      </c>
      <c r="U2216" s="405" t="s">
        <v>319</v>
      </c>
    </row>
    <row r="2217" spans="1:21" x14ac:dyDescent="0.25">
      <c r="A2217" s="405" t="s">
        <v>310</v>
      </c>
      <c r="B2217" s="405" t="s">
        <v>24489</v>
      </c>
      <c r="C2217" s="405" t="s">
        <v>327</v>
      </c>
      <c r="D2217" s="405"/>
      <c r="E2217" s="410">
        <v>43327</v>
      </c>
      <c r="F2217" s="410">
        <v>43342</v>
      </c>
      <c r="G2217" s="405" t="s">
        <v>24490</v>
      </c>
      <c r="H2217" s="405">
        <v>786868627</v>
      </c>
      <c r="I2217" s="405">
        <v>756868627</v>
      </c>
      <c r="J2217" s="405">
        <v>-0.26716000000000001</v>
      </c>
      <c r="K2217" s="405">
        <v>30.354787999999999</v>
      </c>
      <c r="L2217" s="405" t="s">
        <v>590</v>
      </c>
      <c r="M2217" s="405" t="s">
        <v>24487</v>
      </c>
      <c r="N2217" s="405" t="s">
        <v>24487</v>
      </c>
      <c r="O2217" s="405" t="s">
        <v>24491</v>
      </c>
      <c r="P2217" s="405" t="s">
        <v>24491</v>
      </c>
      <c r="Q2217" s="411">
        <v>9</v>
      </c>
      <c r="R2217" s="405" t="s">
        <v>32166</v>
      </c>
      <c r="S2217" s="405" t="s">
        <v>27104</v>
      </c>
      <c r="T2217" s="405" t="s">
        <v>884</v>
      </c>
      <c r="U2217" s="405" t="s">
        <v>319</v>
      </c>
    </row>
    <row r="2218" spans="1:21" x14ac:dyDescent="0.25">
      <c r="A2218" s="405" t="s">
        <v>310</v>
      </c>
      <c r="B2218" s="405" t="s">
        <v>16311</v>
      </c>
      <c r="C2218" s="405" t="s">
        <v>327</v>
      </c>
      <c r="D2218" s="405"/>
      <c r="E2218" s="410">
        <v>43327</v>
      </c>
      <c r="F2218" s="410">
        <v>43375</v>
      </c>
      <c r="G2218" s="405" t="s">
        <v>16312</v>
      </c>
      <c r="H2218" s="405">
        <v>770666127</v>
      </c>
      <c r="I2218" s="405">
        <v>793921526</v>
      </c>
      <c r="J2218" s="405">
        <v>1.4091149999999999</v>
      </c>
      <c r="K2218" s="405">
        <v>34.602727000000002</v>
      </c>
      <c r="L2218" s="405" t="s">
        <v>6866</v>
      </c>
      <c r="M2218" s="405" t="s">
        <v>9705</v>
      </c>
      <c r="N2218" s="405" t="s">
        <v>9686</v>
      </c>
      <c r="O2218" s="405" t="s">
        <v>15598</v>
      </c>
      <c r="P2218" s="405" t="s">
        <v>15599</v>
      </c>
      <c r="Q2218" s="411">
        <v>6</v>
      </c>
      <c r="R2218" s="405" t="s">
        <v>9506</v>
      </c>
      <c r="S2218" s="405" t="s">
        <v>27074</v>
      </c>
      <c r="T2218" s="405" t="s">
        <v>884</v>
      </c>
      <c r="U2218" s="405" t="s">
        <v>319</v>
      </c>
    </row>
    <row r="2219" spans="1:21" x14ac:dyDescent="0.25">
      <c r="A2219" s="405" t="s">
        <v>310</v>
      </c>
      <c r="B2219" s="405" t="s">
        <v>16221</v>
      </c>
      <c r="C2219" s="405" t="s">
        <v>327</v>
      </c>
      <c r="D2219" s="405"/>
      <c r="E2219" s="410">
        <v>43327</v>
      </c>
      <c r="F2219" s="410">
        <v>43342</v>
      </c>
      <c r="G2219" s="405" t="s">
        <v>16222</v>
      </c>
      <c r="H2219" s="405">
        <v>754901817</v>
      </c>
      <c r="I2219" s="405" t="s">
        <v>16223</v>
      </c>
      <c r="J2219" s="405">
        <v>1.2416</v>
      </c>
      <c r="K2219" s="405">
        <v>34.238</v>
      </c>
      <c r="L2219" s="405" t="s">
        <v>6866</v>
      </c>
      <c r="M2219" s="405" t="s">
        <v>9685</v>
      </c>
      <c r="N2219" s="405" t="s">
        <v>9686</v>
      </c>
      <c r="O2219" s="405" t="s">
        <v>12361</v>
      </c>
      <c r="P2219" s="405" t="s">
        <v>16224</v>
      </c>
      <c r="Q2219" s="411">
        <v>6</v>
      </c>
      <c r="R2219" s="405" t="s">
        <v>9506</v>
      </c>
      <c r="S2219" s="405" t="s">
        <v>27306</v>
      </c>
      <c r="T2219" s="405" t="s">
        <v>32102</v>
      </c>
      <c r="U2219" s="405" t="s">
        <v>319</v>
      </c>
    </row>
    <row r="2220" spans="1:21" x14ac:dyDescent="0.25">
      <c r="A2220" s="413" t="s">
        <v>310</v>
      </c>
      <c r="B2220" s="413" t="s">
        <v>24757</v>
      </c>
      <c r="C2220" s="413" t="s">
        <v>327</v>
      </c>
      <c r="D2220" s="421"/>
      <c r="E2220" s="418">
        <v>43327</v>
      </c>
      <c r="F2220" s="418">
        <v>43332</v>
      </c>
      <c r="G2220" s="413" t="s">
        <v>24758</v>
      </c>
      <c r="H2220" s="413">
        <v>776224224</v>
      </c>
      <c r="I2220" s="413" t="s">
        <v>24759</v>
      </c>
      <c r="J2220" s="413">
        <v>0.44941500000000001</v>
      </c>
      <c r="K2220" s="413">
        <v>30.555430000000001</v>
      </c>
      <c r="L2220" s="413" t="s">
        <v>590</v>
      </c>
      <c r="M2220" s="413" t="s">
        <v>19614</v>
      </c>
      <c r="N2220" s="413" t="s">
        <v>19614</v>
      </c>
      <c r="O2220" s="413" t="s">
        <v>19650</v>
      </c>
      <c r="P2220" s="413" t="s">
        <v>24760</v>
      </c>
      <c r="Q2220" s="422">
        <v>6</v>
      </c>
      <c r="R2220" s="413" t="s">
        <v>5921</v>
      </c>
      <c r="S2220" s="413" t="s">
        <v>27255</v>
      </c>
      <c r="T2220" s="405" t="s">
        <v>32102</v>
      </c>
      <c r="U2220" s="405" t="s">
        <v>319</v>
      </c>
    </row>
    <row r="2221" spans="1:21" x14ac:dyDescent="0.25">
      <c r="A2221" s="405" t="s">
        <v>310</v>
      </c>
      <c r="B2221" s="405" t="s">
        <v>24656</v>
      </c>
      <c r="C2221" s="405" t="s">
        <v>327</v>
      </c>
      <c r="D2221" s="405"/>
      <c r="E2221" s="410">
        <v>43326</v>
      </c>
      <c r="F2221" s="410">
        <v>43375</v>
      </c>
      <c r="G2221" s="405" t="s">
        <v>24657</v>
      </c>
      <c r="H2221" s="405">
        <v>77955094</v>
      </c>
      <c r="I2221" s="405">
        <v>772396479</v>
      </c>
      <c r="J2221" s="405">
        <v>0.39410000000000001</v>
      </c>
      <c r="K2221" s="405">
        <v>30.333300000000001</v>
      </c>
      <c r="L2221" s="405" t="s">
        <v>24158</v>
      </c>
      <c r="M2221" s="405" t="s">
        <v>20032</v>
      </c>
      <c r="N2221" s="405" t="s">
        <v>20101</v>
      </c>
      <c r="O2221" s="405" t="s">
        <v>20033</v>
      </c>
      <c r="P2221" s="405" t="s">
        <v>24658</v>
      </c>
      <c r="Q2221" s="411">
        <v>9</v>
      </c>
      <c r="R2221" s="405" t="s">
        <v>6572</v>
      </c>
      <c r="S2221" s="405" t="s">
        <v>27132</v>
      </c>
      <c r="T2221" s="405" t="s">
        <v>32102</v>
      </c>
      <c r="U2221" s="405" t="s">
        <v>319</v>
      </c>
    </row>
    <row r="2222" spans="1:21" x14ac:dyDescent="0.25">
      <c r="A2222" s="405" t="s">
        <v>310</v>
      </c>
      <c r="B2222" s="405" t="s">
        <v>24755</v>
      </c>
      <c r="C2222" s="405" t="s">
        <v>311</v>
      </c>
      <c r="D2222" s="405" t="s">
        <v>839</v>
      </c>
      <c r="E2222" s="410">
        <v>43326</v>
      </c>
      <c r="F2222" s="410">
        <v>43341</v>
      </c>
      <c r="G2222" s="405" t="s">
        <v>24756</v>
      </c>
      <c r="H2222" s="405">
        <v>753568057</v>
      </c>
      <c r="I2222" s="405">
        <v>75655993</v>
      </c>
      <c r="J2222" s="405">
        <v>0.50209999999999999</v>
      </c>
      <c r="K2222" s="405">
        <v>31.225000000000001</v>
      </c>
      <c r="L2222" s="405" t="s">
        <v>590</v>
      </c>
      <c r="M2222" s="405" t="s">
        <v>879</v>
      </c>
      <c r="N2222" s="405" t="s">
        <v>12376</v>
      </c>
      <c r="O2222" s="405" t="s">
        <v>12376</v>
      </c>
      <c r="P2222" s="405" t="s">
        <v>24599</v>
      </c>
      <c r="Q2222" s="411">
        <v>9</v>
      </c>
      <c r="R2222" s="405" t="s">
        <v>32166</v>
      </c>
      <c r="S2222" s="405" t="s">
        <v>27172</v>
      </c>
      <c r="T2222" s="405" t="s">
        <v>884</v>
      </c>
      <c r="U2222" s="405" t="s">
        <v>319</v>
      </c>
    </row>
    <row r="2223" spans="1:21" x14ac:dyDescent="0.25">
      <c r="A2223" s="405" t="s">
        <v>310</v>
      </c>
      <c r="B2223" s="405" t="s">
        <v>16286</v>
      </c>
      <c r="C2223" s="405" t="s">
        <v>327</v>
      </c>
      <c r="D2223" s="405"/>
      <c r="E2223" s="410">
        <v>43326</v>
      </c>
      <c r="F2223" s="410">
        <v>43369</v>
      </c>
      <c r="G2223" s="405" t="s">
        <v>16287</v>
      </c>
      <c r="H2223" s="405">
        <v>787755020</v>
      </c>
      <c r="I2223" s="405">
        <v>756667256</v>
      </c>
      <c r="J2223" s="405">
        <v>1.2252000000000001</v>
      </c>
      <c r="K2223" s="405">
        <v>34.243400000000001</v>
      </c>
      <c r="L2223" s="405" t="s">
        <v>6866</v>
      </c>
      <c r="M2223" s="405" t="s">
        <v>9685</v>
      </c>
      <c r="N2223" s="405" t="s">
        <v>9686</v>
      </c>
      <c r="O2223" s="405" t="s">
        <v>16288</v>
      </c>
      <c r="P2223" s="405" t="s">
        <v>16289</v>
      </c>
      <c r="Q2223" s="411">
        <v>6</v>
      </c>
      <c r="R2223" s="405" t="s">
        <v>9506</v>
      </c>
      <c r="S2223" s="405" t="s">
        <v>17013</v>
      </c>
      <c r="T2223" s="405" t="s">
        <v>884</v>
      </c>
      <c r="U2223" s="405" t="s">
        <v>319</v>
      </c>
    </row>
    <row r="2224" spans="1:21" x14ac:dyDescent="0.25">
      <c r="A2224" s="405" t="s">
        <v>310</v>
      </c>
      <c r="B2224" s="405" t="s">
        <v>16184</v>
      </c>
      <c r="C2224" s="405" t="s">
        <v>327</v>
      </c>
      <c r="D2224" s="405"/>
      <c r="E2224" s="410">
        <v>43325</v>
      </c>
      <c r="F2224" s="410">
        <v>43340</v>
      </c>
      <c r="G2224" s="405" t="s">
        <v>16185</v>
      </c>
      <c r="H2224" s="405">
        <v>788746980</v>
      </c>
      <c r="I2224" s="405">
        <v>782571690</v>
      </c>
      <c r="J2224" s="405">
        <v>1.2448999999999999</v>
      </c>
      <c r="K2224" s="405">
        <v>34.3339</v>
      </c>
      <c r="L2224" s="405" t="s">
        <v>6866</v>
      </c>
      <c r="M2224" s="405" t="s">
        <v>9705</v>
      </c>
      <c r="N2224" s="405" t="s">
        <v>9705</v>
      </c>
      <c r="O2224" s="405" t="s">
        <v>10311</v>
      </c>
      <c r="P2224" s="405" t="s">
        <v>15670</v>
      </c>
      <c r="Q2224" s="411">
        <v>6</v>
      </c>
      <c r="R2224" s="405" t="s">
        <v>9506</v>
      </c>
      <c r="S2224" s="405" t="s">
        <v>27353</v>
      </c>
      <c r="T2224" s="405" t="s">
        <v>884</v>
      </c>
      <c r="U2224" s="405" t="s">
        <v>319</v>
      </c>
    </row>
    <row r="2225" spans="1:21" x14ac:dyDescent="0.25">
      <c r="A2225" s="405" t="s">
        <v>310</v>
      </c>
      <c r="B2225" s="405" t="s">
        <v>24970</v>
      </c>
      <c r="C2225" s="405" t="s">
        <v>311</v>
      </c>
      <c r="D2225" s="405" t="s">
        <v>1789</v>
      </c>
      <c r="E2225" s="410">
        <v>43324</v>
      </c>
      <c r="F2225" s="410">
        <v>43430</v>
      </c>
      <c r="G2225" s="405" t="s">
        <v>24971</v>
      </c>
      <c r="H2225" s="405">
        <v>783781386</v>
      </c>
      <c r="I2225" s="405"/>
      <c r="J2225" s="405">
        <v>-0.32197799999999999</v>
      </c>
      <c r="K2225" s="405">
        <v>30.321155000000001</v>
      </c>
      <c r="L2225" s="405" t="s">
        <v>590</v>
      </c>
      <c r="M2225" s="405" t="s">
        <v>24487</v>
      </c>
      <c r="N2225" s="405" t="s">
        <v>24487</v>
      </c>
      <c r="O2225" s="405" t="s">
        <v>24972</v>
      </c>
      <c r="P2225" s="405" t="s">
        <v>24973</v>
      </c>
      <c r="Q2225" s="411">
        <v>9</v>
      </c>
      <c r="R2225" s="405" t="s">
        <v>6943</v>
      </c>
      <c r="S2225" s="405" t="s">
        <v>27301</v>
      </c>
      <c r="T2225" s="405" t="s">
        <v>884</v>
      </c>
      <c r="U2225" s="405" t="s">
        <v>319</v>
      </c>
    </row>
    <row r="2226" spans="1:21" x14ac:dyDescent="0.25">
      <c r="A2226" s="405" t="s">
        <v>310</v>
      </c>
      <c r="B2226" s="405" t="s">
        <v>24582</v>
      </c>
      <c r="C2226" s="405" t="s">
        <v>327</v>
      </c>
      <c r="D2226" s="405"/>
      <c r="E2226" s="410">
        <v>43324</v>
      </c>
      <c r="F2226" s="410">
        <v>43353</v>
      </c>
      <c r="G2226" s="405" t="s">
        <v>24583</v>
      </c>
      <c r="H2226" s="405">
        <v>773947014</v>
      </c>
      <c r="I2226" s="405">
        <v>785126006</v>
      </c>
      <c r="J2226" s="405">
        <v>-0.41099999999999998</v>
      </c>
      <c r="K2226" s="405">
        <v>30.83</v>
      </c>
      <c r="L2226" s="405" t="s">
        <v>590</v>
      </c>
      <c r="M2226" s="405" t="s">
        <v>19725</v>
      </c>
      <c r="N2226" s="405" t="s">
        <v>19725</v>
      </c>
      <c r="O2226" s="405" t="s">
        <v>24584</v>
      </c>
      <c r="P2226" s="405" t="s">
        <v>24585</v>
      </c>
      <c r="Q2226" s="411">
        <v>9</v>
      </c>
      <c r="R2226" s="405" t="s">
        <v>32166</v>
      </c>
      <c r="S2226" s="405" t="s">
        <v>27410</v>
      </c>
      <c r="T2226" s="405" t="s">
        <v>32102</v>
      </c>
      <c r="U2226" s="405" t="s">
        <v>319</v>
      </c>
    </row>
    <row r="2227" spans="1:21" x14ac:dyDescent="0.25">
      <c r="A2227" s="405" t="s">
        <v>310</v>
      </c>
      <c r="B2227" s="405" t="s">
        <v>7003</v>
      </c>
      <c r="C2227" s="405" t="s">
        <v>327</v>
      </c>
      <c r="D2227" s="405"/>
      <c r="E2227" s="410">
        <v>43324</v>
      </c>
      <c r="F2227" s="410">
        <v>43339</v>
      </c>
      <c r="G2227" s="405" t="s">
        <v>7004</v>
      </c>
      <c r="H2227" s="405">
        <v>751625278</v>
      </c>
      <c r="I2227" s="405"/>
      <c r="J2227" s="405">
        <v>-0.2051</v>
      </c>
      <c r="K2227" s="405">
        <v>31.3843</v>
      </c>
      <c r="L2227" s="405" t="s">
        <v>314</v>
      </c>
      <c r="M2227" s="405" t="s">
        <v>1189</v>
      </c>
      <c r="N2227" s="405" t="s">
        <v>1189</v>
      </c>
      <c r="O2227" s="405" t="s">
        <v>1190</v>
      </c>
      <c r="P2227" s="405" t="s">
        <v>7005</v>
      </c>
      <c r="Q2227" s="411">
        <v>6</v>
      </c>
      <c r="R2227" s="405" t="s">
        <v>32101</v>
      </c>
      <c r="S2227" s="405" t="s">
        <v>5986</v>
      </c>
      <c r="T2227" s="405" t="s">
        <v>884</v>
      </c>
      <c r="U2227" s="405" t="s">
        <v>319</v>
      </c>
    </row>
    <row r="2228" spans="1:21" x14ac:dyDescent="0.25">
      <c r="A2228" s="405" t="s">
        <v>310</v>
      </c>
      <c r="B2228" s="405" t="s">
        <v>16274</v>
      </c>
      <c r="C2228" s="405" t="s">
        <v>327</v>
      </c>
      <c r="D2228" s="405"/>
      <c r="E2228" s="410">
        <v>43323</v>
      </c>
      <c r="F2228" s="410">
        <v>43338</v>
      </c>
      <c r="G2228" s="405" t="s">
        <v>16275</v>
      </c>
      <c r="H2228" s="405">
        <v>783240731</v>
      </c>
      <c r="I2228" s="405">
        <v>706739305</v>
      </c>
      <c r="J2228" s="405">
        <v>1.161</v>
      </c>
      <c r="K2228" s="405">
        <v>34.195900000000002</v>
      </c>
      <c r="L2228" s="405" t="s">
        <v>6866</v>
      </c>
      <c r="M2228" s="405" t="s">
        <v>9550</v>
      </c>
      <c r="N2228" s="405" t="s">
        <v>9550</v>
      </c>
      <c r="O2228" s="405" t="s">
        <v>14815</v>
      </c>
      <c r="P2228" s="405" t="s">
        <v>16276</v>
      </c>
      <c r="Q2228" s="411">
        <v>6</v>
      </c>
      <c r="R2228" s="405" t="s">
        <v>9506</v>
      </c>
      <c r="S2228" s="405" t="s">
        <v>27259</v>
      </c>
      <c r="T2228" s="405" t="s">
        <v>884</v>
      </c>
      <c r="U2228" s="405" t="s">
        <v>319</v>
      </c>
    </row>
    <row r="2229" spans="1:21" x14ac:dyDescent="0.25">
      <c r="A2229" s="405" t="s">
        <v>310</v>
      </c>
      <c r="B2229" s="405" t="s">
        <v>6979</v>
      </c>
      <c r="C2229" s="405" t="s">
        <v>327</v>
      </c>
      <c r="D2229" s="405"/>
      <c r="E2229" s="410">
        <v>43322</v>
      </c>
      <c r="F2229" s="410">
        <v>43337</v>
      </c>
      <c r="G2229" s="405" t="s">
        <v>6980</v>
      </c>
      <c r="H2229" s="405">
        <v>782313472</v>
      </c>
      <c r="I2229" s="405" t="s">
        <v>6981</v>
      </c>
      <c r="J2229" s="405">
        <v>0.98866600000000004</v>
      </c>
      <c r="K2229" s="405">
        <v>31.740924</v>
      </c>
      <c r="L2229" s="405" t="s">
        <v>314</v>
      </c>
      <c r="M2229" s="405" t="s">
        <v>1360</v>
      </c>
      <c r="N2229" s="405" t="s">
        <v>4476</v>
      </c>
      <c r="O2229" s="405" t="s">
        <v>4476</v>
      </c>
      <c r="P2229" s="405" t="s">
        <v>6982</v>
      </c>
      <c r="Q2229" s="411">
        <v>9</v>
      </c>
      <c r="R2229" s="405" t="s">
        <v>402</v>
      </c>
      <c r="S2229" s="405" t="s">
        <v>27170</v>
      </c>
      <c r="T2229" s="405" t="s">
        <v>884</v>
      </c>
      <c r="U2229" s="405" t="s">
        <v>319</v>
      </c>
    </row>
    <row r="2230" spans="1:21" x14ac:dyDescent="0.25">
      <c r="A2230" s="405" t="s">
        <v>310</v>
      </c>
      <c r="B2230" s="405" t="s">
        <v>24709</v>
      </c>
      <c r="C2230" s="405" t="s">
        <v>311</v>
      </c>
      <c r="D2230" s="405" t="s">
        <v>1789</v>
      </c>
      <c r="E2230" s="410">
        <v>43322</v>
      </c>
      <c r="F2230" s="410">
        <v>43334</v>
      </c>
      <c r="G2230" s="405" t="s">
        <v>24710</v>
      </c>
      <c r="H2230" s="405">
        <v>701582730</v>
      </c>
      <c r="I2230" s="405" t="s">
        <v>24711</v>
      </c>
      <c r="J2230" s="405">
        <v>-0.2112</v>
      </c>
      <c r="K2230" s="405">
        <v>30.451599999999999</v>
      </c>
      <c r="L2230" s="405" t="s">
        <v>24158</v>
      </c>
      <c r="M2230" s="405" t="s">
        <v>19705</v>
      </c>
      <c r="N2230" s="405" t="s">
        <v>19706</v>
      </c>
      <c r="O2230" s="405" t="s">
        <v>21291</v>
      </c>
      <c r="P2230" s="405" t="s">
        <v>20871</v>
      </c>
      <c r="Q2230" s="411">
        <v>9</v>
      </c>
      <c r="R2230" s="405" t="s">
        <v>6943</v>
      </c>
      <c r="S2230" s="405" t="s">
        <v>27435</v>
      </c>
      <c r="T2230" s="405" t="s">
        <v>32102</v>
      </c>
      <c r="U2230" s="405" t="s">
        <v>319</v>
      </c>
    </row>
    <row r="2231" spans="1:21" x14ac:dyDescent="0.25">
      <c r="A2231" s="405" t="s">
        <v>310</v>
      </c>
      <c r="B2231" s="405" t="s">
        <v>16345</v>
      </c>
      <c r="C2231" s="405" t="s">
        <v>327</v>
      </c>
      <c r="D2231" s="405"/>
      <c r="E2231" s="410">
        <v>43322</v>
      </c>
      <c r="F2231" s="410">
        <v>43385</v>
      </c>
      <c r="G2231" s="405" t="s">
        <v>16346</v>
      </c>
      <c r="H2231" s="405">
        <v>772630868</v>
      </c>
      <c r="I2231" s="405" t="s">
        <v>16347</v>
      </c>
      <c r="J2231" s="405">
        <v>1.2246999999999999</v>
      </c>
      <c r="K2231" s="405">
        <v>34.283000000000001</v>
      </c>
      <c r="L2231" s="405" t="s">
        <v>6866</v>
      </c>
      <c r="M2231" s="405" t="s">
        <v>9685</v>
      </c>
      <c r="N2231" s="405" t="s">
        <v>9880</v>
      </c>
      <c r="O2231" s="405" t="s">
        <v>4327</v>
      </c>
      <c r="P2231" s="405" t="s">
        <v>16348</v>
      </c>
      <c r="Q2231" s="411">
        <v>6</v>
      </c>
      <c r="R2231" s="405" t="s">
        <v>9506</v>
      </c>
      <c r="S2231" s="405" t="s">
        <v>27074</v>
      </c>
      <c r="T2231" s="405" t="s">
        <v>32102</v>
      </c>
      <c r="U2231" s="405" t="s">
        <v>319</v>
      </c>
    </row>
    <row r="2232" spans="1:21" x14ac:dyDescent="0.25">
      <c r="A2232" s="405" t="s">
        <v>310</v>
      </c>
      <c r="B2232" s="405" t="s">
        <v>24696</v>
      </c>
      <c r="C2232" s="405" t="s">
        <v>327</v>
      </c>
      <c r="D2232" s="405"/>
      <c r="E2232" s="410">
        <v>43322</v>
      </c>
      <c r="F2232" s="410">
        <v>43340</v>
      </c>
      <c r="G2232" s="405" t="s">
        <v>24697</v>
      </c>
      <c r="H2232" s="405">
        <v>781505577</v>
      </c>
      <c r="I2232" s="405"/>
      <c r="J2232" s="405">
        <v>-0.28320000000000001</v>
      </c>
      <c r="K2232" s="405">
        <v>30.265899999999998</v>
      </c>
      <c r="L2232" s="405" t="s">
        <v>590</v>
      </c>
      <c r="M2232" s="405" t="s">
        <v>19725</v>
      </c>
      <c r="N2232" s="405" t="s">
        <v>22130</v>
      </c>
      <c r="O2232" s="405" t="s">
        <v>19992</v>
      </c>
      <c r="P2232" s="405" t="s">
        <v>329</v>
      </c>
      <c r="Q2232" s="411">
        <v>6</v>
      </c>
      <c r="R2232" s="405" t="s">
        <v>883</v>
      </c>
      <c r="S2232" s="405" t="s">
        <v>27097</v>
      </c>
      <c r="T2232" s="405" t="s">
        <v>884</v>
      </c>
      <c r="U2232" s="405" t="s">
        <v>319</v>
      </c>
    </row>
    <row r="2233" spans="1:21" x14ac:dyDescent="0.25">
      <c r="A2233" s="405" t="s">
        <v>310</v>
      </c>
      <c r="B2233" s="405" t="s">
        <v>24522</v>
      </c>
      <c r="C2233" s="405" t="s">
        <v>327</v>
      </c>
      <c r="D2233" s="405"/>
      <c r="E2233" s="410">
        <v>43322</v>
      </c>
      <c r="F2233" s="410">
        <v>43337</v>
      </c>
      <c r="G2233" s="405" t="s">
        <v>24523</v>
      </c>
      <c r="H2233" s="405">
        <v>772575741</v>
      </c>
      <c r="I2233" s="405">
        <v>706403248</v>
      </c>
      <c r="J2233" s="405">
        <v>-0.33500000000000002</v>
      </c>
      <c r="K2233" s="405">
        <v>30.105899999999998</v>
      </c>
      <c r="L2233" s="405" t="s">
        <v>590</v>
      </c>
      <c r="M2233" s="405" t="s">
        <v>19625</v>
      </c>
      <c r="N2233" s="405" t="s">
        <v>19978</v>
      </c>
      <c r="O2233" s="405" t="s">
        <v>13002</v>
      </c>
      <c r="P2233" s="405" t="s">
        <v>23821</v>
      </c>
      <c r="Q2233" s="411">
        <v>6</v>
      </c>
      <c r="R2233" s="405" t="s">
        <v>883</v>
      </c>
      <c r="S2233" s="405" t="s">
        <v>27161</v>
      </c>
      <c r="T2233" s="405" t="s">
        <v>884</v>
      </c>
      <c r="U2233" s="405" t="s">
        <v>319</v>
      </c>
    </row>
    <row r="2234" spans="1:21" x14ac:dyDescent="0.25">
      <c r="A2234" s="405" t="s">
        <v>310</v>
      </c>
      <c r="B2234" s="405" t="s">
        <v>16280</v>
      </c>
      <c r="C2234" s="405" t="s">
        <v>327</v>
      </c>
      <c r="D2234" s="405"/>
      <c r="E2234" s="410">
        <v>43322</v>
      </c>
      <c r="F2234" s="410">
        <v>43337</v>
      </c>
      <c r="G2234" s="405" t="s">
        <v>16281</v>
      </c>
      <c r="H2234" s="405">
        <v>782681978</v>
      </c>
      <c r="I2234" s="405">
        <v>702681978</v>
      </c>
      <c r="J2234" s="405">
        <v>1.2528999999999999</v>
      </c>
      <c r="K2234" s="405">
        <v>34.254399999999997</v>
      </c>
      <c r="L2234" s="405" t="s">
        <v>6866</v>
      </c>
      <c r="M2234" s="405" t="s">
        <v>9685</v>
      </c>
      <c r="N2234" s="405" t="s">
        <v>9686</v>
      </c>
      <c r="O2234" s="405" t="s">
        <v>12361</v>
      </c>
      <c r="P2234" s="405" t="s">
        <v>16282</v>
      </c>
      <c r="Q2234" s="411">
        <v>6</v>
      </c>
      <c r="R2234" s="405" t="s">
        <v>9506</v>
      </c>
      <c r="S2234" s="405" t="s">
        <v>17013</v>
      </c>
      <c r="T2234" s="405" t="s">
        <v>32102</v>
      </c>
      <c r="U2234" s="405" t="s">
        <v>319</v>
      </c>
    </row>
    <row r="2235" spans="1:21" x14ac:dyDescent="0.25">
      <c r="A2235" s="405" t="s">
        <v>310</v>
      </c>
      <c r="B2235" s="405" t="s">
        <v>16206</v>
      </c>
      <c r="C2235" s="405" t="s">
        <v>327</v>
      </c>
      <c r="D2235" s="405"/>
      <c r="E2235" s="410">
        <v>43322</v>
      </c>
      <c r="F2235" s="410">
        <v>43337</v>
      </c>
      <c r="G2235" s="405" t="s">
        <v>16207</v>
      </c>
      <c r="H2235" s="405">
        <v>777698490</v>
      </c>
      <c r="I2235" s="405">
        <v>780274155</v>
      </c>
      <c r="J2235" s="405">
        <v>1.2443</v>
      </c>
      <c r="K2235" s="405">
        <v>34.267000000000003</v>
      </c>
      <c r="L2235" s="405" t="s">
        <v>6866</v>
      </c>
      <c r="M2235" s="405" t="s">
        <v>9685</v>
      </c>
      <c r="N2235" s="405" t="s">
        <v>9686</v>
      </c>
      <c r="O2235" s="405" t="s">
        <v>12361</v>
      </c>
      <c r="P2235" s="405" t="s">
        <v>16208</v>
      </c>
      <c r="Q2235" s="411">
        <v>6</v>
      </c>
      <c r="R2235" s="405" t="s">
        <v>9506</v>
      </c>
      <c r="S2235" s="405" t="s">
        <v>27318</v>
      </c>
      <c r="T2235" s="405" t="s">
        <v>32102</v>
      </c>
      <c r="U2235" s="405" t="s">
        <v>319</v>
      </c>
    </row>
    <row r="2236" spans="1:21" x14ac:dyDescent="0.25">
      <c r="A2236" s="405" t="s">
        <v>310</v>
      </c>
      <c r="B2236" s="405" t="s">
        <v>16219</v>
      </c>
      <c r="C2236" s="405" t="s">
        <v>327</v>
      </c>
      <c r="D2236" s="405"/>
      <c r="E2236" s="410">
        <v>43322</v>
      </c>
      <c r="F2236" s="410">
        <v>43337</v>
      </c>
      <c r="G2236" s="405" t="s">
        <v>16220</v>
      </c>
      <c r="H2236" s="405">
        <v>775022404</v>
      </c>
      <c r="I2236" s="405"/>
      <c r="J2236" s="405">
        <v>1.306357</v>
      </c>
      <c r="K2236" s="405">
        <v>34.383972999999997</v>
      </c>
      <c r="L2236" s="405" t="s">
        <v>6866</v>
      </c>
      <c r="M2236" s="405" t="s">
        <v>9685</v>
      </c>
      <c r="N2236" s="405" t="s">
        <v>9686</v>
      </c>
      <c r="O2236" s="405" t="s">
        <v>15836</v>
      </c>
      <c r="P2236" s="405" t="s">
        <v>15670</v>
      </c>
      <c r="Q2236" s="411">
        <v>6</v>
      </c>
      <c r="R2236" s="405" t="s">
        <v>9506</v>
      </c>
      <c r="S2236" s="405" t="s">
        <v>27067</v>
      </c>
      <c r="T2236" s="405" t="s">
        <v>32102</v>
      </c>
      <c r="U2236" s="405" t="s">
        <v>319</v>
      </c>
    </row>
    <row r="2237" spans="1:21" x14ac:dyDescent="0.25">
      <c r="A2237" s="405" t="s">
        <v>310</v>
      </c>
      <c r="B2237" s="405" t="s">
        <v>24477</v>
      </c>
      <c r="C2237" s="405" t="s">
        <v>327</v>
      </c>
      <c r="D2237" s="405"/>
      <c r="E2237" s="410">
        <v>43321</v>
      </c>
      <c r="F2237" s="410">
        <v>43342</v>
      </c>
      <c r="G2237" s="405" t="s">
        <v>24478</v>
      </c>
      <c r="H2237" s="405">
        <v>704773373</v>
      </c>
      <c r="I2237" s="405"/>
      <c r="J2237" s="405">
        <v>0.3211</v>
      </c>
      <c r="K2237" s="405">
        <v>30.114599999999999</v>
      </c>
      <c r="L2237" s="405" t="s">
        <v>590</v>
      </c>
      <c r="M2237" s="405" t="s">
        <v>19625</v>
      </c>
      <c r="N2237" s="405" t="s">
        <v>19978</v>
      </c>
      <c r="O2237" s="405" t="s">
        <v>4147</v>
      </c>
      <c r="P2237" s="405" t="s">
        <v>20497</v>
      </c>
      <c r="Q2237" s="411">
        <v>9</v>
      </c>
      <c r="R2237" s="405" t="s">
        <v>6572</v>
      </c>
      <c r="S2237" s="405" t="s">
        <v>27410</v>
      </c>
      <c r="T2237" s="405" t="s">
        <v>884</v>
      </c>
      <c r="U2237" s="405" t="s">
        <v>319</v>
      </c>
    </row>
    <row r="2238" spans="1:21" x14ac:dyDescent="0.25">
      <c r="A2238" s="405" t="s">
        <v>310</v>
      </c>
      <c r="B2238" s="405" t="s">
        <v>24508</v>
      </c>
      <c r="C2238" s="405" t="s">
        <v>327</v>
      </c>
      <c r="D2238" s="405"/>
      <c r="E2238" s="410">
        <v>43320</v>
      </c>
      <c r="F2238" s="410">
        <v>43335</v>
      </c>
      <c r="G2238" s="405" t="s">
        <v>24509</v>
      </c>
      <c r="H2238" s="405">
        <v>701093792</v>
      </c>
      <c r="I2238" s="405">
        <v>754575942</v>
      </c>
      <c r="J2238" s="405">
        <v>-0.27339999999999998</v>
      </c>
      <c r="K2238" s="405">
        <v>30.273700000000002</v>
      </c>
      <c r="L2238" s="405" t="s">
        <v>590</v>
      </c>
      <c r="M2238" s="405" t="s">
        <v>19725</v>
      </c>
      <c r="N2238" s="405" t="s">
        <v>22130</v>
      </c>
      <c r="O2238" s="405" t="s">
        <v>19992</v>
      </c>
      <c r="P2238" s="405" t="s">
        <v>24510</v>
      </c>
      <c r="Q2238" s="411">
        <v>9</v>
      </c>
      <c r="R2238" s="405" t="s">
        <v>883</v>
      </c>
      <c r="S2238" s="405" t="s">
        <v>27172</v>
      </c>
      <c r="T2238" s="405" t="s">
        <v>884</v>
      </c>
      <c r="U2238" s="405" t="s">
        <v>319</v>
      </c>
    </row>
    <row r="2239" spans="1:21" x14ac:dyDescent="0.25">
      <c r="A2239" s="405" t="s">
        <v>310</v>
      </c>
      <c r="B2239" s="405" t="s">
        <v>16271</v>
      </c>
      <c r="C2239" s="405" t="s">
        <v>327</v>
      </c>
      <c r="D2239" s="405"/>
      <c r="E2239" s="410">
        <v>43319</v>
      </c>
      <c r="F2239" s="410">
        <v>43348</v>
      </c>
      <c r="G2239" s="405" t="s">
        <v>16272</v>
      </c>
      <c r="H2239" s="405">
        <v>785047056</v>
      </c>
      <c r="I2239" s="405">
        <v>788158848</v>
      </c>
      <c r="J2239" s="405">
        <v>1.307042</v>
      </c>
      <c r="K2239" s="405">
        <v>34.386602000000003</v>
      </c>
      <c r="L2239" s="405" t="s">
        <v>6866</v>
      </c>
      <c r="M2239" s="405" t="s">
        <v>9685</v>
      </c>
      <c r="N2239" s="405" t="s">
        <v>9686</v>
      </c>
      <c r="O2239" s="405" t="s">
        <v>15836</v>
      </c>
      <c r="P2239" s="405" t="s">
        <v>16273</v>
      </c>
      <c r="Q2239" s="411">
        <v>6</v>
      </c>
      <c r="R2239" s="405" t="s">
        <v>9506</v>
      </c>
      <c r="S2239" s="405" t="s">
        <v>27067</v>
      </c>
      <c r="T2239" s="405" t="s">
        <v>32102</v>
      </c>
      <c r="U2239" s="405" t="s">
        <v>319</v>
      </c>
    </row>
    <row r="2240" spans="1:21" x14ac:dyDescent="0.25">
      <c r="A2240" s="405" t="s">
        <v>310</v>
      </c>
      <c r="B2240" s="405" t="s">
        <v>24482</v>
      </c>
      <c r="C2240" s="405" t="s">
        <v>327</v>
      </c>
      <c r="D2240" s="405"/>
      <c r="E2240" s="410">
        <v>43318</v>
      </c>
      <c r="F2240" s="410">
        <v>43333</v>
      </c>
      <c r="G2240" s="405" t="s">
        <v>24483</v>
      </c>
      <c r="H2240" s="405">
        <v>772367510</v>
      </c>
      <c r="I2240" s="405">
        <v>777861742</v>
      </c>
      <c r="J2240" s="405">
        <v>-0.3412</v>
      </c>
      <c r="K2240" s="405">
        <v>30.87</v>
      </c>
      <c r="L2240" s="405" t="s">
        <v>590</v>
      </c>
      <c r="M2240" s="405" t="s">
        <v>19625</v>
      </c>
      <c r="N2240" s="405" t="s">
        <v>19626</v>
      </c>
      <c r="O2240" s="405" t="s">
        <v>24014</v>
      </c>
      <c r="P2240" s="405" t="s">
        <v>24484</v>
      </c>
      <c r="Q2240" s="411">
        <v>9</v>
      </c>
      <c r="R2240" s="405" t="s">
        <v>32166</v>
      </c>
      <c r="S2240" s="405" t="s">
        <v>27205</v>
      </c>
      <c r="T2240" s="405" t="s">
        <v>32102</v>
      </c>
      <c r="U2240" s="405" t="s">
        <v>319</v>
      </c>
    </row>
    <row r="2241" spans="1:21" x14ac:dyDescent="0.25">
      <c r="A2241" s="405" t="s">
        <v>310</v>
      </c>
      <c r="B2241" s="405" t="s">
        <v>9227</v>
      </c>
      <c r="C2241" s="405" t="s">
        <v>327</v>
      </c>
      <c r="D2241" s="405"/>
      <c r="E2241" s="410">
        <v>44515</v>
      </c>
      <c r="F2241" s="410">
        <v>44526</v>
      </c>
      <c r="G2241" s="405" t="s">
        <v>9228</v>
      </c>
      <c r="H2241" s="405" t="s">
        <v>9229</v>
      </c>
      <c r="I2241" s="405" t="s">
        <v>2913</v>
      </c>
      <c r="J2241" s="405">
        <v>0.35845500000000002</v>
      </c>
      <c r="K2241" s="405">
        <v>32.529254999999999</v>
      </c>
      <c r="L2241" s="405" t="s">
        <v>314</v>
      </c>
      <c r="M2241" s="405" t="s">
        <v>361</v>
      </c>
      <c r="N2241" s="405" t="s">
        <v>374</v>
      </c>
      <c r="O2241" s="405" t="s">
        <v>523</v>
      </c>
      <c r="P2241" s="405" t="s">
        <v>1994</v>
      </c>
      <c r="Q2241" s="411">
        <v>40</v>
      </c>
      <c r="R2241" s="405" t="s">
        <v>32101</v>
      </c>
      <c r="S2241" s="405" t="s">
        <v>27055</v>
      </c>
      <c r="T2241" s="405" t="s">
        <v>32102</v>
      </c>
      <c r="U2241" s="405" t="s">
        <v>319</v>
      </c>
    </row>
    <row r="2242" spans="1:21" x14ac:dyDescent="0.25">
      <c r="A2242" s="405" t="s">
        <v>310</v>
      </c>
      <c r="B2242" s="405" t="s">
        <v>24530</v>
      </c>
      <c r="C2242" s="405" t="s">
        <v>327</v>
      </c>
      <c r="D2242" s="405"/>
      <c r="E2242" s="410">
        <v>43317</v>
      </c>
      <c r="F2242" s="410">
        <v>43363</v>
      </c>
      <c r="G2242" s="405" t="s">
        <v>24531</v>
      </c>
      <c r="H2242" s="405">
        <v>705253313</v>
      </c>
      <c r="I2242" s="405"/>
      <c r="J2242" s="405">
        <v>-0.60592699999999999</v>
      </c>
      <c r="K2242" s="405">
        <v>30.666087000000001</v>
      </c>
      <c r="L2242" s="405" t="s">
        <v>590</v>
      </c>
      <c r="M2242" s="405" t="s">
        <v>24532</v>
      </c>
      <c r="N2242" s="405" t="s">
        <v>24533</v>
      </c>
      <c r="O2242" s="405" t="s">
        <v>24533</v>
      </c>
      <c r="P2242" s="405" t="s">
        <v>24533</v>
      </c>
      <c r="Q2242" s="411">
        <v>9</v>
      </c>
      <c r="R2242" s="405" t="s">
        <v>874</v>
      </c>
      <c r="S2242" s="405" t="s">
        <v>27063</v>
      </c>
      <c r="T2242" s="405" t="s">
        <v>32102</v>
      </c>
      <c r="U2242" s="405" t="s">
        <v>319</v>
      </c>
    </row>
    <row r="2243" spans="1:21" x14ac:dyDescent="0.25">
      <c r="A2243" s="405" t="s">
        <v>310</v>
      </c>
      <c r="B2243" s="405" t="s">
        <v>16322</v>
      </c>
      <c r="C2243" s="405" t="s">
        <v>327</v>
      </c>
      <c r="D2243" s="405"/>
      <c r="E2243" s="410">
        <v>43317</v>
      </c>
      <c r="F2243" s="410">
        <v>43381</v>
      </c>
      <c r="G2243" s="405" t="s">
        <v>16323</v>
      </c>
      <c r="H2243" s="405">
        <v>771968567</v>
      </c>
      <c r="I2243" s="405"/>
      <c r="J2243" s="405">
        <v>2.2938000000000001</v>
      </c>
      <c r="K2243" s="405" t="s">
        <v>16324</v>
      </c>
      <c r="L2243" s="405" t="s">
        <v>6866</v>
      </c>
      <c r="M2243" s="405" t="s">
        <v>16319</v>
      </c>
      <c r="N2243" s="405" t="s">
        <v>16320</v>
      </c>
      <c r="O2243" s="405" t="s">
        <v>16320</v>
      </c>
      <c r="P2243" s="405" t="s">
        <v>16325</v>
      </c>
      <c r="Q2243" s="411">
        <v>6</v>
      </c>
      <c r="R2243" s="405" t="s">
        <v>7269</v>
      </c>
      <c r="S2243" s="405" t="s">
        <v>27039</v>
      </c>
      <c r="T2243" s="405" t="s">
        <v>884</v>
      </c>
      <c r="U2243" s="405" t="s">
        <v>319</v>
      </c>
    </row>
    <row r="2244" spans="1:21" x14ac:dyDescent="0.25">
      <c r="A2244" s="405" t="s">
        <v>310</v>
      </c>
      <c r="B2244" s="405" t="s">
        <v>7025</v>
      </c>
      <c r="C2244" s="405" t="s">
        <v>327</v>
      </c>
      <c r="D2244" s="405"/>
      <c r="E2244" s="410">
        <v>43317</v>
      </c>
      <c r="F2244" s="410">
        <v>43323</v>
      </c>
      <c r="G2244" s="405" t="s">
        <v>7026</v>
      </c>
      <c r="H2244" s="405">
        <v>752436364</v>
      </c>
      <c r="I2244" s="405">
        <v>701373913</v>
      </c>
      <c r="J2244" s="405">
        <v>0.25475199999999998</v>
      </c>
      <c r="K2244" s="405">
        <v>32.488447999999998</v>
      </c>
      <c r="L2244" s="405" t="s">
        <v>314</v>
      </c>
      <c r="M2244" s="405" t="s">
        <v>361</v>
      </c>
      <c r="N2244" s="405" t="s">
        <v>374</v>
      </c>
      <c r="O2244" s="405" t="s">
        <v>1276</v>
      </c>
      <c r="P2244" s="405" t="s">
        <v>375</v>
      </c>
      <c r="Q2244" s="411">
        <v>6</v>
      </c>
      <c r="R2244" s="405" t="s">
        <v>5921</v>
      </c>
      <c r="S2244" s="405" t="s">
        <v>27255</v>
      </c>
      <c r="T2244" s="405" t="s">
        <v>32102</v>
      </c>
      <c r="U2244" s="405" t="s">
        <v>319</v>
      </c>
    </row>
    <row r="2245" spans="1:21" x14ac:dyDescent="0.25">
      <c r="A2245" s="405" t="s">
        <v>310</v>
      </c>
      <c r="B2245" s="405" t="s">
        <v>24431</v>
      </c>
      <c r="C2245" s="405" t="s">
        <v>327</v>
      </c>
      <c r="D2245" s="405"/>
      <c r="E2245" s="410">
        <v>43316</v>
      </c>
      <c r="F2245" s="410">
        <v>43342</v>
      </c>
      <c r="G2245" s="405" t="s">
        <v>24432</v>
      </c>
      <c r="H2245" s="405">
        <v>774088141</v>
      </c>
      <c r="I2245" s="405">
        <v>783115668</v>
      </c>
      <c r="J2245" s="405" t="s">
        <v>24433</v>
      </c>
      <c r="K2245" s="405">
        <v>30.081607000000002</v>
      </c>
      <c r="L2245" s="405" t="s">
        <v>590</v>
      </c>
      <c r="M2245" s="405" t="s">
        <v>20032</v>
      </c>
      <c r="N2245" s="405" t="s">
        <v>24421</v>
      </c>
      <c r="O2245" s="405" t="s">
        <v>20101</v>
      </c>
      <c r="P2245" s="405" t="s">
        <v>24434</v>
      </c>
      <c r="Q2245" s="411">
        <v>9</v>
      </c>
      <c r="R2245" s="405" t="s">
        <v>5858</v>
      </c>
      <c r="S2245" s="405" t="s">
        <v>27065</v>
      </c>
      <c r="T2245" s="405" t="s">
        <v>32102</v>
      </c>
      <c r="U2245" s="405" t="s">
        <v>319</v>
      </c>
    </row>
    <row r="2246" spans="1:21" x14ac:dyDescent="0.25">
      <c r="A2246" s="405" t="s">
        <v>310</v>
      </c>
      <c r="B2246" s="405" t="s">
        <v>24474</v>
      </c>
      <c r="C2246" s="405" t="s">
        <v>327</v>
      </c>
      <c r="D2246" s="405"/>
      <c r="E2246" s="410">
        <v>43316</v>
      </c>
      <c r="F2246" s="410">
        <v>43332</v>
      </c>
      <c r="G2246" s="405" t="s">
        <v>24475</v>
      </c>
      <c r="H2246" s="405">
        <v>772472568</v>
      </c>
      <c r="I2246" s="405">
        <v>783024054</v>
      </c>
      <c r="J2246" s="405">
        <v>-0.52449999999999997</v>
      </c>
      <c r="K2246" s="405">
        <v>29.464600000000001</v>
      </c>
      <c r="L2246" s="405" t="s">
        <v>590</v>
      </c>
      <c r="M2246" s="405" t="s">
        <v>20808</v>
      </c>
      <c r="N2246" s="405" t="s">
        <v>20809</v>
      </c>
      <c r="O2246" s="405" t="s">
        <v>23495</v>
      </c>
      <c r="P2246" s="405" t="s">
        <v>24476</v>
      </c>
      <c r="Q2246" s="411">
        <v>9</v>
      </c>
      <c r="R2246" s="405" t="s">
        <v>6572</v>
      </c>
      <c r="S2246" s="405" t="s">
        <v>27154</v>
      </c>
      <c r="T2246" s="405" t="s">
        <v>884</v>
      </c>
      <c r="U2246" s="405" t="s">
        <v>319</v>
      </c>
    </row>
    <row r="2247" spans="1:21" x14ac:dyDescent="0.25">
      <c r="A2247" s="405" t="s">
        <v>310</v>
      </c>
      <c r="B2247" s="405" t="s">
        <v>16265</v>
      </c>
      <c r="C2247" s="405" t="s">
        <v>327</v>
      </c>
      <c r="D2247" s="405"/>
      <c r="E2247" s="410">
        <v>43316</v>
      </c>
      <c r="F2247" s="410">
        <v>43348</v>
      </c>
      <c r="G2247" s="405" t="s">
        <v>16266</v>
      </c>
      <c r="H2247" s="405">
        <v>702244746</v>
      </c>
      <c r="I2247" s="405">
        <v>758073126</v>
      </c>
      <c r="J2247" s="405">
        <v>1.3757219999999999</v>
      </c>
      <c r="K2247" s="405">
        <v>34.403778000000003</v>
      </c>
      <c r="L2247" s="405" t="s">
        <v>6866</v>
      </c>
      <c r="M2247" s="405" t="s">
        <v>9685</v>
      </c>
      <c r="N2247" s="405" t="s">
        <v>9686</v>
      </c>
      <c r="O2247" s="405" t="s">
        <v>9687</v>
      </c>
      <c r="P2247" s="405" t="s">
        <v>16158</v>
      </c>
      <c r="Q2247" s="411">
        <v>6</v>
      </c>
      <c r="R2247" s="405" t="s">
        <v>9506</v>
      </c>
      <c r="S2247" s="405" t="s">
        <v>27318</v>
      </c>
      <c r="T2247" s="405" t="s">
        <v>884</v>
      </c>
      <c r="U2247" s="405" t="s">
        <v>319</v>
      </c>
    </row>
    <row r="2248" spans="1:21" x14ac:dyDescent="0.25">
      <c r="A2248" s="405" t="s">
        <v>310</v>
      </c>
      <c r="B2248" s="405" t="s">
        <v>7551</v>
      </c>
      <c r="C2248" s="405" t="s">
        <v>311</v>
      </c>
      <c r="D2248" s="405" t="s">
        <v>1789</v>
      </c>
      <c r="E2248" s="410">
        <v>43316</v>
      </c>
      <c r="F2248" s="410">
        <v>43342</v>
      </c>
      <c r="G2248" s="405" t="s">
        <v>7552</v>
      </c>
      <c r="H2248" s="405">
        <v>705457221</v>
      </c>
      <c r="I2248" s="405">
        <v>778594531</v>
      </c>
      <c r="J2248" s="405" t="s">
        <v>7079</v>
      </c>
      <c r="K2248" s="405">
        <v>32.596263</v>
      </c>
      <c r="L2248" s="405" t="s">
        <v>314</v>
      </c>
      <c r="M2248" s="405" t="s">
        <v>361</v>
      </c>
      <c r="N2248" s="405" t="s">
        <v>374</v>
      </c>
      <c r="O2248" s="405" t="s">
        <v>618</v>
      </c>
      <c r="P2248" s="405" t="s">
        <v>7080</v>
      </c>
      <c r="Q2248" s="411">
        <v>6</v>
      </c>
      <c r="R2248" s="405" t="s">
        <v>5903</v>
      </c>
      <c r="S2248" s="405" t="s">
        <v>27153</v>
      </c>
      <c r="T2248" s="405" t="s">
        <v>32102</v>
      </c>
      <c r="U2248" s="405" t="s">
        <v>319</v>
      </c>
    </row>
    <row r="2249" spans="1:21" x14ac:dyDescent="0.25">
      <c r="A2249" s="405" t="s">
        <v>310</v>
      </c>
      <c r="B2249" s="405" t="s">
        <v>16298</v>
      </c>
      <c r="C2249" s="405" t="s">
        <v>327</v>
      </c>
      <c r="D2249" s="405"/>
      <c r="E2249" s="410">
        <v>43316</v>
      </c>
      <c r="F2249" s="410">
        <v>43331</v>
      </c>
      <c r="G2249" s="405" t="s">
        <v>16299</v>
      </c>
      <c r="H2249" s="405">
        <v>787747654</v>
      </c>
      <c r="I2249" s="405"/>
      <c r="J2249" s="405">
        <v>1.2423</v>
      </c>
      <c r="K2249" s="405">
        <v>31.343</v>
      </c>
      <c r="L2249" s="405" t="s">
        <v>6866</v>
      </c>
      <c r="M2249" s="405" t="s">
        <v>9705</v>
      </c>
      <c r="N2249" s="405" t="s">
        <v>9705</v>
      </c>
      <c r="O2249" s="405" t="s">
        <v>16300</v>
      </c>
      <c r="P2249" s="405" t="s">
        <v>16301</v>
      </c>
      <c r="Q2249" s="411">
        <v>6</v>
      </c>
      <c r="R2249" s="405" t="s">
        <v>9506</v>
      </c>
      <c r="S2249" s="405" t="s">
        <v>17013</v>
      </c>
      <c r="T2249" s="405" t="s">
        <v>884</v>
      </c>
      <c r="U2249" s="405" t="s">
        <v>319</v>
      </c>
    </row>
    <row r="2250" spans="1:21" x14ac:dyDescent="0.25">
      <c r="A2250" s="405" t="s">
        <v>310</v>
      </c>
      <c r="B2250" s="405" t="s">
        <v>16213</v>
      </c>
      <c r="C2250" s="405" t="s">
        <v>327</v>
      </c>
      <c r="D2250" s="405"/>
      <c r="E2250" s="410">
        <v>43316</v>
      </c>
      <c r="F2250" s="410">
        <v>43331</v>
      </c>
      <c r="G2250" s="405" t="s">
        <v>16214</v>
      </c>
      <c r="H2250" s="405">
        <v>706663718</v>
      </c>
      <c r="I2250" s="405"/>
      <c r="J2250" s="405">
        <v>1.2734000000000001</v>
      </c>
      <c r="K2250" s="405">
        <v>34.241500000000002</v>
      </c>
      <c r="L2250" s="405" t="s">
        <v>6866</v>
      </c>
      <c r="M2250" s="405" t="s">
        <v>9685</v>
      </c>
      <c r="N2250" s="405" t="s">
        <v>9686</v>
      </c>
      <c r="O2250" s="405" t="s">
        <v>16215</v>
      </c>
      <c r="P2250" s="405" t="s">
        <v>16216</v>
      </c>
      <c r="Q2250" s="411">
        <v>6</v>
      </c>
      <c r="R2250" s="405" t="s">
        <v>9506</v>
      </c>
      <c r="S2250" s="405" t="s">
        <v>27259</v>
      </c>
      <c r="T2250" s="405" t="s">
        <v>32102</v>
      </c>
      <c r="U2250" s="405" t="s">
        <v>319</v>
      </c>
    </row>
    <row r="2251" spans="1:21" x14ac:dyDescent="0.25">
      <c r="A2251" s="405" t="s">
        <v>310</v>
      </c>
      <c r="B2251" s="405" t="s">
        <v>16217</v>
      </c>
      <c r="C2251" s="405" t="s">
        <v>327</v>
      </c>
      <c r="D2251" s="405"/>
      <c r="E2251" s="410">
        <v>43316</v>
      </c>
      <c r="F2251" s="410">
        <v>43331</v>
      </c>
      <c r="G2251" s="405" t="s">
        <v>16218</v>
      </c>
      <c r="H2251" s="405">
        <v>702505806</v>
      </c>
      <c r="I2251" s="405">
        <v>782029094</v>
      </c>
      <c r="J2251" s="405">
        <v>1.161</v>
      </c>
      <c r="K2251" s="405">
        <v>34.193300000000001</v>
      </c>
      <c r="L2251" s="405" t="s">
        <v>6866</v>
      </c>
      <c r="M2251" s="405" t="s">
        <v>9550</v>
      </c>
      <c r="N2251" s="405" t="s">
        <v>9550</v>
      </c>
      <c r="O2251" s="405" t="s">
        <v>14815</v>
      </c>
      <c r="P2251" s="405" t="s">
        <v>14815</v>
      </c>
      <c r="Q2251" s="411">
        <v>6</v>
      </c>
      <c r="R2251" s="405" t="s">
        <v>9506</v>
      </c>
      <c r="S2251" s="405" t="s">
        <v>27072</v>
      </c>
      <c r="T2251" s="405" t="s">
        <v>884</v>
      </c>
      <c r="U2251" s="405" t="s">
        <v>319</v>
      </c>
    </row>
    <row r="2252" spans="1:21" x14ac:dyDescent="0.25">
      <c r="A2252" s="405" t="s">
        <v>310</v>
      </c>
      <c r="B2252" s="405" t="s">
        <v>24408</v>
      </c>
      <c r="C2252" s="405" t="s">
        <v>327</v>
      </c>
      <c r="D2252" s="405"/>
      <c r="E2252" s="410">
        <v>43315</v>
      </c>
      <c r="F2252" s="410">
        <v>43330</v>
      </c>
      <c r="G2252" s="405" t="s">
        <v>24409</v>
      </c>
      <c r="H2252" s="405">
        <v>754271720</v>
      </c>
      <c r="I2252" s="405"/>
      <c r="J2252" s="405">
        <v>-0.24041999999999999</v>
      </c>
      <c r="K2252" s="405">
        <v>30.816624999999998</v>
      </c>
      <c r="L2252" s="405" t="s">
        <v>590</v>
      </c>
      <c r="M2252" s="405" t="s">
        <v>19614</v>
      </c>
      <c r="N2252" s="405" t="s">
        <v>24410</v>
      </c>
      <c r="O2252" s="405" t="s">
        <v>24410</v>
      </c>
      <c r="P2252" s="405" t="s">
        <v>24410</v>
      </c>
      <c r="Q2252" s="411">
        <v>9</v>
      </c>
      <c r="R2252" s="405" t="s">
        <v>874</v>
      </c>
      <c r="S2252" s="405" t="s">
        <v>27063</v>
      </c>
      <c r="T2252" s="405" t="s">
        <v>884</v>
      </c>
      <c r="U2252" s="405" t="s">
        <v>319</v>
      </c>
    </row>
    <row r="2253" spans="1:21" x14ac:dyDescent="0.25">
      <c r="A2253" s="405" t="s">
        <v>310</v>
      </c>
      <c r="B2253" s="405" t="s">
        <v>24667</v>
      </c>
      <c r="C2253" s="405" t="s">
        <v>311</v>
      </c>
      <c r="D2253" s="405" t="s">
        <v>839</v>
      </c>
      <c r="E2253" s="410">
        <v>43315</v>
      </c>
      <c r="F2253" s="410">
        <v>43330</v>
      </c>
      <c r="G2253" s="405" t="s">
        <v>24668</v>
      </c>
      <c r="H2253" s="405">
        <v>772695888</v>
      </c>
      <c r="I2253" s="405"/>
      <c r="J2253" s="405">
        <v>-0.194415</v>
      </c>
      <c r="K2253" s="405">
        <v>30.963277000000001</v>
      </c>
      <c r="L2253" s="405" t="s">
        <v>590</v>
      </c>
      <c r="M2253" s="405" t="s">
        <v>24532</v>
      </c>
      <c r="N2253" s="405" t="s">
        <v>24669</v>
      </c>
      <c r="O2253" s="405" t="s">
        <v>24669</v>
      </c>
      <c r="P2253" s="405" t="s">
        <v>24669</v>
      </c>
      <c r="Q2253" s="411">
        <v>9</v>
      </c>
      <c r="R2253" s="405" t="s">
        <v>874</v>
      </c>
      <c r="S2253" s="405" t="s">
        <v>27275</v>
      </c>
      <c r="T2253" s="405" t="s">
        <v>884</v>
      </c>
      <c r="U2253" s="405" t="s">
        <v>319</v>
      </c>
    </row>
    <row r="2254" spans="1:21" x14ac:dyDescent="0.25">
      <c r="A2254" s="405" t="s">
        <v>310</v>
      </c>
      <c r="B2254" s="405" t="s">
        <v>6966</v>
      </c>
      <c r="C2254" s="405" t="s">
        <v>327</v>
      </c>
      <c r="D2254" s="405"/>
      <c r="E2254" s="410">
        <v>43315</v>
      </c>
      <c r="F2254" s="410">
        <v>43330</v>
      </c>
      <c r="G2254" s="405" t="s">
        <v>6967</v>
      </c>
      <c r="H2254" s="405">
        <v>772895545</v>
      </c>
      <c r="I2254" s="405">
        <v>776428065</v>
      </c>
      <c r="J2254" s="405">
        <v>0.159</v>
      </c>
      <c r="K2254" s="405">
        <v>32.494999999999997</v>
      </c>
      <c r="L2254" s="405" t="s">
        <v>6897</v>
      </c>
      <c r="M2254" s="405" t="s">
        <v>329</v>
      </c>
      <c r="N2254" s="405" t="s">
        <v>909</v>
      </c>
      <c r="O2254" s="405" t="s">
        <v>652</v>
      </c>
      <c r="P2254" s="405" t="s">
        <v>6968</v>
      </c>
      <c r="Q2254" s="411">
        <v>6</v>
      </c>
      <c r="R2254" s="405" t="s">
        <v>6798</v>
      </c>
      <c r="S2254" s="405" t="s">
        <v>27047</v>
      </c>
      <c r="T2254" s="405" t="s">
        <v>32102</v>
      </c>
      <c r="U2254" s="405" t="s">
        <v>319</v>
      </c>
    </row>
    <row r="2255" spans="1:21" x14ac:dyDescent="0.25">
      <c r="A2255" s="405" t="s">
        <v>310</v>
      </c>
      <c r="B2255" s="405" t="s">
        <v>7027</v>
      </c>
      <c r="C2255" s="405" t="s">
        <v>327</v>
      </c>
      <c r="D2255" s="405"/>
      <c r="E2255" s="410">
        <v>43314</v>
      </c>
      <c r="F2255" s="410">
        <v>43348</v>
      </c>
      <c r="G2255" s="405" t="s">
        <v>7028</v>
      </c>
      <c r="H2255" s="405">
        <v>701369868</v>
      </c>
      <c r="I2255" s="405">
        <v>751907022</v>
      </c>
      <c r="J2255" s="405">
        <v>7.0637000000000005E-2</v>
      </c>
      <c r="K2255" s="405">
        <v>31.749262999999999</v>
      </c>
      <c r="L2255" s="405" t="s">
        <v>314</v>
      </c>
      <c r="M2255" s="405" t="s">
        <v>900</v>
      </c>
      <c r="N2255" s="405" t="s">
        <v>900</v>
      </c>
      <c r="O2255" s="405" t="s">
        <v>7029</v>
      </c>
      <c r="P2255" s="405" t="s">
        <v>7029</v>
      </c>
      <c r="Q2255" s="411">
        <v>9</v>
      </c>
      <c r="R2255" s="405" t="s">
        <v>5986</v>
      </c>
      <c r="S2255" s="405" t="s">
        <v>5986</v>
      </c>
      <c r="T2255" s="405" t="s">
        <v>884</v>
      </c>
      <c r="U2255" s="405" t="s">
        <v>319</v>
      </c>
    </row>
    <row r="2256" spans="1:21" x14ac:dyDescent="0.25">
      <c r="A2256" s="405" t="s">
        <v>310</v>
      </c>
      <c r="B2256" s="405" t="s">
        <v>24609</v>
      </c>
      <c r="C2256" s="405" t="s">
        <v>327</v>
      </c>
      <c r="D2256" s="405"/>
      <c r="E2256" s="410">
        <v>43314</v>
      </c>
      <c r="F2256" s="410">
        <v>43348</v>
      </c>
      <c r="G2256" s="405" t="s">
        <v>24610</v>
      </c>
      <c r="H2256" s="405">
        <v>784663442</v>
      </c>
      <c r="I2256" s="405">
        <v>787087365</v>
      </c>
      <c r="J2256" s="405" t="s">
        <v>24611</v>
      </c>
      <c r="K2256" s="405">
        <v>30.471426999999998</v>
      </c>
      <c r="L2256" s="405" t="s">
        <v>590</v>
      </c>
      <c r="M2256" s="405" t="s">
        <v>24487</v>
      </c>
      <c r="N2256" s="405" t="s">
        <v>24487</v>
      </c>
      <c r="O2256" s="405" t="s">
        <v>24612</v>
      </c>
      <c r="P2256" s="405" t="s">
        <v>24613</v>
      </c>
      <c r="Q2256" s="411">
        <v>9</v>
      </c>
      <c r="R2256" s="405" t="s">
        <v>883</v>
      </c>
      <c r="S2256" s="405" t="s">
        <v>27104</v>
      </c>
      <c r="T2256" s="405" t="s">
        <v>884</v>
      </c>
      <c r="U2256" s="405" t="s">
        <v>319</v>
      </c>
    </row>
    <row r="2257" spans="1:21" x14ac:dyDescent="0.25">
      <c r="A2257" s="405" t="s">
        <v>310</v>
      </c>
      <c r="B2257" s="405" t="s">
        <v>24789</v>
      </c>
      <c r="C2257" s="405" t="s">
        <v>857</v>
      </c>
      <c r="D2257" s="405" t="s">
        <v>921</v>
      </c>
      <c r="E2257" s="410">
        <v>43314</v>
      </c>
      <c r="F2257" s="410">
        <v>43332</v>
      </c>
      <c r="G2257" s="405" t="s">
        <v>24790</v>
      </c>
      <c r="H2257" s="405">
        <v>700359216</v>
      </c>
      <c r="I2257" s="405"/>
      <c r="J2257" s="405">
        <v>0.45672200000000002</v>
      </c>
      <c r="K2257" s="405">
        <v>30.932668</v>
      </c>
      <c r="L2257" s="405" t="s">
        <v>590</v>
      </c>
      <c r="M2257" s="405" t="s">
        <v>19614</v>
      </c>
      <c r="N2257" s="405" t="s">
        <v>19614</v>
      </c>
      <c r="O2257" s="405" t="s">
        <v>4156</v>
      </c>
      <c r="P2257" s="405" t="s">
        <v>20077</v>
      </c>
      <c r="Q2257" s="411">
        <v>9</v>
      </c>
      <c r="R2257" s="405" t="s">
        <v>883</v>
      </c>
      <c r="S2257" s="405" t="s">
        <v>27137</v>
      </c>
      <c r="T2257" s="405" t="s">
        <v>32102</v>
      </c>
      <c r="U2257" s="405" t="s">
        <v>319</v>
      </c>
    </row>
    <row r="2258" spans="1:21" x14ac:dyDescent="0.25">
      <c r="A2258" s="405" t="s">
        <v>310</v>
      </c>
      <c r="B2258" s="405" t="s">
        <v>16251</v>
      </c>
      <c r="C2258" s="405" t="s">
        <v>327</v>
      </c>
      <c r="D2258" s="405"/>
      <c r="E2258" s="410">
        <v>43314</v>
      </c>
      <c r="F2258" s="410">
        <v>43348</v>
      </c>
      <c r="G2258" s="405" t="s">
        <v>16252</v>
      </c>
      <c r="H2258" s="405">
        <v>777849398</v>
      </c>
      <c r="I2258" s="405">
        <v>757906357</v>
      </c>
      <c r="J2258" s="405">
        <v>1.5952999999999999</v>
      </c>
      <c r="K2258" s="405">
        <v>33.4133</v>
      </c>
      <c r="L2258" s="405" t="s">
        <v>6866</v>
      </c>
      <c r="M2258" s="405" t="s">
        <v>10495</v>
      </c>
      <c r="N2258" s="405" t="s">
        <v>10495</v>
      </c>
      <c r="O2258" s="405" t="s">
        <v>11435</v>
      </c>
      <c r="P2258" s="405" t="s">
        <v>16253</v>
      </c>
      <c r="Q2258" s="411">
        <v>6</v>
      </c>
      <c r="R2258" s="405" t="s">
        <v>5655</v>
      </c>
      <c r="S2258" s="405" t="s">
        <v>27357</v>
      </c>
      <c r="T2258" s="405" t="s">
        <v>884</v>
      </c>
      <c r="U2258" s="405" t="s">
        <v>319</v>
      </c>
    </row>
    <row r="2259" spans="1:21" x14ac:dyDescent="0.25">
      <c r="A2259" s="405" t="s">
        <v>310</v>
      </c>
      <c r="B2259" s="405" t="s">
        <v>6983</v>
      </c>
      <c r="C2259" s="405" t="s">
        <v>327</v>
      </c>
      <c r="D2259" s="405"/>
      <c r="E2259" s="410">
        <v>43314</v>
      </c>
      <c r="F2259" s="410">
        <v>43336</v>
      </c>
      <c r="G2259" s="405" t="s">
        <v>6984</v>
      </c>
      <c r="H2259" s="405">
        <v>754622628</v>
      </c>
      <c r="I2259" s="405"/>
      <c r="J2259" s="405">
        <v>4.43</v>
      </c>
      <c r="K2259" s="405">
        <v>31.241599999999998</v>
      </c>
      <c r="L2259" s="405" t="s">
        <v>314</v>
      </c>
      <c r="M2259" s="405" t="s">
        <v>343</v>
      </c>
      <c r="N2259" s="405" t="s">
        <v>6985</v>
      </c>
      <c r="O2259" s="405" t="s">
        <v>6480</v>
      </c>
      <c r="P2259" s="405" t="s">
        <v>6978</v>
      </c>
      <c r="Q2259" s="411">
        <v>6</v>
      </c>
      <c r="R2259" s="405" t="s">
        <v>402</v>
      </c>
      <c r="S2259" s="405" t="s">
        <v>27265</v>
      </c>
      <c r="T2259" s="405" t="s">
        <v>884</v>
      </c>
      <c r="U2259" s="405" t="s">
        <v>319</v>
      </c>
    </row>
    <row r="2260" spans="1:21" x14ac:dyDescent="0.25">
      <c r="A2260" s="405" t="s">
        <v>310</v>
      </c>
      <c r="B2260" s="405" t="s">
        <v>24461</v>
      </c>
      <c r="C2260" s="405" t="s">
        <v>327</v>
      </c>
      <c r="D2260" s="405"/>
      <c r="E2260" s="410">
        <v>43313</v>
      </c>
      <c r="F2260" s="410">
        <v>43328</v>
      </c>
      <c r="G2260" s="405" t="s">
        <v>24462</v>
      </c>
      <c r="H2260" s="405">
        <v>772581550</v>
      </c>
      <c r="I2260" s="405" t="s">
        <v>24463</v>
      </c>
      <c r="J2260" s="405">
        <v>-0.32140000000000002</v>
      </c>
      <c r="K2260" s="405">
        <v>30.1343</v>
      </c>
      <c r="L2260" s="405" t="s">
        <v>24158</v>
      </c>
      <c r="M2260" s="405" t="s">
        <v>19625</v>
      </c>
      <c r="N2260" s="405" t="s">
        <v>19642</v>
      </c>
      <c r="O2260" s="405" t="s">
        <v>22097</v>
      </c>
      <c r="P2260" s="405" t="s">
        <v>24464</v>
      </c>
      <c r="Q2260" s="411">
        <v>9</v>
      </c>
      <c r="R2260" s="405" t="s">
        <v>6943</v>
      </c>
      <c r="S2260" s="405" t="s">
        <v>27095</v>
      </c>
      <c r="T2260" s="405" t="s">
        <v>32102</v>
      </c>
      <c r="U2260" s="405" t="s">
        <v>319</v>
      </c>
    </row>
    <row r="2261" spans="1:21" x14ac:dyDescent="0.25">
      <c r="A2261" s="405" t="s">
        <v>310</v>
      </c>
      <c r="B2261" s="405" t="s">
        <v>7043</v>
      </c>
      <c r="C2261" s="405" t="s">
        <v>327</v>
      </c>
      <c r="D2261" s="405"/>
      <c r="E2261" s="410">
        <v>43313</v>
      </c>
      <c r="F2261" s="410">
        <v>43345</v>
      </c>
      <c r="G2261" s="405" t="s">
        <v>7044</v>
      </c>
      <c r="H2261" s="405">
        <v>781518023</v>
      </c>
      <c r="I2261" s="405"/>
      <c r="J2261" s="405">
        <v>0.26500000000000001</v>
      </c>
      <c r="K2261" s="405">
        <v>32.351700000000001</v>
      </c>
      <c r="L2261" s="405" t="s">
        <v>314</v>
      </c>
      <c r="M2261" s="405" t="s">
        <v>361</v>
      </c>
      <c r="N2261" s="405" t="s">
        <v>362</v>
      </c>
      <c r="O2261" s="405" t="s">
        <v>6807</v>
      </c>
      <c r="P2261" s="405" t="s">
        <v>7045</v>
      </c>
      <c r="Q2261" s="411">
        <v>6</v>
      </c>
      <c r="R2261" s="405" t="s">
        <v>5903</v>
      </c>
      <c r="S2261" s="405" t="s">
        <v>27153</v>
      </c>
      <c r="T2261" s="405" t="s">
        <v>884</v>
      </c>
      <c r="U2261" s="405" t="s">
        <v>319</v>
      </c>
    </row>
    <row r="2262" spans="1:21" x14ac:dyDescent="0.25">
      <c r="A2262" s="405" t="s">
        <v>310</v>
      </c>
      <c r="B2262" s="405" t="s">
        <v>16204</v>
      </c>
      <c r="C2262" s="405" t="s">
        <v>327</v>
      </c>
      <c r="D2262" s="405"/>
      <c r="E2262" s="410">
        <v>43313</v>
      </c>
      <c r="F2262" s="410">
        <v>43328</v>
      </c>
      <c r="G2262" s="405" t="s">
        <v>16205</v>
      </c>
      <c r="H2262" s="405">
        <v>782943705</v>
      </c>
      <c r="I2262" s="405"/>
      <c r="J2262" s="405">
        <v>1.2325999999999999</v>
      </c>
      <c r="K2262" s="405">
        <v>34.261499999999998</v>
      </c>
      <c r="L2262" s="405" t="s">
        <v>6866</v>
      </c>
      <c r="M2262" s="405" t="s">
        <v>9685</v>
      </c>
      <c r="N2262" s="405" t="s">
        <v>9686</v>
      </c>
      <c r="O2262" s="405" t="s">
        <v>14943</v>
      </c>
      <c r="P2262" s="405" t="s">
        <v>14943</v>
      </c>
      <c r="Q2262" s="411">
        <v>6</v>
      </c>
      <c r="R2262" s="405" t="s">
        <v>9506</v>
      </c>
      <c r="S2262" s="405" t="s">
        <v>27353</v>
      </c>
      <c r="T2262" s="405" t="s">
        <v>32102</v>
      </c>
      <c r="U2262" s="405" t="s">
        <v>319</v>
      </c>
    </row>
    <row r="2263" spans="1:21" x14ac:dyDescent="0.25">
      <c r="A2263" s="405" t="s">
        <v>310</v>
      </c>
      <c r="B2263" s="405" t="s">
        <v>16191</v>
      </c>
      <c r="C2263" s="405" t="s">
        <v>327</v>
      </c>
      <c r="D2263" s="405"/>
      <c r="E2263" s="410">
        <v>43312</v>
      </c>
      <c r="F2263" s="410">
        <v>43342</v>
      </c>
      <c r="G2263" s="405" t="s">
        <v>16192</v>
      </c>
      <c r="H2263" s="405">
        <v>782785624</v>
      </c>
      <c r="I2263" s="405"/>
      <c r="J2263" s="405">
        <v>1.056198</v>
      </c>
      <c r="K2263" s="405">
        <v>34.058050999999999</v>
      </c>
      <c r="L2263" s="405" t="s">
        <v>6866</v>
      </c>
      <c r="M2263" s="405" t="s">
        <v>9509</v>
      </c>
      <c r="N2263" s="405" t="s">
        <v>12491</v>
      </c>
      <c r="O2263" s="405" t="s">
        <v>16193</v>
      </c>
      <c r="P2263" s="405" t="s">
        <v>16194</v>
      </c>
      <c r="Q2263" s="411">
        <v>6</v>
      </c>
      <c r="R2263" s="405" t="s">
        <v>7224</v>
      </c>
      <c r="S2263" s="405" t="s">
        <v>27259</v>
      </c>
      <c r="T2263" s="405" t="s">
        <v>32102</v>
      </c>
      <c r="U2263" s="405" t="s">
        <v>319</v>
      </c>
    </row>
    <row r="2264" spans="1:21" x14ac:dyDescent="0.25">
      <c r="A2264" s="405" t="s">
        <v>310</v>
      </c>
      <c r="B2264" s="405" t="s">
        <v>24347</v>
      </c>
      <c r="C2264" s="405" t="s">
        <v>327</v>
      </c>
      <c r="D2264" s="405"/>
      <c r="E2264" s="410">
        <v>43311</v>
      </c>
      <c r="F2264" s="410">
        <v>43311</v>
      </c>
      <c r="G2264" s="405" t="s">
        <v>24348</v>
      </c>
      <c r="H2264" s="405">
        <v>782974433</v>
      </c>
      <c r="I2264" s="405">
        <v>706560933</v>
      </c>
      <c r="J2264" s="405" t="s">
        <v>24349</v>
      </c>
      <c r="K2264" s="405">
        <v>30.109718000000001</v>
      </c>
      <c r="L2264" s="405" t="s">
        <v>590</v>
      </c>
      <c r="M2264" s="405" t="s">
        <v>19926</v>
      </c>
      <c r="N2264" s="405" t="s">
        <v>19926</v>
      </c>
      <c r="O2264" s="405" t="s">
        <v>24329</v>
      </c>
      <c r="P2264" s="405" t="s">
        <v>24350</v>
      </c>
      <c r="Q2264" s="411">
        <v>9</v>
      </c>
      <c r="R2264" s="405" t="s">
        <v>883</v>
      </c>
      <c r="S2264" s="405" t="s">
        <v>27046</v>
      </c>
      <c r="T2264" s="405" t="s">
        <v>865</v>
      </c>
      <c r="U2264" s="405" t="s">
        <v>866</v>
      </c>
    </row>
    <row r="2265" spans="1:21" x14ac:dyDescent="0.25">
      <c r="A2265" s="405" t="s">
        <v>310</v>
      </c>
      <c r="B2265" s="405" t="s">
        <v>16326</v>
      </c>
      <c r="C2265" s="405" t="s">
        <v>327</v>
      </c>
      <c r="D2265" s="405"/>
      <c r="E2265" s="410">
        <v>43309</v>
      </c>
      <c r="F2265" s="410">
        <v>43381</v>
      </c>
      <c r="G2265" s="405" t="s">
        <v>16327</v>
      </c>
      <c r="H2265" s="405">
        <v>784450704</v>
      </c>
      <c r="I2265" s="405"/>
      <c r="J2265" s="405">
        <v>2.5265780000000002</v>
      </c>
      <c r="K2265" s="405" t="s">
        <v>16328</v>
      </c>
      <c r="L2265" s="405" t="s">
        <v>6866</v>
      </c>
      <c r="M2265" s="405" t="s">
        <v>16319</v>
      </c>
      <c r="N2265" s="405" t="s">
        <v>16320</v>
      </c>
      <c r="O2265" s="405" t="s">
        <v>16320</v>
      </c>
      <c r="P2265" s="405" t="s">
        <v>16329</v>
      </c>
      <c r="Q2265" s="411">
        <v>6</v>
      </c>
      <c r="R2265" s="405" t="s">
        <v>7269</v>
      </c>
      <c r="S2265" s="405" t="s">
        <v>27039</v>
      </c>
      <c r="T2265" s="405" t="s">
        <v>865</v>
      </c>
      <c r="U2265" s="405" t="s">
        <v>866</v>
      </c>
    </row>
    <row r="2266" spans="1:21" x14ac:dyDescent="0.25">
      <c r="A2266" s="405" t="s">
        <v>310</v>
      </c>
      <c r="B2266" s="405" t="s">
        <v>6991</v>
      </c>
      <c r="C2266" s="405" t="s">
        <v>327</v>
      </c>
      <c r="D2266" s="405"/>
      <c r="E2266" s="410">
        <v>43309</v>
      </c>
      <c r="F2266" s="410">
        <v>43332</v>
      </c>
      <c r="G2266" s="405" t="s">
        <v>6992</v>
      </c>
      <c r="H2266" s="405">
        <v>783827172</v>
      </c>
      <c r="I2266" s="405"/>
      <c r="J2266" s="405">
        <v>0.17852999999999999</v>
      </c>
      <c r="K2266" s="405" t="s">
        <v>6993</v>
      </c>
      <c r="L2266" s="405" t="s">
        <v>6994</v>
      </c>
      <c r="M2266" s="405" t="s">
        <v>321</v>
      </c>
      <c r="N2266" s="405" t="s">
        <v>322</v>
      </c>
      <c r="O2266" s="405" t="s">
        <v>6995</v>
      </c>
      <c r="P2266" s="405" t="s">
        <v>6996</v>
      </c>
      <c r="Q2266" s="411">
        <v>6</v>
      </c>
      <c r="R2266" s="405" t="s">
        <v>414</v>
      </c>
      <c r="S2266" s="405" t="s">
        <v>414</v>
      </c>
      <c r="T2266" s="405" t="s">
        <v>32102</v>
      </c>
      <c r="U2266" s="405" t="s">
        <v>319</v>
      </c>
    </row>
    <row r="2267" spans="1:21" x14ac:dyDescent="0.25">
      <c r="A2267" s="405" t="s">
        <v>310</v>
      </c>
      <c r="B2267" s="405" t="s">
        <v>16186</v>
      </c>
      <c r="C2267" s="405" t="s">
        <v>327</v>
      </c>
      <c r="D2267" s="405"/>
      <c r="E2267" s="410">
        <v>43309</v>
      </c>
      <c r="F2267" s="410">
        <v>43314</v>
      </c>
      <c r="G2267" s="405" t="s">
        <v>16187</v>
      </c>
      <c r="H2267" s="405">
        <v>752722021</v>
      </c>
      <c r="I2267" s="405">
        <v>753020290</v>
      </c>
      <c r="J2267" s="405" t="s">
        <v>16188</v>
      </c>
      <c r="K2267" s="405">
        <v>33.872337000000002</v>
      </c>
      <c r="L2267" s="405" t="s">
        <v>6866</v>
      </c>
      <c r="M2267" s="405" t="s">
        <v>5437</v>
      </c>
      <c r="N2267" s="405" t="s">
        <v>16189</v>
      </c>
      <c r="O2267" s="405" t="s">
        <v>6451</v>
      </c>
      <c r="P2267" s="405" t="s">
        <v>16190</v>
      </c>
      <c r="Q2267" s="411">
        <v>6</v>
      </c>
      <c r="R2267" s="405" t="s">
        <v>7224</v>
      </c>
      <c r="S2267" s="405" t="s">
        <v>27041</v>
      </c>
      <c r="T2267" s="405" t="s">
        <v>32102</v>
      </c>
      <c r="U2267" s="405" t="s">
        <v>319</v>
      </c>
    </row>
    <row r="2268" spans="1:21" x14ac:dyDescent="0.25">
      <c r="A2268" s="405" t="s">
        <v>310</v>
      </c>
      <c r="B2268" s="405" t="s">
        <v>9230</v>
      </c>
      <c r="C2268" s="405" t="s">
        <v>327</v>
      </c>
      <c r="D2268" s="405"/>
      <c r="E2268" s="410">
        <v>44516</v>
      </c>
      <c r="F2268" s="410">
        <v>44528</v>
      </c>
      <c r="G2268" s="405" t="s">
        <v>9231</v>
      </c>
      <c r="H2268" s="405" t="s">
        <v>9232</v>
      </c>
      <c r="I2268" s="405" t="s">
        <v>2913</v>
      </c>
      <c r="J2268" s="405">
        <v>0.35183799999999998</v>
      </c>
      <c r="K2268" s="405">
        <v>32.587257000000001</v>
      </c>
      <c r="L2268" s="405" t="s">
        <v>314</v>
      </c>
      <c r="M2268" s="405" t="s">
        <v>361</v>
      </c>
      <c r="N2268" s="405" t="s">
        <v>374</v>
      </c>
      <c r="O2268" s="405" t="s">
        <v>469</v>
      </c>
      <c r="P2268" s="405" t="s">
        <v>5753</v>
      </c>
      <c r="Q2268" s="411">
        <v>20</v>
      </c>
      <c r="R2268" s="405" t="s">
        <v>32101</v>
      </c>
      <c r="S2268" s="405" t="s">
        <v>27055</v>
      </c>
      <c r="T2268" s="405" t="s">
        <v>32102</v>
      </c>
      <c r="U2268" s="405" t="s">
        <v>319</v>
      </c>
    </row>
    <row r="2269" spans="1:21" x14ac:dyDescent="0.25">
      <c r="A2269" s="405" t="s">
        <v>310</v>
      </c>
      <c r="B2269" s="405" t="s">
        <v>7022</v>
      </c>
      <c r="C2269" s="405" t="s">
        <v>327</v>
      </c>
      <c r="D2269" s="405"/>
      <c r="E2269" s="410">
        <v>43308</v>
      </c>
      <c r="F2269" s="410">
        <v>43327</v>
      </c>
      <c r="G2269" s="405" t="s">
        <v>7023</v>
      </c>
      <c r="H2269" s="405">
        <v>772529817</v>
      </c>
      <c r="I2269" s="405"/>
      <c r="J2269" s="405">
        <v>0.56310000000000004</v>
      </c>
      <c r="K2269" s="405">
        <v>31.494399999999999</v>
      </c>
      <c r="L2269" s="405" t="s">
        <v>314</v>
      </c>
      <c r="M2269" s="405" t="s">
        <v>2537</v>
      </c>
      <c r="N2269" s="405" t="s">
        <v>6389</v>
      </c>
      <c r="O2269" s="405" t="s">
        <v>3425</v>
      </c>
      <c r="P2269" s="405" t="s">
        <v>7024</v>
      </c>
      <c r="Q2269" s="411">
        <v>6</v>
      </c>
      <c r="R2269" s="405" t="s">
        <v>4176</v>
      </c>
      <c r="S2269" s="405" t="s">
        <v>27053</v>
      </c>
      <c r="T2269" s="405" t="s">
        <v>32102</v>
      </c>
      <c r="U2269" s="405" t="s">
        <v>319</v>
      </c>
    </row>
    <row r="2270" spans="1:21" x14ac:dyDescent="0.25">
      <c r="A2270" s="405" t="s">
        <v>310</v>
      </c>
      <c r="B2270" s="405" t="s">
        <v>24485</v>
      </c>
      <c r="C2270" s="405" t="s">
        <v>327</v>
      </c>
      <c r="D2270" s="405"/>
      <c r="E2270" s="410">
        <v>43307</v>
      </c>
      <c r="F2270" s="410">
        <v>43322</v>
      </c>
      <c r="G2270" s="405" t="s">
        <v>24486</v>
      </c>
      <c r="H2270" s="405">
        <v>771624221</v>
      </c>
      <c r="I2270" s="405">
        <v>753629607</v>
      </c>
      <c r="J2270" s="405">
        <v>-0.31774000000000002</v>
      </c>
      <c r="K2270" s="405">
        <v>30.481013000000001</v>
      </c>
      <c r="L2270" s="405" t="s">
        <v>590</v>
      </c>
      <c r="M2270" s="405" t="s">
        <v>24487</v>
      </c>
      <c r="N2270" s="405" t="s">
        <v>24487</v>
      </c>
      <c r="O2270" s="405" t="s">
        <v>24487</v>
      </c>
      <c r="P2270" s="405" t="s">
        <v>24488</v>
      </c>
      <c r="Q2270" s="411">
        <v>9</v>
      </c>
      <c r="R2270" s="405" t="s">
        <v>32166</v>
      </c>
      <c r="S2270" s="405" t="s">
        <v>27104</v>
      </c>
      <c r="T2270" s="405" t="s">
        <v>884</v>
      </c>
      <c r="U2270" s="405" t="s">
        <v>319</v>
      </c>
    </row>
    <row r="2271" spans="1:21" x14ac:dyDescent="0.25">
      <c r="A2271" s="405" t="s">
        <v>310</v>
      </c>
      <c r="B2271" s="405" t="s">
        <v>16262</v>
      </c>
      <c r="C2271" s="405" t="s">
        <v>327</v>
      </c>
      <c r="D2271" s="405"/>
      <c r="E2271" s="410">
        <v>43307</v>
      </c>
      <c r="F2271" s="410">
        <v>43359</v>
      </c>
      <c r="G2271" s="405" t="s">
        <v>16263</v>
      </c>
      <c r="H2271" s="405">
        <v>706755621</v>
      </c>
      <c r="I2271" s="405"/>
      <c r="J2271" s="405">
        <v>1.3545149999999999</v>
      </c>
      <c r="K2271" s="405">
        <v>34.387318</v>
      </c>
      <c r="L2271" s="405" t="s">
        <v>6866</v>
      </c>
      <c r="M2271" s="405" t="s">
        <v>9685</v>
      </c>
      <c r="N2271" s="405" t="s">
        <v>9686</v>
      </c>
      <c r="O2271" s="405" t="s">
        <v>14983</v>
      </c>
      <c r="P2271" s="405" t="s">
        <v>16264</v>
      </c>
      <c r="Q2271" s="411">
        <v>6</v>
      </c>
      <c r="R2271" s="405" t="s">
        <v>9506</v>
      </c>
      <c r="S2271" s="405" t="s">
        <v>27259</v>
      </c>
      <c r="T2271" s="405" t="s">
        <v>32102</v>
      </c>
      <c r="U2271" s="405" t="s">
        <v>319</v>
      </c>
    </row>
    <row r="2272" spans="1:21" x14ac:dyDescent="0.25">
      <c r="A2272" s="405" t="s">
        <v>310</v>
      </c>
      <c r="B2272" s="405" t="s">
        <v>24539</v>
      </c>
      <c r="C2272" s="405" t="s">
        <v>327</v>
      </c>
      <c r="D2272" s="405"/>
      <c r="E2272" s="410">
        <v>43306</v>
      </c>
      <c r="F2272" s="410">
        <v>43344</v>
      </c>
      <c r="G2272" s="405" t="s">
        <v>24540</v>
      </c>
      <c r="H2272" s="405">
        <v>772988898</v>
      </c>
      <c r="I2272" s="405"/>
      <c r="J2272" s="405">
        <v>0.41120000000000001</v>
      </c>
      <c r="K2272" s="405">
        <v>30.832000000000001</v>
      </c>
      <c r="L2272" s="405" t="s">
        <v>590</v>
      </c>
      <c r="M2272" s="405" t="s">
        <v>19725</v>
      </c>
      <c r="N2272" s="405" t="s">
        <v>21554</v>
      </c>
      <c r="O2272" s="405" t="s">
        <v>20013</v>
      </c>
      <c r="P2272" s="405" t="s">
        <v>19827</v>
      </c>
      <c r="Q2272" s="411">
        <v>9</v>
      </c>
      <c r="R2272" s="405" t="s">
        <v>6943</v>
      </c>
      <c r="S2272" s="405" t="s">
        <v>27410</v>
      </c>
      <c r="T2272" s="405" t="s">
        <v>32102</v>
      </c>
      <c r="U2272" s="405" t="s">
        <v>319</v>
      </c>
    </row>
    <row r="2273" spans="1:21" x14ac:dyDescent="0.25">
      <c r="A2273" s="405" t="s">
        <v>310</v>
      </c>
      <c r="B2273" s="405" t="s">
        <v>7000</v>
      </c>
      <c r="C2273" s="405" t="s">
        <v>327</v>
      </c>
      <c r="D2273" s="405"/>
      <c r="E2273" s="410">
        <v>43306</v>
      </c>
      <c r="F2273" s="410">
        <v>43321</v>
      </c>
      <c r="G2273" s="405" t="s">
        <v>7001</v>
      </c>
      <c r="H2273" s="405">
        <v>756949178</v>
      </c>
      <c r="I2273" s="405"/>
      <c r="J2273" s="405">
        <v>0.1043</v>
      </c>
      <c r="K2273" s="405">
        <v>32.163600000000002</v>
      </c>
      <c r="L2273" s="405" t="s">
        <v>314</v>
      </c>
      <c r="M2273" s="405" t="s">
        <v>321</v>
      </c>
      <c r="N2273" s="405" t="s">
        <v>1244</v>
      </c>
      <c r="O2273" s="405" t="s">
        <v>5626</v>
      </c>
      <c r="P2273" s="405" t="s">
        <v>7002</v>
      </c>
      <c r="Q2273" s="411">
        <v>6</v>
      </c>
      <c r="R2273" s="405" t="s">
        <v>32101</v>
      </c>
      <c r="S2273" s="405" t="s">
        <v>27167</v>
      </c>
      <c r="T2273" s="405" t="s">
        <v>32102</v>
      </c>
      <c r="U2273" s="405" t="s">
        <v>319</v>
      </c>
    </row>
    <row r="2274" spans="1:21" x14ac:dyDescent="0.25">
      <c r="A2274" s="405" t="s">
        <v>310</v>
      </c>
      <c r="B2274" s="405" t="s">
        <v>16259</v>
      </c>
      <c r="C2274" s="405" t="s">
        <v>327</v>
      </c>
      <c r="D2274" s="405"/>
      <c r="E2274" s="410">
        <v>43305</v>
      </c>
      <c r="F2274" s="410">
        <v>43370</v>
      </c>
      <c r="G2274" s="405" t="s">
        <v>16260</v>
      </c>
      <c r="H2274" s="405">
        <v>774021227</v>
      </c>
      <c r="I2274" s="405">
        <v>778825119</v>
      </c>
      <c r="J2274" s="405">
        <v>1.2444999999999999</v>
      </c>
      <c r="K2274" s="405">
        <v>34.251199999999997</v>
      </c>
      <c r="L2274" s="405" t="s">
        <v>6866</v>
      </c>
      <c r="M2274" s="405" t="s">
        <v>9685</v>
      </c>
      <c r="N2274" s="405" t="s">
        <v>9686</v>
      </c>
      <c r="O2274" s="405" t="s">
        <v>12361</v>
      </c>
      <c r="P2274" s="405" t="s">
        <v>16261</v>
      </c>
      <c r="Q2274" s="411">
        <v>6</v>
      </c>
      <c r="R2274" s="405" t="s">
        <v>9506</v>
      </c>
      <c r="S2274" s="405" t="s">
        <v>27353</v>
      </c>
      <c r="T2274" s="405" t="s">
        <v>32102</v>
      </c>
      <c r="U2274" s="405" t="s">
        <v>319</v>
      </c>
    </row>
    <row r="2275" spans="1:21" x14ac:dyDescent="0.25">
      <c r="A2275" s="405" t="s">
        <v>310</v>
      </c>
      <c r="B2275" s="405" t="s">
        <v>7019</v>
      </c>
      <c r="C2275" s="405" t="s">
        <v>327</v>
      </c>
      <c r="D2275" s="405"/>
      <c r="E2275" s="410">
        <v>43305</v>
      </c>
      <c r="F2275" s="410">
        <v>43333</v>
      </c>
      <c r="G2275" s="405" t="s">
        <v>7020</v>
      </c>
      <c r="H2275" s="405">
        <v>704943151</v>
      </c>
      <c r="I2275" s="405"/>
      <c r="J2275" s="405">
        <v>0.15190000000000001</v>
      </c>
      <c r="K2275" s="405">
        <v>32.182400000000001</v>
      </c>
      <c r="L2275" s="405" t="s">
        <v>314</v>
      </c>
      <c r="M2275" s="405" t="s">
        <v>321</v>
      </c>
      <c r="N2275" s="405" t="s">
        <v>1244</v>
      </c>
      <c r="O2275" s="405" t="s">
        <v>1886</v>
      </c>
      <c r="P2275" s="405" t="s">
        <v>7021</v>
      </c>
      <c r="Q2275" s="411">
        <v>6</v>
      </c>
      <c r="R2275" s="405" t="s">
        <v>4176</v>
      </c>
      <c r="S2275" s="405" t="s">
        <v>27059</v>
      </c>
      <c r="T2275" s="405" t="s">
        <v>32102</v>
      </c>
      <c r="U2275" s="405" t="s">
        <v>319</v>
      </c>
    </row>
    <row r="2276" spans="1:21" x14ac:dyDescent="0.25">
      <c r="A2276" s="405" t="s">
        <v>310</v>
      </c>
      <c r="B2276" s="405" t="s">
        <v>24456</v>
      </c>
      <c r="C2276" s="405" t="s">
        <v>327</v>
      </c>
      <c r="D2276" s="405"/>
      <c r="E2276" s="410">
        <v>43304</v>
      </c>
      <c r="F2276" s="410">
        <v>43317</v>
      </c>
      <c r="G2276" s="405" t="s">
        <v>24457</v>
      </c>
      <c r="H2276" s="405">
        <v>772331227</v>
      </c>
      <c r="I2276" s="405">
        <v>781522241</v>
      </c>
      <c r="J2276" s="405" t="s">
        <v>24458</v>
      </c>
      <c r="K2276" s="405">
        <v>30.522907</v>
      </c>
      <c r="L2276" s="405" t="s">
        <v>590</v>
      </c>
      <c r="M2276" s="405" t="s">
        <v>19614</v>
      </c>
      <c r="N2276" s="405" t="s">
        <v>19615</v>
      </c>
      <c r="O2276" s="405" t="s">
        <v>24459</v>
      </c>
      <c r="P2276" s="405" t="s">
        <v>24460</v>
      </c>
      <c r="Q2276" s="411">
        <v>13</v>
      </c>
      <c r="R2276" s="405" t="s">
        <v>6943</v>
      </c>
      <c r="S2276" s="405" t="s">
        <v>27096</v>
      </c>
      <c r="T2276" s="405" t="s">
        <v>32102</v>
      </c>
      <c r="U2276" s="405" t="s">
        <v>319</v>
      </c>
    </row>
    <row r="2277" spans="1:21" x14ac:dyDescent="0.25">
      <c r="A2277" s="405" t="s">
        <v>310</v>
      </c>
      <c r="B2277" s="405" t="s">
        <v>24471</v>
      </c>
      <c r="C2277" s="405" t="s">
        <v>327</v>
      </c>
      <c r="D2277" s="405"/>
      <c r="E2277" s="410">
        <v>43304</v>
      </c>
      <c r="F2277" s="410">
        <v>43335</v>
      </c>
      <c r="G2277" s="405" t="s">
        <v>24472</v>
      </c>
      <c r="H2277" s="405">
        <v>702195589</v>
      </c>
      <c r="I2277" s="405">
        <v>7816922619</v>
      </c>
      <c r="J2277" s="405" t="s">
        <v>24473</v>
      </c>
      <c r="K2277" s="405">
        <v>30.194483000000002</v>
      </c>
      <c r="L2277" s="405" t="s">
        <v>590</v>
      </c>
      <c r="M2277" s="405" t="s">
        <v>19625</v>
      </c>
      <c r="N2277" s="405" t="s">
        <v>19978</v>
      </c>
      <c r="O2277" s="405" t="s">
        <v>13002</v>
      </c>
      <c r="P2277" s="405" t="s">
        <v>20497</v>
      </c>
      <c r="Q2277" s="411">
        <v>9</v>
      </c>
      <c r="R2277" s="405" t="s">
        <v>6572</v>
      </c>
      <c r="S2277" s="405" t="s">
        <v>27394</v>
      </c>
      <c r="T2277" s="405" t="s">
        <v>32102</v>
      </c>
      <c r="U2277" s="405" t="s">
        <v>319</v>
      </c>
    </row>
    <row r="2278" spans="1:21" x14ac:dyDescent="0.25">
      <c r="A2278" s="405" t="s">
        <v>310</v>
      </c>
      <c r="B2278" s="405" t="s">
        <v>24277</v>
      </c>
      <c r="C2278" s="405" t="s">
        <v>327</v>
      </c>
      <c r="D2278" s="405"/>
      <c r="E2278" s="410">
        <v>43304</v>
      </c>
      <c r="F2278" s="410">
        <v>43309</v>
      </c>
      <c r="G2278" s="405" t="s">
        <v>24278</v>
      </c>
      <c r="H2278" s="405">
        <v>787157313</v>
      </c>
      <c r="I2278" s="405"/>
      <c r="J2278" s="405" t="s">
        <v>24279</v>
      </c>
      <c r="K2278" s="405">
        <v>30.929573000000001</v>
      </c>
      <c r="L2278" s="405" t="s">
        <v>590</v>
      </c>
      <c r="M2278" s="405" t="s">
        <v>7488</v>
      </c>
      <c r="N2278" s="405" t="s">
        <v>22155</v>
      </c>
      <c r="O2278" s="405" t="s">
        <v>15979</v>
      </c>
      <c r="P2278" s="405" t="s">
        <v>24280</v>
      </c>
      <c r="Q2278" s="411">
        <v>6</v>
      </c>
      <c r="R2278" s="405" t="s">
        <v>6397</v>
      </c>
      <c r="S2278" s="405" t="s">
        <v>27263</v>
      </c>
      <c r="T2278" s="405" t="s">
        <v>32102</v>
      </c>
      <c r="U2278" s="405" t="s">
        <v>319</v>
      </c>
    </row>
    <row r="2279" spans="1:21" x14ac:dyDescent="0.25">
      <c r="A2279" s="405" t="s">
        <v>310</v>
      </c>
      <c r="B2279" s="405" t="s">
        <v>24469</v>
      </c>
      <c r="C2279" s="405" t="s">
        <v>327</v>
      </c>
      <c r="D2279" s="405"/>
      <c r="E2279" s="410">
        <v>43303</v>
      </c>
      <c r="F2279" s="410">
        <v>43337</v>
      </c>
      <c r="G2279" s="405" t="s">
        <v>24470</v>
      </c>
      <c r="H2279" s="405">
        <v>701881911</v>
      </c>
      <c r="I2279" s="405">
        <v>777746855</v>
      </c>
      <c r="J2279" s="405">
        <v>0.3322</v>
      </c>
      <c r="K2279" s="405">
        <v>30.1553</v>
      </c>
      <c r="L2279" s="405" t="s">
        <v>590</v>
      </c>
      <c r="M2279" s="405" t="s">
        <v>19625</v>
      </c>
      <c r="N2279" s="405" t="s">
        <v>19978</v>
      </c>
      <c r="O2279" s="405" t="s">
        <v>4147</v>
      </c>
      <c r="P2279" s="405" t="s">
        <v>22294</v>
      </c>
      <c r="Q2279" s="411">
        <v>9</v>
      </c>
      <c r="R2279" s="405" t="s">
        <v>6572</v>
      </c>
      <c r="S2279" s="405" t="s">
        <v>27173</v>
      </c>
      <c r="T2279" s="405" t="s">
        <v>32102</v>
      </c>
      <c r="U2279" s="405" t="s">
        <v>319</v>
      </c>
    </row>
    <row r="2280" spans="1:21" x14ac:dyDescent="0.25">
      <c r="A2280" s="405" t="s">
        <v>310</v>
      </c>
      <c r="B2280" s="405" t="s">
        <v>24511</v>
      </c>
      <c r="C2280" s="405" t="s">
        <v>327</v>
      </c>
      <c r="D2280" s="405"/>
      <c r="E2280" s="410">
        <v>43303</v>
      </c>
      <c r="F2280" s="410">
        <v>43315</v>
      </c>
      <c r="G2280" s="405" t="s">
        <v>24512</v>
      </c>
      <c r="H2280" s="405">
        <v>772673756</v>
      </c>
      <c r="I2280" s="405"/>
      <c r="J2280" s="405">
        <v>-0.50219999999999998</v>
      </c>
      <c r="K2280" s="405">
        <v>21.484300000000001</v>
      </c>
      <c r="L2280" s="405" t="s">
        <v>590</v>
      </c>
      <c r="M2280" s="405" t="s">
        <v>20808</v>
      </c>
      <c r="N2280" s="405" t="s">
        <v>20809</v>
      </c>
      <c r="O2280" s="405" t="s">
        <v>21489</v>
      </c>
      <c r="P2280" s="405" t="s">
        <v>24513</v>
      </c>
      <c r="Q2280" s="411">
        <v>9</v>
      </c>
      <c r="R2280" s="405" t="s">
        <v>6572</v>
      </c>
      <c r="S2280" s="405" t="s">
        <v>27137</v>
      </c>
      <c r="T2280" s="405" t="s">
        <v>32102</v>
      </c>
      <c r="U2280" s="405" t="s">
        <v>319</v>
      </c>
    </row>
    <row r="2281" spans="1:21" x14ac:dyDescent="0.25">
      <c r="A2281" s="405" t="s">
        <v>310</v>
      </c>
      <c r="B2281" s="405" t="s">
        <v>16241</v>
      </c>
      <c r="C2281" s="405" t="s">
        <v>327</v>
      </c>
      <c r="D2281" s="405"/>
      <c r="E2281" s="410">
        <v>43303</v>
      </c>
      <c r="F2281" s="410">
        <v>43358</v>
      </c>
      <c r="G2281" s="405" t="s">
        <v>16242</v>
      </c>
      <c r="H2281" s="405">
        <v>777253593</v>
      </c>
      <c r="I2281" s="405">
        <v>777146367</v>
      </c>
      <c r="J2281" s="405">
        <v>1.3583799999999999</v>
      </c>
      <c r="K2281" s="405">
        <v>34.644506999999997</v>
      </c>
      <c r="L2281" s="405" t="s">
        <v>6866</v>
      </c>
      <c r="M2281" s="405" t="s">
        <v>9705</v>
      </c>
      <c r="N2281" s="405" t="s">
        <v>9705</v>
      </c>
      <c r="O2281" s="405" t="s">
        <v>15752</v>
      </c>
      <c r="P2281" s="405" t="s">
        <v>16243</v>
      </c>
      <c r="Q2281" s="411">
        <v>6</v>
      </c>
      <c r="R2281" s="405" t="s">
        <v>9506</v>
      </c>
      <c r="S2281" s="405" t="s">
        <v>27353</v>
      </c>
      <c r="T2281" s="405" t="s">
        <v>32212</v>
      </c>
      <c r="U2281" s="405" t="s">
        <v>2267</v>
      </c>
    </row>
    <row r="2282" spans="1:21" x14ac:dyDescent="0.25">
      <c r="A2282" s="405" t="s">
        <v>310</v>
      </c>
      <c r="B2282" s="405" t="s">
        <v>16696</v>
      </c>
      <c r="C2282" s="405" t="s">
        <v>311</v>
      </c>
      <c r="D2282" s="405" t="s">
        <v>33043</v>
      </c>
      <c r="E2282" s="410">
        <v>43302</v>
      </c>
      <c r="F2282" s="410">
        <v>43371</v>
      </c>
      <c r="G2282" s="405" t="s">
        <v>16697</v>
      </c>
      <c r="H2282" s="405">
        <v>758930086</v>
      </c>
      <c r="I2282" s="405"/>
      <c r="J2282" s="405">
        <v>0.20593500000000001</v>
      </c>
      <c r="K2282" s="405">
        <v>33.478462999999998</v>
      </c>
      <c r="L2282" s="405" t="s">
        <v>6866</v>
      </c>
      <c r="M2282" s="405" t="s">
        <v>5411</v>
      </c>
      <c r="N2282" s="405" t="s">
        <v>16142</v>
      </c>
      <c r="O2282" s="405" t="s">
        <v>2335</v>
      </c>
      <c r="P2282" s="405" t="s">
        <v>16698</v>
      </c>
      <c r="Q2282" s="411">
        <v>6</v>
      </c>
      <c r="R2282" s="405" t="s">
        <v>6822</v>
      </c>
      <c r="S2282" s="405" t="s">
        <v>6822</v>
      </c>
      <c r="T2282" s="405" t="s">
        <v>865</v>
      </c>
      <c r="U2282" s="405" t="s">
        <v>866</v>
      </c>
    </row>
    <row r="2283" spans="1:21" x14ac:dyDescent="0.25">
      <c r="A2283" s="405" t="s">
        <v>310</v>
      </c>
      <c r="B2283" s="405" t="s">
        <v>16225</v>
      </c>
      <c r="C2283" s="405" t="s">
        <v>327</v>
      </c>
      <c r="D2283" s="405"/>
      <c r="E2283" s="410">
        <v>43302</v>
      </c>
      <c r="F2283" s="410">
        <v>43336</v>
      </c>
      <c r="G2283" s="405" t="s">
        <v>16226</v>
      </c>
      <c r="H2283" s="405">
        <v>783430004</v>
      </c>
      <c r="I2283" s="405">
        <v>794190533</v>
      </c>
      <c r="J2283" s="405">
        <v>1.1425000000000001</v>
      </c>
      <c r="K2283" s="405">
        <v>34.182000000000002</v>
      </c>
      <c r="L2283" s="405" t="s">
        <v>6866</v>
      </c>
      <c r="M2283" s="405" t="s">
        <v>9575</v>
      </c>
      <c r="N2283" s="405" t="s">
        <v>16227</v>
      </c>
      <c r="O2283" s="405" t="s">
        <v>16228</v>
      </c>
      <c r="P2283" s="405" t="s">
        <v>2266</v>
      </c>
      <c r="Q2283" s="411">
        <v>6</v>
      </c>
      <c r="R2283" s="405" t="s">
        <v>9506</v>
      </c>
      <c r="S2283" s="405" t="s">
        <v>27259</v>
      </c>
      <c r="T2283" s="405" t="s">
        <v>32102</v>
      </c>
      <c r="U2283" s="405" t="s">
        <v>319</v>
      </c>
    </row>
    <row r="2284" spans="1:21" x14ac:dyDescent="0.25">
      <c r="A2284" s="405" t="s">
        <v>310</v>
      </c>
      <c r="B2284" s="405" t="s">
        <v>6961</v>
      </c>
      <c r="C2284" s="405" t="s">
        <v>327</v>
      </c>
      <c r="D2284" s="405"/>
      <c r="E2284" s="410">
        <v>43301</v>
      </c>
      <c r="F2284" s="410">
        <v>43301</v>
      </c>
      <c r="G2284" s="405" t="s">
        <v>6962</v>
      </c>
      <c r="H2284" s="405">
        <v>782406734</v>
      </c>
      <c r="I2284" s="405"/>
      <c r="J2284" s="405">
        <v>0.23628199999999999</v>
      </c>
      <c r="K2284" s="405">
        <v>32.496777000000002</v>
      </c>
      <c r="L2284" s="405" t="s">
        <v>314</v>
      </c>
      <c r="M2284" s="405" t="s">
        <v>361</v>
      </c>
      <c r="N2284" s="405" t="s">
        <v>6357</v>
      </c>
      <c r="O2284" s="405" t="s">
        <v>6963</v>
      </c>
      <c r="P2284" s="405" t="s">
        <v>6362</v>
      </c>
      <c r="Q2284" s="411">
        <v>9</v>
      </c>
      <c r="R2284" s="405" t="s">
        <v>4176</v>
      </c>
      <c r="S2284" s="405" t="s">
        <v>27053</v>
      </c>
      <c r="T2284" s="405" t="s">
        <v>884</v>
      </c>
      <c r="U2284" s="405" t="s">
        <v>319</v>
      </c>
    </row>
    <row r="2285" spans="1:21" x14ac:dyDescent="0.25">
      <c r="A2285" s="405" t="s">
        <v>310</v>
      </c>
      <c r="B2285" s="405" t="s">
        <v>16317</v>
      </c>
      <c r="C2285" s="405" t="s">
        <v>327</v>
      </c>
      <c r="D2285" s="405"/>
      <c r="E2285" s="410">
        <v>43301</v>
      </c>
      <c r="F2285" s="410">
        <v>43381</v>
      </c>
      <c r="G2285" s="405" t="s">
        <v>16318</v>
      </c>
      <c r="H2285" s="405">
        <v>782997013</v>
      </c>
      <c r="I2285" s="405"/>
      <c r="J2285" s="405">
        <v>2.5295429999999999</v>
      </c>
      <c r="K2285" s="405">
        <v>34.645592999999998</v>
      </c>
      <c r="L2285" s="405" t="s">
        <v>6866</v>
      </c>
      <c r="M2285" s="405" t="s">
        <v>16319</v>
      </c>
      <c r="N2285" s="405" t="s">
        <v>16320</v>
      </c>
      <c r="O2285" s="405" t="s">
        <v>16320</v>
      </c>
      <c r="P2285" s="405" t="s">
        <v>16321</v>
      </c>
      <c r="Q2285" s="411">
        <v>6</v>
      </c>
      <c r="R2285" s="405" t="s">
        <v>7269</v>
      </c>
      <c r="S2285" s="405" t="s">
        <v>27039</v>
      </c>
      <c r="T2285" s="405" t="s">
        <v>32102</v>
      </c>
      <c r="U2285" s="405" t="s">
        <v>319</v>
      </c>
    </row>
    <row r="2286" spans="1:21" x14ac:dyDescent="0.25">
      <c r="A2286" s="405" t="s">
        <v>310</v>
      </c>
      <c r="B2286" s="405" t="s">
        <v>24467</v>
      </c>
      <c r="C2286" s="405" t="s">
        <v>327</v>
      </c>
      <c r="D2286" s="405"/>
      <c r="E2286" s="410">
        <v>43301</v>
      </c>
      <c r="F2286" s="410">
        <v>43320</v>
      </c>
      <c r="G2286" s="405" t="s">
        <v>24468</v>
      </c>
      <c r="H2286" s="405">
        <v>775058936</v>
      </c>
      <c r="I2286" s="405"/>
      <c r="J2286" s="405">
        <v>-0.35270000000000001</v>
      </c>
      <c r="K2286" s="405">
        <v>30.105399999999999</v>
      </c>
      <c r="L2286" s="405" t="s">
        <v>590</v>
      </c>
      <c r="M2286" s="405" t="s">
        <v>19625</v>
      </c>
      <c r="N2286" s="405" t="s">
        <v>20086</v>
      </c>
      <c r="O2286" s="405" t="s">
        <v>21955</v>
      </c>
      <c r="P2286" s="405" t="s">
        <v>2210</v>
      </c>
      <c r="Q2286" s="411">
        <v>6</v>
      </c>
      <c r="R2286" s="405" t="s">
        <v>6572</v>
      </c>
      <c r="S2286" s="405" t="s">
        <v>27161</v>
      </c>
      <c r="T2286" s="405" t="s">
        <v>884</v>
      </c>
      <c r="U2286" s="405" t="s">
        <v>319</v>
      </c>
    </row>
    <row r="2287" spans="1:21" x14ac:dyDescent="0.25">
      <c r="A2287" s="405" t="s">
        <v>310</v>
      </c>
      <c r="B2287" s="405" t="s">
        <v>16200</v>
      </c>
      <c r="C2287" s="405" t="s">
        <v>327</v>
      </c>
      <c r="D2287" s="405"/>
      <c r="E2287" s="410">
        <v>43301</v>
      </c>
      <c r="F2287" s="410">
        <v>43316</v>
      </c>
      <c r="G2287" s="405" t="s">
        <v>16201</v>
      </c>
      <c r="H2287" s="405">
        <v>772593772</v>
      </c>
      <c r="I2287" s="405">
        <v>781071522</v>
      </c>
      <c r="J2287" s="405">
        <v>1.2414000000000001</v>
      </c>
      <c r="K2287" s="405">
        <v>34.243200000000002</v>
      </c>
      <c r="L2287" s="405" t="s">
        <v>6866</v>
      </c>
      <c r="M2287" s="405" t="s">
        <v>9685</v>
      </c>
      <c r="N2287" s="405" t="s">
        <v>9686</v>
      </c>
      <c r="O2287" s="405" t="s">
        <v>16202</v>
      </c>
      <c r="P2287" s="405" t="s">
        <v>16203</v>
      </c>
      <c r="Q2287" s="411">
        <v>6</v>
      </c>
      <c r="R2287" s="405" t="s">
        <v>9506</v>
      </c>
      <c r="S2287" s="405" t="s">
        <v>27067</v>
      </c>
      <c r="T2287" s="405" t="s">
        <v>32102</v>
      </c>
      <c r="U2287" s="405" t="s">
        <v>319</v>
      </c>
    </row>
    <row r="2288" spans="1:21" x14ac:dyDescent="0.25">
      <c r="A2288" s="405" t="s">
        <v>310</v>
      </c>
      <c r="B2288" s="405" t="s">
        <v>7512</v>
      </c>
      <c r="C2288" s="405" t="s">
        <v>857</v>
      </c>
      <c r="D2288" s="405" t="s">
        <v>1037</v>
      </c>
      <c r="E2288" s="410">
        <v>43301</v>
      </c>
      <c r="F2288" s="410">
        <v>43306</v>
      </c>
      <c r="G2288" s="405" t="s">
        <v>7514</v>
      </c>
      <c r="H2288" s="405">
        <v>782172843</v>
      </c>
      <c r="I2288" s="405">
        <v>782172843</v>
      </c>
      <c r="J2288" s="405" t="s">
        <v>7515</v>
      </c>
      <c r="K2288" s="405">
        <v>32.499102999999998</v>
      </c>
      <c r="L2288" s="405" t="s">
        <v>314</v>
      </c>
      <c r="M2288" s="405" t="s">
        <v>959</v>
      </c>
      <c r="N2288" s="405" t="s">
        <v>6937</v>
      </c>
      <c r="O2288" s="405" t="s">
        <v>7516</v>
      </c>
      <c r="P2288" s="405" t="s">
        <v>7517</v>
      </c>
      <c r="Q2288" s="411">
        <v>6</v>
      </c>
      <c r="R2288" s="405" t="s">
        <v>5665</v>
      </c>
      <c r="S2288" s="405" t="s">
        <v>27046</v>
      </c>
      <c r="T2288" s="405" t="s">
        <v>32102</v>
      </c>
      <c r="U2288" s="405" t="s">
        <v>319</v>
      </c>
    </row>
    <row r="2289" spans="1:21" x14ac:dyDescent="0.25">
      <c r="A2289" s="405" t="s">
        <v>310</v>
      </c>
      <c r="B2289" s="405" t="s">
        <v>16588</v>
      </c>
      <c r="C2289" s="405" t="s">
        <v>857</v>
      </c>
      <c r="D2289" s="405" t="s">
        <v>33044</v>
      </c>
      <c r="E2289" s="410">
        <v>43301</v>
      </c>
      <c r="F2289" s="410">
        <v>43305</v>
      </c>
      <c r="G2289" s="405" t="s">
        <v>16589</v>
      </c>
      <c r="H2289" s="405">
        <v>779539227</v>
      </c>
      <c r="I2289" s="405">
        <v>785838093</v>
      </c>
      <c r="J2289" s="405">
        <v>2.0339999999999998</v>
      </c>
      <c r="K2289" s="405">
        <v>33.425600000000003</v>
      </c>
      <c r="L2289" s="405" t="s">
        <v>6866</v>
      </c>
      <c r="M2289" s="405" t="s">
        <v>10495</v>
      </c>
      <c r="N2289" s="405" t="s">
        <v>10495</v>
      </c>
      <c r="O2289" s="405" t="s">
        <v>13690</v>
      </c>
      <c r="P2289" s="405" t="s">
        <v>16590</v>
      </c>
      <c r="Q2289" s="411">
        <v>6</v>
      </c>
      <c r="R2289" s="405" t="s">
        <v>5655</v>
      </c>
      <c r="S2289" s="405" t="s">
        <v>27361</v>
      </c>
      <c r="T2289" s="405" t="s">
        <v>32102</v>
      </c>
      <c r="U2289" s="405" t="s">
        <v>319</v>
      </c>
    </row>
    <row r="2290" spans="1:21" x14ac:dyDescent="0.25">
      <c r="A2290" s="405" t="s">
        <v>310</v>
      </c>
      <c r="B2290" s="405" t="s">
        <v>24769</v>
      </c>
      <c r="C2290" s="405" t="s">
        <v>311</v>
      </c>
      <c r="D2290" s="405" t="s">
        <v>24770</v>
      </c>
      <c r="E2290" s="410">
        <v>43300</v>
      </c>
      <c r="F2290" s="410">
        <v>43315</v>
      </c>
      <c r="G2290" s="405" t="s">
        <v>24771</v>
      </c>
      <c r="H2290" s="405">
        <v>702941492</v>
      </c>
      <c r="I2290" s="405"/>
      <c r="J2290" s="405">
        <v>-0.33</v>
      </c>
      <c r="K2290" s="405">
        <v>30.626000000000001</v>
      </c>
      <c r="L2290" s="405" t="s">
        <v>590</v>
      </c>
      <c r="M2290" s="405" t="s">
        <v>19625</v>
      </c>
      <c r="N2290" s="405" t="s">
        <v>19979</v>
      </c>
      <c r="O2290" s="405" t="s">
        <v>24772</v>
      </c>
      <c r="P2290" s="405" t="s">
        <v>20941</v>
      </c>
      <c r="Q2290" s="411">
        <v>13</v>
      </c>
      <c r="R2290" s="405" t="s">
        <v>32101</v>
      </c>
      <c r="S2290" s="405" t="s">
        <v>27193</v>
      </c>
      <c r="T2290" s="405" t="s">
        <v>884</v>
      </c>
      <c r="U2290" s="405" t="s">
        <v>319</v>
      </c>
    </row>
    <row r="2291" spans="1:21" x14ac:dyDescent="0.25">
      <c r="A2291" s="405" t="s">
        <v>310</v>
      </c>
      <c r="B2291" s="405" t="s">
        <v>19028</v>
      </c>
      <c r="C2291" s="405" t="s">
        <v>327</v>
      </c>
      <c r="D2291" s="405"/>
      <c r="E2291" s="410">
        <v>43300</v>
      </c>
      <c r="F2291" s="410">
        <v>43315</v>
      </c>
      <c r="G2291" s="405" t="s">
        <v>19029</v>
      </c>
      <c r="H2291" s="405">
        <v>772641511</v>
      </c>
      <c r="I2291" s="405">
        <v>706936177</v>
      </c>
      <c r="J2291" s="405">
        <v>2.2835931</v>
      </c>
      <c r="K2291" s="405">
        <v>32.805880600000002</v>
      </c>
      <c r="L2291" s="405" t="s">
        <v>860</v>
      </c>
      <c r="M2291" s="405" t="s">
        <v>18368</v>
      </c>
      <c r="N2291" s="405" t="s">
        <v>19030</v>
      </c>
      <c r="O2291" s="405" t="s">
        <v>19031</v>
      </c>
      <c r="P2291" s="405" t="s">
        <v>19032</v>
      </c>
      <c r="Q2291" s="411">
        <v>9</v>
      </c>
      <c r="R2291" s="405" t="s">
        <v>7208</v>
      </c>
      <c r="S2291" s="405" t="s">
        <v>27275</v>
      </c>
      <c r="T2291" s="405" t="s">
        <v>32102</v>
      </c>
      <c r="U2291" s="405" t="s">
        <v>319</v>
      </c>
    </row>
    <row r="2292" spans="1:21" x14ac:dyDescent="0.25">
      <c r="A2292" s="405" t="s">
        <v>310</v>
      </c>
      <c r="B2292" s="405" t="s">
        <v>16256</v>
      </c>
      <c r="C2292" s="405" t="s">
        <v>327</v>
      </c>
      <c r="D2292" s="405"/>
      <c r="E2292" s="410">
        <v>43300</v>
      </c>
      <c r="F2292" s="410">
        <v>43361</v>
      </c>
      <c r="G2292" s="405" t="s">
        <v>16257</v>
      </c>
      <c r="H2292" s="405">
        <v>751832610</v>
      </c>
      <c r="I2292" s="405">
        <v>785137392</v>
      </c>
      <c r="J2292" s="405">
        <v>1.2445999999999999</v>
      </c>
      <c r="K2292" s="405">
        <v>34.315300000000001</v>
      </c>
      <c r="L2292" s="405" t="s">
        <v>6866</v>
      </c>
      <c r="M2292" s="405" t="s">
        <v>9705</v>
      </c>
      <c r="N2292" s="405" t="s">
        <v>9705</v>
      </c>
      <c r="O2292" s="405" t="s">
        <v>16170</v>
      </c>
      <c r="P2292" s="405" t="s">
        <v>16258</v>
      </c>
      <c r="Q2292" s="411">
        <v>6</v>
      </c>
      <c r="R2292" s="405" t="s">
        <v>9506</v>
      </c>
      <c r="S2292" s="405" t="s">
        <v>27353</v>
      </c>
      <c r="T2292" s="405" t="s">
        <v>884</v>
      </c>
      <c r="U2292" s="405" t="s">
        <v>319</v>
      </c>
    </row>
    <row r="2293" spans="1:21" x14ac:dyDescent="0.25">
      <c r="A2293" s="405" t="s">
        <v>310</v>
      </c>
      <c r="B2293" s="405" t="s">
        <v>6934</v>
      </c>
      <c r="C2293" s="405" t="s">
        <v>327</v>
      </c>
      <c r="D2293" s="405"/>
      <c r="E2293" s="410">
        <v>43300</v>
      </c>
      <c r="F2293" s="410">
        <v>43307</v>
      </c>
      <c r="G2293" s="405" t="s">
        <v>6935</v>
      </c>
      <c r="H2293" s="405">
        <v>772445610</v>
      </c>
      <c r="I2293" s="405"/>
      <c r="J2293" s="405" t="s">
        <v>6936</v>
      </c>
      <c r="K2293" s="405">
        <v>32.513629999999999</v>
      </c>
      <c r="L2293" s="405" t="s">
        <v>314</v>
      </c>
      <c r="M2293" s="405" t="s">
        <v>959</v>
      </c>
      <c r="N2293" s="405" t="s">
        <v>6937</v>
      </c>
      <c r="O2293" s="405" t="s">
        <v>6938</v>
      </c>
      <c r="P2293" s="405" t="s">
        <v>6939</v>
      </c>
      <c r="Q2293" s="411">
        <v>6</v>
      </c>
      <c r="R2293" s="405" t="s">
        <v>5665</v>
      </c>
      <c r="S2293" s="405" t="s">
        <v>27046</v>
      </c>
      <c r="T2293" s="405" t="s">
        <v>32102</v>
      </c>
      <c r="U2293" s="405" t="s">
        <v>319</v>
      </c>
    </row>
    <row r="2294" spans="1:21" x14ac:dyDescent="0.25">
      <c r="A2294" s="405" t="s">
        <v>310</v>
      </c>
      <c r="B2294" s="405" t="s">
        <v>24427</v>
      </c>
      <c r="C2294" s="405" t="s">
        <v>327</v>
      </c>
      <c r="D2294" s="405"/>
      <c r="E2294" s="410">
        <v>43299</v>
      </c>
      <c r="F2294" s="410">
        <v>43342</v>
      </c>
      <c r="G2294" s="405" t="s">
        <v>24428</v>
      </c>
      <c r="H2294" s="405">
        <v>779934870</v>
      </c>
      <c r="I2294" s="405">
        <v>782977160</v>
      </c>
      <c r="J2294" s="405" t="s">
        <v>24429</v>
      </c>
      <c r="K2294" s="405">
        <v>30.026306999999999</v>
      </c>
      <c r="L2294" s="405" t="s">
        <v>590</v>
      </c>
      <c r="M2294" s="405" t="s">
        <v>20032</v>
      </c>
      <c r="N2294" s="405" t="s">
        <v>24421</v>
      </c>
      <c r="O2294" s="405" t="s">
        <v>400</v>
      </c>
      <c r="P2294" s="405" t="s">
        <v>24430</v>
      </c>
      <c r="Q2294" s="411">
        <v>9</v>
      </c>
      <c r="R2294" s="405" t="s">
        <v>5858</v>
      </c>
      <c r="S2294" s="405" t="s">
        <v>27097</v>
      </c>
      <c r="T2294" s="405" t="s">
        <v>32746</v>
      </c>
      <c r="U2294" s="405" t="s">
        <v>2267</v>
      </c>
    </row>
    <row r="2295" spans="1:21" x14ac:dyDescent="0.25">
      <c r="A2295" s="405" t="s">
        <v>310</v>
      </c>
      <c r="B2295" s="405" t="s">
        <v>24448</v>
      </c>
      <c r="C2295" s="405" t="s">
        <v>327</v>
      </c>
      <c r="D2295" s="405"/>
      <c r="E2295" s="410">
        <v>43299</v>
      </c>
      <c r="F2295" s="410">
        <v>43330</v>
      </c>
      <c r="G2295" s="405" t="s">
        <v>24449</v>
      </c>
      <c r="H2295" s="405">
        <v>782727326</v>
      </c>
      <c r="I2295" s="405">
        <v>705837579</v>
      </c>
      <c r="J2295" s="405" t="s">
        <v>24450</v>
      </c>
      <c r="K2295" s="405">
        <v>30.080043</v>
      </c>
      <c r="L2295" s="405" t="s">
        <v>590</v>
      </c>
      <c r="M2295" s="405" t="s">
        <v>19926</v>
      </c>
      <c r="N2295" s="405" t="s">
        <v>19927</v>
      </c>
      <c r="O2295" s="405" t="s">
        <v>19928</v>
      </c>
      <c r="P2295" s="405" t="s">
        <v>24451</v>
      </c>
      <c r="Q2295" s="411">
        <v>9</v>
      </c>
      <c r="R2295" s="405" t="s">
        <v>6943</v>
      </c>
      <c r="S2295" s="405" t="s">
        <v>27182</v>
      </c>
      <c r="T2295" s="405" t="s">
        <v>884</v>
      </c>
      <c r="U2295" s="405" t="s">
        <v>319</v>
      </c>
    </row>
    <row r="2296" spans="1:21" x14ac:dyDescent="0.25">
      <c r="A2296" s="405" t="s">
        <v>310</v>
      </c>
      <c r="B2296" s="405" t="s">
        <v>24465</v>
      </c>
      <c r="C2296" s="405" t="s">
        <v>327</v>
      </c>
      <c r="D2296" s="405"/>
      <c r="E2296" s="410">
        <v>43299</v>
      </c>
      <c r="F2296" s="410">
        <v>43315</v>
      </c>
      <c r="G2296" s="405" t="s">
        <v>24466</v>
      </c>
      <c r="H2296" s="405">
        <v>392946521</v>
      </c>
      <c r="I2296" s="405">
        <v>779547939</v>
      </c>
      <c r="J2296" s="405">
        <v>-0.54369999999999996</v>
      </c>
      <c r="K2296" s="405">
        <v>29.466000000000001</v>
      </c>
      <c r="L2296" s="405" t="s">
        <v>590</v>
      </c>
      <c r="M2296" s="405" t="s">
        <v>20808</v>
      </c>
      <c r="N2296" s="405" t="s">
        <v>20809</v>
      </c>
      <c r="O2296" s="405" t="s">
        <v>23495</v>
      </c>
      <c r="P2296" s="405" t="s">
        <v>23718</v>
      </c>
      <c r="Q2296" s="411">
        <v>9</v>
      </c>
      <c r="R2296" s="405" t="s">
        <v>6572</v>
      </c>
      <c r="S2296" s="405" t="s">
        <v>27154</v>
      </c>
      <c r="T2296" s="405" t="s">
        <v>32102</v>
      </c>
      <c r="U2296" s="405" t="s">
        <v>319</v>
      </c>
    </row>
    <row r="2297" spans="1:21" x14ac:dyDescent="0.25">
      <c r="A2297" s="405" t="s">
        <v>310</v>
      </c>
      <c r="B2297" s="405" t="s">
        <v>7014</v>
      </c>
      <c r="C2297" s="405" t="s">
        <v>327</v>
      </c>
      <c r="D2297" s="405"/>
      <c r="E2297" s="410">
        <v>43299</v>
      </c>
      <c r="F2297" s="410">
        <v>43318</v>
      </c>
      <c r="G2297" s="405" t="s">
        <v>7015</v>
      </c>
      <c r="H2297" s="405">
        <v>772862424</v>
      </c>
      <c r="I2297" s="405">
        <v>704862424</v>
      </c>
      <c r="J2297" s="405" t="s">
        <v>7016</v>
      </c>
      <c r="K2297" s="405" t="s">
        <v>7017</v>
      </c>
      <c r="L2297" s="405" t="s">
        <v>314</v>
      </c>
      <c r="M2297" s="405" t="s">
        <v>361</v>
      </c>
      <c r="N2297" s="405" t="s">
        <v>410</v>
      </c>
      <c r="O2297" s="405" t="s">
        <v>7018</v>
      </c>
      <c r="P2297" s="405" t="s">
        <v>557</v>
      </c>
      <c r="Q2297" s="411">
        <v>6</v>
      </c>
      <c r="R2297" s="405" t="s">
        <v>4176</v>
      </c>
      <c r="S2297" s="405" t="s">
        <v>27069</v>
      </c>
      <c r="T2297" s="405" t="s">
        <v>32102</v>
      </c>
      <c r="U2297" s="405" t="s">
        <v>319</v>
      </c>
    </row>
    <row r="2298" spans="1:21" x14ac:dyDescent="0.25">
      <c r="A2298" s="405" t="s">
        <v>310</v>
      </c>
      <c r="B2298" s="405" t="s">
        <v>16254</v>
      </c>
      <c r="C2298" s="405" t="s">
        <v>327</v>
      </c>
      <c r="D2298" s="405"/>
      <c r="E2298" s="410">
        <v>43299</v>
      </c>
      <c r="F2298" s="410">
        <v>43314</v>
      </c>
      <c r="G2298" s="405" t="s">
        <v>16255</v>
      </c>
      <c r="H2298" s="405">
        <v>773475792</v>
      </c>
      <c r="I2298" s="405"/>
      <c r="J2298" s="405">
        <v>0.12453</v>
      </c>
      <c r="K2298" s="405">
        <v>34.343699999999998</v>
      </c>
      <c r="L2298" s="405" t="s">
        <v>6866</v>
      </c>
      <c r="M2298" s="405" t="s">
        <v>9685</v>
      </c>
      <c r="N2298" s="405" t="s">
        <v>9705</v>
      </c>
      <c r="O2298" s="405" t="s">
        <v>10311</v>
      </c>
      <c r="P2298" s="405" t="s">
        <v>10058</v>
      </c>
      <c r="Q2298" s="411">
        <v>6</v>
      </c>
      <c r="R2298" s="405" t="s">
        <v>9506</v>
      </c>
      <c r="S2298" s="405" t="s">
        <v>27074</v>
      </c>
      <c r="T2298" s="405" t="s">
        <v>32102</v>
      </c>
      <c r="U2298" s="405" t="s">
        <v>319</v>
      </c>
    </row>
    <row r="2299" spans="1:21" x14ac:dyDescent="0.25">
      <c r="A2299" s="405" t="s">
        <v>310</v>
      </c>
      <c r="B2299" s="405" t="s">
        <v>9249</v>
      </c>
      <c r="C2299" s="405" t="s">
        <v>327</v>
      </c>
      <c r="D2299" s="405"/>
      <c r="E2299" s="410">
        <v>44515</v>
      </c>
      <c r="F2299" s="410">
        <v>44536</v>
      </c>
      <c r="G2299" s="405" t="s">
        <v>9250</v>
      </c>
      <c r="H2299" s="405">
        <v>776250500</v>
      </c>
      <c r="I2299" s="405" t="s">
        <v>9251</v>
      </c>
      <c r="J2299" s="405">
        <v>0.41381200000000001</v>
      </c>
      <c r="K2299" s="405">
        <v>32.304572</v>
      </c>
      <c r="L2299" s="405" t="s">
        <v>314</v>
      </c>
      <c r="M2299" s="405" t="s">
        <v>361</v>
      </c>
      <c r="N2299" s="405" t="s">
        <v>374</v>
      </c>
      <c r="O2299" s="405" t="s">
        <v>952</v>
      </c>
      <c r="P2299" s="405" t="s">
        <v>9252</v>
      </c>
      <c r="Q2299" s="411">
        <v>20</v>
      </c>
      <c r="R2299" s="405" t="s">
        <v>32101</v>
      </c>
      <c r="S2299" s="405" t="s">
        <v>27193</v>
      </c>
      <c r="T2299" s="405" t="s">
        <v>884</v>
      </c>
      <c r="U2299" s="405" t="s">
        <v>319</v>
      </c>
    </row>
    <row r="2300" spans="1:21" x14ac:dyDescent="0.25">
      <c r="A2300" s="405" t="s">
        <v>310</v>
      </c>
      <c r="B2300" s="405" t="s">
        <v>24492</v>
      </c>
      <c r="C2300" s="405" t="s">
        <v>327</v>
      </c>
      <c r="D2300" s="405"/>
      <c r="E2300" s="410">
        <v>43298</v>
      </c>
      <c r="F2300" s="410">
        <v>43313</v>
      </c>
      <c r="G2300" s="405" t="s">
        <v>24493</v>
      </c>
      <c r="H2300" s="405">
        <v>789828880</v>
      </c>
      <c r="I2300" s="405"/>
      <c r="J2300" s="405">
        <v>-0.27240700000000001</v>
      </c>
      <c r="K2300" s="405">
        <v>30.35257</v>
      </c>
      <c r="L2300" s="405" t="s">
        <v>590</v>
      </c>
      <c r="M2300" s="405" t="s">
        <v>24487</v>
      </c>
      <c r="N2300" s="405" t="s">
        <v>24487</v>
      </c>
      <c r="O2300" s="405" t="s">
        <v>24487</v>
      </c>
      <c r="P2300" s="405" t="s">
        <v>24494</v>
      </c>
      <c r="Q2300" s="411">
        <v>9</v>
      </c>
      <c r="R2300" s="405" t="s">
        <v>32166</v>
      </c>
      <c r="S2300" s="405" t="s">
        <v>27399</v>
      </c>
      <c r="T2300" s="405" t="s">
        <v>32102</v>
      </c>
      <c r="U2300" s="405" t="s">
        <v>319</v>
      </c>
    </row>
    <row r="2301" spans="1:21" x14ac:dyDescent="0.25">
      <c r="A2301" s="405" t="s">
        <v>310</v>
      </c>
      <c r="B2301" s="405" t="s">
        <v>16394</v>
      </c>
      <c r="C2301" s="405" t="s">
        <v>327</v>
      </c>
      <c r="D2301" s="405"/>
      <c r="E2301" s="410">
        <v>43298</v>
      </c>
      <c r="F2301" s="410">
        <v>43435</v>
      </c>
      <c r="G2301" s="405" t="s">
        <v>16395</v>
      </c>
      <c r="H2301" s="405">
        <v>779465583</v>
      </c>
      <c r="I2301" s="405">
        <v>783480093</v>
      </c>
      <c r="J2301" s="405">
        <v>1.2457</v>
      </c>
      <c r="K2301" s="405">
        <v>34.342399999999998</v>
      </c>
      <c r="L2301" s="405" t="s">
        <v>6866</v>
      </c>
      <c r="M2301" s="405" t="s">
        <v>9705</v>
      </c>
      <c r="N2301" s="405" t="s">
        <v>9705</v>
      </c>
      <c r="O2301" s="405" t="s">
        <v>10311</v>
      </c>
      <c r="P2301" s="405" t="s">
        <v>16396</v>
      </c>
      <c r="Q2301" s="411">
        <v>6</v>
      </c>
      <c r="R2301" s="405" t="s">
        <v>9506</v>
      </c>
      <c r="S2301" s="405" t="s">
        <v>27362</v>
      </c>
      <c r="T2301" s="405" t="s">
        <v>32102</v>
      </c>
      <c r="U2301" s="405" t="s">
        <v>319</v>
      </c>
    </row>
    <row r="2302" spans="1:21" x14ac:dyDescent="0.25">
      <c r="A2302" s="405" t="s">
        <v>310</v>
      </c>
      <c r="B2302" s="405" t="s">
        <v>6958</v>
      </c>
      <c r="C2302" s="405" t="s">
        <v>327</v>
      </c>
      <c r="D2302" s="405"/>
      <c r="E2302" s="410">
        <v>43297</v>
      </c>
      <c r="F2302" s="410">
        <v>43312</v>
      </c>
      <c r="G2302" s="405" t="s">
        <v>6959</v>
      </c>
      <c r="H2302" s="405">
        <v>756619378</v>
      </c>
      <c r="I2302" s="405"/>
      <c r="J2302" s="405">
        <v>0.14099999999999999</v>
      </c>
      <c r="K2302" s="405">
        <v>32.293300000000002</v>
      </c>
      <c r="L2302" s="405" t="s">
        <v>314</v>
      </c>
      <c r="M2302" s="405" t="s">
        <v>361</v>
      </c>
      <c r="N2302" s="405" t="s">
        <v>1682</v>
      </c>
      <c r="O2302" s="405" t="s">
        <v>6960</v>
      </c>
      <c r="P2302" s="405" t="s">
        <v>6362</v>
      </c>
      <c r="Q2302" s="411">
        <v>13</v>
      </c>
      <c r="R2302" s="405" t="s">
        <v>4176</v>
      </c>
      <c r="S2302" s="405" t="s">
        <v>27053</v>
      </c>
      <c r="T2302" s="405" t="s">
        <v>32102</v>
      </c>
      <c r="U2302" s="405" t="s">
        <v>319</v>
      </c>
    </row>
    <row r="2303" spans="1:21" x14ac:dyDescent="0.25">
      <c r="A2303" s="405" t="s">
        <v>310</v>
      </c>
      <c r="B2303" s="405" t="s">
        <v>24444</v>
      </c>
      <c r="C2303" s="405" t="s">
        <v>327</v>
      </c>
      <c r="D2303" s="405"/>
      <c r="E2303" s="410">
        <v>43297</v>
      </c>
      <c r="F2303" s="410">
        <v>43328</v>
      </c>
      <c r="G2303" s="405" t="s">
        <v>24445</v>
      </c>
      <c r="H2303" s="405">
        <v>703044522</v>
      </c>
      <c r="I2303" s="405">
        <v>785554944</v>
      </c>
      <c r="J2303" s="405" t="s">
        <v>24446</v>
      </c>
      <c r="K2303" s="405">
        <v>30.095213000000001</v>
      </c>
      <c r="L2303" s="405" t="s">
        <v>590</v>
      </c>
      <c r="M2303" s="405" t="s">
        <v>19926</v>
      </c>
      <c r="N2303" s="405" t="s">
        <v>19927</v>
      </c>
      <c r="O2303" s="405" t="s">
        <v>24329</v>
      </c>
      <c r="P2303" s="405" t="s">
        <v>24447</v>
      </c>
      <c r="Q2303" s="411">
        <v>9</v>
      </c>
      <c r="R2303" s="405" t="s">
        <v>6943</v>
      </c>
      <c r="S2303" s="405" t="s">
        <v>27264</v>
      </c>
      <c r="T2303" s="405" t="s">
        <v>884</v>
      </c>
      <c r="U2303" s="405" t="s">
        <v>319</v>
      </c>
    </row>
    <row r="2304" spans="1:21" x14ac:dyDescent="0.25">
      <c r="A2304" s="405" t="s">
        <v>310</v>
      </c>
      <c r="B2304" s="405" t="s">
        <v>16119</v>
      </c>
      <c r="C2304" s="405" t="s">
        <v>327</v>
      </c>
      <c r="D2304" s="405"/>
      <c r="E2304" s="410">
        <v>43297</v>
      </c>
      <c r="F2304" s="410">
        <v>43312</v>
      </c>
      <c r="G2304" s="405" t="s">
        <v>16120</v>
      </c>
      <c r="H2304" s="405">
        <v>772440682</v>
      </c>
      <c r="I2304" s="405"/>
      <c r="J2304" s="405">
        <v>1.4834000000000001</v>
      </c>
      <c r="K2304" s="405">
        <v>34.223999999999997</v>
      </c>
      <c r="L2304" s="405" t="s">
        <v>6866</v>
      </c>
      <c r="M2304" s="405" t="s">
        <v>12153</v>
      </c>
      <c r="N2304" s="405" t="s">
        <v>10377</v>
      </c>
      <c r="O2304" s="405" t="s">
        <v>10377</v>
      </c>
      <c r="P2304" s="405" t="s">
        <v>16121</v>
      </c>
      <c r="Q2304" s="411">
        <v>9</v>
      </c>
      <c r="R2304" s="405" t="s">
        <v>5655</v>
      </c>
      <c r="S2304" s="405" t="s">
        <v>27357</v>
      </c>
      <c r="T2304" s="405" t="s">
        <v>32102</v>
      </c>
      <c r="U2304" s="405" t="s">
        <v>319</v>
      </c>
    </row>
    <row r="2305" spans="1:21" x14ac:dyDescent="0.25">
      <c r="A2305" s="405" t="s">
        <v>310</v>
      </c>
      <c r="B2305" s="405" t="s">
        <v>24248</v>
      </c>
      <c r="C2305" s="405" t="s">
        <v>327</v>
      </c>
      <c r="D2305" s="405"/>
      <c r="E2305" s="410">
        <v>43297</v>
      </c>
      <c r="F2305" s="410">
        <v>43311</v>
      </c>
      <c r="G2305" s="405" t="s">
        <v>24249</v>
      </c>
      <c r="H2305" s="405">
        <v>773261118</v>
      </c>
      <c r="I2305" s="405">
        <v>773211466</v>
      </c>
      <c r="J2305" s="405" t="s">
        <v>24250</v>
      </c>
      <c r="K2305" s="405">
        <v>29.961210000000001</v>
      </c>
      <c r="L2305" s="405" t="s">
        <v>590</v>
      </c>
      <c r="M2305" s="405" t="s">
        <v>20032</v>
      </c>
      <c r="N2305" s="405" t="s">
        <v>20033</v>
      </c>
      <c r="O2305" s="405" t="s">
        <v>20790</v>
      </c>
      <c r="P2305" s="405" t="s">
        <v>19827</v>
      </c>
      <c r="Q2305" s="411">
        <v>9</v>
      </c>
      <c r="R2305" s="405" t="s">
        <v>5858</v>
      </c>
      <c r="S2305" s="405" t="s">
        <v>27399</v>
      </c>
      <c r="T2305" s="405" t="s">
        <v>32102</v>
      </c>
      <c r="U2305" s="405" t="s">
        <v>319</v>
      </c>
    </row>
    <row r="2306" spans="1:21" x14ac:dyDescent="0.25">
      <c r="A2306" s="405" t="s">
        <v>310</v>
      </c>
      <c r="B2306" s="405" t="s">
        <v>24398</v>
      </c>
      <c r="C2306" s="405" t="s">
        <v>327</v>
      </c>
      <c r="D2306" s="405"/>
      <c r="E2306" s="410">
        <v>43297</v>
      </c>
      <c r="F2306" s="410">
        <v>43311</v>
      </c>
      <c r="G2306" s="405" t="s">
        <v>24399</v>
      </c>
      <c r="H2306" s="405">
        <v>783615372</v>
      </c>
      <c r="I2306" s="405">
        <v>754733830</v>
      </c>
      <c r="J2306" s="405" t="s">
        <v>24400</v>
      </c>
      <c r="K2306" s="405">
        <v>30.248435000000001</v>
      </c>
      <c r="L2306" s="405" t="s">
        <v>590</v>
      </c>
      <c r="M2306" s="405" t="s">
        <v>19926</v>
      </c>
      <c r="N2306" s="405" t="s">
        <v>19926</v>
      </c>
      <c r="O2306" s="405" t="s">
        <v>24401</v>
      </c>
      <c r="P2306" s="405" t="s">
        <v>19639</v>
      </c>
      <c r="Q2306" s="411">
        <v>9</v>
      </c>
      <c r="R2306" s="405" t="s">
        <v>883</v>
      </c>
      <c r="S2306" s="405" t="s">
        <v>27227</v>
      </c>
      <c r="T2306" s="405" t="s">
        <v>884</v>
      </c>
      <c r="U2306" s="405" t="s">
        <v>319</v>
      </c>
    </row>
    <row r="2307" spans="1:21" x14ac:dyDescent="0.25">
      <c r="A2307" s="405" t="s">
        <v>310</v>
      </c>
      <c r="B2307" s="405" t="s">
        <v>6940</v>
      </c>
      <c r="C2307" s="405" t="s">
        <v>327</v>
      </c>
      <c r="D2307" s="405"/>
      <c r="E2307" s="410">
        <v>43297</v>
      </c>
      <c r="F2307" s="410">
        <v>43297</v>
      </c>
      <c r="G2307" s="405" t="s">
        <v>6941</v>
      </c>
      <c r="H2307" s="405">
        <v>705358483</v>
      </c>
      <c r="I2307" s="405">
        <v>771069070</v>
      </c>
      <c r="J2307" s="405" t="s">
        <v>6942</v>
      </c>
      <c r="K2307" s="405">
        <v>32.604956999999999</v>
      </c>
      <c r="L2307" s="405" t="s">
        <v>314</v>
      </c>
      <c r="M2307" s="405" t="s">
        <v>361</v>
      </c>
      <c r="N2307" s="405" t="s">
        <v>362</v>
      </c>
      <c r="O2307" s="405" t="s">
        <v>410</v>
      </c>
      <c r="P2307" s="405" t="s">
        <v>1324</v>
      </c>
      <c r="Q2307" s="411">
        <v>9</v>
      </c>
      <c r="R2307" s="405" t="s">
        <v>6943</v>
      </c>
      <c r="S2307" s="405" t="s">
        <v>27264</v>
      </c>
      <c r="T2307" s="405" t="s">
        <v>32102</v>
      </c>
      <c r="U2307" s="405" t="s">
        <v>319</v>
      </c>
    </row>
    <row r="2308" spans="1:21" x14ac:dyDescent="0.25">
      <c r="A2308" s="405" t="s">
        <v>310</v>
      </c>
      <c r="B2308" s="405" t="s">
        <v>6955</v>
      </c>
      <c r="C2308" s="405" t="s">
        <v>327</v>
      </c>
      <c r="D2308" s="405"/>
      <c r="E2308" s="410">
        <v>43297</v>
      </c>
      <c r="F2308" s="410">
        <v>43312</v>
      </c>
      <c r="G2308" s="405" t="s">
        <v>6956</v>
      </c>
      <c r="H2308" s="405">
        <v>752528105</v>
      </c>
      <c r="I2308" s="405"/>
      <c r="J2308" s="405">
        <v>0.50369699999999995</v>
      </c>
      <c r="K2308" s="405">
        <v>32.413423000000002</v>
      </c>
      <c r="L2308" s="405" t="s">
        <v>314</v>
      </c>
      <c r="M2308" s="405" t="s">
        <v>361</v>
      </c>
      <c r="N2308" s="405" t="s">
        <v>374</v>
      </c>
      <c r="O2308" s="405" t="s">
        <v>427</v>
      </c>
      <c r="P2308" s="405" t="s">
        <v>6957</v>
      </c>
      <c r="Q2308" s="411">
        <v>6</v>
      </c>
      <c r="R2308" s="405" t="s">
        <v>32101</v>
      </c>
      <c r="S2308" s="405" t="s">
        <v>27167</v>
      </c>
      <c r="T2308" s="405" t="s">
        <v>884</v>
      </c>
      <c r="U2308" s="405" t="s">
        <v>319</v>
      </c>
    </row>
    <row r="2309" spans="1:21" x14ac:dyDescent="0.25">
      <c r="A2309" s="405" t="s">
        <v>310</v>
      </c>
      <c r="B2309" s="405" t="s">
        <v>24287</v>
      </c>
      <c r="C2309" s="405" t="s">
        <v>327</v>
      </c>
      <c r="D2309" s="405"/>
      <c r="E2309" s="410">
        <v>43296</v>
      </c>
      <c r="F2309" s="410">
        <v>43312</v>
      </c>
      <c r="G2309" s="405" t="s">
        <v>24288</v>
      </c>
      <c r="H2309" s="405">
        <v>778215344</v>
      </c>
      <c r="I2309" s="405">
        <v>702331774</v>
      </c>
      <c r="J2309" s="405" t="s">
        <v>24289</v>
      </c>
      <c r="K2309" s="405">
        <v>30.144404999999999</v>
      </c>
      <c r="L2309" s="405" t="s">
        <v>590</v>
      </c>
      <c r="M2309" s="405" t="s">
        <v>19625</v>
      </c>
      <c r="N2309" s="405" t="s">
        <v>24290</v>
      </c>
      <c r="O2309" s="405" t="s">
        <v>24291</v>
      </c>
      <c r="P2309" s="405" t="s">
        <v>24292</v>
      </c>
      <c r="Q2309" s="411">
        <v>13</v>
      </c>
      <c r="R2309" s="405" t="s">
        <v>6798</v>
      </c>
      <c r="S2309" s="405" t="s">
        <v>27047</v>
      </c>
      <c r="T2309" s="405" t="s">
        <v>32102</v>
      </c>
      <c r="U2309" s="405" t="s">
        <v>319</v>
      </c>
    </row>
    <row r="2310" spans="1:21" x14ac:dyDescent="0.25">
      <c r="A2310" s="405" t="s">
        <v>310</v>
      </c>
      <c r="B2310" s="405" t="s">
        <v>24423</v>
      </c>
      <c r="C2310" s="405" t="s">
        <v>327</v>
      </c>
      <c r="D2310" s="405"/>
      <c r="E2310" s="410">
        <v>43296</v>
      </c>
      <c r="F2310" s="410">
        <v>43342</v>
      </c>
      <c r="G2310" s="405" t="s">
        <v>24424</v>
      </c>
      <c r="H2310" s="405">
        <v>702423979</v>
      </c>
      <c r="I2310" s="405">
        <v>772932336</v>
      </c>
      <c r="J2310" s="405" t="s">
        <v>24425</v>
      </c>
      <c r="K2310" s="405">
        <v>30.016565</v>
      </c>
      <c r="L2310" s="405" t="s">
        <v>590</v>
      </c>
      <c r="M2310" s="405" t="s">
        <v>20032</v>
      </c>
      <c r="N2310" s="405" t="s">
        <v>24421</v>
      </c>
      <c r="O2310" s="405" t="s">
        <v>24086</v>
      </c>
      <c r="P2310" s="405" t="s">
        <v>24426</v>
      </c>
      <c r="Q2310" s="411">
        <v>9</v>
      </c>
      <c r="R2310" s="405" t="s">
        <v>5858</v>
      </c>
      <c r="S2310" s="405" t="s">
        <v>27065</v>
      </c>
      <c r="T2310" s="405" t="s">
        <v>32102</v>
      </c>
      <c r="U2310" s="405" t="s">
        <v>319</v>
      </c>
    </row>
    <row r="2311" spans="1:21" x14ac:dyDescent="0.25">
      <c r="A2311" s="405" t="s">
        <v>310</v>
      </c>
      <c r="B2311" s="405" t="s">
        <v>24440</v>
      </c>
      <c r="C2311" s="405" t="s">
        <v>327</v>
      </c>
      <c r="D2311" s="405"/>
      <c r="E2311" s="410">
        <v>43296</v>
      </c>
      <c r="F2311" s="410">
        <v>43327</v>
      </c>
      <c r="G2311" s="405" t="s">
        <v>24441</v>
      </c>
      <c r="H2311" s="405">
        <v>702048232</v>
      </c>
      <c r="I2311" s="405">
        <v>704094488</v>
      </c>
      <c r="J2311" s="405" t="s">
        <v>24442</v>
      </c>
      <c r="K2311" s="405">
        <v>30.095842999999999</v>
      </c>
      <c r="L2311" s="405" t="s">
        <v>590</v>
      </c>
      <c r="M2311" s="405" t="s">
        <v>19926</v>
      </c>
      <c r="N2311" s="405" t="s">
        <v>19927</v>
      </c>
      <c r="O2311" s="405" t="s">
        <v>24329</v>
      </c>
      <c r="P2311" s="405" t="s">
        <v>24443</v>
      </c>
      <c r="Q2311" s="411">
        <v>9</v>
      </c>
      <c r="R2311" s="405" t="s">
        <v>6943</v>
      </c>
      <c r="S2311" s="405" t="s">
        <v>27154</v>
      </c>
      <c r="T2311" s="405" t="s">
        <v>32102</v>
      </c>
      <c r="U2311" s="405" t="s">
        <v>319</v>
      </c>
    </row>
    <row r="2312" spans="1:21" x14ac:dyDescent="0.25">
      <c r="A2312" s="405" t="s">
        <v>310</v>
      </c>
      <c r="B2312" s="405" t="s">
        <v>6971</v>
      </c>
      <c r="C2312" s="405" t="s">
        <v>327</v>
      </c>
      <c r="D2312" s="405"/>
      <c r="E2312" s="410">
        <v>43296</v>
      </c>
      <c r="F2312" s="410">
        <v>43334</v>
      </c>
      <c r="G2312" s="405" t="s">
        <v>6972</v>
      </c>
      <c r="H2312" s="405">
        <v>772481442</v>
      </c>
      <c r="I2312" s="405" t="s">
        <v>6973</v>
      </c>
      <c r="J2312" s="405">
        <v>0.1923</v>
      </c>
      <c r="K2312" s="405">
        <v>32.262599999999999</v>
      </c>
      <c r="L2312" s="405" t="s">
        <v>314</v>
      </c>
      <c r="M2312" s="405" t="s">
        <v>361</v>
      </c>
      <c r="N2312" s="405" t="s">
        <v>374</v>
      </c>
      <c r="O2312" s="405" t="s">
        <v>6974</v>
      </c>
      <c r="P2312" s="405" t="s">
        <v>6975</v>
      </c>
      <c r="Q2312" s="411">
        <v>6</v>
      </c>
      <c r="R2312" s="405" t="s">
        <v>5903</v>
      </c>
      <c r="S2312" s="405" t="s">
        <v>27153</v>
      </c>
      <c r="T2312" s="405" t="s">
        <v>884</v>
      </c>
      <c r="U2312" s="405" t="s">
        <v>319</v>
      </c>
    </row>
    <row r="2313" spans="1:21" x14ac:dyDescent="0.25">
      <c r="A2313" s="405" t="s">
        <v>310</v>
      </c>
      <c r="B2313" s="405" t="s">
        <v>24335</v>
      </c>
      <c r="C2313" s="405" t="s">
        <v>327</v>
      </c>
      <c r="D2313" s="405"/>
      <c r="E2313" s="410">
        <v>43295</v>
      </c>
      <c r="F2313" s="410">
        <v>43295</v>
      </c>
      <c r="G2313" s="405" t="s">
        <v>24336</v>
      </c>
      <c r="H2313" s="405">
        <v>782247700</v>
      </c>
      <c r="I2313" s="405"/>
      <c r="J2313" s="405" t="s">
        <v>24337</v>
      </c>
      <c r="K2313" s="405">
        <v>30.712392999999999</v>
      </c>
      <c r="L2313" s="405" t="s">
        <v>590</v>
      </c>
      <c r="M2313" s="405" t="s">
        <v>879</v>
      </c>
      <c r="N2313" s="405" t="s">
        <v>879</v>
      </c>
      <c r="O2313" s="405" t="s">
        <v>881</v>
      </c>
      <c r="P2313" s="405" t="s">
        <v>892</v>
      </c>
      <c r="Q2313" s="411">
        <v>9</v>
      </c>
      <c r="R2313" s="405" t="s">
        <v>883</v>
      </c>
      <c r="S2313" s="405" t="s">
        <v>27205</v>
      </c>
      <c r="T2313" s="405" t="s">
        <v>32102</v>
      </c>
      <c r="U2313" s="405" t="s">
        <v>319</v>
      </c>
    </row>
    <row r="2314" spans="1:21" x14ac:dyDescent="0.25">
      <c r="A2314" s="405" t="s">
        <v>310</v>
      </c>
      <c r="B2314" s="405" t="s">
        <v>16174</v>
      </c>
      <c r="C2314" s="405" t="s">
        <v>327</v>
      </c>
      <c r="D2314" s="405"/>
      <c r="E2314" s="410">
        <v>43295</v>
      </c>
      <c r="F2314" s="410">
        <v>43310</v>
      </c>
      <c r="G2314" s="405" t="s">
        <v>16175</v>
      </c>
      <c r="H2314" s="405">
        <v>771970625</v>
      </c>
      <c r="I2314" s="405">
        <v>701636468</v>
      </c>
      <c r="J2314" s="405">
        <v>1.1612</v>
      </c>
      <c r="K2314" s="405">
        <v>34.212800000000001</v>
      </c>
      <c r="L2314" s="405" t="s">
        <v>6866</v>
      </c>
      <c r="M2314" s="405" t="s">
        <v>9550</v>
      </c>
      <c r="N2314" s="405" t="s">
        <v>9638</v>
      </c>
      <c r="O2314" s="405" t="s">
        <v>9551</v>
      </c>
      <c r="P2314" s="405" t="s">
        <v>16176</v>
      </c>
      <c r="Q2314" s="411">
        <v>6</v>
      </c>
      <c r="R2314" s="405" t="s">
        <v>9506</v>
      </c>
      <c r="S2314" s="405" t="s">
        <v>27318</v>
      </c>
      <c r="T2314" s="405" t="s">
        <v>884</v>
      </c>
      <c r="U2314" s="405" t="s">
        <v>319</v>
      </c>
    </row>
    <row r="2315" spans="1:21" x14ac:dyDescent="0.25">
      <c r="A2315" s="405" t="s">
        <v>310</v>
      </c>
      <c r="B2315" s="405" t="s">
        <v>7154</v>
      </c>
      <c r="C2315" s="405" t="s">
        <v>327</v>
      </c>
      <c r="D2315" s="405"/>
      <c r="E2315" s="410">
        <v>43294</v>
      </c>
      <c r="F2315" s="410">
        <v>43456</v>
      </c>
      <c r="G2315" s="405" t="s">
        <v>7155</v>
      </c>
      <c r="H2315" s="405">
        <v>701313323</v>
      </c>
      <c r="I2315" s="405"/>
      <c r="J2315" s="405">
        <v>1.2731779999999999</v>
      </c>
      <c r="K2315" s="405">
        <v>32.895988000000003</v>
      </c>
      <c r="L2315" s="405" t="s">
        <v>314</v>
      </c>
      <c r="M2315" s="405" t="s">
        <v>675</v>
      </c>
      <c r="N2315" s="405" t="s">
        <v>7156</v>
      </c>
      <c r="O2315" s="405" t="s">
        <v>975</v>
      </c>
      <c r="P2315" s="405" t="s">
        <v>5280</v>
      </c>
      <c r="Q2315" s="411">
        <v>9</v>
      </c>
      <c r="R2315" s="405" t="s">
        <v>5986</v>
      </c>
      <c r="S2315" s="405" t="s">
        <v>27117</v>
      </c>
      <c r="T2315" s="405" t="s">
        <v>32102</v>
      </c>
      <c r="U2315" s="405" t="s">
        <v>319</v>
      </c>
    </row>
    <row r="2316" spans="1:21" x14ac:dyDescent="0.25">
      <c r="A2316" s="405" t="s">
        <v>310</v>
      </c>
      <c r="B2316" s="405" t="s">
        <v>24514</v>
      </c>
      <c r="C2316" s="405" t="s">
        <v>327</v>
      </c>
      <c r="D2316" s="405"/>
      <c r="E2316" s="410">
        <v>43294</v>
      </c>
      <c r="F2316" s="410">
        <v>43325</v>
      </c>
      <c r="G2316" s="405" t="s">
        <v>24515</v>
      </c>
      <c r="H2316" s="405">
        <v>702692717</v>
      </c>
      <c r="I2316" s="405">
        <v>772683643</v>
      </c>
      <c r="J2316" s="405" t="s">
        <v>24516</v>
      </c>
      <c r="K2316" s="405">
        <v>30.760172000000001</v>
      </c>
      <c r="L2316" s="405" t="s">
        <v>590</v>
      </c>
      <c r="M2316" s="405" t="s">
        <v>879</v>
      </c>
      <c r="N2316" s="405" t="s">
        <v>879</v>
      </c>
      <c r="O2316" s="405" t="s">
        <v>881</v>
      </c>
      <c r="P2316" s="405" t="s">
        <v>24517</v>
      </c>
      <c r="Q2316" s="411">
        <v>9</v>
      </c>
      <c r="R2316" s="405" t="s">
        <v>883</v>
      </c>
      <c r="S2316" s="405" t="s">
        <v>27166</v>
      </c>
      <c r="T2316" s="405" t="s">
        <v>32102</v>
      </c>
      <c r="U2316" s="405" t="s">
        <v>319</v>
      </c>
    </row>
    <row r="2317" spans="1:21" x14ac:dyDescent="0.25">
      <c r="A2317" s="405" t="s">
        <v>310</v>
      </c>
      <c r="B2317" s="405" t="s">
        <v>16172</v>
      </c>
      <c r="C2317" s="405" t="s">
        <v>327</v>
      </c>
      <c r="D2317" s="405"/>
      <c r="E2317" s="410">
        <v>43294</v>
      </c>
      <c r="F2317" s="410">
        <v>43309</v>
      </c>
      <c r="G2317" s="405" t="s">
        <v>16173</v>
      </c>
      <c r="H2317" s="405">
        <v>781829232</v>
      </c>
      <c r="I2317" s="405">
        <v>770666178</v>
      </c>
      <c r="J2317" s="405">
        <v>1.2456</v>
      </c>
      <c r="K2317" s="405">
        <v>34.344999999999999</v>
      </c>
      <c r="L2317" s="405" t="s">
        <v>6866</v>
      </c>
      <c r="M2317" s="405" t="s">
        <v>9705</v>
      </c>
      <c r="N2317" s="405" t="s">
        <v>9705</v>
      </c>
      <c r="O2317" s="405" t="s">
        <v>10311</v>
      </c>
      <c r="P2317" s="405" t="s">
        <v>10982</v>
      </c>
      <c r="Q2317" s="411">
        <v>6</v>
      </c>
      <c r="R2317" s="405" t="s">
        <v>9506</v>
      </c>
      <c r="S2317" s="405" t="s">
        <v>27259</v>
      </c>
      <c r="T2317" s="405" t="s">
        <v>32102</v>
      </c>
      <c r="U2317" s="405" t="s">
        <v>319</v>
      </c>
    </row>
    <row r="2318" spans="1:21" x14ac:dyDescent="0.25">
      <c r="A2318" s="405" t="s">
        <v>310</v>
      </c>
      <c r="B2318" s="405" t="s">
        <v>16139</v>
      </c>
      <c r="C2318" s="405" t="s">
        <v>327</v>
      </c>
      <c r="D2318" s="405"/>
      <c r="E2318" s="410">
        <v>43294</v>
      </c>
      <c r="F2318" s="410">
        <v>43309</v>
      </c>
      <c r="G2318" s="405" t="s">
        <v>16140</v>
      </c>
      <c r="H2318" s="405">
        <v>752263831</v>
      </c>
      <c r="I2318" s="405" t="s">
        <v>16141</v>
      </c>
      <c r="J2318" s="405">
        <v>0.242396</v>
      </c>
      <c r="K2318" s="405">
        <v>33.520930999999997</v>
      </c>
      <c r="L2318" s="405" t="s">
        <v>6866</v>
      </c>
      <c r="M2318" s="405" t="s">
        <v>5411</v>
      </c>
      <c r="N2318" s="405" t="s">
        <v>16142</v>
      </c>
      <c r="O2318" s="405" t="s">
        <v>2335</v>
      </c>
      <c r="P2318" s="405" t="s">
        <v>16143</v>
      </c>
      <c r="Q2318" s="411">
        <v>6</v>
      </c>
      <c r="R2318" s="405" t="s">
        <v>6822</v>
      </c>
      <c r="S2318" s="405" t="s">
        <v>6822</v>
      </c>
      <c r="T2318" s="405" t="s">
        <v>32102</v>
      </c>
      <c r="U2318" s="405" t="s">
        <v>319</v>
      </c>
    </row>
    <row r="2319" spans="1:21" x14ac:dyDescent="0.25">
      <c r="A2319" s="405" t="s">
        <v>310</v>
      </c>
      <c r="B2319" s="405" t="s">
        <v>16168</v>
      </c>
      <c r="C2319" s="405" t="s">
        <v>327</v>
      </c>
      <c r="D2319" s="405"/>
      <c r="E2319" s="410">
        <v>43294</v>
      </c>
      <c r="F2319" s="410">
        <v>43309</v>
      </c>
      <c r="G2319" s="405" t="s">
        <v>16169</v>
      </c>
      <c r="H2319" s="405">
        <v>782426387</v>
      </c>
      <c r="I2319" s="405">
        <v>754313464</v>
      </c>
      <c r="J2319" s="405">
        <v>1.2509999999999999</v>
      </c>
      <c r="K2319" s="405">
        <v>34.315300000000001</v>
      </c>
      <c r="L2319" s="405" t="s">
        <v>6866</v>
      </c>
      <c r="M2319" s="405" t="s">
        <v>9705</v>
      </c>
      <c r="N2319" s="405" t="s">
        <v>9705</v>
      </c>
      <c r="O2319" s="405" t="s">
        <v>16170</v>
      </c>
      <c r="P2319" s="405" t="s">
        <v>16171</v>
      </c>
      <c r="Q2319" s="411">
        <v>6</v>
      </c>
      <c r="R2319" s="405" t="s">
        <v>9506</v>
      </c>
      <c r="S2319" s="405" t="s">
        <v>17013</v>
      </c>
      <c r="T2319" s="405" t="s">
        <v>32102</v>
      </c>
      <c r="U2319" s="405" t="s">
        <v>319</v>
      </c>
    </row>
    <row r="2320" spans="1:21" x14ac:dyDescent="0.25">
      <c r="A2320" s="405" t="s">
        <v>310</v>
      </c>
      <c r="B2320" s="405" t="s">
        <v>24632</v>
      </c>
      <c r="C2320" s="405" t="s">
        <v>327</v>
      </c>
      <c r="D2320" s="405"/>
      <c r="E2320" s="410">
        <v>43293</v>
      </c>
      <c r="F2320" s="410">
        <v>43395</v>
      </c>
      <c r="G2320" s="405" t="s">
        <v>24633</v>
      </c>
      <c r="H2320" s="405">
        <v>776999427</v>
      </c>
      <c r="I2320" s="405">
        <v>772560900</v>
      </c>
      <c r="J2320" s="405">
        <v>0.626</v>
      </c>
      <c r="K2320" s="405">
        <v>30.215199999999999</v>
      </c>
      <c r="L2320" s="405" t="s">
        <v>590</v>
      </c>
      <c r="M2320" s="405" t="s">
        <v>19720</v>
      </c>
      <c r="N2320" s="405" t="s">
        <v>20297</v>
      </c>
      <c r="O2320" s="405" t="s">
        <v>24634</v>
      </c>
      <c r="P2320" s="405" t="s">
        <v>24635</v>
      </c>
      <c r="Q2320" s="411">
        <v>9</v>
      </c>
      <c r="R2320" s="405" t="s">
        <v>23989</v>
      </c>
      <c r="S2320" s="405" t="s">
        <v>27405</v>
      </c>
      <c r="T2320" s="405" t="s">
        <v>32102</v>
      </c>
      <c r="U2320" s="405" t="s">
        <v>319</v>
      </c>
    </row>
    <row r="2321" spans="1:21" x14ac:dyDescent="0.25">
      <c r="A2321" s="405" t="s">
        <v>310</v>
      </c>
      <c r="B2321" s="405" t="s">
        <v>24263</v>
      </c>
      <c r="C2321" s="405" t="s">
        <v>327</v>
      </c>
      <c r="D2321" s="405"/>
      <c r="E2321" s="410">
        <v>43293</v>
      </c>
      <c r="F2321" s="410">
        <v>43303</v>
      </c>
      <c r="G2321" s="405" t="s">
        <v>24264</v>
      </c>
      <c r="H2321" s="405">
        <v>771483258</v>
      </c>
      <c r="I2321" s="405"/>
      <c r="J2321" s="405" t="s">
        <v>24265</v>
      </c>
      <c r="K2321" s="405">
        <v>30.118047000000001</v>
      </c>
      <c r="L2321" s="405" t="s">
        <v>590</v>
      </c>
      <c r="M2321" s="405" t="s">
        <v>19725</v>
      </c>
      <c r="N2321" s="405" t="s">
        <v>19725</v>
      </c>
      <c r="O2321" s="405" t="s">
        <v>20013</v>
      </c>
      <c r="P2321" s="405" t="s">
        <v>3459</v>
      </c>
      <c r="Q2321" s="411">
        <v>9</v>
      </c>
      <c r="R2321" s="405" t="s">
        <v>6943</v>
      </c>
      <c r="S2321" s="405" t="s">
        <v>27399</v>
      </c>
      <c r="T2321" s="405" t="s">
        <v>32102</v>
      </c>
      <c r="U2321" s="405" t="s">
        <v>319</v>
      </c>
    </row>
    <row r="2322" spans="1:21" x14ac:dyDescent="0.25">
      <c r="A2322" s="405" t="s">
        <v>310</v>
      </c>
      <c r="B2322" s="405" t="s">
        <v>16162</v>
      </c>
      <c r="C2322" s="405" t="s">
        <v>327</v>
      </c>
      <c r="D2322" s="405"/>
      <c r="E2322" s="410">
        <v>43293</v>
      </c>
      <c r="F2322" s="410">
        <v>43308</v>
      </c>
      <c r="G2322" s="405" t="s">
        <v>16163</v>
      </c>
      <c r="H2322" s="405">
        <v>784398357</v>
      </c>
      <c r="I2322" s="405">
        <v>700218022</v>
      </c>
      <c r="J2322" s="405">
        <v>1.2727999999999999</v>
      </c>
      <c r="K2322" s="405">
        <v>34.274999999999999</v>
      </c>
      <c r="L2322" s="405" t="s">
        <v>6866</v>
      </c>
      <c r="M2322" s="405" t="s">
        <v>9685</v>
      </c>
      <c r="N2322" s="405" t="s">
        <v>9686</v>
      </c>
      <c r="O2322" s="405" t="s">
        <v>15669</v>
      </c>
      <c r="P2322" s="405" t="s">
        <v>16164</v>
      </c>
      <c r="Q2322" s="411">
        <v>6</v>
      </c>
      <c r="R2322" s="405" t="s">
        <v>9506</v>
      </c>
      <c r="S2322" s="405" t="s">
        <v>27306</v>
      </c>
      <c r="T2322" s="405" t="s">
        <v>32102</v>
      </c>
      <c r="U2322" s="405" t="s">
        <v>319</v>
      </c>
    </row>
    <row r="2323" spans="1:21" x14ac:dyDescent="0.25">
      <c r="A2323" s="405" t="s">
        <v>310</v>
      </c>
      <c r="B2323" s="405" t="s">
        <v>6964</v>
      </c>
      <c r="C2323" s="405" t="s">
        <v>327</v>
      </c>
      <c r="D2323" s="405"/>
      <c r="E2323" s="410">
        <v>43293</v>
      </c>
      <c r="F2323" s="410">
        <v>43299</v>
      </c>
      <c r="G2323" s="405" t="s">
        <v>6965</v>
      </c>
      <c r="H2323" s="405">
        <v>772335164</v>
      </c>
      <c r="I2323" s="405">
        <v>782749190</v>
      </c>
      <c r="J2323" s="405">
        <v>0.31931700000000002</v>
      </c>
      <c r="K2323" s="405">
        <v>32.491171999999999</v>
      </c>
      <c r="L2323" s="405" t="s">
        <v>314</v>
      </c>
      <c r="M2323" s="405" t="s">
        <v>361</v>
      </c>
      <c r="N2323" s="405" t="s">
        <v>374</v>
      </c>
      <c r="O2323" s="405" t="s">
        <v>361</v>
      </c>
      <c r="P2323" s="405" t="s">
        <v>5533</v>
      </c>
      <c r="Q2323" s="411">
        <v>6</v>
      </c>
      <c r="R2323" s="405" t="s">
        <v>5921</v>
      </c>
      <c r="S2323" s="405" t="s">
        <v>27255</v>
      </c>
      <c r="T2323" s="405" t="s">
        <v>32102</v>
      </c>
      <c r="U2323" s="405" t="s">
        <v>319</v>
      </c>
    </row>
    <row r="2324" spans="1:21" x14ac:dyDescent="0.25">
      <c r="A2324" s="405" t="s">
        <v>310</v>
      </c>
      <c r="B2324" s="405" t="s">
        <v>24260</v>
      </c>
      <c r="C2324" s="405" t="s">
        <v>327</v>
      </c>
      <c r="D2324" s="405"/>
      <c r="E2324" s="410">
        <v>43292</v>
      </c>
      <c r="F2324" s="410">
        <v>43303</v>
      </c>
      <c r="G2324" s="405" t="s">
        <v>24261</v>
      </c>
      <c r="H2324" s="405">
        <v>785374727</v>
      </c>
      <c r="I2324" s="405">
        <v>753826975</v>
      </c>
      <c r="J2324" s="405">
        <v>0.697793</v>
      </c>
      <c r="K2324" s="405">
        <v>30.154975</v>
      </c>
      <c r="L2324" s="405" t="s">
        <v>590</v>
      </c>
      <c r="M2324" s="405" t="s">
        <v>19725</v>
      </c>
      <c r="N2324" s="405" t="s">
        <v>19725</v>
      </c>
      <c r="O2324" s="405" t="s">
        <v>20013</v>
      </c>
      <c r="P2324" s="405" t="s">
        <v>24262</v>
      </c>
      <c r="Q2324" s="411">
        <v>9</v>
      </c>
      <c r="R2324" s="405" t="s">
        <v>6572</v>
      </c>
      <c r="S2324" s="405" t="s">
        <v>27161</v>
      </c>
      <c r="T2324" s="405" t="s">
        <v>884</v>
      </c>
      <c r="U2324" s="405" t="s">
        <v>319</v>
      </c>
    </row>
    <row r="2325" spans="1:21" x14ac:dyDescent="0.25">
      <c r="A2325" s="405" t="s">
        <v>310</v>
      </c>
      <c r="B2325" s="405" t="s">
        <v>24300</v>
      </c>
      <c r="C2325" s="405" t="s">
        <v>327</v>
      </c>
      <c r="D2325" s="405"/>
      <c r="E2325" s="410">
        <v>43292</v>
      </c>
      <c r="F2325" s="410">
        <v>43292</v>
      </c>
      <c r="G2325" s="405" t="s">
        <v>24301</v>
      </c>
      <c r="H2325" s="405">
        <v>784013513</v>
      </c>
      <c r="I2325" s="405"/>
      <c r="J2325" s="405">
        <v>0.57431200000000004</v>
      </c>
      <c r="K2325" s="405">
        <v>30.179580000000001</v>
      </c>
      <c r="L2325" s="405" t="s">
        <v>590</v>
      </c>
      <c r="M2325" s="405" t="s">
        <v>19625</v>
      </c>
      <c r="N2325" s="405" t="s">
        <v>20086</v>
      </c>
      <c r="O2325" s="405" t="s">
        <v>22104</v>
      </c>
      <c r="P2325" s="405" t="s">
        <v>24302</v>
      </c>
      <c r="Q2325" s="411">
        <v>6</v>
      </c>
      <c r="R2325" s="405" t="s">
        <v>6572</v>
      </c>
      <c r="S2325" s="405" t="s">
        <v>27240</v>
      </c>
      <c r="T2325" s="405" t="s">
        <v>32102</v>
      </c>
      <c r="U2325" s="405" t="s">
        <v>319</v>
      </c>
    </row>
    <row r="2326" spans="1:21" x14ac:dyDescent="0.25">
      <c r="A2326" s="405" t="s">
        <v>310</v>
      </c>
      <c r="B2326" s="405" t="s">
        <v>24495</v>
      </c>
      <c r="C2326" s="405" t="s">
        <v>327</v>
      </c>
      <c r="D2326" s="405"/>
      <c r="E2326" s="410">
        <v>43291</v>
      </c>
      <c r="F2326" s="410">
        <v>43322</v>
      </c>
      <c r="G2326" s="405" t="s">
        <v>24496</v>
      </c>
      <c r="H2326" s="405">
        <v>772097286</v>
      </c>
      <c r="I2326" s="405"/>
      <c r="J2326" s="405">
        <v>0.2646</v>
      </c>
      <c r="K2326" s="405">
        <v>30.203800000000001</v>
      </c>
      <c r="L2326" s="405" t="s">
        <v>590</v>
      </c>
      <c r="M2326" s="405" t="s">
        <v>24487</v>
      </c>
      <c r="N2326" s="405" t="s">
        <v>24487</v>
      </c>
      <c r="O2326" s="405" t="s">
        <v>24487</v>
      </c>
      <c r="P2326" s="405" t="s">
        <v>24497</v>
      </c>
      <c r="Q2326" s="411">
        <v>9</v>
      </c>
      <c r="R2326" s="405" t="s">
        <v>32166</v>
      </c>
      <c r="S2326" s="405" t="s">
        <v>27166</v>
      </c>
      <c r="T2326" s="405" t="s">
        <v>32102</v>
      </c>
      <c r="U2326" s="405" t="s">
        <v>319</v>
      </c>
    </row>
    <row r="2327" spans="1:21" x14ac:dyDescent="0.25">
      <c r="A2327" s="405" t="s">
        <v>310</v>
      </c>
      <c r="B2327" s="405" t="s">
        <v>16159</v>
      </c>
      <c r="C2327" s="405" t="s">
        <v>327</v>
      </c>
      <c r="D2327" s="405"/>
      <c r="E2327" s="410">
        <v>43291</v>
      </c>
      <c r="F2327" s="410">
        <v>43306</v>
      </c>
      <c r="G2327" s="405" t="s">
        <v>16160</v>
      </c>
      <c r="H2327" s="405">
        <v>757315096</v>
      </c>
      <c r="I2327" s="405">
        <v>700678038</v>
      </c>
      <c r="J2327" s="405">
        <v>1.2210000000000001</v>
      </c>
      <c r="K2327" s="405">
        <v>34.232300000000002</v>
      </c>
      <c r="L2327" s="405" t="s">
        <v>6866</v>
      </c>
      <c r="M2327" s="405" t="s">
        <v>9685</v>
      </c>
      <c r="N2327" s="405" t="s">
        <v>9686</v>
      </c>
      <c r="O2327" s="405" t="s">
        <v>9709</v>
      </c>
      <c r="P2327" s="405" t="s">
        <v>16161</v>
      </c>
      <c r="Q2327" s="411">
        <v>6</v>
      </c>
      <c r="R2327" s="405" t="s">
        <v>9506</v>
      </c>
      <c r="S2327" s="405" t="s">
        <v>27318</v>
      </c>
      <c r="T2327" s="405" t="s">
        <v>32102</v>
      </c>
      <c r="U2327" s="405" t="s">
        <v>319</v>
      </c>
    </row>
    <row r="2328" spans="1:21" x14ac:dyDescent="0.25">
      <c r="A2328" s="405" t="s">
        <v>310</v>
      </c>
      <c r="B2328" s="405" t="s">
        <v>6917</v>
      </c>
      <c r="C2328" s="405" t="s">
        <v>327</v>
      </c>
      <c r="D2328" s="405"/>
      <c r="E2328" s="410">
        <v>43290</v>
      </c>
      <c r="F2328" s="410">
        <v>43299</v>
      </c>
      <c r="G2328" s="405" t="s">
        <v>6918</v>
      </c>
      <c r="H2328" s="405">
        <v>772084245</v>
      </c>
      <c r="I2328" s="405">
        <v>706431285</v>
      </c>
      <c r="J2328" s="405">
        <v>0.18559999999999999</v>
      </c>
      <c r="K2328" s="405">
        <v>32.433</v>
      </c>
      <c r="L2328" s="405" t="s">
        <v>314</v>
      </c>
      <c r="M2328" s="405" t="s">
        <v>349</v>
      </c>
      <c r="N2328" s="405" t="s">
        <v>349</v>
      </c>
      <c r="O2328" s="405" t="s">
        <v>653</v>
      </c>
      <c r="P2328" s="405" t="s">
        <v>6919</v>
      </c>
      <c r="Q2328" s="411">
        <v>9</v>
      </c>
      <c r="R2328" s="405" t="s">
        <v>6795</v>
      </c>
      <c r="S2328" s="405" t="s">
        <v>27261</v>
      </c>
      <c r="T2328" s="405" t="s">
        <v>32102</v>
      </c>
      <c r="U2328" s="405" t="s">
        <v>319</v>
      </c>
    </row>
    <row r="2329" spans="1:21" x14ac:dyDescent="0.25">
      <c r="A2329" s="405" t="s">
        <v>310</v>
      </c>
      <c r="B2329" s="405" t="s">
        <v>16197</v>
      </c>
      <c r="C2329" s="405" t="s">
        <v>327</v>
      </c>
      <c r="D2329" s="405"/>
      <c r="E2329" s="410">
        <v>43290</v>
      </c>
      <c r="F2329" s="410">
        <v>43343</v>
      </c>
      <c r="G2329" s="405" t="s">
        <v>16198</v>
      </c>
      <c r="H2329" s="405">
        <v>706183091</v>
      </c>
      <c r="I2329" s="405"/>
      <c r="J2329" s="405">
        <v>1.361612</v>
      </c>
      <c r="K2329" s="405">
        <v>34.410711999999997</v>
      </c>
      <c r="L2329" s="405" t="s">
        <v>6866</v>
      </c>
      <c r="M2329" s="405" t="s">
        <v>9685</v>
      </c>
      <c r="N2329" s="405" t="s">
        <v>9686</v>
      </c>
      <c r="O2329" s="405" t="s">
        <v>9687</v>
      </c>
      <c r="P2329" s="405" t="s">
        <v>16199</v>
      </c>
      <c r="Q2329" s="411">
        <v>6</v>
      </c>
      <c r="R2329" s="405" t="s">
        <v>9506</v>
      </c>
      <c r="S2329" s="405" t="s">
        <v>27259</v>
      </c>
      <c r="T2329" s="405" t="s">
        <v>32102</v>
      </c>
      <c r="U2329" s="405" t="s">
        <v>319</v>
      </c>
    </row>
    <row r="2330" spans="1:21" x14ac:dyDescent="0.25">
      <c r="A2330" s="405" t="s">
        <v>310</v>
      </c>
      <c r="B2330" s="405" t="s">
        <v>16165</v>
      </c>
      <c r="C2330" s="405" t="s">
        <v>327</v>
      </c>
      <c r="D2330" s="405"/>
      <c r="E2330" s="410">
        <v>43290</v>
      </c>
      <c r="F2330" s="410">
        <v>43305</v>
      </c>
      <c r="G2330" s="405" t="s">
        <v>16166</v>
      </c>
      <c r="H2330" s="405">
        <v>703508576</v>
      </c>
      <c r="I2330" s="405">
        <v>777097173</v>
      </c>
      <c r="J2330" s="405">
        <v>1.2430000000000001</v>
      </c>
      <c r="K2330" s="405">
        <v>34.275500000000001</v>
      </c>
      <c r="L2330" s="405" t="s">
        <v>6866</v>
      </c>
      <c r="M2330" s="405" t="s">
        <v>9685</v>
      </c>
      <c r="N2330" s="405" t="s">
        <v>9686</v>
      </c>
      <c r="O2330" s="405" t="s">
        <v>12361</v>
      </c>
      <c r="P2330" s="405" t="s">
        <v>16167</v>
      </c>
      <c r="Q2330" s="411">
        <v>6</v>
      </c>
      <c r="R2330" s="405" t="s">
        <v>9506</v>
      </c>
      <c r="S2330" s="405" t="s">
        <v>27353</v>
      </c>
      <c r="T2330" s="405" t="s">
        <v>32102</v>
      </c>
      <c r="U2330" s="405" t="s">
        <v>319</v>
      </c>
    </row>
    <row r="2331" spans="1:21" x14ac:dyDescent="0.25">
      <c r="A2331" s="405" t="s">
        <v>310</v>
      </c>
      <c r="B2331" s="405" t="s">
        <v>7654</v>
      </c>
      <c r="C2331" s="405" t="s">
        <v>311</v>
      </c>
      <c r="D2331" s="405" t="s">
        <v>312</v>
      </c>
      <c r="E2331" s="410">
        <v>43289</v>
      </c>
      <c r="F2331" s="410">
        <v>43389</v>
      </c>
      <c r="G2331" s="405" t="s">
        <v>7655</v>
      </c>
      <c r="H2331" s="405">
        <v>782393017</v>
      </c>
      <c r="I2331" s="405" t="s">
        <v>7656</v>
      </c>
      <c r="J2331" s="405">
        <v>0.45600000000000002</v>
      </c>
      <c r="K2331" s="405">
        <v>32.311500000000002</v>
      </c>
      <c r="L2331" s="405" t="s">
        <v>314</v>
      </c>
      <c r="M2331" s="405" t="s">
        <v>361</v>
      </c>
      <c r="N2331" s="405" t="s">
        <v>374</v>
      </c>
      <c r="O2331" s="405" t="s">
        <v>7657</v>
      </c>
      <c r="P2331" s="405" t="s">
        <v>639</v>
      </c>
      <c r="Q2331" s="411">
        <v>9</v>
      </c>
      <c r="R2331" s="405" t="s">
        <v>414</v>
      </c>
      <c r="S2331" s="405" t="s">
        <v>414</v>
      </c>
      <c r="T2331" s="405" t="s">
        <v>32102</v>
      </c>
      <c r="U2331" s="405" t="s">
        <v>319</v>
      </c>
    </row>
    <row r="2332" spans="1:21" x14ac:dyDescent="0.25">
      <c r="A2332" s="405" t="s">
        <v>310</v>
      </c>
      <c r="B2332" s="405" t="s">
        <v>16177</v>
      </c>
      <c r="C2332" s="405" t="s">
        <v>327</v>
      </c>
      <c r="D2332" s="405"/>
      <c r="E2332" s="410">
        <v>43289</v>
      </c>
      <c r="F2332" s="410">
        <v>43304</v>
      </c>
      <c r="G2332" s="405" t="s">
        <v>16178</v>
      </c>
      <c r="H2332" s="405">
        <v>776674153</v>
      </c>
      <c r="I2332" s="405"/>
      <c r="J2332" s="405">
        <v>1.376555</v>
      </c>
      <c r="K2332" s="405">
        <v>34.406350000000003</v>
      </c>
      <c r="L2332" s="405" t="s">
        <v>6866</v>
      </c>
      <c r="M2332" s="405" t="s">
        <v>9685</v>
      </c>
      <c r="N2332" s="405" t="s">
        <v>9686</v>
      </c>
      <c r="O2332" s="405" t="s">
        <v>9687</v>
      </c>
      <c r="P2332" s="405" t="s">
        <v>16179</v>
      </c>
      <c r="Q2332" s="411">
        <v>6</v>
      </c>
      <c r="R2332" s="405" t="s">
        <v>9506</v>
      </c>
      <c r="S2332" s="405" t="s">
        <v>27353</v>
      </c>
      <c r="T2332" s="405" t="s">
        <v>32102</v>
      </c>
      <c r="U2332" s="405" t="s">
        <v>319</v>
      </c>
    </row>
    <row r="2333" spans="1:21" x14ac:dyDescent="0.25">
      <c r="A2333" s="405" t="s">
        <v>310</v>
      </c>
      <c r="B2333" s="405" t="s">
        <v>24518</v>
      </c>
      <c r="C2333" s="405" t="s">
        <v>327</v>
      </c>
      <c r="D2333" s="405"/>
      <c r="E2333" s="410">
        <v>43288</v>
      </c>
      <c r="F2333" s="410">
        <v>43336</v>
      </c>
      <c r="G2333" s="405" t="s">
        <v>24519</v>
      </c>
      <c r="H2333" s="405">
        <v>772882626</v>
      </c>
      <c r="I2333" s="405" t="s">
        <v>24520</v>
      </c>
      <c r="J2333" s="405">
        <v>-0.38140000000000002</v>
      </c>
      <c r="K2333" s="405">
        <v>30.1557</v>
      </c>
      <c r="L2333" s="405" t="s">
        <v>24158</v>
      </c>
      <c r="M2333" s="405" t="s">
        <v>19725</v>
      </c>
      <c r="N2333" s="405" t="s">
        <v>22297</v>
      </c>
      <c r="O2333" s="405" t="s">
        <v>19965</v>
      </c>
      <c r="P2333" s="405" t="s">
        <v>24521</v>
      </c>
      <c r="Q2333" s="411">
        <v>13</v>
      </c>
      <c r="R2333" s="405" t="s">
        <v>883</v>
      </c>
      <c r="S2333" s="405" t="s">
        <v>27104</v>
      </c>
      <c r="T2333" s="405" t="s">
        <v>884</v>
      </c>
      <c r="U2333" s="405" t="s">
        <v>319</v>
      </c>
    </row>
    <row r="2334" spans="1:21" x14ac:dyDescent="0.25">
      <c r="A2334" s="405" t="s">
        <v>310</v>
      </c>
      <c r="B2334" s="405" t="s">
        <v>16195</v>
      </c>
      <c r="C2334" s="405" t="s">
        <v>327</v>
      </c>
      <c r="D2334" s="405"/>
      <c r="E2334" s="410">
        <v>43288</v>
      </c>
      <c r="F2334" s="410">
        <v>43320</v>
      </c>
      <c r="G2334" s="405" t="s">
        <v>16196</v>
      </c>
      <c r="H2334" s="405">
        <v>772967291</v>
      </c>
      <c r="I2334" s="405"/>
      <c r="J2334" s="405">
        <v>1.2324999999999999</v>
      </c>
      <c r="K2334" s="405">
        <v>34.275100000000002</v>
      </c>
      <c r="L2334" s="405" t="s">
        <v>6866</v>
      </c>
      <c r="M2334" s="405" t="s">
        <v>9685</v>
      </c>
      <c r="N2334" s="405" t="s">
        <v>9686</v>
      </c>
      <c r="O2334" s="405" t="s">
        <v>15669</v>
      </c>
      <c r="P2334" s="405" t="s">
        <v>16164</v>
      </c>
      <c r="Q2334" s="411">
        <v>6</v>
      </c>
      <c r="R2334" s="405" t="s">
        <v>9506</v>
      </c>
      <c r="S2334" s="405" t="s">
        <v>27306</v>
      </c>
      <c r="T2334" s="405" t="s">
        <v>32102</v>
      </c>
      <c r="U2334" s="405" t="s">
        <v>319</v>
      </c>
    </row>
    <row r="2335" spans="1:21" x14ac:dyDescent="0.25">
      <c r="A2335" s="405" t="s">
        <v>310</v>
      </c>
      <c r="B2335" s="405" t="s">
        <v>16156</v>
      </c>
      <c r="C2335" s="405" t="s">
        <v>327</v>
      </c>
      <c r="D2335" s="405"/>
      <c r="E2335" s="410">
        <v>43288</v>
      </c>
      <c r="F2335" s="410">
        <v>43303</v>
      </c>
      <c r="G2335" s="405" t="s">
        <v>16157</v>
      </c>
      <c r="H2335" s="405">
        <v>703157463</v>
      </c>
      <c r="I2335" s="405">
        <v>704571395</v>
      </c>
      <c r="J2335" s="405">
        <v>1.2235</v>
      </c>
      <c r="K2335" s="405">
        <v>34.244</v>
      </c>
      <c r="L2335" s="405" t="s">
        <v>6866</v>
      </c>
      <c r="M2335" s="405" t="s">
        <v>9685</v>
      </c>
      <c r="N2335" s="405" t="s">
        <v>9686</v>
      </c>
      <c r="O2335" s="405" t="s">
        <v>9687</v>
      </c>
      <c r="P2335" s="405" t="s">
        <v>16158</v>
      </c>
      <c r="Q2335" s="411">
        <v>6</v>
      </c>
      <c r="R2335" s="405" t="s">
        <v>9506</v>
      </c>
      <c r="S2335" s="405" t="s">
        <v>27067</v>
      </c>
      <c r="T2335" s="405" t="s">
        <v>884</v>
      </c>
      <c r="U2335" s="405" t="s">
        <v>319</v>
      </c>
    </row>
    <row r="2336" spans="1:21" x14ac:dyDescent="0.25">
      <c r="A2336" s="405" t="s">
        <v>310</v>
      </c>
      <c r="B2336" s="405" t="s">
        <v>6930</v>
      </c>
      <c r="C2336" s="405" t="s">
        <v>327</v>
      </c>
      <c r="D2336" s="405"/>
      <c r="E2336" s="410">
        <v>43288</v>
      </c>
      <c r="F2336" s="410">
        <v>43303</v>
      </c>
      <c r="G2336" s="405" t="s">
        <v>6931</v>
      </c>
      <c r="H2336" s="405">
        <v>772683455</v>
      </c>
      <c r="I2336" s="405" t="s">
        <v>6932</v>
      </c>
      <c r="J2336" s="405">
        <v>0.46385199999999999</v>
      </c>
      <c r="K2336" s="405">
        <v>32.529319000000001</v>
      </c>
      <c r="L2336" s="405" t="s">
        <v>314</v>
      </c>
      <c r="M2336" s="405" t="s">
        <v>361</v>
      </c>
      <c r="N2336" s="405" t="s">
        <v>361</v>
      </c>
      <c r="O2336" s="405" t="s">
        <v>523</v>
      </c>
      <c r="P2336" s="405" t="s">
        <v>6933</v>
      </c>
      <c r="Q2336" s="411">
        <v>6</v>
      </c>
      <c r="R2336" s="405" t="s">
        <v>402</v>
      </c>
      <c r="S2336" s="405" t="s">
        <v>5986</v>
      </c>
      <c r="T2336" s="405" t="s">
        <v>32102</v>
      </c>
      <c r="U2336" s="405" t="s">
        <v>319</v>
      </c>
    </row>
    <row r="2337" spans="1:21" x14ac:dyDescent="0.25">
      <c r="A2337" s="405" t="s">
        <v>310</v>
      </c>
      <c r="B2337" s="405" t="s">
        <v>16152</v>
      </c>
      <c r="C2337" s="405" t="s">
        <v>327</v>
      </c>
      <c r="D2337" s="405"/>
      <c r="E2337" s="410">
        <v>43287</v>
      </c>
      <c r="F2337" s="410">
        <v>43302</v>
      </c>
      <c r="G2337" s="405" t="s">
        <v>16153</v>
      </c>
      <c r="H2337" s="405">
        <v>779063190</v>
      </c>
      <c r="I2337" s="405">
        <v>779063124</v>
      </c>
      <c r="J2337" s="405">
        <v>1.3878429999999999</v>
      </c>
      <c r="K2337" s="405">
        <v>34.464866999999998</v>
      </c>
      <c r="L2337" s="405" t="s">
        <v>6866</v>
      </c>
      <c r="M2337" s="405" t="s">
        <v>9685</v>
      </c>
      <c r="N2337" s="405" t="s">
        <v>9686</v>
      </c>
      <c r="O2337" s="405" t="s">
        <v>16154</v>
      </c>
      <c r="P2337" s="405" t="s">
        <v>16155</v>
      </c>
      <c r="Q2337" s="411">
        <v>6</v>
      </c>
      <c r="R2337" s="405" t="s">
        <v>9506</v>
      </c>
      <c r="S2337" s="405" t="s">
        <v>17013</v>
      </c>
      <c r="T2337" s="405" t="s">
        <v>32102</v>
      </c>
      <c r="U2337" s="405" t="s">
        <v>319</v>
      </c>
    </row>
    <row r="2338" spans="1:21" x14ac:dyDescent="0.25">
      <c r="A2338" s="405" t="s">
        <v>310</v>
      </c>
      <c r="B2338" s="405" t="s">
        <v>24356</v>
      </c>
      <c r="C2338" s="405" t="s">
        <v>327</v>
      </c>
      <c r="D2338" s="405"/>
      <c r="E2338" s="410">
        <v>43286</v>
      </c>
      <c r="F2338" s="410">
        <v>43311</v>
      </c>
      <c r="G2338" s="405" t="s">
        <v>24357</v>
      </c>
      <c r="H2338" s="405">
        <v>780448025</v>
      </c>
      <c r="I2338" s="405"/>
      <c r="J2338" s="405">
        <v>1.0910280000000001</v>
      </c>
      <c r="K2338" s="405">
        <v>29.635387000000001</v>
      </c>
      <c r="L2338" s="405" t="s">
        <v>590</v>
      </c>
      <c r="M2338" s="405" t="s">
        <v>20070</v>
      </c>
      <c r="N2338" s="405" t="s">
        <v>20071</v>
      </c>
      <c r="O2338" s="405" t="s">
        <v>24110</v>
      </c>
      <c r="P2338" s="405" t="s">
        <v>24358</v>
      </c>
      <c r="Q2338" s="411">
        <v>13</v>
      </c>
      <c r="R2338" s="405" t="s">
        <v>24106</v>
      </c>
      <c r="S2338" s="405" t="s">
        <v>27402</v>
      </c>
      <c r="T2338" s="405" t="s">
        <v>32102</v>
      </c>
      <c r="U2338" s="405" t="s">
        <v>319</v>
      </c>
    </row>
    <row r="2339" spans="1:21" x14ac:dyDescent="0.25">
      <c r="A2339" s="405" t="s">
        <v>310</v>
      </c>
      <c r="B2339" s="405" t="s">
        <v>24241</v>
      </c>
      <c r="C2339" s="405" t="s">
        <v>327</v>
      </c>
      <c r="D2339" s="405"/>
      <c r="E2339" s="410">
        <v>43286</v>
      </c>
      <c r="F2339" s="410">
        <v>43291</v>
      </c>
      <c r="G2339" s="405" t="s">
        <v>24242</v>
      </c>
      <c r="H2339" s="405">
        <v>774871809</v>
      </c>
      <c r="I2339" s="405">
        <v>771858705</v>
      </c>
      <c r="J2339" s="405" t="s">
        <v>24243</v>
      </c>
      <c r="K2339" s="405">
        <v>30.055523000000001</v>
      </c>
      <c r="L2339" s="405" t="s">
        <v>590</v>
      </c>
      <c r="M2339" s="405" t="s">
        <v>20032</v>
      </c>
      <c r="N2339" s="405" t="s">
        <v>20033</v>
      </c>
      <c r="O2339" s="405" t="s">
        <v>20032</v>
      </c>
      <c r="P2339" s="405" t="s">
        <v>20154</v>
      </c>
      <c r="Q2339" s="411">
        <v>9</v>
      </c>
      <c r="R2339" s="405" t="s">
        <v>5858</v>
      </c>
      <c r="S2339" s="405" t="s">
        <v>27173</v>
      </c>
      <c r="T2339" s="405" t="s">
        <v>32102</v>
      </c>
      <c r="U2339" s="405" t="s">
        <v>319</v>
      </c>
    </row>
    <row r="2340" spans="1:21" x14ac:dyDescent="0.25">
      <c r="A2340" s="405" t="s">
        <v>310</v>
      </c>
      <c r="B2340" s="405" t="s">
        <v>24251</v>
      </c>
      <c r="C2340" s="405" t="s">
        <v>327</v>
      </c>
      <c r="D2340" s="405"/>
      <c r="E2340" s="410">
        <v>43285</v>
      </c>
      <c r="F2340" s="410">
        <v>43301</v>
      </c>
      <c r="G2340" s="405" t="s">
        <v>24252</v>
      </c>
      <c r="H2340" s="405">
        <v>702538001</v>
      </c>
      <c r="I2340" s="405">
        <v>753500050</v>
      </c>
      <c r="J2340" s="405" t="s">
        <v>24253</v>
      </c>
      <c r="K2340" s="405">
        <v>30.109097999999999</v>
      </c>
      <c r="L2340" s="405" t="s">
        <v>590</v>
      </c>
      <c r="M2340" s="405" t="s">
        <v>19926</v>
      </c>
      <c r="N2340" s="405" t="s">
        <v>19927</v>
      </c>
      <c r="O2340" s="405" t="s">
        <v>24254</v>
      </c>
      <c r="P2340" s="405" t="s">
        <v>24255</v>
      </c>
      <c r="Q2340" s="411">
        <v>9</v>
      </c>
      <c r="R2340" s="405" t="s">
        <v>6943</v>
      </c>
      <c r="S2340" s="405" t="s">
        <v>27410</v>
      </c>
      <c r="T2340" s="405" t="s">
        <v>32102</v>
      </c>
      <c r="U2340" s="405" t="s">
        <v>319</v>
      </c>
    </row>
    <row r="2341" spans="1:21" x14ac:dyDescent="0.25">
      <c r="A2341" s="405" t="s">
        <v>310</v>
      </c>
      <c r="B2341" s="405" t="s">
        <v>16115</v>
      </c>
      <c r="C2341" s="405" t="s">
        <v>327</v>
      </c>
      <c r="D2341" s="405"/>
      <c r="E2341" s="410">
        <v>43285</v>
      </c>
      <c r="F2341" s="410">
        <v>43300</v>
      </c>
      <c r="G2341" s="405" t="s">
        <v>16116</v>
      </c>
      <c r="H2341" s="405">
        <v>753363354</v>
      </c>
      <c r="I2341" s="405">
        <v>777001030</v>
      </c>
      <c r="J2341" s="405">
        <v>1.2242999999999999</v>
      </c>
      <c r="K2341" s="405">
        <v>34.298999999999999</v>
      </c>
      <c r="L2341" s="405" t="s">
        <v>6866</v>
      </c>
      <c r="M2341" s="405" t="s">
        <v>9705</v>
      </c>
      <c r="N2341" s="405" t="s">
        <v>9705</v>
      </c>
      <c r="O2341" s="405" t="s">
        <v>16117</v>
      </c>
      <c r="P2341" s="405" t="s">
        <v>16118</v>
      </c>
      <c r="Q2341" s="411">
        <v>6</v>
      </c>
      <c r="R2341" s="405" t="s">
        <v>9506</v>
      </c>
      <c r="S2341" s="405" t="s">
        <v>27306</v>
      </c>
      <c r="T2341" s="405" t="s">
        <v>32102</v>
      </c>
      <c r="U2341" s="405" t="s">
        <v>319</v>
      </c>
    </row>
    <row r="2342" spans="1:21" x14ac:dyDescent="0.25">
      <c r="A2342" s="405" t="s">
        <v>310</v>
      </c>
      <c r="B2342" s="405" t="s">
        <v>7037</v>
      </c>
      <c r="C2342" s="405" t="s">
        <v>327</v>
      </c>
      <c r="D2342" s="405"/>
      <c r="E2342" s="410">
        <v>43283</v>
      </c>
      <c r="F2342" s="410">
        <v>43350</v>
      </c>
      <c r="G2342" s="405" t="s">
        <v>7038</v>
      </c>
      <c r="H2342" s="405">
        <v>754067386</v>
      </c>
      <c r="I2342" s="405">
        <v>702677043</v>
      </c>
      <c r="J2342" s="405" t="s">
        <v>7039</v>
      </c>
      <c r="K2342" s="405">
        <v>32.822372000000001</v>
      </c>
      <c r="L2342" s="405" t="s">
        <v>314</v>
      </c>
      <c r="M2342" s="405" t="s">
        <v>329</v>
      </c>
      <c r="N2342" s="405" t="s">
        <v>803</v>
      </c>
      <c r="O2342" s="405" t="s">
        <v>909</v>
      </c>
      <c r="P2342" s="405" t="s">
        <v>6408</v>
      </c>
      <c r="Q2342" s="411">
        <v>6</v>
      </c>
      <c r="R2342" s="405" t="s">
        <v>6798</v>
      </c>
      <c r="S2342" s="405" t="s">
        <v>27047</v>
      </c>
      <c r="T2342" s="405" t="s">
        <v>884</v>
      </c>
      <c r="U2342" s="405" t="s">
        <v>319</v>
      </c>
    </row>
    <row r="2343" spans="1:21" x14ac:dyDescent="0.25">
      <c r="A2343" s="405" t="s">
        <v>310</v>
      </c>
      <c r="B2343" s="405" t="s">
        <v>24369</v>
      </c>
      <c r="C2343" s="405" t="s">
        <v>327</v>
      </c>
      <c r="D2343" s="405"/>
      <c r="E2343" s="410">
        <v>43282</v>
      </c>
      <c r="F2343" s="410">
        <v>43304</v>
      </c>
      <c r="G2343" s="405" t="s">
        <v>24370</v>
      </c>
      <c r="H2343" s="405">
        <v>772373146</v>
      </c>
      <c r="I2343" s="405">
        <v>772349184</v>
      </c>
      <c r="J2343" s="405">
        <v>1.5710999999999999</v>
      </c>
      <c r="K2343" s="405">
        <v>30.18533</v>
      </c>
      <c r="L2343" s="405" t="s">
        <v>590</v>
      </c>
      <c r="M2343" s="405" t="s">
        <v>19625</v>
      </c>
      <c r="N2343" s="405" t="s">
        <v>20086</v>
      </c>
      <c r="O2343" s="405" t="s">
        <v>22104</v>
      </c>
      <c r="P2343" s="405" t="s">
        <v>24269</v>
      </c>
      <c r="Q2343" s="411">
        <v>6</v>
      </c>
      <c r="R2343" s="405" t="s">
        <v>32166</v>
      </c>
      <c r="S2343" s="405" t="s">
        <v>27401</v>
      </c>
      <c r="T2343" s="405" t="s">
        <v>32102</v>
      </c>
      <c r="U2343" s="405" t="s">
        <v>319</v>
      </c>
    </row>
    <row r="2344" spans="1:21" x14ac:dyDescent="0.25">
      <c r="A2344" s="405" t="s">
        <v>310</v>
      </c>
      <c r="B2344" s="405" t="s">
        <v>24376</v>
      </c>
      <c r="C2344" s="405" t="s">
        <v>327</v>
      </c>
      <c r="D2344" s="405"/>
      <c r="E2344" s="410">
        <v>43282</v>
      </c>
      <c r="F2344" s="410">
        <v>43292</v>
      </c>
      <c r="G2344" s="405" t="s">
        <v>24377</v>
      </c>
      <c r="H2344" s="405">
        <v>782731201</v>
      </c>
      <c r="I2344" s="405"/>
      <c r="J2344" s="405" t="s">
        <v>24378</v>
      </c>
      <c r="K2344" s="405">
        <v>30.190809999999999</v>
      </c>
      <c r="L2344" s="405" t="s">
        <v>590</v>
      </c>
      <c r="M2344" s="405" t="s">
        <v>19625</v>
      </c>
      <c r="N2344" s="405" t="s">
        <v>20086</v>
      </c>
      <c r="O2344" s="405" t="s">
        <v>22104</v>
      </c>
      <c r="P2344" s="405" t="s">
        <v>23071</v>
      </c>
      <c r="Q2344" s="411">
        <v>6</v>
      </c>
      <c r="R2344" s="405" t="s">
        <v>6572</v>
      </c>
      <c r="S2344" s="405" t="s">
        <v>27161</v>
      </c>
      <c r="T2344" s="405" t="s">
        <v>32102</v>
      </c>
      <c r="U2344" s="405" t="s">
        <v>319</v>
      </c>
    </row>
    <row r="2345" spans="1:21" x14ac:dyDescent="0.25">
      <c r="A2345" s="405" t="s">
        <v>310</v>
      </c>
      <c r="B2345" s="405" t="s">
        <v>7011</v>
      </c>
      <c r="C2345" s="405" t="s">
        <v>327</v>
      </c>
      <c r="D2345" s="405"/>
      <c r="E2345" s="410">
        <v>43280</v>
      </c>
      <c r="F2345" s="410">
        <v>43340</v>
      </c>
      <c r="G2345" s="405" t="s">
        <v>7012</v>
      </c>
      <c r="H2345" s="405">
        <v>775691020</v>
      </c>
      <c r="I2345" s="405"/>
      <c r="J2345" s="405">
        <v>0.98866600000000004</v>
      </c>
      <c r="K2345" s="405">
        <v>31.740924</v>
      </c>
      <c r="L2345" s="405" t="s">
        <v>314</v>
      </c>
      <c r="M2345" s="405" t="s">
        <v>1360</v>
      </c>
      <c r="N2345" s="405" t="s">
        <v>1360</v>
      </c>
      <c r="O2345" s="405" t="s">
        <v>1361</v>
      </c>
      <c r="P2345" s="405" t="s">
        <v>7013</v>
      </c>
      <c r="Q2345" s="411">
        <v>13</v>
      </c>
      <c r="R2345" s="405" t="s">
        <v>4176</v>
      </c>
      <c r="S2345" s="405" t="s">
        <v>27059</v>
      </c>
      <c r="T2345" s="405" t="s">
        <v>32102</v>
      </c>
      <c r="U2345" s="405" t="s">
        <v>319</v>
      </c>
    </row>
    <row r="2346" spans="1:21" x14ac:dyDescent="0.25">
      <c r="A2346" s="405" t="s">
        <v>310</v>
      </c>
      <c r="B2346" s="405" t="s">
        <v>6950</v>
      </c>
      <c r="C2346" s="405" t="s">
        <v>327</v>
      </c>
      <c r="D2346" s="405"/>
      <c r="E2346" s="410">
        <v>43279</v>
      </c>
      <c r="F2346" s="410">
        <v>43303</v>
      </c>
      <c r="G2346" s="405" t="s">
        <v>6951</v>
      </c>
      <c r="H2346" s="405">
        <v>772433004</v>
      </c>
      <c r="I2346" s="405"/>
      <c r="J2346" s="405" t="s">
        <v>6952</v>
      </c>
      <c r="K2346" s="405">
        <v>32.270657999999997</v>
      </c>
      <c r="L2346" s="405" t="s">
        <v>314</v>
      </c>
      <c r="M2346" s="405" t="s">
        <v>2297</v>
      </c>
      <c r="N2346" s="405" t="s">
        <v>1308</v>
      </c>
      <c r="O2346" s="405" t="s">
        <v>6953</v>
      </c>
      <c r="P2346" s="405" t="s">
        <v>6954</v>
      </c>
      <c r="Q2346" s="411">
        <v>9</v>
      </c>
      <c r="R2346" s="405" t="s">
        <v>32101</v>
      </c>
      <c r="S2346" s="405" t="s">
        <v>27047</v>
      </c>
      <c r="T2346" s="405" t="s">
        <v>32102</v>
      </c>
      <c r="U2346" s="405" t="s">
        <v>319</v>
      </c>
    </row>
    <row r="2347" spans="1:21" x14ac:dyDescent="0.25">
      <c r="A2347" s="405" t="s">
        <v>310</v>
      </c>
      <c r="B2347" s="405" t="s">
        <v>24527</v>
      </c>
      <c r="C2347" s="405" t="s">
        <v>327</v>
      </c>
      <c r="D2347" s="405"/>
      <c r="E2347" s="410">
        <v>43279</v>
      </c>
      <c r="F2347" s="410">
        <v>43282</v>
      </c>
      <c r="G2347" s="405" t="s">
        <v>24528</v>
      </c>
      <c r="H2347" s="405">
        <v>777395804</v>
      </c>
      <c r="I2347" s="405"/>
      <c r="J2347" s="405" t="s">
        <v>24529</v>
      </c>
      <c r="K2347" s="405">
        <v>29.985453</v>
      </c>
      <c r="L2347" s="405" t="s">
        <v>590</v>
      </c>
      <c r="M2347" s="405" t="s">
        <v>20032</v>
      </c>
      <c r="N2347" s="405" t="s">
        <v>20790</v>
      </c>
      <c r="O2347" s="405" t="s">
        <v>20790</v>
      </c>
      <c r="P2347" s="405" t="s">
        <v>22168</v>
      </c>
      <c r="Q2347" s="411">
        <v>9</v>
      </c>
      <c r="R2347" s="405" t="s">
        <v>6943</v>
      </c>
      <c r="S2347" s="405" t="s">
        <v>27132</v>
      </c>
      <c r="T2347" s="405" t="s">
        <v>32102</v>
      </c>
      <c r="U2347" s="405" t="s">
        <v>319</v>
      </c>
    </row>
    <row r="2348" spans="1:21" x14ac:dyDescent="0.25">
      <c r="A2348" s="405" t="s">
        <v>310</v>
      </c>
      <c r="B2348" s="405" t="s">
        <v>7129</v>
      </c>
      <c r="C2348" s="405" t="s">
        <v>327</v>
      </c>
      <c r="D2348" s="405"/>
      <c r="E2348" s="410">
        <v>43278</v>
      </c>
      <c r="F2348" s="410">
        <v>43426</v>
      </c>
      <c r="G2348" s="405" t="s">
        <v>7130</v>
      </c>
      <c r="H2348" s="405">
        <v>705056951</v>
      </c>
      <c r="I2348" s="405">
        <v>703576183</v>
      </c>
      <c r="J2348" s="405">
        <v>0.29189999999999999</v>
      </c>
      <c r="K2348" s="405">
        <v>32.373800000000003</v>
      </c>
      <c r="L2348" s="405" t="s">
        <v>314</v>
      </c>
      <c r="M2348" s="405" t="s">
        <v>361</v>
      </c>
      <c r="N2348" s="405" t="s">
        <v>362</v>
      </c>
      <c r="O2348" s="405" t="s">
        <v>421</v>
      </c>
      <c r="P2348" s="405" t="s">
        <v>7131</v>
      </c>
      <c r="Q2348" s="411">
        <v>13</v>
      </c>
      <c r="R2348" s="405" t="s">
        <v>5665</v>
      </c>
      <c r="S2348" s="405" t="s">
        <v>27051</v>
      </c>
      <c r="T2348" s="405" t="s">
        <v>32102</v>
      </c>
      <c r="U2348" s="405" t="s">
        <v>319</v>
      </c>
    </row>
    <row r="2349" spans="1:21" x14ac:dyDescent="0.25">
      <c r="A2349" s="405" t="s">
        <v>310</v>
      </c>
      <c r="B2349" s="405" t="s">
        <v>24501</v>
      </c>
      <c r="C2349" s="405" t="s">
        <v>857</v>
      </c>
      <c r="D2349" s="405" t="s">
        <v>24502</v>
      </c>
      <c r="E2349" s="410">
        <v>43277</v>
      </c>
      <c r="F2349" s="410">
        <v>43292</v>
      </c>
      <c r="G2349" s="405" t="s">
        <v>24503</v>
      </c>
      <c r="H2349" s="405">
        <v>782709217</v>
      </c>
      <c r="I2349" s="405"/>
      <c r="J2349" s="405">
        <v>0.29549999999999998</v>
      </c>
      <c r="K2349" s="405">
        <v>30.352</v>
      </c>
      <c r="L2349" s="405" t="s">
        <v>590</v>
      </c>
      <c r="M2349" s="405" t="s">
        <v>19614</v>
      </c>
      <c r="N2349" s="405" t="s">
        <v>19615</v>
      </c>
      <c r="O2349" s="405" t="s">
        <v>24504</v>
      </c>
      <c r="P2349" s="405" t="s">
        <v>24226</v>
      </c>
      <c r="Q2349" s="411">
        <v>13</v>
      </c>
      <c r="R2349" s="405" t="s">
        <v>874</v>
      </c>
      <c r="S2349" s="405" t="s">
        <v>27172</v>
      </c>
      <c r="T2349" s="405" t="s">
        <v>32102</v>
      </c>
      <c r="U2349" s="405" t="s">
        <v>319</v>
      </c>
    </row>
    <row r="2350" spans="1:21" x14ac:dyDescent="0.25">
      <c r="A2350" s="405" t="s">
        <v>310</v>
      </c>
      <c r="B2350" s="405" t="s">
        <v>24365</v>
      </c>
      <c r="C2350" s="405" t="s">
        <v>327</v>
      </c>
      <c r="D2350" s="405"/>
      <c r="E2350" s="410">
        <v>43277</v>
      </c>
      <c r="F2350" s="410">
        <v>43293</v>
      </c>
      <c r="G2350" s="405" t="s">
        <v>24366</v>
      </c>
      <c r="H2350" s="405">
        <v>772192803</v>
      </c>
      <c r="I2350" s="405">
        <v>784271758</v>
      </c>
      <c r="J2350" s="405" t="s">
        <v>24367</v>
      </c>
      <c r="K2350" s="405">
        <v>30.073972999999999</v>
      </c>
      <c r="L2350" s="405" t="s">
        <v>590</v>
      </c>
      <c r="M2350" s="405" t="s">
        <v>20032</v>
      </c>
      <c r="N2350" s="405" t="s">
        <v>20033</v>
      </c>
      <c r="O2350" s="405" t="s">
        <v>24368</v>
      </c>
      <c r="P2350" s="405" t="s">
        <v>19769</v>
      </c>
      <c r="Q2350" s="411">
        <v>9</v>
      </c>
      <c r="R2350" s="405" t="s">
        <v>32166</v>
      </c>
      <c r="S2350" s="405" t="s">
        <v>27394</v>
      </c>
      <c r="T2350" s="405" t="s">
        <v>884</v>
      </c>
      <c r="U2350" s="405" t="s">
        <v>319</v>
      </c>
    </row>
    <row r="2351" spans="1:21" x14ac:dyDescent="0.25">
      <c r="A2351" s="405" t="s">
        <v>310</v>
      </c>
      <c r="B2351" s="405" t="s">
        <v>24390</v>
      </c>
      <c r="C2351" s="405" t="s">
        <v>327</v>
      </c>
      <c r="D2351" s="405"/>
      <c r="E2351" s="410">
        <v>43277</v>
      </c>
      <c r="F2351" s="410">
        <v>43283</v>
      </c>
      <c r="G2351" s="405" t="s">
        <v>24391</v>
      </c>
      <c r="H2351" s="405">
        <v>789476620</v>
      </c>
      <c r="I2351" s="405">
        <v>778748695</v>
      </c>
      <c r="J2351" s="405">
        <v>0.47749799999999998</v>
      </c>
      <c r="K2351" s="405" t="s">
        <v>24392</v>
      </c>
      <c r="L2351" s="405" t="s">
        <v>590</v>
      </c>
      <c r="M2351" s="405" t="s">
        <v>19625</v>
      </c>
      <c r="N2351" s="405" t="s">
        <v>22016</v>
      </c>
      <c r="O2351" s="405" t="s">
        <v>24393</v>
      </c>
      <c r="P2351" s="405" t="s">
        <v>21713</v>
      </c>
      <c r="Q2351" s="411">
        <v>9</v>
      </c>
      <c r="R2351" s="405" t="s">
        <v>6572</v>
      </c>
      <c r="S2351" s="405" t="s">
        <v>27394</v>
      </c>
      <c r="T2351" s="405" t="s">
        <v>32102</v>
      </c>
      <c r="U2351" s="405" t="s">
        <v>319</v>
      </c>
    </row>
    <row r="2352" spans="1:21" x14ac:dyDescent="0.25">
      <c r="A2352" s="405" t="s">
        <v>310</v>
      </c>
      <c r="B2352" s="405" t="s">
        <v>24320</v>
      </c>
      <c r="C2352" s="405" t="s">
        <v>327</v>
      </c>
      <c r="D2352" s="405"/>
      <c r="E2352" s="410">
        <v>43277</v>
      </c>
      <c r="F2352" s="410">
        <v>43282</v>
      </c>
      <c r="G2352" s="405" t="s">
        <v>24321</v>
      </c>
      <c r="H2352" s="405">
        <v>772984484</v>
      </c>
      <c r="I2352" s="405">
        <v>787798288</v>
      </c>
      <c r="J2352" s="405" t="s">
        <v>24322</v>
      </c>
      <c r="K2352" s="405">
        <v>29.986528</v>
      </c>
      <c r="L2352" s="405" t="s">
        <v>590</v>
      </c>
      <c r="M2352" s="405" t="s">
        <v>20032</v>
      </c>
      <c r="N2352" s="405" t="s">
        <v>22715</v>
      </c>
      <c r="O2352" s="405" t="s">
        <v>20790</v>
      </c>
      <c r="P2352" s="405" t="s">
        <v>22168</v>
      </c>
      <c r="Q2352" s="411">
        <v>9</v>
      </c>
      <c r="R2352" s="405" t="s">
        <v>6572</v>
      </c>
      <c r="S2352" s="405" t="s">
        <v>27183</v>
      </c>
      <c r="T2352" s="405" t="s">
        <v>884</v>
      </c>
      <c r="U2352" s="405" t="s">
        <v>319</v>
      </c>
    </row>
    <row r="2353" spans="1:21" x14ac:dyDescent="0.25">
      <c r="A2353" s="405" t="s">
        <v>310</v>
      </c>
      <c r="B2353" s="405" t="s">
        <v>16059</v>
      </c>
      <c r="C2353" s="405" t="s">
        <v>327</v>
      </c>
      <c r="D2353" s="405"/>
      <c r="E2353" s="410">
        <v>43277</v>
      </c>
      <c r="F2353" s="410">
        <v>43281</v>
      </c>
      <c r="G2353" s="405" t="s">
        <v>16060</v>
      </c>
      <c r="H2353" s="405">
        <v>779309190</v>
      </c>
      <c r="I2353" s="405"/>
      <c r="J2353" s="405" t="s">
        <v>16061</v>
      </c>
      <c r="K2353" s="405">
        <v>34.412739999999999</v>
      </c>
      <c r="L2353" s="405" t="s">
        <v>6866</v>
      </c>
      <c r="M2353" s="405" t="s">
        <v>6867</v>
      </c>
      <c r="N2353" s="405" t="s">
        <v>6868</v>
      </c>
      <c r="O2353" s="405" t="s">
        <v>13702</v>
      </c>
      <c r="P2353" s="405" t="s">
        <v>16062</v>
      </c>
      <c r="Q2353" s="411">
        <v>6</v>
      </c>
      <c r="R2353" s="405" t="s">
        <v>7224</v>
      </c>
      <c r="S2353" s="405" t="s">
        <v>27067</v>
      </c>
      <c r="T2353" s="405" t="s">
        <v>865</v>
      </c>
      <c r="U2353" s="405" t="s">
        <v>866</v>
      </c>
    </row>
    <row r="2354" spans="1:21" x14ac:dyDescent="0.25">
      <c r="A2354" s="405" t="s">
        <v>310</v>
      </c>
      <c r="B2354" s="405" t="s">
        <v>24238</v>
      </c>
      <c r="C2354" s="405" t="s">
        <v>327</v>
      </c>
      <c r="D2354" s="405"/>
      <c r="E2354" s="410">
        <v>43276</v>
      </c>
      <c r="F2354" s="410">
        <v>43286</v>
      </c>
      <c r="G2354" s="405" t="s">
        <v>24239</v>
      </c>
      <c r="H2354" s="405">
        <v>782056972</v>
      </c>
      <c r="I2354" s="405">
        <v>774042363</v>
      </c>
      <c r="J2354" s="405" t="s">
        <v>24240</v>
      </c>
      <c r="K2354" s="405">
        <v>30.043614999999999</v>
      </c>
      <c r="L2354" s="405" t="s">
        <v>590</v>
      </c>
      <c r="M2354" s="405" t="s">
        <v>20032</v>
      </c>
      <c r="N2354" s="405" t="s">
        <v>20033</v>
      </c>
      <c r="O2354" s="405" t="s">
        <v>20032</v>
      </c>
      <c r="P2354" s="405" t="s">
        <v>19956</v>
      </c>
      <c r="Q2354" s="411">
        <v>9</v>
      </c>
      <c r="R2354" s="405" t="s">
        <v>5858</v>
      </c>
      <c r="S2354" s="405" t="s">
        <v>27394</v>
      </c>
      <c r="T2354" s="405" t="s">
        <v>32102</v>
      </c>
      <c r="U2354" s="405" t="s">
        <v>319</v>
      </c>
    </row>
    <row r="2355" spans="1:21" x14ac:dyDescent="0.25">
      <c r="A2355" s="405" t="s">
        <v>310</v>
      </c>
      <c r="B2355" s="405" t="s">
        <v>24244</v>
      </c>
      <c r="C2355" s="405" t="s">
        <v>327</v>
      </c>
      <c r="D2355" s="405"/>
      <c r="E2355" s="410">
        <v>43276</v>
      </c>
      <c r="F2355" s="410">
        <v>43286</v>
      </c>
      <c r="G2355" s="405" t="s">
        <v>24245</v>
      </c>
      <c r="H2355" s="405">
        <v>775749051</v>
      </c>
      <c r="I2355" s="405"/>
      <c r="J2355" s="405" t="s">
        <v>24246</v>
      </c>
      <c r="K2355" s="405">
        <v>30.082630000000002</v>
      </c>
      <c r="L2355" s="405" t="s">
        <v>590</v>
      </c>
      <c r="M2355" s="405" t="s">
        <v>20032</v>
      </c>
      <c r="N2355" s="405" t="s">
        <v>20033</v>
      </c>
      <c r="O2355" s="405" t="s">
        <v>21569</v>
      </c>
      <c r="P2355" s="405" t="s">
        <v>24247</v>
      </c>
      <c r="Q2355" s="411">
        <v>9</v>
      </c>
      <c r="R2355" s="405" t="s">
        <v>5858</v>
      </c>
      <c r="S2355" s="405" t="s">
        <v>27301</v>
      </c>
      <c r="T2355" s="405" t="s">
        <v>884</v>
      </c>
      <c r="U2355" s="405" t="s">
        <v>319</v>
      </c>
    </row>
    <row r="2356" spans="1:21" x14ac:dyDescent="0.25">
      <c r="A2356" s="405" t="s">
        <v>310</v>
      </c>
      <c r="B2356" s="405" t="s">
        <v>24209</v>
      </c>
      <c r="C2356" s="405" t="s">
        <v>327</v>
      </c>
      <c r="D2356" s="405"/>
      <c r="E2356" s="410">
        <v>43274</v>
      </c>
      <c r="F2356" s="410">
        <v>43274</v>
      </c>
      <c r="G2356" s="405" t="s">
        <v>24210</v>
      </c>
      <c r="H2356" s="405">
        <v>772691836</v>
      </c>
      <c r="I2356" s="405">
        <v>753973135</v>
      </c>
      <c r="J2356" s="405" t="s">
        <v>24211</v>
      </c>
      <c r="K2356" s="405">
        <v>29.969930000000002</v>
      </c>
      <c r="L2356" s="405" t="s">
        <v>590</v>
      </c>
      <c r="M2356" s="405" t="s">
        <v>20032</v>
      </c>
      <c r="N2356" s="405" t="s">
        <v>24159</v>
      </c>
      <c r="O2356" s="405" t="s">
        <v>24159</v>
      </c>
      <c r="P2356" s="405" t="s">
        <v>24212</v>
      </c>
      <c r="Q2356" s="411">
        <v>9</v>
      </c>
      <c r="R2356" s="405" t="s">
        <v>883</v>
      </c>
      <c r="S2356" s="405" t="s">
        <v>27173</v>
      </c>
      <c r="T2356" s="405" t="s">
        <v>32102</v>
      </c>
      <c r="U2356" s="405" t="s">
        <v>319</v>
      </c>
    </row>
    <row r="2357" spans="1:21" x14ac:dyDescent="0.25">
      <c r="A2357" s="405" t="s">
        <v>310</v>
      </c>
      <c r="B2357" s="405" t="s">
        <v>24266</v>
      </c>
      <c r="C2357" s="405" t="s">
        <v>327</v>
      </c>
      <c r="D2357" s="405"/>
      <c r="E2357" s="410">
        <v>43274</v>
      </c>
      <c r="F2357" s="410">
        <v>43292</v>
      </c>
      <c r="G2357" s="405" t="s">
        <v>24267</v>
      </c>
      <c r="H2357" s="405">
        <v>772315618</v>
      </c>
      <c r="I2357" s="405"/>
      <c r="J2357" s="405" t="s">
        <v>24268</v>
      </c>
      <c r="K2357" s="405">
        <v>30.182739999999999</v>
      </c>
      <c r="L2357" s="405" t="s">
        <v>590</v>
      </c>
      <c r="M2357" s="405" t="s">
        <v>19625</v>
      </c>
      <c r="N2357" s="405" t="s">
        <v>20086</v>
      </c>
      <c r="O2357" s="405" t="s">
        <v>22104</v>
      </c>
      <c r="P2357" s="405" t="s">
        <v>24269</v>
      </c>
      <c r="Q2357" s="411">
        <v>6</v>
      </c>
      <c r="R2357" s="405" t="s">
        <v>6572</v>
      </c>
      <c r="S2357" s="405" t="s">
        <v>27137</v>
      </c>
      <c r="T2357" s="405" t="s">
        <v>32102</v>
      </c>
      <c r="U2357" s="405" t="s">
        <v>319</v>
      </c>
    </row>
    <row r="2358" spans="1:21" x14ac:dyDescent="0.25">
      <c r="A2358" s="405" t="s">
        <v>310</v>
      </c>
      <c r="B2358" s="405" t="s">
        <v>24600</v>
      </c>
      <c r="C2358" s="405" t="s">
        <v>327</v>
      </c>
      <c r="D2358" s="405"/>
      <c r="E2358" s="410">
        <v>43273</v>
      </c>
      <c r="F2358" s="410">
        <v>43347</v>
      </c>
      <c r="G2358" s="405" t="s">
        <v>24601</v>
      </c>
      <c r="H2358" s="405">
        <v>753835309</v>
      </c>
      <c r="I2358" s="405"/>
      <c r="J2358" s="405">
        <v>0.1236</v>
      </c>
      <c r="K2358" s="405">
        <v>30.111000000000001</v>
      </c>
      <c r="L2358" s="405" t="s">
        <v>590</v>
      </c>
      <c r="M2358" s="405" t="s">
        <v>19926</v>
      </c>
      <c r="N2358" s="405" t="s">
        <v>19927</v>
      </c>
      <c r="O2358" s="405" t="s">
        <v>24353</v>
      </c>
      <c r="P2358" s="405" t="s">
        <v>24602</v>
      </c>
      <c r="Q2358" s="411">
        <v>9</v>
      </c>
      <c r="R2358" s="405" t="s">
        <v>883</v>
      </c>
      <c r="S2358" s="405" t="s">
        <v>27205</v>
      </c>
      <c r="T2358" s="405" t="s">
        <v>32102</v>
      </c>
      <c r="U2358" s="405" t="s">
        <v>319</v>
      </c>
    </row>
    <row r="2359" spans="1:21" x14ac:dyDescent="0.25">
      <c r="A2359" s="405" t="s">
        <v>310</v>
      </c>
      <c r="B2359" s="405" t="s">
        <v>24323</v>
      </c>
      <c r="C2359" s="405" t="s">
        <v>327</v>
      </c>
      <c r="D2359" s="405"/>
      <c r="E2359" s="410">
        <v>43273</v>
      </c>
      <c r="F2359" s="410">
        <v>43288</v>
      </c>
      <c r="G2359" s="405" t="s">
        <v>24324</v>
      </c>
      <c r="H2359" s="405">
        <v>702543282</v>
      </c>
      <c r="I2359" s="405"/>
      <c r="J2359" s="405">
        <v>0.21299999999999999</v>
      </c>
      <c r="K2359" s="405">
        <v>30.617999999999999</v>
      </c>
      <c r="L2359" s="405" t="s">
        <v>590</v>
      </c>
      <c r="M2359" s="405" t="s">
        <v>19926</v>
      </c>
      <c r="N2359" s="405" t="s">
        <v>19927</v>
      </c>
      <c r="O2359" s="405" t="s">
        <v>24325</v>
      </c>
      <c r="P2359" s="405" t="s">
        <v>24326</v>
      </c>
      <c r="Q2359" s="411">
        <v>9</v>
      </c>
      <c r="R2359" s="405" t="s">
        <v>6572</v>
      </c>
      <c r="S2359" s="405" t="s">
        <v>27104</v>
      </c>
      <c r="T2359" s="405" t="s">
        <v>32102</v>
      </c>
      <c r="U2359" s="405" t="s">
        <v>319</v>
      </c>
    </row>
    <row r="2360" spans="1:21" x14ac:dyDescent="0.25">
      <c r="A2360" s="405" t="s">
        <v>310</v>
      </c>
      <c r="B2360" s="405" t="s">
        <v>16122</v>
      </c>
      <c r="C2360" s="405" t="s">
        <v>327</v>
      </c>
      <c r="D2360" s="405"/>
      <c r="E2360" s="410">
        <v>43273</v>
      </c>
      <c r="F2360" s="410">
        <v>43288</v>
      </c>
      <c r="G2360" s="405" t="s">
        <v>16123</v>
      </c>
      <c r="H2360" s="405">
        <v>779341748</v>
      </c>
      <c r="I2360" s="405"/>
      <c r="J2360" s="405">
        <v>1.5527</v>
      </c>
      <c r="K2360" s="405">
        <v>33.205100000000002</v>
      </c>
      <c r="L2360" s="405" t="s">
        <v>6866</v>
      </c>
      <c r="M2360" s="405" t="s">
        <v>12153</v>
      </c>
      <c r="N2360" s="405" t="s">
        <v>10377</v>
      </c>
      <c r="O2360" s="405" t="s">
        <v>16088</v>
      </c>
      <c r="P2360" s="405" t="s">
        <v>16124</v>
      </c>
      <c r="Q2360" s="411">
        <v>6</v>
      </c>
      <c r="R2360" s="405" t="s">
        <v>5655</v>
      </c>
      <c r="S2360" s="405" t="s">
        <v>27357</v>
      </c>
      <c r="T2360" s="405" t="s">
        <v>865</v>
      </c>
      <c r="U2360" s="405" t="s">
        <v>866</v>
      </c>
    </row>
    <row r="2361" spans="1:21" x14ac:dyDescent="0.25">
      <c r="A2361" s="405" t="s">
        <v>310</v>
      </c>
      <c r="B2361" s="405" t="s">
        <v>6923</v>
      </c>
      <c r="C2361" s="405" t="s">
        <v>327</v>
      </c>
      <c r="D2361" s="405"/>
      <c r="E2361" s="410">
        <v>43272</v>
      </c>
      <c r="F2361" s="410">
        <v>43296</v>
      </c>
      <c r="G2361" s="405" t="s">
        <v>6924</v>
      </c>
      <c r="H2361" s="405">
        <v>782911822</v>
      </c>
      <c r="I2361" s="405"/>
      <c r="J2361" s="405">
        <v>0.105</v>
      </c>
      <c r="K2361" s="405">
        <v>32.485799999999998</v>
      </c>
      <c r="L2361" s="405" t="s">
        <v>314</v>
      </c>
      <c r="M2361" s="405" t="s">
        <v>329</v>
      </c>
      <c r="N2361" s="405" t="s">
        <v>1107</v>
      </c>
      <c r="O2361" s="405" t="s">
        <v>909</v>
      </c>
      <c r="P2361" s="405" t="s">
        <v>6925</v>
      </c>
      <c r="Q2361" s="411">
        <v>6</v>
      </c>
      <c r="R2361" s="405" t="s">
        <v>5903</v>
      </c>
      <c r="S2361" s="405" t="s">
        <v>27235</v>
      </c>
      <c r="T2361" s="405" t="s">
        <v>32102</v>
      </c>
      <c r="U2361" s="405" t="s">
        <v>319</v>
      </c>
    </row>
    <row r="2362" spans="1:21" x14ac:dyDescent="0.25">
      <c r="A2362" s="405" t="s">
        <v>310</v>
      </c>
      <c r="B2362" s="405" t="s">
        <v>6944</v>
      </c>
      <c r="C2362" s="405" t="s">
        <v>327</v>
      </c>
      <c r="D2362" s="405"/>
      <c r="E2362" s="410">
        <v>43271</v>
      </c>
      <c r="F2362" s="410">
        <v>43303</v>
      </c>
      <c r="G2362" s="405" t="s">
        <v>6945</v>
      </c>
      <c r="H2362" s="405">
        <v>754480218</v>
      </c>
      <c r="I2362" s="405">
        <v>782711820</v>
      </c>
      <c r="J2362" s="405">
        <v>0.62480500000000005</v>
      </c>
      <c r="K2362" s="405">
        <v>32.252955</v>
      </c>
      <c r="L2362" s="405" t="s">
        <v>314</v>
      </c>
      <c r="M2362" s="405" t="s">
        <v>2297</v>
      </c>
      <c r="N2362" s="405" t="s">
        <v>1308</v>
      </c>
      <c r="O2362" s="405" t="s">
        <v>5792</v>
      </c>
      <c r="P2362" s="405" t="s">
        <v>6946</v>
      </c>
      <c r="Q2362" s="411">
        <v>9</v>
      </c>
      <c r="R2362" s="405" t="s">
        <v>32101</v>
      </c>
      <c r="S2362" s="405" t="s">
        <v>27167</v>
      </c>
      <c r="T2362" s="405" t="s">
        <v>32102</v>
      </c>
      <c r="U2362" s="405" t="s">
        <v>319</v>
      </c>
    </row>
    <row r="2363" spans="1:21" x14ac:dyDescent="0.25">
      <c r="A2363" s="405" t="s">
        <v>310</v>
      </c>
      <c r="B2363" s="405" t="s">
        <v>24311</v>
      </c>
      <c r="C2363" s="405" t="s">
        <v>327</v>
      </c>
      <c r="D2363" s="405"/>
      <c r="E2363" s="410">
        <v>43271</v>
      </c>
      <c r="F2363" s="410">
        <v>43299</v>
      </c>
      <c r="G2363" s="405" t="s">
        <v>24312</v>
      </c>
      <c r="H2363" s="405">
        <v>782655805</v>
      </c>
      <c r="I2363" s="405"/>
      <c r="J2363" s="405">
        <v>0.57099999999999995</v>
      </c>
      <c r="K2363" s="405">
        <v>30.228999999999999</v>
      </c>
      <c r="L2363" s="405" t="s">
        <v>590</v>
      </c>
      <c r="M2363" s="405" t="s">
        <v>19619</v>
      </c>
      <c r="N2363" s="405" t="s">
        <v>19620</v>
      </c>
      <c r="O2363" s="405" t="s">
        <v>23948</v>
      </c>
      <c r="P2363" s="405" t="s">
        <v>24313</v>
      </c>
      <c r="Q2363" s="411">
        <v>9</v>
      </c>
      <c r="R2363" s="405" t="s">
        <v>6572</v>
      </c>
      <c r="S2363" s="405" t="s">
        <v>27154</v>
      </c>
      <c r="T2363" s="405" t="s">
        <v>865</v>
      </c>
      <c r="U2363" s="405" t="s">
        <v>866</v>
      </c>
    </row>
    <row r="2364" spans="1:21" x14ac:dyDescent="0.25">
      <c r="A2364" s="405" t="s">
        <v>310</v>
      </c>
      <c r="B2364" s="405" t="s">
        <v>24284</v>
      </c>
      <c r="C2364" s="405" t="s">
        <v>327</v>
      </c>
      <c r="D2364" s="405"/>
      <c r="E2364" s="410">
        <v>43271</v>
      </c>
      <c r="F2364" s="410">
        <v>43283</v>
      </c>
      <c r="G2364" s="405" t="s">
        <v>24285</v>
      </c>
      <c r="H2364" s="405">
        <v>703942910</v>
      </c>
      <c r="I2364" s="405">
        <v>772459201</v>
      </c>
      <c r="J2364" s="405">
        <v>0.56830700000000001</v>
      </c>
      <c r="K2364" s="405">
        <v>30.149632</v>
      </c>
      <c r="L2364" s="405" t="s">
        <v>590</v>
      </c>
      <c r="M2364" s="405" t="s">
        <v>19625</v>
      </c>
      <c r="N2364" s="405" t="s">
        <v>4147</v>
      </c>
      <c r="O2364" s="405" t="s">
        <v>4147</v>
      </c>
      <c r="P2364" s="405" t="s">
        <v>24286</v>
      </c>
      <c r="Q2364" s="411">
        <v>9</v>
      </c>
      <c r="R2364" s="405" t="s">
        <v>32166</v>
      </c>
      <c r="S2364" s="405" t="s">
        <v>27183</v>
      </c>
      <c r="T2364" s="405" t="s">
        <v>32102</v>
      </c>
      <c r="U2364" s="405" t="s">
        <v>319</v>
      </c>
    </row>
    <row r="2365" spans="1:21" x14ac:dyDescent="0.25">
      <c r="A2365" s="405" t="s">
        <v>310</v>
      </c>
      <c r="B2365" s="405" t="s">
        <v>24220</v>
      </c>
      <c r="C2365" s="405" t="s">
        <v>327</v>
      </c>
      <c r="D2365" s="405"/>
      <c r="E2365" s="410">
        <v>43271</v>
      </c>
      <c r="F2365" s="410">
        <v>43281</v>
      </c>
      <c r="G2365" s="405" t="s">
        <v>24221</v>
      </c>
      <c r="H2365" s="405">
        <v>751000505</v>
      </c>
      <c r="I2365" s="405">
        <v>757040855</v>
      </c>
      <c r="J2365" s="405" t="s">
        <v>24222</v>
      </c>
      <c r="K2365" s="405">
        <v>30.273277</v>
      </c>
      <c r="L2365" s="405" t="s">
        <v>590</v>
      </c>
      <c r="M2365" s="405" t="s">
        <v>19625</v>
      </c>
      <c r="N2365" s="405" t="s">
        <v>19642</v>
      </c>
      <c r="O2365" s="405" t="s">
        <v>24136</v>
      </c>
      <c r="P2365" s="405" t="s">
        <v>24223</v>
      </c>
      <c r="Q2365" s="411">
        <v>9</v>
      </c>
      <c r="R2365" s="405" t="s">
        <v>5858</v>
      </c>
      <c r="S2365" s="405" t="s">
        <v>27173</v>
      </c>
      <c r="T2365" s="405" t="s">
        <v>32102</v>
      </c>
      <c r="U2365" s="405" t="s">
        <v>319</v>
      </c>
    </row>
    <row r="2366" spans="1:21" x14ac:dyDescent="0.25">
      <c r="A2366" s="405" t="s">
        <v>310</v>
      </c>
      <c r="B2366" s="405" t="s">
        <v>24164</v>
      </c>
      <c r="C2366" s="405" t="s">
        <v>327</v>
      </c>
      <c r="D2366" s="405"/>
      <c r="E2366" s="410">
        <v>43271</v>
      </c>
      <c r="F2366" s="410">
        <v>43271</v>
      </c>
      <c r="G2366" s="405" t="s">
        <v>24165</v>
      </c>
      <c r="H2366" s="405">
        <v>752500518</v>
      </c>
      <c r="I2366" s="405"/>
      <c r="J2366" s="405" t="s">
        <v>24166</v>
      </c>
      <c r="K2366" s="405">
        <v>30.219407</v>
      </c>
      <c r="L2366" s="405" t="s">
        <v>590</v>
      </c>
      <c r="M2366" s="405" t="s">
        <v>19625</v>
      </c>
      <c r="N2366" s="405" t="s">
        <v>19950</v>
      </c>
      <c r="O2366" s="405" t="s">
        <v>24167</v>
      </c>
      <c r="P2366" s="405" t="s">
        <v>24168</v>
      </c>
      <c r="Q2366" s="411">
        <v>9</v>
      </c>
      <c r="R2366" s="405" t="s">
        <v>32166</v>
      </c>
      <c r="S2366" s="405" t="s">
        <v>27154</v>
      </c>
      <c r="T2366" s="405" t="s">
        <v>32102</v>
      </c>
      <c r="U2366" s="405" t="s">
        <v>319</v>
      </c>
    </row>
    <row r="2367" spans="1:21" x14ac:dyDescent="0.25">
      <c r="A2367" s="405" t="s">
        <v>310</v>
      </c>
      <c r="B2367" s="405" t="s">
        <v>6928</v>
      </c>
      <c r="C2367" s="405" t="s">
        <v>327</v>
      </c>
      <c r="D2367" s="405"/>
      <c r="E2367" s="410">
        <v>43271</v>
      </c>
      <c r="F2367" s="410">
        <v>43307</v>
      </c>
      <c r="G2367" s="405" t="s">
        <v>6929</v>
      </c>
      <c r="H2367" s="405">
        <v>751863432</v>
      </c>
      <c r="I2367" s="405"/>
      <c r="J2367" s="405">
        <v>0.1017</v>
      </c>
      <c r="K2367" s="405">
        <v>32.494</v>
      </c>
      <c r="L2367" s="405" t="s">
        <v>314</v>
      </c>
      <c r="M2367" s="405" t="s">
        <v>329</v>
      </c>
      <c r="N2367" s="405" t="s">
        <v>1107</v>
      </c>
      <c r="O2367" s="405" t="s">
        <v>909</v>
      </c>
      <c r="P2367" s="405" t="s">
        <v>6925</v>
      </c>
      <c r="Q2367" s="411">
        <v>6</v>
      </c>
      <c r="R2367" s="405" t="s">
        <v>5903</v>
      </c>
      <c r="S2367" s="405" t="s">
        <v>27153</v>
      </c>
      <c r="T2367" s="405" t="s">
        <v>32102</v>
      </c>
      <c r="U2367" s="405" t="s">
        <v>319</v>
      </c>
    </row>
    <row r="2368" spans="1:21" x14ac:dyDescent="0.25">
      <c r="A2368" s="405" t="s">
        <v>310</v>
      </c>
      <c r="B2368" s="405" t="s">
        <v>16180</v>
      </c>
      <c r="C2368" s="405" t="s">
        <v>327</v>
      </c>
      <c r="D2368" s="405"/>
      <c r="E2368" s="410">
        <v>43271</v>
      </c>
      <c r="F2368" s="410">
        <v>43286</v>
      </c>
      <c r="G2368" s="405" t="s">
        <v>16181</v>
      </c>
      <c r="H2368" s="405">
        <v>772514944</v>
      </c>
      <c r="I2368" s="405" t="s">
        <v>16182</v>
      </c>
      <c r="J2368" s="405">
        <v>0.54210000000000003</v>
      </c>
      <c r="K2368" s="405">
        <v>34.114800000000002</v>
      </c>
      <c r="L2368" s="405" t="s">
        <v>6866</v>
      </c>
      <c r="M2368" s="405" t="s">
        <v>9514</v>
      </c>
      <c r="N2368" s="405" t="s">
        <v>9616</v>
      </c>
      <c r="O2368" s="405" t="s">
        <v>11930</v>
      </c>
      <c r="P2368" s="405" t="s">
        <v>16183</v>
      </c>
      <c r="Q2368" s="411">
        <v>6</v>
      </c>
      <c r="R2368" s="405" t="s">
        <v>7224</v>
      </c>
      <c r="S2368" s="405" t="s">
        <v>27041</v>
      </c>
      <c r="T2368" s="405" t="s">
        <v>884</v>
      </c>
      <c r="U2368" s="405" t="s">
        <v>319</v>
      </c>
    </row>
    <row r="2369" spans="1:21" x14ac:dyDescent="0.25">
      <c r="A2369" s="405" t="s">
        <v>310</v>
      </c>
      <c r="B2369" s="405" t="s">
        <v>24452</v>
      </c>
      <c r="C2369" s="405" t="s">
        <v>327</v>
      </c>
      <c r="D2369" s="405"/>
      <c r="E2369" s="410">
        <v>43269</v>
      </c>
      <c r="F2369" s="410">
        <v>43324</v>
      </c>
      <c r="G2369" s="405" t="s">
        <v>24453</v>
      </c>
      <c r="H2369" s="405">
        <v>704840874</v>
      </c>
      <c r="I2369" s="405">
        <v>782532152</v>
      </c>
      <c r="J2369" s="405">
        <v>0.124</v>
      </c>
      <c r="K2369" s="405">
        <v>30.82</v>
      </c>
      <c r="L2369" s="405" t="s">
        <v>590</v>
      </c>
      <c r="M2369" s="405" t="s">
        <v>19926</v>
      </c>
      <c r="N2369" s="405" t="s">
        <v>19927</v>
      </c>
      <c r="O2369" s="405" t="s">
        <v>24454</v>
      </c>
      <c r="P2369" s="405" t="s">
        <v>24455</v>
      </c>
      <c r="Q2369" s="411">
        <v>9</v>
      </c>
      <c r="R2369" s="405" t="s">
        <v>6943</v>
      </c>
      <c r="S2369" s="405" t="s">
        <v>27227</v>
      </c>
      <c r="T2369" s="405" t="s">
        <v>32102</v>
      </c>
      <c r="U2369" s="405" t="s">
        <v>319</v>
      </c>
    </row>
    <row r="2370" spans="1:21" x14ac:dyDescent="0.25">
      <c r="A2370" s="405" t="s">
        <v>310</v>
      </c>
      <c r="B2370" s="405" t="s">
        <v>16129</v>
      </c>
      <c r="C2370" s="405" t="s">
        <v>327</v>
      </c>
      <c r="D2370" s="405"/>
      <c r="E2370" s="410">
        <v>43269</v>
      </c>
      <c r="F2370" s="410">
        <v>43292</v>
      </c>
      <c r="G2370" s="405" t="s">
        <v>16130</v>
      </c>
      <c r="H2370" s="405">
        <v>779466469</v>
      </c>
      <c r="I2370" s="405"/>
      <c r="J2370" s="405">
        <v>1.061242</v>
      </c>
      <c r="K2370" s="405">
        <v>34.278467999999997</v>
      </c>
      <c r="L2370" s="405" t="s">
        <v>6866</v>
      </c>
      <c r="M2370" s="405" t="s">
        <v>9514</v>
      </c>
      <c r="N2370" s="405" t="s">
        <v>9722</v>
      </c>
      <c r="O2370" s="405" t="s">
        <v>16131</v>
      </c>
      <c r="P2370" s="405" t="s">
        <v>16132</v>
      </c>
      <c r="Q2370" s="411">
        <v>6</v>
      </c>
      <c r="R2370" s="405" t="s">
        <v>7224</v>
      </c>
      <c r="S2370" s="405" t="s">
        <v>27259</v>
      </c>
      <c r="T2370" s="405" t="s">
        <v>865</v>
      </c>
      <c r="U2370" s="405" t="s">
        <v>866</v>
      </c>
    </row>
    <row r="2371" spans="1:21" x14ac:dyDescent="0.25">
      <c r="A2371" s="405" t="s">
        <v>310</v>
      </c>
      <c r="B2371" s="405" t="s">
        <v>24359</v>
      </c>
      <c r="C2371" s="405" t="s">
        <v>327</v>
      </c>
      <c r="D2371" s="405"/>
      <c r="E2371" s="410">
        <v>43269</v>
      </c>
      <c r="F2371" s="410">
        <v>43291</v>
      </c>
      <c r="G2371" s="405" t="s">
        <v>24360</v>
      </c>
      <c r="H2371" s="405">
        <v>773442527</v>
      </c>
      <c r="I2371" s="405">
        <v>702919228</v>
      </c>
      <c r="J2371" s="405">
        <v>0.123987</v>
      </c>
      <c r="K2371" s="405">
        <v>31.02637</v>
      </c>
      <c r="L2371" s="405" t="s">
        <v>590</v>
      </c>
      <c r="M2371" s="405" t="s">
        <v>19705</v>
      </c>
      <c r="N2371" s="405" t="s">
        <v>19706</v>
      </c>
      <c r="O2371" s="405" t="s">
        <v>24361</v>
      </c>
      <c r="P2371" s="405" t="s">
        <v>24362</v>
      </c>
      <c r="Q2371" s="411">
        <v>6</v>
      </c>
      <c r="R2371" s="405" t="s">
        <v>5921</v>
      </c>
      <c r="S2371" s="405" t="s">
        <v>27255</v>
      </c>
      <c r="T2371" s="405" t="s">
        <v>32102</v>
      </c>
      <c r="U2371" s="405" t="s">
        <v>319</v>
      </c>
    </row>
    <row r="2372" spans="1:21" x14ac:dyDescent="0.25">
      <c r="A2372" s="405" t="s">
        <v>310</v>
      </c>
      <c r="B2372" s="405" t="s">
        <v>24314</v>
      </c>
      <c r="C2372" s="405" t="s">
        <v>327</v>
      </c>
      <c r="D2372" s="405"/>
      <c r="E2372" s="410">
        <v>43269</v>
      </c>
      <c r="F2372" s="410">
        <v>43288</v>
      </c>
      <c r="G2372" s="405" t="s">
        <v>24315</v>
      </c>
      <c r="H2372" s="405">
        <v>752026636</v>
      </c>
      <c r="I2372" s="405">
        <v>778894254</v>
      </c>
      <c r="J2372" s="405" t="s">
        <v>24316</v>
      </c>
      <c r="K2372" s="405">
        <v>30.020173</v>
      </c>
      <c r="L2372" s="405" t="s">
        <v>590</v>
      </c>
      <c r="M2372" s="405" t="s">
        <v>5312</v>
      </c>
      <c r="N2372" s="405" t="s">
        <v>20119</v>
      </c>
      <c r="O2372" s="405" t="s">
        <v>20120</v>
      </c>
      <c r="P2372" s="405" t="s">
        <v>24317</v>
      </c>
      <c r="Q2372" s="411">
        <v>6</v>
      </c>
      <c r="R2372" s="405" t="s">
        <v>6572</v>
      </c>
      <c r="S2372" s="405" t="s">
        <v>27137</v>
      </c>
      <c r="T2372" s="405" t="s">
        <v>32102</v>
      </c>
      <c r="U2372" s="405" t="s">
        <v>319</v>
      </c>
    </row>
    <row r="2373" spans="1:21" x14ac:dyDescent="0.25">
      <c r="A2373" s="405" t="s">
        <v>310</v>
      </c>
      <c r="B2373" s="405" t="s">
        <v>16045</v>
      </c>
      <c r="C2373" s="405" t="s">
        <v>327</v>
      </c>
      <c r="D2373" s="405"/>
      <c r="E2373" s="410">
        <v>43269</v>
      </c>
      <c r="F2373" s="410">
        <v>43277</v>
      </c>
      <c r="G2373" s="405" t="s">
        <v>16046</v>
      </c>
      <c r="H2373" s="405">
        <v>772668087</v>
      </c>
      <c r="I2373" s="405">
        <v>704668087</v>
      </c>
      <c r="J2373" s="405">
        <v>1.5449999999999999</v>
      </c>
      <c r="K2373" s="405">
        <v>34.335000000000001</v>
      </c>
      <c r="L2373" s="405" t="s">
        <v>6866</v>
      </c>
      <c r="M2373" s="405" t="s">
        <v>9676</v>
      </c>
      <c r="N2373" s="405" t="s">
        <v>16047</v>
      </c>
      <c r="O2373" s="405" t="s">
        <v>16047</v>
      </c>
      <c r="P2373" s="405" t="s">
        <v>16048</v>
      </c>
      <c r="Q2373" s="411">
        <v>6</v>
      </c>
      <c r="R2373" s="405" t="s">
        <v>6871</v>
      </c>
      <c r="S2373" s="405" t="s">
        <v>27306</v>
      </c>
      <c r="T2373" s="405" t="s">
        <v>32102</v>
      </c>
      <c r="U2373" s="405" t="s">
        <v>319</v>
      </c>
    </row>
    <row r="2374" spans="1:21" x14ac:dyDescent="0.25">
      <c r="A2374" s="405" t="s">
        <v>310</v>
      </c>
      <c r="B2374" s="405" t="s">
        <v>24230</v>
      </c>
      <c r="C2374" s="405" t="s">
        <v>327</v>
      </c>
      <c r="D2374" s="405"/>
      <c r="E2374" s="410">
        <v>43268</v>
      </c>
      <c r="F2374" s="410">
        <v>43282</v>
      </c>
      <c r="G2374" s="405" t="s">
        <v>24231</v>
      </c>
      <c r="H2374" s="405">
        <v>772976652</v>
      </c>
      <c r="I2374" s="405">
        <v>755553161</v>
      </c>
      <c r="J2374" s="405">
        <v>0.56374000000000002</v>
      </c>
      <c r="K2374" s="405">
        <v>30.045133</v>
      </c>
      <c r="L2374" s="405" t="s">
        <v>590</v>
      </c>
      <c r="M2374" s="405" t="s">
        <v>20032</v>
      </c>
      <c r="N2374" s="405" t="s">
        <v>20033</v>
      </c>
      <c r="O2374" s="405" t="s">
        <v>20033</v>
      </c>
      <c r="P2374" s="405" t="s">
        <v>24232</v>
      </c>
      <c r="Q2374" s="411">
        <v>9</v>
      </c>
      <c r="R2374" s="405" t="s">
        <v>32166</v>
      </c>
      <c r="S2374" s="405" t="s">
        <v>27301</v>
      </c>
      <c r="T2374" s="405" t="s">
        <v>32102</v>
      </c>
      <c r="U2374" s="405" t="s">
        <v>319</v>
      </c>
    </row>
    <row r="2375" spans="1:21" x14ac:dyDescent="0.25">
      <c r="A2375" s="405" t="s">
        <v>310</v>
      </c>
      <c r="B2375" s="405" t="s">
        <v>6920</v>
      </c>
      <c r="C2375" s="405" t="s">
        <v>327</v>
      </c>
      <c r="D2375" s="405"/>
      <c r="E2375" s="410">
        <v>43268</v>
      </c>
      <c r="F2375" s="410">
        <v>43299</v>
      </c>
      <c r="G2375" s="405" t="s">
        <v>6921</v>
      </c>
      <c r="H2375" s="405">
        <v>751559761</v>
      </c>
      <c r="I2375" s="405"/>
      <c r="J2375" s="405">
        <v>0.91100000000000003</v>
      </c>
      <c r="K2375" s="405">
        <v>32.485399999999998</v>
      </c>
      <c r="L2375" s="405" t="s">
        <v>314</v>
      </c>
      <c r="M2375" s="405" t="s">
        <v>329</v>
      </c>
      <c r="N2375" s="405" t="s">
        <v>1107</v>
      </c>
      <c r="O2375" s="405" t="s">
        <v>909</v>
      </c>
      <c r="P2375" s="405" t="s">
        <v>6922</v>
      </c>
      <c r="Q2375" s="411">
        <v>6</v>
      </c>
      <c r="R2375" s="405" t="s">
        <v>5903</v>
      </c>
      <c r="S2375" s="405" t="s">
        <v>27153</v>
      </c>
      <c r="T2375" s="405" t="s">
        <v>865</v>
      </c>
      <c r="U2375" s="405" t="s">
        <v>866</v>
      </c>
    </row>
    <row r="2376" spans="1:21" x14ac:dyDescent="0.25">
      <c r="A2376" s="405" t="s">
        <v>310</v>
      </c>
      <c r="B2376" s="405" t="s">
        <v>24318</v>
      </c>
      <c r="C2376" s="405" t="s">
        <v>327</v>
      </c>
      <c r="D2376" s="405"/>
      <c r="E2376" s="410">
        <v>43267</v>
      </c>
      <c r="F2376" s="410">
        <v>43299</v>
      </c>
      <c r="G2376" s="405" t="s">
        <v>24319</v>
      </c>
      <c r="H2376" s="405">
        <v>784142050</v>
      </c>
      <c r="I2376" s="405"/>
      <c r="J2376" s="405">
        <v>0.37180000000000002</v>
      </c>
      <c r="K2376" s="405">
        <v>30.35</v>
      </c>
      <c r="L2376" s="405" t="s">
        <v>590</v>
      </c>
      <c r="M2376" s="405" t="s">
        <v>20032</v>
      </c>
      <c r="N2376" s="405" t="s">
        <v>20033</v>
      </c>
      <c r="O2376" s="405" t="s">
        <v>21569</v>
      </c>
      <c r="P2376" s="405" t="s">
        <v>19617</v>
      </c>
      <c r="Q2376" s="411">
        <v>9</v>
      </c>
      <c r="R2376" s="405" t="s">
        <v>6572</v>
      </c>
      <c r="S2376" s="405" t="s">
        <v>27097</v>
      </c>
      <c r="T2376" s="405" t="s">
        <v>865</v>
      </c>
      <c r="U2376" s="405" t="s">
        <v>866</v>
      </c>
    </row>
    <row r="2377" spans="1:21" x14ac:dyDescent="0.25">
      <c r="A2377" s="405" t="s">
        <v>310</v>
      </c>
      <c r="B2377" s="405" t="s">
        <v>24227</v>
      </c>
      <c r="C2377" s="405" t="s">
        <v>327</v>
      </c>
      <c r="D2377" s="405"/>
      <c r="E2377" s="410">
        <v>43267</v>
      </c>
      <c r="F2377" s="410">
        <v>43286</v>
      </c>
      <c r="G2377" s="405" t="s">
        <v>24228</v>
      </c>
      <c r="H2377" s="405">
        <v>772990080</v>
      </c>
      <c r="I2377" s="405">
        <v>706776413</v>
      </c>
      <c r="J2377" s="405">
        <v>0.41</v>
      </c>
      <c r="K2377" s="405">
        <v>30.315999999999999</v>
      </c>
      <c r="L2377" s="405" t="s">
        <v>590</v>
      </c>
      <c r="M2377" s="405" t="s">
        <v>20032</v>
      </c>
      <c r="N2377" s="405" t="s">
        <v>20033</v>
      </c>
      <c r="O2377" s="405" t="s">
        <v>400</v>
      </c>
      <c r="P2377" s="405" t="s">
        <v>24229</v>
      </c>
      <c r="Q2377" s="411">
        <v>9</v>
      </c>
      <c r="R2377" s="405" t="s">
        <v>32166</v>
      </c>
      <c r="S2377" s="405" t="s">
        <v>27132</v>
      </c>
      <c r="T2377" s="405" t="s">
        <v>32102</v>
      </c>
      <c r="U2377" s="405" t="s">
        <v>319</v>
      </c>
    </row>
    <row r="2378" spans="1:21" x14ac:dyDescent="0.25">
      <c r="A2378" s="405" t="s">
        <v>310</v>
      </c>
      <c r="B2378" s="405" t="s">
        <v>24394</v>
      </c>
      <c r="C2378" s="405" t="s">
        <v>327</v>
      </c>
      <c r="D2378" s="405"/>
      <c r="E2378" s="410">
        <v>43267</v>
      </c>
      <c r="F2378" s="410">
        <v>43282</v>
      </c>
      <c r="G2378" s="405" t="s">
        <v>24395</v>
      </c>
      <c r="H2378" s="405">
        <v>702907808</v>
      </c>
      <c r="I2378" s="405">
        <v>786020812</v>
      </c>
      <c r="J2378" s="405" t="s">
        <v>24396</v>
      </c>
      <c r="K2378" s="405">
        <v>30.105029999999999</v>
      </c>
      <c r="L2378" s="405" t="s">
        <v>590</v>
      </c>
      <c r="M2378" s="405" t="s">
        <v>19926</v>
      </c>
      <c r="N2378" s="405" t="s">
        <v>19927</v>
      </c>
      <c r="O2378" s="405" t="s">
        <v>24329</v>
      </c>
      <c r="P2378" s="405" t="s">
        <v>24397</v>
      </c>
      <c r="Q2378" s="411">
        <v>9</v>
      </c>
      <c r="R2378" s="405" t="s">
        <v>6572</v>
      </c>
      <c r="S2378" s="405" t="s">
        <v>27104</v>
      </c>
      <c r="T2378" s="405" t="s">
        <v>865</v>
      </c>
      <c r="U2378" s="405" t="s">
        <v>866</v>
      </c>
    </row>
    <row r="2379" spans="1:21" x14ac:dyDescent="0.25">
      <c r="A2379" s="405" t="s">
        <v>310</v>
      </c>
      <c r="B2379" s="405" t="s">
        <v>24498</v>
      </c>
      <c r="C2379" s="405" t="s">
        <v>327</v>
      </c>
      <c r="D2379" s="405"/>
      <c r="E2379" s="410">
        <v>43266</v>
      </c>
      <c r="F2379" s="410">
        <v>43318</v>
      </c>
      <c r="G2379" s="405" t="s">
        <v>24499</v>
      </c>
      <c r="H2379" s="405">
        <v>784453451</v>
      </c>
      <c r="I2379" s="405"/>
      <c r="J2379" s="405">
        <v>0.32777800000000001</v>
      </c>
      <c r="K2379" s="405" t="s">
        <v>24500</v>
      </c>
      <c r="L2379" s="405" t="s">
        <v>590</v>
      </c>
      <c r="M2379" s="405" t="s">
        <v>19926</v>
      </c>
      <c r="N2379" s="405" t="s">
        <v>19927</v>
      </c>
      <c r="O2379" s="405" t="s">
        <v>24329</v>
      </c>
      <c r="P2379" s="405" t="s">
        <v>24329</v>
      </c>
      <c r="Q2379" s="411">
        <v>9</v>
      </c>
      <c r="R2379" s="405" t="s">
        <v>883</v>
      </c>
      <c r="S2379" s="405" t="s">
        <v>27183</v>
      </c>
      <c r="T2379" s="405" t="s">
        <v>32102</v>
      </c>
      <c r="U2379" s="405" t="s">
        <v>319</v>
      </c>
    </row>
    <row r="2380" spans="1:21" x14ac:dyDescent="0.25">
      <c r="A2380" s="405" t="s">
        <v>310</v>
      </c>
      <c r="B2380" s="405" t="s">
        <v>24233</v>
      </c>
      <c r="C2380" s="405" t="s">
        <v>327</v>
      </c>
      <c r="D2380" s="405"/>
      <c r="E2380" s="410">
        <v>43266</v>
      </c>
      <c r="F2380" s="410">
        <v>43284</v>
      </c>
      <c r="G2380" s="405" t="s">
        <v>24234</v>
      </c>
      <c r="H2380" s="405">
        <v>774029665</v>
      </c>
      <c r="I2380" s="405">
        <v>782119786</v>
      </c>
      <c r="J2380" s="405">
        <v>0.38700000000000001</v>
      </c>
      <c r="K2380" s="405">
        <v>39.49</v>
      </c>
      <c r="L2380" s="405" t="s">
        <v>590</v>
      </c>
      <c r="M2380" s="405" t="s">
        <v>20032</v>
      </c>
      <c r="N2380" s="405" t="s">
        <v>20033</v>
      </c>
      <c r="O2380" s="405" t="s">
        <v>20601</v>
      </c>
      <c r="P2380" s="405" t="s">
        <v>24235</v>
      </c>
      <c r="Q2380" s="411">
        <v>9</v>
      </c>
      <c r="R2380" s="405" t="s">
        <v>32166</v>
      </c>
      <c r="S2380" s="405" t="s">
        <v>27183</v>
      </c>
      <c r="T2380" s="405" t="s">
        <v>32102</v>
      </c>
      <c r="U2380" s="405" t="s">
        <v>319</v>
      </c>
    </row>
    <row r="2381" spans="1:21" x14ac:dyDescent="0.25">
      <c r="A2381" s="405" t="s">
        <v>310</v>
      </c>
      <c r="B2381" s="405" t="s">
        <v>7030</v>
      </c>
      <c r="C2381" s="405" t="s">
        <v>327</v>
      </c>
      <c r="D2381" s="405"/>
      <c r="E2381" s="410">
        <v>43266</v>
      </c>
      <c r="F2381" s="410">
        <v>43344</v>
      </c>
      <c r="G2381" s="405" t="s">
        <v>7031</v>
      </c>
      <c r="H2381" s="405">
        <v>757248540</v>
      </c>
      <c r="I2381" s="405">
        <v>781536710</v>
      </c>
      <c r="J2381" s="405">
        <v>0.1119</v>
      </c>
      <c r="K2381" s="405">
        <v>32.251600000000003</v>
      </c>
      <c r="L2381" s="405" t="s">
        <v>314</v>
      </c>
      <c r="M2381" s="405" t="s">
        <v>361</v>
      </c>
      <c r="N2381" s="405" t="s">
        <v>1682</v>
      </c>
      <c r="O2381" s="405" t="s">
        <v>6439</v>
      </c>
      <c r="P2381" s="405" t="s">
        <v>7032</v>
      </c>
      <c r="Q2381" s="411">
        <v>6</v>
      </c>
      <c r="R2381" s="405" t="s">
        <v>6798</v>
      </c>
      <c r="S2381" s="405" t="s">
        <v>27248</v>
      </c>
      <c r="T2381" s="405" t="s">
        <v>865</v>
      </c>
      <c r="U2381" s="405" t="s">
        <v>866</v>
      </c>
    </row>
    <row r="2382" spans="1:21" x14ac:dyDescent="0.25">
      <c r="A2382" s="405" t="s">
        <v>310</v>
      </c>
      <c r="B2382" s="405" t="s">
        <v>6926</v>
      </c>
      <c r="C2382" s="405" t="s">
        <v>327</v>
      </c>
      <c r="D2382" s="405"/>
      <c r="E2382" s="410">
        <v>43266</v>
      </c>
      <c r="F2382" s="410">
        <v>43296</v>
      </c>
      <c r="G2382" s="405" t="s">
        <v>6927</v>
      </c>
      <c r="H2382" s="405">
        <v>752491506</v>
      </c>
      <c r="I2382" s="405"/>
      <c r="J2382" s="405">
        <v>0.1012</v>
      </c>
      <c r="K2382" s="405">
        <v>32.494999999999997</v>
      </c>
      <c r="L2382" s="405" t="s">
        <v>314</v>
      </c>
      <c r="M2382" s="405" t="s">
        <v>329</v>
      </c>
      <c r="N2382" s="405" t="s">
        <v>1107</v>
      </c>
      <c r="O2382" s="405" t="s">
        <v>909</v>
      </c>
      <c r="P2382" s="405" t="s">
        <v>6925</v>
      </c>
      <c r="Q2382" s="411">
        <v>6</v>
      </c>
      <c r="R2382" s="405" t="s">
        <v>5903</v>
      </c>
      <c r="S2382" s="405" t="s">
        <v>27235</v>
      </c>
      <c r="T2382" s="405" t="s">
        <v>32102</v>
      </c>
      <c r="U2382" s="405" t="s">
        <v>319</v>
      </c>
    </row>
    <row r="2383" spans="1:21" x14ac:dyDescent="0.25">
      <c r="A2383" s="405" t="s">
        <v>310</v>
      </c>
      <c r="B2383" s="405" t="s">
        <v>7559</v>
      </c>
      <c r="C2383" s="405" t="s">
        <v>311</v>
      </c>
      <c r="D2383" s="405" t="s">
        <v>839</v>
      </c>
      <c r="E2383" s="410">
        <v>43265</v>
      </c>
      <c r="F2383" s="410">
        <v>43321</v>
      </c>
      <c r="G2383" s="405" t="s">
        <v>7560</v>
      </c>
      <c r="H2383" s="405">
        <v>702644956</v>
      </c>
      <c r="I2383" s="405" t="s">
        <v>7561</v>
      </c>
      <c r="J2383" s="405">
        <v>0.377664</v>
      </c>
      <c r="K2383" s="405">
        <v>32.606372</v>
      </c>
      <c r="L2383" s="405" t="s">
        <v>314</v>
      </c>
      <c r="M2383" s="405" t="s">
        <v>992</v>
      </c>
      <c r="N2383" s="405" t="s">
        <v>987</v>
      </c>
      <c r="O2383" s="405" t="s">
        <v>7562</v>
      </c>
      <c r="P2383" s="405" t="s">
        <v>1310</v>
      </c>
      <c r="Q2383" s="411">
        <v>9</v>
      </c>
      <c r="R2383" s="405" t="s">
        <v>402</v>
      </c>
      <c r="S2383" s="405" t="s">
        <v>27052</v>
      </c>
      <c r="T2383" s="405" t="s">
        <v>865</v>
      </c>
      <c r="U2383" s="405" t="s">
        <v>866</v>
      </c>
    </row>
    <row r="2384" spans="1:21" x14ac:dyDescent="0.25">
      <c r="A2384" s="405" t="s">
        <v>310</v>
      </c>
      <c r="B2384" s="405" t="s">
        <v>24354</v>
      </c>
      <c r="C2384" s="405" t="s">
        <v>857</v>
      </c>
      <c r="D2384" s="405" t="s">
        <v>32753</v>
      </c>
      <c r="E2384" s="410">
        <v>43265</v>
      </c>
      <c r="F2384" s="410">
        <v>43284</v>
      </c>
      <c r="G2384" s="405" t="s">
        <v>24355</v>
      </c>
      <c r="H2384" s="405">
        <v>702512886</v>
      </c>
      <c r="I2384" s="405"/>
      <c r="J2384" s="405">
        <v>0.138715</v>
      </c>
      <c r="K2384" s="405">
        <v>30.929069999999999</v>
      </c>
      <c r="L2384" s="405" t="s">
        <v>590</v>
      </c>
      <c r="M2384" s="405" t="s">
        <v>19705</v>
      </c>
      <c r="N2384" s="405" t="s">
        <v>19706</v>
      </c>
      <c r="O2384" s="405" t="s">
        <v>19707</v>
      </c>
      <c r="P2384" s="405" t="s">
        <v>20312</v>
      </c>
      <c r="Q2384" s="411">
        <v>9</v>
      </c>
      <c r="R2384" s="405" t="s">
        <v>874</v>
      </c>
      <c r="S2384" s="405" t="s">
        <v>27275</v>
      </c>
      <c r="T2384" s="405" t="s">
        <v>32102</v>
      </c>
      <c r="U2384" s="405" t="s">
        <v>319</v>
      </c>
    </row>
    <row r="2385" spans="1:21" x14ac:dyDescent="0.25">
      <c r="A2385" s="405" t="s">
        <v>310</v>
      </c>
      <c r="B2385" s="405" t="s">
        <v>7033</v>
      </c>
      <c r="C2385" s="405" t="s">
        <v>327</v>
      </c>
      <c r="D2385" s="405"/>
      <c r="E2385" s="410">
        <v>43264</v>
      </c>
      <c r="F2385" s="410">
        <v>43350</v>
      </c>
      <c r="G2385" s="405" t="s">
        <v>7034</v>
      </c>
      <c r="H2385" s="405">
        <v>772969240</v>
      </c>
      <c r="I2385" s="405">
        <v>759003460</v>
      </c>
      <c r="J2385" s="405" t="s">
        <v>7035</v>
      </c>
      <c r="K2385" s="405">
        <v>32.777676999999997</v>
      </c>
      <c r="L2385" s="405" t="s">
        <v>314</v>
      </c>
      <c r="M2385" s="405" t="s">
        <v>959</v>
      </c>
      <c r="N2385" s="405" t="s">
        <v>803</v>
      </c>
      <c r="O2385" s="405" t="s">
        <v>909</v>
      </c>
      <c r="P2385" s="405" t="s">
        <v>7036</v>
      </c>
      <c r="Q2385" s="411">
        <v>6</v>
      </c>
      <c r="R2385" s="405" t="s">
        <v>6798</v>
      </c>
      <c r="S2385" s="405" t="s">
        <v>27047</v>
      </c>
      <c r="T2385" s="405" t="s">
        <v>865</v>
      </c>
      <c r="U2385" s="405" t="s">
        <v>866</v>
      </c>
    </row>
    <row r="2386" spans="1:21" x14ac:dyDescent="0.25">
      <c r="A2386" s="405" t="s">
        <v>310</v>
      </c>
      <c r="B2386" s="405" t="s">
        <v>6969</v>
      </c>
      <c r="C2386" s="405" t="s">
        <v>327</v>
      </c>
      <c r="D2386" s="405"/>
      <c r="E2386" s="410">
        <v>43264</v>
      </c>
      <c r="F2386" s="410">
        <v>43314</v>
      </c>
      <c r="G2386" s="405" t="s">
        <v>6970</v>
      </c>
      <c r="H2386" s="405">
        <v>772985484</v>
      </c>
      <c r="I2386" s="405"/>
      <c r="J2386" s="405">
        <v>0.13189999999999999</v>
      </c>
      <c r="K2386" s="405">
        <v>32.494999999999997</v>
      </c>
      <c r="L2386" s="405" t="s">
        <v>314</v>
      </c>
      <c r="M2386" s="405" t="s">
        <v>329</v>
      </c>
      <c r="N2386" s="405" t="s">
        <v>1107</v>
      </c>
      <c r="O2386" s="405" t="s">
        <v>909</v>
      </c>
      <c r="P2386" s="405" t="s">
        <v>2176</v>
      </c>
      <c r="Q2386" s="411">
        <v>6</v>
      </c>
      <c r="R2386" s="405" t="s">
        <v>5903</v>
      </c>
      <c r="S2386" s="405" t="s">
        <v>27153</v>
      </c>
      <c r="T2386" s="405" t="s">
        <v>865</v>
      </c>
      <c r="U2386" s="405" t="s">
        <v>866</v>
      </c>
    </row>
    <row r="2387" spans="1:21" x14ac:dyDescent="0.25">
      <c r="A2387" s="405" t="s">
        <v>310</v>
      </c>
      <c r="B2387" s="405" t="s">
        <v>24379</v>
      </c>
      <c r="C2387" s="405" t="s">
        <v>327</v>
      </c>
      <c r="D2387" s="405"/>
      <c r="E2387" s="410">
        <v>43264</v>
      </c>
      <c r="F2387" s="410">
        <v>43292</v>
      </c>
      <c r="G2387" s="405" t="s">
        <v>24380</v>
      </c>
      <c r="H2387" s="405">
        <v>778863683</v>
      </c>
      <c r="I2387" s="405"/>
      <c r="J2387" s="405" t="s">
        <v>24381</v>
      </c>
      <c r="K2387" s="405">
        <v>30.194732999999999</v>
      </c>
      <c r="L2387" s="405" t="s">
        <v>590</v>
      </c>
      <c r="M2387" s="405" t="s">
        <v>19625</v>
      </c>
      <c r="N2387" s="405" t="s">
        <v>19642</v>
      </c>
      <c r="O2387" s="405" t="s">
        <v>22104</v>
      </c>
      <c r="P2387" s="405" t="s">
        <v>24382</v>
      </c>
      <c r="Q2387" s="411">
        <v>6</v>
      </c>
      <c r="R2387" s="405" t="s">
        <v>6572</v>
      </c>
      <c r="S2387" s="405" t="s">
        <v>27161</v>
      </c>
      <c r="T2387" s="405" t="s">
        <v>865</v>
      </c>
      <c r="U2387" s="405" t="s">
        <v>866</v>
      </c>
    </row>
    <row r="2388" spans="1:21" x14ac:dyDescent="0.25">
      <c r="A2388" s="405" t="s">
        <v>310</v>
      </c>
      <c r="B2388" s="405" t="s">
        <v>6894</v>
      </c>
      <c r="C2388" s="405" t="s">
        <v>327</v>
      </c>
      <c r="D2388" s="405"/>
      <c r="E2388" s="410">
        <v>43262</v>
      </c>
      <c r="F2388" s="410">
        <v>43277</v>
      </c>
      <c r="G2388" s="405" t="s">
        <v>6895</v>
      </c>
      <c r="H2388" s="405">
        <v>751643193</v>
      </c>
      <c r="I2388" s="405" t="s">
        <v>6896</v>
      </c>
      <c r="J2388" s="405">
        <v>0.10390000000000001</v>
      </c>
      <c r="K2388" s="405">
        <v>32.4724</v>
      </c>
      <c r="L2388" s="405" t="s">
        <v>6897</v>
      </c>
      <c r="M2388" s="405" t="s">
        <v>329</v>
      </c>
      <c r="N2388" s="405" t="s">
        <v>909</v>
      </c>
      <c r="O2388" s="405" t="s">
        <v>652</v>
      </c>
      <c r="P2388" s="405" t="s">
        <v>6841</v>
      </c>
      <c r="Q2388" s="411">
        <v>6</v>
      </c>
      <c r="R2388" s="405" t="s">
        <v>6798</v>
      </c>
      <c r="S2388" s="405" t="s">
        <v>27047</v>
      </c>
      <c r="T2388" s="405" t="s">
        <v>32102</v>
      </c>
      <c r="U2388" s="405" t="s">
        <v>319</v>
      </c>
    </row>
    <row r="2389" spans="1:21" x14ac:dyDescent="0.25">
      <c r="A2389" s="405" t="s">
        <v>310</v>
      </c>
      <c r="B2389" s="405" t="s">
        <v>24676</v>
      </c>
      <c r="C2389" s="405" t="s">
        <v>327</v>
      </c>
      <c r="D2389" s="405"/>
      <c r="E2389" s="410">
        <v>43261</v>
      </c>
      <c r="F2389" s="410">
        <v>43395</v>
      </c>
      <c r="G2389" s="405" t="s">
        <v>24677</v>
      </c>
      <c r="H2389" s="405">
        <v>780277829</v>
      </c>
      <c r="I2389" s="405"/>
      <c r="J2389" s="405">
        <v>0.3352</v>
      </c>
      <c r="K2389" s="405">
        <v>30.852</v>
      </c>
      <c r="L2389" s="405" t="s">
        <v>590</v>
      </c>
      <c r="M2389" s="405" t="s">
        <v>20125</v>
      </c>
      <c r="N2389" s="405" t="s">
        <v>24678</v>
      </c>
      <c r="O2389" s="405" t="s">
        <v>666</v>
      </c>
      <c r="P2389" s="405" t="s">
        <v>24679</v>
      </c>
      <c r="Q2389" s="411">
        <v>9</v>
      </c>
      <c r="R2389" s="405" t="s">
        <v>32166</v>
      </c>
      <c r="S2389" s="405" t="s">
        <v>27102</v>
      </c>
      <c r="T2389" s="405" t="s">
        <v>32102</v>
      </c>
      <c r="U2389" s="405" t="s">
        <v>319</v>
      </c>
    </row>
    <row r="2390" spans="1:21" x14ac:dyDescent="0.25">
      <c r="A2390" s="405" t="s">
        <v>310</v>
      </c>
      <c r="B2390" s="405" t="s">
        <v>24505</v>
      </c>
      <c r="C2390" s="405" t="s">
        <v>327</v>
      </c>
      <c r="D2390" s="405"/>
      <c r="E2390" s="410">
        <v>43261</v>
      </c>
      <c r="F2390" s="410">
        <v>43327</v>
      </c>
      <c r="G2390" s="405" t="s">
        <v>24506</v>
      </c>
      <c r="H2390" s="405">
        <v>777606466</v>
      </c>
      <c r="I2390" s="405"/>
      <c r="J2390" s="405">
        <v>-0.68692299999999995</v>
      </c>
      <c r="K2390" s="405">
        <v>29.999455000000001</v>
      </c>
      <c r="L2390" s="405" t="s">
        <v>590</v>
      </c>
      <c r="M2390" s="405" t="s">
        <v>20032</v>
      </c>
      <c r="N2390" s="405" t="s">
        <v>24086</v>
      </c>
      <c r="O2390" s="405" t="s">
        <v>20373</v>
      </c>
      <c r="P2390" s="405" t="s">
        <v>24507</v>
      </c>
      <c r="Q2390" s="411">
        <v>9</v>
      </c>
      <c r="R2390" s="405" t="s">
        <v>883</v>
      </c>
      <c r="S2390" s="405" t="s">
        <v>27065</v>
      </c>
      <c r="T2390" s="405" t="s">
        <v>865</v>
      </c>
      <c r="U2390" s="405" t="s">
        <v>866</v>
      </c>
    </row>
    <row r="2391" spans="1:21" x14ac:dyDescent="0.25">
      <c r="A2391" s="405" t="s">
        <v>310</v>
      </c>
      <c r="B2391" s="405" t="s">
        <v>24363</v>
      </c>
      <c r="C2391" s="405" t="s">
        <v>327</v>
      </c>
      <c r="D2391" s="405"/>
      <c r="E2391" s="410">
        <v>43261</v>
      </c>
      <c r="F2391" s="410">
        <v>43291</v>
      </c>
      <c r="G2391" s="405" t="s">
        <v>24364</v>
      </c>
      <c r="H2391" s="405">
        <v>752954310</v>
      </c>
      <c r="I2391" s="405">
        <v>783242698</v>
      </c>
      <c r="J2391" s="405">
        <v>0.88989799999999997</v>
      </c>
      <c r="K2391" s="405">
        <v>30.965343000000001</v>
      </c>
      <c r="L2391" s="405" t="s">
        <v>590</v>
      </c>
      <c r="M2391" s="405" t="s">
        <v>879</v>
      </c>
      <c r="N2391" s="405" t="s">
        <v>12376</v>
      </c>
      <c r="O2391" s="405" t="s">
        <v>21350</v>
      </c>
      <c r="P2391" s="405" t="s">
        <v>21350</v>
      </c>
      <c r="Q2391" s="411">
        <v>9</v>
      </c>
      <c r="R2391" s="405" t="s">
        <v>32166</v>
      </c>
      <c r="S2391" s="405" t="s">
        <v>27102</v>
      </c>
      <c r="T2391" s="405" t="s">
        <v>32212</v>
      </c>
      <c r="U2391" s="405" t="s">
        <v>2267</v>
      </c>
    </row>
    <row r="2392" spans="1:21" x14ac:dyDescent="0.25">
      <c r="A2392" s="405" t="s">
        <v>310</v>
      </c>
      <c r="B2392" s="405" t="s">
        <v>24351</v>
      </c>
      <c r="C2392" s="405" t="s">
        <v>327</v>
      </c>
      <c r="D2392" s="405"/>
      <c r="E2392" s="410">
        <v>43261</v>
      </c>
      <c r="F2392" s="410">
        <v>43286</v>
      </c>
      <c r="G2392" s="405" t="s">
        <v>24352</v>
      </c>
      <c r="H2392" s="405">
        <v>756060319</v>
      </c>
      <c r="I2392" s="405"/>
      <c r="J2392" s="405">
        <v>0.1328</v>
      </c>
      <c r="K2392" s="405">
        <v>30.103000000000002</v>
      </c>
      <c r="L2392" s="405" t="s">
        <v>590</v>
      </c>
      <c r="M2392" s="405" t="s">
        <v>19926</v>
      </c>
      <c r="N2392" s="405" t="s">
        <v>19927</v>
      </c>
      <c r="O2392" s="405" t="s">
        <v>5799</v>
      </c>
      <c r="P2392" s="405" t="s">
        <v>24353</v>
      </c>
      <c r="Q2392" s="411">
        <v>9</v>
      </c>
      <c r="R2392" s="405" t="s">
        <v>883</v>
      </c>
      <c r="S2392" s="405" t="s">
        <v>27205</v>
      </c>
      <c r="T2392" s="405" t="s">
        <v>865</v>
      </c>
      <c r="U2392" s="405" t="s">
        <v>866</v>
      </c>
    </row>
    <row r="2393" spans="1:21" x14ac:dyDescent="0.25">
      <c r="A2393" s="405" t="s">
        <v>310</v>
      </c>
      <c r="B2393" s="405" t="s">
        <v>6901</v>
      </c>
      <c r="C2393" s="405" t="s">
        <v>327</v>
      </c>
      <c r="D2393" s="405"/>
      <c r="E2393" s="410">
        <v>43261</v>
      </c>
      <c r="F2393" s="410">
        <v>43274</v>
      </c>
      <c r="G2393" s="405" t="s">
        <v>6902</v>
      </c>
      <c r="H2393" s="405">
        <v>705446192</v>
      </c>
      <c r="I2393" s="405"/>
      <c r="J2393" s="405">
        <v>0.3049</v>
      </c>
      <c r="K2393" s="405">
        <v>32.351199999999999</v>
      </c>
      <c r="L2393" s="405" t="s">
        <v>314</v>
      </c>
      <c r="M2393" s="405" t="s">
        <v>361</v>
      </c>
      <c r="N2393" s="405" t="s">
        <v>433</v>
      </c>
      <c r="O2393" s="405" t="s">
        <v>6903</v>
      </c>
      <c r="P2393" s="405" t="s">
        <v>6904</v>
      </c>
      <c r="Q2393" s="411">
        <v>9</v>
      </c>
      <c r="R2393" s="405" t="s">
        <v>32101</v>
      </c>
      <c r="S2393" s="405" t="s">
        <v>27193</v>
      </c>
      <c r="T2393" s="405" t="s">
        <v>32102</v>
      </c>
      <c r="U2393" s="405" t="s">
        <v>319</v>
      </c>
    </row>
    <row r="2394" spans="1:21" x14ac:dyDescent="0.25">
      <c r="A2394" s="405" t="s">
        <v>310</v>
      </c>
      <c r="B2394" s="405" t="s">
        <v>6908</v>
      </c>
      <c r="C2394" s="405" t="s">
        <v>327</v>
      </c>
      <c r="D2394" s="405"/>
      <c r="E2394" s="410">
        <v>43260</v>
      </c>
      <c r="F2394" s="410">
        <v>43261</v>
      </c>
      <c r="G2394" s="405" t="s">
        <v>6909</v>
      </c>
      <c r="H2394" s="405">
        <v>772619914</v>
      </c>
      <c r="I2394" s="405"/>
      <c r="J2394" s="405" t="s">
        <v>6910</v>
      </c>
      <c r="K2394" s="405">
        <v>32.601627000000001</v>
      </c>
      <c r="L2394" s="405" t="s">
        <v>314</v>
      </c>
      <c r="M2394" s="405" t="s">
        <v>361</v>
      </c>
      <c r="N2394" s="405" t="s">
        <v>1290</v>
      </c>
      <c r="O2394" s="405" t="s">
        <v>6903</v>
      </c>
      <c r="P2394" s="405" t="s">
        <v>6911</v>
      </c>
      <c r="Q2394" s="411">
        <v>13</v>
      </c>
      <c r="R2394" s="405" t="s">
        <v>32101</v>
      </c>
      <c r="S2394" s="405" t="s">
        <v>27193</v>
      </c>
      <c r="T2394" s="405" t="s">
        <v>32102</v>
      </c>
      <c r="U2394" s="405" t="s">
        <v>319</v>
      </c>
    </row>
    <row r="2395" spans="1:21" x14ac:dyDescent="0.25">
      <c r="A2395" s="405" t="s">
        <v>310</v>
      </c>
      <c r="B2395" s="405" t="s">
        <v>16149</v>
      </c>
      <c r="C2395" s="405" t="s">
        <v>327</v>
      </c>
      <c r="D2395" s="405"/>
      <c r="E2395" s="410">
        <v>43260</v>
      </c>
      <c r="F2395" s="410">
        <v>43309</v>
      </c>
      <c r="G2395" s="405" t="s">
        <v>16150</v>
      </c>
      <c r="H2395" s="405">
        <v>780836094</v>
      </c>
      <c r="I2395" s="405" t="s">
        <v>16151</v>
      </c>
      <c r="J2395" s="405">
        <v>1.2411000000000001</v>
      </c>
      <c r="K2395" s="405">
        <v>34.302</v>
      </c>
      <c r="L2395" s="405" t="s">
        <v>6866</v>
      </c>
      <c r="M2395" s="405" t="s">
        <v>9705</v>
      </c>
      <c r="N2395" s="405" t="s">
        <v>9705</v>
      </c>
      <c r="O2395" s="405" t="s">
        <v>9706</v>
      </c>
      <c r="P2395" s="405" t="s">
        <v>9706</v>
      </c>
      <c r="Q2395" s="411">
        <v>6</v>
      </c>
      <c r="R2395" s="405" t="s">
        <v>9506</v>
      </c>
      <c r="S2395" s="405" t="s">
        <v>27072</v>
      </c>
      <c r="T2395" s="405" t="s">
        <v>32102</v>
      </c>
      <c r="U2395" s="405" t="s">
        <v>319</v>
      </c>
    </row>
    <row r="2396" spans="1:21" x14ac:dyDescent="0.25">
      <c r="A2396" s="405" t="s">
        <v>310</v>
      </c>
      <c r="B2396" s="405" t="s">
        <v>16063</v>
      </c>
      <c r="C2396" s="405" t="s">
        <v>327</v>
      </c>
      <c r="D2396" s="405"/>
      <c r="E2396" s="410">
        <v>43260</v>
      </c>
      <c r="F2396" s="410">
        <v>43275</v>
      </c>
      <c r="G2396" s="405" t="s">
        <v>16064</v>
      </c>
      <c r="H2396" s="405">
        <v>782527369</v>
      </c>
      <c r="I2396" s="405">
        <v>704802057</v>
      </c>
      <c r="J2396" s="405" t="s">
        <v>16065</v>
      </c>
      <c r="K2396" s="405">
        <v>34.209187999999997</v>
      </c>
      <c r="L2396" s="405" t="s">
        <v>6866</v>
      </c>
      <c r="M2396" s="405" t="s">
        <v>9514</v>
      </c>
      <c r="N2396" s="405" t="s">
        <v>9616</v>
      </c>
      <c r="O2396" s="405" t="s">
        <v>4940</v>
      </c>
      <c r="P2396" s="405" t="s">
        <v>16066</v>
      </c>
      <c r="Q2396" s="411">
        <v>6</v>
      </c>
      <c r="R2396" s="405" t="s">
        <v>7224</v>
      </c>
      <c r="S2396" s="405" t="s">
        <v>27259</v>
      </c>
      <c r="T2396" s="405" t="s">
        <v>865</v>
      </c>
      <c r="U2396" s="405" t="s">
        <v>866</v>
      </c>
    </row>
    <row r="2397" spans="1:21" x14ac:dyDescent="0.25">
      <c r="A2397" s="405" t="s">
        <v>310</v>
      </c>
      <c r="B2397" s="405" t="s">
        <v>24203</v>
      </c>
      <c r="C2397" s="405" t="s">
        <v>327</v>
      </c>
      <c r="D2397" s="405"/>
      <c r="E2397" s="410">
        <v>43259</v>
      </c>
      <c r="F2397" s="410">
        <v>43274</v>
      </c>
      <c r="G2397" s="405" t="s">
        <v>24204</v>
      </c>
      <c r="H2397" s="405">
        <v>7821976603</v>
      </c>
      <c r="I2397" s="405"/>
      <c r="J2397" s="405">
        <v>0.58885500000000002</v>
      </c>
      <c r="K2397" s="405">
        <v>29.976285000000001</v>
      </c>
      <c r="L2397" s="405" t="s">
        <v>590</v>
      </c>
      <c r="M2397" s="405" t="s">
        <v>20032</v>
      </c>
      <c r="N2397" s="405" t="s">
        <v>20601</v>
      </c>
      <c r="O2397" s="405" t="s">
        <v>24205</v>
      </c>
      <c r="P2397" s="405" t="s">
        <v>24206</v>
      </c>
      <c r="Q2397" s="411">
        <v>9</v>
      </c>
      <c r="R2397" s="405" t="s">
        <v>883</v>
      </c>
      <c r="S2397" s="405" t="s">
        <v>27183</v>
      </c>
      <c r="T2397" s="405" t="s">
        <v>865</v>
      </c>
      <c r="U2397" s="405" t="s">
        <v>866</v>
      </c>
    </row>
    <row r="2398" spans="1:21" x14ac:dyDescent="0.25">
      <c r="A2398" s="405" t="s">
        <v>310</v>
      </c>
      <c r="B2398" s="405" t="s">
        <v>24406</v>
      </c>
      <c r="C2398" s="405" t="s">
        <v>327</v>
      </c>
      <c r="D2398" s="405"/>
      <c r="E2398" s="410">
        <v>43258</v>
      </c>
      <c r="F2398" s="410">
        <v>43304</v>
      </c>
      <c r="G2398" s="405" t="s">
        <v>24407</v>
      </c>
      <c r="H2398" s="405">
        <v>772485588</v>
      </c>
      <c r="I2398" s="405"/>
      <c r="J2398" s="405">
        <v>0.84868200000000005</v>
      </c>
      <c r="K2398" s="405">
        <v>31.152242000000001</v>
      </c>
      <c r="L2398" s="405" t="s">
        <v>590</v>
      </c>
      <c r="M2398" s="405" t="s">
        <v>19614</v>
      </c>
      <c r="N2398" s="405" t="s">
        <v>19615</v>
      </c>
      <c r="O2398" s="405" t="s">
        <v>20154</v>
      </c>
      <c r="P2398" s="405" t="s">
        <v>20064</v>
      </c>
      <c r="Q2398" s="411">
        <v>9</v>
      </c>
      <c r="R2398" s="405" t="s">
        <v>883</v>
      </c>
      <c r="S2398" s="405" t="s">
        <v>27097</v>
      </c>
      <c r="T2398" s="405" t="s">
        <v>32102</v>
      </c>
      <c r="U2398" s="405" t="s">
        <v>319</v>
      </c>
    </row>
    <row r="2399" spans="1:21" x14ac:dyDescent="0.25">
      <c r="A2399" s="405" t="s">
        <v>310</v>
      </c>
      <c r="B2399" s="405" t="s">
        <v>24217</v>
      </c>
      <c r="C2399" s="405" t="s">
        <v>327</v>
      </c>
      <c r="D2399" s="405"/>
      <c r="E2399" s="410">
        <v>43258</v>
      </c>
      <c r="F2399" s="410">
        <v>43279</v>
      </c>
      <c r="G2399" s="405" t="s">
        <v>24218</v>
      </c>
      <c r="H2399" s="405">
        <v>782424407</v>
      </c>
      <c r="I2399" s="405">
        <v>702890586</v>
      </c>
      <c r="J2399" s="405">
        <v>0.22475000000000001</v>
      </c>
      <c r="K2399" s="405">
        <v>30.765018000000001</v>
      </c>
      <c r="L2399" s="405" t="s">
        <v>590</v>
      </c>
      <c r="M2399" s="405" t="s">
        <v>19705</v>
      </c>
      <c r="N2399" s="405" t="s">
        <v>19706</v>
      </c>
      <c r="O2399" s="405" t="s">
        <v>19707</v>
      </c>
      <c r="P2399" s="405" t="s">
        <v>24219</v>
      </c>
      <c r="Q2399" s="411">
        <v>9</v>
      </c>
      <c r="R2399" s="405" t="s">
        <v>874</v>
      </c>
      <c r="S2399" s="405" t="s">
        <v>27405</v>
      </c>
      <c r="T2399" s="405" t="s">
        <v>32102</v>
      </c>
      <c r="U2399" s="405" t="s">
        <v>319</v>
      </c>
    </row>
    <row r="2400" spans="1:21" x14ac:dyDescent="0.25">
      <c r="A2400" s="405" t="s">
        <v>310</v>
      </c>
      <c r="B2400" s="405" t="s">
        <v>24371</v>
      </c>
      <c r="C2400" s="405" t="s">
        <v>327</v>
      </c>
      <c r="D2400" s="405"/>
      <c r="E2400" s="410">
        <v>43257</v>
      </c>
      <c r="F2400" s="410">
        <v>43286</v>
      </c>
      <c r="G2400" s="405" t="s">
        <v>24372</v>
      </c>
      <c r="H2400" s="405">
        <v>781153629</v>
      </c>
      <c r="I2400" s="405">
        <v>771622465</v>
      </c>
      <c r="J2400" s="405" t="s">
        <v>24373</v>
      </c>
      <c r="K2400" s="405">
        <v>30.004587999999998</v>
      </c>
      <c r="L2400" s="405" t="s">
        <v>590</v>
      </c>
      <c r="M2400" s="405" t="s">
        <v>20032</v>
      </c>
      <c r="N2400" s="405" t="s">
        <v>20033</v>
      </c>
      <c r="O2400" s="405" t="s">
        <v>24374</v>
      </c>
      <c r="P2400" s="405" t="s">
        <v>24375</v>
      </c>
      <c r="Q2400" s="411">
        <v>9</v>
      </c>
      <c r="R2400" s="405" t="s">
        <v>5858</v>
      </c>
      <c r="S2400" s="405" t="s">
        <v>27065</v>
      </c>
      <c r="T2400" s="405" t="s">
        <v>32102</v>
      </c>
      <c r="U2400" s="405" t="s">
        <v>319</v>
      </c>
    </row>
    <row r="2401" spans="1:21" x14ac:dyDescent="0.25">
      <c r="A2401" s="405" t="s">
        <v>310</v>
      </c>
      <c r="B2401" s="405" t="s">
        <v>24568</v>
      </c>
      <c r="C2401" s="405" t="s">
        <v>311</v>
      </c>
      <c r="D2401" s="405" t="s">
        <v>839</v>
      </c>
      <c r="E2401" s="410">
        <v>43257</v>
      </c>
      <c r="F2401" s="410">
        <v>43278</v>
      </c>
      <c r="G2401" s="405" t="s">
        <v>24569</v>
      </c>
      <c r="H2401" s="405">
        <v>702899085</v>
      </c>
      <c r="I2401" s="405">
        <v>752939993</v>
      </c>
      <c r="J2401" s="405">
        <v>0.26400000000000001</v>
      </c>
      <c r="K2401" s="405">
        <v>30.524000000000001</v>
      </c>
      <c r="L2401" s="405" t="s">
        <v>590</v>
      </c>
      <c r="M2401" s="405" t="s">
        <v>19705</v>
      </c>
      <c r="N2401" s="405" t="s">
        <v>19706</v>
      </c>
      <c r="O2401" s="405" t="s">
        <v>4156</v>
      </c>
      <c r="P2401" s="405" t="s">
        <v>24570</v>
      </c>
      <c r="Q2401" s="411">
        <v>9</v>
      </c>
      <c r="R2401" s="405" t="s">
        <v>6572</v>
      </c>
      <c r="S2401" s="405" t="s">
        <v>27137</v>
      </c>
      <c r="T2401" s="405" t="s">
        <v>865</v>
      </c>
      <c r="U2401" s="405" t="s">
        <v>866</v>
      </c>
    </row>
    <row r="2402" spans="1:21" x14ac:dyDescent="0.25">
      <c r="A2402" s="405" t="s">
        <v>310</v>
      </c>
      <c r="B2402" s="405" t="s">
        <v>16136</v>
      </c>
      <c r="C2402" s="405" t="s">
        <v>327</v>
      </c>
      <c r="D2402" s="405"/>
      <c r="E2402" s="410">
        <v>43256</v>
      </c>
      <c r="F2402" s="410">
        <v>43286</v>
      </c>
      <c r="G2402" s="405" t="s">
        <v>16137</v>
      </c>
      <c r="H2402" s="405">
        <v>781097167</v>
      </c>
      <c r="I2402" s="405"/>
      <c r="J2402" s="405">
        <v>1.89</v>
      </c>
      <c r="K2402" s="405">
        <v>32.58</v>
      </c>
      <c r="L2402" s="405" t="s">
        <v>6866</v>
      </c>
      <c r="M2402" s="405" t="s">
        <v>3009</v>
      </c>
      <c r="N2402" s="405" t="s">
        <v>11632</v>
      </c>
      <c r="O2402" s="405" t="s">
        <v>16138</v>
      </c>
      <c r="P2402" s="405" t="s">
        <v>2993</v>
      </c>
      <c r="Q2402" s="411">
        <v>6</v>
      </c>
      <c r="R2402" s="405" t="s">
        <v>7224</v>
      </c>
      <c r="S2402" s="405" t="s">
        <v>27073</v>
      </c>
      <c r="T2402" s="405" t="s">
        <v>865</v>
      </c>
      <c r="U2402" s="405" t="s">
        <v>866</v>
      </c>
    </row>
    <row r="2403" spans="1:21" x14ac:dyDescent="0.25">
      <c r="A2403" s="405" t="s">
        <v>310</v>
      </c>
      <c r="B2403" s="405" t="s">
        <v>16052</v>
      </c>
      <c r="C2403" s="405" t="s">
        <v>327</v>
      </c>
      <c r="D2403" s="405"/>
      <c r="E2403" s="410">
        <v>43256</v>
      </c>
      <c r="F2403" s="410">
        <v>43274</v>
      </c>
      <c r="G2403" s="405" t="s">
        <v>16053</v>
      </c>
      <c r="H2403" s="405">
        <v>772999914</v>
      </c>
      <c r="I2403" s="405">
        <v>702503300</v>
      </c>
      <c r="J2403" s="405">
        <v>1.100857</v>
      </c>
      <c r="K2403" s="405">
        <v>34.175809999999998</v>
      </c>
      <c r="L2403" s="405" t="s">
        <v>6866</v>
      </c>
      <c r="M2403" s="405" t="s">
        <v>9514</v>
      </c>
      <c r="N2403" s="405" t="s">
        <v>10236</v>
      </c>
      <c r="O2403" s="405" t="s">
        <v>12948</v>
      </c>
      <c r="P2403" s="405" t="s">
        <v>16054</v>
      </c>
      <c r="Q2403" s="411">
        <v>6</v>
      </c>
      <c r="R2403" s="405" t="s">
        <v>7224</v>
      </c>
      <c r="S2403" s="405" t="s">
        <v>27041</v>
      </c>
      <c r="T2403" s="405" t="s">
        <v>32102</v>
      </c>
      <c r="U2403" s="405" t="s">
        <v>319</v>
      </c>
    </row>
    <row r="2404" spans="1:21" x14ac:dyDescent="0.25">
      <c r="A2404" s="405" t="s">
        <v>310</v>
      </c>
      <c r="B2404" s="405" t="s">
        <v>24327</v>
      </c>
      <c r="C2404" s="405" t="s">
        <v>327</v>
      </c>
      <c r="D2404" s="405"/>
      <c r="E2404" s="410">
        <v>43255</v>
      </c>
      <c r="F2404" s="410">
        <v>43283</v>
      </c>
      <c r="G2404" s="405" t="s">
        <v>24328</v>
      </c>
      <c r="H2404" s="405">
        <v>782650811</v>
      </c>
      <c r="I2404" s="405">
        <v>703458608</v>
      </c>
      <c r="J2404" s="405">
        <v>0.22500000000000001</v>
      </c>
      <c r="K2404" s="405">
        <v>30.78</v>
      </c>
      <c r="L2404" s="405" t="s">
        <v>590</v>
      </c>
      <c r="M2404" s="405" t="s">
        <v>19926</v>
      </c>
      <c r="N2404" s="405" t="s">
        <v>19927</v>
      </c>
      <c r="O2404" s="405" t="s">
        <v>24329</v>
      </c>
      <c r="P2404" s="405" t="s">
        <v>24330</v>
      </c>
      <c r="Q2404" s="411">
        <v>9</v>
      </c>
      <c r="R2404" s="405" t="s">
        <v>6572</v>
      </c>
      <c r="S2404" s="405" t="s">
        <v>27166</v>
      </c>
      <c r="T2404" s="405" t="s">
        <v>865</v>
      </c>
      <c r="U2404" s="405" t="s">
        <v>866</v>
      </c>
    </row>
    <row r="2405" spans="1:21" x14ac:dyDescent="0.25">
      <c r="A2405" s="405" t="s">
        <v>310</v>
      </c>
      <c r="B2405" s="405" t="s">
        <v>24270</v>
      </c>
      <c r="C2405" s="405" t="s">
        <v>327</v>
      </c>
      <c r="D2405" s="405"/>
      <c r="E2405" s="410">
        <v>43254</v>
      </c>
      <c r="F2405" s="410">
        <v>43300</v>
      </c>
      <c r="G2405" s="405" t="s">
        <v>24271</v>
      </c>
      <c r="H2405" s="405">
        <v>782792118</v>
      </c>
      <c r="I2405" s="405"/>
      <c r="J2405" s="405">
        <v>0.85224200000000006</v>
      </c>
      <c r="K2405" s="405">
        <v>30.225664999999999</v>
      </c>
      <c r="L2405" s="405" t="s">
        <v>590</v>
      </c>
      <c r="M2405" s="405" t="s">
        <v>19659</v>
      </c>
      <c r="N2405" s="405" t="s">
        <v>19664</v>
      </c>
      <c r="O2405" s="405" t="s">
        <v>19659</v>
      </c>
      <c r="P2405" s="405" t="s">
        <v>24272</v>
      </c>
      <c r="Q2405" s="411">
        <v>9</v>
      </c>
      <c r="R2405" s="405" t="s">
        <v>6943</v>
      </c>
      <c r="S2405" s="405" t="s">
        <v>27434</v>
      </c>
      <c r="T2405" s="405" t="s">
        <v>32102</v>
      </c>
      <c r="U2405" s="405" t="s">
        <v>319</v>
      </c>
    </row>
    <row r="2406" spans="1:21" x14ac:dyDescent="0.25">
      <c r="A2406" s="405" t="s">
        <v>310</v>
      </c>
      <c r="B2406" s="405" t="s">
        <v>16815</v>
      </c>
      <c r="C2406" s="405" t="s">
        <v>311</v>
      </c>
      <c r="D2406" s="405" t="s">
        <v>890</v>
      </c>
      <c r="E2406" s="410">
        <v>43253</v>
      </c>
      <c r="F2406" s="410">
        <v>43441</v>
      </c>
      <c r="G2406" s="405" t="s">
        <v>16816</v>
      </c>
      <c r="H2406" s="405">
        <v>788820674</v>
      </c>
      <c r="I2406" s="405"/>
      <c r="J2406" s="405">
        <v>0.83704299999999998</v>
      </c>
      <c r="K2406" s="405">
        <v>34.277757999999999</v>
      </c>
      <c r="L2406" s="405" t="s">
        <v>6866</v>
      </c>
      <c r="M2406" s="405" t="s">
        <v>9763</v>
      </c>
      <c r="N2406" s="405" t="s">
        <v>16817</v>
      </c>
      <c r="O2406" s="405" t="s">
        <v>10174</v>
      </c>
      <c r="P2406" s="405" t="s">
        <v>16817</v>
      </c>
      <c r="Q2406" s="411">
        <v>6</v>
      </c>
      <c r="R2406" s="405" t="s">
        <v>5655</v>
      </c>
      <c r="S2406" s="405" t="s">
        <v>27074</v>
      </c>
      <c r="T2406" s="405" t="s">
        <v>32212</v>
      </c>
      <c r="U2406" s="405" t="s">
        <v>2267</v>
      </c>
    </row>
    <row r="2407" spans="1:21" x14ac:dyDescent="0.25">
      <c r="A2407" s="405" t="s">
        <v>310</v>
      </c>
      <c r="B2407" s="405" t="s">
        <v>19036</v>
      </c>
      <c r="C2407" s="405" t="s">
        <v>327</v>
      </c>
      <c r="D2407" s="405"/>
      <c r="E2407" s="410">
        <v>43253</v>
      </c>
      <c r="F2407" s="410">
        <v>43434</v>
      </c>
      <c r="G2407" s="405" t="s">
        <v>19037</v>
      </c>
      <c r="H2407" s="405">
        <v>772914088</v>
      </c>
      <c r="I2407" s="405"/>
      <c r="J2407" s="405">
        <v>2.4834000000000001</v>
      </c>
      <c r="K2407" s="405" t="s">
        <v>19038</v>
      </c>
      <c r="L2407" s="405" t="s">
        <v>860</v>
      </c>
      <c r="M2407" s="405" t="s">
        <v>18288</v>
      </c>
      <c r="N2407" s="405" t="s">
        <v>18685</v>
      </c>
      <c r="O2407" s="405" t="s">
        <v>18681</v>
      </c>
      <c r="P2407" s="405" t="s">
        <v>19039</v>
      </c>
      <c r="Q2407" s="411">
        <v>6</v>
      </c>
      <c r="R2407" s="405" t="s">
        <v>7208</v>
      </c>
      <c r="S2407" s="405" t="s">
        <v>27243</v>
      </c>
      <c r="T2407" s="405" t="s">
        <v>32102</v>
      </c>
      <c r="U2407" s="405" t="s">
        <v>319</v>
      </c>
    </row>
    <row r="2408" spans="1:21" x14ac:dyDescent="0.25">
      <c r="A2408" s="405" t="s">
        <v>310</v>
      </c>
      <c r="B2408" s="405" t="s">
        <v>24281</v>
      </c>
      <c r="C2408" s="405" t="s">
        <v>327</v>
      </c>
      <c r="D2408" s="405"/>
      <c r="E2408" s="410">
        <v>43252</v>
      </c>
      <c r="F2408" s="410">
        <v>43283</v>
      </c>
      <c r="G2408" s="405" t="s">
        <v>24282</v>
      </c>
      <c r="H2408" s="405">
        <v>780243621</v>
      </c>
      <c r="I2408" s="405">
        <v>784612439</v>
      </c>
      <c r="J2408" s="405">
        <v>-0.35439999999999999</v>
      </c>
      <c r="K2408" s="405">
        <v>29.591899999999999</v>
      </c>
      <c r="L2408" s="405" t="s">
        <v>590</v>
      </c>
      <c r="M2408" s="405" t="s">
        <v>20032</v>
      </c>
      <c r="N2408" s="405" t="s">
        <v>20033</v>
      </c>
      <c r="O2408" s="405" t="s">
        <v>20601</v>
      </c>
      <c r="P2408" s="405" t="s">
        <v>24283</v>
      </c>
      <c r="Q2408" s="411">
        <v>9</v>
      </c>
      <c r="R2408" s="405" t="s">
        <v>6943</v>
      </c>
      <c r="S2408" s="405" t="s">
        <v>27132</v>
      </c>
      <c r="T2408" s="405" t="s">
        <v>32102</v>
      </c>
      <c r="U2408" s="405" t="s">
        <v>319</v>
      </c>
    </row>
    <row r="2409" spans="1:21" x14ac:dyDescent="0.25">
      <c r="A2409" s="405" t="s">
        <v>310</v>
      </c>
      <c r="B2409" s="405" t="s">
        <v>24134</v>
      </c>
      <c r="C2409" s="405" t="s">
        <v>327</v>
      </c>
      <c r="D2409" s="405"/>
      <c r="E2409" s="410">
        <v>43252</v>
      </c>
      <c r="F2409" s="410">
        <v>43266</v>
      </c>
      <c r="G2409" s="405" t="s">
        <v>24135</v>
      </c>
      <c r="H2409" s="405">
        <v>757954473</v>
      </c>
      <c r="I2409" s="405">
        <v>755482857</v>
      </c>
      <c r="J2409" s="405">
        <v>0.42901299999999998</v>
      </c>
      <c r="K2409" s="405">
        <v>30.257701999999998</v>
      </c>
      <c r="L2409" s="405" t="s">
        <v>590</v>
      </c>
      <c r="M2409" s="405" t="s">
        <v>19625</v>
      </c>
      <c r="N2409" s="405" t="s">
        <v>20086</v>
      </c>
      <c r="O2409" s="405" t="s">
        <v>24136</v>
      </c>
      <c r="P2409" s="405" t="s">
        <v>19875</v>
      </c>
      <c r="Q2409" s="411">
        <v>9</v>
      </c>
      <c r="R2409" s="405" t="s">
        <v>5858</v>
      </c>
      <c r="S2409" s="405" t="s">
        <v>27166</v>
      </c>
      <c r="T2409" s="405" t="s">
        <v>32212</v>
      </c>
      <c r="U2409" s="405" t="s">
        <v>2267</v>
      </c>
    </row>
    <row r="2410" spans="1:21" x14ac:dyDescent="0.25">
      <c r="A2410" s="405" t="s">
        <v>310</v>
      </c>
      <c r="B2410" s="405" t="s">
        <v>24411</v>
      </c>
      <c r="C2410" s="405" t="s">
        <v>311</v>
      </c>
      <c r="D2410" s="405" t="s">
        <v>839</v>
      </c>
      <c r="E2410" s="410">
        <v>43252</v>
      </c>
      <c r="F2410" s="410">
        <v>43266</v>
      </c>
      <c r="G2410" s="405" t="s">
        <v>24412</v>
      </c>
      <c r="H2410" s="405">
        <v>772637282</v>
      </c>
      <c r="I2410" s="405" t="s">
        <v>24413</v>
      </c>
      <c r="J2410" s="405">
        <v>0.54267200000000004</v>
      </c>
      <c r="K2410" s="405">
        <v>30.196065000000001</v>
      </c>
      <c r="L2410" s="405" t="s">
        <v>590</v>
      </c>
      <c r="M2410" s="405" t="s">
        <v>19625</v>
      </c>
      <c r="N2410" s="405" t="s">
        <v>19626</v>
      </c>
      <c r="O2410" s="405" t="s">
        <v>13002</v>
      </c>
      <c r="P2410" s="405" t="s">
        <v>24414</v>
      </c>
      <c r="Q2410" s="411">
        <v>9</v>
      </c>
      <c r="R2410" s="405" t="s">
        <v>5858</v>
      </c>
      <c r="S2410" s="405" t="s">
        <v>27104</v>
      </c>
      <c r="T2410" s="405" t="s">
        <v>32102</v>
      </c>
      <c r="U2410" s="405" t="s">
        <v>319</v>
      </c>
    </row>
    <row r="2411" spans="1:21" x14ac:dyDescent="0.25">
      <c r="A2411" s="405" t="s">
        <v>310</v>
      </c>
      <c r="B2411" s="405" t="s">
        <v>16111</v>
      </c>
      <c r="C2411" s="405" t="s">
        <v>327</v>
      </c>
      <c r="D2411" s="405"/>
      <c r="E2411" s="410">
        <v>43251</v>
      </c>
      <c r="F2411" s="410">
        <v>43266</v>
      </c>
      <c r="G2411" s="405" t="s">
        <v>16112</v>
      </c>
      <c r="H2411" s="405">
        <v>700478747</v>
      </c>
      <c r="I2411" s="405"/>
      <c r="J2411" s="405">
        <v>1.2416</v>
      </c>
      <c r="K2411" s="405">
        <v>34.238</v>
      </c>
      <c r="L2411" s="405" t="s">
        <v>6866</v>
      </c>
      <c r="M2411" s="405" t="s">
        <v>9685</v>
      </c>
      <c r="N2411" s="405" t="s">
        <v>9686</v>
      </c>
      <c r="O2411" s="405" t="s">
        <v>16113</v>
      </c>
      <c r="P2411" s="405" t="s">
        <v>16114</v>
      </c>
      <c r="Q2411" s="411">
        <v>6</v>
      </c>
      <c r="R2411" s="405" t="s">
        <v>9506</v>
      </c>
      <c r="S2411" s="405" t="s">
        <v>27072</v>
      </c>
      <c r="T2411" s="405" t="s">
        <v>32102</v>
      </c>
      <c r="U2411" s="405" t="s">
        <v>319</v>
      </c>
    </row>
    <row r="2412" spans="1:21" x14ac:dyDescent="0.25">
      <c r="A2412" s="405" t="s">
        <v>310</v>
      </c>
      <c r="B2412" s="405" t="s">
        <v>24303</v>
      </c>
      <c r="C2412" s="405" t="s">
        <v>327</v>
      </c>
      <c r="D2412" s="405"/>
      <c r="E2412" s="410">
        <v>43250</v>
      </c>
      <c r="F2412" s="410">
        <v>43287</v>
      </c>
      <c r="G2412" s="405" t="s">
        <v>24304</v>
      </c>
      <c r="H2412" s="405">
        <v>775660488</v>
      </c>
      <c r="I2412" s="405">
        <v>788490221</v>
      </c>
      <c r="J2412" s="405" t="s">
        <v>24305</v>
      </c>
      <c r="K2412" s="405">
        <v>30.269241999999998</v>
      </c>
      <c r="L2412" s="405" t="s">
        <v>590</v>
      </c>
      <c r="M2412" s="405" t="s">
        <v>19659</v>
      </c>
      <c r="N2412" s="405" t="s">
        <v>19677</v>
      </c>
      <c r="O2412" s="405" t="s">
        <v>2520</v>
      </c>
      <c r="P2412" s="405" t="s">
        <v>24306</v>
      </c>
      <c r="Q2412" s="411">
        <v>9</v>
      </c>
      <c r="R2412" s="405" t="s">
        <v>6572</v>
      </c>
      <c r="S2412" s="405" t="s">
        <v>27394</v>
      </c>
      <c r="T2412" s="405" t="s">
        <v>32102</v>
      </c>
      <c r="U2412" s="405" t="s">
        <v>319</v>
      </c>
    </row>
    <row r="2413" spans="1:21" x14ac:dyDescent="0.25">
      <c r="A2413" s="405" t="s">
        <v>310</v>
      </c>
      <c r="B2413" s="405" t="s">
        <v>6912</v>
      </c>
      <c r="C2413" s="405" t="s">
        <v>327</v>
      </c>
      <c r="D2413" s="405"/>
      <c r="E2413" s="410">
        <v>43250</v>
      </c>
      <c r="F2413" s="410">
        <v>43306</v>
      </c>
      <c r="G2413" s="405" t="s">
        <v>6913</v>
      </c>
      <c r="H2413" s="405">
        <v>785868123</v>
      </c>
      <c r="I2413" s="405">
        <v>752130499</v>
      </c>
      <c r="J2413" s="405" t="s">
        <v>6914</v>
      </c>
      <c r="K2413" s="405">
        <v>32.442373000000003</v>
      </c>
      <c r="L2413" s="405" t="s">
        <v>314</v>
      </c>
      <c r="M2413" s="405" t="s">
        <v>361</v>
      </c>
      <c r="N2413" s="405" t="s">
        <v>1682</v>
      </c>
      <c r="O2413" s="405" t="s">
        <v>6915</v>
      </c>
      <c r="P2413" s="405" t="s">
        <v>6916</v>
      </c>
      <c r="Q2413" s="411">
        <v>6</v>
      </c>
      <c r="R2413" s="405" t="s">
        <v>6798</v>
      </c>
      <c r="S2413" s="405" t="s">
        <v>27049</v>
      </c>
      <c r="T2413" s="405" t="s">
        <v>32102</v>
      </c>
      <c r="U2413" s="405" t="s">
        <v>319</v>
      </c>
    </row>
    <row r="2414" spans="1:21" x14ac:dyDescent="0.25">
      <c r="A2414" s="405" t="s">
        <v>310</v>
      </c>
      <c r="B2414" s="405" t="s">
        <v>24194</v>
      </c>
      <c r="C2414" s="405" t="s">
        <v>327</v>
      </c>
      <c r="D2414" s="405"/>
      <c r="E2414" s="410">
        <v>43250</v>
      </c>
      <c r="F2414" s="410">
        <v>43257</v>
      </c>
      <c r="G2414" s="405" t="s">
        <v>24195</v>
      </c>
      <c r="H2414" s="405">
        <v>782593218</v>
      </c>
      <c r="I2414" s="405">
        <v>782572434</v>
      </c>
      <c r="J2414" s="405" t="s">
        <v>24196</v>
      </c>
      <c r="K2414" s="405">
        <v>30.109117999999999</v>
      </c>
      <c r="L2414" s="405" t="s">
        <v>590</v>
      </c>
      <c r="M2414" s="405" t="s">
        <v>19659</v>
      </c>
      <c r="N2414" s="405" t="s">
        <v>19604</v>
      </c>
      <c r="O2414" s="405" t="s">
        <v>19822</v>
      </c>
      <c r="P2414" s="405" t="s">
        <v>24197</v>
      </c>
      <c r="Q2414" s="411">
        <v>6</v>
      </c>
      <c r="R2414" s="405" t="s">
        <v>6572</v>
      </c>
      <c r="S2414" s="405" t="s">
        <v>27154</v>
      </c>
      <c r="T2414" s="405" t="s">
        <v>32102</v>
      </c>
      <c r="U2414" s="405" t="s">
        <v>319</v>
      </c>
    </row>
    <row r="2415" spans="1:21" x14ac:dyDescent="0.25">
      <c r="A2415" s="405" t="s">
        <v>310</v>
      </c>
      <c r="B2415" s="405" t="s">
        <v>24198</v>
      </c>
      <c r="C2415" s="405" t="s">
        <v>327</v>
      </c>
      <c r="D2415" s="405"/>
      <c r="E2415" s="410">
        <v>43249</v>
      </c>
      <c r="F2415" s="410">
        <v>43271</v>
      </c>
      <c r="G2415" s="405" t="s">
        <v>24199</v>
      </c>
      <c r="H2415" s="405">
        <v>772447531</v>
      </c>
      <c r="I2415" s="405"/>
      <c r="J2415" s="405">
        <v>0.33221699999999998</v>
      </c>
      <c r="K2415" s="405">
        <v>30.893725</v>
      </c>
      <c r="L2415" s="405" t="s">
        <v>590</v>
      </c>
      <c r="M2415" s="405" t="s">
        <v>19720</v>
      </c>
      <c r="N2415" s="405" t="s">
        <v>11792</v>
      </c>
      <c r="O2415" s="405" t="s">
        <v>22819</v>
      </c>
      <c r="P2415" s="405" t="s">
        <v>6153</v>
      </c>
      <c r="Q2415" s="411">
        <v>9</v>
      </c>
      <c r="R2415" s="405" t="s">
        <v>6572</v>
      </c>
      <c r="S2415" s="405" t="s">
        <v>27405</v>
      </c>
      <c r="T2415" s="405" t="s">
        <v>32102</v>
      </c>
      <c r="U2415" s="405" t="s">
        <v>319</v>
      </c>
    </row>
    <row r="2416" spans="1:21" x14ac:dyDescent="0.25">
      <c r="A2416" s="405" t="s">
        <v>310</v>
      </c>
      <c r="B2416" s="405" t="s">
        <v>24207</v>
      </c>
      <c r="C2416" s="405" t="s">
        <v>327</v>
      </c>
      <c r="D2416" s="405"/>
      <c r="E2416" s="410">
        <v>43249</v>
      </c>
      <c r="F2416" s="410">
        <v>43264</v>
      </c>
      <c r="G2416" s="405" t="s">
        <v>24208</v>
      </c>
      <c r="H2416" s="405">
        <v>772891301</v>
      </c>
      <c r="I2416" s="405"/>
      <c r="J2416" s="405">
        <v>0.68780799999999997</v>
      </c>
      <c r="K2416" s="405">
        <v>30.011678</v>
      </c>
      <c r="L2416" s="405" t="s">
        <v>590</v>
      </c>
      <c r="M2416" s="405" t="s">
        <v>20032</v>
      </c>
      <c r="N2416" s="405" t="s">
        <v>20033</v>
      </c>
      <c r="O2416" s="405" t="s">
        <v>400</v>
      </c>
      <c r="P2416" s="405" t="s">
        <v>22878</v>
      </c>
      <c r="Q2416" s="411">
        <v>9</v>
      </c>
      <c r="R2416" s="405" t="s">
        <v>883</v>
      </c>
      <c r="S2416" s="405" t="s">
        <v>27399</v>
      </c>
      <c r="T2416" s="405" t="s">
        <v>32102</v>
      </c>
      <c r="U2416" s="405" t="s">
        <v>319</v>
      </c>
    </row>
    <row r="2417" spans="1:21" x14ac:dyDescent="0.25">
      <c r="A2417" s="405" t="s">
        <v>310</v>
      </c>
      <c r="B2417" s="405" t="s">
        <v>7008</v>
      </c>
      <c r="C2417" s="405" t="s">
        <v>327</v>
      </c>
      <c r="D2417" s="405"/>
      <c r="E2417" s="410">
        <v>43248</v>
      </c>
      <c r="F2417" s="410">
        <v>43340</v>
      </c>
      <c r="G2417" s="405" t="s">
        <v>7009</v>
      </c>
      <c r="H2417" s="405">
        <v>757294708</v>
      </c>
      <c r="I2417" s="405"/>
      <c r="J2417" s="405">
        <v>0.28420000000000001</v>
      </c>
      <c r="K2417" s="405">
        <v>32.213000000000001</v>
      </c>
      <c r="L2417" s="405" t="s">
        <v>314</v>
      </c>
      <c r="M2417" s="405" t="s">
        <v>361</v>
      </c>
      <c r="N2417" s="405" t="s">
        <v>1682</v>
      </c>
      <c r="O2417" s="405" t="s">
        <v>952</v>
      </c>
      <c r="P2417" s="405" t="s">
        <v>7010</v>
      </c>
      <c r="Q2417" s="411">
        <v>13</v>
      </c>
      <c r="R2417" s="405" t="s">
        <v>4176</v>
      </c>
      <c r="S2417" s="405" t="s">
        <v>27053</v>
      </c>
      <c r="T2417" s="405" t="s">
        <v>32102</v>
      </c>
      <c r="U2417" s="405" t="s">
        <v>319</v>
      </c>
    </row>
    <row r="2418" spans="1:21" x14ac:dyDescent="0.25">
      <c r="A2418" s="405" t="s">
        <v>310</v>
      </c>
      <c r="B2418" s="405" t="s">
        <v>24344</v>
      </c>
      <c r="C2418" s="405" t="s">
        <v>327</v>
      </c>
      <c r="D2418" s="405"/>
      <c r="E2418" s="410">
        <v>43248</v>
      </c>
      <c r="F2418" s="410">
        <v>43283</v>
      </c>
      <c r="G2418" s="405" t="s">
        <v>24345</v>
      </c>
      <c r="H2418" s="405">
        <v>702462429</v>
      </c>
      <c r="I2418" s="405">
        <v>772462429</v>
      </c>
      <c r="J2418" s="405">
        <v>-0.33129999999999998</v>
      </c>
      <c r="K2418" s="405">
        <v>30.321000000000002</v>
      </c>
      <c r="L2418" s="405" t="s">
        <v>590</v>
      </c>
      <c r="M2418" s="405" t="s">
        <v>19614</v>
      </c>
      <c r="N2418" s="405" t="s">
        <v>19615</v>
      </c>
      <c r="O2418" s="405" t="s">
        <v>20154</v>
      </c>
      <c r="P2418" s="405" t="s">
        <v>24346</v>
      </c>
      <c r="Q2418" s="411">
        <v>13</v>
      </c>
      <c r="R2418" s="405" t="s">
        <v>883</v>
      </c>
      <c r="S2418" s="405" t="s">
        <v>27097</v>
      </c>
      <c r="T2418" s="405" t="s">
        <v>32102</v>
      </c>
      <c r="U2418" s="405" t="s">
        <v>319</v>
      </c>
    </row>
    <row r="2419" spans="1:21" x14ac:dyDescent="0.25">
      <c r="A2419" s="405" t="s">
        <v>310</v>
      </c>
      <c r="B2419" s="405" t="s">
        <v>24173</v>
      </c>
      <c r="C2419" s="405" t="s">
        <v>327</v>
      </c>
      <c r="D2419" s="405"/>
      <c r="E2419" s="410">
        <v>43248</v>
      </c>
      <c r="F2419" s="410">
        <v>43269</v>
      </c>
      <c r="G2419" s="405" t="s">
        <v>24174</v>
      </c>
      <c r="H2419" s="405">
        <v>784996203</v>
      </c>
      <c r="I2419" s="405">
        <v>783533114</v>
      </c>
      <c r="J2419" s="405">
        <v>0.61989499999999997</v>
      </c>
      <c r="K2419" s="405">
        <v>29.962433000000001</v>
      </c>
      <c r="L2419" s="405" t="s">
        <v>590</v>
      </c>
      <c r="M2419" s="405" t="s">
        <v>20032</v>
      </c>
      <c r="N2419" s="405" t="s">
        <v>24159</v>
      </c>
      <c r="O2419" s="405" t="s">
        <v>24175</v>
      </c>
      <c r="P2419" s="405" t="s">
        <v>24176</v>
      </c>
      <c r="Q2419" s="411">
        <v>9</v>
      </c>
      <c r="R2419" s="405" t="s">
        <v>32166</v>
      </c>
      <c r="S2419" s="405" t="s">
        <v>27098</v>
      </c>
      <c r="T2419" s="405" t="s">
        <v>32212</v>
      </c>
      <c r="U2419" s="405" t="s">
        <v>2267</v>
      </c>
    </row>
    <row r="2420" spans="1:21" x14ac:dyDescent="0.25">
      <c r="A2420" s="405" t="s">
        <v>310</v>
      </c>
      <c r="B2420" s="405" t="s">
        <v>24156</v>
      </c>
      <c r="C2420" s="405" t="s">
        <v>327</v>
      </c>
      <c r="D2420" s="405"/>
      <c r="E2420" s="410">
        <v>43247</v>
      </c>
      <c r="F2420" s="410">
        <v>43281</v>
      </c>
      <c r="G2420" s="405" t="s">
        <v>24157</v>
      </c>
      <c r="H2420" s="405">
        <v>773633185</v>
      </c>
      <c r="I2420" s="405">
        <v>774385573</v>
      </c>
      <c r="J2420" s="405">
        <v>-0.32</v>
      </c>
      <c r="K2420" s="405">
        <v>29.574300000000001</v>
      </c>
      <c r="L2420" s="405" t="s">
        <v>24158</v>
      </c>
      <c r="M2420" s="405" t="s">
        <v>20032</v>
      </c>
      <c r="N2420" s="405" t="s">
        <v>20033</v>
      </c>
      <c r="O2420" s="405" t="s">
        <v>24159</v>
      </c>
      <c r="P2420" s="405" t="s">
        <v>24160</v>
      </c>
      <c r="Q2420" s="411">
        <v>9</v>
      </c>
      <c r="R2420" s="405" t="s">
        <v>6943</v>
      </c>
      <c r="S2420" s="405" t="s">
        <v>27280</v>
      </c>
      <c r="T2420" s="405" t="s">
        <v>32102</v>
      </c>
      <c r="U2420" s="405" t="s">
        <v>319</v>
      </c>
    </row>
    <row r="2421" spans="1:21" x14ac:dyDescent="0.25">
      <c r="A2421" s="405" t="s">
        <v>310</v>
      </c>
      <c r="B2421" s="405" t="s">
        <v>24224</v>
      </c>
      <c r="C2421" s="405" t="s">
        <v>327</v>
      </c>
      <c r="D2421" s="405"/>
      <c r="E2421" s="410">
        <v>43246</v>
      </c>
      <c r="F2421" s="410">
        <v>43254</v>
      </c>
      <c r="G2421" s="405" t="s">
        <v>24225</v>
      </c>
      <c r="H2421" s="405">
        <v>773003872</v>
      </c>
      <c r="I2421" s="405">
        <v>755859269</v>
      </c>
      <c r="J2421" s="405">
        <v>0.14141000000000001</v>
      </c>
      <c r="K2421" s="405">
        <v>30.363600000000002</v>
      </c>
      <c r="L2421" s="405" t="s">
        <v>590</v>
      </c>
      <c r="M2421" s="405" t="s">
        <v>19614</v>
      </c>
      <c r="N2421" s="405" t="s">
        <v>23240</v>
      </c>
      <c r="O2421" s="405" t="s">
        <v>20108</v>
      </c>
      <c r="P2421" s="405" t="s">
        <v>24226</v>
      </c>
      <c r="Q2421" s="411">
        <v>9</v>
      </c>
      <c r="R2421" s="405" t="s">
        <v>874</v>
      </c>
      <c r="S2421" s="405" t="s">
        <v>27405</v>
      </c>
      <c r="T2421" s="405" t="s">
        <v>32102</v>
      </c>
      <c r="U2421" s="405" t="s">
        <v>319</v>
      </c>
    </row>
    <row r="2422" spans="1:21" x14ac:dyDescent="0.25">
      <c r="A2422" s="405" t="s">
        <v>310</v>
      </c>
      <c r="B2422" s="405" t="s">
        <v>16302</v>
      </c>
      <c r="C2422" s="405" t="s">
        <v>327</v>
      </c>
      <c r="D2422" s="405"/>
      <c r="E2422" s="410">
        <v>43246</v>
      </c>
      <c r="F2422" s="410">
        <v>43388</v>
      </c>
      <c r="G2422" s="405" t="s">
        <v>16303</v>
      </c>
      <c r="H2422" s="405">
        <v>772341320</v>
      </c>
      <c r="I2422" s="405"/>
      <c r="J2422" s="405">
        <v>0.63001200000000002</v>
      </c>
      <c r="K2422" s="405">
        <v>33.601402999999998</v>
      </c>
      <c r="L2422" s="405" t="s">
        <v>6866</v>
      </c>
      <c r="M2422" s="405" t="s">
        <v>10853</v>
      </c>
      <c r="N2422" s="405" t="s">
        <v>15097</v>
      </c>
      <c r="O2422" s="405" t="s">
        <v>14289</v>
      </c>
      <c r="P2422" s="405" t="s">
        <v>16304</v>
      </c>
      <c r="Q2422" s="411">
        <v>6</v>
      </c>
      <c r="R2422" s="405" t="s">
        <v>6871</v>
      </c>
      <c r="S2422" s="405" t="s">
        <v>27306</v>
      </c>
      <c r="T2422" s="405" t="s">
        <v>32102</v>
      </c>
      <c r="U2422" s="405" t="s">
        <v>319</v>
      </c>
    </row>
    <row r="2423" spans="1:21" x14ac:dyDescent="0.25">
      <c r="A2423" s="405" t="s">
        <v>310</v>
      </c>
      <c r="B2423" s="405" t="s">
        <v>16144</v>
      </c>
      <c r="C2423" s="405" t="s">
        <v>327</v>
      </c>
      <c r="D2423" s="405"/>
      <c r="E2423" s="410">
        <v>43245</v>
      </c>
      <c r="F2423" s="410">
        <v>43297</v>
      </c>
      <c r="G2423" s="405" t="s">
        <v>16145</v>
      </c>
      <c r="H2423" s="405">
        <v>776749701</v>
      </c>
      <c r="I2423" s="405"/>
      <c r="J2423" s="405">
        <v>0.5323</v>
      </c>
      <c r="K2423" s="405">
        <v>33.295699999999997</v>
      </c>
      <c r="L2423" s="405" t="s">
        <v>6866</v>
      </c>
      <c r="M2423" s="405" t="s">
        <v>1120</v>
      </c>
      <c r="N2423" s="405" t="s">
        <v>16146</v>
      </c>
      <c r="O2423" s="405" t="s">
        <v>16147</v>
      </c>
      <c r="P2423" s="405" t="s">
        <v>16148</v>
      </c>
      <c r="Q2423" s="411">
        <v>13</v>
      </c>
      <c r="R2423" s="405" t="s">
        <v>6822</v>
      </c>
      <c r="S2423" s="405" t="s">
        <v>27054</v>
      </c>
      <c r="T2423" s="405" t="s">
        <v>32102</v>
      </c>
      <c r="U2423" s="405" t="s">
        <v>319</v>
      </c>
    </row>
    <row r="2424" spans="1:21" x14ac:dyDescent="0.25">
      <c r="A2424" s="405" t="s">
        <v>310</v>
      </c>
      <c r="B2424" s="405" t="s">
        <v>24191</v>
      </c>
      <c r="C2424" s="405" t="s">
        <v>327</v>
      </c>
      <c r="D2424" s="405"/>
      <c r="E2424" s="410">
        <v>43245</v>
      </c>
      <c r="F2424" s="410">
        <v>43296</v>
      </c>
      <c r="G2424" s="405" t="s">
        <v>24192</v>
      </c>
      <c r="H2424" s="405">
        <v>775615400</v>
      </c>
      <c r="I2424" s="405">
        <v>774878656</v>
      </c>
      <c r="J2424" s="405">
        <v>0.34310000000000002</v>
      </c>
      <c r="K2424" s="405">
        <v>29.565200000000001</v>
      </c>
      <c r="L2424" s="405" t="s">
        <v>590</v>
      </c>
      <c r="M2424" s="405" t="s">
        <v>20032</v>
      </c>
      <c r="N2424" s="405" t="s">
        <v>22715</v>
      </c>
      <c r="O2424" s="405" t="s">
        <v>20790</v>
      </c>
      <c r="P2424" s="405" t="s">
        <v>24193</v>
      </c>
      <c r="Q2424" s="411">
        <v>9</v>
      </c>
      <c r="R2424" s="405" t="s">
        <v>6572</v>
      </c>
      <c r="S2424" s="405" t="s">
        <v>27410</v>
      </c>
      <c r="T2424" s="405" t="s">
        <v>32102</v>
      </c>
      <c r="U2424" s="405" t="s">
        <v>319</v>
      </c>
    </row>
    <row r="2425" spans="1:21" x14ac:dyDescent="0.25">
      <c r="A2425" s="405" t="s">
        <v>310</v>
      </c>
      <c r="B2425" s="405" t="s">
        <v>24026</v>
      </c>
      <c r="C2425" s="405" t="s">
        <v>327</v>
      </c>
      <c r="D2425" s="405"/>
      <c r="E2425" s="410">
        <v>43245</v>
      </c>
      <c r="F2425" s="410">
        <v>43251</v>
      </c>
      <c r="G2425" s="405" t="s">
        <v>24027</v>
      </c>
      <c r="H2425" s="405">
        <v>772585419</v>
      </c>
      <c r="I2425" s="405" t="s">
        <v>24028</v>
      </c>
      <c r="J2425" s="405">
        <v>-0.51076999999999995</v>
      </c>
      <c r="K2425" s="405">
        <v>30.018557999999999</v>
      </c>
      <c r="L2425" s="405" t="s">
        <v>590</v>
      </c>
      <c r="M2425" s="405" t="s">
        <v>20032</v>
      </c>
      <c r="N2425" s="405" t="s">
        <v>24029</v>
      </c>
      <c r="O2425" s="405" t="s">
        <v>24030</v>
      </c>
      <c r="P2425" s="405" t="s">
        <v>24031</v>
      </c>
      <c r="Q2425" s="411">
        <v>9</v>
      </c>
      <c r="R2425" s="405" t="s">
        <v>6943</v>
      </c>
      <c r="S2425" s="405" t="s">
        <v>27410</v>
      </c>
      <c r="T2425" s="405" t="s">
        <v>32102</v>
      </c>
      <c r="U2425" s="405" t="s">
        <v>319</v>
      </c>
    </row>
    <row r="2426" spans="1:21" x14ac:dyDescent="0.25">
      <c r="A2426" s="405" t="s">
        <v>310</v>
      </c>
      <c r="B2426" s="405" t="s">
        <v>16103</v>
      </c>
      <c r="C2426" s="405" t="s">
        <v>327</v>
      </c>
      <c r="D2426" s="405"/>
      <c r="E2426" s="410">
        <v>43244</v>
      </c>
      <c r="F2426" s="410">
        <v>43259</v>
      </c>
      <c r="G2426" s="405" t="s">
        <v>16104</v>
      </c>
      <c r="H2426" s="405">
        <v>782096865</v>
      </c>
      <c r="I2426" s="405">
        <v>782507479</v>
      </c>
      <c r="J2426" s="405">
        <v>1.2413000000000001</v>
      </c>
      <c r="K2426" s="405">
        <v>34.275399999999998</v>
      </c>
      <c r="L2426" s="405" t="s">
        <v>6866</v>
      </c>
      <c r="M2426" s="405" t="s">
        <v>9685</v>
      </c>
      <c r="N2426" s="405" t="s">
        <v>9686</v>
      </c>
      <c r="O2426" s="405" t="s">
        <v>6748</v>
      </c>
      <c r="P2426" s="405" t="s">
        <v>16105</v>
      </c>
      <c r="Q2426" s="411">
        <v>6</v>
      </c>
      <c r="R2426" s="405" t="s">
        <v>9506</v>
      </c>
      <c r="S2426" s="405" t="s">
        <v>27072</v>
      </c>
      <c r="T2426" s="405" t="s">
        <v>32102</v>
      </c>
      <c r="U2426" s="405" t="s">
        <v>319</v>
      </c>
    </row>
    <row r="2427" spans="1:21" x14ac:dyDescent="0.25">
      <c r="A2427" s="405" t="s">
        <v>310</v>
      </c>
      <c r="B2427" s="405" t="s">
        <v>24188</v>
      </c>
      <c r="C2427" s="405" t="s">
        <v>327</v>
      </c>
      <c r="D2427" s="405"/>
      <c r="E2427" s="410">
        <v>43243</v>
      </c>
      <c r="F2427" s="410">
        <v>43266</v>
      </c>
      <c r="G2427" s="405" t="s">
        <v>24189</v>
      </c>
      <c r="H2427" s="405">
        <v>777006779</v>
      </c>
      <c r="I2427" s="405">
        <v>702412730</v>
      </c>
      <c r="J2427" s="405" t="s">
        <v>24190</v>
      </c>
      <c r="K2427" s="405">
        <v>30.318777999999998</v>
      </c>
      <c r="L2427" s="405" t="s">
        <v>590</v>
      </c>
      <c r="M2427" s="405" t="s">
        <v>19659</v>
      </c>
      <c r="N2427" s="405" t="s">
        <v>19677</v>
      </c>
      <c r="O2427" s="405" t="s">
        <v>2520</v>
      </c>
      <c r="P2427" s="405" t="s">
        <v>22620</v>
      </c>
      <c r="Q2427" s="411">
        <v>9</v>
      </c>
      <c r="R2427" s="405" t="s">
        <v>6572</v>
      </c>
      <c r="S2427" s="405" t="s">
        <v>27394</v>
      </c>
      <c r="T2427" s="405" t="s">
        <v>865</v>
      </c>
      <c r="U2427" s="405" t="s">
        <v>866</v>
      </c>
    </row>
    <row r="2428" spans="1:21" x14ac:dyDescent="0.25">
      <c r="A2428" s="405" t="s">
        <v>310</v>
      </c>
      <c r="B2428" s="405" t="s">
        <v>24402</v>
      </c>
      <c r="C2428" s="405" t="s">
        <v>327</v>
      </c>
      <c r="D2428" s="405"/>
      <c r="E2428" s="410">
        <v>43242</v>
      </c>
      <c r="F2428" s="410">
        <v>43310</v>
      </c>
      <c r="G2428" s="405" t="s">
        <v>24403</v>
      </c>
      <c r="H2428" s="405">
        <v>774069530</v>
      </c>
      <c r="I2428" s="405"/>
      <c r="J2428" s="405">
        <v>-0.35899999999999999</v>
      </c>
      <c r="K2428" s="405">
        <v>30.111999999999998</v>
      </c>
      <c r="L2428" s="405" t="s">
        <v>590</v>
      </c>
      <c r="M2428" s="405" t="s">
        <v>20032</v>
      </c>
      <c r="N2428" s="405" t="s">
        <v>20032</v>
      </c>
      <c r="O2428" s="405" t="s">
        <v>24404</v>
      </c>
      <c r="P2428" s="405" t="s">
        <v>24405</v>
      </c>
      <c r="Q2428" s="411">
        <v>9</v>
      </c>
      <c r="R2428" s="405" t="s">
        <v>883</v>
      </c>
      <c r="S2428" s="405" t="s">
        <v>27205</v>
      </c>
      <c r="T2428" s="405" t="s">
        <v>865</v>
      </c>
      <c r="U2428" s="405" t="s">
        <v>866</v>
      </c>
    </row>
    <row r="2429" spans="1:21" x14ac:dyDescent="0.25">
      <c r="A2429" s="405" t="s">
        <v>310</v>
      </c>
      <c r="B2429" s="405" t="s">
        <v>24130</v>
      </c>
      <c r="C2429" s="405" t="s">
        <v>327</v>
      </c>
      <c r="D2429" s="405"/>
      <c r="E2429" s="410">
        <v>43241</v>
      </c>
      <c r="F2429" s="410">
        <v>43254</v>
      </c>
      <c r="G2429" s="405" t="s">
        <v>24131</v>
      </c>
      <c r="H2429" s="405">
        <v>774069521</v>
      </c>
      <c r="I2429" s="405" t="s">
        <v>24132</v>
      </c>
      <c r="J2429" s="405" t="s">
        <v>24133</v>
      </c>
      <c r="K2429" s="405">
        <v>29.985022000000001</v>
      </c>
      <c r="L2429" s="405" t="s">
        <v>590</v>
      </c>
      <c r="M2429" s="405" t="s">
        <v>20032</v>
      </c>
      <c r="N2429" s="405" t="s">
        <v>20790</v>
      </c>
      <c r="O2429" s="405" t="s">
        <v>20790</v>
      </c>
      <c r="P2429" s="405" t="s">
        <v>22168</v>
      </c>
      <c r="Q2429" s="411">
        <v>9</v>
      </c>
      <c r="R2429" s="405" t="s">
        <v>6943</v>
      </c>
      <c r="S2429" s="405" t="s">
        <v>27227</v>
      </c>
      <c r="T2429" s="405" t="s">
        <v>865</v>
      </c>
      <c r="U2429" s="405" t="s">
        <v>866</v>
      </c>
    </row>
    <row r="2430" spans="1:21" x14ac:dyDescent="0.25">
      <c r="A2430" s="405" t="s">
        <v>310</v>
      </c>
      <c r="B2430" s="406" t="s">
        <v>32093</v>
      </c>
      <c r="C2430" s="405" t="s">
        <v>327</v>
      </c>
      <c r="D2430" s="405"/>
      <c r="E2430" s="406" t="s">
        <v>32094</v>
      </c>
      <c r="F2430" s="407">
        <v>44540</v>
      </c>
      <c r="G2430" s="406" t="s">
        <v>32095</v>
      </c>
      <c r="H2430" s="406" t="s">
        <v>32096</v>
      </c>
      <c r="I2430" s="406" t="s">
        <v>32097</v>
      </c>
      <c r="J2430" s="408">
        <v>-0.76106799999999997</v>
      </c>
      <c r="K2430" s="408">
        <v>31.557285</v>
      </c>
      <c r="L2430" s="406" t="s">
        <v>314</v>
      </c>
      <c r="M2430" s="406" t="s">
        <v>399</v>
      </c>
      <c r="N2430" s="406" t="s">
        <v>32098</v>
      </c>
      <c r="O2430" s="406" t="s">
        <v>1225</v>
      </c>
      <c r="P2430" s="406" t="s">
        <v>32099</v>
      </c>
      <c r="Q2430" s="409">
        <v>75</v>
      </c>
      <c r="R2430" s="406" t="s">
        <v>32100</v>
      </c>
      <c r="S2430" s="406" t="s">
        <v>27243</v>
      </c>
      <c r="T2430" s="405" t="s">
        <v>865</v>
      </c>
      <c r="U2430" s="405" t="s">
        <v>866</v>
      </c>
    </row>
    <row r="2431" spans="1:21" x14ac:dyDescent="0.25">
      <c r="A2431" s="405" t="s">
        <v>310</v>
      </c>
      <c r="B2431" s="405" t="s">
        <v>24161</v>
      </c>
      <c r="C2431" s="405" t="s">
        <v>327</v>
      </c>
      <c r="D2431" s="405"/>
      <c r="E2431" s="410">
        <v>43240</v>
      </c>
      <c r="F2431" s="410">
        <v>43271</v>
      </c>
      <c r="G2431" s="405" t="s">
        <v>24162</v>
      </c>
      <c r="H2431" s="405">
        <v>702301059</v>
      </c>
      <c r="I2431" s="405"/>
      <c r="J2431" s="405">
        <v>0.58592</v>
      </c>
      <c r="K2431" s="405" t="s">
        <v>24163</v>
      </c>
      <c r="L2431" s="405" t="s">
        <v>590</v>
      </c>
      <c r="M2431" s="405" t="s">
        <v>19625</v>
      </c>
      <c r="N2431" s="405" t="s">
        <v>19950</v>
      </c>
      <c r="O2431" s="405" t="s">
        <v>19950</v>
      </c>
      <c r="P2431" s="405" t="s">
        <v>19950</v>
      </c>
      <c r="Q2431" s="411">
        <v>9</v>
      </c>
      <c r="R2431" s="405" t="s">
        <v>32166</v>
      </c>
      <c r="S2431" s="405" t="s">
        <v>27104</v>
      </c>
      <c r="T2431" s="405" t="s">
        <v>865</v>
      </c>
      <c r="U2431" s="405" t="s">
        <v>866</v>
      </c>
    </row>
    <row r="2432" spans="1:21" x14ac:dyDescent="0.25">
      <c r="A2432" s="405" t="s">
        <v>310</v>
      </c>
      <c r="B2432" s="405" t="s">
        <v>16079</v>
      </c>
      <c r="C2432" s="405" t="s">
        <v>327</v>
      </c>
      <c r="D2432" s="405"/>
      <c r="E2432" s="410">
        <v>43239</v>
      </c>
      <c r="F2432" s="410">
        <v>43253</v>
      </c>
      <c r="G2432" s="405" t="s">
        <v>16080</v>
      </c>
      <c r="H2432" s="405">
        <v>782313424</v>
      </c>
      <c r="I2432" s="405"/>
      <c r="J2432" s="405">
        <v>1.9388019999999999</v>
      </c>
      <c r="K2432" s="405">
        <v>33.342832999999999</v>
      </c>
      <c r="L2432" s="405" t="s">
        <v>6866</v>
      </c>
      <c r="M2432" s="405" t="s">
        <v>12153</v>
      </c>
      <c r="N2432" s="405" t="s">
        <v>10377</v>
      </c>
      <c r="O2432" s="405" t="s">
        <v>12728</v>
      </c>
      <c r="P2432" s="405" t="s">
        <v>16081</v>
      </c>
      <c r="Q2432" s="411">
        <v>6</v>
      </c>
      <c r="R2432" s="405" t="s">
        <v>5655</v>
      </c>
      <c r="S2432" s="405" t="s">
        <v>27072</v>
      </c>
      <c r="T2432" s="405" t="s">
        <v>865</v>
      </c>
      <c r="U2432" s="405" t="s">
        <v>866</v>
      </c>
    </row>
    <row r="2433" spans="1:21" x14ac:dyDescent="0.25">
      <c r="A2433" s="405" t="s">
        <v>310</v>
      </c>
      <c r="B2433" s="405" t="s">
        <v>16041</v>
      </c>
      <c r="C2433" s="405" t="s">
        <v>327</v>
      </c>
      <c r="D2433" s="405"/>
      <c r="E2433" s="410">
        <v>43238</v>
      </c>
      <c r="F2433" s="410">
        <v>43273</v>
      </c>
      <c r="G2433" s="405" t="s">
        <v>16042</v>
      </c>
      <c r="H2433" s="405">
        <v>782307870</v>
      </c>
      <c r="I2433" s="405">
        <v>782888541</v>
      </c>
      <c r="J2433" s="405">
        <v>0.59519999999999995</v>
      </c>
      <c r="K2433" s="405">
        <v>34.219000000000001</v>
      </c>
      <c r="L2433" s="405" t="s">
        <v>6866</v>
      </c>
      <c r="M2433" s="405" t="s">
        <v>9763</v>
      </c>
      <c r="N2433" s="405" t="s">
        <v>10631</v>
      </c>
      <c r="O2433" s="405" t="s">
        <v>1590</v>
      </c>
      <c r="P2433" s="405" t="s">
        <v>12820</v>
      </c>
      <c r="Q2433" s="411">
        <v>6</v>
      </c>
      <c r="R2433" s="405" t="s">
        <v>6871</v>
      </c>
      <c r="S2433" s="405" t="s">
        <v>17013</v>
      </c>
      <c r="T2433" s="405" t="s">
        <v>32102</v>
      </c>
      <c r="U2433" s="405" t="s">
        <v>319</v>
      </c>
    </row>
    <row r="2434" spans="1:21" x14ac:dyDescent="0.25">
      <c r="A2434" s="405" t="s">
        <v>310</v>
      </c>
      <c r="B2434" s="405" t="s">
        <v>24183</v>
      </c>
      <c r="C2434" s="405" t="s">
        <v>327</v>
      </c>
      <c r="D2434" s="405"/>
      <c r="E2434" s="410">
        <v>43237</v>
      </c>
      <c r="F2434" s="410">
        <v>43281</v>
      </c>
      <c r="G2434" s="405" t="s">
        <v>24184</v>
      </c>
      <c r="H2434" s="405">
        <v>772489901</v>
      </c>
      <c r="I2434" s="405">
        <v>772489901</v>
      </c>
      <c r="J2434" s="405">
        <v>1.6462479999999999</v>
      </c>
      <c r="K2434" s="405">
        <v>31.573778000000001</v>
      </c>
      <c r="L2434" s="405" t="s">
        <v>590</v>
      </c>
      <c r="M2434" s="405" t="s">
        <v>19608</v>
      </c>
      <c r="N2434" s="405" t="s">
        <v>24185</v>
      </c>
      <c r="O2434" s="405" t="s">
        <v>24186</v>
      </c>
      <c r="P2434" s="405" t="s">
        <v>24187</v>
      </c>
      <c r="Q2434" s="411">
        <v>13</v>
      </c>
      <c r="R2434" s="405" t="s">
        <v>5665</v>
      </c>
      <c r="S2434" s="405" t="s">
        <v>27051</v>
      </c>
      <c r="T2434" s="405" t="s">
        <v>865</v>
      </c>
      <c r="U2434" s="405" t="s">
        <v>866</v>
      </c>
    </row>
    <row r="2435" spans="1:21" x14ac:dyDescent="0.25">
      <c r="A2435" s="405" t="s">
        <v>310</v>
      </c>
      <c r="B2435" s="405" t="s">
        <v>16101</v>
      </c>
      <c r="C2435" s="405" t="s">
        <v>327</v>
      </c>
      <c r="D2435" s="405"/>
      <c r="E2435" s="410">
        <v>43237</v>
      </c>
      <c r="F2435" s="410">
        <v>43252</v>
      </c>
      <c r="G2435" s="405" t="s">
        <v>16102</v>
      </c>
      <c r="H2435" s="405">
        <v>753144898</v>
      </c>
      <c r="I2435" s="405">
        <v>753729547</v>
      </c>
      <c r="J2435" s="405">
        <v>1.2329000000000001</v>
      </c>
      <c r="K2435" s="405">
        <v>34.275100000000002</v>
      </c>
      <c r="L2435" s="405" t="s">
        <v>6866</v>
      </c>
      <c r="M2435" s="405" t="s">
        <v>9685</v>
      </c>
      <c r="N2435" s="405" t="s">
        <v>9686</v>
      </c>
      <c r="O2435" s="405" t="s">
        <v>13002</v>
      </c>
      <c r="P2435" s="405" t="s">
        <v>16057</v>
      </c>
      <c r="Q2435" s="411">
        <v>6</v>
      </c>
      <c r="R2435" s="405" t="s">
        <v>9506</v>
      </c>
      <c r="S2435" s="405" t="s">
        <v>27072</v>
      </c>
      <c r="T2435" s="405" t="s">
        <v>32102</v>
      </c>
      <c r="U2435" s="405" t="s">
        <v>319</v>
      </c>
    </row>
    <row r="2436" spans="1:21" x14ac:dyDescent="0.25">
      <c r="A2436" s="405" t="s">
        <v>310</v>
      </c>
      <c r="B2436" s="405" t="s">
        <v>16098</v>
      </c>
      <c r="C2436" s="405" t="s">
        <v>327</v>
      </c>
      <c r="D2436" s="405"/>
      <c r="E2436" s="410">
        <v>43235</v>
      </c>
      <c r="F2436" s="410">
        <v>43260</v>
      </c>
      <c r="G2436" s="405" t="s">
        <v>16099</v>
      </c>
      <c r="H2436" s="405">
        <v>772938600</v>
      </c>
      <c r="I2436" s="405"/>
      <c r="J2436" s="405">
        <v>1.8814569999999999</v>
      </c>
      <c r="K2436" s="405">
        <v>33.661862999999997</v>
      </c>
      <c r="L2436" s="405" t="s">
        <v>6866</v>
      </c>
      <c r="M2436" s="405" t="s">
        <v>10515</v>
      </c>
      <c r="N2436" s="405" t="s">
        <v>10525</v>
      </c>
      <c r="O2436" s="405" t="s">
        <v>10526</v>
      </c>
      <c r="P2436" s="405" t="s">
        <v>16100</v>
      </c>
      <c r="Q2436" s="411">
        <v>6</v>
      </c>
      <c r="R2436" s="405" t="s">
        <v>5655</v>
      </c>
      <c r="S2436" s="405" t="s">
        <v>27353</v>
      </c>
      <c r="T2436" s="405" t="s">
        <v>865</v>
      </c>
      <c r="U2436" s="405" t="s">
        <v>866</v>
      </c>
    </row>
    <row r="2437" spans="1:21" x14ac:dyDescent="0.25">
      <c r="A2437" s="405" t="s">
        <v>310</v>
      </c>
      <c r="B2437" s="405" t="s">
        <v>24112</v>
      </c>
      <c r="C2437" s="405" t="s">
        <v>327</v>
      </c>
      <c r="D2437" s="405"/>
      <c r="E2437" s="410">
        <v>43234</v>
      </c>
      <c r="F2437" s="410">
        <v>43250</v>
      </c>
      <c r="G2437" s="405" t="s">
        <v>24113</v>
      </c>
      <c r="H2437" s="405">
        <v>784560086</v>
      </c>
      <c r="I2437" s="405"/>
      <c r="J2437" s="405" t="s">
        <v>24114</v>
      </c>
      <c r="K2437" s="405">
        <v>29.671147999999999</v>
      </c>
      <c r="L2437" s="405" t="s">
        <v>590</v>
      </c>
      <c r="M2437" s="405" t="s">
        <v>20070</v>
      </c>
      <c r="N2437" s="405" t="s">
        <v>20071</v>
      </c>
      <c r="O2437" s="405" t="s">
        <v>24115</v>
      </c>
      <c r="P2437" s="405" t="s">
        <v>20073</v>
      </c>
      <c r="Q2437" s="411">
        <v>13</v>
      </c>
      <c r="R2437" s="405" t="s">
        <v>24106</v>
      </c>
      <c r="S2437" s="405" t="s">
        <v>27402</v>
      </c>
      <c r="T2437" s="405" t="s">
        <v>865</v>
      </c>
      <c r="U2437" s="405" t="s">
        <v>866</v>
      </c>
    </row>
    <row r="2438" spans="1:21" x14ac:dyDescent="0.25">
      <c r="A2438" s="405" t="s">
        <v>310</v>
      </c>
      <c r="B2438" s="405" t="s">
        <v>24200</v>
      </c>
      <c r="C2438" s="405" t="s">
        <v>327</v>
      </c>
      <c r="D2438" s="405"/>
      <c r="E2438" s="410">
        <v>43233</v>
      </c>
      <c r="F2438" s="410">
        <v>43264</v>
      </c>
      <c r="G2438" s="405" t="s">
        <v>24201</v>
      </c>
      <c r="H2438" s="405">
        <v>779087719</v>
      </c>
      <c r="I2438" s="405">
        <v>789466566</v>
      </c>
      <c r="J2438" s="405">
        <v>0.54549999999999998</v>
      </c>
      <c r="K2438" s="405">
        <v>29.392600000000002</v>
      </c>
      <c r="L2438" s="405" t="s">
        <v>590</v>
      </c>
      <c r="M2438" s="405" t="s">
        <v>20808</v>
      </c>
      <c r="N2438" s="405" t="s">
        <v>23490</v>
      </c>
      <c r="O2438" s="405" t="s">
        <v>2864</v>
      </c>
      <c r="P2438" s="405" t="s">
        <v>24202</v>
      </c>
      <c r="Q2438" s="411">
        <v>9</v>
      </c>
      <c r="R2438" s="405" t="s">
        <v>6572</v>
      </c>
      <c r="S2438" s="405" t="s">
        <v>27154</v>
      </c>
      <c r="T2438" s="405" t="s">
        <v>32102</v>
      </c>
      <c r="U2438" s="405" t="s">
        <v>319</v>
      </c>
    </row>
    <row r="2439" spans="1:21" x14ac:dyDescent="0.25">
      <c r="A2439" s="405" t="s">
        <v>310</v>
      </c>
      <c r="B2439" s="405" t="s">
        <v>24023</v>
      </c>
      <c r="C2439" s="405" t="s">
        <v>327</v>
      </c>
      <c r="D2439" s="405"/>
      <c r="E2439" s="410">
        <v>43233</v>
      </c>
      <c r="F2439" s="410">
        <v>43239</v>
      </c>
      <c r="G2439" s="405" t="s">
        <v>24024</v>
      </c>
      <c r="H2439" s="405">
        <v>774555732</v>
      </c>
      <c r="I2439" s="405"/>
      <c r="J2439" s="405">
        <v>-0.61557700000000004</v>
      </c>
      <c r="K2439" s="405">
        <v>30.194022</v>
      </c>
      <c r="L2439" s="405" t="s">
        <v>590</v>
      </c>
      <c r="M2439" s="405" t="s">
        <v>19625</v>
      </c>
      <c r="N2439" s="405" t="s">
        <v>19642</v>
      </c>
      <c r="O2439" s="405" t="s">
        <v>22104</v>
      </c>
      <c r="P2439" s="405" t="s">
        <v>24025</v>
      </c>
      <c r="Q2439" s="411">
        <v>9</v>
      </c>
      <c r="R2439" s="405" t="s">
        <v>6943</v>
      </c>
      <c r="S2439" s="405" t="s">
        <v>27065</v>
      </c>
      <c r="T2439" s="405" t="s">
        <v>32102</v>
      </c>
      <c r="U2439" s="405" t="s">
        <v>319</v>
      </c>
    </row>
    <row r="2440" spans="1:21" x14ac:dyDescent="0.25">
      <c r="A2440" s="405" t="s">
        <v>310</v>
      </c>
      <c r="B2440" s="405" t="s">
        <v>24021</v>
      </c>
      <c r="C2440" s="405" t="s">
        <v>327</v>
      </c>
      <c r="D2440" s="405"/>
      <c r="E2440" s="410">
        <v>43233</v>
      </c>
      <c r="F2440" s="410">
        <v>43250</v>
      </c>
      <c r="G2440" s="405" t="s">
        <v>24022</v>
      </c>
      <c r="H2440" s="405">
        <v>772766760</v>
      </c>
      <c r="I2440" s="405"/>
      <c r="J2440" s="405">
        <v>-0.58418199999999998</v>
      </c>
      <c r="K2440" s="405">
        <v>30.207951999999999</v>
      </c>
      <c r="L2440" s="405" t="s">
        <v>590</v>
      </c>
      <c r="M2440" s="405" t="s">
        <v>19625</v>
      </c>
      <c r="N2440" s="405" t="s">
        <v>19642</v>
      </c>
      <c r="O2440" s="405" t="s">
        <v>22104</v>
      </c>
      <c r="P2440" s="405" t="s">
        <v>23930</v>
      </c>
      <c r="Q2440" s="411">
        <v>6</v>
      </c>
      <c r="R2440" s="405" t="s">
        <v>6943</v>
      </c>
      <c r="S2440" s="405" t="s">
        <v>27096</v>
      </c>
      <c r="T2440" s="405" t="s">
        <v>32102</v>
      </c>
      <c r="U2440" s="405" t="s">
        <v>319</v>
      </c>
    </row>
    <row r="2441" spans="1:21" x14ac:dyDescent="0.25">
      <c r="A2441" s="405" t="s">
        <v>310</v>
      </c>
      <c r="B2441" s="405" t="s">
        <v>24213</v>
      </c>
      <c r="C2441" s="405" t="s">
        <v>327</v>
      </c>
      <c r="D2441" s="405"/>
      <c r="E2441" s="410">
        <v>43232</v>
      </c>
      <c r="F2441" s="410">
        <v>43255</v>
      </c>
      <c r="G2441" s="405" t="s">
        <v>24214</v>
      </c>
      <c r="H2441" s="405">
        <v>781667517</v>
      </c>
      <c r="I2441" s="405">
        <v>701667517</v>
      </c>
      <c r="J2441" s="405">
        <v>2.5992999999999999E-2</v>
      </c>
      <c r="K2441" s="405">
        <v>30.886849999999999</v>
      </c>
      <c r="L2441" s="405" t="s">
        <v>590</v>
      </c>
      <c r="M2441" s="405" t="s">
        <v>19705</v>
      </c>
      <c r="N2441" s="405" t="s">
        <v>2250</v>
      </c>
      <c r="O2441" s="405" t="s">
        <v>24215</v>
      </c>
      <c r="P2441" s="405" t="s">
        <v>24216</v>
      </c>
      <c r="Q2441" s="411">
        <v>9</v>
      </c>
      <c r="R2441" s="405" t="s">
        <v>874</v>
      </c>
      <c r="S2441" s="405" t="s">
        <v>27275</v>
      </c>
      <c r="T2441" s="405" t="s">
        <v>32102</v>
      </c>
      <c r="U2441" s="405" t="s">
        <v>319</v>
      </c>
    </row>
    <row r="2442" spans="1:21" x14ac:dyDescent="0.25">
      <c r="A2442" s="405" t="s">
        <v>310</v>
      </c>
      <c r="B2442" s="405" t="s">
        <v>24107</v>
      </c>
      <c r="C2442" s="405" t="s">
        <v>327</v>
      </c>
      <c r="D2442" s="405"/>
      <c r="E2442" s="410">
        <v>43230</v>
      </c>
      <c r="F2442" s="410">
        <v>43242</v>
      </c>
      <c r="G2442" s="405" t="s">
        <v>24108</v>
      </c>
      <c r="H2442" s="405">
        <v>782559141</v>
      </c>
      <c r="I2442" s="405">
        <v>770861699</v>
      </c>
      <c r="J2442" s="405" t="s">
        <v>24109</v>
      </c>
      <c r="K2442" s="405">
        <v>29.606068</v>
      </c>
      <c r="L2442" s="405" t="s">
        <v>590</v>
      </c>
      <c r="M2442" s="405" t="s">
        <v>20070</v>
      </c>
      <c r="N2442" s="405" t="s">
        <v>20071</v>
      </c>
      <c r="O2442" s="405" t="s">
        <v>24110</v>
      </c>
      <c r="P2442" s="405" t="s">
        <v>24111</v>
      </c>
      <c r="Q2442" s="411">
        <v>13</v>
      </c>
      <c r="R2442" s="405" t="s">
        <v>24106</v>
      </c>
      <c r="S2442" s="405" t="s">
        <v>27402</v>
      </c>
      <c r="T2442" s="405" t="s">
        <v>32102</v>
      </c>
      <c r="U2442" s="405" t="s">
        <v>319</v>
      </c>
    </row>
    <row r="2443" spans="1:21" x14ac:dyDescent="0.25">
      <c r="A2443" s="405" t="s">
        <v>310</v>
      </c>
      <c r="B2443" s="405" t="s">
        <v>24116</v>
      </c>
      <c r="C2443" s="405" t="s">
        <v>327</v>
      </c>
      <c r="D2443" s="405"/>
      <c r="E2443" s="410">
        <v>43230</v>
      </c>
      <c r="F2443" s="410">
        <v>43245</v>
      </c>
      <c r="G2443" s="405" t="s">
        <v>24117</v>
      </c>
      <c r="H2443" s="405">
        <v>774425411</v>
      </c>
      <c r="I2443" s="405">
        <v>772262225</v>
      </c>
      <c r="J2443" s="405">
        <v>1.175942</v>
      </c>
      <c r="K2443" s="405">
        <v>29.664437</v>
      </c>
      <c r="L2443" s="405" t="s">
        <v>590</v>
      </c>
      <c r="M2443" s="405" t="s">
        <v>20070</v>
      </c>
      <c r="N2443" s="405" t="s">
        <v>20071</v>
      </c>
      <c r="O2443" s="405" t="s">
        <v>24118</v>
      </c>
      <c r="P2443" s="405" t="s">
        <v>24119</v>
      </c>
      <c r="Q2443" s="411">
        <v>6</v>
      </c>
      <c r="R2443" s="405" t="s">
        <v>24106</v>
      </c>
      <c r="S2443" s="405" t="s">
        <v>27402</v>
      </c>
      <c r="T2443" s="405" t="s">
        <v>32102</v>
      </c>
      <c r="U2443" s="405" t="s">
        <v>319</v>
      </c>
    </row>
    <row r="2444" spans="1:21" x14ac:dyDescent="0.25">
      <c r="A2444" s="405" t="s">
        <v>310</v>
      </c>
      <c r="B2444" s="405" t="s">
        <v>16352</v>
      </c>
      <c r="C2444" s="405" t="s">
        <v>327</v>
      </c>
      <c r="D2444" s="405"/>
      <c r="E2444" s="410">
        <v>43229</v>
      </c>
      <c r="F2444" s="410">
        <v>43415</v>
      </c>
      <c r="G2444" s="405" t="s">
        <v>16353</v>
      </c>
      <c r="H2444" s="405">
        <v>786376328</v>
      </c>
      <c r="I2444" s="405"/>
      <c r="J2444" s="405">
        <v>0.67841300000000004</v>
      </c>
      <c r="K2444" s="405">
        <v>34.196339999999999</v>
      </c>
      <c r="L2444" s="405" t="s">
        <v>6866</v>
      </c>
      <c r="M2444" s="405" t="s">
        <v>9534</v>
      </c>
      <c r="N2444" s="405" t="s">
        <v>10065</v>
      </c>
      <c r="O2444" s="405" t="s">
        <v>6748</v>
      </c>
      <c r="P2444" s="405" t="s">
        <v>16354</v>
      </c>
      <c r="Q2444" s="411">
        <v>9</v>
      </c>
      <c r="R2444" s="405" t="s">
        <v>7224</v>
      </c>
      <c r="S2444" s="405" t="s">
        <v>27259</v>
      </c>
      <c r="T2444" s="405" t="s">
        <v>32102</v>
      </c>
      <c r="U2444" s="405" t="s">
        <v>319</v>
      </c>
    </row>
    <row r="2445" spans="1:21" x14ac:dyDescent="0.25">
      <c r="A2445" s="405" t="s">
        <v>310</v>
      </c>
      <c r="B2445" s="405" t="s">
        <v>6855</v>
      </c>
      <c r="C2445" s="405" t="s">
        <v>327</v>
      </c>
      <c r="D2445" s="405"/>
      <c r="E2445" s="410">
        <v>43228</v>
      </c>
      <c r="F2445" s="410">
        <v>43248</v>
      </c>
      <c r="G2445" s="405" t="s">
        <v>6856</v>
      </c>
      <c r="H2445" s="405">
        <v>784067167</v>
      </c>
      <c r="I2445" s="405">
        <v>772446333</v>
      </c>
      <c r="J2445" s="405">
        <v>0.37613999999999997</v>
      </c>
      <c r="K2445" s="405">
        <v>32.528395000000003</v>
      </c>
      <c r="L2445" s="405" t="s">
        <v>314</v>
      </c>
      <c r="M2445" s="405" t="s">
        <v>361</v>
      </c>
      <c r="N2445" s="405" t="s">
        <v>469</v>
      </c>
      <c r="O2445" s="405" t="s">
        <v>469</v>
      </c>
      <c r="P2445" s="405" t="s">
        <v>6857</v>
      </c>
      <c r="Q2445" s="411">
        <v>6</v>
      </c>
      <c r="R2445" s="405" t="s">
        <v>6795</v>
      </c>
      <c r="S2445" s="405" t="s">
        <v>27261</v>
      </c>
      <c r="T2445" s="405" t="s">
        <v>32102</v>
      </c>
      <c r="U2445" s="405" t="s">
        <v>319</v>
      </c>
    </row>
    <row r="2446" spans="1:21" x14ac:dyDescent="0.25">
      <c r="A2446" s="405" t="s">
        <v>310</v>
      </c>
      <c r="B2446" s="405" t="s">
        <v>24146</v>
      </c>
      <c r="C2446" s="405" t="s">
        <v>327</v>
      </c>
      <c r="D2446" s="405"/>
      <c r="E2446" s="410">
        <v>43227</v>
      </c>
      <c r="F2446" s="410">
        <v>43263</v>
      </c>
      <c r="G2446" s="405" t="s">
        <v>24147</v>
      </c>
      <c r="H2446" s="405">
        <v>772433440</v>
      </c>
      <c r="I2446" s="405">
        <v>778353831</v>
      </c>
      <c r="J2446" s="405">
        <v>1.4123000000000001</v>
      </c>
      <c r="K2446" s="405">
        <v>31.414300000000001</v>
      </c>
      <c r="L2446" s="405" t="s">
        <v>590</v>
      </c>
      <c r="M2446" s="405" t="s">
        <v>7300</v>
      </c>
      <c r="N2446" s="405" t="s">
        <v>20091</v>
      </c>
      <c r="O2446" s="405" t="s">
        <v>24148</v>
      </c>
      <c r="P2446" s="405" t="s">
        <v>24149</v>
      </c>
      <c r="Q2446" s="411">
        <v>9</v>
      </c>
      <c r="R2446" s="405" t="s">
        <v>6397</v>
      </c>
      <c r="S2446" s="405" t="s">
        <v>22880</v>
      </c>
      <c r="T2446" s="405" t="s">
        <v>32102</v>
      </c>
      <c r="U2446" s="405" t="s">
        <v>319</v>
      </c>
    </row>
    <row r="2447" spans="1:21" x14ac:dyDescent="0.25">
      <c r="A2447" s="405" t="s">
        <v>310</v>
      </c>
      <c r="B2447" s="405" t="s">
        <v>6898</v>
      </c>
      <c r="C2447" s="405" t="s">
        <v>327</v>
      </c>
      <c r="D2447" s="405"/>
      <c r="E2447" s="410">
        <v>43225</v>
      </c>
      <c r="F2447" s="410">
        <v>43266</v>
      </c>
      <c r="G2447" s="405" t="s">
        <v>6899</v>
      </c>
      <c r="H2447" s="405">
        <v>702627835</v>
      </c>
      <c r="I2447" s="405">
        <v>703876465</v>
      </c>
      <c r="J2447" s="405" t="s">
        <v>6900</v>
      </c>
      <c r="K2447" s="405">
        <v>31.759050999999999</v>
      </c>
      <c r="L2447" s="405" t="s">
        <v>314</v>
      </c>
      <c r="M2447" s="405" t="s">
        <v>398</v>
      </c>
      <c r="N2447" s="405" t="s">
        <v>399</v>
      </c>
      <c r="O2447" s="405" t="s">
        <v>399</v>
      </c>
      <c r="P2447" s="405" t="s">
        <v>6671</v>
      </c>
      <c r="Q2447" s="411">
        <v>13</v>
      </c>
      <c r="R2447" s="405" t="s">
        <v>402</v>
      </c>
      <c r="S2447" s="405" t="s">
        <v>27052</v>
      </c>
      <c r="T2447" s="405" t="s">
        <v>32102</v>
      </c>
      <c r="U2447" s="405" t="s">
        <v>319</v>
      </c>
    </row>
    <row r="2448" spans="1:21" x14ac:dyDescent="0.25">
      <c r="A2448" s="405" t="s">
        <v>310</v>
      </c>
      <c r="B2448" s="405" t="s">
        <v>16125</v>
      </c>
      <c r="C2448" s="405" t="s">
        <v>327</v>
      </c>
      <c r="D2448" s="405"/>
      <c r="E2448" s="410">
        <v>43225</v>
      </c>
      <c r="F2448" s="410">
        <v>43293</v>
      </c>
      <c r="G2448" s="405" t="s">
        <v>16126</v>
      </c>
      <c r="H2448" s="405">
        <v>782969917</v>
      </c>
      <c r="I2448" s="405"/>
      <c r="J2448" s="405">
        <v>0.6542</v>
      </c>
      <c r="K2448" s="405">
        <v>34.163800000000002</v>
      </c>
      <c r="L2448" s="405" t="s">
        <v>6866</v>
      </c>
      <c r="M2448" s="405" t="s">
        <v>9763</v>
      </c>
      <c r="N2448" s="405" t="s">
        <v>10631</v>
      </c>
      <c r="O2448" s="405" t="s">
        <v>16127</v>
      </c>
      <c r="P2448" s="405" t="s">
        <v>16128</v>
      </c>
      <c r="Q2448" s="411">
        <v>6</v>
      </c>
      <c r="R2448" s="405" t="s">
        <v>7224</v>
      </c>
      <c r="S2448" s="405" t="s">
        <v>27067</v>
      </c>
      <c r="T2448" s="405" t="s">
        <v>32102</v>
      </c>
      <c r="U2448" s="405" t="s">
        <v>319</v>
      </c>
    </row>
    <row r="2449" spans="1:21" x14ac:dyDescent="0.25">
      <c r="A2449" s="405" t="s">
        <v>310</v>
      </c>
      <c r="B2449" s="405" t="s">
        <v>16029</v>
      </c>
      <c r="C2449" s="405" t="s">
        <v>327</v>
      </c>
      <c r="D2449" s="405"/>
      <c r="E2449" s="410">
        <v>43225</v>
      </c>
      <c r="F2449" s="410">
        <v>43251</v>
      </c>
      <c r="G2449" s="405" t="s">
        <v>16030</v>
      </c>
      <c r="H2449" s="405">
        <v>789762773</v>
      </c>
      <c r="I2449" s="405"/>
      <c r="J2449" s="405">
        <v>0.92716299999999996</v>
      </c>
      <c r="K2449" s="405">
        <v>34.328792999999997</v>
      </c>
      <c r="L2449" s="405" t="s">
        <v>6866</v>
      </c>
      <c r="M2449" s="405" t="s">
        <v>9763</v>
      </c>
      <c r="N2449" s="405" t="s">
        <v>11470</v>
      </c>
      <c r="O2449" s="405" t="s">
        <v>11291</v>
      </c>
      <c r="P2449" s="405" t="s">
        <v>16031</v>
      </c>
      <c r="Q2449" s="411">
        <v>6</v>
      </c>
      <c r="R2449" s="405" t="s">
        <v>7224</v>
      </c>
      <c r="S2449" s="405" t="s">
        <v>27041</v>
      </c>
      <c r="T2449" s="405" t="s">
        <v>32102</v>
      </c>
      <c r="U2449" s="405" t="s">
        <v>319</v>
      </c>
    </row>
    <row r="2450" spans="1:21" x14ac:dyDescent="0.25">
      <c r="A2450" s="405" t="s">
        <v>310</v>
      </c>
      <c r="B2450" s="405" t="s">
        <v>24169</v>
      </c>
      <c r="C2450" s="405" t="s">
        <v>327</v>
      </c>
      <c r="D2450" s="405"/>
      <c r="E2450" s="410">
        <v>43224</v>
      </c>
      <c r="F2450" s="410">
        <v>43271</v>
      </c>
      <c r="G2450" s="405" t="s">
        <v>24170</v>
      </c>
      <c r="H2450" s="405">
        <v>774021024</v>
      </c>
      <c r="I2450" s="405">
        <v>751803546</v>
      </c>
      <c r="J2450" s="405">
        <v>0.35899999999999999</v>
      </c>
      <c r="K2450" s="405">
        <v>30.138000000000002</v>
      </c>
      <c r="L2450" s="405" t="s">
        <v>590</v>
      </c>
      <c r="M2450" s="405" t="s">
        <v>19625</v>
      </c>
      <c r="N2450" s="405" t="s">
        <v>24171</v>
      </c>
      <c r="O2450" s="405" t="s">
        <v>24171</v>
      </c>
      <c r="P2450" s="405" t="s">
        <v>24172</v>
      </c>
      <c r="Q2450" s="411">
        <v>9</v>
      </c>
      <c r="R2450" s="405" t="s">
        <v>32166</v>
      </c>
      <c r="S2450" s="405" t="s">
        <v>27410</v>
      </c>
      <c r="T2450" s="405" t="s">
        <v>32102</v>
      </c>
      <c r="U2450" s="405" t="s">
        <v>319</v>
      </c>
    </row>
    <row r="2451" spans="1:21" x14ac:dyDescent="0.25">
      <c r="A2451" s="405" t="s">
        <v>310</v>
      </c>
      <c r="B2451" s="405" t="s">
        <v>24307</v>
      </c>
      <c r="C2451" s="405" t="s">
        <v>857</v>
      </c>
      <c r="D2451" s="405" t="s">
        <v>24308</v>
      </c>
      <c r="E2451" s="410">
        <v>43223</v>
      </c>
      <c r="F2451" s="410">
        <v>43231</v>
      </c>
      <c r="G2451" s="405" t="s">
        <v>24309</v>
      </c>
      <c r="H2451" s="405">
        <v>772863386</v>
      </c>
      <c r="I2451" s="405"/>
      <c r="J2451" s="405">
        <v>-0.47128500000000001</v>
      </c>
      <c r="K2451" s="405">
        <v>30.497443000000001</v>
      </c>
      <c r="L2451" s="405" t="s">
        <v>590</v>
      </c>
      <c r="M2451" s="405" t="s">
        <v>19614</v>
      </c>
      <c r="N2451" s="405" t="s">
        <v>19615</v>
      </c>
      <c r="O2451" s="405" t="s">
        <v>20188</v>
      </c>
      <c r="P2451" s="405" t="s">
        <v>24310</v>
      </c>
      <c r="Q2451" s="411">
        <v>9</v>
      </c>
      <c r="R2451" s="405" t="s">
        <v>6943</v>
      </c>
      <c r="S2451" s="405" t="s">
        <v>27428</v>
      </c>
      <c r="T2451" s="405" t="s">
        <v>32102</v>
      </c>
      <c r="U2451" s="405" t="s">
        <v>319</v>
      </c>
    </row>
    <row r="2452" spans="1:21" x14ac:dyDescent="0.25">
      <c r="A2452" s="405" t="s">
        <v>310</v>
      </c>
      <c r="B2452" s="405" t="s">
        <v>24341</v>
      </c>
      <c r="C2452" s="405" t="s">
        <v>311</v>
      </c>
      <c r="D2452" s="405" t="s">
        <v>33045</v>
      </c>
      <c r="E2452" s="410">
        <v>43223</v>
      </c>
      <c r="F2452" s="410">
        <v>43225</v>
      </c>
      <c r="G2452" s="405" t="s">
        <v>24342</v>
      </c>
      <c r="H2452" s="405">
        <v>779019168</v>
      </c>
      <c r="I2452" s="405">
        <v>779019068</v>
      </c>
      <c r="J2452" s="405">
        <v>1.6639269999999999</v>
      </c>
      <c r="K2452" s="405">
        <v>31.735275000000001</v>
      </c>
      <c r="L2452" s="405" t="s">
        <v>590</v>
      </c>
      <c r="M2452" s="405" t="s">
        <v>19608</v>
      </c>
      <c r="N2452" s="405" t="s">
        <v>19783</v>
      </c>
      <c r="O2452" s="405" t="s">
        <v>19780</v>
      </c>
      <c r="P2452" s="405" t="s">
        <v>24343</v>
      </c>
      <c r="Q2452" s="411">
        <v>6</v>
      </c>
      <c r="R2452" s="405" t="s">
        <v>6397</v>
      </c>
      <c r="S2452" s="405" t="s">
        <v>22880</v>
      </c>
      <c r="T2452" s="405" t="s">
        <v>32102</v>
      </c>
      <c r="U2452" s="405" t="s">
        <v>319</v>
      </c>
    </row>
    <row r="2453" spans="1:21" x14ac:dyDescent="0.25">
      <c r="A2453" s="405" t="s">
        <v>310</v>
      </c>
      <c r="B2453" s="405" t="s">
        <v>24141</v>
      </c>
      <c r="C2453" s="405" t="s">
        <v>327</v>
      </c>
      <c r="D2453" s="405"/>
      <c r="E2453" s="410">
        <v>43222</v>
      </c>
      <c r="F2453" s="410">
        <v>43281</v>
      </c>
      <c r="G2453" s="405" t="s">
        <v>24142</v>
      </c>
      <c r="H2453" s="405">
        <v>703734742</v>
      </c>
      <c r="I2453" s="405">
        <v>785655713</v>
      </c>
      <c r="J2453" s="405" t="s">
        <v>24143</v>
      </c>
      <c r="K2453" s="405">
        <v>30.297317</v>
      </c>
      <c r="L2453" s="405" t="s">
        <v>590</v>
      </c>
      <c r="M2453" s="405" t="s">
        <v>19625</v>
      </c>
      <c r="N2453" s="405" t="s">
        <v>19642</v>
      </c>
      <c r="O2453" s="405" t="s">
        <v>24144</v>
      </c>
      <c r="P2453" s="405" t="s">
        <v>24145</v>
      </c>
      <c r="Q2453" s="411">
        <v>9</v>
      </c>
      <c r="R2453" s="405" t="s">
        <v>5858</v>
      </c>
      <c r="S2453" s="405" t="s">
        <v>27205</v>
      </c>
      <c r="T2453" s="405" t="s">
        <v>32102</v>
      </c>
      <c r="U2453" s="405" t="s">
        <v>319</v>
      </c>
    </row>
    <row r="2454" spans="1:21" x14ac:dyDescent="0.25">
      <c r="A2454" s="405" t="s">
        <v>310</v>
      </c>
      <c r="B2454" s="405" t="s">
        <v>24120</v>
      </c>
      <c r="C2454" s="405" t="s">
        <v>327</v>
      </c>
      <c r="D2454" s="405"/>
      <c r="E2454" s="410">
        <v>43221</v>
      </c>
      <c r="F2454" s="410">
        <v>43281</v>
      </c>
      <c r="G2454" s="405" t="s">
        <v>24121</v>
      </c>
      <c r="H2454" s="405">
        <v>772466603</v>
      </c>
      <c r="I2454" s="405"/>
      <c r="J2454" s="405">
        <v>0.35199999999999998</v>
      </c>
      <c r="K2454" s="405">
        <v>30.419</v>
      </c>
      <c r="L2454" s="405" t="s">
        <v>590</v>
      </c>
      <c r="M2454" s="405" t="s">
        <v>20032</v>
      </c>
      <c r="N2454" s="405" t="s">
        <v>20033</v>
      </c>
      <c r="O2454" s="405" t="s">
        <v>21569</v>
      </c>
      <c r="P2454" s="405" t="s">
        <v>24122</v>
      </c>
      <c r="Q2454" s="411">
        <v>9</v>
      </c>
      <c r="R2454" s="405" t="s">
        <v>32166</v>
      </c>
      <c r="S2454" s="405" t="s">
        <v>27173</v>
      </c>
      <c r="T2454" s="405" t="s">
        <v>32102</v>
      </c>
      <c r="U2454" s="405" t="s">
        <v>319</v>
      </c>
    </row>
    <row r="2455" spans="1:21" x14ac:dyDescent="0.25">
      <c r="A2455" s="405" t="s">
        <v>310</v>
      </c>
      <c r="B2455" s="405" t="s">
        <v>7085</v>
      </c>
      <c r="C2455" s="405" t="s">
        <v>327</v>
      </c>
      <c r="D2455" s="405"/>
      <c r="E2455" s="410">
        <v>43221</v>
      </c>
      <c r="F2455" s="410">
        <v>43374</v>
      </c>
      <c r="G2455" s="405" t="s">
        <v>7086</v>
      </c>
      <c r="H2455" s="405">
        <v>753333336</v>
      </c>
      <c r="I2455" s="405"/>
      <c r="J2455" s="405">
        <v>0.249</v>
      </c>
      <c r="K2455" s="405">
        <v>32.372399999999999</v>
      </c>
      <c r="L2455" s="405" t="s">
        <v>314</v>
      </c>
      <c r="M2455" s="405" t="s">
        <v>361</v>
      </c>
      <c r="N2455" s="405" t="s">
        <v>362</v>
      </c>
      <c r="O2455" s="405" t="s">
        <v>7087</v>
      </c>
      <c r="P2455" s="405" t="s">
        <v>7088</v>
      </c>
      <c r="Q2455" s="411">
        <v>6</v>
      </c>
      <c r="R2455" s="405" t="s">
        <v>5903</v>
      </c>
      <c r="S2455" s="405" t="s">
        <v>27153</v>
      </c>
      <c r="T2455" s="405" t="s">
        <v>32102</v>
      </c>
      <c r="U2455" s="405" t="s">
        <v>319</v>
      </c>
    </row>
    <row r="2456" spans="1:21" x14ac:dyDescent="0.25">
      <c r="A2456" s="405" t="s">
        <v>310</v>
      </c>
      <c r="B2456" s="405" t="s">
        <v>6872</v>
      </c>
      <c r="C2456" s="405" t="s">
        <v>327</v>
      </c>
      <c r="D2456" s="405"/>
      <c r="E2456" s="410">
        <v>43221</v>
      </c>
      <c r="F2456" s="410">
        <v>43236</v>
      </c>
      <c r="G2456" s="405" t="s">
        <v>6873</v>
      </c>
      <c r="H2456" s="405">
        <v>756842345</v>
      </c>
      <c r="I2456" s="405">
        <v>759569801</v>
      </c>
      <c r="J2456" s="405">
        <v>0.10539999999999999</v>
      </c>
      <c r="K2456" s="405">
        <v>32.4739</v>
      </c>
      <c r="L2456" s="405" t="s">
        <v>314</v>
      </c>
      <c r="M2456" s="405" t="s">
        <v>329</v>
      </c>
      <c r="N2456" s="405" t="s">
        <v>652</v>
      </c>
      <c r="O2456" s="405" t="s">
        <v>6874</v>
      </c>
      <c r="P2456" s="405" t="s">
        <v>6841</v>
      </c>
      <c r="Q2456" s="411">
        <v>6</v>
      </c>
      <c r="R2456" s="405" t="s">
        <v>6798</v>
      </c>
      <c r="S2456" s="405" t="s">
        <v>27047</v>
      </c>
      <c r="T2456" s="405" t="s">
        <v>32102</v>
      </c>
      <c r="U2456" s="405" t="s">
        <v>319</v>
      </c>
    </row>
    <row r="2457" spans="1:21" x14ac:dyDescent="0.25">
      <c r="A2457" s="405" t="s">
        <v>310</v>
      </c>
      <c r="B2457" s="405" t="s">
        <v>24153</v>
      </c>
      <c r="C2457" s="405" t="s">
        <v>327</v>
      </c>
      <c r="D2457" s="405"/>
      <c r="E2457" s="410">
        <v>43220</v>
      </c>
      <c r="F2457" s="410">
        <v>43268</v>
      </c>
      <c r="G2457" s="405" t="s">
        <v>24154</v>
      </c>
      <c r="H2457" s="405">
        <v>772644653</v>
      </c>
      <c r="I2457" s="405"/>
      <c r="J2457" s="405" t="s">
        <v>24155</v>
      </c>
      <c r="K2457" s="405">
        <v>30.157192999999999</v>
      </c>
      <c r="L2457" s="405" t="s">
        <v>590</v>
      </c>
      <c r="M2457" s="405" t="s">
        <v>19625</v>
      </c>
      <c r="N2457" s="405" t="s">
        <v>4147</v>
      </c>
      <c r="O2457" s="405" t="s">
        <v>20580</v>
      </c>
      <c r="P2457" s="405" t="s">
        <v>23917</v>
      </c>
      <c r="Q2457" s="411">
        <v>9</v>
      </c>
      <c r="R2457" s="405" t="s">
        <v>6943</v>
      </c>
      <c r="S2457" s="405" t="s">
        <v>27154</v>
      </c>
      <c r="T2457" s="405" t="s">
        <v>32102</v>
      </c>
      <c r="U2457" s="405" t="s">
        <v>319</v>
      </c>
    </row>
    <row r="2458" spans="1:21" x14ac:dyDescent="0.25">
      <c r="A2458" s="405" t="s">
        <v>310</v>
      </c>
      <c r="B2458" s="405" t="s">
        <v>24054</v>
      </c>
      <c r="C2458" s="405" t="s">
        <v>327</v>
      </c>
      <c r="D2458" s="405"/>
      <c r="E2458" s="410">
        <v>43220</v>
      </c>
      <c r="F2458" s="410">
        <v>43243</v>
      </c>
      <c r="G2458" s="405" t="s">
        <v>24055</v>
      </c>
      <c r="H2458" s="405">
        <v>772567259</v>
      </c>
      <c r="I2458" s="405"/>
      <c r="J2458" s="405">
        <v>0.94277500000000003</v>
      </c>
      <c r="K2458" s="405">
        <v>30.907080000000001</v>
      </c>
      <c r="L2458" s="405" t="s">
        <v>590</v>
      </c>
      <c r="M2458" s="405" t="s">
        <v>1851</v>
      </c>
      <c r="N2458" s="405" t="s">
        <v>7488</v>
      </c>
      <c r="O2458" s="405" t="s">
        <v>24056</v>
      </c>
      <c r="P2458" s="405" t="s">
        <v>24057</v>
      </c>
      <c r="Q2458" s="411">
        <v>6</v>
      </c>
      <c r="R2458" s="405" t="s">
        <v>6397</v>
      </c>
      <c r="S2458" s="405" t="s">
        <v>22880</v>
      </c>
      <c r="T2458" s="405" t="s">
        <v>32102</v>
      </c>
      <c r="U2458" s="405" t="s">
        <v>319</v>
      </c>
    </row>
    <row r="2459" spans="1:21" x14ac:dyDescent="0.25">
      <c r="A2459" s="405" t="s">
        <v>310</v>
      </c>
      <c r="B2459" s="405" t="s">
        <v>24045</v>
      </c>
      <c r="C2459" s="405" t="s">
        <v>327</v>
      </c>
      <c r="D2459" s="405"/>
      <c r="E2459" s="410">
        <v>43219</v>
      </c>
      <c r="F2459" s="410">
        <v>43238</v>
      </c>
      <c r="G2459" s="405" t="s">
        <v>24046</v>
      </c>
      <c r="H2459" s="405">
        <v>774512476</v>
      </c>
      <c r="I2459" s="405"/>
      <c r="J2459" s="405">
        <v>0.63922999999999996</v>
      </c>
      <c r="K2459" s="405">
        <v>29.982800000000001</v>
      </c>
      <c r="L2459" s="405" t="s">
        <v>590</v>
      </c>
      <c r="M2459" s="405" t="s">
        <v>20032</v>
      </c>
      <c r="N2459" s="405" t="s">
        <v>20033</v>
      </c>
      <c r="O2459" s="405" t="s">
        <v>20601</v>
      </c>
      <c r="P2459" s="405" t="s">
        <v>24047</v>
      </c>
      <c r="Q2459" s="411">
        <v>9</v>
      </c>
      <c r="R2459" s="405" t="s">
        <v>32166</v>
      </c>
      <c r="S2459" s="405" t="s">
        <v>27410</v>
      </c>
      <c r="T2459" s="405" t="s">
        <v>32102</v>
      </c>
      <c r="U2459" s="405" t="s">
        <v>319</v>
      </c>
    </row>
    <row r="2460" spans="1:21" x14ac:dyDescent="0.25">
      <c r="A2460" s="405" t="s">
        <v>310</v>
      </c>
      <c r="B2460" s="405" t="s">
        <v>16086</v>
      </c>
      <c r="C2460" s="405" t="s">
        <v>327</v>
      </c>
      <c r="D2460" s="405"/>
      <c r="E2460" s="410">
        <v>43218</v>
      </c>
      <c r="F2460" s="410">
        <v>43259</v>
      </c>
      <c r="G2460" s="405" t="s">
        <v>16087</v>
      </c>
      <c r="H2460" s="405">
        <v>782709935</v>
      </c>
      <c r="I2460" s="405">
        <v>757042456</v>
      </c>
      <c r="J2460" s="405">
        <v>1.8861520000000001</v>
      </c>
      <c r="K2460" s="405">
        <v>33.268371999999999</v>
      </c>
      <c r="L2460" s="405" t="s">
        <v>6866</v>
      </c>
      <c r="M2460" s="405" t="s">
        <v>12153</v>
      </c>
      <c r="N2460" s="405" t="s">
        <v>10377</v>
      </c>
      <c r="O2460" s="405" t="s">
        <v>16088</v>
      </c>
      <c r="P2460" s="405" t="s">
        <v>16089</v>
      </c>
      <c r="Q2460" s="411">
        <v>6</v>
      </c>
      <c r="R2460" s="405" t="s">
        <v>5655</v>
      </c>
      <c r="S2460" s="405" t="s">
        <v>27072</v>
      </c>
      <c r="T2460" s="405" t="s">
        <v>32102</v>
      </c>
      <c r="U2460" s="405" t="s">
        <v>319</v>
      </c>
    </row>
    <row r="2461" spans="1:21" x14ac:dyDescent="0.25">
      <c r="A2461" s="405" t="s">
        <v>310</v>
      </c>
      <c r="B2461" s="405" t="s">
        <v>24101</v>
      </c>
      <c r="C2461" s="405" t="s">
        <v>327</v>
      </c>
      <c r="D2461" s="405"/>
      <c r="E2461" s="410">
        <v>43215</v>
      </c>
      <c r="F2461" s="410">
        <v>43224</v>
      </c>
      <c r="G2461" s="405" t="s">
        <v>24102</v>
      </c>
      <c r="H2461" s="405">
        <v>771304095</v>
      </c>
      <c r="I2461" s="405"/>
      <c r="J2461" s="405" t="s">
        <v>24103</v>
      </c>
      <c r="K2461" s="405">
        <v>29.722387000000001</v>
      </c>
      <c r="L2461" s="405" t="s">
        <v>590</v>
      </c>
      <c r="M2461" s="405" t="s">
        <v>20070</v>
      </c>
      <c r="N2461" s="405" t="s">
        <v>20071</v>
      </c>
      <c r="O2461" s="405" t="s">
        <v>24104</v>
      </c>
      <c r="P2461" s="405" t="s">
        <v>24105</v>
      </c>
      <c r="Q2461" s="411">
        <v>13</v>
      </c>
      <c r="R2461" s="405" t="s">
        <v>24106</v>
      </c>
      <c r="S2461" s="405" t="s">
        <v>27402</v>
      </c>
      <c r="T2461" s="405" t="s">
        <v>32102</v>
      </c>
      <c r="U2461" s="405" t="s">
        <v>319</v>
      </c>
    </row>
    <row r="2462" spans="1:21" x14ac:dyDescent="0.25">
      <c r="A2462" s="405" t="s">
        <v>310</v>
      </c>
      <c r="B2462" s="405" t="s">
        <v>7466</v>
      </c>
      <c r="C2462" s="405" t="s">
        <v>857</v>
      </c>
      <c r="D2462" s="405" t="s">
        <v>21355</v>
      </c>
      <c r="E2462" s="410">
        <v>43215</v>
      </c>
      <c r="F2462" s="410">
        <v>43224</v>
      </c>
      <c r="G2462" s="405" t="s">
        <v>7467</v>
      </c>
      <c r="H2462" s="405">
        <v>776830767</v>
      </c>
      <c r="I2462" s="405"/>
      <c r="J2462" s="405" t="s">
        <v>7468</v>
      </c>
      <c r="K2462" s="405">
        <v>32.527523000000002</v>
      </c>
      <c r="L2462" s="405" t="s">
        <v>314</v>
      </c>
      <c r="M2462" s="405" t="s">
        <v>992</v>
      </c>
      <c r="N2462" s="405" t="s">
        <v>362</v>
      </c>
      <c r="O2462" s="405" t="s">
        <v>2327</v>
      </c>
      <c r="P2462" s="405" t="s">
        <v>1450</v>
      </c>
      <c r="Q2462" s="411">
        <v>13</v>
      </c>
      <c r="R2462" s="405" t="s">
        <v>32101</v>
      </c>
      <c r="S2462" s="405" t="s">
        <v>27167</v>
      </c>
      <c r="T2462" s="405" t="s">
        <v>32102</v>
      </c>
      <c r="U2462" s="405" t="s">
        <v>319</v>
      </c>
    </row>
    <row r="2463" spans="1:21" x14ac:dyDescent="0.25">
      <c r="A2463" s="405" t="s">
        <v>310</v>
      </c>
      <c r="B2463" s="405" t="s">
        <v>24094</v>
      </c>
      <c r="C2463" s="405" t="s">
        <v>327</v>
      </c>
      <c r="D2463" s="405"/>
      <c r="E2463" s="410">
        <v>43215</v>
      </c>
      <c r="F2463" s="410">
        <v>43245</v>
      </c>
      <c r="G2463" s="405" t="s">
        <v>24095</v>
      </c>
      <c r="H2463" s="405">
        <v>702496353</v>
      </c>
      <c r="I2463" s="405"/>
      <c r="J2463" s="405">
        <v>-0.61366699999999996</v>
      </c>
      <c r="K2463" s="405">
        <v>30.458665</v>
      </c>
      <c r="L2463" s="405" t="s">
        <v>590</v>
      </c>
      <c r="M2463" s="405" t="s">
        <v>19614</v>
      </c>
      <c r="N2463" s="405" t="s">
        <v>20230</v>
      </c>
      <c r="O2463" s="405" t="s">
        <v>20063</v>
      </c>
      <c r="P2463" s="405" t="s">
        <v>20241</v>
      </c>
      <c r="Q2463" s="411">
        <v>9</v>
      </c>
      <c r="R2463" s="405" t="s">
        <v>874</v>
      </c>
      <c r="S2463" s="405" t="s">
        <v>27275</v>
      </c>
      <c r="T2463" s="405" t="s">
        <v>32212</v>
      </c>
      <c r="U2463" s="405" t="s">
        <v>2267</v>
      </c>
    </row>
    <row r="2464" spans="1:21" x14ac:dyDescent="0.25">
      <c r="A2464" s="405" t="s">
        <v>310</v>
      </c>
      <c r="B2464" s="405" t="s">
        <v>6881</v>
      </c>
      <c r="C2464" s="405" t="s">
        <v>327</v>
      </c>
      <c r="D2464" s="405"/>
      <c r="E2464" s="410">
        <v>43215</v>
      </c>
      <c r="F2464" s="410">
        <v>43230</v>
      </c>
      <c r="G2464" s="405" t="s">
        <v>6882</v>
      </c>
      <c r="H2464" s="405">
        <v>702880110</v>
      </c>
      <c r="I2464" s="405"/>
      <c r="J2464" s="405">
        <v>0.51437200000000005</v>
      </c>
      <c r="K2464" s="405">
        <v>32.60859</v>
      </c>
      <c r="L2464" s="405" t="s">
        <v>314</v>
      </c>
      <c r="M2464" s="405" t="s">
        <v>361</v>
      </c>
      <c r="N2464" s="405" t="s">
        <v>433</v>
      </c>
      <c r="O2464" s="405" t="s">
        <v>433</v>
      </c>
      <c r="P2464" s="405" t="s">
        <v>1096</v>
      </c>
      <c r="Q2464" s="411">
        <v>9</v>
      </c>
      <c r="R2464" s="405" t="s">
        <v>32101</v>
      </c>
      <c r="S2464" s="405" t="s">
        <v>27193</v>
      </c>
      <c r="T2464" s="405" t="s">
        <v>32102</v>
      </c>
      <c r="U2464" s="405" t="s">
        <v>319</v>
      </c>
    </row>
    <row r="2465" spans="1:21" x14ac:dyDescent="0.25">
      <c r="A2465" s="405" t="s">
        <v>310</v>
      </c>
      <c r="B2465" s="405" t="s">
        <v>24012</v>
      </c>
      <c r="C2465" s="405" t="s">
        <v>327</v>
      </c>
      <c r="D2465" s="405"/>
      <c r="E2465" s="410">
        <v>43215</v>
      </c>
      <c r="F2465" s="410">
        <v>43227</v>
      </c>
      <c r="G2465" s="405" t="s">
        <v>24013</v>
      </c>
      <c r="H2465" s="405">
        <v>75306459</v>
      </c>
      <c r="I2465" s="405"/>
      <c r="J2465" s="405">
        <v>0.57823500000000005</v>
      </c>
      <c r="K2465" s="405">
        <v>30.122949999999999</v>
      </c>
      <c r="L2465" s="405" t="s">
        <v>590</v>
      </c>
      <c r="M2465" s="405" t="s">
        <v>19625</v>
      </c>
      <c r="N2465" s="405" t="s">
        <v>19625</v>
      </c>
      <c r="O2465" s="405" t="s">
        <v>24014</v>
      </c>
      <c r="P2465" s="405" t="s">
        <v>24015</v>
      </c>
      <c r="Q2465" s="411">
        <v>9</v>
      </c>
      <c r="R2465" s="405" t="s">
        <v>6943</v>
      </c>
      <c r="S2465" s="405" t="s">
        <v>27065</v>
      </c>
      <c r="T2465" s="405" t="s">
        <v>32102</v>
      </c>
      <c r="U2465" s="405" t="s">
        <v>319</v>
      </c>
    </row>
    <row r="2466" spans="1:21" x14ac:dyDescent="0.25">
      <c r="A2466" s="405" t="s">
        <v>310</v>
      </c>
      <c r="B2466" s="405" t="s">
        <v>24137</v>
      </c>
      <c r="C2466" s="405" t="s">
        <v>327</v>
      </c>
      <c r="D2466" s="405"/>
      <c r="E2466" s="410">
        <v>43213</v>
      </c>
      <c r="F2466" s="410">
        <v>43266</v>
      </c>
      <c r="G2466" s="405" t="s">
        <v>24138</v>
      </c>
      <c r="H2466" s="405">
        <v>787809328</v>
      </c>
      <c r="I2466" s="405">
        <v>705998333</v>
      </c>
      <c r="J2466" s="405">
        <v>-0.49811499999999997</v>
      </c>
      <c r="K2466" s="405">
        <v>30.257930000000002</v>
      </c>
      <c r="L2466" s="405" t="s">
        <v>590</v>
      </c>
      <c r="M2466" s="405" t="s">
        <v>19625</v>
      </c>
      <c r="N2466" s="405" t="s">
        <v>24139</v>
      </c>
      <c r="O2466" s="405" t="s">
        <v>24140</v>
      </c>
      <c r="P2466" s="405" t="s">
        <v>20025</v>
      </c>
      <c r="Q2466" s="411">
        <v>9</v>
      </c>
      <c r="R2466" s="405" t="s">
        <v>5858</v>
      </c>
      <c r="S2466" s="405" t="s">
        <v>27132</v>
      </c>
      <c r="T2466" s="405" t="s">
        <v>32102</v>
      </c>
      <c r="U2466" s="405" t="s">
        <v>319</v>
      </c>
    </row>
    <row r="2467" spans="1:21" x14ac:dyDescent="0.25">
      <c r="A2467" s="405" t="s">
        <v>310</v>
      </c>
      <c r="B2467" s="405" t="s">
        <v>24051</v>
      </c>
      <c r="C2467" s="405" t="s">
        <v>327</v>
      </c>
      <c r="D2467" s="405"/>
      <c r="E2467" s="410">
        <v>43213</v>
      </c>
      <c r="F2467" s="410">
        <v>43243</v>
      </c>
      <c r="G2467" s="405" t="s">
        <v>24052</v>
      </c>
      <c r="H2467" s="405">
        <v>782958630</v>
      </c>
      <c r="I2467" s="405"/>
      <c r="J2467" s="405">
        <v>-0.63429199999999997</v>
      </c>
      <c r="K2467" s="405">
        <v>29.960661999999999</v>
      </c>
      <c r="L2467" s="405" t="s">
        <v>590</v>
      </c>
      <c r="M2467" s="405" t="s">
        <v>20032</v>
      </c>
      <c r="N2467" s="405" t="s">
        <v>20033</v>
      </c>
      <c r="O2467" s="405" t="s">
        <v>20601</v>
      </c>
      <c r="P2467" s="405" t="s">
        <v>24053</v>
      </c>
      <c r="Q2467" s="411">
        <v>9</v>
      </c>
      <c r="R2467" s="405" t="s">
        <v>32166</v>
      </c>
      <c r="S2467" s="405" t="s">
        <v>27104</v>
      </c>
      <c r="T2467" s="405" t="s">
        <v>32102</v>
      </c>
      <c r="U2467" s="405" t="s">
        <v>319</v>
      </c>
    </row>
    <row r="2468" spans="1:21" x14ac:dyDescent="0.25">
      <c r="A2468" s="405" t="s">
        <v>310</v>
      </c>
      <c r="B2468" s="405" t="s">
        <v>24088</v>
      </c>
      <c r="C2468" s="405" t="s">
        <v>327</v>
      </c>
      <c r="D2468" s="405"/>
      <c r="E2468" s="410">
        <v>43210</v>
      </c>
      <c r="F2468" s="410">
        <v>43237</v>
      </c>
      <c r="G2468" s="405" t="s">
        <v>24089</v>
      </c>
      <c r="H2468" s="405">
        <v>772995784</v>
      </c>
      <c r="I2468" s="405"/>
      <c r="J2468" s="405">
        <v>-0.61537299999999995</v>
      </c>
      <c r="K2468" s="405">
        <v>29.973742000000001</v>
      </c>
      <c r="L2468" s="405" t="s">
        <v>590</v>
      </c>
      <c r="M2468" s="405" t="s">
        <v>20032</v>
      </c>
      <c r="N2468" s="405" t="s">
        <v>20032</v>
      </c>
      <c r="O2468" s="405" t="s">
        <v>24090</v>
      </c>
      <c r="P2468" s="405" t="s">
        <v>24090</v>
      </c>
      <c r="Q2468" s="411">
        <v>9</v>
      </c>
      <c r="R2468" s="405" t="s">
        <v>883</v>
      </c>
      <c r="S2468" s="405" t="s">
        <v>27154</v>
      </c>
      <c r="T2468" s="405" t="s">
        <v>32102</v>
      </c>
      <c r="U2468" s="405" t="s">
        <v>319</v>
      </c>
    </row>
    <row r="2469" spans="1:21" x14ac:dyDescent="0.25">
      <c r="A2469" s="405" t="s">
        <v>310</v>
      </c>
      <c r="B2469" s="405" t="s">
        <v>6875</v>
      </c>
      <c r="C2469" s="405" t="s">
        <v>327</v>
      </c>
      <c r="D2469" s="405"/>
      <c r="E2469" s="410">
        <v>43210</v>
      </c>
      <c r="F2469" s="410">
        <v>43225</v>
      </c>
      <c r="G2469" s="405" t="s">
        <v>6876</v>
      </c>
      <c r="H2469" s="405">
        <v>772436813</v>
      </c>
      <c r="I2469" s="405">
        <v>704911980</v>
      </c>
      <c r="J2469" s="405">
        <v>0.397648</v>
      </c>
      <c r="K2469" s="405">
        <v>32.479705000000003</v>
      </c>
      <c r="L2469" s="405" t="s">
        <v>314</v>
      </c>
      <c r="M2469" s="405" t="s">
        <v>361</v>
      </c>
      <c r="N2469" s="405" t="s">
        <v>374</v>
      </c>
      <c r="O2469" s="405" t="s">
        <v>6877</v>
      </c>
      <c r="P2469" s="405" t="s">
        <v>5606</v>
      </c>
      <c r="Q2469" s="411">
        <v>9</v>
      </c>
      <c r="R2469" s="405" t="s">
        <v>32101</v>
      </c>
      <c r="S2469" s="405" t="s">
        <v>27041</v>
      </c>
      <c r="T2469" s="405" t="s">
        <v>32102</v>
      </c>
      <c r="U2469" s="405" t="s">
        <v>319</v>
      </c>
    </row>
    <row r="2470" spans="1:21" x14ac:dyDescent="0.25">
      <c r="A2470" s="405" t="s">
        <v>310</v>
      </c>
      <c r="B2470" s="405" t="s">
        <v>23915</v>
      </c>
      <c r="C2470" s="405" t="s">
        <v>327</v>
      </c>
      <c r="D2470" s="405"/>
      <c r="E2470" s="410">
        <v>43210</v>
      </c>
      <c r="F2470" s="410">
        <v>43220</v>
      </c>
      <c r="G2470" s="405" t="s">
        <v>23916</v>
      </c>
      <c r="H2470" s="405">
        <v>753653284</v>
      </c>
      <c r="I2470" s="405"/>
      <c r="J2470" s="405">
        <v>0.58818300000000001</v>
      </c>
      <c r="K2470" s="405">
        <v>30.161484999999999</v>
      </c>
      <c r="L2470" s="405" t="s">
        <v>590</v>
      </c>
      <c r="M2470" s="405" t="s">
        <v>19625</v>
      </c>
      <c r="N2470" s="405" t="s">
        <v>19626</v>
      </c>
      <c r="O2470" s="405" t="s">
        <v>13002</v>
      </c>
      <c r="P2470" s="405" t="s">
        <v>23917</v>
      </c>
      <c r="Q2470" s="411">
        <v>9</v>
      </c>
      <c r="R2470" s="405" t="s">
        <v>6943</v>
      </c>
      <c r="S2470" s="405" t="s">
        <v>27173</v>
      </c>
      <c r="T2470" s="405" t="s">
        <v>32102</v>
      </c>
      <c r="U2470" s="405" t="s">
        <v>319</v>
      </c>
    </row>
    <row r="2471" spans="1:21" x14ac:dyDescent="0.25">
      <c r="A2471" s="405" t="s">
        <v>310</v>
      </c>
      <c r="B2471" s="405" t="s">
        <v>23998</v>
      </c>
      <c r="C2471" s="405" t="s">
        <v>327</v>
      </c>
      <c r="D2471" s="405"/>
      <c r="E2471" s="410">
        <v>43208</v>
      </c>
      <c r="F2471" s="410">
        <v>43221</v>
      </c>
      <c r="G2471" s="405" t="s">
        <v>23999</v>
      </c>
      <c r="H2471" s="405">
        <v>751761457</v>
      </c>
      <c r="I2471" s="405"/>
      <c r="J2471" s="405">
        <v>-0.42906300000000003</v>
      </c>
      <c r="K2471" s="405">
        <v>30.178552</v>
      </c>
      <c r="L2471" s="405" t="s">
        <v>590</v>
      </c>
      <c r="M2471" s="405" t="s">
        <v>19625</v>
      </c>
      <c r="N2471" s="405" t="s">
        <v>19642</v>
      </c>
      <c r="O2471" s="405" t="s">
        <v>22017</v>
      </c>
      <c r="P2471" s="405" t="s">
        <v>22017</v>
      </c>
      <c r="Q2471" s="411">
        <v>9</v>
      </c>
      <c r="R2471" s="405" t="s">
        <v>5858</v>
      </c>
      <c r="S2471" s="405" t="s">
        <v>27098</v>
      </c>
      <c r="T2471" s="405" t="s">
        <v>32102</v>
      </c>
      <c r="U2471" s="405" t="s">
        <v>319</v>
      </c>
    </row>
    <row r="2472" spans="1:21" x14ac:dyDescent="0.25">
      <c r="A2472" s="405" t="s">
        <v>310</v>
      </c>
      <c r="B2472" s="405" t="s">
        <v>6836</v>
      </c>
      <c r="C2472" s="405" t="s">
        <v>327</v>
      </c>
      <c r="D2472" s="405"/>
      <c r="E2472" s="410">
        <v>43208</v>
      </c>
      <c r="F2472" s="410">
        <v>43340</v>
      </c>
      <c r="G2472" s="405" t="s">
        <v>6837</v>
      </c>
      <c r="H2472" s="405">
        <v>772311553</v>
      </c>
      <c r="I2472" s="405"/>
      <c r="J2472" s="405">
        <v>0.1918</v>
      </c>
      <c r="K2472" s="405">
        <v>32.4343</v>
      </c>
      <c r="L2472" s="405" t="s">
        <v>314</v>
      </c>
      <c r="M2472" s="405" t="s">
        <v>361</v>
      </c>
      <c r="N2472" s="405" t="s">
        <v>362</v>
      </c>
      <c r="O2472" s="405" t="s">
        <v>6838</v>
      </c>
      <c r="P2472" s="405" t="s">
        <v>611</v>
      </c>
      <c r="Q2472" s="411">
        <v>6</v>
      </c>
      <c r="R2472" s="405" t="s">
        <v>4176</v>
      </c>
      <c r="S2472" s="405" t="s">
        <v>27053</v>
      </c>
      <c r="T2472" s="405" t="s">
        <v>32102</v>
      </c>
      <c r="U2472" s="405" t="s">
        <v>319</v>
      </c>
    </row>
    <row r="2473" spans="1:21" x14ac:dyDescent="0.25">
      <c r="A2473" s="405" t="s">
        <v>310</v>
      </c>
      <c r="B2473" s="405" t="s">
        <v>16096</v>
      </c>
      <c r="C2473" s="405" t="s">
        <v>327</v>
      </c>
      <c r="D2473" s="405"/>
      <c r="E2473" s="410">
        <v>43208</v>
      </c>
      <c r="F2473" s="410">
        <v>43259</v>
      </c>
      <c r="G2473" s="405" t="s">
        <v>16097</v>
      </c>
      <c r="H2473" s="405">
        <v>773010676</v>
      </c>
      <c r="I2473" s="405"/>
      <c r="J2473" s="405">
        <v>1.882833</v>
      </c>
      <c r="K2473" s="405">
        <v>33.267498000000003</v>
      </c>
      <c r="L2473" s="405" t="s">
        <v>6866</v>
      </c>
      <c r="M2473" s="405" t="s">
        <v>12153</v>
      </c>
      <c r="N2473" s="405" t="s">
        <v>10377</v>
      </c>
      <c r="O2473" s="405" t="s">
        <v>16088</v>
      </c>
      <c r="P2473" s="405" t="s">
        <v>16089</v>
      </c>
      <c r="Q2473" s="411">
        <v>6</v>
      </c>
      <c r="R2473" s="405" t="s">
        <v>5655</v>
      </c>
      <c r="S2473" s="405" t="s">
        <v>27072</v>
      </c>
      <c r="T2473" s="405" t="s">
        <v>32102</v>
      </c>
      <c r="U2473" s="405" t="s">
        <v>319</v>
      </c>
    </row>
    <row r="2474" spans="1:21" x14ac:dyDescent="0.25">
      <c r="A2474" s="405" t="s">
        <v>310</v>
      </c>
      <c r="B2474" s="405" t="s">
        <v>24048</v>
      </c>
      <c r="C2474" s="405" t="s">
        <v>327</v>
      </c>
      <c r="D2474" s="405"/>
      <c r="E2474" s="410">
        <v>43207</v>
      </c>
      <c r="F2474" s="410">
        <v>43243</v>
      </c>
      <c r="G2474" s="405" t="s">
        <v>24049</v>
      </c>
      <c r="H2474" s="405">
        <v>779294564</v>
      </c>
      <c r="I2474" s="405"/>
      <c r="J2474" s="405">
        <v>-0.65376000000000001</v>
      </c>
      <c r="K2474" s="405">
        <v>29.965026999999999</v>
      </c>
      <c r="L2474" s="405" t="s">
        <v>590</v>
      </c>
      <c r="M2474" s="405" t="s">
        <v>20032</v>
      </c>
      <c r="N2474" s="405" t="s">
        <v>20033</v>
      </c>
      <c r="O2474" s="405" t="s">
        <v>20601</v>
      </c>
      <c r="P2474" s="405" t="s">
        <v>24050</v>
      </c>
      <c r="Q2474" s="411">
        <v>9</v>
      </c>
      <c r="R2474" s="405" t="s">
        <v>32166</v>
      </c>
      <c r="S2474" s="405" t="s">
        <v>27181</v>
      </c>
      <c r="T2474" s="405" t="s">
        <v>32102</v>
      </c>
      <c r="U2474" s="405" t="s">
        <v>319</v>
      </c>
    </row>
    <row r="2475" spans="1:21" x14ac:dyDescent="0.25">
      <c r="A2475" s="405" t="s">
        <v>310</v>
      </c>
      <c r="B2475" s="405" t="s">
        <v>24084</v>
      </c>
      <c r="C2475" s="405" t="s">
        <v>327</v>
      </c>
      <c r="D2475" s="405"/>
      <c r="E2475" s="410">
        <v>43207</v>
      </c>
      <c r="F2475" s="410">
        <v>43237</v>
      </c>
      <c r="G2475" s="405" t="s">
        <v>24085</v>
      </c>
      <c r="H2475" s="405">
        <v>772728511</v>
      </c>
      <c r="I2475" s="405">
        <v>781154340</v>
      </c>
      <c r="J2475" s="405">
        <v>-0.665632</v>
      </c>
      <c r="K2475" s="405">
        <v>29.960718</v>
      </c>
      <c r="L2475" s="405" t="s">
        <v>590</v>
      </c>
      <c r="M2475" s="405" t="s">
        <v>20032</v>
      </c>
      <c r="N2475" s="405" t="s">
        <v>20032</v>
      </c>
      <c r="O2475" s="405" t="s">
        <v>24086</v>
      </c>
      <c r="P2475" s="405" t="s">
        <v>24087</v>
      </c>
      <c r="Q2475" s="411">
        <v>9</v>
      </c>
      <c r="R2475" s="405" t="s">
        <v>883</v>
      </c>
      <c r="S2475" s="405" t="s">
        <v>27205</v>
      </c>
      <c r="T2475" s="405" t="s">
        <v>32102</v>
      </c>
      <c r="U2475" s="405" t="s">
        <v>319</v>
      </c>
    </row>
    <row r="2476" spans="1:21" x14ac:dyDescent="0.25">
      <c r="A2476" s="405" t="s">
        <v>310</v>
      </c>
      <c r="B2476" s="405" t="s">
        <v>24006</v>
      </c>
      <c r="C2476" s="405" t="s">
        <v>327</v>
      </c>
      <c r="D2476" s="405"/>
      <c r="E2476" s="410">
        <v>43207</v>
      </c>
      <c r="F2476" s="410">
        <v>43232</v>
      </c>
      <c r="G2476" s="405" t="s">
        <v>24007</v>
      </c>
      <c r="H2476" s="405">
        <v>754906101</v>
      </c>
      <c r="I2476" s="405"/>
      <c r="J2476" s="405">
        <v>-0.42137799999999997</v>
      </c>
      <c r="K2476" s="405">
        <v>30.166962000000002</v>
      </c>
      <c r="L2476" s="405" t="s">
        <v>590</v>
      </c>
      <c r="M2476" s="405" t="s">
        <v>19625</v>
      </c>
      <c r="N2476" s="405" t="s">
        <v>20342</v>
      </c>
      <c r="O2476" s="405" t="s">
        <v>22017</v>
      </c>
      <c r="P2476" s="405" t="s">
        <v>24008</v>
      </c>
      <c r="Q2476" s="411">
        <v>9</v>
      </c>
      <c r="R2476" s="405" t="s">
        <v>5858</v>
      </c>
      <c r="S2476" s="405" t="s">
        <v>27227</v>
      </c>
      <c r="T2476" s="405" t="s">
        <v>32102</v>
      </c>
      <c r="U2476" s="405" t="s">
        <v>319</v>
      </c>
    </row>
    <row r="2477" spans="1:21" x14ac:dyDescent="0.25">
      <c r="A2477" s="405" t="s">
        <v>310</v>
      </c>
      <c r="B2477" s="405" t="s">
        <v>16090</v>
      </c>
      <c r="C2477" s="405" t="s">
        <v>327</v>
      </c>
      <c r="D2477" s="405"/>
      <c r="E2477" s="410">
        <v>43206</v>
      </c>
      <c r="F2477" s="410">
        <v>43262</v>
      </c>
      <c r="G2477" s="405" t="s">
        <v>16091</v>
      </c>
      <c r="H2477" s="405">
        <v>789977861</v>
      </c>
      <c r="I2477" s="405"/>
      <c r="J2477" s="405">
        <v>1.9392750000000001</v>
      </c>
      <c r="K2477" s="405">
        <v>33.343885</v>
      </c>
      <c r="L2477" s="405" t="s">
        <v>6866</v>
      </c>
      <c r="M2477" s="405" t="s">
        <v>12153</v>
      </c>
      <c r="N2477" s="405" t="s">
        <v>12796</v>
      </c>
      <c r="O2477" s="405" t="s">
        <v>16088</v>
      </c>
      <c r="P2477" s="405" t="s">
        <v>16081</v>
      </c>
      <c r="Q2477" s="411">
        <v>6</v>
      </c>
      <c r="R2477" s="405" t="s">
        <v>5655</v>
      </c>
      <c r="S2477" s="405" t="s">
        <v>27072</v>
      </c>
      <c r="T2477" s="405" t="s">
        <v>32102</v>
      </c>
      <c r="U2477" s="405" t="s">
        <v>319</v>
      </c>
    </row>
    <row r="2478" spans="1:21" x14ac:dyDescent="0.25">
      <c r="A2478" s="405" t="s">
        <v>310</v>
      </c>
      <c r="B2478" s="405" t="s">
        <v>16032</v>
      </c>
      <c r="C2478" s="405" t="s">
        <v>327</v>
      </c>
      <c r="D2478" s="405"/>
      <c r="E2478" s="410">
        <v>43206</v>
      </c>
      <c r="F2478" s="410">
        <v>43241</v>
      </c>
      <c r="G2478" s="405" t="s">
        <v>16033</v>
      </c>
      <c r="H2478" s="405">
        <v>701429043</v>
      </c>
      <c r="I2478" s="405"/>
      <c r="J2478" s="405">
        <v>1.3281750000000001</v>
      </c>
      <c r="K2478" s="405">
        <v>34.358072999999997</v>
      </c>
      <c r="L2478" s="405" t="s">
        <v>6866</v>
      </c>
      <c r="M2478" s="405" t="s">
        <v>9685</v>
      </c>
      <c r="N2478" s="405" t="s">
        <v>9686</v>
      </c>
      <c r="O2478" s="405" t="s">
        <v>15766</v>
      </c>
      <c r="P2478" s="405" t="s">
        <v>15580</v>
      </c>
      <c r="Q2478" s="411">
        <v>6</v>
      </c>
      <c r="R2478" s="405" t="s">
        <v>9506</v>
      </c>
      <c r="S2478" s="405" t="s">
        <v>27335</v>
      </c>
      <c r="T2478" s="405" t="s">
        <v>32102</v>
      </c>
      <c r="U2478" s="405" t="s">
        <v>319</v>
      </c>
    </row>
    <row r="2479" spans="1:21" x14ac:dyDescent="0.25">
      <c r="A2479" s="405" t="s">
        <v>310</v>
      </c>
      <c r="B2479" s="405" t="s">
        <v>7459</v>
      </c>
      <c r="C2479" s="405" t="s">
        <v>327</v>
      </c>
      <c r="D2479" s="405"/>
      <c r="E2479" s="410">
        <v>43206</v>
      </c>
      <c r="F2479" s="410">
        <v>43221</v>
      </c>
      <c r="G2479" s="405" t="s">
        <v>7460</v>
      </c>
      <c r="H2479" s="405">
        <v>775341001</v>
      </c>
      <c r="I2479" s="405"/>
      <c r="J2479" s="405">
        <v>0.36482500000000001</v>
      </c>
      <c r="K2479" s="405">
        <v>32.668987000000001</v>
      </c>
      <c r="L2479" s="405" t="s">
        <v>314</v>
      </c>
      <c r="M2479" s="405" t="s">
        <v>361</v>
      </c>
      <c r="N2479" s="405" t="s">
        <v>363</v>
      </c>
      <c r="O2479" s="405" t="s">
        <v>4961</v>
      </c>
      <c r="P2479" s="405" t="s">
        <v>7461</v>
      </c>
      <c r="Q2479" s="411">
        <v>6</v>
      </c>
      <c r="R2479" s="405" t="s">
        <v>32101</v>
      </c>
      <c r="S2479" s="405" t="s">
        <v>27193</v>
      </c>
      <c r="T2479" s="405" t="s">
        <v>32102</v>
      </c>
      <c r="U2479" s="405" t="s">
        <v>319</v>
      </c>
    </row>
    <row r="2480" spans="1:21" x14ac:dyDescent="0.25">
      <c r="A2480" s="405" t="s">
        <v>310</v>
      </c>
      <c r="B2480" s="405" t="s">
        <v>24098</v>
      </c>
      <c r="C2480" s="405" t="s">
        <v>327</v>
      </c>
      <c r="D2480" s="405"/>
      <c r="E2480" s="410">
        <v>43205</v>
      </c>
      <c r="F2480" s="410">
        <v>43242</v>
      </c>
      <c r="G2480" s="405" t="s">
        <v>24099</v>
      </c>
      <c r="H2480" s="405">
        <v>751287489</v>
      </c>
      <c r="I2480" s="405"/>
      <c r="J2480" s="405">
        <v>-0.28523300000000001</v>
      </c>
      <c r="K2480" s="405">
        <v>30.701440000000002</v>
      </c>
      <c r="L2480" s="405" t="s">
        <v>590</v>
      </c>
      <c r="M2480" s="405" t="s">
        <v>19705</v>
      </c>
      <c r="N2480" s="405" t="s">
        <v>21675</v>
      </c>
      <c r="O2480" s="405" t="s">
        <v>21675</v>
      </c>
      <c r="P2480" s="405" t="s">
        <v>24100</v>
      </c>
      <c r="Q2480" s="411">
        <v>9</v>
      </c>
      <c r="R2480" s="405" t="s">
        <v>874</v>
      </c>
      <c r="S2480" s="405" t="s">
        <v>27405</v>
      </c>
      <c r="T2480" s="405" t="s">
        <v>32102</v>
      </c>
      <c r="U2480" s="405" t="s">
        <v>319</v>
      </c>
    </row>
    <row r="2481" spans="1:21" x14ac:dyDescent="0.25">
      <c r="A2481" s="405" t="s">
        <v>310</v>
      </c>
      <c r="B2481" s="405" t="s">
        <v>24075</v>
      </c>
      <c r="C2481" s="405" t="s">
        <v>327</v>
      </c>
      <c r="D2481" s="405"/>
      <c r="E2481" s="410">
        <v>43205</v>
      </c>
      <c r="F2481" s="410">
        <v>43227</v>
      </c>
      <c r="G2481" s="405" t="s">
        <v>24076</v>
      </c>
      <c r="H2481" s="405">
        <v>703542920</v>
      </c>
      <c r="I2481" s="405"/>
      <c r="J2481" s="405">
        <v>-0.45677800000000002</v>
      </c>
      <c r="K2481" s="405">
        <v>30.132745</v>
      </c>
      <c r="L2481" s="405" t="s">
        <v>590</v>
      </c>
      <c r="M2481" s="405" t="s">
        <v>19625</v>
      </c>
      <c r="N2481" s="405" t="s">
        <v>22044</v>
      </c>
      <c r="O2481" s="405" t="s">
        <v>22044</v>
      </c>
      <c r="P2481" s="405" t="s">
        <v>24077</v>
      </c>
      <c r="Q2481" s="411">
        <v>9</v>
      </c>
      <c r="R2481" s="405" t="s">
        <v>6572</v>
      </c>
      <c r="S2481" s="405" t="s">
        <v>27394</v>
      </c>
      <c r="T2481" s="405" t="s">
        <v>32102</v>
      </c>
      <c r="U2481" s="405" t="s">
        <v>319</v>
      </c>
    </row>
    <row r="2482" spans="1:21" x14ac:dyDescent="0.25">
      <c r="A2482" s="405" t="s">
        <v>310</v>
      </c>
      <c r="B2482" s="405" t="s">
        <v>6809</v>
      </c>
      <c r="C2482" s="405" t="s">
        <v>327</v>
      </c>
      <c r="D2482" s="405"/>
      <c r="E2482" s="410">
        <v>43205</v>
      </c>
      <c r="F2482" s="410">
        <v>43211</v>
      </c>
      <c r="G2482" s="405" t="s">
        <v>6810</v>
      </c>
      <c r="H2482" s="405">
        <v>775182479</v>
      </c>
      <c r="I2482" s="405">
        <v>782749672</v>
      </c>
      <c r="J2482" s="405">
        <v>0.34455799999999998</v>
      </c>
      <c r="K2482" s="405">
        <v>32.434753000000001</v>
      </c>
      <c r="L2482" s="405" t="s">
        <v>314</v>
      </c>
      <c r="M2482" s="405" t="s">
        <v>361</v>
      </c>
      <c r="N2482" s="405" t="s">
        <v>374</v>
      </c>
      <c r="O2482" s="405" t="s">
        <v>361</v>
      </c>
      <c r="P2482" s="405" t="s">
        <v>5138</v>
      </c>
      <c r="Q2482" s="411">
        <v>9</v>
      </c>
      <c r="R2482" s="405" t="s">
        <v>6397</v>
      </c>
      <c r="S2482" s="405" t="s">
        <v>22880</v>
      </c>
      <c r="T2482" s="405" t="s">
        <v>32102</v>
      </c>
      <c r="U2482" s="405" t="s">
        <v>319</v>
      </c>
    </row>
    <row r="2483" spans="1:21" x14ac:dyDescent="0.25">
      <c r="A2483" s="405" t="s">
        <v>310</v>
      </c>
      <c r="B2483" s="405" t="s">
        <v>6792</v>
      </c>
      <c r="C2483" s="405" t="s">
        <v>327</v>
      </c>
      <c r="D2483" s="405"/>
      <c r="E2483" s="410">
        <v>43205</v>
      </c>
      <c r="F2483" s="410">
        <v>43210</v>
      </c>
      <c r="G2483" s="405" t="s">
        <v>6793</v>
      </c>
      <c r="H2483" s="405">
        <v>772589613</v>
      </c>
      <c r="I2483" s="405"/>
      <c r="J2483" s="405">
        <v>0.13838</v>
      </c>
      <c r="K2483" s="405">
        <v>32.568731999999997</v>
      </c>
      <c r="L2483" s="405" t="s">
        <v>314</v>
      </c>
      <c r="M2483" s="405" t="s">
        <v>361</v>
      </c>
      <c r="N2483" s="405" t="s">
        <v>374</v>
      </c>
      <c r="O2483" s="405" t="s">
        <v>638</v>
      </c>
      <c r="P2483" s="405" t="s">
        <v>6794</v>
      </c>
      <c r="Q2483" s="411">
        <v>9</v>
      </c>
      <c r="R2483" s="405" t="s">
        <v>6795</v>
      </c>
      <c r="S2483" s="405" t="s">
        <v>27261</v>
      </c>
      <c r="T2483" s="405" t="s">
        <v>32102</v>
      </c>
      <c r="U2483" s="405" t="s">
        <v>319</v>
      </c>
    </row>
    <row r="2484" spans="1:21" x14ac:dyDescent="0.25">
      <c r="A2484" s="405" t="s">
        <v>310</v>
      </c>
      <c r="B2484" s="405" t="s">
        <v>24177</v>
      </c>
      <c r="C2484" s="405" t="s">
        <v>327</v>
      </c>
      <c r="D2484" s="405"/>
      <c r="E2484" s="410">
        <v>43205</v>
      </c>
      <c r="F2484" s="410">
        <v>43263</v>
      </c>
      <c r="G2484" s="405" t="s">
        <v>24178</v>
      </c>
      <c r="H2484" s="405">
        <v>773186345</v>
      </c>
      <c r="I2484" s="405">
        <v>750766900</v>
      </c>
      <c r="J2484" s="405">
        <v>1.565202</v>
      </c>
      <c r="K2484" s="405">
        <v>31.419802000000001</v>
      </c>
      <c r="L2484" s="405" t="s">
        <v>590</v>
      </c>
      <c r="M2484" s="405" t="s">
        <v>7300</v>
      </c>
      <c r="N2484" s="405" t="s">
        <v>19880</v>
      </c>
      <c r="O2484" s="405" t="s">
        <v>20508</v>
      </c>
      <c r="P2484" s="405" t="s">
        <v>24179</v>
      </c>
      <c r="Q2484" s="411">
        <v>6</v>
      </c>
      <c r="R2484" s="405" t="s">
        <v>6397</v>
      </c>
      <c r="S2484" s="405" t="s">
        <v>22880</v>
      </c>
      <c r="T2484" s="405" t="s">
        <v>32212</v>
      </c>
      <c r="U2484" s="405" t="s">
        <v>2267</v>
      </c>
    </row>
    <row r="2485" spans="1:21" x14ac:dyDescent="0.25">
      <c r="A2485" s="405" t="s">
        <v>310</v>
      </c>
      <c r="B2485" s="405" t="s">
        <v>24180</v>
      </c>
      <c r="C2485" s="405" t="s">
        <v>327</v>
      </c>
      <c r="D2485" s="405"/>
      <c r="E2485" s="410">
        <v>43205</v>
      </c>
      <c r="F2485" s="410">
        <v>43253</v>
      </c>
      <c r="G2485" s="405" t="s">
        <v>24181</v>
      </c>
      <c r="H2485" s="405">
        <v>752949789</v>
      </c>
      <c r="I2485" s="405"/>
      <c r="J2485" s="405">
        <v>1.3309599999999999</v>
      </c>
      <c r="K2485" s="405">
        <v>31.418642999999999</v>
      </c>
      <c r="L2485" s="405" t="s">
        <v>590</v>
      </c>
      <c r="M2485" s="405" t="s">
        <v>7300</v>
      </c>
      <c r="N2485" s="405" t="s">
        <v>19880</v>
      </c>
      <c r="O2485" s="405" t="s">
        <v>22126</v>
      </c>
      <c r="P2485" s="405" t="s">
        <v>24182</v>
      </c>
      <c r="Q2485" s="411">
        <v>6</v>
      </c>
      <c r="R2485" s="405" t="s">
        <v>6397</v>
      </c>
      <c r="S2485" s="405" t="s">
        <v>22880</v>
      </c>
      <c r="T2485" s="405" t="s">
        <v>32102</v>
      </c>
      <c r="U2485" s="405" t="s">
        <v>319</v>
      </c>
    </row>
    <row r="2486" spans="1:21" x14ac:dyDescent="0.25">
      <c r="A2486" s="405" t="s">
        <v>310</v>
      </c>
      <c r="B2486" s="405" t="s">
        <v>24009</v>
      </c>
      <c r="C2486" s="405" t="s">
        <v>327</v>
      </c>
      <c r="D2486" s="405"/>
      <c r="E2486" s="410">
        <v>43205</v>
      </c>
      <c r="F2486" s="410">
        <v>43232</v>
      </c>
      <c r="G2486" s="405" t="s">
        <v>24010</v>
      </c>
      <c r="H2486" s="405">
        <v>778608642</v>
      </c>
      <c r="I2486" s="405"/>
      <c r="J2486" s="405">
        <v>1.4027000000000001</v>
      </c>
      <c r="K2486" s="405">
        <v>31.442799999999998</v>
      </c>
      <c r="L2486" s="405" t="s">
        <v>590</v>
      </c>
      <c r="M2486" s="405" t="s">
        <v>19608</v>
      </c>
      <c r="N2486" s="405" t="s">
        <v>19783</v>
      </c>
      <c r="O2486" s="405" t="s">
        <v>13002</v>
      </c>
      <c r="P2486" s="405" t="s">
        <v>24011</v>
      </c>
      <c r="Q2486" s="411">
        <v>6</v>
      </c>
      <c r="R2486" s="405" t="s">
        <v>6397</v>
      </c>
      <c r="S2486" s="405" t="s">
        <v>22880</v>
      </c>
      <c r="T2486" s="405" t="s">
        <v>32102</v>
      </c>
      <c r="U2486" s="405" t="s">
        <v>319</v>
      </c>
    </row>
    <row r="2487" spans="1:21" x14ac:dyDescent="0.25">
      <c r="A2487" s="405" t="s">
        <v>310</v>
      </c>
      <c r="B2487" s="405" t="s">
        <v>24078</v>
      </c>
      <c r="C2487" s="405" t="s">
        <v>327</v>
      </c>
      <c r="D2487" s="405"/>
      <c r="E2487" s="410">
        <v>43205</v>
      </c>
      <c r="F2487" s="410">
        <v>43223</v>
      </c>
      <c r="G2487" s="405" t="s">
        <v>24079</v>
      </c>
      <c r="H2487" s="405">
        <v>771442545</v>
      </c>
      <c r="I2487" s="405"/>
      <c r="J2487" s="405">
        <v>0.64108500000000002</v>
      </c>
      <c r="K2487" s="405">
        <v>30.210581399999999</v>
      </c>
      <c r="L2487" s="405" t="s">
        <v>590</v>
      </c>
      <c r="M2487" s="405" t="s">
        <v>21917</v>
      </c>
      <c r="N2487" s="405" t="s">
        <v>21918</v>
      </c>
      <c r="O2487" s="405" t="s">
        <v>21918</v>
      </c>
      <c r="P2487" s="405" t="s">
        <v>21918</v>
      </c>
      <c r="Q2487" s="411">
        <v>6</v>
      </c>
      <c r="R2487" s="405" t="s">
        <v>6572</v>
      </c>
      <c r="S2487" s="405" t="s">
        <v>27394</v>
      </c>
      <c r="T2487" s="405" t="s">
        <v>32102</v>
      </c>
      <c r="U2487" s="405" t="s">
        <v>319</v>
      </c>
    </row>
    <row r="2488" spans="1:21" x14ac:dyDescent="0.25">
      <c r="A2488" s="405" t="s">
        <v>310</v>
      </c>
      <c r="B2488" s="405" t="s">
        <v>23942</v>
      </c>
      <c r="C2488" s="405" t="s">
        <v>327</v>
      </c>
      <c r="D2488" s="405"/>
      <c r="E2488" s="410">
        <v>43205</v>
      </c>
      <c r="F2488" s="410">
        <v>43216</v>
      </c>
      <c r="G2488" s="405" t="s">
        <v>23943</v>
      </c>
      <c r="H2488" s="405">
        <v>772660250</v>
      </c>
      <c r="I2488" s="405"/>
      <c r="J2488" s="405">
        <v>1.3939299999999999</v>
      </c>
      <c r="K2488" s="405">
        <v>31.263358</v>
      </c>
      <c r="L2488" s="405" t="s">
        <v>590</v>
      </c>
      <c r="M2488" s="405" t="s">
        <v>7300</v>
      </c>
      <c r="N2488" s="405" t="s">
        <v>20450</v>
      </c>
      <c r="O2488" s="405" t="s">
        <v>23944</v>
      </c>
      <c r="P2488" s="405" t="s">
        <v>23945</v>
      </c>
      <c r="Q2488" s="411">
        <v>6</v>
      </c>
      <c r="R2488" s="405" t="s">
        <v>6397</v>
      </c>
      <c r="S2488" s="405" t="s">
        <v>22880</v>
      </c>
      <c r="T2488" s="405" t="s">
        <v>32102</v>
      </c>
      <c r="U2488" s="405" t="s">
        <v>319</v>
      </c>
    </row>
    <row r="2489" spans="1:21" x14ac:dyDescent="0.25">
      <c r="A2489" s="405" t="s">
        <v>310</v>
      </c>
      <c r="B2489" s="405" t="s">
        <v>16542</v>
      </c>
      <c r="C2489" s="405" t="s">
        <v>311</v>
      </c>
      <c r="D2489" s="405" t="s">
        <v>1454</v>
      </c>
      <c r="E2489" s="410">
        <v>43204</v>
      </c>
      <c r="F2489" s="410">
        <v>43256</v>
      </c>
      <c r="G2489" s="405" t="s">
        <v>16543</v>
      </c>
      <c r="H2489" s="405">
        <v>773139082</v>
      </c>
      <c r="I2489" s="405">
        <v>7788575085</v>
      </c>
      <c r="J2489" s="405">
        <v>1.4970699999999999</v>
      </c>
      <c r="K2489" s="405">
        <v>33.947322999999997</v>
      </c>
      <c r="L2489" s="405" t="s">
        <v>6866</v>
      </c>
      <c r="M2489" s="405" t="s">
        <v>10029</v>
      </c>
      <c r="N2489" s="405" t="s">
        <v>10029</v>
      </c>
      <c r="O2489" s="405" t="s">
        <v>10029</v>
      </c>
      <c r="P2489" s="405" t="s">
        <v>16544</v>
      </c>
      <c r="Q2489" s="411">
        <v>6</v>
      </c>
      <c r="R2489" s="405" t="s">
        <v>5655</v>
      </c>
      <c r="S2489" s="405" t="s">
        <v>27351</v>
      </c>
      <c r="T2489" s="405" t="s">
        <v>32102</v>
      </c>
      <c r="U2489" s="405" t="s">
        <v>319</v>
      </c>
    </row>
    <row r="2490" spans="1:21" x14ac:dyDescent="0.25">
      <c r="A2490" s="405" t="s">
        <v>310</v>
      </c>
      <c r="B2490" s="405" t="s">
        <v>24091</v>
      </c>
      <c r="C2490" s="405" t="s">
        <v>327</v>
      </c>
      <c r="D2490" s="405"/>
      <c r="E2490" s="410">
        <v>43203</v>
      </c>
      <c r="F2490" s="410">
        <v>43238</v>
      </c>
      <c r="G2490" s="405" t="s">
        <v>24092</v>
      </c>
      <c r="H2490" s="405">
        <v>704615459</v>
      </c>
      <c r="I2490" s="405"/>
      <c r="J2490" s="405">
        <v>-0.55469999999999997</v>
      </c>
      <c r="K2490" s="405">
        <v>30.499196999999999</v>
      </c>
      <c r="L2490" s="405" t="s">
        <v>590</v>
      </c>
      <c r="M2490" s="405" t="s">
        <v>19614</v>
      </c>
      <c r="N2490" s="405" t="s">
        <v>19615</v>
      </c>
      <c r="O2490" s="405" t="s">
        <v>20063</v>
      </c>
      <c r="P2490" s="405" t="s">
        <v>24093</v>
      </c>
      <c r="Q2490" s="411">
        <v>9</v>
      </c>
      <c r="R2490" s="405" t="s">
        <v>874</v>
      </c>
      <c r="S2490" s="405" t="s">
        <v>27405</v>
      </c>
      <c r="T2490" s="405" t="s">
        <v>32102</v>
      </c>
      <c r="U2490" s="405" t="s">
        <v>319</v>
      </c>
    </row>
    <row r="2491" spans="1:21" x14ac:dyDescent="0.25">
      <c r="A2491" s="405" t="s">
        <v>310</v>
      </c>
      <c r="B2491" s="405" t="s">
        <v>6847</v>
      </c>
      <c r="C2491" s="405" t="s">
        <v>327</v>
      </c>
      <c r="D2491" s="405"/>
      <c r="E2491" s="410">
        <v>43203</v>
      </c>
      <c r="F2491" s="410">
        <v>43235</v>
      </c>
      <c r="G2491" s="405" t="s">
        <v>6848</v>
      </c>
      <c r="H2491" s="405">
        <v>786147236</v>
      </c>
      <c r="I2491" s="405"/>
      <c r="J2491" s="405">
        <v>0.82852300000000001</v>
      </c>
      <c r="K2491" s="405">
        <v>32.499375999999998</v>
      </c>
      <c r="L2491" s="405" t="s">
        <v>314</v>
      </c>
      <c r="M2491" s="405" t="s">
        <v>2297</v>
      </c>
      <c r="N2491" s="405" t="s">
        <v>6849</v>
      </c>
      <c r="O2491" s="405" t="s">
        <v>6849</v>
      </c>
      <c r="P2491" s="405" t="s">
        <v>6850</v>
      </c>
      <c r="Q2491" s="411">
        <v>9</v>
      </c>
      <c r="R2491" s="405" t="s">
        <v>5986</v>
      </c>
      <c r="S2491" s="405" t="s">
        <v>27045</v>
      </c>
      <c r="T2491" s="405" t="s">
        <v>32102</v>
      </c>
      <c r="U2491" s="405" t="s">
        <v>319</v>
      </c>
    </row>
    <row r="2492" spans="1:21" x14ac:dyDescent="0.25">
      <c r="A2492" s="405" t="s">
        <v>310</v>
      </c>
      <c r="B2492" s="405" t="s">
        <v>24297</v>
      </c>
      <c r="C2492" s="405" t="s">
        <v>311</v>
      </c>
      <c r="D2492" s="405" t="s">
        <v>312</v>
      </c>
      <c r="E2492" s="410">
        <v>43203</v>
      </c>
      <c r="F2492" s="410">
        <v>43223</v>
      </c>
      <c r="G2492" s="405" t="s">
        <v>24298</v>
      </c>
      <c r="H2492" s="405">
        <v>782913010</v>
      </c>
      <c r="I2492" s="405">
        <v>703277166</v>
      </c>
      <c r="J2492" s="405">
        <v>0.586283</v>
      </c>
      <c r="K2492" s="405">
        <v>30.192271999999999</v>
      </c>
      <c r="L2492" s="405" t="s">
        <v>590</v>
      </c>
      <c r="M2492" s="405" t="s">
        <v>19625</v>
      </c>
      <c r="N2492" s="405" t="s">
        <v>19642</v>
      </c>
      <c r="O2492" s="405" t="s">
        <v>22104</v>
      </c>
      <c r="P2492" s="405" t="s">
        <v>24299</v>
      </c>
      <c r="Q2492" s="411">
        <v>6</v>
      </c>
      <c r="R2492" s="405" t="s">
        <v>6943</v>
      </c>
      <c r="S2492" s="405" t="s">
        <v>27301</v>
      </c>
      <c r="T2492" s="405" t="s">
        <v>32102</v>
      </c>
      <c r="U2492" s="405" t="s">
        <v>319</v>
      </c>
    </row>
    <row r="2493" spans="1:21" x14ac:dyDescent="0.25">
      <c r="A2493" s="405" t="s">
        <v>310</v>
      </c>
      <c r="B2493" s="405" t="s">
        <v>6831</v>
      </c>
      <c r="C2493" s="405" t="s">
        <v>327</v>
      </c>
      <c r="D2493" s="405"/>
      <c r="E2493" s="410">
        <v>43200</v>
      </c>
      <c r="F2493" s="410">
        <v>43215</v>
      </c>
      <c r="G2493" s="405" t="s">
        <v>6832</v>
      </c>
      <c r="H2493" s="405">
        <v>772744088</v>
      </c>
      <c r="I2493" s="405">
        <v>772616632</v>
      </c>
      <c r="J2493" s="405">
        <v>0.50041800000000003</v>
      </c>
      <c r="K2493" s="405">
        <v>32.518687</v>
      </c>
      <c r="L2493" s="405" t="s">
        <v>314</v>
      </c>
      <c r="M2493" s="405" t="s">
        <v>361</v>
      </c>
      <c r="N2493" s="405" t="s">
        <v>374</v>
      </c>
      <c r="O2493" s="405" t="s">
        <v>523</v>
      </c>
      <c r="P2493" s="405" t="s">
        <v>524</v>
      </c>
      <c r="Q2493" s="411">
        <v>13</v>
      </c>
      <c r="R2493" s="405" t="s">
        <v>32101</v>
      </c>
      <c r="S2493" s="405" t="s">
        <v>27041</v>
      </c>
      <c r="T2493" s="405" t="s">
        <v>32102</v>
      </c>
      <c r="U2493" s="405" t="s">
        <v>319</v>
      </c>
    </row>
    <row r="2494" spans="1:21" x14ac:dyDescent="0.25">
      <c r="A2494" s="405" t="s">
        <v>310</v>
      </c>
      <c r="B2494" s="405" t="s">
        <v>23971</v>
      </c>
      <c r="C2494" s="405" t="s">
        <v>327</v>
      </c>
      <c r="D2494" s="405"/>
      <c r="E2494" s="410">
        <v>43200</v>
      </c>
      <c r="F2494" s="410">
        <v>43217</v>
      </c>
      <c r="G2494" s="405" t="s">
        <v>23972</v>
      </c>
      <c r="H2494" s="405">
        <v>772592050</v>
      </c>
      <c r="I2494" s="405"/>
      <c r="J2494" s="405">
        <v>0.86686200000000002</v>
      </c>
      <c r="K2494" s="405">
        <v>31.079912</v>
      </c>
      <c r="L2494" s="405" t="s">
        <v>590</v>
      </c>
      <c r="M2494" s="405" t="s">
        <v>879</v>
      </c>
      <c r="N2494" s="405" t="s">
        <v>21069</v>
      </c>
      <c r="O2494" s="405" t="s">
        <v>23798</v>
      </c>
      <c r="P2494" s="405" t="s">
        <v>23675</v>
      </c>
      <c r="Q2494" s="411">
        <v>9</v>
      </c>
      <c r="R2494" s="405" t="s">
        <v>6572</v>
      </c>
      <c r="S2494" s="405" t="s">
        <v>27065</v>
      </c>
      <c r="T2494" s="405" t="s">
        <v>32102</v>
      </c>
      <c r="U2494" s="405" t="s">
        <v>319</v>
      </c>
    </row>
    <row r="2495" spans="1:21" x14ac:dyDescent="0.25">
      <c r="A2495" s="405" t="s">
        <v>310</v>
      </c>
      <c r="B2495" s="405" t="s">
        <v>24543</v>
      </c>
      <c r="C2495" s="405" t="s">
        <v>857</v>
      </c>
      <c r="D2495" s="405" t="s">
        <v>1037</v>
      </c>
      <c r="E2495" s="410">
        <v>43200</v>
      </c>
      <c r="F2495" s="410">
        <v>43304</v>
      </c>
      <c r="G2495" s="405" t="s">
        <v>24544</v>
      </c>
      <c r="H2495" s="405">
        <v>788088077</v>
      </c>
      <c r="I2495" s="405"/>
      <c r="J2495" s="405">
        <v>0.59160000000000001</v>
      </c>
      <c r="K2495" s="405">
        <v>30.464300000000001</v>
      </c>
      <c r="L2495" s="405" t="s">
        <v>24545</v>
      </c>
      <c r="M2495" s="405" t="s">
        <v>7488</v>
      </c>
      <c r="N2495" s="405" t="s">
        <v>24546</v>
      </c>
      <c r="O2495" s="405" t="s">
        <v>7490</v>
      </c>
      <c r="P2495" s="405" t="s">
        <v>20025</v>
      </c>
      <c r="Q2495" s="411">
        <v>6</v>
      </c>
      <c r="R2495" s="405" t="s">
        <v>6397</v>
      </c>
      <c r="S2495" s="405" t="s">
        <v>22880</v>
      </c>
      <c r="T2495" s="405" t="s">
        <v>32102</v>
      </c>
      <c r="U2495" s="405" t="s">
        <v>319</v>
      </c>
    </row>
    <row r="2496" spans="1:21" x14ac:dyDescent="0.25">
      <c r="A2496" s="405" t="s">
        <v>310</v>
      </c>
      <c r="B2496" s="405" t="s">
        <v>16034</v>
      </c>
      <c r="C2496" s="405" t="s">
        <v>327</v>
      </c>
      <c r="D2496" s="405"/>
      <c r="E2496" s="410">
        <v>43200</v>
      </c>
      <c r="F2496" s="410">
        <v>43235</v>
      </c>
      <c r="G2496" s="405" t="s">
        <v>16035</v>
      </c>
      <c r="H2496" s="405">
        <v>702122601</v>
      </c>
      <c r="I2496" s="405">
        <v>773707973</v>
      </c>
      <c r="J2496" s="405">
        <v>0.1205</v>
      </c>
      <c r="K2496" s="405">
        <v>34.205100000000002</v>
      </c>
      <c r="L2496" s="405" t="s">
        <v>6866</v>
      </c>
      <c r="M2496" s="405" t="s">
        <v>9685</v>
      </c>
      <c r="N2496" s="405" t="s">
        <v>9686</v>
      </c>
      <c r="O2496" s="405" t="s">
        <v>10055</v>
      </c>
      <c r="P2496" s="405" t="s">
        <v>10055</v>
      </c>
      <c r="Q2496" s="411">
        <v>6</v>
      </c>
      <c r="R2496" s="405" t="s">
        <v>9506</v>
      </c>
      <c r="S2496" s="405" t="s">
        <v>27318</v>
      </c>
      <c r="T2496" s="405" t="s">
        <v>32102</v>
      </c>
      <c r="U2496" s="405" t="s">
        <v>319</v>
      </c>
    </row>
    <row r="2497" spans="1:21" x14ac:dyDescent="0.25">
      <c r="A2497" s="405" t="s">
        <v>310</v>
      </c>
      <c r="B2497" s="405" t="s">
        <v>16036</v>
      </c>
      <c r="C2497" s="405" t="s">
        <v>327</v>
      </c>
      <c r="D2497" s="405"/>
      <c r="E2497" s="410">
        <v>43199</v>
      </c>
      <c r="F2497" s="410">
        <v>43234</v>
      </c>
      <c r="G2497" s="405" t="s">
        <v>16037</v>
      </c>
      <c r="H2497" s="405">
        <v>704040446</v>
      </c>
      <c r="I2497" s="405"/>
      <c r="J2497" s="405">
        <v>1.3208</v>
      </c>
      <c r="K2497" s="405">
        <v>34.33831</v>
      </c>
      <c r="L2497" s="405" t="s">
        <v>6866</v>
      </c>
      <c r="M2497" s="405" t="s">
        <v>9685</v>
      </c>
      <c r="N2497" s="405" t="s">
        <v>9686</v>
      </c>
      <c r="O2497" s="405" t="s">
        <v>14908</v>
      </c>
      <c r="P2497" s="405" t="s">
        <v>15784</v>
      </c>
      <c r="Q2497" s="411">
        <v>6</v>
      </c>
      <c r="R2497" s="405" t="s">
        <v>9506</v>
      </c>
      <c r="S2497" s="405" t="s">
        <v>27335</v>
      </c>
      <c r="T2497" s="405" t="s">
        <v>32102</v>
      </c>
      <c r="U2497" s="405" t="s">
        <v>319</v>
      </c>
    </row>
    <row r="2498" spans="1:21" x14ac:dyDescent="0.25">
      <c r="A2498" s="405" t="s">
        <v>310</v>
      </c>
      <c r="B2498" s="405" t="s">
        <v>23993</v>
      </c>
      <c r="C2498" s="405" t="s">
        <v>327</v>
      </c>
      <c r="D2498" s="405"/>
      <c r="E2498" s="410">
        <v>43198</v>
      </c>
      <c r="F2498" s="410">
        <v>43200</v>
      </c>
      <c r="G2498" s="405" t="s">
        <v>23994</v>
      </c>
      <c r="H2498" s="405">
        <v>777552700</v>
      </c>
      <c r="I2498" s="405"/>
      <c r="J2498" s="405">
        <v>0.49480000000000002</v>
      </c>
      <c r="K2498" s="405">
        <v>29.425999999999998</v>
      </c>
      <c r="L2498" s="405" t="s">
        <v>590</v>
      </c>
      <c r="M2498" s="405" t="s">
        <v>23957</v>
      </c>
      <c r="N2498" s="405" t="s">
        <v>23490</v>
      </c>
      <c r="O2498" s="405" t="s">
        <v>23995</v>
      </c>
      <c r="P2498" s="405" t="s">
        <v>22385</v>
      </c>
      <c r="Q2498" s="411">
        <v>9</v>
      </c>
      <c r="R2498" s="405" t="s">
        <v>6572</v>
      </c>
      <c r="S2498" s="405" t="s">
        <v>27399</v>
      </c>
      <c r="T2498" s="405" t="s">
        <v>32102</v>
      </c>
      <c r="U2498" s="405" t="s">
        <v>319</v>
      </c>
    </row>
    <row r="2499" spans="1:21" x14ac:dyDescent="0.25">
      <c r="A2499" s="405" t="s">
        <v>310</v>
      </c>
      <c r="B2499" s="405" t="s">
        <v>16026</v>
      </c>
      <c r="C2499" s="405" t="s">
        <v>327</v>
      </c>
      <c r="D2499" s="405"/>
      <c r="E2499" s="410">
        <v>43198</v>
      </c>
      <c r="F2499" s="410">
        <v>43233</v>
      </c>
      <c r="G2499" s="405" t="s">
        <v>16027</v>
      </c>
      <c r="H2499" s="405">
        <v>772415749</v>
      </c>
      <c r="I2499" s="405">
        <v>772921214</v>
      </c>
      <c r="J2499" s="405">
        <v>0.54190000000000005</v>
      </c>
      <c r="K2499" s="405">
        <v>34.917999999999999</v>
      </c>
      <c r="L2499" s="405" t="s">
        <v>6866</v>
      </c>
      <c r="M2499" s="405" t="s">
        <v>9514</v>
      </c>
      <c r="N2499" s="405" t="s">
        <v>16028</v>
      </c>
      <c r="O2499" s="405" t="s">
        <v>16028</v>
      </c>
      <c r="P2499" s="405" t="s">
        <v>12019</v>
      </c>
      <c r="Q2499" s="411">
        <v>6</v>
      </c>
      <c r="R2499" s="405" t="s">
        <v>6871</v>
      </c>
      <c r="S2499" s="405" t="s">
        <v>27074</v>
      </c>
      <c r="T2499" s="405" t="s">
        <v>32102</v>
      </c>
      <c r="U2499" s="405" t="s">
        <v>319</v>
      </c>
    </row>
    <row r="2500" spans="1:21" x14ac:dyDescent="0.25">
      <c r="A2500" s="405" t="s">
        <v>310</v>
      </c>
      <c r="B2500" s="405" t="s">
        <v>24080</v>
      </c>
      <c r="C2500" s="405" t="s">
        <v>327</v>
      </c>
      <c r="D2500" s="405"/>
      <c r="E2500" s="410">
        <v>43197</v>
      </c>
      <c r="F2500" s="410">
        <v>43237</v>
      </c>
      <c r="G2500" s="405" t="s">
        <v>24081</v>
      </c>
      <c r="H2500" s="405">
        <v>772590081</v>
      </c>
      <c r="I2500" s="405">
        <v>705228776</v>
      </c>
      <c r="J2500" s="405">
        <v>0.62225200000000003</v>
      </c>
      <c r="K2500" s="405">
        <v>29.982842999999999</v>
      </c>
      <c r="L2500" s="405" t="s">
        <v>590</v>
      </c>
      <c r="M2500" s="405" t="s">
        <v>20032</v>
      </c>
      <c r="N2500" s="405" t="s">
        <v>20601</v>
      </c>
      <c r="O2500" s="405" t="s">
        <v>24082</v>
      </c>
      <c r="P2500" s="405" t="s">
        <v>24083</v>
      </c>
      <c r="Q2500" s="411">
        <v>9</v>
      </c>
      <c r="R2500" s="405" t="s">
        <v>883</v>
      </c>
      <c r="S2500" s="405" t="s">
        <v>27243</v>
      </c>
      <c r="T2500" s="405" t="s">
        <v>32102</v>
      </c>
      <c r="U2500" s="405" t="s">
        <v>319</v>
      </c>
    </row>
    <row r="2501" spans="1:21" x14ac:dyDescent="0.25">
      <c r="A2501" s="405" t="s">
        <v>310</v>
      </c>
      <c r="B2501" s="405" t="s">
        <v>23976</v>
      </c>
      <c r="C2501" s="405" t="s">
        <v>327</v>
      </c>
      <c r="D2501" s="405"/>
      <c r="E2501" s="410">
        <v>43197</v>
      </c>
      <c r="F2501" s="410">
        <v>43218</v>
      </c>
      <c r="G2501" s="405" t="s">
        <v>23977</v>
      </c>
      <c r="H2501" s="405">
        <v>704372468</v>
      </c>
      <c r="I2501" s="405">
        <v>784702183</v>
      </c>
      <c r="J2501" s="405">
        <v>0.88942299999999996</v>
      </c>
      <c r="K2501" s="405">
        <v>31.134398000000001</v>
      </c>
      <c r="L2501" s="405" t="s">
        <v>590</v>
      </c>
      <c r="M2501" s="405" t="s">
        <v>879</v>
      </c>
      <c r="N2501" s="405" t="s">
        <v>12376</v>
      </c>
      <c r="O2501" s="405" t="s">
        <v>23978</v>
      </c>
      <c r="P2501" s="405" t="s">
        <v>23979</v>
      </c>
      <c r="Q2501" s="411">
        <v>9</v>
      </c>
      <c r="R2501" s="405" t="s">
        <v>883</v>
      </c>
      <c r="S2501" s="405" t="s">
        <v>27104</v>
      </c>
      <c r="T2501" s="405" t="s">
        <v>32102</v>
      </c>
      <c r="U2501" s="405" t="s">
        <v>319</v>
      </c>
    </row>
    <row r="2502" spans="1:21" x14ac:dyDescent="0.25">
      <c r="A2502" s="405" t="s">
        <v>310</v>
      </c>
      <c r="B2502" s="405" t="s">
        <v>24041</v>
      </c>
      <c r="C2502" s="405" t="s">
        <v>327</v>
      </c>
      <c r="D2502" s="405"/>
      <c r="E2502" s="410">
        <v>43196</v>
      </c>
      <c r="F2502" s="410">
        <v>43226</v>
      </c>
      <c r="G2502" s="405" t="s">
        <v>24042</v>
      </c>
      <c r="H2502" s="405">
        <v>771614102</v>
      </c>
      <c r="I2502" s="405">
        <v>788563228</v>
      </c>
      <c r="J2502" s="405">
        <v>-0.86090800000000001</v>
      </c>
      <c r="K2502" s="405">
        <v>31.142412</v>
      </c>
      <c r="L2502" s="405" t="s">
        <v>590</v>
      </c>
      <c r="M2502" s="405" t="s">
        <v>879</v>
      </c>
      <c r="N2502" s="405" t="s">
        <v>12376</v>
      </c>
      <c r="O2502" s="405" t="s">
        <v>24043</v>
      </c>
      <c r="P2502" s="405" t="s">
        <v>24044</v>
      </c>
      <c r="Q2502" s="411">
        <v>9</v>
      </c>
      <c r="R2502" s="405" t="s">
        <v>32166</v>
      </c>
      <c r="S2502" s="405" t="s">
        <v>27243</v>
      </c>
      <c r="T2502" s="405" t="s">
        <v>32102</v>
      </c>
      <c r="U2502" s="405" t="s">
        <v>319</v>
      </c>
    </row>
    <row r="2503" spans="1:21" x14ac:dyDescent="0.25">
      <c r="A2503" s="405" t="s">
        <v>310</v>
      </c>
      <c r="B2503" s="405" t="s">
        <v>23967</v>
      </c>
      <c r="C2503" s="405" t="s">
        <v>327</v>
      </c>
      <c r="D2503" s="405"/>
      <c r="E2503" s="410">
        <v>43196</v>
      </c>
      <c r="F2503" s="410">
        <v>43217</v>
      </c>
      <c r="G2503" s="405" t="s">
        <v>23968</v>
      </c>
      <c r="H2503" s="405">
        <v>773312110</v>
      </c>
      <c r="I2503" s="405"/>
      <c r="J2503" s="405">
        <v>0.976738</v>
      </c>
      <c r="K2503" s="405">
        <v>30.67192</v>
      </c>
      <c r="L2503" s="405" t="s">
        <v>590</v>
      </c>
      <c r="M2503" s="405" t="s">
        <v>879</v>
      </c>
      <c r="N2503" s="405" t="s">
        <v>12376</v>
      </c>
      <c r="O2503" s="405" t="s">
        <v>23969</v>
      </c>
      <c r="P2503" s="405" t="s">
        <v>23970</v>
      </c>
      <c r="Q2503" s="411">
        <v>9</v>
      </c>
      <c r="R2503" s="405" t="s">
        <v>6572</v>
      </c>
      <c r="S2503" s="405" t="s">
        <v>27181</v>
      </c>
      <c r="T2503" s="405" t="s">
        <v>32102</v>
      </c>
      <c r="U2503" s="405" t="s">
        <v>319</v>
      </c>
    </row>
    <row r="2504" spans="1:21" x14ac:dyDescent="0.25">
      <c r="A2504" s="405" t="s">
        <v>310</v>
      </c>
      <c r="B2504" s="405" t="s">
        <v>7485</v>
      </c>
      <c r="C2504" s="405" t="s">
        <v>327</v>
      </c>
      <c r="D2504" s="405"/>
      <c r="E2504" s="410">
        <v>43196</v>
      </c>
      <c r="F2504" s="410">
        <v>43306</v>
      </c>
      <c r="G2504" s="405" t="s">
        <v>7486</v>
      </c>
      <c r="H2504" s="405">
        <v>782313242</v>
      </c>
      <c r="I2504" s="405"/>
      <c r="J2504" s="405" t="s">
        <v>7487</v>
      </c>
      <c r="K2504" s="405">
        <v>30.786667999999999</v>
      </c>
      <c r="L2504" s="405" t="s">
        <v>590</v>
      </c>
      <c r="M2504" s="405" t="s">
        <v>7488</v>
      </c>
      <c r="N2504" s="405" t="s">
        <v>7489</v>
      </c>
      <c r="O2504" s="405" t="s">
        <v>7490</v>
      </c>
      <c r="P2504" s="405" t="s">
        <v>7491</v>
      </c>
      <c r="Q2504" s="411">
        <v>6</v>
      </c>
      <c r="R2504" s="405" t="s">
        <v>6397</v>
      </c>
      <c r="S2504" s="405" t="s">
        <v>27263</v>
      </c>
      <c r="T2504" s="405" t="s">
        <v>32102</v>
      </c>
      <c r="U2504" s="405" t="s">
        <v>319</v>
      </c>
    </row>
    <row r="2505" spans="1:21" x14ac:dyDescent="0.25">
      <c r="A2505" s="405" t="s">
        <v>310</v>
      </c>
      <c r="B2505" s="405" t="s">
        <v>24273</v>
      </c>
      <c r="C2505" s="405" t="s">
        <v>327</v>
      </c>
      <c r="D2505" s="405"/>
      <c r="E2505" s="410">
        <v>43196</v>
      </c>
      <c r="F2505" s="410">
        <v>43304</v>
      </c>
      <c r="G2505" s="405" t="s">
        <v>24274</v>
      </c>
      <c r="H2505" s="405">
        <v>780799797</v>
      </c>
      <c r="I2505" s="405"/>
      <c r="J2505" s="405" t="s">
        <v>24275</v>
      </c>
      <c r="K2505" s="405">
        <v>30.745937999999999</v>
      </c>
      <c r="L2505" s="405" t="s">
        <v>590</v>
      </c>
      <c r="M2505" s="405" t="s">
        <v>7488</v>
      </c>
      <c r="N2505" s="405" t="s">
        <v>7489</v>
      </c>
      <c r="O2505" s="405" t="s">
        <v>24276</v>
      </c>
      <c r="P2505" s="405" t="s">
        <v>1456</v>
      </c>
      <c r="Q2505" s="411">
        <v>6</v>
      </c>
      <c r="R2505" s="405" t="s">
        <v>6397</v>
      </c>
      <c r="S2505" s="405" t="s">
        <v>27263</v>
      </c>
      <c r="T2505" s="405" t="s">
        <v>32102</v>
      </c>
      <c r="U2505" s="405" t="s">
        <v>319</v>
      </c>
    </row>
    <row r="2506" spans="1:21" x14ac:dyDescent="0.25">
      <c r="A2506" s="405" t="s">
        <v>310</v>
      </c>
      <c r="B2506" s="405" t="s">
        <v>16381</v>
      </c>
      <c r="C2506" s="405" t="s">
        <v>327</v>
      </c>
      <c r="D2506" s="405"/>
      <c r="E2506" s="410">
        <v>43194</v>
      </c>
      <c r="F2506" s="410">
        <v>43449</v>
      </c>
      <c r="G2506" s="405" t="s">
        <v>16382</v>
      </c>
      <c r="H2506" s="405">
        <v>774328122</v>
      </c>
      <c r="I2506" s="405"/>
      <c r="J2506" s="405">
        <v>1.491045</v>
      </c>
      <c r="K2506" s="405">
        <v>33.989981999999998</v>
      </c>
      <c r="L2506" s="405" t="s">
        <v>6866</v>
      </c>
      <c r="M2506" s="405" t="s">
        <v>10029</v>
      </c>
      <c r="N2506" s="405" t="s">
        <v>10029</v>
      </c>
      <c r="O2506" s="405" t="s">
        <v>16383</v>
      </c>
      <c r="P2506" s="405" t="s">
        <v>16384</v>
      </c>
      <c r="Q2506" s="411">
        <v>13</v>
      </c>
      <c r="R2506" s="405" t="s">
        <v>7224</v>
      </c>
      <c r="S2506" s="405" t="s">
        <v>27067</v>
      </c>
      <c r="T2506" s="405" t="s">
        <v>32102</v>
      </c>
      <c r="U2506" s="405" t="s">
        <v>319</v>
      </c>
    </row>
    <row r="2507" spans="1:21" x14ac:dyDescent="0.25">
      <c r="A2507" s="405" t="s">
        <v>310</v>
      </c>
      <c r="B2507" s="405" t="s">
        <v>23996</v>
      </c>
      <c r="C2507" s="405" t="s">
        <v>327</v>
      </c>
      <c r="D2507" s="405"/>
      <c r="E2507" s="410">
        <v>43194</v>
      </c>
      <c r="F2507" s="410">
        <v>43229</v>
      </c>
      <c r="G2507" s="405" t="s">
        <v>23997</v>
      </c>
      <c r="H2507" s="405">
        <v>701444013</v>
      </c>
      <c r="I2507" s="405">
        <v>779443555</v>
      </c>
      <c r="J2507" s="405">
        <v>0.43441299999999999</v>
      </c>
      <c r="K2507" s="405">
        <v>30.157012999999999</v>
      </c>
      <c r="L2507" s="405" t="s">
        <v>590</v>
      </c>
      <c r="M2507" s="405" t="s">
        <v>19625</v>
      </c>
      <c r="N2507" s="405" t="s">
        <v>22017</v>
      </c>
      <c r="O2507" s="405" t="s">
        <v>5538</v>
      </c>
      <c r="P2507" s="405" t="s">
        <v>5538</v>
      </c>
      <c r="Q2507" s="411">
        <v>9</v>
      </c>
      <c r="R2507" s="405" t="s">
        <v>5858</v>
      </c>
      <c r="S2507" s="405" t="s">
        <v>27433</v>
      </c>
      <c r="T2507" s="405" t="s">
        <v>32102</v>
      </c>
      <c r="U2507" s="405" t="s">
        <v>319</v>
      </c>
    </row>
    <row r="2508" spans="1:21" x14ac:dyDescent="0.25">
      <c r="A2508" s="405" t="s">
        <v>310</v>
      </c>
      <c r="B2508" s="405" t="s">
        <v>24019</v>
      </c>
      <c r="C2508" s="405" t="s">
        <v>327</v>
      </c>
      <c r="D2508" s="405"/>
      <c r="E2508" s="410">
        <v>43194</v>
      </c>
      <c r="F2508" s="410">
        <v>43225</v>
      </c>
      <c r="G2508" s="405" t="s">
        <v>24020</v>
      </c>
      <c r="H2508" s="405">
        <v>704909251</v>
      </c>
      <c r="I2508" s="405"/>
      <c r="J2508" s="405">
        <v>-0.48822700000000002</v>
      </c>
      <c r="K2508" s="405">
        <v>30.778333</v>
      </c>
      <c r="L2508" s="405" t="s">
        <v>590</v>
      </c>
      <c r="M2508" s="405" t="s">
        <v>19614</v>
      </c>
      <c r="N2508" s="405" t="s">
        <v>19615</v>
      </c>
      <c r="O2508" s="405" t="s">
        <v>20253</v>
      </c>
      <c r="P2508" s="405" t="s">
        <v>20560</v>
      </c>
      <c r="Q2508" s="411">
        <v>9</v>
      </c>
      <c r="R2508" s="405" t="s">
        <v>6943</v>
      </c>
      <c r="S2508" s="405" t="s">
        <v>27301</v>
      </c>
      <c r="T2508" s="405" t="s">
        <v>32102</v>
      </c>
      <c r="U2508" s="405" t="s">
        <v>319</v>
      </c>
    </row>
    <row r="2509" spans="1:21" x14ac:dyDescent="0.25">
      <c r="A2509" s="405" t="s">
        <v>310</v>
      </c>
      <c r="B2509" s="405" t="s">
        <v>23980</v>
      </c>
      <c r="C2509" s="405" t="s">
        <v>327</v>
      </c>
      <c r="D2509" s="405"/>
      <c r="E2509" s="410">
        <v>43194</v>
      </c>
      <c r="F2509" s="410">
        <v>43218</v>
      </c>
      <c r="G2509" s="405" t="s">
        <v>23981</v>
      </c>
      <c r="H2509" s="405">
        <v>751414877</v>
      </c>
      <c r="I2509" s="405"/>
      <c r="J2509" s="405">
        <v>-0.67255299999999996</v>
      </c>
      <c r="K2509" s="405">
        <v>30.657751999999999</v>
      </c>
      <c r="L2509" s="405" t="s">
        <v>590</v>
      </c>
      <c r="M2509" s="405" t="s">
        <v>879</v>
      </c>
      <c r="N2509" s="405" t="s">
        <v>879</v>
      </c>
      <c r="O2509" s="405" t="s">
        <v>20737</v>
      </c>
      <c r="P2509" s="405" t="s">
        <v>23982</v>
      </c>
      <c r="Q2509" s="411">
        <v>9</v>
      </c>
      <c r="R2509" s="405" t="s">
        <v>883</v>
      </c>
      <c r="S2509" s="405" t="s">
        <v>27065</v>
      </c>
      <c r="T2509" s="405" t="s">
        <v>32102</v>
      </c>
      <c r="U2509" s="405" t="s">
        <v>319</v>
      </c>
    </row>
    <row r="2510" spans="1:21" x14ac:dyDescent="0.25">
      <c r="A2510" s="405" t="s">
        <v>310</v>
      </c>
      <c r="B2510" s="405" t="s">
        <v>23990</v>
      </c>
      <c r="C2510" s="405" t="s">
        <v>327</v>
      </c>
      <c r="D2510" s="405"/>
      <c r="E2510" s="410">
        <v>43194</v>
      </c>
      <c r="F2510" s="410">
        <v>43200</v>
      </c>
      <c r="G2510" s="405" t="s">
        <v>23991</v>
      </c>
      <c r="H2510" s="405">
        <v>787192041</v>
      </c>
      <c r="I2510" s="405">
        <v>788055002</v>
      </c>
      <c r="J2510" s="405">
        <v>0.47299999999999998</v>
      </c>
      <c r="K2510" s="405">
        <v>29.425999999999998</v>
      </c>
      <c r="L2510" s="405" t="s">
        <v>590</v>
      </c>
      <c r="M2510" s="405" t="s">
        <v>23957</v>
      </c>
      <c r="N2510" s="405" t="s">
        <v>23490</v>
      </c>
      <c r="O2510" s="405" t="s">
        <v>23491</v>
      </c>
      <c r="P2510" s="405" t="s">
        <v>23992</v>
      </c>
      <c r="Q2510" s="411">
        <v>9</v>
      </c>
      <c r="R2510" s="405" t="s">
        <v>6572</v>
      </c>
      <c r="S2510" s="405" t="s">
        <v>27264</v>
      </c>
      <c r="T2510" s="405" t="s">
        <v>32102</v>
      </c>
      <c r="U2510" s="405" t="s">
        <v>319</v>
      </c>
    </row>
    <row r="2511" spans="1:21" x14ac:dyDescent="0.25">
      <c r="A2511" s="405" t="s">
        <v>310</v>
      </c>
      <c r="B2511" s="405" t="s">
        <v>24150</v>
      </c>
      <c r="C2511" s="405" t="s">
        <v>327</v>
      </c>
      <c r="D2511" s="405"/>
      <c r="E2511" s="410">
        <v>43193</v>
      </c>
      <c r="F2511" s="410">
        <v>43268</v>
      </c>
      <c r="G2511" s="405" t="s">
        <v>24151</v>
      </c>
      <c r="H2511" s="405">
        <v>754097917</v>
      </c>
      <c r="I2511" s="405"/>
      <c r="J2511" s="405">
        <v>-0.86204000000000003</v>
      </c>
      <c r="K2511" s="405">
        <v>30.623802000000001</v>
      </c>
      <c r="L2511" s="405" t="s">
        <v>590</v>
      </c>
      <c r="M2511" s="405" t="s">
        <v>19614</v>
      </c>
      <c r="N2511" s="405" t="s">
        <v>19654</v>
      </c>
      <c r="O2511" s="405" t="s">
        <v>23923</v>
      </c>
      <c r="P2511" s="405" t="s">
        <v>24152</v>
      </c>
      <c r="Q2511" s="411">
        <v>9</v>
      </c>
      <c r="R2511" s="405" t="s">
        <v>6943</v>
      </c>
      <c r="S2511" s="405" t="s">
        <v>27132</v>
      </c>
      <c r="T2511" s="405" t="s">
        <v>32102</v>
      </c>
      <c r="U2511" s="405" t="s">
        <v>319</v>
      </c>
    </row>
    <row r="2512" spans="1:21" x14ac:dyDescent="0.25">
      <c r="A2512" s="405" t="s">
        <v>310</v>
      </c>
      <c r="B2512" s="405" t="s">
        <v>24003</v>
      </c>
      <c r="C2512" s="405" t="s">
        <v>327</v>
      </c>
      <c r="D2512" s="405"/>
      <c r="E2512" s="410">
        <v>43193</v>
      </c>
      <c r="F2512" s="410">
        <v>43229</v>
      </c>
      <c r="G2512" s="405" t="s">
        <v>24004</v>
      </c>
      <c r="H2512" s="405">
        <v>771316850</v>
      </c>
      <c r="I2512" s="405"/>
      <c r="J2512" s="405">
        <v>-0.40187499999999998</v>
      </c>
      <c r="K2512" s="405">
        <v>30.523150000000001</v>
      </c>
      <c r="L2512" s="405" t="s">
        <v>590</v>
      </c>
      <c r="M2512" s="405" t="s">
        <v>19614</v>
      </c>
      <c r="N2512" s="405" t="s">
        <v>20188</v>
      </c>
      <c r="O2512" s="405" t="s">
        <v>24005</v>
      </c>
      <c r="P2512" s="405" t="s">
        <v>24005</v>
      </c>
      <c r="Q2512" s="411">
        <v>9</v>
      </c>
      <c r="R2512" s="405" t="s">
        <v>5858</v>
      </c>
      <c r="S2512" s="405" t="s">
        <v>27227</v>
      </c>
      <c r="T2512" s="405" t="s">
        <v>32102</v>
      </c>
      <c r="U2512" s="405" t="s">
        <v>319</v>
      </c>
    </row>
    <row r="2513" spans="1:21" x14ac:dyDescent="0.25">
      <c r="A2513" s="405" t="s">
        <v>310</v>
      </c>
      <c r="B2513" s="405" t="s">
        <v>23955</v>
      </c>
      <c r="C2513" s="405" t="s">
        <v>327</v>
      </c>
      <c r="D2513" s="405"/>
      <c r="E2513" s="410">
        <v>43193</v>
      </c>
      <c r="F2513" s="410">
        <v>43208</v>
      </c>
      <c r="G2513" s="405" t="s">
        <v>23956</v>
      </c>
      <c r="H2513" s="405">
        <v>772605121</v>
      </c>
      <c r="I2513" s="405"/>
      <c r="J2513" s="405">
        <v>29.4923</v>
      </c>
      <c r="K2513" s="405">
        <v>0.53269999999999995</v>
      </c>
      <c r="L2513" s="405" t="s">
        <v>590</v>
      </c>
      <c r="M2513" s="405" t="s">
        <v>23957</v>
      </c>
      <c r="N2513" s="405" t="s">
        <v>20809</v>
      </c>
      <c r="O2513" s="405" t="s">
        <v>23958</v>
      </c>
      <c r="P2513" s="405" t="s">
        <v>23959</v>
      </c>
      <c r="Q2513" s="411">
        <v>9</v>
      </c>
      <c r="R2513" s="405" t="s">
        <v>6572</v>
      </c>
      <c r="S2513" s="405" t="s">
        <v>27154</v>
      </c>
      <c r="T2513" s="405" t="s">
        <v>32102</v>
      </c>
      <c r="U2513" s="405" t="s">
        <v>319</v>
      </c>
    </row>
    <row r="2514" spans="1:21" x14ac:dyDescent="0.25">
      <c r="A2514" s="405" t="s">
        <v>310</v>
      </c>
      <c r="B2514" s="405" t="s">
        <v>6828</v>
      </c>
      <c r="C2514" s="405" t="s">
        <v>327</v>
      </c>
      <c r="D2514" s="405"/>
      <c r="E2514" s="410">
        <v>43192</v>
      </c>
      <c r="F2514" s="410">
        <v>43207</v>
      </c>
      <c r="G2514" s="405" t="s">
        <v>6829</v>
      </c>
      <c r="H2514" s="405">
        <v>701788036</v>
      </c>
      <c r="I2514" s="405">
        <v>782788036</v>
      </c>
      <c r="J2514" s="405">
        <v>0.148952</v>
      </c>
      <c r="K2514" s="405">
        <v>32.509103000000003</v>
      </c>
      <c r="L2514" s="405" t="s">
        <v>314</v>
      </c>
      <c r="M2514" s="405" t="s">
        <v>361</v>
      </c>
      <c r="N2514" s="405" t="s">
        <v>3398</v>
      </c>
      <c r="O2514" s="405" t="s">
        <v>4689</v>
      </c>
      <c r="P2514" s="405" t="s">
        <v>6830</v>
      </c>
      <c r="Q2514" s="411">
        <v>13</v>
      </c>
      <c r="R2514" s="405" t="s">
        <v>32101</v>
      </c>
      <c r="S2514" s="405" t="s">
        <v>27193</v>
      </c>
      <c r="T2514" s="405" t="s">
        <v>32102</v>
      </c>
      <c r="U2514" s="405" t="s">
        <v>319</v>
      </c>
    </row>
    <row r="2515" spans="1:21" x14ac:dyDescent="0.25">
      <c r="A2515" s="405" t="s">
        <v>310</v>
      </c>
      <c r="B2515" s="405" t="s">
        <v>23928</v>
      </c>
      <c r="C2515" s="405" t="s">
        <v>327</v>
      </c>
      <c r="D2515" s="405"/>
      <c r="E2515" s="410">
        <v>43192</v>
      </c>
      <c r="F2515" s="410">
        <v>43207</v>
      </c>
      <c r="G2515" s="405" t="s">
        <v>23929</v>
      </c>
      <c r="H2515" s="405">
        <v>772649211</v>
      </c>
      <c r="I2515" s="405">
        <v>776811583</v>
      </c>
      <c r="J2515" s="405">
        <v>0.35239999999999999</v>
      </c>
      <c r="K2515" s="405">
        <v>30.123999999999999</v>
      </c>
      <c r="L2515" s="405" t="s">
        <v>590</v>
      </c>
      <c r="M2515" s="405" t="s">
        <v>19625</v>
      </c>
      <c r="N2515" s="405" t="s">
        <v>19642</v>
      </c>
      <c r="O2515" s="405" t="s">
        <v>22104</v>
      </c>
      <c r="P2515" s="405" t="s">
        <v>23930</v>
      </c>
      <c r="Q2515" s="411">
        <v>9</v>
      </c>
      <c r="R2515" s="405" t="s">
        <v>6943</v>
      </c>
      <c r="S2515" s="405" t="s">
        <v>27410</v>
      </c>
      <c r="T2515" s="405" t="s">
        <v>32102</v>
      </c>
      <c r="U2515" s="405" t="s">
        <v>319</v>
      </c>
    </row>
    <row r="2516" spans="1:21" x14ac:dyDescent="0.25">
      <c r="A2516" s="405" t="s">
        <v>310</v>
      </c>
      <c r="B2516" s="405" t="s">
        <v>23918</v>
      </c>
      <c r="C2516" s="405" t="s">
        <v>327</v>
      </c>
      <c r="D2516" s="405"/>
      <c r="E2516" s="410">
        <v>43191</v>
      </c>
      <c r="F2516" s="410">
        <v>43209</v>
      </c>
      <c r="G2516" s="405" t="s">
        <v>23919</v>
      </c>
      <c r="H2516" s="405">
        <v>772316707</v>
      </c>
      <c r="I2516" s="405"/>
      <c r="J2516" s="405">
        <v>-1.007037</v>
      </c>
      <c r="K2516" s="405">
        <v>30.212122000000001</v>
      </c>
      <c r="L2516" s="405" t="s">
        <v>590</v>
      </c>
      <c r="M2516" s="405" t="s">
        <v>19659</v>
      </c>
      <c r="N2516" s="405" t="s">
        <v>19677</v>
      </c>
      <c r="O2516" s="405" t="s">
        <v>20548</v>
      </c>
      <c r="P2516" s="405" t="s">
        <v>23920</v>
      </c>
      <c r="Q2516" s="411">
        <v>9</v>
      </c>
      <c r="R2516" s="405" t="s">
        <v>6943</v>
      </c>
      <c r="S2516" s="405" t="s">
        <v>27098</v>
      </c>
      <c r="T2516" s="405" t="s">
        <v>32102</v>
      </c>
      <c r="U2516" s="405" t="s">
        <v>319</v>
      </c>
    </row>
    <row r="2517" spans="1:21" x14ac:dyDescent="0.25">
      <c r="A2517" s="405" t="s">
        <v>310</v>
      </c>
      <c r="B2517" s="405" t="s">
        <v>23908</v>
      </c>
      <c r="C2517" s="405" t="s">
        <v>327</v>
      </c>
      <c r="D2517" s="405"/>
      <c r="E2517" s="410">
        <v>43191</v>
      </c>
      <c r="F2517" s="410">
        <v>43208</v>
      </c>
      <c r="G2517" s="405" t="s">
        <v>23909</v>
      </c>
      <c r="H2517" s="405">
        <v>773228406</v>
      </c>
      <c r="I2517" s="405">
        <v>752717473</v>
      </c>
      <c r="J2517" s="405">
        <v>-0.29768499999999998</v>
      </c>
      <c r="K2517" s="405">
        <v>30.512975000000001</v>
      </c>
      <c r="L2517" s="405" t="s">
        <v>590</v>
      </c>
      <c r="M2517" s="405" t="s">
        <v>19614</v>
      </c>
      <c r="N2517" s="405" t="s">
        <v>19615</v>
      </c>
      <c r="O2517" s="405" t="s">
        <v>20108</v>
      </c>
      <c r="P2517" s="405" t="s">
        <v>23910</v>
      </c>
      <c r="Q2517" s="411">
        <v>9</v>
      </c>
      <c r="R2517" s="405" t="s">
        <v>6943</v>
      </c>
      <c r="S2517" s="405" t="s">
        <v>27410</v>
      </c>
      <c r="T2517" s="405" t="s">
        <v>32102</v>
      </c>
      <c r="U2517" s="405" t="s">
        <v>319</v>
      </c>
    </row>
    <row r="2518" spans="1:21" x14ac:dyDescent="0.25">
      <c r="A2518" s="405" t="s">
        <v>310</v>
      </c>
      <c r="B2518" s="405" t="s">
        <v>16049</v>
      </c>
      <c r="C2518" s="405" t="s">
        <v>327</v>
      </c>
      <c r="D2518" s="405"/>
      <c r="E2518" s="410">
        <v>43190</v>
      </c>
      <c r="F2518" s="410">
        <v>43266</v>
      </c>
      <c r="G2518" s="405" t="s">
        <v>16050</v>
      </c>
      <c r="H2518" s="405">
        <v>777869585</v>
      </c>
      <c r="I2518" s="405"/>
      <c r="J2518" s="405">
        <v>1.01291</v>
      </c>
      <c r="K2518" s="405">
        <v>34.360317999999999</v>
      </c>
      <c r="L2518" s="405" t="s">
        <v>6866</v>
      </c>
      <c r="M2518" s="405" t="s">
        <v>6867</v>
      </c>
      <c r="N2518" s="405" t="s">
        <v>6868</v>
      </c>
      <c r="O2518" s="405" t="s">
        <v>15393</v>
      </c>
      <c r="P2518" s="405" t="s">
        <v>16051</v>
      </c>
      <c r="Q2518" s="411">
        <v>6</v>
      </c>
      <c r="R2518" s="405" t="s">
        <v>6871</v>
      </c>
      <c r="S2518" s="405" t="s">
        <v>27306</v>
      </c>
      <c r="T2518" s="405" t="s">
        <v>32102</v>
      </c>
      <c r="U2518" s="405" t="s">
        <v>319</v>
      </c>
    </row>
    <row r="2519" spans="1:21" x14ac:dyDescent="0.25">
      <c r="A2519" s="405" t="s">
        <v>310</v>
      </c>
      <c r="B2519" s="405" t="s">
        <v>23964</v>
      </c>
      <c r="C2519" s="405" t="s">
        <v>327</v>
      </c>
      <c r="D2519" s="405"/>
      <c r="E2519" s="410">
        <v>43189</v>
      </c>
      <c r="F2519" s="410">
        <v>43216</v>
      </c>
      <c r="G2519" s="405" t="s">
        <v>23965</v>
      </c>
      <c r="H2519" s="405">
        <v>700232052</v>
      </c>
      <c r="I2519" s="405"/>
      <c r="J2519" s="405">
        <v>-0.93020700000000001</v>
      </c>
      <c r="K2519" s="405">
        <v>30.848942000000001</v>
      </c>
      <c r="L2519" s="405" t="s">
        <v>590</v>
      </c>
      <c r="M2519" s="405" t="s">
        <v>879</v>
      </c>
      <c r="N2519" s="405" t="s">
        <v>12376</v>
      </c>
      <c r="O2519" s="405" t="s">
        <v>20176</v>
      </c>
      <c r="P2519" s="405" t="s">
        <v>23966</v>
      </c>
      <c r="Q2519" s="411">
        <v>9</v>
      </c>
      <c r="R2519" s="405" t="s">
        <v>6572</v>
      </c>
      <c r="S2519" s="405" t="s">
        <v>27183</v>
      </c>
      <c r="T2519" s="405" t="s">
        <v>32102</v>
      </c>
      <c r="U2519" s="405" t="s">
        <v>319</v>
      </c>
    </row>
    <row r="2520" spans="1:21" x14ac:dyDescent="0.25">
      <c r="A2520" s="405" t="s">
        <v>310</v>
      </c>
      <c r="B2520" s="405" t="s">
        <v>23911</v>
      </c>
      <c r="C2520" s="405" t="s">
        <v>327</v>
      </c>
      <c r="D2520" s="405"/>
      <c r="E2520" s="410">
        <v>43189</v>
      </c>
      <c r="F2520" s="410">
        <v>43196</v>
      </c>
      <c r="G2520" s="405" t="s">
        <v>23912</v>
      </c>
      <c r="H2520" s="405">
        <v>774216082</v>
      </c>
      <c r="I2520" s="405"/>
      <c r="J2520" s="405">
        <v>0.99488299999999996</v>
      </c>
      <c r="K2520" s="405">
        <v>30.183522</v>
      </c>
      <c r="L2520" s="405" t="s">
        <v>590</v>
      </c>
      <c r="M2520" s="405" t="s">
        <v>19659</v>
      </c>
      <c r="N2520" s="405" t="s">
        <v>23913</v>
      </c>
      <c r="O2520" s="405" t="s">
        <v>20207</v>
      </c>
      <c r="P2520" s="405" t="s">
        <v>23914</v>
      </c>
      <c r="Q2520" s="411">
        <v>9</v>
      </c>
      <c r="R2520" s="405" t="s">
        <v>6943</v>
      </c>
      <c r="S2520" s="405" t="s">
        <v>27166</v>
      </c>
      <c r="T2520" s="405" t="s">
        <v>32102</v>
      </c>
      <c r="U2520" s="405" t="s">
        <v>319</v>
      </c>
    </row>
    <row r="2521" spans="1:21" x14ac:dyDescent="0.25">
      <c r="A2521" s="405" t="s">
        <v>310</v>
      </c>
      <c r="B2521" s="405" t="s">
        <v>23931</v>
      </c>
      <c r="C2521" s="405" t="s">
        <v>327</v>
      </c>
      <c r="D2521" s="405"/>
      <c r="E2521" s="410">
        <v>43189</v>
      </c>
      <c r="F2521" s="410">
        <v>43195</v>
      </c>
      <c r="G2521" s="405" t="s">
        <v>23932</v>
      </c>
      <c r="H2521" s="405">
        <v>702537960</v>
      </c>
      <c r="I2521" s="405"/>
      <c r="J2521" s="405">
        <v>-0.80549000000000004</v>
      </c>
      <c r="K2521" s="405">
        <v>30.748995000000001</v>
      </c>
      <c r="L2521" s="405" t="s">
        <v>590</v>
      </c>
      <c r="M2521" s="405" t="s">
        <v>879</v>
      </c>
      <c r="N2521" s="405" t="s">
        <v>879</v>
      </c>
      <c r="O2521" s="405" t="s">
        <v>20437</v>
      </c>
      <c r="P2521" s="405" t="s">
        <v>23933</v>
      </c>
      <c r="Q2521" s="411">
        <v>9</v>
      </c>
      <c r="R2521" s="405" t="s">
        <v>32166</v>
      </c>
      <c r="S2521" s="405" t="s">
        <v>27181</v>
      </c>
      <c r="T2521" s="405" t="s">
        <v>32102</v>
      </c>
      <c r="U2521" s="405" t="s">
        <v>319</v>
      </c>
    </row>
    <row r="2522" spans="1:21" x14ac:dyDescent="0.25">
      <c r="A2522" s="405" t="s">
        <v>310</v>
      </c>
      <c r="B2522" s="405" t="s">
        <v>23952</v>
      </c>
      <c r="C2522" s="405" t="s">
        <v>327</v>
      </c>
      <c r="D2522" s="405"/>
      <c r="E2522" s="410">
        <v>43189</v>
      </c>
      <c r="F2522" s="410">
        <v>43193</v>
      </c>
      <c r="G2522" s="405" t="s">
        <v>23953</v>
      </c>
      <c r="H2522" s="405">
        <v>772369103</v>
      </c>
      <c r="I2522" s="405">
        <v>784624046</v>
      </c>
      <c r="J2522" s="405">
        <v>0.89876299999999998</v>
      </c>
      <c r="K2522" s="405">
        <v>29.820740000000001</v>
      </c>
      <c r="L2522" s="405" t="s">
        <v>590</v>
      </c>
      <c r="M2522" s="405" t="s">
        <v>20808</v>
      </c>
      <c r="N2522" s="405" t="s">
        <v>20809</v>
      </c>
      <c r="O2522" s="405" t="s">
        <v>23326</v>
      </c>
      <c r="P2522" s="405" t="s">
        <v>23954</v>
      </c>
      <c r="Q2522" s="411">
        <v>9</v>
      </c>
      <c r="R2522" s="405" t="s">
        <v>6572</v>
      </c>
      <c r="S2522" s="405" t="s">
        <v>27154</v>
      </c>
      <c r="T2522" s="405" t="s">
        <v>32102</v>
      </c>
      <c r="U2522" s="405" t="s">
        <v>319</v>
      </c>
    </row>
    <row r="2523" spans="1:21" x14ac:dyDescent="0.25">
      <c r="A2523" s="405" t="s">
        <v>310</v>
      </c>
      <c r="B2523" s="405" t="s">
        <v>23921</v>
      </c>
      <c r="C2523" s="405" t="s">
        <v>327</v>
      </c>
      <c r="D2523" s="405"/>
      <c r="E2523" s="410">
        <v>43188</v>
      </c>
      <c r="F2523" s="410">
        <v>43211</v>
      </c>
      <c r="G2523" s="405" t="s">
        <v>23922</v>
      </c>
      <c r="H2523" s="405">
        <v>774842010</v>
      </c>
      <c r="I2523" s="405">
        <v>753384424</v>
      </c>
      <c r="J2523" s="405">
        <v>-0.80313999999999997</v>
      </c>
      <c r="K2523" s="405">
        <v>30.621178</v>
      </c>
      <c r="L2523" s="405" t="s">
        <v>590</v>
      </c>
      <c r="M2523" s="405" t="s">
        <v>19614</v>
      </c>
      <c r="N2523" s="405" t="s">
        <v>19654</v>
      </c>
      <c r="O2523" s="405" t="s">
        <v>23923</v>
      </c>
      <c r="P2523" s="405" t="s">
        <v>23924</v>
      </c>
      <c r="Q2523" s="411">
        <v>9</v>
      </c>
      <c r="R2523" s="405" t="s">
        <v>6943</v>
      </c>
      <c r="S2523" s="405" t="s">
        <v>27243</v>
      </c>
      <c r="T2523" s="405" t="s">
        <v>32102</v>
      </c>
      <c r="U2523" s="405" t="s">
        <v>319</v>
      </c>
    </row>
    <row r="2524" spans="1:21" x14ac:dyDescent="0.25">
      <c r="A2524" s="405" t="s">
        <v>310</v>
      </c>
      <c r="B2524" s="405" t="s">
        <v>23925</v>
      </c>
      <c r="C2524" s="405" t="s">
        <v>327</v>
      </c>
      <c r="D2524" s="405"/>
      <c r="E2524" s="410">
        <v>43187</v>
      </c>
      <c r="F2524" s="410">
        <v>43208</v>
      </c>
      <c r="G2524" s="405" t="s">
        <v>23926</v>
      </c>
      <c r="H2524" s="405">
        <v>782393687</v>
      </c>
      <c r="I2524" s="405">
        <v>701393687</v>
      </c>
      <c r="J2524" s="405">
        <v>0.51541700000000001</v>
      </c>
      <c r="K2524" s="405">
        <v>30.603045000000002</v>
      </c>
      <c r="L2524" s="405" t="s">
        <v>590</v>
      </c>
      <c r="M2524" s="405" t="s">
        <v>19614</v>
      </c>
      <c r="N2524" s="405" t="s">
        <v>19615</v>
      </c>
      <c r="O2524" s="405" t="s">
        <v>22104</v>
      </c>
      <c r="P2524" s="405" t="s">
        <v>23927</v>
      </c>
      <c r="Q2524" s="411">
        <v>9</v>
      </c>
      <c r="R2524" s="405" t="s">
        <v>6943</v>
      </c>
      <c r="S2524" s="405" t="s">
        <v>27301</v>
      </c>
      <c r="T2524" s="405" t="s">
        <v>32102</v>
      </c>
      <c r="U2524" s="405" t="s">
        <v>319</v>
      </c>
    </row>
    <row r="2525" spans="1:21" x14ac:dyDescent="0.25">
      <c r="A2525" s="405" t="s">
        <v>310</v>
      </c>
      <c r="B2525" s="405" t="s">
        <v>24256</v>
      </c>
      <c r="C2525" s="405" t="s">
        <v>857</v>
      </c>
      <c r="D2525" s="405" t="s">
        <v>4394</v>
      </c>
      <c r="E2525" s="410">
        <v>43187</v>
      </c>
      <c r="F2525" s="410">
        <v>43198</v>
      </c>
      <c r="G2525" s="405" t="s">
        <v>24257</v>
      </c>
      <c r="H2525" s="405">
        <v>771496237</v>
      </c>
      <c r="I2525" s="405"/>
      <c r="J2525" s="405">
        <v>0.15290000000000001</v>
      </c>
      <c r="K2525" s="405">
        <v>31.254999999999999</v>
      </c>
      <c r="L2525" s="405" t="s">
        <v>590</v>
      </c>
      <c r="M2525" s="405" t="s">
        <v>20757</v>
      </c>
      <c r="N2525" s="405" t="s">
        <v>24258</v>
      </c>
      <c r="O2525" s="405" t="s">
        <v>20759</v>
      </c>
      <c r="P2525" s="405" t="s">
        <v>24259</v>
      </c>
      <c r="Q2525" s="411">
        <v>9</v>
      </c>
      <c r="R2525" s="405" t="s">
        <v>874</v>
      </c>
      <c r="S2525" s="405" t="s">
        <v>27249</v>
      </c>
      <c r="T2525" s="405" t="s">
        <v>32102</v>
      </c>
      <c r="U2525" s="405" t="s">
        <v>319</v>
      </c>
    </row>
    <row r="2526" spans="1:21" x14ac:dyDescent="0.25">
      <c r="A2526" s="405" t="s">
        <v>310</v>
      </c>
      <c r="B2526" s="405" t="s">
        <v>6811</v>
      </c>
      <c r="C2526" s="405" t="s">
        <v>327</v>
      </c>
      <c r="D2526" s="405"/>
      <c r="E2526" s="410">
        <v>43186</v>
      </c>
      <c r="F2526" s="410">
        <v>43201</v>
      </c>
      <c r="G2526" s="405" t="s">
        <v>6812</v>
      </c>
      <c r="H2526" s="405">
        <v>712679195</v>
      </c>
      <c r="I2526" s="405"/>
      <c r="J2526" s="405">
        <v>0.34731699999999999</v>
      </c>
      <c r="K2526" s="405">
        <v>32.726913000000003</v>
      </c>
      <c r="L2526" s="405" t="s">
        <v>314</v>
      </c>
      <c r="M2526" s="405" t="s">
        <v>329</v>
      </c>
      <c r="N2526" s="405" t="s">
        <v>330</v>
      </c>
      <c r="O2526" s="405" t="s">
        <v>630</v>
      </c>
      <c r="P2526" s="405" t="s">
        <v>6813</v>
      </c>
      <c r="Q2526" s="411">
        <v>6</v>
      </c>
      <c r="R2526" s="405" t="s">
        <v>4176</v>
      </c>
      <c r="S2526" s="405" t="s">
        <v>27053</v>
      </c>
      <c r="T2526" s="405" t="s">
        <v>32102</v>
      </c>
      <c r="U2526" s="405" t="s">
        <v>319</v>
      </c>
    </row>
    <row r="2527" spans="1:21" x14ac:dyDescent="0.25">
      <c r="A2527" s="405" t="s">
        <v>310</v>
      </c>
      <c r="B2527" s="405" t="s">
        <v>6839</v>
      </c>
      <c r="C2527" s="405" t="s">
        <v>327</v>
      </c>
      <c r="D2527" s="405"/>
      <c r="E2527" s="410">
        <v>43186</v>
      </c>
      <c r="F2527" s="410">
        <v>43201</v>
      </c>
      <c r="G2527" s="405" t="s">
        <v>6840</v>
      </c>
      <c r="H2527" s="405">
        <v>758749652</v>
      </c>
      <c r="I2527" s="405"/>
      <c r="J2527" s="405">
        <v>0.17741799999999999</v>
      </c>
      <c r="K2527" s="405">
        <v>32.786850000000001</v>
      </c>
      <c r="L2527" s="405" t="s">
        <v>314</v>
      </c>
      <c r="M2527" s="405" t="s">
        <v>329</v>
      </c>
      <c r="N2527" s="405" t="s">
        <v>652</v>
      </c>
      <c r="O2527" s="405" t="s">
        <v>909</v>
      </c>
      <c r="P2527" s="405" t="s">
        <v>6841</v>
      </c>
      <c r="Q2527" s="411">
        <v>6</v>
      </c>
      <c r="R2527" s="405" t="s">
        <v>4176</v>
      </c>
      <c r="S2527" s="405" t="s">
        <v>27193</v>
      </c>
      <c r="T2527" s="405" t="s">
        <v>32102</v>
      </c>
      <c r="U2527" s="405" t="s">
        <v>319</v>
      </c>
    </row>
    <row r="2528" spans="1:21" x14ac:dyDescent="0.25">
      <c r="A2528" s="405" t="s">
        <v>310</v>
      </c>
      <c r="B2528" s="405" t="s">
        <v>23983</v>
      </c>
      <c r="C2528" s="405" t="s">
        <v>327</v>
      </c>
      <c r="D2528" s="405"/>
      <c r="E2528" s="410">
        <v>43185</v>
      </c>
      <c r="F2528" s="410">
        <v>43214</v>
      </c>
      <c r="G2528" s="405" t="s">
        <v>23984</v>
      </c>
      <c r="H2528" s="405">
        <v>751854327</v>
      </c>
      <c r="I2528" s="405"/>
      <c r="J2528" s="405">
        <v>-0.60883500000000002</v>
      </c>
      <c r="K2528" s="405">
        <v>30.446172000000001</v>
      </c>
      <c r="L2528" s="405" t="s">
        <v>590</v>
      </c>
      <c r="M2528" s="405" t="s">
        <v>19614</v>
      </c>
      <c r="N2528" s="405" t="s">
        <v>20230</v>
      </c>
      <c r="O2528" s="405" t="s">
        <v>20063</v>
      </c>
      <c r="P2528" s="405" t="s">
        <v>23985</v>
      </c>
      <c r="Q2528" s="411">
        <v>9</v>
      </c>
      <c r="R2528" s="405" t="s">
        <v>874</v>
      </c>
      <c r="S2528" s="405" t="s">
        <v>27275</v>
      </c>
      <c r="T2528" s="405" t="s">
        <v>32102</v>
      </c>
      <c r="U2528" s="405" t="s">
        <v>319</v>
      </c>
    </row>
    <row r="2529" spans="1:21" x14ac:dyDescent="0.25">
      <c r="A2529" s="405" t="s">
        <v>310</v>
      </c>
      <c r="B2529" s="405" t="s">
        <v>24065</v>
      </c>
      <c r="C2529" s="405" t="s">
        <v>327</v>
      </c>
      <c r="D2529" s="405"/>
      <c r="E2529" s="410">
        <v>43184</v>
      </c>
      <c r="F2529" s="410">
        <v>43224</v>
      </c>
      <c r="G2529" s="405" t="s">
        <v>24066</v>
      </c>
      <c r="H2529" s="405">
        <v>702479143</v>
      </c>
      <c r="I2529" s="405"/>
      <c r="J2529" s="405">
        <v>0.31490000000000001</v>
      </c>
      <c r="K2529" s="405">
        <v>30.131499999999999</v>
      </c>
      <c r="L2529" s="405" t="s">
        <v>590</v>
      </c>
      <c r="M2529" s="405" t="s">
        <v>19625</v>
      </c>
      <c r="N2529" s="405" t="s">
        <v>19978</v>
      </c>
      <c r="O2529" s="405" t="s">
        <v>22306</v>
      </c>
      <c r="P2529" s="405" t="s">
        <v>24067</v>
      </c>
      <c r="Q2529" s="411">
        <v>9</v>
      </c>
      <c r="R2529" s="405" t="s">
        <v>6572</v>
      </c>
      <c r="S2529" s="405" t="s">
        <v>27104</v>
      </c>
      <c r="T2529" s="405" t="s">
        <v>32102</v>
      </c>
      <c r="U2529" s="405" t="s">
        <v>319</v>
      </c>
    </row>
    <row r="2530" spans="1:21" x14ac:dyDescent="0.25">
      <c r="A2530" s="405" t="s">
        <v>310</v>
      </c>
      <c r="B2530" s="405" t="s">
        <v>23960</v>
      </c>
      <c r="C2530" s="405" t="s">
        <v>327</v>
      </c>
      <c r="D2530" s="405"/>
      <c r="E2530" s="410">
        <v>43184</v>
      </c>
      <c r="F2530" s="410">
        <v>43192</v>
      </c>
      <c r="G2530" s="405" t="s">
        <v>23961</v>
      </c>
      <c r="H2530" s="405">
        <v>772396006</v>
      </c>
      <c r="I2530" s="405"/>
      <c r="J2530" s="405">
        <v>-0.888567</v>
      </c>
      <c r="K2530" s="405">
        <v>29.781556999999999</v>
      </c>
      <c r="L2530" s="405" t="s">
        <v>590</v>
      </c>
      <c r="M2530" s="405" t="s">
        <v>20808</v>
      </c>
      <c r="N2530" s="405" t="s">
        <v>20809</v>
      </c>
      <c r="O2530" s="405" t="s">
        <v>23962</v>
      </c>
      <c r="P2530" s="405" t="s">
        <v>23963</v>
      </c>
      <c r="Q2530" s="411">
        <v>9</v>
      </c>
      <c r="R2530" s="405" t="s">
        <v>6572</v>
      </c>
      <c r="S2530" s="405" t="s">
        <v>27399</v>
      </c>
      <c r="T2530" s="405" t="s">
        <v>32102</v>
      </c>
      <c r="U2530" s="405" t="s">
        <v>319</v>
      </c>
    </row>
    <row r="2531" spans="1:21" x14ac:dyDescent="0.25">
      <c r="A2531" s="405" t="s">
        <v>310</v>
      </c>
      <c r="B2531" s="405" t="s">
        <v>24058</v>
      </c>
      <c r="C2531" s="405" t="s">
        <v>327</v>
      </c>
      <c r="D2531" s="405"/>
      <c r="E2531" s="410">
        <v>43184</v>
      </c>
      <c r="F2531" s="410">
        <v>43224</v>
      </c>
      <c r="G2531" s="405" t="s">
        <v>24059</v>
      </c>
      <c r="H2531" s="405">
        <v>786966429</v>
      </c>
      <c r="I2531" s="405"/>
      <c r="J2531" s="405">
        <v>-1.2455149999999999</v>
      </c>
      <c r="K2531" s="405">
        <v>29.969598000000001</v>
      </c>
      <c r="L2531" s="405" t="s">
        <v>590</v>
      </c>
      <c r="M2531" s="405" t="s">
        <v>5312</v>
      </c>
      <c r="N2531" s="405" t="s">
        <v>24060</v>
      </c>
      <c r="O2531" s="405" t="s">
        <v>24061</v>
      </c>
      <c r="P2531" s="405" t="s">
        <v>21467</v>
      </c>
      <c r="Q2531" s="411">
        <v>6</v>
      </c>
      <c r="R2531" s="405" t="s">
        <v>6572</v>
      </c>
      <c r="S2531" s="405" t="s">
        <v>27161</v>
      </c>
      <c r="T2531" s="405" t="s">
        <v>32102</v>
      </c>
      <c r="U2531" s="405" t="s">
        <v>319</v>
      </c>
    </row>
    <row r="2532" spans="1:21" x14ac:dyDescent="0.25">
      <c r="A2532" s="405" t="s">
        <v>310</v>
      </c>
      <c r="B2532" s="405" t="s">
        <v>24387</v>
      </c>
      <c r="C2532" s="405" t="s">
        <v>327</v>
      </c>
      <c r="D2532" s="405"/>
      <c r="E2532" s="410">
        <v>43183</v>
      </c>
      <c r="F2532" s="410">
        <v>43291</v>
      </c>
      <c r="G2532" s="405" t="s">
        <v>24388</v>
      </c>
      <c r="H2532" s="405">
        <v>772452908</v>
      </c>
      <c r="I2532" s="405">
        <v>755993732</v>
      </c>
      <c r="J2532" s="405" t="s">
        <v>24389</v>
      </c>
      <c r="K2532" s="405">
        <v>30.526122000000001</v>
      </c>
      <c r="L2532" s="405" t="s">
        <v>590</v>
      </c>
      <c r="M2532" s="405" t="s">
        <v>19614</v>
      </c>
      <c r="N2532" s="405" t="s">
        <v>19654</v>
      </c>
      <c r="O2532" s="405" t="s">
        <v>19995</v>
      </c>
      <c r="P2532" s="405" t="s">
        <v>13034</v>
      </c>
      <c r="Q2532" s="411">
        <v>9</v>
      </c>
      <c r="R2532" s="405" t="s">
        <v>5858</v>
      </c>
      <c r="S2532" s="405" t="s">
        <v>27227</v>
      </c>
      <c r="T2532" s="405" t="s">
        <v>32102</v>
      </c>
      <c r="U2532" s="405" t="s">
        <v>319</v>
      </c>
    </row>
    <row r="2533" spans="1:21" x14ac:dyDescent="0.25">
      <c r="A2533" s="405" t="s">
        <v>310</v>
      </c>
      <c r="B2533" s="405" t="s">
        <v>24331</v>
      </c>
      <c r="C2533" s="405" t="s">
        <v>327</v>
      </c>
      <c r="D2533" s="405"/>
      <c r="E2533" s="410">
        <v>43183</v>
      </c>
      <c r="F2533" s="410">
        <v>43291</v>
      </c>
      <c r="G2533" s="405" t="s">
        <v>24332</v>
      </c>
      <c r="H2533" s="405">
        <v>772932336</v>
      </c>
      <c r="I2533" s="405">
        <v>702423979</v>
      </c>
      <c r="J2533" s="405" t="s">
        <v>24333</v>
      </c>
      <c r="K2533" s="405">
        <v>30.007853000000001</v>
      </c>
      <c r="L2533" s="405" t="s">
        <v>590</v>
      </c>
      <c r="M2533" s="405" t="s">
        <v>20032</v>
      </c>
      <c r="N2533" s="405" t="s">
        <v>20033</v>
      </c>
      <c r="O2533" s="405" t="s">
        <v>24086</v>
      </c>
      <c r="P2533" s="405" t="s">
        <v>24334</v>
      </c>
      <c r="Q2533" s="411">
        <v>9</v>
      </c>
      <c r="R2533" s="405" t="s">
        <v>5858</v>
      </c>
      <c r="S2533" s="405" t="s">
        <v>27227</v>
      </c>
      <c r="T2533" s="405" t="s">
        <v>32102</v>
      </c>
      <c r="U2533" s="405" t="s">
        <v>319</v>
      </c>
    </row>
    <row r="2534" spans="1:21" x14ac:dyDescent="0.25">
      <c r="A2534" s="405" t="s">
        <v>310</v>
      </c>
      <c r="B2534" s="405" t="s">
        <v>6858</v>
      </c>
      <c r="C2534" s="405" t="s">
        <v>327</v>
      </c>
      <c r="D2534" s="405"/>
      <c r="E2534" s="410">
        <v>43182</v>
      </c>
      <c r="F2534" s="410">
        <v>43250</v>
      </c>
      <c r="G2534" s="405" t="s">
        <v>6859</v>
      </c>
      <c r="H2534" s="405">
        <v>701159771</v>
      </c>
      <c r="I2534" s="405"/>
      <c r="J2534" s="405">
        <v>0.51556999999999997</v>
      </c>
      <c r="K2534" s="405">
        <v>31.456976999999998</v>
      </c>
      <c r="L2534" s="405" t="s">
        <v>314</v>
      </c>
      <c r="M2534" s="405" t="s">
        <v>445</v>
      </c>
      <c r="N2534" s="405" t="s">
        <v>446</v>
      </c>
      <c r="O2534" s="405" t="s">
        <v>447</v>
      </c>
      <c r="P2534" s="405" t="s">
        <v>6860</v>
      </c>
      <c r="Q2534" s="411">
        <v>9</v>
      </c>
      <c r="R2534" s="405" t="s">
        <v>4176</v>
      </c>
      <c r="S2534" s="405" t="s">
        <v>27036</v>
      </c>
      <c r="T2534" s="405" t="s">
        <v>32102</v>
      </c>
      <c r="U2534" s="405" t="s">
        <v>319</v>
      </c>
    </row>
    <row r="2535" spans="1:21" x14ac:dyDescent="0.25">
      <c r="A2535" s="405" t="s">
        <v>310</v>
      </c>
      <c r="B2535" s="405" t="s">
        <v>23973</v>
      </c>
      <c r="C2535" s="405" t="s">
        <v>327</v>
      </c>
      <c r="D2535" s="405"/>
      <c r="E2535" s="410">
        <v>43179</v>
      </c>
      <c r="F2535" s="410">
        <v>43210</v>
      </c>
      <c r="G2535" s="405" t="s">
        <v>23974</v>
      </c>
      <c r="H2535" s="405">
        <v>773066683</v>
      </c>
      <c r="I2535" s="405">
        <v>773025242</v>
      </c>
      <c r="J2535" s="405">
        <v>-0.78078199999999998</v>
      </c>
      <c r="K2535" s="405">
        <v>29.923131999999999</v>
      </c>
      <c r="L2535" s="405" t="s">
        <v>590</v>
      </c>
      <c r="M2535" s="405" t="s">
        <v>19619</v>
      </c>
      <c r="N2535" s="405" t="s">
        <v>19765</v>
      </c>
      <c r="O2535" s="405" t="s">
        <v>12948</v>
      </c>
      <c r="P2535" s="405" t="s">
        <v>23975</v>
      </c>
      <c r="Q2535" s="411">
        <v>13</v>
      </c>
      <c r="R2535" s="405" t="s">
        <v>6572</v>
      </c>
      <c r="S2535" s="405" t="s">
        <v>27161</v>
      </c>
      <c r="T2535" s="405" t="s">
        <v>32102</v>
      </c>
      <c r="U2535" s="405" t="s">
        <v>319</v>
      </c>
    </row>
    <row r="2536" spans="1:21" x14ac:dyDescent="0.25">
      <c r="A2536" s="405" t="s">
        <v>310</v>
      </c>
      <c r="B2536" s="405" t="s">
        <v>24383</v>
      </c>
      <c r="C2536" s="405" t="s">
        <v>327</v>
      </c>
      <c r="D2536" s="405"/>
      <c r="E2536" s="410">
        <v>43179</v>
      </c>
      <c r="F2536" s="410">
        <v>43283</v>
      </c>
      <c r="G2536" s="405" t="s">
        <v>24384</v>
      </c>
      <c r="H2536" s="405">
        <v>771659319</v>
      </c>
      <c r="I2536" s="405">
        <v>772411942</v>
      </c>
      <c r="J2536" s="405" t="s">
        <v>24385</v>
      </c>
      <c r="K2536" s="405">
        <v>30.195724999999999</v>
      </c>
      <c r="L2536" s="405" t="s">
        <v>590</v>
      </c>
      <c r="M2536" s="405" t="s">
        <v>19625</v>
      </c>
      <c r="N2536" s="405" t="s">
        <v>19642</v>
      </c>
      <c r="O2536" s="405" t="s">
        <v>22017</v>
      </c>
      <c r="P2536" s="405" t="s">
        <v>24386</v>
      </c>
      <c r="Q2536" s="411">
        <v>9</v>
      </c>
      <c r="R2536" s="405" t="s">
        <v>5858</v>
      </c>
      <c r="S2536" s="405" t="s">
        <v>27132</v>
      </c>
      <c r="T2536" s="405" t="s">
        <v>32102</v>
      </c>
      <c r="U2536" s="405" t="s">
        <v>319</v>
      </c>
    </row>
    <row r="2537" spans="1:21" x14ac:dyDescent="0.25">
      <c r="A2537" s="405" t="s">
        <v>310</v>
      </c>
      <c r="B2537" s="405" t="s">
        <v>24032</v>
      </c>
      <c r="C2537" s="405" t="s">
        <v>327</v>
      </c>
      <c r="D2537" s="405"/>
      <c r="E2537" s="410">
        <v>43179</v>
      </c>
      <c r="F2537" s="410">
        <v>43224</v>
      </c>
      <c r="G2537" s="405" t="s">
        <v>24033</v>
      </c>
      <c r="H2537" s="405">
        <v>704241926</v>
      </c>
      <c r="I2537" s="405">
        <v>775241926</v>
      </c>
      <c r="J2537" s="405">
        <v>-0.82906199999999997</v>
      </c>
      <c r="K2537" s="405">
        <v>31.023440000000001</v>
      </c>
      <c r="L2537" s="405" t="s">
        <v>590</v>
      </c>
      <c r="M2537" s="405" t="s">
        <v>879</v>
      </c>
      <c r="N2537" s="405" t="s">
        <v>12376</v>
      </c>
      <c r="O2537" s="405" t="s">
        <v>20871</v>
      </c>
      <c r="P2537" s="405" t="s">
        <v>24034</v>
      </c>
      <c r="Q2537" s="411">
        <v>9</v>
      </c>
      <c r="R2537" s="405" t="s">
        <v>32166</v>
      </c>
      <c r="S2537" s="405" t="s">
        <v>27154</v>
      </c>
      <c r="T2537" s="405" t="s">
        <v>32102</v>
      </c>
      <c r="U2537" s="405" t="s">
        <v>319</v>
      </c>
    </row>
    <row r="2538" spans="1:21" x14ac:dyDescent="0.25">
      <c r="A2538" s="405" t="s">
        <v>310</v>
      </c>
      <c r="B2538" s="405" t="s">
        <v>6833</v>
      </c>
      <c r="C2538" s="405" t="s">
        <v>327</v>
      </c>
      <c r="D2538" s="405"/>
      <c r="E2538" s="410">
        <v>43179</v>
      </c>
      <c r="F2538" s="410">
        <v>43194</v>
      </c>
      <c r="G2538" s="405" t="s">
        <v>6834</v>
      </c>
      <c r="H2538" s="405">
        <v>756743690</v>
      </c>
      <c r="I2538" s="405"/>
      <c r="J2538" s="405">
        <v>0.424647</v>
      </c>
      <c r="K2538" s="405">
        <v>32.051381999999997</v>
      </c>
      <c r="L2538" s="405" t="s">
        <v>314</v>
      </c>
      <c r="M2538" s="405" t="s">
        <v>675</v>
      </c>
      <c r="N2538" s="405" t="s">
        <v>1065</v>
      </c>
      <c r="O2538" s="405" t="s">
        <v>675</v>
      </c>
      <c r="P2538" s="405" t="s">
        <v>6835</v>
      </c>
      <c r="Q2538" s="411">
        <v>9</v>
      </c>
      <c r="R2538" s="405" t="s">
        <v>32101</v>
      </c>
      <c r="S2538" s="405" t="s">
        <v>27167</v>
      </c>
      <c r="T2538" s="405" t="s">
        <v>32102</v>
      </c>
      <c r="U2538" s="405" t="s">
        <v>319</v>
      </c>
    </row>
    <row r="2539" spans="1:21" x14ac:dyDescent="0.25">
      <c r="A2539" s="405" t="s">
        <v>310</v>
      </c>
      <c r="B2539" s="405" t="s">
        <v>7427</v>
      </c>
      <c r="C2539" s="405" t="s">
        <v>311</v>
      </c>
      <c r="D2539" s="405" t="s">
        <v>1789</v>
      </c>
      <c r="E2539" s="410">
        <v>43177</v>
      </c>
      <c r="F2539" s="410">
        <v>43192</v>
      </c>
      <c r="G2539" s="405" t="s">
        <v>7428</v>
      </c>
      <c r="H2539" s="405">
        <v>786237060</v>
      </c>
      <c r="I2539" s="405">
        <v>759113142</v>
      </c>
      <c r="J2539" s="405">
        <v>0.37012499999999998</v>
      </c>
      <c r="K2539" s="405">
        <v>32.450209999999998</v>
      </c>
      <c r="L2539" s="405" t="s">
        <v>314</v>
      </c>
      <c r="M2539" s="405" t="s">
        <v>361</v>
      </c>
      <c r="N2539" s="405" t="s">
        <v>374</v>
      </c>
      <c r="O2539" s="405" t="s">
        <v>361</v>
      </c>
      <c r="P2539" s="405" t="s">
        <v>6598</v>
      </c>
      <c r="Q2539" s="411">
        <v>13</v>
      </c>
      <c r="R2539" s="405" t="s">
        <v>32101</v>
      </c>
      <c r="S2539" s="405" t="s">
        <v>27041</v>
      </c>
      <c r="T2539" s="405" t="s">
        <v>32102</v>
      </c>
      <c r="U2539" s="405" t="s">
        <v>319</v>
      </c>
    </row>
    <row r="2540" spans="1:21" x14ac:dyDescent="0.25">
      <c r="A2540" s="405" t="s">
        <v>310</v>
      </c>
      <c r="B2540" s="405" t="s">
        <v>23950</v>
      </c>
      <c r="C2540" s="405" t="s">
        <v>327</v>
      </c>
      <c r="D2540" s="405"/>
      <c r="E2540" s="410">
        <v>43177</v>
      </c>
      <c r="F2540" s="410">
        <v>43192</v>
      </c>
      <c r="G2540" s="405" t="s">
        <v>23951</v>
      </c>
      <c r="H2540" s="405">
        <v>256774826031</v>
      </c>
      <c r="I2540" s="405">
        <v>772518142</v>
      </c>
      <c r="J2540" s="405">
        <v>0.5141</v>
      </c>
      <c r="K2540" s="405">
        <v>30.304099999999998</v>
      </c>
      <c r="L2540" s="405" t="s">
        <v>590</v>
      </c>
      <c r="M2540" s="405" t="s">
        <v>19659</v>
      </c>
      <c r="N2540" s="405" t="s">
        <v>19664</v>
      </c>
      <c r="O2540" s="405" t="s">
        <v>22196</v>
      </c>
      <c r="P2540" s="405" t="s">
        <v>8039</v>
      </c>
      <c r="Q2540" s="411">
        <v>6</v>
      </c>
      <c r="R2540" s="405" t="s">
        <v>6572</v>
      </c>
      <c r="S2540" s="405" t="s">
        <v>27137</v>
      </c>
      <c r="T2540" s="405" t="s">
        <v>32102</v>
      </c>
      <c r="U2540" s="405" t="s">
        <v>319</v>
      </c>
    </row>
    <row r="2541" spans="1:21" x14ac:dyDescent="0.25">
      <c r="A2541" s="405" t="s">
        <v>310</v>
      </c>
      <c r="B2541" s="405" t="s">
        <v>24293</v>
      </c>
      <c r="C2541" s="405" t="s">
        <v>327</v>
      </c>
      <c r="D2541" s="405"/>
      <c r="E2541" s="410">
        <v>43175</v>
      </c>
      <c r="F2541" s="410">
        <v>43283</v>
      </c>
      <c r="G2541" s="405" t="s">
        <v>24294</v>
      </c>
      <c r="H2541" s="405">
        <v>777244648</v>
      </c>
      <c r="I2541" s="405"/>
      <c r="J2541" s="405">
        <v>1.2547999999999999</v>
      </c>
      <c r="K2541" s="405">
        <v>31.195699999999999</v>
      </c>
      <c r="L2541" s="405" t="s">
        <v>590</v>
      </c>
      <c r="M2541" s="405" t="s">
        <v>7300</v>
      </c>
      <c r="N2541" s="405" t="s">
        <v>20091</v>
      </c>
      <c r="O2541" s="405" t="s">
        <v>24295</v>
      </c>
      <c r="P2541" s="405" t="s">
        <v>24296</v>
      </c>
      <c r="Q2541" s="411">
        <v>9</v>
      </c>
      <c r="R2541" s="405" t="s">
        <v>5665</v>
      </c>
      <c r="S2541" s="405" t="s">
        <v>27046</v>
      </c>
      <c r="T2541" s="405" t="s">
        <v>32102</v>
      </c>
      <c r="U2541" s="405" t="s">
        <v>319</v>
      </c>
    </row>
    <row r="2542" spans="1:21" x14ac:dyDescent="0.25">
      <c r="A2542" s="405" t="s">
        <v>310</v>
      </c>
      <c r="B2542" s="405" t="s">
        <v>16023</v>
      </c>
      <c r="C2542" s="405" t="s">
        <v>327</v>
      </c>
      <c r="D2542" s="405"/>
      <c r="E2542" s="410">
        <v>43173</v>
      </c>
      <c r="F2542" s="410">
        <v>43208</v>
      </c>
      <c r="G2542" s="405" t="s">
        <v>16024</v>
      </c>
      <c r="H2542" s="405">
        <v>701967319</v>
      </c>
      <c r="I2542" s="405">
        <v>776659501</v>
      </c>
      <c r="J2542" s="405">
        <v>0.1938</v>
      </c>
      <c r="K2542" s="405">
        <v>34.193100000000001</v>
      </c>
      <c r="L2542" s="405" t="s">
        <v>6866</v>
      </c>
      <c r="M2542" s="405" t="s">
        <v>9685</v>
      </c>
      <c r="N2542" s="405" t="s">
        <v>9686</v>
      </c>
      <c r="O2542" s="405" t="s">
        <v>14908</v>
      </c>
      <c r="P2542" s="405" t="s">
        <v>16025</v>
      </c>
      <c r="Q2542" s="411">
        <v>6</v>
      </c>
      <c r="R2542" s="405" t="s">
        <v>9506</v>
      </c>
      <c r="S2542" s="405" t="s">
        <v>27318</v>
      </c>
      <c r="T2542" s="405" t="s">
        <v>32102</v>
      </c>
      <c r="U2542" s="405" t="s">
        <v>319</v>
      </c>
    </row>
    <row r="2543" spans="1:21" x14ac:dyDescent="0.25">
      <c r="A2543" s="405" t="s">
        <v>310</v>
      </c>
      <c r="B2543" s="405" t="s">
        <v>23939</v>
      </c>
      <c r="C2543" s="405" t="s">
        <v>327</v>
      </c>
      <c r="D2543" s="405"/>
      <c r="E2543" s="410">
        <v>43172</v>
      </c>
      <c r="F2543" s="410">
        <v>43203</v>
      </c>
      <c r="G2543" s="405" t="s">
        <v>23940</v>
      </c>
      <c r="H2543" s="405">
        <v>774134436</v>
      </c>
      <c r="I2543" s="405"/>
      <c r="J2543" s="405">
        <v>1.689317</v>
      </c>
      <c r="K2543" s="405">
        <v>31.694578</v>
      </c>
      <c r="L2543" s="405" t="s">
        <v>590</v>
      </c>
      <c r="M2543" s="405" t="s">
        <v>1851</v>
      </c>
      <c r="N2543" s="405" t="s">
        <v>23299</v>
      </c>
      <c r="O2543" s="405" t="s">
        <v>23427</v>
      </c>
      <c r="P2543" s="405" t="s">
        <v>23941</v>
      </c>
      <c r="Q2543" s="411">
        <v>6</v>
      </c>
      <c r="R2543" s="405" t="s">
        <v>6397</v>
      </c>
      <c r="S2543" s="405" t="s">
        <v>27046</v>
      </c>
      <c r="T2543" s="405" t="s">
        <v>32102</v>
      </c>
      <c r="U2543" s="405" t="s">
        <v>319</v>
      </c>
    </row>
    <row r="2544" spans="1:21" x14ac:dyDescent="0.25">
      <c r="A2544" s="405" t="s">
        <v>310</v>
      </c>
      <c r="B2544" s="405" t="s">
        <v>16020</v>
      </c>
      <c r="C2544" s="405" t="s">
        <v>327</v>
      </c>
      <c r="D2544" s="405"/>
      <c r="E2544" s="410">
        <v>43172</v>
      </c>
      <c r="F2544" s="410">
        <v>43202</v>
      </c>
      <c r="G2544" s="405" t="s">
        <v>16021</v>
      </c>
      <c r="H2544" s="405">
        <v>771426189</v>
      </c>
      <c r="I2544" s="405">
        <v>772744059</v>
      </c>
      <c r="J2544" s="405">
        <v>0.111927</v>
      </c>
      <c r="K2544" s="405">
        <v>34.194499999999998</v>
      </c>
      <c r="L2544" s="405" t="s">
        <v>6866</v>
      </c>
      <c r="M2544" s="405" t="s">
        <v>9685</v>
      </c>
      <c r="N2544" s="405" t="s">
        <v>9686</v>
      </c>
      <c r="O2544" s="405" t="s">
        <v>14908</v>
      </c>
      <c r="P2544" s="405" t="s">
        <v>16022</v>
      </c>
      <c r="Q2544" s="411">
        <v>6</v>
      </c>
      <c r="R2544" s="405" t="s">
        <v>9506</v>
      </c>
      <c r="S2544" s="405" t="s">
        <v>27041</v>
      </c>
      <c r="T2544" s="405" t="s">
        <v>32102</v>
      </c>
      <c r="U2544" s="405" t="s">
        <v>319</v>
      </c>
    </row>
    <row r="2545" spans="1:21" x14ac:dyDescent="0.25">
      <c r="A2545" s="405" t="s">
        <v>310</v>
      </c>
      <c r="B2545" s="405" t="s">
        <v>23877</v>
      </c>
      <c r="C2545" s="405" t="s">
        <v>327</v>
      </c>
      <c r="D2545" s="405"/>
      <c r="E2545" s="410">
        <v>43172</v>
      </c>
      <c r="F2545" s="410">
        <v>43184</v>
      </c>
      <c r="G2545" s="405" t="s">
        <v>23878</v>
      </c>
      <c r="H2545" s="405">
        <v>774853145</v>
      </c>
      <c r="I2545" s="405">
        <v>772886315</v>
      </c>
      <c r="J2545" s="405">
        <v>1.4056</v>
      </c>
      <c r="K2545" s="405">
        <v>31.14414</v>
      </c>
      <c r="L2545" s="405" t="s">
        <v>590</v>
      </c>
      <c r="M2545" s="405" t="s">
        <v>1851</v>
      </c>
      <c r="N2545" s="405" t="s">
        <v>23879</v>
      </c>
      <c r="O2545" s="405" t="s">
        <v>23880</v>
      </c>
      <c r="P2545" s="405" t="s">
        <v>23881</v>
      </c>
      <c r="Q2545" s="411">
        <v>6</v>
      </c>
      <c r="R2545" s="405" t="s">
        <v>6397</v>
      </c>
      <c r="S2545" s="405" t="s">
        <v>27046</v>
      </c>
      <c r="T2545" s="405" t="s">
        <v>32102</v>
      </c>
      <c r="U2545" s="405" t="s">
        <v>319</v>
      </c>
    </row>
    <row r="2546" spans="1:21" x14ac:dyDescent="0.25">
      <c r="A2546" s="405" t="s">
        <v>310</v>
      </c>
      <c r="B2546" s="405" t="s">
        <v>23897</v>
      </c>
      <c r="C2546" s="405" t="s">
        <v>327</v>
      </c>
      <c r="D2546" s="405"/>
      <c r="E2546" s="410">
        <v>43171</v>
      </c>
      <c r="F2546" s="410">
        <v>43189</v>
      </c>
      <c r="G2546" s="405" t="s">
        <v>23898</v>
      </c>
      <c r="H2546" s="405">
        <v>782578143</v>
      </c>
      <c r="I2546" s="405"/>
      <c r="J2546" s="405">
        <v>-1.371963</v>
      </c>
      <c r="K2546" s="405">
        <v>30.036390000000001</v>
      </c>
      <c r="L2546" s="405" t="s">
        <v>590</v>
      </c>
      <c r="M2546" s="405" t="s">
        <v>5312</v>
      </c>
      <c r="N2546" s="405" t="s">
        <v>20119</v>
      </c>
      <c r="O2546" s="405" t="s">
        <v>23899</v>
      </c>
      <c r="P2546" s="405" t="s">
        <v>20025</v>
      </c>
      <c r="Q2546" s="411">
        <v>6</v>
      </c>
      <c r="R2546" s="405" t="s">
        <v>6572</v>
      </c>
      <c r="S2546" s="405" t="s">
        <v>27166</v>
      </c>
      <c r="T2546" s="405" t="s">
        <v>32102</v>
      </c>
      <c r="U2546" s="405" t="s">
        <v>319</v>
      </c>
    </row>
    <row r="2547" spans="1:21" x14ac:dyDescent="0.25">
      <c r="A2547" s="405" t="s">
        <v>310</v>
      </c>
      <c r="B2547" s="405" t="s">
        <v>6788</v>
      </c>
      <c r="C2547" s="405" t="s">
        <v>327</v>
      </c>
      <c r="D2547" s="405"/>
      <c r="E2547" s="410">
        <v>43170</v>
      </c>
      <c r="F2547" s="410">
        <v>43185</v>
      </c>
      <c r="G2547" s="405" t="s">
        <v>6789</v>
      </c>
      <c r="H2547" s="405">
        <v>703296118</v>
      </c>
      <c r="I2547" s="405"/>
      <c r="J2547" s="405">
        <v>0.26447700000000002</v>
      </c>
      <c r="K2547" s="405">
        <v>32.219368000000003</v>
      </c>
      <c r="L2547" s="405" t="s">
        <v>314</v>
      </c>
      <c r="M2547" s="405" t="s">
        <v>315</v>
      </c>
      <c r="N2547" s="405" t="s">
        <v>315</v>
      </c>
      <c r="O2547" s="405" t="s">
        <v>523</v>
      </c>
      <c r="P2547" s="405" t="s">
        <v>1791</v>
      </c>
      <c r="Q2547" s="411">
        <v>6</v>
      </c>
      <c r="R2547" s="405" t="s">
        <v>32101</v>
      </c>
      <c r="S2547" s="405" t="s">
        <v>27041</v>
      </c>
      <c r="T2547" s="405" t="s">
        <v>32102</v>
      </c>
      <c r="U2547" s="405" t="s">
        <v>319</v>
      </c>
    </row>
    <row r="2548" spans="1:21" x14ac:dyDescent="0.25">
      <c r="A2548" s="405" t="s">
        <v>310</v>
      </c>
      <c r="B2548" s="405" t="s">
        <v>23888</v>
      </c>
      <c r="C2548" s="405" t="s">
        <v>327</v>
      </c>
      <c r="D2548" s="405"/>
      <c r="E2548" s="410">
        <v>43167</v>
      </c>
      <c r="F2548" s="410">
        <v>43182</v>
      </c>
      <c r="G2548" s="405" t="s">
        <v>23889</v>
      </c>
      <c r="H2548" s="405">
        <v>751905350</v>
      </c>
      <c r="I2548" s="405"/>
      <c r="J2548" s="405">
        <v>-1.2659020000000001</v>
      </c>
      <c r="K2548" s="405">
        <v>29.892507999999999</v>
      </c>
      <c r="L2548" s="405" t="s">
        <v>590</v>
      </c>
      <c r="M2548" s="405" t="s">
        <v>5312</v>
      </c>
      <c r="N2548" s="405" t="s">
        <v>20499</v>
      </c>
      <c r="O2548" s="405" t="s">
        <v>23890</v>
      </c>
      <c r="P2548" s="405" t="s">
        <v>23891</v>
      </c>
      <c r="Q2548" s="411">
        <v>9</v>
      </c>
      <c r="R2548" s="405" t="s">
        <v>6572</v>
      </c>
      <c r="S2548" s="405" t="s">
        <v>27137</v>
      </c>
      <c r="T2548" s="405" t="s">
        <v>32102</v>
      </c>
      <c r="U2548" s="405" t="s">
        <v>319</v>
      </c>
    </row>
    <row r="2549" spans="1:21" x14ac:dyDescent="0.25">
      <c r="A2549" s="405" t="s">
        <v>310</v>
      </c>
      <c r="B2549" s="405" t="s">
        <v>23885</v>
      </c>
      <c r="C2549" s="405" t="s">
        <v>327</v>
      </c>
      <c r="D2549" s="405"/>
      <c r="E2549" s="410">
        <v>43166</v>
      </c>
      <c r="F2549" s="410">
        <v>43177</v>
      </c>
      <c r="G2549" s="405" t="s">
        <v>23886</v>
      </c>
      <c r="H2549" s="405">
        <v>782447912</v>
      </c>
      <c r="I2549" s="405"/>
      <c r="J2549" s="405">
        <v>-1.1098079999999999</v>
      </c>
      <c r="K2549" s="405">
        <v>30.255611999999999</v>
      </c>
      <c r="L2549" s="405" t="s">
        <v>590</v>
      </c>
      <c r="M2549" s="405" t="s">
        <v>19659</v>
      </c>
      <c r="N2549" s="405" t="s">
        <v>19677</v>
      </c>
      <c r="O2549" s="405" t="s">
        <v>2520</v>
      </c>
      <c r="P2549" s="405" t="s">
        <v>23887</v>
      </c>
      <c r="Q2549" s="411">
        <v>9</v>
      </c>
      <c r="R2549" s="405" t="s">
        <v>6572</v>
      </c>
      <c r="S2549" s="405" t="s">
        <v>27154</v>
      </c>
      <c r="T2549" s="405" t="s">
        <v>32102</v>
      </c>
      <c r="U2549" s="405" t="s">
        <v>319</v>
      </c>
    </row>
    <row r="2550" spans="1:21" x14ac:dyDescent="0.25">
      <c r="A2550" s="405" t="s">
        <v>310</v>
      </c>
      <c r="B2550" s="405" t="s">
        <v>24338</v>
      </c>
      <c r="C2550" s="405" t="s">
        <v>327</v>
      </c>
      <c r="D2550" s="405"/>
      <c r="E2550" s="410">
        <v>43166</v>
      </c>
      <c r="F2550" s="410">
        <v>43221</v>
      </c>
      <c r="G2550" s="405" t="s">
        <v>24339</v>
      </c>
      <c r="H2550" s="405">
        <v>782343405</v>
      </c>
      <c r="I2550" s="405"/>
      <c r="J2550" s="405">
        <v>1.0244979999999999</v>
      </c>
      <c r="K2550" s="405">
        <v>30.689997999999999</v>
      </c>
      <c r="L2550" s="405" t="s">
        <v>590</v>
      </c>
      <c r="M2550" s="405" t="s">
        <v>1851</v>
      </c>
      <c r="N2550" s="405" t="s">
        <v>7489</v>
      </c>
      <c r="O2550" s="405" t="s">
        <v>24340</v>
      </c>
      <c r="P2550" s="405" t="s">
        <v>20479</v>
      </c>
      <c r="Q2550" s="411">
        <v>6</v>
      </c>
      <c r="R2550" s="405" t="s">
        <v>6397</v>
      </c>
      <c r="S2550" s="405" t="s">
        <v>22880</v>
      </c>
      <c r="T2550" s="405" t="s">
        <v>32102</v>
      </c>
      <c r="U2550" s="405" t="s">
        <v>319</v>
      </c>
    </row>
    <row r="2551" spans="1:21" x14ac:dyDescent="0.25">
      <c r="A2551" s="405" t="s">
        <v>310</v>
      </c>
      <c r="B2551" s="405" t="s">
        <v>23986</v>
      </c>
      <c r="C2551" s="405" t="s">
        <v>327</v>
      </c>
      <c r="D2551" s="405"/>
      <c r="E2551" s="410">
        <v>43166</v>
      </c>
      <c r="F2551" s="410">
        <v>43195</v>
      </c>
      <c r="G2551" s="405" t="s">
        <v>23987</v>
      </c>
      <c r="H2551" s="405">
        <v>772874917</v>
      </c>
      <c r="I2551" s="405"/>
      <c r="J2551" s="405">
        <v>0.176033</v>
      </c>
      <c r="K2551" s="405">
        <v>30.440567999999999</v>
      </c>
      <c r="L2551" s="405" t="s">
        <v>590</v>
      </c>
      <c r="M2551" s="405" t="s">
        <v>19720</v>
      </c>
      <c r="N2551" s="405" t="s">
        <v>19720</v>
      </c>
      <c r="O2551" s="405" t="s">
        <v>23988</v>
      </c>
      <c r="P2551" s="405" t="s">
        <v>20823</v>
      </c>
      <c r="Q2551" s="411">
        <v>6</v>
      </c>
      <c r="R2551" s="405" t="s">
        <v>23989</v>
      </c>
      <c r="S2551" s="405" t="s">
        <v>27275</v>
      </c>
      <c r="T2551" s="405" t="s">
        <v>32102</v>
      </c>
      <c r="U2551" s="405" t="s">
        <v>319</v>
      </c>
    </row>
    <row r="2552" spans="1:21" x14ac:dyDescent="0.25">
      <c r="A2552" s="405" t="s">
        <v>310</v>
      </c>
      <c r="B2552" s="405" t="s">
        <v>16010</v>
      </c>
      <c r="C2552" s="405" t="s">
        <v>327</v>
      </c>
      <c r="D2552" s="405"/>
      <c r="E2552" s="410">
        <v>43162</v>
      </c>
      <c r="F2552" s="410">
        <v>43175</v>
      </c>
      <c r="G2552" s="405" t="s">
        <v>16011</v>
      </c>
      <c r="H2552" s="405">
        <v>772684646</v>
      </c>
      <c r="I2552" s="405">
        <v>774205141</v>
      </c>
      <c r="J2552" s="405">
        <v>1.0433749999999999</v>
      </c>
      <c r="K2552" s="405">
        <v>34.165675</v>
      </c>
      <c r="L2552" s="405" t="s">
        <v>6866</v>
      </c>
      <c r="M2552" s="405" t="s">
        <v>9514</v>
      </c>
      <c r="N2552" s="405" t="s">
        <v>16012</v>
      </c>
      <c r="O2552" s="405" t="s">
        <v>9780</v>
      </c>
      <c r="P2552" s="405" t="s">
        <v>6277</v>
      </c>
      <c r="Q2552" s="411">
        <v>9</v>
      </c>
      <c r="R2552" s="405" t="s">
        <v>7224</v>
      </c>
      <c r="S2552" s="405" t="s">
        <v>27259</v>
      </c>
      <c r="T2552" s="405" t="s">
        <v>32102</v>
      </c>
      <c r="U2552" s="405" t="s">
        <v>319</v>
      </c>
    </row>
    <row r="2553" spans="1:21" x14ac:dyDescent="0.25">
      <c r="A2553" s="405" t="s">
        <v>310</v>
      </c>
      <c r="B2553" s="405" t="s">
        <v>16067</v>
      </c>
      <c r="C2553" s="405" t="s">
        <v>327</v>
      </c>
      <c r="D2553" s="405"/>
      <c r="E2553" s="410">
        <v>43162</v>
      </c>
      <c r="F2553" s="410">
        <v>43265</v>
      </c>
      <c r="G2553" s="405" t="s">
        <v>16068</v>
      </c>
      <c r="H2553" s="405">
        <v>782611264</v>
      </c>
      <c r="I2553" s="405"/>
      <c r="J2553" s="405" t="s">
        <v>16069</v>
      </c>
      <c r="K2553" s="405">
        <v>34.159399999999998</v>
      </c>
      <c r="L2553" s="405" t="s">
        <v>6866</v>
      </c>
      <c r="M2553" s="405" t="s">
        <v>9514</v>
      </c>
      <c r="N2553" s="405" t="s">
        <v>9529</v>
      </c>
      <c r="O2553" s="405" t="s">
        <v>16070</v>
      </c>
      <c r="P2553" s="405" t="s">
        <v>16071</v>
      </c>
      <c r="Q2553" s="411">
        <v>6</v>
      </c>
      <c r="R2553" s="405" t="s">
        <v>6871</v>
      </c>
      <c r="S2553" s="405" t="s">
        <v>27306</v>
      </c>
      <c r="T2553" s="405" t="s">
        <v>32102</v>
      </c>
      <c r="U2553" s="405" t="s">
        <v>319</v>
      </c>
    </row>
    <row r="2554" spans="1:21" x14ac:dyDescent="0.25">
      <c r="A2554" s="405" t="s">
        <v>310</v>
      </c>
      <c r="B2554" s="405" t="s">
        <v>7410</v>
      </c>
      <c r="C2554" s="405" t="s">
        <v>311</v>
      </c>
      <c r="D2554" s="405" t="s">
        <v>1789</v>
      </c>
      <c r="E2554" s="410">
        <v>43162</v>
      </c>
      <c r="F2554" s="410">
        <v>43195</v>
      </c>
      <c r="G2554" s="405" t="s">
        <v>7411</v>
      </c>
      <c r="H2554" s="405">
        <v>781229156</v>
      </c>
      <c r="I2554" s="405"/>
      <c r="J2554" s="405">
        <v>0.36919000000000002</v>
      </c>
      <c r="K2554" s="405">
        <v>31.335635</v>
      </c>
      <c r="L2554" s="405" t="s">
        <v>314</v>
      </c>
      <c r="M2554" s="405" t="s">
        <v>445</v>
      </c>
      <c r="N2554" s="405" t="s">
        <v>2528</v>
      </c>
      <c r="O2554" s="405" t="s">
        <v>6636</v>
      </c>
      <c r="P2554" s="405" t="s">
        <v>7412</v>
      </c>
      <c r="Q2554" s="411">
        <v>6</v>
      </c>
      <c r="R2554" s="405" t="s">
        <v>4176</v>
      </c>
      <c r="S2554" s="405" t="s">
        <v>27036</v>
      </c>
      <c r="T2554" s="405" t="s">
        <v>32102</v>
      </c>
      <c r="U2554" s="405" t="s">
        <v>319</v>
      </c>
    </row>
    <row r="2555" spans="1:21" x14ac:dyDescent="0.25">
      <c r="A2555" s="405" t="s">
        <v>310</v>
      </c>
      <c r="B2555" s="405" t="s">
        <v>7115</v>
      </c>
      <c r="C2555" s="405" t="s">
        <v>327</v>
      </c>
      <c r="D2555" s="405"/>
      <c r="E2555" s="410">
        <v>43161</v>
      </c>
      <c r="F2555" s="410">
        <v>43414</v>
      </c>
      <c r="G2555" s="405" t="s">
        <v>7116</v>
      </c>
      <c r="H2555" s="405">
        <v>700773913</v>
      </c>
      <c r="I2555" s="405"/>
      <c r="J2555" s="405">
        <v>-0.373473</v>
      </c>
      <c r="K2555" s="405">
        <v>31.747152</v>
      </c>
      <c r="L2555" s="405" t="s">
        <v>314</v>
      </c>
      <c r="M2555" s="405" t="s">
        <v>382</v>
      </c>
      <c r="N2555" s="405" t="s">
        <v>988</v>
      </c>
      <c r="O2555" s="405" t="s">
        <v>7096</v>
      </c>
      <c r="P2555" s="405" t="s">
        <v>7117</v>
      </c>
      <c r="Q2555" s="411">
        <v>13</v>
      </c>
      <c r="R2555" s="405" t="s">
        <v>5986</v>
      </c>
      <c r="S2555" s="405" t="s">
        <v>27239</v>
      </c>
      <c r="T2555" s="405" t="s">
        <v>32102</v>
      </c>
      <c r="U2555" s="405" t="s">
        <v>319</v>
      </c>
    </row>
    <row r="2556" spans="1:21" x14ac:dyDescent="0.25">
      <c r="A2556" s="405" t="s">
        <v>310</v>
      </c>
      <c r="B2556" s="405" t="s">
        <v>16007</v>
      </c>
      <c r="C2556" s="405" t="s">
        <v>327</v>
      </c>
      <c r="D2556" s="405"/>
      <c r="E2556" s="410">
        <v>43161</v>
      </c>
      <c r="F2556" s="410">
        <v>43175</v>
      </c>
      <c r="G2556" s="405" t="s">
        <v>16008</v>
      </c>
      <c r="H2556" s="405">
        <v>778839977</v>
      </c>
      <c r="I2556" s="405">
        <v>777262718</v>
      </c>
      <c r="J2556" s="405">
        <v>1.151057</v>
      </c>
      <c r="K2556" s="405">
        <v>34.386839999999999</v>
      </c>
      <c r="L2556" s="405" t="s">
        <v>6866</v>
      </c>
      <c r="M2556" s="405" t="s">
        <v>9575</v>
      </c>
      <c r="N2556" s="405" t="s">
        <v>9629</v>
      </c>
      <c r="O2556" s="405" t="s">
        <v>16009</v>
      </c>
      <c r="P2556" s="405" t="s">
        <v>11644</v>
      </c>
      <c r="Q2556" s="411">
        <v>4</v>
      </c>
      <c r="R2556" s="405" t="s">
        <v>7224</v>
      </c>
      <c r="S2556" s="405" t="s">
        <v>27067</v>
      </c>
      <c r="T2556" s="405" t="s">
        <v>32102</v>
      </c>
      <c r="U2556" s="405" t="s">
        <v>319</v>
      </c>
    </row>
    <row r="2557" spans="1:21" x14ac:dyDescent="0.25">
      <c r="A2557" s="405" t="s">
        <v>310</v>
      </c>
      <c r="B2557" s="405" t="s">
        <v>6805</v>
      </c>
      <c r="C2557" s="405" t="s">
        <v>327</v>
      </c>
      <c r="D2557" s="405"/>
      <c r="E2557" s="410">
        <v>43160</v>
      </c>
      <c r="F2557" s="410">
        <v>43191</v>
      </c>
      <c r="G2557" s="405" t="s">
        <v>6806</v>
      </c>
      <c r="H2557" s="405">
        <v>782048010</v>
      </c>
      <c r="I2557" s="405">
        <v>772413450</v>
      </c>
      <c r="J2557" s="405">
        <v>0.24540000000000001</v>
      </c>
      <c r="K2557" s="405">
        <v>32.3324</v>
      </c>
      <c r="L2557" s="405" t="s">
        <v>314</v>
      </c>
      <c r="M2557" s="405" t="s">
        <v>361</v>
      </c>
      <c r="N2557" s="405" t="s">
        <v>362</v>
      </c>
      <c r="O2557" s="405" t="s">
        <v>6807</v>
      </c>
      <c r="P2557" s="405" t="s">
        <v>606</v>
      </c>
      <c r="Q2557" s="411">
        <v>6</v>
      </c>
      <c r="R2557" s="405" t="s">
        <v>5903</v>
      </c>
      <c r="S2557" s="405" t="s">
        <v>27153</v>
      </c>
      <c r="T2557" s="405" t="s">
        <v>32102</v>
      </c>
      <c r="U2557" s="405" t="s">
        <v>319</v>
      </c>
    </row>
    <row r="2558" spans="1:21" x14ac:dyDescent="0.25">
      <c r="A2558" s="405" t="s">
        <v>310</v>
      </c>
      <c r="B2558" s="405" t="s">
        <v>6783</v>
      </c>
      <c r="C2558" s="405" t="s">
        <v>327</v>
      </c>
      <c r="D2558" s="405"/>
      <c r="E2558" s="410">
        <v>43159</v>
      </c>
      <c r="F2558" s="410">
        <v>43174</v>
      </c>
      <c r="G2558" s="405" t="s">
        <v>6784</v>
      </c>
      <c r="H2558" s="405">
        <v>779147233</v>
      </c>
      <c r="I2558" s="405"/>
      <c r="J2558" s="405">
        <v>0.40250000000000002</v>
      </c>
      <c r="K2558" s="405">
        <v>31.364899999999999</v>
      </c>
      <c r="L2558" s="405" t="s">
        <v>314</v>
      </c>
      <c r="M2558" s="405" t="s">
        <v>399</v>
      </c>
      <c r="N2558" s="405" t="s">
        <v>2265</v>
      </c>
      <c r="O2558" s="405" t="s">
        <v>400</v>
      </c>
      <c r="P2558" s="405" t="s">
        <v>6785</v>
      </c>
      <c r="Q2558" s="411">
        <v>6</v>
      </c>
      <c r="R2558" s="405" t="s">
        <v>32101</v>
      </c>
      <c r="S2558" s="405" t="s">
        <v>27186</v>
      </c>
      <c r="T2558" s="405" t="s">
        <v>32102</v>
      </c>
      <c r="U2558" s="405" t="s">
        <v>319</v>
      </c>
    </row>
    <row r="2559" spans="1:21" x14ac:dyDescent="0.25">
      <c r="A2559" s="405" t="s">
        <v>310</v>
      </c>
      <c r="B2559" s="405" t="s">
        <v>23882</v>
      </c>
      <c r="C2559" s="405" t="s">
        <v>327</v>
      </c>
      <c r="D2559" s="405"/>
      <c r="E2559" s="410">
        <v>43158</v>
      </c>
      <c r="F2559" s="410">
        <v>43173</v>
      </c>
      <c r="G2559" s="405" t="s">
        <v>23883</v>
      </c>
      <c r="H2559" s="405">
        <v>772602846</v>
      </c>
      <c r="I2559" s="405">
        <v>702602846</v>
      </c>
      <c r="J2559" s="405">
        <v>0.40150000000000002</v>
      </c>
      <c r="K2559" s="405">
        <v>30.135000000000002</v>
      </c>
      <c r="L2559" s="405" t="s">
        <v>590</v>
      </c>
      <c r="M2559" s="405" t="s">
        <v>19725</v>
      </c>
      <c r="N2559" s="405" t="s">
        <v>22297</v>
      </c>
      <c r="O2559" s="405" t="s">
        <v>4525</v>
      </c>
      <c r="P2559" s="405" t="s">
        <v>23884</v>
      </c>
      <c r="Q2559" s="411">
        <v>9</v>
      </c>
      <c r="R2559" s="405" t="s">
        <v>6572</v>
      </c>
      <c r="S2559" s="405" t="s">
        <v>27166</v>
      </c>
      <c r="T2559" s="405" t="s">
        <v>32102</v>
      </c>
      <c r="U2559" s="405" t="s">
        <v>319</v>
      </c>
    </row>
    <row r="2560" spans="1:21" x14ac:dyDescent="0.25">
      <c r="A2560" s="405" t="s">
        <v>310</v>
      </c>
      <c r="B2560" s="405" t="s">
        <v>23946</v>
      </c>
      <c r="C2560" s="405" t="s">
        <v>311</v>
      </c>
      <c r="D2560" s="405" t="s">
        <v>6148</v>
      </c>
      <c r="E2560" s="410">
        <v>43156</v>
      </c>
      <c r="F2560" s="410">
        <v>43192</v>
      </c>
      <c r="G2560" s="405" t="s">
        <v>23947</v>
      </c>
      <c r="H2560" s="405">
        <v>782552181</v>
      </c>
      <c r="I2560" s="405">
        <v>789258583</v>
      </c>
      <c r="J2560" s="405">
        <v>0.56999999999999995</v>
      </c>
      <c r="K2560" s="405">
        <v>30.225000000000001</v>
      </c>
      <c r="L2560" s="405" t="s">
        <v>590</v>
      </c>
      <c r="M2560" s="405" t="s">
        <v>19619</v>
      </c>
      <c r="N2560" s="405" t="s">
        <v>19620</v>
      </c>
      <c r="O2560" s="405" t="s">
        <v>23948</v>
      </c>
      <c r="P2560" s="405" t="s">
        <v>23949</v>
      </c>
      <c r="Q2560" s="411">
        <v>6</v>
      </c>
      <c r="R2560" s="405" t="s">
        <v>6572</v>
      </c>
      <c r="S2560" s="405" t="s">
        <v>27137</v>
      </c>
      <c r="T2560" s="405" t="s">
        <v>32102</v>
      </c>
      <c r="U2560" s="405" t="s">
        <v>319</v>
      </c>
    </row>
    <row r="2561" spans="1:21" x14ac:dyDescent="0.25">
      <c r="A2561" s="405" t="s">
        <v>310</v>
      </c>
      <c r="B2561" s="405" t="s">
        <v>19465</v>
      </c>
      <c r="C2561" s="405" t="s">
        <v>311</v>
      </c>
      <c r="D2561" s="405" t="s">
        <v>19466</v>
      </c>
      <c r="E2561" s="410">
        <v>43155</v>
      </c>
      <c r="F2561" s="410">
        <v>43185</v>
      </c>
      <c r="G2561" s="405" t="s">
        <v>19467</v>
      </c>
      <c r="H2561" s="405">
        <v>757430511</v>
      </c>
      <c r="I2561" s="405"/>
      <c r="J2561" s="405">
        <v>2.2661229999999999</v>
      </c>
      <c r="K2561" s="405">
        <v>32.860002000000001</v>
      </c>
      <c r="L2561" s="405" t="s">
        <v>860</v>
      </c>
      <c r="M2561" s="405" t="s">
        <v>18234</v>
      </c>
      <c r="N2561" s="405" t="s">
        <v>18281</v>
      </c>
      <c r="O2561" s="405" t="s">
        <v>18234</v>
      </c>
      <c r="P2561" s="405" t="s">
        <v>19049</v>
      </c>
      <c r="Q2561" s="411">
        <v>6</v>
      </c>
      <c r="R2561" s="405" t="s">
        <v>7208</v>
      </c>
      <c r="S2561" s="405" t="s">
        <v>27161</v>
      </c>
      <c r="T2561" s="405" t="s">
        <v>32102</v>
      </c>
      <c r="U2561" s="405" t="s">
        <v>319</v>
      </c>
    </row>
    <row r="2562" spans="1:21" x14ac:dyDescent="0.25">
      <c r="A2562" s="405" t="s">
        <v>310</v>
      </c>
      <c r="B2562" s="405" t="s">
        <v>7393</v>
      </c>
      <c r="C2562" s="405" t="s">
        <v>311</v>
      </c>
      <c r="D2562" s="405" t="s">
        <v>890</v>
      </c>
      <c r="E2562" s="410">
        <v>43151</v>
      </c>
      <c r="F2562" s="410">
        <v>43202</v>
      </c>
      <c r="G2562" s="405" t="s">
        <v>7394</v>
      </c>
      <c r="H2562" s="405">
        <v>751535986</v>
      </c>
      <c r="I2562" s="405"/>
      <c r="J2562" s="405">
        <v>1.2481264999999999</v>
      </c>
      <c r="K2562" s="405" t="s">
        <v>7395</v>
      </c>
      <c r="L2562" s="405" t="s">
        <v>314</v>
      </c>
      <c r="M2562" s="405" t="s">
        <v>361</v>
      </c>
      <c r="N2562" s="405" t="s">
        <v>4760</v>
      </c>
      <c r="O2562" s="405" t="s">
        <v>3824</v>
      </c>
      <c r="P2562" s="405" t="s">
        <v>4760</v>
      </c>
      <c r="Q2562" s="411">
        <v>9</v>
      </c>
      <c r="R2562" s="405" t="s">
        <v>5986</v>
      </c>
      <c r="S2562" s="405" t="s">
        <v>27045</v>
      </c>
      <c r="T2562" s="405" t="s">
        <v>32102</v>
      </c>
      <c r="U2562" s="405" t="s">
        <v>319</v>
      </c>
    </row>
    <row r="2563" spans="1:21" x14ac:dyDescent="0.25">
      <c r="A2563" s="405" t="s">
        <v>310</v>
      </c>
      <c r="B2563" s="405" t="s">
        <v>7507</v>
      </c>
      <c r="C2563" s="405" t="s">
        <v>311</v>
      </c>
      <c r="D2563" s="405" t="s">
        <v>7508</v>
      </c>
      <c r="E2563" s="410">
        <v>43151</v>
      </c>
      <c r="F2563" s="410">
        <v>43304</v>
      </c>
      <c r="G2563" s="405" t="s">
        <v>7509</v>
      </c>
      <c r="H2563" s="405">
        <v>785653311</v>
      </c>
      <c r="I2563" s="405" t="s">
        <v>7510</v>
      </c>
      <c r="J2563" s="405">
        <v>0.14269999999999999</v>
      </c>
      <c r="K2563" s="405">
        <v>33.020000000000003</v>
      </c>
      <c r="L2563" s="405" t="s">
        <v>314</v>
      </c>
      <c r="M2563" s="405" t="s">
        <v>349</v>
      </c>
      <c r="N2563" s="405" t="s">
        <v>549</v>
      </c>
      <c r="O2563" s="405" t="s">
        <v>686</v>
      </c>
      <c r="P2563" s="405" t="s">
        <v>7511</v>
      </c>
      <c r="Q2563" s="411">
        <v>6</v>
      </c>
      <c r="R2563" s="405" t="s">
        <v>6798</v>
      </c>
      <c r="S2563" s="405" t="s">
        <v>27049</v>
      </c>
      <c r="T2563" s="405" t="s">
        <v>32102</v>
      </c>
      <c r="U2563" s="405" t="s">
        <v>319</v>
      </c>
    </row>
    <row r="2564" spans="1:21" x14ac:dyDescent="0.25">
      <c r="A2564" s="405" t="s">
        <v>310</v>
      </c>
      <c r="B2564" s="405" t="s">
        <v>6779</v>
      </c>
      <c r="C2564" s="405" t="s">
        <v>327</v>
      </c>
      <c r="D2564" s="405"/>
      <c r="E2564" s="410">
        <v>43151</v>
      </c>
      <c r="F2564" s="410">
        <v>43166</v>
      </c>
      <c r="G2564" s="405" t="s">
        <v>6780</v>
      </c>
      <c r="H2564" s="405">
        <v>777688363</v>
      </c>
      <c r="I2564" s="405"/>
      <c r="J2564" s="405">
        <v>0.42099999999999999</v>
      </c>
      <c r="K2564" s="405">
        <v>31.2454</v>
      </c>
      <c r="L2564" s="405" t="s">
        <v>314</v>
      </c>
      <c r="M2564" s="405" t="s">
        <v>6781</v>
      </c>
      <c r="N2564" s="405" t="s">
        <v>2265</v>
      </c>
      <c r="O2564" s="405" t="s">
        <v>400</v>
      </c>
      <c r="P2564" s="405" t="s">
        <v>6782</v>
      </c>
      <c r="Q2564" s="411">
        <v>6</v>
      </c>
      <c r="R2564" s="405" t="s">
        <v>32101</v>
      </c>
      <c r="S2564" s="405" t="s">
        <v>27186</v>
      </c>
      <c r="T2564" s="405" t="s">
        <v>32102</v>
      </c>
      <c r="U2564" s="405" t="s">
        <v>319</v>
      </c>
    </row>
    <row r="2565" spans="1:21" x14ac:dyDescent="0.25">
      <c r="A2565" s="405" t="s">
        <v>310</v>
      </c>
      <c r="B2565" s="405" t="s">
        <v>6776</v>
      </c>
      <c r="C2565" s="405" t="s">
        <v>327</v>
      </c>
      <c r="D2565" s="405"/>
      <c r="E2565" s="410">
        <v>43148</v>
      </c>
      <c r="F2565" s="410">
        <v>43163</v>
      </c>
      <c r="G2565" s="405" t="s">
        <v>6777</v>
      </c>
      <c r="H2565" s="405">
        <v>757083450</v>
      </c>
      <c r="I2565" s="405"/>
      <c r="J2565" s="405">
        <v>0.27439999999999998</v>
      </c>
      <c r="K2565" s="405">
        <v>31.351800000000001</v>
      </c>
      <c r="L2565" s="405" t="s">
        <v>314</v>
      </c>
      <c r="M2565" s="405" t="s">
        <v>399</v>
      </c>
      <c r="N2565" s="405" t="s">
        <v>2265</v>
      </c>
      <c r="O2565" s="405" t="s">
        <v>949</v>
      </c>
      <c r="P2565" s="405" t="s">
        <v>6778</v>
      </c>
      <c r="Q2565" s="411">
        <v>6</v>
      </c>
      <c r="R2565" s="405" t="s">
        <v>32101</v>
      </c>
      <c r="S2565" s="405" t="s">
        <v>27181</v>
      </c>
      <c r="T2565" s="405" t="s">
        <v>32102</v>
      </c>
      <c r="U2565" s="405" t="s">
        <v>319</v>
      </c>
    </row>
    <row r="2566" spans="1:21" x14ac:dyDescent="0.25">
      <c r="A2566" s="405" t="s">
        <v>310</v>
      </c>
      <c r="B2566" s="405" t="s">
        <v>6786</v>
      </c>
      <c r="C2566" s="405" t="s">
        <v>327</v>
      </c>
      <c r="D2566" s="405"/>
      <c r="E2566" s="410">
        <v>43147</v>
      </c>
      <c r="F2566" s="410">
        <v>43161</v>
      </c>
      <c r="G2566" s="405" t="s">
        <v>6787</v>
      </c>
      <c r="H2566" s="405">
        <v>771652961</v>
      </c>
      <c r="I2566" s="405"/>
      <c r="J2566" s="405">
        <v>0.54600000000000004</v>
      </c>
      <c r="K2566" s="405">
        <v>32.521700000000003</v>
      </c>
      <c r="L2566" s="405" t="s">
        <v>314</v>
      </c>
      <c r="M2566" s="405" t="s">
        <v>502</v>
      </c>
      <c r="N2566" s="405" t="s">
        <v>5469</v>
      </c>
      <c r="O2566" s="405" t="s">
        <v>2864</v>
      </c>
      <c r="P2566" s="405" t="s">
        <v>2864</v>
      </c>
      <c r="Q2566" s="411">
        <v>13</v>
      </c>
      <c r="R2566" s="405" t="s">
        <v>32101</v>
      </c>
      <c r="S2566" s="405" t="s">
        <v>27167</v>
      </c>
      <c r="T2566" s="405" t="s">
        <v>32102</v>
      </c>
      <c r="U2566" s="405" t="s">
        <v>319</v>
      </c>
    </row>
    <row r="2567" spans="1:21" x14ac:dyDescent="0.25">
      <c r="A2567" s="405" t="s">
        <v>310</v>
      </c>
      <c r="B2567" s="405" t="s">
        <v>23936</v>
      </c>
      <c r="C2567" s="405" t="s">
        <v>327</v>
      </c>
      <c r="D2567" s="405"/>
      <c r="E2567" s="410">
        <v>43146</v>
      </c>
      <c r="F2567" s="410">
        <v>43203</v>
      </c>
      <c r="G2567" s="405" t="s">
        <v>23937</v>
      </c>
      <c r="H2567" s="405">
        <v>774790044</v>
      </c>
      <c r="I2567" s="405"/>
      <c r="J2567" s="405">
        <v>-0.98885000000000001</v>
      </c>
      <c r="K2567" s="405">
        <v>30.078948</v>
      </c>
      <c r="L2567" s="405" t="s">
        <v>590</v>
      </c>
      <c r="M2567" s="405" t="s">
        <v>19659</v>
      </c>
      <c r="N2567" s="405" t="s">
        <v>19677</v>
      </c>
      <c r="O2567" s="405" t="s">
        <v>19726</v>
      </c>
      <c r="P2567" s="405" t="s">
        <v>23938</v>
      </c>
      <c r="Q2567" s="411">
        <v>9</v>
      </c>
      <c r="R2567" s="405" t="s">
        <v>5858</v>
      </c>
      <c r="S2567" s="405" t="s">
        <v>27399</v>
      </c>
      <c r="T2567" s="405" t="s">
        <v>32102</v>
      </c>
      <c r="U2567" s="405" t="s">
        <v>319</v>
      </c>
    </row>
    <row r="2568" spans="1:21" x14ac:dyDescent="0.25">
      <c r="A2568" s="405" t="s">
        <v>310</v>
      </c>
      <c r="B2568" s="405" t="s">
        <v>16000</v>
      </c>
      <c r="C2568" s="405" t="s">
        <v>327</v>
      </c>
      <c r="D2568" s="405"/>
      <c r="E2568" s="410">
        <v>43145</v>
      </c>
      <c r="F2568" s="410">
        <v>43180</v>
      </c>
      <c r="G2568" s="405" t="s">
        <v>16001</v>
      </c>
      <c r="H2568" s="405">
        <v>705583540</v>
      </c>
      <c r="I2568" s="405"/>
      <c r="J2568" s="405">
        <v>0.12728999999999999</v>
      </c>
      <c r="K2568" s="405">
        <v>34.252000000000002</v>
      </c>
      <c r="L2568" s="405" t="s">
        <v>6866</v>
      </c>
      <c r="M2568" s="405" t="s">
        <v>9685</v>
      </c>
      <c r="N2568" s="405" t="s">
        <v>9686</v>
      </c>
      <c r="O2568" s="405" t="s">
        <v>14943</v>
      </c>
      <c r="P2568" s="405" t="s">
        <v>16002</v>
      </c>
      <c r="Q2568" s="411">
        <v>6</v>
      </c>
      <c r="R2568" s="405" t="s">
        <v>9506</v>
      </c>
      <c r="S2568" s="405" t="s">
        <v>27041</v>
      </c>
      <c r="T2568" s="405" t="s">
        <v>32102</v>
      </c>
      <c r="U2568" s="405" t="s">
        <v>319</v>
      </c>
    </row>
    <row r="2569" spans="1:21" x14ac:dyDescent="0.25">
      <c r="A2569" s="405" t="s">
        <v>310</v>
      </c>
      <c r="B2569" s="405" t="s">
        <v>16483</v>
      </c>
      <c r="C2569" s="405" t="s">
        <v>311</v>
      </c>
      <c r="D2569" s="405" t="s">
        <v>312</v>
      </c>
      <c r="E2569" s="410">
        <v>43144</v>
      </c>
      <c r="F2569" s="410">
        <v>43174</v>
      </c>
      <c r="G2569" s="405" t="s">
        <v>16484</v>
      </c>
      <c r="H2569" s="405">
        <v>772960873</v>
      </c>
      <c r="I2569" s="405">
        <v>758993217</v>
      </c>
      <c r="J2569" s="405">
        <v>0.33100000000000002</v>
      </c>
      <c r="K2569" s="405">
        <v>33.444899999999997</v>
      </c>
      <c r="L2569" s="405" t="s">
        <v>6866</v>
      </c>
      <c r="M2569" s="405" t="s">
        <v>13470</v>
      </c>
      <c r="N2569" s="405" t="s">
        <v>15991</v>
      </c>
      <c r="O2569" s="405" t="s">
        <v>16485</v>
      </c>
      <c r="P2569" s="405" t="s">
        <v>16486</v>
      </c>
      <c r="Q2569" s="411">
        <v>6</v>
      </c>
      <c r="R2569" s="405" t="s">
        <v>6822</v>
      </c>
      <c r="S2569" s="405" t="s">
        <v>27174</v>
      </c>
      <c r="T2569" s="405" t="s">
        <v>32102</v>
      </c>
      <c r="U2569" s="405" t="s">
        <v>319</v>
      </c>
    </row>
    <row r="2570" spans="1:21" x14ac:dyDescent="0.25">
      <c r="A2570" s="405" t="s">
        <v>310</v>
      </c>
      <c r="B2570" s="405" t="s">
        <v>6820</v>
      </c>
      <c r="C2570" s="405" t="s">
        <v>327</v>
      </c>
      <c r="D2570" s="405"/>
      <c r="E2570" s="410">
        <v>43143</v>
      </c>
      <c r="F2570" s="410">
        <v>43217</v>
      </c>
      <c r="G2570" s="405" t="s">
        <v>6821</v>
      </c>
      <c r="H2570" s="405">
        <v>782903153</v>
      </c>
      <c r="I2570" s="405">
        <v>752123737</v>
      </c>
      <c r="J2570" s="405">
        <v>0.1915</v>
      </c>
      <c r="K2570" s="405">
        <v>32.463000000000001</v>
      </c>
      <c r="L2570" s="405" t="s">
        <v>314</v>
      </c>
      <c r="M2570" s="405" t="s">
        <v>329</v>
      </c>
      <c r="N2570" s="405" t="s">
        <v>4410</v>
      </c>
      <c r="O2570" s="405" t="s">
        <v>4410</v>
      </c>
      <c r="P2570" s="405" t="s">
        <v>611</v>
      </c>
      <c r="Q2570" s="411">
        <v>9</v>
      </c>
      <c r="R2570" s="405" t="s">
        <v>6822</v>
      </c>
      <c r="S2570" s="405" t="s">
        <v>27054</v>
      </c>
      <c r="T2570" s="405" t="s">
        <v>32102</v>
      </c>
      <c r="U2570" s="405" t="s">
        <v>319</v>
      </c>
    </row>
    <row r="2571" spans="1:21" x14ac:dyDescent="0.25">
      <c r="A2571" s="405" t="s">
        <v>310</v>
      </c>
      <c r="B2571" s="405" t="s">
        <v>6768</v>
      </c>
      <c r="C2571" s="405" t="s">
        <v>327</v>
      </c>
      <c r="D2571" s="405"/>
      <c r="E2571" s="410">
        <v>43143</v>
      </c>
      <c r="F2571" s="410">
        <v>43158</v>
      </c>
      <c r="G2571" s="405" t="s">
        <v>6769</v>
      </c>
      <c r="H2571" s="405">
        <v>772529161</v>
      </c>
      <c r="I2571" s="405"/>
      <c r="J2571" s="405">
        <v>0.41260000000000002</v>
      </c>
      <c r="K2571" s="405">
        <v>31.412099999999999</v>
      </c>
      <c r="L2571" s="405" t="s">
        <v>314</v>
      </c>
      <c r="M2571" s="405" t="s">
        <v>399</v>
      </c>
      <c r="N2571" s="405" t="s">
        <v>2265</v>
      </c>
      <c r="O2571" s="405" t="s">
        <v>400</v>
      </c>
      <c r="P2571" s="405" t="s">
        <v>6770</v>
      </c>
      <c r="Q2571" s="411">
        <v>6</v>
      </c>
      <c r="R2571" s="405" t="s">
        <v>32101</v>
      </c>
      <c r="S2571" s="405" t="s">
        <v>27186</v>
      </c>
      <c r="T2571" s="405" t="s">
        <v>32102</v>
      </c>
      <c r="U2571" s="405" t="s">
        <v>319</v>
      </c>
    </row>
    <row r="2572" spans="1:21" x14ac:dyDescent="0.25">
      <c r="A2572" s="405" t="s">
        <v>310</v>
      </c>
      <c r="B2572" s="405" t="s">
        <v>7364</v>
      </c>
      <c r="C2572" s="405" t="s">
        <v>311</v>
      </c>
      <c r="D2572" s="405" t="s">
        <v>7365</v>
      </c>
      <c r="E2572" s="410">
        <v>43140</v>
      </c>
      <c r="F2572" s="410">
        <v>43147</v>
      </c>
      <c r="G2572" s="405" t="s">
        <v>7366</v>
      </c>
      <c r="H2572" s="405">
        <v>701070031</v>
      </c>
      <c r="I2572" s="405">
        <v>771387026</v>
      </c>
      <c r="J2572" s="405">
        <v>8.8912000000000005E-2</v>
      </c>
      <c r="K2572" s="405">
        <v>32.249474999999997</v>
      </c>
      <c r="L2572" s="405" t="s">
        <v>314</v>
      </c>
      <c r="M2572" s="405" t="s">
        <v>321</v>
      </c>
      <c r="N2572" s="405" t="s">
        <v>2472</v>
      </c>
      <c r="O2572" s="405" t="s">
        <v>5626</v>
      </c>
      <c r="P2572" s="405" t="s">
        <v>1372</v>
      </c>
      <c r="Q2572" s="411">
        <v>6</v>
      </c>
      <c r="R2572" s="405" t="s">
        <v>32101</v>
      </c>
      <c r="S2572" s="405" t="s">
        <v>27167</v>
      </c>
      <c r="T2572" s="405" t="s">
        <v>32102</v>
      </c>
      <c r="U2572" s="405" t="s">
        <v>319</v>
      </c>
    </row>
    <row r="2573" spans="1:21" x14ac:dyDescent="0.25">
      <c r="A2573" s="405" t="s">
        <v>310</v>
      </c>
      <c r="B2573" s="405" t="s">
        <v>16479</v>
      </c>
      <c r="C2573" s="405" t="s">
        <v>311</v>
      </c>
      <c r="D2573" s="405" t="s">
        <v>16480</v>
      </c>
      <c r="E2573" s="410">
        <v>43139</v>
      </c>
      <c r="F2573" s="410">
        <v>43174</v>
      </c>
      <c r="G2573" s="405" t="s">
        <v>16481</v>
      </c>
      <c r="H2573" s="405">
        <v>782613848</v>
      </c>
      <c r="I2573" s="405"/>
      <c r="J2573" s="405">
        <v>0.76999499999999999</v>
      </c>
      <c r="K2573" s="405">
        <v>34.311692000000001</v>
      </c>
      <c r="L2573" s="405" t="s">
        <v>6866</v>
      </c>
      <c r="M2573" s="405" t="s">
        <v>9763</v>
      </c>
      <c r="N2573" s="405" t="s">
        <v>10880</v>
      </c>
      <c r="O2573" s="405" t="s">
        <v>12260</v>
      </c>
      <c r="P2573" s="405" t="s">
        <v>16482</v>
      </c>
      <c r="Q2573" s="411">
        <v>13</v>
      </c>
      <c r="R2573" s="405" t="s">
        <v>6871</v>
      </c>
      <c r="S2573" s="405" t="s">
        <v>27306</v>
      </c>
      <c r="T2573" s="405" t="s">
        <v>32102</v>
      </c>
      <c r="U2573" s="405" t="s">
        <v>319</v>
      </c>
    </row>
    <row r="2574" spans="1:21" x14ac:dyDescent="0.25">
      <c r="A2574" s="405" t="s">
        <v>310</v>
      </c>
      <c r="B2574" s="405" t="s">
        <v>6774</v>
      </c>
      <c r="C2574" s="405" t="s">
        <v>327</v>
      </c>
      <c r="D2574" s="405"/>
      <c r="E2574" s="410">
        <v>43139</v>
      </c>
      <c r="F2574" s="410">
        <v>43169</v>
      </c>
      <c r="G2574" s="405" t="s">
        <v>6775</v>
      </c>
      <c r="H2574" s="405">
        <v>702992739</v>
      </c>
      <c r="I2574" s="405"/>
      <c r="J2574" s="405">
        <v>0.24299999999999999</v>
      </c>
      <c r="K2574" s="405">
        <v>32.364100000000001</v>
      </c>
      <c r="L2574" s="405" t="s">
        <v>314</v>
      </c>
      <c r="M2574" s="405" t="s">
        <v>361</v>
      </c>
      <c r="N2574" s="405" t="s">
        <v>362</v>
      </c>
      <c r="O2574" s="405" t="s">
        <v>410</v>
      </c>
      <c r="P2574" s="405" t="s">
        <v>1324</v>
      </c>
      <c r="Q2574" s="411">
        <v>13</v>
      </c>
      <c r="R2574" s="405" t="s">
        <v>32101</v>
      </c>
      <c r="S2574" s="405" t="s">
        <v>27181</v>
      </c>
      <c r="T2574" s="405" t="s">
        <v>32102</v>
      </c>
      <c r="U2574" s="405" t="s">
        <v>319</v>
      </c>
    </row>
    <row r="2575" spans="1:21" x14ac:dyDescent="0.25">
      <c r="A2575" s="405" t="s">
        <v>310</v>
      </c>
      <c r="B2575" s="405" t="s">
        <v>6766</v>
      </c>
      <c r="C2575" s="405" t="s">
        <v>327</v>
      </c>
      <c r="D2575" s="405"/>
      <c r="E2575" s="410">
        <v>43137</v>
      </c>
      <c r="F2575" s="410">
        <v>43152</v>
      </c>
      <c r="G2575" s="405" t="s">
        <v>6767</v>
      </c>
      <c r="H2575" s="405">
        <v>703266841</v>
      </c>
      <c r="I2575" s="405"/>
      <c r="J2575" s="405">
        <v>0.39410000000000001</v>
      </c>
      <c r="K2575" s="405">
        <v>31.3934</v>
      </c>
      <c r="L2575" s="405" t="s">
        <v>314</v>
      </c>
      <c r="M2575" s="405" t="s">
        <v>399</v>
      </c>
      <c r="N2575" s="405" t="s">
        <v>2265</v>
      </c>
      <c r="O2575" s="405" t="s">
        <v>400</v>
      </c>
      <c r="P2575" s="405" t="s">
        <v>5451</v>
      </c>
      <c r="Q2575" s="411">
        <v>6</v>
      </c>
      <c r="R2575" s="405" t="s">
        <v>32101</v>
      </c>
      <c r="S2575" s="405" t="s">
        <v>27186</v>
      </c>
      <c r="T2575" s="405" t="s">
        <v>32102</v>
      </c>
      <c r="U2575" s="405" t="s">
        <v>319</v>
      </c>
    </row>
    <row r="2576" spans="1:21" x14ac:dyDescent="0.25">
      <c r="A2576" s="405" t="s">
        <v>310</v>
      </c>
      <c r="B2576" s="405" t="s">
        <v>6843</v>
      </c>
      <c r="C2576" s="405" t="s">
        <v>327</v>
      </c>
      <c r="D2576" s="405"/>
      <c r="E2576" s="410">
        <v>43135</v>
      </c>
      <c r="F2576" s="410">
        <v>43210</v>
      </c>
      <c r="G2576" s="405" t="s">
        <v>6844</v>
      </c>
      <c r="H2576" s="405">
        <v>789845917</v>
      </c>
      <c r="I2576" s="405">
        <v>782604786</v>
      </c>
      <c r="J2576" s="405">
        <v>0.502</v>
      </c>
      <c r="K2576" s="405">
        <v>32.011000000000003</v>
      </c>
      <c r="L2576" s="405" t="s">
        <v>314</v>
      </c>
      <c r="M2576" s="405" t="s">
        <v>2537</v>
      </c>
      <c r="N2576" s="405" t="s">
        <v>6389</v>
      </c>
      <c r="O2576" s="405" t="s">
        <v>6845</v>
      </c>
      <c r="P2576" s="405" t="s">
        <v>6846</v>
      </c>
      <c r="Q2576" s="411">
        <v>13</v>
      </c>
      <c r="R2576" s="405" t="s">
        <v>5665</v>
      </c>
      <c r="S2576" s="405" t="s">
        <v>27260</v>
      </c>
      <c r="T2576" s="405" t="s">
        <v>32102</v>
      </c>
      <c r="U2576" s="405" t="s">
        <v>319</v>
      </c>
    </row>
    <row r="2577" spans="1:21" x14ac:dyDescent="0.25">
      <c r="A2577" s="405" t="s">
        <v>310</v>
      </c>
      <c r="B2577" s="405" t="s">
        <v>19023</v>
      </c>
      <c r="C2577" s="405" t="s">
        <v>327</v>
      </c>
      <c r="D2577" s="405"/>
      <c r="E2577" s="410">
        <v>43135</v>
      </c>
      <c r="F2577" s="410">
        <v>43142</v>
      </c>
      <c r="G2577" s="405" t="s">
        <v>19024</v>
      </c>
      <c r="H2577" s="405">
        <v>702858237</v>
      </c>
      <c r="I2577" s="405">
        <v>772987017</v>
      </c>
      <c r="J2577" s="405">
        <v>3.011247</v>
      </c>
      <c r="K2577" s="405">
        <v>30.543977999999999</v>
      </c>
      <c r="L2577" s="405" t="s">
        <v>860</v>
      </c>
      <c r="M2577" s="405" t="s">
        <v>19025</v>
      </c>
      <c r="N2577" s="405" t="s">
        <v>19025</v>
      </c>
      <c r="O2577" s="405" t="s">
        <v>19026</v>
      </c>
      <c r="P2577" s="405" t="s">
        <v>19027</v>
      </c>
      <c r="Q2577" s="411">
        <v>6</v>
      </c>
      <c r="R2577" s="405" t="s">
        <v>5921</v>
      </c>
      <c r="S2577" s="405" t="s">
        <v>27385</v>
      </c>
      <c r="T2577" s="405" t="s">
        <v>32102</v>
      </c>
      <c r="U2577" s="405" t="s">
        <v>319</v>
      </c>
    </row>
    <row r="2578" spans="1:21" x14ac:dyDescent="0.25">
      <c r="A2578" s="405" t="s">
        <v>310</v>
      </c>
      <c r="B2578" s="405" t="s">
        <v>23830</v>
      </c>
      <c r="C2578" s="405" t="s">
        <v>327</v>
      </c>
      <c r="D2578" s="405"/>
      <c r="E2578" s="410">
        <v>43134</v>
      </c>
      <c r="F2578" s="410">
        <v>43149</v>
      </c>
      <c r="G2578" s="405" t="s">
        <v>23831</v>
      </c>
      <c r="H2578" s="405">
        <v>772897330</v>
      </c>
      <c r="I2578" s="405"/>
      <c r="J2578" s="405">
        <v>-0.93391500000000005</v>
      </c>
      <c r="K2578" s="405">
        <v>30.095635000000001</v>
      </c>
      <c r="L2578" s="405" t="s">
        <v>590</v>
      </c>
      <c r="M2578" s="405" t="s">
        <v>19659</v>
      </c>
      <c r="N2578" s="405" t="s">
        <v>19677</v>
      </c>
      <c r="O2578" s="405" t="s">
        <v>19726</v>
      </c>
      <c r="P2578" s="405" t="s">
        <v>23832</v>
      </c>
      <c r="Q2578" s="411">
        <v>9</v>
      </c>
      <c r="R2578" s="405" t="s">
        <v>5858</v>
      </c>
      <c r="S2578" s="405" t="s">
        <v>27227</v>
      </c>
      <c r="T2578" s="405" t="s">
        <v>32102</v>
      </c>
      <c r="U2578" s="405" t="s">
        <v>319</v>
      </c>
    </row>
    <row r="2579" spans="1:21" x14ac:dyDescent="0.25">
      <c r="A2579" s="405" t="s">
        <v>310</v>
      </c>
      <c r="B2579" s="405" t="s">
        <v>6743</v>
      </c>
      <c r="C2579" s="405" t="s">
        <v>327</v>
      </c>
      <c r="D2579" s="405"/>
      <c r="E2579" s="410">
        <v>43133</v>
      </c>
      <c r="F2579" s="410">
        <v>43135</v>
      </c>
      <c r="G2579" s="405" t="s">
        <v>6744</v>
      </c>
      <c r="H2579" s="405">
        <v>759593628</v>
      </c>
      <c r="I2579" s="405">
        <v>778985319</v>
      </c>
      <c r="J2579" s="405" t="s">
        <v>6745</v>
      </c>
      <c r="K2579" s="405">
        <v>31.755635000000002</v>
      </c>
      <c r="L2579" s="405" t="s">
        <v>314</v>
      </c>
      <c r="M2579" s="405" t="s">
        <v>382</v>
      </c>
      <c r="N2579" s="405" t="s">
        <v>383</v>
      </c>
      <c r="O2579" s="405" t="s">
        <v>1265</v>
      </c>
      <c r="P2579" s="405" t="s">
        <v>1535</v>
      </c>
      <c r="Q2579" s="411">
        <v>13</v>
      </c>
      <c r="R2579" s="405" t="s">
        <v>402</v>
      </c>
      <c r="S2579" s="405" t="s">
        <v>27164</v>
      </c>
      <c r="T2579" s="405" t="s">
        <v>32102</v>
      </c>
      <c r="U2579" s="405" t="s">
        <v>319</v>
      </c>
    </row>
    <row r="2580" spans="1:21" x14ac:dyDescent="0.25">
      <c r="A2580" s="405" t="s">
        <v>310</v>
      </c>
      <c r="B2580" s="405" t="s">
        <v>23872</v>
      </c>
      <c r="C2580" s="405" t="s">
        <v>327</v>
      </c>
      <c r="D2580" s="405"/>
      <c r="E2580" s="410">
        <v>43133</v>
      </c>
      <c r="F2580" s="410">
        <v>43160</v>
      </c>
      <c r="G2580" s="405" t="s">
        <v>23873</v>
      </c>
      <c r="H2580" s="405">
        <v>788889706</v>
      </c>
      <c r="I2580" s="405"/>
      <c r="J2580" s="405">
        <v>-1.0538879999999999</v>
      </c>
      <c r="K2580" s="405">
        <v>30.164570000000001</v>
      </c>
      <c r="L2580" s="405" t="s">
        <v>590</v>
      </c>
      <c r="M2580" s="405" t="s">
        <v>19659</v>
      </c>
      <c r="N2580" s="405" t="s">
        <v>19677</v>
      </c>
      <c r="O2580" s="405" t="s">
        <v>23649</v>
      </c>
      <c r="P2580" s="405" t="s">
        <v>20208</v>
      </c>
      <c r="Q2580" s="411">
        <v>9</v>
      </c>
      <c r="R2580" s="405" t="s">
        <v>32166</v>
      </c>
      <c r="S2580" s="405" t="s">
        <v>27205</v>
      </c>
      <c r="T2580" s="405" t="s">
        <v>32102</v>
      </c>
      <c r="U2580" s="405" t="s">
        <v>319</v>
      </c>
    </row>
    <row r="2581" spans="1:21" x14ac:dyDescent="0.25">
      <c r="A2581" s="405" t="s">
        <v>310</v>
      </c>
      <c r="B2581" s="405" t="s">
        <v>23865</v>
      </c>
      <c r="C2581" s="405" t="s">
        <v>327</v>
      </c>
      <c r="D2581" s="405"/>
      <c r="E2581" s="410">
        <v>43133</v>
      </c>
      <c r="F2581" s="410">
        <v>43160</v>
      </c>
      <c r="G2581" s="405" t="s">
        <v>23866</v>
      </c>
      <c r="H2581" s="405">
        <v>773196516</v>
      </c>
      <c r="I2581" s="405">
        <v>773196516</v>
      </c>
      <c r="J2581" s="405">
        <v>-1.004062</v>
      </c>
      <c r="K2581" s="405">
        <v>30.299537999999998</v>
      </c>
      <c r="L2581" s="405" t="s">
        <v>590</v>
      </c>
      <c r="M2581" s="405" t="s">
        <v>19659</v>
      </c>
      <c r="N2581" s="405" t="s">
        <v>19664</v>
      </c>
      <c r="O2581" s="405" t="s">
        <v>23835</v>
      </c>
      <c r="P2581" s="405" t="s">
        <v>19842</v>
      </c>
      <c r="Q2581" s="411">
        <v>9</v>
      </c>
      <c r="R2581" s="405" t="s">
        <v>32166</v>
      </c>
      <c r="S2581" s="405" t="s">
        <v>27173</v>
      </c>
      <c r="T2581" s="405" t="s">
        <v>32102</v>
      </c>
      <c r="U2581" s="405" t="s">
        <v>319</v>
      </c>
    </row>
    <row r="2582" spans="1:21" x14ac:dyDescent="0.25">
      <c r="A2582" s="405" t="s">
        <v>310</v>
      </c>
      <c r="B2582" s="405" t="s">
        <v>23874</v>
      </c>
      <c r="C2582" s="405" t="s">
        <v>327</v>
      </c>
      <c r="D2582" s="405"/>
      <c r="E2582" s="410">
        <v>43133</v>
      </c>
      <c r="F2582" s="410">
        <v>43160</v>
      </c>
      <c r="G2582" s="405" t="s">
        <v>23875</v>
      </c>
      <c r="H2582" s="405">
        <v>788984566</v>
      </c>
      <c r="I2582" s="405"/>
      <c r="J2582" s="405">
        <v>-1.127343</v>
      </c>
      <c r="K2582" s="405">
        <v>30.187453000000001</v>
      </c>
      <c r="L2582" s="405" t="s">
        <v>590</v>
      </c>
      <c r="M2582" s="405" t="s">
        <v>19659</v>
      </c>
      <c r="N2582" s="405" t="s">
        <v>19677</v>
      </c>
      <c r="O2582" s="405" t="s">
        <v>2520</v>
      </c>
      <c r="P2582" s="405" t="s">
        <v>23876</v>
      </c>
      <c r="Q2582" s="411">
        <v>9</v>
      </c>
      <c r="R2582" s="405" t="s">
        <v>32166</v>
      </c>
      <c r="S2582" s="405" t="s">
        <v>27432</v>
      </c>
      <c r="T2582" s="405" t="s">
        <v>32102</v>
      </c>
      <c r="U2582" s="405" t="s">
        <v>319</v>
      </c>
    </row>
    <row r="2583" spans="1:21" x14ac:dyDescent="0.25">
      <c r="A2583" s="405" t="s">
        <v>310</v>
      </c>
      <c r="B2583" s="405" t="s">
        <v>6763</v>
      </c>
      <c r="C2583" s="405" t="s">
        <v>327</v>
      </c>
      <c r="D2583" s="405"/>
      <c r="E2583" s="410">
        <v>43131</v>
      </c>
      <c r="F2583" s="410">
        <v>43146</v>
      </c>
      <c r="G2583" s="405" t="s">
        <v>6764</v>
      </c>
      <c r="H2583" s="405">
        <v>773722195</v>
      </c>
      <c r="I2583" s="405"/>
      <c r="J2583" s="405">
        <v>0.3851</v>
      </c>
      <c r="K2583" s="405">
        <v>31.3749</v>
      </c>
      <c r="L2583" s="405" t="s">
        <v>314</v>
      </c>
      <c r="M2583" s="405" t="s">
        <v>399</v>
      </c>
      <c r="N2583" s="405" t="s">
        <v>2265</v>
      </c>
      <c r="O2583" s="405" t="s">
        <v>400</v>
      </c>
      <c r="P2583" s="405" t="s">
        <v>6765</v>
      </c>
      <c r="Q2583" s="411">
        <v>6</v>
      </c>
      <c r="R2583" s="405" t="s">
        <v>32101</v>
      </c>
      <c r="S2583" s="405" t="s">
        <v>27186</v>
      </c>
      <c r="T2583" s="405" t="s">
        <v>32102</v>
      </c>
      <c r="U2583" s="405" t="s">
        <v>319</v>
      </c>
    </row>
    <row r="2584" spans="1:21" x14ac:dyDescent="0.25">
      <c r="A2584" s="405" t="s">
        <v>310</v>
      </c>
      <c r="B2584" s="405" t="s">
        <v>23840</v>
      </c>
      <c r="C2584" s="405" t="s">
        <v>327</v>
      </c>
      <c r="D2584" s="405"/>
      <c r="E2584" s="410">
        <v>43128</v>
      </c>
      <c r="F2584" s="410">
        <v>43159</v>
      </c>
      <c r="G2584" s="405" t="s">
        <v>23841</v>
      </c>
      <c r="H2584" s="405">
        <v>776975504</v>
      </c>
      <c r="I2584" s="405">
        <v>772062631</v>
      </c>
      <c r="J2584" s="405">
        <v>1.3635999999999999</v>
      </c>
      <c r="K2584" s="405">
        <v>31.463699999999999</v>
      </c>
      <c r="L2584" s="405" t="s">
        <v>590</v>
      </c>
      <c r="M2584" s="405" t="s">
        <v>19608</v>
      </c>
      <c r="N2584" s="405" t="s">
        <v>19609</v>
      </c>
      <c r="O2584" s="405" t="s">
        <v>20478</v>
      </c>
      <c r="P2584" s="405" t="s">
        <v>23842</v>
      </c>
      <c r="Q2584" s="411">
        <v>6</v>
      </c>
      <c r="R2584" s="405" t="s">
        <v>6397</v>
      </c>
      <c r="S2584" s="405" t="s">
        <v>22880</v>
      </c>
      <c r="T2584" s="405" t="s">
        <v>32102</v>
      </c>
      <c r="U2584" s="405" t="s">
        <v>319</v>
      </c>
    </row>
    <row r="2585" spans="1:21" x14ac:dyDescent="0.25">
      <c r="A2585" s="405" t="s">
        <v>310</v>
      </c>
      <c r="B2585" s="405" t="s">
        <v>23857</v>
      </c>
      <c r="C2585" s="405" t="s">
        <v>327</v>
      </c>
      <c r="D2585" s="405"/>
      <c r="E2585" s="410">
        <v>43126</v>
      </c>
      <c r="F2585" s="410">
        <v>43141</v>
      </c>
      <c r="G2585" s="405" t="s">
        <v>23858</v>
      </c>
      <c r="H2585" s="405">
        <v>774718769</v>
      </c>
      <c r="I2585" s="405">
        <v>756718769</v>
      </c>
      <c r="J2585" s="405">
        <v>0.46379999999999999</v>
      </c>
      <c r="K2585" s="405">
        <v>29.381799999999998</v>
      </c>
      <c r="L2585" s="405" t="s">
        <v>590</v>
      </c>
      <c r="M2585" s="405" t="s">
        <v>20808</v>
      </c>
      <c r="N2585" s="405" t="s">
        <v>23555</v>
      </c>
      <c r="O2585" s="405" t="s">
        <v>23859</v>
      </c>
      <c r="P2585" s="405" t="s">
        <v>23860</v>
      </c>
      <c r="Q2585" s="411">
        <v>9</v>
      </c>
      <c r="R2585" s="405" t="s">
        <v>6572</v>
      </c>
      <c r="S2585" s="405" t="s">
        <v>27166</v>
      </c>
      <c r="T2585" s="405" t="s">
        <v>32102</v>
      </c>
      <c r="U2585" s="405" t="s">
        <v>319</v>
      </c>
    </row>
    <row r="2586" spans="1:21" x14ac:dyDescent="0.25">
      <c r="A2586" s="405" t="s">
        <v>310</v>
      </c>
      <c r="B2586" s="405" t="s">
        <v>23853</v>
      </c>
      <c r="C2586" s="405" t="s">
        <v>327</v>
      </c>
      <c r="D2586" s="405"/>
      <c r="E2586" s="410">
        <v>43126</v>
      </c>
      <c r="F2586" s="410">
        <v>43141</v>
      </c>
      <c r="G2586" s="405" t="s">
        <v>23854</v>
      </c>
      <c r="H2586" s="405">
        <v>778655290</v>
      </c>
      <c r="I2586" s="405">
        <v>773519301</v>
      </c>
      <c r="J2586" s="405">
        <v>0.54700000000000004</v>
      </c>
      <c r="K2586" s="405">
        <v>29.3856</v>
      </c>
      <c r="L2586" s="405" t="s">
        <v>590</v>
      </c>
      <c r="M2586" s="405" t="s">
        <v>20808</v>
      </c>
      <c r="N2586" s="405" t="s">
        <v>23490</v>
      </c>
      <c r="O2586" s="405" t="s">
        <v>23855</v>
      </c>
      <c r="P2586" s="405" t="s">
        <v>23856</v>
      </c>
      <c r="Q2586" s="411">
        <v>9</v>
      </c>
      <c r="R2586" s="405" t="s">
        <v>6572</v>
      </c>
      <c r="S2586" s="405" t="s">
        <v>27154</v>
      </c>
      <c r="T2586" s="405" t="s">
        <v>32102</v>
      </c>
      <c r="U2586" s="405" t="s">
        <v>319</v>
      </c>
    </row>
    <row r="2587" spans="1:21" x14ac:dyDescent="0.25">
      <c r="A2587" s="405" t="s">
        <v>310</v>
      </c>
      <c r="B2587" s="405" t="s">
        <v>6816</v>
      </c>
      <c r="C2587" s="405" t="s">
        <v>327</v>
      </c>
      <c r="D2587" s="405"/>
      <c r="E2587" s="410">
        <v>43125</v>
      </c>
      <c r="F2587" s="410">
        <v>43195</v>
      </c>
      <c r="G2587" s="405" t="s">
        <v>6817</v>
      </c>
      <c r="H2587" s="405">
        <v>772901160</v>
      </c>
      <c r="I2587" s="405"/>
      <c r="J2587" s="405">
        <v>0.239677</v>
      </c>
      <c r="K2587" s="405">
        <v>32.958531999999998</v>
      </c>
      <c r="L2587" s="405" t="s">
        <v>314</v>
      </c>
      <c r="M2587" s="405" t="s">
        <v>349</v>
      </c>
      <c r="N2587" s="405" t="s">
        <v>6818</v>
      </c>
      <c r="O2587" s="405" t="s">
        <v>686</v>
      </c>
      <c r="P2587" s="405" t="s">
        <v>6819</v>
      </c>
      <c r="Q2587" s="411">
        <v>6</v>
      </c>
      <c r="R2587" s="405" t="s">
        <v>6798</v>
      </c>
      <c r="S2587" s="405" t="s">
        <v>27049</v>
      </c>
      <c r="T2587" s="405" t="s">
        <v>32102</v>
      </c>
      <c r="U2587" s="405" t="s">
        <v>319</v>
      </c>
    </row>
    <row r="2588" spans="1:21" x14ac:dyDescent="0.25">
      <c r="A2588" s="405" t="s">
        <v>310</v>
      </c>
      <c r="B2588" s="405" t="s">
        <v>6760</v>
      </c>
      <c r="C2588" s="405" t="s">
        <v>327</v>
      </c>
      <c r="D2588" s="405"/>
      <c r="E2588" s="410">
        <v>43125</v>
      </c>
      <c r="F2588" s="410">
        <v>43140</v>
      </c>
      <c r="G2588" s="405" t="s">
        <v>6761</v>
      </c>
      <c r="H2588" s="405">
        <v>775467961</v>
      </c>
      <c r="I2588" s="405"/>
      <c r="J2588" s="405">
        <v>0.38450000000000001</v>
      </c>
      <c r="K2588" s="405">
        <v>31.361999999999998</v>
      </c>
      <c r="L2588" s="405" t="s">
        <v>314</v>
      </c>
      <c r="M2588" s="405" t="s">
        <v>399</v>
      </c>
      <c r="N2588" s="405" t="s">
        <v>2265</v>
      </c>
      <c r="O2588" s="405" t="s">
        <v>400</v>
      </c>
      <c r="P2588" s="405" t="s">
        <v>6762</v>
      </c>
      <c r="Q2588" s="411">
        <v>6</v>
      </c>
      <c r="R2588" s="405" t="s">
        <v>32101</v>
      </c>
      <c r="S2588" s="405" t="s">
        <v>27186</v>
      </c>
      <c r="T2588" s="405" t="s">
        <v>32102</v>
      </c>
      <c r="U2588" s="405" t="s">
        <v>319</v>
      </c>
    </row>
    <row r="2589" spans="1:21" x14ac:dyDescent="0.25">
      <c r="A2589" s="405" t="s">
        <v>310</v>
      </c>
      <c r="B2589" s="405" t="s">
        <v>23825</v>
      </c>
      <c r="C2589" s="405" t="s">
        <v>327</v>
      </c>
      <c r="D2589" s="405"/>
      <c r="E2589" s="410">
        <v>43123</v>
      </c>
      <c r="F2589" s="410">
        <v>43155</v>
      </c>
      <c r="G2589" s="405" t="s">
        <v>23826</v>
      </c>
      <c r="H2589" s="405">
        <v>784536815</v>
      </c>
      <c r="I2589" s="405"/>
      <c r="J2589" s="405">
        <v>-0.43854199999999999</v>
      </c>
      <c r="K2589" s="405">
        <v>30.572575000000001</v>
      </c>
      <c r="L2589" s="405" t="s">
        <v>590</v>
      </c>
      <c r="M2589" s="405" t="s">
        <v>19705</v>
      </c>
      <c r="N2589" s="405" t="s">
        <v>22900</v>
      </c>
      <c r="O2589" s="405" t="s">
        <v>22900</v>
      </c>
      <c r="P2589" s="405" t="s">
        <v>23827</v>
      </c>
      <c r="Q2589" s="411">
        <v>9</v>
      </c>
      <c r="R2589" s="405" t="s">
        <v>32166</v>
      </c>
      <c r="S2589" s="405" t="s">
        <v>27132</v>
      </c>
      <c r="T2589" s="405" t="s">
        <v>32102</v>
      </c>
      <c r="U2589" s="405" t="s">
        <v>319</v>
      </c>
    </row>
    <row r="2590" spans="1:21" x14ac:dyDescent="0.25">
      <c r="A2590" s="405" t="s">
        <v>310</v>
      </c>
      <c r="B2590" s="405" t="s">
        <v>24000</v>
      </c>
      <c r="C2590" s="405" t="s">
        <v>327</v>
      </c>
      <c r="D2590" s="405"/>
      <c r="E2590" s="410">
        <v>43122</v>
      </c>
      <c r="F2590" s="410">
        <v>43230</v>
      </c>
      <c r="G2590" s="405" t="s">
        <v>24001</v>
      </c>
      <c r="H2590" s="405">
        <v>782179355</v>
      </c>
      <c r="I2590" s="405"/>
      <c r="J2590" s="405">
        <v>-0.74182800000000004</v>
      </c>
      <c r="K2590" s="405">
        <v>30.363688</v>
      </c>
      <c r="L2590" s="405" t="s">
        <v>590</v>
      </c>
      <c r="M2590" s="405" t="s">
        <v>19614</v>
      </c>
      <c r="N2590" s="405" t="s">
        <v>19654</v>
      </c>
      <c r="O2590" s="405" t="s">
        <v>23202</v>
      </c>
      <c r="P2590" s="405" t="s">
        <v>24002</v>
      </c>
      <c r="Q2590" s="411">
        <v>9</v>
      </c>
      <c r="R2590" s="405" t="s">
        <v>5858</v>
      </c>
      <c r="S2590" s="405" t="s">
        <v>27166</v>
      </c>
      <c r="T2590" s="405" t="s">
        <v>32102</v>
      </c>
      <c r="U2590" s="405" t="s">
        <v>319</v>
      </c>
    </row>
    <row r="2591" spans="1:21" x14ac:dyDescent="0.25">
      <c r="A2591" s="405" t="s">
        <v>310</v>
      </c>
      <c r="B2591" s="405" t="s">
        <v>6796</v>
      </c>
      <c r="C2591" s="405" t="s">
        <v>327</v>
      </c>
      <c r="D2591" s="405"/>
      <c r="E2591" s="410">
        <v>43121</v>
      </c>
      <c r="F2591" s="410">
        <v>43195</v>
      </c>
      <c r="G2591" s="405" t="s">
        <v>6797</v>
      </c>
      <c r="H2591" s="405">
        <v>752387868</v>
      </c>
      <c r="I2591" s="405"/>
      <c r="J2591" s="405">
        <v>0.334615</v>
      </c>
      <c r="K2591" s="405">
        <v>32.783769999999997</v>
      </c>
      <c r="L2591" s="405" t="s">
        <v>314</v>
      </c>
      <c r="M2591" s="405" t="s">
        <v>349</v>
      </c>
      <c r="N2591" s="405" t="s">
        <v>803</v>
      </c>
      <c r="O2591" s="405" t="s">
        <v>653</v>
      </c>
      <c r="P2591" s="405" t="s">
        <v>3001</v>
      </c>
      <c r="Q2591" s="411">
        <v>13</v>
      </c>
      <c r="R2591" s="405" t="s">
        <v>6798</v>
      </c>
      <c r="S2591" s="405" t="s">
        <v>27262</v>
      </c>
      <c r="T2591" s="405" t="s">
        <v>32102</v>
      </c>
      <c r="U2591" s="405" t="s">
        <v>319</v>
      </c>
    </row>
    <row r="2592" spans="1:21" x14ac:dyDescent="0.25">
      <c r="A2592" s="405" t="s">
        <v>310</v>
      </c>
      <c r="B2592" s="405" t="s">
        <v>24096</v>
      </c>
      <c r="C2592" s="405" t="s">
        <v>327</v>
      </c>
      <c r="D2592" s="405"/>
      <c r="E2592" s="410">
        <v>43119</v>
      </c>
      <c r="F2592" s="410">
        <v>43151</v>
      </c>
      <c r="G2592" s="405" t="s">
        <v>24097</v>
      </c>
      <c r="H2592" s="405">
        <v>701868172</v>
      </c>
      <c r="I2592" s="405">
        <v>772959727</v>
      </c>
      <c r="J2592" s="405">
        <v>-0.59757000000000005</v>
      </c>
      <c r="K2592" s="405">
        <v>30.654115000000001</v>
      </c>
      <c r="L2592" s="405" t="s">
        <v>590</v>
      </c>
      <c r="M2592" s="405" t="s">
        <v>19614</v>
      </c>
      <c r="N2592" s="405" t="s">
        <v>19615</v>
      </c>
      <c r="O2592" s="405" t="s">
        <v>19650</v>
      </c>
      <c r="P2592" s="405" t="s">
        <v>19650</v>
      </c>
      <c r="Q2592" s="411">
        <v>9</v>
      </c>
      <c r="R2592" s="405" t="s">
        <v>874</v>
      </c>
      <c r="S2592" s="405" t="s">
        <v>27172</v>
      </c>
      <c r="T2592" s="405" t="s">
        <v>32102</v>
      </c>
      <c r="U2592" s="405" t="s">
        <v>319</v>
      </c>
    </row>
    <row r="2593" spans="1:21" x14ac:dyDescent="0.25">
      <c r="A2593" s="405" t="s">
        <v>310</v>
      </c>
      <c r="B2593" s="405" t="s">
        <v>7180</v>
      </c>
      <c r="C2593" s="405" t="s">
        <v>327</v>
      </c>
      <c r="D2593" s="405"/>
      <c r="E2593" s="410">
        <v>43118</v>
      </c>
      <c r="F2593" s="410">
        <v>43454</v>
      </c>
      <c r="G2593" s="405" t="s">
        <v>7181</v>
      </c>
      <c r="H2593" s="405">
        <v>779447244</v>
      </c>
      <c r="I2593" s="405"/>
      <c r="J2593" s="405">
        <v>0.28081299999999998</v>
      </c>
      <c r="K2593" s="405">
        <v>32.982798000000003</v>
      </c>
      <c r="L2593" s="405" t="s">
        <v>314</v>
      </c>
      <c r="M2593" s="405" t="s">
        <v>349</v>
      </c>
      <c r="N2593" s="405" t="s">
        <v>349</v>
      </c>
      <c r="O2593" s="405" t="s">
        <v>349</v>
      </c>
      <c r="P2593" s="405" t="s">
        <v>7182</v>
      </c>
      <c r="Q2593" s="411">
        <v>13</v>
      </c>
      <c r="R2593" s="405" t="s">
        <v>32157</v>
      </c>
      <c r="S2593" s="405" t="s">
        <v>6822</v>
      </c>
      <c r="T2593" s="405" t="s">
        <v>32102</v>
      </c>
      <c r="U2593" s="405" t="s">
        <v>319</v>
      </c>
    </row>
    <row r="2594" spans="1:21" x14ac:dyDescent="0.25">
      <c r="A2594" s="405" t="s">
        <v>310</v>
      </c>
      <c r="B2594" s="405" t="s">
        <v>24123</v>
      </c>
      <c r="C2594" s="405" t="s">
        <v>311</v>
      </c>
      <c r="D2594" s="405" t="s">
        <v>312</v>
      </c>
      <c r="E2594" s="410">
        <v>43118</v>
      </c>
      <c r="F2594" s="410">
        <v>43133</v>
      </c>
      <c r="G2594" s="405" t="s">
        <v>24124</v>
      </c>
      <c r="H2594" s="405">
        <v>392578562</v>
      </c>
      <c r="I2594" s="405"/>
      <c r="J2594" s="405">
        <v>-1.2903420000000001</v>
      </c>
      <c r="K2594" s="405">
        <v>29.949462</v>
      </c>
      <c r="L2594" s="405" t="s">
        <v>590</v>
      </c>
      <c r="M2594" s="405" t="s">
        <v>5312</v>
      </c>
      <c r="N2594" s="405" t="s">
        <v>21256</v>
      </c>
      <c r="O2594" s="405" t="s">
        <v>23515</v>
      </c>
      <c r="P2594" s="405" t="s">
        <v>24125</v>
      </c>
      <c r="Q2594" s="411">
        <v>9</v>
      </c>
      <c r="R2594" s="405" t="s">
        <v>6572</v>
      </c>
      <c r="S2594" s="405" t="s">
        <v>27161</v>
      </c>
      <c r="T2594" s="405" t="s">
        <v>32102</v>
      </c>
      <c r="U2594" s="405" t="s">
        <v>319</v>
      </c>
    </row>
    <row r="2595" spans="1:21" x14ac:dyDescent="0.25">
      <c r="A2595" s="405" t="s">
        <v>310</v>
      </c>
      <c r="B2595" s="405" t="s">
        <v>6757</v>
      </c>
      <c r="C2595" s="405" t="s">
        <v>327</v>
      </c>
      <c r="D2595" s="405"/>
      <c r="E2595" s="410">
        <v>43118</v>
      </c>
      <c r="F2595" s="410">
        <v>43150</v>
      </c>
      <c r="G2595" s="405" t="s">
        <v>6758</v>
      </c>
      <c r="H2595" s="405">
        <v>756487436</v>
      </c>
      <c r="I2595" s="405"/>
      <c r="J2595" s="405">
        <v>0.1951</v>
      </c>
      <c r="K2595" s="405">
        <v>31.3535</v>
      </c>
      <c r="L2595" s="405" t="s">
        <v>314</v>
      </c>
      <c r="M2595" s="405" t="s">
        <v>1189</v>
      </c>
      <c r="N2595" s="405" t="s">
        <v>1189</v>
      </c>
      <c r="O2595" s="405" t="s">
        <v>1190</v>
      </c>
      <c r="P2595" s="405" t="s">
        <v>6759</v>
      </c>
      <c r="Q2595" s="411">
        <v>6</v>
      </c>
      <c r="R2595" s="405" t="s">
        <v>32101</v>
      </c>
      <c r="S2595" s="405" t="s">
        <v>27186</v>
      </c>
      <c r="T2595" s="405" t="s">
        <v>32102</v>
      </c>
      <c r="U2595" s="405" t="s">
        <v>319</v>
      </c>
    </row>
    <row r="2596" spans="1:21" x14ac:dyDescent="0.25">
      <c r="A2596" s="405" t="s">
        <v>310</v>
      </c>
      <c r="B2596" s="405" t="s">
        <v>23843</v>
      </c>
      <c r="C2596" s="405" t="s">
        <v>327</v>
      </c>
      <c r="D2596" s="405"/>
      <c r="E2596" s="410">
        <v>43115</v>
      </c>
      <c r="F2596" s="410">
        <v>43142</v>
      </c>
      <c r="G2596" s="405" t="s">
        <v>23844</v>
      </c>
      <c r="H2596" s="405">
        <v>783010113</v>
      </c>
      <c r="I2596" s="405"/>
      <c r="J2596" s="405">
        <v>-0.42710700000000001</v>
      </c>
      <c r="K2596" s="405">
        <v>31.091887</v>
      </c>
      <c r="L2596" s="405" t="s">
        <v>590</v>
      </c>
      <c r="M2596" s="405" t="s">
        <v>19705</v>
      </c>
      <c r="N2596" s="405" t="s">
        <v>19706</v>
      </c>
      <c r="O2596" s="405" t="s">
        <v>23845</v>
      </c>
      <c r="P2596" s="405" t="s">
        <v>20759</v>
      </c>
      <c r="Q2596" s="411">
        <v>13</v>
      </c>
      <c r="R2596" s="405" t="s">
        <v>6397</v>
      </c>
      <c r="S2596" s="405" t="s">
        <v>27431</v>
      </c>
      <c r="T2596" s="405" t="s">
        <v>32102</v>
      </c>
      <c r="U2596" s="405" t="s">
        <v>319</v>
      </c>
    </row>
    <row r="2597" spans="1:21" x14ac:dyDescent="0.25">
      <c r="A2597" s="405" t="s">
        <v>310</v>
      </c>
      <c r="B2597" s="405" t="s">
        <v>16075</v>
      </c>
      <c r="C2597" s="405" t="s">
        <v>327</v>
      </c>
      <c r="D2597" s="405"/>
      <c r="E2597" s="410">
        <v>43115</v>
      </c>
      <c r="F2597" s="410">
        <v>43264</v>
      </c>
      <c r="G2597" s="405" t="s">
        <v>16076</v>
      </c>
      <c r="H2597" s="405">
        <v>776604457</v>
      </c>
      <c r="I2597" s="405">
        <v>774152127</v>
      </c>
      <c r="J2597" s="405">
        <v>0.78360399999999997</v>
      </c>
      <c r="K2597" s="405">
        <v>33.622647999999998</v>
      </c>
      <c r="L2597" s="405" t="s">
        <v>6866</v>
      </c>
      <c r="M2597" s="405" t="s">
        <v>5345</v>
      </c>
      <c r="N2597" s="405" t="s">
        <v>16077</v>
      </c>
      <c r="O2597" s="405" t="s">
        <v>1851</v>
      </c>
      <c r="P2597" s="405" t="s">
        <v>16078</v>
      </c>
      <c r="Q2597" s="411">
        <v>9</v>
      </c>
      <c r="R2597" s="405" t="s">
        <v>6822</v>
      </c>
      <c r="S2597" s="405" t="s">
        <v>27174</v>
      </c>
      <c r="T2597" s="405" t="s">
        <v>32102</v>
      </c>
      <c r="U2597" s="405" t="s">
        <v>319</v>
      </c>
    </row>
    <row r="2598" spans="1:21" x14ac:dyDescent="0.25">
      <c r="A2598" s="405" t="s">
        <v>310</v>
      </c>
      <c r="B2598" s="405" t="s">
        <v>7170</v>
      </c>
      <c r="C2598" s="405" t="s">
        <v>327</v>
      </c>
      <c r="D2598" s="405"/>
      <c r="E2598" s="410">
        <v>43114</v>
      </c>
      <c r="F2598" s="410">
        <v>43451</v>
      </c>
      <c r="G2598" s="405" t="s">
        <v>7171</v>
      </c>
      <c r="H2598" s="405">
        <v>776134017</v>
      </c>
      <c r="I2598" s="405">
        <v>753892831</v>
      </c>
      <c r="J2598" s="405">
        <v>0.15554000000000001</v>
      </c>
      <c r="K2598" s="405">
        <v>32.573915</v>
      </c>
      <c r="L2598" s="405" t="s">
        <v>314</v>
      </c>
      <c r="M2598" s="405" t="s">
        <v>349</v>
      </c>
      <c r="N2598" s="405" t="s">
        <v>349</v>
      </c>
      <c r="O2598" s="405" t="s">
        <v>349</v>
      </c>
      <c r="P2598" s="405" t="s">
        <v>547</v>
      </c>
      <c r="Q2598" s="411">
        <v>6</v>
      </c>
      <c r="R2598" s="405" t="s">
        <v>32157</v>
      </c>
      <c r="S2598" s="405" t="s">
        <v>6822</v>
      </c>
      <c r="T2598" s="405" t="s">
        <v>32102</v>
      </c>
      <c r="U2598" s="405" t="s">
        <v>319</v>
      </c>
    </row>
    <row r="2599" spans="1:21" x14ac:dyDescent="0.25">
      <c r="A2599" s="405" t="s">
        <v>310</v>
      </c>
      <c r="B2599" s="405" t="s">
        <v>23828</v>
      </c>
      <c r="C2599" s="405" t="s">
        <v>327</v>
      </c>
      <c r="D2599" s="405"/>
      <c r="E2599" s="410">
        <v>43114</v>
      </c>
      <c r="F2599" s="410">
        <v>43146</v>
      </c>
      <c r="G2599" s="405" t="s">
        <v>23829</v>
      </c>
      <c r="H2599" s="405">
        <v>789167799</v>
      </c>
      <c r="I2599" s="405">
        <v>789167799</v>
      </c>
      <c r="J2599" s="405">
        <v>-0.30376199999999998</v>
      </c>
      <c r="K2599" s="405">
        <v>31.042121999999999</v>
      </c>
      <c r="L2599" s="405" t="s">
        <v>590</v>
      </c>
      <c r="M2599" s="405" t="s">
        <v>19705</v>
      </c>
      <c r="N2599" s="405" t="s">
        <v>21675</v>
      </c>
      <c r="O2599" s="405" t="s">
        <v>23750</v>
      </c>
      <c r="P2599" s="405" t="s">
        <v>23750</v>
      </c>
      <c r="Q2599" s="411">
        <v>6</v>
      </c>
      <c r="R2599" s="405" t="s">
        <v>874</v>
      </c>
      <c r="S2599" s="405" t="s">
        <v>27063</v>
      </c>
      <c r="T2599" s="405" t="s">
        <v>32102</v>
      </c>
      <c r="U2599" s="405" t="s">
        <v>319</v>
      </c>
    </row>
    <row r="2600" spans="1:21" x14ac:dyDescent="0.25">
      <c r="A2600" s="405" t="s">
        <v>310</v>
      </c>
      <c r="B2600" s="405" t="s">
        <v>23861</v>
      </c>
      <c r="C2600" s="405" t="s">
        <v>327</v>
      </c>
      <c r="D2600" s="405"/>
      <c r="E2600" s="410">
        <v>43113</v>
      </c>
      <c r="F2600" s="410">
        <v>43145</v>
      </c>
      <c r="G2600" s="405" t="s">
        <v>23862</v>
      </c>
      <c r="H2600" s="405">
        <v>772999475</v>
      </c>
      <c r="I2600" s="405"/>
      <c r="J2600" s="405">
        <v>0.58801300000000001</v>
      </c>
      <c r="K2600" s="405">
        <v>30.646712999999998</v>
      </c>
      <c r="L2600" s="405" t="s">
        <v>590</v>
      </c>
      <c r="M2600" s="405" t="s">
        <v>19614</v>
      </c>
      <c r="N2600" s="405" t="s">
        <v>20619</v>
      </c>
      <c r="O2600" s="405" t="s">
        <v>23863</v>
      </c>
      <c r="P2600" s="405" t="s">
        <v>23864</v>
      </c>
      <c r="Q2600" s="411">
        <v>9</v>
      </c>
      <c r="R2600" s="405" t="s">
        <v>883</v>
      </c>
      <c r="S2600" s="405" t="s">
        <v>27104</v>
      </c>
      <c r="T2600" s="405" t="s">
        <v>32102</v>
      </c>
      <c r="U2600" s="405" t="s">
        <v>319</v>
      </c>
    </row>
    <row r="2601" spans="1:21" x14ac:dyDescent="0.25">
      <c r="A2601" s="405" t="s">
        <v>310</v>
      </c>
      <c r="B2601" s="405" t="s">
        <v>6886</v>
      </c>
      <c r="C2601" s="405" t="s">
        <v>327</v>
      </c>
      <c r="D2601" s="405"/>
      <c r="E2601" s="410">
        <v>43112</v>
      </c>
      <c r="F2601" s="410">
        <v>43264</v>
      </c>
      <c r="G2601" s="405" t="s">
        <v>6887</v>
      </c>
      <c r="H2601" s="405">
        <v>701492186</v>
      </c>
      <c r="I2601" s="405"/>
      <c r="J2601" s="405">
        <v>0.41207199999999999</v>
      </c>
      <c r="K2601" s="405">
        <v>32.494833</v>
      </c>
      <c r="L2601" s="405" t="s">
        <v>314</v>
      </c>
      <c r="M2601" s="405" t="s">
        <v>361</v>
      </c>
      <c r="N2601" s="405" t="s">
        <v>6888</v>
      </c>
      <c r="O2601" s="405" t="s">
        <v>6889</v>
      </c>
      <c r="P2601" s="405" t="s">
        <v>6889</v>
      </c>
      <c r="Q2601" s="411">
        <v>13</v>
      </c>
      <c r="R2601" s="405" t="s">
        <v>5986</v>
      </c>
      <c r="S2601" s="405" t="s">
        <v>5986</v>
      </c>
      <c r="T2601" s="405" t="s">
        <v>32102</v>
      </c>
      <c r="U2601" s="405" t="s">
        <v>319</v>
      </c>
    </row>
    <row r="2602" spans="1:21" x14ac:dyDescent="0.25">
      <c r="A2602" s="405" t="s">
        <v>310</v>
      </c>
      <c r="B2602" s="405" t="s">
        <v>7322</v>
      </c>
      <c r="C2602" s="405" t="s">
        <v>311</v>
      </c>
      <c r="D2602" s="405" t="s">
        <v>839</v>
      </c>
      <c r="E2602" s="410">
        <v>43112</v>
      </c>
      <c r="F2602" s="410">
        <v>43152</v>
      </c>
      <c r="G2602" s="405" t="s">
        <v>7323</v>
      </c>
      <c r="H2602" s="405">
        <v>772540456</v>
      </c>
      <c r="I2602" s="405"/>
      <c r="J2602" s="405">
        <v>0.400615</v>
      </c>
      <c r="K2602" s="405">
        <v>32.647239999999996</v>
      </c>
      <c r="L2602" s="405" t="s">
        <v>314</v>
      </c>
      <c r="M2602" s="405" t="s">
        <v>361</v>
      </c>
      <c r="N2602" s="405" t="s">
        <v>362</v>
      </c>
      <c r="O2602" s="405" t="s">
        <v>7324</v>
      </c>
      <c r="P2602" s="405" t="s">
        <v>1945</v>
      </c>
      <c r="Q2602" s="411">
        <v>13</v>
      </c>
      <c r="R2602" s="405" t="s">
        <v>5903</v>
      </c>
      <c r="S2602" s="405" t="s">
        <v>27153</v>
      </c>
      <c r="T2602" s="405" t="s">
        <v>32102</v>
      </c>
      <c r="U2602" s="405" t="s">
        <v>319</v>
      </c>
    </row>
    <row r="2603" spans="1:21" x14ac:dyDescent="0.25">
      <c r="A2603" s="405" t="s">
        <v>310</v>
      </c>
      <c r="B2603" s="405" t="s">
        <v>23903</v>
      </c>
      <c r="C2603" s="405" t="s">
        <v>327</v>
      </c>
      <c r="D2603" s="405"/>
      <c r="E2603" s="410">
        <v>43112</v>
      </c>
      <c r="F2603" s="410">
        <v>43167</v>
      </c>
      <c r="G2603" s="405" t="s">
        <v>23904</v>
      </c>
      <c r="H2603" s="405">
        <v>770942663</v>
      </c>
      <c r="I2603" s="405"/>
      <c r="J2603" s="405">
        <v>0.57531299999999996</v>
      </c>
      <c r="K2603" s="405">
        <v>30.632771999999999</v>
      </c>
      <c r="L2603" s="405" t="s">
        <v>590</v>
      </c>
      <c r="M2603" s="405" t="s">
        <v>19614</v>
      </c>
      <c r="N2603" s="405" t="s">
        <v>20619</v>
      </c>
      <c r="O2603" s="405" t="s">
        <v>23684</v>
      </c>
      <c r="P2603" s="405" t="s">
        <v>20622</v>
      </c>
      <c r="Q2603" s="411">
        <v>9</v>
      </c>
      <c r="R2603" s="405" t="s">
        <v>883</v>
      </c>
      <c r="S2603" s="405" t="s">
        <v>27183</v>
      </c>
      <c r="T2603" s="405" t="s">
        <v>32102</v>
      </c>
      <c r="U2603" s="405" t="s">
        <v>319</v>
      </c>
    </row>
    <row r="2604" spans="1:21" x14ac:dyDescent="0.25">
      <c r="A2604" s="405" t="s">
        <v>310</v>
      </c>
      <c r="B2604" s="405" t="s">
        <v>23905</v>
      </c>
      <c r="C2604" s="405" t="s">
        <v>327</v>
      </c>
      <c r="D2604" s="405"/>
      <c r="E2604" s="410">
        <v>43112</v>
      </c>
      <c r="F2604" s="410">
        <v>43167</v>
      </c>
      <c r="G2604" s="405" t="s">
        <v>23906</v>
      </c>
      <c r="H2604" s="405">
        <v>702467879</v>
      </c>
      <c r="I2604" s="405"/>
      <c r="J2604" s="405">
        <v>-0.58269300000000002</v>
      </c>
      <c r="K2604" s="405">
        <v>30.613977999999999</v>
      </c>
      <c r="L2604" s="405" t="s">
        <v>590</v>
      </c>
      <c r="M2604" s="405" t="s">
        <v>19614</v>
      </c>
      <c r="N2604" s="405" t="s">
        <v>19614</v>
      </c>
      <c r="O2604" s="405" t="s">
        <v>20619</v>
      </c>
      <c r="P2604" s="405" t="s">
        <v>23907</v>
      </c>
      <c r="Q2604" s="411">
        <v>9</v>
      </c>
      <c r="R2604" s="405" t="s">
        <v>883</v>
      </c>
      <c r="S2604" s="405" t="s">
        <v>27181</v>
      </c>
      <c r="T2604" s="405" t="s">
        <v>32102</v>
      </c>
      <c r="U2604" s="405" t="s">
        <v>319</v>
      </c>
    </row>
    <row r="2605" spans="1:21" x14ac:dyDescent="0.25">
      <c r="A2605" s="405" t="s">
        <v>310</v>
      </c>
      <c r="B2605" s="405" t="s">
        <v>23900</v>
      </c>
      <c r="C2605" s="405" t="s">
        <v>327</v>
      </c>
      <c r="D2605" s="405"/>
      <c r="E2605" s="410">
        <v>43112</v>
      </c>
      <c r="F2605" s="410">
        <v>43167</v>
      </c>
      <c r="G2605" s="405" t="s">
        <v>23901</v>
      </c>
      <c r="H2605" s="405">
        <v>705394462</v>
      </c>
      <c r="I2605" s="405"/>
      <c r="J2605" s="405">
        <v>-0.55924300000000005</v>
      </c>
      <c r="K2605" s="405">
        <v>30.537586999999998</v>
      </c>
      <c r="L2605" s="405" t="s">
        <v>590</v>
      </c>
      <c r="M2605" s="405" t="s">
        <v>19614</v>
      </c>
      <c r="N2605" s="405" t="s">
        <v>19615</v>
      </c>
      <c r="O2605" s="405" t="s">
        <v>20063</v>
      </c>
      <c r="P2605" s="405" t="s">
        <v>23902</v>
      </c>
      <c r="Q2605" s="411">
        <v>9</v>
      </c>
      <c r="R2605" s="405" t="s">
        <v>883</v>
      </c>
      <c r="S2605" s="405" t="s">
        <v>27243</v>
      </c>
      <c r="T2605" s="405" t="s">
        <v>32102</v>
      </c>
      <c r="U2605" s="405" t="s">
        <v>319</v>
      </c>
    </row>
    <row r="2606" spans="1:21" x14ac:dyDescent="0.25">
      <c r="A2606" s="405" t="s">
        <v>310</v>
      </c>
      <c r="B2606" s="405" t="s">
        <v>6790</v>
      </c>
      <c r="C2606" s="405" t="s">
        <v>327</v>
      </c>
      <c r="D2606" s="405"/>
      <c r="E2606" s="410">
        <v>43112</v>
      </c>
      <c r="F2606" s="410">
        <v>43161</v>
      </c>
      <c r="G2606" s="405" t="s">
        <v>6791</v>
      </c>
      <c r="H2606" s="405">
        <v>771853595</v>
      </c>
      <c r="I2606" s="405">
        <v>758566408</v>
      </c>
      <c r="J2606" s="405">
        <v>0.30149999999999999</v>
      </c>
      <c r="K2606" s="405">
        <v>32.32</v>
      </c>
      <c r="L2606" s="405" t="s">
        <v>314</v>
      </c>
      <c r="M2606" s="405" t="s">
        <v>361</v>
      </c>
      <c r="N2606" s="405" t="s">
        <v>339</v>
      </c>
      <c r="O2606" s="405" t="s">
        <v>421</v>
      </c>
      <c r="P2606" s="405" t="s">
        <v>524</v>
      </c>
      <c r="Q2606" s="411">
        <v>9</v>
      </c>
      <c r="R2606" s="405" t="s">
        <v>5665</v>
      </c>
      <c r="S2606" s="405" t="s">
        <v>27260</v>
      </c>
      <c r="T2606" s="405" t="s">
        <v>32102</v>
      </c>
      <c r="U2606" s="405" t="s">
        <v>319</v>
      </c>
    </row>
    <row r="2607" spans="1:21" x14ac:dyDescent="0.25">
      <c r="A2607" s="405" t="s">
        <v>310</v>
      </c>
      <c r="B2607" s="405" t="s">
        <v>23837</v>
      </c>
      <c r="C2607" s="405" t="s">
        <v>327</v>
      </c>
      <c r="D2607" s="405"/>
      <c r="E2607" s="410">
        <v>43112</v>
      </c>
      <c r="F2607" s="410">
        <v>43158</v>
      </c>
      <c r="G2607" s="405" t="s">
        <v>23838</v>
      </c>
      <c r="H2607" s="405">
        <v>775658383</v>
      </c>
      <c r="I2607" s="405"/>
      <c r="J2607" s="405">
        <v>-0.219828</v>
      </c>
      <c r="K2607" s="405">
        <v>30.973897000000001</v>
      </c>
      <c r="L2607" s="405" t="s">
        <v>590</v>
      </c>
      <c r="M2607" s="405" t="s">
        <v>19705</v>
      </c>
      <c r="N2607" s="405" t="s">
        <v>19706</v>
      </c>
      <c r="O2607" s="405" t="s">
        <v>19707</v>
      </c>
      <c r="P2607" s="405" t="s">
        <v>23839</v>
      </c>
      <c r="Q2607" s="411">
        <v>9</v>
      </c>
      <c r="R2607" s="405" t="s">
        <v>874</v>
      </c>
      <c r="S2607" s="405" t="s">
        <v>27249</v>
      </c>
      <c r="T2607" s="405" t="s">
        <v>32102</v>
      </c>
      <c r="U2607" s="405" t="s">
        <v>319</v>
      </c>
    </row>
    <row r="2608" spans="1:21" x14ac:dyDescent="0.25">
      <c r="A2608" s="405" t="s">
        <v>310</v>
      </c>
      <c r="B2608" s="405" t="s">
        <v>23846</v>
      </c>
      <c r="C2608" s="405" t="s">
        <v>327</v>
      </c>
      <c r="D2608" s="405"/>
      <c r="E2608" s="410">
        <v>43112</v>
      </c>
      <c r="F2608" s="410">
        <v>43144</v>
      </c>
      <c r="G2608" s="405" t="s">
        <v>23847</v>
      </c>
      <c r="H2608" s="405">
        <v>704194309</v>
      </c>
      <c r="I2608" s="405"/>
      <c r="J2608" s="405">
        <v>0.19520000000000001</v>
      </c>
      <c r="K2608" s="405">
        <v>30.541399999999999</v>
      </c>
      <c r="L2608" s="405" t="s">
        <v>590</v>
      </c>
      <c r="M2608" s="405" t="s">
        <v>19705</v>
      </c>
      <c r="N2608" s="405" t="s">
        <v>19706</v>
      </c>
      <c r="O2608" s="405" t="s">
        <v>23848</v>
      </c>
      <c r="P2608" s="405" t="s">
        <v>23849</v>
      </c>
      <c r="Q2608" s="411">
        <v>9</v>
      </c>
      <c r="R2608" s="405" t="s">
        <v>32101</v>
      </c>
      <c r="S2608" s="405" t="s">
        <v>27039</v>
      </c>
      <c r="T2608" s="405" t="s">
        <v>32102</v>
      </c>
      <c r="U2608" s="405" t="s">
        <v>319</v>
      </c>
    </row>
    <row r="2609" spans="1:21" x14ac:dyDescent="0.25">
      <c r="A2609" s="405" t="s">
        <v>310</v>
      </c>
      <c r="B2609" s="405" t="s">
        <v>23895</v>
      </c>
      <c r="C2609" s="405" t="s">
        <v>327</v>
      </c>
      <c r="D2609" s="405"/>
      <c r="E2609" s="410">
        <v>43111</v>
      </c>
      <c r="F2609" s="410">
        <v>43178</v>
      </c>
      <c r="G2609" s="405" t="s">
        <v>23896</v>
      </c>
      <c r="H2609" s="405">
        <v>702183715</v>
      </c>
      <c r="I2609" s="405"/>
      <c r="J2609" s="405">
        <v>-0.23130000000000001</v>
      </c>
      <c r="K2609" s="405">
        <v>30.352900000000002</v>
      </c>
      <c r="L2609" s="405" t="s">
        <v>590</v>
      </c>
      <c r="M2609" s="405" t="s">
        <v>19614</v>
      </c>
      <c r="N2609" s="405" t="s">
        <v>19615</v>
      </c>
      <c r="O2609" s="405" t="s">
        <v>21157</v>
      </c>
      <c r="P2609" s="405" t="s">
        <v>21157</v>
      </c>
      <c r="Q2609" s="411">
        <v>9</v>
      </c>
      <c r="R2609" s="405" t="s">
        <v>6572</v>
      </c>
      <c r="S2609" s="405" t="s">
        <v>27181</v>
      </c>
      <c r="T2609" s="405" t="s">
        <v>32102</v>
      </c>
      <c r="U2609" s="405" t="s">
        <v>319</v>
      </c>
    </row>
    <row r="2610" spans="1:21" x14ac:dyDescent="0.25">
      <c r="A2610" s="405" t="s">
        <v>310</v>
      </c>
      <c r="B2610" s="405" t="s">
        <v>7149</v>
      </c>
      <c r="C2610" s="405" t="s">
        <v>327</v>
      </c>
      <c r="D2610" s="405"/>
      <c r="E2610" s="410">
        <v>43110</v>
      </c>
      <c r="F2610" s="410">
        <v>43433</v>
      </c>
      <c r="G2610" s="405" t="s">
        <v>7150</v>
      </c>
      <c r="H2610" s="405">
        <v>787587197</v>
      </c>
      <c r="I2610" s="405"/>
      <c r="J2610" s="405">
        <v>0.45264199999999999</v>
      </c>
      <c r="K2610" s="405">
        <v>32.715817000000001</v>
      </c>
      <c r="L2610" s="405" t="s">
        <v>314</v>
      </c>
      <c r="M2610" s="405" t="s">
        <v>329</v>
      </c>
      <c r="N2610" s="405" t="s">
        <v>336</v>
      </c>
      <c r="O2610" s="405" t="s">
        <v>336</v>
      </c>
      <c r="P2610" s="405" t="s">
        <v>337</v>
      </c>
      <c r="Q2610" s="411">
        <v>13</v>
      </c>
      <c r="R2610" s="405" t="s">
        <v>5665</v>
      </c>
      <c r="S2610" s="405" t="s">
        <v>27179</v>
      </c>
      <c r="T2610" s="405" t="s">
        <v>32102</v>
      </c>
      <c r="U2610" s="405" t="s">
        <v>319</v>
      </c>
    </row>
    <row r="2611" spans="1:21" x14ac:dyDescent="0.25">
      <c r="A2611" s="405" t="s">
        <v>310</v>
      </c>
      <c r="B2611" s="405" t="s">
        <v>7492</v>
      </c>
      <c r="C2611" s="405" t="s">
        <v>327</v>
      </c>
      <c r="D2611" s="405"/>
      <c r="E2611" s="410">
        <v>43110</v>
      </c>
      <c r="F2611" s="410">
        <v>43660</v>
      </c>
      <c r="G2611" s="405" t="s">
        <v>7493</v>
      </c>
      <c r="H2611" s="405">
        <v>772675298</v>
      </c>
      <c r="I2611" s="405">
        <v>753454718</v>
      </c>
      <c r="J2611" s="405" t="s">
        <v>7406</v>
      </c>
      <c r="K2611" s="405">
        <v>32.623615000000001</v>
      </c>
      <c r="L2611" s="405" t="s">
        <v>7494</v>
      </c>
      <c r="M2611" s="405" t="s">
        <v>361</v>
      </c>
      <c r="N2611" s="405" t="s">
        <v>7153</v>
      </c>
      <c r="O2611" s="405" t="s">
        <v>5138</v>
      </c>
      <c r="P2611" s="405" t="s">
        <v>5138</v>
      </c>
      <c r="Q2611" s="411">
        <v>9</v>
      </c>
      <c r="R2611" s="405" t="s">
        <v>5665</v>
      </c>
      <c r="S2611" s="405" t="s">
        <v>27110</v>
      </c>
      <c r="T2611" s="405" t="s">
        <v>32102</v>
      </c>
      <c r="U2611" s="405" t="s">
        <v>319</v>
      </c>
    </row>
    <row r="2612" spans="1:21" x14ac:dyDescent="0.25">
      <c r="A2612" s="405" t="s">
        <v>310</v>
      </c>
      <c r="B2612" s="405" t="s">
        <v>23822</v>
      </c>
      <c r="C2612" s="405" t="s">
        <v>327</v>
      </c>
      <c r="D2612" s="405"/>
      <c r="E2612" s="410">
        <v>43110</v>
      </c>
      <c r="F2612" s="410">
        <v>43142</v>
      </c>
      <c r="G2612" s="405" t="s">
        <v>23823</v>
      </c>
      <c r="H2612" s="405">
        <v>772856582</v>
      </c>
      <c r="I2612" s="405"/>
      <c r="J2612" s="405">
        <v>1.2110000000000001</v>
      </c>
      <c r="K2612" s="405">
        <v>30.202012</v>
      </c>
      <c r="L2612" s="405" t="s">
        <v>590</v>
      </c>
      <c r="M2612" s="405" t="s">
        <v>19625</v>
      </c>
      <c r="N2612" s="405" t="s">
        <v>20086</v>
      </c>
      <c r="O2612" s="405" t="s">
        <v>23824</v>
      </c>
      <c r="P2612" s="405" t="s">
        <v>21956</v>
      </c>
      <c r="Q2612" s="411">
        <v>9</v>
      </c>
      <c r="R2612" s="405" t="s">
        <v>32166</v>
      </c>
      <c r="S2612" s="405" t="s">
        <v>27172</v>
      </c>
      <c r="T2612" s="405" t="s">
        <v>32102</v>
      </c>
      <c r="U2612" s="405" t="s">
        <v>319</v>
      </c>
    </row>
    <row r="2613" spans="1:21" x14ac:dyDescent="0.25">
      <c r="A2613" s="405" t="s">
        <v>310</v>
      </c>
      <c r="B2613" s="405" t="s">
        <v>7298</v>
      </c>
      <c r="C2613" s="405" t="s">
        <v>857</v>
      </c>
      <c r="D2613" s="405" t="s">
        <v>32754</v>
      </c>
      <c r="E2613" s="410">
        <v>43106</v>
      </c>
      <c r="F2613" s="410">
        <v>43121</v>
      </c>
      <c r="G2613" s="405" t="s">
        <v>7299</v>
      </c>
      <c r="H2613" s="405">
        <v>772402456</v>
      </c>
      <c r="I2613" s="405"/>
      <c r="J2613" s="405">
        <v>1.2028000000000001</v>
      </c>
      <c r="K2613" s="405">
        <v>3102331</v>
      </c>
      <c r="L2613" s="405" t="s">
        <v>314</v>
      </c>
      <c r="M2613" s="405" t="s">
        <v>7300</v>
      </c>
      <c r="N2613" s="405" t="s">
        <v>7301</v>
      </c>
      <c r="O2613" s="405" t="s">
        <v>7301</v>
      </c>
      <c r="P2613" s="405" t="s">
        <v>4672</v>
      </c>
      <c r="Q2613" s="411">
        <v>9</v>
      </c>
      <c r="R2613" s="405" t="s">
        <v>5665</v>
      </c>
      <c r="S2613" s="405" t="s">
        <v>27046</v>
      </c>
      <c r="T2613" s="405" t="s">
        <v>32102</v>
      </c>
      <c r="U2613" s="405" t="s">
        <v>319</v>
      </c>
    </row>
    <row r="2614" spans="1:21" x14ac:dyDescent="0.25">
      <c r="A2614" s="405" t="s">
        <v>310</v>
      </c>
      <c r="B2614" s="405" t="s">
        <v>6752</v>
      </c>
      <c r="C2614" s="405" t="s">
        <v>327</v>
      </c>
      <c r="D2614" s="405"/>
      <c r="E2614" s="410">
        <v>43106</v>
      </c>
      <c r="F2614" s="410">
        <v>43138</v>
      </c>
      <c r="G2614" s="405" t="s">
        <v>6753</v>
      </c>
      <c r="H2614" s="405">
        <v>756936257</v>
      </c>
      <c r="I2614" s="405"/>
      <c r="J2614" s="405">
        <v>0.22409999999999999</v>
      </c>
      <c r="K2614" s="405">
        <v>31.381900000000002</v>
      </c>
      <c r="L2614" s="405" t="s">
        <v>314</v>
      </c>
      <c r="M2614" s="405" t="s">
        <v>1189</v>
      </c>
      <c r="N2614" s="405" t="s">
        <v>1189</v>
      </c>
      <c r="O2614" s="405" t="s">
        <v>1190</v>
      </c>
      <c r="P2614" s="405" t="s">
        <v>6754</v>
      </c>
      <c r="Q2614" s="411">
        <v>6</v>
      </c>
      <c r="R2614" s="405" t="s">
        <v>32101</v>
      </c>
      <c r="S2614" s="405" t="s">
        <v>27186</v>
      </c>
      <c r="T2614" s="405" t="s">
        <v>32102</v>
      </c>
      <c r="U2614" s="405" t="s">
        <v>319</v>
      </c>
    </row>
    <row r="2615" spans="1:21" x14ac:dyDescent="0.25">
      <c r="A2615" s="405" t="s">
        <v>310</v>
      </c>
      <c r="B2615" s="405" t="s">
        <v>23793</v>
      </c>
      <c r="C2615" s="405" t="s">
        <v>327</v>
      </c>
      <c r="D2615" s="405"/>
      <c r="E2615" s="410">
        <v>43105</v>
      </c>
      <c r="F2615" s="410">
        <v>43125</v>
      </c>
      <c r="G2615" s="405" t="s">
        <v>23794</v>
      </c>
      <c r="H2615" s="405">
        <v>773184320</v>
      </c>
      <c r="I2615" s="405"/>
      <c r="J2615" s="405">
        <v>-0.84161299999999994</v>
      </c>
      <c r="K2615" s="405">
        <v>29.973476999999999</v>
      </c>
      <c r="L2615" s="405" t="s">
        <v>590</v>
      </c>
      <c r="M2615" s="405" t="s">
        <v>19619</v>
      </c>
      <c r="N2615" s="405" t="s">
        <v>19620</v>
      </c>
      <c r="O2615" s="405" t="s">
        <v>23795</v>
      </c>
      <c r="P2615" s="405" t="s">
        <v>7093</v>
      </c>
      <c r="Q2615" s="411">
        <v>13</v>
      </c>
      <c r="R2615" s="405" t="s">
        <v>6572</v>
      </c>
      <c r="S2615" s="405" t="s">
        <v>27161</v>
      </c>
      <c r="T2615" s="405" t="s">
        <v>32102</v>
      </c>
      <c r="U2615" s="405" t="s">
        <v>319</v>
      </c>
    </row>
    <row r="2616" spans="1:21" x14ac:dyDescent="0.25">
      <c r="A2616" s="405" t="s">
        <v>310</v>
      </c>
      <c r="B2616" s="405" t="s">
        <v>23819</v>
      </c>
      <c r="C2616" s="405" t="s">
        <v>327</v>
      </c>
      <c r="D2616" s="405"/>
      <c r="E2616" s="410">
        <v>43105</v>
      </c>
      <c r="F2616" s="410">
        <v>43147</v>
      </c>
      <c r="G2616" s="405" t="s">
        <v>23820</v>
      </c>
      <c r="H2616" s="405">
        <v>706572277</v>
      </c>
      <c r="I2616" s="405"/>
      <c r="J2616" s="405">
        <v>0.55150999999999994</v>
      </c>
      <c r="K2616" s="405">
        <v>30.181405000000002</v>
      </c>
      <c r="L2616" s="405" t="s">
        <v>590</v>
      </c>
      <c r="M2616" s="405" t="s">
        <v>19625</v>
      </c>
      <c r="N2616" s="405" t="s">
        <v>19978</v>
      </c>
      <c r="O2616" s="405" t="s">
        <v>20249</v>
      </c>
      <c r="P2616" s="405" t="s">
        <v>23821</v>
      </c>
      <c r="Q2616" s="411">
        <v>6</v>
      </c>
      <c r="R2616" s="405" t="s">
        <v>883</v>
      </c>
      <c r="S2616" s="405" t="s">
        <v>27172</v>
      </c>
      <c r="T2616" s="405" t="s">
        <v>32102</v>
      </c>
      <c r="U2616" s="405" t="s">
        <v>319</v>
      </c>
    </row>
    <row r="2617" spans="1:21" x14ac:dyDescent="0.25">
      <c r="A2617" s="405" t="s">
        <v>310</v>
      </c>
      <c r="B2617" s="405" t="s">
        <v>7344</v>
      </c>
      <c r="C2617" s="405" t="s">
        <v>311</v>
      </c>
      <c r="D2617" s="405" t="s">
        <v>2127</v>
      </c>
      <c r="E2617" s="410">
        <v>43104</v>
      </c>
      <c r="F2617" s="410">
        <v>43143</v>
      </c>
      <c r="G2617" s="405" t="s">
        <v>7345</v>
      </c>
      <c r="H2617" s="405">
        <v>701351736</v>
      </c>
      <c r="I2617" s="405"/>
      <c r="J2617" s="405">
        <v>0.41609000000000002</v>
      </c>
      <c r="K2617" s="405">
        <v>31.575780000000002</v>
      </c>
      <c r="L2617" s="405" t="s">
        <v>314</v>
      </c>
      <c r="M2617" s="405" t="s">
        <v>1189</v>
      </c>
      <c r="N2617" s="405" t="s">
        <v>6060</v>
      </c>
      <c r="O2617" s="405" t="s">
        <v>7346</v>
      </c>
      <c r="P2617" s="405" t="s">
        <v>6062</v>
      </c>
      <c r="Q2617" s="411">
        <v>9</v>
      </c>
      <c r="R2617" s="405" t="s">
        <v>5986</v>
      </c>
      <c r="S2617" s="405" t="s">
        <v>5986</v>
      </c>
      <c r="T2617" s="405" t="s">
        <v>32102</v>
      </c>
      <c r="U2617" s="405" t="s">
        <v>319</v>
      </c>
    </row>
    <row r="2618" spans="1:21" x14ac:dyDescent="0.25">
      <c r="A2618" s="405" t="s">
        <v>310</v>
      </c>
      <c r="B2618" s="405" t="s">
        <v>23892</v>
      </c>
      <c r="C2618" s="405" t="s">
        <v>327</v>
      </c>
      <c r="D2618" s="405"/>
      <c r="E2618" s="410">
        <v>43103</v>
      </c>
      <c r="F2618" s="410">
        <v>43178</v>
      </c>
      <c r="G2618" s="405" t="s">
        <v>23893</v>
      </c>
      <c r="H2618" s="405">
        <v>776983835</v>
      </c>
      <c r="I2618" s="405"/>
      <c r="J2618" s="405">
        <v>-0.29785699999999998</v>
      </c>
      <c r="K2618" s="405">
        <v>30.515927999999999</v>
      </c>
      <c r="L2618" s="405" t="s">
        <v>590</v>
      </c>
      <c r="M2618" s="405" t="s">
        <v>19614</v>
      </c>
      <c r="N2618" s="405" t="s">
        <v>23240</v>
      </c>
      <c r="O2618" s="405" t="s">
        <v>20108</v>
      </c>
      <c r="P2618" s="405" t="s">
        <v>23894</v>
      </c>
      <c r="Q2618" s="411">
        <v>9</v>
      </c>
      <c r="R2618" s="405" t="s">
        <v>6572</v>
      </c>
      <c r="S2618" s="405" t="s">
        <v>27410</v>
      </c>
      <c r="T2618" s="405" t="s">
        <v>32102</v>
      </c>
      <c r="U2618" s="405" t="s">
        <v>319</v>
      </c>
    </row>
    <row r="2619" spans="1:21" x14ac:dyDescent="0.25">
      <c r="A2619" s="405" t="s">
        <v>310</v>
      </c>
      <c r="B2619" s="405" t="s">
        <v>6771</v>
      </c>
      <c r="C2619" s="405" t="s">
        <v>327</v>
      </c>
      <c r="D2619" s="405"/>
      <c r="E2619" s="410">
        <v>43103</v>
      </c>
      <c r="F2619" s="410">
        <v>43168</v>
      </c>
      <c r="G2619" s="405" t="s">
        <v>6772</v>
      </c>
      <c r="H2619" s="405">
        <v>776547508</v>
      </c>
      <c r="I2619" s="405"/>
      <c r="J2619" s="405">
        <v>0.38088699999999998</v>
      </c>
      <c r="K2619" s="405">
        <v>31.277014999999999</v>
      </c>
      <c r="L2619" s="405" t="s">
        <v>314</v>
      </c>
      <c r="M2619" s="405" t="s">
        <v>445</v>
      </c>
      <c r="N2619" s="405" t="s">
        <v>2528</v>
      </c>
      <c r="O2619" s="405" t="s">
        <v>6636</v>
      </c>
      <c r="P2619" s="405" t="s">
        <v>6773</v>
      </c>
      <c r="Q2619" s="411">
        <v>9</v>
      </c>
      <c r="R2619" s="405" t="s">
        <v>6397</v>
      </c>
      <c r="S2619" s="405" t="s">
        <v>22880</v>
      </c>
      <c r="T2619" s="405" t="s">
        <v>32102</v>
      </c>
      <c r="U2619" s="405" t="s">
        <v>319</v>
      </c>
    </row>
    <row r="2620" spans="1:21" x14ac:dyDescent="0.25">
      <c r="A2620" s="405" t="s">
        <v>310</v>
      </c>
      <c r="B2620" s="405" t="s">
        <v>6746</v>
      </c>
      <c r="C2620" s="405" t="s">
        <v>327</v>
      </c>
      <c r="D2620" s="405"/>
      <c r="E2620" s="410">
        <v>43103</v>
      </c>
      <c r="F2620" s="410">
        <v>43145</v>
      </c>
      <c r="G2620" s="405" t="s">
        <v>6747</v>
      </c>
      <c r="H2620" s="405">
        <v>772905830</v>
      </c>
      <c r="I2620" s="405"/>
      <c r="J2620" s="405">
        <v>0.56770299999999996</v>
      </c>
      <c r="K2620" s="405">
        <v>31.408508000000001</v>
      </c>
      <c r="L2620" s="405" t="s">
        <v>314</v>
      </c>
      <c r="M2620" s="405" t="s">
        <v>445</v>
      </c>
      <c r="N2620" s="405" t="s">
        <v>6240</v>
      </c>
      <c r="O2620" s="405" t="s">
        <v>6748</v>
      </c>
      <c r="P2620" s="405" t="s">
        <v>6749</v>
      </c>
      <c r="Q2620" s="411">
        <v>9</v>
      </c>
      <c r="R2620" s="405" t="s">
        <v>4176</v>
      </c>
      <c r="S2620" s="405" t="s">
        <v>27053</v>
      </c>
      <c r="T2620" s="405" t="s">
        <v>32102</v>
      </c>
      <c r="U2620" s="405" t="s">
        <v>319</v>
      </c>
    </row>
    <row r="2621" spans="1:21" x14ac:dyDescent="0.25">
      <c r="A2621" s="405" t="s">
        <v>310</v>
      </c>
      <c r="B2621" s="405" t="s">
        <v>7652</v>
      </c>
      <c r="C2621" s="405" t="s">
        <v>311</v>
      </c>
      <c r="D2621" s="405" t="s">
        <v>839</v>
      </c>
      <c r="E2621" s="410">
        <v>43103</v>
      </c>
      <c r="F2621" s="410">
        <v>43376</v>
      </c>
      <c r="G2621" s="405" t="s">
        <v>7653</v>
      </c>
      <c r="H2621" s="405">
        <v>751012030</v>
      </c>
      <c r="I2621" s="405">
        <v>772615349</v>
      </c>
      <c r="J2621" s="405">
        <v>0.1542</v>
      </c>
      <c r="K2621" s="405">
        <v>32.328899999999997</v>
      </c>
      <c r="L2621" s="405" t="s">
        <v>314</v>
      </c>
      <c r="M2621" s="405" t="s">
        <v>361</v>
      </c>
      <c r="N2621" s="405" t="s">
        <v>374</v>
      </c>
      <c r="O2621" s="405" t="s">
        <v>374</v>
      </c>
      <c r="P2621" s="405" t="s">
        <v>1341</v>
      </c>
      <c r="Q2621" s="411">
        <v>6</v>
      </c>
      <c r="R2621" s="405" t="s">
        <v>5903</v>
      </c>
      <c r="S2621" s="405" t="s">
        <v>27153</v>
      </c>
      <c r="T2621" s="405" t="s">
        <v>32102</v>
      </c>
      <c r="U2621" s="405" t="s">
        <v>319</v>
      </c>
    </row>
    <row r="2622" spans="1:21" x14ac:dyDescent="0.25">
      <c r="A2622" s="405" t="s">
        <v>310</v>
      </c>
      <c r="B2622" s="405" t="s">
        <v>6750</v>
      </c>
      <c r="C2622" s="405" t="s">
        <v>327</v>
      </c>
      <c r="D2622" s="405"/>
      <c r="E2622" s="410">
        <v>43103</v>
      </c>
      <c r="F2622" s="410">
        <v>43135</v>
      </c>
      <c r="G2622" s="405" t="s">
        <v>6751</v>
      </c>
      <c r="H2622" s="405">
        <v>730385366</v>
      </c>
      <c r="I2622" s="405"/>
      <c r="J2622" s="405">
        <v>0.187</v>
      </c>
      <c r="K2622" s="405">
        <v>31.3935</v>
      </c>
      <c r="L2622" s="405" t="s">
        <v>314</v>
      </c>
      <c r="M2622" s="405" t="s">
        <v>1189</v>
      </c>
      <c r="N2622" s="405" t="s">
        <v>1189</v>
      </c>
      <c r="O2622" s="405" t="s">
        <v>1189</v>
      </c>
      <c r="P2622" s="405" t="s">
        <v>1189</v>
      </c>
      <c r="Q2622" s="411">
        <v>6</v>
      </c>
      <c r="R2622" s="405" t="s">
        <v>4176</v>
      </c>
      <c r="S2622" s="405" t="s">
        <v>27036</v>
      </c>
      <c r="T2622" s="405" t="s">
        <v>32102</v>
      </c>
      <c r="U2622" s="405" t="s">
        <v>319</v>
      </c>
    </row>
    <row r="2623" spans="1:21" x14ac:dyDescent="0.25">
      <c r="A2623" s="405" t="s">
        <v>310</v>
      </c>
      <c r="B2623" s="405" t="s">
        <v>23778</v>
      </c>
      <c r="C2623" s="405" t="s">
        <v>327</v>
      </c>
      <c r="D2623" s="405"/>
      <c r="E2623" s="410">
        <v>43101</v>
      </c>
      <c r="F2623" s="410">
        <v>43129</v>
      </c>
      <c r="G2623" s="405" t="s">
        <v>23779</v>
      </c>
      <c r="H2623" s="405">
        <v>703207702</v>
      </c>
      <c r="I2623" s="405"/>
      <c r="J2623" s="405">
        <v>-3.6256999999999998E-2</v>
      </c>
      <c r="K2623" s="405">
        <v>31.042262000000001</v>
      </c>
      <c r="L2623" s="405" t="s">
        <v>590</v>
      </c>
      <c r="M2623" s="405" t="s">
        <v>19705</v>
      </c>
      <c r="N2623" s="405" t="s">
        <v>19706</v>
      </c>
      <c r="O2623" s="405" t="s">
        <v>1215</v>
      </c>
      <c r="P2623" s="405" t="s">
        <v>23780</v>
      </c>
      <c r="Q2623" s="411">
        <v>9</v>
      </c>
      <c r="R2623" s="405" t="s">
        <v>874</v>
      </c>
      <c r="S2623" s="405" t="s">
        <v>27172</v>
      </c>
      <c r="T2623" s="405" t="s">
        <v>32102</v>
      </c>
      <c r="U2623" s="405" t="s">
        <v>319</v>
      </c>
    </row>
    <row r="2624" spans="1:21" x14ac:dyDescent="0.25">
      <c r="A2624" s="405" t="s">
        <v>310</v>
      </c>
      <c r="B2624" s="405" t="s">
        <v>23850</v>
      </c>
      <c r="C2624" s="405" t="s">
        <v>327</v>
      </c>
      <c r="D2624" s="405"/>
      <c r="E2624" s="410">
        <v>43100</v>
      </c>
      <c r="F2624" s="410">
        <v>43132</v>
      </c>
      <c r="G2624" s="405" t="s">
        <v>23851</v>
      </c>
      <c r="H2624" s="405">
        <v>772567818</v>
      </c>
      <c r="I2624" s="405"/>
      <c r="J2624" s="405">
        <v>0.49340000000000001</v>
      </c>
      <c r="K2624" s="405">
        <v>29.572299999999998</v>
      </c>
      <c r="L2624" s="405" t="s">
        <v>590</v>
      </c>
      <c r="M2624" s="405" t="s">
        <v>19619</v>
      </c>
      <c r="N2624" s="405" t="s">
        <v>19620</v>
      </c>
      <c r="O2624" s="405" t="s">
        <v>23795</v>
      </c>
      <c r="P2624" s="405" t="s">
        <v>23852</v>
      </c>
      <c r="Q2624" s="411">
        <v>13</v>
      </c>
      <c r="R2624" s="405" t="s">
        <v>6572</v>
      </c>
      <c r="S2624" s="405" t="s">
        <v>27161</v>
      </c>
      <c r="T2624" s="405" t="s">
        <v>32102</v>
      </c>
      <c r="U2624" s="405" t="s">
        <v>319</v>
      </c>
    </row>
    <row r="2625" spans="1:21" x14ac:dyDescent="0.25">
      <c r="A2625" s="405" t="s">
        <v>310</v>
      </c>
      <c r="B2625" s="405" t="s">
        <v>6755</v>
      </c>
      <c r="C2625" s="405" t="s">
        <v>327</v>
      </c>
      <c r="D2625" s="405"/>
      <c r="E2625" s="410">
        <v>43100</v>
      </c>
      <c r="F2625" s="410">
        <v>43132</v>
      </c>
      <c r="G2625" s="405" t="s">
        <v>6756</v>
      </c>
      <c r="H2625" s="405">
        <v>704514527</v>
      </c>
      <c r="I2625" s="405"/>
      <c r="J2625" s="405">
        <v>0.13339999999999999</v>
      </c>
      <c r="K2625" s="405">
        <v>32.141199999999998</v>
      </c>
      <c r="L2625" s="405" t="s">
        <v>314</v>
      </c>
      <c r="M2625" s="405" t="s">
        <v>321</v>
      </c>
      <c r="N2625" s="405" t="s">
        <v>6512</v>
      </c>
      <c r="O2625" s="405" t="s">
        <v>5626</v>
      </c>
      <c r="P2625" s="405" t="s">
        <v>6513</v>
      </c>
      <c r="Q2625" s="411">
        <v>6</v>
      </c>
      <c r="R2625" s="405" t="s">
        <v>414</v>
      </c>
      <c r="S2625" s="405" t="s">
        <v>414</v>
      </c>
      <c r="T2625" s="405" t="s">
        <v>32102</v>
      </c>
      <c r="U2625" s="405" t="s">
        <v>319</v>
      </c>
    </row>
    <row r="2626" spans="1:21" x14ac:dyDescent="0.25">
      <c r="A2626" s="405" t="s">
        <v>310</v>
      </c>
      <c r="B2626" s="405" t="s">
        <v>7304</v>
      </c>
      <c r="C2626" s="405" t="s">
        <v>311</v>
      </c>
      <c r="D2626" s="405" t="s">
        <v>1789</v>
      </c>
      <c r="E2626" s="410">
        <v>43099</v>
      </c>
      <c r="F2626" s="410">
        <v>43129</v>
      </c>
      <c r="G2626" s="405" t="s">
        <v>7305</v>
      </c>
      <c r="H2626" s="405">
        <v>705697870</v>
      </c>
      <c r="I2626" s="405"/>
      <c r="J2626" s="405">
        <v>0.34103800000000001</v>
      </c>
      <c r="K2626" s="405">
        <v>32.758915000000002</v>
      </c>
      <c r="L2626" s="405" t="s">
        <v>314</v>
      </c>
      <c r="M2626" s="405" t="s">
        <v>329</v>
      </c>
      <c r="N2626" s="405" t="s">
        <v>7306</v>
      </c>
      <c r="O2626" s="405" t="s">
        <v>6087</v>
      </c>
      <c r="P2626" s="405" t="s">
        <v>4468</v>
      </c>
      <c r="Q2626" s="411">
        <v>13</v>
      </c>
      <c r="R2626" s="405" t="s">
        <v>5986</v>
      </c>
      <c r="S2626" s="405" t="s">
        <v>27251</v>
      </c>
      <c r="T2626" s="405" t="s">
        <v>32102</v>
      </c>
      <c r="U2626" s="405" t="s">
        <v>319</v>
      </c>
    </row>
    <row r="2627" spans="1:21" x14ac:dyDescent="0.25">
      <c r="A2627" s="405" t="s">
        <v>310</v>
      </c>
      <c r="B2627" s="405" t="s">
        <v>23811</v>
      </c>
      <c r="C2627" s="405" t="s">
        <v>327</v>
      </c>
      <c r="D2627" s="405"/>
      <c r="E2627" s="410">
        <v>43098</v>
      </c>
      <c r="F2627" s="410">
        <v>43118</v>
      </c>
      <c r="G2627" s="405" t="s">
        <v>23812</v>
      </c>
      <c r="H2627" s="405">
        <v>703993658</v>
      </c>
      <c r="I2627" s="405"/>
      <c r="J2627" s="405">
        <v>0.98866600000000004</v>
      </c>
      <c r="K2627" s="405">
        <v>31.740924</v>
      </c>
      <c r="L2627" s="405" t="s">
        <v>590</v>
      </c>
      <c r="M2627" s="405" t="s">
        <v>1360</v>
      </c>
      <c r="N2627" s="405" t="s">
        <v>23813</v>
      </c>
      <c r="O2627" s="405" t="s">
        <v>3565</v>
      </c>
      <c r="P2627" s="405" t="s">
        <v>23814</v>
      </c>
      <c r="Q2627" s="411">
        <v>13</v>
      </c>
      <c r="R2627" s="405" t="s">
        <v>4176</v>
      </c>
      <c r="S2627" s="405" t="s">
        <v>27053</v>
      </c>
      <c r="T2627" s="405" t="s">
        <v>32102</v>
      </c>
      <c r="U2627" s="405" t="s">
        <v>319</v>
      </c>
    </row>
    <row r="2628" spans="1:21" x14ac:dyDescent="0.25">
      <c r="A2628" s="405" t="s">
        <v>310</v>
      </c>
      <c r="B2628" s="405" t="s">
        <v>23833</v>
      </c>
      <c r="C2628" s="405" t="s">
        <v>327</v>
      </c>
      <c r="D2628" s="405"/>
      <c r="E2628" s="410">
        <v>43098</v>
      </c>
      <c r="F2628" s="410">
        <v>43138</v>
      </c>
      <c r="G2628" s="405" t="s">
        <v>23834</v>
      </c>
      <c r="H2628" s="405">
        <v>786496013</v>
      </c>
      <c r="I2628" s="405"/>
      <c r="J2628" s="405">
        <v>-1.0365200000000001</v>
      </c>
      <c r="K2628" s="405">
        <v>30.336867000000002</v>
      </c>
      <c r="L2628" s="405" t="s">
        <v>590</v>
      </c>
      <c r="M2628" s="405" t="s">
        <v>19659</v>
      </c>
      <c r="N2628" s="405" t="s">
        <v>19664</v>
      </c>
      <c r="O2628" s="405" t="s">
        <v>23835</v>
      </c>
      <c r="P2628" s="405" t="s">
        <v>23836</v>
      </c>
      <c r="Q2628" s="411">
        <v>9</v>
      </c>
      <c r="R2628" s="405" t="s">
        <v>5858</v>
      </c>
      <c r="S2628" s="405" t="s">
        <v>27132</v>
      </c>
      <c r="T2628" s="405" t="s">
        <v>32102</v>
      </c>
      <c r="U2628" s="405" t="s">
        <v>319</v>
      </c>
    </row>
    <row r="2629" spans="1:21" x14ac:dyDescent="0.25">
      <c r="A2629" s="405" t="s">
        <v>310</v>
      </c>
      <c r="B2629" s="405" t="s">
        <v>23753</v>
      </c>
      <c r="C2629" s="405" t="s">
        <v>327</v>
      </c>
      <c r="D2629" s="405"/>
      <c r="E2629" s="410">
        <v>43098</v>
      </c>
      <c r="F2629" s="410">
        <v>43102</v>
      </c>
      <c r="G2629" s="405" t="s">
        <v>23754</v>
      </c>
      <c r="H2629" s="405">
        <v>777846697</v>
      </c>
      <c r="I2629" s="405"/>
      <c r="J2629" s="405">
        <v>-0.30958799999999997</v>
      </c>
      <c r="K2629" s="405">
        <v>30.732147999999999</v>
      </c>
      <c r="L2629" s="405" t="s">
        <v>590</v>
      </c>
      <c r="M2629" s="405" t="s">
        <v>19705</v>
      </c>
      <c r="N2629" s="405" t="s">
        <v>19706</v>
      </c>
      <c r="O2629" s="405" t="s">
        <v>21675</v>
      </c>
      <c r="P2629" s="405" t="s">
        <v>23750</v>
      </c>
      <c r="Q2629" s="411">
        <v>9</v>
      </c>
      <c r="R2629" s="405" t="s">
        <v>32166</v>
      </c>
      <c r="S2629" s="405" t="s">
        <v>27132</v>
      </c>
      <c r="T2629" s="405" t="s">
        <v>32102</v>
      </c>
      <c r="U2629" s="405" t="s">
        <v>319</v>
      </c>
    </row>
    <row r="2630" spans="1:21" x14ac:dyDescent="0.25">
      <c r="A2630" s="405" t="s">
        <v>310</v>
      </c>
      <c r="B2630" s="405" t="s">
        <v>23781</v>
      </c>
      <c r="C2630" s="405" t="s">
        <v>327</v>
      </c>
      <c r="D2630" s="405"/>
      <c r="E2630" s="410">
        <v>43097</v>
      </c>
      <c r="F2630" s="410">
        <v>43129</v>
      </c>
      <c r="G2630" s="405" t="s">
        <v>23782</v>
      </c>
      <c r="H2630" s="405">
        <v>779800828</v>
      </c>
      <c r="I2630" s="405">
        <v>704389588</v>
      </c>
      <c r="J2630" s="405">
        <v>-0.34100000000000003</v>
      </c>
      <c r="K2630" s="405">
        <v>30.365100000000002</v>
      </c>
      <c r="L2630" s="405" t="s">
        <v>590</v>
      </c>
      <c r="M2630" s="405" t="s">
        <v>19614</v>
      </c>
      <c r="N2630" s="405" t="s">
        <v>19873</v>
      </c>
      <c r="O2630" s="405" t="s">
        <v>23783</v>
      </c>
      <c r="P2630" s="405" t="s">
        <v>23684</v>
      </c>
      <c r="Q2630" s="411">
        <v>9</v>
      </c>
      <c r="R2630" s="405" t="s">
        <v>6572</v>
      </c>
      <c r="S2630" s="405" t="s">
        <v>27137</v>
      </c>
      <c r="T2630" s="405" t="s">
        <v>32102</v>
      </c>
      <c r="U2630" s="405" t="s">
        <v>319</v>
      </c>
    </row>
    <row r="2631" spans="1:21" x14ac:dyDescent="0.25">
      <c r="A2631" s="405" t="s">
        <v>310</v>
      </c>
      <c r="B2631" s="405" t="s">
        <v>23751</v>
      </c>
      <c r="C2631" s="405" t="s">
        <v>327</v>
      </c>
      <c r="D2631" s="405"/>
      <c r="E2631" s="410">
        <v>43097</v>
      </c>
      <c r="F2631" s="410">
        <v>43104</v>
      </c>
      <c r="G2631" s="405" t="s">
        <v>23752</v>
      </c>
      <c r="H2631" s="405">
        <v>786298409</v>
      </c>
      <c r="I2631" s="405"/>
      <c r="J2631" s="405">
        <v>-0.30258200000000002</v>
      </c>
      <c r="K2631" s="405">
        <v>30.718174999999999</v>
      </c>
      <c r="L2631" s="405" t="s">
        <v>590</v>
      </c>
      <c r="M2631" s="405" t="s">
        <v>19705</v>
      </c>
      <c r="N2631" s="405" t="s">
        <v>19706</v>
      </c>
      <c r="O2631" s="405" t="s">
        <v>19705</v>
      </c>
      <c r="P2631" s="405" t="s">
        <v>19705</v>
      </c>
      <c r="Q2631" s="411">
        <v>9</v>
      </c>
      <c r="R2631" s="405" t="s">
        <v>874</v>
      </c>
      <c r="S2631" s="405" t="s">
        <v>27172</v>
      </c>
      <c r="T2631" s="405" t="s">
        <v>32102</v>
      </c>
      <c r="U2631" s="405" t="s">
        <v>319</v>
      </c>
    </row>
    <row r="2632" spans="1:21" x14ac:dyDescent="0.25">
      <c r="A2632" s="405" t="s">
        <v>310</v>
      </c>
      <c r="B2632" s="405" t="s">
        <v>23799</v>
      </c>
      <c r="C2632" s="405" t="s">
        <v>327</v>
      </c>
      <c r="D2632" s="405"/>
      <c r="E2632" s="410">
        <v>43097</v>
      </c>
      <c r="F2632" s="410">
        <v>43103</v>
      </c>
      <c r="G2632" s="405" t="s">
        <v>23800</v>
      </c>
      <c r="H2632" s="405">
        <v>752509358</v>
      </c>
      <c r="I2632" s="405"/>
      <c r="J2632" s="405">
        <v>0.54359999999999997</v>
      </c>
      <c r="K2632" s="405">
        <v>30.503900000000002</v>
      </c>
      <c r="L2632" s="405" t="s">
        <v>590</v>
      </c>
      <c r="M2632" s="405" t="s">
        <v>879</v>
      </c>
      <c r="N2632" s="405" t="s">
        <v>20176</v>
      </c>
      <c r="O2632" s="405" t="s">
        <v>23801</v>
      </c>
      <c r="P2632" s="405" t="s">
        <v>23801</v>
      </c>
      <c r="Q2632" s="411">
        <v>9</v>
      </c>
      <c r="R2632" s="405" t="s">
        <v>883</v>
      </c>
      <c r="S2632" s="405" t="s">
        <v>27410</v>
      </c>
      <c r="T2632" s="405" t="s">
        <v>32102</v>
      </c>
      <c r="U2632" s="405" t="s">
        <v>319</v>
      </c>
    </row>
    <row r="2633" spans="1:21" x14ac:dyDescent="0.25">
      <c r="A2633" s="405" t="s">
        <v>310</v>
      </c>
      <c r="B2633" s="405" t="s">
        <v>6718</v>
      </c>
      <c r="C2633" s="405" t="s">
        <v>327</v>
      </c>
      <c r="D2633" s="405"/>
      <c r="E2633" s="410">
        <v>43096</v>
      </c>
      <c r="F2633" s="410">
        <v>43128</v>
      </c>
      <c r="G2633" s="405" t="s">
        <v>6719</v>
      </c>
      <c r="H2633" s="405">
        <v>751127686</v>
      </c>
      <c r="I2633" s="405"/>
      <c r="J2633" s="405">
        <v>-0.18579999999999999</v>
      </c>
      <c r="K2633" s="405">
        <v>31.384699999999999</v>
      </c>
      <c r="L2633" s="405" t="s">
        <v>314</v>
      </c>
      <c r="M2633" s="405" t="s">
        <v>1189</v>
      </c>
      <c r="N2633" s="405" t="s">
        <v>1189</v>
      </c>
      <c r="O2633" s="405" t="s">
        <v>1190</v>
      </c>
      <c r="P2633" s="405" t="s">
        <v>6720</v>
      </c>
      <c r="Q2633" s="411">
        <v>6</v>
      </c>
      <c r="R2633" s="405" t="s">
        <v>32101</v>
      </c>
      <c r="S2633" s="405" t="s">
        <v>27186</v>
      </c>
      <c r="T2633" s="405" t="s">
        <v>32102</v>
      </c>
      <c r="U2633" s="405" t="s">
        <v>319</v>
      </c>
    </row>
    <row r="2634" spans="1:21" x14ac:dyDescent="0.25">
      <c r="A2634" s="405" t="s">
        <v>310</v>
      </c>
      <c r="B2634" s="405" t="s">
        <v>19016</v>
      </c>
      <c r="C2634" s="405" t="s">
        <v>327</v>
      </c>
      <c r="D2634" s="405"/>
      <c r="E2634" s="410">
        <v>43092</v>
      </c>
      <c r="F2634" s="410">
        <v>43124</v>
      </c>
      <c r="G2634" s="405" t="s">
        <v>19017</v>
      </c>
      <c r="H2634" s="405">
        <v>772699118</v>
      </c>
      <c r="I2634" s="405">
        <v>77293058</v>
      </c>
      <c r="J2634" s="405">
        <v>0.85316499999999995</v>
      </c>
      <c r="K2634" s="405">
        <v>31.116249</v>
      </c>
      <c r="L2634" s="405" t="s">
        <v>860</v>
      </c>
      <c r="M2634" s="405" t="s">
        <v>19018</v>
      </c>
      <c r="N2634" s="405" t="s">
        <v>19019</v>
      </c>
      <c r="O2634" s="405" t="s">
        <v>19020</v>
      </c>
      <c r="P2634" s="405" t="s">
        <v>19020</v>
      </c>
      <c r="Q2634" s="411">
        <v>9</v>
      </c>
      <c r="R2634" s="405" t="s">
        <v>7224</v>
      </c>
      <c r="S2634" s="405" t="s">
        <v>27259</v>
      </c>
      <c r="T2634" s="405" t="s">
        <v>32102</v>
      </c>
      <c r="U2634" s="405" t="s">
        <v>319</v>
      </c>
    </row>
    <row r="2635" spans="1:21" x14ac:dyDescent="0.25">
      <c r="A2635" s="405" t="s">
        <v>310</v>
      </c>
      <c r="B2635" s="405" t="s">
        <v>23734</v>
      </c>
      <c r="C2635" s="405" t="s">
        <v>327</v>
      </c>
      <c r="D2635" s="405"/>
      <c r="E2635" s="410">
        <v>43092</v>
      </c>
      <c r="F2635" s="410">
        <v>43122</v>
      </c>
      <c r="G2635" s="405" t="s">
        <v>23735</v>
      </c>
      <c r="H2635" s="405">
        <v>789713999</v>
      </c>
      <c r="I2635" s="405">
        <v>782579929</v>
      </c>
      <c r="J2635" s="405">
        <v>-1.05392</v>
      </c>
      <c r="K2635" s="405">
        <v>30.164572</v>
      </c>
      <c r="L2635" s="405" t="s">
        <v>590</v>
      </c>
      <c r="M2635" s="405" t="s">
        <v>19659</v>
      </c>
      <c r="N2635" s="405" t="s">
        <v>19677</v>
      </c>
      <c r="O2635" s="405" t="s">
        <v>23736</v>
      </c>
      <c r="P2635" s="405" t="s">
        <v>23737</v>
      </c>
      <c r="Q2635" s="411">
        <v>9</v>
      </c>
      <c r="R2635" s="405" t="s">
        <v>6943</v>
      </c>
      <c r="S2635" s="405" t="s">
        <v>27065</v>
      </c>
      <c r="T2635" s="405" t="s">
        <v>32102</v>
      </c>
      <c r="U2635" s="405" t="s">
        <v>319</v>
      </c>
    </row>
    <row r="2636" spans="1:21" x14ac:dyDescent="0.25">
      <c r="A2636" s="405" t="s">
        <v>310</v>
      </c>
      <c r="B2636" s="405" t="s">
        <v>7234</v>
      </c>
      <c r="C2636" s="405" t="s">
        <v>857</v>
      </c>
      <c r="D2636" s="405" t="s">
        <v>1037</v>
      </c>
      <c r="E2636" s="410">
        <v>43092</v>
      </c>
      <c r="F2636" s="410">
        <v>43104</v>
      </c>
      <c r="G2636" s="405" t="s">
        <v>7235</v>
      </c>
      <c r="H2636" s="405">
        <v>772983958</v>
      </c>
      <c r="I2636" s="405"/>
      <c r="J2636" s="405">
        <v>0.23180000000000001</v>
      </c>
      <c r="K2636" s="405">
        <v>31.281500000000001</v>
      </c>
      <c r="L2636" s="405" t="s">
        <v>314</v>
      </c>
      <c r="M2636" s="405" t="s">
        <v>1189</v>
      </c>
      <c r="N2636" s="405" t="s">
        <v>1189</v>
      </c>
      <c r="O2636" s="405" t="s">
        <v>1189</v>
      </c>
      <c r="P2636" s="405" t="s">
        <v>1189</v>
      </c>
      <c r="Q2636" s="411">
        <v>6</v>
      </c>
      <c r="R2636" s="405" t="s">
        <v>4176</v>
      </c>
      <c r="S2636" s="405" t="s">
        <v>27036</v>
      </c>
      <c r="T2636" s="405" t="s">
        <v>32102</v>
      </c>
      <c r="U2636" s="405" t="s">
        <v>319</v>
      </c>
    </row>
    <row r="2637" spans="1:21" x14ac:dyDescent="0.25">
      <c r="A2637" s="405" t="s">
        <v>310</v>
      </c>
      <c r="B2637" s="405" t="s">
        <v>7291</v>
      </c>
      <c r="C2637" s="405" t="s">
        <v>311</v>
      </c>
      <c r="D2637" s="405" t="s">
        <v>312</v>
      </c>
      <c r="E2637" s="410">
        <v>43091</v>
      </c>
      <c r="F2637" s="410">
        <v>43123</v>
      </c>
      <c r="G2637" s="405" t="s">
        <v>7292</v>
      </c>
      <c r="H2637" s="405">
        <v>776087691</v>
      </c>
      <c r="I2637" s="405"/>
      <c r="J2637" s="405">
        <v>-0.21579999999999999</v>
      </c>
      <c r="K2637" s="405">
        <v>31.394300000000001</v>
      </c>
      <c r="L2637" s="405" t="s">
        <v>314</v>
      </c>
      <c r="M2637" s="405" t="s">
        <v>1189</v>
      </c>
      <c r="N2637" s="405" t="s">
        <v>1189</v>
      </c>
      <c r="O2637" s="405" t="s">
        <v>1190</v>
      </c>
      <c r="P2637" s="405" t="s">
        <v>5240</v>
      </c>
      <c r="Q2637" s="411">
        <v>6</v>
      </c>
      <c r="R2637" s="405" t="s">
        <v>32101</v>
      </c>
      <c r="S2637" s="405" t="s">
        <v>27186</v>
      </c>
      <c r="T2637" s="405" t="s">
        <v>32102</v>
      </c>
      <c r="U2637" s="405" t="s">
        <v>319</v>
      </c>
    </row>
    <row r="2638" spans="1:21" x14ac:dyDescent="0.25">
      <c r="A2638" s="405" t="s">
        <v>310</v>
      </c>
      <c r="B2638" s="405" t="s">
        <v>6714</v>
      </c>
      <c r="C2638" s="405" t="s">
        <v>327</v>
      </c>
      <c r="D2638" s="405"/>
      <c r="E2638" s="410">
        <v>43087</v>
      </c>
      <c r="F2638" s="410">
        <v>43126</v>
      </c>
      <c r="G2638" s="405" t="s">
        <v>6715</v>
      </c>
      <c r="H2638" s="405">
        <v>704902740</v>
      </c>
      <c r="I2638" s="405"/>
      <c r="J2638" s="405">
        <v>-0.27179999999999999</v>
      </c>
      <c r="K2638" s="405">
        <v>31.394200000000001</v>
      </c>
      <c r="L2638" s="405" t="s">
        <v>314</v>
      </c>
      <c r="M2638" s="405" t="s">
        <v>382</v>
      </c>
      <c r="N2638" s="405" t="s">
        <v>988</v>
      </c>
      <c r="O2638" s="405" t="s">
        <v>894</v>
      </c>
      <c r="P2638" s="405" t="s">
        <v>894</v>
      </c>
      <c r="Q2638" s="411">
        <v>6</v>
      </c>
      <c r="R2638" s="405" t="s">
        <v>32101</v>
      </c>
      <c r="S2638" s="405" t="s">
        <v>27181</v>
      </c>
      <c r="T2638" s="405" t="s">
        <v>32102</v>
      </c>
      <c r="U2638" s="405" t="s">
        <v>319</v>
      </c>
    </row>
    <row r="2639" spans="1:21" x14ac:dyDescent="0.25">
      <c r="A2639" s="405" t="s">
        <v>310</v>
      </c>
      <c r="B2639" s="405" t="s">
        <v>6716</v>
      </c>
      <c r="C2639" s="405" t="s">
        <v>327</v>
      </c>
      <c r="D2639" s="405"/>
      <c r="E2639" s="410">
        <v>43087</v>
      </c>
      <c r="F2639" s="410">
        <v>43119</v>
      </c>
      <c r="G2639" s="405" t="s">
        <v>6717</v>
      </c>
      <c r="H2639" s="405">
        <v>782771342</v>
      </c>
      <c r="I2639" s="405">
        <v>757693648</v>
      </c>
      <c r="J2639" s="405">
        <v>0.229772</v>
      </c>
      <c r="K2639" s="405">
        <v>32.177816999999997</v>
      </c>
      <c r="L2639" s="405" t="s">
        <v>314</v>
      </c>
      <c r="M2639" s="405" t="s">
        <v>315</v>
      </c>
      <c r="N2639" s="405" t="s">
        <v>315</v>
      </c>
      <c r="O2639" s="405" t="s">
        <v>315</v>
      </c>
      <c r="P2639" s="405" t="s">
        <v>1291</v>
      </c>
      <c r="Q2639" s="411">
        <v>6</v>
      </c>
      <c r="R2639" s="405" t="s">
        <v>32101</v>
      </c>
      <c r="S2639" s="405" t="s">
        <v>27041</v>
      </c>
      <c r="T2639" s="405" t="s">
        <v>32102</v>
      </c>
      <c r="U2639" s="405" t="s">
        <v>319</v>
      </c>
    </row>
    <row r="2640" spans="1:21" x14ac:dyDescent="0.25">
      <c r="A2640" s="405" t="s">
        <v>310</v>
      </c>
      <c r="B2640" s="405" t="s">
        <v>6680</v>
      </c>
      <c r="C2640" s="405" t="s">
        <v>327</v>
      </c>
      <c r="D2640" s="405"/>
      <c r="E2640" s="410">
        <v>43087</v>
      </c>
      <c r="F2640" s="410">
        <v>43119</v>
      </c>
      <c r="G2640" s="405" t="s">
        <v>6681</v>
      </c>
      <c r="H2640" s="405">
        <v>751643191</v>
      </c>
      <c r="I2640" s="405">
        <v>751252228</v>
      </c>
      <c r="J2640" s="405">
        <v>0.17319699999999999</v>
      </c>
      <c r="K2640" s="405">
        <v>32.797021999999998</v>
      </c>
      <c r="L2640" s="405" t="s">
        <v>314</v>
      </c>
      <c r="M2640" s="405" t="s">
        <v>349</v>
      </c>
      <c r="N2640" s="405" t="s">
        <v>803</v>
      </c>
      <c r="O2640" s="405" t="s">
        <v>909</v>
      </c>
      <c r="P2640" s="405" t="s">
        <v>6682</v>
      </c>
      <c r="Q2640" s="411">
        <v>6</v>
      </c>
      <c r="R2640" s="405" t="s">
        <v>4176</v>
      </c>
      <c r="S2640" s="405" t="s">
        <v>27193</v>
      </c>
      <c r="T2640" s="405" t="s">
        <v>32102</v>
      </c>
      <c r="U2640" s="405" t="s">
        <v>319</v>
      </c>
    </row>
    <row r="2641" spans="1:21" x14ac:dyDescent="0.25">
      <c r="A2641" s="405" t="s">
        <v>310</v>
      </c>
      <c r="B2641" s="405" t="s">
        <v>6690</v>
      </c>
      <c r="C2641" s="405" t="s">
        <v>327</v>
      </c>
      <c r="D2641" s="405"/>
      <c r="E2641" s="410">
        <v>43086</v>
      </c>
      <c r="F2641" s="410">
        <v>43118</v>
      </c>
      <c r="G2641" s="405" t="s">
        <v>6691</v>
      </c>
      <c r="H2641" s="405">
        <v>703762090</v>
      </c>
      <c r="I2641" s="405"/>
      <c r="J2641" s="405">
        <v>0.40561199999999997</v>
      </c>
      <c r="K2641" s="405">
        <v>32.443885000000002</v>
      </c>
      <c r="L2641" s="405" t="s">
        <v>314</v>
      </c>
      <c r="M2641" s="405" t="s">
        <v>361</v>
      </c>
      <c r="N2641" s="405" t="s">
        <v>361</v>
      </c>
      <c r="O2641" s="405" t="s">
        <v>6692</v>
      </c>
      <c r="P2641" s="405" t="s">
        <v>6692</v>
      </c>
      <c r="Q2641" s="411">
        <v>6</v>
      </c>
      <c r="R2641" s="405" t="s">
        <v>32101</v>
      </c>
      <c r="S2641" s="405" t="s">
        <v>27167</v>
      </c>
      <c r="T2641" s="405" t="s">
        <v>32102</v>
      </c>
      <c r="U2641" s="405" t="s">
        <v>319</v>
      </c>
    </row>
    <row r="2642" spans="1:21" x14ac:dyDescent="0.25">
      <c r="A2642" s="405" t="s">
        <v>310</v>
      </c>
      <c r="B2642" s="405" t="s">
        <v>6712</v>
      </c>
      <c r="C2642" s="405" t="s">
        <v>327</v>
      </c>
      <c r="D2642" s="405"/>
      <c r="E2642" s="410">
        <v>43086</v>
      </c>
      <c r="F2642" s="410">
        <v>43118</v>
      </c>
      <c r="G2642" s="405" t="s">
        <v>6713</v>
      </c>
      <c r="H2642" s="405">
        <v>702867625</v>
      </c>
      <c r="I2642" s="405"/>
      <c r="J2642" s="405">
        <v>-0.24590000000000001</v>
      </c>
      <c r="K2642" s="405">
        <v>31.395299999999999</v>
      </c>
      <c r="L2642" s="405" t="s">
        <v>314</v>
      </c>
      <c r="M2642" s="405" t="s">
        <v>382</v>
      </c>
      <c r="N2642" s="405" t="s">
        <v>988</v>
      </c>
      <c r="O2642" s="405" t="s">
        <v>894</v>
      </c>
      <c r="P2642" s="405" t="s">
        <v>6207</v>
      </c>
      <c r="Q2642" s="411">
        <v>6</v>
      </c>
      <c r="R2642" s="405" t="s">
        <v>32101</v>
      </c>
      <c r="S2642" s="405" t="s">
        <v>27186</v>
      </c>
      <c r="T2642" s="405" t="s">
        <v>32102</v>
      </c>
      <c r="U2642" s="405" t="s">
        <v>319</v>
      </c>
    </row>
    <row r="2643" spans="1:21" x14ac:dyDescent="0.25">
      <c r="A2643" s="405" t="s">
        <v>310</v>
      </c>
      <c r="B2643" s="405" t="s">
        <v>23774</v>
      </c>
      <c r="C2643" s="405" t="s">
        <v>327</v>
      </c>
      <c r="D2643" s="405"/>
      <c r="E2643" s="410">
        <v>43085</v>
      </c>
      <c r="F2643" s="410">
        <v>43117</v>
      </c>
      <c r="G2643" s="405" t="s">
        <v>23775</v>
      </c>
      <c r="H2643" s="405">
        <v>775225829</v>
      </c>
      <c r="I2643" s="405">
        <v>779090412</v>
      </c>
      <c r="J2643" s="405">
        <v>0.16289999999999999</v>
      </c>
      <c r="K2643" s="405" t="s">
        <v>23776</v>
      </c>
      <c r="L2643" s="405" t="s">
        <v>590</v>
      </c>
      <c r="M2643" s="405" t="s">
        <v>19614</v>
      </c>
      <c r="N2643" s="405" t="s">
        <v>20108</v>
      </c>
      <c r="O2643" s="405" t="s">
        <v>20108</v>
      </c>
      <c r="P2643" s="405" t="s">
        <v>23777</v>
      </c>
      <c r="Q2643" s="411">
        <v>9</v>
      </c>
      <c r="R2643" s="405" t="s">
        <v>6943</v>
      </c>
      <c r="S2643" s="405" t="s">
        <v>27181</v>
      </c>
      <c r="T2643" s="405" t="s">
        <v>32102</v>
      </c>
      <c r="U2643" s="405" t="s">
        <v>319</v>
      </c>
    </row>
    <row r="2644" spans="1:21" x14ac:dyDescent="0.25">
      <c r="A2644" s="405" t="s">
        <v>310</v>
      </c>
      <c r="B2644" s="405" t="s">
        <v>23796</v>
      </c>
      <c r="C2644" s="405" t="s">
        <v>327</v>
      </c>
      <c r="D2644" s="405"/>
      <c r="E2644" s="410">
        <v>43084</v>
      </c>
      <c r="F2644" s="410">
        <v>43116</v>
      </c>
      <c r="G2644" s="405" t="s">
        <v>23797</v>
      </c>
      <c r="H2644" s="405">
        <v>752853426</v>
      </c>
      <c r="I2644" s="405">
        <v>777352825</v>
      </c>
      <c r="J2644" s="405">
        <v>-0.94458500000000001</v>
      </c>
      <c r="K2644" s="405">
        <v>30.6951</v>
      </c>
      <c r="L2644" s="405" t="s">
        <v>590</v>
      </c>
      <c r="M2644" s="405" t="s">
        <v>879</v>
      </c>
      <c r="N2644" s="405" t="s">
        <v>20023</v>
      </c>
      <c r="O2644" s="405" t="s">
        <v>23798</v>
      </c>
      <c r="P2644" s="405" t="s">
        <v>22036</v>
      </c>
      <c r="Q2644" s="411">
        <v>9</v>
      </c>
      <c r="R2644" s="405" t="s">
        <v>883</v>
      </c>
      <c r="S2644" s="405" t="s">
        <v>27410</v>
      </c>
      <c r="T2644" s="405" t="s">
        <v>32102</v>
      </c>
      <c r="U2644" s="405" t="s">
        <v>319</v>
      </c>
    </row>
    <row r="2645" spans="1:21" x14ac:dyDescent="0.25">
      <c r="A2645" s="405" t="s">
        <v>310</v>
      </c>
      <c r="B2645" s="405" t="s">
        <v>23784</v>
      </c>
      <c r="C2645" s="405" t="s">
        <v>327</v>
      </c>
      <c r="D2645" s="405"/>
      <c r="E2645" s="410">
        <v>43084</v>
      </c>
      <c r="F2645" s="410">
        <v>43116</v>
      </c>
      <c r="G2645" s="405" t="s">
        <v>23785</v>
      </c>
      <c r="H2645" s="405">
        <v>752296691</v>
      </c>
      <c r="I2645" s="405"/>
      <c r="J2645" s="405">
        <v>-0.98179700000000003</v>
      </c>
      <c r="K2645" s="405">
        <v>30.962042</v>
      </c>
      <c r="L2645" s="405" t="s">
        <v>590</v>
      </c>
      <c r="M2645" s="405" t="s">
        <v>879</v>
      </c>
      <c r="N2645" s="405" t="s">
        <v>12376</v>
      </c>
      <c r="O2645" s="405" t="s">
        <v>21350</v>
      </c>
      <c r="P2645" s="405" t="s">
        <v>23786</v>
      </c>
      <c r="Q2645" s="411">
        <v>9</v>
      </c>
      <c r="R2645" s="405" t="s">
        <v>6572</v>
      </c>
      <c r="S2645" s="405" t="s">
        <v>27154</v>
      </c>
      <c r="T2645" s="405" t="s">
        <v>32102</v>
      </c>
      <c r="U2645" s="405" t="s">
        <v>319</v>
      </c>
    </row>
    <row r="2646" spans="1:21" x14ac:dyDescent="0.25">
      <c r="A2646" s="405" t="s">
        <v>310</v>
      </c>
      <c r="B2646" s="405" t="s">
        <v>23787</v>
      </c>
      <c r="C2646" s="405" t="s">
        <v>327</v>
      </c>
      <c r="D2646" s="405"/>
      <c r="E2646" s="410">
        <v>43084</v>
      </c>
      <c r="F2646" s="410">
        <v>43116</v>
      </c>
      <c r="G2646" s="405" t="s">
        <v>23788</v>
      </c>
      <c r="H2646" s="405">
        <v>701625581</v>
      </c>
      <c r="I2646" s="405"/>
      <c r="J2646" s="405">
        <v>-0.55744300000000002</v>
      </c>
      <c r="K2646" s="405">
        <v>30.716978000000001</v>
      </c>
      <c r="L2646" s="405" t="s">
        <v>590</v>
      </c>
      <c r="M2646" s="405" t="s">
        <v>19614</v>
      </c>
      <c r="N2646" s="405" t="s">
        <v>19873</v>
      </c>
      <c r="O2646" s="405" t="s">
        <v>20253</v>
      </c>
      <c r="P2646" s="405" t="s">
        <v>23789</v>
      </c>
      <c r="Q2646" s="411">
        <v>9</v>
      </c>
      <c r="R2646" s="405" t="s">
        <v>6572</v>
      </c>
      <c r="S2646" s="405" t="s">
        <v>27183</v>
      </c>
      <c r="T2646" s="405" t="s">
        <v>32102</v>
      </c>
      <c r="U2646" s="405" t="s">
        <v>319</v>
      </c>
    </row>
    <row r="2647" spans="1:21" x14ac:dyDescent="0.25">
      <c r="A2647" s="405" t="s">
        <v>310</v>
      </c>
      <c r="B2647" s="405" t="s">
        <v>24073</v>
      </c>
      <c r="C2647" s="405" t="s">
        <v>857</v>
      </c>
      <c r="D2647" s="405" t="s">
        <v>32755</v>
      </c>
      <c r="E2647" s="410">
        <v>43084</v>
      </c>
      <c r="F2647" s="410">
        <v>43116</v>
      </c>
      <c r="G2647" s="405" t="s">
        <v>24074</v>
      </c>
      <c r="H2647" s="405">
        <v>782448787</v>
      </c>
      <c r="I2647" s="405"/>
      <c r="J2647" s="405">
        <v>-0.98342700000000005</v>
      </c>
      <c r="K2647" s="405">
        <v>30.220693000000001</v>
      </c>
      <c r="L2647" s="405" t="s">
        <v>590</v>
      </c>
      <c r="M2647" s="405" t="s">
        <v>19659</v>
      </c>
      <c r="N2647" s="405" t="s">
        <v>23674</v>
      </c>
      <c r="O2647" s="405" t="s">
        <v>2084</v>
      </c>
      <c r="P2647" s="405" t="s">
        <v>2084</v>
      </c>
      <c r="Q2647" s="411">
        <v>9</v>
      </c>
      <c r="R2647" s="405" t="s">
        <v>6572</v>
      </c>
      <c r="S2647" s="405" t="s">
        <v>27098</v>
      </c>
      <c r="T2647" s="405" t="s">
        <v>32102</v>
      </c>
      <c r="U2647" s="405" t="s">
        <v>319</v>
      </c>
    </row>
    <row r="2648" spans="1:21" x14ac:dyDescent="0.25">
      <c r="A2648" s="405" t="s">
        <v>310</v>
      </c>
      <c r="B2648" s="405" t="s">
        <v>23790</v>
      </c>
      <c r="C2648" s="405" t="s">
        <v>327</v>
      </c>
      <c r="D2648" s="405"/>
      <c r="E2648" s="410">
        <v>43084</v>
      </c>
      <c r="F2648" s="410">
        <v>43116</v>
      </c>
      <c r="G2648" s="405" t="s">
        <v>23791</v>
      </c>
      <c r="H2648" s="405">
        <v>782846930</v>
      </c>
      <c r="I2648" s="405"/>
      <c r="J2648" s="405">
        <v>0.97671300000000005</v>
      </c>
      <c r="K2648" s="405">
        <v>30.270128</v>
      </c>
      <c r="L2648" s="405" t="s">
        <v>590</v>
      </c>
      <c r="M2648" s="405" t="s">
        <v>19659</v>
      </c>
      <c r="N2648" s="405" t="s">
        <v>19659</v>
      </c>
      <c r="O2648" s="405" t="s">
        <v>19659</v>
      </c>
      <c r="P2648" s="405" t="s">
        <v>23792</v>
      </c>
      <c r="Q2648" s="411">
        <v>9</v>
      </c>
      <c r="R2648" s="405" t="s">
        <v>6572</v>
      </c>
      <c r="S2648" s="405" t="s">
        <v>27098</v>
      </c>
      <c r="T2648" s="405" t="s">
        <v>32102</v>
      </c>
      <c r="U2648" s="405" t="s">
        <v>319</v>
      </c>
    </row>
    <row r="2649" spans="1:21" x14ac:dyDescent="0.25">
      <c r="A2649" s="405" t="s">
        <v>310</v>
      </c>
      <c r="B2649" s="405" t="s">
        <v>23719</v>
      </c>
      <c r="C2649" s="405" t="s">
        <v>327</v>
      </c>
      <c r="D2649" s="405"/>
      <c r="E2649" s="410">
        <v>43084</v>
      </c>
      <c r="F2649" s="410">
        <v>43111</v>
      </c>
      <c r="G2649" s="405" t="s">
        <v>23720</v>
      </c>
      <c r="H2649" s="405">
        <v>779791715</v>
      </c>
      <c r="I2649" s="405" t="s">
        <v>23721</v>
      </c>
      <c r="J2649" s="405">
        <v>-0.60855000000000004</v>
      </c>
      <c r="K2649" s="405">
        <v>30.570126999999999</v>
      </c>
      <c r="L2649" s="405" t="s">
        <v>590</v>
      </c>
      <c r="M2649" s="405" t="s">
        <v>19614</v>
      </c>
      <c r="N2649" s="405" t="s">
        <v>19654</v>
      </c>
      <c r="O2649" s="405" t="s">
        <v>22564</v>
      </c>
      <c r="P2649" s="405" t="s">
        <v>20417</v>
      </c>
      <c r="Q2649" s="411">
        <v>9</v>
      </c>
      <c r="R2649" s="405" t="s">
        <v>6943</v>
      </c>
      <c r="S2649" s="405" t="s">
        <v>27098</v>
      </c>
      <c r="T2649" s="405" t="s">
        <v>32102</v>
      </c>
      <c r="U2649" s="405" t="s">
        <v>319</v>
      </c>
    </row>
    <row r="2650" spans="1:21" x14ac:dyDescent="0.25">
      <c r="A2650" s="405" t="s">
        <v>310</v>
      </c>
      <c r="B2650" s="405" t="s">
        <v>23731</v>
      </c>
      <c r="C2650" s="405" t="s">
        <v>327</v>
      </c>
      <c r="D2650" s="405"/>
      <c r="E2650" s="410">
        <v>43084</v>
      </c>
      <c r="F2650" s="410">
        <v>43111</v>
      </c>
      <c r="G2650" s="405" t="s">
        <v>23732</v>
      </c>
      <c r="H2650" s="405">
        <v>752990796</v>
      </c>
      <c r="I2650" s="405"/>
      <c r="J2650" s="405">
        <v>-0.91100499999999995</v>
      </c>
      <c r="K2650" s="405">
        <v>30.838868000000002</v>
      </c>
      <c r="L2650" s="405" t="s">
        <v>590</v>
      </c>
      <c r="M2650" s="405" t="s">
        <v>19614</v>
      </c>
      <c r="N2650" s="405" t="s">
        <v>12376</v>
      </c>
      <c r="O2650" s="405" t="s">
        <v>20176</v>
      </c>
      <c r="P2650" s="405" t="s">
        <v>23733</v>
      </c>
      <c r="Q2650" s="411">
        <v>9</v>
      </c>
      <c r="R2650" s="405" t="s">
        <v>6943</v>
      </c>
      <c r="S2650" s="405" t="s">
        <v>27104</v>
      </c>
      <c r="T2650" s="405" t="s">
        <v>32102</v>
      </c>
      <c r="U2650" s="405" t="s">
        <v>319</v>
      </c>
    </row>
    <row r="2651" spans="1:21" x14ac:dyDescent="0.25">
      <c r="A2651" s="405" t="s">
        <v>310</v>
      </c>
      <c r="B2651" s="405" t="s">
        <v>23725</v>
      </c>
      <c r="C2651" s="405" t="s">
        <v>857</v>
      </c>
      <c r="D2651" s="405" t="s">
        <v>32756</v>
      </c>
      <c r="E2651" s="410">
        <v>43084</v>
      </c>
      <c r="F2651" s="410">
        <v>43111</v>
      </c>
      <c r="G2651" s="405" t="s">
        <v>23726</v>
      </c>
      <c r="H2651" s="405">
        <v>782921047</v>
      </c>
      <c r="I2651" s="405">
        <v>753410797</v>
      </c>
      <c r="J2651" s="405">
        <v>-0.65265200000000001</v>
      </c>
      <c r="K2651" s="405">
        <v>30.595507000000001</v>
      </c>
      <c r="L2651" s="405" t="s">
        <v>590</v>
      </c>
      <c r="M2651" s="405" t="s">
        <v>19614</v>
      </c>
      <c r="N2651" s="405" t="s">
        <v>19873</v>
      </c>
      <c r="O2651" s="405" t="s">
        <v>22564</v>
      </c>
      <c r="P2651" s="405" t="s">
        <v>23727</v>
      </c>
      <c r="Q2651" s="411">
        <v>9</v>
      </c>
      <c r="R2651" s="405" t="s">
        <v>6943</v>
      </c>
      <c r="S2651" s="405" t="s">
        <v>27394</v>
      </c>
      <c r="T2651" s="405" t="s">
        <v>32102</v>
      </c>
      <c r="U2651" s="405" t="s">
        <v>319</v>
      </c>
    </row>
    <row r="2652" spans="1:21" x14ac:dyDescent="0.25">
      <c r="A2652" s="405" t="s">
        <v>310</v>
      </c>
      <c r="B2652" s="405" t="s">
        <v>6678</v>
      </c>
      <c r="C2652" s="405" t="s">
        <v>327</v>
      </c>
      <c r="D2652" s="405"/>
      <c r="E2652" s="410">
        <v>43084</v>
      </c>
      <c r="F2652" s="410">
        <v>43123</v>
      </c>
      <c r="G2652" s="405" t="s">
        <v>6679</v>
      </c>
      <c r="H2652" s="405">
        <v>752581240</v>
      </c>
      <c r="I2652" s="405">
        <v>787455214</v>
      </c>
      <c r="J2652" s="405">
        <v>-0.82628000000000001</v>
      </c>
      <c r="K2652" s="405">
        <v>29.956420000000001</v>
      </c>
      <c r="L2652" s="405" t="s">
        <v>314</v>
      </c>
      <c r="M2652" s="405" t="s">
        <v>329</v>
      </c>
      <c r="N2652" s="405" t="s">
        <v>1107</v>
      </c>
      <c r="O2652" s="405" t="s">
        <v>909</v>
      </c>
      <c r="P2652" s="405" t="s">
        <v>6408</v>
      </c>
      <c r="Q2652" s="411">
        <v>6</v>
      </c>
      <c r="R2652" s="405" t="s">
        <v>4176</v>
      </c>
      <c r="S2652" s="405" t="s">
        <v>27193</v>
      </c>
      <c r="T2652" s="405" t="s">
        <v>32102</v>
      </c>
      <c r="U2652" s="405" t="s">
        <v>319</v>
      </c>
    </row>
    <row r="2653" spans="1:21" x14ac:dyDescent="0.25">
      <c r="A2653" s="405" t="s">
        <v>310</v>
      </c>
      <c r="B2653" s="405" t="s">
        <v>23765</v>
      </c>
      <c r="C2653" s="405" t="s">
        <v>327</v>
      </c>
      <c r="D2653" s="405"/>
      <c r="E2653" s="410">
        <v>43083</v>
      </c>
      <c r="F2653" s="410">
        <v>43115</v>
      </c>
      <c r="G2653" s="405" t="s">
        <v>23766</v>
      </c>
      <c r="H2653" s="405">
        <v>756450852</v>
      </c>
      <c r="I2653" s="405"/>
      <c r="J2653" s="405">
        <v>-0.73251299999999997</v>
      </c>
      <c r="K2653" s="405">
        <v>30.711006999999999</v>
      </c>
      <c r="L2653" s="405" t="s">
        <v>590</v>
      </c>
      <c r="M2653" s="405" t="s">
        <v>879</v>
      </c>
      <c r="N2653" s="405" t="s">
        <v>879</v>
      </c>
      <c r="O2653" s="405" t="s">
        <v>20737</v>
      </c>
      <c r="P2653" s="405" t="s">
        <v>23767</v>
      </c>
      <c r="Q2653" s="411">
        <v>9</v>
      </c>
      <c r="R2653" s="405" t="s">
        <v>32166</v>
      </c>
      <c r="S2653" s="405" t="s">
        <v>27205</v>
      </c>
      <c r="T2653" s="405" t="s">
        <v>32102</v>
      </c>
      <c r="U2653" s="405" t="s">
        <v>319</v>
      </c>
    </row>
    <row r="2654" spans="1:21" x14ac:dyDescent="0.25">
      <c r="A2654" s="405" t="s">
        <v>310</v>
      </c>
      <c r="B2654" s="405" t="s">
        <v>24068</v>
      </c>
      <c r="C2654" s="405" t="s">
        <v>311</v>
      </c>
      <c r="D2654" s="405" t="s">
        <v>24069</v>
      </c>
      <c r="E2654" s="410">
        <v>43083</v>
      </c>
      <c r="F2654" s="410">
        <v>43115</v>
      </c>
      <c r="G2654" s="405" t="s">
        <v>24070</v>
      </c>
      <c r="H2654" s="405">
        <v>774510616</v>
      </c>
      <c r="I2654" s="405"/>
      <c r="J2654" s="405">
        <v>-0.59753199999999995</v>
      </c>
      <c r="K2654" s="405">
        <v>30.654170000000001</v>
      </c>
      <c r="L2654" s="405" t="s">
        <v>590</v>
      </c>
      <c r="M2654" s="405" t="s">
        <v>879</v>
      </c>
      <c r="N2654" s="405" t="s">
        <v>879</v>
      </c>
      <c r="O2654" s="405" t="s">
        <v>24071</v>
      </c>
      <c r="P2654" s="405" t="s">
        <v>24072</v>
      </c>
      <c r="Q2654" s="411">
        <v>9</v>
      </c>
      <c r="R2654" s="405" t="s">
        <v>32166</v>
      </c>
      <c r="S2654" s="405" t="s">
        <v>27132</v>
      </c>
      <c r="T2654" s="405" t="s">
        <v>32102</v>
      </c>
      <c r="U2654" s="405" t="s">
        <v>319</v>
      </c>
    </row>
    <row r="2655" spans="1:21" x14ac:dyDescent="0.25">
      <c r="A2655" s="405" t="s">
        <v>310</v>
      </c>
      <c r="B2655" s="405" t="s">
        <v>16452</v>
      </c>
      <c r="C2655" s="405" t="s">
        <v>857</v>
      </c>
      <c r="D2655" s="405" t="s">
        <v>4394</v>
      </c>
      <c r="E2655" s="410">
        <v>43082</v>
      </c>
      <c r="F2655" s="410">
        <v>43121</v>
      </c>
      <c r="G2655" s="405" t="s">
        <v>16453</v>
      </c>
      <c r="H2655" s="405">
        <v>775162479</v>
      </c>
      <c r="I2655" s="405"/>
      <c r="J2655" s="405">
        <v>0.82290200000000002</v>
      </c>
      <c r="K2655" s="405">
        <v>34.295557000000002</v>
      </c>
      <c r="L2655" s="405" t="s">
        <v>6866</v>
      </c>
      <c r="M2655" s="405" t="s">
        <v>9763</v>
      </c>
      <c r="N2655" s="405" t="s">
        <v>9764</v>
      </c>
      <c r="O2655" s="405" t="s">
        <v>10880</v>
      </c>
      <c r="P2655" s="405" t="s">
        <v>10880</v>
      </c>
      <c r="Q2655" s="411">
        <v>13</v>
      </c>
      <c r="R2655" s="405" t="s">
        <v>6871</v>
      </c>
      <c r="S2655" s="405" t="s">
        <v>27306</v>
      </c>
      <c r="T2655" s="405" t="s">
        <v>32102</v>
      </c>
      <c r="U2655" s="405" t="s">
        <v>319</v>
      </c>
    </row>
    <row r="2656" spans="1:21" x14ac:dyDescent="0.25">
      <c r="A2656" s="405" t="s">
        <v>310</v>
      </c>
      <c r="B2656" s="405" t="s">
        <v>24038</v>
      </c>
      <c r="C2656" s="405" t="s">
        <v>857</v>
      </c>
      <c r="D2656" s="405" t="s">
        <v>1037</v>
      </c>
      <c r="E2656" s="410">
        <v>43082</v>
      </c>
      <c r="F2656" s="410">
        <v>43114</v>
      </c>
      <c r="G2656" s="405" t="s">
        <v>24039</v>
      </c>
      <c r="H2656" s="405">
        <v>755546801</v>
      </c>
      <c r="I2656" s="405"/>
      <c r="J2656" s="405">
        <v>-0.72444699999999995</v>
      </c>
      <c r="K2656" s="405">
        <v>30.640398000000001</v>
      </c>
      <c r="L2656" s="405" t="s">
        <v>590</v>
      </c>
      <c r="M2656" s="405" t="s">
        <v>879</v>
      </c>
      <c r="N2656" s="405" t="s">
        <v>879</v>
      </c>
      <c r="O2656" s="405" t="s">
        <v>20737</v>
      </c>
      <c r="P2656" s="405" t="s">
        <v>24040</v>
      </c>
      <c r="Q2656" s="411">
        <v>9</v>
      </c>
      <c r="R2656" s="405" t="s">
        <v>883</v>
      </c>
      <c r="S2656" s="405" t="s">
        <v>27243</v>
      </c>
      <c r="T2656" s="405" t="s">
        <v>32102</v>
      </c>
      <c r="U2656" s="405" t="s">
        <v>319</v>
      </c>
    </row>
    <row r="2657" spans="1:21" x14ac:dyDescent="0.25">
      <c r="A2657" s="405" t="s">
        <v>310</v>
      </c>
      <c r="B2657" s="405" t="s">
        <v>24035</v>
      </c>
      <c r="C2657" s="405" t="s">
        <v>311</v>
      </c>
      <c r="D2657" s="405" t="s">
        <v>312</v>
      </c>
      <c r="E2657" s="410">
        <v>43082</v>
      </c>
      <c r="F2657" s="410">
        <v>43114</v>
      </c>
      <c r="G2657" s="405" t="s">
        <v>24036</v>
      </c>
      <c r="H2657" s="405">
        <v>787308734</v>
      </c>
      <c r="I2657" s="405"/>
      <c r="J2657" s="405">
        <v>-0.29916500000000001</v>
      </c>
      <c r="K2657" s="405">
        <v>30.521657999999999</v>
      </c>
      <c r="L2657" s="405" t="s">
        <v>590</v>
      </c>
      <c r="M2657" s="405" t="s">
        <v>19614</v>
      </c>
      <c r="N2657" s="405" t="s">
        <v>19615</v>
      </c>
      <c r="O2657" s="405" t="s">
        <v>19615</v>
      </c>
      <c r="P2657" s="405" t="s">
        <v>24037</v>
      </c>
      <c r="Q2657" s="411">
        <v>9</v>
      </c>
      <c r="R2657" s="405" t="s">
        <v>883</v>
      </c>
      <c r="S2657" s="405" t="s">
        <v>27181</v>
      </c>
      <c r="T2657" s="405" t="s">
        <v>32102</v>
      </c>
      <c r="U2657" s="405" t="s">
        <v>319</v>
      </c>
    </row>
    <row r="2658" spans="1:21" x14ac:dyDescent="0.25">
      <c r="A2658" s="405" t="s">
        <v>310</v>
      </c>
      <c r="B2658" s="405" t="s">
        <v>23805</v>
      </c>
      <c r="C2658" s="405" t="s">
        <v>327</v>
      </c>
      <c r="D2658" s="405"/>
      <c r="E2658" s="410">
        <v>43082</v>
      </c>
      <c r="F2658" s="410">
        <v>43114</v>
      </c>
      <c r="G2658" s="405" t="s">
        <v>23806</v>
      </c>
      <c r="H2658" s="405">
        <v>773265221</v>
      </c>
      <c r="I2658" s="405">
        <v>777847523</v>
      </c>
      <c r="J2658" s="405">
        <v>-0.277945</v>
      </c>
      <c r="K2658" s="405">
        <v>30.535993000000001</v>
      </c>
      <c r="L2658" s="405" t="s">
        <v>590</v>
      </c>
      <c r="M2658" s="405" t="s">
        <v>19614</v>
      </c>
      <c r="N2658" s="405" t="s">
        <v>19615</v>
      </c>
      <c r="O2658" s="405" t="s">
        <v>20108</v>
      </c>
      <c r="P2658" s="405" t="s">
        <v>23807</v>
      </c>
      <c r="Q2658" s="411">
        <v>9</v>
      </c>
      <c r="R2658" s="405" t="s">
        <v>883</v>
      </c>
      <c r="S2658" s="405" t="s">
        <v>27104</v>
      </c>
      <c r="T2658" s="405" t="s">
        <v>32102</v>
      </c>
      <c r="U2658" s="405" t="s">
        <v>319</v>
      </c>
    </row>
    <row r="2659" spans="1:21" x14ac:dyDescent="0.25">
      <c r="A2659" s="405" t="s">
        <v>310</v>
      </c>
      <c r="B2659" s="405" t="s">
        <v>24016</v>
      </c>
      <c r="C2659" s="405" t="s">
        <v>311</v>
      </c>
      <c r="D2659" s="405" t="s">
        <v>839</v>
      </c>
      <c r="E2659" s="410">
        <v>43082</v>
      </c>
      <c r="F2659" s="410">
        <v>43114</v>
      </c>
      <c r="G2659" s="405" t="s">
        <v>24017</v>
      </c>
      <c r="H2659" s="405">
        <v>783105734</v>
      </c>
      <c r="I2659" s="405"/>
      <c r="J2659" s="405">
        <v>0.39290000000000003</v>
      </c>
      <c r="K2659" s="405">
        <v>30.1647</v>
      </c>
      <c r="L2659" s="405" t="s">
        <v>590</v>
      </c>
      <c r="M2659" s="405" t="s">
        <v>20125</v>
      </c>
      <c r="N2659" s="405" t="s">
        <v>20125</v>
      </c>
      <c r="O2659" s="405" t="s">
        <v>20853</v>
      </c>
      <c r="P2659" s="405" t="s">
        <v>24018</v>
      </c>
      <c r="Q2659" s="411">
        <v>6</v>
      </c>
      <c r="R2659" s="405" t="s">
        <v>5665</v>
      </c>
      <c r="S2659" s="405" t="s">
        <v>27046</v>
      </c>
      <c r="T2659" s="405" t="s">
        <v>32102</v>
      </c>
      <c r="U2659" s="405" t="s">
        <v>319</v>
      </c>
    </row>
    <row r="2660" spans="1:21" x14ac:dyDescent="0.25">
      <c r="A2660" s="405" t="s">
        <v>310</v>
      </c>
      <c r="B2660" s="405" t="s">
        <v>23759</v>
      </c>
      <c r="C2660" s="405" t="s">
        <v>327</v>
      </c>
      <c r="D2660" s="405"/>
      <c r="E2660" s="410">
        <v>43081</v>
      </c>
      <c r="F2660" s="410">
        <v>43113</v>
      </c>
      <c r="G2660" s="405" t="s">
        <v>23760</v>
      </c>
      <c r="H2660" s="405">
        <v>759752650</v>
      </c>
      <c r="I2660" s="405"/>
      <c r="J2660" s="405">
        <v>-0.974688</v>
      </c>
      <c r="K2660" s="405">
        <v>30.812125000000002</v>
      </c>
      <c r="L2660" s="405" t="s">
        <v>590</v>
      </c>
      <c r="M2660" s="405" t="s">
        <v>879</v>
      </c>
      <c r="N2660" s="405" t="s">
        <v>12376</v>
      </c>
      <c r="O2660" s="405" t="s">
        <v>7901</v>
      </c>
      <c r="P2660" s="405" t="s">
        <v>23761</v>
      </c>
      <c r="Q2660" s="411">
        <v>9</v>
      </c>
      <c r="R2660" s="405" t="s">
        <v>32166</v>
      </c>
      <c r="S2660" s="405" t="s">
        <v>27227</v>
      </c>
      <c r="T2660" s="405" t="s">
        <v>32102</v>
      </c>
      <c r="U2660" s="405" t="s">
        <v>319</v>
      </c>
    </row>
    <row r="2661" spans="1:21" x14ac:dyDescent="0.25">
      <c r="A2661" s="405" t="s">
        <v>310</v>
      </c>
      <c r="B2661" s="405" t="s">
        <v>23728</v>
      </c>
      <c r="C2661" s="405" t="s">
        <v>327</v>
      </c>
      <c r="D2661" s="405"/>
      <c r="E2661" s="410">
        <v>43081</v>
      </c>
      <c r="F2661" s="410">
        <v>43111</v>
      </c>
      <c r="G2661" s="405" t="s">
        <v>23729</v>
      </c>
      <c r="H2661" s="405">
        <v>782529036</v>
      </c>
      <c r="I2661" s="405"/>
      <c r="J2661" s="405">
        <v>-1.019765</v>
      </c>
      <c r="K2661" s="405">
        <v>30.597055000000001</v>
      </c>
      <c r="L2661" s="405" t="s">
        <v>590</v>
      </c>
      <c r="M2661" s="405" t="s">
        <v>879</v>
      </c>
      <c r="N2661" s="405" t="s">
        <v>20023</v>
      </c>
      <c r="O2661" s="405" t="s">
        <v>20226</v>
      </c>
      <c r="P2661" s="405" t="s">
        <v>23730</v>
      </c>
      <c r="Q2661" s="411">
        <v>9</v>
      </c>
      <c r="R2661" s="405" t="s">
        <v>6943</v>
      </c>
      <c r="S2661" s="405" t="s">
        <v>27154</v>
      </c>
      <c r="T2661" s="405" t="s">
        <v>32102</v>
      </c>
      <c r="U2661" s="405" t="s">
        <v>319</v>
      </c>
    </row>
    <row r="2662" spans="1:21" x14ac:dyDescent="0.25">
      <c r="A2662" s="405" t="s">
        <v>310</v>
      </c>
      <c r="B2662" s="405" t="s">
        <v>6676</v>
      </c>
      <c r="C2662" s="405" t="s">
        <v>327</v>
      </c>
      <c r="D2662" s="405"/>
      <c r="E2662" s="410">
        <v>43081</v>
      </c>
      <c r="F2662" s="410">
        <v>43120</v>
      </c>
      <c r="G2662" s="405" t="s">
        <v>6677</v>
      </c>
      <c r="H2662" s="405">
        <v>752865814</v>
      </c>
      <c r="I2662" s="405"/>
      <c r="J2662" s="405">
        <v>0.15393200000000001</v>
      </c>
      <c r="K2662" s="405">
        <v>32.819437999999998</v>
      </c>
      <c r="L2662" s="405" t="s">
        <v>314</v>
      </c>
      <c r="M2662" s="405" t="s">
        <v>329</v>
      </c>
      <c r="N2662" s="405" t="s">
        <v>1107</v>
      </c>
      <c r="O2662" s="405" t="s">
        <v>909</v>
      </c>
      <c r="P2662" s="405" t="s">
        <v>6408</v>
      </c>
      <c r="Q2662" s="411">
        <v>6</v>
      </c>
      <c r="R2662" s="405" t="s">
        <v>4176</v>
      </c>
      <c r="S2662" s="405" t="s">
        <v>27193</v>
      </c>
      <c r="T2662" s="405" t="s">
        <v>32102</v>
      </c>
      <c r="U2662" s="405" t="s">
        <v>319</v>
      </c>
    </row>
    <row r="2663" spans="1:21" x14ac:dyDescent="0.25">
      <c r="A2663" s="405" t="s">
        <v>310</v>
      </c>
      <c r="B2663" s="405" t="s">
        <v>6709</v>
      </c>
      <c r="C2663" s="405" t="s">
        <v>327</v>
      </c>
      <c r="D2663" s="405"/>
      <c r="E2663" s="410">
        <v>43081</v>
      </c>
      <c r="F2663" s="410">
        <v>43113</v>
      </c>
      <c r="G2663" s="405" t="s">
        <v>6710</v>
      </c>
      <c r="H2663" s="405">
        <v>706947305</v>
      </c>
      <c r="I2663" s="405"/>
      <c r="J2663" s="405">
        <v>-0.2445</v>
      </c>
      <c r="K2663" s="405">
        <v>31.408000000000001</v>
      </c>
      <c r="L2663" s="405" t="s">
        <v>314</v>
      </c>
      <c r="M2663" s="405" t="s">
        <v>382</v>
      </c>
      <c r="N2663" s="405" t="s">
        <v>988</v>
      </c>
      <c r="O2663" s="405" t="s">
        <v>894</v>
      </c>
      <c r="P2663" s="405" t="s">
        <v>6711</v>
      </c>
      <c r="Q2663" s="411">
        <v>6</v>
      </c>
      <c r="R2663" s="405" t="s">
        <v>32101</v>
      </c>
      <c r="S2663" s="405" t="s">
        <v>27181</v>
      </c>
      <c r="T2663" s="405" t="s">
        <v>32102</v>
      </c>
      <c r="U2663" s="405" t="s">
        <v>319</v>
      </c>
    </row>
    <row r="2664" spans="1:21" x14ac:dyDescent="0.25">
      <c r="A2664" s="405" t="s">
        <v>310</v>
      </c>
      <c r="B2664" s="405" t="s">
        <v>6706</v>
      </c>
      <c r="C2664" s="405" t="s">
        <v>327</v>
      </c>
      <c r="D2664" s="405"/>
      <c r="E2664" s="410">
        <v>43080</v>
      </c>
      <c r="F2664" s="410">
        <v>43119</v>
      </c>
      <c r="G2664" s="405" t="s">
        <v>6707</v>
      </c>
      <c r="H2664" s="405">
        <v>758003105</v>
      </c>
      <c r="I2664" s="405"/>
      <c r="J2664" s="405">
        <v>-0.2424</v>
      </c>
      <c r="K2664" s="405">
        <v>31.391300000000001</v>
      </c>
      <c r="L2664" s="405" t="s">
        <v>314</v>
      </c>
      <c r="M2664" s="405" t="s">
        <v>382</v>
      </c>
      <c r="N2664" s="405" t="s">
        <v>988</v>
      </c>
      <c r="O2664" s="405" t="s">
        <v>894</v>
      </c>
      <c r="P2664" s="405" t="s">
        <v>6708</v>
      </c>
      <c r="Q2664" s="411">
        <v>6</v>
      </c>
      <c r="R2664" s="405" t="s">
        <v>32101</v>
      </c>
      <c r="S2664" s="405" t="s">
        <v>27186</v>
      </c>
      <c r="T2664" s="405" t="s">
        <v>32102</v>
      </c>
      <c r="U2664" s="405" t="s">
        <v>319</v>
      </c>
    </row>
    <row r="2665" spans="1:21" x14ac:dyDescent="0.25">
      <c r="A2665" s="405" t="s">
        <v>310</v>
      </c>
      <c r="B2665" s="405" t="s">
        <v>24236</v>
      </c>
      <c r="C2665" s="405" t="s">
        <v>327</v>
      </c>
      <c r="D2665" s="405"/>
      <c r="E2665" s="410">
        <v>43079</v>
      </c>
      <c r="F2665" s="410">
        <v>43286</v>
      </c>
      <c r="G2665" s="405" t="s">
        <v>24237</v>
      </c>
      <c r="H2665" s="405">
        <v>752622967</v>
      </c>
      <c r="I2665" s="405">
        <v>776622967</v>
      </c>
      <c r="J2665" s="405">
        <v>0.53363300000000002</v>
      </c>
      <c r="K2665" s="405">
        <v>30.692083</v>
      </c>
      <c r="L2665" s="405" t="s">
        <v>590</v>
      </c>
      <c r="M2665" s="405" t="s">
        <v>19614</v>
      </c>
      <c r="N2665" s="405" t="s">
        <v>19873</v>
      </c>
      <c r="O2665" s="405" t="s">
        <v>20253</v>
      </c>
      <c r="P2665" s="405" t="s">
        <v>19923</v>
      </c>
      <c r="Q2665" s="411">
        <v>9</v>
      </c>
      <c r="R2665" s="405" t="s">
        <v>5858</v>
      </c>
      <c r="S2665" s="405" t="s">
        <v>27401</v>
      </c>
      <c r="T2665" s="405" t="s">
        <v>32102</v>
      </c>
      <c r="U2665" s="405" t="s">
        <v>319</v>
      </c>
    </row>
    <row r="2666" spans="1:21" x14ac:dyDescent="0.25">
      <c r="A2666" s="405" t="s">
        <v>310</v>
      </c>
      <c r="B2666" s="405" t="s">
        <v>23762</v>
      </c>
      <c r="C2666" s="405" t="s">
        <v>327</v>
      </c>
      <c r="D2666" s="405"/>
      <c r="E2666" s="410">
        <v>43079</v>
      </c>
      <c r="F2666" s="410">
        <v>43111</v>
      </c>
      <c r="G2666" s="405" t="s">
        <v>23763</v>
      </c>
      <c r="H2666" s="405">
        <v>783125968</v>
      </c>
      <c r="I2666" s="405"/>
      <c r="J2666" s="405">
        <v>-0.52334199999999997</v>
      </c>
      <c r="K2666" s="405">
        <v>30.756822</v>
      </c>
      <c r="L2666" s="405" t="s">
        <v>590</v>
      </c>
      <c r="M2666" s="405" t="s">
        <v>19614</v>
      </c>
      <c r="N2666" s="405" t="s">
        <v>19615</v>
      </c>
      <c r="O2666" s="405" t="s">
        <v>20253</v>
      </c>
      <c r="P2666" s="405" t="s">
        <v>23764</v>
      </c>
      <c r="Q2666" s="411">
        <v>9</v>
      </c>
      <c r="R2666" s="405" t="s">
        <v>32166</v>
      </c>
      <c r="S2666" s="405" t="s">
        <v>27243</v>
      </c>
      <c r="T2666" s="405" t="s">
        <v>32102</v>
      </c>
      <c r="U2666" s="405" t="s">
        <v>319</v>
      </c>
    </row>
    <row r="2667" spans="1:21" x14ac:dyDescent="0.25">
      <c r="A2667" s="405" t="s">
        <v>310</v>
      </c>
      <c r="B2667" s="405" t="s">
        <v>6814</v>
      </c>
      <c r="C2667" s="405" t="s">
        <v>327</v>
      </c>
      <c r="D2667" s="405"/>
      <c r="E2667" s="410">
        <v>43079</v>
      </c>
      <c r="F2667" s="410">
        <v>43195</v>
      </c>
      <c r="G2667" s="405" t="s">
        <v>6815</v>
      </c>
      <c r="H2667" s="405">
        <v>773116664</v>
      </c>
      <c r="I2667" s="405"/>
      <c r="J2667" s="405">
        <v>0.24152699999999999</v>
      </c>
      <c r="K2667" s="405">
        <v>32.992716999999999</v>
      </c>
      <c r="L2667" s="405" t="s">
        <v>314</v>
      </c>
      <c r="M2667" s="405" t="s">
        <v>349</v>
      </c>
      <c r="N2667" s="405" t="s">
        <v>473</v>
      </c>
      <c r="O2667" s="405" t="s">
        <v>686</v>
      </c>
      <c r="P2667" s="405" t="s">
        <v>686</v>
      </c>
      <c r="Q2667" s="411">
        <v>6</v>
      </c>
      <c r="R2667" s="405" t="s">
        <v>6798</v>
      </c>
      <c r="S2667" s="405" t="s">
        <v>27049</v>
      </c>
      <c r="T2667" s="405" t="s">
        <v>32102</v>
      </c>
      <c r="U2667" s="405" t="s">
        <v>319</v>
      </c>
    </row>
    <row r="2668" spans="1:21" x14ac:dyDescent="0.25">
      <c r="A2668" s="405" t="s">
        <v>310</v>
      </c>
      <c r="B2668" s="405" t="s">
        <v>6684</v>
      </c>
      <c r="C2668" s="405" t="s">
        <v>327</v>
      </c>
      <c r="D2668" s="405"/>
      <c r="E2668" s="410">
        <v>43079</v>
      </c>
      <c r="F2668" s="410">
        <v>43118</v>
      </c>
      <c r="G2668" s="405" t="s">
        <v>6685</v>
      </c>
      <c r="H2668" s="405">
        <v>751979591</v>
      </c>
      <c r="I2668" s="405">
        <v>752702260</v>
      </c>
      <c r="J2668" s="405">
        <v>0.14874499999999999</v>
      </c>
      <c r="K2668" s="405">
        <v>32.816834999999998</v>
      </c>
      <c r="L2668" s="405" t="s">
        <v>314</v>
      </c>
      <c r="M2668" s="405" t="s">
        <v>329</v>
      </c>
      <c r="N2668" s="405" t="s">
        <v>652</v>
      </c>
      <c r="O2668" s="405" t="s">
        <v>6686</v>
      </c>
      <c r="P2668" s="405" t="s">
        <v>6687</v>
      </c>
      <c r="Q2668" s="411">
        <v>6</v>
      </c>
      <c r="R2668" s="405" t="s">
        <v>5336</v>
      </c>
      <c r="S2668" s="405" t="s">
        <v>27047</v>
      </c>
      <c r="T2668" s="405" t="s">
        <v>32102</v>
      </c>
      <c r="U2668" s="405" t="s">
        <v>319</v>
      </c>
    </row>
    <row r="2669" spans="1:21" x14ac:dyDescent="0.25">
      <c r="A2669" s="405" t="s">
        <v>310</v>
      </c>
      <c r="B2669" s="405" t="s">
        <v>6586</v>
      </c>
      <c r="C2669" s="405" t="s">
        <v>327</v>
      </c>
      <c r="D2669" s="405"/>
      <c r="E2669" s="410">
        <v>43079</v>
      </c>
      <c r="F2669" s="410">
        <v>43092</v>
      </c>
      <c r="G2669" s="405" t="s">
        <v>6587</v>
      </c>
      <c r="H2669" s="405">
        <v>703837457</v>
      </c>
      <c r="I2669" s="405"/>
      <c r="J2669" s="405">
        <v>0.406273</v>
      </c>
      <c r="K2669" s="405">
        <v>32.649183000000001</v>
      </c>
      <c r="L2669" s="405" t="s">
        <v>314</v>
      </c>
      <c r="M2669" s="405" t="s">
        <v>361</v>
      </c>
      <c r="N2669" s="405" t="s">
        <v>6588</v>
      </c>
      <c r="O2669" s="405" t="s">
        <v>6589</v>
      </c>
      <c r="P2669" s="405" t="s">
        <v>2114</v>
      </c>
      <c r="Q2669" s="411">
        <v>6</v>
      </c>
      <c r="R2669" s="405" t="s">
        <v>5921</v>
      </c>
      <c r="S2669" s="405" t="s">
        <v>27255</v>
      </c>
      <c r="T2669" s="405" t="s">
        <v>32102</v>
      </c>
      <c r="U2669" s="405" t="s">
        <v>319</v>
      </c>
    </row>
    <row r="2670" spans="1:21" x14ac:dyDescent="0.25">
      <c r="A2670" s="405" t="s">
        <v>310</v>
      </c>
      <c r="B2670" s="405" t="s">
        <v>6853</v>
      </c>
      <c r="C2670" s="405" t="s">
        <v>327</v>
      </c>
      <c r="D2670" s="405"/>
      <c r="E2670" s="410">
        <v>43078</v>
      </c>
      <c r="F2670" s="410">
        <v>43232</v>
      </c>
      <c r="G2670" s="405" t="s">
        <v>6854</v>
      </c>
      <c r="H2670" s="405">
        <v>703960848</v>
      </c>
      <c r="I2670" s="405"/>
      <c r="J2670" s="405">
        <v>-0.32773400000000003</v>
      </c>
      <c r="K2670" s="405">
        <v>31.751311999999999</v>
      </c>
      <c r="L2670" s="405" t="s">
        <v>314</v>
      </c>
      <c r="M2670" s="405" t="s">
        <v>382</v>
      </c>
      <c r="N2670" s="405" t="s">
        <v>988</v>
      </c>
      <c r="O2670" s="405" t="s">
        <v>1265</v>
      </c>
      <c r="P2670" s="405" t="s">
        <v>943</v>
      </c>
      <c r="Q2670" s="411">
        <v>9</v>
      </c>
      <c r="R2670" s="405" t="s">
        <v>5986</v>
      </c>
      <c r="S2670" s="405" t="s">
        <v>27117</v>
      </c>
      <c r="T2670" s="405" t="s">
        <v>32102</v>
      </c>
      <c r="U2670" s="405" t="s">
        <v>319</v>
      </c>
    </row>
    <row r="2671" spans="1:21" x14ac:dyDescent="0.25">
      <c r="A2671" s="405" t="s">
        <v>310</v>
      </c>
      <c r="B2671" s="405" t="s">
        <v>23722</v>
      </c>
      <c r="C2671" s="405" t="s">
        <v>327</v>
      </c>
      <c r="D2671" s="405"/>
      <c r="E2671" s="410">
        <v>43077</v>
      </c>
      <c r="F2671" s="410">
        <v>43111</v>
      </c>
      <c r="G2671" s="405" t="s">
        <v>23723</v>
      </c>
      <c r="H2671" s="405">
        <v>772865659</v>
      </c>
      <c r="I2671" s="405">
        <v>701865659</v>
      </c>
      <c r="J2671" s="405">
        <v>0.61684000000000005</v>
      </c>
      <c r="K2671" s="405">
        <v>30.525967999999999</v>
      </c>
      <c r="L2671" s="405" t="s">
        <v>590</v>
      </c>
      <c r="M2671" s="405" t="s">
        <v>19614</v>
      </c>
      <c r="N2671" s="405" t="s">
        <v>19654</v>
      </c>
      <c r="O2671" s="405" t="s">
        <v>20015</v>
      </c>
      <c r="P2671" s="405" t="s">
        <v>23724</v>
      </c>
      <c r="Q2671" s="411">
        <v>9</v>
      </c>
      <c r="R2671" s="405" t="s">
        <v>6943</v>
      </c>
      <c r="S2671" s="405" t="s">
        <v>27173</v>
      </c>
      <c r="T2671" s="405" t="s">
        <v>32102</v>
      </c>
      <c r="U2671" s="405" t="s">
        <v>319</v>
      </c>
    </row>
    <row r="2672" spans="1:21" x14ac:dyDescent="0.25">
      <c r="A2672" s="405" t="s">
        <v>310</v>
      </c>
      <c r="B2672" s="405" t="s">
        <v>23747</v>
      </c>
      <c r="C2672" s="405" t="s">
        <v>327</v>
      </c>
      <c r="D2672" s="405"/>
      <c r="E2672" s="410">
        <v>43077</v>
      </c>
      <c r="F2672" s="410">
        <v>43104</v>
      </c>
      <c r="G2672" s="405" t="s">
        <v>23748</v>
      </c>
      <c r="H2672" s="405">
        <v>754131422</v>
      </c>
      <c r="I2672" s="405">
        <v>786129834</v>
      </c>
      <c r="J2672" s="405">
        <v>0.29227799999999998</v>
      </c>
      <c r="K2672" s="405">
        <v>30.672087999999999</v>
      </c>
      <c r="L2672" s="405" t="s">
        <v>590</v>
      </c>
      <c r="M2672" s="405" t="s">
        <v>19705</v>
      </c>
      <c r="N2672" s="405" t="s">
        <v>21675</v>
      </c>
      <c r="O2672" s="405" t="s">
        <v>23749</v>
      </c>
      <c r="P2672" s="405" t="s">
        <v>23750</v>
      </c>
      <c r="Q2672" s="411">
        <v>6</v>
      </c>
      <c r="R2672" s="405" t="s">
        <v>874</v>
      </c>
      <c r="S2672" s="405" t="s">
        <v>27172</v>
      </c>
      <c r="T2672" s="405" t="s">
        <v>32102</v>
      </c>
      <c r="U2672" s="405" t="s">
        <v>319</v>
      </c>
    </row>
    <row r="2673" spans="1:21" x14ac:dyDescent="0.25">
      <c r="A2673" s="405" t="s">
        <v>310</v>
      </c>
      <c r="B2673" s="405" t="s">
        <v>6666</v>
      </c>
      <c r="C2673" s="405" t="s">
        <v>327</v>
      </c>
      <c r="D2673" s="405"/>
      <c r="E2673" s="410">
        <v>43076</v>
      </c>
      <c r="F2673" s="410">
        <v>43120</v>
      </c>
      <c r="G2673" s="405" t="s">
        <v>6667</v>
      </c>
      <c r="H2673" s="405">
        <v>756746287</v>
      </c>
      <c r="I2673" s="405">
        <v>772695073</v>
      </c>
      <c r="J2673" s="405">
        <v>0.65</v>
      </c>
      <c r="K2673" s="405">
        <v>32.293199999999999</v>
      </c>
      <c r="L2673" s="405" t="s">
        <v>314</v>
      </c>
      <c r="M2673" s="405" t="s">
        <v>361</v>
      </c>
      <c r="N2673" s="405" t="s">
        <v>1682</v>
      </c>
      <c r="O2673" s="405" t="s">
        <v>638</v>
      </c>
      <c r="P2673" s="405" t="s">
        <v>1963</v>
      </c>
      <c r="Q2673" s="411">
        <v>6</v>
      </c>
      <c r="R2673" s="405" t="s">
        <v>4176</v>
      </c>
      <c r="S2673" s="405" t="s">
        <v>27053</v>
      </c>
      <c r="T2673" s="405" t="s">
        <v>32102</v>
      </c>
      <c r="U2673" s="405" t="s">
        <v>319</v>
      </c>
    </row>
    <row r="2674" spans="1:21" x14ac:dyDescent="0.25">
      <c r="A2674" s="405" t="s">
        <v>310</v>
      </c>
      <c r="B2674" s="405" t="s">
        <v>6653</v>
      </c>
      <c r="C2674" s="405" t="s">
        <v>327</v>
      </c>
      <c r="D2674" s="405"/>
      <c r="E2674" s="410">
        <v>43075</v>
      </c>
      <c r="F2674" s="410">
        <v>43107</v>
      </c>
      <c r="G2674" s="405" t="s">
        <v>6654</v>
      </c>
      <c r="H2674" s="405">
        <v>772418328</v>
      </c>
      <c r="I2674" s="405"/>
      <c r="J2674" s="405">
        <v>0.36249999999999999</v>
      </c>
      <c r="K2674" s="405">
        <v>32.411700000000003</v>
      </c>
      <c r="L2674" s="405" t="s">
        <v>314</v>
      </c>
      <c r="M2674" s="405" t="s">
        <v>959</v>
      </c>
      <c r="N2674" s="405" t="s">
        <v>960</v>
      </c>
      <c r="O2674" s="405" t="s">
        <v>2735</v>
      </c>
      <c r="P2674" s="405" t="s">
        <v>2427</v>
      </c>
      <c r="Q2674" s="411">
        <v>13</v>
      </c>
      <c r="R2674" s="405" t="s">
        <v>5903</v>
      </c>
      <c r="S2674" s="405" t="s">
        <v>27153</v>
      </c>
      <c r="T2674" s="405" t="s">
        <v>32102</v>
      </c>
      <c r="U2674" s="405" t="s">
        <v>319</v>
      </c>
    </row>
    <row r="2675" spans="1:21" x14ac:dyDescent="0.25">
      <c r="A2675" s="405" t="s">
        <v>310</v>
      </c>
      <c r="B2675" s="405" t="s">
        <v>23772</v>
      </c>
      <c r="C2675" s="405" t="s">
        <v>327</v>
      </c>
      <c r="D2675" s="405"/>
      <c r="E2675" s="410">
        <v>43075</v>
      </c>
      <c r="F2675" s="410">
        <v>43107</v>
      </c>
      <c r="G2675" s="405" t="s">
        <v>23773</v>
      </c>
      <c r="H2675" s="405">
        <v>784258022</v>
      </c>
      <c r="I2675" s="405"/>
      <c r="J2675" s="405">
        <v>-0.76536000000000004</v>
      </c>
      <c r="K2675" s="405">
        <v>30.361692000000001</v>
      </c>
      <c r="L2675" s="405" t="s">
        <v>590</v>
      </c>
      <c r="M2675" s="405" t="s">
        <v>19614</v>
      </c>
      <c r="N2675" s="405" t="s">
        <v>23202</v>
      </c>
      <c r="O2675" s="405" t="s">
        <v>5227</v>
      </c>
      <c r="P2675" s="405" t="s">
        <v>5227</v>
      </c>
      <c r="Q2675" s="411">
        <v>9</v>
      </c>
      <c r="R2675" s="405" t="s">
        <v>5858</v>
      </c>
      <c r="S2675" s="405" t="s">
        <v>27166</v>
      </c>
      <c r="T2675" s="405" t="s">
        <v>32102</v>
      </c>
      <c r="U2675" s="405" t="s">
        <v>319</v>
      </c>
    </row>
    <row r="2676" spans="1:21" x14ac:dyDescent="0.25">
      <c r="A2676" s="405" t="s">
        <v>310</v>
      </c>
      <c r="B2676" s="405" t="s">
        <v>6700</v>
      </c>
      <c r="C2676" s="405" t="s">
        <v>327</v>
      </c>
      <c r="D2676" s="405"/>
      <c r="E2676" s="410">
        <v>43075</v>
      </c>
      <c r="F2676" s="410">
        <v>43114</v>
      </c>
      <c r="G2676" s="405" t="s">
        <v>6701</v>
      </c>
      <c r="H2676" s="405">
        <v>704414848</v>
      </c>
      <c r="I2676" s="405"/>
      <c r="J2676" s="405">
        <v>0.11519799999999999</v>
      </c>
      <c r="K2676" s="405">
        <v>32.182679999999998</v>
      </c>
      <c r="L2676" s="405" t="s">
        <v>314</v>
      </c>
      <c r="M2676" s="405" t="s">
        <v>321</v>
      </c>
      <c r="N2676" s="405" t="s">
        <v>2472</v>
      </c>
      <c r="O2676" s="405" t="s">
        <v>2063</v>
      </c>
      <c r="P2676" s="405" t="s">
        <v>6702</v>
      </c>
      <c r="Q2676" s="411">
        <v>6</v>
      </c>
      <c r="R2676" s="405" t="s">
        <v>32101</v>
      </c>
      <c r="S2676" s="405" t="s">
        <v>27041</v>
      </c>
      <c r="T2676" s="405" t="s">
        <v>32102</v>
      </c>
      <c r="U2676" s="405" t="s">
        <v>319</v>
      </c>
    </row>
    <row r="2677" spans="1:21" x14ac:dyDescent="0.25">
      <c r="A2677" s="405" t="s">
        <v>310</v>
      </c>
      <c r="B2677" s="405" t="s">
        <v>6672</v>
      </c>
      <c r="C2677" s="405" t="s">
        <v>327</v>
      </c>
      <c r="D2677" s="405"/>
      <c r="E2677" s="410">
        <v>43075</v>
      </c>
      <c r="F2677" s="410">
        <v>43107</v>
      </c>
      <c r="G2677" s="405" t="s">
        <v>6673</v>
      </c>
      <c r="H2677" s="405">
        <v>777148012</v>
      </c>
      <c r="I2677" s="405">
        <v>706326506</v>
      </c>
      <c r="J2677" s="405">
        <v>0.15576200000000001</v>
      </c>
      <c r="K2677" s="405">
        <v>32.777023</v>
      </c>
      <c r="L2677" s="405" t="s">
        <v>314</v>
      </c>
      <c r="M2677" s="405" t="s">
        <v>349</v>
      </c>
      <c r="N2677" s="405" t="s">
        <v>803</v>
      </c>
      <c r="O2677" s="405" t="s">
        <v>6674</v>
      </c>
      <c r="P2677" s="405" t="s">
        <v>6675</v>
      </c>
      <c r="Q2677" s="411">
        <v>6</v>
      </c>
      <c r="R2677" s="405" t="s">
        <v>4176</v>
      </c>
      <c r="S2677" s="405" t="s">
        <v>27193</v>
      </c>
      <c r="T2677" s="405" t="s">
        <v>32102</v>
      </c>
      <c r="U2677" s="405" t="s">
        <v>319</v>
      </c>
    </row>
    <row r="2678" spans="1:21" x14ac:dyDescent="0.25">
      <c r="A2678" s="405" t="s">
        <v>310</v>
      </c>
      <c r="B2678" s="405" t="s">
        <v>7770</v>
      </c>
      <c r="C2678" s="405" t="s">
        <v>857</v>
      </c>
      <c r="D2678" s="405" t="s">
        <v>32468</v>
      </c>
      <c r="E2678" s="410">
        <v>43074</v>
      </c>
      <c r="F2678" s="410">
        <v>43446</v>
      </c>
      <c r="G2678" s="405" t="s">
        <v>32469</v>
      </c>
      <c r="H2678" s="405">
        <v>758897509</v>
      </c>
      <c r="I2678" s="405"/>
      <c r="J2678" s="405">
        <v>0.37828499999999998</v>
      </c>
      <c r="K2678" s="405">
        <v>32.599935000000002</v>
      </c>
      <c r="L2678" s="405" t="s">
        <v>314</v>
      </c>
      <c r="M2678" s="405" t="s">
        <v>361</v>
      </c>
      <c r="N2678" s="405" t="s">
        <v>987</v>
      </c>
      <c r="O2678" s="405" t="s">
        <v>987</v>
      </c>
      <c r="P2678" s="405" t="s">
        <v>1406</v>
      </c>
      <c r="Q2678" s="411">
        <v>13</v>
      </c>
      <c r="R2678" s="405" t="s">
        <v>5665</v>
      </c>
      <c r="S2678" s="405" t="s">
        <v>27110</v>
      </c>
      <c r="T2678" s="405" t="s">
        <v>32102</v>
      </c>
      <c r="U2678" s="405" t="s">
        <v>319</v>
      </c>
    </row>
    <row r="2679" spans="1:21" x14ac:dyDescent="0.25">
      <c r="A2679" s="405" t="s">
        <v>310</v>
      </c>
      <c r="B2679" s="405" t="s">
        <v>6703</v>
      </c>
      <c r="C2679" s="405" t="s">
        <v>327</v>
      </c>
      <c r="D2679" s="405"/>
      <c r="E2679" s="410">
        <v>43074</v>
      </c>
      <c r="F2679" s="410">
        <v>43113</v>
      </c>
      <c r="G2679" s="405" t="s">
        <v>6704</v>
      </c>
      <c r="H2679" s="405">
        <v>751504297</v>
      </c>
      <c r="I2679" s="405"/>
      <c r="J2679" s="405">
        <v>0.22270000000000001</v>
      </c>
      <c r="K2679" s="405">
        <v>31.495100000000001</v>
      </c>
      <c r="L2679" s="405" t="s">
        <v>314</v>
      </c>
      <c r="M2679" s="405" t="s">
        <v>382</v>
      </c>
      <c r="N2679" s="405" t="s">
        <v>1260</v>
      </c>
      <c r="O2679" s="405" t="s">
        <v>1260</v>
      </c>
      <c r="P2679" s="405" t="s">
        <v>6705</v>
      </c>
      <c r="Q2679" s="411">
        <v>6</v>
      </c>
      <c r="R2679" s="405" t="s">
        <v>32101</v>
      </c>
      <c r="S2679" s="405" t="s">
        <v>27186</v>
      </c>
      <c r="T2679" s="405" t="s">
        <v>32102</v>
      </c>
      <c r="U2679" s="405" t="s">
        <v>319</v>
      </c>
    </row>
    <row r="2680" spans="1:21" x14ac:dyDescent="0.25">
      <c r="A2680" s="405" t="s">
        <v>310</v>
      </c>
      <c r="B2680" s="405" t="s">
        <v>7218</v>
      </c>
      <c r="C2680" s="405" t="s">
        <v>311</v>
      </c>
      <c r="D2680" s="405" t="s">
        <v>3381</v>
      </c>
      <c r="E2680" s="410">
        <v>43073</v>
      </c>
      <c r="F2680" s="410">
        <v>43112</v>
      </c>
      <c r="G2680" s="405" t="s">
        <v>7219</v>
      </c>
      <c r="H2680" s="405">
        <v>751643370</v>
      </c>
      <c r="I2680" s="405"/>
      <c r="J2680" s="405">
        <v>1.9171</v>
      </c>
      <c r="K2680" s="405" t="s">
        <v>7220</v>
      </c>
      <c r="L2680" s="405" t="s">
        <v>314</v>
      </c>
      <c r="M2680" s="405" t="s">
        <v>329</v>
      </c>
      <c r="N2680" s="405" t="s">
        <v>7221</v>
      </c>
      <c r="O2680" s="405" t="s">
        <v>7222</v>
      </c>
      <c r="P2680" s="405" t="s">
        <v>7223</v>
      </c>
      <c r="Q2680" s="411">
        <v>9</v>
      </c>
      <c r="R2680" s="405" t="s">
        <v>7224</v>
      </c>
      <c r="S2680" s="405" t="s">
        <v>27259</v>
      </c>
      <c r="T2680" s="405" t="s">
        <v>32102</v>
      </c>
      <c r="U2680" s="405" t="s">
        <v>319</v>
      </c>
    </row>
    <row r="2681" spans="1:21" x14ac:dyDescent="0.25">
      <c r="A2681" s="405" t="s">
        <v>310</v>
      </c>
      <c r="B2681" s="405" t="s">
        <v>6695</v>
      </c>
      <c r="C2681" s="405" t="s">
        <v>327</v>
      </c>
      <c r="D2681" s="405"/>
      <c r="E2681" s="410">
        <v>43073</v>
      </c>
      <c r="F2681" s="410">
        <v>43112</v>
      </c>
      <c r="G2681" s="405" t="s">
        <v>6696</v>
      </c>
      <c r="H2681" s="405">
        <v>700389777</v>
      </c>
      <c r="I2681" s="405"/>
      <c r="J2681" s="405">
        <v>0.19550000000000001</v>
      </c>
      <c r="K2681" s="405">
        <v>32.234699999999997</v>
      </c>
      <c r="L2681" s="405" t="s">
        <v>314</v>
      </c>
      <c r="M2681" s="405" t="s">
        <v>361</v>
      </c>
      <c r="N2681" s="405" t="s">
        <v>374</v>
      </c>
      <c r="O2681" s="405" t="s">
        <v>952</v>
      </c>
      <c r="P2681" s="405" t="s">
        <v>3089</v>
      </c>
      <c r="Q2681" s="411">
        <v>9</v>
      </c>
      <c r="R2681" s="405" t="s">
        <v>32101</v>
      </c>
      <c r="S2681" s="405" t="s">
        <v>27167</v>
      </c>
      <c r="T2681" s="405" t="s">
        <v>32102</v>
      </c>
      <c r="U2681" s="405" t="s">
        <v>319</v>
      </c>
    </row>
    <row r="2682" spans="1:21" x14ac:dyDescent="0.25">
      <c r="A2682" s="405" t="s">
        <v>310</v>
      </c>
      <c r="B2682" s="405" t="s">
        <v>23770</v>
      </c>
      <c r="C2682" s="405" t="s">
        <v>327</v>
      </c>
      <c r="D2682" s="405"/>
      <c r="E2682" s="410">
        <v>43073</v>
      </c>
      <c r="F2682" s="410">
        <v>43105</v>
      </c>
      <c r="G2682" s="405" t="s">
        <v>23771</v>
      </c>
      <c r="H2682" s="405">
        <v>784953024</v>
      </c>
      <c r="I2682" s="405"/>
      <c r="J2682" s="405">
        <v>-1.006885</v>
      </c>
      <c r="K2682" s="405">
        <v>30.35059</v>
      </c>
      <c r="L2682" s="405" t="s">
        <v>590</v>
      </c>
      <c r="M2682" s="405" t="s">
        <v>19659</v>
      </c>
      <c r="N2682" s="405" t="s">
        <v>23674</v>
      </c>
      <c r="O2682" s="405" t="s">
        <v>23674</v>
      </c>
      <c r="P2682" s="405" t="s">
        <v>23407</v>
      </c>
      <c r="Q2682" s="411">
        <v>9</v>
      </c>
      <c r="R2682" s="405" t="s">
        <v>5858</v>
      </c>
      <c r="S2682" s="405" t="s">
        <v>27399</v>
      </c>
      <c r="T2682" s="405" t="s">
        <v>32102</v>
      </c>
      <c r="U2682" s="405" t="s">
        <v>319</v>
      </c>
    </row>
    <row r="2683" spans="1:21" x14ac:dyDescent="0.25">
      <c r="A2683" s="405" t="s">
        <v>310</v>
      </c>
      <c r="B2683" s="405" t="s">
        <v>23744</v>
      </c>
      <c r="C2683" s="405" t="s">
        <v>327</v>
      </c>
      <c r="D2683" s="405"/>
      <c r="E2683" s="410">
        <v>43069</v>
      </c>
      <c r="F2683" s="410">
        <v>43119</v>
      </c>
      <c r="G2683" s="405" t="s">
        <v>23745</v>
      </c>
      <c r="H2683" s="405">
        <v>773046929</v>
      </c>
      <c r="I2683" s="405">
        <v>788994880</v>
      </c>
      <c r="J2683" s="405">
        <v>-0.70984000000000003</v>
      </c>
      <c r="K2683" s="405">
        <v>29.868078000000001</v>
      </c>
      <c r="L2683" s="405" t="s">
        <v>590</v>
      </c>
      <c r="M2683" s="405" t="s">
        <v>19619</v>
      </c>
      <c r="N2683" s="405" t="s">
        <v>19793</v>
      </c>
      <c r="O2683" s="405" t="s">
        <v>6395</v>
      </c>
      <c r="P2683" s="405" t="s">
        <v>23746</v>
      </c>
      <c r="Q2683" s="411">
        <v>9</v>
      </c>
      <c r="R2683" s="405" t="s">
        <v>6572</v>
      </c>
      <c r="S2683" s="405" t="s">
        <v>27405</v>
      </c>
      <c r="T2683" s="405" t="s">
        <v>32102</v>
      </c>
      <c r="U2683" s="405" t="s">
        <v>319</v>
      </c>
    </row>
    <row r="2684" spans="1:21" x14ac:dyDescent="0.25">
      <c r="A2684" s="405" t="s">
        <v>310</v>
      </c>
      <c r="B2684" s="405" t="s">
        <v>23738</v>
      </c>
      <c r="C2684" s="405" t="s">
        <v>327</v>
      </c>
      <c r="D2684" s="405"/>
      <c r="E2684" s="410">
        <v>43069</v>
      </c>
      <c r="F2684" s="410">
        <v>43101</v>
      </c>
      <c r="G2684" s="405" t="s">
        <v>23739</v>
      </c>
      <c r="H2684" s="405">
        <v>703634901</v>
      </c>
      <c r="I2684" s="405">
        <v>785515088</v>
      </c>
      <c r="J2684" s="405">
        <v>-0.95068299999999994</v>
      </c>
      <c r="K2684" s="405">
        <v>30.139453</v>
      </c>
      <c r="L2684" s="405" t="s">
        <v>590</v>
      </c>
      <c r="M2684" s="405" t="s">
        <v>19659</v>
      </c>
      <c r="N2684" s="405" t="s">
        <v>19677</v>
      </c>
      <c r="O2684" s="405" t="s">
        <v>20207</v>
      </c>
      <c r="P2684" s="405" t="s">
        <v>23740</v>
      </c>
      <c r="Q2684" s="411">
        <v>9</v>
      </c>
      <c r="R2684" s="405" t="s">
        <v>6943</v>
      </c>
      <c r="S2684" s="405" t="s">
        <v>27243</v>
      </c>
      <c r="T2684" s="405" t="s">
        <v>32102</v>
      </c>
      <c r="U2684" s="405" t="s">
        <v>319</v>
      </c>
    </row>
    <row r="2685" spans="1:21" x14ac:dyDescent="0.25">
      <c r="A2685" s="405" t="s">
        <v>310</v>
      </c>
      <c r="B2685" s="405" t="s">
        <v>23629</v>
      </c>
      <c r="C2685" s="405" t="s">
        <v>327</v>
      </c>
      <c r="D2685" s="405"/>
      <c r="E2685" s="410">
        <v>43069</v>
      </c>
      <c r="F2685" s="410">
        <v>43079</v>
      </c>
      <c r="G2685" s="405" t="s">
        <v>23630</v>
      </c>
      <c r="H2685" s="405">
        <v>773410553</v>
      </c>
      <c r="I2685" s="405">
        <v>787017566</v>
      </c>
      <c r="J2685" s="405">
        <v>-0.28539300000000001</v>
      </c>
      <c r="K2685" s="405">
        <v>30.550132999999999</v>
      </c>
      <c r="L2685" s="405" t="s">
        <v>590</v>
      </c>
      <c r="M2685" s="405" t="s">
        <v>19614</v>
      </c>
      <c r="N2685" s="405" t="s">
        <v>19615</v>
      </c>
      <c r="O2685" s="405" t="s">
        <v>23631</v>
      </c>
      <c r="P2685" s="405" t="s">
        <v>20420</v>
      </c>
      <c r="Q2685" s="411">
        <v>9</v>
      </c>
      <c r="R2685" s="405" t="s">
        <v>6943</v>
      </c>
      <c r="S2685" s="405" t="s">
        <v>27173</v>
      </c>
      <c r="T2685" s="405" t="s">
        <v>32102</v>
      </c>
      <c r="U2685" s="405" t="s">
        <v>319</v>
      </c>
    </row>
    <row r="2686" spans="1:21" x14ac:dyDescent="0.25">
      <c r="A2686" s="405" t="s">
        <v>310</v>
      </c>
      <c r="B2686" s="405" t="s">
        <v>6697</v>
      </c>
      <c r="C2686" s="405" t="s">
        <v>327</v>
      </c>
      <c r="D2686" s="405"/>
      <c r="E2686" s="410">
        <v>43069</v>
      </c>
      <c r="F2686" s="410">
        <v>43120</v>
      </c>
      <c r="G2686" s="405" t="s">
        <v>6698</v>
      </c>
      <c r="H2686" s="405">
        <v>752982909</v>
      </c>
      <c r="I2686" s="405"/>
      <c r="J2686" s="405">
        <v>0.220497</v>
      </c>
      <c r="K2686" s="405">
        <v>32.161900000000003</v>
      </c>
      <c r="L2686" s="405" t="s">
        <v>314</v>
      </c>
      <c r="M2686" s="405" t="s">
        <v>315</v>
      </c>
      <c r="N2686" s="405" t="s">
        <v>315</v>
      </c>
      <c r="O2686" s="405" t="s">
        <v>1291</v>
      </c>
      <c r="P2686" s="405" t="s">
        <v>6699</v>
      </c>
      <c r="Q2686" s="411">
        <v>6</v>
      </c>
      <c r="R2686" s="405" t="s">
        <v>32101</v>
      </c>
      <c r="S2686" s="405" t="s">
        <v>27041</v>
      </c>
      <c r="T2686" s="405" t="s">
        <v>32102</v>
      </c>
      <c r="U2686" s="405" t="s">
        <v>319</v>
      </c>
    </row>
    <row r="2687" spans="1:21" x14ac:dyDescent="0.25">
      <c r="A2687" s="405" t="s">
        <v>310</v>
      </c>
      <c r="B2687" s="405" t="s">
        <v>23692</v>
      </c>
      <c r="C2687" s="405" t="s">
        <v>327</v>
      </c>
      <c r="D2687" s="405"/>
      <c r="E2687" s="410">
        <v>43068</v>
      </c>
      <c r="F2687" s="410">
        <v>43087</v>
      </c>
      <c r="G2687" s="405" t="s">
        <v>23693</v>
      </c>
      <c r="H2687" s="405">
        <v>777712040</v>
      </c>
      <c r="I2687" s="405">
        <v>777912040</v>
      </c>
      <c r="J2687" s="405">
        <v>0.66017999999999999</v>
      </c>
      <c r="K2687" s="405">
        <v>30.607817000000001</v>
      </c>
      <c r="L2687" s="405" t="s">
        <v>590</v>
      </c>
      <c r="M2687" s="405" t="s">
        <v>19614</v>
      </c>
      <c r="N2687" s="405" t="s">
        <v>19873</v>
      </c>
      <c r="O2687" s="405" t="s">
        <v>19911</v>
      </c>
      <c r="P2687" s="405" t="s">
        <v>19827</v>
      </c>
      <c r="Q2687" s="411">
        <v>6</v>
      </c>
      <c r="R2687" s="405" t="s">
        <v>5921</v>
      </c>
      <c r="S2687" s="405" t="s">
        <v>27255</v>
      </c>
      <c r="T2687" s="405" t="s">
        <v>32102</v>
      </c>
      <c r="U2687" s="405" t="s">
        <v>319</v>
      </c>
    </row>
    <row r="2688" spans="1:21" x14ac:dyDescent="0.25">
      <c r="A2688" s="405" t="s">
        <v>310</v>
      </c>
      <c r="B2688" s="405" t="s">
        <v>6663</v>
      </c>
      <c r="C2688" s="405" t="s">
        <v>327</v>
      </c>
      <c r="D2688" s="405"/>
      <c r="E2688" s="410">
        <v>43066</v>
      </c>
      <c r="F2688" s="410">
        <v>43111</v>
      </c>
      <c r="G2688" s="405" t="s">
        <v>6664</v>
      </c>
      <c r="H2688" s="405">
        <v>772862279</v>
      </c>
      <c r="I2688" s="405"/>
      <c r="J2688" s="405">
        <v>0.50800000000000001</v>
      </c>
      <c r="K2688" s="405">
        <v>32.283299999999997</v>
      </c>
      <c r="L2688" s="405" t="s">
        <v>314</v>
      </c>
      <c r="M2688" s="405" t="s">
        <v>959</v>
      </c>
      <c r="N2688" s="405" t="s">
        <v>6665</v>
      </c>
      <c r="O2688" s="405" t="s">
        <v>1095</v>
      </c>
      <c r="P2688" s="405" t="s">
        <v>2022</v>
      </c>
      <c r="Q2688" s="411">
        <v>9</v>
      </c>
      <c r="R2688" s="405" t="s">
        <v>4176</v>
      </c>
      <c r="S2688" s="405" t="s">
        <v>27053</v>
      </c>
      <c r="T2688" s="405" t="s">
        <v>32102</v>
      </c>
      <c r="U2688" s="405" t="s">
        <v>319</v>
      </c>
    </row>
    <row r="2689" spans="1:21" x14ac:dyDescent="0.25">
      <c r="A2689" s="405" t="s">
        <v>310</v>
      </c>
      <c r="B2689" s="405" t="s">
        <v>23672</v>
      </c>
      <c r="C2689" s="405" t="s">
        <v>327</v>
      </c>
      <c r="D2689" s="405"/>
      <c r="E2689" s="410">
        <v>43066</v>
      </c>
      <c r="F2689" s="410">
        <v>43098</v>
      </c>
      <c r="G2689" s="405" t="s">
        <v>23673</v>
      </c>
      <c r="H2689" s="405">
        <v>772669904</v>
      </c>
      <c r="I2689" s="405"/>
      <c r="J2689" s="405">
        <v>-0.98276699999999995</v>
      </c>
      <c r="K2689" s="405">
        <v>30.273804999999999</v>
      </c>
      <c r="L2689" s="405" t="s">
        <v>590</v>
      </c>
      <c r="M2689" s="405" t="s">
        <v>19659</v>
      </c>
      <c r="N2689" s="405" t="s">
        <v>19664</v>
      </c>
      <c r="O2689" s="405" t="s">
        <v>23674</v>
      </c>
      <c r="P2689" s="405" t="s">
        <v>23675</v>
      </c>
      <c r="Q2689" s="411">
        <v>9</v>
      </c>
      <c r="R2689" s="405" t="s">
        <v>32166</v>
      </c>
      <c r="S2689" s="405" t="s">
        <v>27166</v>
      </c>
      <c r="T2689" s="405" t="s">
        <v>32102</v>
      </c>
      <c r="U2689" s="405" t="s">
        <v>319</v>
      </c>
    </row>
    <row r="2690" spans="1:21" x14ac:dyDescent="0.25">
      <c r="A2690" s="405" t="s">
        <v>310</v>
      </c>
      <c r="B2690" s="405" t="s">
        <v>23676</v>
      </c>
      <c r="C2690" s="405" t="s">
        <v>327</v>
      </c>
      <c r="D2690" s="405"/>
      <c r="E2690" s="410">
        <v>43066</v>
      </c>
      <c r="F2690" s="410">
        <v>43098</v>
      </c>
      <c r="G2690" s="405" t="s">
        <v>23677</v>
      </c>
      <c r="H2690" s="405">
        <v>755313093</v>
      </c>
      <c r="I2690" s="405"/>
      <c r="J2690" s="405">
        <v>-0.96469800000000006</v>
      </c>
      <c r="K2690" s="405">
        <v>30.617806999999999</v>
      </c>
      <c r="L2690" s="405" t="s">
        <v>590</v>
      </c>
      <c r="M2690" s="405" t="s">
        <v>879</v>
      </c>
      <c r="N2690" s="405" t="s">
        <v>20024</v>
      </c>
      <c r="O2690" s="405" t="s">
        <v>20024</v>
      </c>
      <c r="P2690" s="405" t="s">
        <v>23678</v>
      </c>
      <c r="Q2690" s="411">
        <v>9</v>
      </c>
      <c r="R2690" s="405" t="s">
        <v>32166</v>
      </c>
      <c r="S2690" s="405" t="s">
        <v>27227</v>
      </c>
      <c r="T2690" s="405" t="s">
        <v>32102</v>
      </c>
      <c r="U2690" s="405" t="s">
        <v>319</v>
      </c>
    </row>
    <row r="2691" spans="1:21" x14ac:dyDescent="0.25">
      <c r="A2691" s="405" t="s">
        <v>310</v>
      </c>
      <c r="B2691" s="405" t="s">
        <v>23626</v>
      </c>
      <c r="C2691" s="405" t="s">
        <v>327</v>
      </c>
      <c r="D2691" s="405"/>
      <c r="E2691" s="410">
        <v>43065</v>
      </c>
      <c r="F2691" s="410">
        <v>43079</v>
      </c>
      <c r="G2691" s="405" t="s">
        <v>23627</v>
      </c>
      <c r="H2691" s="405">
        <v>779927013</v>
      </c>
      <c r="I2691" s="405"/>
      <c r="J2691" s="405">
        <v>-0.58262999999999998</v>
      </c>
      <c r="K2691" s="405">
        <v>30.613992</v>
      </c>
      <c r="L2691" s="405" t="s">
        <v>590</v>
      </c>
      <c r="M2691" s="405" t="s">
        <v>20032</v>
      </c>
      <c r="N2691" s="405" t="s">
        <v>23628</v>
      </c>
      <c r="O2691" s="405" t="s">
        <v>23628</v>
      </c>
      <c r="P2691" s="405" t="s">
        <v>23628</v>
      </c>
      <c r="Q2691" s="411">
        <v>9</v>
      </c>
      <c r="R2691" s="405" t="s">
        <v>6943</v>
      </c>
      <c r="S2691" s="405" t="s">
        <v>27410</v>
      </c>
      <c r="T2691" s="405" t="s">
        <v>32102</v>
      </c>
      <c r="U2691" s="405" t="s">
        <v>319</v>
      </c>
    </row>
    <row r="2692" spans="1:21" x14ac:dyDescent="0.25">
      <c r="A2692" s="405" t="s">
        <v>310</v>
      </c>
      <c r="B2692" s="405" t="s">
        <v>23658</v>
      </c>
      <c r="C2692" s="405" t="s">
        <v>327</v>
      </c>
      <c r="D2692" s="405"/>
      <c r="E2692" s="410">
        <v>43064</v>
      </c>
      <c r="F2692" s="410">
        <v>43088</v>
      </c>
      <c r="G2692" s="405" t="s">
        <v>23659</v>
      </c>
      <c r="H2692" s="405">
        <v>758059537</v>
      </c>
      <c r="I2692" s="405"/>
      <c r="J2692" s="405">
        <v>-0.90237699999999998</v>
      </c>
      <c r="K2692" s="405">
        <v>30.638045000000002</v>
      </c>
      <c r="L2692" s="405" t="s">
        <v>590</v>
      </c>
      <c r="M2692" s="405" t="s">
        <v>879</v>
      </c>
      <c r="N2692" s="405" t="s">
        <v>20023</v>
      </c>
      <c r="O2692" s="405" t="s">
        <v>20024</v>
      </c>
      <c r="P2692" s="405" t="s">
        <v>23660</v>
      </c>
      <c r="Q2692" s="411">
        <v>9</v>
      </c>
      <c r="R2692" s="405" t="s">
        <v>32166</v>
      </c>
      <c r="S2692" s="405" t="s">
        <v>27132</v>
      </c>
      <c r="T2692" s="405" t="s">
        <v>32102</v>
      </c>
      <c r="U2692" s="405" t="s">
        <v>319</v>
      </c>
    </row>
    <row r="2693" spans="1:21" x14ac:dyDescent="0.25">
      <c r="A2693" s="405" t="s">
        <v>310</v>
      </c>
      <c r="B2693" s="405" t="s">
        <v>6569</v>
      </c>
      <c r="C2693" s="405" t="s">
        <v>327</v>
      </c>
      <c r="D2693" s="405"/>
      <c r="E2693" s="410">
        <v>43064</v>
      </c>
      <c r="F2693" s="410">
        <v>43083</v>
      </c>
      <c r="G2693" s="405" t="s">
        <v>6570</v>
      </c>
      <c r="H2693" s="405">
        <v>772441662</v>
      </c>
      <c r="I2693" s="405"/>
      <c r="J2693" s="405">
        <v>0.26219999999999999</v>
      </c>
      <c r="K2693" s="405">
        <v>32.5</v>
      </c>
      <c r="L2693" s="405" t="s">
        <v>314</v>
      </c>
      <c r="M2693" s="405" t="s">
        <v>329</v>
      </c>
      <c r="N2693" s="405" t="s">
        <v>329</v>
      </c>
      <c r="O2693" s="405" t="s">
        <v>6571</v>
      </c>
      <c r="P2693" s="405" t="s">
        <v>645</v>
      </c>
      <c r="Q2693" s="411">
        <v>9</v>
      </c>
      <c r="R2693" s="405" t="s">
        <v>6572</v>
      </c>
      <c r="S2693" s="405" t="s">
        <v>27257</v>
      </c>
      <c r="T2693" s="405" t="s">
        <v>32102</v>
      </c>
      <c r="U2693" s="405" t="s">
        <v>319</v>
      </c>
    </row>
    <row r="2694" spans="1:21" x14ac:dyDescent="0.25">
      <c r="A2694" s="405" t="s">
        <v>310</v>
      </c>
      <c r="B2694" s="405" t="s">
        <v>6693</v>
      </c>
      <c r="C2694" s="405" t="s">
        <v>327</v>
      </c>
      <c r="D2694" s="405"/>
      <c r="E2694" s="410">
        <v>43064</v>
      </c>
      <c r="F2694" s="410">
        <v>43103</v>
      </c>
      <c r="G2694" s="405" t="s">
        <v>6694</v>
      </c>
      <c r="H2694" s="405">
        <v>704028254</v>
      </c>
      <c r="I2694" s="405"/>
      <c r="J2694" s="405">
        <v>0.24674399999999999</v>
      </c>
      <c r="K2694" s="405">
        <v>32.387253999999999</v>
      </c>
      <c r="L2694" s="405" t="s">
        <v>314</v>
      </c>
      <c r="M2694" s="405" t="s">
        <v>361</v>
      </c>
      <c r="N2694" s="405" t="s">
        <v>322</v>
      </c>
      <c r="O2694" s="405" t="s">
        <v>375</v>
      </c>
      <c r="P2694" s="405" t="s">
        <v>4995</v>
      </c>
      <c r="Q2694" s="411">
        <v>6</v>
      </c>
      <c r="R2694" s="405" t="s">
        <v>32101</v>
      </c>
      <c r="S2694" s="405" t="s">
        <v>27167</v>
      </c>
      <c r="T2694" s="405" t="s">
        <v>32102</v>
      </c>
      <c r="U2694" s="405" t="s">
        <v>319</v>
      </c>
    </row>
    <row r="2695" spans="1:21" x14ac:dyDescent="0.25">
      <c r="A2695" s="405" t="s">
        <v>310</v>
      </c>
      <c r="B2695" s="405" t="s">
        <v>23802</v>
      </c>
      <c r="C2695" s="405" t="s">
        <v>327</v>
      </c>
      <c r="D2695" s="405"/>
      <c r="E2695" s="410">
        <v>43063</v>
      </c>
      <c r="F2695" s="410">
        <v>43103</v>
      </c>
      <c r="G2695" s="405" t="s">
        <v>23803</v>
      </c>
      <c r="H2695" s="405">
        <v>751902556</v>
      </c>
      <c r="I2695" s="405"/>
      <c r="J2695" s="405">
        <v>0.91298000000000001</v>
      </c>
      <c r="K2695" s="405">
        <v>30.654235</v>
      </c>
      <c r="L2695" s="405" t="s">
        <v>590</v>
      </c>
      <c r="M2695" s="405" t="s">
        <v>19614</v>
      </c>
      <c r="N2695" s="405" t="s">
        <v>879</v>
      </c>
      <c r="O2695" s="405" t="s">
        <v>20024</v>
      </c>
      <c r="P2695" s="405" t="s">
        <v>23804</v>
      </c>
      <c r="Q2695" s="411">
        <v>9</v>
      </c>
      <c r="R2695" s="405" t="s">
        <v>883</v>
      </c>
      <c r="S2695" s="405" t="s">
        <v>27104</v>
      </c>
      <c r="T2695" s="405" t="s">
        <v>32102</v>
      </c>
      <c r="U2695" s="405" t="s">
        <v>319</v>
      </c>
    </row>
    <row r="2696" spans="1:21" x14ac:dyDescent="0.25">
      <c r="A2696" s="405" t="s">
        <v>310</v>
      </c>
      <c r="B2696" s="405" t="s">
        <v>23706</v>
      </c>
      <c r="C2696" s="405" t="s">
        <v>857</v>
      </c>
      <c r="D2696" s="405" t="s">
        <v>32757</v>
      </c>
      <c r="E2696" s="410">
        <v>43063</v>
      </c>
      <c r="F2696" s="410">
        <v>43095</v>
      </c>
      <c r="G2696" s="405" t="s">
        <v>23707</v>
      </c>
      <c r="H2696" s="405">
        <v>775661122</v>
      </c>
      <c r="I2696" s="405">
        <v>772498223</v>
      </c>
      <c r="J2696" s="405">
        <v>-0.78031499999999998</v>
      </c>
      <c r="K2696" s="405">
        <v>30.806681999999999</v>
      </c>
      <c r="L2696" s="405" t="s">
        <v>590</v>
      </c>
      <c r="M2696" s="405" t="s">
        <v>879</v>
      </c>
      <c r="N2696" s="405" t="s">
        <v>20437</v>
      </c>
      <c r="O2696" s="405" t="s">
        <v>20437</v>
      </c>
      <c r="P2696" s="405" t="s">
        <v>4532</v>
      </c>
      <c r="Q2696" s="411">
        <v>9</v>
      </c>
      <c r="R2696" s="405" t="s">
        <v>883</v>
      </c>
      <c r="S2696" s="405" t="s">
        <v>27104</v>
      </c>
      <c r="T2696" s="405" t="s">
        <v>32102</v>
      </c>
      <c r="U2696" s="405" t="s">
        <v>319</v>
      </c>
    </row>
    <row r="2697" spans="1:21" x14ac:dyDescent="0.25">
      <c r="A2697" s="405" t="s">
        <v>310</v>
      </c>
      <c r="B2697" s="405" t="s">
        <v>23699</v>
      </c>
      <c r="C2697" s="405" t="s">
        <v>327</v>
      </c>
      <c r="D2697" s="405"/>
      <c r="E2697" s="410">
        <v>43063</v>
      </c>
      <c r="F2697" s="410">
        <v>43088</v>
      </c>
      <c r="G2697" s="405" t="s">
        <v>23700</v>
      </c>
      <c r="H2697" s="405">
        <v>782774844</v>
      </c>
      <c r="I2697" s="405"/>
      <c r="J2697" s="405">
        <v>1.371259</v>
      </c>
      <c r="K2697" s="405">
        <v>31.398229000000001</v>
      </c>
      <c r="L2697" s="405" t="s">
        <v>590</v>
      </c>
      <c r="M2697" s="405" t="s">
        <v>7300</v>
      </c>
      <c r="N2697" s="405" t="s">
        <v>22942</v>
      </c>
      <c r="O2697" s="405" t="s">
        <v>20098</v>
      </c>
      <c r="P2697" s="405" t="s">
        <v>23701</v>
      </c>
      <c r="Q2697" s="411">
        <v>9</v>
      </c>
      <c r="R2697" s="405" t="s">
        <v>5665</v>
      </c>
      <c r="S2697" s="405" t="s">
        <v>27126</v>
      </c>
      <c r="T2697" s="405" t="s">
        <v>32102</v>
      </c>
      <c r="U2697" s="405" t="s">
        <v>319</v>
      </c>
    </row>
    <row r="2698" spans="1:21" x14ac:dyDescent="0.25">
      <c r="A2698" s="405" t="s">
        <v>310</v>
      </c>
      <c r="B2698" s="405" t="s">
        <v>23867</v>
      </c>
      <c r="C2698" s="405" t="s">
        <v>311</v>
      </c>
      <c r="D2698" s="405" t="s">
        <v>890</v>
      </c>
      <c r="E2698" s="410">
        <v>43062</v>
      </c>
      <c r="F2698" s="410">
        <v>43094</v>
      </c>
      <c r="G2698" s="405" t="s">
        <v>23868</v>
      </c>
      <c r="H2698" s="405">
        <v>772886044</v>
      </c>
      <c r="I2698" s="405">
        <v>772458786</v>
      </c>
      <c r="J2698" s="405">
        <v>0.75518799999999997</v>
      </c>
      <c r="K2698" s="405" t="s">
        <v>23869</v>
      </c>
      <c r="L2698" s="405" t="s">
        <v>590</v>
      </c>
      <c r="M2698" s="405" t="s">
        <v>20808</v>
      </c>
      <c r="N2698" s="405" t="s">
        <v>23870</v>
      </c>
      <c r="O2698" s="405" t="s">
        <v>23870</v>
      </c>
      <c r="P2698" s="405" t="s">
        <v>23871</v>
      </c>
      <c r="Q2698" s="411">
        <v>9</v>
      </c>
      <c r="R2698" s="405" t="s">
        <v>6572</v>
      </c>
      <c r="S2698" s="405" t="s">
        <v>27240</v>
      </c>
      <c r="T2698" s="405" t="s">
        <v>32102</v>
      </c>
      <c r="U2698" s="405" t="s">
        <v>319</v>
      </c>
    </row>
    <row r="2699" spans="1:21" x14ac:dyDescent="0.25">
      <c r="A2699" s="405" t="s">
        <v>310</v>
      </c>
      <c r="B2699" s="405" t="s">
        <v>7202</v>
      </c>
      <c r="C2699" s="405" t="s">
        <v>311</v>
      </c>
      <c r="D2699" s="405" t="s">
        <v>932</v>
      </c>
      <c r="E2699" s="410">
        <v>43061</v>
      </c>
      <c r="F2699" s="410">
        <v>43100</v>
      </c>
      <c r="G2699" s="405" t="s">
        <v>7203</v>
      </c>
      <c r="H2699" s="405">
        <v>757380479</v>
      </c>
      <c r="I2699" s="405"/>
      <c r="J2699" s="405">
        <v>0.18575</v>
      </c>
      <c r="K2699" s="405">
        <v>32.489710000000002</v>
      </c>
      <c r="L2699" s="405" t="s">
        <v>314</v>
      </c>
      <c r="M2699" s="405" t="s">
        <v>361</v>
      </c>
      <c r="N2699" s="405" t="s">
        <v>6357</v>
      </c>
      <c r="O2699" s="405" t="s">
        <v>2496</v>
      </c>
      <c r="P2699" s="405" t="s">
        <v>7204</v>
      </c>
      <c r="Q2699" s="411">
        <v>9</v>
      </c>
      <c r="R2699" s="405" t="s">
        <v>6822</v>
      </c>
      <c r="S2699" s="405" t="s">
        <v>6822</v>
      </c>
      <c r="T2699" s="405" t="s">
        <v>32102</v>
      </c>
      <c r="U2699" s="405" t="s">
        <v>319</v>
      </c>
    </row>
    <row r="2700" spans="1:21" x14ac:dyDescent="0.25">
      <c r="A2700" s="405" t="s">
        <v>310</v>
      </c>
      <c r="B2700" s="405" t="s">
        <v>15989</v>
      </c>
      <c r="C2700" s="405" t="s">
        <v>327</v>
      </c>
      <c r="D2700" s="405"/>
      <c r="E2700" s="410">
        <v>43061</v>
      </c>
      <c r="F2700" s="410">
        <v>43101</v>
      </c>
      <c r="G2700" s="405" t="s">
        <v>15990</v>
      </c>
      <c r="H2700" s="405">
        <v>754369532</v>
      </c>
      <c r="I2700" s="405"/>
      <c r="J2700" s="405">
        <v>0.37180000000000002</v>
      </c>
      <c r="K2700" s="405">
        <v>33.373699999999999</v>
      </c>
      <c r="L2700" s="405" t="s">
        <v>6866</v>
      </c>
      <c r="M2700" s="405" t="s">
        <v>13470</v>
      </c>
      <c r="N2700" s="405" t="s">
        <v>15991</v>
      </c>
      <c r="O2700" s="405" t="s">
        <v>15992</v>
      </c>
      <c r="P2700" s="405" t="s">
        <v>15993</v>
      </c>
      <c r="Q2700" s="411">
        <v>6</v>
      </c>
      <c r="R2700" s="405" t="s">
        <v>6822</v>
      </c>
      <c r="S2700" s="405" t="s">
        <v>27174</v>
      </c>
      <c r="T2700" s="405" t="s">
        <v>32102</v>
      </c>
      <c r="U2700" s="405" t="s">
        <v>319</v>
      </c>
    </row>
    <row r="2701" spans="1:21" x14ac:dyDescent="0.25">
      <c r="A2701" s="405" t="s">
        <v>310</v>
      </c>
      <c r="B2701" s="405" t="s">
        <v>6626</v>
      </c>
      <c r="C2701" s="405" t="s">
        <v>327</v>
      </c>
      <c r="D2701" s="405"/>
      <c r="E2701" s="410">
        <v>43061</v>
      </c>
      <c r="F2701" s="410">
        <v>43088</v>
      </c>
      <c r="G2701" s="405" t="s">
        <v>6627</v>
      </c>
      <c r="H2701" s="405">
        <v>755420264</v>
      </c>
      <c r="I2701" s="405"/>
      <c r="J2701" s="405">
        <v>-0.37870199999999998</v>
      </c>
      <c r="K2701" s="405">
        <v>31.828872</v>
      </c>
      <c r="L2701" s="405" t="s">
        <v>314</v>
      </c>
      <c r="M2701" s="405" t="s">
        <v>382</v>
      </c>
      <c r="N2701" s="405" t="s">
        <v>1260</v>
      </c>
      <c r="O2701" s="405" t="s">
        <v>1260</v>
      </c>
      <c r="P2701" s="405" t="s">
        <v>6628</v>
      </c>
      <c r="Q2701" s="411">
        <v>6</v>
      </c>
      <c r="R2701" s="405" t="s">
        <v>32101</v>
      </c>
      <c r="S2701" s="405" t="s">
        <v>27186</v>
      </c>
      <c r="T2701" s="405" t="s">
        <v>32102</v>
      </c>
      <c r="U2701" s="405" t="s">
        <v>319</v>
      </c>
    </row>
    <row r="2702" spans="1:21" x14ac:dyDescent="0.25">
      <c r="A2702" s="405" t="s">
        <v>310</v>
      </c>
      <c r="B2702" s="405" t="s">
        <v>15972</v>
      </c>
      <c r="C2702" s="405" t="s">
        <v>327</v>
      </c>
      <c r="D2702" s="405"/>
      <c r="E2702" s="410">
        <v>43059</v>
      </c>
      <c r="F2702" s="410">
        <v>43099</v>
      </c>
      <c r="G2702" s="405" t="s">
        <v>15973</v>
      </c>
      <c r="H2702" s="405">
        <v>772340085</v>
      </c>
      <c r="I2702" s="405"/>
      <c r="J2702" s="405">
        <v>1.3911629999999999</v>
      </c>
      <c r="K2702" s="405">
        <v>34.066175000000001</v>
      </c>
      <c r="L2702" s="405" t="s">
        <v>6866</v>
      </c>
      <c r="M2702" s="405" t="s">
        <v>9504</v>
      </c>
      <c r="N2702" s="405" t="s">
        <v>9504</v>
      </c>
      <c r="O2702" s="405" t="s">
        <v>9504</v>
      </c>
      <c r="P2702" s="405" t="s">
        <v>15974</v>
      </c>
      <c r="Q2702" s="411">
        <v>6</v>
      </c>
      <c r="R2702" s="405" t="s">
        <v>9506</v>
      </c>
      <c r="S2702" s="405" t="s">
        <v>27335</v>
      </c>
      <c r="T2702" s="405" t="s">
        <v>32102</v>
      </c>
      <c r="U2702" s="405" t="s">
        <v>319</v>
      </c>
    </row>
    <row r="2703" spans="1:21" x14ac:dyDescent="0.25">
      <c r="A2703" s="405" t="s">
        <v>310</v>
      </c>
      <c r="B2703" s="405" t="s">
        <v>23612</v>
      </c>
      <c r="C2703" s="405" t="s">
        <v>327</v>
      </c>
      <c r="D2703" s="405"/>
      <c r="E2703" s="410">
        <v>43058</v>
      </c>
      <c r="F2703" s="410">
        <v>43097</v>
      </c>
      <c r="G2703" s="405" t="s">
        <v>23613</v>
      </c>
      <c r="H2703" s="405">
        <v>752535374</v>
      </c>
      <c r="I2703" s="405">
        <v>779545492</v>
      </c>
      <c r="J2703" s="405">
        <v>-0.26926699999999998</v>
      </c>
      <c r="K2703" s="405">
        <v>30.59103</v>
      </c>
      <c r="L2703" s="405" t="s">
        <v>590</v>
      </c>
      <c r="M2703" s="405" t="s">
        <v>19614</v>
      </c>
      <c r="N2703" s="405" t="s">
        <v>19615</v>
      </c>
      <c r="O2703" s="405" t="s">
        <v>20108</v>
      </c>
      <c r="P2703" s="405" t="s">
        <v>23614</v>
      </c>
      <c r="Q2703" s="411">
        <v>9</v>
      </c>
      <c r="R2703" s="405" t="s">
        <v>6943</v>
      </c>
      <c r="S2703" s="405" t="s">
        <v>27173</v>
      </c>
      <c r="T2703" s="405" t="s">
        <v>32102</v>
      </c>
      <c r="U2703" s="405" t="s">
        <v>319</v>
      </c>
    </row>
    <row r="2704" spans="1:21" x14ac:dyDescent="0.25">
      <c r="A2704" s="405" t="s">
        <v>310</v>
      </c>
      <c r="B2704" s="405" t="s">
        <v>7260</v>
      </c>
      <c r="C2704" s="405" t="s">
        <v>327</v>
      </c>
      <c r="D2704" s="405"/>
      <c r="E2704" s="410">
        <v>43058</v>
      </c>
      <c r="F2704" s="410">
        <v>43124</v>
      </c>
      <c r="G2704" s="405" t="s">
        <v>7261</v>
      </c>
      <c r="H2704" s="405">
        <v>754331322</v>
      </c>
      <c r="I2704" s="405"/>
      <c r="J2704" s="405">
        <v>0.38747700000000002</v>
      </c>
      <c r="K2704" s="405">
        <v>32.107292000000001</v>
      </c>
      <c r="L2704" s="405" t="s">
        <v>314</v>
      </c>
      <c r="M2704" s="405" t="s">
        <v>675</v>
      </c>
      <c r="N2704" s="405" t="s">
        <v>675</v>
      </c>
      <c r="O2704" s="405" t="s">
        <v>5584</v>
      </c>
      <c r="P2704" s="405" t="s">
        <v>7262</v>
      </c>
      <c r="Q2704" s="411">
        <v>6</v>
      </c>
      <c r="R2704" s="405" t="s">
        <v>32101</v>
      </c>
      <c r="S2704" s="405" t="s">
        <v>27041</v>
      </c>
      <c r="T2704" s="405" t="s">
        <v>32102</v>
      </c>
      <c r="U2704" s="405" t="s">
        <v>319</v>
      </c>
    </row>
    <row r="2705" spans="1:21" x14ac:dyDescent="0.25">
      <c r="A2705" s="405" t="s">
        <v>310</v>
      </c>
      <c r="B2705" s="405" t="s">
        <v>23682</v>
      </c>
      <c r="C2705" s="405" t="s">
        <v>327</v>
      </c>
      <c r="D2705" s="405"/>
      <c r="E2705" s="410">
        <v>43057</v>
      </c>
      <c r="F2705" s="410">
        <v>43089</v>
      </c>
      <c r="G2705" s="405" t="s">
        <v>23683</v>
      </c>
      <c r="H2705" s="405">
        <v>777666102</v>
      </c>
      <c r="I2705" s="405"/>
      <c r="J2705" s="405">
        <v>-0.57489699999999999</v>
      </c>
      <c r="K2705" s="405">
        <v>30.632937999999999</v>
      </c>
      <c r="L2705" s="405" t="s">
        <v>590</v>
      </c>
      <c r="M2705" s="405" t="s">
        <v>19614</v>
      </c>
      <c r="N2705" s="405" t="s">
        <v>19873</v>
      </c>
      <c r="O2705" s="405" t="s">
        <v>20619</v>
      </c>
      <c r="P2705" s="405" t="s">
        <v>23684</v>
      </c>
      <c r="Q2705" s="411">
        <v>9</v>
      </c>
      <c r="R2705" s="405" t="s">
        <v>5858</v>
      </c>
      <c r="S2705" s="405" t="s">
        <v>27183</v>
      </c>
      <c r="T2705" s="405" t="s">
        <v>32102</v>
      </c>
      <c r="U2705" s="405" t="s">
        <v>319</v>
      </c>
    </row>
    <row r="2706" spans="1:21" x14ac:dyDescent="0.25">
      <c r="A2706" s="405" t="s">
        <v>310</v>
      </c>
      <c r="B2706" s="405" t="s">
        <v>23685</v>
      </c>
      <c r="C2706" s="405" t="s">
        <v>327</v>
      </c>
      <c r="D2706" s="405"/>
      <c r="E2706" s="410">
        <v>43057</v>
      </c>
      <c r="F2706" s="410">
        <v>43089</v>
      </c>
      <c r="G2706" s="405" t="s">
        <v>23686</v>
      </c>
      <c r="H2706" s="405">
        <v>772995828</v>
      </c>
      <c r="I2706" s="405"/>
      <c r="J2706" s="405">
        <v>-0.576905</v>
      </c>
      <c r="K2706" s="405">
        <v>30.623418000000001</v>
      </c>
      <c r="L2706" s="405" t="s">
        <v>590</v>
      </c>
      <c r="M2706" s="405" t="s">
        <v>19614</v>
      </c>
      <c r="N2706" s="405" t="s">
        <v>20619</v>
      </c>
      <c r="O2706" s="405" t="s">
        <v>23684</v>
      </c>
      <c r="P2706" s="405" t="s">
        <v>23684</v>
      </c>
      <c r="Q2706" s="411">
        <v>9</v>
      </c>
      <c r="R2706" s="405" t="s">
        <v>5858</v>
      </c>
      <c r="S2706" s="405" t="s">
        <v>27399</v>
      </c>
      <c r="T2706" s="405" t="s">
        <v>32102</v>
      </c>
      <c r="U2706" s="405" t="s">
        <v>319</v>
      </c>
    </row>
    <row r="2707" spans="1:21" x14ac:dyDescent="0.25">
      <c r="A2707" s="405" t="s">
        <v>310</v>
      </c>
      <c r="B2707" s="405" t="s">
        <v>23687</v>
      </c>
      <c r="C2707" s="405" t="s">
        <v>327</v>
      </c>
      <c r="D2707" s="405"/>
      <c r="E2707" s="410">
        <v>43057</v>
      </c>
      <c r="F2707" s="410">
        <v>43089</v>
      </c>
      <c r="G2707" s="405" t="s">
        <v>23688</v>
      </c>
      <c r="H2707" s="405">
        <v>702545577</v>
      </c>
      <c r="I2707" s="405"/>
      <c r="J2707" s="405">
        <v>-0.58045800000000003</v>
      </c>
      <c r="K2707" s="405">
        <v>30.643428</v>
      </c>
      <c r="L2707" s="405" t="s">
        <v>590</v>
      </c>
      <c r="M2707" s="405" t="s">
        <v>19614</v>
      </c>
      <c r="N2707" s="405" t="s">
        <v>20619</v>
      </c>
      <c r="O2707" s="405" t="s">
        <v>23684</v>
      </c>
      <c r="P2707" s="405" t="s">
        <v>23684</v>
      </c>
      <c r="Q2707" s="411">
        <v>9</v>
      </c>
      <c r="R2707" s="405" t="s">
        <v>5858</v>
      </c>
      <c r="S2707" s="405" t="s">
        <v>27181</v>
      </c>
      <c r="T2707" s="405" t="s">
        <v>32102</v>
      </c>
      <c r="U2707" s="405" t="s">
        <v>319</v>
      </c>
    </row>
    <row r="2708" spans="1:21" x14ac:dyDescent="0.25">
      <c r="A2708" s="405" t="s">
        <v>310</v>
      </c>
      <c r="B2708" s="405" t="s">
        <v>23664</v>
      </c>
      <c r="C2708" s="405" t="s">
        <v>327</v>
      </c>
      <c r="D2708" s="405"/>
      <c r="E2708" s="410">
        <v>43056</v>
      </c>
      <c r="F2708" s="410">
        <v>43072</v>
      </c>
      <c r="G2708" s="405" t="s">
        <v>23665</v>
      </c>
      <c r="H2708" s="405">
        <v>702521089</v>
      </c>
      <c r="I2708" s="405">
        <v>779427268</v>
      </c>
      <c r="J2708" s="405">
        <v>-0.50195199999999995</v>
      </c>
      <c r="K2708" s="405">
        <v>30.899168</v>
      </c>
      <c r="L2708" s="405" t="s">
        <v>590</v>
      </c>
      <c r="M2708" s="405" t="s">
        <v>19705</v>
      </c>
      <c r="N2708" s="405" t="s">
        <v>21675</v>
      </c>
      <c r="O2708" s="405" t="s">
        <v>21675</v>
      </c>
      <c r="P2708" s="405" t="s">
        <v>23287</v>
      </c>
      <c r="Q2708" s="411">
        <v>6</v>
      </c>
      <c r="R2708" s="405" t="s">
        <v>32166</v>
      </c>
      <c r="S2708" s="405" t="s">
        <v>27132</v>
      </c>
      <c r="T2708" s="405" t="s">
        <v>32102</v>
      </c>
      <c r="U2708" s="405" t="s">
        <v>319</v>
      </c>
    </row>
    <row r="2709" spans="1:21" x14ac:dyDescent="0.25">
      <c r="A2709" s="405" t="s">
        <v>310</v>
      </c>
      <c r="B2709" s="405" t="s">
        <v>23618</v>
      </c>
      <c r="C2709" s="405" t="s">
        <v>327</v>
      </c>
      <c r="D2709" s="405"/>
      <c r="E2709" s="410">
        <v>43055</v>
      </c>
      <c r="F2709" s="410">
        <v>43080</v>
      </c>
      <c r="G2709" s="405" t="s">
        <v>23619</v>
      </c>
      <c r="H2709" s="405">
        <v>772305509</v>
      </c>
      <c r="I2709" s="405">
        <v>772700760</v>
      </c>
      <c r="J2709" s="405">
        <v>0.46876499999999999</v>
      </c>
      <c r="K2709" s="405">
        <v>30.517925000000002</v>
      </c>
      <c r="L2709" s="405" t="s">
        <v>590</v>
      </c>
      <c r="M2709" s="405" t="s">
        <v>19614</v>
      </c>
      <c r="N2709" s="405" t="s">
        <v>19615</v>
      </c>
      <c r="O2709" s="405" t="s">
        <v>20188</v>
      </c>
      <c r="P2709" s="405" t="s">
        <v>21897</v>
      </c>
      <c r="Q2709" s="411">
        <v>9</v>
      </c>
      <c r="R2709" s="405" t="s">
        <v>6943</v>
      </c>
      <c r="S2709" s="405" t="s">
        <v>27183</v>
      </c>
      <c r="T2709" s="405" t="s">
        <v>32102</v>
      </c>
      <c r="U2709" s="405" t="s">
        <v>319</v>
      </c>
    </row>
    <row r="2710" spans="1:21" x14ac:dyDescent="0.25">
      <c r="A2710" s="405" t="s">
        <v>310</v>
      </c>
      <c r="B2710" s="405" t="s">
        <v>23712</v>
      </c>
      <c r="C2710" s="405" t="s">
        <v>327</v>
      </c>
      <c r="D2710" s="405"/>
      <c r="E2710" s="410">
        <v>43054</v>
      </c>
      <c r="F2710" s="410">
        <v>43084</v>
      </c>
      <c r="G2710" s="405" t="s">
        <v>23713</v>
      </c>
      <c r="H2710" s="405">
        <v>772569873</v>
      </c>
      <c r="I2710" s="405"/>
      <c r="J2710" s="405">
        <v>0.88458700000000001</v>
      </c>
      <c r="K2710" s="405">
        <v>29.778131999999999</v>
      </c>
      <c r="L2710" s="405" t="s">
        <v>590</v>
      </c>
      <c r="M2710" s="405" t="s">
        <v>7488</v>
      </c>
      <c r="N2710" s="405" t="s">
        <v>23714</v>
      </c>
      <c r="O2710" s="405" t="s">
        <v>13002</v>
      </c>
      <c r="P2710" s="405" t="s">
        <v>23715</v>
      </c>
      <c r="Q2710" s="411">
        <v>9</v>
      </c>
      <c r="R2710" s="405" t="s">
        <v>5665</v>
      </c>
      <c r="S2710" s="405" t="s">
        <v>27046</v>
      </c>
      <c r="T2710" s="405" t="s">
        <v>32102</v>
      </c>
      <c r="U2710" s="405" t="s">
        <v>319</v>
      </c>
    </row>
    <row r="2711" spans="1:21" x14ac:dyDescent="0.25">
      <c r="A2711" s="405" t="s">
        <v>310</v>
      </c>
      <c r="B2711" s="405" t="s">
        <v>23615</v>
      </c>
      <c r="C2711" s="405" t="s">
        <v>327</v>
      </c>
      <c r="D2711" s="405"/>
      <c r="E2711" s="410">
        <v>43054</v>
      </c>
      <c r="F2711" s="410">
        <v>43071</v>
      </c>
      <c r="G2711" s="405" t="s">
        <v>23616</v>
      </c>
      <c r="H2711" s="405">
        <v>774155608</v>
      </c>
      <c r="I2711" s="405">
        <v>705516242</v>
      </c>
      <c r="J2711" s="405">
        <v>0.2417</v>
      </c>
      <c r="K2711" s="405">
        <v>30.3123</v>
      </c>
      <c r="L2711" s="405" t="s">
        <v>590</v>
      </c>
      <c r="M2711" s="405" t="s">
        <v>19614</v>
      </c>
      <c r="N2711" s="405" t="s">
        <v>23617</v>
      </c>
      <c r="O2711" s="405" t="s">
        <v>20188</v>
      </c>
      <c r="P2711" s="405" t="s">
        <v>788</v>
      </c>
      <c r="Q2711" s="411">
        <v>9</v>
      </c>
      <c r="R2711" s="405" t="s">
        <v>6943</v>
      </c>
      <c r="S2711" s="405" t="s">
        <v>27154</v>
      </c>
      <c r="T2711" s="405" t="s">
        <v>32102</v>
      </c>
      <c r="U2711" s="405" t="s">
        <v>319</v>
      </c>
    </row>
    <row r="2712" spans="1:21" x14ac:dyDescent="0.25">
      <c r="A2712" s="405" t="s">
        <v>310</v>
      </c>
      <c r="B2712" s="405" t="s">
        <v>6622</v>
      </c>
      <c r="C2712" s="405" t="s">
        <v>327</v>
      </c>
      <c r="D2712" s="405"/>
      <c r="E2712" s="410">
        <v>43054</v>
      </c>
      <c r="F2712" s="410">
        <v>43093</v>
      </c>
      <c r="G2712" s="405" t="s">
        <v>6623</v>
      </c>
      <c r="H2712" s="405">
        <v>782115075</v>
      </c>
      <c r="I2712" s="405"/>
      <c r="J2712" s="405">
        <v>0.1825</v>
      </c>
      <c r="K2712" s="405">
        <v>32.323300000000003</v>
      </c>
      <c r="L2712" s="405" t="s">
        <v>314</v>
      </c>
      <c r="M2712" s="405" t="s">
        <v>992</v>
      </c>
      <c r="N2712" s="405" t="s">
        <v>6624</v>
      </c>
      <c r="O2712" s="405" t="s">
        <v>2327</v>
      </c>
      <c r="P2712" s="405" t="s">
        <v>6625</v>
      </c>
      <c r="Q2712" s="411">
        <v>6</v>
      </c>
      <c r="R2712" s="405" t="s">
        <v>32101</v>
      </c>
      <c r="S2712" s="405" t="s">
        <v>27167</v>
      </c>
      <c r="T2712" s="405" t="s">
        <v>32102</v>
      </c>
      <c r="U2712" s="405" t="s">
        <v>319</v>
      </c>
    </row>
    <row r="2713" spans="1:21" x14ac:dyDescent="0.25">
      <c r="A2713" s="405" t="s">
        <v>310</v>
      </c>
      <c r="B2713" s="405" t="s">
        <v>23622</v>
      </c>
      <c r="C2713" s="405" t="s">
        <v>327</v>
      </c>
      <c r="D2713" s="405"/>
      <c r="E2713" s="410">
        <v>43053</v>
      </c>
      <c r="F2713" s="410">
        <v>43081</v>
      </c>
      <c r="G2713" s="405" t="s">
        <v>23623</v>
      </c>
      <c r="H2713" s="405">
        <v>702750270</v>
      </c>
      <c r="I2713" s="405">
        <v>781571405</v>
      </c>
      <c r="J2713" s="405">
        <v>-0.64853700000000003</v>
      </c>
      <c r="K2713" s="405">
        <v>30.635052999999999</v>
      </c>
      <c r="L2713" s="405" t="s">
        <v>590</v>
      </c>
      <c r="M2713" s="405" t="s">
        <v>19614</v>
      </c>
      <c r="N2713" s="405" t="s">
        <v>23624</v>
      </c>
      <c r="O2713" s="405" t="s">
        <v>22564</v>
      </c>
      <c r="P2713" s="405" t="s">
        <v>23625</v>
      </c>
      <c r="Q2713" s="411">
        <v>9</v>
      </c>
      <c r="R2713" s="405" t="s">
        <v>883</v>
      </c>
      <c r="S2713" s="405" t="s">
        <v>27104</v>
      </c>
      <c r="T2713" s="405" t="s">
        <v>32102</v>
      </c>
      <c r="U2713" s="405" t="s">
        <v>319</v>
      </c>
    </row>
    <row r="2714" spans="1:21" x14ac:dyDescent="0.25">
      <c r="A2714" s="405" t="s">
        <v>310</v>
      </c>
      <c r="B2714" s="405" t="s">
        <v>23620</v>
      </c>
      <c r="C2714" s="405" t="s">
        <v>327</v>
      </c>
      <c r="D2714" s="405"/>
      <c r="E2714" s="410">
        <v>43053</v>
      </c>
      <c r="F2714" s="410">
        <v>43080</v>
      </c>
      <c r="G2714" s="405" t="s">
        <v>23621</v>
      </c>
      <c r="H2714" s="405">
        <v>774201558</v>
      </c>
      <c r="I2714" s="405">
        <v>777541487</v>
      </c>
      <c r="J2714" s="405">
        <v>0.24540000000000001</v>
      </c>
      <c r="K2714" s="405">
        <v>30.303999999999998</v>
      </c>
      <c r="L2714" s="405" t="s">
        <v>590</v>
      </c>
      <c r="M2714" s="405" t="s">
        <v>19614</v>
      </c>
      <c r="N2714" s="405" t="s">
        <v>19615</v>
      </c>
      <c r="O2714" s="405" t="s">
        <v>20188</v>
      </c>
      <c r="P2714" s="405" t="s">
        <v>20612</v>
      </c>
      <c r="Q2714" s="411">
        <v>9</v>
      </c>
      <c r="R2714" s="405" t="s">
        <v>883</v>
      </c>
      <c r="S2714" s="405" t="s">
        <v>27410</v>
      </c>
      <c r="T2714" s="405" t="s">
        <v>32102</v>
      </c>
      <c r="U2714" s="405" t="s">
        <v>319</v>
      </c>
    </row>
    <row r="2715" spans="1:21" x14ac:dyDescent="0.25">
      <c r="A2715" s="405" t="s">
        <v>310</v>
      </c>
      <c r="B2715" s="405" t="s">
        <v>23666</v>
      </c>
      <c r="C2715" s="405" t="s">
        <v>327</v>
      </c>
      <c r="D2715" s="405"/>
      <c r="E2715" s="410">
        <v>43053</v>
      </c>
      <c r="F2715" s="410">
        <v>43073</v>
      </c>
      <c r="G2715" s="405" t="s">
        <v>23667</v>
      </c>
      <c r="H2715" s="405">
        <v>779207749</v>
      </c>
      <c r="I2715" s="405">
        <v>789872194</v>
      </c>
      <c r="J2715" s="405">
        <v>1.857</v>
      </c>
      <c r="K2715" s="405">
        <v>30.104500000000002</v>
      </c>
      <c r="L2715" s="405" t="s">
        <v>590</v>
      </c>
      <c r="M2715" s="405" t="s">
        <v>19659</v>
      </c>
      <c r="N2715" s="405" t="s">
        <v>19677</v>
      </c>
      <c r="O2715" s="405" t="s">
        <v>2864</v>
      </c>
      <c r="P2715" s="405" t="s">
        <v>23668</v>
      </c>
      <c r="Q2715" s="411">
        <v>9</v>
      </c>
      <c r="R2715" s="405" t="s">
        <v>32166</v>
      </c>
      <c r="S2715" s="405" t="s">
        <v>27166</v>
      </c>
      <c r="T2715" s="405" t="s">
        <v>32102</v>
      </c>
      <c r="U2715" s="405" t="s">
        <v>319</v>
      </c>
    </row>
    <row r="2716" spans="1:21" x14ac:dyDescent="0.25">
      <c r="A2716" s="405" t="s">
        <v>310</v>
      </c>
      <c r="B2716" s="405" t="s">
        <v>23610</v>
      </c>
      <c r="C2716" s="405" t="s">
        <v>327</v>
      </c>
      <c r="D2716" s="405"/>
      <c r="E2716" s="410">
        <v>43053</v>
      </c>
      <c r="F2716" s="410">
        <v>43071</v>
      </c>
      <c r="G2716" s="405" t="s">
        <v>23611</v>
      </c>
      <c r="H2716" s="405">
        <v>772384393</v>
      </c>
      <c r="I2716" s="405">
        <v>7013843915</v>
      </c>
      <c r="J2716" s="405">
        <v>-0.41811799999999999</v>
      </c>
      <c r="K2716" s="405">
        <v>30.513188</v>
      </c>
      <c r="L2716" s="405" t="s">
        <v>590</v>
      </c>
      <c r="M2716" s="405" t="s">
        <v>19614</v>
      </c>
      <c r="N2716" s="405" t="s">
        <v>19615</v>
      </c>
      <c r="O2716" s="405" t="s">
        <v>19650</v>
      </c>
      <c r="P2716" s="405" t="s">
        <v>20612</v>
      </c>
      <c r="Q2716" s="411">
        <v>9</v>
      </c>
      <c r="R2716" s="405" t="s">
        <v>6943</v>
      </c>
      <c r="S2716" s="405" t="s">
        <v>27065</v>
      </c>
      <c r="T2716" s="405" t="s">
        <v>32102</v>
      </c>
      <c r="U2716" s="405" t="s">
        <v>319</v>
      </c>
    </row>
    <row r="2717" spans="1:21" x14ac:dyDescent="0.25">
      <c r="A2717" s="405" t="s">
        <v>310</v>
      </c>
      <c r="B2717" s="405" t="s">
        <v>23640</v>
      </c>
      <c r="C2717" s="405" t="s">
        <v>327</v>
      </c>
      <c r="D2717" s="405"/>
      <c r="E2717" s="410">
        <v>43052</v>
      </c>
      <c r="F2717" s="410">
        <v>43072</v>
      </c>
      <c r="G2717" s="405" t="s">
        <v>23641</v>
      </c>
      <c r="H2717" s="405">
        <v>777328498</v>
      </c>
      <c r="I2717" s="405">
        <v>700479319</v>
      </c>
      <c r="J2717" s="405">
        <v>1.5509999999999999</v>
      </c>
      <c r="K2717" s="405">
        <v>30.101500000000001</v>
      </c>
      <c r="L2717" s="405" t="s">
        <v>590</v>
      </c>
      <c r="M2717" s="405" t="s">
        <v>19659</v>
      </c>
      <c r="N2717" s="405" t="s">
        <v>19677</v>
      </c>
      <c r="O2717" s="405" t="s">
        <v>2864</v>
      </c>
      <c r="P2717" s="405" t="s">
        <v>23642</v>
      </c>
      <c r="Q2717" s="411">
        <v>9</v>
      </c>
      <c r="R2717" s="405" t="s">
        <v>6572</v>
      </c>
      <c r="S2717" s="405" t="s">
        <v>27394</v>
      </c>
      <c r="T2717" s="405" t="s">
        <v>32102</v>
      </c>
      <c r="U2717" s="405" t="s">
        <v>319</v>
      </c>
    </row>
    <row r="2718" spans="1:21" x14ac:dyDescent="0.25">
      <c r="A2718" s="405" t="s">
        <v>310</v>
      </c>
      <c r="B2718" s="405" t="s">
        <v>23708</v>
      </c>
      <c r="C2718" s="405" t="s">
        <v>327</v>
      </c>
      <c r="D2718" s="405"/>
      <c r="E2718" s="410">
        <v>43050</v>
      </c>
      <c r="F2718" s="410">
        <v>43098</v>
      </c>
      <c r="G2718" s="405" t="s">
        <v>23709</v>
      </c>
      <c r="H2718" s="405">
        <v>754167605</v>
      </c>
      <c r="I2718" s="405"/>
      <c r="J2718" s="405">
        <v>-0.94259499999999996</v>
      </c>
      <c r="K2718" s="405">
        <v>30.619447000000001</v>
      </c>
      <c r="L2718" s="405" t="s">
        <v>590</v>
      </c>
      <c r="M2718" s="405" t="s">
        <v>879</v>
      </c>
      <c r="N2718" s="405" t="s">
        <v>23243</v>
      </c>
      <c r="O2718" s="405" t="s">
        <v>20024</v>
      </c>
      <c r="P2718" s="405" t="s">
        <v>20025</v>
      </c>
      <c r="Q2718" s="411">
        <v>9</v>
      </c>
      <c r="R2718" s="405" t="s">
        <v>883</v>
      </c>
      <c r="S2718" s="405" t="s">
        <v>27065</v>
      </c>
      <c r="T2718" s="405" t="s">
        <v>32102</v>
      </c>
      <c r="U2718" s="405" t="s">
        <v>319</v>
      </c>
    </row>
    <row r="2719" spans="1:21" x14ac:dyDescent="0.25">
      <c r="A2719" s="405" t="s">
        <v>310</v>
      </c>
      <c r="B2719" s="405" t="s">
        <v>23689</v>
      </c>
      <c r="C2719" s="405" t="s">
        <v>327</v>
      </c>
      <c r="D2719" s="405"/>
      <c r="E2719" s="410">
        <v>43050</v>
      </c>
      <c r="F2719" s="410">
        <v>43081</v>
      </c>
      <c r="G2719" s="405" t="s">
        <v>23690</v>
      </c>
      <c r="H2719" s="405">
        <v>782311919</v>
      </c>
      <c r="I2719" s="405"/>
      <c r="J2719" s="405">
        <v>-0.30272500000000002</v>
      </c>
      <c r="K2719" s="405">
        <v>30.689077000000001</v>
      </c>
      <c r="L2719" s="405" t="s">
        <v>590</v>
      </c>
      <c r="M2719" s="405" t="s">
        <v>19705</v>
      </c>
      <c r="N2719" s="405" t="s">
        <v>21675</v>
      </c>
      <c r="O2719" s="405" t="s">
        <v>21675</v>
      </c>
      <c r="P2719" s="405" t="s">
        <v>23691</v>
      </c>
      <c r="Q2719" s="411">
        <v>9</v>
      </c>
      <c r="R2719" s="405" t="s">
        <v>874</v>
      </c>
      <c r="S2719" s="405" t="s">
        <v>27172</v>
      </c>
      <c r="T2719" s="405" t="s">
        <v>32102</v>
      </c>
      <c r="U2719" s="405" t="s">
        <v>319</v>
      </c>
    </row>
    <row r="2720" spans="1:21" x14ac:dyDescent="0.25">
      <c r="A2720" s="405" t="s">
        <v>310</v>
      </c>
      <c r="B2720" s="405" t="s">
        <v>6614</v>
      </c>
      <c r="C2720" s="405" t="s">
        <v>327</v>
      </c>
      <c r="D2720" s="405"/>
      <c r="E2720" s="410">
        <v>43050</v>
      </c>
      <c r="F2720" s="410">
        <v>43082</v>
      </c>
      <c r="G2720" s="405" t="s">
        <v>6615</v>
      </c>
      <c r="H2720" s="405">
        <v>752400078</v>
      </c>
      <c r="I2720" s="405"/>
      <c r="J2720" s="405">
        <v>0.24490000000000001</v>
      </c>
      <c r="K2720" s="405">
        <v>31.3553</v>
      </c>
      <c r="L2720" s="405" t="s">
        <v>314</v>
      </c>
      <c r="M2720" s="405" t="s">
        <v>382</v>
      </c>
      <c r="N2720" s="405" t="s">
        <v>894</v>
      </c>
      <c r="O2720" s="405" t="s">
        <v>6616</v>
      </c>
      <c r="P2720" s="405" t="s">
        <v>6616</v>
      </c>
      <c r="Q2720" s="411">
        <v>6</v>
      </c>
      <c r="R2720" s="405" t="s">
        <v>32101</v>
      </c>
      <c r="S2720" s="405" t="s">
        <v>27186</v>
      </c>
      <c r="T2720" s="405" t="s">
        <v>32102</v>
      </c>
      <c r="U2720" s="405" t="s">
        <v>319</v>
      </c>
    </row>
    <row r="2721" spans="1:21" x14ac:dyDescent="0.25">
      <c r="A2721" s="405" t="s">
        <v>310</v>
      </c>
      <c r="B2721" s="405" t="s">
        <v>6629</v>
      </c>
      <c r="C2721" s="405" t="s">
        <v>327</v>
      </c>
      <c r="D2721" s="405"/>
      <c r="E2721" s="410">
        <v>43049</v>
      </c>
      <c r="F2721" s="410">
        <v>43088</v>
      </c>
      <c r="G2721" s="405" t="s">
        <v>6630</v>
      </c>
      <c r="H2721" s="405">
        <v>759835400</v>
      </c>
      <c r="I2721" s="405"/>
      <c r="J2721" s="405">
        <v>0.77974699999999997</v>
      </c>
      <c r="K2721" s="405" t="s">
        <v>6631</v>
      </c>
      <c r="L2721" s="405" t="s">
        <v>314</v>
      </c>
      <c r="M2721" s="405" t="s">
        <v>398</v>
      </c>
      <c r="N2721" s="405" t="s">
        <v>6632</v>
      </c>
      <c r="O2721" s="405" t="s">
        <v>6632</v>
      </c>
      <c r="P2721" s="405" t="s">
        <v>6633</v>
      </c>
      <c r="Q2721" s="411">
        <v>13</v>
      </c>
      <c r="R2721" s="405" t="s">
        <v>5986</v>
      </c>
      <c r="S2721" s="405" t="s">
        <v>5986</v>
      </c>
      <c r="T2721" s="405" t="s">
        <v>32102</v>
      </c>
      <c r="U2721" s="405" t="s">
        <v>319</v>
      </c>
    </row>
    <row r="2722" spans="1:21" x14ac:dyDescent="0.25">
      <c r="A2722" s="405" t="s">
        <v>310</v>
      </c>
      <c r="B2722" s="405" t="s">
        <v>6638</v>
      </c>
      <c r="C2722" s="405" t="s">
        <v>327</v>
      </c>
      <c r="D2722" s="405"/>
      <c r="E2722" s="410">
        <v>43049</v>
      </c>
      <c r="F2722" s="410">
        <v>43089</v>
      </c>
      <c r="G2722" s="405" t="s">
        <v>6639</v>
      </c>
      <c r="H2722" s="405">
        <v>772533180</v>
      </c>
      <c r="I2722" s="405">
        <v>75246216207</v>
      </c>
      <c r="J2722" s="405">
        <v>0.2039</v>
      </c>
      <c r="K2722" s="405">
        <v>32.453499999999998</v>
      </c>
      <c r="L2722" s="405" t="s">
        <v>314</v>
      </c>
      <c r="M2722" s="405" t="s">
        <v>329</v>
      </c>
      <c r="N2722" s="405" t="s">
        <v>330</v>
      </c>
      <c r="O2722" s="405" t="s">
        <v>331</v>
      </c>
      <c r="P2722" s="405" t="s">
        <v>4468</v>
      </c>
      <c r="Q2722" s="411">
        <v>6</v>
      </c>
      <c r="R2722" s="405" t="s">
        <v>5665</v>
      </c>
      <c r="S2722" s="405" t="s">
        <v>27258</v>
      </c>
      <c r="T2722" s="405" t="s">
        <v>32102</v>
      </c>
      <c r="U2722" s="405" t="s">
        <v>319</v>
      </c>
    </row>
    <row r="2723" spans="1:21" x14ac:dyDescent="0.25">
      <c r="A2723" s="405" t="s">
        <v>310</v>
      </c>
      <c r="B2723" s="405" t="s">
        <v>6617</v>
      </c>
      <c r="C2723" s="405" t="s">
        <v>327</v>
      </c>
      <c r="D2723" s="405"/>
      <c r="E2723" s="410">
        <v>43049</v>
      </c>
      <c r="F2723" s="410">
        <v>43088</v>
      </c>
      <c r="G2723" s="405" t="s">
        <v>6618</v>
      </c>
      <c r="H2723" s="405">
        <v>772772191</v>
      </c>
      <c r="I2723" s="405"/>
      <c r="J2723" s="405">
        <v>0.43099799999999999</v>
      </c>
      <c r="K2723" s="405">
        <v>31.485585</v>
      </c>
      <c r="L2723" s="405" t="s">
        <v>314</v>
      </c>
      <c r="M2723" s="405" t="s">
        <v>445</v>
      </c>
      <c r="N2723" s="405" t="s">
        <v>6619</v>
      </c>
      <c r="O2723" s="405" t="s">
        <v>6620</v>
      </c>
      <c r="P2723" s="405" t="s">
        <v>6621</v>
      </c>
      <c r="Q2723" s="411">
        <v>6</v>
      </c>
      <c r="R2723" s="405" t="s">
        <v>32101</v>
      </c>
      <c r="S2723" s="405" t="s">
        <v>27041</v>
      </c>
      <c r="T2723" s="405" t="s">
        <v>32102</v>
      </c>
      <c r="U2723" s="405" t="s">
        <v>319</v>
      </c>
    </row>
    <row r="2724" spans="1:21" x14ac:dyDescent="0.25">
      <c r="A2724" s="405" t="s">
        <v>310</v>
      </c>
      <c r="B2724" s="405" t="s">
        <v>23661</v>
      </c>
      <c r="C2724" s="405" t="s">
        <v>327</v>
      </c>
      <c r="D2724" s="405"/>
      <c r="E2724" s="410">
        <v>43048</v>
      </c>
      <c r="F2724" s="410">
        <v>43072</v>
      </c>
      <c r="G2724" s="405" t="s">
        <v>23662</v>
      </c>
      <c r="H2724" s="405">
        <v>782542476</v>
      </c>
      <c r="I2724" s="405"/>
      <c r="J2724" s="405">
        <v>-0.417155</v>
      </c>
      <c r="K2724" s="405">
        <v>31.121479999999998</v>
      </c>
      <c r="L2724" s="405" t="s">
        <v>590</v>
      </c>
      <c r="M2724" s="405" t="s">
        <v>19705</v>
      </c>
      <c r="N2724" s="405" t="s">
        <v>19706</v>
      </c>
      <c r="O2724" s="405" t="s">
        <v>23406</v>
      </c>
      <c r="P2724" s="405" t="s">
        <v>23663</v>
      </c>
      <c r="Q2724" s="411">
        <v>6</v>
      </c>
      <c r="R2724" s="405" t="s">
        <v>874</v>
      </c>
      <c r="S2724" s="405" t="s">
        <v>27429</v>
      </c>
      <c r="T2724" s="405" t="s">
        <v>32102</v>
      </c>
      <c r="U2724" s="405" t="s">
        <v>319</v>
      </c>
    </row>
    <row r="2725" spans="1:21" x14ac:dyDescent="0.25">
      <c r="A2725" s="405" t="s">
        <v>310</v>
      </c>
      <c r="B2725" s="405" t="s">
        <v>23669</v>
      </c>
      <c r="C2725" s="405" t="s">
        <v>327</v>
      </c>
      <c r="D2725" s="405"/>
      <c r="E2725" s="410">
        <v>43047</v>
      </c>
      <c r="F2725" s="410">
        <v>43073</v>
      </c>
      <c r="G2725" s="405" t="s">
        <v>23670</v>
      </c>
      <c r="H2725" s="405">
        <v>773377528</v>
      </c>
      <c r="I2725" s="405">
        <v>788981379</v>
      </c>
      <c r="J2725" s="405">
        <v>1.059912</v>
      </c>
      <c r="K2725" s="405">
        <v>30.109387999999999</v>
      </c>
      <c r="L2725" s="405" t="s">
        <v>590</v>
      </c>
      <c r="M2725" s="405" t="s">
        <v>19659</v>
      </c>
      <c r="N2725" s="405" t="s">
        <v>19677</v>
      </c>
      <c r="O2725" s="405" t="s">
        <v>19726</v>
      </c>
      <c r="P2725" s="405" t="s">
        <v>23671</v>
      </c>
      <c r="Q2725" s="411">
        <v>9</v>
      </c>
      <c r="R2725" s="405" t="s">
        <v>32166</v>
      </c>
      <c r="S2725" s="405" t="s">
        <v>27399</v>
      </c>
      <c r="T2725" s="405" t="s">
        <v>32102</v>
      </c>
      <c r="U2725" s="405" t="s">
        <v>319</v>
      </c>
    </row>
    <row r="2726" spans="1:21" x14ac:dyDescent="0.25">
      <c r="A2726" s="405" t="s">
        <v>310</v>
      </c>
      <c r="B2726" s="405" t="s">
        <v>23755</v>
      </c>
      <c r="C2726" s="405" t="s">
        <v>311</v>
      </c>
      <c r="D2726" s="405" t="s">
        <v>921</v>
      </c>
      <c r="E2726" s="410">
        <v>43047</v>
      </c>
      <c r="F2726" s="410">
        <v>43061</v>
      </c>
      <c r="G2726" s="405" t="s">
        <v>23756</v>
      </c>
      <c r="H2726" s="405">
        <v>777740260</v>
      </c>
      <c r="I2726" s="405"/>
      <c r="J2726" s="405">
        <v>0.59370000000000001</v>
      </c>
      <c r="K2726" s="405">
        <v>30.742508000000001</v>
      </c>
      <c r="L2726" s="405" t="s">
        <v>590</v>
      </c>
      <c r="M2726" s="405" t="s">
        <v>20426</v>
      </c>
      <c r="N2726" s="405" t="s">
        <v>10925</v>
      </c>
      <c r="O2726" s="405" t="s">
        <v>23757</v>
      </c>
      <c r="P2726" s="405" t="s">
        <v>23758</v>
      </c>
      <c r="Q2726" s="411">
        <v>9</v>
      </c>
      <c r="R2726" s="405" t="s">
        <v>5903</v>
      </c>
      <c r="S2726" s="405" t="s">
        <v>27205</v>
      </c>
      <c r="T2726" s="405" t="s">
        <v>32102</v>
      </c>
      <c r="U2726" s="405" t="s">
        <v>319</v>
      </c>
    </row>
    <row r="2727" spans="1:21" x14ac:dyDescent="0.25">
      <c r="A2727" s="405" t="s">
        <v>310</v>
      </c>
      <c r="B2727" s="405" t="s">
        <v>23647</v>
      </c>
      <c r="C2727" s="405" t="s">
        <v>327</v>
      </c>
      <c r="D2727" s="405"/>
      <c r="E2727" s="410">
        <v>43046</v>
      </c>
      <c r="F2727" s="410">
        <v>43072</v>
      </c>
      <c r="G2727" s="405" t="s">
        <v>23648</v>
      </c>
      <c r="H2727" s="405">
        <v>772536647</v>
      </c>
      <c r="I2727" s="405">
        <v>786548521</v>
      </c>
      <c r="J2727" s="405">
        <v>-1.025377</v>
      </c>
      <c r="K2727" s="405">
        <v>30.177772999999998</v>
      </c>
      <c r="L2727" s="405" t="s">
        <v>590</v>
      </c>
      <c r="M2727" s="405" t="s">
        <v>19659</v>
      </c>
      <c r="N2727" s="405" t="s">
        <v>19677</v>
      </c>
      <c r="O2727" s="405" t="s">
        <v>23649</v>
      </c>
      <c r="P2727" s="405" t="s">
        <v>23650</v>
      </c>
      <c r="Q2727" s="411">
        <v>9</v>
      </c>
      <c r="R2727" s="405" t="s">
        <v>32166</v>
      </c>
      <c r="S2727" s="405" t="s">
        <v>27132</v>
      </c>
      <c r="T2727" s="405" t="s">
        <v>32102</v>
      </c>
      <c r="U2727" s="405" t="s">
        <v>319</v>
      </c>
    </row>
    <row r="2728" spans="1:21" x14ac:dyDescent="0.25">
      <c r="A2728" s="405" t="s">
        <v>310</v>
      </c>
      <c r="B2728" s="405" t="s">
        <v>6602</v>
      </c>
      <c r="C2728" s="405" t="s">
        <v>327</v>
      </c>
      <c r="D2728" s="405"/>
      <c r="E2728" s="410">
        <v>43045</v>
      </c>
      <c r="F2728" s="410">
        <v>43084</v>
      </c>
      <c r="G2728" s="405" t="s">
        <v>6603</v>
      </c>
      <c r="H2728" s="405">
        <v>703249811</v>
      </c>
      <c r="I2728" s="405"/>
      <c r="J2728" s="405">
        <v>0.40776299999999999</v>
      </c>
      <c r="K2728" s="405">
        <v>32.481008000000003</v>
      </c>
      <c r="L2728" s="405" t="s">
        <v>314</v>
      </c>
      <c r="M2728" s="405" t="s">
        <v>361</v>
      </c>
      <c r="N2728" s="405" t="s">
        <v>361</v>
      </c>
      <c r="O2728" s="405" t="s">
        <v>6604</v>
      </c>
      <c r="P2728" s="405" t="s">
        <v>6604</v>
      </c>
      <c r="Q2728" s="411">
        <v>9</v>
      </c>
      <c r="R2728" s="405" t="s">
        <v>32101</v>
      </c>
      <c r="S2728" s="405" t="s">
        <v>27167</v>
      </c>
      <c r="T2728" s="405" t="s">
        <v>32102</v>
      </c>
      <c r="U2728" s="405" t="s">
        <v>319</v>
      </c>
    </row>
    <row r="2729" spans="1:21" x14ac:dyDescent="0.25">
      <c r="A2729" s="405" t="s">
        <v>310</v>
      </c>
      <c r="B2729" s="405" t="s">
        <v>23651</v>
      </c>
      <c r="C2729" s="405" t="s">
        <v>327</v>
      </c>
      <c r="D2729" s="405"/>
      <c r="E2729" s="410">
        <v>43045</v>
      </c>
      <c r="F2729" s="410">
        <v>43072</v>
      </c>
      <c r="G2729" s="405" t="s">
        <v>23652</v>
      </c>
      <c r="H2729" s="405">
        <v>782383530</v>
      </c>
      <c r="I2729" s="405">
        <v>702383530</v>
      </c>
      <c r="J2729" s="405">
        <v>-1.036335</v>
      </c>
      <c r="K2729" s="405">
        <v>30.067316999999999</v>
      </c>
      <c r="L2729" s="405" t="s">
        <v>590</v>
      </c>
      <c r="M2729" s="405" t="s">
        <v>19659</v>
      </c>
      <c r="N2729" s="405" t="s">
        <v>19677</v>
      </c>
      <c r="O2729" s="405" t="s">
        <v>19726</v>
      </c>
      <c r="P2729" s="405" t="s">
        <v>23653</v>
      </c>
      <c r="Q2729" s="411">
        <v>9</v>
      </c>
      <c r="R2729" s="405" t="s">
        <v>32166</v>
      </c>
      <c r="S2729" s="405" t="s">
        <v>27401</v>
      </c>
      <c r="T2729" s="405" t="s">
        <v>32102</v>
      </c>
      <c r="U2729" s="405" t="s">
        <v>319</v>
      </c>
    </row>
    <row r="2730" spans="1:21" x14ac:dyDescent="0.25">
      <c r="A2730" s="405" t="s">
        <v>310</v>
      </c>
      <c r="B2730" s="405" t="s">
        <v>6580</v>
      </c>
      <c r="C2730" s="405" t="s">
        <v>327</v>
      </c>
      <c r="D2730" s="405"/>
      <c r="E2730" s="410">
        <v>43045</v>
      </c>
      <c r="F2730" s="410">
        <v>43072</v>
      </c>
      <c r="G2730" s="405" t="s">
        <v>6581</v>
      </c>
      <c r="H2730" s="405">
        <v>773927195</v>
      </c>
      <c r="I2730" s="405">
        <v>700422290</v>
      </c>
      <c r="J2730" s="405">
        <v>1.93336675</v>
      </c>
      <c r="K2730" s="405" t="s">
        <v>6582</v>
      </c>
      <c r="L2730" s="405" t="s">
        <v>314</v>
      </c>
      <c r="M2730" s="405" t="s">
        <v>6492</v>
      </c>
      <c r="N2730" s="405" t="s">
        <v>6583</v>
      </c>
      <c r="O2730" s="405" t="s">
        <v>6584</v>
      </c>
      <c r="P2730" s="405" t="s">
        <v>6585</v>
      </c>
      <c r="Q2730" s="411">
        <v>6</v>
      </c>
      <c r="R2730" s="405" t="s">
        <v>4176</v>
      </c>
      <c r="S2730" s="405" t="s">
        <v>27036</v>
      </c>
      <c r="T2730" s="405" t="s">
        <v>32102</v>
      </c>
      <c r="U2730" s="405" t="s">
        <v>319</v>
      </c>
    </row>
    <row r="2731" spans="1:21" x14ac:dyDescent="0.25">
      <c r="A2731" s="405" t="s">
        <v>310</v>
      </c>
      <c r="B2731" s="405" t="s">
        <v>6532</v>
      </c>
      <c r="C2731" s="405" t="s">
        <v>327</v>
      </c>
      <c r="D2731" s="405"/>
      <c r="E2731" s="410">
        <v>43045</v>
      </c>
      <c r="F2731" s="410">
        <v>43045</v>
      </c>
      <c r="G2731" s="405" t="s">
        <v>6533</v>
      </c>
      <c r="H2731" s="405">
        <v>777672583</v>
      </c>
      <c r="I2731" s="405">
        <v>772340371</v>
      </c>
      <c r="J2731" s="405">
        <v>-0.33997300000000003</v>
      </c>
      <c r="K2731" s="405">
        <v>32.388554999999997</v>
      </c>
      <c r="L2731" s="405" t="s">
        <v>314</v>
      </c>
      <c r="M2731" s="405" t="s">
        <v>6534</v>
      </c>
      <c r="N2731" s="405" t="s">
        <v>6535</v>
      </c>
      <c r="O2731" s="405" t="s">
        <v>6535</v>
      </c>
      <c r="P2731" s="405" t="s">
        <v>6535</v>
      </c>
      <c r="Q2731" s="411">
        <v>6</v>
      </c>
      <c r="R2731" s="405" t="s">
        <v>4176</v>
      </c>
      <c r="S2731" s="405" t="s">
        <v>27244</v>
      </c>
      <c r="T2731" s="405" t="s">
        <v>32102</v>
      </c>
      <c r="U2731" s="405" t="s">
        <v>319</v>
      </c>
    </row>
    <row r="2732" spans="1:21" x14ac:dyDescent="0.25">
      <c r="A2732" s="405" t="s">
        <v>310</v>
      </c>
      <c r="B2732" s="405" t="s">
        <v>23632</v>
      </c>
      <c r="C2732" s="405" t="s">
        <v>327</v>
      </c>
      <c r="D2732" s="405"/>
      <c r="E2732" s="410">
        <v>43044</v>
      </c>
      <c r="F2732" s="410">
        <v>43088</v>
      </c>
      <c r="G2732" s="405" t="s">
        <v>23633</v>
      </c>
      <c r="H2732" s="405">
        <v>772449738</v>
      </c>
      <c r="I2732" s="405">
        <v>752449738</v>
      </c>
      <c r="J2732" s="405">
        <v>-0.79774199999999995</v>
      </c>
      <c r="K2732" s="405">
        <v>29.884430000000002</v>
      </c>
      <c r="L2732" s="405" t="s">
        <v>590</v>
      </c>
      <c r="M2732" s="405" t="s">
        <v>19619</v>
      </c>
      <c r="N2732" s="405" t="s">
        <v>19793</v>
      </c>
      <c r="O2732" s="405" t="s">
        <v>22290</v>
      </c>
      <c r="P2732" s="405" t="s">
        <v>23634</v>
      </c>
      <c r="Q2732" s="411">
        <v>9</v>
      </c>
      <c r="R2732" s="405" t="s">
        <v>6572</v>
      </c>
      <c r="S2732" s="405" t="s">
        <v>27166</v>
      </c>
      <c r="T2732" s="405" t="s">
        <v>32102</v>
      </c>
      <c r="U2732" s="405" t="s">
        <v>319</v>
      </c>
    </row>
    <row r="2733" spans="1:21" x14ac:dyDescent="0.25">
      <c r="A2733" s="405" t="s">
        <v>310</v>
      </c>
      <c r="B2733" s="405" t="s">
        <v>23704</v>
      </c>
      <c r="C2733" s="405" t="s">
        <v>327</v>
      </c>
      <c r="D2733" s="405"/>
      <c r="E2733" s="410">
        <v>43039</v>
      </c>
      <c r="F2733" s="410">
        <v>43084</v>
      </c>
      <c r="G2733" s="405" t="s">
        <v>23705</v>
      </c>
      <c r="H2733" s="405">
        <v>772916003</v>
      </c>
      <c r="I2733" s="405"/>
      <c r="J2733" s="405">
        <v>0.38364799999999999</v>
      </c>
      <c r="K2733" s="405">
        <v>30.81832</v>
      </c>
      <c r="L2733" s="405" t="s">
        <v>590</v>
      </c>
      <c r="M2733" s="405" t="s">
        <v>19720</v>
      </c>
      <c r="N2733" s="405" t="s">
        <v>7352</v>
      </c>
      <c r="O2733" s="405" t="s">
        <v>23183</v>
      </c>
      <c r="P2733" s="405" t="s">
        <v>22519</v>
      </c>
      <c r="Q2733" s="411">
        <v>6</v>
      </c>
      <c r="R2733" s="405" t="s">
        <v>6013</v>
      </c>
      <c r="S2733" s="405" t="s">
        <v>27163</v>
      </c>
      <c r="T2733" s="405" t="s">
        <v>32102</v>
      </c>
      <c r="U2733" s="405" t="s">
        <v>319</v>
      </c>
    </row>
    <row r="2734" spans="1:21" x14ac:dyDescent="0.25">
      <c r="A2734" s="405" t="s">
        <v>310</v>
      </c>
      <c r="B2734" s="405" t="s">
        <v>23679</v>
      </c>
      <c r="C2734" s="405" t="s">
        <v>327</v>
      </c>
      <c r="D2734" s="405"/>
      <c r="E2734" s="410">
        <v>43038</v>
      </c>
      <c r="F2734" s="410">
        <v>43074</v>
      </c>
      <c r="G2734" s="405" t="s">
        <v>23680</v>
      </c>
      <c r="H2734" s="405">
        <v>772333310</v>
      </c>
      <c r="I2734" s="405">
        <v>705605449</v>
      </c>
      <c r="J2734" s="405">
        <v>-1.005628</v>
      </c>
      <c r="K2734" s="405">
        <v>30.178567999999999</v>
      </c>
      <c r="L2734" s="405" t="s">
        <v>590</v>
      </c>
      <c r="M2734" s="405" t="s">
        <v>19659</v>
      </c>
      <c r="N2734" s="405" t="s">
        <v>19677</v>
      </c>
      <c r="O2734" s="405" t="s">
        <v>23681</v>
      </c>
      <c r="P2734" s="405" t="s">
        <v>20108</v>
      </c>
      <c r="Q2734" s="411">
        <v>9</v>
      </c>
      <c r="R2734" s="405" t="s">
        <v>5858</v>
      </c>
      <c r="S2734" s="405" t="s">
        <v>27098</v>
      </c>
      <c r="T2734" s="405" t="s">
        <v>32102</v>
      </c>
      <c r="U2734" s="405" t="s">
        <v>319</v>
      </c>
    </row>
    <row r="2735" spans="1:21" x14ac:dyDescent="0.25">
      <c r="A2735" s="405" t="s">
        <v>310</v>
      </c>
      <c r="B2735" s="405" t="s">
        <v>23645</v>
      </c>
      <c r="C2735" s="405" t="s">
        <v>327</v>
      </c>
      <c r="D2735" s="405"/>
      <c r="E2735" s="410">
        <v>43038</v>
      </c>
      <c r="F2735" s="410">
        <v>43073</v>
      </c>
      <c r="G2735" s="405" t="s">
        <v>23646</v>
      </c>
      <c r="H2735" s="405">
        <v>772463143</v>
      </c>
      <c r="I2735" s="405"/>
      <c r="J2735" s="405">
        <v>0.57199999999999995</v>
      </c>
      <c r="K2735" s="405">
        <v>30.821000000000002</v>
      </c>
      <c r="L2735" s="405" t="s">
        <v>590</v>
      </c>
      <c r="M2735" s="405" t="s">
        <v>19659</v>
      </c>
      <c r="N2735" s="405" t="s">
        <v>19677</v>
      </c>
      <c r="O2735" s="405" t="s">
        <v>20207</v>
      </c>
      <c r="P2735" s="405" t="s">
        <v>19865</v>
      </c>
      <c r="Q2735" s="411">
        <v>9</v>
      </c>
      <c r="R2735" s="405" t="s">
        <v>6572</v>
      </c>
      <c r="S2735" s="405" t="s">
        <v>27183</v>
      </c>
      <c r="T2735" s="405" t="s">
        <v>32102</v>
      </c>
      <c r="U2735" s="405" t="s">
        <v>319</v>
      </c>
    </row>
    <row r="2736" spans="1:21" x14ac:dyDescent="0.25">
      <c r="A2736" s="405" t="s">
        <v>310</v>
      </c>
      <c r="B2736" s="405" t="s">
        <v>6577</v>
      </c>
      <c r="C2736" s="405" t="s">
        <v>327</v>
      </c>
      <c r="D2736" s="405"/>
      <c r="E2736" s="410">
        <v>43038</v>
      </c>
      <c r="F2736" s="410">
        <v>43083</v>
      </c>
      <c r="G2736" s="405" t="s">
        <v>6578</v>
      </c>
      <c r="H2736" s="405">
        <v>772900095</v>
      </c>
      <c r="I2736" s="405">
        <v>756900095</v>
      </c>
      <c r="J2736" s="405">
        <v>0.45369999999999999</v>
      </c>
      <c r="K2736" s="405">
        <v>32.302599999999998</v>
      </c>
      <c r="L2736" s="405" t="s">
        <v>314</v>
      </c>
      <c r="M2736" s="405" t="s">
        <v>959</v>
      </c>
      <c r="N2736" s="405" t="s">
        <v>6270</v>
      </c>
      <c r="O2736" s="405" t="s">
        <v>1094</v>
      </c>
      <c r="P2736" s="405" t="s">
        <v>6579</v>
      </c>
      <c r="Q2736" s="411">
        <v>6</v>
      </c>
      <c r="R2736" s="405" t="s">
        <v>4176</v>
      </c>
      <c r="S2736" s="405" t="s">
        <v>27036</v>
      </c>
      <c r="T2736" s="405" t="s">
        <v>32102</v>
      </c>
      <c r="U2736" s="405" t="s">
        <v>319</v>
      </c>
    </row>
    <row r="2737" spans="1:21" x14ac:dyDescent="0.25">
      <c r="A2737" s="405" t="s">
        <v>310</v>
      </c>
      <c r="B2737" s="405" t="s">
        <v>6595</v>
      </c>
      <c r="C2737" s="405" t="s">
        <v>327</v>
      </c>
      <c r="D2737" s="405"/>
      <c r="E2737" s="410">
        <v>43037</v>
      </c>
      <c r="F2737" s="410">
        <v>43082</v>
      </c>
      <c r="G2737" s="405" t="s">
        <v>6596</v>
      </c>
      <c r="H2737" s="405">
        <v>754131800</v>
      </c>
      <c r="I2737" s="405"/>
      <c r="J2737" s="405">
        <v>0.37452999999999997</v>
      </c>
      <c r="K2737" s="405">
        <v>32.457926999999998</v>
      </c>
      <c r="L2737" s="405" t="s">
        <v>314</v>
      </c>
      <c r="M2737" s="405" t="s">
        <v>361</v>
      </c>
      <c r="N2737" s="405" t="s">
        <v>361</v>
      </c>
      <c r="O2737" s="405" t="s">
        <v>6597</v>
      </c>
      <c r="P2737" s="405" t="s">
        <v>6598</v>
      </c>
      <c r="Q2737" s="411">
        <v>9</v>
      </c>
      <c r="R2737" s="405" t="s">
        <v>32101</v>
      </c>
      <c r="S2737" s="405" t="s">
        <v>27167</v>
      </c>
      <c r="T2737" s="405" t="s">
        <v>32102</v>
      </c>
      <c r="U2737" s="405" t="s">
        <v>319</v>
      </c>
    </row>
    <row r="2738" spans="1:21" x14ac:dyDescent="0.25">
      <c r="A2738" s="405" t="s">
        <v>310</v>
      </c>
      <c r="B2738" s="405" t="s">
        <v>23579</v>
      </c>
      <c r="C2738" s="405" t="s">
        <v>327</v>
      </c>
      <c r="D2738" s="405"/>
      <c r="E2738" s="410">
        <v>43037</v>
      </c>
      <c r="F2738" s="410">
        <v>43048</v>
      </c>
      <c r="G2738" s="405" t="s">
        <v>23580</v>
      </c>
      <c r="H2738" s="405">
        <v>772841593</v>
      </c>
      <c r="I2738" s="405">
        <v>705665659</v>
      </c>
      <c r="J2738" s="405">
        <v>-0.46010800000000002</v>
      </c>
      <c r="K2738" s="405">
        <v>30.632290000000001</v>
      </c>
      <c r="L2738" s="405" t="s">
        <v>590</v>
      </c>
      <c r="M2738" s="405" t="s">
        <v>19614</v>
      </c>
      <c r="N2738" s="405" t="s">
        <v>20230</v>
      </c>
      <c r="O2738" s="405" t="s">
        <v>19616</v>
      </c>
      <c r="P2738" s="405" t="s">
        <v>23581</v>
      </c>
      <c r="Q2738" s="411">
        <v>9</v>
      </c>
      <c r="R2738" s="405" t="s">
        <v>5858</v>
      </c>
      <c r="S2738" s="405" t="s">
        <v>27166</v>
      </c>
      <c r="T2738" s="405" t="s">
        <v>32102</v>
      </c>
      <c r="U2738" s="405" t="s">
        <v>319</v>
      </c>
    </row>
    <row r="2739" spans="1:21" x14ac:dyDescent="0.25">
      <c r="A2739" s="405" t="s">
        <v>310</v>
      </c>
      <c r="B2739" s="405" t="s">
        <v>6688</v>
      </c>
      <c r="C2739" s="405" t="s">
        <v>327</v>
      </c>
      <c r="D2739" s="405"/>
      <c r="E2739" s="410">
        <v>43036</v>
      </c>
      <c r="F2739" s="410">
        <v>43120</v>
      </c>
      <c r="G2739" s="405" t="s">
        <v>6689</v>
      </c>
      <c r="H2739" s="405">
        <v>758366201</v>
      </c>
      <c r="I2739" s="405"/>
      <c r="J2739" s="405">
        <v>0.18159700000000001</v>
      </c>
      <c r="K2739" s="405">
        <v>32.092618000000002</v>
      </c>
      <c r="L2739" s="405" t="s">
        <v>314</v>
      </c>
      <c r="M2739" s="405" t="s">
        <v>315</v>
      </c>
      <c r="N2739" s="405" t="s">
        <v>339</v>
      </c>
      <c r="O2739" s="405" t="s">
        <v>1791</v>
      </c>
      <c r="P2739" s="405" t="s">
        <v>1791</v>
      </c>
      <c r="Q2739" s="411">
        <v>6</v>
      </c>
      <c r="R2739" s="405" t="s">
        <v>32101</v>
      </c>
      <c r="S2739" s="405" t="s">
        <v>27174</v>
      </c>
      <c r="T2739" s="405" t="s">
        <v>32102</v>
      </c>
      <c r="U2739" s="405" t="s">
        <v>319</v>
      </c>
    </row>
    <row r="2740" spans="1:21" x14ac:dyDescent="0.25">
      <c r="A2740" s="405" t="s">
        <v>310</v>
      </c>
      <c r="B2740" s="405" t="s">
        <v>6599</v>
      </c>
      <c r="C2740" s="405" t="s">
        <v>327</v>
      </c>
      <c r="D2740" s="405"/>
      <c r="E2740" s="410">
        <v>43033</v>
      </c>
      <c r="F2740" s="410">
        <v>43088</v>
      </c>
      <c r="G2740" s="405" t="s">
        <v>6600</v>
      </c>
      <c r="H2740" s="405">
        <v>752828063</v>
      </c>
      <c r="I2740" s="405"/>
      <c r="J2740" s="405">
        <v>0.1439</v>
      </c>
      <c r="K2740" s="405">
        <v>32.322299999999998</v>
      </c>
      <c r="L2740" s="405" t="s">
        <v>314</v>
      </c>
      <c r="M2740" s="405" t="s">
        <v>361</v>
      </c>
      <c r="N2740" s="405" t="s">
        <v>361</v>
      </c>
      <c r="O2740" s="405" t="s">
        <v>375</v>
      </c>
      <c r="P2740" s="405" t="s">
        <v>6601</v>
      </c>
      <c r="Q2740" s="411">
        <v>13</v>
      </c>
      <c r="R2740" s="405" t="s">
        <v>32101</v>
      </c>
      <c r="S2740" s="405" t="s">
        <v>27186</v>
      </c>
      <c r="T2740" s="405" t="s">
        <v>32102</v>
      </c>
      <c r="U2740" s="405" t="s">
        <v>319</v>
      </c>
    </row>
    <row r="2741" spans="1:21" x14ac:dyDescent="0.25">
      <c r="A2741" s="405" t="s">
        <v>310</v>
      </c>
      <c r="B2741" s="405" t="s">
        <v>15975</v>
      </c>
      <c r="C2741" s="405" t="s">
        <v>327</v>
      </c>
      <c r="D2741" s="405"/>
      <c r="E2741" s="410">
        <v>43033</v>
      </c>
      <c r="F2741" s="410">
        <v>43078</v>
      </c>
      <c r="G2741" s="405" t="s">
        <v>15976</v>
      </c>
      <c r="H2741" s="405">
        <v>775554131</v>
      </c>
      <c r="I2741" s="405"/>
      <c r="J2741" s="405">
        <v>1.0707960000000001</v>
      </c>
      <c r="K2741" s="405">
        <v>34.193783000000003</v>
      </c>
      <c r="L2741" s="405" t="s">
        <v>6866</v>
      </c>
      <c r="M2741" s="405" t="s">
        <v>9514</v>
      </c>
      <c r="N2741" s="405" t="s">
        <v>9722</v>
      </c>
      <c r="O2741" s="405" t="s">
        <v>9571</v>
      </c>
      <c r="P2741" s="405" t="s">
        <v>13822</v>
      </c>
      <c r="Q2741" s="411">
        <v>9</v>
      </c>
      <c r="R2741" s="405" t="s">
        <v>7224</v>
      </c>
      <c r="S2741" s="405" t="s">
        <v>27259</v>
      </c>
      <c r="T2741" s="405" t="s">
        <v>32102</v>
      </c>
      <c r="U2741" s="405" t="s">
        <v>319</v>
      </c>
    </row>
    <row r="2742" spans="1:21" x14ac:dyDescent="0.25">
      <c r="A2742" s="405" t="s">
        <v>310</v>
      </c>
      <c r="B2742" s="405" t="s">
        <v>23568</v>
      </c>
      <c r="C2742" s="405" t="s">
        <v>327</v>
      </c>
      <c r="D2742" s="405"/>
      <c r="E2742" s="410">
        <v>43033</v>
      </c>
      <c r="F2742" s="410">
        <v>43048</v>
      </c>
      <c r="G2742" s="405" t="s">
        <v>23569</v>
      </c>
      <c r="H2742" s="405">
        <v>772563720</v>
      </c>
      <c r="I2742" s="405">
        <v>703221993</v>
      </c>
      <c r="J2742" s="405">
        <v>30.99</v>
      </c>
      <c r="K2742" s="405">
        <v>51.857999999999997</v>
      </c>
      <c r="L2742" s="405" t="s">
        <v>590</v>
      </c>
      <c r="M2742" s="405" t="s">
        <v>19659</v>
      </c>
      <c r="N2742" s="405" t="s">
        <v>19677</v>
      </c>
      <c r="O2742" s="405" t="s">
        <v>2864</v>
      </c>
      <c r="P2742" s="405" t="s">
        <v>23570</v>
      </c>
      <c r="Q2742" s="411">
        <v>9</v>
      </c>
      <c r="R2742" s="405" t="s">
        <v>6572</v>
      </c>
      <c r="S2742" s="405" t="s">
        <v>27394</v>
      </c>
      <c r="T2742" s="405" t="s">
        <v>32102</v>
      </c>
      <c r="U2742" s="405" t="s">
        <v>319</v>
      </c>
    </row>
    <row r="2743" spans="1:21" x14ac:dyDescent="0.25">
      <c r="A2743" s="405" t="s">
        <v>310</v>
      </c>
      <c r="B2743" s="405" t="s">
        <v>15986</v>
      </c>
      <c r="C2743" s="405" t="s">
        <v>327</v>
      </c>
      <c r="D2743" s="405"/>
      <c r="E2743" s="410">
        <v>43032</v>
      </c>
      <c r="F2743" s="410">
        <v>43108</v>
      </c>
      <c r="G2743" s="405" t="s">
        <v>15987</v>
      </c>
      <c r="H2743" s="405">
        <v>752501439</v>
      </c>
      <c r="I2743" s="405">
        <v>706232644</v>
      </c>
      <c r="J2743" s="405">
        <v>0.71565500000000004</v>
      </c>
      <c r="K2743" s="405">
        <v>33.159928000000001</v>
      </c>
      <c r="L2743" s="405" t="s">
        <v>6866</v>
      </c>
      <c r="M2743" s="405" t="s">
        <v>3009</v>
      </c>
      <c r="N2743" s="405" t="s">
        <v>9842</v>
      </c>
      <c r="O2743" s="405" t="s">
        <v>10016</v>
      </c>
      <c r="P2743" s="405" t="s">
        <v>15988</v>
      </c>
      <c r="Q2743" s="411">
        <v>13</v>
      </c>
      <c r="R2743" s="405" t="s">
        <v>15368</v>
      </c>
      <c r="S2743" s="405" t="s">
        <v>27106</v>
      </c>
      <c r="T2743" s="405" t="s">
        <v>32102</v>
      </c>
      <c r="U2743" s="405" t="s">
        <v>319</v>
      </c>
    </row>
    <row r="2744" spans="1:21" x14ac:dyDescent="0.25">
      <c r="A2744" s="405" t="s">
        <v>310</v>
      </c>
      <c r="B2744" s="405" t="s">
        <v>23635</v>
      </c>
      <c r="C2744" s="405" t="s">
        <v>327</v>
      </c>
      <c r="D2744" s="405"/>
      <c r="E2744" s="410">
        <v>43032</v>
      </c>
      <c r="F2744" s="410">
        <v>43077</v>
      </c>
      <c r="G2744" s="405" t="s">
        <v>23636</v>
      </c>
      <c r="H2744" s="405">
        <v>772439324</v>
      </c>
      <c r="I2744" s="405">
        <v>772403735</v>
      </c>
      <c r="J2744" s="405">
        <v>2.2955000000000001</v>
      </c>
      <c r="K2744" s="405">
        <v>57.564999999999998</v>
      </c>
      <c r="L2744" s="405" t="s">
        <v>590</v>
      </c>
      <c r="M2744" s="405" t="s">
        <v>19619</v>
      </c>
      <c r="N2744" s="405" t="s">
        <v>21492</v>
      </c>
      <c r="O2744" s="405" t="s">
        <v>21492</v>
      </c>
      <c r="P2744" s="405" t="s">
        <v>23637</v>
      </c>
      <c r="Q2744" s="411">
        <v>6</v>
      </c>
      <c r="R2744" s="405" t="s">
        <v>6572</v>
      </c>
      <c r="S2744" s="405" t="s">
        <v>27186</v>
      </c>
      <c r="T2744" s="405" t="s">
        <v>32102</v>
      </c>
      <c r="U2744" s="405" t="s">
        <v>319</v>
      </c>
    </row>
    <row r="2745" spans="1:21" x14ac:dyDescent="0.25">
      <c r="A2745" s="405" t="s">
        <v>310</v>
      </c>
      <c r="B2745" s="405" t="s">
        <v>6521</v>
      </c>
      <c r="C2745" s="405" t="s">
        <v>327</v>
      </c>
      <c r="D2745" s="405"/>
      <c r="E2745" s="410">
        <v>43032</v>
      </c>
      <c r="F2745" s="410">
        <v>43040</v>
      </c>
      <c r="G2745" s="405" t="s">
        <v>6522</v>
      </c>
      <c r="H2745" s="405">
        <v>772659113</v>
      </c>
      <c r="I2745" s="405"/>
      <c r="J2745" s="405">
        <v>0.19220000000000001</v>
      </c>
      <c r="K2745" s="405">
        <v>32.174500000000002</v>
      </c>
      <c r="L2745" s="405" t="s">
        <v>314</v>
      </c>
      <c r="M2745" s="405" t="s">
        <v>694</v>
      </c>
      <c r="N2745" s="405" t="s">
        <v>6523</v>
      </c>
      <c r="O2745" s="405" t="s">
        <v>694</v>
      </c>
      <c r="P2745" s="405" t="s">
        <v>6524</v>
      </c>
      <c r="Q2745" s="411">
        <v>6</v>
      </c>
      <c r="R2745" s="405" t="s">
        <v>4176</v>
      </c>
      <c r="S2745" s="405" t="s">
        <v>27244</v>
      </c>
      <c r="T2745" s="405" t="s">
        <v>32102</v>
      </c>
      <c r="U2745" s="405" t="s">
        <v>319</v>
      </c>
    </row>
    <row r="2746" spans="1:21" x14ac:dyDescent="0.25">
      <c r="A2746" s="405" t="s">
        <v>310</v>
      </c>
      <c r="B2746" s="405" t="s">
        <v>19445</v>
      </c>
      <c r="C2746" s="405" t="s">
        <v>311</v>
      </c>
      <c r="D2746" s="405" t="s">
        <v>839</v>
      </c>
      <c r="E2746" s="410">
        <v>43031</v>
      </c>
      <c r="F2746" s="410">
        <v>43100</v>
      </c>
      <c r="G2746" s="405" t="s">
        <v>19446</v>
      </c>
      <c r="H2746" s="405">
        <v>754470861</v>
      </c>
      <c r="I2746" s="405"/>
      <c r="J2746" s="405">
        <v>2.7060029999999999</v>
      </c>
      <c r="K2746" s="405">
        <v>32.307867000000002</v>
      </c>
      <c r="L2746" s="405" t="s">
        <v>860</v>
      </c>
      <c r="M2746" s="405" t="s">
        <v>18349</v>
      </c>
      <c r="N2746" s="405" t="s">
        <v>18307</v>
      </c>
      <c r="O2746" s="405" t="s">
        <v>18307</v>
      </c>
      <c r="P2746" s="405" t="s">
        <v>19447</v>
      </c>
      <c r="Q2746" s="411">
        <v>13</v>
      </c>
      <c r="R2746" s="405" t="s">
        <v>5665</v>
      </c>
      <c r="S2746" s="405" t="s">
        <v>27051</v>
      </c>
      <c r="T2746" s="405" t="s">
        <v>32102</v>
      </c>
      <c r="U2746" s="405" t="s">
        <v>319</v>
      </c>
    </row>
    <row r="2747" spans="1:21" x14ac:dyDescent="0.25">
      <c r="A2747" s="405" t="s">
        <v>310</v>
      </c>
      <c r="B2747" s="405" t="s">
        <v>23654</v>
      </c>
      <c r="C2747" s="405" t="s">
        <v>327</v>
      </c>
      <c r="D2747" s="405"/>
      <c r="E2747" s="410">
        <v>43029</v>
      </c>
      <c r="F2747" s="410">
        <v>43074</v>
      </c>
      <c r="G2747" s="405" t="s">
        <v>23655</v>
      </c>
      <c r="H2747" s="405">
        <v>774692829</v>
      </c>
      <c r="I2747" s="405">
        <v>789967411</v>
      </c>
      <c r="J2747" s="405">
        <v>0.69914200000000004</v>
      </c>
      <c r="K2747" s="405">
        <v>29.862763000000001</v>
      </c>
      <c r="L2747" s="405" t="s">
        <v>590</v>
      </c>
      <c r="M2747" s="405" t="s">
        <v>23656</v>
      </c>
      <c r="N2747" s="405" t="s">
        <v>19793</v>
      </c>
      <c r="O2747" s="405" t="s">
        <v>6395</v>
      </c>
      <c r="P2747" s="405" t="s">
        <v>23657</v>
      </c>
      <c r="Q2747" s="411">
        <v>9</v>
      </c>
      <c r="R2747" s="405" t="s">
        <v>32166</v>
      </c>
      <c r="S2747" s="405" t="s">
        <v>27405</v>
      </c>
      <c r="T2747" s="405" t="s">
        <v>32102</v>
      </c>
      <c r="U2747" s="405" t="s">
        <v>319</v>
      </c>
    </row>
    <row r="2748" spans="1:21" x14ac:dyDescent="0.25">
      <c r="A2748" s="405" t="s">
        <v>310</v>
      </c>
      <c r="B2748" s="405" t="s">
        <v>23702</v>
      </c>
      <c r="C2748" s="405" t="s">
        <v>327</v>
      </c>
      <c r="D2748" s="405"/>
      <c r="E2748" s="410">
        <v>43029</v>
      </c>
      <c r="F2748" s="410">
        <v>43074</v>
      </c>
      <c r="G2748" s="405" t="s">
        <v>23703</v>
      </c>
      <c r="H2748" s="405">
        <v>782748252</v>
      </c>
      <c r="I2748" s="405"/>
      <c r="J2748" s="405">
        <v>0.27542</v>
      </c>
      <c r="K2748" s="405">
        <v>30.529866999999999</v>
      </c>
      <c r="L2748" s="405" t="s">
        <v>590</v>
      </c>
      <c r="M2748" s="405" t="s">
        <v>19720</v>
      </c>
      <c r="N2748" s="405" t="s">
        <v>7352</v>
      </c>
      <c r="O2748" s="405" t="s">
        <v>21940</v>
      </c>
      <c r="P2748" s="405" t="s">
        <v>672</v>
      </c>
      <c r="Q2748" s="411">
        <v>6</v>
      </c>
      <c r="R2748" s="405" t="s">
        <v>6013</v>
      </c>
      <c r="S2748" s="405" t="s">
        <v>27301</v>
      </c>
      <c r="T2748" s="405" t="s">
        <v>32102</v>
      </c>
      <c r="U2748" s="405" t="s">
        <v>319</v>
      </c>
    </row>
    <row r="2749" spans="1:21" x14ac:dyDescent="0.25">
      <c r="A2749" s="405" t="s">
        <v>310</v>
      </c>
      <c r="B2749" s="405" t="s">
        <v>23576</v>
      </c>
      <c r="C2749" s="405" t="s">
        <v>327</v>
      </c>
      <c r="D2749" s="405"/>
      <c r="E2749" s="410">
        <v>43028</v>
      </c>
      <c r="F2749" s="410">
        <v>43119</v>
      </c>
      <c r="G2749" s="405" t="s">
        <v>23577</v>
      </c>
      <c r="H2749" s="405">
        <v>772451706</v>
      </c>
      <c r="I2749" s="405">
        <v>703765529</v>
      </c>
      <c r="J2749" s="405">
        <v>-0.581793</v>
      </c>
      <c r="K2749" s="405">
        <v>30.643519999999999</v>
      </c>
      <c r="L2749" s="405" t="s">
        <v>590</v>
      </c>
      <c r="M2749" s="405" t="s">
        <v>19614</v>
      </c>
      <c r="N2749" s="405" t="s">
        <v>19873</v>
      </c>
      <c r="O2749" s="405" t="s">
        <v>20619</v>
      </c>
      <c r="P2749" s="405" t="s">
        <v>23578</v>
      </c>
      <c r="Q2749" s="411">
        <v>9</v>
      </c>
      <c r="R2749" s="405" t="s">
        <v>5858</v>
      </c>
      <c r="S2749" s="405" t="s">
        <v>27154</v>
      </c>
      <c r="T2749" s="405" t="s">
        <v>32102</v>
      </c>
      <c r="U2749" s="405" t="s">
        <v>319</v>
      </c>
    </row>
    <row r="2750" spans="1:21" x14ac:dyDescent="0.25">
      <c r="A2750" s="405" t="s">
        <v>310</v>
      </c>
      <c r="B2750" s="405" t="s">
        <v>32758</v>
      </c>
      <c r="C2750" s="405" t="s">
        <v>327</v>
      </c>
      <c r="D2750" s="405"/>
      <c r="E2750" s="410">
        <v>43028</v>
      </c>
      <c r="F2750" s="410">
        <v>43072</v>
      </c>
      <c r="G2750" s="405" t="s">
        <v>23643</v>
      </c>
      <c r="H2750" s="405">
        <v>782115661</v>
      </c>
      <c r="I2750" s="405">
        <v>775627682</v>
      </c>
      <c r="J2750" s="405">
        <v>1.125</v>
      </c>
      <c r="K2750" s="405">
        <v>30.452999999999999</v>
      </c>
      <c r="L2750" s="405" t="s">
        <v>590</v>
      </c>
      <c r="M2750" s="405" t="s">
        <v>19659</v>
      </c>
      <c r="N2750" s="405" t="s">
        <v>19677</v>
      </c>
      <c r="O2750" s="405" t="s">
        <v>19726</v>
      </c>
      <c r="P2750" s="405" t="s">
        <v>23644</v>
      </c>
      <c r="Q2750" s="411">
        <v>9</v>
      </c>
      <c r="R2750" s="405" t="s">
        <v>6572</v>
      </c>
      <c r="S2750" s="405" t="s">
        <v>27227</v>
      </c>
      <c r="T2750" s="405" t="s">
        <v>32102</v>
      </c>
      <c r="U2750" s="405" t="s">
        <v>319</v>
      </c>
    </row>
    <row r="2751" spans="1:21" x14ac:dyDescent="0.25">
      <c r="A2751" s="405" t="s">
        <v>310</v>
      </c>
      <c r="B2751" s="405" t="s">
        <v>23571</v>
      </c>
      <c r="C2751" s="405" t="s">
        <v>327</v>
      </c>
      <c r="D2751" s="405"/>
      <c r="E2751" s="410">
        <v>43028</v>
      </c>
      <c r="F2751" s="410">
        <v>43048</v>
      </c>
      <c r="G2751" s="405" t="s">
        <v>23572</v>
      </c>
      <c r="H2751" s="405">
        <v>772365171</v>
      </c>
      <c r="I2751" s="405">
        <v>392300187</v>
      </c>
      <c r="J2751" s="405">
        <v>0.47389999999999999</v>
      </c>
      <c r="K2751" s="405">
        <v>30.133700000000001</v>
      </c>
      <c r="L2751" s="405" t="s">
        <v>590</v>
      </c>
      <c r="M2751" s="405" t="s">
        <v>19659</v>
      </c>
      <c r="N2751" s="405" t="s">
        <v>23573</v>
      </c>
      <c r="O2751" s="405" t="s">
        <v>19681</v>
      </c>
      <c r="P2751" s="405" t="s">
        <v>19726</v>
      </c>
      <c r="Q2751" s="411">
        <v>9</v>
      </c>
      <c r="R2751" s="405" t="s">
        <v>6572</v>
      </c>
      <c r="S2751" s="405" t="s">
        <v>27240</v>
      </c>
      <c r="T2751" s="405" t="s">
        <v>32102</v>
      </c>
      <c r="U2751" s="405" t="s">
        <v>319</v>
      </c>
    </row>
    <row r="2752" spans="1:21" x14ac:dyDescent="0.25">
      <c r="A2752" s="405" t="s">
        <v>310</v>
      </c>
      <c r="B2752" s="405" t="s">
        <v>6590</v>
      </c>
      <c r="C2752" s="405" t="s">
        <v>327</v>
      </c>
      <c r="D2752" s="405"/>
      <c r="E2752" s="410">
        <v>43026</v>
      </c>
      <c r="F2752" s="410">
        <v>43082</v>
      </c>
      <c r="G2752" s="405" t="s">
        <v>6591</v>
      </c>
      <c r="H2752" s="405">
        <v>782628862</v>
      </c>
      <c r="I2752" s="405"/>
      <c r="J2752" s="405">
        <v>0.39402999999999999</v>
      </c>
      <c r="K2752" s="405">
        <v>32.460954999999998</v>
      </c>
      <c r="L2752" s="405" t="s">
        <v>314</v>
      </c>
      <c r="M2752" s="405" t="s">
        <v>361</v>
      </c>
      <c r="N2752" s="405" t="s">
        <v>361</v>
      </c>
      <c r="O2752" s="405" t="s">
        <v>361</v>
      </c>
      <c r="P2752" s="405" t="s">
        <v>6592</v>
      </c>
      <c r="Q2752" s="411">
        <v>9</v>
      </c>
      <c r="R2752" s="405" t="s">
        <v>32101</v>
      </c>
      <c r="S2752" s="405" t="s">
        <v>27167</v>
      </c>
      <c r="T2752" s="405" t="s">
        <v>32102</v>
      </c>
      <c r="U2752" s="405" t="s">
        <v>319</v>
      </c>
    </row>
    <row r="2753" spans="1:21" x14ac:dyDescent="0.25">
      <c r="A2753" s="405" t="s">
        <v>310</v>
      </c>
      <c r="B2753" s="405" t="s">
        <v>23574</v>
      </c>
      <c r="C2753" s="405" t="s">
        <v>327</v>
      </c>
      <c r="D2753" s="405"/>
      <c r="E2753" s="410">
        <v>43026</v>
      </c>
      <c r="F2753" s="410">
        <v>43047</v>
      </c>
      <c r="G2753" s="405" t="s">
        <v>23575</v>
      </c>
      <c r="H2753" s="405">
        <v>701607507</v>
      </c>
      <c r="I2753" s="405">
        <v>701385416</v>
      </c>
      <c r="J2753" s="405">
        <v>-0.58176000000000005</v>
      </c>
      <c r="K2753" s="405">
        <v>30.601262999999999</v>
      </c>
      <c r="L2753" s="405" t="s">
        <v>590</v>
      </c>
      <c r="M2753" s="405" t="s">
        <v>19614</v>
      </c>
      <c r="N2753" s="405" t="s">
        <v>19873</v>
      </c>
      <c r="O2753" s="405" t="s">
        <v>20619</v>
      </c>
      <c r="P2753" s="405" t="s">
        <v>20622</v>
      </c>
      <c r="Q2753" s="411">
        <v>9</v>
      </c>
      <c r="R2753" s="405" t="s">
        <v>5858</v>
      </c>
      <c r="S2753" s="405" t="s">
        <v>27401</v>
      </c>
      <c r="T2753" s="405" t="s">
        <v>32102</v>
      </c>
      <c r="U2753" s="405" t="s">
        <v>319</v>
      </c>
    </row>
    <row r="2754" spans="1:21" x14ac:dyDescent="0.25">
      <c r="A2754" s="405" t="s">
        <v>310</v>
      </c>
      <c r="B2754" s="405" t="s">
        <v>15977</v>
      </c>
      <c r="C2754" s="405" t="s">
        <v>327</v>
      </c>
      <c r="D2754" s="405"/>
      <c r="E2754" s="410">
        <v>43025</v>
      </c>
      <c r="F2754" s="410">
        <v>43072</v>
      </c>
      <c r="G2754" s="405" t="s">
        <v>15978</v>
      </c>
      <c r="H2754" s="405">
        <v>772957561</v>
      </c>
      <c r="I2754" s="405">
        <v>751957561</v>
      </c>
      <c r="J2754" s="405">
        <v>1.216477</v>
      </c>
      <c r="K2754" s="405">
        <v>34.300097999999998</v>
      </c>
      <c r="L2754" s="405" t="s">
        <v>6866</v>
      </c>
      <c r="M2754" s="405" t="s">
        <v>9575</v>
      </c>
      <c r="N2754" s="405" t="s">
        <v>9576</v>
      </c>
      <c r="O2754" s="405" t="s">
        <v>9630</v>
      </c>
      <c r="P2754" s="405" t="s">
        <v>15979</v>
      </c>
      <c r="Q2754" s="411">
        <v>13</v>
      </c>
      <c r="R2754" s="405" t="s">
        <v>6871</v>
      </c>
      <c r="S2754" s="405" t="s">
        <v>27306</v>
      </c>
      <c r="T2754" s="405" t="s">
        <v>32102</v>
      </c>
      <c r="U2754" s="405" t="s">
        <v>319</v>
      </c>
    </row>
    <row r="2755" spans="1:21" x14ac:dyDescent="0.25">
      <c r="A2755" s="405" t="s">
        <v>310</v>
      </c>
      <c r="B2755" s="405" t="s">
        <v>23934</v>
      </c>
      <c r="C2755" s="405" t="s">
        <v>327</v>
      </c>
      <c r="D2755" s="405"/>
      <c r="E2755" s="410">
        <v>43025</v>
      </c>
      <c r="F2755" s="410">
        <v>43202</v>
      </c>
      <c r="G2755" s="405" t="s">
        <v>23935</v>
      </c>
      <c r="H2755" s="405">
        <v>782758665</v>
      </c>
      <c r="I2755" s="405">
        <v>753417462</v>
      </c>
      <c r="J2755" s="405">
        <v>0.67074500000000004</v>
      </c>
      <c r="K2755" s="405">
        <v>29.915372999999999</v>
      </c>
      <c r="L2755" s="405" t="s">
        <v>590</v>
      </c>
      <c r="M2755" s="405" t="s">
        <v>19619</v>
      </c>
      <c r="N2755" s="405" t="s">
        <v>19793</v>
      </c>
      <c r="O2755" s="405" t="s">
        <v>20033</v>
      </c>
      <c r="P2755" s="405" t="s">
        <v>23821</v>
      </c>
      <c r="Q2755" s="411">
        <v>6</v>
      </c>
      <c r="R2755" s="405" t="s">
        <v>5858</v>
      </c>
      <c r="S2755" s="405" t="s">
        <v>27257</v>
      </c>
      <c r="T2755" s="405" t="s">
        <v>32102</v>
      </c>
      <c r="U2755" s="405" t="s">
        <v>319</v>
      </c>
    </row>
    <row r="2756" spans="1:21" x14ac:dyDescent="0.25">
      <c r="A2756" s="405" t="s">
        <v>310</v>
      </c>
      <c r="B2756" s="405" t="s">
        <v>15964</v>
      </c>
      <c r="C2756" s="405" t="s">
        <v>327</v>
      </c>
      <c r="D2756" s="405"/>
      <c r="E2756" s="410">
        <v>43025</v>
      </c>
      <c r="F2756" s="410">
        <v>43064</v>
      </c>
      <c r="G2756" s="405" t="s">
        <v>15965</v>
      </c>
      <c r="H2756" s="405">
        <v>782906649</v>
      </c>
      <c r="I2756" s="405">
        <v>789169363</v>
      </c>
      <c r="J2756" s="405">
        <v>0.27875499999999998</v>
      </c>
      <c r="K2756" s="405">
        <v>33.941020000000002</v>
      </c>
      <c r="L2756" s="405" t="s">
        <v>6866</v>
      </c>
      <c r="M2756" s="405" t="s">
        <v>10390</v>
      </c>
      <c r="N2756" s="405" t="s">
        <v>10391</v>
      </c>
      <c r="O2756" s="405" t="s">
        <v>15192</v>
      </c>
      <c r="P2756" s="405" t="s">
        <v>15193</v>
      </c>
      <c r="Q2756" s="411">
        <v>6</v>
      </c>
      <c r="R2756" s="405" t="s">
        <v>5655</v>
      </c>
      <c r="S2756" s="405" t="s">
        <v>27072</v>
      </c>
      <c r="T2756" s="405" t="s">
        <v>32102</v>
      </c>
      <c r="U2756" s="405" t="s">
        <v>319</v>
      </c>
    </row>
    <row r="2757" spans="1:21" x14ac:dyDescent="0.25">
      <c r="A2757" s="405" t="s">
        <v>310</v>
      </c>
      <c r="B2757" s="405" t="s">
        <v>6485</v>
      </c>
      <c r="C2757" s="405" t="s">
        <v>327</v>
      </c>
      <c r="D2757" s="405"/>
      <c r="E2757" s="410">
        <v>43025</v>
      </c>
      <c r="F2757" s="410">
        <v>43028</v>
      </c>
      <c r="G2757" s="405" t="s">
        <v>6486</v>
      </c>
      <c r="H2757" s="405">
        <v>750615818</v>
      </c>
      <c r="I2757" s="405">
        <v>782937265</v>
      </c>
      <c r="J2757" s="405">
        <v>0.67552500000000004</v>
      </c>
      <c r="K2757" s="405">
        <v>32.654603000000002</v>
      </c>
      <c r="L2757" s="405" t="s">
        <v>314</v>
      </c>
      <c r="M2757" s="405" t="s">
        <v>959</v>
      </c>
      <c r="N2757" s="405" t="s">
        <v>960</v>
      </c>
      <c r="O2757" s="405" t="s">
        <v>2921</v>
      </c>
      <c r="P2757" s="405" t="s">
        <v>6487</v>
      </c>
      <c r="Q2757" s="411">
        <v>6</v>
      </c>
      <c r="R2757" s="405" t="s">
        <v>4176</v>
      </c>
      <c r="S2757" s="405" t="s">
        <v>27036</v>
      </c>
      <c r="T2757" s="405" t="s">
        <v>32102</v>
      </c>
      <c r="U2757" s="405" t="s">
        <v>319</v>
      </c>
    </row>
    <row r="2758" spans="1:21" x14ac:dyDescent="0.25">
      <c r="A2758" s="405" t="s">
        <v>310</v>
      </c>
      <c r="B2758" s="405" t="s">
        <v>23540</v>
      </c>
      <c r="C2758" s="405" t="s">
        <v>327</v>
      </c>
      <c r="D2758" s="405"/>
      <c r="E2758" s="410">
        <v>43024</v>
      </c>
      <c r="F2758" s="410">
        <v>43069</v>
      </c>
      <c r="G2758" s="405" t="s">
        <v>23541</v>
      </c>
      <c r="H2758" s="405">
        <v>772622458</v>
      </c>
      <c r="I2758" s="405">
        <v>781152264</v>
      </c>
      <c r="J2758" s="405">
        <v>0.44</v>
      </c>
      <c r="K2758" s="405">
        <v>31.31</v>
      </c>
      <c r="L2758" s="405" t="s">
        <v>590</v>
      </c>
      <c r="M2758" s="405" t="s">
        <v>19705</v>
      </c>
      <c r="N2758" s="405" t="s">
        <v>19706</v>
      </c>
      <c r="O2758" s="405" t="s">
        <v>1215</v>
      </c>
      <c r="P2758" s="405" t="s">
        <v>20759</v>
      </c>
      <c r="Q2758" s="411">
        <v>9</v>
      </c>
      <c r="R2758" s="405" t="s">
        <v>6943</v>
      </c>
      <c r="S2758" s="405" t="s">
        <v>27173</v>
      </c>
      <c r="T2758" s="405" t="s">
        <v>32102</v>
      </c>
      <c r="U2758" s="405" t="s">
        <v>319</v>
      </c>
    </row>
    <row r="2759" spans="1:21" x14ac:dyDescent="0.25">
      <c r="A2759" s="405" t="s">
        <v>310</v>
      </c>
      <c r="B2759" s="405" t="s">
        <v>23547</v>
      </c>
      <c r="C2759" s="405" t="s">
        <v>327</v>
      </c>
      <c r="D2759" s="405"/>
      <c r="E2759" s="410">
        <v>43024</v>
      </c>
      <c r="F2759" s="410">
        <v>43041</v>
      </c>
      <c r="G2759" s="405" t="s">
        <v>23548</v>
      </c>
      <c r="H2759" s="405">
        <v>703189398</v>
      </c>
      <c r="I2759" s="405"/>
      <c r="J2759" s="405">
        <v>0.77773999999999999</v>
      </c>
      <c r="K2759" s="405">
        <v>30.812507</v>
      </c>
      <c r="L2759" s="405" t="s">
        <v>590</v>
      </c>
      <c r="M2759" s="405" t="s">
        <v>879</v>
      </c>
      <c r="N2759" s="405" t="s">
        <v>880</v>
      </c>
      <c r="O2759" s="405" t="s">
        <v>20437</v>
      </c>
      <c r="P2759" s="405" t="s">
        <v>23549</v>
      </c>
      <c r="Q2759" s="411">
        <v>9</v>
      </c>
      <c r="R2759" s="405" t="s">
        <v>883</v>
      </c>
      <c r="S2759" s="405" t="s">
        <v>27181</v>
      </c>
      <c r="T2759" s="405" t="s">
        <v>32102</v>
      </c>
      <c r="U2759" s="405" t="s">
        <v>319</v>
      </c>
    </row>
    <row r="2760" spans="1:21" x14ac:dyDescent="0.25">
      <c r="A2760" s="405" t="s">
        <v>310</v>
      </c>
      <c r="B2760" s="405" t="s">
        <v>23741</v>
      </c>
      <c r="C2760" s="405" t="s">
        <v>327</v>
      </c>
      <c r="D2760" s="405"/>
      <c r="E2760" s="410">
        <v>43023</v>
      </c>
      <c r="F2760" s="410">
        <v>43119</v>
      </c>
      <c r="G2760" s="405" t="s">
        <v>23742</v>
      </c>
      <c r="H2760" s="405">
        <v>772446550</v>
      </c>
      <c r="I2760" s="405">
        <v>777167718</v>
      </c>
      <c r="J2760" s="405">
        <v>1.538</v>
      </c>
      <c r="K2760" s="405">
        <v>30.654</v>
      </c>
      <c r="L2760" s="405" t="s">
        <v>590</v>
      </c>
      <c r="M2760" s="405" t="s">
        <v>19659</v>
      </c>
      <c r="N2760" s="405" t="s">
        <v>2864</v>
      </c>
      <c r="O2760" s="405" t="s">
        <v>23743</v>
      </c>
      <c r="P2760" s="405" t="s">
        <v>23743</v>
      </c>
      <c r="Q2760" s="411">
        <v>9</v>
      </c>
      <c r="R2760" s="405" t="s">
        <v>6572</v>
      </c>
      <c r="S2760" s="405" t="s">
        <v>27399</v>
      </c>
      <c r="T2760" s="405" t="s">
        <v>32102</v>
      </c>
      <c r="U2760" s="405" t="s">
        <v>319</v>
      </c>
    </row>
    <row r="2761" spans="1:21" x14ac:dyDescent="0.25">
      <c r="A2761" s="405" t="s">
        <v>310</v>
      </c>
      <c r="B2761" s="405" t="s">
        <v>23603</v>
      </c>
      <c r="C2761" s="405" t="s">
        <v>327</v>
      </c>
      <c r="D2761" s="405"/>
      <c r="E2761" s="410">
        <v>43023</v>
      </c>
      <c r="F2761" s="410">
        <v>43068</v>
      </c>
      <c r="G2761" s="405" t="s">
        <v>23604</v>
      </c>
      <c r="H2761" s="405">
        <v>706626720</v>
      </c>
      <c r="I2761" s="405">
        <v>780155357</v>
      </c>
      <c r="J2761" s="405">
        <v>0.17488500000000001</v>
      </c>
      <c r="K2761" s="405">
        <v>30.453347000000001</v>
      </c>
      <c r="L2761" s="405" t="s">
        <v>590</v>
      </c>
      <c r="M2761" s="405" t="s">
        <v>19720</v>
      </c>
      <c r="N2761" s="405" t="s">
        <v>7352</v>
      </c>
      <c r="O2761" s="405" t="s">
        <v>23605</v>
      </c>
      <c r="P2761" s="405" t="s">
        <v>22420</v>
      </c>
      <c r="Q2761" s="411">
        <v>9</v>
      </c>
      <c r="R2761" s="405" t="s">
        <v>6013</v>
      </c>
      <c r="S2761" s="405" t="s">
        <v>27163</v>
      </c>
      <c r="T2761" s="405" t="s">
        <v>32102</v>
      </c>
      <c r="U2761" s="405" t="s">
        <v>319</v>
      </c>
    </row>
    <row r="2762" spans="1:21" x14ac:dyDescent="0.25">
      <c r="A2762" s="405" t="s">
        <v>310</v>
      </c>
      <c r="B2762" s="405" t="s">
        <v>877</v>
      </c>
      <c r="C2762" s="405" t="s">
        <v>311</v>
      </c>
      <c r="D2762" s="405" t="s">
        <v>868</v>
      </c>
      <c r="E2762" s="410">
        <v>43023</v>
      </c>
      <c r="F2762" s="410">
        <v>43062</v>
      </c>
      <c r="G2762" s="405" t="s">
        <v>878</v>
      </c>
      <c r="H2762" s="405">
        <v>774173699</v>
      </c>
      <c r="I2762" s="405">
        <v>701378355</v>
      </c>
      <c r="J2762" s="405">
        <v>-0.70032499999999998</v>
      </c>
      <c r="K2762" s="405">
        <v>30.75817</v>
      </c>
      <c r="L2762" s="405" t="s">
        <v>590</v>
      </c>
      <c r="M2762" s="405" t="s">
        <v>879</v>
      </c>
      <c r="N2762" s="405" t="s">
        <v>880</v>
      </c>
      <c r="O2762" s="405" t="s">
        <v>881</v>
      </c>
      <c r="P2762" s="405" t="s">
        <v>882</v>
      </c>
      <c r="Q2762" s="411">
        <v>9</v>
      </c>
      <c r="R2762" s="405" t="s">
        <v>883</v>
      </c>
      <c r="S2762" s="405" t="s">
        <v>27227</v>
      </c>
      <c r="T2762" s="405" t="s">
        <v>32102</v>
      </c>
      <c r="U2762" s="405" t="s">
        <v>319</v>
      </c>
    </row>
    <row r="2763" spans="1:21" x14ac:dyDescent="0.25">
      <c r="A2763" s="405" t="s">
        <v>310</v>
      </c>
      <c r="B2763" s="405" t="s">
        <v>23542</v>
      </c>
      <c r="C2763" s="405" t="s">
        <v>327</v>
      </c>
      <c r="D2763" s="405"/>
      <c r="E2763" s="410">
        <v>43023</v>
      </c>
      <c r="F2763" s="410">
        <v>43048</v>
      </c>
      <c r="G2763" s="405" t="s">
        <v>23543</v>
      </c>
      <c r="H2763" s="405">
        <v>783172062</v>
      </c>
      <c r="I2763" s="405">
        <v>751752799</v>
      </c>
      <c r="J2763" s="405">
        <v>0.68951799999999996</v>
      </c>
      <c r="K2763" s="405">
        <v>30.658771999999999</v>
      </c>
      <c r="L2763" s="405" t="s">
        <v>590</v>
      </c>
      <c r="M2763" s="405" t="s">
        <v>879</v>
      </c>
      <c r="N2763" s="405" t="s">
        <v>880</v>
      </c>
      <c r="O2763" s="405" t="s">
        <v>20737</v>
      </c>
      <c r="P2763" s="405" t="s">
        <v>23544</v>
      </c>
      <c r="Q2763" s="411">
        <v>9</v>
      </c>
      <c r="R2763" s="405" t="s">
        <v>883</v>
      </c>
      <c r="S2763" s="405" t="s">
        <v>27104</v>
      </c>
      <c r="T2763" s="405" t="s">
        <v>32102</v>
      </c>
      <c r="U2763" s="405" t="s">
        <v>319</v>
      </c>
    </row>
    <row r="2764" spans="1:21" x14ac:dyDescent="0.25">
      <c r="A2764" s="405" t="s">
        <v>310</v>
      </c>
      <c r="B2764" s="405" t="s">
        <v>23525</v>
      </c>
      <c r="C2764" s="405" t="s">
        <v>327</v>
      </c>
      <c r="D2764" s="405"/>
      <c r="E2764" s="410">
        <v>43023</v>
      </c>
      <c r="F2764" s="410">
        <v>43031</v>
      </c>
      <c r="G2764" s="405" t="s">
        <v>23526</v>
      </c>
      <c r="H2764" s="405">
        <v>787296777</v>
      </c>
      <c r="I2764" s="405">
        <v>777298165</v>
      </c>
      <c r="J2764" s="405">
        <v>5.3945E-2</v>
      </c>
      <c r="K2764" s="405">
        <v>30.256967</v>
      </c>
      <c r="L2764" s="405" t="s">
        <v>590</v>
      </c>
      <c r="M2764" s="405" t="s">
        <v>19720</v>
      </c>
      <c r="N2764" s="405" t="s">
        <v>20297</v>
      </c>
      <c r="O2764" s="405" t="s">
        <v>23372</v>
      </c>
      <c r="P2764" s="405" t="s">
        <v>23527</v>
      </c>
      <c r="Q2764" s="411">
        <v>6</v>
      </c>
      <c r="R2764" s="405" t="s">
        <v>6013</v>
      </c>
      <c r="S2764" s="405" t="s">
        <v>27161</v>
      </c>
      <c r="T2764" s="405" t="s">
        <v>32102</v>
      </c>
      <c r="U2764" s="405" t="s">
        <v>319</v>
      </c>
    </row>
    <row r="2765" spans="1:21" x14ac:dyDescent="0.25">
      <c r="A2765" s="405" t="s">
        <v>310</v>
      </c>
      <c r="B2765" s="405" t="s">
        <v>23694</v>
      </c>
      <c r="C2765" s="405" t="s">
        <v>327</v>
      </c>
      <c r="D2765" s="405"/>
      <c r="E2765" s="410">
        <v>43022</v>
      </c>
      <c r="F2765" s="410">
        <v>43100</v>
      </c>
      <c r="G2765" s="405" t="s">
        <v>23695</v>
      </c>
      <c r="H2765" s="405">
        <v>754663870</v>
      </c>
      <c r="I2765" s="405"/>
      <c r="J2765" s="405">
        <v>0.67050299999999996</v>
      </c>
      <c r="K2765" s="405">
        <v>30.328897000000001</v>
      </c>
      <c r="L2765" s="405" t="s">
        <v>590</v>
      </c>
      <c r="M2765" s="405" t="s">
        <v>20125</v>
      </c>
      <c r="N2765" s="405" t="s">
        <v>23696</v>
      </c>
      <c r="O2765" s="405" t="s">
        <v>23697</v>
      </c>
      <c r="P2765" s="405" t="s">
        <v>23698</v>
      </c>
      <c r="Q2765" s="411">
        <v>9</v>
      </c>
      <c r="R2765" s="405" t="s">
        <v>5665</v>
      </c>
      <c r="S2765" s="405" t="s">
        <v>27046</v>
      </c>
      <c r="T2765" s="405" t="s">
        <v>32102</v>
      </c>
      <c r="U2765" s="405" t="s">
        <v>319</v>
      </c>
    </row>
    <row r="2766" spans="1:21" x14ac:dyDescent="0.25">
      <c r="A2766" s="405" t="s">
        <v>310</v>
      </c>
      <c r="B2766" s="405" t="s">
        <v>23768</v>
      </c>
      <c r="C2766" s="405" t="s">
        <v>311</v>
      </c>
      <c r="D2766" s="405" t="s">
        <v>1789</v>
      </c>
      <c r="E2766" s="410">
        <v>43022</v>
      </c>
      <c r="F2766" s="410">
        <v>43048</v>
      </c>
      <c r="G2766" s="405" t="s">
        <v>23769</v>
      </c>
      <c r="H2766" s="405">
        <v>701517749</v>
      </c>
      <c r="I2766" s="405">
        <v>775440885</v>
      </c>
      <c r="J2766" s="405">
        <v>0.64327199999999995</v>
      </c>
      <c r="K2766" s="405">
        <v>30.677250000000001</v>
      </c>
      <c r="L2766" s="405" t="s">
        <v>590</v>
      </c>
      <c r="M2766" s="405" t="s">
        <v>879</v>
      </c>
      <c r="N2766" s="405" t="s">
        <v>880</v>
      </c>
      <c r="O2766" s="405" t="s">
        <v>881</v>
      </c>
      <c r="P2766" s="405" t="s">
        <v>22249</v>
      </c>
      <c r="Q2766" s="411">
        <v>9</v>
      </c>
      <c r="R2766" s="405" t="s">
        <v>883</v>
      </c>
      <c r="S2766" s="405" t="s">
        <v>27410</v>
      </c>
      <c r="T2766" s="405" t="s">
        <v>32102</v>
      </c>
      <c r="U2766" s="405" t="s">
        <v>319</v>
      </c>
    </row>
    <row r="2767" spans="1:21" x14ac:dyDescent="0.25">
      <c r="A2767" s="405" t="s">
        <v>310</v>
      </c>
      <c r="B2767" s="405" t="s">
        <v>23550</v>
      </c>
      <c r="C2767" s="405" t="s">
        <v>327</v>
      </c>
      <c r="D2767" s="405"/>
      <c r="E2767" s="410">
        <v>43022</v>
      </c>
      <c r="F2767" s="410">
        <v>43048</v>
      </c>
      <c r="G2767" s="405" t="s">
        <v>23551</v>
      </c>
      <c r="H2767" s="405">
        <v>703144663</v>
      </c>
      <c r="I2767" s="405"/>
      <c r="J2767" s="405">
        <v>0.67508000000000001</v>
      </c>
      <c r="K2767" s="405">
        <v>30.692045</v>
      </c>
      <c r="L2767" s="405" t="s">
        <v>590</v>
      </c>
      <c r="M2767" s="405" t="s">
        <v>879</v>
      </c>
      <c r="N2767" s="405" t="s">
        <v>879</v>
      </c>
      <c r="O2767" s="405" t="s">
        <v>22197</v>
      </c>
      <c r="P2767" s="405" t="s">
        <v>23552</v>
      </c>
      <c r="Q2767" s="411">
        <v>9</v>
      </c>
      <c r="R2767" s="405" t="s">
        <v>883</v>
      </c>
      <c r="S2767" s="405" t="s">
        <v>27154</v>
      </c>
      <c r="T2767" s="405" t="s">
        <v>32102</v>
      </c>
      <c r="U2767" s="405" t="s">
        <v>319</v>
      </c>
    </row>
    <row r="2768" spans="1:21" x14ac:dyDescent="0.25">
      <c r="A2768" s="405" t="s">
        <v>310</v>
      </c>
      <c r="B2768" s="405" t="s">
        <v>6575</v>
      </c>
      <c r="C2768" s="405" t="s">
        <v>327</v>
      </c>
      <c r="D2768" s="405"/>
      <c r="E2768" s="410">
        <v>43021</v>
      </c>
      <c r="F2768" s="410">
        <v>43070</v>
      </c>
      <c r="G2768" s="405" t="s">
        <v>6576</v>
      </c>
      <c r="H2768" s="405">
        <v>718760062</v>
      </c>
      <c r="I2768" s="405">
        <v>700334540</v>
      </c>
      <c r="J2768" s="405">
        <v>0.2122</v>
      </c>
      <c r="K2768" s="405">
        <v>32.293700000000001</v>
      </c>
      <c r="L2768" s="405" t="s">
        <v>314</v>
      </c>
      <c r="M2768" s="405" t="s">
        <v>361</v>
      </c>
      <c r="N2768" s="405" t="s">
        <v>361</v>
      </c>
      <c r="O2768" s="405" t="s">
        <v>361</v>
      </c>
      <c r="P2768" s="405" t="s">
        <v>2210</v>
      </c>
      <c r="Q2768" s="411">
        <v>13</v>
      </c>
      <c r="R2768" s="405" t="s">
        <v>4176</v>
      </c>
      <c r="S2768" s="405" t="s">
        <v>27243</v>
      </c>
      <c r="T2768" s="405" t="s">
        <v>32102</v>
      </c>
      <c r="U2768" s="405" t="s">
        <v>319</v>
      </c>
    </row>
    <row r="2769" spans="1:21" x14ac:dyDescent="0.25">
      <c r="A2769" s="405" t="s">
        <v>310</v>
      </c>
      <c r="B2769" s="405" t="s">
        <v>23565</v>
      </c>
      <c r="C2769" s="405" t="s">
        <v>327</v>
      </c>
      <c r="D2769" s="405"/>
      <c r="E2769" s="410">
        <v>43021</v>
      </c>
      <c r="F2769" s="410">
        <v>43065</v>
      </c>
      <c r="G2769" s="405" t="s">
        <v>23566</v>
      </c>
      <c r="H2769" s="405">
        <v>751951019</v>
      </c>
      <c r="I2769" s="405"/>
      <c r="J2769" s="405">
        <v>1.752</v>
      </c>
      <c r="K2769" s="405">
        <v>30.78</v>
      </c>
      <c r="L2769" s="405" t="s">
        <v>590</v>
      </c>
      <c r="M2769" s="405" t="s">
        <v>19659</v>
      </c>
      <c r="N2769" s="405" t="s">
        <v>19677</v>
      </c>
      <c r="O2769" s="405" t="s">
        <v>2864</v>
      </c>
      <c r="P2769" s="405" t="s">
        <v>23567</v>
      </c>
      <c r="Q2769" s="411">
        <v>9</v>
      </c>
      <c r="R2769" s="405" t="s">
        <v>6572</v>
      </c>
      <c r="S2769" s="405" t="s">
        <v>27098</v>
      </c>
      <c r="T2769" s="405" t="s">
        <v>32212</v>
      </c>
      <c r="U2769" s="405" t="s">
        <v>2267</v>
      </c>
    </row>
    <row r="2770" spans="1:21" x14ac:dyDescent="0.25">
      <c r="A2770" s="405" t="s">
        <v>310</v>
      </c>
      <c r="B2770" s="405" t="s">
        <v>15961</v>
      </c>
      <c r="C2770" s="405" t="s">
        <v>327</v>
      </c>
      <c r="D2770" s="405"/>
      <c r="E2770" s="410">
        <v>43021</v>
      </c>
      <c r="F2770" s="410">
        <v>43060</v>
      </c>
      <c r="G2770" s="405" t="s">
        <v>15962</v>
      </c>
      <c r="H2770" s="405">
        <v>783656275</v>
      </c>
      <c r="I2770" s="405">
        <v>759850846</v>
      </c>
      <c r="J2770" s="405">
        <v>0.26624999999999999</v>
      </c>
      <c r="K2770" s="405">
        <v>33.949137999999998</v>
      </c>
      <c r="L2770" s="405" t="s">
        <v>6866</v>
      </c>
      <c r="M2770" s="405" t="s">
        <v>10390</v>
      </c>
      <c r="N2770" s="405" t="s">
        <v>10391</v>
      </c>
      <c r="O2770" s="405" t="s">
        <v>15192</v>
      </c>
      <c r="P2770" s="405" t="s">
        <v>15963</v>
      </c>
      <c r="Q2770" s="411">
        <v>6</v>
      </c>
      <c r="R2770" s="405" t="s">
        <v>5655</v>
      </c>
      <c r="S2770" s="405" t="s">
        <v>27357</v>
      </c>
      <c r="T2770" s="405" t="s">
        <v>32102</v>
      </c>
      <c r="U2770" s="405" t="s">
        <v>319</v>
      </c>
    </row>
    <row r="2771" spans="1:21" x14ac:dyDescent="0.25">
      <c r="A2771" s="405" t="s">
        <v>310</v>
      </c>
      <c r="B2771" s="405" t="s">
        <v>6555</v>
      </c>
      <c r="C2771" s="405" t="s">
        <v>327</v>
      </c>
      <c r="D2771" s="405"/>
      <c r="E2771" s="410">
        <v>43020</v>
      </c>
      <c r="F2771" s="410">
        <v>43097</v>
      </c>
      <c r="G2771" s="405" t="s">
        <v>6556</v>
      </c>
      <c r="H2771" s="405" t="s">
        <v>6557</v>
      </c>
      <c r="I2771" s="405" t="s">
        <v>6558</v>
      </c>
      <c r="J2771" s="405">
        <v>0.31050499999999998</v>
      </c>
      <c r="K2771" s="405">
        <v>32.525083000000002</v>
      </c>
      <c r="L2771" s="405" t="s">
        <v>314</v>
      </c>
      <c r="M2771" s="405" t="s">
        <v>361</v>
      </c>
      <c r="N2771" s="405" t="s">
        <v>374</v>
      </c>
      <c r="O2771" s="405" t="s">
        <v>6559</v>
      </c>
      <c r="P2771" s="405" t="s">
        <v>6560</v>
      </c>
      <c r="Q2771" s="411">
        <v>9</v>
      </c>
      <c r="R2771" s="405" t="s">
        <v>6561</v>
      </c>
      <c r="S2771" s="405" t="s">
        <v>27210</v>
      </c>
      <c r="T2771" s="405" t="s">
        <v>32102</v>
      </c>
      <c r="U2771" s="405" t="s">
        <v>319</v>
      </c>
    </row>
    <row r="2772" spans="1:21" x14ac:dyDescent="0.25">
      <c r="A2772" s="405" t="s">
        <v>310</v>
      </c>
      <c r="B2772" s="405" t="s">
        <v>23557</v>
      </c>
      <c r="C2772" s="405" t="s">
        <v>327</v>
      </c>
      <c r="D2772" s="405"/>
      <c r="E2772" s="410">
        <v>43020</v>
      </c>
      <c r="F2772" s="410">
        <v>43065</v>
      </c>
      <c r="G2772" s="405" t="s">
        <v>23558</v>
      </c>
      <c r="H2772" s="405">
        <v>777858114</v>
      </c>
      <c r="I2772" s="405">
        <v>772670348</v>
      </c>
      <c r="J2772" s="405">
        <v>0.89091699999999996</v>
      </c>
      <c r="K2772" s="405">
        <v>29.782892</v>
      </c>
      <c r="L2772" s="405" t="s">
        <v>590</v>
      </c>
      <c r="M2772" s="405" t="s">
        <v>20808</v>
      </c>
      <c r="N2772" s="405" t="s">
        <v>23555</v>
      </c>
      <c r="O2772" s="405" t="s">
        <v>23559</v>
      </c>
      <c r="P2772" s="405" t="s">
        <v>2514</v>
      </c>
      <c r="Q2772" s="411">
        <v>9</v>
      </c>
      <c r="R2772" s="405" t="s">
        <v>6572</v>
      </c>
      <c r="S2772" s="405" t="s">
        <v>27186</v>
      </c>
      <c r="T2772" s="405" t="s">
        <v>32102</v>
      </c>
      <c r="U2772" s="405" t="s">
        <v>319</v>
      </c>
    </row>
    <row r="2773" spans="1:21" x14ac:dyDescent="0.25">
      <c r="A2773" s="405" t="s">
        <v>310</v>
      </c>
      <c r="B2773" s="405" t="s">
        <v>23606</v>
      </c>
      <c r="C2773" s="405" t="s">
        <v>327</v>
      </c>
      <c r="D2773" s="405"/>
      <c r="E2773" s="410">
        <v>43020</v>
      </c>
      <c r="F2773" s="410">
        <v>43065</v>
      </c>
      <c r="G2773" s="405" t="s">
        <v>23607</v>
      </c>
      <c r="H2773" s="405">
        <v>780947003</v>
      </c>
      <c r="I2773" s="405"/>
      <c r="J2773" s="405">
        <v>0.41</v>
      </c>
      <c r="K2773" s="405">
        <v>30.2027</v>
      </c>
      <c r="L2773" s="405" t="s">
        <v>590</v>
      </c>
      <c r="M2773" s="405" t="s">
        <v>19720</v>
      </c>
      <c r="N2773" s="405" t="s">
        <v>20297</v>
      </c>
      <c r="O2773" s="405" t="s">
        <v>23608</v>
      </c>
      <c r="P2773" s="405" t="s">
        <v>23609</v>
      </c>
      <c r="Q2773" s="411">
        <v>6</v>
      </c>
      <c r="R2773" s="405" t="s">
        <v>6013</v>
      </c>
      <c r="S2773" s="405" t="s">
        <v>27423</v>
      </c>
      <c r="T2773" s="405" t="s">
        <v>32102</v>
      </c>
      <c r="U2773" s="405" t="s">
        <v>319</v>
      </c>
    </row>
    <row r="2774" spans="1:21" x14ac:dyDescent="0.25">
      <c r="A2774" s="405" t="s">
        <v>310</v>
      </c>
      <c r="B2774" s="405" t="s">
        <v>15958</v>
      </c>
      <c r="C2774" s="405" t="s">
        <v>327</v>
      </c>
      <c r="D2774" s="405"/>
      <c r="E2774" s="410">
        <v>43020</v>
      </c>
      <c r="F2774" s="410">
        <v>43065</v>
      </c>
      <c r="G2774" s="405" t="s">
        <v>15959</v>
      </c>
      <c r="H2774" s="405">
        <v>772475743</v>
      </c>
      <c r="I2774" s="405">
        <v>784389150</v>
      </c>
      <c r="J2774" s="405">
        <v>0.28828999999999999</v>
      </c>
      <c r="K2774" s="405">
        <v>33.945258000000003</v>
      </c>
      <c r="L2774" s="405" t="s">
        <v>6866</v>
      </c>
      <c r="M2774" s="405" t="s">
        <v>10390</v>
      </c>
      <c r="N2774" s="405" t="s">
        <v>10391</v>
      </c>
      <c r="O2774" s="405" t="s">
        <v>15192</v>
      </c>
      <c r="P2774" s="405" t="s">
        <v>15960</v>
      </c>
      <c r="Q2774" s="411">
        <v>6</v>
      </c>
      <c r="R2774" s="405" t="s">
        <v>5655</v>
      </c>
      <c r="S2774" s="405" t="s">
        <v>27357</v>
      </c>
      <c r="T2774" s="405" t="s">
        <v>32102</v>
      </c>
      <c r="U2774" s="405" t="s">
        <v>319</v>
      </c>
    </row>
    <row r="2775" spans="1:21" x14ac:dyDescent="0.25">
      <c r="A2775" s="405" t="s">
        <v>310</v>
      </c>
      <c r="B2775" s="405" t="s">
        <v>15941</v>
      </c>
      <c r="C2775" s="405" t="s">
        <v>327</v>
      </c>
      <c r="D2775" s="405"/>
      <c r="E2775" s="410">
        <v>43020</v>
      </c>
      <c r="F2775" s="410">
        <v>43023</v>
      </c>
      <c r="G2775" s="405" t="s">
        <v>15942</v>
      </c>
      <c r="H2775" s="405">
        <v>789593647</v>
      </c>
      <c r="I2775" s="405">
        <v>751930203</v>
      </c>
      <c r="J2775" s="405">
        <v>0.288908</v>
      </c>
      <c r="K2775" s="405">
        <v>33.921703000000001</v>
      </c>
      <c r="L2775" s="405" t="s">
        <v>6866</v>
      </c>
      <c r="M2775" s="405" t="s">
        <v>10390</v>
      </c>
      <c r="N2775" s="405" t="s">
        <v>10391</v>
      </c>
      <c r="O2775" s="405" t="s">
        <v>15192</v>
      </c>
      <c r="P2775" s="405" t="s">
        <v>15943</v>
      </c>
      <c r="Q2775" s="411">
        <v>6</v>
      </c>
      <c r="R2775" s="405" t="s">
        <v>5655</v>
      </c>
      <c r="S2775" s="405" t="s">
        <v>27056</v>
      </c>
      <c r="T2775" s="405" t="s">
        <v>32102</v>
      </c>
      <c r="U2775" s="405" t="s">
        <v>319</v>
      </c>
    </row>
    <row r="2776" spans="1:21" x14ac:dyDescent="0.25">
      <c r="A2776" s="405" t="s">
        <v>310</v>
      </c>
      <c r="B2776" s="405" t="s">
        <v>16426</v>
      </c>
      <c r="C2776" s="405" t="s">
        <v>311</v>
      </c>
      <c r="D2776" s="405" t="s">
        <v>839</v>
      </c>
      <c r="E2776" s="410">
        <v>43019</v>
      </c>
      <c r="F2776" s="410">
        <v>43058</v>
      </c>
      <c r="G2776" s="405" t="s">
        <v>16427</v>
      </c>
      <c r="H2776" s="405">
        <v>772586037</v>
      </c>
      <c r="I2776" s="405"/>
      <c r="J2776" s="405">
        <v>0.28034999999999999</v>
      </c>
      <c r="K2776" s="405">
        <v>33.957594999999998</v>
      </c>
      <c r="L2776" s="405" t="s">
        <v>6866</v>
      </c>
      <c r="M2776" s="405" t="s">
        <v>10390</v>
      </c>
      <c r="N2776" s="405" t="s">
        <v>10391</v>
      </c>
      <c r="O2776" s="405" t="s">
        <v>15192</v>
      </c>
      <c r="P2776" s="405" t="s">
        <v>1817</v>
      </c>
      <c r="Q2776" s="411">
        <v>6</v>
      </c>
      <c r="R2776" s="405" t="s">
        <v>5655</v>
      </c>
      <c r="S2776" s="405" t="s">
        <v>27072</v>
      </c>
      <c r="T2776" s="405" t="s">
        <v>32102</v>
      </c>
      <c r="U2776" s="405" t="s">
        <v>319</v>
      </c>
    </row>
    <row r="2777" spans="1:21" x14ac:dyDescent="0.25">
      <c r="A2777" s="405" t="s">
        <v>310</v>
      </c>
      <c r="B2777" s="405" t="s">
        <v>23562</v>
      </c>
      <c r="C2777" s="405" t="s">
        <v>327</v>
      </c>
      <c r="D2777" s="405"/>
      <c r="E2777" s="410">
        <v>43018</v>
      </c>
      <c r="F2777" s="410">
        <v>43064</v>
      </c>
      <c r="G2777" s="405" t="s">
        <v>23563</v>
      </c>
      <c r="H2777" s="405">
        <v>780617539</v>
      </c>
      <c r="I2777" s="405"/>
      <c r="J2777" s="405">
        <v>1.8169999999999999</v>
      </c>
      <c r="K2777" s="405">
        <v>30.742000000000001</v>
      </c>
      <c r="L2777" s="405" t="s">
        <v>590</v>
      </c>
      <c r="M2777" s="405" t="s">
        <v>19659</v>
      </c>
      <c r="N2777" s="405" t="s">
        <v>2864</v>
      </c>
      <c r="O2777" s="405" t="s">
        <v>23564</v>
      </c>
      <c r="P2777" s="405" t="s">
        <v>23564</v>
      </c>
      <c r="Q2777" s="411">
        <v>9</v>
      </c>
      <c r="R2777" s="405" t="s">
        <v>6572</v>
      </c>
      <c r="S2777" s="405" t="s">
        <v>27166</v>
      </c>
      <c r="T2777" s="405" t="s">
        <v>32102</v>
      </c>
      <c r="U2777" s="405" t="s">
        <v>319</v>
      </c>
    </row>
    <row r="2778" spans="1:21" x14ac:dyDescent="0.25">
      <c r="A2778" s="405" t="s">
        <v>310</v>
      </c>
      <c r="B2778" s="405" t="s">
        <v>23582</v>
      </c>
      <c r="C2778" s="405" t="s">
        <v>327</v>
      </c>
      <c r="D2778" s="405"/>
      <c r="E2778" s="410">
        <v>43018</v>
      </c>
      <c r="F2778" s="410">
        <v>43048</v>
      </c>
      <c r="G2778" s="405" t="s">
        <v>23583</v>
      </c>
      <c r="H2778" s="405">
        <v>775220818</v>
      </c>
      <c r="I2778" s="405">
        <v>752990556</v>
      </c>
      <c r="J2778" s="405">
        <v>-0.28093699999999999</v>
      </c>
      <c r="K2778" s="405">
        <v>30.52702</v>
      </c>
      <c r="L2778" s="405" t="s">
        <v>590</v>
      </c>
      <c r="M2778" s="405" t="s">
        <v>19614</v>
      </c>
      <c r="N2778" s="405" t="s">
        <v>23240</v>
      </c>
      <c r="O2778" s="405" t="s">
        <v>20108</v>
      </c>
      <c r="P2778" s="405" t="s">
        <v>23584</v>
      </c>
      <c r="Q2778" s="411">
        <v>9</v>
      </c>
      <c r="R2778" s="405" t="s">
        <v>5858</v>
      </c>
      <c r="S2778" s="405" t="s">
        <v>27181</v>
      </c>
      <c r="T2778" s="405" t="s">
        <v>32102</v>
      </c>
      <c r="U2778" s="405" t="s">
        <v>319</v>
      </c>
    </row>
    <row r="2779" spans="1:21" x14ac:dyDescent="0.25">
      <c r="A2779" s="405" t="s">
        <v>310</v>
      </c>
      <c r="B2779" s="405" t="s">
        <v>23585</v>
      </c>
      <c r="C2779" s="405" t="s">
        <v>327</v>
      </c>
      <c r="D2779" s="405"/>
      <c r="E2779" s="410">
        <v>43018</v>
      </c>
      <c r="F2779" s="410">
        <v>43051</v>
      </c>
      <c r="G2779" s="405" t="s">
        <v>23586</v>
      </c>
      <c r="H2779" s="405">
        <v>777912040</v>
      </c>
      <c r="I2779" s="405">
        <v>777712040</v>
      </c>
      <c r="J2779" s="405">
        <v>0.66017999999999999</v>
      </c>
      <c r="K2779" s="405">
        <v>30.607817000000001</v>
      </c>
      <c r="L2779" s="405" t="s">
        <v>590</v>
      </c>
      <c r="M2779" s="405" t="s">
        <v>19614</v>
      </c>
      <c r="N2779" s="405" t="s">
        <v>19873</v>
      </c>
      <c r="O2779" s="405" t="s">
        <v>19911</v>
      </c>
      <c r="P2779" s="405" t="s">
        <v>19827</v>
      </c>
      <c r="Q2779" s="411">
        <v>6</v>
      </c>
      <c r="R2779" s="405" t="s">
        <v>5921</v>
      </c>
      <c r="S2779" s="405" t="s">
        <v>27255</v>
      </c>
      <c r="T2779" s="405" t="s">
        <v>32102</v>
      </c>
      <c r="U2779" s="405" t="s">
        <v>319</v>
      </c>
    </row>
    <row r="2780" spans="1:21" x14ac:dyDescent="0.25">
      <c r="A2780" s="405" t="s">
        <v>310</v>
      </c>
      <c r="B2780" s="405" t="s">
        <v>6498</v>
      </c>
      <c r="C2780" s="405" t="s">
        <v>327</v>
      </c>
      <c r="D2780" s="405"/>
      <c r="E2780" s="410">
        <v>43017</v>
      </c>
      <c r="F2780" s="410">
        <v>43030</v>
      </c>
      <c r="G2780" s="405" t="s">
        <v>6499</v>
      </c>
      <c r="H2780" s="405">
        <v>772575749</v>
      </c>
      <c r="I2780" s="405">
        <v>772770948</v>
      </c>
      <c r="J2780" s="405">
        <v>0.25159999999999999</v>
      </c>
      <c r="K2780" s="405">
        <v>32.74</v>
      </c>
      <c r="L2780" s="405" t="s">
        <v>314</v>
      </c>
      <c r="M2780" s="405" t="s">
        <v>675</v>
      </c>
      <c r="N2780" s="405" t="s">
        <v>6500</v>
      </c>
      <c r="O2780" s="405" t="s">
        <v>675</v>
      </c>
      <c r="P2780" s="405" t="s">
        <v>6501</v>
      </c>
      <c r="Q2780" s="411">
        <v>13</v>
      </c>
      <c r="R2780" s="405" t="s">
        <v>32101</v>
      </c>
      <c r="S2780" s="405" t="s">
        <v>27167</v>
      </c>
      <c r="T2780" s="405" t="s">
        <v>32102</v>
      </c>
      <c r="U2780" s="405" t="s">
        <v>319</v>
      </c>
    </row>
    <row r="2781" spans="1:21" x14ac:dyDescent="0.25">
      <c r="A2781" s="405" t="s">
        <v>310</v>
      </c>
      <c r="B2781" s="405" t="s">
        <v>23593</v>
      </c>
      <c r="C2781" s="405" t="s">
        <v>327</v>
      </c>
      <c r="D2781" s="405"/>
      <c r="E2781" s="410">
        <v>43017</v>
      </c>
      <c r="F2781" s="410">
        <v>43049</v>
      </c>
      <c r="G2781" s="405" t="s">
        <v>23594</v>
      </c>
      <c r="H2781" s="405">
        <v>789347878</v>
      </c>
      <c r="I2781" s="405">
        <v>772460882</v>
      </c>
      <c r="J2781" s="405">
        <v>0.23499200000000001</v>
      </c>
      <c r="K2781" s="405">
        <v>30.438112</v>
      </c>
      <c r="L2781" s="405" t="s">
        <v>590</v>
      </c>
      <c r="M2781" s="405" t="s">
        <v>19720</v>
      </c>
      <c r="N2781" s="405" t="s">
        <v>7352</v>
      </c>
      <c r="O2781" s="405" t="s">
        <v>19720</v>
      </c>
      <c r="P2781" s="405" t="s">
        <v>21772</v>
      </c>
      <c r="Q2781" s="411">
        <v>6</v>
      </c>
      <c r="R2781" s="405" t="s">
        <v>6013</v>
      </c>
      <c r="S2781" s="405" t="s">
        <v>27264</v>
      </c>
      <c r="T2781" s="405" t="s">
        <v>32102</v>
      </c>
      <c r="U2781" s="405" t="s">
        <v>319</v>
      </c>
    </row>
    <row r="2782" spans="1:21" x14ac:dyDescent="0.25">
      <c r="A2782" s="405" t="s">
        <v>310</v>
      </c>
      <c r="B2782" s="405" t="s">
        <v>6478</v>
      </c>
      <c r="C2782" s="405" t="s">
        <v>327</v>
      </c>
      <c r="D2782" s="405"/>
      <c r="E2782" s="410">
        <v>43017</v>
      </c>
      <c r="F2782" s="410">
        <v>43030</v>
      </c>
      <c r="G2782" s="405" t="s">
        <v>6479</v>
      </c>
      <c r="H2782" s="405">
        <v>702740818</v>
      </c>
      <c r="I2782" s="405">
        <v>792997198</v>
      </c>
      <c r="J2782" s="405">
        <v>0.68093700000000001</v>
      </c>
      <c r="K2782" s="405">
        <v>31.604240999999998</v>
      </c>
      <c r="L2782" s="405" t="s">
        <v>314</v>
      </c>
      <c r="M2782" s="405" t="s">
        <v>382</v>
      </c>
      <c r="N2782" s="405" t="s">
        <v>6480</v>
      </c>
      <c r="O2782" s="405" t="s">
        <v>6480</v>
      </c>
      <c r="P2782" s="405" t="s">
        <v>6481</v>
      </c>
      <c r="Q2782" s="411">
        <v>6</v>
      </c>
      <c r="R2782" s="405" t="s">
        <v>402</v>
      </c>
      <c r="S2782" s="405" t="s">
        <v>27052</v>
      </c>
      <c r="T2782" s="405" t="s">
        <v>32102</v>
      </c>
      <c r="U2782" s="405" t="s">
        <v>319</v>
      </c>
    </row>
    <row r="2783" spans="1:21" x14ac:dyDescent="0.25">
      <c r="A2783" s="405" t="s">
        <v>310</v>
      </c>
      <c r="B2783" s="405" t="s">
        <v>23638</v>
      </c>
      <c r="C2783" s="405" t="s">
        <v>327</v>
      </c>
      <c r="D2783" s="405"/>
      <c r="E2783" s="410">
        <v>43016</v>
      </c>
      <c r="F2783" s="410">
        <v>43071</v>
      </c>
      <c r="G2783" s="405" t="s">
        <v>23639</v>
      </c>
      <c r="H2783" s="405">
        <v>772396346</v>
      </c>
      <c r="I2783" s="405">
        <v>772434324</v>
      </c>
      <c r="J2783" s="405">
        <v>2.2955100000000002</v>
      </c>
      <c r="K2783" s="405">
        <v>50.573300000000003</v>
      </c>
      <c r="L2783" s="405" t="s">
        <v>590</v>
      </c>
      <c r="M2783" s="405" t="s">
        <v>20808</v>
      </c>
      <c r="N2783" s="405" t="s">
        <v>19620</v>
      </c>
      <c r="O2783" s="405" t="s">
        <v>21492</v>
      </c>
      <c r="P2783" s="405" t="s">
        <v>23637</v>
      </c>
      <c r="Q2783" s="411">
        <v>9</v>
      </c>
      <c r="R2783" s="405" t="s">
        <v>6572</v>
      </c>
      <c r="S2783" s="405" t="s">
        <v>27394</v>
      </c>
      <c r="T2783" s="405" t="s">
        <v>32102</v>
      </c>
      <c r="U2783" s="405" t="s">
        <v>319</v>
      </c>
    </row>
    <row r="2784" spans="1:21" x14ac:dyDescent="0.25">
      <c r="A2784" s="405" t="s">
        <v>310</v>
      </c>
      <c r="B2784" s="405" t="s">
        <v>15966</v>
      </c>
      <c r="C2784" s="405" t="s">
        <v>327</v>
      </c>
      <c r="D2784" s="405"/>
      <c r="E2784" s="410">
        <v>43015</v>
      </c>
      <c r="F2784" s="410">
        <v>43060</v>
      </c>
      <c r="G2784" s="405" t="s">
        <v>15967</v>
      </c>
      <c r="H2784" s="405">
        <v>792431306</v>
      </c>
      <c r="I2784" s="405">
        <v>772431306</v>
      </c>
      <c r="J2784" s="405">
        <v>1.0215000000000001</v>
      </c>
      <c r="K2784" s="405">
        <v>33.502400000000002</v>
      </c>
      <c r="L2784" s="405" t="s">
        <v>6866</v>
      </c>
      <c r="M2784" s="405" t="s">
        <v>10152</v>
      </c>
      <c r="N2784" s="405" t="s">
        <v>15968</v>
      </c>
      <c r="O2784" s="405" t="s">
        <v>15968</v>
      </c>
      <c r="P2784" s="405" t="s">
        <v>15968</v>
      </c>
      <c r="Q2784" s="411">
        <v>6</v>
      </c>
      <c r="R2784" s="405" t="s">
        <v>5921</v>
      </c>
      <c r="S2784" s="405" t="s">
        <v>27255</v>
      </c>
      <c r="T2784" s="405" t="s">
        <v>32102</v>
      </c>
      <c r="U2784" s="405" t="s">
        <v>319</v>
      </c>
    </row>
    <row r="2785" spans="1:21" x14ac:dyDescent="0.25">
      <c r="A2785" s="405" t="s">
        <v>310</v>
      </c>
      <c r="B2785" s="405" t="s">
        <v>15983</v>
      </c>
      <c r="C2785" s="405" t="s">
        <v>327</v>
      </c>
      <c r="D2785" s="405"/>
      <c r="E2785" s="410">
        <v>43014</v>
      </c>
      <c r="F2785" s="410">
        <v>43127</v>
      </c>
      <c r="G2785" s="405" t="s">
        <v>15984</v>
      </c>
      <c r="H2785" s="405">
        <v>784631170</v>
      </c>
      <c r="I2785" s="405">
        <v>754619016</v>
      </c>
      <c r="J2785" s="405">
        <v>0.28226200000000001</v>
      </c>
      <c r="K2785" s="405">
        <v>33.964205</v>
      </c>
      <c r="L2785" s="405" t="s">
        <v>6866</v>
      </c>
      <c r="M2785" s="405" t="s">
        <v>10390</v>
      </c>
      <c r="N2785" s="405" t="s">
        <v>10391</v>
      </c>
      <c r="O2785" s="405" t="s">
        <v>15192</v>
      </c>
      <c r="P2785" s="405" t="s">
        <v>15985</v>
      </c>
      <c r="Q2785" s="411">
        <v>6</v>
      </c>
      <c r="R2785" s="405" t="s">
        <v>5655</v>
      </c>
      <c r="S2785" s="405" t="s">
        <v>27072</v>
      </c>
      <c r="T2785" s="405" t="s">
        <v>32102</v>
      </c>
      <c r="U2785" s="405" t="s">
        <v>319</v>
      </c>
    </row>
    <row r="2786" spans="1:21" x14ac:dyDescent="0.25">
      <c r="A2786" s="405" t="s">
        <v>310</v>
      </c>
      <c r="B2786" s="405" t="s">
        <v>15956</v>
      </c>
      <c r="C2786" s="405" t="s">
        <v>327</v>
      </c>
      <c r="D2786" s="405"/>
      <c r="E2786" s="410">
        <v>43014</v>
      </c>
      <c r="F2786" s="410">
        <v>43059</v>
      </c>
      <c r="G2786" s="405" t="s">
        <v>15957</v>
      </c>
      <c r="H2786" s="405">
        <v>777267744</v>
      </c>
      <c r="I2786" s="405">
        <v>756268138</v>
      </c>
      <c r="J2786" s="405">
        <v>0.30223699999999998</v>
      </c>
      <c r="K2786" s="405">
        <v>33.962628000000002</v>
      </c>
      <c r="L2786" s="405" t="s">
        <v>6866</v>
      </c>
      <c r="M2786" s="405" t="s">
        <v>10390</v>
      </c>
      <c r="N2786" s="405" t="s">
        <v>10391</v>
      </c>
      <c r="O2786" s="405" t="s">
        <v>15192</v>
      </c>
      <c r="P2786" s="405" t="s">
        <v>15076</v>
      </c>
      <c r="Q2786" s="411">
        <v>6</v>
      </c>
      <c r="R2786" s="405" t="s">
        <v>5655</v>
      </c>
      <c r="S2786" s="405" t="s">
        <v>27357</v>
      </c>
      <c r="T2786" s="405" t="s">
        <v>32102</v>
      </c>
      <c r="U2786" s="405" t="s">
        <v>319</v>
      </c>
    </row>
    <row r="2787" spans="1:21" x14ac:dyDescent="0.25">
      <c r="A2787" s="405" t="s">
        <v>310</v>
      </c>
      <c r="B2787" s="405" t="s">
        <v>23537</v>
      </c>
      <c r="C2787" s="405" t="s">
        <v>327</v>
      </c>
      <c r="D2787" s="405"/>
      <c r="E2787" s="410">
        <v>43014</v>
      </c>
      <c r="F2787" s="410">
        <v>43048</v>
      </c>
      <c r="G2787" s="405" t="s">
        <v>23538</v>
      </c>
      <c r="H2787" s="405">
        <v>703344948</v>
      </c>
      <c r="I2787" s="405">
        <v>703343671</v>
      </c>
      <c r="J2787" s="405">
        <v>0.255</v>
      </c>
      <c r="K2787" s="405">
        <v>30.332999999999998</v>
      </c>
      <c r="L2787" s="405" t="s">
        <v>590</v>
      </c>
      <c r="M2787" s="405" t="s">
        <v>19614</v>
      </c>
      <c r="N2787" s="405" t="s">
        <v>19615</v>
      </c>
      <c r="O2787" s="405" t="s">
        <v>19650</v>
      </c>
      <c r="P2787" s="405" t="s">
        <v>23539</v>
      </c>
      <c r="Q2787" s="411">
        <v>6</v>
      </c>
      <c r="R2787" s="405" t="s">
        <v>6943</v>
      </c>
      <c r="S2787" s="405" t="s">
        <v>27173</v>
      </c>
      <c r="T2787" s="405" t="s">
        <v>32102</v>
      </c>
      <c r="U2787" s="405" t="s">
        <v>319</v>
      </c>
    </row>
    <row r="2788" spans="1:21" x14ac:dyDescent="0.25">
      <c r="A2788" s="405" t="s">
        <v>310</v>
      </c>
      <c r="B2788" s="405" t="s">
        <v>23808</v>
      </c>
      <c r="C2788" s="405" t="s">
        <v>327</v>
      </c>
      <c r="D2788" s="405"/>
      <c r="E2788" s="410">
        <v>43011</v>
      </c>
      <c r="F2788" s="410">
        <v>43056</v>
      </c>
      <c r="G2788" s="405" t="s">
        <v>23809</v>
      </c>
      <c r="H2788" s="405">
        <v>772559960</v>
      </c>
      <c r="I2788" s="405"/>
      <c r="J2788" s="405">
        <v>1.4148000000000001</v>
      </c>
      <c r="K2788" s="405">
        <v>31.412199999999999</v>
      </c>
      <c r="L2788" s="405" t="s">
        <v>590</v>
      </c>
      <c r="M2788" s="405" t="s">
        <v>19608</v>
      </c>
      <c r="N2788" s="405" t="s">
        <v>19762</v>
      </c>
      <c r="O2788" s="405" t="s">
        <v>13002</v>
      </c>
      <c r="P2788" s="405" t="s">
        <v>23810</v>
      </c>
      <c r="Q2788" s="411">
        <v>6</v>
      </c>
      <c r="R2788" s="405" t="s">
        <v>6397</v>
      </c>
      <c r="S2788" s="405" t="s">
        <v>22880</v>
      </c>
      <c r="T2788" s="405" t="s">
        <v>32102</v>
      </c>
      <c r="U2788" s="405" t="s">
        <v>319</v>
      </c>
    </row>
    <row r="2789" spans="1:21" x14ac:dyDescent="0.25">
      <c r="A2789" s="405" t="s">
        <v>310</v>
      </c>
      <c r="B2789" s="405" t="s">
        <v>23599</v>
      </c>
      <c r="C2789" s="405" t="s">
        <v>327</v>
      </c>
      <c r="D2789" s="405"/>
      <c r="E2789" s="410">
        <v>43010</v>
      </c>
      <c r="F2789" s="410">
        <v>43050</v>
      </c>
      <c r="G2789" s="405" t="s">
        <v>23600</v>
      </c>
      <c r="H2789" s="405">
        <v>785125699</v>
      </c>
      <c r="I2789" s="405"/>
      <c r="J2789" s="405">
        <v>0.43084299999999998</v>
      </c>
      <c r="K2789" s="405">
        <v>30.704249999999998</v>
      </c>
      <c r="L2789" s="405" t="s">
        <v>590</v>
      </c>
      <c r="M2789" s="405" t="s">
        <v>19720</v>
      </c>
      <c r="N2789" s="405" t="s">
        <v>23601</v>
      </c>
      <c r="O2789" s="405" t="s">
        <v>11792</v>
      </c>
      <c r="P2789" s="405" t="s">
        <v>23602</v>
      </c>
      <c r="Q2789" s="411">
        <v>6</v>
      </c>
      <c r="R2789" s="405" t="s">
        <v>6013</v>
      </c>
      <c r="S2789" s="405" t="s">
        <v>27301</v>
      </c>
      <c r="T2789" s="405" t="s">
        <v>32102</v>
      </c>
      <c r="U2789" s="405" t="s">
        <v>319</v>
      </c>
    </row>
    <row r="2790" spans="1:21" x14ac:dyDescent="0.25">
      <c r="A2790" s="405" t="s">
        <v>310</v>
      </c>
      <c r="B2790" s="405" t="s">
        <v>6542</v>
      </c>
      <c r="C2790" s="405" t="s">
        <v>327</v>
      </c>
      <c r="D2790" s="405"/>
      <c r="E2790" s="410">
        <v>43008</v>
      </c>
      <c r="F2790" s="410">
        <v>43047</v>
      </c>
      <c r="G2790" s="405" t="s">
        <v>6543</v>
      </c>
      <c r="H2790" s="405">
        <v>772827054</v>
      </c>
      <c r="I2790" s="405">
        <v>750001480</v>
      </c>
      <c r="J2790" s="405">
        <v>0.415267</v>
      </c>
      <c r="K2790" s="405">
        <v>32.055908000000002</v>
      </c>
      <c r="L2790" s="405" t="s">
        <v>314</v>
      </c>
      <c r="M2790" s="405" t="s">
        <v>675</v>
      </c>
      <c r="N2790" s="405" t="s">
        <v>1066</v>
      </c>
      <c r="O2790" s="405" t="s">
        <v>1066</v>
      </c>
      <c r="P2790" s="405" t="s">
        <v>6544</v>
      </c>
      <c r="Q2790" s="411">
        <v>9</v>
      </c>
      <c r="R2790" s="405" t="s">
        <v>32101</v>
      </c>
      <c r="S2790" s="405" t="s">
        <v>27193</v>
      </c>
      <c r="T2790" s="405" t="s">
        <v>32102</v>
      </c>
      <c r="U2790" s="405" t="s">
        <v>319</v>
      </c>
    </row>
    <row r="2791" spans="1:21" x14ac:dyDescent="0.25">
      <c r="A2791" s="405" t="s">
        <v>310</v>
      </c>
      <c r="B2791" s="405" t="s">
        <v>23595</v>
      </c>
      <c r="C2791" s="405" t="s">
        <v>327</v>
      </c>
      <c r="D2791" s="405"/>
      <c r="E2791" s="410">
        <v>43007</v>
      </c>
      <c r="F2791" s="410">
        <v>43057</v>
      </c>
      <c r="G2791" s="405" t="s">
        <v>23596</v>
      </c>
      <c r="H2791" s="405">
        <v>776802637</v>
      </c>
      <c r="I2791" s="405"/>
      <c r="J2791" s="405">
        <v>0.33651300000000001</v>
      </c>
      <c r="K2791" s="405">
        <v>30.461504999999999</v>
      </c>
      <c r="L2791" s="405" t="s">
        <v>590</v>
      </c>
      <c r="M2791" s="405" t="s">
        <v>19720</v>
      </c>
      <c r="N2791" s="405" t="s">
        <v>7352</v>
      </c>
      <c r="O2791" s="405" t="s">
        <v>21940</v>
      </c>
      <c r="P2791" s="405" t="s">
        <v>20907</v>
      </c>
      <c r="Q2791" s="411">
        <v>6</v>
      </c>
      <c r="R2791" s="405" t="s">
        <v>6013</v>
      </c>
      <c r="S2791" s="405" t="s">
        <v>27428</v>
      </c>
      <c r="T2791" s="405" t="s">
        <v>32102</v>
      </c>
      <c r="U2791" s="405" t="s">
        <v>319</v>
      </c>
    </row>
    <row r="2792" spans="1:21" x14ac:dyDescent="0.25">
      <c r="A2792" s="405" t="s">
        <v>310</v>
      </c>
      <c r="B2792" s="405" t="s">
        <v>23597</v>
      </c>
      <c r="C2792" s="405" t="s">
        <v>327</v>
      </c>
      <c r="D2792" s="405"/>
      <c r="E2792" s="410">
        <v>43007</v>
      </c>
      <c r="F2792" s="410">
        <v>43054</v>
      </c>
      <c r="G2792" s="405" t="s">
        <v>23598</v>
      </c>
      <c r="H2792" s="405">
        <v>777640139</v>
      </c>
      <c r="I2792" s="405"/>
      <c r="J2792" s="405">
        <v>0.31329000000000001</v>
      </c>
      <c r="K2792" s="405">
        <v>30.416383</v>
      </c>
      <c r="L2792" s="405" t="s">
        <v>590</v>
      </c>
      <c r="M2792" s="405" t="s">
        <v>19720</v>
      </c>
      <c r="N2792" s="405" t="s">
        <v>7352</v>
      </c>
      <c r="O2792" s="405" t="s">
        <v>21940</v>
      </c>
      <c r="P2792" s="405" t="s">
        <v>22717</v>
      </c>
      <c r="Q2792" s="411">
        <v>6</v>
      </c>
      <c r="R2792" s="405" t="s">
        <v>6013</v>
      </c>
      <c r="S2792" s="405" t="s">
        <v>27428</v>
      </c>
      <c r="T2792" s="405" t="s">
        <v>32102</v>
      </c>
      <c r="U2792" s="405" t="s">
        <v>319</v>
      </c>
    </row>
    <row r="2793" spans="1:21" x14ac:dyDescent="0.25">
      <c r="A2793" s="405" t="s">
        <v>310</v>
      </c>
      <c r="B2793" s="405" t="s">
        <v>23530</v>
      </c>
      <c r="C2793" s="405" t="s">
        <v>327</v>
      </c>
      <c r="D2793" s="405"/>
      <c r="E2793" s="410">
        <v>43006</v>
      </c>
      <c r="F2793" s="410">
        <v>43051</v>
      </c>
      <c r="G2793" s="405" t="s">
        <v>23531</v>
      </c>
      <c r="H2793" s="405">
        <v>759595740</v>
      </c>
      <c r="I2793" s="405"/>
      <c r="J2793" s="405">
        <v>0.34598200000000001</v>
      </c>
      <c r="K2793" s="405">
        <v>30.803546999999998</v>
      </c>
      <c r="L2793" s="405" t="s">
        <v>590</v>
      </c>
      <c r="M2793" s="405" t="s">
        <v>19720</v>
      </c>
      <c r="N2793" s="405" t="s">
        <v>22346</v>
      </c>
      <c r="O2793" s="405" t="s">
        <v>23183</v>
      </c>
      <c r="P2793" s="405" t="s">
        <v>23183</v>
      </c>
      <c r="Q2793" s="411">
        <v>9</v>
      </c>
      <c r="R2793" s="405" t="s">
        <v>6013</v>
      </c>
      <c r="S2793" s="405" t="s">
        <v>27275</v>
      </c>
      <c r="T2793" s="405" t="s">
        <v>32102</v>
      </c>
      <c r="U2793" s="405" t="s">
        <v>319</v>
      </c>
    </row>
    <row r="2794" spans="1:21" x14ac:dyDescent="0.25">
      <c r="A2794" s="405" t="s">
        <v>310</v>
      </c>
      <c r="B2794" s="405" t="s">
        <v>6496</v>
      </c>
      <c r="C2794" s="405" t="s">
        <v>327</v>
      </c>
      <c r="D2794" s="405"/>
      <c r="E2794" s="410">
        <v>43006</v>
      </c>
      <c r="F2794" s="410">
        <v>43039</v>
      </c>
      <c r="G2794" s="405" t="s">
        <v>6497</v>
      </c>
      <c r="H2794" s="405">
        <v>786543345</v>
      </c>
      <c r="I2794" s="405">
        <v>778859099</v>
      </c>
      <c r="J2794" s="405">
        <v>0.10913</v>
      </c>
      <c r="K2794" s="405">
        <v>32.177549999999997</v>
      </c>
      <c r="L2794" s="405" t="s">
        <v>314</v>
      </c>
      <c r="M2794" s="405" t="s">
        <v>321</v>
      </c>
      <c r="N2794" s="405" t="s">
        <v>1244</v>
      </c>
      <c r="O2794" s="405" t="s">
        <v>2265</v>
      </c>
      <c r="P2794" s="405" t="s">
        <v>6182</v>
      </c>
      <c r="Q2794" s="411">
        <v>6</v>
      </c>
      <c r="R2794" s="405" t="s">
        <v>32101</v>
      </c>
      <c r="S2794" s="405" t="s">
        <v>27186</v>
      </c>
      <c r="T2794" s="405" t="s">
        <v>32102</v>
      </c>
      <c r="U2794" s="405" t="s">
        <v>319</v>
      </c>
    </row>
    <row r="2795" spans="1:21" x14ac:dyDescent="0.25">
      <c r="A2795" s="405" t="s">
        <v>310</v>
      </c>
      <c r="B2795" s="405" t="s">
        <v>23528</v>
      </c>
      <c r="C2795" s="405" t="s">
        <v>327</v>
      </c>
      <c r="D2795" s="405"/>
      <c r="E2795" s="410">
        <v>43006</v>
      </c>
      <c r="F2795" s="410">
        <v>43024</v>
      </c>
      <c r="G2795" s="405" t="s">
        <v>23529</v>
      </c>
      <c r="H2795" s="405">
        <v>786789058</v>
      </c>
      <c r="I2795" s="405"/>
      <c r="J2795" s="405">
        <v>5.6070000000000002E-2</v>
      </c>
      <c r="K2795" s="405">
        <v>30.259444999999999</v>
      </c>
      <c r="L2795" s="405" t="s">
        <v>590</v>
      </c>
      <c r="M2795" s="405" t="s">
        <v>19720</v>
      </c>
      <c r="N2795" s="405" t="s">
        <v>20297</v>
      </c>
      <c r="O2795" s="405" t="s">
        <v>23372</v>
      </c>
      <c r="P2795" s="405" t="s">
        <v>23130</v>
      </c>
      <c r="Q2795" s="411">
        <v>6</v>
      </c>
      <c r="R2795" s="405" t="s">
        <v>6013</v>
      </c>
      <c r="S2795" s="405" t="s">
        <v>27205</v>
      </c>
      <c r="T2795" s="405" t="s">
        <v>32102</v>
      </c>
      <c r="U2795" s="405" t="s">
        <v>319</v>
      </c>
    </row>
    <row r="2796" spans="1:21" x14ac:dyDescent="0.25">
      <c r="A2796" s="405" t="s">
        <v>310</v>
      </c>
      <c r="B2796" s="405" t="s">
        <v>23532</v>
      </c>
      <c r="C2796" s="405" t="s">
        <v>327</v>
      </c>
      <c r="D2796" s="405"/>
      <c r="E2796" s="410">
        <v>43005</v>
      </c>
      <c r="F2796" s="410">
        <v>43045</v>
      </c>
      <c r="G2796" s="405" t="s">
        <v>23533</v>
      </c>
      <c r="H2796" s="405">
        <v>784177400</v>
      </c>
      <c r="I2796" s="405"/>
      <c r="J2796" s="405">
        <v>0.12507499999999999</v>
      </c>
      <c r="K2796" s="405">
        <v>30.471392999999999</v>
      </c>
      <c r="L2796" s="405" t="s">
        <v>590</v>
      </c>
      <c r="M2796" s="405" t="s">
        <v>19720</v>
      </c>
      <c r="N2796" s="405" t="s">
        <v>7352</v>
      </c>
      <c r="O2796" s="405" t="s">
        <v>20439</v>
      </c>
      <c r="P2796" s="405" t="s">
        <v>20298</v>
      </c>
      <c r="Q2796" s="411">
        <v>9</v>
      </c>
      <c r="R2796" s="405" t="s">
        <v>6013</v>
      </c>
      <c r="S2796" s="405" t="s">
        <v>27205</v>
      </c>
      <c r="T2796" s="405" t="s">
        <v>32102</v>
      </c>
      <c r="U2796" s="405" t="s">
        <v>319</v>
      </c>
    </row>
    <row r="2797" spans="1:21" x14ac:dyDescent="0.25">
      <c r="A2797" s="405" t="s">
        <v>310</v>
      </c>
      <c r="B2797" s="405" t="s">
        <v>23590</v>
      </c>
      <c r="C2797" s="405" t="s">
        <v>327</v>
      </c>
      <c r="D2797" s="405"/>
      <c r="E2797" s="410">
        <v>43005</v>
      </c>
      <c r="F2797" s="410">
        <v>43043</v>
      </c>
      <c r="G2797" s="405" t="s">
        <v>23591</v>
      </c>
      <c r="H2797" s="405">
        <v>772655574</v>
      </c>
      <c r="I2797" s="405"/>
      <c r="J2797" s="405">
        <v>1.264232</v>
      </c>
      <c r="K2797" s="405">
        <v>31.657962000000001</v>
      </c>
      <c r="L2797" s="405" t="s">
        <v>590</v>
      </c>
      <c r="M2797" s="405" t="s">
        <v>1360</v>
      </c>
      <c r="N2797" s="405" t="s">
        <v>3545</v>
      </c>
      <c r="O2797" s="405" t="s">
        <v>23592</v>
      </c>
      <c r="P2797" s="405" t="s">
        <v>9381</v>
      </c>
      <c r="Q2797" s="411">
        <v>9</v>
      </c>
      <c r="R2797" s="405" t="s">
        <v>414</v>
      </c>
      <c r="S2797" s="405" t="s">
        <v>414</v>
      </c>
      <c r="T2797" s="405" t="s">
        <v>32102</v>
      </c>
      <c r="U2797" s="405" t="s">
        <v>319</v>
      </c>
    </row>
    <row r="2798" spans="1:21" x14ac:dyDescent="0.25">
      <c r="A2798" s="405" t="s">
        <v>310</v>
      </c>
      <c r="B2798" s="405" t="s">
        <v>6634</v>
      </c>
      <c r="C2798" s="405" t="s">
        <v>327</v>
      </c>
      <c r="D2798" s="405"/>
      <c r="E2798" s="410">
        <v>43005</v>
      </c>
      <c r="F2798" s="410">
        <v>43071</v>
      </c>
      <c r="G2798" s="405" t="s">
        <v>6635</v>
      </c>
      <c r="H2798" s="405">
        <v>256772026786</v>
      </c>
      <c r="I2798" s="405"/>
      <c r="J2798" s="405">
        <v>0.31961000000000001</v>
      </c>
      <c r="K2798" s="405">
        <v>31.349561999999999</v>
      </c>
      <c r="L2798" s="405" t="s">
        <v>314</v>
      </c>
      <c r="M2798" s="405" t="s">
        <v>445</v>
      </c>
      <c r="N2798" s="405" t="s">
        <v>6636</v>
      </c>
      <c r="O2798" s="405" t="s">
        <v>6636</v>
      </c>
      <c r="P2798" s="405" t="s">
        <v>6637</v>
      </c>
      <c r="Q2798" s="411">
        <v>6</v>
      </c>
      <c r="R2798" s="405" t="s">
        <v>4176</v>
      </c>
      <c r="S2798" s="405" t="s">
        <v>27036</v>
      </c>
      <c r="T2798" s="405" t="s">
        <v>32102</v>
      </c>
      <c r="U2798" s="405" t="s">
        <v>319</v>
      </c>
    </row>
    <row r="2799" spans="1:21" x14ac:dyDescent="0.25">
      <c r="A2799" s="405" t="s">
        <v>310</v>
      </c>
      <c r="B2799" s="405" t="s">
        <v>23474</v>
      </c>
      <c r="C2799" s="405" t="s">
        <v>327</v>
      </c>
      <c r="D2799" s="405"/>
      <c r="E2799" s="410">
        <v>43005</v>
      </c>
      <c r="F2799" s="410">
        <v>43036</v>
      </c>
      <c r="G2799" s="405" t="s">
        <v>23475</v>
      </c>
      <c r="H2799" s="405">
        <v>781987332</v>
      </c>
      <c r="I2799" s="405"/>
      <c r="J2799" s="405">
        <v>0.13720499999999999</v>
      </c>
      <c r="K2799" s="405">
        <v>30.499752999999998</v>
      </c>
      <c r="L2799" s="405" t="s">
        <v>590</v>
      </c>
      <c r="M2799" s="405" t="s">
        <v>19720</v>
      </c>
      <c r="N2799" s="405" t="s">
        <v>7352</v>
      </c>
      <c r="O2799" s="405" t="s">
        <v>20663</v>
      </c>
      <c r="P2799" s="405" t="s">
        <v>19726</v>
      </c>
      <c r="Q2799" s="411">
        <v>6</v>
      </c>
      <c r="R2799" s="405" t="s">
        <v>6013</v>
      </c>
      <c r="S2799" s="405" t="s">
        <v>27423</v>
      </c>
      <c r="T2799" s="405" t="s">
        <v>32102</v>
      </c>
      <c r="U2799" s="405" t="s">
        <v>319</v>
      </c>
    </row>
    <row r="2800" spans="1:21" x14ac:dyDescent="0.25">
      <c r="A2800" s="405" t="s">
        <v>310</v>
      </c>
      <c r="B2800" s="405" t="s">
        <v>23522</v>
      </c>
      <c r="C2800" s="405" t="s">
        <v>327</v>
      </c>
      <c r="D2800" s="405"/>
      <c r="E2800" s="410">
        <v>43005</v>
      </c>
      <c r="F2800" s="410">
        <v>43024</v>
      </c>
      <c r="G2800" s="405" t="s">
        <v>23523</v>
      </c>
      <c r="H2800" s="405">
        <v>787867478</v>
      </c>
      <c r="I2800" s="405"/>
      <c r="J2800" s="405">
        <v>0.14169999999999999</v>
      </c>
      <c r="K2800" s="405">
        <v>30.347000000000001</v>
      </c>
      <c r="L2800" s="405" t="s">
        <v>590</v>
      </c>
      <c r="M2800" s="405" t="s">
        <v>19720</v>
      </c>
      <c r="N2800" s="405" t="s">
        <v>22346</v>
      </c>
      <c r="O2800" s="405" t="s">
        <v>11792</v>
      </c>
      <c r="P2800" s="405" t="s">
        <v>23524</v>
      </c>
      <c r="Q2800" s="411">
        <v>6</v>
      </c>
      <c r="R2800" s="405" t="s">
        <v>6013</v>
      </c>
      <c r="S2800" s="405" t="s">
        <v>27428</v>
      </c>
      <c r="T2800" s="405" t="s">
        <v>32102</v>
      </c>
      <c r="U2800" s="405" t="s">
        <v>319</v>
      </c>
    </row>
    <row r="2801" spans="1:21" x14ac:dyDescent="0.25">
      <c r="A2801" s="405" t="s">
        <v>310</v>
      </c>
      <c r="B2801" s="405" t="s">
        <v>6536</v>
      </c>
      <c r="C2801" s="405" t="s">
        <v>327</v>
      </c>
      <c r="D2801" s="405"/>
      <c r="E2801" s="410">
        <v>43004</v>
      </c>
      <c r="F2801" s="410">
        <v>43049</v>
      </c>
      <c r="G2801" s="405" t="s">
        <v>6537</v>
      </c>
      <c r="H2801" s="405">
        <v>772968421</v>
      </c>
      <c r="I2801" s="405"/>
      <c r="J2801" s="405">
        <v>0.415655</v>
      </c>
      <c r="K2801" s="405">
        <v>32.492742</v>
      </c>
      <c r="L2801" s="405" t="s">
        <v>314</v>
      </c>
      <c r="M2801" s="405" t="s">
        <v>361</v>
      </c>
      <c r="N2801" s="405" t="s">
        <v>6538</v>
      </c>
      <c r="O2801" s="405" t="s">
        <v>6538</v>
      </c>
      <c r="P2801" s="405" t="s">
        <v>6538</v>
      </c>
      <c r="Q2801" s="411">
        <v>9</v>
      </c>
      <c r="R2801" s="405" t="s">
        <v>32101</v>
      </c>
      <c r="S2801" s="405" t="s">
        <v>27167</v>
      </c>
      <c r="T2801" s="405" t="s">
        <v>32102</v>
      </c>
      <c r="U2801" s="405" t="s">
        <v>319</v>
      </c>
    </row>
    <row r="2802" spans="1:21" x14ac:dyDescent="0.25">
      <c r="A2802" s="405" t="s">
        <v>310</v>
      </c>
      <c r="B2802" s="405" t="s">
        <v>23716</v>
      </c>
      <c r="C2802" s="405" t="s">
        <v>311</v>
      </c>
      <c r="D2802" s="405" t="s">
        <v>312</v>
      </c>
      <c r="E2802" s="410">
        <v>43004</v>
      </c>
      <c r="F2802" s="410">
        <v>43021</v>
      </c>
      <c r="G2802" s="405" t="s">
        <v>23717</v>
      </c>
      <c r="H2802" s="405">
        <v>781583750</v>
      </c>
      <c r="I2802" s="405"/>
      <c r="J2802" s="405">
        <v>0.54269999999999996</v>
      </c>
      <c r="K2802" s="405">
        <v>29.455300000000001</v>
      </c>
      <c r="L2802" s="405" t="s">
        <v>590</v>
      </c>
      <c r="M2802" s="405" t="s">
        <v>20808</v>
      </c>
      <c r="N2802" s="405" t="s">
        <v>23495</v>
      </c>
      <c r="O2802" s="405" t="s">
        <v>23495</v>
      </c>
      <c r="P2802" s="405" t="s">
        <v>23718</v>
      </c>
      <c r="Q2802" s="411">
        <v>9</v>
      </c>
      <c r="R2802" s="405" t="s">
        <v>6572</v>
      </c>
      <c r="S2802" s="405" t="s">
        <v>27154</v>
      </c>
      <c r="T2802" s="405" t="s">
        <v>32102</v>
      </c>
      <c r="U2802" s="405" t="s">
        <v>319</v>
      </c>
    </row>
    <row r="2803" spans="1:21" x14ac:dyDescent="0.25">
      <c r="A2803" s="405" t="s">
        <v>310</v>
      </c>
      <c r="B2803" s="405" t="s">
        <v>23476</v>
      </c>
      <c r="C2803" s="405" t="s">
        <v>327</v>
      </c>
      <c r="D2803" s="405"/>
      <c r="E2803" s="410">
        <v>43003</v>
      </c>
      <c r="F2803" s="410">
        <v>43032</v>
      </c>
      <c r="G2803" s="405" t="s">
        <v>23477</v>
      </c>
      <c r="H2803" s="405">
        <v>783034709</v>
      </c>
      <c r="I2803" s="405"/>
      <c r="J2803" s="405">
        <v>0.15281800000000001</v>
      </c>
      <c r="K2803" s="405">
        <v>30.463553000000001</v>
      </c>
      <c r="L2803" s="405" t="s">
        <v>590</v>
      </c>
      <c r="M2803" s="405" t="s">
        <v>19720</v>
      </c>
      <c r="N2803" s="405" t="s">
        <v>7352</v>
      </c>
      <c r="O2803" s="405" t="s">
        <v>19720</v>
      </c>
      <c r="P2803" s="405" t="s">
        <v>23478</v>
      </c>
      <c r="Q2803" s="411">
        <v>9</v>
      </c>
      <c r="R2803" s="405" t="s">
        <v>6013</v>
      </c>
      <c r="S2803" s="405" t="s">
        <v>27264</v>
      </c>
      <c r="T2803" s="405" t="s">
        <v>32102</v>
      </c>
      <c r="U2803" s="405" t="s">
        <v>319</v>
      </c>
    </row>
    <row r="2804" spans="1:21" x14ac:dyDescent="0.25">
      <c r="A2804" s="405" t="s">
        <v>310</v>
      </c>
      <c r="B2804" s="405" t="s">
        <v>23493</v>
      </c>
      <c r="C2804" s="405" t="s">
        <v>327</v>
      </c>
      <c r="D2804" s="405"/>
      <c r="E2804" s="410">
        <v>43000</v>
      </c>
      <c r="F2804" s="410">
        <v>43025</v>
      </c>
      <c r="G2804" s="405" t="s">
        <v>23494</v>
      </c>
      <c r="H2804" s="405">
        <v>773827099</v>
      </c>
      <c r="I2804" s="405">
        <v>772950547</v>
      </c>
      <c r="J2804" s="405">
        <v>0.52510000000000001</v>
      </c>
      <c r="K2804" s="405">
        <v>29.4633</v>
      </c>
      <c r="L2804" s="405" t="s">
        <v>590</v>
      </c>
      <c r="M2804" s="405" t="s">
        <v>20808</v>
      </c>
      <c r="N2804" s="405" t="s">
        <v>20809</v>
      </c>
      <c r="O2804" s="405" t="s">
        <v>23495</v>
      </c>
      <c r="P2804" s="405" t="s">
        <v>23391</v>
      </c>
      <c r="Q2804" s="411">
        <v>9</v>
      </c>
      <c r="R2804" s="405" t="s">
        <v>6572</v>
      </c>
      <c r="S2804" s="405" t="s">
        <v>27166</v>
      </c>
      <c r="T2804" s="405" t="s">
        <v>32102</v>
      </c>
      <c r="U2804" s="405" t="s">
        <v>319</v>
      </c>
    </row>
    <row r="2805" spans="1:21" x14ac:dyDescent="0.25">
      <c r="A2805" s="405" t="s">
        <v>310</v>
      </c>
      <c r="B2805" s="405" t="s">
        <v>15949</v>
      </c>
      <c r="C2805" s="405" t="s">
        <v>327</v>
      </c>
      <c r="D2805" s="405"/>
      <c r="E2805" s="410">
        <v>42998</v>
      </c>
      <c r="F2805" s="410">
        <v>43043</v>
      </c>
      <c r="G2805" s="405" t="s">
        <v>15950</v>
      </c>
      <c r="H2805" s="405">
        <v>789427889</v>
      </c>
      <c r="I2805" s="405">
        <v>254714997632</v>
      </c>
      <c r="J2805" s="405">
        <v>1.932456</v>
      </c>
      <c r="K2805" s="405">
        <v>34.907657</v>
      </c>
      <c r="L2805" s="405" t="s">
        <v>6866</v>
      </c>
      <c r="M2805" s="405" t="s">
        <v>9514</v>
      </c>
      <c r="N2805" s="405" t="s">
        <v>9529</v>
      </c>
      <c r="O2805" s="405" t="s">
        <v>9608</v>
      </c>
      <c r="P2805" s="405" t="s">
        <v>15951</v>
      </c>
      <c r="Q2805" s="411">
        <v>6</v>
      </c>
      <c r="R2805" s="405" t="s">
        <v>7224</v>
      </c>
      <c r="S2805" s="405" t="s">
        <v>27259</v>
      </c>
      <c r="T2805" s="405" t="s">
        <v>32102</v>
      </c>
      <c r="U2805" s="405" t="s">
        <v>319</v>
      </c>
    </row>
    <row r="2806" spans="1:21" x14ac:dyDescent="0.25">
      <c r="A2806" s="405" t="s">
        <v>310</v>
      </c>
      <c r="B2806" s="405" t="s">
        <v>6529</v>
      </c>
      <c r="C2806" s="405" t="s">
        <v>327</v>
      </c>
      <c r="D2806" s="405"/>
      <c r="E2806" s="410">
        <v>42998</v>
      </c>
      <c r="F2806" s="410">
        <v>43043</v>
      </c>
      <c r="G2806" s="405" t="s">
        <v>6530</v>
      </c>
      <c r="H2806" s="405">
        <v>752418371</v>
      </c>
      <c r="I2806" s="405"/>
      <c r="J2806" s="405">
        <v>0.23735000000000001</v>
      </c>
      <c r="K2806" s="405">
        <v>32.495061999999997</v>
      </c>
      <c r="L2806" s="405" t="s">
        <v>314</v>
      </c>
      <c r="M2806" s="405" t="s">
        <v>361</v>
      </c>
      <c r="N2806" s="405" t="s">
        <v>6357</v>
      </c>
      <c r="O2806" s="405" t="s">
        <v>6531</v>
      </c>
      <c r="P2806" s="405" t="s">
        <v>6362</v>
      </c>
      <c r="Q2806" s="411">
        <v>6</v>
      </c>
      <c r="R2806" s="405" t="s">
        <v>4176</v>
      </c>
      <c r="S2806" s="405" t="s">
        <v>27053</v>
      </c>
      <c r="T2806" s="405" t="s">
        <v>32102</v>
      </c>
      <c r="U2806" s="405" t="s">
        <v>319</v>
      </c>
    </row>
    <row r="2807" spans="1:21" x14ac:dyDescent="0.25">
      <c r="A2807" s="405" t="s">
        <v>310</v>
      </c>
      <c r="B2807" s="405" t="s">
        <v>6545</v>
      </c>
      <c r="C2807" s="405" t="s">
        <v>327</v>
      </c>
      <c r="D2807" s="405"/>
      <c r="E2807" s="410">
        <v>42998</v>
      </c>
      <c r="F2807" s="410">
        <v>43043</v>
      </c>
      <c r="G2807" s="405" t="s">
        <v>6546</v>
      </c>
      <c r="H2807" s="405">
        <v>755379079</v>
      </c>
      <c r="I2807" s="405">
        <v>775379079</v>
      </c>
      <c r="J2807" s="405">
        <v>0.20016500000000001</v>
      </c>
      <c r="K2807" s="405">
        <v>32.147616999999997</v>
      </c>
      <c r="L2807" s="405" t="s">
        <v>314</v>
      </c>
      <c r="M2807" s="405" t="s">
        <v>321</v>
      </c>
      <c r="N2807" s="405" t="s">
        <v>1244</v>
      </c>
      <c r="O2807" s="405" t="s">
        <v>523</v>
      </c>
      <c r="P2807" s="405" t="s">
        <v>6547</v>
      </c>
      <c r="Q2807" s="411">
        <v>6</v>
      </c>
      <c r="R2807" s="405" t="s">
        <v>32101</v>
      </c>
      <c r="S2807" s="405" t="s">
        <v>27193</v>
      </c>
      <c r="T2807" s="405" t="s">
        <v>32102</v>
      </c>
      <c r="U2807" s="405" t="s">
        <v>319</v>
      </c>
    </row>
    <row r="2808" spans="1:21" x14ac:dyDescent="0.25">
      <c r="A2808" s="405" t="s">
        <v>310</v>
      </c>
      <c r="B2808" s="405" t="s">
        <v>23509</v>
      </c>
      <c r="C2808" s="405" t="s">
        <v>327</v>
      </c>
      <c r="D2808" s="405"/>
      <c r="E2808" s="410">
        <v>42996</v>
      </c>
      <c r="F2808" s="410">
        <v>43033</v>
      </c>
      <c r="G2808" s="405" t="s">
        <v>23510</v>
      </c>
      <c r="H2808" s="405">
        <v>782410659</v>
      </c>
      <c r="I2808" s="405">
        <v>755055400</v>
      </c>
      <c r="J2808" s="405">
        <v>0.62803699999999996</v>
      </c>
      <c r="K2808" s="405">
        <v>29.850069999999999</v>
      </c>
      <c r="L2808" s="405" t="s">
        <v>590</v>
      </c>
      <c r="M2808" s="405" t="s">
        <v>19619</v>
      </c>
      <c r="N2808" s="405" t="s">
        <v>19793</v>
      </c>
      <c r="O2808" s="405" t="s">
        <v>23511</v>
      </c>
      <c r="P2808" s="405" t="s">
        <v>23512</v>
      </c>
      <c r="Q2808" s="411">
        <v>9</v>
      </c>
      <c r="R2808" s="405" t="s">
        <v>5858</v>
      </c>
      <c r="S2808" s="405" t="s">
        <v>27257</v>
      </c>
      <c r="T2808" s="405" t="s">
        <v>32102</v>
      </c>
      <c r="U2808" s="405" t="s">
        <v>319</v>
      </c>
    </row>
    <row r="2809" spans="1:21" x14ac:dyDescent="0.25">
      <c r="A2809" s="405" t="s">
        <v>310</v>
      </c>
      <c r="B2809" s="405" t="s">
        <v>6452</v>
      </c>
      <c r="C2809" s="405" t="s">
        <v>327</v>
      </c>
      <c r="D2809" s="405"/>
      <c r="E2809" s="410">
        <v>42996</v>
      </c>
      <c r="F2809" s="410">
        <v>43008</v>
      </c>
      <c r="G2809" s="405" t="s">
        <v>6453</v>
      </c>
      <c r="H2809" s="405">
        <v>777503465</v>
      </c>
      <c r="I2809" s="405"/>
      <c r="J2809" s="405">
        <v>0.66879500000000003</v>
      </c>
      <c r="K2809" s="405">
        <v>31.976665000000001</v>
      </c>
      <c r="L2809" s="405" t="s">
        <v>314</v>
      </c>
      <c r="M2809" s="405" t="s">
        <v>2537</v>
      </c>
      <c r="N2809" s="405" t="s">
        <v>6454</v>
      </c>
      <c r="O2809" s="405" t="s">
        <v>6455</v>
      </c>
      <c r="P2809" s="405" t="s">
        <v>6456</v>
      </c>
      <c r="Q2809" s="411">
        <v>6</v>
      </c>
      <c r="R2809" s="405" t="s">
        <v>32101</v>
      </c>
      <c r="S2809" s="405" t="s">
        <v>27256</v>
      </c>
      <c r="T2809" s="405" t="s">
        <v>32102</v>
      </c>
      <c r="U2809" s="405" t="s">
        <v>319</v>
      </c>
    </row>
    <row r="2810" spans="1:21" x14ac:dyDescent="0.25">
      <c r="A2810" s="405" t="s">
        <v>310</v>
      </c>
      <c r="B2810" s="405" t="s">
        <v>6510</v>
      </c>
      <c r="C2810" s="405" t="s">
        <v>327</v>
      </c>
      <c r="D2810" s="405"/>
      <c r="E2810" s="410">
        <v>42994</v>
      </c>
      <c r="F2810" s="410">
        <v>43018</v>
      </c>
      <c r="G2810" s="405" t="s">
        <v>6511</v>
      </c>
      <c r="H2810" s="405">
        <v>774692891</v>
      </c>
      <c r="I2810" s="405"/>
      <c r="J2810" s="405">
        <v>0.13420000000000001</v>
      </c>
      <c r="K2810" s="405">
        <v>32.141100000000002</v>
      </c>
      <c r="L2810" s="405" t="s">
        <v>314</v>
      </c>
      <c r="M2810" s="405" t="s">
        <v>321</v>
      </c>
      <c r="N2810" s="405" t="s">
        <v>6512</v>
      </c>
      <c r="O2810" s="405" t="s">
        <v>5626</v>
      </c>
      <c r="P2810" s="405" t="s">
        <v>6513</v>
      </c>
      <c r="Q2810" s="411">
        <v>9</v>
      </c>
      <c r="R2810" s="405" t="s">
        <v>414</v>
      </c>
      <c r="S2810" s="405" t="s">
        <v>414</v>
      </c>
      <c r="T2810" s="405" t="s">
        <v>32102</v>
      </c>
      <c r="U2810" s="405" t="s">
        <v>319</v>
      </c>
    </row>
    <row r="2811" spans="1:21" x14ac:dyDescent="0.25">
      <c r="A2811" s="405" t="s">
        <v>310</v>
      </c>
      <c r="B2811" s="405" t="s">
        <v>15913</v>
      </c>
      <c r="C2811" s="405" t="s">
        <v>327</v>
      </c>
      <c r="D2811" s="405"/>
      <c r="E2811" s="410">
        <v>42994</v>
      </c>
      <c r="F2811" s="410">
        <v>42998</v>
      </c>
      <c r="G2811" s="405" t="s">
        <v>15914</v>
      </c>
      <c r="H2811" s="405">
        <v>772873486</v>
      </c>
      <c r="I2811" s="405">
        <v>702873486</v>
      </c>
      <c r="J2811" s="405">
        <v>1.021415</v>
      </c>
      <c r="K2811" s="405">
        <v>33.055838000000001</v>
      </c>
      <c r="L2811" s="405" t="s">
        <v>6866</v>
      </c>
      <c r="M2811" s="405" t="s">
        <v>3009</v>
      </c>
      <c r="N2811" s="405" t="s">
        <v>15915</v>
      </c>
      <c r="O2811" s="405" t="s">
        <v>10403</v>
      </c>
      <c r="P2811" s="405" t="s">
        <v>323</v>
      </c>
      <c r="Q2811" s="411">
        <v>6</v>
      </c>
      <c r="R2811" s="405" t="s">
        <v>5921</v>
      </c>
      <c r="S2811" s="405" t="s">
        <v>27255</v>
      </c>
      <c r="T2811" s="405" t="s">
        <v>32102</v>
      </c>
      <c r="U2811" s="405" t="s">
        <v>319</v>
      </c>
    </row>
    <row r="2812" spans="1:21" x14ac:dyDescent="0.25">
      <c r="A2812" s="405" t="s">
        <v>310</v>
      </c>
      <c r="B2812" s="405" t="s">
        <v>6573</v>
      </c>
      <c r="C2812" s="405" t="s">
        <v>327</v>
      </c>
      <c r="D2812" s="405"/>
      <c r="E2812" s="410">
        <v>42993</v>
      </c>
      <c r="F2812" s="410">
        <v>43100</v>
      </c>
      <c r="G2812" s="405" t="s">
        <v>6574</v>
      </c>
      <c r="H2812" s="405">
        <v>752642476</v>
      </c>
      <c r="I2812" s="405"/>
      <c r="J2812" s="405">
        <v>1.0252870000000001</v>
      </c>
      <c r="K2812" s="405">
        <v>30.177848000000001</v>
      </c>
      <c r="L2812" s="405" t="s">
        <v>314</v>
      </c>
      <c r="M2812" s="405" t="s">
        <v>361</v>
      </c>
      <c r="N2812" s="405" t="s">
        <v>433</v>
      </c>
      <c r="O2812" s="405" t="s">
        <v>433</v>
      </c>
      <c r="P2812" s="405" t="s">
        <v>1354</v>
      </c>
      <c r="Q2812" s="411">
        <v>6</v>
      </c>
      <c r="R2812" s="405" t="s">
        <v>32166</v>
      </c>
      <c r="S2812" s="405" t="s">
        <v>27132</v>
      </c>
      <c r="T2812" s="405" t="s">
        <v>32102</v>
      </c>
      <c r="U2812" s="405" t="s">
        <v>319</v>
      </c>
    </row>
    <row r="2813" spans="1:21" x14ac:dyDescent="0.25">
      <c r="A2813" s="405" t="s">
        <v>310</v>
      </c>
      <c r="B2813" s="405" t="s">
        <v>6443</v>
      </c>
      <c r="C2813" s="405" t="s">
        <v>327</v>
      </c>
      <c r="D2813" s="405"/>
      <c r="E2813" s="410">
        <v>42993</v>
      </c>
      <c r="F2813" s="410">
        <v>43008</v>
      </c>
      <c r="G2813" s="405" t="s">
        <v>6444</v>
      </c>
      <c r="H2813" s="405">
        <v>772433122</v>
      </c>
      <c r="I2813" s="405"/>
      <c r="J2813" s="405">
        <v>0.60850199999999999</v>
      </c>
      <c r="K2813" s="405">
        <v>32.759143000000002</v>
      </c>
      <c r="L2813" s="405" t="s">
        <v>314</v>
      </c>
      <c r="M2813" s="405" t="s">
        <v>349</v>
      </c>
      <c r="N2813" s="405" t="s">
        <v>528</v>
      </c>
      <c r="O2813" s="405" t="s">
        <v>6111</v>
      </c>
      <c r="P2813" s="405" t="s">
        <v>6445</v>
      </c>
      <c r="Q2813" s="411">
        <v>6</v>
      </c>
      <c r="R2813" s="405" t="s">
        <v>5921</v>
      </c>
      <c r="S2813" s="405" t="s">
        <v>27255</v>
      </c>
      <c r="T2813" s="405" t="s">
        <v>32102</v>
      </c>
      <c r="U2813" s="405" t="s">
        <v>319</v>
      </c>
    </row>
    <row r="2814" spans="1:21" x14ac:dyDescent="0.25">
      <c r="A2814" s="405" t="s">
        <v>310</v>
      </c>
      <c r="B2814" s="405" t="s">
        <v>23486</v>
      </c>
      <c r="C2814" s="405" t="s">
        <v>327</v>
      </c>
      <c r="D2814" s="405"/>
      <c r="E2814" s="410">
        <v>42992</v>
      </c>
      <c r="F2814" s="410">
        <v>43037</v>
      </c>
      <c r="G2814" s="405" t="s">
        <v>23487</v>
      </c>
      <c r="H2814" s="405">
        <v>772317342</v>
      </c>
      <c r="I2814" s="405">
        <v>702230463</v>
      </c>
      <c r="J2814" s="405">
        <v>0.63846899999999995</v>
      </c>
      <c r="K2814" s="405">
        <v>30.573059000000001</v>
      </c>
      <c r="L2814" s="405" t="s">
        <v>590</v>
      </c>
      <c r="M2814" s="405" t="s">
        <v>19614</v>
      </c>
      <c r="N2814" s="405" t="s">
        <v>19911</v>
      </c>
      <c r="O2814" s="405" t="s">
        <v>19914</v>
      </c>
      <c r="P2814" s="405" t="s">
        <v>19875</v>
      </c>
      <c r="Q2814" s="411">
        <v>13</v>
      </c>
      <c r="R2814" s="405" t="s">
        <v>883</v>
      </c>
      <c r="S2814" s="405" t="s">
        <v>27104</v>
      </c>
      <c r="T2814" s="405" t="s">
        <v>32102</v>
      </c>
      <c r="U2814" s="405" t="s">
        <v>319</v>
      </c>
    </row>
    <row r="2815" spans="1:21" x14ac:dyDescent="0.25">
      <c r="A2815" s="405" t="s">
        <v>310</v>
      </c>
      <c r="B2815" s="405" t="s">
        <v>23505</v>
      </c>
      <c r="C2815" s="405" t="s">
        <v>327</v>
      </c>
      <c r="D2815" s="405"/>
      <c r="E2815" s="410">
        <v>42992</v>
      </c>
      <c r="F2815" s="410">
        <v>43031</v>
      </c>
      <c r="G2815" s="405" t="s">
        <v>23506</v>
      </c>
      <c r="H2815" s="405">
        <v>705468129</v>
      </c>
      <c r="I2815" s="405">
        <v>780361144</v>
      </c>
      <c r="J2815" s="405">
        <v>0.82147700000000001</v>
      </c>
      <c r="K2815" s="405">
        <v>30.135995000000001</v>
      </c>
      <c r="L2815" s="405" t="s">
        <v>590</v>
      </c>
      <c r="M2815" s="405" t="s">
        <v>19659</v>
      </c>
      <c r="N2815" s="405" t="s">
        <v>19604</v>
      </c>
      <c r="O2815" s="405" t="s">
        <v>23507</v>
      </c>
      <c r="P2815" s="405" t="s">
        <v>23508</v>
      </c>
      <c r="Q2815" s="411">
        <v>6</v>
      </c>
      <c r="R2815" s="405" t="s">
        <v>5858</v>
      </c>
      <c r="S2815" s="405" t="s">
        <v>27408</v>
      </c>
      <c r="T2815" s="405" t="s">
        <v>32102</v>
      </c>
      <c r="U2815" s="405" t="s">
        <v>319</v>
      </c>
    </row>
    <row r="2816" spans="1:21" x14ac:dyDescent="0.25">
      <c r="A2816" s="405" t="s">
        <v>310</v>
      </c>
      <c r="B2816" s="405" t="s">
        <v>23553</v>
      </c>
      <c r="C2816" s="405" t="s">
        <v>327</v>
      </c>
      <c r="D2816" s="405"/>
      <c r="E2816" s="410">
        <v>42991</v>
      </c>
      <c r="F2816" s="410">
        <v>43048</v>
      </c>
      <c r="G2816" s="405" t="s">
        <v>23554</v>
      </c>
      <c r="H2816" s="405">
        <v>772327512</v>
      </c>
      <c r="I2816" s="405"/>
      <c r="J2816" s="405">
        <v>-0.87485199999999996</v>
      </c>
      <c r="K2816" s="405">
        <v>29.822929999999999</v>
      </c>
      <c r="L2816" s="405" t="s">
        <v>590</v>
      </c>
      <c r="M2816" s="405" t="s">
        <v>20808</v>
      </c>
      <c r="N2816" s="405" t="s">
        <v>23555</v>
      </c>
      <c r="O2816" s="405" t="s">
        <v>23326</v>
      </c>
      <c r="P2816" s="405" t="s">
        <v>23556</v>
      </c>
      <c r="Q2816" s="411">
        <v>6</v>
      </c>
      <c r="R2816" s="405" t="s">
        <v>6572</v>
      </c>
      <c r="S2816" s="405" t="s">
        <v>27166</v>
      </c>
      <c r="T2816" s="405" t="s">
        <v>32102</v>
      </c>
      <c r="U2816" s="405" t="s">
        <v>319</v>
      </c>
    </row>
    <row r="2817" spans="1:21" x14ac:dyDescent="0.25">
      <c r="A2817" s="405" t="s">
        <v>310</v>
      </c>
      <c r="B2817" s="405" t="s">
        <v>6505</v>
      </c>
      <c r="C2817" s="405" t="s">
        <v>327</v>
      </c>
      <c r="D2817" s="405"/>
      <c r="E2817" s="410">
        <v>42990</v>
      </c>
      <c r="F2817" s="410">
        <v>43038</v>
      </c>
      <c r="G2817" s="405" t="s">
        <v>6506</v>
      </c>
      <c r="H2817" s="405">
        <v>787979186</v>
      </c>
      <c r="I2817" s="405">
        <v>782454235</v>
      </c>
      <c r="J2817" s="405">
        <v>0.11705</v>
      </c>
      <c r="K2817" s="405">
        <v>32.245175000000003</v>
      </c>
      <c r="L2817" s="405" t="s">
        <v>314</v>
      </c>
      <c r="M2817" s="405" t="s">
        <v>321</v>
      </c>
      <c r="N2817" s="405" t="s">
        <v>1244</v>
      </c>
      <c r="O2817" s="405" t="s">
        <v>5626</v>
      </c>
      <c r="P2817" s="405" t="s">
        <v>6507</v>
      </c>
      <c r="Q2817" s="411">
        <v>9</v>
      </c>
      <c r="R2817" s="405" t="s">
        <v>32101</v>
      </c>
      <c r="S2817" s="405" t="s">
        <v>27041</v>
      </c>
      <c r="T2817" s="405" t="s">
        <v>32102</v>
      </c>
      <c r="U2817" s="405" t="s">
        <v>319</v>
      </c>
    </row>
    <row r="2818" spans="1:21" x14ac:dyDescent="0.25">
      <c r="A2818" s="405" t="s">
        <v>310</v>
      </c>
      <c r="B2818" s="405" t="s">
        <v>6516</v>
      </c>
      <c r="C2818" s="405" t="s">
        <v>327</v>
      </c>
      <c r="D2818" s="405"/>
      <c r="E2818" s="410">
        <v>42990</v>
      </c>
      <c r="F2818" s="410">
        <v>43035</v>
      </c>
      <c r="G2818" s="405" t="s">
        <v>6517</v>
      </c>
      <c r="H2818" s="405">
        <v>703433122</v>
      </c>
      <c r="I2818" s="405" t="s">
        <v>6518</v>
      </c>
      <c r="J2818" s="405">
        <v>0.60856500000000002</v>
      </c>
      <c r="K2818" s="405">
        <v>32.759208000000001</v>
      </c>
      <c r="L2818" s="405" t="s">
        <v>314</v>
      </c>
      <c r="M2818" s="405" t="s">
        <v>361</v>
      </c>
      <c r="N2818" s="405" t="s">
        <v>6072</v>
      </c>
      <c r="O2818" s="405" t="s">
        <v>6072</v>
      </c>
      <c r="P2818" s="405" t="s">
        <v>6072</v>
      </c>
      <c r="Q2818" s="411">
        <v>6</v>
      </c>
      <c r="R2818" s="405" t="s">
        <v>5921</v>
      </c>
      <c r="S2818" s="405" t="s">
        <v>27255</v>
      </c>
      <c r="T2818" s="405" t="s">
        <v>32102</v>
      </c>
      <c r="U2818" s="405" t="s">
        <v>319</v>
      </c>
    </row>
    <row r="2819" spans="1:21" x14ac:dyDescent="0.25">
      <c r="A2819" s="405" t="s">
        <v>310</v>
      </c>
      <c r="B2819" s="405" t="s">
        <v>6435</v>
      </c>
      <c r="C2819" s="405" t="s">
        <v>327</v>
      </c>
      <c r="D2819" s="405"/>
      <c r="E2819" s="410">
        <v>42989</v>
      </c>
      <c r="F2819" s="410">
        <v>43004</v>
      </c>
      <c r="G2819" s="405" t="s">
        <v>6436</v>
      </c>
      <c r="H2819" s="405">
        <v>789986905</v>
      </c>
      <c r="I2819" s="405">
        <v>704050494</v>
      </c>
      <c r="J2819" s="405">
        <v>0.29235</v>
      </c>
      <c r="K2819" s="405">
        <v>32.446013000000001</v>
      </c>
      <c r="L2819" s="405" t="s">
        <v>314</v>
      </c>
      <c r="M2819" s="405" t="s">
        <v>361</v>
      </c>
      <c r="N2819" s="405" t="s">
        <v>5838</v>
      </c>
      <c r="O2819" s="405" t="s">
        <v>375</v>
      </c>
      <c r="P2819" s="405" t="s">
        <v>814</v>
      </c>
      <c r="Q2819" s="411">
        <v>6</v>
      </c>
      <c r="R2819" s="405" t="s">
        <v>4176</v>
      </c>
      <c r="S2819" s="405" t="s">
        <v>27186</v>
      </c>
      <c r="T2819" s="405" t="s">
        <v>32102</v>
      </c>
      <c r="U2819" s="405" t="s">
        <v>319</v>
      </c>
    </row>
    <row r="2820" spans="1:21" x14ac:dyDescent="0.25">
      <c r="A2820" s="405" t="s">
        <v>310</v>
      </c>
      <c r="B2820" s="405" t="s">
        <v>15944</v>
      </c>
      <c r="C2820" s="405" t="s">
        <v>327</v>
      </c>
      <c r="D2820" s="405"/>
      <c r="E2820" s="410">
        <v>42988</v>
      </c>
      <c r="F2820" s="410">
        <v>43033</v>
      </c>
      <c r="G2820" s="405" t="s">
        <v>15945</v>
      </c>
      <c r="H2820" s="405">
        <v>756262222</v>
      </c>
      <c r="I2820" s="405">
        <v>788337279</v>
      </c>
      <c r="J2820" s="405">
        <v>2.9812219999999998</v>
      </c>
      <c r="K2820" s="405">
        <v>34.137888799999999</v>
      </c>
      <c r="L2820" s="405" t="s">
        <v>6866</v>
      </c>
      <c r="M2820" s="405" t="s">
        <v>15946</v>
      </c>
      <c r="N2820" s="405" t="s">
        <v>15946</v>
      </c>
      <c r="O2820" s="405" t="s">
        <v>15946</v>
      </c>
      <c r="P2820" s="405" t="s">
        <v>15946</v>
      </c>
      <c r="Q2820" s="411">
        <v>6</v>
      </c>
      <c r="R2820" s="405" t="s">
        <v>5921</v>
      </c>
      <c r="S2820" s="405" t="s">
        <v>27255</v>
      </c>
      <c r="T2820" s="405" t="s">
        <v>32102</v>
      </c>
      <c r="U2820" s="405" t="s">
        <v>319</v>
      </c>
    </row>
    <row r="2821" spans="1:21" x14ac:dyDescent="0.25">
      <c r="A2821" s="405" t="s">
        <v>310</v>
      </c>
      <c r="B2821" s="405" t="s">
        <v>6514</v>
      </c>
      <c r="C2821" s="405" t="s">
        <v>327</v>
      </c>
      <c r="D2821" s="405"/>
      <c r="E2821" s="410">
        <v>42987</v>
      </c>
      <c r="F2821" s="410">
        <v>43019</v>
      </c>
      <c r="G2821" s="405" t="s">
        <v>6515</v>
      </c>
      <c r="H2821" s="405">
        <v>256751325801</v>
      </c>
      <c r="I2821" s="405"/>
      <c r="J2821" s="405">
        <v>0.181343</v>
      </c>
      <c r="K2821" s="405">
        <v>31.850565</v>
      </c>
      <c r="L2821" s="405" t="s">
        <v>314</v>
      </c>
      <c r="M2821" s="405" t="s">
        <v>900</v>
      </c>
      <c r="N2821" s="405" t="s">
        <v>1302</v>
      </c>
      <c r="O2821" s="405" t="s">
        <v>1302</v>
      </c>
      <c r="P2821" s="405" t="s">
        <v>1302</v>
      </c>
      <c r="Q2821" s="411">
        <v>6</v>
      </c>
      <c r="R2821" s="405" t="s">
        <v>5986</v>
      </c>
      <c r="S2821" s="405" t="s">
        <v>5986</v>
      </c>
      <c r="T2821" s="405" t="s">
        <v>32102</v>
      </c>
      <c r="U2821" s="405" t="s">
        <v>319</v>
      </c>
    </row>
    <row r="2822" spans="1:21" x14ac:dyDescent="0.25">
      <c r="A2822" s="405" t="s">
        <v>310</v>
      </c>
      <c r="B2822" s="405" t="s">
        <v>6494</v>
      </c>
      <c r="C2822" s="405" t="s">
        <v>327</v>
      </c>
      <c r="D2822" s="405"/>
      <c r="E2822" s="410">
        <v>42987</v>
      </c>
      <c r="F2822" s="410">
        <v>43018</v>
      </c>
      <c r="G2822" s="405" t="s">
        <v>6495</v>
      </c>
      <c r="H2822" s="405">
        <v>772043314</v>
      </c>
      <c r="I2822" s="405"/>
      <c r="J2822" s="405">
        <v>0.40739500000000001</v>
      </c>
      <c r="K2822" s="405">
        <v>32.686897000000002</v>
      </c>
      <c r="L2822" s="405" t="s">
        <v>314</v>
      </c>
      <c r="M2822" s="405" t="s">
        <v>349</v>
      </c>
      <c r="N2822" s="405" t="s">
        <v>330</v>
      </c>
      <c r="O2822" s="405" t="s">
        <v>600</v>
      </c>
      <c r="P2822" s="405" t="s">
        <v>2749</v>
      </c>
      <c r="Q2822" s="411">
        <v>6</v>
      </c>
      <c r="R2822" s="405" t="s">
        <v>5921</v>
      </c>
      <c r="S2822" s="405" t="s">
        <v>27255</v>
      </c>
      <c r="T2822" s="405" t="s">
        <v>32102</v>
      </c>
      <c r="U2822" s="405" t="s">
        <v>319</v>
      </c>
    </row>
    <row r="2823" spans="1:21" x14ac:dyDescent="0.25">
      <c r="A2823" s="405" t="s">
        <v>310</v>
      </c>
      <c r="B2823" s="405" t="s">
        <v>15910</v>
      </c>
      <c r="C2823" s="405" t="s">
        <v>327</v>
      </c>
      <c r="D2823" s="405"/>
      <c r="E2823" s="410">
        <v>42987</v>
      </c>
      <c r="F2823" s="410">
        <v>42995</v>
      </c>
      <c r="G2823" s="405" t="s">
        <v>15911</v>
      </c>
      <c r="H2823" s="405">
        <v>702542265</v>
      </c>
      <c r="I2823" s="405">
        <v>702542265</v>
      </c>
      <c r="J2823" s="405">
        <v>0.803087</v>
      </c>
      <c r="K2823" s="405">
        <v>33.124952999999998</v>
      </c>
      <c r="L2823" s="405" t="s">
        <v>6866</v>
      </c>
      <c r="M2823" s="405" t="s">
        <v>3009</v>
      </c>
      <c r="N2823" s="405" t="s">
        <v>9842</v>
      </c>
      <c r="O2823" s="405" t="s">
        <v>12865</v>
      </c>
      <c r="P2823" s="405" t="s">
        <v>15912</v>
      </c>
      <c r="Q2823" s="411">
        <v>6</v>
      </c>
      <c r="R2823" s="405" t="s">
        <v>5921</v>
      </c>
      <c r="S2823" s="405" t="s">
        <v>27255</v>
      </c>
      <c r="T2823" s="405" t="s">
        <v>32102</v>
      </c>
      <c r="U2823" s="405" t="s">
        <v>319</v>
      </c>
    </row>
    <row r="2824" spans="1:21" x14ac:dyDescent="0.25">
      <c r="A2824" s="405" t="s">
        <v>310</v>
      </c>
      <c r="B2824" s="405" t="s">
        <v>23496</v>
      </c>
      <c r="C2824" s="405" t="s">
        <v>327</v>
      </c>
      <c r="D2824" s="405"/>
      <c r="E2824" s="410">
        <v>42986</v>
      </c>
      <c r="F2824" s="410">
        <v>43025</v>
      </c>
      <c r="G2824" s="405" t="s">
        <v>23497</v>
      </c>
      <c r="H2824" s="405">
        <v>774795093</v>
      </c>
      <c r="I2824" s="405"/>
      <c r="J2824" s="405">
        <v>0.52190000000000003</v>
      </c>
      <c r="K2824" s="405">
        <v>29.382300000000001</v>
      </c>
      <c r="L2824" s="405" t="s">
        <v>590</v>
      </c>
      <c r="M2824" s="405" t="s">
        <v>20808</v>
      </c>
      <c r="N2824" s="405" t="s">
        <v>23490</v>
      </c>
      <c r="O2824" s="405" t="s">
        <v>22090</v>
      </c>
      <c r="P2824" s="405" t="s">
        <v>23498</v>
      </c>
      <c r="Q2824" s="411">
        <v>9</v>
      </c>
      <c r="R2824" s="405" t="s">
        <v>6572</v>
      </c>
      <c r="S2824" s="405" t="s">
        <v>27154</v>
      </c>
      <c r="T2824" s="405" t="s">
        <v>32102</v>
      </c>
      <c r="U2824" s="405" t="s">
        <v>319</v>
      </c>
    </row>
    <row r="2825" spans="1:21" x14ac:dyDescent="0.25">
      <c r="A2825" s="405" t="s">
        <v>310</v>
      </c>
      <c r="B2825" s="405" t="s">
        <v>23484</v>
      </c>
      <c r="C2825" s="405" t="s">
        <v>327</v>
      </c>
      <c r="D2825" s="405"/>
      <c r="E2825" s="410">
        <v>42986</v>
      </c>
      <c r="F2825" s="410">
        <v>43023</v>
      </c>
      <c r="G2825" s="405" t="s">
        <v>23485</v>
      </c>
      <c r="H2825" s="405">
        <v>772391617</v>
      </c>
      <c r="I2825" s="405">
        <v>772498657</v>
      </c>
      <c r="J2825" s="405">
        <v>0.63776699999999997</v>
      </c>
      <c r="K2825" s="405">
        <v>30.679482</v>
      </c>
      <c r="L2825" s="405" t="s">
        <v>590</v>
      </c>
      <c r="M2825" s="405" t="s">
        <v>879</v>
      </c>
      <c r="N2825" s="405" t="s">
        <v>880</v>
      </c>
      <c r="O2825" s="405" t="s">
        <v>881</v>
      </c>
      <c r="P2825" s="405" t="s">
        <v>22249</v>
      </c>
      <c r="Q2825" s="411">
        <v>9</v>
      </c>
      <c r="R2825" s="405" t="s">
        <v>883</v>
      </c>
      <c r="S2825" s="405" t="s">
        <v>27104</v>
      </c>
      <c r="T2825" s="405" t="s">
        <v>32102</v>
      </c>
      <c r="U2825" s="405" t="s">
        <v>319</v>
      </c>
    </row>
    <row r="2826" spans="1:21" x14ac:dyDescent="0.25">
      <c r="A2826" s="405" t="s">
        <v>310</v>
      </c>
      <c r="B2826" s="405" t="s">
        <v>7174</v>
      </c>
      <c r="C2826" s="405" t="s">
        <v>311</v>
      </c>
      <c r="D2826" s="405" t="s">
        <v>1789</v>
      </c>
      <c r="E2826" s="410">
        <v>42982</v>
      </c>
      <c r="F2826" s="410">
        <v>43088</v>
      </c>
      <c r="G2826" s="405" t="s">
        <v>7175</v>
      </c>
      <c r="H2826" s="405">
        <v>774187171</v>
      </c>
      <c r="I2826" s="405">
        <v>700429498</v>
      </c>
      <c r="J2826" s="405">
        <v>0.45902999999999999</v>
      </c>
      <c r="K2826" s="405">
        <v>31.353207999999999</v>
      </c>
      <c r="L2826" s="405" t="s">
        <v>314</v>
      </c>
      <c r="M2826" s="405" t="s">
        <v>445</v>
      </c>
      <c r="N2826" s="405" t="s">
        <v>7176</v>
      </c>
      <c r="O2826" s="405" t="s">
        <v>7176</v>
      </c>
      <c r="P2826" s="405" t="s">
        <v>7176</v>
      </c>
      <c r="Q2826" s="411">
        <v>6</v>
      </c>
      <c r="R2826" s="405" t="s">
        <v>4176</v>
      </c>
      <c r="S2826" s="405" t="s">
        <v>27186</v>
      </c>
      <c r="T2826" s="405" t="s">
        <v>32102</v>
      </c>
      <c r="U2826" s="405" t="s">
        <v>319</v>
      </c>
    </row>
    <row r="2827" spans="1:21" x14ac:dyDescent="0.25">
      <c r="A2827" s="405" t="s">
        <v>310</v>
      </c>
      <c r="B2827" s="405" t="s">
        <v>23499</v>
      </c>
      <c r="C2827" s="405" t="s">
        <v>327</v>
      </c>
      <c r="D2827" s="405"/>
      <c r="E2827" s="410">
        <v>42981</v>
      </c>
      <c r="F2827" s="410">
        <v>43020</v>
      </c>
      <c r="G2827" s="405" t="s">
        <v>23500</v>
      </c>
      <c r="H2827" s="405">
        <v>772665461</v>
      </c>
      <c r="I2827" s="405">
        <v>752665461</v>
      </c>
      <c r="J2827" s="405">
        <v>0.406667</v>
      </c>
      <c r="K2827" s="405">
        <v>30.503060000000001</v>
      </c>
      <c r="L2827" s="405" t="s">
        <v>590</v>
      </c>
      <c r="M2827" s="405" t="s">
        <v>19614</v>
      </c>
      <c r="N2827" s="405" t="s">
        <v>19615</v>
      </c>
      <c r="O2827" s="405" t="s">
        <v>20188</v>
      </c>
      <c r="P2827" s="405" t="s">
        <v>21305</v>
      </c>
      <c r="Q2827" s="411">
        <v>13</v>
      </c>
      <c r="R2827" s="405" t="s">
        <v>32166</v>
      </c>
      <c r="S2827" s="405" t="s">
        <v>27132</v>
      </c>
      <c r="T2827" s="405" t="s">
        <v>32102</v>
      </c>
      <c r="U2827" s="405" t="s">
        <v>319</v>
      </c>
    </row>
    <row r="2828" spans="1:21" x14ac:dyDescent="0.25">
      <c r="A2828" s="405" t="s">
        <v>310</v>
      </c>
      <c r="B2828" s="405" t="s">
        <v>23488</v>
      </c>
      <c r="C2828" s="405" t="s">
        <v>327</v>
      </c>
      <c r="D2828" s="405"/>
      <c r="E2828" s="410">
        <v>42980</v>
      </c>
      <c r="F2828" s="410">
        <v>43025</v>
      </c>
      <c r="G2828" s="405" t="s">
        <v>23489</v>
      </c>
      <c r="H2828" s="405">
        <v>775703924</v>
      </c>
      <c r="I2828" s="405"/>
      <c r="J2828" s="405">
        <v>0.46479999999999999</v>
      </c>
      <c r="K2828" s="405">
        <v>29.411100000000001</v>
      </c>
      <c r="L2828" s="405" t="s">
        <v>590</v>
      </c>
      <c r="M2828" s="405" t="s">
        <v>20808</v>
      </c>
      <c r="N2828" s="405" t="s">
        <v>23490</v>
      </c>
      <c r="O2828" s="405" t="s">
        <v>23491</v>
      </c>
      <c r="P2828" s="405" t="s">
        <v>23492</v>
      </c>
      <c r="Q2828" s="411">
        <v>6</v>
      </c>
      <c r="R2828" s="405" t="s">
        <v>6572</v>
      </c>
      <c r="S2828" s="405" t="s">
        <v>27166</v>
      </c>
      <c r="T2828" s="405" t="s">
        <v>32102</v>
      </c>
      <c r="U2828" s="405" t="s">
        <v>319</v>
      </c>
    </row>
    <row r="2829" spans="1:21" x14ac:dyDescent="0.25">
      <c r="A2829" s="405" t="s">
        <v>310</v>
      </c>
      <c r="B2829" s="405" t="s">
        <v>23353</v>
      </c>
      <c r="C2829" s="405" t="s">
        <v>327</v>
      </c>
      <c r="D2829" s="405"/>
      <c r="E2829" s="410">
        <v>42978</v>
      </c>
      <c r="F2829" s="410">
        <v>43004</v>
      </c>
      <c r="G2829" s="405" t="s">
        <v>23354</v>
      </c>
      <c r="H2829" s="405">
        <v>782727393</v>
      </c>
      <c r="I2829" s="405">
        <v>703308498</v>
      </c>
      <c r="J2829" s="405">
        <v>0.32100000000000001</v>
      </c>
      <c r="K2829" s="405" t="s">
        <v>23355</v>
      </c>
      <c r="L2829" s="405" t="s">
        <v>590</v>
      </c>
      <c r="M2829" s="405" t="s">
        <v>19614</v>
      </c>
      <c r="N2829" s="405" t="s">
        <v>19615</v>
      </c>
      <c r="O2829" s="405" t="s">
        <v>23356</v>
      </c>
      <c r="P2829" s="405" t="s">
        <v>20882</v>
      </c>
      <c r="Q2829" s="411">
        <v>9</v>
      </c>
      <c r="R2829" s="405" t="s">
        <v>6943</v>
      </c>
      <c r="S2829" s="405" t="s">
        <v>27173</v>
      </c>
      <c r="T2829" s="405" t="s">
        <v>32102</v>
      </c>
      <c r="U2829" s="405" t="s">
        <v>319</v>
      </c>
    </row>
    <row r="2830" spans="1:21" x14ac:dyDescent="0.25">
      <c r="A2830" s="405" t="s">
        <v>310</v>
      </c>
      <c r="B2830" s="405" t="s">
        <v>15938</v>
      </c>
      <c r="C2830" s="405" t="s">
        <v>327</v>
      </c>
      <c r="D2830" s="405"/>
      <c r="E2830" s="410">
        <v>42978</v>
      </c>
      <c r="F2830" s="410">
        <v>43012</v>
      </c>
      <c r="G2830" s="405" t="s">
        <v>15939</v>
      </c>
      <c r="H2830" s="405">
        <v>788982891</v>
      </c>
      <c r="I2830" s="405">
        <v>701982991</v>
      </c>
      <c r="J2830" s="405">
        <v>0.46160000000000001</v>
      </c>
      <c r="K2830" s="405">
        <v>34.110999999999997</v>
      </c>
      <c r="L2830" s="405" t="s">
        <v>6866</v>
      </c>
      <c r="M2830" s="405" t="s">
        <v>9534</v>
      </c>
      <c r="N2830" s="405" t="s">
        <v>10192</v>
      </c>
      <c r="O2830" s="405" t="s">
        <v>10252</v>
      </c>
      <c r="P2830" s="405" t="s">
        <v>15940</v>
      </c>
      <c r="Q2830" s="411">
        <v>6</v>
      </c>
      <c r="R2830" s="405" t="s">
        <v>5655</v>
      </c>
      <c r="S2830" s="405" t="s">
        <v>27259</v>
      </c>
      <c r="T2830" s="405" t="s">
        <v>32102</v>
      </c>
      <c r="U2830" s="405" t="s">
        <v>319</v>
      </c>
    </row>
    <row r="2831" spans="1:21" x14ac:dyDescent="0.25">
      <c r="A2831" s="405" t="s">
        <v>310</v>
      </c>
      <c r="B2831" s="405" t="s">
        <v>15931</v>
      </c>
      <c r="C2831" s="405" t="s">
        <v>327</v>
      </c>
      <c r="D2831" s="405"/>
      <c r="E2831" s="410">
        <v>42977</v>
      </c>
      <c r="F2831" s="410">
        <v>43022</v>
      </c>
      <c r="G2831" s="405" t="s">
        <v>15932</v>
      </c>
      <c r="H2831" s="405">
        <v>777146382</v>
      </c>
      <c r="I2831" s="405"/>
      <c r="J2831" s="405">
        <v>1.360117</v>
      </c>
      <c r="K2831" s="405">
        <v>34.643715</v>
      </c>
      <c r="L2831" s="405" t="s">
        <v>6866</v>
      </c>
      <c r="M2831" s="405" t="s">
        <v>9705</v>
      </c>
      <c r="N2831" s="405" t="s">
        <v>9705</v>
      </c>
      <c r="O2831" s="405" t="s">
        <v>15933</v>
      </c>
      <c r="P2831" s="405" t="s">
        <v>15934</v>
      </c>
      <c r="Q2831" s="411">
        <v>6</v>
      </c>
      <c r="R2831" s="405" t="s">
        <v>9506</v>
      </c>
      <c r="S2831" s="405" t="s">
        <v>27041</v>
      </c>
      <c r="T2831" s="405" t="s">
        <v>32102</v>
      </c>
      <c r="U2831" s="405" t="s">
        <v>319</v>
      </c>
    </row>
    <row r="2832" spans="1:21" x14ac:dyDescent="0.25">
      <c r="A2832" s="405" t="s">
        <v>310</v>
      </c>
      <c r="B2832" s="405" t="s">
        <v>23501</v>
      </c>
      <c r="C2832" s="405" t="s">
        <v>327</v>
      </c>
      <c r="D2832" s="405"/>
      <c r="E2832" s="410">
        <v>42977</v>
      </c>
      <c r="F2832" s="410">
        <v>43016</v>
      </c>
      <c r="G2832" s="405" t="s">
        <v>23502</v>
      </c>
      <c r="H2832" s="405">
        <v>706288758</v>
      </c>
      <c r="I2832" s="405">
        <v>787783471</v>
      </c>
      <c r="J2832" s="405">
        <v>0.84514299999999998</v>
      </c>
      <c r="K2832" s="405">
        <v>30.104955</v>
      </c>
      <c r="L2832" s="405" t="s">
        <v>590</v>
      </c>
      <c r="M2832" s="405" t="s">
        <v>19659</v>
      </c>
      <c r="N2832" s="405" t="s">
        <v>19604</v>
      </c>
      <c r="O2832" s="405" t="s">
        <v>23503</v>
      </c>
      <c r="P2832" s="405" t="s">
        <v>23504</v>
      </c>
      <c r="Q2832" s="411">
        <v>6</v>
      </c>
      <c r="R2832" s="405" t="s">
        <v>5858</v>
      </c>
      <c r="S2832" s="405" t="s">
        <v>27098</v>
      </c>
      <c r="T2832" s="405" t="s">
        <v>32102</v>
      </c>
      <c r="U2832" s="405" t="s">
        <v>319</v>
      </c>
    </row>
    <row r="2833" spans="1:21" x14ac:dyDescent="0.25">
      <c r="A2833" s="405" t="s">
        <v>310</v>
      </c>
      <c r="B2833" s="405" t="s">
        <v>23431</v>
      </c>
      <c r="C2833" s="405" t="s">
        <v>327</v>
      </c>
      <c r="D2833" s="405"/>
      <c r="E2833" s="410">
        <v>42976</v>
      </c>
      <c r="F2833" s="410">
        <v>42988</v>
      </c>
      <c r="G2833" s="405" t="s">
        <v>23432</v>
      </c>
      <c r="H2833" s="405">
        <v>703321131</v>
      </c>
      <c r="I2833" s="405"/>
      <c r="J2833" s="405">
        <v>0.21168200000000001</v>
      </c>
      <c r="K2833" s="405">
        <v>30.821102</v>
      </c>
      <c r="L2833" s="405" t="s">
        <v>590</v>
      </c>
      <c r="M2833" s="405" t="s">
        <v>19705</v>
      </c>
      <c r="N2833" s="405" t="s">
        <v>19706</v>
      </c>
      <c r="O2833" s="405" t="s">
        <v>21291</v>
      </c>
      <c r="P2833" s="405" t="s">
        <v>23433</v>
      </c>
      <c r="Q2833" s="411">
        <v>13</v>
      </c>
      <c r="R2833" s="405" t="s">
        <v>32101</v>
      </c>
      <c r="S2833" s="405" t="s">
        <v>27186</v>
      </c>
      <c r="T2833" s="405" t="s">
        <v>32102</v>
      </c>
      <c r="U2833" s="405" t="s">
        <v>319</v>
      </c>
    </row>
    <row r="2834" spans="1:21" x14ac:dyDescent="0.25">
      <c r="A2834" s="405" t="s">
        <v>310</v>
      </c>
      <c r="B2834" s="405" t="s">
        <v>23479</v>
      </c>
      <c r="C2834" s="405" t="s">
        <v>327</v>
      </c>
      <c r="D2834" s="405"/>
      <c r="E2834" s="410">
        <v>42976</v>
      </c>
      <c r="F2834" s="410">
        <v>43021</v>
      </c>
      <c r="G2834" s="405" t="s">
        <v>23480</v>
      </c>
      <c r="H2834" s="405">
        <v>782399315</v>
      </c>
      <c r="I2834" s="405">
        <v>705692611</v>
      </c>
      <c r="J2834" s="405">
        <v>-8.1437999999999997E-2</v>
      </c>
      <c r="K2834" s="405">
        <v>31.013638</v>
      </c>
      <c r="L2834" s="405" t="s">
        <v>590</v>
      </c>
      <c r="M2834" s="405" t="s">
        <v>19705</v>
      </c>
      <c r="N2834" s="405" t="s">
        <v>19706</v>
      </c>
      <c r="O2834" s="405" t="s">
        <v>1215</v>
      </c>
      <c r="P2834" s="405" t="s">
        <v>23481</v>
      </c>
      <c r="Q2834" s="411">
        <v>9</v>
      </c>
      <c r="R2834" s="405" t="s">
        <v>6943</v>
      </c>
      <c r="S2834" s="405" t="s">
        <v>27273</v>
      </c>
      <c r="T2834" s="405" t="s">
        <v>32102</v>
      </c>
      <c r="U2834" s="405" t="s">
        <v>319</v>
      </c>
    </row>
    <row r="2835" spans="1:21" x14ac:dyDescent="0.25">
      <c r="A2835" s="405" t="s">
        <v>310</v>
      </c>
      <c r="B2835" s="405" t="s">
        <v>6490</v>
      </c>
      <c r="C2835" s="405" t="s">
        <v>327</v>
      </c>
      <c r="D2835" s="405"/>
      <c r="E2835" s="410">
        <v>42976</v>
      </c>
      <c r="F2835" s="410">
        <v>43021</v>
      </c>
      <c r="G2835" s="405" t="s">
        <v>6491</v>
      </c>
      <c r="H2835" s="405">
        <v>772563625</v>
      </c>
      <c r="I2835" s="405"/>
      <c r="J2835" s="405">
        <v>0.22109000000000001</v>
      </c>
      <c r="K2835" s="405">
        <v>33.261631000000001</v>
      </c>
      <c r="L2835" s="405" t="s">
        <v>314</v>
      </c>
      <c r="M2835" s="405" t="s">
        <v>6492</v>
      </c>
      <c r="N2835" s="405" t="s">
        <v>6492</v>
      </c>
      <c r="O2835" s="405" t="s">
        <v>6493</v>
      </c>
      <c r="P2835" s="405" t="s">
        <v>1256</v>
      </c>
      <c r="Q2835" s="411">
        <v>9</v>
      </c>
      <c r="R2835" s="405" t="s">
        <v>4176</v>
      </c>
      <c r="S2835" s="405" t="s">
        <v>27053</v>
      </c>
      <c r="T2835" s="405" t="s">
        <v>32102</v>
      </c>
      <c r="U2835" s="405" t="s">
        <v>319</v>
      </c>
    </row>
    <row r="2836" spans="1:21" x14ac:dyDescent="0.25">
      <c r="A2836" s="405" t="s">
        <v>310</v>
      </c>
      <c r="B2836" s="405" t="s">
        <v>6565</v>
      </c>
      <c r="C2836" s="405" t="s">
        <v>327</v>
      </c>
      <c r="D2836" s="405"/>
      <c r="E2836" s="410">
        <v>42976</v>
      </c>
      <c r="F2836" s="410">
        <v>43100</v>
      </c>
      <c r="G2836" s="405" t="s">
        <v>6566</v>
      </c>
      <c r="H2836" s="405">
        <v>752580386</v>
      </c>
      <c r="I2836" s="405"/>
      <c r="J2836" s="405">
        <v>0.41540300000000002</v>
      </c>
      <c r="K2836" s="405">
        <v>32.692790000000002</v>
      </c>
      <c r="L2836" s="405" t="s">
        <v>314</v>
      </c>
      <c r="M2836" s="405" t="s">
        <v>329</v>
      </c>
      <c r="N2836" s="405" t="s">
        <v>6567</v>
      </c>
      <c r="O2836" s="405" t="s">
        <v>6568</v>
      </c>
      <c r="P2836" s="405" t="s">
        <v>6302</v>
      </c>
      <c r="Q2836" s="411">
        <v>6</v>
      </c>
      <c r="R2836" s="405" t="s">
        <v>5903</v>
      </c>
      <c r="S2836" s="405" t="s">
        <v>27153</v>
      </c>
      <c r="T2836" s="405" t="s">
        <v>32102</v>
      </c>
      <c r="U2836" s="405" t="s">
        <v>319</v>
      </c>
    </row>
    <row r="2837" spans="1:21" x14ac:dyDescent="0.25">
      <c r="A2837" s="405" t="s">
        <v>310</v>
      </c>
      <c r="B2837" s="405" t="s">
        <v>6472</v>
      </c>
      <c r="C2837" s="405" t="s">
        <v>327</v>
      </c>
      <c r="D2837" s="405"/>
      <c r="E2837" s="410">
        <v>42976</v>
      </c>
      <c r="F2837" s="410">
        <v>43021</v>
      </c>
      <c r="G2837" s="405" t="s">
        <v>6473</v>
      </c>
      <c r="H2837" s="405">
        <v>702720271</v>
      </c>
      <c r="I2837" s="405">
        <v>772425288</v>
      </c>
      <c r="J2837" s="405">
        <v>0.397673</v>
      </c>
      <c r="K2837" s="405">
        <v>32.646684999999998</v>
      </c>
      <c r="L2837" s="405" t="s">
        <v>314</v>
      </c>
      <c r="M2837" s="405" t="s">
        <v>361</v>
      </c>
      <c r="N2837" s="405" t="s">
        <v>362</v>
      </c>
      <c r="O2837" s="405" t="s">
        <v>6474</v>
      </c>
      <c r="P2837" s="405" t="s">
        <v>1945</v>
      </c>
      <c r="Q2837" s="411">
        <v>6</v>
      </c>
      <c r="R2837" s="405" t="s">
        <v>5921</v>
      </c>
      <c r="S2837" s="405" t="s">
        <v>27255</v>
      </c>
      <c r="T2837" s="405" t="s">
        <v>32102</v>
      </c>
      <c r="U2837" s="405" t="s">
        <v>319</v>
      </c>
    </row>
    <row r="2838" spans="1:21" x14ac:dyDescent="0.25">
      <c r="A2838" s="405" t="s">
        <v>310</v>
      </c>
      <c r="B2838" s="405" t="s">
        <v>6466</v>
      </c>
      <c r="C2838" s="405" t="s">
        <v>327</v>
      </c>
      <c r="D2838" s="405"/>
      <c r="E2838" s="410">
        <v>42976</v>
      </c>
      <c r="F2838" s="410">
        <v>43021</v>
      </c>
      <c r="G2838" s="405" t="s">
        <v>6467</v>
      </c>
      <c r="H2838" s="405">
        <v>772700816</v>
      </c>
      <c r="I2838" s="405">
        <v>701687329</v>
      </c>
      <c r="J2838" s="405">
        <v>0.51610199999999995</v>
      </c>
      <c r="K2838" s="405">
        <v>32.671433</v>
      </c>
      <c r="L2838" s="405" t="s">
        <v>314</v>
      </c>
      <c r="M2838" s="405" t="s">
        <v>349</v>
      </c>
      <c r="N2838" s="405" t="s">
        <v>1107</v>
      </c>
      <c r="O2838" s="405" t="s">
        <v>336</v>
      </c>
      <c r="P2838" s="405" t="s">
        <v>4097</v>
      </c>
      <c r="Q2838" s="411">
        <v>6</v>
      </c>
      <c r="R2838" s="405" t="s">
        <v>5903</v>
      </c>
      <c r="S2838" s="405" t="s">
        <v>27153</v>
      </c>
      <c r="T2838" s="405" t="s">
        <v>32102</v>
      </c>
      <c r="U2838" s="405" t="s">
        <v>319</v>
      </c>
    </row>
    <row r="2839" spans="1:21" x14ac:dyDescent="0.25">
      <c r="A2839" s="405" t="s">
        <v>310</v>
      </c>
      <c r="B2839" s="405" t="s">
        <v>23443</v>
      </c>
      <c r="C2839" s="405" t="s">
        <v>327</v>
      </c>
      <c r="D2839" s="405"/>
      <c r="E2839" s="410">
        <v>42976</v>
      </c>
      <c r="F2839" s="410">
        <v>43002</v>
      </c>
      <c r="G2839" s="405" t="s">
        <v>23444</v>
      </c>
      <c r="H2839" s="405">
        <v>772951836</v>
      </c>
      <c r="I2839" s="405"/>
      <c r="J2839" s="405">
        <v>1.216477</v>
      </c>
      <c r="K2839" s="405">
        <v>34.300097999999998</v>
      </c>
      <c r="L2839" s="405" t="s">
        <v>590</v>
      </c>
      <c r="M2839" s="405" t="s">
        <v>19705</v>
      </c>
      <c r="N2839" s="405" t="s">
        <v>2250</v>
      </c>
      <c r="O2839" s="405" t="s">
        <v>23445</v>
      </c>
      <c r="P2839" s="405" t="s">
        <v>23446</v>
      </c>
      <c r="Q2839" s="411">
        <v>6</v>
      </c>
      <c r="R2839" s="405" t="s">
        <v>5665</v>
      </c>
      <c r="S2839" s="405" t="s">
        <v>27051</v>
      </c>
      <c r="T2839" s="405" t="s">
        <v>32102</v>
      </c>
      <c r="U2839" s="405" t="s">
        <v>319</v>
      </c>
    </row>
    <row r="2840" spans="1:21" x14ac:dyDescent="0.25">
      <c r="A2840" s="405" t="s">
        <v>310</v>
      </c>
      <c r="B2840" s="405" t="s">
        <v>23471</v>
      </c>
      <c r="C2840" s="405" t="s">
        <v>327</v>
      </c>
      <c r="D2840" s="405"/>
      <c r="E2840" s="410">
        <v>42975</v>
      </c>
      <c r="F2840" s="410">
        <v>43014</v>
      </c>
      <c r="G2840" s="405" t="s">
        <v>23472</v>
      </c>
      <c r="H2840" s="405">
        <v>775958470</v>
      </c>
      <c r="I2840" s="405"/>
      <c r="J2840" s="405">
        <v>0.20302500000000001</v>
      </c>
      <c r="K2840" s="405">
        <v>30.431218000000001</v>
      </c>
      <c r="L2840" s="405" t="s">
        <v>590</v>
      </c>
      <c r="M2840" s="405" t="s">
        <v>19720</v>
      </c>
      <c r="N2840" s="405" t="s">
        <v>7352</v>
      </c>
      <c r="O2840" s="405" t="s">
        <v>19720</v>
      </c>
      <c r="P2840" s="405" t="s">
        <v>23473</v>
      </c>
      <c r="Q2840" s="411">
        <v>6</v>
      </c>
      <c r="R2840" s="405" t="s">
        <v>6013</v>
      </c>
      <c r="S2840" s="405" t="s">
        <v>27181</v>
      </c>
      <c r="T2840" s="405" t="s">
        <v>32102</v>
      </c>
      <c r="U2840" s="405" t="s">
        <v>319</v>
      </c>
    </row>
    <row r="2841" spans="1:21" x14ac:dyDescent="0.25">
      <c r="A2841" s="405" t="s">
        <v>310</v>
      </c>
      <c r="B2841" s="405" t="s">
        <v>23421</v>
      </c>
      <c r="C2841" s="405" t="s">
        <v>327</v>
      </c>
      <c r="D2841" s="405"/>
      <c r="E2841" s="410">
        <v>42975</v>
      </c>
      <c r="F2841" s="410">
        <v>43005</v>
      </c>
      <c r="G2841" s="405" t="s">
        <v>23422</v>
      </c>
      <c r="H2841" s="405">
        <v>778208506</v>
      </c>
      <c r="I2841" s="405">
        <v>779071402</v>
      </c>
      <c r="J2841" s="405">
        <v>0.88985700000000001</v>
      </c>
      <c r="K2841" s="405">
        <v>30.967120000000001</v>
      </c>
      <c r="L2841" s="405" t="s">
        <v>590</v>
      </c>
      <c r="M2841" s="405" t="s">
        <v>1851</v>
      </c>
      <c r="N2841" s="405" t="s">
        <v>2430</v>
      </c>
      <c r="O2841" s="405" t="s">
        <v>23423</v>
      </c>
      <c r="P2841" s="405" t="s">
        <v>3419</v>
      </c>
      <c r="Q2841" s="411">
        <v>6</v>
      </c>
      <c r="R2841" s="405" t="s">
        <v>6397</v>
      </c>
      <c r="S2841" s="405" t="s">
        <v>22880</v>
      </c>
      <c r="T2841" s="405" t="s">
        <v>32102</v>
      </c>
      <c r="U2841" s="405" t="s">
        <v>319</v>
      </c>
    </row>
    <row r="2842" spans="1:21" x14ac:dyDescent="0.25">
      <c r="A2842" s="405" t="s">
        <v>310</v>
      </c>
      <c r="B2842" s="405" t="s">
        <v>6449</v>
      </c>
      <c r="C2842" s="405" t="s">
        <v>327</v>
      </c>
      <c r="D2842" s="405"/>
      <c r="E2842" s="410">
        <v>42975</v>
      </c>
      <c r="F2842" s="410">
        <v>42993</v>
      </c>
      <c r="G2842" s="405" t="s">
        <v>6450</v>
      </c>
      <c r="H2842" s="405">
        <v>775978506</v>
      </c>
      <c r="I2842" s="405"/>
      <c r="J2842" s="405">
        <v>0.21201</v>
      </c>
      <c r="K2842" s="405">
        <v>32.041812999999998</v>
      </c>
      <c r="L2842" s="405" t="s">
        <v>314</v>
      </c>
      <c r="M2842" s="405" t="s">
        <v>339</v>
      </c>
      <c r="N2842" s="405" t="s">
        <v>5766</v>
      </c>
      <c r="O2842" s="405" t="s">
        <v>1244</v>
      </c>
      <c r="P2842" s="405" t="s">
        <v>6451</v>
      </c>
      <c r="Q2842" s="411">
        <v>6</v>
      </c>
      <c r="R2842" s="405" t="s">
        <v>32101</v>
      </c>
      <c r="S2842" s="405" t="s">
        <v>27047</v>
      </c>
      <c r="T2842" s="405" t="s">
        <v>32102</v>
      </c>
      <c r="U2842" s="405" t="s">
        <v>319</v>
      </c>
    </row>
    <row r="2843" spans="1:21" x14ac:dyDescent="0.25">
      <c r="A2843" s="405" t="s">
        <v>310</v>
      </c>
      <c r="B2843" s="405" t="s">
        <v>6446</v>
      </c>
      <c r="C2843" s="405" t="s">
        <v>327</v>
      </c>
      <c r="D2843" s="405"/>
      <c r="E2843" s="410">
        <v>42974</v>
      </c>
      <c r="F2843" s="410">
        <v>42984</v>
      </c>
      <c r="G2843" s="405" t="s">
        <v>6447</v>
      </c>
      <c r="H2843" s="405">
        <v>701614596</v>
      </c>
      <c r="I2843" s="405"/>
      <c r="J2843" s="405">
        <v>0.48030200000000001</v>
      </c>
      <c r="K2843" s="405">
        <v>32.463990000000003</v>
      </c>
      <c r="L2843" s="405" t="s">
        <v>314</v>
      </c>
      <c r="M2843" s="405" t="s">
        <v>361</v>
      </c>
      <c r="N2843" s="405" t="s">
        <v>339</v>
      </c>
      <c r="O2843" s="405" t="s">
        <v>4156</v>
      </c>
      <c r="P2843" s="405" t="s">
        <v>6448</v>
      </c>
      <c r="Q2843" s="411">
        <v>13</v>
      </c>
      <c r="R2843" s="405" t="s">
        <v>32101</v>
      </c>
      <c r="S2843" s="405" t="s">
        <v>27167</v>
      </c>
      <c r="T2843" s="405" t="s">
        <v>32102</v>
      </c>
      <c r="U2843" s="405" t="s">
        <v>319</v>
      </c>
    </row>
    <row r="2844" spans="1:21" x14ac:dyDescent="0.25">
      <c r="A2844" s="405" t="s">
        <v>310</v>
      </c>
      <c r="B2844" s="405" t="s">
        <v>23519</v>
      </c>
      <c r="C2844" s="405" t="s">
        <v>327</v>
      </c>
      <c r="D2844" s="405"/>
      <c r="E2844" s="410">
        <v>42970</v>
      </c>
      <c r="F2844" s="410">
        <v>43020</v>
      </c>
      <c r="G2844" s="405" t="s">
        <v>23520</v>
      </c>
      <c r="H2844" s="405">
        <v>783579362</v>
      </c>
      <c r="I2844" s="405"/>
      <c r="J2844" s="405">
        <v>-4.2724999999999999E-2</v>
      </c>
      <c r="K2844" s="405">
        <v>30.401277</v>
      </c>
      <c r="L2844" s="405" t="s">
        <v>590</v>
      </c>
      <c r="M2844" s="405" t="s">
        <v>19720</v>
      </c>
      <c r="N2844" s="405" t="s">
        <v>20297</v>
      </c>
      <c r="O2844" s="405" t="s">
        <v>22746</v>
      </c>
      <c r="P2844" s="405" t="s">
        <v>23521</v>
      </c>
      <c r="Q2844" s="411">
        <v>9</v>
      </c>
      <c r="R2844" s="405" t="s">
        <v>6013</v>
      </c>
      <c r="S2844" s="405" t="s">
        <v>27275</v>
      </c>
      <c r="T2844" s="405" t="s">
        <v>32102</v>
      </c>
      <c r="U2844" s="405" t="s">
        <v>319</v>
      </c>
    </row>
    <row r="2845" spans="1:21" x14ac:dyDescent="0.25">
      <c r="A2845" s="405" t="s">
        <v>310</v>
      </c>
      <c r="B2845" s="405" t="s">
        <v>23516</v>
      </c>
      <c r="C2845" s="405" t="s">
        <v>327</v>
      </c>
      <c r="D2845" s="405"/>
      <c r="E2845" s="410">
        <v>42970</v>
      </c>
      <c r="F2845" s="410">
        <v>43009</v>
      </c>
      <c r="G2845" s="405" t="s">
        <v>23517</v>
      </c>
      <c r="H2845" s="405">
        <v>773577307</v>
      </c>
      <c r="I2845" s="405"/>
      <c r="J2845" s="405">
        <v>-1.6388E-2</v>
      </c>
      <c r="K2845" s="405">
        <v>30.355581999999998</v>
      </c>
      <c r="L2845" s="405" t="s">
        <v>590</v>
      </c>
      <c r="M2845" s="405" t="s">
        <v>19720</v>
      </c>
      <c r="N2845" s="405" t="s">
        <v>20297</v>
      </c>
      <c r="O2845" s="405" t="s">
        <v>22359</v>
      </c>
      <c r="P2845" s="405" t="s">
        <v>23518</v>
      </c>
      <c r="Q2845" s="411">
        <v>6</v>
      </c>
      <c r="R2845" s="405" t="s">
        <v>6013</v>
      </c>
      <c r="S2845" s="405" t="s">
        <v>27205</v>
      </c>
      <c r="T2845" s="405" t="s">
        <v>32102</v>
      </c>
      <c r="U2845" s="405" t="s">
        <v>319</v>
      </c>
    </row>
    <row r="2846" spans="1:21" x14ac:dyDescent="0.25">
      <c r="A2846" s="405" t="s">
        <v>310</v>
      </c>
      <c r="B2846" s="405" t="s">
        <v>23404</v>
      </c>
      <c r="C2846" s="405" t="s">
        <v>327</v>
      </c>
      <c r="D2846" s="405"/>
      <c r="E2846" s="410">
        <v>42967</v>
      </c>
      <c r="F2846" s="410">
        <v>42997</v>
      </c>
      <c r="G2846" s="405" t="s">
        <v>23405</v>
      </c>
      <c r="H2846" s="405">
        <v>701542476</v>
      </c>
      <c r="I2846" s="405"/>
      <c r="J2846" s="405">
        <v>-0.209485</v>
      </c>
      <c r="K2846" s="405">
        <v>30.622949999999999</v>
      </c>
      <c r="L2846" s="405" t="s">
        <v>590</v>
      </c>
      <c r="M2846" s="405" t="s">
        <v>19705</v>
      </c>
      <c r="N2846" s="405" t="s">
        <v>21675</v>
      </c>
      <c r="O2846" s="405" t="s">
        <v>23406</v>
      </c>
      <c r="P2846" s="405" t="s">
        <v>23407</v>
      </c>
      <c r="Q2846" s="411">
        <v>9</v>
      </c>
      <c r="R2846" s="405" t="s">
        <v>874</v>
      </c>
      <c r="S2846" s="405" t="s">
        <v>27172</v>
      </c>
      <c r="T2846" s="405" t="s">
        <v>32102</v>
      </c>
      <c r="U2846" s="405" t="s">
        <v>319</v>
      </c>
    </row>
    <row r="2847" spans="1:21" x14ac:dyDescent="0.25">
      <c r="A2847" s="405" t="s">
        <v>310</v>
      </c>
      <c r="B2847" s="405" t="s">
        <v>23408</v>
      </c>
      <c r="C2847" s="405" t="s">
        <v>327</v>
      </c>
      <c r="D2847" s="405"/>
      <c r="E2847" s="410">
        <v>42967</v>
      </c>
      <c r="F2847" s="410">
        <v>42997</v>
      </c>
      <c r="G2847" s="405" t="s">
        <v>23409</v>
      </c>
      <c r="H2847" s="405">
        <v>772454265</v>
      </c>
      <c r="I2847" s="405">
        <v>702454265</v>
      </c>
      <c r="J2847" s="405">
        <v>-0.56989199999999995</v>
      </c>
      <c r="K2847" s="405">
        <v>30.5151</v>
      </c>
      <c r="L2847" s="405" t="s">
        <v>590</v>
      </c>
      <c r="M2847" s="405" t="s">
        <v>19614</v>
      </c>
      <c r="N2847" s="405" t="s">
        <v>19615</v>
      </c>
      <c r="O2847" s="405" t="s">
        <v>20154</v>
      </c>
      <c r="P2847" s="405" t="s">
        <v>23410</v>
      </c>
      <c r="Q2847" s="411">
        <v>9</v>
      </c>
      <c r="R2847" s="405" t="s">
        <v>874</v>
      </c>
      <c r="S2847" s="405" t="s">
        <v>27172</v>
      </c>
      <c r="T2847" s="405" t="s">
        <v>32102</v>
      </c>
      <c r="U2847" s="405" t="s">
        <v>319</v>
      </c>
    </row>
    <row r="2848" spans="1:21" x14ac:dyDescent="0.25">
      <c r="A2848" s="405" t="s">
        <v>310</v>
      </c>
      <c r="B2848" s="405" t="s">
        <v>6482</v>
      </c>
      <c r="C2848" s="405" t="s">
        <v>327</v>
      </c>
      <c r="D2848" s="405"/>
      <c r="E2848" s="410">
        <v>42967</v>
      </c>
      <c r="F2848" s="410">
        <v>43012</v>
      </c>
      <c r="G2848" s="405" t="s">
        <v>6483</v>
      </c>
      <c r="H2848" s="405">
        <v>706440180</v>
      </c>
      <c r="I2848" s="405">
        <v>786404584</v>
      </c>
      <c r="J2848" s="405">
        <v>0.61142099999999999</v>
      </c>
      <c r="K2848" s="405">
        <v>32.477514999999997</v>
      </c>
      <c r="L2848" s="405" t="s">
        <v>314</v>
      </c>
      <c r="M2848" s="405" t="s">
        <v>2297</v>
      </c>
      <c r="N2848" s="405" t="s">
        <v>1094</v>
      </c>
      <c r="O2848" s="405" t="s">
        <v>2056</v>
      </c>
      <c r="P2848" s="405" t="s">
        <v>6484</v>
      </c>
      <c r="Q2848" s="411">
        <v>6</v>
      </c>
      <c r="R2848" s="405" t="s">
        <v>4176</v>
      </c>
      <c r="S2848" s="405" t="s">
        <v>27053</v>
      </c>
      <c r="T2848" s="405" t="s">
        <v>32102</v>
      </c>
      <c r="U2848" s="405" t="s">
        <v>319</v>
      </c>
    </row>
    <row r="2849" spans="1:21" x14ac:dyDescent="0.25">
      <c r="A2849" s="405" t="s">
        <v>310</v>
      </c>
      <c r="B2849" s="405" t="s">
        <v>15864</v>
      </c>
      <c r="C2849" s="405" t="s">
        <v>327</v>
      </c>
      <c r="D2849" s="405"/>
      <c r="E2849" s="410">
        <v>42967</v>
      </c>
      <c r="F2849" s="410">
        <v>43006</v>
      </c>
      <c r="G2849" s="405" t="s">
        <v>15865</v>
      </c>
      <c r="H2849" s="405">
        <v>700279317</v>
      </c>
      <c r="I2849" s="405">
        <v>788020315</v>
      </c>
      <c r="J2849" s="405">
        <v>1.285485</v>
      </c>
      <c r="K2849" s="405">
        <v>34.337797000000002</v>
      </c>
      <c r="L2849" s="405" t="s">
        <v>6866</v>
      </c>
      <c r="M2849" s="405" t="s">
        <v>9550</v>
      </c>
      <c r="N2849" s="405" t="s">
        <v>9550</v>
      </c>
      <c r="O2849" s="405" t="s">
        <v>14815</v>
      </c>
      <c r="P2849" s="405" t="s">
        <v>15866</v>
      </c>
      <c r="Q2849" s="411">
        <v>6</v>
      </c>
      <c r="R2849" s="405" t="s">
        <v>9506</v>
      </c>
      <c r="S2849" s="405" t="s">
        <v>27353</v>
      </c>
      <c r="T2849" s="405" t="s">
        <v>32102</v>
      </c>
      <c r="U2849" s="405" t="s">
        <v>319</v>
      </c>
    </row>
    <row r="2850" spans="1:21" x14ac:dyDescent="0.25">
      <c r="A2850" s="405" t="s">
        <v>310</v>
      </c>
      <c r="B2850" s="405" t="s">
        <v>23364</v>
      </c>
      <c r="C2850" s="405" t="s">
        <v>327</v>
      </c>
      <c r="D2850" s="405"/>
      <c r="E2850" s="410">
        <v>42966</v>
      </c>
      <c r="F2850" s="410">
        <v>43005</v>
      </c>
      <c r="G2850" s="405" t="s">
        <v>23365</v>
      </c>
      <c r="H2850" s="405">
        <v>700641494</v>
      </c>
      <c r="I2850" s="405"/>
      <c r="J2850" s="405">
        <v>0.51072399999999996</v>
      </c>
      <c r="K2850" s="405">
        <v>30.790123999999999</v>
      </c>
      <c r="L2850" s="405" t="s">
        <v>590</v>
      </c>
      <c r="M2850" s="405" t="s">
        <v>19705</v>
      </c>
      <c r="N2850" s="405" t="s">
        <v>19706</v>
      </c>
      <c r="O2850" s="405" t="s">
        <v>21291</v>
      </c>
      <c r="P2850" s="405" t="s">
        <v>2864</v>
      </c>
      <c r="Q2850" s="411">
        <v>9</v>
      </c>
      <c r="R2850" s="405" t="s">
        <v>883</v>
      </c>
      <c r="S2850" s="405" t="s">
        <v>27104</v>
      </c>
      <c r="T2850" s="405" t="s">
        <v>32102</v>
      </c>
      <c r="U2850" s="405" t="s">
        <v>319</v>
      </c>
    </row>
    <row r="2851" spans="1:21" x14ac:dyDescent="0.25">
      <c r="A2851" s="405" t="s">
        <v>310</v>
      </c>
      <c r="B2851" s="405" t="s">
        <v>23374</v>
      </c>
      <c r="C2851" s="405" t="s">
        <v>327</v>
      </c>
      <c r="D2851" s="405"/>
      <c r="E2851" s="410">
        <v>42966</v>
      </c>
      <c r="F2851" s="410">
        <v>43005</v>
      </c>
      <c r="G2851" s="405" t="s">
        <v>23375</v>
      </c>
      <c r="H2851" s="405">
        <v>771613836</v>
      </c>
      <c r="I2851" s="405"/>
      <c r="J2851" s="405">
        <v>-4.2051999999999999E-2</v>
      </c>
      <c r="K2851" s="405">
        <v>30.357510000000001</v>
      </c>
      <c r="L2851" s="405" t="s">
        <v>590</v>
      </c>
      <c r="M2851" s="405" t="s">
        <v>19720</v>
      </c>
      <c r="N2851" s="405" t="s">
        <v>20297</v>
      </c>
      <c r="O2851" s="405" t="s">
        <v>22746</v>
      </c>
      <c r="P2851" s="405" t="s">
        <v>23376</v>
      </c>
      <c r="Q2851" s="411">
        <v>6</v>
      </c>
      <c r="R2851" s="405" t="s">
        <v>6013</v>
      </c>
      <c r="S2851" s="405" t="s">
        <v>27423</v>
      </c>
      <c r="T2851" s="405" t="s">
        <v>32102</v>
      </c>
      <c r="U2851" s="405" t="s">
        <v>319</v>
      </c>
    </row>
    <row r="2852" spans="1:21" x14ac:dyDescent="0.25">
      <c r="A2852" s="405" t="s">
        <v>310</v>
      </c>
      <c r="B2852" s="405" t="s">
        <v>23370</v>
      </c>
      <c r="C2852" s="405" t="s">
        <v>327</v>
      </c>
      <c r="D2852" s="405"/>
      <c r="E2852" s="410">
        <v>42966</v>
      </c>
      <c r="F2852" s="410">
        <v>43005</v>
      </c>
      <c r="G2852" s="405" t="s">
        <v>23371</v>
      </c>
      <c r="H2852" s="405">
        <v>774419741</v>
      </c>
      <c r="I2852" s="405"/>
      <c r="J2852" s="405">
        <v>-0.10574</v>
      </c>
      <c r="K2852" s="405">
        <v>30.241125</v>
      </c>
      <c r="L2852" s="405" t="s">
        <v>590</v>
      </c>
      <c r="M2852" s="405" t="s">
        <v>19720</v>
      </c>
      <c r="N2852" s="405" t="s">
        <v>20297</v>
      </c>
      <c r="O2852" s="405" t="s">
        <v>23372</v>
      </c>
      <c r="P2852" s="405" t="s">
        <v>23373</v>
      </c>
      <c r="Q2852" s="411">
        <v>6</v>
      </c>
      <c r="R2852" s="405" t="s">
        <v>6013</v>
      </c>
      <c r="S2852" s="405" t="s">
        <v>27161</v>
      </c>
      <c r="T2852" s="405" t="s">
        <v>32102</v>
      </c>
      <c r="U2852" s="405" t="s">
        <v>319</v>
      </c>
    </row>
    <row r="2853" spans="1:21" x14ac:dyDescent="0.25">
      <c r="A2853" s="405" t="s">
        <v>310</v>
      </c>
      <c r="B2853" s="405" t="s">
        <v>23361</v>
      </c>
      <c r="C2853" s="405" t="s">
        <v>327</v>
      </c>
      <c r="D2853" s="405"/>
      <c r="E2853" s="410">
        <v>42966</v>
      </c>
      <c r="F2853" s="410">
        <v>42996</v>
      </c>
      <c r="G2853" s="405" t="s">
        <v>23362</v>
      </c>
      <c r="H2853" s="405">
        <v>786940189</v>
      </c>
      <c r="I2853" s="405">
        <v>752480491</v>
      </c>
      <c r="J2853" s="405">
        <v>0.74544500000000002</v>
      </c>
      <c r="K2853" s="405">
        <v>30.533270000000002</v>
      </c>
      <c r="L2853" s="405" t="s">
        <v>590</v>
      </c>
      <c r="M2853" s="405" t="s">
        <v>19614</v>
      </c>
      <c r="N2853" s="405" t="s">
        <v>19654</v>
      </c>
      <c r="O2853" s="405" t="s">
        <v>19995</v>
      </c>
      <c r="P2853" s="405" t="s">
        <v>23363</v>
      </c>
      <c r="Q2853" s="411">
        <v>6</v>
      </c>
      <c r="R2853" s="405" t="s">
        <v>883</v>
      </c>
      <c r="S2853" s="405" t="s">
        <v>27172</v>
      </c>
      <c r="T2853" s="405" t="s">
        <v>32102</v>
      </c>
      <c r="U2853" s="405" t="s">
        <v>319</v>
      </c>
    </row>
    <row r="2854" spans="1:21" x14ac:dyDescent="0.25">
      <c r="A2854" s="405" t="s">
        <v>310</v>
      </c>
      <c r="B2854" s="405" t="s">
        <v>15904</v>
      </c>
      <c r="C2854" s="405" t="s">
        <v>327</v>
      </c>
      <c r="D2854" s="405"/>
      <c r="E2854" s="410">
        <v>42966</v>
      </c>
      <c r="F2854" s="410">
        <v>42991</v>
      </c>
      <c r="G2854" s="405" t="s">
        <v>15905</v>
      </c>
      <c r="H2854" s="405">
        <v>786133723</v>
      </c>
      <c r="I2854" s="405"/>
      <c r="J2854" s="405">
        <v>1.285345</v>
      </c>
      <c r="K2854" s="405">
        <v>34.398201999999998</v>
      </c>
      <c r="L2854" s="405" t="s">
        <v>6866</v>
      </c>
      <c r="M2854" s="405" t="s">
        <v>9550</v>
      </c>
      <c r="N2854" s="405" t="s">
        <v>9550</v>
      </c>
      <c r="O2854" s="405" t="s">
        <v>9754</v>
      </c>
      <c r="P2854" s="405" t="s">
        <v>15906</v>
      </c>
      <c r="Q2854" s="411">
        <v>6</v>
      </c>
      <c r="R2854" s="405" t="s">
        <v>5655</v>
      </c>
      <c r="S2854" s="405" t="s">
        <v>27357</v>
      </c>
      <c r="T2854" s="405" t="s">
        <v>32102</v>
      </c>
      <c r="U2854" s="405" t="s">
        <v>319</v>
      </c>
    </row>
    <row r="2855" spans="1:21" x14ac:dyDescent="0.25">
      <c r="A2855" s="405" t="s">
        <v>310</v>
      </c>
      <c r="B2855" s="405" t="s">
        <v>15900</v>
      </c>
      <c r="C2855" s="405" t="s">
        <v>327</v>
      </c>
      <c r="D2855" s="405"/>
      <c r="E2855" s="410">
        <v>42966</v>
      </c>
      <c r="F2855" s="410">
        <v>42991</v>
      </c>
      <c r="G2855" s="405" t="s">
        <v>15901</v>
      </c>
      <c r="H2855" s="405">
        <v>779354187</v>
      </c>
      <c r="I2855" s="405"/>
      <c r="J2855" s="405">
        <v>1.2877080000000001</v>
      </c>
      <c r="K2855" s="405">
        <v>34.378697000000003</v>
      </c>
      <c r="L2855" s="405" t="s">
        <v>6866</v>
      </c>
      <c r="M2855" s="405" t="s">
        <v>9550</v>
      </c>
      <c r="N2855" s="405" t="s">
        <v>9754</v>
      </c>
      <c r="O2855" s="405" t="s">
        <v>15902</v>
      </c>
      <c r="P2855" s="405" t="s">
        <v>15903</v>
      </c>
      <c r="Q2855" s="411">
        <v>6</v>
      </c>
      <c r="R2855" s="405" t="s">
        <v>5655</v>
      </c>
      <c r="S2855" s="405" t="s">
        <v>27353</v>
      </c>
      <c r="T2855" s="405" t="s">
        <v>32102</v>
      </c>
      <c r="U2855" s="405" t="s">
        <v>319</v>
      </c>
    </row>
    <row r="2856" spans="1:21" x14ac:dyDescent="0.25">
      <c r="A2856" s="405" t="s">
        <v>310</v>
      </c>
      <c r="B2856" s="405" t="s">
        <v>15907</v>
      </c>
      <c r="C2856" s="405" t="s">
        <v>327</v>
      </c>
      <c r="D2856" s="405"/>
      <c r="E2856" s="410">
        <v>42966</v>
      </c>
      <c r="F2856" s="410">
        <v>42991</v>
      </c>
      <c r="G2856" s="405" t="s">
        <v>15908</v>
      </c>
      <c r="H2856" s="405">
        <v>771836394</v>
      </c>
      <c r="I2856" s="405">
        <v>701695307</v>
      </c>
      <c r="J2856" s="405">
        <v>1.280718</v>
      </c>
      <c r="K2856" s="405">
        <v>34.360742000000002</v>
      </c>
      <c r="L2856" s="405" t="s">
        <v>6866</v>
      </c>
      <c r="M2856" s="405" t="s">
        <v>9550</v>
      </c>
      <c r="N2856" s="405" t="s">
        <v>9550</v>
      </c>
      <c r="O2856" s="405" t="s">
        <v>9551</v>
      </c>
      <c r="P2856" s="405" t="s">
        <v>15909</v>
      </c>
      <c r="Q2856" s="411">
        <v>6</v>
      </c>
      <c r="R2856" s="405" t="s">
        <v>5655</v>
      </c>
      <c r="S2856" s="405" t="s">
        <v>27056</v>
      </c>
      <c r="T2856" s="405" t="s">
        <v>32102</v>
      </c>
      <c r="U2856" s="405" t="s">
        <v>319</v>
      </c>
    </row>
    <row r="2857" spans="1:21" x14ac:dyDescent="0.25">
      <c r="A2857" s="405" t="s">
        <v>310</v>
      </c>
      <c r="B2857" s="405" t="s">
        <v>23449</v>
      </c>
      <c r="C2857" s="405" t="s">
        <v>327</v>
      </c>
      <c r="D2857" s="405"/>
      <c r="E2857" s="410">
        <v>42965</v>
      </c>
      <c r="F2857" s="410">
        <v>43004</v>
      </c>
      <c r="G2857" s="405" t="s">
        <v>23450</v>
      </c>
      <c r="H2857" s="405">
        <v>772690828</v>
      </c>
      <c r="I2857" s="405"/>
      <c r="J2857" s="405">
        <v>1.6458E-2</v>
      </c>
      <c r="K2857" s="405">
        <v>30.392589999999998</v>
      </c>
      <c r="L2857" s="405" t="s">
        <v>590</v>
      </c>
      <c r="M2857" s="405" t="s">
        <v>19720</v>
      </c>
      <c r="N2857" s="405" t="s">
        <v>20297</v>
      </c>
      <c r="O2857" s="405" t="s">
        <v>22359</v>
      </c>
      <c r="P2857" s="405" t="s">
        <v>23451</v>
      </c>
      <c r="Q2857" s="411">
        <v>9</v>
      </c>
      <c r="R2857" s="405" t="s">
        <v>6013</v>
      </c>
      <c r="S2857" s="405" t="s">
        <v>27301</v>
      </c>
      <c r="T2857" s="405" t="s">
        <v>32102</v>
      </c>
      <c r="U2857" s="405" t="s">
        <v>319</v>
      </c>
    </row>
    <row r="2858" spans="1:21" x14ac:dyDescent="0.25">
      <c r="A2858" s="405" t="s">
        <v>310</v>
      </c>
      <c r="B2858" s="405" t="s">
        <v>23348</v>
      </c>
      <c r="C2858" s="405" t="s">
        <v>327</v>
      </c>
      <c r="D2858" s="405"/>
      <c r="E2858" s="410">
        <v>42965</v>
      </c>
      <c r="F2858" s="410">
        <v>43005</v>
      </c>
      <c r="G2858" s="405" t="s">
        <v>23349</v>
      </c>
      <c r="H2858" s="405">
        <v>784531409</v>
      </c>
      <c r="I2858" s="405"/>
      <c r="J2858" s="405">
        <v>-0.57697799999999999</v>
      </c>
      <c r="K2858" s="405">
        <v>30.330812000000002</v>
      </c>
      <c r="L2858" s="405" t="s">
        <v>590</v>
      </c>
      <c r="M2858" s="405" t="s">
        <v>19725</v>
      </c>
      <c r="N2858" s="405" t="s">
        <v>23350</v>
      </c>
      <c r="O2858" s="405" t="s">
        <v>23351</v>
      </c>
      <c r="P2858" s="405" t="s">
        <v>23352</v>
      </c>
      <c r="Q2858" s="411">
        <v>6</v>
      </c>
      <c r="R2858" s="405" t="s">
        <v>6943</v>
      </c>
      <c r="S2858" s="405" t="s">
        <v>27065</v>
      </c>
      <c r="T2858" s="405" t="s">
        <v>32102</v>
      </c>
      <c r="U2858" s="405" t="s">
        <v>319</v>
      </c>
    </row>
    <row r="2859" spans="1:21" x14ac:dyDescent="0.25">
      <c r="A2859" s="405" t="s">
        <v>310</v>
      </c>
      <c r="B2859" s="405" t="s">
        <v>6380</v>
      </c>
      <c r="C2859" s="405" t="s">
        <v>327</v>
      </c>
      <c r="D2859" s="405"/>
      <c r="E2859" s="410">
        <v>42965</v>
      </c>
      <c r="F2859" s="410">
        <v>42977</v>
      </c>
      <c r="G2859" s="405" t="s">
        <v>6381</v>
      </c>
      <c r="H2859" s="405">
        <v>751424079</v>
      </c>
      <c r="I2859" s="405"/>
      <c r="J2859" s="405">
        <v>0.2402</v>
      </c>
      <c r="K2859" s="405">
        <v>32.023200000000003</v>
      </c>
      <c r="L2859" s="405" t="s">
        <v>314</v>
      </c>
      <c r="M2859" s="405" t="s">
        <v>675</v>
      </c>
      <c r="N2859" s="405" t="s">
        <v>675</v>
      </c>
      <c r="O2859" s="405" t="s">
        <v>675</v>
      </c>
      <c r="P2859" s="405" t="s">
        <v>6382</v>
      </c>
      <c r="Q2859" s="411">
        <v>6</v>
      </c>
      <c r="R2859" s="405" t="s">
        <v>32101</v>
      </c>
      <c r="S2859" s="405" t="s">
        <v>27186</v>
      </c>
      <c r="T2859" s="405" t="s">
        <v>32102</v>
      </c>
      <c r="U2859" s="405" t="s">
        <v>319</v>
      </c>
    </row>
    <row r="2860" spans="1:21" x14ac:dyDescent="0.25">
      <c r="A2860" s="405" t="s">
        <v>310</v>
      </c>
      <c r="B2860" s="405" t="s">
        <v>15928</v>
      </c>
      <c r="C2860" s="405" t="s">
        <v>327</v>
      </c>
      <c r="D2860" s="405"/>
      <c r="E2860" s="410">
        <v>42964</v>
      </c>
      <c r="F2860" s="410">
        <v>43009</v>
      </c>
      <c r="G2860" s="405" t="s">
        <v>15929</v>
      </c>
      <c r="H2860" s="405">
        <v>787757067</v>
      </c>
      <c r="I2860" s="405"/>
      <c r="J2860" s="405">
        <v>1.3606450000000001</v>
      </c>
      <c r="K2860" s="405">
        <v>34.659945</v>
      </c>
      <c r="L2860" s="405" t="s">
        <v>6866</v>
      </c>
      <c r="M2860" s="405" t="s">
        <v>9705</v>
      </c>
      <c r="N2860" s="405" t="s">
        <v>9705</v>
      </c>
      <c r="O2860" s="405" t="s">
        <v>15752</v>
      </c>
      <c r="P2860" s="405" t="s">
        <v>15930</v>
      </c>
      <c r="Q2860" s="411">
        <v>6</v>
      </c>
      <c r="R2860" s="405" t="s">
        <v>9506</v>
      </c>
      <c r="S2860" s="405" t="s">
        <v>27041</v>
      </c>
      <c r="T2860" s="405" t="s">
        <v>32102</v>
      </c>
      <c r="U2860" s="405" t="s">
        <v>319</v>
      </c>
    </row>
    <row r="2861" spans="1:21" x14ac:dyDescent="0.25">
      <c r="A2861" s="405" t="s">
        <v>310</v>
      </c>
      <c r="B2861" s="405" t="s">
        <v>6468</v>
      </c>
      <c r="C2861" s="405" t="s">
        <v>327</v>
      </c>
      <c r="D2861" s="405"/>
      <c r="E2861" s="410">
        <v>42964</v>
      </c>
      <c r="F2861" s="410">
        <v>43009</v>
      </c>
      <c r="G2861" s="405" t="s">
        <v>6469</v>
      </c>
      <c r="H2861" s="405">
        <v>700294578</v>
      </c>
      <c r="I2861" s="405"/>
      <c r="J2861" s="405" t="s">
        <v>6470</v>
      </c>
      <c r="K2861" s="405">
        <v>32.628976999999999</v>
      </c>
      <c r="L2861" s="405" t="s">
        <v>314</v>
      </c>
      <c r="M2861" s="405" t="s">
        <v>361</v>
      </c>
      <c r="N2861" s="405" t="s">
        <v>362</v>
      </c>
      <c r="O2861" s="405" t="s">
        <v>379</v>
      </c>
      <c r="P2861" s="405" t="s">
        <v>6471</v>
      </c>
      <c r="Q2861" s="411">
        <v>6</v>
      </c>
      <c r="R2861" s="405" t="s">
        <v>5921</v>
      </c>
      <c r="S2861" s="405" t="s">
        <v>27255</v>
      </c>
      <c r="T2861" s="405" t="s">
        <v>32102</v>
      </c>
      <c r="U2861" s="405" t="s">
        <v>319</v>
      </c>
    </row>
    <row r="2862" spans="1:21" x14ac:dyDescent="0.25">
      <c r="A2862" s="405" t="s">
        <v>310</v>
      </c>
      <c r="B2862" s="405" t="s">
        <v>23424</v>
      </c>
      <c r="C2862" s="405" t="s">
        <v>327</v>
      </c>
      <c r="D2862" s="405"/>
      <c r="E2862" s="410">
        <v>42963</v>
      </c>
      <c r="F2862" s="410">
        <v>42987</v>
      </c>
      <c r="G2862" s="405" t="s">
        <v>23425</v>
      </c>
      <c r="H2862" s="405">
        <v>773750078</v>
      </c>
      <c r="I2862" s="405">
        <v>752594832</v>
      </c>
      <c r="J2862" s="405">
        <v>0.55279999999999996</v>
      </c>
      <c r="K2862" s="405">
        <v>31.103999999999999</v>
      </c>
      <c r="L2862" s="405" t="s">
        <v>590</v>
      </c>
      <c r="M2862" s="405" t="s">
        <v>6394</v>
      </c>
      <c r="N2862" s="405" t="s">
        <v>23426</v>
      </c>
      <c r="O2862" s="405" t="s">
        <v>23427</v>
      </c>
      <c r="P2862" s="405" t="s">
        <v>23428</v>
      </c>
      <c r="Q2862" s="411">
        <v>13</v>
      </c>
      <c r="R2862" s="405" t="s">
        <v>6397</v>
      </c>
      <c r="S2862" s="405" t="s">
        <v>22880</v>
      </c>
      <c r="T2862" s="405" t="s">
        <v>32102</v>
      </c>
      <c r="U2862" s="405" t="s">
        <v>319</v>
      </c>
    </row>
    <row r="2863" spans="1:21" x14ac:dyDescent="0.25">
      <c r="A2863" s="405" t="s">
        <v>310</v>
      </c>
      <c r="B2863" s="405" t="s">
        <v>23324</v>
      </c>
      <c r="C2863" s="405" t="s">
        <v>327</v>
      </c>
      <c r="D2863" s="405"/>
      <c r="E2863" s="410">
        <v>42963</v>
      </c>
      <c r="F2863" s="410">
        <v>43008</v>
      </c>
      <c r="G2863" s="405" t="s">
        <v>23325</v>
      </c>
      <c r="H2863" s="405">
        <v>787733787</v>
      </c>
      <c r="I2863" s="405"/>
      <c r="J2863" s="405">
        <v>0.53569999999999995</v>
      </c>
      <c r="K2863" s="405">
        <v>29.491399999999999</v>
      </c>
      <c r="L2863" s="405" t="s">
        <v>590</v>
      </c>
      <c r="M2863" s="405" t="s">
        <v>20808</v>
      </c>
      <c r="N2863" s="405" t="s">
        <v>20809</v>
      </c>
      <c r="O2863" s="405" t="s">
        <v>23326</v>
      </c>
      <c r="P2863" s="405" t="s">
        <v>21157</v>
      </c>
      <c r="Q2863" s="411">
        <v>9</v>
      </c>
      <c r="R2863" s="405" t="s">
        <v>6572</v>
      </c>
      <c r="S2863" s="405" t="s">
        <v>27166</v>
      </c>
      <c r="T2863" s="405" t="s">
        <v>32102</v>
      </c>
      <c r="U2863" s="405" t="s">
        <v>319</v>
      </c>
    </row>
    <row r="2864" spans="1:21" ht="38.25" x14ac:dyDescent="0.25">
      <c r="A2864" s="405" t="s">
        <v>310</v>
      </c>
      <c r="B2864" s="413" t="s">
        <v>23534</v>
      </c>
      <c r="C2864" s="413" t="s">
        <v>311</v>
      </c>
      <c r="D2864" s="420" t="s">
        <v>33047</v>
      </c>
      <c r="E2864" s="418">
        <v>42962</v>
      </c>
      <c r="F2864" s="418">
        <v>42976</v>
      </c>
      <c r="G2864" s="413" t="s">
        <v>23535</v>
      </c>
      <c r="H2864" s="405">
        <v>772890519</v>
      </c>
      <c r="I2864" s="405"/>
      <c r="J2864" s="405">
        <v>-0.455293</v>
      </c>
      <c r="K2864" s="405">
        <v>30.976890000000001</v>
      </c>
      <c r="L2864" s="405" t="s">
        <v>590</v>
      </c>
      <c r="M2864" s="405" t="s">
        <v>19705</v>
      </c>
      <c r="N2864" s="405" t="s">
        <v>19706</v>
      </c>
      <c r="O2864" s="405" t="s">
        <v>4156</v>
      </c>
      <c r="P2864" s="405" t="s">
        <v>23536</v>
      </c>
      <c r="Q2864" s="411">
        <v>6</v>
      </c>
      <c r="R2864" s="405" t="s">
        <v>5921</v>
      </c>
      <c r="S2864" s="405" t="s">
        <v>27255</v>
      </c>
      <c r="T2864" s="405" t="s">
        <v>32102</v>
      </c>
      <c r="U2864" s="405" t="s">
        <v>319</v>
      </c>
    </row>
    <row r="2865" spans="1:21" x14ac:dyDescent="0.25">
      <c r="A2865" s="405" t="s">
        <v>310</v>
      </c>
      <c r="B2865" s="405" t="s">
        <v>15896</v>
      </c>
      <c r="C2865" s="405" t="s">
        <v>327</v>
      </c>
      <c r="D2865" s="405"/>
      <c r="E2865" s="410">
        <v>42961</v>
      </c>
      <c r="F2865" s="410">
        <v>43006</v>
      </c>
      <c r="G2865" s="405" t="s">
        <v>15897</v>
      </c>
      <c r="H2865" s="405">
        <v>788019665</v>
      </c>
      <c r="I2865" s="405">
        <v>788019665</v>
      </c>
      <c r="J2865" s="405">
        <v>1.270613</v>
      </c>
      <c r="K2865" s="405">
        <v>34.346850000000003</v>
      </c>
      <c r="L2865" s="405" t="s">
        <v>6866</v>
      </c>
      <c r="M2865" s="405" t="s">
        <v>9550</v>
      </c>
      <c r="N2865" s="405" t="s">
        <v>15898</v>
      </c>
      <c r="O2865" s="405" t="s">
        <v>9551</v>
      </c>
      <c r="P2865" s="405" t="s">
        <v>15899</v>
      </c>
      <c r="Q2865" s="411">
        <v>6</v>
      </c>
      <c r="R2865" s="405" t="s">
        <v>5655</v>
      </c>
      <c r="S2865" s="405" t="s">
        <v>27056</v>
      </c>
      <c r="T2865" s="405" t="s">
        <v>32102</v>
      </c>
      <c r="U2865" s="405" t="s">
        <v>319</v>
      </c>
    </row>
    <row r="2866" spans="1:21" x14ac:dyDescent="0.25">
      <c r="A2866" s="405" t="s">
        <v>310</v>
      </c>
      <c r="B2866" s="405" t="s">
        <v>15893</v>
      </c>
      <c r="C2866" s="405" t="s">
        <v>327</v>
      </c>
      <c r="D2866" s="405"/>
      <c r="E2866" s="410">
        <v>42961</v>
      </c>
      <c r="F2866" s="410">
        <v>43000</v>
      </c>
      <c r="G2866" s="405" t="s">
        <v>15894</v>
      </c>
      <c r="H2866" s="405">
        <v>776129980</v>
      </c>
      <c r="I2866" s="405">
        <v>788172777</v>
      </c>
      <c r="J2866" s="405">
        <v>1.284653</v>
      </c>
      <c r="K2866" s="405">
        <v>34.374448000000001</v>
      </c>
      <c r="L2866" s="405" t="s">
        <v>6866</v>
      </c>
      <c r="M2866" s="405" t="s">
        <v>9550</v>
      </c>
      <c r="N2866" s="405" t="s">
        <v>9638</v>
      </c>
      <c r="O2866" s="405" t="s">
        <v>9754</v>
      </c>
      <c r="P2866" s="405" t="s">
        <v>15895</v>
      </c>
      <c r="Q2866" s="411">
        <v>6</v>
      </c>
      <c r="R2866" s="405" t="s">
        <v>5655</v>
      </c>
      <c r="S2866" s="405" t="s">
        <v>27259</v>
      </c>
      <c r="T2866" s="405" t="s">
        <v>32102</v>
      </c>
      <c r="U2866" s="405" t="s">
        <v>319</v>
      </c>
    </row>
    <row r="2867" spans="1:21" x14ac:dyDescent="0.25">
      <c r="A2867" s="405" t="s">
        <v>310</v>
      </c>
      <c r="B2867" s="405" t="s">
        <v>6441</v>
      </c>
      <c r="C2867" s="405" t="s">
        <v>327</v>
      </c>
      <c r="D2867" s="405"/>
      <c r="E2867" s="410">
        <v>42960</v>
      </c>
      <c r="F2867" s="410">
        <v>42991</v>
      </c>
      <c r="G2867" s="405" t="s">
        <v>6442</v>
      </c>
      <c r="H2867" s="405">
        <v>772386225</v>
      </c>
      <c r="I2867" s="405">
        <v>772878757</v>
      </c>
      <c r="J2867" s="405">
        <v>0.82290200000000002</v>
      </c>
      <c r="K2867" s="405">
        <v>34.295557000000002</v>
      </c>
      <c r="L2867" s="405" t="s">
        <v>314</v>
      </c>
      <c r="M2867" s="405" t="s">
        <v>382</v>
      </c>
      <c r="N2867" s="405" t="s">
        <v>383</v>
      </c>
      <c r="O2867" s="405" t="s">
        <v>6008</v>
      </c>
      <c r="P2867" s="405" t="s">
        <v>2280</v>
      </c>
      <c r="Q2867" s="411">
        <v>13</v>
      </c>
      <c r="R2867" s="405" t="s">
        <v>5336</v>
      </c>
      <c r="S2867" s="405" t="s">
        <v>27047</v>
      </c>
      <c r="T2867" s="405" t="s">
        <v>32102</v>
      </c>
      <c r="U2867" s="405" t="s">
        <v>319</v>
      </c>
    </row>
    <row r="2868" spans="1:21" x14ac:dyDescent="0.25">
      <c r="A2868" s="405" t="s">
        <v>310</v>
      </c>
      <c r="B2868" s="405" t="s">
        <v>23288</v>
      </c>
      <c r="C2868" s="405" t="s">
        <v>327</v>
      </c>
      <c r="D2868" s="405"/>
      <c r="E2868" s="410">
        <v>42957</v>
      </c>
      <c r="F2868" s="410">
        <v>42963</v>
      </c>
      <c r="G2868" s="405" t="s">
        <v>23289</v>
      </c>
      <c r="H2868" s="405">
        <v>772626522</v>
      </c>
      <c r="I2868" s="405"/>
      <c r="J2868" s="405">
        <v>0.19559499999999999</v>
      </c>
      <c r="K2868" s="405">
        <v>30.938559999999999</v>
      </c>
      <c r="L2868" s="405" t="s">
        <v>590</v>
      </c>
      <c r="M2868" s="405" t="s">
        <v>19705</v>
      </c>
      <c r="N2868" s="405" t="s">
        <v>19706</v>
      </c>
      <c r="O2868" s="405" t="s">
        <v>22900</v>
      </c>
      <c r="P2868" s="405" t="s">
        <v>22900</v>
      </c>
      <c r="Q2868" s="411">
        <v>13</v>
      </c>
      <c r="R2868" s="405" t="s">
        <v>32166</v>
      </c>
      <c r="S2868" s="405" t="s">
        <v>27132</v>
      </c>
      <c r="T2868" s="405" t="s">
        <v>32102</v>
      </c>
      <c r="U2868" s="405" t="s">
        <v>319</v>
      </c>
    </row>
    <row r="2869" spans="1:21" x14ac:dyDescent="0.25">
      <c r="A2869" s="405" t="s">
        <v>310</v>
      </c>
      <c r="B2869" s="405" t="s">
        <v>6385</v>
      </c>
      <c r="C2869" s="405" t="s">
        <v>327</v>
      </c>
      <c r="D2869" s="405"/>
      <c r="E2869" s="410">
        <v>42957</v>
      </c>
      <c r="F2869" s="410">
        <v>42976</v>
      </c>
      <c r="G2869" s="405" t="s">
        <v>6386</v>
      </c>
      <c r="H2869" s="405">
        <v>704299700</v>
      </c>
      <c r="I2869" s="405">
        <v>774529573</v>
      </c>
      <c r="J2869" s="405">
        <v>0.22500000000000001</v>
      </c>
      <c r="K2869" s="405">
        <v>32.283000000000001</v>
      </c>
      <c r="L2869" s="405" t="s">
        <v>314</v>
      </c>
      <c r="M2869" s="405" t="s">
        <v>361</v>
      </c>
      <c r="N2869" s="405" t="s">
        <v>6249</v>
      </c>
      <c r="O2869" s="405" t="s">
        <v>611</v>
      </c>
      <c r="P2869" s="405" t="s">
        <v>3143</v>
      </c>
      <c r="Q2869" s="411">
        <v>9</v>
      </c>
      <c r="R2869" s="405" t="s">
        <v>32101</v>
      </c>
      <c r="S2869" s="405" t="s">
        <v>27167</v>
      </c>
      <c r="T2869" s="405" t="s">
        <v>32102</v>
      </c>
      <c r="U2869" s="405" t="s">
        <v>319</v>
      </c>
    </row>
    <row r="2870" spans="1:21" x14ac:dyDescent="0.25">
      <c r="A2870" s="405" t="s">
        <v>310</v>
      </c>
      <c r="B2870" s="405" t="s">
        <v>15861</v>
      </c>
      <c r="C2870" s="405" t="s">
        <v>327</v>
      </c>
      <c r="D2870" s="405"/>
      <c r="E2870" s="410">
        <v>42957</v>
      </c>
      <c r="F2870" s="410">
        <v>42988</v>
      </c>
      <c r="G2870" s="405" t="s">
        <v>15862</v>
      </c>
      <c r="H2870" s="405">
        <v>781691719</v>
      </c>
      <c r="I2870" s="405"/>
      <c r="J2870" s="405">
        <v>1.3453470000000001</v>
      </c>
      <c r="K2870" s="405">
        <v>34.682234999999999</v>
      </c>
      <c r="L2870" s="405" t="s">
        <v>6866</v>
      </c>
      <c r="M2870" s="405" t="s">
        <v>10163</v>
      </c>
      <c r="N2870" s="405" t="s">
        <v>10164</v>
      </c>
      <c r="O2870" s="405" t="s">
        <v>14939</v>
      </c>
      <c r="P2870" s="405" t="s">
        <v>15863</v>
      </c>
      <c r="Q2870" s="411">
        <v>6</v>
      </c>
      <c r="R2870" s="405" t="s">
        <v>9506</v>
      </c>
      <c r="S2870" s="405" t="s">
        <v>27041</v>
      </c>
      <c r="T2870" s="405" t="s">
        <v>32102</v>
      </c>
      <c r="U2870" s="405" t="s">
        <v>319</v>
      </c>
    </row>
    <row r="2871" spans="1:21" x14ac:dyDescent="0.25">
      <c r="A2871" s="405" t="s">
        <v>310</v>
      </c>
      <c r="B2871" s="405" t="s">
        <v>6461</v>
      </c>
      <c r="C2871" s="405" t="s">
        <v>327</v>
      </c>
      <c r="D2871" s="405"/>
      <c r="E2871" s="410">
        <v>42956</v>
      </c>
      <c r="F2871" s="410">
        <v>43001</v>
      </c>
      <c r="G2871" s="405" t="s">
        <v>6462</v>
      </c>
      <c r="H2871" s="405">
        <v>702157538</v>
      </c>
      <c r="I2871" s="405"/>
      <c r="J2871" s="405">
        <v>0.24</v>
      </c>
      <c r="K2871" s="405">
        <v>32.285699999999999</v>
      </c>
      <c r="L2871" s="405" t="s">
        <v>314</v>
      </c>
      <c r="M2871" s="405" t="s">
        <v>361</v>
      </c>
      <c r="N2871" s="405" t="s">
        <v>6463</v>
      </c>
      <c r="O2871" s="405" t="s">
        <v>6215</v>
      </c>
      <c r="P2871" s="405" t="s">
        <v>6215</v>
      </c>
      <c r="Q2871" s="411">
        <v>6</v>
      </c>
      <c r="R2871" s="405" t="s">
        <v>5921</v>
      </c>
      <c r="S2871" s="405" t="s">
        <v>27255</v>
      </c>
      <c r="T2871" s="405" t="s">
        <v>32102</v>
      </c>
      <c r="U2871" s="405" t="s">
        <v>319</v>
      </c>
    </row>
    <row r="2872" spans="1:21" x14ac:dyDescent="0.25">
      <c r="A2872" s="405" t="s">
        <v>310</v>
      </c>
      <c r="B2872" s="405" t="s">
        <v>17892</v>
      </c>
      <c r="C2872" s="405" t="s">
        <v>327</v>
      </c>
      <c r="D2872" s="405"/>
      <c r="E2872" s="410">
        <v>44528</v>
      </c>
      <c r="F2872" s="410">
        <v>44547</v>
      </c>
      <c r="G2872" s="405" t="s">
        <v>17893</v>
      </c>
      <c r="H2872" s="405">
        <v>702845634</v>
      </c>
      <c r="I2872" s="405" t="s">
        <v>2913</v>
      </c>
      <c r="J2872" s="405">
        <v>0.64871500000000004</v>
      </c>
      <c r="K2872" s="405">
        <v>34.124994000000001</v>
      </c>
      <c r="L2872" s="405" t="s">
        <v>6866</v>
      </c>
      <c r="M2872" s="405" t="s">
        <v>9534</v>
      </c>
      <c r="N2872" s="405" t="s">
        <v>17894</v>
      </c>
      <c r="O2872" s="405" t="s">
        <v>17895</v>
      </c>
      <c r="P2872" s="405" t="s">
        <v>11362</v>
      </c>
      <c r="Q2872" s="411">
        <v>40</v>
      </c>
      <c r="R2872" s="405" t="s">
        <v>4176</v>
      </c>
      <c r="S2872" s="405" t="s">
        <v>27286</v>
      </c>
      <c r="T2872" s="405" t="s">
        <v>32102</v>
      </c>
      <c r="U2872" s="405" t="s">
        <v>319</v>
      </c>
    </row>
    <row r="2873" spans="1:21" x14ac:dyDescent="0.25">
      <c r="A2873" s="405" t="s">
        <v>310</v>
      </c>
      <c r="B2873" s="405" t="s">
        <v>23462</v>
      </c>
      <c r="C2873" s="405" t="s">
        <v>327</v>
      </c>
      <c r="D2873" s="405"/>
      <c r="E2873" s="410">
        <v>42955</v>
      </c>
      <c r="F2873" s="410">
        <v>42990</v>
      </c>
      <c r="G2873" s="405" t="s">
        <v>23463</v>
      </c>
      <c r="H2873" s="405">
        <v>772821028</v>
      </c>
      <c r="I2873" s="405"/>
      <c r="J2873" s="405">
        <v>-0.15934300000000001</v>
      </c>
      <c r="K2873" s="405">
        <v>30.419442</v>
      </c>
      <c r="L2873" s="405" t="s">
        <v>590</v>
      </c>
      <c r="M2873" s="405" t="s">
        <v>19720</v>
      </c>
      <c r="N2873" s="405" t="s">
        <v>20297</v>
      </c>
      <c r="O2873" s="405" t="s">
        <v>22654</v>
      </c>
      <c r="P2873" s="405" t="s">
        <v>23457</v>
      </c>
      <c r="Q2873" s="411">
        <v>6</v>
      </c>
      <c r="R2873" s="405" t="s">
        <v>6013</v>
      </c>
      <c r="S2873" s="405" t="s">
        <v>27275</v>
      </c>
      <c r="T2873" s="405" t="s">
        <v>32102</v>
      </c>
      <c r="U2873" s="405" t="s">
        <v>319</v>
      </c>
    </row>
    <row r="2874" spans="1:21" x14ac:dyDescent="0.25">
      <c r="A2874" s="405" t="s">
        <v>310</v>
      </c>
      <c r="B2874" s="405" t="s">
        <v>6519</v>
      </c>
      <c r="C2874" s="405" t="s">
        <v>327</v>
      </c>
      <c r="D2874" s="405"/>
      <c r="E2874" s="410">
        <v>42954</v>
      </c>
      <c r="F2874" s="410">
        <v>43009</v>
      </c>
      <c r="G2874" s="405" t="s">
        <v>6520</v>
      </c>
      <c r="H2874" s="405">
        <v>786161192</v>
      </c>
      <c r="I2874" s="405"/>
      <c r="J2874" s="405">
        <v>0.22488888800000001</v>
      </c>
      <c r="K2874" s="405">
        <v>32.372999999999998</v>
      </c>
      <c r="L2874" s="405" t="s">
        <v>314</v>
      </c>
      <c r="M2874" s="405" t="s">
        <v>361</v>
      </c>
      <c r="N2874" s="405" t="s">
        <v>6471</v>
      </c>
      <c r="O2874" s="405" t="s">
        <v>6471</v>
      </c>
      <c r="P2874" s="405" t="s">
        <v>6471</v>
      </c>
      <c r="Q2874" s="411">
        <v>6</v>
      </c>
      <c r="R2874" s="405" t="s">
        <v>5921</v>
      </c>
      <c r="S2874" s="405" t="s">
        <v>27255</v>
      </c>
      <c r="T2874" s="405" t="s">
        <v>32102</v>
      </c>
      <c r="U2874" s="405" t="s">
        <v>319</v>
      </c>
    </row>
    <row r="2875" spans="1:21" x14ac:dyDescent="0.25">
      <c r="A2875" s="405" t="s">
        <v>310</v>
      </c>
      <c r="B2875" s="405" t="s">
        <v>15858</v>
      </c>
      <c r="C2875" s="405" t="s">
        <v>327</v>
      </c>
      <c r="D2875" s="405"/>
      <c r="E2875" s="410">
        <v>42954</v>
      </c>
      <c r="F2875" s="410">
        <v>42999</v>
      </c>
      <c r="G2875" s="405" t="s">
        <v>15859</v>
      </c>
      <c r="H2875" s="405">
        <v>701369803</v>
      </c>
      <c r="I2875" s="405"/>
      <c r="J2875" s="405">
        <v>1.3343320000000001</v>
      </c>
      <c r="K2875" s="405">
        <v>34.404536999999998</v>
      </c>
      <c r="L2875" s="405" t="s">
        <v>6866</v>
      </c>
      <c r="M2875" s="405" t="s">
        <v>9685</v>
      </c>
      <c r="N2875" s="405" t="s">
        <v>9686</v>
      </c>
      <c r="O2875" s="405" t="s">
        <v>14983</v>
      </c>
      <c r="P2875" s="405" t="s">
        <v>15860</v>
      </c>
      <c r="Q2875" s="411">
        <v>6</v>
      </c>
      <c r="R2875" s="405" t="s">
        <v>9506</v>
      </c>
      <c r="S2875" s="405" t="s">
        <v>27353</v>
      </c>
      <c r="T2875" s="405" t="s">
        <v>32102</v>
      </c>
      <c r="U2875" s="405" t="s">
        <v>319</v>
      </c>
    </row>
    <row r="2876" spans="1:21" x14ac:dyDescent="0.25">
      <c r="A2876" s="405" t="s">
        <v>310</v>
      </c>
      <c r="B2876" s="405" t="s">
        <v>23439</v>
      </c>
      <c r="C2876" s="405" t="s">
        <v>327</v>
      </c>
      <c r="D2876" s="405"/>
      <c r="E2876" s="410">
        <v>42952</v>
      </c>
      <c r="F2876" s="410">
        <v>43003</v>
      </c>
      <c r="G2876" s="405" t="s">
        <v>23440</v>
      </c>
      <c r="H2876" s="405">
        <v>782827432</v>
      </c>
      <c r="I2876" s="405"/>
      <c r="J2876" s="405">
        <v>0.65203999999999995</v>
      </c>
      <c r="K2876" s="405">
        <v>30.259612000000001</v>
      </c>
      <c r="L2876" s="405" t="s">
        <v>590</v>
      </c>
      <c r="M2876" s="405" t="s">
        <v>20125</v>
      </c>
      <c r="N2876" s="405" t="s">
        <v>23441</v>
      </c>
      <c r="O2876" s="405" t="s">
        <v>20823</v>
      </c>
      <c r="P2876" s="405" t="s">
        <v>23442</v>
      </c>
      <c r="Q2876" s="411">
        <v>9</v>
      </c>
      <c r="R2876" s="405" t="s">
        <v>5665</v>
      </c>
      <c r="S2876" s="405" t="s">
        <v>27422</v>
      </c>
      <c r="T2876" s="405" t="s">
        <v>32102</v>
      </c>
      <c r="U2876" s="405" t="s">
        <v>319</v>
      </c>
    </row>
    <row r="2877" spans="1:21" x14ac:dyDescent="0.25">
      <c r="A2877" s="405" t="s">
        <v>310</v>
      </c>
      <c r="B2877" s="405" t="s">
        <v>6502</v>
      </c>
      <c r="C2877" s="405" t="s">
        <v>327</v>
      </c>
      <c r="D2877" s="405"/>
      <c r="E2877" s="410">
        <v>42952</v>
      </c>
      <c r="F2877" s="410">
        <v>43029</v>
      </c>
      <c r="G2877" s="405" t="s">
        <v>6503</v>
      </c>
      <c r="H2877" s="405">
        <v>782740761</v>
      </c>
      <c r="I2877" s="405">
        <v>775127345</v>
      </c>
      <c r="J2877" s="405">
        <v>0.16195799999999999</v>
      </c>
      <c r="K2877" s="405">
        <v>32.066327999999999</v>
      </c>
      <c r="L2877" s="405" t="s">
        <v>314</v>
      </c>
      <c r="M2877" s="405" t="s">
        <v>339</v>
      </c>
      <c r="N2877" s="405" t="s">
        <v>339</v>
      </c>
      <c r="O2877" s="405" t="s">
        <v>5766</v>
      </c>
      <c r="P2877" s="405" t="s">
        <v>6504</v>
      </c>
      <c r="Q2877" s="411">
        <v>6</v>
      </c>
      <c r="R2877" s="405" t="s">
        <v>32101</v>
      </c>
      <c r="S2877" s="405" t="s">
        <v>27193</v>
      </c>
      <c r="T2877" s="405" t="s">
        <v>32102</v>
      </c>
      <c r="U2877" s="405" t="s">
        <v>319</v>
      </c>
    </row>
    <row r="2878" spans="1:21" x14ac:dyDescent="0.25">
      <c r="A2878" s="405" t="s">
        <v>310</v>
      </c>
      <c r="B2878" s="405" t="s">
        <v>23464</v>
      </c>
      <c r="C2878" s="405" t="s">
        <v>327</v>
      </c>
      <c r="D2878" s="405"/>
      <c r="E2878" s="410">
        <v>42952</v>
      </c>
      <c r="F2878" s="410">
        <v>43005</v>
      </c>
      <c r="G2878" s="405" t="s">
        <v>23465</v>
      </c>
      <c r="H2878" s="405">
        <v>772689634</v>
      </c>
      <c r="I2878" s="405"/>
      <c r="J2878" s="405">
        <v>-0.156948</v>
      </c>
      <c r="K2878" s="405">
        <v>30.428792999999999</v>
      </c>
      <c r="L2878" s="405" t="s">
        <v>590</v>
      </c>
      <c r="M2878" s="405" t="s">
        <v>19720</v>
      </c>
      <c r="N2878" s="405" t="s">
        <v>20297</v>
      </c>
      <c r="O2878" s="405" t="s">
        <v>22654</v>
      </c>
      <c r="P2878" s="405" t="s">
        <v>22647</v>
      </c>
      <c r="Q2878" s="411">
        <v>6</v>
      </c>
      <c r="R2878" s="405" t="s">
        <v>6013</v>
      </c>
      <c r="S2878" s="405" t="s">
        <v>27161</v>
      </c>
      <c r="T2878" s="405" t="s">
        <v>32102</v>
      </c>
      <c r="U2878" s="405" t="s">
        <v>319</v>
      </c>
    </row>
    <row r="2879" spans="1:21" x14ac:dyDescent="0.25">
      <c r="A2879" s="405" t="s">
        <v>310</v>
      </c>
      <c r="B2879" s="405" t="s">
        <v>23458</v>
      </c>
      <c r="C2879" s="405" t="s">
        <v>327</v>
      </c>
      <c r="D2879" s="405"/>
      <c r="E2879" s="410">
        <v>42952</v>
      </c>
      <c r="F2879" s="410">
        <v>43003</v>
      </c>
      <c r="G2879" s="405" t="s">
        <v>23459</v>
      </c>
      <c r="H2879" s="405">
        <v>779140916</v>
      </c>
      <c r="I2879" s="405">
        <v>772768154</v>
      </c>
      <c r="J2879" s="405">
        <v>-0.15743499999999999</v>
      </c>
      <c r="K2879" s="405">
        <v>30.414757999999999</v>
      </c>
      <c r="L2879" s="405" t="s">
        <v>590</v>
      </c>
      <c r="M2879" s="405" t="s">
        <v>19720</v>
      </c>
      <c r="N2879" s="405" t="s">
        <v>20297</v>
      </c>
      <c r="O2879" s="405" t="s">
        <v>22654</v>
      </c>
      <c r="P2879" s="405" t="s">
        <v>23457</v>
      </c>
      <c r="Q2879" s="411">
        <v>6</v>
      </c>
      <c r="R2879" s="405" t="s">
        <v>6013</v>
      </c>
      <c r="S2879" s="405" t="s">
        <v>27205</v>
      </c>
      <c r="T2879" s="405" t="s">
        <v>32102</v>
      </c>
      <c r="U2879" s="405" t="s">
        <v>319</v>
      </c>
    </row>
    <row r="2880" spans="1:21" x14ac:dyDescent="0.25">
      <c r="A2880" s="405" t="s">
        <v>310</v>
      </c>
      <c r="B2880" s="405" t="s">
        <v>23455</v>
      </c>
      <c r="C2880" s="405" t="s">
        <v>327</v>
      </c>
      <c r="D2880" s="405"/>
      <c r="E2880" s="410">
        <v>42952</v>
      </c>
      <c r="F2880" s="410">
        <v>42998</v>
      </c>
      <c r="G2880" s="405" t="s">
        <v>23456</v>
      </c>
      <c r="H2880" s="405">
        <v>776291528</v>
      </c>
      <c r="I2880" s="405"/>
      <c r="J2880" s="405">
        <v>-0.16178500000000001</v>
      </c>
      <c r="K2880" s="405">
        <v>30.413250000000001</v>
      </c>
      <c r="L2880" s="405" t="s">
        <v>590</v>
      </c>
      <c r="M2880" s="405" t="s">
        <v>19720</v>
      </c>
      <c r="N2880" s="405" t="s">
        <v>20297</v>
      </c>
      <c r="O2880" s="405" t="s">
        <v>22654</v>
      </c>
      <c r="P2880" s="405" t="s">
        <v>23457</v>
      </c>
      <c r="Q2880" s="411">
        <v>6</v>
      </c>
      <c r="R2880" s="405" t="s">
        <v>6013</v>
      </c>
      <c r="S2880" s="405" t="s">
        <v>27301</v>
      </c>
      <c r="T2880" s="405" t="s">
        <v>32102</v>
      </c>
      <c r="U2880" s="405" t="s">
        <v>319</v>
      </c>
    </row>
    <row r="2881" spans="1:21" x14ac:dyDescent="0.25">
      <c r="A2881" s="405" t="s">
        <v>310</v>
      </c>
      <c r="B2881" s="405" t="s">
        <v>6457</v>
      </c>
      <c r="C2881" s="405" t="s">
        <v>327</v>
      </c>
      <c r="D2881" s="405"/>
      <c r="E2881" s="410">
        <v>42952</v>
      </c>
      <c r="F2881" s="410">
        <v>42997</v>
      </c>
      <c r="G2881" s="405" t="s">
        <v>6458</v>
      </c>
      <c r="H2881" s="405">
        <v>756844608</v>
      </c>
      <c r="I2881" s="405"/>
      <c r="J2881" s="405">
        <v>0.313467</v>
      </c>
      <c r="K2881" s="405">
        <v>31.847100000000001</v>
      </c>
      <c r="L2881" s="405" t="s">
        <v>314</v>
      </c>
      <c r="M2881" s="405" t="s">
        <v>382</v>
      </c>
      <c r="N2881" s="405" t="s">
        <v>2265</v>
      </c>
      <c r="O2881" s="405" t="s">
        <v>6459</v>
      </c>
      <c r="P2881" s="405" t="s">
        <v>6460</v>
      </c>
      <c r="Q2881" s="411">
        <v>6</v>
      </c>
      <c r="R2881" s="405" t="s">
        <v>32101</v>
      </c>
      <c r="S2881" s="405" t="s">
        <v>27186</v>
      </c>
      <c r="T2881" s="405" t="s">
        <v>32102</v>
      </c>
      <c r="U2881" s="405" t="s">
        <v>319</v>
      </c>
    </row>
    <row r="2882" spans="1:21" x14ac:dyDescent="0.25">
      <c r="A2882" s="405" t="s">
        <v>310</v>
      </c>
      <c r="B2882" s="405" t="s">
        <v>23452</v>
      </c>
      <c r="C2882" s="405" t="s">
        <v>327</v>
      </c>
      <c r="D2882" s="405"/>
      <c r="E2882" s="410">
        <v>42952</v>
      </c>
      <c r="F2882" s="410">
        <v>42993</v>
      </c>
      <c r="G2882" s="405" t="s">
        <v>23453</v>
      </c>
      <c r="H2882" s="405">
        <v>759639340</v>
      </c>
      <c r="I2882" s="405"/>
      <c r="J2882" s="405">
        <v>-8.2702999999999999E-2</v>
      </c>
      <c r="K2882" s="405">
        <v>30.356000000000002</v>
      </c>
      <c r="L2882" s="405" t="s">
        <v>590</v>
      </c>
      <c r="M2882" s="405" t="s">
        <v>19720</v>
      </c>
      <c r="N2882" s="405" t="s">
        <v>20297</v>
      </c>
      <c r="O2882" s="405" t="s">
        <v>22746</v>
      </c>
      <c r="P2882" s="405" t="s">
        <v>23454</v>
      </c>
      <c r="Q2882" s="411">
        <v>6</v>
      </c>
      <c r="R2882" s="405" t="s">
        <v>6013</v>
      </c>
      <c r="S2882" s="405" t="s">
        <v>27423</v>
      </c>
      <c r="T2882" s="405" t="s">
        <v>32102</v>
      </c>
      <c r="U2882" s="405" t="s">
        <v>319</v>
      </c>
    </row>
    <row r="2883" spans="1:21" x14ac:dyDescent="0.25">
      <c r="A2883" s="405" t="s">
        <v>310</v>
      </c>
      <c r="B2883" s="405" t="s">
        <v>6372</v>
      </c>
      <c r="C2883" s="405" t="s">
        <v>327</v>
      </c>
      <c r="D2883" s="405"/>
      <c r="E2883" s="410">
        <v>42952</v>
      </c>
      <c r="F2883" s="410">
        <v>42962</v>
      </c>
      <c r="G2883" s="405" t="s">
        <v>6373</v>
      </c>
      <c r="H2883" s="405">
        <v>753786955</v>
      </c>
      <c r="I2883" s="405"/>
      <c r="J2883" s="405">
        <v>0.68586499999999995</v>
      </c>
      <c r="K2883" s="405">
        <v>32.889066999999997</v>
      </c>
      <c r="L2883" s="405" t="s">
        <v>314</v>
      </c>
      <c r="M2883" s="405" t="s">
        <v>502</v>
      </c>
      <c r="N2883" s="405" t="s">
        <v>1229</v>
      </c>
      <c r="O2883" s="405" t="s">
        <v>6374</v>
      </c>
      <c r="P2883" s="405" t="s">
        <v>3354</v>
      </c>
      <c r="Q2883" s="411">
        <v>6</v>
      </c>
      <c r="R2883" s="405" t="s">
        <v>5921</v>
      </c>
      <c r="S2883" s="405" t="s">
        <v>27255</v>
      </c>
      <c r="T2883" s="405" t="s">
        <v>32102</v>
      </c>
      <c r="U2883" s="405" t="s">
        <v>319</v>
      </c>
    </row>
    <row r="2884" spans="1:21" x14ac:dyDescent="0.25">
      <c r="A2884" s="405" t="s">
        <v>310</v>
      </c>
      <c r="B2884" s="405" t="s">
        <v>6437</v>
      </c>
      <c r="C2884" s="405" t="s">
        <v>327</v>
      </c>
      <c r="D2884" s="405"/>
      <c r="E2884" s="410">
        <v>42951</v>
      </c>
      <c r="F2884" s="410">
        <v>42990</v>
      </c>
      <c r="G2884" s="405" t="s">
        <v>6438</v>
      </c>
      <c r="H2884" s="405">
        <v>772594660</v>
      </c>
      <c r="I2884" s="405"/>
      <c r="J2884" s="405">
        <v>0.15809500000000001</v>
      </c>
      <c r="K2884" s="405">
        <v>32.481802000000002</v>
      </c>
      <c r="L2884" s="405" t="s">
        <v>314</v>
      </c>
      <c r="M2884" s="405" t="s">
        <v>361</v>
      </c>
      <c r="N2884" s="405" t="s">
        <v>5838</v>
      </c>
      <c r="O2884" s="405" t="s">
        <v>6439</v>
      </c>
      <c r="P2884" s="405" t="s">
        <v>6440</v>
      </c>
      <c r="Q2884" s="411">
        <v>13</v>
      </c>
      <c r="R2884" s="405" t="s">
        <v>5336</v>
      </c>
      <c r="S2884" s="405" t="s">
        <v>27049</v>
      </c>
      <c r="T2884" s="405" t="s">
        <v>32102</v>
      </c>
      <c r="U2884" s="405" t="s">
        <v>319</v>
      </c>
    </row>
    <row r="2885" spans="1:21" x14ac:dyDescent="0.25">
      <c r="A2885" s="405" t="s">
        <v>310</v>
      </c>
      <c r="B2885" s="405" t="s">
        <v>6723</v>
      </c>
      <c r="C2885" s="405" t="s">
        <v>327</v>
      </c>
      <c r="D2885" s="405"/>
      <c r="E2885" s="410">
        <v>42951</v>
      </c>
      <c r="F2885" s="410">
        <v>43113</v>
      </c>
      <c r="G2885" s="405" t="s">
        <v>6724</v>
      </c>
      <c r="H2885" s="405">
        <v>705284367</v>
      </c>
      <c r="I2885" s="405"/>
      <c r="J2885" s="405">
        <v>-0.76947200000000004</v>
      </c>
      <c r="K2885" s="405">
        <v>30.80097</v>
      </c>
      <c r="L2885" s="405" t="s">
        <v>314</v>
      </c>
      <c r="M2885" s="405" t="s">
        <v>361</v>
      </c>
      <c r="N2885" s="405" t="s">
        <v>3049</v>
      </c>
      <c r="O2885" s="405" t="s">
        <v>3049</v>
      </c>
      <c r="P2885" s="405" t="s">
        <v>3049</v>
      </c>
      <c r="Q2885" s="411">
        <v>6</v>
      </c>
      <c r="R2885" s="405" t="s">
        <v>5921</v>
      </c>
      <c r="S2885" s="405" t="s">
        <v>27255</v>
      </c>
      <c r="T2885" s="405" t="s">
        <v>32102</v>
      </c>
      <c r="U2885" s="405" t="s">
        <v>319</v>
      </c>
    </row>
    <row r="2886" spans="1:21" x14ac:dyDescent="0.25">
      <c r="A2886" s="405" t="s">
        <v>310</v>
      </c>
      <c r="B2886" s="405" t="s">
        <v>6370</v>
      </c>
      <c r="C2886" s="405" t="s">
        <v>327</v>
      </c>
      <c r="D2886" s="405"/>
      <c r="E2886" s="410">
        <v>42951</v>
      </c>
      <c r="F2886" s="410">
        <v>42967</v>
      </c>
      <c r="G2886" s="405" t="s">
        <v>6371</v>
      </c>
      <c r="H2886" s="405">
        <v>701572143</v>
      </c>
      <c r="I2886" s="405"/>
      <c r="J2886" s="405">
        <v>0.34087000000000001</v>
      </c>
      <c r="K2886" s="405">
        <v>32.827061999999998</v>
      </c>
      <c r="L2886" s="405" t="s">
        <v>314</v>
      </c>
      <c r="M2886" s="405" t="s">
        <v>349</v>
      </c>
      <c r="N2886" s="405" t="s">
        <v>803</v>
      </c>
      <c r="O2886" s="405" t="s">
        <v>653</v>
      </c>
      <c r="P2886" s="405" t="s">
        <v>2234</v>
      </c>
      <c r="Q2886" s="411">
        <v>6</v>
      </c>
      <c r="R2886" s="405" t="s">
        <v>5921</v>
      </c>
      <c r="S2886" s="405" t="s">
        <v>27255</v>
      </c>
      <c r="T2886" s="405" t="s">
        <v>32102</v>
      </c>
      <c r="U2886" s="405" t="s">
        <v>319</v>
      </c>
    </row>
    <row r="2887" spans="1:21" x14ac:dyDescent="0.25">
      <c r="A2887" s="405" t="s">
        <v>310</v>
      </c>
      <c r="B2887" s="405" t="s">
        <v>15918</v>
      </c>
      <c r="C2887" s="405" t="s">
        <v>327</v>
      </c>
      <c r="D2887" s="405"/>
      <c r="E2887" s="410">
        <v>42950</v>
      </c>
      <c r="F2887" s="410">
        <v>42981</v>
      </c>
      <c r="G2887" s="405" t="s">
        <v>15919</v>
      </c>
      <c r="H2887" s="405">
        <v>781004920</v>
      </c>
      <c r="I2887" s="405">
        <v>700320094</v>
      </c>
      <c r="J2887" s="405">
        <v>0.66866700000000001</v>
      </c>
      <c r="K2887" s="405">
        <v>33.380788000000003</v>
      </c>
      <c r="L2887" s="405" t="s">
        <v>6866</v>
      </c>
      <c r="M2887" s="405" t="s">
        <v>11128</v>
      </c>
      <c r="N2887" s="405" t="s">
        <v>11128</v>
      </c>
      <c r="O2887" s="405" t="s">
        <v>12376</v>
      </c>
      <c r="P2887" s="405" t="s">
        <v>15920</v>
      </c>
      <c r="Q2887" s="411">
        <v>9</v>
      </c>
      <c r="R2887" s="405" t="s">
        <v>6822</v>
      </c>
      <c r="S2887" s="405" t="s">
        <v>27174</v>
      </c>
      <c r="T2887" s="405" t="s">
        <v>32102</v>
      </c>
      <c r="U2887" s="405" t="s">
        <v>319</v>
      </c>
    </row>
    <row r="2888" spans="1:21" x14ac:dyDescent="0.25">
      <c r="A2888" s="405" t="s">
        <v>310</v>
      </c>
      <c r="B2888" s="405" t="s">
        <v>15843</v>
      </c>
      <c r="C2888" s="405" t="s">
        <v>327</v>
      </c>
      <c r="D2888" s="405"/>
      <c r="E2888" s="410">
        <v>42950</v>
      </c>
      <c r="F2888" s="410">
        <v>42995</v>
      </c>
      <c r="G2888" s="405" t="s">
        <v>15844</v>
      </c>
      <c r="H2888" s="405">
        <v>778333196</v>
      </c>
      <c r="I2888" s="405">
        <v>775346313</v>
      </c>
      <c r="J2888" s="405">
        <v>1.409133</v>
      </c>
      <c r="K2888" s="405">
        <v>34.562517999999997</v>
      </c>
      <c r="L2888" s="405" t="s">
        <v>6866</v>
      </c>
      <c r="M2888" s="405" t="s">
        <v>9705</v>
      </c>
      <c r="N2888" s="405" t="s">
        <v>9705</v>
      </c>
      <c r="O2888" s="405" t="s">
        <v>10311</v>
      </c>
      <c r="P2888" s="405" t="s">
        <v>15845</v>
      </c>
      <c r="Q2888" s="411">
        <v>6</v>
      </c>
      <c r="R2888" s="405" t="s">
        <v>9506</v>
      </c>
      <c r="S2888" s="405" t="s">
        <v>27041</v>
      </c>
      <c r="T2888" s="405" t="s">
        <v>32102</v>
      </c>
      <c r="U2888" s="405" t="s">
        <v>319</v>
      </c>
    </row>
    <row r="2889" spans="1:21" x14ac:dyDescent="0.25">
      <c r="A2889" s="405" t="s">
        <v>310</v>
      </c>
      <c r="B2889" s="405" t="s">
        <v>6433</v>
      </c>
      <c r="C2889" s="405" t="s">
        <v>327</v>
      </c>
      <c r="D2889" s="405"/>
      <c r="E2889" s="410">
        <v>42950</v>
      </c>
      <c r="F2889" s="410">
        <v>42995</v>
      </c>
      <c r="G2889" s="405" t="s">
        <v>6434</v>
      </c>
      <c r="H2889" s="405">
        <v>772500689</v>
      </c>
      <c r="I2889" s="405"/>
      <c r="J2889" s="405">
        <v>0.39753300000000003</v>
      </c>
      <c r="K2889" s="405">
        <v>32.566828000000001</v>
      </c>
      <c r="L2889" s="405" t="s">
        <v>314</v>
      </c>
      <c r="M2889" s="405" t="s">
        <v>992</v>
      </c>
      <c r="N2889" s="405" t="s">
        <v>5902</v>
      </c>
      <c r="O2889" s="405" t="s">
        <v>6218</v>
      </c>
      <c r="P2889" s="405" t="s">
        <v>5707</v>
      </c>
      <c r="Q2889" s="411">
        <v>6</v>
      </c>
      <c r="R2889" s="405" t="s">
        <v>4176</v>
      </c>
      <c r="S2889" s="405" t="s">
        <v>27193</v>
      </c>
      <c r="T2889" s="405" t="s">
        <v>32102</v>
      </c>
      <c r="U2889" s="405" t="s">
        <v>319</v>
      </c>
    </row>
    <row r="2890" spans="1:21" x14ac:dyDescent="0.25">
      <c r="A2890" s="405" t="s">
        <v>310</v>
      </c>
      <c r="B2890" s="405" t="s">
        <v>15921</v>
      </c>
      <c r="C2890" s="405" t="s">
        <v>327</v>
      </c>
      <c r="D2890" s="405"/>
      <c r="E2890" s="410">
        <v>42950</v>
      </c>
      <c r="F2890" s="410">
        <v>42981</v>
      </c>
      <c r="G2890" s="405" t="s">
        <v>15922</v>
      </c>
      <c r="H2890" s="405">
        <v>702267883</v>
      </c>
      <c r="I2890" s="405">
        <v>787812439</v>
      </c>
      <c r="J2890" s="405">
        <v>0.47021000000000002</v>
      </c>
      <c r="K2890" s="405">
        <v>33.251576999999997</v>
      </c>
      <c r="L2890" s="405" t="s">
        <v>6866</v>
      </c>
      <c r="M2890" s="405" t="s">
        <v>9590</v>
      </c>
      <c r="N2890" s="405" t="s">
        <v>9591</v>
      </c>
      <c r="O2890" s="405" t="s">
        <v>9592</v>
      </c>
      <c r="P2890" s="405" t="s">
        <v>15923</v>
      </c>
      <c r="Q2890" s="411">
        <v>6</v>
      </c>
      <c r="R2890" s="405" t="s">
        <v>6822</v>
      </c>
      <c r="S2890" s="405" t="s">
        <v>6822</v>
      </c>
      <c r="T2890" s="405" t="s">
        <v>32102</v>
      </c>
      <c r="U2890" s="405" t="s">
        <v>319</v>
      </c>
    </row>
    <row r="2891" spans="1:21" x14ac:dyDescent="0.25">
      <c r="A2891" s="405" t="s">
        <v>310</v>
      </c>
      <c r="B2891" s="405" t="s">
        <v>23401</v>
      </c>
      <c r="C2891" s="405" t="s">
        <v>327</v>
      </c>
      <c r="D2891" s="405"/>
      <c r="E2891" s="410">
        <v>42949</v>
      </c>
      <c r="F2891" s="410">
        <v>42994</v>
      </c>
      <c r="G2891" s="405" t="s">
        <v>23402</v>
      </c>
      <c r="H2891" s="405">
        <v>701441116</v>
      </c>
      <c r="I2891" s="405"/>
      <c r="J2891" s="405">
        <v>-0.183227</v>
      </c>
      <c r="K2891" s="405">
        <v>30.944967999999999</v>
      </c>
      <c r="L2891" s="405" t="s">
        <v>590</v>
      </c>
      <c r="M2891" s="405" t="s">
        <v>19705</v>
      </c>
      <c r="N2891" s="405" t="s">
        <v>19706</v>
      </c>
      <c r="O2891" s="405" t="s">
        <v>19707</v>
      </c>
      <c r="P2891" s="405" t="s">
        <v>23403</v>
      </c>
      <c r="Q2891" s="411">
        <v>9</v>
      </c>
      <c r="R2891" s="405" t="s">
        <v>874</v>
      </c>
      <c r="S2891" s="405" t="s">
        <v>27172</v>
      </c>
      <c r="T2891" s="405" t="s">
        <v>32102</v>
      </c>
      <c r="U2891" s="405" t="s">
        <v>319</v>
      </c>
    </row>
    <row r="2892" spans="1:21" x14ac:dyDescent="0.25">
      <c r="A2892" s="405" t="s">
        <v>310</v>
      </c>
      <c r="B2892" s="405" t="s">
        <v>15887</v>
      </c>
      <c r="C2892" s="405" t="s">
        <v>327</v>
      </c>
      <c r="D2892" s="405"/>
      <c r="E2892" s="410">
        <v>42949</v>
      </c>
      <c r="F2892" s="410">
        <v>43004</v>
      </c>
      <c r="G2892" s="405" t="s">
        <v>15888</v>
      </c>
      <c r="H2892" s="405">
        <v>755797404</v>
      </c>
      <c r="I2892" s="405"/>
      <c r="J2892" s="405">
        <v>1.287153</v>
      </c>
      <c r="K2892" s="405">
        <v>34.355696999999999</v>
      </c>
      <c r="L2892" s="405" t="s">
        <v>6866</v>
      </c>
      <c r="M2892" s="405" t="s">
        <v>9550</v>
      </c>
      <c r="N2892" s="405" t="s">
        <v>9638</v>
      </c>
      <c r="O2892" s="405" t="s">
        <v>14815</v>
      </c>
      <c r="P2892" s="405" t="s">
        <v>15889</v>
      </c>
      <c r="Q2892" s="411">
        <v>6</v>
      </c>
      <c r="R2892" s="405" t="s">
        <v>6871</v>
      </c>
      <c r="S2892" s="405" t="s">
        <v>27074</v>
      </c>
      <c r="T2892" s="405" t="s">
        <v>32102</v>
      </c>
      <c r="U2892" s="405" t="s">
        <v>319</v>
      </c>
    </row>
    <row r="2893" spans="1:21" x14ac:dyDescent="0.25">
      <c r="A2893" s="405" t="s">
        <v>310</v>
      </c>
      <c r="B2893" s="405" t="s">
        <v>15880</v>
      </c>
      <c r="C2893" s="405" t="s">
        <v>327</v>
      </c>
      <c r="D2893" s="405"/>
      <c r="E2893" s="410">
        <v>42949</v>
      </c>
      <c r="F2893" s="410">
        <v>42994</v>
      </c>
      <c r="G2893" s="405" t="s">
        <v>15881</v>
      </c>
      <c r="H2893" s="405">
        <v>770632253</v>
      </c>
      <c r="I2893" s="405"/>
      <c r="J2893" s="405">
        <v>1.2791030000000001</v>
      </c>
      <c r="K2893" s="405">
        <v>34.372100000000003</v>
      </c>
      <c r="L2893" s="405" t="s">
        <v>6866</v>
      </c>
      <c r="M2893" s="405" t="s">
        <v>9550</v>
      </c>
      <c r="N2893" s="405" t="s">
        <v>9550</v>
      </c>
      <c r="O2893" s="405" t="s">
        <v>12532</v>
      </c>
      <c r="P2893" s="405" t="s">
        <v>15882</v>
      </c>
      <c r="Q2893" s="411">
        <v>6</v>
      </c>
      <c r="R2893" s="405" t="s">
        <v>6871</v>
      </c>
      <c r="S2893" s="405" t="s">
        <v>27107</v>
      </c>
      <c r="T2893" s="405" t="s">
        <v>32102</v>
      </c>
      <c r="U2893" s="405" t="s">
        <v>319</v>
      </c>
    </row>
    <row r="2894" spans="1:21" x14ac:dyDescent="0.25">
      <c r="A2894" s="405" t="s">
        <v>310</v>
      </c>
      <c r="B2894" s="405" t="s">
        <v>15890</v>
      </c>
      <c r="C2894" s="405" t="s">
        <v>327</v>
      </c>
      <c r="D2894" s="405"/>
      <c r="E2894" s="410">
        <v>42949</v>
      </c>
      <c r="F2894" s="410">
        <v>42988</v>
      </c>
      <c r="G2894" s="405" t="s">
        <v>15891</v>
      </c>
      <c r="H2894" s="405">
        <v>705096817</v>
      </c>
      <c r="I2894" s="405">
        <v>753487492</v>
      </c>
      <c r="J2894" s="405">
        <v>1.179</v>
      </c>
      <c r="K2894" s="405">
        <v>34.212000000000003</v>
      </c>
      <c r="L2894" s="405" t="s">
        <v>6866</v>
      </c>
      <c r="M2894" s="405" t="s">
        <v>9550</v>
      </c>
      <c r="N2894" s="405" t="s">
        <v>9638</v>
      </c>
      <c r="O2894" s="405" t="s">
        <v>14815</v>
      </c>
      <c r="P2894" s="405" t="s">
        <v>15892</v>
      </c>
      <c r="Q2894" s="411">
        <v>6</v>
      </c>
      <c r="R2894" s="405" t="s">
        <v>6871</v>
      </c>
      <c r="S2894" s="405" t="s">
        <v>27306</v>
      </c>
      <c r="T2894" s="405" t="s">
        <v>32102</v>
      </c>
      <c r="U2894" s="405" t="s">
        <v>319</v>
      </c>
    </row>
    <row r="2895" spans="1:21" x14ac:dyDescent="0.25">
      <c r="A2895" s="405" t="s">
        <v>310</v>
      </c>
      <c r="B2895" s="405" t="s">
        <v>23417</v>
      </c>
      <c r="C2895" s="405" t="s">
        <v>327</v>
      </c>
      <c r="D2895" s="405"/>
      <c r="E2895" s="410">
        <v>42948</v>
      </c>
      <c r="F2895" s="410">
        <v>42987</v>
      </c>
      <c r="G2895" s="405" t="s">
        <v>23418</v>
      </c>
      <c r="H2895" s="405">
        <v>774639257</v>
      </c>
      <c r="I2895" s="405"/>
      <c r="J2895" s="405">
        <v>0.91003999999999996</v>
      </c>
      <c r="K2895" s="405">
        <v>30.905988000000001</v>
      </c>
      <c r="L2895" s="405" t="s">
        <v>590</v>
      </c>
      <c r="M2895" s="405" t="s">
        <v>7488</v>
      </c>
      <c r="N2895" s="405" t="s">
        <v>20667</v>
      </c>
      <c r="O2895" s="405" t="s">
        <v>23419</v>
      </c>
      <c r="P2895" s="405" t="s">
        <v>23420</v>
      </c>
      <c r="Q2895" s="411">
        <v>6</v>
      </c>
      <c r="R2895" s="405" t="s">
        <v>6397</v>
      </c>
      <c r="S2895" s="405" t="s">
        <v>22880</v>
      </c>
      <c r="T2895" s="405" t="s">
        <v>32102</v>
      </c>
      <c r="U2895" s="405" t="s">
        <v>319</v>
      </c>
    </row>
    <row r="2896" spans="1:21" x14ac:dyDescent="0.25">
      <c r="A2896" s="405" t="s">
        <v>310</v>
      </c>
      <c r="B2896" s="405" t="s">
        <v>28088</v>
      </c>
      <c r="C2896" s="405" t="s">
        <v>327</v>
      </c>
      <c r="D2896" s="405"/>
      <c r="E2896" s="410">
        <v>42947</v>
      </c>
      <c r="F2896" s="410">
        <v>42992</v>
      </c>
      <c r="G2896" s="405" t="s">
        <v>23429</v>
      </c>
      <c r="H2896" s="405">
        <v>782696528</v>
      </c>
      <c r="I2896" s="405"/>
      <c r="J2896" s="405">
        <v>0.96269300000000002</v>
      </c>
      <c r="K2896" s="405">
        <v>30.808167999999998</v>
      </c>
      <c r="L2896" s="405" t="s">
        <v>590</v>
      </c>
      <c r="M2896" s="405" t="s">
        <v>1851</v>
      </c>
      <c r="N2896" s="405" t="s">
        <v>22155</v>
      </c>
      <c r="O2896" s="405" t="s">
        <v>7488</v>
      </c>
      <c r="P2896" s="405" t="s">
        <v>23430</v>
      </c>
      <c r="Q2896" s="411">
        <v>6</v>
      </c>
      <c r="R2896" s="405" t="s">
        <v>6397</v>
      </c>
      <c r="S2896" s="405" t="s">
        <v>22880</v>
      </c>
      <c r="T2896" s="405" t="s">
        <v>32102</v>
      </c>
      <c r="U2896" s="405" t="s">
        <v>319</v>
      </c>
    </row>
    <row r="2897" spans="1:21" x14ac:dyDescent="0.25">
      <c r="A2897" s="405" t="s">
        <v>310</v>
      </c>
      <c r="B2897" s="405" t="s">
        <v>15852</v>
      </c>
      <c r="C2897" s="405" t="s">
        <v>327</v>
      </c>
      <c r="D2897" s="405"/>
      <c r="E2897" s="410">
        <v>42947</v>
      </c>
      <c r="F2897" s="410">
        <v>42992</v>
      </c>
      <c r="G2897" s="405" t="s">
        <v>15853</v>
      </c>
      <c r="H2897" s="405">
        <v>755593226</v>
      </c>
      <c r="I2897" s="405">
        <v>702609093</v>
      </c>
      <c r="J2897" s="405">
        <v>1.349102</v>
      </c>
      <c r="K2897" s="405">
        <v>34.359180000000002</v>
      </c>
      <c r="L2897" s="405" t="s">
        <v>6866</v>
      </c>
      <c r="M2897" s="405" t="s">
        <v>9685</v>
      </c>
      <c r="N2897" s="405" t="s">
        <v>9686</v>
      </c>
      <c r="O2897" s="405" t="s">
        <v>9966</v>
      </c>
      <c r="P2897" s="405" t="s">
        <v>15854</v>
      </c>
      <c r="Q2897" s="411">
        <v>6</v>
      </c>
      <c r="R2897" s="405" t="s">
        <v>9506</v>
      </c>
      <c r="S2897" s="405" t="s">
        <v>27072</v>
      </c>
      <c r="T2897" s="405" t="s">
        <v>32102</v>
      </c>
      <c r="U2897" s="405" t="s">
        <v>319</v>
      </c>
    </row>
    <row r="2898" spans="1:21" x14ac:dyDescent="0.25">
      <c r="A2898" s="405" t="s">
        <v>310</v>
      </c>
      <c r="B2898" s="405" t="s">
        <v>6359</v>
      </c>
      <c r="C2898" s="405" t="s">
        <v>327</v>
      </c>
      <c r="D2898" s="405"/>
      <c r="E2898" s="410">
        <v>42947</v>
      </c>
      <c r="F2898" s="410">
        <v>42959</v>
      </c>
      <c r="G2898" s="405" t="s">
        <v>6360</v>
      </c>
      <c r="H2898" s="405">
        <v>773363040</v>
      </c>
      <c r="I2898" s="405"/>
      <c r="J2898" s="405">
        <v>0.23885200000000001</v>
      </c>
      <c r="K2898" s="405">
        <v>32.493630000000003</v>
      </c>
      <c r="L2898" s="405" t="s">
        <v>314</v>
      </c>
      <c r="M2898" s="405" t="s">
        <v>361</v>
      </c>
      <c r="N2898" s="405" t="s">
        <v>1682</v>
      </c>
      <c r="O2898" s="405" t="s">
        <v>6361</v>
      </c>
      <c r="P2898" s="405" t="s">
        <v>6362</v>
      </c>
      <c r="Q2898" s="411">
        <v>6</v>
      </c>
      <c r="R2898" s="405" t="s">
        <v>4176</v>
      </c>
      <c r="S2898" s="405" t="s">
        <v>27053</v>
      </c>
      <c r="T2898" s="405" t="s">
        <v>32102</v>
      </c>
      <c r="U2898" s="405" t="s">
        <v>319</v>
      </c>
    </row>
    <row r="2899" spans="1:21" x14ac:dyDescent="0.25">
      <c r="A2899" s="405" t="s">
        <v>310</v>
      </c>
      <c r="B2899" s="405" t="s">
        <v>6387</v>
      </c>
      <c r="C2899" s="405" t="s">
        <v>327</v>
      </c>
      <c r="D2899" s="405"/>
      <c r="E2899" s="410">
        <v>42946</v>
      </c>
      <c r="F2899" s="410">
        <v>42992</v>
      </c>
      <c r="G2899" s="405" t="s">
        <v>6388</v>
      </c>
      <c r="H2899" s="405">
        <v>705693811</v>
      </c>
      <c r="I2899" s="405">
        <v>757015352</v>
      </c>
      <c r="J2899" s="405">
        <v>0.90832199999999996</v>
      </c>
      <c r="K2899" s="405">
        <v>31.768087999999999</v>
      </c>
      <c r="L2899" s="405" t="s">
        <v>314</v>
      </c>
      <c r="M2899" s="405" t="s">
        <v>2537</v>
      </c>
      <c r="N2899" s="405" t="s">
        <v>6389</v>
      </c>
      <c r="O2899" s="405" t="s">
        <v>6390</v>
      </c>
      <c r="P2899" s="405" t="s">
        <v>6391</v>
      </c>
      <c r="Q2899" s="411">
        <v>6</v>
      </c>
      <c r="R2899" s="405" t="s">
        <v>4176</v>
      </c>
      <c r="S2899" s="405" t="s">
        <v>27036</v>
      </c>
      <c r="T2899" s="405" t="s">
        <v>32102</v>
      </c>
      <c r="U2899" s="405" t="s">
        <v>319</v>
      </c>
    </row>
    <row r="2900" spans="1:21" x14ac:dyDescent="0.25">
      <c r="A2900" s="405" t="s">
        <v>310</v>
      </c>
      <c r="B2900" s="405" t="s">
        <v>6392</v>
      </c>
      <c r="C2900" s="405" t="s">
        <v>327</v>
      </c>
      <c r="D2900" s="405"/>
      <c r="E2900" s="410">
        <v>42946</v>
      </c>
      <c r="F2900" s="410">
        <v>42991</v>
      </c>
      <c r="G2900" s="405" t="s">
        <v>6393</v>
      </c>
      <c r="H2900" s="405">
        <v>751110903</v>
      </c>
      <c r="I2900" s="405">
        <v>782110903</v>
      </c>
      <c r="J2900" s="405">
        <v>1.0450299999999999</v>
      </c>
      <c r="K2900" s="405">
        <v>31.414788000000001</v>
      </c>
      <c r="L2900" s="405" t="s">
        <v>314</v>
      </c>
      <c r="M2900" s="405" t="s">
        <v>6394</v>
      </c>
      <c r="N2900" s="405" t="s">
        <v>6395</v>
      </c>
      <c r="O2900" s="405" t="s">
        <v>6396</v>
      </c>
      <c r="P2900" s="405" t="s">
        <v>6396</v>
      </c>
      <c r="Q2900" s="411">
        <v>6</v>
      </c>
      <c r="R2900" s="405" t="s">
        <v>6397</v>
      </c>
      <c r="S2900" s="405" t="s">
        <v>22880</v>
      </c>
      <c r="T2900" s="405" t="s">
        <v>32102</v>
      </c>
      <c r="U2900" s="405" t="s">
        <v>319</v>
      </c>
    </row>
    <row r="2901" spans="1:21" x14ac:dyDescent="0.25">
      <c r="A2901" s="405" t="s">
        <v>310</v>
      </c>
      <c r="B2901" s="405" t="s">
        <v>15849</v>
      </c>
      <c r="C2901" s="405" t="s">
        <v>327</v>
      </c>
      <c r="D2901" s="405"/>
      <c r="E2901" s="410">
        <v>42946</v>
      </c>
      <c r="F2901" s="410">
        <v>42991</v>
      </c>
      <c r="G2901" s="405" t="s">
        <v>15850</v>
      </c>
      <c r="H2901" s="405">
        <v>705967516</v>
      </c>
      <c r="I2901" s="405">
        <v>704738689</v>
      </c>
      <c r="J2901" s="405">
        <v>1.323475</v>
      </c>
      <c r="K2901" s="405">
        <v>34.343617000000002</v>
      </c>
      <c r="L2901" s="405" t="s">
        <v>6866</v>
      </c>
      <c r="M2901" s="405" t="s">
        <v>9685</v>
      </c>
      <c r="N2901" s="405" t="s">
        <v>9686</v>
      </c>
      <c r="O2901" s="405" t="s">
        <v>14908</v>
      </c>
      <c r="P2901" s="405" t="s">
        <v>15851</v>
      </c>
      <c r="Q2901" s="411">
        <v>6</v>
      </c>
      <c r="R2901" s="405" t="s">
        <v>9506</v>
      </c>
      <c r="S2901" s="405" t="s">
        <v>27353</v>
      </c>
      <c r="T2901" s="405" t="s">
        <v>32102</v>
      </c>
      <c r="U2901" s="405" t="s">
        <v>319</v>
      </c>
    </row>
    <row r="2902" spans="1:21" x14ac:dyDescent="0.25">
      <c r="A2902" s="405" t="s">
        <v>310</v>
      </c>
      <c r="B2902" s="405" t="s">
        <v>23343</v>
      </c>
      <c r="C2902" s="405" t="s">
        <v>327</v>
      </c>
      <c r="D2902" s="405"/>
      <c r="E2902" s="410">
        <v>42945</v>
      </c>
      <c r="F2902" s="410">
        <v>42990</v>
      </c>
      <c r="G2902" s="405" t="s">
        <v>23344</v>
      </c>
      <c r="H2902" s="405">
        <v>772513544</v>
      </c>
      <c r="I2902" s="405">
        <v>772981076</v>
      </c>
      <c r="J2902" s="405">
        <v>0.36624299999999999</v>
      </c>
      <c r="K2902" s="405">
        <v>30.414936999999998</v>
      </c>
      <c r="L2902" s="405" t="s">
        <v>590</v>
      </c>
      <c r="M2902" s="405" t="s">
        <v>19720</v>
      </c>
      <c r="N2902" s="405" t="s">
        <v>7352</v>
      </c>
      <c r="O2902" s="405" t="s">
        <v>21991</v>
      </c>
      <c r="P2902" s="405" t="s">
        <v>23345</v>
      </c>
      <c r="Q2902" s="411">
        <v>9</v>
      </c>
      <c r="R2902" s="405" t="s">
        <v>6013</v>
      </c>
      <c r="S2902" s="405" t="s">
        <v>27163</v>
      </c>
      <c r="T2902" s="405" t="s">
        <v>32102</v>
      </c>
      <c r="U2902" s="405" t="s">
        <v>319</v>
      </c>
    </row>
    <row r="2903" spans="1:21" x14ac:dyDescent="0.25">
      <c r="A2903" s="405" t="s">
        <v>310</v>
      </c>
      <c r="B2903" s="405" t="s">
        <v>23340</v>
      </c>
      <c r="C2903" s="405" t="s">
        <v>857</v>
      </c>
      <c r="D2903" s="405" t="s">
        <v>33046</v>
      </c>
      <c r="E2903" s="410">
        <v>42945</v>
      </c>
      <c r="F2903" s="410">
        <v>42990</v>
      </c>
      <c r="G2903" s="405" t="s">
        <v>23341</v>
      </c>
      <c r="H2903" s="405">
        <v>771644641</v>
      </c>
      <c r="I2903" s="405"/>
      <c r="J2903" s="405">
        <v>0.34459299999999998</v>
      </c>
      <c r="K2903" s="405">
        <v>30.495918</v>
      </c>
      <c r="L2903" s="405" t="s">
        <v>590</v>
      </c>
      <c r="M2903" s="405" t="s">
        <v>19720</v>
      </c>
      <c r="N2903" s="405" t="s">
        <v>7352</v>
      </c>
      <c r="O2903" s="405" t="s">
        <v>20683</v>
      </c>
      <c r="P2903" s="405" t="s">
        <v>23342</v>
      </c>
      <c r="Q2903" s="411">
        <v>6</v>
      </c>
      <c r="R2903" s="405" t="s">
        <v>6013</v>
      </c>
      <c r="S2903" s="405" t="s">
        <v>27163</v>
      </c>
      <c r="T2903" s="405" t="s">
        <v>32102</v>
      </c>
      <c r="U2903" s="405" t="s">
        <v>319</v>
      </c>
    </row>
    <row r="2904" spans="1:21" x14ac:dyDescent="0.25">
      <c r="A2904" s="405" t="s">
        <v>310</v>
      </c>
      <c r="B2904" s="405" t="s">
        <v>23335</v>
      </c>
      <c r="C2904" s="405" t="s">
        <v>327</v>
      </c>
      <c r="D2904" s="405"/>
      <c r="E2904" s="410">
        <v>42945</v>
      </c>
      <c r="F2904" s="410">
        <v>42990</v>
      </c>
      <c r="G2904" s="405" t="s">
        <v>23336</v>
      </c>
      <c r="H2904" s="405">
        <v>777347576</v>
      </c>
      <c r="I2904" s="405">
        <v>788232323</v>
      </c>
      <c r="J2904" s="405">
        <v>0.106318</v>
      </c>
      <c r="K2904" s="405">
        <v>30.367037</v>
      </c>
      <c r="L2904" s="405" t="s">
        <v>590</v>
      </c>
      <c r="M2904" s="405" t="s">
        <v>19720</v>
      </c>
      <c r="N2904" s="405" t="s">
        <v>7352</v>
      </c>
      <c r="O2904" s="405" t="s">
        <v>22033</v>
      </c>
      <c r="P2904" s="405" t="s">
        <v>20195</v>
      </c>
      <c r="Q2904" s="411">
        <v>6</v>
      </c>
      <c r="R2904" s="405" t="s">
        <v>6013</v>
      </c>
      <c r="S2904" s="405" t="s">
        <v>27205</v>
      </c>
      <c r="T2904" s="405" t="s">
        <v>32102</v>
      </c>
      <c r="U2904" s="405" t="s">
        <v>319</v>
      </c>
    </row>
    <row r="2905" spans="1:21" x14ac:dyDescent="0.25">
      <c r="A2905" s="405" t="s">
        <v>310</v>
      </c>
      <c r="B2905" s="405" t="s">
        <v>6429</v>
      </c>
      <c r="C2905" s="405" t="s">
        <v>327</v>
      </c>
      <c r="D2905" s="405"/>
      <c r="E2905" s="410">
        <v>42945</v>
      </c>
      <c r="F2905" s="410">
        <v>42990</v>
      </c>
      <c r="G2905" s="405" t="s">
        <v>6430</v>
      </c>
      <c r="H2905" s="405">
        <v>702604572</v>
      </c>
      <c r="I2905" s="405">
        <v>772604572</v>
      </c>
      <c r="J2905" s="405">
        <v>0.37184699999999998</v>
      </c>
      <c r="K2905" s="405">
        <v>32.556528</v>
      </c>
      <c r="L2905" s="405" t="s">
        <v>314</v>
      </c>
      <c r="M2905" s="405" t="s">
        <v>992</v>
      </c>
      <c r="N2905" s="405" t="s">
        <v>5902</v>
      </c>
      <c r="O2905" s="405" t="s">
        <v>6431</v>
      </c>
      <c r="P2905" s="405" t="s">
        <v>6432</v>
      </c>
      <c r="Q2905" s="411">
        <v>6</v>
      </c>
      <c r="R2905" s="405" t="s">
        <v>4176</v>
      </c>
      <c r="S2905" s="405" t="s">
        <v>27186</v>
      </c>
      <c r="T2905" s="405" t="s">
        <v>32102</v>
      </c>
      <c r="U2905" s="405" t="s">
        <v>319</v>
      </c>
    </row>
    <row r="2906" spans="1:21" x14ac:dyDescent="0.25">
      <c r="A2906" s="405" t="s">
        <v>310</v>
      </c>
      <c r="B2906" s="405" t="s">
        <v>23392</v>
      </c>
      <c r="C2906" s="405" t="s">
        <v>327</v>
      </c>
      <c r="D2906" s="405"/>
      <c r="E2906" s="410">
        <v>42944</v>
      </c>
      <c r="F2906" s="410">
        <v>42989</v>
      </c>
      <c r="G2906" s="405" t="s">
        <v>23393</v>
      </c>
      <c r="H2906" s="405">
        <v>774923793</v>
      </c>
      <c r="I2906" s="405"/>
      <c r="J2906" s="405">
        <v>0.52900000000000003</v>
      </c>
      <c r="K2906" s="405">
        <v>29.4559</v>
      </c>
      <c r="L2906" s="405" t="s">
        <v>590</v>
      </c>
      <c r="M2906" s="405" t="s">
        <v>20808</v>
      </c>
      <c r="N2906" s="405" t="s">
        <v>23389</v>
      </c>
      <c r="O2906" s="405" t="s">
        <v>23390</v>
      </c>
      <c r="P2906" s="405" t="s">
        <v>23394</v>
      </c>
      <c r="Q2906" s="411">
        <v>9</v>
      </c>
      <c r="R2906" s="405" t="s">
        <v>6572</v>
      </c>
      <c r="S2906" s="405" t="s">
        <v>27166</v>
      </c>
      <c r="T2906" s="405" t="s">
        <v>32102</v>
      </c>
      <c r="U2906" s="405" t="s">
        <v>319</v>
      </c>
    </row>
    <row r="2907" spans="1:21" x14ac:dyDescent="0.25">
      <c r="A2907" s="405" t="s">
        <v>310</v>
      </c>
      <c r="B2907" s="405" t="s">
        <v>23447</v>
      </c>
      <c r="C2907" s="405" t="s">
        <v>327</v>
      </c>
      <c r="D2907" s="405"/>
      <c r="E2907" s="410">
        <v>42944</v>
      </c>
      <c r="F2907" s="410">
        <v>42989</v>
      </c>
      <c r="G2907" s="405" t="s">
        <v>23448</v>
      </c>
      <c r="H2907" s="405">
        <v>772837024</v>
      </c>
      <c r="I2907" s="405"/>
      <c r="J2907" s="405">
        <v>1.805787</v>
      </c>
      <c r="K2907" s="405">
        <v>31.999970000000001</v>
      </c>
      <c r="L2907" s="405" t="s">
        <v>590</v>
      </c>
      <c r="M2907" s="405" t="s">
        <v>591</v>
      </c>
      <c r="N2907" s="405" t="s">
        <v>3012</v>
      </c>
      <c r="O2907" s="405" t="s">
        <v>3012</v>
      </c>
      <c r="P2907" s="405" t="s">
        <v>3012</v>
      </c>
      <c r="Q2907" s="411">
        <v>6</v>
      </c>
      <c r="R2907" s="405" t="s">
        <v>5921</v>
      </c>
      <c r="S2907" s="405" t="s">
        <v>27255</v>
      </c>
      <c r="T2907" s="405" t="s">
        <v>32102</v>
      </c>
      <c r="U2907" s="405" t="s">
        <v>319</v>
      </c>
    </row>
    <row r="2908" spans="1:21" x14ac:dyDescent="0.25">
      <c r="A2908" s="405" t="s">
        <v>310</v>
      </c>
      <c r="B2908" s="405" t="s">
        <v>23411</v>
      </c>
      <c r="C2908" s="405" t="s">
        <v>327</v>
      </c>
      <c r="D2908" s="405"/>
      <c r="E2908" s="410">
        <v>42944</v>
      </c>
      <c r="F2908" s="410">
        <v>42989</v>
      </c>
      <c r="G2908" s="405" t="s">
        <v>23412</v>
      </c>
      <c r="H2908" s="405">
        <v>771975697</v>
      </c>
      <c r="I2908" s="405">
        <v>787053184</v>
      </c>
      <c r="J2908" s="405">
        <v>1.2755000000000001</v>
      </c>
      <c r="K2908" s="405">
        <v>31.242899999999999</v>
      </c>
      <c r="L2908" s="405" t="s">
        <v>590</v>
      </c>
      <c r="M2908" s="405" t="s">
        <v>7300</v>
      </c>
      <c r="N2908" s="405" t="s">
        <v>19880</v>
      </c>
      <c r="O2908" s="405" t="s">
        <v>19881</v>
      </c>
      <c r="P2908" s="405" t="s">
        <v>23413</v>
      </c>
      <c r="Q2908" s="411">
        <v>6</v>
      </c>
      <c r="R2908" s="405" t="s">
        <v>6397</v>
      </c>
      <c r="S2908" s="405" t="s">
        <v>22880</v>
      </c>
      <c r="T2908" s="405" t="s">
        <v>32102</v>
      </c>
      <c r="U2908" s="405" t="s">
        <v>319</v>
      </c>
    </row>
    <row r="2909" spans="1:21" x14ac:dyDescent="0.25">
      <c r="A2909" s="405" t="s">
        <v>310</v>
      </c>
      <c r="B2909" s="405" t="s">
        <v>23383</v>
      </c>
      <c r="C2909" s="405" t="s">
        <v>327</v>
      </c>
      <c r="D2909" s="405"/>
      <c r="E2909" s="410">
        <v>42944</v>
      </c>
      <c r="F2909" s="410">
        <v>42989</v>
      </c>
      <c r="G2909" s="405" t="s">
        <v>23384</v>
      </c>
      <c r="H2909" s="405">
        <v>788994358</v>
      </c>
      <c r="I2909" s="405"/>
      <c r="J2909" s="405">
        <v>0.53310000000000002</v>
      </c>
      <c r="K2909" s="405">
        <v>29.511500000000002</v>
      </c>
      <c r="L2909" s="405" t="s">
        <v>590</v>
      </c>
      <c r="M2909" s="405" t="s">
        <v>20808</v>
      </c>
      <c r="N2909" s="405" t="s">
        <v>23326</v>
      </c>
      <c r="O2909" s="405" t="s">
        <v>23385</v>
      </c>
      <c r="P2909" s="405" t="s">
        <v>23386</v>
      </c>
      <c r="Q2909" s="411">
        <v>6</v>
      </c>
      <c r="R2909" s="405" t="s">
        <v>6572</v>
      </c>
      <c r="S2909" s="405" t="s">
        <v>27240</v>
      </c>
      <c r="T2909" s="405" t="s">
        <v>32102</v>
      </c>
      <c r="U2909" s="405" t="s">
        <v>319</v>
      </c>
    </row>
    <row r="2910" spans="1:21" x14ac:dyDescent="0.25">
      <c r="A2910" s="405" t="s">
        <v>310</v>
      </c>
      <c r="B2910" s="405" t="s">
        <v>15877</v>
      </c>
      <c r="C2910" s="405" t="s">
        <v>327</v>
      </c>
      <c r="D2910" s="405"/>
      <c r="E2910" s="410">
        <v>42943</v>
      </c>
      <c r="F2910" s="410">
        <v>42988</v>
      </c>
      <c r="G2910" s="405" t="s">
        <v>15878</v>
      </c>
      <c r="H2910" s="405">
        <v>782848281</v>
      </c>
      <c r="I2910" s="405"/>
      <c r="J2910" s="405">
        <v>1.2658130000000001</v>
      </c>
      <c r="K2910" s="405">
        <v>34.326889999999999</v>
      </c>
      <c r="L2910" s="405" t="s">
        <v>6866</v>
      </c>
      <c r="M2910" s="405" t="s">
        <v>9550</v>
      </c>
      <c r="N2910" s="405" t="s">
        <v>9638</v>
      </c>
      <c r="O2910" s="405" t="s">
        <v>14815</v>
      </c>
      <c r="P2910" s="405" t="s">
        <v>15879</v>
      </c>
      <c r="Q2910" s="411">
        <v>6</v>
      </c>
      <c r="R2910" s="405" t="s">
        <v>6871</v>
      </c>
      <c r="S2910" s="405" t="s">
        <v>27107</v>
      </c>
      <c r="T2910" s="405" t="s">
        <v>32102</v>
      </c>
      <c r="U2910" s="405" t="s">
        <v>319</v>
      </c>
    </row>
    <row r="2911" spans="1:21" x14ac:dyDescent="0.25">
      <c r="A2911" s="405" t="s">
        <v>310</v>
      </c>
      <c r="B2911" s="405" t="s">
        <v>23414</v>
      </c>
      <c r="C2911" s="405" t="s">
        <v>327</v>
      </c>
      <c r="D2911" s="405"/>
      <c r="E2911" s="410">
        <v>42943</v>
      </c>
      <c r="F2911" s="410">
        <v>42982</v>
      </c>
      <c r="G2911" s="405" t="s">
        <v>23415</v>
      </c>
      <c r="H2911" s="405">
        <v>774288522</v>
      </c>
      <c r="I2911" s="405"/>
      <c r="J2911" s="405">
        <v>0.92572299999999996</v>
      </c>
      <c r="K2911" s="405">
        <v>30.793668</v>
      </c>
      <c r="L2911" s="405" t="s">
        <v>590</v>
      </c>
      <c r="M2911" s="405" t="s">
        <v>1851</v>
      </c>
      <c r="N2911" s="405" t="s">
        <v>22155</v>
      </c>
      <c r="O2911" s="405" t="s">
        <v>23416</v>
      </c>
      <c r="P2911" s="405" t="s">
        <v>5882</v>
      </c>
      <c r="Q2911" s="411">
        <v>6</v>
      </c>
      <c r="R2911" s="405" t="s">
        <v>6397</v>
      </c>
      <c r="S2911" s="405" t="s">
        <v>22880</v>
      </c>
      <c r="T2911" s="405" t="s">
        <v>32102</v>
      </c>
      <c r="U2911" s="405" t="s">
        <v>319</v>
      </c>
    </row>
    <row r="2912" spans="1:21" x14ac:dyDescent="0.25">
      <c r="A2912" s="405" t="s">
        <v>310</v>
      </c>
      <c r="B2912" s="405" t="s">
        <v>15759</v>
      </c>
      <c r="C2912" s="405" t="s">
        <v>327</v>
      </c>
      <c r="D2912" s="405"/>
      <c r="E2912" s="410">
        <v>42943</v>
      </c>
      <c r="F2912" s="410">
        <v>42957</v>
      </c>
      <c r="G2912" s="405" t="s">
        <v>15760</v>
      </c>
      <c r="H2912" s="405">
        <v>772977116</v>
      </c>
      <c r="I2912" s="405"/>
      <c r="J2912" s="405">
        <v>1.3857820000000001</v>
      </c>
      <c r="K2912" s="405">
        <v>34.483789999999999</v>
      </c>
      <c r="L2912" s="405" t="s">
        <v>6866</v>
      </c>
      <c r="M2912" s="405" t="s">
        <v>9705</v>
      </c>
      <c r="N2912" s="405" t="s">
        <v>9705</v>
      </c>
      <c r="O2912" s="405" t="s">
        <v>9706</v>
      </c>
      <c r="P2912" s="405" t="s">
        <v>15761</v>
      </c>
      <c r="Q2912" s="411">
        <v>6</v>
      </c>
      <c r="R2912" s="405" t="s">
        <v>9506</v>
      </c>
      <c r="S2912" s="405" t="s">
        <v>27259</v>
      </c>
      <c r="T2912" s="405" t="s">
        <v>32102</v>
      </c>
      <c r="U2912" s="405" t="s">
        <v>319</v>
      </c>
    </row>
    <row r="2913" spans="1:21" x14ac:dyDescent="0.25">
      <c r="A2913" s="405" t="s">
        <v>310</v>
      </c>
      <c r="B2913" s="405" t="s">
        <v>23327</v>
      </c>
      <c r="C2913" s="405" t="s">
        <v>327</v>
      </c>
      <c r="D2913" s="405"/>
      <c r="E2913" s="410">
        <v>42942</v>
      </c>
      <c r="F2913" s="410">
        <v>42987</v>
      </c>
      <c r="G2913" s="405" t="s">
        <v>23328</v>
      </c>
      <c r="H2913" s="405">
        <v>782361505</v>
      </c>
      <c r="I2913" s="405"/>
      <c r="J2913" s="405">
        <v>0.19054699999999999</v>
      </c>
      <c r="K2913" s="405">
        <v>30.444171999999998</v>
      </c>
      <c r="L2913" s="405" t="s">
        <v>590</v>
      </c>
      <c r="M2913" s="405" t="s">
        <v>19720</v>
      </c>
      <c r="N2913" s="405" t="s">
        <v>7352</v>
      </c>
      <c r="O2913" s="405" t="s">
        <v>22087</v>
      </c>
      <c r="P2913" s="405" t="s">
        <v>23329</v>
      </c>
      <c r="Q2913" s="411">
        <v>9</v>
      </c>
      <c r="R2913" s="405" t="s">
        <v>6013</v>
      </c>
      <c r="S2913" s="405" t="s">
        <v>27163</v>
      </c>
      <c r="T2913" s="405" t="s">
        <v>32102</v>
      </c>
      <c r="U2913" s="405" t="s">
        <v>319</v>
      </c>
    </row>
    <row r="2914" spans="1:21" x14ac:dyDescent="0.25">
      <c r="A2914" s="405" t="s">
        <v>310</v>
      </c>
      <c r="B2914" s="405" t="s">
        <v>15873</v>
      </c>
      <c r="C2914" s="405" t="s">
        <v>327</v>
      </c>
      <c r="D2914" s="405"/>
      <c r="E2914" s="410">
        <v>42942</v>
      </c>
      <c r="F2914" s="410">
        <v>42987</v>
      </c>
      <c r="G2914" s="405" t="s">
        <v>15874</v>
      </c>
      <c r="H2914" s="405">
        <v>778799966</v>
      </c>
      <c r="I2914" s="405"/>
      <c r="J2914" s="405">
        <v>1.25675</v>
      </c>
      <c r="K2914" s="405">
        <v>34.335782999999999</v>
      </c>
      <c r="L2914" s="405" t="s">
        <v>6866</v>
      </c>
      <c r="M2914" s="405" t="s">
        <v>9550</v>
      </c>
      <c r="N2914" s="405" t="s">
        <v>9638</v>
      </c>
      <c r="O2914" s="405" t="s">
        <v>15875</v>
      </c>
      <c r="P2914" s="405" t="s">
        <v>15876</v>
      </c>
      <c r="Q2914" s="411">
        <v>6</v>
      </c>
      <c r="R2914" s="405" t="s">
        <v>6871</v>
      </c>
      <c r="S2914" s="405" t="s">
        <v>27074</v>
      </c>
      <c r="T2914" s="405" t="s">
        <v>32102</v>
      </c>
      <c r="U2914" s="405" t="s">
        <v>319</v>
      </c>
    </row>
    <row r="2915" spans="1:21" x14ac:dyDescent="0.25">
      <c r="A2915" s="405" t="s">
        <v>310</v>
      </c>
      <c r="B2915" s="405" t="s">
        <v>15838</v>
      </c>
      <c r="C2915" s="405" t="s">
        <v>327</v>
      </c>
      <c r="D2915" s="405"/>
      <c r="E2915" s="410">
        <v>42942</v>
      </c>
      <c r="F2915" s="410">
        <v>42984</v>
      </c>
      <c r="G2915" s="405" t="s">
        <v>15839</v>
      </c>
      <c r="H2915" s="405">
        <v>773177120</v>
      </c>
      <c r="I2915" s="405"/>
      <c r="J2915" s="405">
        <v>1.3063750000000001</v>
      </c>
      <c r="K2915" s="405">
        <v>34.390729999999998</v>
      </c>
      <c r="L2915" s="405" t="s">
        <v>6866</v>
      </c>
      <c r="M2915" s="405" t="s">
        <v>9685</v>
      </c>
      <c r="N2915" s="405" t="s">
        <v>9686</v>
      </c>
      <c r="O2915" s="405" t="s">
        <v>15836</v>
      </c>
      <c r="P2915" s="405" t="s">
        <v>15840</v>
      </c>
      <c r="Q2915" s="411">
        <v>6</v>
      </c>
      <c r="R2915" s="405" t="s">
        <v>9506</v>
      </c>
      <c r="S2915" s="405" t="s">
        <v>27072</v>
      </c>
      <c r="T2915" s="405" t="s">
        <v>32102</v>
      </c>
      <c r="U2915" s="405" t="s">
        <v>319</v>
      </c>
    </row>
    <row r="2916" spans="1:21" x14ac:dyDescent="0.25">
      <c r="A2916" s="405" t="s">
        <v>310</v>
      </c>
      <c r="B2916" s="405" t="s">
        <v>6508</v>
      </c>
      <c r="C2916" s="405" t="s">
        <v>327</v>
      </c>
      <c r="D2916" s="405"/>
      <c r="E2916" s="410">
        <v>42941</v>
      </c>
      <c r="F2916" s="410">
        <v>43010</v>
      </c>
      <c r="G2916" s="405" t="s">
        <v>6509</v>
      </c>
      <c r="H2916" s="405">
        <v>752629808</v>
      </c>
      <c r="I2916" s="405">
        <v>782657232</v>
      </c>
      <c r="J2916" s="405">
        <v>0.19031699999999999</v>
      </c>
      <c r="K2916" s="405">
        <v>32.295537000000003</v>
      </c>
      <c r="L2916" s="405" t="s">
        <v>314</v>
      </c>
      <c r="M2916" s="405" t="s">
        <v>321</v>
      </c>
      <c r="N2916" s="405" t="s">
        <v>1244</v>
      </c>
      <c r="O2916" s="405" t="s">
        <v>996</v>
      </c>
      <c r="P2916" s="405" t="s">
        <v>1086</v>
      </c>
      <c r="Q2916" s="411">
        <v>9</v>
      </c>
      <c r="R2916" s="405" t="s">
        <v>414</v>
      </c>
      <c r="S2916" s="405" t="s">
        <v>414</v>
      </c>
      <c r="T2916" s="405" t="s">
        <v>32102</v>
      </c>
      <c r="U2916" s="405" t="s">
        <v>319</v>
      </c>
    </row>
    <row r="2917" spans="1:21" x14ac:dyDescent="0.25">
      <c r="A2917" s="405" t="s">
        <v>310</v>
      </c>
      <c r="B2917" s="405" t="s">
        <v>23398</v>
      </c>
      <c r="C2917" s="405" t="s">
        <v>327</v>
      </c>
      <c r="D2917" s="405"/>
      <c r="E2917" s="410">
        <v>42941</v>
      </c>
      <c r="F2917" s="410">
        <v>42986</v>
      </c>
      <c r="G2917" s="405" t="s">
        <v>23399</v>
      </c>
      <c r="H2917" s="405">
        <v>773188410</v>
      </c>
      <c r="I2917" s="405">
        <v>702399071</v>
      </c>
      <c r="J2917" s="405">
        <v>-0.22704199999999999</v>
      </c>
      <c r="K2917" s="405">
        <v>30.436679999999999</v>
      </c>
      <c r="L2917" s="405" t="s">
        <v>590</v>
      </c>
      <c r="M2917" s="405" t="s">
        <v>870</v>
      </c>
      <c r="N2917" s="405" t="s">
        <v>870</v>
      </c>
      <c r="O2917" s="405" t="s">
        <v>20208</v>
      </c>
      <c r="P2917" s="405" t="s">
        <v>23400</v>
      </c>
      <c r="Q2917" s="411">
        <v>9</v>
      </c>
      <c r="R2917" s="405" t="s">
        <v>5858</v>
      </c>
      <c r="S2917" s="405" t="s">
        <v>27063</v>
      </c>
      <c r="T2917" s="405" t="s">
        <v>32102</v>
      </c>
      <c r="U2917" s="405" t="s">
        <v>319</v>
      </c>
    </row>
    <row r="2918" spans="1:21" x14ac:dyDescent="0.25">
      <c r="A2918" s="405" t="s">
        <v>310</v>
      </c>
      <c r="B2918" s="405" t="s">
        <v>15855</v>
      </c>
      <c r="C2918" s="405" t="s">
        <v>327</v>
      </c>
      <c r="D2918" s="405"/>
      <c r="E2918" s="410">
        <v>42941</v>
      </c>
      <c r="F2918" s="410">
        <v>42986</v>
      </c>
      <c r="G2918" s="405" t="s">
        <v>15856</v>
      </c>
      <c r="H2918" s="405">
        <v>787728805</v>
      </c>
      <c r="I2918" s="405"/>
      <c r="J2918" s="405">
        <v>1.4295629999999999</v>
      </c>
      <c r="K2918" s="405">
        <v>34.518917000000002</v>
      </c>
      <c r="L2918" s="405" t="s">
        <v>6866</v>
      </c>
      <c r="M2918" s="405" t="s">
        <v>9705</v>
      </c>
      <c r="N2918" s="405" t="s">
        <v>9705</v>
      </c>
      <c r="O2918" s="405" t="s">
        <v>15735</v>
      </c>
      <c r="P2918" s="405" t="s">
        <v>15857</v>
      </c>
      <c r="Q2918" s="411">
        <v>6</v>
      </c>
      <c r="R2918" s="405" t="s">
        <v>9506</v>
      </c>
      <c r="S2918" s="405" t="s">
        <v>27067</v>
      </c>
      <c r="T2918" s="405" t="s">
        <v>32102</v>
      </c>
      <c r="U2918" s="405" t="s">
        <v>319</v>
      </c>
    </row>
    <row r="2919" spans="1:21" x14ac:dyDescent="0.25">
      <c r="A2919" s="405" t="s">
        <v>310</v>
      </c>
      <c r="B2919" s="405" t="s">
        <v>23330</v>
      </c>
      <c r="C2919" s="405" t="s">
        <v>327</v>
      </c>
      <c r="D2919" s="405"/>
      <c r="E2919" s="410">
        <v>42940</v>
      </c>
      <c r="F2919" s="410">
        <v>42985</v>
      </c>
      <c r="G2919" s="405" t="s">
        <v>23331</v>
      </c>
      <c r="H2919" s="405">
        <v>772369245</v>
      </c>
      <c r="I2919" s="405"/>
      <c r="J2919" s="405">
        <v>0.15112700000000001</v>
      </c>
      <c r="K2919" s="405">
        <v>30.405812000000001</v>
      </c>
      <c r="L2919" s="405" t="s">
        <v>590</v>
      </c>
      <c r="M2919" s="405" t="s">
        <v>19720</v>
      </c>
      <c r="N2919" s="405" t="s">
        <v>7352</v>
      </c>
      <c r="O2919" s="405" t="s">
        <v>19720</v>
      </c>
      <c r="P2919" s="405" t="s">
        <v>23332</v>
      </c>
      <c r="Q2919" s="411">
        <v>9</v>
      </c>
      <c r="R2919" s="405" t="s">
        <v>6013</v>
      </c>
      <c r="S2919" s="405" t="s">
        <v>27161</v>
      </c>
      <c r="T2919" s="405" t="s">
        <v>32102</v>
      </c>
      <c r="U2919" s="405" t="s">
        <v>319</v>
      </c>
    </row>
    <row r="2920" spans="1:21" x14ac:dyDescent="0.25">
      <c r="A2920" s="405" t="s">
        <v>310</v>
      </c>
      <c r="B2920" s="405" t="s">
        <v>23337</v>
      </c>
      <c r="C2920" s="405" t="s">
        <v>327</v>
      </c>
      <c r="D2920" s="405"/>
      <c r="E2920" s="410">
        <v>42940</v>
      </c>
      <c r="F2920" s="410">
        <v>42985</v>
      </c>
      <c r="G2920" s="405" t="s">
        <v>23338</v>
      </c>
      <c r="H2920" s="405">
        <v>773961415</v>
      </c>
      <c r="I2920" s="405"/>
      <c r="J2920" s="405">
        <v>0.26269700000000001</v>
      </c>
      <c r="K2920" s="405">
        <v>30.490665</v>
      </c>
      <c r="L2920" s="405" t="s">
        <v>590</v>
      </c>
      <c r="M2920" s="405" t="s">
        <v>19720</v>
      </c>
      <c r="N2920" s="405" t="s">
        <v>7352</v>
      </c>
      <c r="O2920" s="405" t="s">
        <v>672</v>
      </c>
      <c r="P2920" s="405" t="s">
        <v>23339</v>
      </c>
      <c r="Q2920" s="411">
        <v>6</v>
      </c>
      <c r="R2920" s="405" t="s">
        <v>6013</v>
      </c>
      <c r="S2920" s="405" t="s">
        <v>27301</v>
      </c>
      <c r="T2920" s="405" t="s">
        <v>32102</v>
      </c>
      <c r="U2920" s="405" t="s">
        <v>319</v>
      </c>
    </row>
    <row r="2921" spans="1:21" x14ac:dyDescent="0.25">
      <c r="A2921" s="405" t="s">
        <v>310</v>
      </c>
      <c r="B2921" s="405" t="s">
        <v>15846</v>
      </c>
      <c r="C2921" s="405" t="s">
        <v>327</v>
      </c>
      <c r="D2921" s="405"/>
      <c r="E2921" s="410">
        <v>42939</v>
      </c>
      <c r="F2921" s="410">
        <v>42993</v>
      </c>
      <c r="G2921" s="405" t="s">
        <v>15847</v>
      </c>
      <c r="H2921" s="405">
        <v>772582830</v>
      </c>
      <c r="I2921" s="405">
        <v>773656652</v>
      </c>
      <c r="J2921" s="405">
        <v>1.4090370000000001</v>
      </c>
      <c r="K2921" s="405">
        <v>34.622822999999997</v>
      </c>
      <c r="L2921" s="405" t="s">
        <v>6866</v>
      </c>
      <c r="M2921" s="405" t="s">
        <v>9705</v>
      </c>
      <c r="N2921" s="405" t="s">
        <v>9705</v>
      </c>
      <c r="O2921" s="405" t="s">
        <v>10307</v>
      </c>
      <c r="P2921" s="405" t="s">
        <v>15848</v>
      </c>
      <c r="Q2921" s="411">
        <v>6</v>
      </c>
      <c r="R2921" s="405" t="s">
        <v>9506</v>
      </c>
      <c r="S2921" s="405" t="s">
        <v>27357</v>
      </c>
      <c r="T2921" s="405" t="s">
        <v>32102</v>
      </c>
      <c r="U2921" s="405" t="s">
        <v>319</v>
      </c>
    </row>
    <row r="2922" spans="1:21" x14ac:dyDescent="0.25">
      <c r="A2922" s="405" t="s">
        <v>310</v>
      </c>
      <c r="B2922" s="405" t="s">
        <v>15834</v>
      </c>
      <c r="C2922" s="405" t="s">
        <v>327</v>
      </c>
      <c r="D2922" s="405"/>
      <c r="E2922" s="410">
        <v>42939</v>
      </c>
      <c r="F2922" s="410">
        <v>42990</v>
      </c>
      <c r="G2922" s="405" t="s">
        <v>15835</v>
      </c>
      <c r="H2922" s="405">
        <v>778789860</v>
      </c>
      <c r="I2922" s="405">
        <v>783025145</v>
      </c>
      <c r="J2922" s="405">
        <v>1.3096730000000001</v>
      </c>
      <c r="K2922" s="405">
        <v>34.394758000000003</v>
      </c>
      <c r="L2922" s="405" t="s">
        <v>6866</v>
      </c>
      <c r="M2922" s="405" t="s">
        <v>9685</v>
      </c>
      <c r="N2922" s="405" t="s">
        <v>9686</v>
      </c>
      <c r="O2922" s="405" t="s">
        <v>15836</v>
      </c>
      <c r="P2922" s="405" t="s">
        <v>15837</v>
      </c>
      <c r="Q2922" s="411">
        <v>6</v>
      </c>
      <c r="R2922" s="405" t="s">
        <v>9506</v>
      </c>
      <c r="S2922" s="405" t="s">
        <v>27353</v>
      </c>
      <c r="T2922" s="405" t="s">
        <v>32102</v>
      </c>
      <c r="U2922" s="405" t="s">
        <v>319</v>
      </c>
    </row>
    <row r="2923" spans="1:21" x14ac:dyDescent="0.25">
      <c r="A2923" s="405" t="s">
        <v>310</v>
      </c>
      <c r="B2923" s="405" t="s">
        <v>15867</v>
      </c>
      <c r="C2923" s="405" t="s">
        <v>327</v>
      </c>
      <c r="D2923" s="405"/>
      <c r="E2923" s="410">
        <v>42939</v>
      </c>
      <c r="F2923" s="410">
        <v>42984</v>
      </c>
      <c r="G2923" s="405" t="s">
        <v>15868</v>
      </c>
      <c r="H2923" s="405">
        <v>775523049</v>
      </c>
      <c r="I2923" s="405">
        <v>772317551</v>
      </c>
      <c r="J2923" s="405">
        <v>1.042673</v>
      </c>
      <c r="K2923" s="405">
        <v>34.359878000000002</v>
      </c>
      <c r="L2923" s="405" t="s">
        <v>6866</v>
      </c>
      <c r="M2923" s="405" t="s">
        <v>6867</v>
      </c>
      <c r="N2923" s="405" t="s">
        <v>11823</v>
      </c>
      <c r="O2923" s="405" t="s">
        <v>11014</v>
      </c>
      <c r="P2923" s="405" t="s">
        <v>15869</v>
      </c>
      <c r="Q2923" s="411">
        <v>6</v>
      </c>
      <c r="R2923" s="405" t="s">
        <v>6871</v>
      </c>
      <c r="S2923" s="405" t="s">
        <v>27306</v>
      </c>
      <c r="T2923" s="405" t="s">
        <v>32102</v>
      </c>
      <c r="U2923" s="405" t="s">
        <v>319</v>
      </c>
    </row>
    <row r="2924" spans="1:21" x14ac:dyDescent="0.25">
      <c r="A2924" s="405" t="s">
        <v>310</v>
      </c>
      <c r="B2924" s="405" t="s">
        <v>15756</v>
      </c>
      <c r="C2924" s="405" t="s">
        <v>327</v>
      </c>
      <c r="D2924" s="405"/>
      <c r="E2924" s="410">
        <v>42939</v>
      </c>
      <c r="F2924" s="410">
        <v>42952</v>
      </c>
      <c r="G2924" s="405" t="s">
        <v>15757</v>
      </c>
      <c r="H2924" s="405">
        <v>772566588</v>
      </c>
      <c r="I2924" s="405"/>
      <c r="J2924" s="405">
        <v>1.411402</v>
      </c>
      <c r="K2924" s="405">
        <v>34.588208000000002</v>
      </c>
      <c r="L2924" s="405" t="s">
        <v>6866</v>
      </c>
      <c r="M2924" s="405" t="s">
        <v>9705</v>
      </c>
      <c r="N2924" s="405" t="s">
        <v>9705</v>
      </c>
      <c r="O2924" s="405" t="s">
        <v>10311</v>
      </c>
      <c r="P2924" s="405" t="s">
        <v>15758</v>
      </c>
      <c r="Q2924" s="411">
        <v>6</v>
      </c>
      <c r="R2924" s="405" t="s">
        <v>9506</v>
      </c>
      <c r="S2924" s="405" t="s">
        <v>27041</v>
      </c>
      <c r="T2924" s="405" t="s">
        <v>32102</v>
      </c>
      <c r="U2924" s="405" t="s">
        <v>319</v>
      </c>
    </row>
    <row r="2925" spans="1:21" x14ac:dyDescent="0.25">
      <c r="A2925" s="405" t="s">
        <v>310</v>
      </c>
      <c r="B2925" s="405" t="s">
        <v>6403</v>
      </c>
      <c r="C2925" s="405" t="s">
        <v>327</v>
      </c>
      <c r="D2925" s="405"/>
      <c r="E2925" s="410">
        <v>42938</v>
      </c>
      <c r="F2925" s="410">
        <v>42983</v>
      </c>
      <c r="G2925" s="405" t="s">
        <v>6404</v>
      </c>
      <c r="H2925" s="405">
        <v>775308125</v>
      </c>
      <c r="I2925" s="405">
        <v>756723392</v>
      </c>
      <c r="J2925" s="405">
        <v>0.19628000000000001</v>
      </c>
      <c r="K2925" s="405">
        <v>33.048929999999999</v>
      </c>
      <c r="L2925" s="405" t="s">
        <v>314</v>
      </c>
      <c r="M2925" s="405" t="s">
        <v>349</v>
      </c>
      <c r="N2925" s="405" t="s">
        <v>549</v>
      </c>
      <c r="O2925" s="405" t="s">
        <v>686</v>
      </c>
      <c r="P2925" s="405" t="s">
        <v>6405</v>
      </c>
      <c r="Q2925" s="411">
        <v>9</v>
      </c>
      <c r="R2925" s="405" t="s">
        <v>4176</v>
      </c>
      <c r="S2925" s="405" t="s">
        <v>27186</v>
      </c>
      <c r="T2925" s="405" t="s">
        <v>32102</v>
      </c>
      <c r="U2925" s="405" t="s">
        <v>319</v>
      </c>
    </row>
    <row r="2926" spans="1:21" x14ac:dyDescent="0.25">
      <c r="A2926" s="405" t="s">
        <v>310</v>
      </c>
      <c r="B2926" s="405" t="s">
        <v>6657</v>
      </c>
      <c r="C2926" s="405" t="s">
        <v>327</v>
      </c>
      <c r="D2926" s="405"/>
      <c r="E2926" s="410">
        <v>42938</v>
      </c>
      <c r="F2926" s="410">
        <v>43110</v>
      </c>
      <c r="G2926" s="405" t="s">
        <v>6658</v>
      </c>
      <c r="H2926" s="405">
        <v>785612894</v>
      </c>
      <c r="I2926" s="405">
        <v>754612894</v>
      </c>
      <c r="J2926" s="405">
        <v>0.52516700000000005</v>
      </c>
      <c r="K2926" s="405">
        <v>32.434972000000002</v>
      </c>
      <c r="L2926" s="405" t="s">
        <v>314</v>
      </c>
      <c r="M2926" s="405" t="s">
        <v>361</v>
      </c>
      <c r="N2926" s="405" t="s">
        <v>5838</v>
      </c>
      <c r="O2926" s="405" t="s">
        <v>6659</v>
      </c>
      <c r="P2926" s="405" t="s">
        <v>5385</v>
      </c>
      <c r="Q2926" s="411">
        <v>6</v>
      </c>
      <c r="R2926" s="405" t="s">
        <v>4176</v>
      </c>
      <c r="S2926" s="405" t="s">
        <v>27059</v>
      </c>
      <c r="T2926" s="405" t="s">
        <v>32102</v>
      </c>
      <c r="U2926" s="405" t="s">
        <v>319</v>
      </c>
    </row>
    <row r="2927" spans="1:21" x14ac:dyDescent="0.25">
      <c r="A2927" s="405" t="s">
        <v>310</v>
      </c>
      <c r="B2927" s="405" t="s">
        <v>15827</v>
      </c>
      <c r="C2927" s="405" t="s">
        <v>327</v>
      </c>
      <c r="D2927" s="405"/>
      <c r="E2927" s="410">
        <v>42938</v>
      </c>
      <c r="F2927" s="410">
        <v>42983</v>
      </c>
      <c r="G2927" s="405" t="s">
        <v>15828</v>
      </c>
      <c r="H2927" s="405">
        <v>703479842</v>
      </c>
      <c r="I2927" s="405"/>
      <c r="J2927" s="405">
        <v>1.356805</v>
      </c>
      <c r="K2927" s="405">
        <v>34.402802999999999</v>
      </c>
      <c r="L2927" s="405" t="s">
        <v>6866</v>
      </c>
      <c r="M2927" s="405" t="s">
        <v>9685</v>
      </c>
      <c r="N2927" s="405" t="s">
        <v>9686</v>
      </c>
      <c r="O2927" s="405" t="s">
        <v>9709</v>
      </c>
      <c r="P2927" s="405" t="s">
        <v>15829</v>
      </c>
      <c r="Q2927" s="411">
        <v>6</v>
      </c>
      <c r="R2927" s="405" t="s">
        <v>9506</v>
      </c>
      <c r="S2927" s="405" t="s">
        <v>27259</v>
      </c>
      <c r="T2927" s="405" t="s">
        <v>32102</v>
      </c>
      <c r="U2927" s="405" t="s">
        <v>319</v>
      </c>
    </row>
    <row r="2928" spans="1:21" x14ac:dyDescent="0.25">
      <c r="A2928" s="405" t="s">
        <v>310</v>
      </c>
      <c r="B2928" s="405" t="s">
        <v>6425</v>
      </c>
      <c r="C2928" s="405" t="s">
        <v>327</v>
      </c>
      <c r="D2928" s="405"/>
      <c r="E2928" s="410">
        <v>42938</v>
      </c>
      <c r="F2928" s="410">
        <v>42983</v>
      </c>
      <c r="G2928" s="405" t="s">
        <v>6426</v>
      </c>
      <c r="H2928" s="405">
        <v>785480469</v>
      </c>
      <c r="I2928" s="405">
        <v>783651657</v>
      </c>
      <c r="J2928" s="405">
        <v>0.68352000000000002</v>
      </c>
      <c r="K2928" s="405">
        <v>32.003708000000003</v>
      </c>
      <c r="L2928" s="405" t="s">
        <v>314</v>
      </c>
      <c r="M2928" s="405" t="s">
        <v>2537</v>
      </c>
      <c r="N2928" s="405" t="s">
        <v>5641</v>
      </c>
      <c r="O2928" s="405" t="s">
        <v>2858</v>
      </c>
      <c r="P2928" s="405" t="s">
        <v>6427</v>
      </c>
      <c r="Q2928" s="411">
        <v>6</v>
      </c>
      <c r="R2928" s="405" t="s">
        <v>4176</v>
      </c>
      <c r="S2928" s="405" t="s">
        <v>27039</v>
      </c>
      <c r="T2928" s="405" t="s">
        <v>32102</v>
      </c>
      <c r="U2928" s="405" t="s">
        <v>319</v>
      </c>
    </row>
    <row r="2929" spans="1:21" x14ac:dyDescent="0.25">
      <c r="A2929" s="405" t="s">
        <v>310</v>
      </c>
      <c r="B2929" s="405" t="s">
        <v>15870</v>
      </c>
      <c r="C2929" s="405" t="s">
        <v>327</v>
      </c>
      <c r="D2929" s="405"/>
      <c r="E2929" s="410">
        <v>42938</v>
      </c>
      <c r="F2929" s="410">
        <v>42983</v>
      </c>
      <c r="G2929" s="405" t="s">
        <v>15871</v>
      </c>
      <c r="H2929" s="405">
        <v>772305353</v>
      </c>
      <c r="I2929" s="405"/>
      <c r="J2929" s="405">
        <v>1.007673</v>
      </c>
      <c r="K2929" s="405">
        <v>34.363869999999999</v>
      </c>
      <c r="L2929" s="405" t="s">
        <v>6866</v>
      </c>
      <c r="M2929" s="405" t="s">
        <v>6867</v>
      </c>
      <c r="N2929" s="405" t="s">
        <v>6868</v>
      </c>
      <c r="O2929" s="405" t="s">
        <v>15393</v>
      </c>
      <c r="P2929" s="405" t="s">
        <v>15872</v>
      </c>
      <c r="Q2929" s="411">
        <v>6</v>
      </c>
      <c r="R2929" s="405" t="s">
        <v>6871</v>
      </c>
      <c r="S2929" s="405" t="s">
        <v>17013</v>
      </c>
      <c r="T2929" s="405" t="s">
        <v>32102</v>
      </c>
      <c r="U2929" s="405" t="s">
        <v>319</v>
      </c>
    </row>
    <row r="2930" spans="1:21" x14ac:dyDescent="0.25">
      <c r="A2930" s="405" t="s">
        <v>310</v>
      </c>
      <c r="B2930" s="405" t="s">
        <v>6986</v>
      </c>
      <c r="C2930" s="405" t="s">
        <v>311</v>
      </c>
      <c r="D2930" s="405" t="s">
        <v>890</v>
      </c>
      <c r="E2930" s="410">
        <v>42938</v>
      </c>
      <c r="F2930" s="410">
        <v>42957</v>
      </c>
      <c r="G2930" s="405" t="s">
        <v>6987</v>
      </c>
      <c r="H2930" s="405">
        <v>787151977</v>
      </c>
      <c r="I2930" s="405"/>
      <c r="J2930" s="405">
        <v>0.45188800000000001</v>
      </c>
      <c r="K2930" s="405">
        <v>32.674771999999997</v>
      </c>
      <c r="L2930" s="405" t="s">
        <v>314</v>
      </c>
      <c r="M2930" s="405" t="s">
        <v>349</v>
      </c>
      <c r="N2930" s="405" t="s">
        <v>330</v>
      </c>
      <c r="O2930" s="405" t="s">
        <v>630</v>
      </c>
      <c r="P2930" s="405" t="s">
        <v>788</v>
      </c>
      <c r="Q2930" s="411">
        <v>6</v>
      </c>
      <c r="R2930" s="405" t="s">
        <v>5921</v>
      </c>
      <c r="S2930" s="405" t="s">
        <v>27255</v>
      </c>
      <c r="T2930" s="405" t="s">
        <v>32102</v>
      </c>
      <c r="U2930" s="405" t="s">
        <v>319</v>
      </c>
    </row>
    <row r="2931" spans="1:21" x14ac:dyDescent="0.25">
      <c r="A2931" s="405" t="s">
        <v>310</v>
      </c>
      <c r="B2931" s="405" t="s">
        <v>23513</v>
      </c>
      <c r="C2931" s="405" t="s">
        <v>327</v>
      </c>
      <c r="D2931" s="405"/>
      <c r="E2931" s="410">
        <v>42937</v>
      </c>
      <c r="F2931" s="410">
        <v>43028</v>
      </c>
      <c r="G2931" s="405" t="s">
        <v>23514</v>
      </c>
      <c r="H2931" s="405">
        <v>772826472</v>
      </c>
      <c r="I2931" s="405"/>
      <c r="J2931" s="405">
        <v>0.64767799999999998</v>
      </c>
      <c r="K2931" s="405">
        <v>30.300532</v>
      </c>
      <c r="L2931" s="405" t="s">
        <v>590</v>
      </c>
      <c r="M2931" s="405" t="s">
        <v>20125</v>
      </c>
      <c r="N2931" s="405" t="s">
        <v>20772</v>
      </c>
      <c r="O2931" s="405" t="s">
        <v>10466</v>
      </c>
      <c r="P2931" s="405" t="s">
        <v>23515</v>
      </c>
      <c r="Q2931" s="411">
        <v>9</v>
      </c>
      <c r="R2931" s="405" t="s">
        <v>5665</v>
      </c>
      <c r="S2931" s="405" t="s">
        <v>27422</v>
      </c>
      <c r="T2931" s="405" t="s">
        <v>32102</v>
      </c>
      <c r="U2931" s="405" t="s">
        <v>319</v>
      </c>
    </row>
    <row r="2932" spans="1:21" x14ac:dyDescent="0.25">
      <c r="A2932" s="405" t="s">
        <v>310</v>
      </c>
      <c r="B2932" s="405" t="s">
        <v>6423</v>
      </c>
      <c r="C2932" s="405" t="s">
        <v>327</v>
      </c>
      <c r="D2932" s="405"/>
      <c r="E2932" s="410">
        <v>42937</v>
      </c>
      <c r="F2932" s="410">
        <v>42982</v>
      </c>
      <c r="G2932" s="405" t="s">
        <v>6424</v>
      </c>
      <c r="H2932" s="405">
        <v>753409405</v>
      </c>
      <c r="I2932" s="405"/>
      <c r="J2932" s="405">
        <v>0.32288</v>
      </c>
      <c r="K2932" s="405">
        <v>32.452916000000002</v>
      </c>
      <c r="L2932" s="405" t="s">
        <v>314</v>
      </c>
      <c r="M2932" s="405" t="s">
        <v>361</v>
      </c>
      <c r="N2932" s="405" t="s">
        <v>5838</v>
      </c>
      <c r="O2932" s="405" t="s">
        <v>4740</v>
      </c>
      <c r="P2932" s="405" t="s">
        <v>4272</v>
      </c>
      <c r="Q2932" s="411">
        <v>9</v>
      </c>
      <c r="R2932" s="405" t="s">
        <v>4176</v>
      </c>
      <c r="S2932" s="405" t="s">
        <v>27053</v>
      </c>
      <c r="T2932" s="405" t="s">
        <v>32102</v>
      </c>
      <c r="U2932" s="405" t="s">
        <v>319</v>
      </c>
    </row>
    <row r="2933" spans="1:21" x14ac:dyDescent="0.25">
      <c r="A2933" s="405" t="s">
        <v>310</v>
      </c>
      <c r="B2933" s="405" t="s">
        <v>15830</v>
      </c>
      <c r="C2933" s="405" t="s">
        <v>327</v>
      </c>
      <c r="D2933" s="405"/>
      <c r="E2933" s="410">
        <v>42937</v>
      </c>
      <c r="F2933" s="410">
        <v>42982</v>
      </c>
      <c r="G2933" s="405" t="s">
        <v>15831</v>
      </c>
      <c r="H2933" s="405">
        <v>789365162</v>
      </c>
      <c r="I2933" s="405">
        <v>782452230</v>
      </c>
      <c r="J2933" s="405">
        <v>1.375818</v>
      </c>
      <c r="K2933" s="405">
        <v>34.427092999999999</v>
      </c>
      <c r="L2933" s="405" t="s">
        <v>6866</v>
      </c>
      <c r="M2933" s="405" t="s">
        <v>9685</v>
      </c>
      <c r="N2933" s="405" t="s">
        <v>9686</v>
      </c>
      <c r="O2933" s="405" t="s">
        <v>15832</v>
      </c>
      <c r="P2933" s="405" t="s">
        <v>15833</v>
      </c>
      <c r="Q2933" s="411">
        <v>6</v>
      </c>
      <c r="R2933" s="405" t="s">
        <v>9506</v>
      </c>
      <c r="S2933" s="405" t="s">
        <v>27067</v>
      </c>
      <c r="T2933" s="405" t="s">
        <v>32102</v>
      </c>
      <c r="U2933" s="405" t="s">
        <v>319</v>
      </c>
    </row>
    <row r="2934" spans="1:21" x14ac:dyDescent="0.25">
      <c r="A2934" s="405" t="s">
        <v>310</v>
      </c>
      <c r="B2934" s="405" t="s">
        <v>6406</v>
      </c>
      <c r="C2934" s="405" t="s">
        <v>327</v>
      </c>
      <c r="D2934" s="405"/>
      <c r="E2934" s="410">
        <v>42937</v>
      </c>
      <c r="F2934" s="410">
        <v>42982</v>
      </c>
      <c r="G2934" s="405" t="s">
        <v>6407</v>
      </c>
      <c r="H2934" s="405">
        <v>785783612</v>
      </c>
      <c r="I2934" s="405">
        <v>780612810</v>
      </c>
      <c r="J2934" s="405">
        <v>0.35491200000000001</v>
      </c>
      <c r="K2934" s="405">
        <v>32.941242000000003</v>
      </c>
      <c r="L2934" s="405" t="s">
        <v>314</v>
      </c>
      <c r="M2934" s="405" t="s">
        <v>349</v>
      </c>
      <c r="N2934" s="405" t="s">
        <v>3722</v>
      </c>
      <c r="O2934" s="405" t="s">
        <v>6408</v>
      </c>
      <c r="P2934" s="405" t="s">
        <v>6409</v>
      </c>
      <c r="Q2934" s="411">
        <v>6</v>
      </c>
      <c r="R2934" s="405" t="s">
        <v>4176</v>
      </c>
      <c r="S2934" s="405" t="s">
        <v>27039</v>
      </c>
      <c r="T2934" s="405" t="s">
        <v>32102</v>
      </c>
      <c r="U2934" s="405" t="s">
        <v>319</v>
      </c>
    </row>
    <row r="2935" spans="1:21" x14ac:dyDescent="0.25">
      <c r="A2935" s="405" t="s">
        <v>310</v>
      </c>
      <c r="B2935" s="405" t="s">
        <v>23311</v>
      </c>
      <c r="C2935" s="405" t="s">
        <v>327</v>
      </c>
      <c r="D2935" s="405"/>
      <c r="E2935" s="410">
        <v>42937</v>
      </c>
      <c r="F2935" s="410">
        <v>42963</v>
      </c>
      <c r="G2935" s="405" t="s">
        <v>23312</v>
      </c>
      <c r="H2935" s="405">
        <v>788853213</v>
      </c>
      <c r="I2935" s="405">
        <v>782345033</v>
      </c>
      <c r="J2935" s="405">
        <v>1.4431</v>
      </c>
      <c r="K2935" s="405">
        <v>31.271699999999999</v>
      </c>
      <c r="L2935" s="405" t="s">
        <v>590</v>
      </c>
      <c r="M2935" s="405" t="s">
        <v>3236</v>
      </c>
      <c r="N2935" s="405" t="s">
        <v>3236</v>
      </c>
      <c r="O2935" s="405" t="s">
        <v>23313</v>
      </c>
      <c r="P2935" s="405" t="s">
        <v>23314</v>
      </c>
      <c r="Q2935" s="411">
        <v>6</v>
      </c>
      <c r="R2935" s="405" t="s">
        <v>6397</v>
      </c>
      <c r="S2935" s="405" t="s">
        <v>22880</v>
      </c>
      <c r="T2935" s="405" t="s">
        <v>32102</v>
      </c>
      <c r="U2935" s="405" t="s">
        <v>319</v>
      </c>
    </row>
    <row r="2936" spans="1:21" x14ac:dyDescent="0.25">
      <c r="A2936" s="405" t="s">
        <v>310</v>
      </c>
      <c r="B2936" s="405" t="s">
        <v>15809</v>
      </c>
      <c r="C2936" s="405" t="s">
        <v>327</v>
      </c>
      <c r="D2936" s="405"/>
      <c r="E2936" s="410">
        <v>42937</v>
      </c>
      <c r="F2936" s="410">
        <v>42951</v>
      </c>
      <c r="G2936" s="405" t="s">
        <v>15810</v>
      </c>
      <c r="H2936" s="405">
        <v>775530301</v>
      </c>
      <c r="I2936" s="405"/>
      <c r="J2936" s="405">
        <v>1.417082</v>
      </c>
      <c r="K2936" s="405">
        <v>33.988885000000003</v>
      </c>
      <c r="L2936" s="405" t="s">
        <v>6866</v>
      </c>
      <c r="M2936" s="405" t="s">
        <v>10029</v>
      </c>
      <c r="N2936" s="405" t="s">
        <v>10260</v>
      </c>
      <c r="O2936" s="405" t="s">
        <v>14682</v>
      </c>
      <c r="P2936" s="405" t="s">
        <v>15811</v>
      </c>
      <c r="Q2936" s="411">
        <v>6</v>
      </c>
      <c r="R2936" s="405" t="s">
        <v>6822</v>
      </c>
      <c r="S2936" s="405" t="s">
        <v>6822</v>
      </c>
      <c r="T2936" s="405" t="s">
        <v>32102</v>
      </c>
      <c r="U2936" s="405" t="s">
        <v>319</v>
      </c>
    </row>
    <row r="2937" spans="1:21" x14ac:dyDescent="0.25">
      <c r="A2937" s="405" t="s">
        <v>310</v>
      </c>
      <c r="B2937" s="405" t="s">
        <v>6419</v>
      </c>
      <c r="C2937" s="405" t="s">
        <v>327</v>
      </c>
      <c r="D2937" s="405"/>
      <c r="E2937" s="410">
        <v>42936</v>
      </c>
      <c r="F2937" s="410">
        <v>42981</v>
      </c>
      <c r="G2937" s="405" t="s">
        <v>6420</v>
      </c>
      <c r="H2937" s="405">
        <v>772410812</v>
      </c>
      <c r="I2937" s="405">
        <v>701790903</v>
      </c>
      <c r="J2937" s="405">
        <v>0.34606799999999999</v>
      </c>
      <c r="K2937" s="405">
        <v>32.195172999999997</v>
      </c>
      <c r="L2937" s="405" t="s">
        <v>314</v>
      </c>
      <c r="M2937" s="405" t="s">
        <v>675</v>
      </c>
      <c r="N2937" s="405" t="s">
        <v>676</v>
      </c>
      <c r="O2937" s="405" t="s">
        <v>6421</v>
      </c>
      <c r="P2937" s="405" t="s">
        <v>6422</v>
      </c>
      <c r="Q2937" s="411">
        <v>13</v>
      </c>
      <c r="R2937" s="405" t="s">
        <v>4176</v>
      </c>
      <c r="S2937" s="405" t="s">
        <v>27106</v>
      </c>
      <c r="T2937" s="405" t="s">
        <v>32102</v>
      </c>
      <c r="U2937" s="405" t="s">
        <v>319</v>
      </c>
    </row>
    <row r="2938" spans="1:21" x14ac:dyDescent="0.25">
      <c r="A2938" s="405" t="s">
        <v>310</v>
      </c>
      <c r="B2938" s="405" t="s">
        <v>23387</v>
      </c>
      <c r="C2938" s="405" t="s">
        <v>327</v>
      </c>
      <c r="D2938" s="405"/>
      <c r="E2938" s="410">
        <v>42936</v>
      </c>
      <c r="F2938" s="410">
        <v>42989</v>
      </c>
      <c r="G2938" s="405" t="s">
        <v>23388</v>
      </c>
      <c r="H2938" s="405">
        <v>772684174</v>
      </c>
      <c r="I2938" s="405">
        <v>774217905</v>
      </c>
      <c r="J2938" s="405">
        <v>0.53500000000000003</v>
      </c>
      <c r="K2938" s="405">
        <v>29.464099999999998</v>
      </c>
      <c r="L2938" s="405" t="s">
        <v>590</v>
      </c>
      <c r="M2938" s="405" t="s">
        <v>20808</v>
      </c>
      <c r="N2938" s="405" t="s">
        <v>23389</v>
      </c>
      <c r="O2938" s="405" t="s">
        <v>23390</v>
      </c>
      <c r="P2938" s="405" t="s">
        <v>23391</v>
      </c>
      <c r="Q2938" s="411">
        <v>9</v>
      </c>
      <c r="R2938" s="405" t="s">
        <v>6572</v>
      </c>
      <c r="S2938" s="405" t="s">
        <v>27166</v>
      </c>
      <c r="T2938" s="405" t="s">
        <v>32102</v>
      </c>
      <c r="U2938" s="405" t="s">
        <v>319</v>
      </c>
    </row>
    <row r="2939" spans="1:21" x14ac:dyDescent="0.25">
      <c r="A2939" s="405" t="s">
        <v>310</v>
      </c>
      <c r="B2939" s="405" t="s">
        <v>23319</v>
      </c>
      <c r="C2939" s="405" t="s">
        <v>327</v>
      </c>
      <c r="D2939" s="405"/>
      <c r="E2939" s="410">
        <v>42936</v>
      </c>
      <c r="F2939" s="410">
        <v>42961</v>
      </c>
      <c r="G2939" s="405" t="s">
        <v>23320</v>
      </c>
      <c r="H2939" s="405">
        <v>776066301</v>
      </c>
      <c r="I2939" s="405"/>
      <c r="J2939" s="405">
        <v>0.32819799999999999</v>
      </c>
      <c r="K2939" s="405">
        <v>30.417346999999999</v>
      </c>
      <c r="L2939" s="405" t="s">
        <v>590</v>
      </c>
      <c r="M2939" s="405" t="s">
        <v>19720</v>
      </c>
      <c r="N2939" s="405" t="s">
        <v>7352</v>
      </c>
      <c r="O2939" s="405" t="s">
        <v>19720</v>
      </c>
      <c r="P2939" s="405" t="s">
        <v>9591</v>
      </c>
      <c r="Q2939" s="411">
        <v>9</v>
      </c>
      <c r="R2939" s="405" t="s">
        <v>6013</v>
      </c>
      <c r="S2939" s="405" t="s">
        <v>27181</v>
      </c>
      <c r="T2939" s="405" t="s">
        <v>32102</v>
      </c>
      <c r="U2939" s="405" t="s">
        <v>319</v>
      </c>
    </row>
    <row r="2940" spans="1:21" x14ac:dyDescent="0.25">
      <c r="A2940" s="405" t="s">
        <v>310</v>
      </c>
      <c r="B2940" s="405" t="s">
        <v>6334</v>
      </c>
      <c r="C2940" s="405" t="s">
        <v>327</v>
      </c>
      <c r="D2940" s="405"/>
      <c r="E2940" s="410">
        <v>42936</v>
      </c>
      <c r="F2940" s="410">
        <v>42960</v>
      </c>
      <c r="G2940" s="405" t="s">
        <v>6335</v>
      </c>
      <c r="H2940" s="405">
        <v>782609167</v>
      </c>
      <c r="I2940" s="405">
        <v>782357203</v>
      </c>
      <c r="J2940" s="405">
        <v>0.42525800000000002</v>
      </c>
      <c r="K2940" s="405">
        <v>32.411470000000001</v>
      </c>
      <c r="L2940" s="405" t="s">
        <v>314</v>
      </c>
      <c r="M2940" s="405" t="s">
        <v>361</v>
      </c>
      <c r="N2940" s="405" t="s">
        <v>5838</v>
      </c>
      <c r="O2940" s="405" t="s">
        <v>6336</v>
      </c>
      <c r="P2940" s="405" t="s">
        <v>6337</v>
      </c>
      <c r="Q2940" s="411">
        <v>9</v>
      </c>
      <c r="R2940" s="405" t="s">
        <v>4176</v>
      </c>
      <c r="S2940" s="405" t="s">
        <v>27059</v>
      </c>
      <c r="T2940" s="405" t="s">
        <v>32102</v>
      </c>
      <c r="U2940" s="405" t="s">
        <v>319</v>
      </c>
    </row>
    <row r="2941" spans="1:21" x14ac:dyDescent="0.25">
      <c r="A2941" s="405" t="s">
        <v>310</v>
      </c>
      <c r="B2941" s="405" t="s">
        <v>23309</v>
      </c>
      <c r="C2941" s="405" t="s">
        <v>327</v>
      </c>
      <c r="D2941" s="405"/>
      <c r="E2941" s="410">
        <v>42936</v>
      </c>
      <c r="F2941" s="410">
        <v>42962</v>
      </c>
      <c r="G2941" s="405" t="s">
        <v>23310</v>
      </c>
      <c r="H2941" s="405">
        <v>779203333</v>
      </c>
      <c r="I2941" s="405">
        <v>784810613</v>
      </c>
      <c r="J2941" s="405">
        <v>1.4131</v>
      </c>
      <c r="K2941" s="405">
        <v>31.414000000000001</v>
      </c>
      <c r="L2941" s="405" t="s">
        <v>590</v>
      </c>
      <c r="M2941" s="405" t="s">
        <v>19608</v>
      </c>
      <c r="N2941" s="405" t="s">
        <v>19762</v>
      </c>
      <c r="O2941" s="405" t="s">
        <v>4147</v>
      </c>
      <c r="P2941" s="405" t="s">
        <v>22482</v>
      </c>
      <c r="Q2941" s="411">
        <v>6</v>
      </c>
      <c r="R2941" s="405" t="s">
        <v>6397</v>
      </c>
      <c r="S2941" s="405" t="s">
        <v>22880</v>
      </c>
      <c r="T2941" s="405" t="s">
        <v>32102</v>
      </c>
      <c r="U2941" s="405" t="s">
        <v>319</v>
      </c>
    </row>
    <row r="2942" spans="1:21" x14ac:dyDescent="0.25">
      <c r="A2942" s="405" t="s">
        <v>310</v>
      </c>
      <c r="B2942" s="405" t="s">
        <v>6410</v>
      </c>
      <c r="C2942" s="405" t="s">
        <v>327</v>
      </c>
      <c r="D2942" s="405"/>
      <c r="E2942" s="410">
        <v>42935</v>
      </c>
      <c r="F2942" s="410">
        <v>42986</v>
      </c>
      <c r="G2942" s="405" t="s">
        <v>6411</v>
      </c>
      <c r="H2942" s="405">
        <v>773516641</v>
      </c>
      <c r="I2942" s="405"/>
      <c r="J2942" s="405">
        <v>0.810145</v>
      </c>
      <c r="K2942" s="405">
        <v>31.922485000000002</v>
      </c>
      <c r="L2942" s="405" t="s">
        <v>314</v>
      </c>
      <c r="M2942" s="405" t="s">
        <v>2537</v>
      </c>
      <c r="N2942" s="405" t="s">
        <v>5641</v>
      </c>
      <c r="O2942" s="405" t="s">
        <v>6412</v>
      </c>
      <c r="P2942" s="405" t="s">
        <v>6413</v>
      </c>
      <c r="Q2942" s="411">
        <v>6</v>
      </c>
      <c r="R2942" s="405" t="s">
        <v>4176</v>
      </c>
      <c r="S2942" s="405" t="s">
        <v>27036</v>
      </c>
      <c r="T2942" s="405" t="s">
        <v>32102</v>
      </c>
      <c r="U2942" s="405" t="s">
        <v>319</v>
      </c>
    </row>
    <row r="2943" spans="1:21" x14ac:dyDescent="0.25">
      <c r="A2943" s="405" t="s">
        <v>310</v>
      </c>
      <c r="B2943" s="405" t="s">
        <v>23359</v>
      </c>
      <c r="C2943" s="405" t="s">
        <v>327</v>
      </c>
      <c r="D2943" s="405"/>
      <c r="E2943" s="410">
        <v>42935</v>
      </c>
      <c r="F2943" s="410">
        <v>42980</v>
      </c>
      <c r="G2943" s="405" t="s">
        <v>23360</v>
      </c>
      <c r="H2943" s="405">
        <v>781709055</v>
      </c>
      <c r="I2943" s="405"/>
      <c r="J2943" s="405">
        <v>-0.73012299999999997</v>
      </c>
      <c r="K2943" s="405">
        <v>30.495612000000001</v>
      </c>
      <c r="L2943" s="405" t="s">
        <v>590</v>
      </c>
      <c r="M2943" s="405" t="s">
        <v>19614</v>
      </c>
      <c r="N2943" s="405" t="s">
        <v>19654</v>
      </c>
      <c r="O2943" s="405" t="s">
        <v>19995</v>
      </c>
      <c r="P2943" s="405" t="s">
        <v>20042</v>
      </c>
      <c r="Q2943" s="411">
        <v>6</v>
      </c>
      <c r="R2943" s="405" t="s">
        <v>883</v>
      </c>
      <c r="S2943" s="405" t="s">
        <v>27104</v>
      </c>
      <c r="T2943" s="405" t="s">
        <v>32102</v>
      </c>
      <c r="U2943" s="405" t="s">
        <v>319</v>
      </c>
    </row>
    <row r="2944" spans="1:21" x14ac:dyDescent="0.25">
      <c r="A2944" s="405" t="s">
        <v>310</v>
      </c>
      <c r="B2944" s="405" t="s">
        <v>23395</v>
      </c>
      <c r="C2944" s="405" t="s">
        <v>327</v>
      </c>
      <c r="D2944" s="405"/>
      <c r="E2944" s="410">
        <v>42935</v>
      </c>
      <c r="F2944" s="410">
        <v>42980</v>
      </c>
      <c r="G2944" s="405" t="s">
        <v>23396</v>
      </c>
      <c r="H2944" s="405">
        <v>782922778</v>
      </c>
      <c r="I2944" s="405"/>
      <c r="J2944" s="405">
        <v>0.2762</v>
      </c>
      <c r="K2944" s="405">
        <v>30.681840000000001</v>
      </c>
      <c r="L2944" s="405" t="s">
        <v>590</v>
      </c>
      <c r="M2944" s="405" t="s">
        <v>19705</v>
      </c>
      <c r="N2944" s="405" t="s">
        <v>21675</v>
      </c>
      <c r="O2944" s="405" t="s">
        <v>21675</v>
      </c>
      <c r="P2944" s="405" t="s">
        <v>23397</v>
      </c>
      <c r="Q2944" s="411">
        <v>6</v>
      </c>
      <c r="R2944" s="405" t="s">
        <v>32166</v>
      </c>
      <c r="S2944" s="405" t="s">
        <v>27132</v>
      </c>
      <c r="T2944" s="405" t="s">
        <v>32102</v>
      </c>
      <c r="U2944" s="405" t="s">
        <v>319</v>
      </c>
    </row>
    <row r="2945" spans="1:21" x14ac:dyDescent="0.25">
      <c r="A2945" s="405" t="s">
        <v>310</v>
      </c>
      <c r="B2945" s="405" t="s">
        <v>6414</v>
      </c>
      <c r="C2945" s="405" t="s">
        <v>327</v>
      </c>
      <c r="D2945" s="405"/>
      <c r="E2945" s="410">
        <v>42934</v>
      </c>
      <c r="F2945" s="410">
        <v>42979</v>
      </c>
      <c r="G2945" s="405" t="s">
        <v>6415</v>
      </c>
      <c r="H2945" s="405">
        <v>783991772</v>
      </c>
      <c r="I2945" s="405">
        <v>789543197</v>
      </c>
      <c r="J2945" s="405">
        <v>0.45391999999999999</v>
      </c>
      <c r="K2945" s="405">
        <v>32.608469999999997</v>
      </c>
      <c r="L2945" s="405" t="s">
        <v>314</v>
      </c>
      <c r="M2945" s="405" t="s">
        <v>361</v>
      </c>
      <c r="N2945" s="405" t="s">
        <v>6416</v>
      </c>
      <c r="O2945" s="405" t="s">
        <v>6417</v>
      </c>
      <c r="P2945" s="405" t="s">
        <v>6418</v>
      </c>
      <c r="Q2945" s="411">
        <v>6</v>
      </c>
      <c r="R2945" s="405" t="s">
        <v>4176</v>
      </c>
      <c r="S2945" s="405" t="s">
        <v>27193</v>
      </c>
      <c r="T2945" s="405" t="s">
        <v>32102</v>
      </c>
      <c r="U2945" s="405" t="s">
        <v>319</v>
      </c>
    </row>
    <row r="2946" spans="1:21" x14ac:dyDescent="0.25">
      <c r="A2946" s="405" t="s">
        <v>310</v>
      </c>
      <c r="B2946" s="405" t="s">
        <v>6329</v>
      </c>
      <c r="C2946" s="405" t="s">
        <v>327</v>
      </c>
      <c r="D2946" s="405"/>
      <c r="E2946" s="410">
        <v>42934</v>
      </c>
      <c r="F2946" s="410">
        <v>42946</v>
      </c>
      <c r="G2946" s="405" t="s">
        <v>6330</v>
      </c>
      <c r="H2946" s="405">
        <v>772501644</v>
      </c>
      <c r="I2946" s="405"/>
      <c r="J2946" s="405">
        <v>0.247</v>
      </c>
      <c r="K2946" s="405">
        <v>32.375100000000003</v>
      </c>
      <c r="L2946" s="405" t="s">
        <v>314</v>
      </c>
      <c r="M2946" s="405" t="s">
        <v>361</v>
      </c>
      <c r="N2946" s="405" t="s">
        <v>362</v>
      </c>
      <c r="O2946" s="405" t="s">
        <v>498</v>
      </c>
      <c r="P2946" s="405" t="s">
        <v>6331</v>
      </c>
      <c r="Q2946" s="411">
        <v>6</v>
      </c>
      <c r="R2946" s="405" t="s">
        <v>32101</v>
      </c>
      <c r="S2946" s="405" t="s">
        <v>27167</v>
      </c>
      <c r="T2946" s="405" t="s">
        <v>32102</v>
      </c>
      <c r="U2946" s="405" t="s">
        <v>319</v>
      </c>
    </row>
    <row r="2947" spans="1:21" x14ac:dyDescent="0.25">
      <c r="A2947" s="405" t="s">
        <v>310</v>
      </c>
      <c r="B2947" s="405" t="s">
        <v>7006</v>
      </c>
      <c r="C2947" s="405" t="s">
        <v>311</v>
      </c>
      <c r="D2947" s="405" t="s">
        <v>1789</v>
      </c>
      <c r="E2947" s="410">
        <v>42933</v>
      </c>
      <c r="F2947" s="410">
        <v>42967</v>
      </c>
      <c r="G2947" s="405" t="s">
        <v>7007</v>
      </c>
      <c r="H2947" s="405">
        <v>772403155</v>
      </c>
      <c r="I2947" s="405"/>
      <c r="J2947" s="405">
        <v>0.33727699999999999</v>
      </c>
      <c r="K2947" s="405">
        <v>32.464125000000003</v>
      </c>
      <c r="L2947" s="405" t="s">
        <v>314</v>
      </c>
      <c r="M2947" s="405" t="s">
        <v>361</v>
      </c>
      <c r="N2947" s="405" t="s">
        <v>1682</v>
      </c>
      <c r="O2947" s="405" t="s">
        <v>2363</v>
      </c>
      <c r="P2947" s="405" t="s">
        <v>2363</v>
      </c>
      <c r="Q2947" s="411">
        <v>13</v>
      </c>
      <c r="R2947" s="405" t="s">
        <v>414</v>
      </c>
      <c r="S2947" s="405" t="s">
        <v>414</v>
      </c>
      <c r="T2947" s="405" t="s">
        <v>32102</v>
      </c>
      <c r="U2947" s="405" t="s">
        <v>319</v>
      </c>
    </row>
    <row r="2948" spans="1:21" x14ac:dyDescent="0.25">
      <c r="A2948" s="405" t="s">
        <v>310</v>
      </c>
      <c r="B2948" s="405" t="s">
        <v>15785</v>
      </c>
      <c r="C2948" s="405" t="s">
        <v>327</v>
      </c>
      <c r="D2948" s="405"/>
      <c r="E2948" s="410">
        <v>42933</v>
      </c>
      <c r="F2948" s="410">
        <v>42977</v>
      </c>
      <c r="G2948" s="405" t="s">
        <v>15786</v>
      </c>
      <c r="H2948" s="405">
        <v>783314531</v>
      </c>
      <c r="I2948" s="405"/>
      <c r="J2948" s="405">
        <v>1.4703839999999999</v>
      </c>
      <c r="K2948" s="405">
        <v>33.853971000000001</v>
      </c>
      <c r="L2948" s="405" t="s">
        <v>6866</v>
      </c>
      <c r="M2948" s="405" t="s">
        <v>10029</v>
      </c>
      <c r="N2948" s="405" t="s">
        <v>10029</v>
      </c>
      <c r="O2948" s="405" t="s">
        <v>11388</v>
      </c>
      <c r="P2948" s="405" t="s">
        <v>15787</v>
      </c>
      <c r="Q2948" s="411">
        <v>6</v>
      </c>
      <c r="R2948" s="405" t="s">
        <v>7224</v>
      </c>
      <c r="S2948" s="405" t="s">
        <v>27067</v>
      </c>
      <c r="T2948" s="405" t="s">
        <v>32102</v>
      </c>
      <c r="U2948" s="405" t="s">
        <v>319</v>
      </c>
    </row>
    <row r="2949" spans="1:21" x14ac:dyDescent="0.25">
      <c r="A2949" s="405" t="s">
        <v>310</v>
      </c>
      <c r="B2949" s="405" t="s">
        <v>23560</v>
      </c>
      <c r="C2949" s="405" t="s">
        <v>311</v>
      </c>
      <c r="D2949" s="405" t="s">
        <v>33048</v>
      </c>
      <c r="E2949" s="410">
        <v>42933</v>
      </c>
      <c r="F2949" s="410">
        <v>42963</v>
      </c>
      <c r="G2949" s="405" t="s">
        <v>23561</v>
      </c>
      <c r="H2949" s="405">
        <v>774245979</v>
      </c>
      <c r="I2949" s="405">
        <v>772080735</v>
      </c>
      <c r="J2949" s="405">
        <v>1.2217</v>
      </c>
      <c r="K2949" s="405">
        <v>31.841999999999999</v>
      </c>
      <c r="L2949" s="405" t="s">
        <v>590</v>
      </c>
      <c r="M2949" s="405" t="s">
        <v>7300</v>
      </c>
      <c r="N2949" s="405" t="s">
        <v>20450</v>
      </c>
      <c r="O2949" s="405" t="s">
        <v>20931</v>
      </c>
      <c r="P2949" s="405" t="s">
        <v>13712</v>
      </c>
      <c r="Q2949" s="411">
        <v>6</v>
      </c>
      <c r="R2949" s="405" t="s">
        <v>6397</v>
      </c>
      <c r="S2949" s="405" t="s">
        <v>27427</v>
      </c>
      <c r="T2949" s="405" t="s">
        <v>32102</v>
      </c>
      <c r="U2949" s="405" t="s">
        <v>319</v>
      </c>
    </row>
    <row r="2950" spans="1:21" x14ac:dyDescent="0.25">
      <c r="A2950" s="405" t="s">
        <v>310</v>
      </c>
      <c r="B2950" s="405" t="s">
        <v>23247</v>
      </c>
      <c r="C2950" s="405" t="s">
        <v>327</v>
      </c>
      <c r="D2950" s="405"/>
      <c r="E2950" s="410">
        <v>42932</v>
      </c>
      <c r="F2950" s="410">
        <v>42977</v>
      </c>
      <c r="G2950" s="405" t="s">
        <v>23248</v>
      </c>
      <c r="H2950" s="405">
        <v>753581017</v>
      </c>
      <c r="I2950" s="405"/>
      <c r="J2950" s="405">
        <v>-0.85906499999999997</v>
      </c>
      <c r="K2950" s="405">
        <v>30.682465000000001</v>
      </c>
      <c r="L2950" s="405" t="s">
        <v>590</v>
      </c>
      <c r="M2950" s="405" t="s">
        <v>879</v>
      </c>
      <c r="N2950" s="405" t="s">
        <v>879</v>
      </c>
      <c r="O2950" s="405" t="s">
        <v>20145</v>
      </c>
      <c r="P2950" s="405" t="s">
        <v>20356</v>
      </c>
      <c r="Q2950" s="411">
        <v>6</v>
      </c>
      <c r="R2950" s="405" t="s">
        <v>883</v>
      </c>
      <c r="S2950" s="405" t="s">
        <v>27109</v>
      </c>
      <c r="T2950" s="405" t="s">
        <v>32102</v>
      </c>
      <c r="U2950" s="405" t="s">
        <v>319</v>
      </c>
    </row>
    <row r="2951" spans="1:21" x14ac:dyDescent="0.25">
      <c r="A2951" s="405" t="s">
        <v>310</v>
      </c>
      <c r="B2951" s="405" t="s">
        <v>23545</v>
      </c>
      <c r="C2951" s="405" t="s">
        <v>311</v>
      </c>
      <c r="D2951" s="405" t="s">
        <v>2127</v>
      </c>
      <c r="E2951" s="410">
        <v>42932</v>
      </c>
      <c r="F2951" s="410">
        <v>42963</v>
      </c>
      <c r="G2951" s="405" t="s">
        <v>23546</v>
      </c>
      <c r="H2951" s="405">
        <v>7726233953</v>
      </c>
      <c r="I2951" s="405"/>
      <c r="J2951" s="405">
        <v>1.363618</v>
      </c>
      <c r="K2951" s="405">
        <v>31.295397000000001</v>
      </c>
      <c r="L2951" s="405" t="s">
        <v>590</v>
      </c>
      <c r="M2951" s="405" t="s">
        <v>7300</v>
      </c>
      <c r="N2951" s="405" t="s">
        <v>20450</v>
      </c>
      <c r="O2951" s="405" t="s">
        <v>20451</v>
      </c>
      <c r="P2951" s="405" t="s">
        <v>21398</v>
      </c>
      <c r="Q2951" s="411">
        <v>6</v>
      </c>
      <c r="R2951" s="405" t="s">
        <v>6397</v>
      </c>
      <c r="S2951" s="405" t="s">
        <v>22880</v>
      </c>
      <c r="T2951" s="405" t="s">
        <v>32102</v>
      </c>
      <c r="U2951" s="405" t="s">
        <v>319</v>
      </c>
    </row>
    <row r="2952" spans="1:21" x14ac:dyDescent="0.25">
      <c r="A2952" s="405" t="s">
        <v>310</v>
      </c>
      <c r="B2952" s="405" t="s">
        <v>23281</v>
      </c>
      <c r="C2952" s="405" t="s">
        <v>327</v>
      </c>
      <c r="D2952" s="405"/>
      <c r="E2952" s="410">
        <v>42931</v>
      </c>
      <c r="F2952" s="410">
        <v>42976</v>
      </c>
      <c r="G2952" s="405" t="s">
        <v>23282</v>
      </c>
      <c r="H2952" s="405">
        <v>775207182</v>
      </c>
      <c r="I2952" s="405">
        <v>788706862</v>
      </c>
      <c r="J2952" s="405">
        <v>0.41531000000000001</v>
      </c>
      <c r="K2952" s="405">
        <v>29.469799999999999</v>
      </c>
      <c r="L2952" s="405" t="s">
        <v>590</v>
      </c>
      <c r="M2952" s="405" t="s">
        <v>20808</v>
      </c>
      <c r="N2952" s="405" t="s">
        <v>23283</v>
      </c>
      <c r="O2952" s="405" t="s">
        <v>23284</v>
      </c>
      <c r="P2952" s="405" t="s">
        <v>20753</v>
      </c>
      <c r="Q2952" s="411">
        <v>6</v>
      </c>
      <c r="R2952" s="405" t="s">
        <v>6572</v>
      </c>
      <c r="S2952" s="405" t="s">
        <v>27154</v>
      </c>
      <c r="T2952" s="405" t="s">
        <v>32102</v>
      </c>
      <c r="U2952" s="405" t="s">
        <v>319</v>
      </c>
    </row>
    <row r="2953" spans="1:21" x14ac:dyDescent="0.25">
      <c r="A2953" s="405" t="s">
        <v>310</v>
      </c>
      <c r="B2953" s="405" t="s">
        <v>15747</v>
      </c>
      <c r="C2953" s="405" t="s">
        <v>327</v>
      </c>
      <c r="D2953" s="405"/>
      <c r="E2953" s="410">
        <v>42931</v>
      </c>
      <c r="F2953" s="410">
        <v>42976</v>
      </c>
      <c r="G2953" s="405" t="s">
        <v>15748</v>
      </c>
      <c r="H2953" s="405">
        <v>774481684</v>
      </c>
      <c r="I2953" s="405"/>
      <c r="J2953" s="405">
        <v>1.403138</v>
      </c>
      <c r="K2953" s="405">
        <v>34.626162000000001</v>
      </c>
      <c r="L2953" s="405" t="s">
        <v>6866</v>
      </c>
      <c r="M2953" s="405" t="s">
        <v>9705</v>
      </c>
      <c r="N2953" s="405" t="s">
        <v>9705</v>
      </c>
      <c r="O2953" s="405" t="s">
        <v>10307</v>
      </c>
      <c r="P2953" s="405" t="s">
        <v>15749</v>
      </c>
      <c r="Q2953" s="411">
        <v>6</v>
      </c>
      <c r="R2953" s="405" t="s">
        <v>9506</v>
      </c>
      <c r="S2953" s="405" t="s">
        <v>27041</v>
      </c>
      <c r="T2953" s="405" t="s">
        <v>32102</v>
      </c>
      <c r="U2953" s="405" t="s">
        <v>319</v>
      </c>
    </row>
    <row r="2954" spans="1:21" x14ac:dyDescent="0.25">
      <c r="A2954" s="405" t="s">
        <v>310</v>
      </c>
      <c r="B2954" s="405" t="s">
        <v>6350</v>
      </c>
      <c r="C2954" s="405" t="s">
        <v>327</v>
      </c>
      <c r="D2954" s="405"/>
      <c r="E2954" s="410">
        <v>42931</v>
      </c>
      <c r="F2954" s="410">
        <v>42976</v>
      </c>
      <c r="G2954" s="405" t="s">
        <v>6351</v>
      </c>
      <c r="H2954" s="405">
        <v>754422548</v>
      </c>
      <c r="I2954" s="405">
        <v>703692349</v>
      </c>
      <c r="J2954" s="405">
        <v>0.426205</v>
      </c>
      <c r="K2954" s="405">
        <v>33.143692000000001</v>
      </c>
      <c r="L2954" s="405" t="s">
        <v>314</v>
      </c>
      <c r="M2954" s="405" t="s">
        <v>349</v>
      </c>
      <c r="N2954" s="405" t="s">
        <v>2184</v>
      </c>
      <c r="O2954" s="405" t="s">
        <v>1113</v>
      </c>
      <c r="P2954" s="405" t="s">
        <v>6302</v>
      </c>
      <c r="Q2954" s="411">
        <v>6</v>
      </c>
      <c r="R2954" s="405" t="s">
        <v>4176</v>
      </c>
      <c r="S2954" s="405" t="s">
        <v>27039</v>
      </c>
      <c r="T2954" s="405" t="s">
        <v>32102</v>
      </c>
      <c r="U2954" s="405" t="s">
        <v>319</v>
      </c>
    </row>
    <row r="2955" spans="1:21" x14ac:dyDescent="0.25">
      <c r="A2955" s="405" t="s">
        <v>310</v>
      </c>
      <c r="B2955" s="405" t="s">
        <v>6345</v>
      </c>
      <c r="C2955" s="405" t="s">
        <v>327</v>
      </c>
      <c r="D2955" s="405"/>
      <c r="E2955" s="410">
        <v>42931</v>
      </c>
      <c r="F2955" s="410">
        <v>42972</v>
      </c>
      <c r="G2955" s="405" t="s">
        <v>6346</v>
      </c>
      <c r="H2955" s="405">
        <v>705772487</v>
      </c>
      <c r="I2955" s="405">
        <v>782846295</v>
      </c>
      <c r="J2955" s="405">
        <v>0.45618700000000001</v>
      </c>
      <c r="K2955" s="405">
        <v>33.159140000000001</v>
      </c>
      <c r="L2955" s="405" t="s">
        <v>314</v>
      </c>
      <c r="M2955" s="405" t="s">
        <v>349</v>
      </c>
      <c r="N2955" s="405" t="s">
        <v>2184</v>
      </c>
      <c r="O2955" s="405" t="s">
        <v>6347</v>
      </c>
      <c r="P2955" s="405" t="s">
        <v>6348</v>
      </c>
      <c r="Q2955" s="411">
        <v>6</v>
      </c>
      <c r="R2955" s="405" t="s">
        <v>4176</v>
      </c>
      <c r="S2955" s="405" t="s">
        <v>27186</v>
      </c>
      <c r="T2955" s="405" t="s">
        <v>32102</v>
      </c>
      <c r="U2955" s="405" t="s">
        <v>319</v>
      </c>
    </row>
    <row r="2956" spans="1:21" x14ac:dyDescent="0.25">
      <c r="A2956" s="405" t="s">
        <v>310</v>
      </c>
      <c r="B2956" s="405" t="s">
        <v>23305</v>
      </c>
      <c r="C2956" s="405" t="s">
        <v>327</v>
      </c>
      <c r="D2956" s="405"/>
      <c r="E2956" s="410">
        <v>42931</v>
      </c>
      <c r="F2956" s="410">
        <v>42964</v>
      </c>
      <c r="G2956" s="405" t="s">
        <v>23306</v>
      </c>
      <c r="H2956" s="405">
        <v>782504049</v>
      </c>
      <c r="I2956" s="405">
        <v>783154887</v>
      </c>
      <c r="J2956" s="405">
        <v>0.46460000000000001</v>
      </c>
      <c r="K2956" s="405">
        <v>31.344999999999999</v>
      </c>
      <c r="L2956" s="405" t="s">
        <v>590</v>
      </c>
      <c r="M2956" s="405" t="s">
        <v>1851</v>
      </c>
      <c r="N2956" s="405" t="s">
        <v>2430</v>
      </c>
      <c r="O2956" s="405" t="s">
        <v>23307</v>
      </c>
      <c r="P2956" s="405" t="s">
        <v>23308</v>
      </c>
      <c r="Q2956" s="411">
        <v>6</v>
      </c>
      <c r="R2956" s="405" t="s">
        <v>6397</v>
      </c>
      <c r="S2956" s="405" t="s">
        <v>22880</v>
      </c>
      <c r="T2956" s="405" t="s">
        <v>32102</v>
      </c>
      <c r="U2956" s="405" t="s">
        <v>319</v>
      </c>
    </row>
    <row r="2957" spans="1:21" x14ac:dyDescent="0.25">
      <c r="A2957" s="405" t="s">
        <v>310</v>
      </c>
      <c r="B2957" s="405" t="s">
        <v>6338</v>
      </c>
      <c r="C2957" s="405" t="s">
        <v>327</v>
      </c>
      <c r="D2957" s="405"/>
      <c r="E2957" s="410">
        <v>42931</v>
      </c>
      <c r="F2957" s="410">
        <v>42951</v>
      </c>
      <c r="G2957" s="405" t="s">
        <v>6339</v>
      </c>
      <c r="H2957" s="405">
        <v>703287071</v>
      </c>
      <c r="I2957" s="405"/>
      <c r="J2957" s="405">
        <v>0.52516700000000005</v>
      </c>
      <c r="K2957" s="405">
        <v>32.434972000000002</v>
      </c>
      <c r="L2957" s="405" t="s">
        <v>314</v>
      </c>
      <c r="M2957" s="405" t="s">
        <v>992</v>
      </c>
      <c r="N2957" s="405" t="s">
        <v>987</v>
      </c>
      <c r="O2957" s="405" t="s">
        <v>2132</v>
      </c>
      <c r="P2957" s="405" t="s">
        <v>6340</v>
      </c>
      <c r="Q2957" s="411">
        <v>6</v>
      </c>
      <c r="R2957" s="405" t="s">
        <v>4176</v>
      </c>
      <c r="S2957" s="405" t="s">
        <v>27053</v>
      </c>
      <c r="T2957" s="405" t="s">
        <v>32102</v>
      </c>
      <c r="U2957" s="405" t="s">
        <v>319</v>
      </c>
    </row>
    <row r="2958" spans="1:21" x14ac:dyDescent="0.25">
      <c r="A2958" s="405" t="s">
        <v>310</v>
      </c>
      <c r="B2958" s="405" t="s">
        <v>6367</v>
      </c>
      <c r="C2958" s="405" t="s">
        <v>327</v>
      </c>
      <c r="D2958" s="405"/>
      <c r="E2958" s="410">
        <v>42930</v>
      </c>
      <c r="F2958" s="410">
        <v>42975</v>
      </c>
      <c r="G2958" s="405" t="s">
        <v>6368</v>
      </c>
      <c r="H2958" s="405">
        <v>771696010</v>
      </c>
      <c r="I2958" s="405"/>
      <c r="J2958" s="405">
        <v>0.14349300000000001</v>
      </c>
      <c r="K2958" s="405">
        <v>32.284843000000002</v>
      </c>
      <c r="L2958" s="405" t="s">
        <v>314</v>
      </c>
      <c r="M2958" s="405" t="s">
        <v>321</v>
      </c>
      <c r="N2958" s="405" t="s">
        <v>1244</v>
      </c>
      <c r="O2958" s="405" t="s">
        <v>321</v>
      </c>
      <c r="P2958" s="405" t="s">
        <v>6369</v>
      </c>
      <c r="Q2958" s="411">
        <v>6</v>
      </c>
      <c r="R2958" s="405" t="s">
        <v>5336</v>
      </c>
      <c r="S2958" s="405" t="s">
        <v>27049</v>
      </c>
      <c r="T2958" s="405" t="s">
        <v>32102</v>
      </c>
      <c r="U2958" s="405" t="s">
        <v>319</v>
      </c>
    </row>
    <row r="2959" spans="1:21" x14ac:dyDescent="0.25">
      <c r="A2959" s="405" t="s">
        <v>310</v>
      </c>
      <c r="B2959" s="405" t="s">
        <v>23302</v>
      </c>
      <c r="C2959" s="405" t="s">
        <v>327</v>
      </c>
      <c r="D2959" s="405"/>
      <c r="E2959" s="410">
        <v>42930</v>
      </c>
      <c r="F2959" s="410">
        <v>42969</v>
      </c>
      <c r="G2959" s="405" t="s">
        <v>23303</v>
      </c>
      <c r="H2959" s="405">
        <v>772902626</v>
      </c>
      <c r="I2959" s="405">
        <v>783886191</v>
      </c>
      <c r="J2959" s="405">
        <v>0.47499999999999998</v>
      </c>
      <c r="K2959" s="405">
        <v>31.437000000000001</v>
      </c>
      <c r="L2959" s="405" t="s">
        <v>590</v>
      </c>
      <c r="M2959" s="405" t="s">
        <v>1851</v>
      </c>
      <c r="N2959" s="405" t="s">
        <v>2430</v>
      </c>
      <c r="O2959" s="405" t="s">
        <v>23304</v>
      </c>
      <c r="P2959" s="405" t="s">
        <v>9489</v>
      </c>
      <c r="Q2959" s="411">
        <v>6</v>
      </c>
      <c r="R2959" s="405" t="s">
        <v>6397</v>
      </c>
      <c r="S2959" s="405" t="s">
        <v>27427</v>
      </c>
      <c r="T2959" s="405" t="s">
        <v>32102</v>
      </c>
      <c r="U2959" s="405" t="s">
        <v>319</v>
      </c>
    </row>
    <row r="2960" spans="1:21" x14ac:dyDescent="0.25">
      <c r="A2960" s="405" t="s">
        <v>310</v>
      </c>
      <c r="B2960" s="405" t="s">
        <v>6363</v>
      </c>
      <c r="C2960" s="405" t="s">
        <v>327</v>
      </c>
      <c r="D2960" s="405"/>
      <c r="E2960" s="410">
        <v>42929</v>
      </c>
      <c r="F2960" s="410">
        <v>42948</v>
      </c>
      <c r="G2960" s="405" t="s">
        <v>6364</v>
      </c>
      <c r="H2960" s="405">
        <v>784326605</v>
      </c>
      <c r="I2960" s="405">
        <v>256788045827</v>
      </c>
      <c r="J2960" s="405">
        <v>0.26979500000000001</v>
      </c>
      <c r="K2960" s="405">
        <v>32.635736999999999</v>
      </c>
      <c r="L2960" s="405" t="s">
        <v>314</v>
      </c>
      <c r="M2960" s="405" t="s">
        <v>992</v>
      </c>
      <c r="N2960" s="405" t="s">
        <v>618</v>
      </c>
      <c r="O2960" s="405" t="s">
        <v>6365</v>
      </c>
      <c r="P2960" s="405" t="s">
        <v>6366</v>
      </c>
      <c r="Q2960" s="411">
        <v>13</v>
      </c>
      <c r="R2960" s="405" t="s">
        <v>5336</v>
      </c>
      <c r="S2960" s="405" t="s">
        <v>27047</v>
      </c>
      <c r="T2960" s="405" t="s">
        <v>32102</v>
      </c>
      <c r="U2960" s="405" t="s">
        <v>319</v>
      </c>
    </row>
    <row r="2961" spans="1:21" x14ac:dyDescent="0.25">
      <c r="A2961" s="405" t="s">
        <v>310</v>
      </c>
      <c r="B2961" s="405" t="s">
        <v>15750</v>
      </c>
      <c r="C2961" s="405" t="s">
        <v>327</v>
      </c>
      <c r="D2961" s="405"/>
      <c r="E2961" s="410">
        <v>42929</v>
      </c>
      <c r="F2961" s="410">
        <v>42974</v>
      </c>
      <c r="G2961" s="405" t="s">
        <v>15751</v>
      </c>
      <c r="H2961" s="405">
        <v>777146386</v>
      </c>
      <c r="I2961" s="405"/>
      <c r="J2961" s="405">
        <v>1.35829</v>
      </c>
      <c r="K2961" s="405">
        <v>34.647505000000002</v>
      </c>
      <c r="L2961" s="405" t="s">
        <v>6866</v>
      </c>
      <c r="M2961" s="405" t="s">
        <v>9705</v>
      </c>
      <c r="N2961" s="405" t="s">
        <v>9705</v>
      </c>
      <c r="O2961" s="405" t="s">
        <v>15752</v>
      </c>
      <c r="P2961" s="405" t="s">
        <v>15618</v>
      </c>
      <c r="Q2961" s="411">
        <v>6</v>
      </c>
      <c r="R2961" s="405" t="s">
        <v>9506</v>
      </c>
      <c r="S2961" s="405" t="s">
        <v>27072</v>
      </c>
      <c r="T2961" s="405" t="s">
        <v>32102</v>
      </c>
      <c r="U2961" s="405" t="s">
        <v>319</v>
      </c>
    </row>
    <row r="2962" spans="1:21" x14ac:dyDescent="0.25">
      <c r="A2962" s="405" t="s">
        <v>310</v>
      </c>
      <c r="B2962" s="405" t="s">
        <v>15753</v>
      </c>
      <c r="C2962" s="405" t="s">
        <v>327</v>
      </c>
      <c r="D2962" s="405"/>
      <c r="E2962" s="410">
        <v>42929</v>
      </c>
      <c r="F2962" s="410">
        <v>42974</v>
      </c>
      <c r="G2962" s="405" t="s">
        <v>15754</v>
      </c>
      <c r="H2962" s="405">
        <v>774458686</v>
      </c>
      <c r="I2962" s="405"/>
      <c r="J2962" s="405">
        <v>1.4097949999999999</v>
      </c>
      <c r="K2962" s="405">
        <v>34.623502999999999</v>
      </c>
      <c r="L2962" s="405" t="s">
        <v>6866</v>
      </c>
      <c r="M2962" s="405" t="s">
        <v>9705</v>
      </c>
      <c r="N2962" s="405" t="s">
        <v>9705</v>
      </c>
      <c r="O2962" s="405" t="s">
        <v>10307</v>
      </c>
      <c r="P2962" s="405" t="s">
        <v>15755</v>
      </c>
      <c r="Q2962" s="411">
        <v>6</v>
      </c>
      <c r="R2962" s="405" t="s">
        <v>9506</v>
      </c>
      <c r="S2962" s="405" t="s">
        <v>27357</v>
      </c>
      <c r="T2962" s="405" t="s">
        <v>32102</v>
      </c>
      <c r="U2962" s="405" t="s">
        <v>319</v>
      </c>
    </row>
    <row r="2963" spans="1:21" x14ac:dyDescent="0.25">
      <c r="A2963" s="405" t="s">
        <v>310</v>
      </c>
      <c r="B2963" s="405" t="s">
        <v>23297</v>
      </c>
      <c r="C2963" s="405" t="s">
        <v>327</v>
      </c>
      <c r="D2963" s="405"/>
      <c r="E2963" s="410">
        <v>42929</v>
      </c>
      <c r="F2963" s="410">
        <v>42959</v>
      </c>
      <c r="G2963" s="405" t="s">
        <v>23298</v>
      </c>
      <c r="H2963" s="405">
        <v>772648718</v>
      </c>
      <c r="I2963" s="405"/>
      <c r="J2963" s="405">
        <v>0.46439999999999998</v>
      </c>
      <c r="K2963" s="405">
        <v>31.154599999999999</v>
      </c>
      <c r="L2963" s="405" t="s">
        <v>590</v>
      </c>
      <c r="M2963" s="405" t="s">
        <v>6394</v>
      </c>
      <c r="N2963" s="405" t="s">
        <v>23299</v>
      </c>
      <c r="O2963" s="405" t="s">
        <v>23300</v>
      </c>
      <c r="P2963" s="405" t="s">
        <v>23301</v>
      </c>
      <c r="Q2963" s="411">
        <v>6</v>
      </c>
      <c r="R2963" s="405" t="s">
        <v>6397</v>
      </c>
      <c r="S2963" s="405" t="s">
        <v>22880</v>
      </c>
      <c r="T2963" s="405" t="s">
        <v>32102</v>
      </c>
      <c r="U2963" s="405" t="s">
        <v>319</v>
      </c>
    </row>
    <row r="2964" spans="1:21" x14ac:dyDescent="0.25">
      <c r="A2964" s="405" t="s">
        <v>310</v>
      </c>
      <c r="B2964" s="405" t="s">
        <v>23277</v>
      </c>
      <c r="C2964" s="405" t="s">
        <v>327</v>
      </c>
      <c r="D2964" s="405"/>
      <c r="E2964" s="410">
        <v>42928</v>
      </c>
      <c r="F2964" s="410">
        <v>42973</v>
      </c>
      <c r="G2964" s="405" t="s">
        <v>23278</v>
      </c>
      <c r="H2964" s="405">
        <v>772341715</v>
      </c>
      <c r="I2964" s="405"/>
      <c r="J2964" s="405">
        <v>0.44590000000000002</v>
      </c>
      <c r="K2964" s="405">
        <v>29.534500000000001</v>
      </c>
      <c r="L2964" s="405" t="s">
        <v>590</v>
      </c>
      <c r="M2964" s="405" t="s">
        <v>19619</v>
      </c>
      <c r="N2964" s="405" t="s">
        <v>23279</v>
      </c>
      <c r="O2964" s="405" t="s">
        <v>19793</v>
      </c>
      <c r="P2964" s="405" t="s">
        <v>23280</v>
      </c>
      <c r="Q2964" s="411">
        <v>13</v>
      </c>
      <c r="R2964" s="405" t="s">
        <v>6572</v>
      </c>
      <c r="S2964" s="405" t="s">
        <v>27166</v>
      </c>
      <c r="T2964" s="405" t="s">
        <v>32102</v>
      </c>
      <c r="U2964" s="405" t="s">
        <v>319</v>
      </c>
    </row>
    <row r="2965" spans="1:21" x14ac:dyDescent="0.25">
      <c r="A2965" s="405" t="s">
        <v>310</v>
      </c>
      <c r="B2965" s="405" t="s">
        <v>23241</v>
      </c>
      <c r="C2965" s="405" t="s">
        <v>327</v>
      </c>
      <c r="D2965" s="405"/>
      <c r="E2965" s="410">
        <v>42928</v>
      </c>
      <c r="F2965" s="410">
        <v>42973</v>
      </c>
      <c r="G2965" s="405" t="s">
        <v>23242</v>
      </c>
      <c r="H2965" s="405">
        <v>751936936</v>
      </c>
      <c r="I2965" s="405">
        <v>751553252</v>
      </c>
      <c r="J2965" s="405">
        <v>-0.95140199999999997</v>
      </c>
      <c r="K2965" s="405">
        <v>30.628418</v>
      </c>
      <c r="L2965" s="405" t="s">
        <v>590</v>
      </c>
      <c r="M2965" s="405" t="s">
        <v>879</v>
      </c>
      <c r="N2965" s="405" t="s">
        <v>23243</v>
      </c>
      <c r="O2965" s="405" t="s">
        <v>20024</v>
      </c>
      <c r="P2965" s="405" t="s">
        <v>23244</v>
      </c>
      <c r="Q2965" s="411">
        <v>6</v>
      </c>
      <c r="R2965" s="405" t="s">
        <v>883</v>
      </c>
      <c r="S2965" s="405" t="s">
        <v>27097</v>
      </c>
      <c r="T2965" s="405" t="s">
        <v>32102</v>
      </c>
      <c r="U2965" s="405" t="s">
        <v>319</v>
      </c>
    </row>
    <row r="2966" spans="1:21" x14ac:dyDescent="0.25">
      <c r="A2966" s="405" t="s">
        <v>310</v>
      </c>
      <c r="B2966" s="405" t="s">
        <v>23238</v>
      </c>
      <c r="C2966" s="405" t="s">
        <v>327</v>
      </c>
      <c r="D2966" s="405"/>
      <c r="E2966" s="410">
        <v>42926</v>
      </c>
      <c r="F2966" s="410">
        <v>42971</v>
      </c>
      <c r="G2966" s="405" t="s">
        <v>23239</v>
      </c>
      <c r="H2966" s="405">
        <v>706303166</v>
      </c>
      <c r="I2966" s="405">
        <v>772938130</v>
      </c>
      <c r="J2966" s="405">
        <v>-0.31545200000000001</v>
      </c>
      <c r="K2966" s="405">
        <v>30.575188000000001</v>
      </c>
      <c r="L2966" s="405" t="s">
        <v>590</v>
      </c>
      <c r="M2966" s="405" t="s">
        <v>19614</v>
      </c>
      <c r="N2966" s="405" t="s">
        <v>23240</v>
      </c>
      <c r="O2966" s="405" t="s">
        <v>20112</v>
      </c>
      <c r="P2966" s="405" t="s">
        <v>7400</v>
      </c>
      <c r="Q2966" s="411">
        <v>9</v>
      </c>
      <c r="R2966" s="405" t="s">
        <v>883</v>
      </c>
      <c r="S2966" s="405" t="s">
        <v>27172</v>
      </c>
      <c r="T2966" s="405" t="s">
        <v>32102</v>
      </c>
      <c r="U2966" s="405" t="s">
        <v>319</v>
      </c>
    </row>
    <row r="2967" spans="1:21" x14ac:dyDescent="0.25">
      <c r="A2967" s="405" t="s">
        <v>310</v>
      </c>
      <c r="B2967" s="405" t="s">
        <v>23231</v>
      </c>
      <c r="C2967" s="405" t="s">
        <v>327</v>
      </c>
      <c r="D2967" s="405"/>
      <c r="E2967" s="410">
        <v>42926</v>
      </c>
      <c r="F2967" s="410">
        <v>42971</v>
      </c>
      <c r="G2967" s="405" t="s">
        <v>23232</v>
      </c>
      <c r="H2967" s="405">
        <v>782206665</v>
      </c>
      <c r="I2967" s="405"/>
      <c r="J2967" s="405">
        <v>0.66090700000000002</v>
      </c>
      <c r="K2967" s="405">
        <v>30.143661999999999</v>
      </c>
      <c r="L2967" s="405" t="s">
        <v>590</v>
      </c>
      <c r="M2967" s="405" t="s">
        <v>19725</v>
      </c>
      <c r="N2967" s="405" t="s">
        <v>19725</v>
      </c>
      <c r="O2967" s="405" t="s">
        <v>20013</v>
      </c>
      <c r="P2967" s="405" t="s">
        <v>23233</v>
      </c>
      <c r="Q2967" s="411">
        <v>6</v>
      </c>
      <c r="R2967" s="405" t="s">
        <v>6943</v>
      </c>
      <c r="S2967" s="405" t="s">
        <v>27065</v>
      </c>
      <c r="T2967" s="405" t="s">
        <v>32102</v>
      </c>
      <c r="U2967" s="405" t="s">
        <v>319</v>
      </c>
    </row>
    <row r="2968" spans="1:21" x14ac:dyDescent="0.25">
      <c r="A2968" s="405" t="s">
        <v>310</v>
      </c>
      <c r="B2968" s="405" t="s">
        <v>6355</v>
      </c>
      <c r="C2968" s="405" t="s">
        <v>327</v>
      </c>
      <c r="D2968" s="405"/>
      <c r="E2968" s="410">
        <v>42926</v>
      </c>
      <c r="F2968" s="410">
        <v>42971</v>
      </c>
      <c r="G2968" s="405" t="s">
        <v>6356</v>
      </c>
      <c r="H2968" s="405">
        <v>753304199</v>
      </c>
      <c r="I2968" s="405"/>
      <c r="J2968" s="405">
        <v>0.10592</v>
      </c>
      <c r="K2968" s="405">
        <v>32.316389999999998</v>
      </c>
      <c r="L2968" s="405" t="s">
        <v>314</v>
      </c>
      <c r="M2968" s="405" t="s">
        <v>361</v>
      </c>
      <c r="N2968" s="405" t="s">
        <v>6357</v>
      </c>
      <c r="O2968" s="405" t="s">
        <v>2091</v>
      </c>
      <c r="P2968" s="405" t="s">
        <v>6358</v>
      </c>
      <c r="Q2968" s="411">
        <v>6</v>
      </c>
      <c r="R2968" s="405" t="s">
        <v>4176</v>
      </c>
      <c r="S2968" s="405" t="s">
        <v>27036</v>
      </c>
      <c r="T2968" s="405" t="s">
        <v>32102</v>
      </c>
      <c r="U2968" s="405" t="s">
        <v>319</v>
      </c>
    </row>
    <row r="2969" spans="1:21" x14ac:dyDescent="0.25">
      <c r="A2969" s="405" t="s">
        <v>310</v>
      </c>
      <c r="B2969" s="405" t="s">
        <v>15805</v>
      </c>
      <c r="C2969" s="405" t="s">
        <v>327</v>
      </c>
      <c r="D2969" s="405"/>
      <c r="E2969" s="410">
        <v>42925</v>
      </c>
      <c r="F2969" s="410">
        <v>42956</v>
      </c>
      <c r="G2969" s="405" t="s">
        <v>15806</v>
      </c>
      <c r="H2969" s="405">
        <v>772680421</v>
      </c>
      <c r="I2969" s="405">
        <v>787424946</v>
      </c>
      <c r="J2969" s="405">
        <v>0.51339999999999997</v>
      </c>
      <c r="K2969" s="405">
        <v>33.123399999999997</v>
      </c>
      <c r="L2969" s="405" t="s">
        <v>6866</v>
      </c>
      <c r="M2969" s="405" t="s">
        <v>3009</v>
      </c>
      <c r="N2969" s="405" t="s">
        <v>15583</v>
      </c>
      <c r="O2969" s="405" t="s">
        <v>15807</v>
      </c>
      <c r="P2969" s="405" t="s">
        <v>15808</v>
      </c>
      <c r="Q2969" s="411">
        <v>13</v>
      </c>
      <c r="R2969" s="405" t="s">
        <v>6822</v>
      </c>
      <c r="S2969" s="405" t="s">
        <v>27054</v>
      </c>
      <c r="T2969" s="405" t="s">
        <v>32102</v>
      </c>
      <c r="U2969" s="405" t="s">
        <v>319</v>
      </c>
    </row>
    <row r="2970" spans="1:21" x14ac:dyDescent="0.25">
      <c r="A2970" s="405" t="s">
        <v>310</v>
      </c>
      <c r="B2970" s="405" t="s">
        <v>23315</v>
      </c>
      <c r="C2970" s="405" t="s">
        <v>327</v>
      </c>
      <c r="D2970" s="405"/>
      <c r="E2970" s="410">
        <v>42925</v>
      </c>
      <c r="F2970" s="410">
        <v>42948</v>
      </c>
      <c r="G2970" s="405" t="s">
        <v>23316</v>
      </c>
      <c r="H2970" s="405">
        <v>773521531</v>
      </c>
      <c r="I2970" s="405">
        <v>702849806</v>
      </c>
      <c r="J2970" s="405">
        <v>5.1202999999999999E-2</v>
      </c>
      <c r="K2970" s="405">
        <v>29.856674999999999</v>
      </c>
      <c r="L2970" s="405" t="s">
        <v>590</v>
      </c>
      <c r="M2970" s="405" t="s">
        <v>21087</v>
      </c>
      <c r="N2970" s="405" t="s">
        <v>23317</v>
      </c>
      <c r="O2970" s="405" t="s">
        <v>21523</v>
      </c>
      <c r="P2970" s="405" t="s">
        <v>23318</v>
      </c>
      <c r="Q2970" s="411">
        <v>13</v>
      </c>
      <c r="R2970" s="405" t="s">
        <v>5665</v>
      </c>
      <c r="S2970" s="405" t="s">
        <v>27051</v>
      </c>
      <c r="T2970" s="405" t="s">
        <v>32102</v>
      </c>
      <c r="U2970" s="405" t="s">
        <v>319</v>
      </c>
    </row>
    <row r="2971" spans="1:21" x14ac:dyDescent="0.25">
      <c r="A2971" s="405" t="s">
        <v>310</v>
      </c>
      <c r="B2971" s="405" t="s">
        <v>6988</v>
      </c>
      <c r="C2971" s="405" t="s">
        <v>327</v>
      </c>
      <c r="D2971" s="405"/>
      <c r="E2971" s="410">
        <v>42924</v>
      </c>
      <c r="F2971" s="410">
        <v>42969</v>
      </c>
      <c r="G2971" s="405" t="s">
        <v>6989</v>
      </c>
      <c r="H2971" s="405">
        <v>782379958</v>
      </c>
      <c r="I2971" s="405"/>
      <c r="J2971" s="405">
        <v>0.41730299999999998</v>
      </c>
      <c r="K2971" s="405">
        <v>32.447629999999997</v>
      </c>
      <c r="L2971" s="405" t="s">
        <v>314</v>
      </c>
      <c r="M2971" s="405" t="s">
        <v>361</v>
      </c>
      <c r="N2971" s="405" t="s">
        <v>1682</v>
      </c>
      <c r="O2971" s="405" t="s">
        <v>535</v>
      </c>
      <c r="P2971" s="405" t="s">
        <v>6990</v>
      </c>
      <c r="Q2971" s="411">
        <v>6</v>
      </c>
      <c r="R2971" s="405" t="s">
        <v>4176</v>
      </c>
      <c r="S2971" s="405" t="s">
        <v>27059</v>
      </c>
      <c r="T2971" s="405" t="s">
        <v>32102</v>
      </c>
      <c r="U2971" s="405" t="s">
        <v>319</v>
      </c>
    </row>
    <row r="2972" spans="1:21" x14ac:dyDescent="0.25">
      <c r="A2972" s="405" t="s">
        <v>310</v>
      </c>
      <c r="B2972" s="405" t="s">
        <v>23249</v>
      </c>
      <c r="C2972" s="405" t="s">
        <v>327</v>
      </c>
      <c r="D2972" s="405"/>
      <c r="E2972" s="410">
        <v>42924</v>
      </c>
      <c r="F2972" s="410">
        <v>42969</v>
      </c>
      <c r="G2972" s="405" t="s">
        <v>23250</v>
      </c>
      <c r="H2972" s="405">
        <v>757781742</v>
      </c>
      <c r="I2972" s="405">
        <v>787866563</v>
      </c>
      <c r="J2972" s="405">
        <v>-0.83941699999999997</v>
      </c>
      <c r="K2972" s="405">
        <v>30.714672</v>
      </c>
      <c r="L2972" s="405" t="s">
        <v>590</v>
      </c>
      <c r="M2972" s="405" t="s">
        <v>879</v>
      </c>
      <c r="N2972" s="405" t="s">
        <v>23243</v>
      </c>
      <c r="O2972" s="405" t="s">
        <v>20145</v>
      </c>
      <c r="P2972" s="405" t="s">
        <v>23251</v>
      </c>
      <c r="Q2972" s="411">
        <v>6</v>
      </c>
      <c r="R2972" s="405" t="s">
        <v>883</v>
      </c>
      <c r="S2972" s="405" t="s">
        <v>27109</v>
      </c>
      <c r="T2972" s="405" t="s">
        <v>32102</v>
      </c>
      <c r="U2972" s="405" t="s">
        <v>319</v>
      </c>
    </row>
    <row r="2973" spans="1:21" x14ac:dyDescent="0.25">
      <c r="A2973" s="405" t="s">
        <v>310</v>
      </c>
      <c r="B2973" s="405" t="s">
        <v>23295</v>
      </c>
      <c r="C2973" s="405" t="s">
        <v>327</v>
      </c>
      <c r="D2973" s="405"/>
      <c r="E2973" s="410">
        <v>42922</v>
      </c>
      <c r="F2973" s="410">
        <v>42967</v>
      </c>
      <c r="G2973" s="405" t="s">
        <v>23296</v>
      </c>
      <c r="H2973" s="405">
        <v>751850333</v>
      </c>
      <c r="I2973" s="405"/>
      <c r="J2973" s="405">
        <v>1.6979999999999999E-2</v>
      </c>
      <c r="K2973" s="405">
        <v>30.755936999999999</v>
      </c>
      <c r="L2973" s="405" t="s">
        <v>590</v>
      </c>
      <c r="M2973" s="405" t="s">
        <v>19705</v>
      </c>
      <c r="N2973" s="405" t="s">
        <v>2250</v>
      </c>
      <c r="O2973" s="405" t="s">
        <v>2250</v>
      </c>
      <c r="P2973" s="405" t="s">
        <v>22855</v>
      </c>
      <c r="Q2973" s="411">
        <v>13</v>
      </c>
      <c r="R2973" s="405" t="s">
        <v>5858</v>
      </c>
      <c r="S2973" s="405" t="s">
        <v>27098</v>
      </c>
      <c r="T2973" s="405" t="s">
        <v>32102</v>
      </c>
      <c r="U2973" s="405" t="s">
        <v>319</v>
      </c>
    </row>
    <row r="2974" spans="1:21" x14ac:dyDescent="0.25">
      <c r="A2974" s="405" t="s">
        <v>310</v>
      </c>
      <c r="B2974" s="405" t="s">
        <v>23229</v>
      </c>
      <c r="C2974" s="405" t="s">
        <v>327</v>
      </c>
      <c r="D2974" s="405"/>
      <c r="E2974" s="410">
        <v>42922</v>
      </c>
      <c r="F2974" s="410">
        <v>42967</v>
      </c>
      <c r="G2974" s="405" t="s">
        <v>23230</v>
      </c>
      <c r="H2974" s="405">
        <v>776647245</v>
      </c>
      <c r="I2974" s="405">
        <v>776647244</v>
      </c>
      <c r="J2974" s="405">
        <v>-0.57933500000000004</v>
      </c>
      <c r="K2974" s="405">
        <v>30.212748000000001</v>
      </c>
      <c r="L2974" s="405" t="s">
        <v>590</v>
      </c>
      <c r="M2974" s="405" t="s">
        <v>19625</v>
      </c>
      <c r="N2974" s="405" t="s">
        <v>19642</v>
      </c>
      <c r="O2974" s="405" t="s">
        <v>22104</v>
      </c>
      <c r="P2974" s="405" t="s">
        <v>22885</v>
      </c>
      <c r="Q2974" s="411">
        <v>6</v>
      </c>
      <c r="R2974" s="405" t="s">
        <v>6943</v>
      </c>
      <c r="S2974" s="405" t="s">
        <v>27173</v>
      </c>
      <c r="T2974" s="405" t="s">
        <v>32102</v>
      </c>
      <c r="U2974" s="405" t="s">
        <v>319</v>
      </c>
    </row>
    <row r="2975" spans="1:21" x14ac:dyDescent="0.25">
      <c r="A2975" s="405" t="s">
        <v>310</v>
      </c>
      <c r="B2975" s="405" t="s">
        <v>6341</v>
      </c>
      <c r="C2975" s="405" t="s">
        <v>327</v>
      </c>
      <c r="D2975" s="405"/>
      <c r="E2975" s="410">
        <v>42922</v>
      </c>
      <c r="F2975" s="410">
        <v>42967</v>
      </c>
      <c r="G2975" s="405" t="s">
        <v>6342</v>
      </c>
      <c r="H2975" s="405">
        <v>772380760</v>
      </c>
      <c r="I2975" s="405">
        <v>752630960</v>
      </c>
      <c r="J2975" s="405">
        <v>0.30528</v>
      </c>
      <c r="K2975" s="405">
        <v>32.535423000000002</v>
      </c>
      <c r="L2975" s="405" t="s">
        <v>314</v>
      </c>
      <c r="M2975" s="405" t="s">
        <v>992</v>
      </c>
      <c r="N2975" s="405" t="s">
        <v>3511</v>
      </c>
      <c r="O2975" s="405" t="s">
        <v>6343</v>
      </c>
      <c r="P2975" s="405" t="s">
        <v>6344</v>
      </c>
      <c r="Q2975" s="411">
        <v>6</v>
      </c>
      <c r="R2975" s="405" t="s">
        <v>4176</v>
      </c>
      <c r="S2975" s="405" t="s">
        <v>27053</v>
      </c>
      <c r="T2975" s="405" t="s">
        <v>32102</v>
      </c>
      <c r="U2975" s="405" t="s">
        <v>319</v>
      </c>
    </row>
    <row r="2976" spans="1:21" x14ac:dyDescent="0.25">
      <c r="A2976" s="405" t="s">
        <v>310</v>
      </c>
      <c r="B2976" s="405" t="s">
        <v>15744</v>
      </c>
      <c r="C2976" s="405" t="s">
        <v>327</v>
      </c>
      <c r="D2976" s="405"/>
      <c r="E2976" s="410">
        <v>42922</v>
      </c>
      <c r="F2976" s="410">
        <v>42957</v>
      </c>
      <c r="G2976" s="405" t="s">
        <v>15745</v>
      </c>
      <c r="H2976" s="405">
        <v>787778981</v>
      </c>
      <c r="I2976" s="405"/>
      <c r="J2976" s="405">
        <v>1.336058</v>
      </c>
      <c r="K2976" s="405">
        <v>34.662171999999998</v>
      </c>
      <c r="L2976" s="405" t="s">
        <v>6866</v>
      </c>
      <c r="M2976" s="405" t="s">
        <v>10163</v>
      </c>
      <c r="N2976" s="405" t="s">
        <v>10164</v>
      </c>
      <c r="O2976" s="405" t="s">
        <v>12081</v>
      </c>
      <c r="P2976" s="405" t="s">
        <v>15746</v>
      </c>
      <c r="Q2976" s="411">
        <v>6</v>
      </c>
      <c r="R2976" s="405" t="s">
        <v>9506</v>
      </c>
      <c r="S2976" s="405" t="s">
        <v>27072</v>
      </c>
      <c r="T2976" s="405" t="s">
        <v>32102</v>
      </c>
      <c r="U2976" s="405" t="s">
        <v>319</v>
      </c>
    </row>
    <row r="2977" spans="1:21" x14ac:dyDescent="0.25">
      <c r="A2977" s="405" t="s">
        <v>310</v>
      </c>
      <c r="B2977" s="405" t="s">
        <v>15924</v>
      </c>
      <c r="C2977" s="405" t="s">
        <v>327</v>
      </c>
      <c r="D2977" s="405"/>
      <c r="E2977" s="410">
        <v>42921</v>
      </c>
      <c r="F2977" s="410">
        <v>43014</v>
      </c>
      <c r="G2977" s="405" t="s">
        <v>15925</v>
      </c>
      <c r="H2977" s="405">
        <v>773831664</v>
      </c>
      <c r="I2977" s="405"/>
      <c r="J2977" s="405">
        <v>1.3549819999999999</v>
      </c>
      <c r="K2977" s="405">
        <v>34.684624999999997</v>
      </c>
      <c r="L2977" s="405" t="s">
        <v>6866</v>
      </c>
      <c r="M2977" s="405" t="s">
        <v>10163</v>
      </c>
      <c r="N2977" s="405" t="s">
        <v>10164</v>
      </c>
      <c r="O2977" s="405" t="s">
        <v>15926</v>
      </c>
      <c r="P2977" s="405" t="s">
        <v>15927</v>
      </c>
      <c r="Q2977" s="411">
        <v>6</v>
      </c>
      <c r="R2977" s="405" t="s">
        <v>9506</v>
      </c>
      <c r="S2977" s="405" t="s">
        <v>27357</v>
      </c>
      <c r="T2977" s="405" t="s">
        <v>32102</v>
      </c>
      <c r="U2977" s="405" t="s">
        <v>319</v>
      </c>
    </row>
    <row r="2978" spans="1:21" x14ac:dyDescent="0.25">
      <c r="A2978" s="405" t="s">
        <v>310</v>
      </c>
      <c r="B2978" s="405" t="s">
        <v>23245</v>
      </c>
      <c r="C2978" s="405" t="s">
        <v>327</v>
      </c>
      <c r="D2978" s="405"/>
      <c r="E2978" s="410">
        <v>42921</v>
      </c>
      <c r="F2978" s="410">
        <v>42973</v>
      </c>
      <c r="G2978" s="405" t="s">
        <v>23246</v>
      </c>
      <c r="H2978" s="405">
        <v>752559562</v>
      </c>
      <c r="I2978" s="405"/>
      <c r="J2978" s="405">
        <v>-0.85546999999999995</v>
      </c>
      <c r="K2978" s="405">
        <v>30.680910000000001</v>
      </c>
      <c r="L2978" s="405" t="s">
        <v>590</v>
      </c>
      <c r="M2978" s="405" t="s">
        <v>879</v>
      </c>
      <c r="N2978" s="405" t="s">
        <v>23243</v>
      </c>
      <c r="O2978" s="405" t="s">
        <v>20145</v>
      </c>
      <c r="P2978" s="405" t="s">
        <v>20356</v>
      </c>
      <c r="Q2978" s="411">
        <v>6</v>
      </c>
      <c r="R2978" s="405" t="s">
        <v>883</v>
      </c>
      <c r="S2978" s="405" t="s">
        <v>27109</v>
      </c>
      <c r="T2978" s="405" t="s">
        <v>32102</v>
      </c>
      <c r="U2978" s="405" t="s">
        <v>319</v>
      </c>
    </row>
    <row r="2979" spans="1:21" x14ac:dyDescent="0.25">
      <c r="A2979" s="405" t="s">
        <v>310</v>
      </c>
      <c r="B2979" s="405" t="s">
        <v>15730</v>
      </c>
      <c r="C2979" s="405" t="s">
        <v>327</v>
      </c>
      <c r="D2979" s="405"/>
      <c r="E2979" s="410">
        <v>42921</v>
      </c>
      <c r="F2979" s="410">
        <v>42966</v>
      </c>
      <c r="G2979" s="405" t="s">
        <v>15731</v>
      </c>
      <c r="H2979" s="405">
        <v>703368045</v>
      </c>
      <c r="I2979" s="405">
        <v>756614189</v>
      </c>
      <c r="J2979" s="405">
        <v>1.2314000000000001</v>
      </c>
      <c r="K2979" s="405">
        <v>34.234000000000002</v>
      </c>
      <c r="L2979" s="405" t="s">
        <v>6866</v>
      </c>
      <c r="M2979" s="405" t="s">
        <v>9685</v>
      </c>
      <c r="N2979" s="405" t="s">
        <v>9686</v>
      </c>
      <c r="O2979" s="405" t="s">
        <v>9687</v>
      </c>
      <c r="P2979" s="405" t="s">
        <v>15732</v>
      </c>
      <c r="Q2979" s="411">
        <v>6</v>
      </c>
      <c r="R2979" s="405" t="s">
        <v>9506</v>
      </c>
      <c r="S2979" s="405" t="s">
        <v>27041</v>
      </c>
      <c r="T2979" s="405" t="s">
        <v>32102</v>
      </c>
      <c r="U2979" s="405" t="s">
        <v>319</v>
      </c>
    </row>
    <row r="2980" spans="1:21" x14ac:dyDescent="0.25">
      <c r="A2980" s="405" t="s">
        <v>310</v>
      </c>
      <c r="B2980" s="405" t="s">
        <v>15737</v>
      </c>
      <c r="C2980" s="405" t="s">
        <v>327</v>
      </c>
      <c r="D2980" s="405"/>
      <c r="E2980" s="410">
        <v>42921</v>
      </c>
      <c r="F2980" s="410">
        <v>42966</v>
      </c>
      <c r="G2980" s="405" t="s">
        <v>15738</v>
      </c>
      <c r="H2980" s="405">
        <v>782426588</v>
      </c>
      <c r="I2980" s="405"/>
      <c r="J2980" s="405">
        <v>1.2417</v>
      </c>
      <c r="K2980" s="405">
        <v>34.275199999999998</v>
      </c>
      <c r="L2980" s="405" t="s">
        <v>6866</v>
      </c>
      <c r="M2980" s="405" t="s">
        <v>9685</v>
      </c>
      <c r="N2980" s="405" t="s">
        <v>9686</v>
      </c>
      <c r="O2980" s="405" t="s">
        <v>15739</v>
      </c>
      <c r="P2980" s="405" t="s">
        <v>15740</v>
      </c>
      <c r="Q2980" s="411">
        <v>6</v>
      </c>
      <c r="R2980" s="405" t="s">
        <v>9506</v>
      </c>
      <c r="S2980" s="405" t="s">
        <v>27346</v>
      </c>
      <c r="T2980" s="405" t="s">
        <v>32102</v>
      </c>
      <c r="U2980" s="405" t="s">
        <v>319</v>
      </c>
    </row>
    <row r="2981" spans="1:21" x14ac:dyDescent="0.25">
      <c r="A2981" s="405" t="s">
        <v>310</v>
      </c>
      <c r="B2981" s="405" t="s">
        <v>23260</v>
      </c>
      <c r="C2981" s="405" t="s">
        <v>327</v>
      </c>
      <c r="D2981" s="405"/>
      <c r="E2981" s="410">
        <v>42921</v>
      </c>
      <c r="F2981" s="410">
        <v>42966</v>
      </c>
      <c r="G2981" s="405" t="s">
        <v>23261</v>
      </c>
      <c r="H2981" s="405">
        <v>772522013</v>
      </c>
      <c r="I2981" s="405"/>
      <c r="J2981" s="405">
        <v>0.121</v>
      </c>
      <c r="K2981" s="405">
        <v>30.2211</v>
      </c>
      <c r="L2981" s="405" t="s">
        <v>590</v>
      </c>
      <c r="M2981" s="405" t="s">
        <v>19720</v>
      </c>
      <c r="N2981" s="405" t="s">
        <v>20297</v>
      </c>
      <c r="O2981" s="405" t="s">
        <v>22359</v>
      </c>
      <c r="P2981" s="405" t="s">
        <v>23257</v>
      </c>
      <c r="Q2981" s="411">
        <v>6</v>
      </c>
      <c r="R2981" s="405" t="s">
        <v>6013</v>
      </c>
      <c r="S2981" s="405" t="s">
        <v>27161</v>
      </c>
      <c r="T2981" s="405" t="s">
        <v>32102</v>
      </c>
      <c r="U2981" s="405" t="s">
        <v>319</v>
      </c>
    </row>
    <row r="2982" spans="1:21" x14ac:dyDescent="0.25">
      <c r="A2982" s="405" t="s">
        <v>310</v>
      </c>
      <c r="B2982" s="405" t="s">
        <v>23255</v>
      </c>
      <c r="C2982" s="405" t="s">
        <v>327</v>
      </c>
      <c r="D2982" s="405"/>
      <c r="E2982" s="410">
        <v>42920</v>
      </c>
      <c r="F2982" s="410">
        <v>42965</v>
      </c>
      <c r="G2982" s="405" t="s">
        <v>23256</v>
      </c>
      <c r="H2982" s="405">
        <v>776810988</v>
      </c>
      <c r="I2982" s="405"/>
      <c r="J2982" s="405">
        <v>7.7650000000000002E-3</v>
      </c>
      <c r="K2982" s="405">
        <v>30.362302</v>
      </c>
      <c r="L2982" s="405" t="s">
        <v>590</v>
      </c>
      <c r="M2982" s="405" t="s">
        <v>19720</v>
      </c>
      <c r="N2982" s="405" t="s">
        <v>20297</v>
      </c>
      <c r="O2982" s="405" t="s">
        <v>22359</v>
      </c>
      <c r="P2982" s="405" t="s">
        <v>23257</v>
      </c>
      <c r="Q2982" s="411">
        <v>9</v>
      </c>
      <c r="R2982" s="405" t="s">
        <v>6013</v>
      </c>
      <c r="S2982" s="405" t="s">
        <v>27301</v>
      </c>
      <c r="T2982" s="405" t="s">
        <v>32102</v>
      </c>
      <c r="U2982" s="405" t="s">
        <v>319</v>
      </c>
    </row>
    <row r="2983" spans="1:21" x14ac:dyDescent="0.25">
      <c r="A2983" s="405" t="s">
        <v>310</v>
      </c>
      <c r="B2983" s="405" t="s">
        <v>23252</v>
      </c>
      <c r="C2983" s="405" t="s">
        <v>327</v>
      </c>
      <c r="D2983" s="405"/>
      <c r="E2983" s="410">
        <v>42920</v>
      </c>
      <c r="F2983" s="410">
        <v>42965</v>
      </c>
      <c r="G2983" s="405" t="s">
        <v>23253</v>
      </c>
      <c r="H2983" s="405">
        <v>783059777</v>
      </c>
      <c r="I2983" s="405"/>
      <c r="J2983" s="405">
        <v>0.15582299999999999</v>
      </c>
      <c r="K2983" s="405">
        <v>30.408102</v>
      </c>
      <c r="L2983" s="405" t="s">
        <v>590</v>
      </c>
      <c r="M2983" s="405" t="s">
        <v>19720</v>
      </c>
      <c r="N2983" s="405" t="s">
        <v>7352</v>
      </c>
      <c r="O2983" s="405" t="s">
        <v>19720</v>
      </c>
      <c r="P2983" s="405" t="s">
        <v>23254</v>
      </c>
      <c r="Q2983" s="411">
        <v>6</v>
      </c>
      <c r="R2983" s="405" t="s">
        <v>6013</v>
      </c>
      <c r="S2983" s="405" t="s">
        <v>27205</v>
      </c>
      <c r="T2983" s="405" t="s">
        <v>32102</v>
      </c>
      <c r="U2983" s="405" t="s">
        <v>319</v>
      </c>
    </row>
    <row r="2984" spans="1:21" x14ac:dyDescent="0.25">
      <c r="A2984" s="405" t="s">
        <v>310</v>
      </c>
      <c r="B2984" s="405" t="s">
        <v>6332</v>
      </c>
      <c r="C2984" s="405" t="s">
        <v>327</v>
      </c>
      <c r="D2984" s="405"/>
      <c r="E2984" s="410">
        <v>42920</v>
      </c>
      <c r="F2984" s="410">
        <v>42965</v>
      </c>
      <c r="G2984" s="405" t="s">
        <v>6333</v>
      </c>
      <c r="H2984" s="405">
        <v>772740400</v>
      </c>
      <c r="I2984" s="405"/>
      <c r="J2984" s="405">
        <v>0.38114500000000001</v>
      </c>
      <c r="K2984" s="405">
        <v>32.480336999999999</v>
      </c>
      <c r="L2984" s="405" t="s">
        <v>314</v>
      </c>
      <c r="M2984" s="405" t="s">
        <v>361</v>
      </c>
      <c r="N2984" s="405" t="s">
        <v>3398</v>
      </c>
      <c r="O2984" s="405" t="s">
        <v>361</v>
      </c>
      <c r="P2984" s="405" t="s">
        <v>3143</v>
      </c>
      <c r="Q2984" s="411">
        <v>6</v>
      </c>
      <c r="R2984" s="405" t="s">
        <v>4176</v>
      </c>
      <c r="S2984" s="405" t="s">
        <v>27248</v>
      </c>
      <c r="T2984" s="405" t="s">
        <v>32102</v>
      </c>
      <c r="U2984" s="405" t="s">
        <v>319</v>
      </c>
    </row>
    <row r="2985" spans="1:21" x14ac:dyDescent="0.25">
      <c r="A2985" s="405" t="s">
        <v>310</v>
      </c>
      <c r="B2985" s="405" t="s">
        <v>23262</v>
      </c>
      <c r="C2985" s="405" t="s">
        <v>327</v>
      </c>
      <c r="D2985" s="405"/>
      <c r="E2985" s="410">
        <v>42920</v>
      </c>
      <c r="F2985" s="410">
        <v>42965</v>
      </c>
      <c r="G2985" s="405" t="s">
        <v>23263</v>
      </c>
      <c r="H2985" s="405">
        <v>784707185</v>
      </c>
      <c r="I2985" s="405"/>
      <c r="J2985" s="405">
        <v>0.34299499999999999</v>
      </c>
      <c r="K2985" s="405">
        <v>30.452411999999999</v>
      </c>
      <c r="L2985" s="405" t="s">
        <v>590</v>
      </c>
      <c r="M2985" s="405" t="s">
        <v>19720</v>
      </c>
      <c r="N2985" s="405" t="s">
        <v>7352</v>
      </c>
      <c r="O2985" s="405" t="s">
        <v>21940</v>
      </c>
      <c r="P2985" s="405" t="s">
        <v>23264</v>
      </c>
      <c r="Q2985" s="411">
        <v>6</v>
      </c>
      <c r="R2985" s="405" t="s">
        <v>6013</v>
      </c>
      <c r="S2985" s="405" t="s">
        <v>27423</v>
      </c>
      <c r="T2985" s="405" t="s">
        <v>32102</v>
      </c>
      <c r="U2985" s="405" t="s">
        <v>319</v>
      </c>
    </row>
    <row r="2986" spans="1:21" x14ac:dyDescent="0.25">
      <c r="A2986" s="405" t="s">
        <v>310</v>
      </c>
      <c r="B2986" s="405" t="s">
        <v>23285</v>
      </c>
      <c r="C2986" s="405" t="s">
        <v>327</v>
      </c>
      <c r="D2986" s="405"/>
      <c r="E2986" s="410">
        <v>42919</v>
      </c>
      <c r="F2986" s="410">
        <v>42964</v>
      </c>
      <c r="G2986" s="405" t="s">
        <v>23286</v>
      </c>
      <c r="H2986" s="405">
        <v>779427268</v>
      </c>
      <c r="I2986" s="405">
        <v>702521089</v>
      </c>
      <c r="J2986" s="405">
        <v>0.28075499999999998</v>
      </c>
      <c r="K2986" s="405">
        <v>30.678712000000001</v>
      </c>
      <c r="L2986" s="405" t="s">
        <v>590</v>
      </c>
      <c r="M2986" s="405" t="s">
        <v>19705</v>
      </c>
      <c r="N2986" s="405" t="s">
        <v>21675</v>
      </c>
      <c r="O2986" s="405" t="s">
        <v>21675</v>
      </c>
      <c r="P2986" s="405" t="s">
        <v>23287</v>
      </c>
      <c r="Q2986" s="411">
        <v>6</v>
      </c>
      <c r="R2986" s="405" t="s">
        <v>32166</v>
      </c>
      <c r="S2986" s="405" t="s">
        <v>27132</v>
      </c>
      <c r="T2986" s="405" t="s">
        <v>32102</v>
      </c>
      <c r="U2986" s="405" t="s">
        <v>319</v>
      </c>
    </row>
    <row r="2987" spans="1:21" x14ac:dyDescent="0.25">
      <c r="A2987" s="405" t="s">
        <v>310</v>
      </c>
      <c r="B2987" s="405" t="s">
        <v>15733</v>
      </c>
      <c r="C2987" s="405" t="s">
        <v>327</v>
      </c>
      <c r="D2987" s="405"/>
      <c r="E2987" s="410">
        <v>42918</v>
      </c>
      <c r="F2987" s="410">
        <v>42963</v>
      </c>
      <c r="G2987" s="405" t="s">
        <v>15734</v>
      </c>
      <c r="H2987" s="405">
        <v>706639872</v>
      </c>
      <c r="I2987" s="405">
        <v>752253255</v>
      </c>
      <c r="J2987" s="405">
        <v>1.2430000000000001</v>
      </c>
      <c r="K2987" s="405">
        <v>34.311799999999998</v>
      </c>
      <c r="L2987" s="405" t="s">
        <v>6866</v>
      </c>
      <c r="M2987" s="405" t="s">
        <v>9705</v>
      </c>
      <c r="N2987" s="405" t="s">
        <v>9705</v>
      </c>
      <c r="O2987" s="405" t="s">
        <v>15735</v>
      </c>
      <c r="P2987" s="405" t="s">
        <v>15736</v>
      </c>
      <c r="Q2987" s="411">
        <v>6</v>
      </c>
      <c r="R2987" s="405" t="s">
        <v>9506</v>
      </c>
      <c r="S2987" s="405" t="s">
        <v>27351</v>
      </c>
      <c r="T2987" s="405" t="s">
        <v>32102</v>
      </c>
      <c r="U2987" s="405" t="s">
        <v>319</v>
      </c>
    </row>
    <row r="2988" spans="1:21" x14ac:dyDescent="0.25">
      <c r="A2988" s="405" t="s">
        <v>310</v>
      </c>
      <c r="B2988" s="405" t="s">
        <v>15782</v>
      </c>
      <c r="C2988" s="405" t="s">
        <v>327</v>
      </c>
      <c r="D2988" s="405"/>
      <c r="E2988" s="410">
        <v>42918</v>
      </c>
      <c r="F2988" s="410">
        <v>42963</v>
      </c>
      <c r="G2988" s="405" t="s">
        <v>15783</v>
      </c>
      <c r="H2988" s="405">
        <v>704964141</v>
      </c>
      <c r="I2988" s="405"/>
      <c r="J2988" s="405">
        <v>1.325998</v>
      </c>
      <c r="K2988" s="405">
        <v>34.353127000000001</v>
      </c>
      <c r="L2988" s="405" t="s">
        <v>6866</v>
      </c>
      <c r="M2988" s="405" t="s">
        <v>9685</v>
      </c>
      <c r="N2988" s="405" t="s">
        <v>9686</v>
      </c>
      <c r="O2988" s="405" t="s">
        <v>14908</v>
      </c>
      <c r="P2988" s="405" t="s">
        <v>15784</v>
      </c>
      <c r="Q2988" s="411">
        <v>6</v>
      </c>
      <c r="R2988" s="405" t="s">
        <v>7224</v>
      </c>
      <c r="S2988" s="405" t="s">
        <v>27067</v>
      </c>
      <c r="T2988" s="405" t="s">
        <v>32102</v>
      </c>
      <c r="U2988" s="405" t="s">
        <v>319</v>
      </c>
    </row>
    <row r="2989" spans="1:21" x14ac:dyDescent="0.25">
      <c r="A2989" s="405" t="s">
        <v>310</v>
      </c>
      <c r="B2989" s="405" t="s">
        <v>15764</v>
      </c>
      <c r="C2989" s="405" t="s">
        <v>327</v>
      </c>
      <c r="D2989" s="405"/>
      <c r="E2989" s="410">
        <v>42917</v>
      </c>
      <c r="F2989" s="410">
        <v>42962</v>
      </c>
      <c r="G2989" s="405" t="s">
        <v>15765</v>
      </c>
      <c r="H2989" s="405">
        <v>701396637</v>
      </c>
      <c r="I2989" s="405">
        <v>701875823</v>
      </c>
      <c r="J2989" s="405">
        <v>1.915745</v>
      </c>
      <c r="K2989" s="405">
        <v>33.977902</v>
      </c>
      <c r="L2989" s="405" t="s">
        <v>6866</v>
      </c>
      <c r="M2989" s="405" t="s">
        <v>9685</v>
      </c>
      <c r="N2989" s="405" t="s">
        <v>9686</v>
      </c>
      <c r="O2989" s="405" t="s">
        <v>15766</v>
      </c>
      <c r="P2989" s="405" t="s">
        <v>15767</v>
      </c>
      <c r="Q2989" s="411">
        <v>6</v>
      </c>
      <c r="R2989" s="405" t="s">
        <v>7224</v>
      </c>
      <c r="S2989" s="405" t="s">
        <v>27348</v>
      </c>
      <c r="T2989" s="405" t="s">
        <v>32102</v>
      </c>
      <c r="U2989" s="405" t="s">
        <v>319</v>
      </c>
    </row>
    <row r="2990" spans="1:21" x14ac:dyDescent="0.25">
      <c r="A2990" s="405" t="s">
        <v>310</v>
      </c>
      <c r="B2990" s="405" t="s">
        <v>15779</v>
      </c>
      <c r="C2990" s="405" t="s">
        <v>327</v>
      </c>
      <c r="D2990" s="405"/>
      <c r="E2990" s="410">
        <v>42917</v>
      </c>
      <c r="F2990" s="410">
        <v>42958</v>
      </c>
      <c r="G2990" s="405" t="s">
        <v>15780</v>
      </c>
      <c r="H2990" s="405">
        <v>703229871</v>
      </c>
      <c r="I2990" s="405">
        <v>702390951</v>
      </c>
      <c r="J2990" s="405">
        <v>1.325998</v>
      </c>
      <c r="K2990" s="405">
        <v>34.353127000000001</v>
      </c>
      <c r="L2990" s="405" t="s">
        <v>6866</v>
      </c>
      <c r="M2990" s="405" t="s">
        <v>9685</v>
      </c>
      <c r="N2990" s="405" t="s">
        <v>9686</v>
      </c>
      <c r="O2990" s="405" t="s">
        <v>14908</v>
      </c>
      <c r="P2990" s="405" t="s">
        <v>15781</v>
      </c>
      <c r="Q2990" s="411">
        <v>6</v>
      </c>
      <c r="R2990" s="405" t="s">
        <v>7224</v>
      </c>
      <c r="S2990" s="405" t="s">
        <v>27259</v>
      </c>
      <c r="T2990" s="405" t="s">
        <v>32102</v>
      </c>
      <c r="U2990" s="405" t="s">
        <v>319</v>
      </c>
    </row>
    <row r="2991" spans="1:21" x14ac:dyDescent="0.25">
      <c r="A2991" s="405" t="s">
        <v>310</v>
      </c>
      <c r="B2991" s="405" t="s">
        <v>23258</v>
      </c>
      <c r="C2991" s="405" t="s">
        <v>327</v>
      </c>
      <c r="D2991" s="405"/>
      <c r="E2991" s="410">
        <v>42915</v>
      </c>
      <c r="F2991" s="410">
        <v>42960</v>
      </c>
      <c r="G2991" s="405" t="s">
        <v>23259</v>
      </c>
      <c r="H2991" s="405">
        <v>774166005</v>
      </c>
      <c r="I2991" s="405">
        <v>773780167</v>
      </c>
      <c r="J2991" s="405">
        <v>3.4000000000000002E-2</v>
      </c>
      <c r="K2991" s="405">
        <v>30.215199999999999</v>
      </c>
      <c r="L2991" s="405" t="s">
        <v>590</v>
      </c>
      <c r="M2991" s="405" t="s">
        <v>19720</v>
      </c>
      <c r="N2991" s="405" t="s">
        <v>20297</v>
      </c>
      <c r="O2991" s="405" t="s">
        <v>22359</v>
      </c>
      <c r="P2991" s="405" t="s">
        <v>23257</v>
      </c>
      <c r="Q2991" s="411">
        <v>9</v>
      </c>
      <c r="R2991" s="405" t="s">
        <v>6013</v>
      </c>
      <c r="S2991" s="405" t="s">
        <v>27275</v>
      </c>
      <c r="T2991" s="405" t="s">
        <v>32102</v>
      </c>
      <c r="U2991" s="405" t="s">
        <v>319</v>
      </c>
    </row>
    <row r="2992" spans="1:21" x14ac:dyDescent="0.25">
      <c r="A2992" s="405" t="s">
        <v>310</v>
      </c>
      <c r="B2992" s="405" t="s">
        <v>23265</v>
      </c>
      <c r="C2992" s="405" t="s">
        <v>327</v>
      </c>
      <c r="D2992" s="405"/>
      <c r="E2992" s="410">
        <v>42915</v>
      </c>
      <c r="F2992" s="410">
        <v>42960</v>
      </c>
      <c r="G2992" s="405" t="s">
        <v>23266</v>
      </c>
      <c r="H2992" s="405">
        <v>783114978</v>
      </c>
      <c r="I2992" s="405"/>
      <c r="J2992" s="405">
        <v>0.34460200000000002</v>
      </c>
      <c r="K2992" s="405">
        <v>30.456365000000002</v>
      </c>
      <c r="L2992" s="405" t="s">
        <v>590</v>
      </c>
      <c r="M2992" s="405" t="s">
        <v>19720</v>
      </c>
      <c r="N2992" s="405" t="s">
        <v>7352</v>
      </c>
      <c r="O2992" s="405" t="s">
        <v>19671</v>
      </c>
      <c r="P2992" s="405" t="s">
        <v>21940</v>
      </c>
      <c r="Q2992" s="411">
        <v>6</v>
      </c>
      <c r="R2992" s="405" t="s">
        <v>6013</v>
      </c>
      <c r="S2992" s="405" t="s">
        <v>27181</v>
      </c>
      <c r="T2992" s="405" t="s">
        <v>32102</v>
      </c>
      <c r="U2992" s="405" t="s">
        <v>319</v>
      </c>
    </row>
    <row r="2993" spans="1:21" x14ac:dyDescent="0.25">
      <c r="A2993" s="405" t="s">
        <v>310</v>
      </c>
      <c r="B2993" s="405" t="s">
        <v>15725</v>
      </c>
      <c r="C2993" s="405" t="s">
        <v>327</v>
      </c>
      <c r="D2993" s="405"/>
      <c r="E2993" s="410">
        <v>42914</v>
      </c>
      <c r="F2993" s="410">
        <v>42959</v>
      </c>
      <c r="G2993" s="405" t="s">
        <v>15726</v>
      </c>
      <c r="H2993" s="405">
        <v>784227971</v>
      </c>
      <c r="I2993" s="405"/>
      <c r="J2993" s="405">
        <v>1.407</v>
      </c>
      <c r="K2993" s="405">
        <v>34.431306999999997</v>
      </c>
      <c r="L2993" s="405" t="s">
        <v>6866</v>
      </c>
      <c r="M2993" s="405" t="s">
        <v>9685</v>
      </c>
      <c r="N2993" s="405" t="s">
        <v>9686</v>
      </c>
      <c r="O2993" s="405" t="s">
        <v>12361</v>
      </c>
      <c r="P2993" s="405" t="s">
        <v>15727</v>
      </c>
      <c r="Q2993" s="411">
        <v>6</v>
      </c>
      <c r="R2993" s="405" t="s">
        <v>9506</v>
      </c>
      <c r="S2993" s="405" t="s">
        <v>27072</v>
      </c>
      <c r="T2993" s="405" t="s">
        <v>32102</v>
      </c>
      <c r="U2993" s="405" t="s">
        <v>319</v>
      </c>
    </row>
    <row r="2994" spans="1:21" x14ac:dyDescent="0.25">
      <c r="A2994" s="405" t="s">
        <v>310</v>
      </c>
      <c r="B2994" s="405" t="s">
        <v>15741</v>
      </c>
      <c r="C2994" s="405" t="s">
        <v>327</v>
      </c>
      <c r="D2994" s="405"/>
      <c r="E2994" s="410">
        <v>42914</v>
      </c>
      <c r="F2994" s="410">
        <v>42959</v>
      </c>
      <c r="G2994" s="405" t="s">
        <v>15742</v>
      </c>
      <c r="H2994" s="405">
        <v>701372475</v>
      </c>
      <c r="I2994" s="405">
        <v>704372475</v>
      </c>
      <c r="J2994" s="405">
        <v>1.3989720000000001</v>
      </c>
      <c r="K2994" s="405">
        <v>34.403734999999998</v>
      </c>
      <c r="L2994" s="405" t="s">
        <v>6866</v>
      </c>
      <c r="M2994" s="405" t="s">
        <v>9685</v>
      </c>
      <c r="N2994" s="405" t="s">
        <v>9686</v>
      </c>
      <c r="O2994" s="405" t="s">
        <v>14943</v>
      </c>
      <c r="P2994" s="405" t="s">
        <v>15743</v>
      </c>
      <c r="Q2994" s="411">
        <v>6</v>
      </c>
      <c r="R2994" s="405" t="s">
        <v>9506</v>
      </c>
      <c r="S2994" s="405" t="s">
        <v>27357</v>
      </c>
      <c r="T2994" s="405" t="s">
        <v>32102</v>
      </c>
      <c r="U2994" s="405" t="s">
        <v>319</v>
      </c>
    </row>
    <row r="2995" spans="1:21" x14ac:dyDescent="0.25">
      <c r="A2995" s="405" t="s">
        <v>310</v>
      </c>
      <c r="B2995" s="405" t="s">
        <v>23271</v>
      </c>
      <c r="C2995" s="405" t="s">
        <v>327</v>
      </c>
      <c r="D2995" s="405"/>
      <c r="E2995" s="410">
        <v>42913</v>
      </c>
      <c r="F2995" s="410">
        <v>42958</v>
      </c>
      <c r="G2995" s="405" t="s">
        <v>23272</v>
      </c>
      <c r="H2995" s="405">
        <v>782905995</v>
      </c>
      <c r="I2995" s="405">
        <v>772653482</v>
      </c>
      <c r="J2995" s="405">
        <v>1.0284249999999999</v>
      </c>
      <c r="K2995" s="405">
        <v>30.560890000000001</v>
      </c>
      <c r="L2995" s="405" t="s">
        <v>590</v>
      </c>
      <c r="M2995" s="405" t="s">
        <v>879</v>
      </c>
      <c r="N2995" s="405" t="s">
        <v>880</v>
      </c>
      <c r="O2995" s="405" t="s">
        <v>23273</v>
      </c>
      <c r="P2995" s="405" t="s">
        <v>21123</v>
      </c>
      <c r="Q2995" s="411">
        <v>13</v>
      </c>
      <c r="R2995" s="405" t="s">
        <v>6572</v>
      </c>
      <c r="S2995" s="405" t="s">
        <v>27154</v>
      </c>
      <c r="T2995" s="405" t="s">
        <v>32102</v>
      </c>
      <c r="U2995" s="405" t="s">
        <v>319</v>
      </c>
    </row>
    <row r="2996" spans="1:21" x14ac:dyDescent="0.25">
      <c r="A2996" s="405" t="s">
        <v>310</v>
      </c>
      <c r="B2996" s="405" t="s">
        <v>23292</v>
      </c>
      <c r="C2996" s="405" t="s">
        <v>327</v>
      </c>
      <c r="D2996" s="405"/>
      <c r="E2996" s="410">
        <v>42913</v>
      </c>
      <c r="F2996" s="410">
        <v>42958</v>
      </c>
      <c r="G2996" s="405" t="s">
        <v>23293</v>
      </c>
      <c r="H2996" s="405">
        <v>775805314</v>
      </c>
      <c r="I2996" s="405">
        <v>785579793</v>
      </c>
      <c r="J2996" s="405">
        <v>-0.24373800000000001</v>
      </c>
      <c r="K2996" s="405">
        <v>30.973427000000001</v>
      </c>
      <c r="L2996" s="405" t="s">
        <v>590</v>
      </c>
      <c r="M2996" s="405" t="s">
        <v>19705</v>
      </c>
      <c r="N2996" s="405" t="s">
        <v>19706</v>
      </c>
      <c r="O2996" s="405" t="s">
        <v>19707</v>
      </c>
      <c r="P2996" s="405" t="s">
        <v>23294</v>
      </c>
      <c r="Q2996" s="411">
        <v>9</v>
      </c>
      <c r="R2996" s="405" t="s">
        <v>5858</v>
      </c>
      <c r="S2996" s="405" t="s">
        <v>27420</v>
      </c>
      <c r="T2996" s="405" t="s">
        <v>32102</v>
      </c>
      <c r="U2996" s="405" t="s">
        <v>319</v>
      </c>
    </row>
    <row r="2997" spans="1:21" x14ac:dyDescent="0.25">
      <c r="A2997" s="405" t="s">
        <v>310</v>
      </c>
      <c r="B2997" s="405" t="s">
        <v>23236</v>
      </c>
      <c r="C2997" s="405" t="s">
        <v>327</v>
      </c>
      <c r="D2997" s="405"/>
      <c r="E2997" s="410">
        <v>42913</v>
      </c>
      <c r="F2997" s="410">
        <v>42958</v>
      </c>
      <c r="G2997" s="405" t="s">
        <v>23237</v>
      </c>
      <c r="H2997" s="405">
        <v>778317963</v>
      </c>
      <c r="I2997" s="405">
        <v>751937616</v>
      </c>
      <c r="J2997" s="405">
        <v>0.43580000000000002</v>
      </c>
      <c r="K2997" s="405">
        <v>30.301200000000001</v>
      </c>
      <c r="L2997" s="405" t="s">
        <v>590</v>
      </c>
      <c r="M2997" s="405" t="s">
        <v>19614</v>
      </c>
      <c r="N2997" s="405" t="s">
        <v>19654</v>
      </c>
      <c r="O2997" s="405" t="s">
        <v>19995</v>
      </c>
      <c r="P2997" s="405" t="s">
        <v>20042</v>
      </c>
      <c r="Q2997" s="411">
        <v>9</v>
      </c>
      <c r="R2997" s="405" t="s">
        <v>883</v>
      </c>
      <c r="S2997" s="405" t="s">
        <v>27104</v>
      </c>
      <c r="T2997" s="405" t="s">
        <v>32102</v>
      </c>
      <c r="U2997" s="405" t="s">
        <v>319</v>
      </c>
    </row>
    <row r="2998" spans="1:21" x14ac:dyDescent="0.25">
      <c r="A2998" s="405" t="s">
        <v>310</v>
      </c>
      <c r="B2998" s="405" t="s">
        <v>15728</v>
      </c>
      <c r="C2998" s="405" t="s">
        <v>327</v>
      </c>
      <c r="D2998" s="405"/>
      <c r="E2998" s="410">
        <v>42913</v>
      </c>
      <c r="F2998" s="410">
        <v>42958</v>
      </c>
      <c r="G2998" s="405" t="s">
        <v>15729</v>
      </c>
      <c r="H2998" s="405">
        <v>783891323</v>
      </c>
      <c r="I2998" s="405"/>
      <c r="J2998" s="405">
        <v>1.4022920000000001</v>
      </c>
      <c r="K2998" s="405">
        <v>34.499212</v>
      </c>
      <c r="L2998" s="405" t="s">
        <v>6866</v>
      </c>
      <c r="M2998" s="405" t="s">
        <v>9705</v>
      </c>
      <c r="N2998" s="405" t="s">
        <v>9705</v>
      </c>
      <c r="O2998" s="405" t="s">
        <v>9706</v>
      </c>
      <c r="P2998" s="405" t="s">
        <v>10058</v>
      </c>
      <c r="Q2998" s="411">
        <v>6</v>
      </c>
      <c r="R2998" s="405" t="s">
        <v>9506</v>
      </c>
      <c r="S2998" s="405" t="s">
        <v>27353</v>
      </c>
      <c r="T2998" s="405" t="s">
        <v>32102</v>
      </c>
      <c r="U2998" s="405" t="s">
        <v>319</v>
      </c>
    </row>
    <row r="2999" spans="1:21" x14ac:dyDescent="0.25">
      <c r="A2999" s="405" t="s">
        <v>310</v>
      </c>
      <c r="B2999" s="405" t="s">
        <v>15776</v>
      </c>
      <c r="C2999" s="405" t="s">
        <v>327</v>
      </c>
      <c r="D2999" s="405"/>
      <c r="E2999" s="410">
        <v>42913</v>
      </c>
      <c r="F2999" s="410">
        <v>42958</v>
      </c>
      <c r="G2999" s="405" t="s">
        <v>15777</v>
      </c>
      <c r="H2999" s="405">
        <v>783235617</v>
      </c>
      <c r="I2999" s="405">
        <v>752206532</v>
      </c>
      <c r="J2999" s="405">
        <v>1.3905149999999999</v>
      </c>
      <c r="K2999" s="405">
        <v>34.428322000000001</v>
      </c>
      <c r="L2999" s="405" t="s">
        <v>6866</v>
      </c>
      <c r="M2999" s="405" t="s">
        <v>9685</v>
      </c>
      <c r="N2999" s="405" t="s">
        <v>9686</v>
      </c>
      <c r="O2999" s="405" t="s">
        <v>9687</v>
      </c>
      <c r="P2999" s="405" t="s">
        <v>15778</v>
      </c>
      <c r="Q2999" s="411">
        <v>6</v>
      </c>
      <c r="R2999" s="405" t="s">
        <v>7224</v>
      </c>
      <c r="S2999" s="405" t="s">
        <v>27041</v>
      </c>
      <c r="T2999" s="405" t="s">
        <v>32102</v>
      </c>
      <c r="U2999" s="405" t="s">
        <v>319</v>
      </c>
    </row>
    <row r="3000" spans="1:21" x14ac:dyDescent="0.25">
      <c r="A3000" s="405" t="s">
        <v>310</v>
      </c>
      <c r="B3000" s="405" t="s">
        <v>9431</v>
      </c>
      <c r="C3000" s="405" t="s">
        <v>327</v>
      </c>
      <c r="D3000" s="405"/>
      <c r="E3000" s="410">
        <v>42912</v>
      </c>
      <c r="F3000" s="410">
        <v>42989</v>
      </c>
      <c r="G3000" s="405" t="s">
        <v>9432</v>
      </c>
      <c r="H3000" s="405">
        <v>702865555</v>
      </c>
      <c r="I3000" s="405"/>
      <c r="J3000" s="405">
        <v>0.234735</v>
      </c>
      <c r="K3000" s="405">
        <v>32.542020000000001</v>
      </c>
      <c r="L3000" s="405" t="s">
        <v>314</v>
      </c>
      <c r="M3000" s="405" t="s">
        <v>361</v>
      </c>
      <c r="N3000" s="405" t="s">
        <v>619</v>
      </c>
      <c r="O3000" s="405" t="s">
        <v>2496</v>
      </c>
      <c r="P3000" s="405" t="s">
        <v>9433</v>
      </c>
      <c r="Q3000" s="411">
        <v>13</v>
      </c>
      <c r="R3000" s="405" t="s">
        <v>5336</v>
      </c>
      <c r="S3000" s="405" t="s">
        <v>27049</v>
      </c>
      <c r="T3000" s="405" t="s">
        <v>32102</v>
      </c>
      <c r="U3000" s="405" t="s">
        <v>319</v>
      </c>
    </row>
    <row r="3001" spans="1:21" x14ac:dyDescent="0.25">
      <c r="A3001" s="405" t="s">
        <v>310</v>
      </c>
      <c r="B3001" s="405" t="s">
        <v>15935</v>
      </c>
      <c r="C3001" s="405" t="s">
        <v>327</v>
      </c>
      <c r="D3001" s="405"/>
      <c r="E3001" s="410">
        <v>42912</v>
      </c>
      <c r="F3001" s="410">
        <v>43025</v>
      </c>
      <c r="G3001" s="405" t="s">
        <v>15936</v>
      </c>
      <c r="H3001" s="405">
        <v>78233221</v>
      </c>
      <c r="I3001" s="405">
        <v>774289813</v>
      </c>
      <c r="J3001" s="405">
        <v>0.99731499999999995</v>
      </c>
      <c r="K3001" s="405">
        <v>34.353957999999999</v>
      </c>
      <c r="L3001" s="405" t="s">
        <v>6866</v>
      </c>
      <c r="M3001" s="405" t="s">
        <v>9763</v>
      </c>
      <c r="N3001" s="405" t="s">
        <v>10174</v>
      </c>
      <c r="O3001" s="405" t="s">
        <v>1590</v>
      </c>
      <c r="P3001" s="405" t="s">
        <v>15937</v>
      </c>
      <c r="Q3001" s="411">
        <v>6</v>
      </c>
      <c r="R3001" s="405" t="s">
        <v>6871</v>
      </c>
      <c r="S3001" s="405" t="s">
        <v>17013</v>
      </c>
      <c r="T3001" s="405" t="s">
        <v>32102</v>
      </c>
      <c r="U3001" s="405" t="s">
        <v>319</v>
      </c>
    </row>
    <row r="3002" spans="1:21" x14ac:dyDescent="0.25">
      <c r="A3002" s="405" t="s">
        <v>310</v>
      </c>
      <c r="B3002" s="405" t="s">
        <v>15772</v>
      </c>
      <c r="C3002" s="405" t="s">
        <v>327</v>
      </c>
      <c r="D3002" s="405"/>
      <c r="E3002" s="410">
        <v>42912</v>
      </c>
      <c r="F3002" s="410">
        <v>42957</v>
      </c>
      <c r="G3002" s="405" t="s">
        <v>15773</v>
      </c>
      <c r="H3002" s="405">
        <v>701267703</v>
      </c>
      <c r="I3002" s="405">
        <v>787314735</v>
      </c>
      <c r="J3002" s="405">
        <v>1.325998</v>
      </c>
      <c r="K3002" s="405">
        <v>34.353127000000001</v>
      </c>
      <c r="L3002" s="405" t="s">
        <v>6866</v>
      </c>
      <c r="M3002" s="405" t="s">
        <v>9685</v>
      </c>
      <c r="N3002" s="405" t="s">
        <v>9686</v>
      </c>
      <c r="O3002" s="405" t="s">
        <v>15774</v>
      </c>
      <c r="P3002" s="405" t="s">
        <v>15775</v>
      </c>
      <c r="Q3002" s="411">
        <v>6</v>
      </c>
      <c r="R3002" s="405" t="s">
        <v>7224</v>
      </c>
      <c r="S3002" s="405" t="s">
        <v>27259</v>
      </c>
      <c r="T3002" s="405" t="s">
        <v>32102</v>
      </c>
      <c r="U3002" s="405" t="s">
        <v>319</v>
      </c>
    </row>
    <row r="3003" spans="1:21" x14ac:dyDescent="0.25">
      <c r="A3003" s="405" t="s">
        <v>310</v>
      </c>
      <c r="B3003" s="405" t="s">
        <v>15791</v>
      </c>
      <c r="C3003" s="405" t="s">
        <v>327</v>
      </c>
      <c r="D3003" s="405"/>
      <c r="E3003" s="410">
        <v>42912</v>
      </c>
      <c r="F3003" s="410">
        <v>42957</v>
      </c>
      <c r="G3003" s="405" t="s">
        <v>15792</v>
      </c>
      <c r="H3003" s="405">
        <v>782157446</v>
      </c>
      <c r="I3003" s="405"/>
      <c r="J3003" s="405">
        <v>1.0438970000000001</v>
      </c>
      <c r="K3003" s="405">
        <v>34.369638000000002</v>
      </c>
      <c r="L3003" s="405" t="s">
        <v>6866</v>
      </c>
      <c r="M3003" s="405" t="s">
        <v>6867</v>
      </c>
      <c r="N3003" s="405" t="s">
        <v>6868</v>
      </c>
      <c r="O3003" s="405" t="s">
        <v>11014</v>
      </c>
      <c r="P3003" s="405" t="s">
        <v>11400</v>
      </c>
      <c r="Q3003" s="411">
        <v>4</v>
      </c>
      <c r="R3003" s="405" t="s">
        <v>6871</v>
      </c>
      <c r="S3003" s="405" t="s">
        <v>27107</v>
      </c>
      <c r="T3003" s="405" t="s">
        <v>32102</v>
      </c>
      <c r="U3003" s="405" t="s">
        <v>319</v>
      </c>
    </row>
    <row r="3004" spans="1:21" x14ac:dyDescent="0.25">
      <c r="A3004" s="405" t="s">
        <v>310</v>
      </c>
      <c r="B3004" s="405" t="s">
        <v>6352</v>
      </c>
      <c r="C3004" s="405" t="s">
        <v>327</v>
      </c>
      <c r="D3004" s="405"/>
      <c r="E3004" s="410">
        <v>42910</v>
      </c>
      <c r="F3004" s="410">
        <v>42978</v>
      </c>
      <c r="G3004" s="405" t="s">
        <v>6353</v>
      </c>
      <c r="H3004" s="405">
        <v>772344217</v>
      </c>
      <c r="I3004" s="405">
        <v>775801082</v>
      </c>
      <c r="J3004" s="405">
        <v>0.50017699999999998</v>
      </c>
      <c r="K3004" s="405">
        <v>32.278067999999998</v>
      </c>
      <c r="L3004" s="405" t="s">
        <v>314</v>
      </c>
      <c r="M3004" s="405" t="s">
        <v>361</v>
      </c>
      <c r="N3004" s="405" t="s">
        <v>5838</v>
      </c>
      <c r="O3004" s="405" t="s">
        <v>662</v>
      </c>
      <c r="P3004" s="405" t="s">
        <v>6354</v>
      </c>
      <c r="Q3004" s="411">
        <v>9</v>
      </c>
      <c r="R3004" s="405" t="s">
        <v>4176</v>
      </c>
      <c r="S3004" s="405" t="s">
        <v>27248</v>
      </c>
      <c r="T3004" s="405" t="s">
        <v>32102</v>
      </c>
      <c r="U3004" s="405" t="s">
        <v>319</v>
      </c>
    </row>
    <row r="3005" spans="1:21" x14ac:dyDescent="0.25">
      <c r="A3005" s="405" t="s">
        <v>310</v>
      </c>
      <c r="B3005" s="405" t="s">
        <v>15812</v>
      </c>
      <c r="C3005" s="405" t="s">
        <v>327</v>
      </c>
      <c r="D3005" s="405"/>
      <c r="E3005" s="410">
        <v>42910</v>
      </c>
      <c r="F3005" s="410">
        <v>42968</v>
      </c>
      <c r="G3005" s="405" t="s">
        <v>15813</v>
      </c>
      <c r="H3005" s="405">
        <v>773487085</v>
      </c>
      <c r="I3005" s="405">
        <v>753033994</v>
      </c>
      <c r="J3005" s="405">
        <v>1.9325969999999999</v>
      </c>
      <c r="K3005" s="405">
        <v>33.544778000000001</v>
      </c>
      <c r="L3005" s="405" t="s">
        <v>6866</v>
      </c>
      <c r="M3005" s="405" t="s">
        <v>10515</v>
      </c>
      <c r="N3005" s="405" t="s">
        <v>10515</v>
      </c>
      <c r="O3005" s="405" t="s">
        <v>13074</v>
      </c>
      <c r="P3005" s="405" t="s">
        <v>15814</v>
      </c>
      <c r="Q3005" s="411">
        <v>6</v>
      </c>
      <c r="R3005" s="405" t="s">
        <v>5655</v>
      </c>
      <c r="S3005" s="405" t="s">
        <v>27056</v>
      </c>
      <c r="T3005" s="405" t="s">
        <v>32102</v>
      </c>
      <c r="U3005" s="405" t="s">
        <v>319</v>
      </c>
    </row>
    <row r="3006" spans="1:21" x14ac:dyDescent="0.25">
      <c r="A3006" s="405" t="s">
        <v>310</v>
      </c>
      <c r="B3006" s="405" t="s">
        <v>15768</v>
      </c>
      <c r="C3006" s="405" t="s">
        <v>327</v>
      </c>
      <c r="D3006" s="405"/>
      <c r="E3006" s="410">
        <v>42909</v>
      </c>
      <c r="F3006" s="410">
        <v>42954</v>
      </c>
      <c r="G3006" s="405" t="s">
        <v>15769</v>
      </c>
      <c r="H3006" s="405">
        <v>787314739</v>
      </c>
      <c r="I3006" s="405"/>
      <c r="J3006" s="405">
        <v>1.342679</v>
      </c>
      <c r="K3006" s="405">
        <v>34.382862000000003</v>
      </c>
      <c r="L3006" s="405" t="s">
        <v>6866</v>
      </c>
      <c r="M3006" s="405" t="s">
        <v>9685</v>
      </c>
      <c r="N3006" s="405" t="s">
        <v>9686</v>
      </c>
      <c r="O3006" s="405" t="s">
        <v>15770</v>
      </c>
      <c r="P3006" s="405" t="s">
        <v>15771</v>
      </c>
      <c r="Q3006" s="411">
        <v>6</v>
      </c>
      <c r="R3006" s="405" t="s">
        <v>7224</v>
      </c>
      <c r="S3006" s="405" t="s">
        <v>27067</v>
      </c>
      <c r="T3006" s="405" t="s">
        <v>32102</v>
      </c>
      <c r="U3006" s="405" t="s">
        <v>319</v>
      </c>
    </row>
    <row r="3007" spans="1:21" x14ac:dyDescent="0.25">
      <c r="A3007" s="405" t="s">
        <v>310</v>
      </c>
      <c r="B3007" s="405" t="s">
        <v>23267</v>
      </c>
      <c r="C3007" s="405" t="s">
        <v>327</v>
      </c>
      <c r="D3007" s="405"/>
      <c r="E3007" s="410">
        <v>42906</v>
      </c>
      <c r="F3007" s="410">
        <v>42956</v>
      </c>
      <c r="G3007" s="405" t="s">
        <v>23268</v>
      </c>
      <c r="H3007" s="405">
        <v>751762860</v>
      </c>
      <c r="I3007" s="405">
        <v>782905995</v>
      </c>
      <c r="J3007" s="405">
        <v>-0.62877300000000003</v>
      </c>
      <c r="K3007" s="405">
        <v>30.147548</v>
      </c>
      <c r="L3007" s="405" t="s">
        <v>590</v>
      </c>
      <c r="M3007" s="405" t="s">
        <v>19625</v>
      </c>
      <c r="N3007" s="405" t="s">
        <v>20086</v>
      </c>
      <c r="O3007" s="405" t="s">
        <v>23269</v>
      </c>
      <c r="P3007" s="405" t="s">
        <v>23270</v>
      </c>
      <c r="Q3007" s="411">
        <v>9</v>
      </c>
      <c r="R3007" s="405" t="s">
        <v>6572</v>
      </c>
      <c r="S3007" s="405" t="s">
        <v>27240</v>
      </c>
      <c r="T3007" s="405" t="s">
        <v>32102</v>
      </c>
      <c r="U3007" s="405" t="s">
        <v>319</v>
      </c>
    </row>
    <row r="3008" spans="1:21" x14ac:dyDescent="0.25">
      <c r="A3008" s="405" t="s">
        <v>310</v>
      </c>
      <c r="B3008" s="405" t="s">
        <v>6377</v>
      </c>
      <c r="C3008" s="405" t="s">
        <v>327</v>
      </c>
      <c r="D3008" s="405"/>
      <c r="E3008" s="410">
        <v>42906</v>
      </c>
      <c r="F3008" s="410">
        <v>42951</v>
      </c>
      <c r="G3008" s="405" t="s">
        <v>6378</v>
      </c>
      <c r="H3008" s="405">
        <v>772965524</v>
      </c>
      <c r="I3008" s="405">
        <v>757103294</v>
      </c>
      <c r="J3008" s="405">
        <v>4.8868000000000002E-2</v>
      </c>
      <c r="K3008" s="405">
        <v>31.472536999999999</v>
      </c>
      <c r="L3008" s="405" t="s">
        <v>314</v>
      </c>
      <c r="M3008" s="405" t="s">
        <v>343</v>
      </c>
      <c r="N3008" s="405" t="s">
        <v>6323</v>
      </c>
      <c r="O3008" s="405" t="s">
        <v>6105</v>
      </c>
      <c r="P3008" s="405" t="s">
        <v>6379</v>
      </c>
      <c r="Q3008" s="411">
        <v>6</v>
      </c>
      <c r="R3008" s="405" t="s">
        <v>32101</v>
      </c>
      <c r="S3008" s="405" t="s">
        <v>27167</v>
      </c>
      <c r="T3008" s="405" t="s">
        <v>32102</v>
      </c>
      <c r="U3008" s="405" t="s">
        <v>319</v>
      </c>
    </row>
    <row r="3009" spans="1:21" x14ac:dyDescent="0.25">
      <c r="A3009" s="405" t="s">
        <v>310</v>
      </c>
      <c r="B3009" s="405" t="s">
        <v>6997</v>
      </c>
      <c r="C3009" s="405" t="s">
        <v>311</v>
      </c>
      <c r="D3009" s="405" t="s">
        <v>839</v>
      </c>
      <c r="E3009" s="410">
        <v>42906</v>
      </c>
      <c r="F3009" s="410">
        <v>42951</v>
      </c>
      <c r="G3009" s="405" t="s">
        <v>6998</v>
      </c>
      <c r="H3009" s="405">
        <v>750138935</v>
      </c>
      <c r="I3009" s="405">
        <v>755889453</v>
      </c>
      <c r="J3009" s="405">
        <v>-0.29380699999999998</v>
      </c>
      <c r="K3009" s="405">
        <v>31.385162999999999</v>
      </c>
      <c r="L3009" s="405" t="s">
        <v>314</v>
      </c>
      <c r="M3009" s="405" t="s">
        <v>343</v>
      </c>
      <c r="N3009" s="405" t="s">
        <v>6323</v>
      </c>
      <c r="O3009" s="405" t="s">
        <v>6324</v>
      </c>
      <c r="P3009" s="405" t="s">
        <v>6999</v>
      </c>
      <c r="Q3009" s="411">
        <v>6</v>
      </c>
      <c r="R3009" s="405" t="s">
        <v>32101</v>
      </c>
      <c r="S3009" s="405" t="s">
        <v>27047</v>
      </c>
      <c r="T3009" s="405" t="s">
        <v>32102</v>
      </c>
      <c r="U3009" s="405" t="s">
        <v>319</v>
      </c>
    </row>
    <row r="3010" spans="1:21" x14ac:dyDescent="0.25">
      <c r="A3010" s="405" t="s">
        <v>310</v>
      </c>
      <c r="B3010" s="405" t="s">
        <v>23234</v>
      </c>
      <c r="C3010" s="405" t="s">
        <v>327</v>
      </c>
      <c r="D3010" s="405"/>
      <c r="E3010" s="410">
        <v>42906</v>
      </c>
      <c r="F3010" s="410">
        <v>42951</v>
      </c>
      <c r="G3010" s="405" t="s">
        <v>23235</v>
      </c>
      <c r="H3010" s="405">
        <v>787866563</v>
      </c>
      <c r="I3010" s="405">
        <v>786542744</v>
      </c>
      <c r="J3010" s="405">
        <v>0.96892500000000004</v>
      </c>
      <c r="K3010" s="405">
        <v>31.215888</v>
      </c>
      <c r="L3010" s="405" t="s">
        <v>590</v>
      </c>
      <c r="M3010" s="405" t="s">
        <v>879</v>
      </c>
      <c r="N3010" s="405" t="s">
        <v>12376</v>
      </c>
      <c r="O3010" s="405" t="s">
        <v>23108</v>
      </c>
      <c r="P3010" s="405" t="s">
        <v>23172</v>
      </c>
      <c r="Q3010" s="411">
        <v>6</v>
      </c>
      <c r="R3010" s="405" t="s">
        <v>883</v>
      </c>
      <c r="S3010" s="405" t="s">
        <v>27104</v>
      </c>
      <c r="T3010" s="405" t="s">
        <v>32102</v>
      </c>
      <c r="U3010" s="405" t="s">
        <v>319</v>
      </c>
    </row>
    <row r="3011" spans="1:21" x14ac:dyDescent="0.25">
      <c r="A3011" s="405" t="s">
        <v>310</v>
      </c>
      <c r="B3011" s="405" t="s">
        <v>23468</v>
      </c>
      <c r="C3011" s="405" t="s">
        <v>311</v>
      </c>
      <c r="D3011" s="405" t="s">
        <v>839</v>
      </c>
      <c r="E3011" s="410">
        <v>42906</v>
      </c>
      <c r="F3011" s="410">
        <v>42951</v>
      </c>
      <c r="G3011" s="405" t="s">
        <v>23469</v>
      </c>
      <c r="H3011" s="405">
        <v>786542744</v>
      </c>
      <c r="I3011" s="405">
        <v>782209198</v>
      </c>
      <c r="J3011" s="405">
        <v>0.58150000000000002</v>
      </c>
      <c r="K3011" s="405">
        <v>31.135999999999999</v>
      </c>
      <c r="L3011" s="405" t="s">
        <v>590</v>
      </c>
      <c r="M3011" s="405" t="s">
        <v>879</v>
      </c>
      <c r="N3011" s="405" t="s">
        <v>12376</v>
      </c>
      <c r="O3011" s="405" t="s">
        <v>23470</v>
      </c>
      <c r="P3011" s="405" t="s">
        <v>23172</v>
      </c>
      <c r="Q3011" s="411">
        <v>6</v>
      </c>
      <c r="R3011" s="405" t="s">
        <v>883</v>
      </c>
      <c r="S3011" s="405" t="s">
        <v>27097</v>
      </c>
      <c r="T3011" s="405" t="s">
        <v>32102</v>
      </c>
      <c r="U3011" s="405" t="s">
        <v>319</v>
      </c>
    </row>
    <row r="3012" spans="1:21" x14ac:dyDescent="0.25">
      <c r="A3012" s="405" t="s">
        <v>310</v>
      </c>
      <c r="B3012" s="405" t="s">
        <v>15788</v>
      </c>
      <c r="C3012" s="405" t="s">
        <v>327</v>
      </c>
      <c r="D3012" s="405"/>
      <c r="E3012" s="410">
        <v>42906</v>
      </c>
      <c r="F3012" s="410">
        <v>42951</v>
      </c>
      <c r="G3012" s="405" t="s">
        <v>15789</v>
      </c>
      <c r="H3012" s="405">
        <v>771608943</v>
      </c>
      <c r="I3012" s="405">
        <v>782906264</v>
      </c>
      <c r="J3012" s="405">
        <v>1.0133350000000001</v>
      </c>
      <c r="K3012" s="405">
        <v>34.321449999999999</v>
      </c>
      <c r="L3012" s="405" t="s">
        <v>6866</v>
      </c>
      <c r="M3012" s="405" t="s">
        <v>6867</v>
      </c>
      <c r="N3012" s="405" t="s">
        <v>11399</v>
      </c>
      <c r="O3012" s="405" t="s">
        <v>10075</v>
      </c>
      <c r="P3012" s="405" t="s">
        <v>15790</v>
      </c>
      <c r="Q3012" s="411">
        <v>6</v>
      </c>
      <c r="R3012" s="405" t="s">
        <v>6871</v>
      </c>
      <c r="S3012" s="405" t="s">
        <v>27074</v>
      </c>
      <c r="T3012" s="405" t="s">
        <v>32102</v>
      </c>
      <c r="U3012" s="405" t="s">
        <v>319</v>
      </c>
    </row>
    <row r="3013" spans="1:21" x14ac:dyDescent="0.25">
      <c r="A3013" s="405" t="s">
        <v>310</v>
      </c>
      <c r="B3013" s="405" t="s">
        <v>23290</v>
      </c>
      <c r="C3013" s="405" t="s">
        <v>327</v>
      </c>
      <c r="D3013" s="405"/>
      <c r="E3013" s="410">
        <v>42904</v>
      </c>
      <c r="F3013" s="410">
        <v>42949</v>
      </c>
      <c r="G3013" s="405" t="s">
        <v>23291</v>
      </c>
      <c r="H3013" s="405">
        <v>782313380</v>
      </c>
      <c r="I3013" s="405"/>
      <c r="J3013" s="405">
        <v>-0.79738299999999995</v>
      </c>
      <c r="K3013" s="405">
        <v>29.927361999999999</v>
      </c>
      <c r="L3013" s="405" t="s">
        <v>590</v>
      </c>
      <c r="M3013" s="405" t="s">
        <v>19619</v>
      </c>
      <c r="N3013" s="405" t="s">
        <v>19765</v>
      </c>
      <c r="O3013" s="405" t="s">
        <v>16533</v>
      </c>
      <c r="P3013" s="405" t="s">
        <v>20643</v>
      </c>
      <c r="Q3013" s="411">
        <v>9</v>
      </c>
      <c r="R3013" s="405" t="s">
        <v>5858</v>
      </c>
      <c r="S3013" s="405" t="s">
        <v>27098</v>
      </c>
      <c r="T3013" s="405" t="s">
        <v>32102</v>
      </c>
      <c r="U3013" s="405" t="s">
        <v>319</v>
      </c>
    </row>
    <row r="3014" spans="1:21" x14ac:dyDescent="0.25">
      <c r="A3014" s="405" t="s">
        <v>310</v>
      </c>
      <c r="B3014" s="405" t="s">
        <v>23274</v>
      </c>
      <c r="C3014" s="405" t="s">
        <v>327</v>
      </c>
      <c r="D3014" s="405"/>
      <c r="E3014" s="410">
        <v>42903</v>
      </c>
      <c r="F3014" s="410">
        <v>42948</v>
      </c>
      <c r="G3014" s="405" t="s">
        <v>23275</v>
      </c>
      <c r="H3014" s="405">
        <v>702488181</v>
      </c>
      <c r="I3014" s="405"/>
      <c r="J3014" s="405">
        <v>0.64512999999999998</v>
      </c>
      <c r="K3014" s="405">
        <v>30.554376999999999</v>
      </c>
      <c r="L3014" s="405" t="s">
        <v>590</v>
      </c>
      <c r="M3014" s="405" t="s">
        <v>19614</v>
      </c>
      <c r="N3014" s="405" t="s">
        <v>19873</v>
      </c>
      <c r="O3014" s="405" t="s">
        <v>21757</v>
      </c>
      <c r="P3014" s="405" t="s">
        <v>23276</v>
      </c>
      <c r="Q3014" s="411">
        <v>6</v>
      </c>
      <c r="R3014" s="405" t="s">
        <v>6572</v>
      </c>
      <c r="S3014" s="405" t="s">
        <v>27154</v>
      </c>
      <c r="T3014" s="405" t="s">
        <v>32102</v>
      </c>
      <c r="U3014" s="405" t="s">
        <v>319</v>
      </c>
    </row>
    <row r="3015" spans="1:21" x14ac:dyDescent="0.25">
      <c r="A3015" s="405" t="s">
        <v>310</v>
      </c>
      <c r="B3015" s="405" t="s">
        <v>23170</v>
      </c>
      <c r="C3015" s="405" t="s">
        <v>327</v>
      </c>
      <c r="D3015" s="405"/>
      <c r="E3015" s="410">
        <v>42902</v>
      </c>
      <c r="F3015" s="410">
        <v>42947</v>
      </c>
      <c r="G3015" s="405" t="s">
        <v>23171</v>
      </c>
      <c r="H3015" s="405">
        <v>780938677</v>
      </c>
      <c r="I3015" s="405">
        <v>777048174</v>
      </c>
      <c r="J3015" s="405">
        <v>0.5847</v>
      </c>
      <c r="K3015" s="405">
        <v>31.134</v>
      </c>
      <c r="L3015" s="405" t="s">
        <v>590</v>
      </c>
      <c r="M3015" s="405" t="s">
        <v>879</v>
      </c>
      <c r="N3015" s="405" t="s">
        <v>12376</v>
      </c>
      <c r="O3015" s="405" t="s">
        <v>23108</v>
      </c>
      <c r="P3015" s="405" t="s">
        <v>23172</v>
      </c>
      <c r="Q3015" s="411">
        <v>6</v>
      </c>
      <c r="R3015" s="405" t="s">
        <v>883</v>
      </c>
      <c r="S3015" s="405" t="s">
        <v>27109</v>
      </c>
      <c r="T3015" s="405" t="s">
        <v>32102</v>
      </c>
      <c r="U3015" s="405" t="s">
        <v>319</v>
      </c>
    </row>
    <row r="3016" spans="1:21" x14ac:dyDescent="0.25">
      <c r="A3016" s="405" t="s">
        <v>310</v>
      </c>
      <c r="B3016" s="405" t="s">
        <v>23160</v>
      </c>
      <c r="C3016" s="405" t="s">
        <v>327</v>
      </c>
      <c r="D3016" s="405"/>
      <c r="E3016" s="410">
        <v>42901</v>
      </c>
      <c r="F3016" s="410">
        <v>42946</v>
      </c>
      <c r="G3016" s="405" t="s">
        <v>23161</v>
      </c>
      <c r="H3016" s="405">
        <v>772695200</v>
      </c>
      <c r="I3016" s="405">
        <v>701913463</v>
      </c>
      <c r="J3016" s="405">
        <v>0.2616</v>
      </c>
      <c r="K3016" s="405">
        <v>30.2729</v>
      </c>
      <c r="L3016" s="405" t="s">
        <v>590</v>
      </c>
      <c r="M3016" s="405" t="s">
        <v>19725</v>
      </c>
      <c r="N3016" s="405" t="s">
        <v>22130</v>
      </c>
      <c r="O3016" s="405" t="s">
        <v>19992</v>
      </c>
      <c r="P3016" s="405" t="s">
        <v>23162</v>
      </c>
      <c r="Q3016" s="411">
        <v>9</v>
      </c>
      <c r="R3016" s="405" t="s">
        <v>883</v>
      </c>
      <c r="S3016" s="405" t="s">
        <v>27065</v>
      </c>
      <c r="T3016" s="405" t="s">
        <v>32102</v>
      </c>
      <c r="U3016" s="405" t="s">
        <v>319</v>
      </c>
    </row>
    <row r="3017" spans="1:21" x14ac:dyDescent="0.25">
      <c r="A3017" s="405" t="s">
        <v>310</v>
      </c>
      <c r="B3017" s="405" t="s">
        <v>23173</v>
      </c>
      <c r="C3017" s="405" t="s">
        <v>327</v>
      </c>
      <c r="D3017" s="405"/>
      <c r="E3017" s="410">
        <v>42901</v>
      </c>
      <c r="F3017" s="410">
        <v>42946</v>
      </c>
      <c r="G3017" s="405" t="s">
        <v>23174</v>
      </c>
      <c r="H3017" s="405">
        <v>754004278</v>
      </c>
      <c r="I3017" s="405">
        <v>775247612</v>
      </c>
      <c r="J3017" s="405">
        <v>0.94060299999999997</v>
      </c>
      <c r="K3017" s="405">
        <v>30.624289999999998</v>
      </c>
      <c r="L3017" s="405" t="s">
        <v>590</v>
      </c>
      <c r="M3017" s="405" t="s">
        <v>879</v>
      </c>
      <c r="N3017" s="405" t="s">
        <v>21069</v>
      </c>
      <c r="O3017" s="405" t="s">
        <v>20024</v>
      </c>
      <c r="P3017" s="405" t="s">
        <v>20024</v>
      </c>
      <c r="Q3017" s="411">
        <v>6</v>
      </c>
      <c r="R3017" s="405" t="s">
        <v>883</v>
      </c>
      <c r="S3017" s="405" t="s">
        <v>27109</v>
      </c>
      <c r="T3017" s="405" t="s">
        <v>32102</v>
      </c>
      <c r="U3017" s="405" t="s">
        <v>319</v>
      </c>
    </row>
    <row r="3018" spans="1:21" x14ac:dyDescent="0.25">
      <c r="A3018" s="405" t="s">
        <v>310</v>
      </c>
      <c r="B3018" s="405" t="s">
        <v>15825</v>
      </c>
      <c r="C3018" s="405" t="s">
        <v>327</v>
      </c>
      <c r="D3018" s="405"/>
      <c r="E3018" s="410">
        <v>42900</v>
      </c>
      <c r="F3018" s="410">
        <v>42993</v>
      </c>
      <c r="G3018" s="405" t="s">
        <v>15826</v>
      </c>
      <c r="H3018" s="405">
        <v>789161738</v>
      </c>
      <c r="I3018" s="405">
        <v>772947783</v>
      </c>
      <c r="J3018" s="405">
        <v>1.3836569999999999</v>
      </c>
      <c r="K3018" s="405">
        <v>34.459307000000003</v>
      </c>
      <c r="L3018" s="405" t="s">
        <v>6866</v>
      </c>
      <c r="M3018" s="405" t="s">
        <v>9685</v>
      </c>
      <c r="N3018" s="405" t="s">
        <v>9686</v>
      </c>
      <c r="O3018" s="405" t="s">
        <v>15669</v>
      </c>
      <c r="P3018" s="405" t="s">
        <v>10302</v>
      </c>
      <c r="Q3018" s="411">
        <v>6</v>
      </c>
      <c r="R3018" s="405" t="s">
        <v>9506</v>
      </c>
      <c r="S3018" s="405" t="s">
        <v>27353</v>
      </c>
      <c r="T3018" s="405" t="s">
        <v>32102</v>
      </c>
      <c r="U3018" s="405" t="s">
        <v>319</v>
      </c>
    </row>
    <row r="3019" spans="1:21" x14ac:dyDescent="0.25">
      <c r="A3019" s="405" t="s">
        <v>310</v>
      </c>
      <c r="B3019" s="405" t="s">
        <v>7083</v>
      </c>
      <c r="C3019" s="405" t="s">
        <v>311</v>
      </c>
      <c r="D3019" s="405" t="s">
        <v>839</v>
      </c>
      <c r="E3019" s="410">
        <v>42898</v>
      </c>
      <c r="F3019" s="410">
        <v>42999</v>
      </c>
      <c r="G3019" s="405" t="s">
        <v>7084</v>
      </c>
      <c r="H3019" s="405">
        <v>702644486</v>
      </c>
      <c r="I3019" s="405"/>
      <c r="J3019" s="405">
        <v>1.3707180000000001</v>
      </c>
      <c r="K3019" s="405">
        <v>33.648294999999997</v>
      </c>
      <c r="L3019" s="405" t="s">
        <v>314</v>
      </c>
      <c r="M3019" s="405" t="s">
        <v>361</v>
      </c>
      <c r="N3019" s="405" t="s">
        <v>379</v>
      </c>
      <c r="O3019" s="405" t="s">
        <v>379</v>
      </c>
      <c r="P3019" s="405" t="s">
        <v>6290</v>
      </c>
      <c r="Q3019" s="411">
        <v>6</v>
      </c>
      <c r="R3019" s="405" t="s">
        <v>5986</v>
      </c>
      <c r="S3019" s="405" t="s">
        <v>27251</v>
      </c>
      <c r="T3019" s="405" t="s">
        <v>32102</v>
      </c>
      <c r="U3019" s="405" t="s">
        <v>319</v>
      </c>
    </row>
    <row r="3020" spans="1:21" x14ac:dyDescent="0.25">
      <c r="A3020" s="405" t="s">
        <v>310</v>
      </c>
      <c r="B3020" s="405" t="s">
        <v>6326</v>
      </c>
      <c r="C3020" s="405" t="s">
        <v>327</v>
      </c>
      <c r="D3020" s="405"/>
      <c r="E3020" s="410">
        <v>42896</v>
      </c>
      <c r="F3020" s="410">
        <v>42941</v>
      </c>
      <c r="G3020" s="405" t="s">
        <v>6327</v>
      </c>
      <c r="H3020" s="405">
        <v>792620565</v>
      </c>
      <c r="I3020" s="405">
        <v>781293558</v>
      </c>
      <c r="J3020" s="405">
        <v>0.103197</v>
      </c>
      <c r="K3020" s="405">
        <v>31.492428</v>
      </c>
      <c r="L3020" s="405" t="s">
        <v>314</v>
      </c>
      <c r="M3020" s="405" t="s">
        <v>343</v>
      </c>
      <c r="N3020" s="405" t="s">
        <v>6323</v>
      </c>
      <c r="O3020" s="405" t="s">
        <v>6105</v>
      </c>
      <c r="P3020" s="405" t="s">
        <v>6328</v>
      </c>
      <c r="Q3020" s="411">
        <v>6</v>
      </c>
      <c r="R3020" s="405" t="s">
        <v>32101</v>
      </c>
      <c r="S3020" s="405" t="s">
        <v>27167</v>
      </c>
      <c r="T3020" s="405" t="s">
        <v>32102</v>
      </c>
      <c r="U3020" s="405" t="s">
        <v>319</v>
      </c>
    </row>
    <row r="3021" spans="1:21" x14ac:dyDescent="0.25">
      <c r="A3021" s="405" t="s">
        <v>310</v>
      </c>
      <c r="B3021" s="405" t="s">
        <v>6320</v>
      </c>
      <c r="C3021" s="405" t="s">
        <v>327</v>
      </c>
      <c r="D3021" s="405"/>
      <c r="E3021" s="410">
        <v>42896</v>
      </c>
      <c r="F3021" s="410">
        <v>42941</v>
      </c>
      <c r="G3021" s="405" t="s">
        <v>6321</v>
      </c>
      <c r="H3021" s="405">
        <v>755497111</v>
      </c>
      <c r="I3021" s="405">
        <v>777699388</v>
      </c>
      <c r="J3021" s="405" t="s">
        <v>6322</v>
      </c>
      <c r="K3021" s="405">
        <v>31.374098</v>
      </c>
      <c r="L3021" s="405" t="s">
        <v>314</v>
      </c>
      <c r="M3021" s="405" t="s">
        <v>343</v>
      </c>
      <c r="N3021" s="405" t="s">
        <v>6323</v>
      </c>
      <c r="O3021" s="405" t="s">
        <v>6324</v>
      </c>
      <c r="P3021" s="405" t="s">
        <v>6325</v>
      </c>
      <c r="Q3021" s="411">
        <v>6</v>
      </c>
      <c r="R3021" s="405" t="s">
        <v>32101</v>
      </c>
      <c r="S3021" s="405" t="s">
        <v>27047</v>
      </c>
      <c r="T3021" s="405" t="s">
        <v>32102</v>
      </c>
      <c r="U3021" s="405" t="s">
        <v>319</v>
      </c>
    </row>
    <row r="3022" spans="1:21" x14ac:dyDescent="0.25">
      <c r="A3022" s="405" t="s">
        <v>310</v>
      </c>
      <c r="B3022" s="405" t="s">
        <v>15952</v>
      </c>
      <c r="C3022" s="405" t="s">
        <v>327</v>
      </c>
      <c r="D3022" s="405"/>
      <c r="E3022" s="410">
        <v>42895</v>
      </c>
      <c r="F3022" s="410">
        <v>43063</v>
      </c>
      <c r="G3022" s="405" t="s">
        <v>15953</v>
      </c>
      <c r="H3022" s="405">
        <v>777253149</v>
      </c>
      <c r="I3022" s="405">
        <v>700472669</v>
      </c>
      <c r="J3022" s="405">
        <v>0.32939299999999999</v>
      </c>
      <c r="K3022" s="405">
        <v>33.894798000000002</v>
      </c>
      <c r="L3022" s="405" t="s">
        <v>6866</v>
      </c>
      <c r="M3022" s="405" t="s">
        <v>10390</v>
      </c>
      <c r="N3022" s="405" t="s">
        <v>10391</v>
      </c>
      <c r="O3022" s="405" t="s">
        <v>1281</v>
      </c>
      <c r="P3022" s="405" t="s">
        <v>15954</v>
      </c>
      <c r="Q3022" s="411">
        <v>6</v>
      </c>
      <c r="R3022" s="405" t="s">
        <v>5655</v>
      </c>
      <c r="S3022" s="405" t="s">
        <v>27056</v>
      </c>
      <c r="T3022" s="405" t="s">
        <v>32102</v>
      </c>
      <c r="U3022" s="405" t="s">
        <v>319</v>
      </c>
    </row>
    <row r="3023" spans="1:21" x14ac:dyDescent="0.25">
      <c r="A3023" s="405" t="s">
        <v>310</v>
      </c>
      <c r="B3023" s="405" t="s">
        <v>15671</v>
      </c>
      <c r="C3023" s="405" t="s">
        <v>327</v>
      </c>
      <c r="D3023" s="405"/>
      <c r="E3023" s="410">
        <v>42895</v>
      </c>
      <c r="F3023" s="410">
        <v>42936</v>
      </c>
      <c r="G3023" s="405" t="s">
        <v>15672</v>
      </c>
      <c r="H3023" s="405">
        <v>750120064</v>
      </c>
      <c r="I3023" s="405">
        <v>751265734</v>
      </c>
      <c r="J3023" s="405">
        <v>1.400058</v>
      </c>
      <c r="K3023" s="405">
        <v>34.501643000000001</v>
      </c>
      <c r="L3023" s="405" t="s">
        <v>6866</v>
      </c>
      <c r="M3023" s="405" t="s">
        <v>9705</v>
      </c>
      <c r="N3023" s="405" t="s">
        <v>9705</v>
      </c>
      <c r="O3023" s="405" t="s">
        <v>9706</v>
      </c>
      <c r="P3023" s="405" t="s">
        <v>10058</v>
      </c>
      <c r="Q3023" s="411">
        <v>6</v>
      </c>
      <c r="R3023" s="405" t="s">
        <v>9506</v>
      </c>
      <c r="S3023" s="405" t="s">
        <v>27335</v>
      </c>
      <c r="T3023" s="405" t="s">
        <v>32102</v>
      </c>
      <c r="U3023" s="405" t="s">
        <v>319</v>
      </c>
    </row>
    <row r="3024" spans="1:21" x14ac:dyDescent="0.25">
      <c r="A3024" s="405" t="s">
        <v>310</v>
      </c>
      <c r="B3024" s="405" t="s">
        <v>23167</v>
      </c>
      <c r="C3024" s="405" t="s">
        <v>327</v>
      </c>
      <c r="D3024" s="405"/>
      <c r="E3024" s="410">
        <v>42894</v>
      </c>
      <c r="F3024" s="410">
        <v>42939</v>
      </c>
      <c r="G3024" s="405" t="s">
        <v>23168</v>
      </c>
      <c r="H3024" s="405">
        <v>773180921</v>
      </c>
      <c r="I3024" s="405">
        <v>7035221333</v>
      </c>
      <c r="J3024" s="405">
        <v>0.5323</v>
      </c>
      <c r="K3024" s="405">
        <v>31.85</v>
      </c>
      <c r="L3024" s="405" t="s">
        <v>590</v>
      </c>
      <c r="M3024" s="405" t="s">
        <v>879</v>
      </c>
      <c r="N3024" s="405" t="s">
        <v>12376</v>
      </c>
      <c r="O3024" s="405" t="s">
        <v>23108</v>
      </c>
      <c r="P3024" s="405" t="s">
        <v>23169</v>
      </c>
      <c r="Q3024" s="411">
        <v>6</v>
      </c>
      <c r="R3024" s="405" t="s">
        <v>883</v>
      </c>
      <c r="S3024" s="405" t="s">
        <v>27104</v>
      </c>
      <c r="T3024" s="405" t="s">
        <v>32102</v>
      </c>
      <c r="U3024" s="405" t="s">
        <v>319</v>
      </c>
    </row>
    <row r="3025" spans="1:21" x14ac:dyDescent="0.25">
      <c r="A3025" s="405" t="s">
        <v>310</v>
      </c>
      <c r="B3025" s="405" t="s">
        <v>23198</v>
      </c>
      <c r="C3025" s="405" t="s">
        <v>327</v>
      </c>
      <c r="D3025" s="405"/>
      <c r="E3025" s="410">
        <v>42893</v>
      </c>
      <c r="F3025" s="410">
        <v>42931</v>
      </c>
      <c r="G3025" s="405" t="s">
        <v>23199</v>
      </c>
      <c r="H3025" s="405">
        <v>782389141</v>
      </c>
      <c r="I3025" s="405"/>
      <c r="J3025" s="405">
        <v>0.17924999999999999</v>
      </c>
      <c r="K3025" s="405">
        <v>30.45542</v>
      </c>
      <c r="L3025" s="405" t="s">
        <v>590</v>
      </c>
      <c r="M3025" s="405" t="s">
        <v>19720</v>
      </c>
      <c r="N3025" s="405" t="s">
        <v>19720</v>
      </c>
      <c r="O3025" s="405" t="s">
        <v>22087</v>
      </c>
      <c r="P3025" s="405" t="s">
        <v>22420</v>
      </c>
      <c r="Q3025" s="411">
        <v>6</v>
      </c>
      <c r="R3025" s="405" t="s">
        <v>6013</v>
      </c>
      <c r="S3025" s="405" t="s">
        <v>27181</v>
      </c>
      <c r="T3025" s="405" t="s">
        <v>32102</v>
      </c>
      <c r="U3025" s="405" t="s">
        <v>319</v>
      </c>
    </row>
    <row r="3026" spans="1:21" x14ac:dyDescent="0.25">
      <c r="A3026" s="405" t="s">
        <v>310</v>
      </c>
      <c r="B3026" s="405" t="s">
        <v>15680</v>
      </c>
      <c r="C3026" s="405" t="s">
        <v>327</v>
      </c>
      <c r="D3026" s="405"/>
      <c r="E3026" s="410">
        <v>42892</v>
      </c>
      <c r="F3026" s="410">
        <v>42937</v>
      </c>
      <c r="G3026" s="405" t="s">
        <v>15681</v>
      </c>
      <c r="H3026" s="405">
        <v>776679073</v>
      </c>
      <c r="I3026" s="405">
        <v>772302810</v>
      </c>
      <c r="J3026" s="405">
        <v>1.285893</v>
      </c>
      <c r="K3026" s="405">
        <v>34.370967</v>
      </c>
      <c r="L3026" s="405" t="s">
        <v>6866</v>
      </c>
      <c r="M3026" s="405" t="s">
        <v>9550</v>
      </c>
      <c r="N3026" s="405" t="s">
        <v>9550</v>
      </c>
      <c r="O3026" s="405" t="s">
        <v>15682</v>
      </c>
      <c r="P3026" s="405" t="s">
        <v>15683</v>
      </c>
      <c r="Q3026" s="411">
        <v>6</v>
      </c>
      <c r="R3026" s="405" t="s">
        <v>9506</v>
      </c>
      <c r="S3026" s="405" t="s">
        <v>27353</v>
      </c>
      <c r="T3026" s="405" t="s">
        <v>32102</v>
      </c>
      <c r="U3026" s="405" t="s">
        <v>319</v>
      </c>
    </row>
    <row r="3027" spans="1:21" x14ac:dyDescent="0.25">
      <c r="A3027" s="405" t="s">
        <v>310</v>
      </c>
      <c r="B3027" s="405" t="s">
        <v>15797</v>
      </c>
      <c r="C3027" s="405" t="s">
        <v>327</v>
      </c>
      <c r="D3027" s="405"/>
      <c r="E3027" s="410">
        <v>42890</v>
      </c>
      <c r="F3027" s="410">
        <v>42950</v>
      </c>
      <c r="G3027" s="405" t="s">
        <v>15798</v>
      </c>
      <c r="H3027" s="405">
        <v>757867757</v>
      </c>
      <c r="I3027" s="405">
        <v>775329235</v>
      </c>
      <c r="J3027" s="405">
        <v>0.31937500000000002</v>
      </c>
      <c r="K3027" s="405">
        <v>33.892353</v>
      </c>
      <c r="L3027" s="405" t="s">
        <v>6866</v>
      </c>
      <c r="M3027" s="405" t="s">
        <v>10390</v>
      </c>
      <c r="N3027" s="405" t="s">
        <v>10391</v>
      </c>
      <c r="O3027" s="405" t="s">
        <v>1281</v>
      </c>
      <c r="P3027" s="405" t="s">
        <v>15799</v>
      </c>
      <c r="Q3027" s="411">
        <v>6</v>
      </c>
      <c r="R3027" s="405" t="s">
        <v>5655</v>
      </c>
      <c r="S3027" s="405" t="s">
        <v>27357</v>
      </c>
      <c r="T3027" s="405" t="s">
        <v>32102</v>
      </c>
      <c r="U3027" s="405" t="s">
        <v>319</v>
      </c>
    </row>
    <row r="3028" spans="1:21" x14ac:dyDescent="0.25">
      <c r="A3028" s="405" t="s">
        <v>310</v>
      </c>
      <c r="B3028" s="405" t="s">
        <v>23213</v>
      </c>
      <c r="C3028" s="405" t="s">
        <v>857</v>
      </c>
      <c r="D3028" s="405" t="s">
        <v>33049</v>
      </c>
      <c r="E3028" s="410">
        <v>42889</v>
      </c>
      <c r="F3028" s="410">
        <v>42934</v>
      </c>
      <c r="G3028" s="405" t="s">
        <v>23214</v>
      </c>
      <c r="H3028" s="405">
        <v>774029670</v>
      </c>
      <c r="I3028" s="405"/>
      <c r="J3028" s="405">
        <v>0.34260000000000002</v>
      </c>
      <c r="K3028" s="405">
        <v>30.1129</v>
      </c>
      <c r="L3028" s="405" t="s">
        <v>590</v>
      </c>
      <c r="M3028" s="405" t="s">
        <v>19625</v>
      </c>
      <c r="N3028" s="405" t="s">
        <v>21955</v>
      </c>
      <c r="O3028" s="405" t="s">
        <v>22016</v>
      </c>
      <c r="P3028" s="405" t="s">
        <v>23215</v>
      </c>
      <c r="Q3028" s="411">
        <v>6</v>
      </c>
      <c r="R3028" s="405" t="s">
        <v>6572</v>
      </c>
      <c r="S3028" s="405" t="s">
        <v>27154</v>
      </c>
      <c r="T3028" s="405" t="s">
        <v>32102</v>
      </c>
      <c r="U3028" s="405" t="s">
        <v>319</v>
      </c>
    </row>
    <row r="3029" spans="1:21" x14ac:dyDescent="0.25">
      <c r="A3029" s="405" t="s">
        <v>310</v>
      </c>
      <c r="B3029" s="405" t="s">
        <v>15703</v>
      </c>
      <c r="C3029" s="405" t="s">
        <v>327</v>
      </c>
      <c r="D3029" s="405"/>
      <c r="E3029" s="410">
        <v>42889</v>
      </c>
      <c r="F3029" s="410">
        <v>42934</v>
      </c>
      <c r="G3029" s="405" t="s">
        <v>15704</v>
      </c>
      <c r="H3029" s="405">
        <v>776912869</v>
      </c>
      <c r="I3029" s="405">
        <v>701929669</v>
      </c>
      <c r="J3029" s="405">
        <v>0.65249699999999999</v>
      </c>
      <c r="K3029" s="405">
        <v>34.215592000000001</v>
      </c>
      <c r="L3029" s="405" t="s">
        <v>6866</v>
      </c>
      <c r="M3029" s="405" t="s">
        <v>9534</v>
      </c>
      <c r="N3029" s="405" t="s">
        <v>9534</v>
      </c>
      <c r="O3029" s="405" t="s">
        <v>14050</v>
      </c>
      <c r="P3029" s="405" t="s">
        <v>15705</v>
      </c>
      <c r="Q3029" s="411">
        <v>6</v>
      </c>
      <c r="R3029" s="405" t="s">
        <v>5655</v>
      </c>
      <c r="S3029" s="405" t="s">
        <v>27243</v>
      </c>
      <c r="T3029" s="405" t="s">
        <v>32102</v>
      </c>
      <c r="U3029" s="405" t="s">
        <v>319</v>
      </c>
    </row>
    <row r="3030" spans="1:21" x14ac:dyDescent="0.25">
      <c r="A3030" s="405" t="s">
        <v>310</v>
      </c>
      <c r="B3030" s="405" t="s">
        <v>15722</v>
      </c>
      <c r="C3030" s="405" t="s">
        <v>327</v>
      </c>
      <c r="D3030" s="405"/>
      <c r="E3030" s="410">
        <v>42889</v>
      </c>
      <c r="F3030" s="410">
        <v>42934</v>
      </c>
      <c r="G3030" s="405" t="s">
        <v>15723</v>
      </c>
      <c r="H3030" s="405">
        <v>785527983</v>
      </c>
      <c r="I3030" s="405"/>
      <c r="J3030" s="405">
        <v>0.312388</v>
      </c>
      <c r="K3030" s="405">
        <v>33.895983000000001</v>
      </c>
      <c r="L3030" s="405" t="s">
        <v>6866</v>
      </c>
      <c r="M3030" s="405" t="s">
        <v>10390</v>
      </c>
      <c r="N3030" s="405" t="s">
        <v>10901</v>
      </c>
      <c r="O3030" s="405" t="s">
        <v>1281</v>
      </c>
      <c r="P3030" s="405" t="s">
        <v>15724</v>
      </c>
      <c r="Q3030" s="411">
        <v>6</v>
      </c>
      <c r="R3030" s="405" t="s">
        <v>5655</v>
      </c>
      <c r="S3030" s="405" t="s">
        <v>27072</v>
      </c>
      <c r="T3030" s="405" t="s">
        <v>32102</v>
      </c>
      <c r="U3030" s="405" t="s">
        <v>319</v>
      </c>
    </row>
    <row r="3031" spans="1:21" x14ac:dyDescent="0.25">
      <c r="A3031" s="405" t="s">
        <v>310</v>
      </c>
      <c r="B3031" s="405" t="s">
        <v>23436</v>
      </c>
      <c r="C3031" s="405" t="s">
        <v>857</v>
      </c>
      <c r="D3031" s="405" t="s">
        <v>32470</v>
      </c>
      <c r="E3031" s="410">
        <v>42888</v>
      </c>
      <c r="F3031" s="410">
        <v>42933</v>
      </c>
      <c r="G3031" s="405" t="s">
        <v>23437</v>
      </c>
      <c r="H3031" s="405">
        <v>778102025</v>
      </c>
      <c r="I3031" s="405"/>
      <c r="J3031" s="405">
        <v>0.4617</v>
      </c>
      <c r="K3031" s="405">
        <v>29.547999999999998</v>
      </c>
      <c r="L3031" s="405" t="s">
        <v>590</v>
      </c>
      <c r="M3031" s="405" t="s">
        <v>19619</v>
      </c>
      <c r="N3031" s="405" t="s">
        <v>19765</v>
      </c>
      <c r="O3031" s="405" t="s">
        <v>3052</v>
      </c>
      <c r="P3031" s="405" t="s">
        <v>23438</v>
      </c>
      <c r="Q3031" s="411">
        <v>13</v>
      </c>
      <c r="R3031" s="405" t="s">
        <v>6572</v>
      </c>
      <c r="S3031" s="405" t="s">
        <v>27399</v>
      </c>
      <c r="T3031" s="405" t="s">
        <v>32102</v>
      </c>
      <c r="U3031" s="405" t="s">
        <v>319</v>
      </c>
    </row>
    <row r="3032" spans="1:21" x14ac:dyDescent="0.25">
      <c r="A3032" s="405" t="s">
        <v>310</v>
      </c>
      <c r="B3032" s="405" t="s">
        <v>23226</v>
      </c>
      <c r="C3032" s="405" t="s">
        <v>857</v>
      </c>
      <c r="D3032" s="405" t="s">
        <v>32471</v>
      </c>
      <c r="E3032" s="410">
        <v>42888</v>
      </c>
      <c r="F3032" s="410">
        <v>42931</v>
      </c>
      <c r="G3032" s="405" t="s">
        <v>23227</v>
      </c>
      <c r="H3032" s="405">
        <v>779585090</v>
      </c>
      <c r="I3032" s="405">
        <v>701585090</v>
      </c>
      <c r="J3032" s="405">
        <v>-0.87637399999999999</v>
      </c>
      <c r="K3032" s="405">
        <v>30.250371000000001</v>
      </c>
      <c r="L3032" s="405" t="s">
        <v>590</v>
      </c>
      <c r="M3032" s="405" t="s">
        <v>19659</v>
      </c>
      <c r="N3032" s="405" t="s">
        <v>19681</v>
      </c>
      <c r="O3032" s="405" t="s">
        <v>13002</v>
      </c>
      <c r="P3032" s="405" t="s">
        <v>23228</v>
      </c>
      <c r="Q3032" s="411">
        <v>13</v>
      </c>
      <c r="R3032" s="405" t="s">
        <v>32166</v>
      </c>
      <c r="S3032" s="405" t="s">
        <v>27132</v>
      </c>
      <c r="T3032" s="405" t="s">
        <v>32102</v>
      </c>
      <c r="U3032" s="405" t="s">
        <v>319</v>
      </c>
    </row>
    <row r="3033" spans="1:21" x14ac:dyDescent="0.25">
      <c r="A3033" s="405" t="s">
        <v>310</v>
      </c>
      <c r="B3033" s="405" t="s">
        <v>6740</v>
      </c>
      <c r="C3033" s="405" t="s">
        <v>327</v>
      </c>
      <c r="D3033" s="405"/>
      <c r="E3033" s="410">
        <v>42888</v>
      </c>
      <c r="F3033" s="410">
        <v>43148</v>
      </c>
      <c r="G3033" s="405" t="s">
        <v>6741</v>
      </c>
      <c r="H3033" s="405">
        <v>772622919</v>
      </c>
      <c r="I3033" s="405"/>
      <c r="J3033" s="405">
        <v>0.21210000000000001</v>
      </c>
      <c r="K3033" s="405">
        <v>32.354700000000001</v>
      </c>
      <c r="L3033" s="405" t="s">
        <v>314</v>
      </c>
      <c r="M3033" s="405" t="s">
        <v>992</v>
      </c>
      <c r="N3033" s="405" t="s">
        <v>362</v>
      </c>
      <c r="O3033" s="405" t="s">
        <v>987</v>
      </c>
      <c r="P3033" s="405" t="s">
        <v>6742</v>
      </c>
      <c r="Q3033" s="411">
        <v>12</v>
      </c>
      <c r="R3033" s="405" t="s">
        <v>5986</v>
      </c>
      <c r="S3033" s="405" t="s">
        <v>27251</v>
      </c>
      <c r="T3033" s="405" t="s">
        <v>32102</v>
      </c>
      <c r="U3033" s="405" t="s">
        <v>319</v>
      </c>
    </row>
    <row r="3034" spans="1:21" x14ac:dyDescent="0.25">
      <c r="A3034" s="405" t="s">
        <v>310</v>
      </c>
      <c r="B3034" s="405" t="s">
        <v>15678</v>
      </c>
      <c r="C3034" s="405" t="s">
        <v>327</v>
      </c>
      <c r="D3034" s="405"/>
      <c r="E3034" s="410">
        <v>42888</v>
      </c>
      <c r="F3034" s="410">
        <v>42933</v>
      </c>
      <c r="G3034" s="405" t="s">
        <v>15679</v>
      </c>
      <c r="H3034" s="405">
        <v>784880491</v>
      </c>
      <c r="I3034" s="405">
        <v>772628119</v>
      </c>
      <c r="J3034" s="405">
        <v>1.3965000000000001</v>
      </c>
      <c r="K3034" s="405">
        <v>34.458010000000002</v>
      </c>
      <c r="L3034" s="405" t="s">
        <v>6866</v>
      </c>
      <c r="M3034" s="405" t="s">
        <v>9685</v>
      </c>
      <c r="N3034" s="405" t="s">
        <v>9686</v>
      </c>
      <c r="O3034" s="405" t="s">
        <v>13002</v>
      </c>
      <c r="P3034" s="405" t="s">
        <v>9638</v>
      </c>
      <c r="Q3034" s="411">
        <v>6</v>
      </c>
      <c r="R3034" s="405" t="s">
        <v>9506</v>
      </c>
      <c r="S3034" s="405" t="s">
        <v>27306</v>
      </c>
      <c r="T3034" s="405" t="s">
        <v>32102</v>
      </c>
      <c r="U3034" s="405" t="s">
        <v>319</v>
      </c>
    </row>
    <row r="3035" spans="1:21" x14ac:dyDescent="0.25">
      <c r="A3035" s="405" t="s">
        <v>310</v>
      </c>
      <c r="B3035" s="405" t="s">
        <v>23188</v>
      </c>
      <c r="C3035" s="405" t="s">
        <v>327</v>
      </c>
      <c r="D3035" s="405"/>
      <c r="E3035" s="410">
        <v>42888</v>
      </c>
      <c r="F3035" s="410">
        <v>42931</v>
      </c>
      <c r="G3035" s="405" t="s">
        <v>23189</v>
      </c>
      <c r="H3035" s="405">
        <v>789683234</v>
      </c>
      <c r="I3035" s="405">
        <v>787261076</v>
      </c>
      <c r="J3035" s="405">
        <v>0.34284300000000001</v>
      </c>
      <c r="K3035" s="405">
        <v>30.771049999999999</v>
      </c>
      <c r="L3035" s="405" t="s">
        <v>590</v>
      </c>
      <c r="M3035" s="405" t="s">
        <v>19720</v>
      </c>
      <c r="N3035" s="405" t="s">
        <v>22346</v>
      </c>
      <c r="O3035" s="405" t="s">
        <v>23183</v>
      </c>
      <c r="P3035" s="405" t="s">
        <v>5312</v>
      </c>
      <c r="Q3035" s="411">
        <v>6</v>
      </c>
      <c r="R3035" s="405" t="s">
        <v>6013</v>
      </c>
      <c r="S3035" s="405" t="s">
        <v>27423</v>
      </c>
      <c r="T3035" s="405" t="s">
        <v>32102</v>
      </c>
      <c r="U3035" s="405" t="s">
        <v>319</v>
      </c>
    </row>
    <row r="3036" spans="1:21" x14ac:dyDescent="0.25">
      <c r="A3036" s="405" t="s">
        <v>310</v>
      </c>
      <c r="B3036" s="405" t="s">
        <v>23196</v>
      </c>
      <c r="C3036" s="405" t="s">
        <v>327</v>
      </c>
      <c r="D3036" s="405"/>
      <c r="E3036" s="410">
        <v>42887</v>
      </c>
      <c r="F3036" s="410">
        <v>42932</v>
      </c>
      <c r="G3036" s="405" t="s">
        <v>23197</v>
      </c>
      <c r="H3036" s="405">
        <v>777297454</v>
      </c>
      <c r="I3036" s="405"/>
      <c r="J3036" s="405">
        <v>0.33926499999999998</v>
      </c>
      <c r="K3036" s="405">
        <v>30.770132</v>
      </c>
      <c r="L3036" s="405" t="s">
        <v>590</v>
      </c>
      <c r="M3036" s="405" t="s">
        <v>19720</v>
      </c>
      <c r="N3036" s="405" t="s">
        <v>7352</v>
      </c>
      <c r="O3036" s="405" t="s">
        <v>23183</v>
      </c>
      <c r="P3036" s="405" t="s">
        <v>5312</v>
      </c>
      <c r="Q3036" s="411">
        <v>6</v>
      </c>
      <c r="R3036" s="405" t="s">
        <v>6013</v>
      </c>
      <c r="S3036" s="405" t="s">
        <v>27205</v>
      </c>
      <c r="T3036" s="405" t="s">
        <v>32102</v>
      </c>
      <c r="U3036" s="405" t="s">
        <v>319</v>
      </c>
    </row>
    <row r="3037" spans="1:21" x14ac:dyDescent="0.25">
      <c r="A3037" s="405" t="s">
        <v>310</v>
      </c>
      <c r="B3037" s="405" t="s">
        <v>23157</v>
      </c>
      <c r="C3037" s="405" t="s">
        <v>327</v>
      </c>
      <c r="D3037" s="405"/>
      <c r="E3037" s="410">
        <v>42886</v>
      </c>
      <c r="F3037" s="410">
        <v>42931</v>
      </c>
      <c r="G3037" s="405" t="s">
        <v>23158</v>
      </c>
      <c r="H3037" s="405">
        <v>775758196</v>
      </c>
      <c r="I3037" s="405"/>
      <c r="J3037" s="405">
        <v>-0.34844700000000001</v>
      </c>
      <c r="K3037" s="405">
        <v>30.574497000000001</v>
      </c>
      <c r="L3037" s="405" t="s">
        <v>590</v>
      </c>
      <c r="M3037" s="405" t="s">
        <v>19614</v>
      </c>
      <c r="N3037" s="405" t="s">
        <v>20230</v>
      </c>
      <c r="O3037" s="405" t="s">
        <v>19615</v>
      </c>
      <c r="P3037" s="405" t="s">
        <v>23159</v>
      </c>
      <c r="Q3037" s="411">
        <v>13</v>
      </c>
      <c r="R3037" s="405" t="s">
        <v>883</v>
      </c>
      <c r="S3037" s="405" t="s">
        <v>27172</v>
      </c>
      <c r="T3037" s="405" t="s">
        <v>32102</v>
      </c>
      <c r="U3037" s="405" t="s">
        <v>319</v>
      </c>
    </row>
    <row r="3038" spans="1:21" x14ac:dyDescent="0.25">
      <c r="A3038" s="405" t="s">
        <v>310</v>
      </c>
      <c r="B3038" s="405" t="s">
        <v>23209</v>
      </c>
      <c r="C3038" s="405" t="s">
        <v>327</v>
      </c>
      <c r="D3038" s="405"/>
      <c r="E3038" s="410">
        <v>42886</v>
      </c>
      <c r="F3038" s="410">
        <v>42931</v>
      </c>
      <c r="G3038" s="405" t="s">
        <v>23210</v>
      </c>
      <c r="H3038" s="405">
        <v>787309254</v>
      </c>
      <c r="I3038" s="405">
        <v>758397957</v>
      </c>
      <c r="J3038" s="405">
        <v>0.3236</v>
      </c>
      <c r="K3038" s="405">
        <v>30.265699999999999</v>
      </c>
      <c r="L3038" s="405" t="s">
        <v>590</v>
      </c>
      <c r="M3038" s="405" t="s">
        <v>19725</v>
      </c>
      <c r="N3038" s="405" t="s">
        <v>19725</v>
      </c>
      <c r="O3038" s="405" t="s">
        <v>23211</v>
      </c>
      <c r="P3038" s="405" t="s">
        <v>23212</v>
      </c>
      <c r="Q3038" s="411">
        <v>9</v>
      </c>
      <c r="R3038" s="405" t="s">
        <v>6572</v>
      </c>
      <c r="S3038" s="405" t="s">
        <v>27166</v>
      </c>
      <c r="T3038" s="405" t="s">
        <v>32102</v>
      </c>
      <c r="U3038" s="405" t="s">
        <v>319</v>
      </c>
    </row>
    <row r="3039" spans="1:21" x14ac:dyDescent="0.25">
      <c r="A3039" s="405" t="s">
        <v>310</v>
      </c>
      <c r="B3039" s="405" t="s">
        <v>23460</v>
      </c>
      <c r="C3039" s="405" t="s">
        <v>311</v>
      </c>
      <c r="D3039" s="405" t="s">
        <v>839</v>
      </c>
      <c r="E3039" s="410">
        <v>42886</v>
      </c>
      <c r="F3039" s="410">
        <v>42931</v>
      </c>
      <c r="G3039" s="405" t="s">
        <v>23461</v>
      </c>
      <c r="H3039" s="405">
        <v>783873254</v>
      </c>
      <c r="I3039" s="405"/>
      <c r="J3039" s="405">
        <v>-0.83173699999999995</v>
      </c>
      <c r="K3039" s="405">
        <v>31.054829999999999</v>
      </c>
      <c r="L3039" s="405" t="s">
        <v>590</v>
      </c>
      <c r="M3039" s="405" t="s">
        <v>879</v>
      </c>
      <c r="N3039" s="405" t="s">
        <v>12376</v>
      </c>
      <c r="O3039" s="405" t="s">
        <v>23104</v>
      </c>
      <c r="P3039" s="405" t="s">
        <v>19677</v>
      </c>
      <c r="Q3039" s="411">
        <v>6</v>
      </c>
      <c r="R3039" s="405" t="s">
        <v>883</v>
      </c>
      <c r="S3039" s="405" t="s">
        <v>27109</v>
      </c>
      <c r="T3039" s="405" t="s">
        <v>32102</v>
      </c>
      <c r="U3039" s="405" t="s">
        <v>319</v>
      </c>
    </row>
    <row r="3040" spans="1:21" x14ac:dyDescent="0.25">
      <c r="A3040" s="405" t="s">
        <v>310</v>
      </c>
      <c r="B3040" s="405" t="s">
        <v>23192</v>
      </c>
      <c r="C3040" s="405" t="s">
        <v>327</v>
      </c>
      <c r="D3040" s="405"/>
      <c r="E3040" s="410">
        <v>42886</v>
      </c>
      <c r="F3040" s="410">
        <v>42931</v>
      </c>
      <c r="G3040" s="405" t="s">
        <v>23193</v>
      </c>
      <c r="H3040" s="405">
        <v>773095720</v>
      </c>
      <c r="I3040" s="405">
        <v>78326627</v>
      </c>
      <c r="J3040" s="405">
        <v>0.34122999999999998</v>
      </c>
      <c r="K3040" s="405">
        <v>30.773015000000001</v>
      </c>
      <c r="L3040" s="405" t="s">
        <v>590</v>
      </c>
      <c r="M3040" s="405" t="s">
        <v>19720</v>
      </c>
      <c r="N3040" s="405" t="s">
        <v>22346</v>
      </c>
      <c r="O3040" s="405" t="s">
        <v>23183</v>
      </c>
      <c r="P3040" s="405" t="s">
        <v>5312</v>
      </c>
      <c r="Q3040" s="411">
        <v>6</v>
      </c>
      <c r="R3040" s="405" t="s">
        <v>6013</v>
      </c>
      <c r="S3040" s="405" t="s">
        <v>27275</v>
      </c>
      <c r="T3040" s="405" t="s">
        <v>32102</v>
      </c>
      <c r="U3040" s="405" t="s">
        <v>319</v>
      </c>
    </row>
    <row r="3041" spans="1:21" x14ac:dyDescent="0.25">
      <c r="A3041" s="405" t="s">
        <v>310</v>
      </c>
      <c r="B3041" s="405" t="s">
        <v>23185</v>
      </c>
      <c r="C3041" s="405" t="s">
        <v>327</v>
      </c>
      <c r="D3041" s="405"/>
      <c r="E3041" s="410">
        <v>42886</v>
      </c>
      <c r="F3041" s="410">
        <v>42931</v>
      </c>
      <c r="G3041" s="405" t="s">
        <v>23186</v>
      </c>
      <c r="H3041" s="405">
        <v>782325861</v>
      </c>
      <c r="I3041" s="405">
        <v>774281462</v>
      </c>
      <c r="J3041" s="405">
        <v>0.32644699999999999</v>
      </c>
      <c r="K3041" s="405">
        <v>30.75714</v>
      </c>
      <c r="L3041" s="405" t="s">
        <v>590</v>
      </c>
      <c r="M3041" s="405" t="s">
        <v>19720</v>
      </c>
      <c r="N3041" s="405" t="s">
        <v>7352</v>
      </c>
      <c r="O3041" s="405" t="s">
        <v>23183</v>
      </c>
      <c r="P3041" s="405" t="s">
        <v>23187</v>
      </c>
      <c r="Q3041" s="411">
        <v>6</v>
      </c>
      <c r="R3041" s="405" t="s">
        <v>6013</v>
      </c>
      <c r="S3041" s="405" t="s">
        <v>27161</v>
      </c>
      <c r="T3041" s="405" t="s">
        <v>32102</v>
      </c>
      <c r="U3041" s="405" t="s">
        <v>319</v>
      </c>
    </row>
    <row r="3042" spans="1:21" x14ac:dyDescent="0.25">
      <c r="A3042" s="405" t="s">
        <v>310</v>
      </c>
      <c r="B3042" s="405" t="s">
        <v>23180</v>
      </c>
      <c r="C3042" s="405" t="s">
        <v>327</v>
      </c>
      <c r="D3042" s="405"/>
      <c r="E3042" s="410">
        <v>42886</v>
      </c>
      <c r="F3042" s="410">
        <v>42931</v>
      </c>
      <c r="G3042" s="405" t="s">
        <v>23181</v>
      </c>
      <c r="H3042" s="405">
        <v>773265862</v>
      </c>
      <c r="I3042" s="405">
        <v>788802516</v>
      </c>
      <c r="J3042" s="405">
        <v>1.5457099999999999</v>
      </c>
      <c r="K3042" s="405">
        <v>33.835464999999999</v>
      </c>
      <c r="L3042" s="405" t="s">
        <v>590</v>
      </c>
      <c r="M3042" s="405" t="s">
        <v>19720</v>
      </c>
      <c r="N3042" s="405" t="s">
        <v>23182</v>
      </c>
      <c r="O3042" s="405" t="s">
        <v>23183</v>
      </c>
      <c r="P3042" s="405" t="s">
        <v>23184</v>
      </c>
      <c r="Q3042" s="411">
        <v>6</v>
      </c>
      <c r="R3042" s="405" t="s">
        <v>6013</v>
      </c>
      <c r="S3042" s="405" t="s">
        <v>27301</v>
      </c>
      <c r="T3042" s="405" t="s">
        <v>32102</v>
      </c>
      <c r="U3042" s="405" t="s">
        <v>319</v>
      </c>
    </row>
    <row r="3043" spans="1:21" x14ac:dyDescent="0.25">
      <c r="A3043" s="405" t="s">
        <v>310</v>
      </c>
      <c r="B3043" s="405" t="s">
        <v>23146</v>
      </c>
      <c r="C3043" s="405" t="s">
        <v>327</v>
      </c>
      <c r="D3043" s="405"/>
      <c r="E3043" s="410">
        <v>42885</v>
      </c>
      <c r="F3043" s="410">
        <v>42930</v>
      </c>
      <c r="G3043" s="405" t="s">
        <v>23147</v>
      </c>
      <c r="H3043" s="405">
        <v>752651162</v>
      </c>
      <c r="I3043" s="405">
        <v>704651162</v>
      </c>
      <c r="J3043" s="405">
        <v>-0.535408</v>
      </c>
      <c r="K3043" s="405">
        <v>30.508232</v>
      </c>
      <c r="L3043" s="405" t="s">
        <v>590</v>
      </c>
      <c r="M3043" s="405" t="s">
        <v>19614</v>
      </c>
      <c r="N3043" s="405" t="s">
        <v>19615</v>
      </c>
      <c r="O3043" s="405" t="s">
        <v>20154</v>
      </c>
      <c r="P3043" s="405" t="s">
        <v>23148</v>
      </c>
      <c r="Q3043" s="411">
        <v>13</v>
      </c>
      <c r="R3043" s="405" t="s">
        <v>6943</v>
      </c>
      <c r="S3043" s="405" t="s">
        <v>27173</v>
      </c>
      <c r="T3043" s="405" t="s">
        <v>32102</v>
      </c>
      <c r="U3043" s="405" t="s">
        <v>319</v>
      </c>
    </row>
    <row r="3044" spans="1:21" x14ac:dyDescent="0.25">
      <c r="A3044" s="405" t="s">
        <v>310</v>
      </c>
      <c r="B3044" s="405" t="s">
        <v>23357</v>
      </c>
      <c r="C3044" s="405" t="s">
        <v>327</v>
      </c>
      <c r="D3044" s="405"/>
      <c r="E3044" s="410">
        <v>42885</v>
      </c>
      <c r="F3044" s="410">
        <v>43006</v>
      </c>
      <c r="G3044" s="405" t="s">
        <v>23358</v>
      </c>
      <c r="H3044" s="405">
        <v>703418714</v>
      </c>
      <c r="I3044" s="405"/>
      <c r="J3044" s="405">
        <v>-0.74361699999999997</v>
      </c>
      <c r="K3044" s="405">
        <v>30.753135</v>
      </c>
      <c r="L3044" s="405" t="s">
        <v>590</v>
      </c>
      <c r="M3044" s="405" t="s">
        <v>879</v>
      </c>
      <c r="N3044" s="405" t="s">
        <v>23243</v>
      </c>
      <c r="O3044" s="405" t="s">
        <v>881</v>
      </c>
      <c r="P3044" s="405" t="s">
        <v>881</v>
      </c>
      <c r="Q3044" s="411">
        <v>6</v>
      </c>
      <c r="R3044" s="405" t="s">
        <v>883</v>
      </c>
      <c r="S3044" s="405" t="s">
        <v>27426</v>
      </c>
      <c r="T3044" s="405" t="s">
        <v>32102</v>
      </c>
      <c r="U3044" s="405" t="s">
        <v>319</v>
      </c>
    </row>
    <row r="3045" spans="1:21" x14ac:dyDescent="0.25">
      <c r="A3045" s="405" t="s">
        <v>310</v>
      </c>
      <c r="B3045" s="405" t="s">
        <v>23366</v>
      </c>
      <c r="C3045" s="405" t="s">
        <v>327</v>
      </c>
      <c r="D3045" s="405"/>
      <c r="E3045" s="410">
        <v>42885</v>
      </c>
      <c r="F3045" s="410">
        <v>43002</v>
      </c>
      <c r="G3045" s="405" t="s">
        <v>23367</v>
      </c>
      <c r="H3045" s="405">
        <v>773653579</v>
      </c>
      <c r="I3045" s="405">
        <v>782400389</v>
      </c>
      <c r="J3045" s="405">
        <v>0.19697300000000001</v>
      </c>
      <c r="K3045" s="405">
        <v>30.446833000000002</v>
      </c>
      <c r="L3045" s="405" t="s">
        <v>590</v>
      </c>
      <c r="M3045" s="405" t="s">
        <v>19720</v>
      </c>
      <c r="N3045" s="405" t="s">
        <v>7352</v>
      </c>
      <c r="O3045" s="405" t="s">
        <v>23368</v>
      </c>
      <c r="P3045" s="405" t="s">
        <v>23369</v>
      </c>
      <c r="Q3045" s="411">
        <v>6</v>
      </c>
      <c r="R3045" s="405" t="s">
        <v>6013</v>
      </c>
      <c r="S3045" s="405" t="s">
        <v>27163</v>
      </c>
      <c r="T3045" s="405" t="s">
        <v>32102</v>
      </c>
      <c r="U3045" s="405" t="s">
        <v>319</v>
      </c>
    </row>
    <row r="3046" spans="1:21" x14ac:dyDescent="0.25">
      <c r="A3046" s="405" t="s">
        <v>310</v>
      </c>
      <c r="B3046" s="405" t="s">
        <v>15800</v>
      </c>
      <c r="C3046" s="405" t="s">
        <v>327</v>
      </c>
      <c r="D3046" s="405"/>
      <c r="E3046" s="410">
        <v>42885</v>
      </c>
      <c r="F3046" s="410">
        <v>42951</v>
      </c>
      <c r="G3046" s="405" t="s">
        <v>15801</v>
      </c>
      <c r="H3046" s="405">
        <v>786284264</v>
      </c>
      <c r="I3046" s="405"/>
      <c r="J3046" s="405">
        <v>0.32595299999999999</v>
      </c>
      <c r="K3046" s="405">
        <v>33.951165000000003</v>
      </c>
      <c r="L3046" s="405" t="s">
        <v>6866</v>
      </c>
      <c r="M3046" s="405" t="s">
        <v>10390</v>
      </c>
      <c r="N3046" s="405" t="s">
        <v>10391</v>
      </c>
      <c r="O3046" s="405" t="s">
        <v>1281</v>
      </c>
      <c r="P3046" s="405" t="s">
        <v>7107</v>
      </c>
      <c r="Q3046" s="411">
        <v>6</v>
      </c>
      <c r="R3046" s="405" t="s">
        <v>5655</v>
      </c>
      <c r="S3046" s="405" t="s">
        <v>27353</v>
      </c>
      <c r="T3046" s="405" t="s">
        <v>32102</v>
      </c>
      <c r="U3046" s="405" t="s">
        <v>319</v>
      </c>
    </row>
    <row r="3047" spans="1:21" x14ac:dyDescent="0.25">
      <c r="A3047" s="405" t="s">
        <v>310</v>
      </c>
      <c r="B3047" s="405" t="s">
        <v>15711</v>
      </c>
      <c r="C3047" s="405" t="s">
        <v>327</v>
      </c>
      <c r="D3047" s="405"/>
      <c r="E3047" s="410">
        <v>42885</v>
      </c>
      <c r="F3047" s="410">
        <v>42930</v>
      </c>
      <c r="G3047" s="405" t="s">
        <v>15712</v>
      </c>
      <c r="H3047" s="405">
        <v>779847945</v>
      </c>
      <c r="I3047" s="405">
        <v>751524646</v>
      </c>
      <c r="J3047" s="405">
        <v>0.33476800000000001</v>
      </c>
      <c r="K3047" s="405">
        <v>33.902546999999998</v>
      </c>
      <c r="L3047" s="405" t="s">
        <v>6866</v>
      </c>
      <c r="M3047" s="405" t="s">
        <v>10390</v>
      </c>
      <c r="N3047" s="405" t="s">
        <v>15268</v>
      </c>
      <c r="O3047" s="405" t="s">
        <v>1281</v>
      </c>
      <c r="P3047" s="405" t="s">
        <v>15713</v>
      </c>
      <c r="Q3047" s="411">
        <v>6</v>
      </c>
      <c r="R3047" s="405" t="s">
        <v>5655</v>
      </c>
      <c r="S3047" s="405" t="s">
        <v>27072</v>
      </c>
      <c r="T3047" s="405" t="s">
        <v>32102</v>
      </c>
      <c r="U3047" s="405" t="s">
        <v>319</v>
      </c>
    </row>
    <row r="3048" spans="1:21" x14ac:dyDescent="0.25">
      <c r="A3048" s="405" t="s">
        <v>310</v>
      </c>
      <c r="B3048" s="405" t="s">
        <v>15673</v>
      </c>
      <c r="C3048" s="405" t="s">
        <v>327</v>
      </c>
      <c r="D3048" s="405"/>
      <c r="E3048" s="410">
        <v>42885</v>
      </c>
      <c r="F3048" s="410">
        <v>42930</v>
      </c>
      <c r="G3048" s="405" t="s">
        <v>15674</v>
      </c>
      <c r="H3048" s="405">
        <v>756667773</v>
      </c>
      <c r="I3048" s="405">
        <v>787813081</v>
      </c>
      <c r="J3048" s="405">
        <v>1.3712629999999999</v>
      </c>
      <c r="K3048" s="405" t="s">
        <v>15675</v>
      </c>
      <c r="L3048" s="405" t="s">
        <v>6866</v>
      </c>
      <c r="M3048" s="405" t="s">
        <v>9685</v>
      </c>
      <c r="N3048" s="405" t="s">
        <v>9686</v>
      </c>
      <c r="O3048" s="405" t="s">
        <v>15676</v>
      </c>
      <c r="P3048" s="405" t="s">
        <v>15677</v>
      </c>
      <c r="Q3048" s="411">
        <v>6</v>
      </c>
      <c r="R3048" s="405" t="s">
        <v>9506</v>
      </c>
      <c r="S3048" s="405" t="s">
        <v>27335</v>
      </c>
      <c r="T3048" s="405" t="s">
        <v>32102</v>
      </c>
      <c r="U3048" s="405" t="s">
        <v>319</v>
      </c>
    </row>
    <row r="3049" spans="1:21" x14ac:dyDescent="0.25">
      <c r="A3049" s="405" t="s">
        <v>310</v>
      </c>
      <c r="B3049" s="405" t="s">
        <v>15719</v>
      </c>
      <c r="C3049" s="405" t="s">
        <v>327</v>
      </c>
      <c r="D3049" s="405"/>
      <c r="E3049" s="410">
        <v>42884</v>
      </c>
      <c r="F3049" s="410">
        <v>42929</v>
      </c>
      <c r="G3049" s="405" t="s">
        <v>15720</v>
      </c>
      <c r="H3049" s="405">
        <v>783361144</v>
      </c>
      <c r="I3049" s="405">
        <v>786191255</v>
      </c>
      <c r="J3049" s="405">
        <v>0.31533699999999998</v>
      </c>
      <c r="K3049" s="405">
        <v>33.929478000000003</v>
      </c>
      <c r="L3049" s="405" t="s">
        <v>6866</v>
      </c>
      <c r="M3049" s="405" t="s">
        <v>10390</v>
      </c>
      <c r="N3049" s="405" t="s">
        <v>15191</v>
      </c>
      <c r="O3049" s="405" t="s">
        <v>1281</v>
      </c>
      <c r="P3049" s="405" t="s">
        <v>15721</v>
      </c>
      <c r="Q3049" s="411">
        <v>9</v>
      </c>
      <c r="R3049" s="405" t="s">
        <v>5655</v>
      </c>
      <c r="S3049" s="405" t="s">
        <v>27357</v>
      </c>
      <c r="T3049" s="405" t="s">
        <v>32102</v>
      </c>
      <c r="U3049" s="405" t="s">
        <v>319</v>
      </c>
    </row>
    <row r="3050" spans="1:21" x14ac:dyDescent="0.25">
      <c r="A3050" s="405" t="s">
        <v>310</v>
      </c>
      <c r="B3050" s="405" t="s">
        <v>15793</v>
      </c>
      <c r="C3050" s="405" t="s">
        <v>327</v>
      </c>
      <c r="D3050" s="405"/>
      <c r="E3050" s="410">
        <v>42884</v>
      </c>
      <c r="F3050" s="410">
        <v>42950</v>
      </c>
      <c r="G3050" s="405" t="s">
        <v>15794</v>
      </c>
      <c r="H3050" s="405" t="s">
        <v>15795</v>
      </c>
      <c r="I3050" s="405" t="s">
        <v>15796</v>
      </c>
      <c r="J3050" s="405">
        <v>0.32122800000000001</v>
      </c>
      <c r="K3050" s="405">
        <v>33.942632000000003</v>
      </c>
      <c r="L3050" s="405" t="s">
        <v>6866</v>
      </c>
      <c r="M3050" s="405" t="s">
        <v>10390</v>
      </c>
      <c r="N3050" s="405" t="s">
        <v>10391</v>
      </c>
      <c r="O3050" s="405" t="s">
        <v>1281</v>
      </c>
      <c r="P3050" s="405" t="s">
        <v>3431</v>
      </c>
      <c r="Q3050" s="411">
        <v>6</v>
      </c>
      <c r="R3050" s="405" t="s">
        <v>5655</v>
      </c>
      <c r="S3050" s="405" t="s">
        <v>27056</v>
      </c>
      <c r="T3050" s="405" t="s">
        <v>32102</v>
      </c>
      <c r="U3050" s="405" t="s">
        <v>319</v>
      </c>
    </row>
    <row r="3051" spans="1:21" x14ac:dyDescent="0.25">
      <c r="A3051" s="405" t="s">
        <v>310</v>
      </c>
      <c r="B3051" s="405" t="s">
        <v>23434</v>
      </c>
      <c r="C3051" s="405" t="s">
        <v>311</v>
      </c>
      <c r="D3051" s="405" t="s">
        <v>2127</v>
      </c>
      <c r="E3051" s="410">
        <v>42882</v>
      </c>
      <c r="F3051" s="410">
        <v>42927</v>
      </c>
      <c r="G3051" s="405" t="s">
        <v>23435</v>
      </c>
      <c r="H3051" s="405">
        <v>782441382</v>
      </c>
      <c r="I3051" s="405"/>
      <c r="J3051" s="405">
        <v>0.80310199999999998</v>
      </c>
      <c r="K3051" s="405">
        <v>30.13955</v>
      </c>
      <c r="L3051" s="405" t="s">
        <v>590</v>
      </c>
      <c r="M3051" s="405" t="s">
        <v>19659</v>
      </c>
      <c r="N3051" s="405" t="s">
        <v>19604</v>
      </c>
      <c r="O3051" s="405" t="s">
        <v>19826</v>
      </c>
      <c r="P3051" s="405" t="s">
        <v>1067</v>
      </c>
      <c r="Q3051" s="411">
        <v>13</v>
      </c>
      <c r="R3051" s="405" t="s">
        <v>6572</v>
      </c>
      <c r="S3051" s="405" t="s">
        <v>27394</v>
      </c>
      <c r="T3051" s="405" t="s">
        <v>32102</v>
      </c>
      <c r="U3051" s="405" t="s">
        <v>319</v>
      </c>
    </row>
    <row r="3052" spans="1:21" x14ac:dyDescent="0.25">
      <c r="A3052" s="405" t="s">
        <v>310</v>
      </c>
      <c r="B3052" s="405" t="s">
        <v>23204</v>
      </c>
      <c r="C3052" s="405" t="s">
        <v>327</v>
      </c>
      <c r="D3052" s="405"/>
      <c r="E3052" s="410">
        <v>42881</v>
      </c>
      <c r="F3052" s="410">
        <v>42926</v>
      </c>
      <c r="G3052" s="405" t="s">
        <v>23205</v>
      </c>
      <c r="H3052" s="405">
        <v>706168020</v>
      </c>
      <c r="I3052" s="405"/>
      <c r="J3052" s="405">
        <v>0.36109999999999998</v>
      </c>
      <c r="K3052" s="405">
        <v>30.381399999999999</v>
      </c>
      <c r="L3052" s="405" t="s">
        <v>590</v>
      </c>
      <c r="M3052" s="405" t="s">
        <v>19614</v>
      </c>
      <c r="N3052" s="405" t="s">
        <v>19614</v>
      </c>
      <c r="O3052" s="405" t="s">
        <v>19893</v>
      </c>
      <c r="P3052" s="405" t="s">
        <v>23206</v>
      </c>
      <c r="Q3052" s="411">
        <v>9</v>
      </c>
      <c r="R3052" s="405" t="s">
        <v>6572</v>
      </c>
      <c r="S3052" s="405" t="s">
        <v>27154</v>
      </c>
      <c r="T3052" s="405" t="s">
        <v>32102</v>
      </c>
      <c r="U3052" s="405" t="s">
        <v>319</v>
      </c>
    </row>
    <row r="3053" spans="1:21" x14ac:dyDescent="0.25">
      <c r="A3053" s="405" t="s">
        <v>310</v>
      </c>
      <c r="B3053" s="405" t="s">
        <v>6318</v>
      </c>
      <c r="C3053" s="405" t="s">
        <v>327</v>
      </c>
      <c r="D3053" s="405"/>
      <c r="E3053" s="410">
        <v>42881</v>
      </c>
      <c r="F3053" s="410">
        <v>42926</v>
      </c>
      <c r="G3053" s="405" t="s">
        <v>6319</v>
      </c>
      <c r="H3053" s="405">
        <v>772498488</v>
      </c>
      <c r="I3053" s="405">
        <v>752498488</v>
      </c>
      <c r="J3053" s="405">
        <v>0.33222499999999999</v>
      </c>
      <c r="K3053" s="405">
        <v>32.500492999999999</v>
      </c>
      <c r="L3053" s="405" t="s">
        <v>314</v>
      </c>
      <c r="M3053" s="405" t="s">
        <v>361</v>
      </c>
      <c r="N3053" s="405" t="s">
        <v>361</v>
      </c>
      <c r="O3053" s="405" t="s">
        <v>361</v>
      </c>
      <c r="P3053" s="405" t="s">
        <v>443</v>
      </c>
      <c r="Q3053" s="411">
        <v>6</v>
      </c>
      <c r="R3053" s="405" t="s">
        <v>32101</v>
      </c>
      <c r="S3053" s="405" t="s">
        <v>27167</v>
      </c>
      <c r="T3053" s="405" t="s">
        <v>32102</v>
      </c>
      <c r="U3053" s="405" t="s">
        <v>319</v>
      </c>
    </row>
    <row r="3054" spans="1:21" x14ac:dyDescent="0.25">
      <c r="A3054" s="405" t="s">
        <v>310</v>
      </c>
      <c r="B3054" s="405" t="s">
        <v>23194</v>
      </c>
      <c r="C3054" s="405" t="s">
        <v>327</v>
      </c>
      <c r="D3054" s="405"/>
      <c r="E3054" s="410">
        <v>42881</v>
      </c>
      <c r="F3054" s="410">
        <v>42926</v>
      </c>
      <c r="G3054" s="405" t="s">
        <v>23195</v>
      </c>
      <c r="H3054" s="405">
        <v>783790201</v>
      </c>
      <c r="I3054" s="405">
        <v>781146279</v>
      </c>
      <c r="J3054" s="405">
        <v>0.201933</v>
      </c>
      <c r="K3054" s="405">
        <v>30.479064999999999</v>
      </c>
      <c r="L3054" s="405" t="s">
        <v>590</v>
      </c>
      <c r="M3054" s="405" t="s">
        <v>19720</v>
      </c>
      <c r="N3054" s="405" t="s">
        <v>7352</v>
      </c>
      <c r="O3054" s="405" t="s">
        <v>19720</v>
      </c>
      <c r="P3054" s="405" t="s">
        <v>22413</v>
      </c>
      <c r="Q3054" s="411">
        <v>6</v>
      </c>
      <c r="R3054" s="405" t="s">
        <v>6013</v>
      </c>
      <c r="S3054" s="405" t="s">
        <v>27181</v>
      </c>
      <c r="T3054" s="405" t="s">
        <v>32102</v>
      </c>
      <c r="U3054" s="405" t="s">
        <v>319</v>
      </c>
    </row>
    <row r="3055" spans="1:21" x14ac:dyDescent="0.25">
      <c r="A3055" s="405" t="s">
        <v>310</v>
      </c>
      <c r="B3055" s="405" t="s">
        <v>6308</v>
      </c>
      <c r="C3055" s="405" t="s">
        <v>327</v>
      </c>
      <c r="D3055" s="405"/>
      <c r="E3055" s="410">
        <v>42880</v>
      </c>
      <c r="F3055" s="410">
        <v>42925</v>
      </c>
      <c r="G3055" s="405" t="s">
        <v>6309</v>
      </c>
      <c r="H3055" s="405">
        <v>700626962</v>
      </c>
      <c r="I3055" s="405">
        <v>704907320</v>
      </c>
      <c r="J3055" s="405">
        <v>0.36557200000000001</v>
      </c>
      <c r="K3055" s="405">
        <v>32.803713000000002</v>
      </c>
      <c r="L3055" s="405" t="s">
        <v>314</v>
      </c>
      <c r="M3055" s="405" t="s">
        <v>349</v>
      </c>
      <c r="N3055" s="405" t="s">
        <v>5950</v>
      </c>
      <c r="O3055" s="405" t="s">
        <v>6310</v>
      </c>
      <c r="P3055" s="405" t="s">
        <v>6311</v>
      </c>
      <c r="Q3055" s="411">
        <v>13</v>
      </c>
      <c r="R3055" s="405" t="s">
        <v>4176</v>
      </c>
      <c r="S3055" s="405" t="s">
        <v>27174</v>
      </c>
      <c r="T3055" s="405" t="s">
        <v>32102</v>
      </c>
      <c r="U3055" s="405" t="s">
        <v>319</v>
      </c>
    </row>
    <row r="3056" spans="1:21" x14ac:dyDescent="0.25">
      <c r="A3056" s="405" t="s">
        <v>310</v>
      </c>
      <c r="B3056" s="405" t="s">
        <v>6315</v>
      </c>
      <c r="C3056" s="405" t="s">
        <v>327</v>
      </c>
      <c r="D3056" s="405"/>
      <c r="E3056" s="410">
        <v>42880</v>
      </c>
      <c r="F3056" s="410">
        <v>42925</v>
      </c>
      <c r="G3056" s="405" t="s">
        <v>6316</v>
      </c>
      <c r="H3056" s="405">
        <v>783461137</v>
      </c>
      <c r="I3056" s="405"/>
      <c r="J3056" s="405">
        <v>0.60833499999999996</v>
      </c>
      <c r="K3056" s="405">
        <v>31.998774999999998</v>
      </c>
      <c r="L3056" s="405" t="s">
        <v>314</v>
      </c>
      <c r="M3056" s="405" t="s">
        <v>675</v>
      </c>
      <c r="N3056" s="405" t="s">
        <v>694</v>
      </c>
      <c r="O3056" s="405" t="s">
        <v>1711</v>
      </c>
      <c r="P3056" s="405" t="s">
        <v>6317</v>
      </c>
      <c r="Q3056" s="411">
        <v>6</v>
      </c>
      <c r="R3056" s="405" t="s">
        <v>32101</v>
      </c>
      <c r="S3056" s="405" t="s">
        <v>27256</v>
      </c>
      <c r="T3056" s="405" t="s">
        <v>32102</v>
      </c>
      <c r="U3056" s="405" t="s">
        <v>319</v>
      </c>
    </row>
    <row r="3057" spans="1:21" x14ac:dyDescent="0.25">
      <c r="A3057" s="405" t="s">
        <v>310</v>
      </c>
      <c r="B3057" s="405" t="s">
        <v>15716</v>
      </c>
      <c r="C3057" s="405" t="s">
        <v>327</v>
      </c>
      <c r="D3057" s="405"/>
      <c r="E3057" s="410">
        <v>42878</v>
      </c>
      <c r="F3057" s="410">
        <v>42923</v>
      </c>
      <c r="G3057" s="405" t="s">
        <v>15717</v>
      </c>
      <c r="H3057" s="405">
        <v>771068397</v>
      </c>
      <c r="I3057" s="405"/>
      <c r="J3057" s="405">
        <v>0.52067799999999997</v>
      </c>
      <c r="K3057" s="405">
        <v>34.044628000000003</v>
      </c>
      <c r="L3057" s="405" t="s">
        <v>6866</v>
      </c>
      <c r="M3057" s="405" t="s">
        <v>10390</v>
      </c>
      <c r="N3057" s="405" t="s">
        <v>15326</v>
      </c>
      <c r="O3057" s="405" t="s">
        <v>15326</v>
      </c>
      <c r="P3057" s="405" t="s">
        <v>15718</v>
      </c>
      <c r="Q3057" s="411">
        <v>6</v>
      </c>
      <c r="R3057" s="405" t="s">
        <v>5655</v>
      </c>
      <c r="S3057" s="405" t="s">
        <v>27072</v>
      </c>
      <c r="T3057" s="405" t="s">
        <v>32102</v>
      </c>
      <c r="U3057" s="405" t="s">
        <v>319</v>
      </c>
    </row>
    <row r="3058" spans="1:21" x14ac:dyDescent="0.25">
      <c r="A3058" s="405" t="s">
        <v>310</v>
      </c>
      <c r="B3058" s="405" t="s">
        <v>15700</v>
      </c>
      <c r="C3058" s="405" t="s">
        <v>327</v>
      </c>
      <c r="D3058" s="405"/>
      <c r="E3058" s="410">
        <v>42877</v>
      </c>
      <c r="F3058" s="410">
        <v>42922</v>
      </c>
      <c r="G3058" s="405" t="s">
        <v>15701</v>
      </c>
      <c r="H3058" s="405">
        <v>784339210</v>
      </c>
      <c r="I3058" s="405">
        <v>781972409</v>
      </c>
      <c r="J3058" s="405">
        <v>0.55940100000000004</v>
      </c>
      <c r="K3058" s="405">
        <v>33.74147</v>
      </c>
      <c r="L3058" s="405" t="s">
        <v>6866</v>
      </c>
      <c r="M3058" s="405" t="s">
        <v>13470</v>
      </c>
      <c r="N3058" s="405" t="s">
        <v>15147</v>
      </c>
      <c r="O3058" s="405" t="s">
        <v>1260</v>
      </c>
      <c r="P3058" s="405" t="s">
        <v>15702</v>
      </c>
      <c r="Q3058" s="411">
        <v>6</v>
      </c>
      <c r="R3058" s="405" t="s">
        <v>7224</v>
      </c>
      <c r="S3058" s="405" t="s">
        <v>27348</v>
      </c>
      <c r="T3058" s="405" t="s">
        <v>32102</v>
      </c>
      <c r="U3058" s="405" t="s">
        <v>319</v>
      </c>
    </row>
    <row r="3059" spans="1:21" x14ac:dyDescent="0.25">
      <c r="A3059" s="405" t="s">
        <v>310</v>
      </c>
      <c r="B3059" s="405" t="s">
        <v>15706</v>
      </c>
      <c r="C3059" s="405" t="s">
        <v>327</v>
      </c>
      <c r="D3059" s="405"/>
      <c r="E3059" s="410">
        <v>42877</v>
      </c>
      <c r="F3059" s="410">
        <v>42922</v>
      </c>
      <c r="G3059" s="405" t="s">
        <v>15707</v>
      </c>
      <c r="H3059" s="405">
        <v>782334423</v>
      </c>
      <c r="I3059" s="405">
        <v>773602095</v>
      </c>
      <c r="J3059" s="405">
        <v>0.53603500000000004</v>
      </c>
      <c r="K3059" s="405">
        <v>34.068742999999998</v>
      </c>
      <c r="L3059" s="405" t="s">
        <v>6866</v>
      </c>
      <c r="M3059" s="405" t="s">
        <v>10390</v>
      </c>
      <c r="N3059" s="405" t="s">
        <v>15268</v>
      </c>
      <c r="O3059" s="405" t="s">
        <v>15326</v>
      </c>
      <c r="P3059" s="405" t="s">
        <v>15708</v>
      </c>
      <c r="Q3059" s="411">
        <v>6</v>
      </c>
      <c r="R3059" s="405" t="s">
        <v>5655</v>
      </c>
      <c r="S3059" s="405" t="s">
        <v>27351</v>
      </c>
      <c r="T3059" s="405" t="s">
        <v>32102</v>
      </c>
      <c r="U3059" s="405" t="s">
        <v>319</v>
      </c>
    </row>
    <row r="3060" spans="1:21" x14ac:dyDescent="0.25">
      <c r="A3060" s="405" t="s">
        <v>310</v>
      </c>
      <c r="B3060" s="405" t="s">
        <v>23178</v>
      </c>
      <c r="C3060" s="405" t="s">
        <v>327</v>
      </c>
      <c r="D3060" s="405"/>
      <c r="E3060" s="410">
        <v>42877</v>
      </c>
      <c r="F3060" s="410">
        <v>42922</v>
      </c>
      <c r="G3060" s="405" t="s">
        <v>23179</v>
      </c>
      <c r="H3060" s="405">
        <v>784519504</v>
      </c>
      <c r="I3060" s="405"/>
      <c r="J3060" s="405">
        <v>0.19762199999999999</v>
      </c>
      <c r="K3060" s="405">
        <v>30.462187</v>
      </c>
      <c r="L3060" s="405" t="s">
        <v>590</v>
      </c>
      <c r="M3060" s="405" t="s">
        <v>19720</v>
      </c>
      <c r="N3060" s="405" t="s">
        <v>7352</v>
      </c>
      <c r="O3060" s="405" t="s">
        <v>19720</v>
      </c>
      <c r="P3060" s="405" t="s">
        <v>22115</v>
      </c>
      <c r="Q3060" s="411">
        <v>6</v>
      </c>
      <c r="R3060" s="405" t="s">
        <v>6013</v>
      </c>
      <c r="S3060" s="405" t="s">
        <v>27423</v>
      </c>
      <c r="T3060" s="405" t="s">
        <v>32102</v>
      </c>
      <c r="U3060" s="405" t="s">
        <v>319</v>
      </c>
    </row>
    <row r="3061" spans="1:21" x14ac:dyDescent="0.25">
      <c r="A3061" s="405" t="s">
        <v>310</v>
      </c>
      <c r="B3061" s="405" t="s">
        <v>15661</v>
      </c>
      <c r="C3061" s="405" t="s">
        <v>327</v>
      </c>
      <c r="D3061" s="405"/>
      <c r="E3061" s="410">
        <v>42876</v>
      </c>
      <c r="F3061" s="410">
        <v>42921</v>
      </c>
      <c r="G3061" s="405" t="s">
        <v>15662</v>
      </c>
      <c r="H3061" s="405">
        <v>787772329</v>
      </c>
      <c r="I3061" s="405">
        <v>701395437</v>
      </c>
      <c r="J3061" s="405">
        <v>0.29220000000000002</v>
      </c>
      <c r="K3061" s="405">
        <v>34.411000000000001</v>
      </c>
      <c r="L3061" s="405" t="s">
        <v>6866</v>
      </c>
      <c r="M3061" s="405" t="s">
        <v>10390</v>
      </c>
      <c r="N3061" s="405" t="s">
        <v>15191</v>
      </c>
      <c r="O3061" s="405" t="s">
        <v>15326</v>
      </c>
      <c r="P3061" s="405" t="s">
        <v>15663</v>
      </c>
      <c r="Q3061" s="411">
        <v>6</v>
      </c>
      <c r="R3061" s="405" t="s">
        <v>5655</v>
      </c>
      <c r="S3061" s="405" t="s">
        <v>27357</v>
      </c>
      <c r="T3061" s="405" t="s">
        <v>32102</v>
      </c>
      <c r="U3061" s="405" t="s">
        <v>319</v>
      </c>
    </row>
    <row r="3062" spans="1:21" x14ac:dyDescent="0.25">
      <c r="A3062" s="405" t="s">
        <v>310</v>
      </c>
      <c r="B3062" s="405" t="s">
        <v>23149</v>
      </c>
      <c r="C3062" s="405" t="s">
        <v>327</v>
      </c>
      <c r="D3062" s="405"/>
      <c r="E3062" s="410">
        <v>42875</v>
      </c>
      <c r="F3062" s="410">
        <v>42931</v>
      </c>
      <c r="G3062" s="405" t="s">
        <v>23150</v>
      </c>
      <c r="H3062" s="405">
        <v>777823044</v>
      </c>
      <c r="I3062" s="405"/>
      <c r="J3062" s="405">
        <v>-0.85251500000000002</v>
      </c>
      <c r="K3062" s="405">
        <v>31.150991999999999</v>
      </c>
      <c r="L3062" s="405" t="s">
        <v>590</v>
      </c>
      <c r="M3062" s="405" t="s">
        <v>879</v>
      </c>
      <c r="N3062" s="405" t="s">
        <v>12376</v>
      </c>
      <c r="O3062" s="405" t="s">
        <v>23107</v>
      </c>
      <c r="P3062" s="405" t="s">
        <v>23151</v>
      </c>
      <c r="Q3062" s="411">
        <v>6</v>
      </c>
      <c r="R3062" s="405" t="s">
        <v>883</v>
      </c>
      <c r="S3062" s="405" t="s">
        <v>27410</v>
      </c>
      <c r="T3062" s="405" t="s">
        <v>32102</v>
      </c>
      <c r="U3062" s="405" t="s">
        <v>319</v>
      </c>
    </row>
    <row r="3063" spans="1:21" x14ac:dyDescent="0.25">
      <c r="A3063" s="405" t="s">
        <v>310</v>
      </c>
      <c r="B3063" s="405" t="s">
        <v>15667</v>
      </c>
      <c r="C3063" s="405" t="s">
        <v>327</v>
      </c>
      <c r="D3063" s="405"/>
      <c r="E3063" s="410">
        <v>42875</v>
      </c>
      <c r="F3063" s="410">
        <v>42920</v>
      </c>
      <c r="G3063" s="405" t="s">
        <v>15668</v>
      </c>
      <c r="H3063" s="405">
        <v>779060497</v>
      </c>
      <c r="I3063" s="405"/>
      <c r="J3063" s="405">
        <v>1.3787799999999999</v>
      </c>
      <c r="K3063" s="405">
        <v>34.456158000000002</v>
      </c>
      <c r="L3063" s="405" t="s">
        <v>6866</v>
      </c>
      <c r="M3063" s="405" t="s">
        <v>9685</v>
      </c>
      <c r="N3063" s="405" t="s">
        <v>9686</v>
      </c>
      <c r="O3063" s="405" t="s">
        <v>15669</v>
      </c>
      <c r="P3063" s="405" t="s">
        <v>15670</v>
      </c>
      <c r="Q3063" s="411">
        <v>6</v>
      </c>
      <c r="R3063" s="405" t="s">
        <v>9506</v>
      </c>
      <c r="S3063" s="405" t="s">
        <v>27353</v>
      </c>
      <c r="T3063" s="405" t="s">
        <v>32102</v>
      </c>
      <c r="U3063" s="405" t="s">
        <v>319</v>
      </c>
    </row>
    <row r="3064" spans="1:21" x14ac:dyDescent="0.25">
      <c r="A3064" s="405" t="s">
        <v>310</v>
      </c>
      <c r="B3064" s="405" t="s">
        <v>23381</v>
      </c>
      <c r="C3064" s="405" t="s">
        <v>311</v>
      </c>
      <c r="D3064" s="405" t="s">
        <v>1789</v>
      </c>
      <c r="E3064" s="410">
        <v>42875</v>
      </c>
      <c r="F3064" s="410">
        <v>42920</v>
      </c>
      <c r="G3064" s="405" t="s">
        <v>23382</v>
      </c>
      <c r="H3064" s="405">
        <v>777973507</v>
      </c>
      <c r="I3064" s="405">
        <v>777973507</v>
      </c>
      <c r="J3064" s="405">
        <v>-0.861097</v>
      </c>
      <c r="K3064" s="405">
        <v>31.139554</v>
      </c>
      <c r="L3064" s="405" t="s">
        <v>590</v>
      </c>
      <c r="M3064" s="405" t="s">
        <v>879</v>
      </c>
      <c r="N3064" s="405" t="s">
        <v>12376</v>
      </c>
      <c r="O3064" s="405" t="s">
        <v>23154</v>
      </c>
      <c r="P3064" s="405" t="s">
        <v>23108</v>
      </c>
      <c r="Q3064" s="411">
        <v>6</v>
      </c>
      <c r="R3064" s="405" t="s">
        <v>883</v>
      </c>
      <c r="S3064" s="405" t="s">
        <v>27280</v>
      </c>
      <c r="T3064" s="405" t="s">
        <v>32102</v>
      </c>
      <c r="U3064" s="405" t="s">
        <v>319</v>
      </c>
    </row>
    <row r="3065" spans="1:21" x14ac:dyDescent="0.25">
      <c r="A3065" s="405" t="s">
        <v>310</v>
      </c>
      <c r="B3065" s="405" t="s">
        <v>15714</v>
      </c>
      <c r="C3065" s="405" t="s">
        <v>327</v>
      </c>
      <c r="D3065" s="405"/>
      <c r="E3065" s="410">
        <v>42875</v>
      </c>
      <c r="F3065" s="410">
        <v>42920</v>
      </c>
      <c r="G3065" s="405" t="s">
        <v>15715</v>
      </c>
      <c r="H3065" s="405">
        <v>781697757</v>
      </c>
      <c r="I3065" s="405"/>
      <c r="J3065" s="405">
        <v>0.29409999999999997</v>
      </c>
      <c r="K3065" s="405">
        <v>34.32</v>
      </c>
      <c r="L3065" s="405" t="s">
        <v>6866</v>
      </c>
      <c r="M3065" s="405" t="s">
        <v>10390</v>
      </c>
      <c r="N3065" s="405" t="s">
        <v>15191</v>
      </c>
      <c r="O3065" s="405" t="s">
        <v>15326</v>
      </c>
      <c r="P3065" s="405" t="s">
        <v>15657</v>
      </c>
      <c r="Q3065" s="411">
        <v>6</v>
      </c>
      <c r="R3065" s="405" t="s">
        <v>5655</v>
      </c>
      <c r="S3065" s="405" t="s">
        <v>27056</v>
      </c>
      <c r="T3065" s="405" t="s">
        <v>32102</v>
      </c>
      <c r="U3065" s="405" t="s">
        <v>319</v>
      </c>
    </row>
    <row r="3066" spans="1:21" x14ac:dyDescent="0.25">
      <c r="A3066" s="405" t="s">
        <v>310</v>
      </c>
      <c r="B3066" s="405" t="s">
        <v>6312</v>
      </c>
      <c r="C3066" s="405" t="s">
        <v>327</v>
      </c>
      <c r="D3066" s="405"/>
      <c r="E3066" s="410">
        <v>42874</v>
      </c>
      <c r="F3066" s="410">
        <v>42927</v>
      </c>
      <c r="G3066" s="405" t="s">
        <v>6313</v>
      </c>
      <c r="H3066" s="405">
        <v>772439347</v>
      </c>
      <c r="I3066" s="405">
        <v>772654329</v>
      </c>
      <c r="J3066" s="405">
        <v>0.446328</v>
      </c>
      <c r="K3066" s="405">
        <v>32.599870000000003</v>
      </c>
      <c r="L3066" s="405" t="s">
        <v>314</v>
      </c>
      <c r="M3066" s="405" t="s">
        <v>361</v>
      </c>
      <c r="N3066" s="405" t="s">
        <v>5950</v>
      </c>
      <c r="O3066" s="405" t="s">
        <v>410</v>
      </c>
      <c r="P3066" s="405" t="s">
        <v>6314</v>
      </c>
      <c r="Q3066" s="411">
        <v>13</v>
      </c>
      <c r="R3066" s="405" t="s">
        <v>4176</v>
      </c>
      <c r="S3066" s="405" t="s">
        <v>27059</v>
      </c>
      <c r="T3066" s="405" t="s">
        <v>32102</v>
      </c>
      <c r="U3066" s="405" t="s">
        <v>319</v>
      </c>
    </row>
    <row r="3067" spans="1:21" x14ac:dyDescent="0.25">
      <c r="A3067" s="405" t="s">
        <v>310</v>
      </c>
      <c r="B3067" s="405" t="s">
        <v>23220</v>
      </c>
      <c r="C3067" s="405" t="s">
        <v>327</v>
      </c>
      <c r="D3067" s="405"/>
      <c r="E3067" s="410">
        <v>42874</v>
      </c>
      <c r="F3067" s="410">
        <v>42923</v>
      </c>
      <c r="G3067" s="405" t="s">
        <v>23221</v>
      </c>
      <c r="H3067" s="405">
        <v>703698610</v>
      </c>
      <c r="I3067" s="405">
        <v>787829684</v>
      </c>
      <c r="J3067" s="405">
        <v>-0.20722599999999999</v>
      </c>
      <c r="K3067" s="405">
        <v>30.711822999999999</v>
      </c>
      <c r="L3067" s="405" t="s">
        <v>590</v>
      </c>
      <c r="M3067" s="405" t="s">
        <v>19705</v>
      </c>
      <c r="N3067" s="405" t="s">
        <v>19706</v>
      </c>
      <c r="O3067" s="405" t="s">
        <v>21675</v>
      </c>
      <c r="P3067" s="405" t="s">
        <v>23222</v>
      </c>
      <c r="Q3067" s="411">
        <v>13</v>
      </c>
      <c r="R3067" s="405" t="s">
        <v>32166</v>
      </c>
      <c r="S3067" s="405" t="s">
        <v>27401</v>
      </c>
      <c r="T3067" s="405" t="s">
        <v>32102</v>
      </c>
      <c r="U3067" s="405" t="s">
        <v>319</v>
      </c>
    </row>
    <row r="3068" spans="1:21" x14ac:dyDescent="0.25">
      <c r="A3068" s="405" t="s">
        <v>310</v>
      </c>
      <c r="B3068" s="405" t="s">
        <v>15684</v>
      </c>
      <c r="C3068" s="405" t="s">
        <v>327</v>
      </c>
      <c r="D3068" s="405"/>
      <c r="E3068" s="410">
        <v>42874</v>
      </c>
      <c r="F3068" s="410">
        <v>42919</v>
      </c>
      <c r="G3068" s="405" t="s">
        <v>15685</v>
      </c>
      <c r="H3068" s="405">
        <v>751794861</v>
      </c>
      <c r="I3068" s="405">
        <v>775535259</v>
      </c>
      <c r="J3068" s="405">
        <v>0.47760599999999998</v>
      </c>
      <c r="K3068" s="405">
        <v>33.686145000000003</v>
      </c>
      <c r="L3068" s="405" t="s">
        <v>6866</v>
      </c>
      <c r="M3068" s="405" t="s">
        <v>13470</v>
      </c>
      <c r="N3068" s="405" t="s">
        <v>13471</v>
      </c>
      <c r="O3068" s="405" t="s">
        <v>14315</v>
      </c>
      <c r="P3068" s="405" t="s">
        <v>15686</v>
      </c>
      <c r="Q3068" s="411">
        <v>6</v>
      </c>
      <c r="R3068" s="405" t="s">
        <v>7224</v>
      </c>
      <c r="S3068" s="405" t="s">
        <v>27360</v>
      </c>
      <c r="T3068" s="405" t="s">
        <v>32102</v>
      </c>
      <c r="U3068" s="405" t="s">
        <v>319</v>
      </c>
    </row>
    <row r="3069" spans="1:21" x14ac:dyDescent="0.25">
      <c r="A3069" s="405" t="s">
        <v>310</v>
      </c>
      <c r="B3069" s="405" t="s">
        <v>23155</v>
      </c>
      <c r="C3069" s="405" t="s">
        <v>327</v>
      </c>
      <c r="D3069" s="405"/>
      <c r="E3069" s="410">
        <v>42874</v>
      </c>
      <c r="F3069" s="410">
        <v>42919</v>
      </c>
      <c r="G3069" s="405" t="s">
        <v>23156</v>
      </c>
      <c r="H3069" s="405">
        <v>773128251</v>
      </c>
      <c r="I3069" s="405">
        <v>789422000</v>
      </c>
      <c r="J3069" s="405">
        <v>-0.85316499999999995</v>
      </c>
      <c r="K3069" s="405">
        <v>31.116249</v>
      </c>
      <c r="L3069" s="405" t="s">
        <v>590</v>
      </c>
      <c r="M3069" s="405" t="s">
        <v>879</v>
      </c>
      <c r="N3069" s="405" t="s">
        <v>12376</v>
      </c>
      <c r="O3069" s="405" t="s">
        <v>23108</v>
      </c>
      <c r="P3069" s="405" t="s">
        <v>23108</v>
      </c>
      <c r="Q3069" s="411">
        <v>6</v>
      </c>
      <c r="R3069" s="405" t="s">
        <v>883</v>
      </c>
      <c r="S3069" s="405" t="s">
        <v>27172</v>
      </c>
      <c r="T3069" s="405" t="s">
        <v>32102</v>
      </c>
      <c r="U3069" s="405" t="s">
        <v>319</v>
      </c>
    </row>
    <row r="3070" spans="1:21" x14ac:dyDescent="0.25">
      <c r="A3070" s="405" t="s">
        <v>310</v>
      </c>
      <c r="B3070" s="405" t="s">
        <v>23216</v>
      </c>
      <c r="C3070" s="405" t="s">
        <v>327</v>
      </c>
      <c r="D3070" s="405"/>
      <c r="E3070" s="410">
        <v>42873</v>
      </c>
      <c r="F3070" s="410">
        <v>42918</v>
      </c>
      <c r="G3070" s="405" t="s">
        <v>23217</v>
      </c>
      <c r="H3070" s="405">
        <v>772669397</v>
      </c>
      <c r="I3070" s="405">
        <v>701668663</v>
      </c>
      <c r="J3070" s="405">
        <v>6.4199999999999993E-2</v>
      </c>
      <c r="K3070" s="405">
        <v>30.554572</v>
      </c>
      <c r="L3070" s="405" t="s">
        <v>590</v>
      </c>
      <c r="M3070" s="405" t="s">
        <v>870</v>
      </c>
      <c r="N3070" s="405" t="s">
        <v>23218</v>
      </c>
      <c r="O3070" s="405" t="s">
        <v>872</v>
      </c>
      <c r="P3070" s="405" t="s">
        <v>23219</v>
      </c>
      <c r="Q3070" s="411">
        <v>13</v>
      </c>
      <c r="R3070" s="405" t="s">
        <v>32166</v>
      </c>
      <c r="S3070" s="405" t="s">
        <v>27132</v>
      </c>
      <c r="T3070" s="405" t="s">
        <v>32102</v>
      </c>
      <c r="U3070" s="405" t="s">
        <v>319</v>
      </c>
    </row>
    <row r="3071" spans="1:21" x14ac:dyDescent="0.25">
      <c r="A3071" s="405" t="s">
        <v>310</v>
      </c>
      <c r="B3071" s="405" t="s">
        <v>23200</v>
      </c>
      <c r="C3071" s="405" t="s">
        <v>327</v>
      </c>
      <c r="D3071" s="405"/>
      <c r="E3071" s="410">
        <v>42873</v>
      </c>
      <c r="F3071" s="410">
        <v>42918</v>
      </c>
      <c r="G3071" s="405" t="s">
        <v>23201</v>
      </c>
      <c r="H3071" s="405">
        <v>782527244</v>
      </c>
      <c r="I3071" s="405">
        <v>702527244</v>
      </c>
      <c r="J3071" s="405">
        <v>0.4214</v>
      </c>
      <c r="K3071" s="405">
        <v>30.2318</v>
      </c>
      <c r="L3071" s="405" t="s">
        <v>590</v>
      </c>
      <c r="M3071" s="405" t="s">
        <v>19614</v>
      </c>
      <c r="N3071" s="405" t="s">
        <v>23202</v>
      </c>
      <c r="O3071" s="405" t="s">
        <v>19654</v>
      </c>
      <c r="P3071" s="405" t="s">
        <v>23203</v>
      </c>
      <c r="Q3071" s="411">
        <v>6</v>
      </c>
      <c r="R3071" s="405" t="s">
        <v>6572</v>
      </c>
      <c r="S3071" s="405" t="s">
        <v>27154</v>
      </c>
      <c r="T3071" s="405" t="s">
        <v>32102</v>
      </c>
      <c r="U3071" s="405" t="s">
        <v>319</v>
      </c>
    </row>
    <row r="3072" spans="1:21" x14ac:dyDescent="0.25">
      <c r="A3072" s="405" t="s">
        <v>310</v>
      </c>
      <c r="B3072" s="405" t="s">
        <v>23152</v>
      </c>
      <c r="C3072" s="405" t="s">
        <v>327</v>
      </c>
      <c r="D3072" s="405"/>
      <c r="E3072" s="410">
        <v>42873</v>
      </c>
      <c r="F3072" s="410">
        <v>42918</v>
      </c>
      <c r="G3072" s="405" t="s">
        <v>23153</v>
      </c>
      <c r="H3072" s="405">
        <v>787836623</v>
      </c>
      <c r="I3072" s="405"/>
      <c r="J3072" s="405">
        <v>-0.87980499999999995</v>
      </c>
      <c r="K3072" s="405">
        <v>31.136575000000001</v>
      </c>
      <c r="L3072" s="405" t="s">
        <v>590</v>
      </c>
      <c r="M3072" s="405" t="s">
        <v>879</v>
      </c>
      <c r="N3072" s="405" t="s">
        <v>12376</v>
      </c>
      <c r="O3072" s="405" t="s">
        <v>23154</v>
      </c>
      <c r="P3072" s="405" t="s">
        <v>23108</v>
      </c>
      <c r="Q3072" s="411">
        <v>6</v>
      </c>
      <c r="R3072" s="405" t="s">
        <v>883</v>
      </c>
      <c r="S3072" s="405" t="s">
        <v>27426</v>
      </c>
      <c r="T3072" s="405" t="s">
        <v>32102</v>
      </c>
      <c r="U3072" s="405" t="s">
        <v>319</v>
      </c>
    </row>
    <row r="3073" spans="1:21" x14ac:dyDescent="0.25">
      <c r="A3073" s="405" t="s">
        <v>310</v>
      </c>
      <c r="B3073" s="405" t="s">
        <v>15697</v>
      </c>
      <c r="C3073" s="405" t="s">
        <v>327</v>
      </c>
      <c r="D3073" s="405"/>
      <c r="E3073" s="410">
        <v>42872</v>
      </c>
      <c r="F3073" s="410">
        <v>42933</v>
      </c>
      <c r="G3073" s="405" t="s">
        <v>15698</v>
      </c>
      <c r="H3073" s="405">
        <v>773979411</v>
      </c>
      <c r="I3073" s="405">
        <v>759978224</v>
      </c>
      <c r="J3073" s="405">
        <v>0.548759</v>
      </c>
      <c r="K3073" s="405">
        <v>33.748105000000002</v>
      </c>
      <c r="L3073" s="405" t="s">
        <v>6866</v>
      </c>
      <c r="M3073" s="405" t="s">
        <v>13470</v>
      </c>
      <c r="N3073" s="405" t="s">
        <v>15147</v>
      </c>
      <c r="O3073" s="405" t="s">
        <v>1260</v>
      </c>
      <c r="P3073" s="405" t="s">
        <v>15699</v>
      </c>
      <c r="Q3073" s="411">
        <v>6</v>
      </c>
      <c r="R3073" s="405" t="s">
        <v>7224</v>
      </c>
      <c r="S3073" s="405" t="s">
        <v>27041</v>
      </c>
      <c r="T3073" s="405" t="s">
        <v>32102</v>
      </c>
      <c r="U3073" s="405" t="s">
        <v>319</v>
      </c>
    </row>
    <row r="3074" spans="1:21" x14ac:dyDescent="0.25">
      <c r="A3074" s="405" t="s">
        <v>310</v>
      </c>
      <c r="B3074" s="405" t="s">
        <v>15694</v>
      </c>
      <c r="C3074" s="405" t="s">
        <v>327</v>
      </c>
      <c r="D3074" s="405"/>
      <c r="E3074" s="410">
        <v>42872</v>
      </c>
      <c r="F3074" s="410">
        <v>42931</v>
      </c>
      <c r="G3074" s="405" t="s">
        <v>15695</v>
      </c>
      <c r="H3074" s="405">
        <v>752871425</v>
      </c>
      <c r="I3074" s="405">
        <v>752886289</v>
      </c>
      <c r="J3074" s="405">
        <v>0.59620099999999998</v>
      </c>
      <c r="K3074" s="405">
        <v>33.708170000000003</v>
      </c>
      <c r="L3074" s="405" t="s">
        <v>6866</v>
      </c>
      <c r="M3074" s="405" t="s">
        <v>13470</v>
      </c>
      <c r="N3074" s="405" t="s">
        <v>15147</v>
      </c>
      <c r="O3074" s="405" t="s">
        <v>1260</v>
      </c>
      <c r="P3074" s="405" t="s">
        <v>15696</v>
      </c>
      <c r="Q3074" s="411">
        <v>6</v>
      </c>
      <c r="R3074" s="405" t="s">
        <v>7224</v>
      </c>
      <c r="S3074" s="405" t="s">
        <v>27259</v>
      </c>
      <c r="T3074" s="405" t="s">
        <v>32102</v>
      </c>
      <c r="U3074" s="405" t="s">
        <v>319</v>
      </c>
    </row>
    <row r="3075" spans="1:21" x14ac:dyDescent="0.25">
      <c r="A3075" s="405" t="s">
        <v>310</v>
      </c>
      <c r="B3075" s="405" t="s">
        <v>15692</v>
      </c>
      <c r="C3075" s="405" t="s">
        <v>327</v>
      </c>
      <c r="D3075" s="405"/>
      <c r="E3075" s="410">
        <v>42872</v>
      </c>
      <c r="F3075" s="410">
        <v>42917</v>
      </c>
      <c r="G3075" s="405" t="s">
        <v>15693</v>
      </c>
      <c r="H3075" s="405">
        <v>782710138</v>
      </c>
      <c r="I3075" s="405">
        <v>754121032</v>
      </c>
      <c r="J3075" s="405">
        <v>0.44990799999999997</v>
      </c>
      <c r="K3075" s="405">
        <v>33.601044000000002</v>
      </c>
      <c r="L3075" s="405" t="s">
        <v>6866</v>
      </c>
      <c r="M3075" s="405" t="s">
        <v>13470</v>
      </c>
      <c r="N3075" s="405" t="s">
        <v>13471</v>
      </c>
      <c r="O3075" s="405" t="s">
        <v>14315</v>
      </c>
      <c r="P3075" s="405" t="s">
        <v>15432</v>
      </c>
      <c r="Q3075" s="411">
        <v>6</v>
      </c>
      <c r="R3075" s="405" t="s">
        <v>7224</v>
      </c>
      <c r="S3075" s="405" t="s">
        <v>27348</v>
      </c>
      <c r="T3075" s="405" t="s">
        <v>32102</v>
      </c>
      <c r="U3075" s="405" t="s">
        <v>319</v>
      </c>
    </row>
    <row r="3076" spans="1:21" x14ac:dyDescent="0.25">
      <c r="A3076" s="405" t="s">
        <v>310</v>
      </c>
      <c r="B3076" s="405" t="s">
        <v>15709</v>
      </c>
      <c r="C3076" s="405" t="s">
        <v>327</v>
      </c>
      <c r="D3076" s="405"/>
      <c r="E3076" s="410">
        <v>42872</v>
      </c>
      <c r="F3076" s="410">
        <v>42917</v>
      </c>
      <c r="G3076" s="405" t="s">
        <v>15710</v>
      </c>
      <c r="H3076" s="405">
        <v>774069707</v>
      </c>
      <c r="I3076" s="405">
        <v>776441264</v>
      </c>
      <c r="J3076" s="405">
        <v>1.1345069999999999</v>
      </c>
      <c r="K3076" s="405">
        <v>34.222495000000002</v>
      </c>
      <c r="L3076" s="405" t="s">
        <v>6866</v>
      </c>
      <c r="M3076" s="405" t="s">
        <v>10390</v>
      </c>
      <c r="N3076" s="405" t="s">
        <v>12174</v>
      </c>
      <c r="O3076" s="405" t="s">
        <v>12372</v>
      </c>
      <c r="P3076" s="405" t="s">
        <v>15323</v>
      </c>
      <c r="Q3076" s="411">
        <v>6</v>
      </c>
      <c r="R3076" s="405" t="s">
        <v>5655</v>
      </c>
      <c r="S3076" s="405" t="s">
        <v>27351</v>
      </c>
      <c r="T3076" s="405" t="s">
        <v>32102</v>
      </c>
      <c r="U3076" s="405" t="s">
        <v>319</v>
      </c>
    </row>
    <row r="3077" spans="1:21" x14ac:dyDescent="0.25">
      <c r="A3077" s="405" t="s">
        <v>310</v>
      </c>
      <c r="B3077" s="405" t="s">
        <v>15655</v>
      </c>
      <c r="C3077" s="405" t="s">
        <v>327</v>
      </c>
      <c r="D3077" s="405"/>
      <c r="E3077" s="410">
        <v>42870</v>
      </c>
      <c r="F3077" s="410">
        <v>42915</v>
      </c>
      <c r="G3077" s="405" t="s">
        <v>15656</v>
      </c>
      <c r="H3077" s="405">
        <v>794828459</v>
      </c>
      <c r="I3077" s="405">
        <v>785248389</v>
      </c>
      <c r="J3077" s="405">
        <v>0.49484800000000001</v>
      </c>
      <c r="K3077" s="405">
        <v>34.051659999999998</v>
      </c>
      <c r="L3077" s="405" t="s">
        <v>6866</v>
      </c>
      <c r="M3077" s="405" t="s">
        <v>10390</v>
      </c>
      <c r="N3077" s="405" t="s">
        <v>15191</v>
      </c>
      <c r="O3077" s="405" t="s">
        <v>15326</v>
      </c>
      <c r="P3077" s="405" t="s">
        <v>15657</v>
      </c>
      <c r="Q3077" s="411">
        <v>6</v>
      </c>
      <c r="R3077" s="405" t="s">
        <v>5655</v>
      </c>
      <c r="S3077" s="405" t="s">
        <v>27056</v>
      </c>
      <c r="T3077" s="405" t="s">
        <v>32102</v>
      </c>
      <c r="U3077" s="405" t="s">
        <v>319</v>
      </c>
    </row>
    <row r="3078" spans="1:21" x14ac:dyDescent="0.25">
      <c r="A3078" s="405" t="s">
        <v>310</v>
      </c>
      <c r="B3078" s="405" t="s">
        <v>23102</v>
      </c>
      <c r="C3078" s="405" t="s">
        <v>327</v>
      </c>
      <c r="D3078" s="405"/>
      <c r="E3078" s="410">
        <v>42869</v>
      </c>
      <c r="F3078" s="410">
        <v>42914</v>
      </c>
      <c r="G3078" s="405" t="s">
        <v>23103</v>
      </c>
      <c r="H3078" s="405">
        <v>789283538</v>
      </c>
      <c r="I3078" s="405"/>
      <c r="J3078" s="405">
        <v>-0.96934299999999995</v>
      </c>
      <c r="K3078" s="405">
        <v>31.253782999999999</v>
      </c>
      <c r="L3078" s="405" t="s">
        <v>590</v>
      </c>
      <c r="M3078" s="405" t="s">
        <v>879</v>
      </c>
      <c r="N3078" s="405" t="s">
        <v>12376</v>
      </c>
      <c r="O3078" s="405" t="s">
        <v>23104</v>
      </c>
      <c r="P3078" s="405" t="s">
        <v>19677</v>
      </c>
      <c r="Q3078" s="411">
        <v>6</v>
      </c>
      <c r="R3078" s="405" t="s">
        <v>883</v>
      </c>
      <c r="S3078" s="405" t="s">
        <v>27109</v>
      </c>
      <c r="T3078" s="405" t="s">
        <v>32102</v>
      </c>
      <c r="U3078" s="405" t="s">
        <v>319</v>
      </c>
    </row>
    <row r="3079" spans="1:21" x14ac:dyDescent="0.25">
      <c r="A3079" s="405" t="s">
        <v>310</v>
      </c>
      <c r="B3079" s="405" t="s">
        <v>15658</v>
      </c>
      <c r="C3079" s="405" t="s">
        <v>327</v>
      </c>
      <c r="D3079" s="405"/>
      <c r="E3079" s="410">
        <v>42869</v>
      </c>
      <c r="F3079" s="410">
        <v>42914</v>
      </c>
      <c r="G3079" s="405" t="s">
        <v>15659</v>
      </c>
      <c r="H3079" s="405">
        <v>782363669</v>
      </c>
      <c r="I3079" s="405">
        <v>782258623</v>
      </c>
      <c r="J3079" s="405">
        <v>0.48869299999999999</v>
      </c>
      <c r="K3079" s="405">
        <v>34.065869999999997</v>
      </c>
      <c r="L3079" s="405" t="s">
        <v>6866</v>
      </c>
      <c r="M3079" s="405" t="s">
        <v>10390</v>
      </c>
      <c r="N3079" s="405" t="s">
        <v>15191</v>
      </c>
      <c r="O3079" s="405" t="s">
        <v>15326</v>
      </c>
      <c r="P3079" s="405" t="s">
        <v>15660</v>
      </c>
      <c r="Q3079" s="411">
        <v>6</v>
      </c>
      <c r="R3079" s="405" t="s">
        <v>5655</v>
      </c>
      <c r="S3079" s="405" t="s">
        <v>27357</v>
      </c>
      <c r="T3079" s="405" t="s">
        <v>32102</v>
      </c>
      <c r="U3079" s="405" t="s">
        <v>319</v>
      </c>
    </row>
    <row r="3080" spans="1:21" x14ac:dyDescent="0.25">
      <c r="A3080" s="405" t="s">
        <v>310</v>
      </c>
      <c r="B3080" s="405" t="s">
        <v>15762</v>
      </c>
      <c r="C3080" s="405" t="s">
        <v>327</v>
      </c>
      <c r="D3080" s="405"/>
      <c r="E3080" s="410">
        <v>42868</v>
      </c>
      <c r="F3080" s="410">
        <v>42954</v>
      </c>
      <c r="G3080" s="405" t="s">
        <v>15763</v>
      </c>
      <c r="H3080" s="405">
        <v>774433790</v>
      </c>
      <c r="I3080" s="405">
        <v>785247123</v>
      </c>
      <c r="J3080" s="405">
        <v>1.325998</v>
      </c>
      <c r="K3080" s="405">
        <v>34.353127000000001</v>
      </c>
      <c r="L3080" s="405" t="s">
        <v>6866</v>
      </c>
      <c r="M3080" s="405" t="s">
        <v>13470</v>
      </c>
      <c r="N3080" s="405" t="s">
        <v>15147</v>
      </c>
      <c r="O3080" s="405" t="s">
        <v>1260</v>
      </c>
      <c r="P3080" s="405" t="s">
        <v>6523</v>
      </c>
      <c r="Q3080" s="411">
        <v>6</v>
      </c>
      <c r="R3080" s="405" t="s">
        <v>7224</v>
      </c>
      <c r="S3080" s="405" t="s">
        <v>27067</v>
      </c>
      <c r="T3080" s="405" t="s">
        <v>32102</v>
      </c>
      <c r="U3080" s="405" t="s">
        <v>319</v>
      </c>
    </row>
    <row r="3081" spans="1:21" x14ac:dyDescent="0.25">
      <c r="A3081" s="405" t="s">
        <v>310</v>
      </c>
      <c r="B3081" s="405" t="s">
        <v>15643</v>
      </c>
      <c r="C3081" s="405" t="s">
        <v>327</v>
      </c>
      <c r="D3081" s="405"/>
      <c r="E3081" s="410">
        <v>42868</v>
      </c>
      <c r="F3081" s="410">
        <v>42913</v>
      </c>
      <c r="G3081" s="405" t="s">
        <v>15644</v>
      </c>
      <c r="H3081" s="405">
        <v>782817955</v>
      </c>
      <c r="I3081" s="405"/>
      <c r="J3081" s="405">
        <v>1.33643</v>
      </c>
      <c r="K3081" s="405">
        <v>34.648601999999997</v>
      </c>
      <c r="L3081" s="405" t="s">
        <v>6866</v>
      </c>
      <c r="M3081" s="405" t="s">
        <v>10163</v>
      </c>
      <c r="N3081" s="405" t="s">
        <v>10164</v>
      </c>
      <c r="O3081" s="405" t="s">
        <v>12081</v>
      </c>
      <c r="P3081" s="405" t="s">
        <v>15645</v>
      </c>
      <c r="Q3081" s="411">
        <v>6</v>
      </c>
      <c r="R3081" s="405" t="s">
        <v>9506</v>
      </c>
      <c r="S3081" s="405" t="s">
        <v>27169</v>
      </c>
      <c r="T3081" s="405" t="s">
        <v>32102</v>
      </c>
      <c r="U3081" s="405" t="s">
        <v>319</v>
      </c>
    </row>
    <row r="3082" spans="1:21" x14ac:dyDescent="0.25">
      <c r="A3082" s="405" t="s">
        <v>310</v>
      </c>
      <c r="B3082" s="405" t="s">
        <v>16106</v>
      </c>
      <c r="C3082" s="405" t="s">
        <v>311</v>
      </c>
      <c r="D3082" s="405" t="s">
        <v>839</v>
      </c>
      <c r="E3082" s="410">
        <v>42867</v>
      </c>
      <c r="F3082" s="410">
        <v>42912</v>
      </c>
      <c r="G3082" s="405" t="s">
        <v>16107</v>
      </c>
      <c r="H3082" s="405">
        <v>784781050</v>
      </c>
      <c r="I3082" s="405">
        <v>790153180</v>
      </c>
      <c r="J3082" s="405">
        <v>0.45335399999999998</v>
      </c>
      <c r="K3082" s="405">
        <v>33.702947999999999</v>
      </c>
      <c r="L3082" s="405" t="s">
        <v>6866</v>
      </c>
      <c r="M3082" s="405" t="s">
        <v>13470</v>
      </c>
      <c r="N3082" s="405" t="s">
        <v>13471</v>
      </c>
      <c r="O3082" s="405" t="s">
        <v>14315</v>
      </c>
      <c r="P3082" s="405" t="s">
        <v>16108</v>
      </c>
      <c r="Q3082" s="411">
        <v>6</v>
      </c>
      <c r="R3082" s="405" t="s">
        <v>7224</v>
      </c>
      <c r="S3082" s="405" t="s">
        <v>27259</v>
      </c>
      <c r="T3082" s="405" t="s">
        <v>32102</v>
      </c>
      <c r="U3082" s="405" t="s">
        <v>319</v>
      </c>
    </row>
    <row r="3083" spans="1:21" x14ac:dyDescent="0.25">
      <c r="A3083" s="405" t="s">
        <v>310</v>
      </c>
      <c r="B3083" s="405" t="s">
        <v>16109</v>
      </c>
      <c r="C3083" s="405" t="s">
        <v>857</v>
      </c>
      <c r="D3083" s="405" t="s">
        <v>33050</v>
      </c>
      <c r="E3083" s="410">
        <v>42867</v>
      </c>
      <c r="F3083" s="410">
        <v>42912</v>
      </c>
      <c r="G3083" s="405" t="s">
        <v>16110</v>
      </c>
      <c r="H3083" s="405">
        <v>783161237</v>
      </c>
      <c r="I3083" s="405">
        <v>780494966</v>
      </c>
      <c r="J3083" s="405">
        <v>0.44990799999999997</v>
      </c>
      <c r="K3083" s="405">
        <v>33.601044000000002</v>
      </c>
      <c r="L3083" s="405" t="s">
        <v>6866</v>
      </c>
      <c r="M3083" s="405" t="s">
        <v>13470</v>
      </c>
      <c r="N3083" s="405" t="s">
        <v>15147</v>
      </c>
      <c r="O3083" s="405" t="s">
        <v>14315</v>
      </c>
      <c r="P3083" s="405" t="s">
        <v>14369</v>
      </c>
      <c r="Q3083" s="411">
        <v>6</v>
      </c>
      <c r="R3083" s="405" t="s">
        <v>7224</v>
      </c>
      <c r="S3083" s="405" t="s">
        <v>27067</v>
      </c>
      <c r="T3083" s="405" t="s">
        <v>32102</v>
      </c>
      <c r="U3083" s="405" t="s">
        <v>319</v>
      </c>
    </row>
    <row r="3084" spans="1:21" x14ac:dyDescent="0.25">
      <c r="A3084" s="405" t="s">
        <v>310</v>
      </c>
      <c r="B3084" s="405" t="s">
        <v>15640</v>
      </c>
      <c r="C3084" s="405" t="s">
        <v>327</v>
      </c>
      <c r="D3084" s="405"/>
      <c r="E3084" s="410">
        <v>42866</v>
      </c>
      <c r="F3084" s="410">
        <v>42911</v>
      </c>
      <c r="G3084" s="405" t="s">
        <v>15641</v>
      </c>
      <c r="H3084" s="405">
        <v>782655887</v>
      </c>
      <c r="I3084" s="405"/>
      <c r="J3084" s="405">
        <v>1.4098900000000001</v>
      </c>
      <c r="K3084" s="405">
        <v>34.422502000000001</v>
      </c>
      <c r="L3084" s="405" t="s">
        <v>6866</v>
      </c>
      <c r="M3084" s="405" t="s">
        <v>9685</v>
      </c>
      <c r="N3084" s="405" t="s">
        <v>9686</v>
      </c>
      <c r="O3084" s="405" t="s">
        <v>12361</v>
      </c>
      <c r="P3084" s="405" t="s">
        <v>15642</v>
      </c>
      <c r="Q3084" s="411">
        <v>4</v>
      </c>
      <c r="R3084" s="405" t="s">
        <v>9506</v>
      </c>
      <c r="S3084" s="405" t="s">
        <v>27353</v>
      </c>
      <c r="T3084" s="405" t="s">
        <v>32102</v>
      </c>
      <c r="U3084" s="405" t="s">
        <v>319</v>
      </c>
    </row>
    <row r="3085" spans="1:21" x14ac:dyDescent="0.25">
      <c r="A3085" s="405" t="s">
        <v>310</v>
      </c>
      <c r="B3085" s="405" t="s">
        <v>15664</v>
      </c>
      <c r="C3085" s="405" t="s">
        <v>327</v>
      </c>
      <c r="D3085" s="405"/>
      <c r="E3085" s="410">
        <v>42865</v>
      </c>
      <c r="F3085" s="410">
        <v>42910</v>
      </c>
      <c r="G3085" s="405" t="s">
        <v>15665</v>
      </c>
      <c r="H3085" s="405">
        <v>778818040</v>
      </c>
      <c r="I3085" s="405">
        <v>781421255</v>
      </c>
      <c r="J3085" s="405">
        <v>0.47312500000000002</v>
      </c>
      <c r="K3085" s="405">
        <v>34.059148999999998</v>
      </c>
      <c r="L3085" s="405" t="s">
        <v>6866</v>
      </c>
      <c r="M3085" s="405" t="s">
        <v>10390</v>
      </c>
      <c r="N3085" s="405" t="s">
        <v>12372</v>
      </c>
      <c r="O3085" s="405" t="s">
        <v>12372</v>
      </c>
      <c r="P3085" s="405" t="s">
        <v>15666</v>
      </c>
      <c r="Q3085" s="411">
        <v>6</v>
      </c>
      <c r="R3085" s="405" t="s">
        <v>5655</v>
      </c>
      <c r="S3085" s="405" t="s">
        <v>27072</v>
      </c>
      <c r="T3085" s="405" t="s">
        <v>32102</v>
      </c>
      <c r="U3085" s="405" t="s">
        <v>319</v>
      </c>
    </row>
    <row r="3086" spans="1:21" x14ac:dyDescent="0.25">
      <c r="A3086" s="405" t="s">
        <v>310</v>
      </c>
      <c r="B3086" s="405" t="s">
        <v>23124</v>
      </c>
      <c r="C3086" s="405" t="s">
        <v>327</v>
      </c>
      <c r="D3086" s="405"/>
      <c r="E3086" s="410">
        <v>42864</v>
      </c>
      <c r="F3086" s="410">
        <v>42894</v>
      </c>
      <c r="G3086" s="405" t="s">
        <v>23125</v>
      </c>
      <c r="H3086" s="405">
        <v>772094463</v>
      </c>
      <c r="I3086" s="405"/>
      <c r="J3086" s="405">
        <v>3.8616999999999999E-2</v>
      </c>
      <c r="K3086" s="405">
        <v>30.395947</v>
      </c>
      <c r="L3086" s="405" t="s">
        <v>590</v>
      </c>
      <c r="M3086" s="405" t="s">
        <v>19720</v>
      </c>
      <c r="N3086" s="405" t="s">
        <v>20297</v>
      </c>
      <c r="O3086" s="405" t="s">
        <v>20439</v>
      </c>
      <c r="P3086" s="405" t="s">
        <v>23126</v>
      </c>
      <c r="Q3086" s="411">
        <v>6</v>
      </c>
      <c r="R3086" s="405" t="s">
        <v>6013</v>
      </c>
      <c r="S3086" s="405" t="s">
        <v>27161</v>
      </c>
      <c r="T3086" s="405" t="s">
        <v>32102</v>
      </c>
      <c r="U3086" s="405" t="s">
        <v>319</v>
      </c>
    </row>
    <row r="3087" spans="1:21" x14ac:dyDescent="0.25">
      <c r="A3087" s="405" t="s">
        <v>310</v>
      </c>
      <c r="B3087" s="405" t="s">
        <v>15687</v>
      </c>
      <c r="C3087" s="405" t="s">
        <v>327</v>
      </c>
      <c r="D3087" s="405"/>
      <c r="E3087" s="410">
        <v>42863</v>
      </c>
      <c r="F3087" s="410">
        <v>42936</v>
      </c>
      <c r="G3087" s="405" t="s">
        <v>15688</v>
      </c>
      <c r="H3087" s="405">
        <v>774960413</v>
      </c>
      <c r="I3087" s="405">
        <v>703316261</v>
      </c>
      <c r="J3087" s="405">
        <v>0.44990799999999997</v>
      </c>
      <c r="K3087" s="405">
        <v>33.601044000000002</v>
      </c>
      <c r="L3087" s="405" t="s">
        <v>6866</v>
      </c>
      <c r="M3087" s="405" t="s">
        <v>13470</v>
      </c>
      <c r="N3087" s="405" t="s">
        <v>15147</v>
      </c>
      <c r="O3087" s="405" t="s">
        <v>1260</v>
      </c>
      <c r="P3087" s="405" t="s">
        <v>15689</v>
      </c>
      <c r="Q3087" s="411">
        <v>6</v>
      </c>
      <c r="R3087" s="405" t="s">
        <v>7224</v>
      </c>
      <c r="S3087" s="405" t="s">
        <v>27067</v>
      </c>
      <c r="T3087" s="405" t="s">
        <v>32102</v>
      </c>
      <c r="U3087" s="405" t="s">
        <v>319</v>
      </c>
    </row>
    <row r="3088" spans="1:21" x14ac:dyDescent="0.25">
      <c r="A3088" s="405" t="s">
        <v>310</v>
      </c>
      <c r="B3088" s="405" t="s">
        <v>23109</v>
      </c>
      <c r="C3088" s="405" t="s">
        <v>327</v>
      </c>
      <c r="D3088" s="405"/>
      <c r="E3088" s="410">
        <v>42862</v>
      </c>
      <c r="F3088" s="410">
        <v>42907</v>
      </c>
      <c r="G3088" s="405" t="s">
        <v>23110</v>
      </c>
      <c r="H3088" s="405">
        <v>787308753</v>
      </c>
      <c r="I3088" s="405"/>
      <c r="J3088" s="405">
        <v>-0.85207200000000005</v>
      </c>
      <c r="K3088" s="405">
        <v>31.156002999999998</v>
      </c>
      <c r="L3088" s="405" t="s">
        <v>590</v>
      </c>
      <c r="M3088" s="405" t="s">
        <v>879</v>
      </c>
      <c r="N3088" s="405" t="s">
        <v>12376</v>
      </c>
      <c r="O3088" s="405" t="s">
        <v>23108</v>
      </c>
      <c r="P3088" s="405" t="s">
        <v>23108</v>
      </c>
      <c r="Q3088" s="411">
        <v>6</v>
      </c>
      <c r="R3088" s="405" t="s">
        <v>883</v>
      </c>
      <c r="S3088" s="405" t="s">
        <v>27410</v>
      </c>
      <c r="T3088" s="405" t="s">
        <v>32102</v>
      </c>
      <c r="U3088" s="405" t="s">
        <v>319</v>
      </c>
    </row>
    <row r="3089" spans="1:21" x14ac:dyDescent="0.25">
      <c r="A3089" s="405" t="s">
        <v>310</v>
      </c>
      <c r="B3089" s="405" t="s">
        <v>23127</v>
      </c>
      <c r="C3089" s="405" t="s">
        <v>327</v>
      </c>
      <c r="D3089" s="405"/>
      <c r="E3089" s="410">
        <v>42862</v>
      </c>
      <c r="F3089" s="410">
        <v>42896</v>
      </c>
      <c r="G3089" s="405" t="s">
        <v>23128</v>
      </c>
      <c r="H3089" s="405">
        <v>752406009</v>
      </c>
      <c r="I3089" s="405"/>
      <c r="J3089" s="405">
        <v>4.8973000000000003E-2</v>
      </c>
      <c r="K3089" s="405">
        <v>30.264783000000001</v>
      </c>
      <c r="L3089" s="405" t="s">
        <v>590</v>
      </c>
      <c r="M3089" s="405" t="s">
        <v>19720</v>
      </c>
      <c r="N3089" s="405" t="s">
        <v>20297</v>
      </c>
      <c r="O3089" s="405" t="s">
        <v>23129</v>
      </c>
      <c r="P3089" s="405" t="s">
        <v>23130</v>
      </c>
      <c r="Q3089" s="411">
        <v>6</v>
      </c>
      <c r="R3089" s="405" t="s">
        <v>6013</v>
      </c>
      <c r="S3089" s="405" t="s">
        <v>27205</v>
      </c>
      <c r="T3089" s="405" t="s">
        <v>32102</v>
      </c>
      <c r="U3089" s="405" t="s">
        <v>319</v>
      </c>
    </row>
    <row r="3090" spans="1:21" x14ac:dyDescent="0.25">
      <c r="A3090" s="405" t="s">
        <v>310</v>
      </c>
      <c r="B3090" s="405" t="s">
        <v>23333</v>
      </c>
      <c r="C3090" s="405" t="s">
        <v>311</v>
      </c>
      <c r="D3090" s="405" t="s">
        <v>839</v>
      </c>
      <c r="E3090" s="410">
        <v>42860</v>
      </c>
      <c r="F3090" s="410">
        <v>42905</v>
      </c>
      <c r="G3090" s="405" t="s">
        <v>23334</v>
      </c>
      <c r="H3090" s="405">
        <v>783520328</v>
      </c>
      <c r="I3090" s="405">
        <v>783520328</v>
      </c>
      <c r="J3090" s="405">
        <v>-0.96915499999999999</v>
      </c>
      <c r="K3090" s="405">
        <v>31.221126999999999</v>
      </c>
      <c r="L3090" s="405" t="s">
        <v>590</v>
      </c>
      <c r="M3090" s="405" t="s">
        <v>879</v>
      </c>
      <c r="N3090" s="405" t="s">
        <v>12376</v>
      </c>
      <c r="O3090" s="405" t="s">
        <v>23104</v>
      </c>
      <c r="P3090" s="405" t="s">
        <v>23172</v>
      </c>
      <c r="Q3090" s="411">
        <v>6</v>
      </c>
      <c r="R3090" s="405" t="s">
        <v>883</v>
      </c>
      <c r="S3090" s="405" t="s">
        <v>27109</v>
      </c>
      <c r="T3090" s="405" t="s">
        <v>32102</v>
      </c>
      <c r="U3090" s="405" t="s">
        <v>319</v>
      </c>
    </row>
    <row r="3091" spans="1:21" x14ac:dyDescent="0.25">
      <c r="A3091" s="405" t="s">
        <v>310</v>
      </c>
      <c r="B3091" s="405" t="s">
        <v>23105</v>
      </c>
      <c r="C3091" s="405" t="s">
        <v>327</v>
      </c>
      <c r="D3091" s="405"/>
      <c r="E3091" s="410">
        <v>42860</v>
      </c>
      <c r="F3091" s="410">
        <v>42905</v>
      </c>
      <c r="G3091" s="405" t="s">
        <v>23106</v>
      </c>
      <c r="H3091" s="405">
        <v>789253560</v>
      </c>
      <c r="I3091" s="405">
        <v>788154060</v>
      </c>
      <c r="J3091" s="405">
        <v>-0.84868200000000005</v>
      </c>
      <c r="K3091" s="405">
        <v>31.152242000000001</v>
      </c>
      <c r="L3091" s="405" t="s">
        <v>590</v>
      </c>
      <c r="M3091" s="405" t="s">
        <v>879</v>
      </c>
      <c r="N3091" s="405" t="s">
        <v>12376</v>
      </c>
      <c r="O3091" s="405" t="s">
        <v>23107</v>
      </c>
      <c r="P3091" s="405" t="s">
        <v>23108</v>
      </c>
      <c r="Q3091" s="411">
        <v>6</v>
      </c>
      <c r="R3091" s="405" t="s">
        <v>883</v>
      </c>
      <c r="S3091" s="405" t="s">
        <v>27104</v>
      </c>
      <c r="T3091" s="405" t="s">
        <v>32102</v>
      </c>
      <c r="U3091" s="405" t="s">
        <v>319</v>
      </c>
    </row>
    <row r="3092" spans="1:21" x14ac:dyDescent="0.25">
      <c r="A3092" s="405" t="s">
        <v>310</v>
      </c>
      <c r="B3092" s="405" t="s">
        <v>74</v>
      </c>
      <c r="C3092" s="405" t="s">
        <v>327</v>
      </c>
      <c r="D3092" s="405"/>
      <c r="E3092" s="410">
        <v>42860</v>
      </c>
      <c r="F3092" s="410">
        <v>42905</v>
      </c>
      <c r="G3092" s="405" t="s">
        <v>23133</v>
      </c>
      <c r="H3092" s="405">
        <v>780966112</v>
      </c>
      <c r="I3092" s="405">
        <v>779171150</v>
      </c>
      <c r="J3092" s="405">
        <v>5.398E-2</v>
      </c>
      <c r="K3092" s="405">
        <v>30.265115000000002</v>
      </c>
      <c r="L3092" s="405" t="s">
        <v>590</v>
      </c>
      <c r="M3092" s="405" t="s">
        <v>19720</v>
      </c>
      <c r="N3092" s="405" t="s">
        <v>20297</v>
      </c>
      <c r="O3092" s="405" t="s">
        <v>23129</v>
      </c>
      <c r="P3092" s="405" t="s">
        <v>20015</v>
      </c>
      <c r="Q3092" s="411">
        <v>6</v>
      </c>
      <c r="R3092" s="405" t="s">
        <v>6013</v>
      </c>
      <c r="S3092" s="405" t="s">
        <v>27275</v>
      </c>
      <c r="T3092" s="405" t="s">
        <v>32102</v>
      </c>
      <c r="U3092" s="405" t="s">
        <v>319</v>
      </c>
    </row>
    <row r="3093" spans="1:21" x14ac:dyDescent="0.25">
      <c r="A3093" s="405" t="s">
        <v>310</v>
      </c>
      <c r="B3093" s="405" t="s">
        <v>23143</v>
      </c>
      <c r="C3093" s="405" t="s">
        <v>327</v>
      </c>
      <c r="D3093" s="405"/>
      <c r="E3093" s="410">
        <v>42859</v>
      </c>
      <c r="F3093" s="410">
        <v>42910</v>
      </c>
      <c r="G3093" s="405" t="s">
        <v>23144</v>
      </c>
      <c r="H3093" s="405">
        <v>774256456</v>
      </c>
      <c r="I3093" s="405">
        <v>782905438</v>
      </c>
      <c r="J3093" s="405">
        <v>0.37354199999999999</v>
      </c>
      <c r="K3093" s="405">
        <v>31.078354999999998</v>
      </c>
      <c r="L3093" s="405" t="s">
        <v>590</v>
      </c>
      <c r="M3093" s="405" t="s">
        <v>20757</v>
      </c>
      <c r="N3093" s="405" t="s">
        <v>22733</v>
      </c>
      <c r="O3093" s="405" t="s">
        <v>22734</v>
      </c>
      <c r="P3093" s="405" t="s">
        <v>23145</v>
      </c>
      <c r="Q3093" s="411">
        <v>9</v>
      </c>
      <c r="R3093" s="405" t="s">
        <v>874</v>
      </c>
      <c r="S3093" s="405" t="s">
        <v>27172</v>
      </c>
      <c r="T3093" s="405" t="s">
        <v>32102</v>
      </c>
      <c r="U3093" s="405" t="s">
        <v>319</v>
      </c>
    </row>
    <row r="3094" spans="1:21" x14ac:dyDescent="0.25">
      <c r="A3094" s="405" t="s">
        <v>310</v>
      </c>
      <c r="B3094" s="405" t="s">
        <v>6296</v>
      </c>
      <c r="C3094" s="405" t="s">
        <v>327</v>
      </c>
      <c r="D3094" s="405"/>
      <c r="E3094" s="410">
        <v>42859</v>
      </c>
      <c r="F3094" s="410">
        <v>42897</v>
      </c>
      <c r="G3094" s="405" t="s">
        <v>6297</v>
      </c>
      <c r="H3094" s="405">
        <v>703266588</v>
      </c>
      <c r="I3094" s="405">
        <v>700384135</v>
      </c>
      <c r="J3094" s="405">
        <v>0.62900699999999998</v>
      </c>
      <c r="K3094" s="405">
        <v>31.496317999999999</v>
      </c>
      <c r="L3094" s="405" t="s">
        <v>314</v>
      </c>
      <c r="M3094" s="405" t="s">
        <v>398</v>
      </c>
      <c r="N3094" s="405" t="s">
        <v>399</v>
      </c>
      <c r="O3094" s="405" t="s">
        <v>4383</v>
      </c>
      <c r="P3094" s="405" t="s">
        <v>961</v>
      </c>
      <c r="Q3094" s="411">
        <v>9</v>
      </c>
      <c r="R3094" s="405" t="s">
        <v>402</v>
      </c>
      <c r="S3094" s="405" t="s">
        <v>5986</v>
      </c>
      <c r="T3094" s="405" t="s">
        <v>32102</v>
      </c>
      <c r="U3094" s="405" t="s">
        <v>319</v>
      </c>
    </row>
    <row r="3095" spans="1:21" x14ac:dyDescent="0.25">
      <c r="A3095" s="405" t="s">
        <v>310</v>
      </c>
      <c r="B3095" s="405" t="s">
        <v>23131</v>
      </c>
      <c r="C3095" s="405" t="s">
        <v>327</v>
      </c>
      <c r="D3095" s="405"/>
      <c r="E3095" s="410">
        <v>42858</v>
      </c>
      <c r="F3095" s="410">
        <v>42907</v>
      </c>
      <c r="G3095" s="405" t="s">
        <v>23132</v>
      </c>
      <c r="H3095" s="405">
        <v>784395997</v>
      </c>
      <c r="I3095" s="405"/>
      <c r="J3095" s="405">
        <v>7.1495000000000003E-2</v>
      </c>
      <c r="K3095" s="405">
        <v>30.264907000000001</v>
      </c>
      <c r="L3095" s="405" t="s">
        <v>590</v>
      </c>
      <c r="M3095" s="405" t="s">
        <v>19720</v>
      </c>
      <c r="N3095" s="405" t="s">
        <v>20297</v>
      </c>
      <c r="O3095" s="405" t="s">
        <v>23129</v>
      </c>
      <c r="P3095" s="405" t="s">
        <v>23130</v>
      </c>
      <c r="Q3095" s="411">
        <v>6</v>
      </c>
      <c r="R3095" s="405" t="s">
        <v>6013</v>
      </c>
      <c r="S3095" s="405" t="s">
        <v>27301</v>
      </c>
      <c r="T3095" s="405" t="s">
        <v>32102</v>
      </c>
      <c r="U3095" s="405" t="s">
        <v>319</v>
      </c>
    </row>
    <row r="3096" spans="1:21" x14ac:dyDescent="0.25">
      <c r="A3096" s="405" t="s">
        <v>310</v>
      </c>
      <c r="B3096" s="405" t="s">
        <v>6905</v>
      </c>
      <c r="C3096" s="405" t="s">
        <v>311</v>
      </c>
      <c r="D3096" s="405" t="s">
        <v>6906</v>
      </c>
      <c r="E3096" s="410">
        <v>42858</v>
      </c>
      <c r="F3096" s="410">
        <v>42903</v>
      </c>
      <c r="G3096" s="405" t="s">
        <v>6907</v>
      </c>
      <c r="H3096" s="405">
        <v>772564966</v>
      </c>
      <c r="I3096" s="405">
        <v>772432667</v>
      </c>
      <c r="J3096" s="405">
        <v>0.40792</v>
      </c>
      <c r="K3096" s="405">
        <v>32.512622</v>
      </c>
      <c r="L3096" s="405" t="s">
        <v>314</v>
      </c>
      <c r="M3096" s="405" t="s">
        <v>361</v>
      </c>
      <c r="N3096" s="405" t="s">
        <v>362</v>
      </c>
      <c r="O3096" s="405" t="s">
        <v>6474</v>
      </c>
      <c r="P3096" s="405" t="s">
        <v>363</v>
      </c>
      <c r="Q3096" s="411">
        <v>6</v>
      </c>
      <c r="R3096" s="405" t="s">
        <v>5921</v>
      </c>
      <c r="S3096" s="405" t="s">
        <v>27255</v>
      </c>
      <c r="T3096" s="405" t="s">
        <v>32102</v>
      </c>
      <c r="U3096" s="405" t="s">
        <v>319</v>
      </c>
    </row>
    <row r="3097" spans="1:21" x14ac:dyDescent="0.25">
      <c r="A3097" s="405" t="s">
        <v>310</v>
      </c>
      <c r="B3097" s="405" t="s">
        <v>23069</v>
      </c>
      <c r="C3097" s="405" t="s">
        <v>327</v>
      </c>
      <c r="D3097" s="405"/>
      <c r="E3097" s="410">
        <v>42857</v>
      </c>
      <c r="F3097" s="410">
        <v>42902</v>
      </c>
      <c r="G3097" s="405" t="s">
        <v>23070</v>
      </c>
      <c r="H3097" s="405">
        <v>758813398</v>
      </c>
      <c r="I3097" s="405">
        <v>758813398</v>
      </c>
      <c r="J3097" s="405">
        <v>0.34370000000000001</v>
      </c>
      <c r="K3097" s="405">
        <v>30.113700000000001</v>
      </c>
      <c r="L3097" s="405" t="s">
        <v>590</v>
      </c>
      <c r="M3097" s="405" t="s">
        <v>19625</v>
      </c>
      <c r="N3097" s="405" t="s">
        <v>19642</v>
      </c>
      <c r="O3097" s="405" t="s">
        <v>22104</v>
      </c>
      <c r="P3097" s="405" t="s">
        <v>23071</v>
      </c>
      <c r="Q3097" s="411">
        <v>6</v>
      </c>
      <c r="R3097" s="405" t="s">
        <v>6943</v>
      </c>
      <c r="S3097" s="405" t="s">
        <v>27173</v>
      </c>
      <c r="T3097" s="405" t="s">
        <v>32102</v>
      </c>
      <c r="U3097" s="405" t="s">
        <v>319</v>
      </c>
    </row>
    <row r="3098" spans="1:21" x14ac:dyDescent="0.25">
      <c r="A3098" s="405" t="s">
        <v>310</v>
      </c>
      <c r="B3098" s="405" t="s">
        <v>15637</v>
      </c>
      <c r="C3098" s="405" t="s">
        <v>327</v>
      </c>
      <c r="D3098" s="405"/>
      <c r="E3098" s="410">
        <v>42857</v>
      </c>
      <c r="F3098" s="410">
        <v>42902</v>
      </c>
      <c r="G3098" s="405" t="s">
        <v>15638</v>
      </c>
      <c r="H3098" s="405">
        <v>772603869</v>
      </c>
      <c r="I3098" s="405">
        <v>701713210</v>
      </c>
      <c r="J3098" s="405">
        <v>1.3855919999999999</v>
      </c>
      <c r="K3098" s="405">
        <v>34.42971</v>
      </c>
      <c r="L3098" s="405" t="s">
        <v>6866</v>
      </c>
      <c r="M3098" s="405" t="s">
        <v>9685</v>
      </c>
      <c r="N3098" s="405" t="s">
        <v>9686</v>
      </c>
      <c r="O3098" s="405" t="s">
        <v>3052</v>
      </c>
      <c r="P3098" s="405" t="s">
        <v>15639</v>
      </c>
      <c r="Q3098" s="411">
        <v>6</v>
      </c>
      <c r="R3098" s="405" t="s">
        <v>9506</v>
      </c>
      <c r="S3098" s="405" t="s">
        <v>27335</v>
      </c>
      <c r="T3098" s="405" t="s">
        <v>32102</v>
      </c>
      <c r="U3098" s="405" t="s">
        <v>319</v>
      </c>
    </row>
    <row r="3099" spans="1:21" x14ac:dyDescent="0.25">
      <c r="A3099" s="405" t="s">
        <v>310</v>
      </c>
      <c r="B3099" s="405" t="s">
        <v>23115</v>
      </c>
      <c r="C3099" s="405" t="s">
        <v>327</v>
      </c>
      <c r="D3099" s="405"/>
      <c r="E3099" s="410">
        <v>42857</v>
      </c>
      <c r="F3099" s="410">
        <v>42902</v>
      </c>
      <c r="G3099" s="405" t="s">
        <v>23116</v>
      </c>
      <c r="H3099" s="405">
        <v>789287769</v>
      </c>
      <c r="I3099" s="405"/>
      <c r="J3099" s="405">
        <v>0.40271800000000002</v>
      </c>
      <c r="K3099" s="405">
        <v>30.739892000000001</v>
      </c>
      <c r="L3099" s="405" t="s">
        <v>590</v>
      </c>
      <c r="M3099" s="405" t="s">
        <v>19720</v>
      </c>
      <c r="N3099" s="405" t="s">
        <v>22346</v>
      </c>
      <c r="O3099" s="405" t="s">
        <v>23117</v>
      </c>
      <c r="P3099" s="405" t="s">
        <v>23118</v>
      </c>
      <c r="Q3099" s="411">
        <v>6</v>
      </c>
      <c r="R3099" s="405" t="s">
        <v>6013</v>
      </c>
      <c r="S3099" s="405" t="s">
        <v>27275</v>
      </c>
      <c r="T3099" s="405" t="s">
        <v>32102</v>
      </c>
      <c r="U3099" s="405" t="s">
        <v>319</v>
      </c>
    </row>
    <row r="3100" spans="1:21" x14ac:dyDescent="0.25">
      <c r="A3100" s="405" t="s">
        <v>310</v>
      </c>
      <c r="B3100" s="405" t="s">
        <v>23072</v>
      </c>
      <c r="C3100" s="405" t="s">
        <v>327</v>
      </c>
      <c r="D3100" s="405"/>
      <c r="E3100" s="410">
        <v>42857</v>
      </c>
      <c r="F3100" s="410">
        <v>42902</v>
      </c>
      <c r="G3100" s="405" t="s">
        <v>23073</v>
      </c>
      <c r="H3100" s="405">
        <v>782533369</v>
      </c>
      <c r="I3100" s="405">
        <v>772937183</v>
      </c>
      <c r="J3100" s="405">
        <v>0.34399999999999997</v>
      </c>
      <c r="K3100" s="405">
        <v>30.1126</v>
      </c>
      <c r="L3100" s="405" t="s">
        <v>590</v>
      </c>
      <c r="M3100" s="405" t="s">
        <v>19625</v>
      </c>
      <c r="N3100" s="405" t="s">
        <v>19642</v>
      </c>
      <c r="O3100" s="405" t="s">
        <v>22104</v>
      </c>
      <c r="P3100" s="405" t="s">
        <v>23071</v>
      </c>
      <c r="Q3100" s="411">
        <v>6</v>
      </c>
      <c r="R3100" s="405" t="s">
        <v>6943</v>
      </c>
      <c r="S3100" s="405" t="s">
        <v>27173</v>
      </c>
      <c r="T3100" s="405" t="s">
        <v>32102</v>
      </c>
      <c r="U3100" s="405" t="s">
        <v>319</v>
      </c>
    </row>
    <row r="3101" spans="1:21" x14ac:dyDescent="0.25">
      <c r="A3101" s="405" t="s">
        <v>310</v>
      </c>
      <c r="B3101" s="405" t="s">
        <v>23119</v>
      </c>
      <c r="C3101" s="405" t="s">
        <v>327</v>
      </c>
      <c r="D3101" s="405"/>
      <c r="E3101" s="410">
        <v>42857</v>
      </c>
      <c r="F3101" s="410">
        <v>42902</v>
      </c>
      <c r="G3101" s="405" t="s">
        <v>23120</v>
      </c>
      <c r="H3101" s="405">
        <v>780797482</v>
      </c>
      <c r="I3101" s="405"/>
      <c r="J3101" s="405">
        <v>0.33876200000000001</v>
      </c>
      <c r="K3101" s="405">
        <v>30.599139999999998</v>
      </c>
      <c r="L3101" s="405" t="s">
        <v>590</v>
      </c>
      <c r="M3101" s="405" t="s">
        <v>19720</v>
      </c>
      <c r="N3101" s="405" t="s">
        <v>22346</v>
      </c>
      <c r="O3101" s="405" t="s">
        <v>11792</v>
      </c>
      <c r="P3101" s="405" t="s">
        <v>23121</v>
      </c>
      <c r="Q3101" s="411">
        <v>6</v>
      </c>
      <c r="R3101" s="405" t="s">
        <v>6013</v>
      </c>
      <c r="S3101" s="405" t="s">
        <v>27423</v>
      </c>
      <c r="T3101" s="405" t="s">
        <v>32102</v>
      </c>
      <c r="U3101" s="405" t="s">
        <v>319</v>
      </c>
    </row>
    <row r="3102" spans="1:21" x14ac:dyDescent="0.25">
      <c r="A3102" s="405" t="s">
        <v>310</v>
      </c>
      <c r="B3102" s="405" t="s">
        <v>15802</v>
      </c>
      <c r="C3102" s="405" t="s">
        <v>327</v>
      </c>
      <c r="D3102" s="405"/>
      <c r="E3102" s="410">
        <v>42856</v>
      </c>
      <c r="F3102" s="410">
        <v>42950</v>
      </c>
      <c r="G3102" s="405" t="s">
        <v>15803</v>
      </c>
      <c r="H3102" s="405">
        <v>752461571</v>
      </c>
      <c r="I3102" s="405">
        <v>783704523</v>
      </c>
      <c r="J3102" s="405">
        <v>0.64071199999999995</v>
      </c>
      <c r="K3102" s="405">
        <v>33.168700000000001</v>
      </c>
      <c r="L3102" s="405" t="s">
        <v>6866</v>
      </c>
      <c r="M3102" s="405" t="s">
        <v>9590</v>
      </c>
      <c r="N3102" s="405" t="s">
        <v>542</v>
      </c>
      <c r="O3102" s="405" t="s">
        <v>15804</v>
      </c>
      <c r="P3102" s="405" t="s">
        <v>14253</v>
      </c>
      <c r="Q3102" s="411">
        <v>9</v>
      </c>
      <c r="R3102" s="405" t="s">
        <v>6822</v>
      </c>
      <c r="S3102" s="405" t="s">
        <v>6822</v>
      </c>
      <c r="T3102" s="405" t="s">
        <v>32102</v>
      </c>
      <c r="U3102" s="405" t="s">
        <v>319</v>
      </c>
    </row>
    <row r="3103" spans="1:21" x14ac:dyDescent="0.25">
      <c r="A3103" s="405" t="s">
        <v>310</v>
      </c>
      <c r="B3103" s="405" t="s">
        <v>6300</v>
      </c>
      <c r="C3103" s="405" t="s">
        <v>327</v>
      </c>
      <c r="D3103" s="405"/>
      <c r="E3103" s="410">
        <v>42856</v>
      </c>
      <c r="F3103" s="410">
        <v>42901</v>
      </c>
      <c r="G3103" s="405" t="s">
        <v>6301</v>
      </c>
      <c r="H3103" s="405">
        <v>779298328</v>
      </c>
      <c r="I3103" s="405">
        <v>755374345</v>
      </c>
      <c r="J3103" s="405">
        <v>0.252</v>
      </c>
      <c r="K3103" s="405">
        <v>32.414900000000003</v>
      </c>
      <c r="L3103" s="405" t="s">
        <v>314</v>
      </c>
      <c r="M3103" s="405" t="s">
        <v>329</v>
      </c>
      <c r="N3103" s="405" t="s">
        <v>330</v>
      </c>
      <c r="O3103" s="405" t="s">
        <v>787</v>
      </c>
      <c r="P3103" s="405" t="s">
        <v>6302</v>
      </c>
      <c r="Q3103" s="411">
        <v>6</v>
      </c>
      <c r="R3103" s="405" t="s">
        <v>4176</v>
      </c>
      <c r="S3103" s="405" t="s">
        <v>27053</v>
      </c>
      <c r="T3103" s="405" t="s">
        <v>32102</v>
      </c>
      <c r="U3103" s="405" t="s">
        <v>319</v>
      </c>
    </row>
    <row r="3104" spans="1:21" x14ac:dyDescent="0.25">
      <c r="A3104" s="405" t="s">
        <v>310</v>
      </c>
      <c r="B3104" s="405" t="s">
        <v>23140</v>
      </c>
      <c r="C3104" s="405" t="s">
        <v>327</v>
      </c>
      <c r="D3104" s="405"/>
      <c r="E3104" s="410">
        <v>42855</v>
      </c>
      <c r="F3104" s="410">
        <v>42900</v>
      </c>
      <c r="G3104" s="405" t="s">
        <v>23141</v>
      </c>
      <c r="H3104" s="405">
        <v>772424776</v>
      </c>
      <c r="I3104" s="405"/>
      <c r="J3104" s="405">
        <v>-0.77338499999999999</v>
      </c>
      <c r="K3104" s="405">
        <v>29.842949999999998</v>
      </c>
      <c r="L3104" s="405" t="s">
        <v>590</v>
      </c>
      <c r="M3104" s="405" t="s">
        <v>19619</v>
      </c>
      <c r="N3104" s="405" t="s">
        <v>19793</v>
      </c>
      <c r="O3104" s="405" t="s">
        <v>6395</v>
      </c>
      <c r="P3104" s="405" t="s">
        <v>23142</v>
      </c>
      <c r="Q3104" s="411">
        <v>9</v>
      </c>
      <c r="R3104" s="405" t="s">
        <v>5858</v>
      </c>
      <c r="S3104" s="405" t="s">
        <v>27098</v>
      </c>
      <c r="T3104" s="405" t="s">
        <v>32102</v>
      </c>
      <c r="U3104" s="405" t="s">
        <v>319</v>
      </c>
    </row>
    <row r="3105" spans="1:21" x14ac:dyDescent="0.25">
      <c r="A3105" s="405" t="s">
        <v>310</v>
      </c>
      <c r="B3105" s="405" t="s">
        <v>23094</v>
      </c>
      <c r="C3105" s="405" t="s">
        <v>327</v>
      </c>
      <c r="D3105" s="405"/>
      <c r="E3105" s="410">
        <v>42855</v>
      </c>
      <c r="F3105" s="410">
        <v>42900</v>
      </c>
      <c r="G3105" s="405" t="s">
        <v>23095</v>
      </c>
      <c r="H3105" s="405">
        <v>756039248</v>
      </c>
      <c r="I3105" s="405"/>
      <c r="J3105" s="405">
        <v>-0.784833</v>
      </c>
      <c r="K3105" s="405">
        <v>30.721247000000002</v>
      </c>
      <c r="L3105" s="405" t="s">
        <v>590</v>
      </c>
      <c r="M3105" s="405" t="s">
        <v>879</v>
      </c>
      <c r="N3105" s="405" t="s">
        <v>880</v>
      </c>
      <c r="O3105" s="405" t="s">
        <v>23096</v>
      </c>
      <c r="P3105" s="405" t="s">
        <v>23097</v>
      </c>
      <c r="Q3105" s="411">
        <v>6</v>
      </c>
      <c r="R3105" s="405" t="s">
        <v>883</v>
      </c>
      <c r="S3105" s="405" t="s">
        <v>27183</v>
      </c>
      <c r="T3105" s="405" t="s">
        <v>32102</v>
      </c>
      <c r="U3105" s="405" t="s">
        <v>319</v>
      </c>
    </row>
    <row r="3106" spans="1:21" x14ac:dyDescent="0.25">
      <c r="A3106" s="405" t="s">
        <v>310</v>
      </c>
      <c r="B3106" s="405" t="s">
        <v>23081</v>
      </c>
      <c r="C3106" s="405" t="s">
        <v>327</v>
      </c>
      <c r="D3106" s="405"/>
      <c r="E3106" s="410">
        <v>42855</v>
      </c>
      <c r="F3106" s="410">
        <v>42900</v>
      </c>
      <c r="G3106" s="405" t="s">
        <v>23082</v>
      </c>
      <c r="H3106" s="405">
        <v>782999370</v>
      </c>
      <c r="I3106" s="405"/>
      <c r="J3106" s="405">
        <v>-0.71400699999999995</v>
      </c>
      <c r="K3106" s="405">
        <v>30.755043000000001</v>
      </c>
      <c r="L3106" s="405" t="s">
        <v>590</v>
      </c>
      <c r="M3106" s="405" t="s">
        <v>879</v>
      </c>
      <c r="N3106" s="405" t="s">
        <v>880</v>
      </c>
      <c r="O3106" s="405" t="s">
        <v>881</v>
      </c>
      <c r="P3106" s="405" t="s">
        <v>23083</v>
      </c>
      <c r="Q3106" s="411">
        <v>6</v>
      </c>
      <c r="R3106" s="405" t="s">
        <v>883</v>
      </c>
      <c r="S3106" s="405" t="s">
        <v>27280</v>
      </c>
      <c r="T3106" s="405" t="s">
        <v>32102</v>
      </c>
      <c r="U3106" s="405" t="s">
        <v>319</v>
      </c>
    </row>
    <row r="3107" spans="1:21" x14ac:dyDescent="0.25">
      <c r="A3107" s="405" t="s">
        <v>310</v>
      </c>
      <c r="B3107" s="405" t="s">
        <v>6303</v>
      </c>
      <c r="C3107" s="405" t="s">
        <v>327</v>
      </c>
      <c r="D3107" s="405"/>
      <c r="E3107" s="410">
        <v>42855</v>
      </c>
      <c r="F3107" s="410">
        <v>42900</v>
      </c>
      <c r="G3107" s="405" t="s">
        <v>6304</v>
      </c>
      <c r="H3107" s="405">
        <v>712936591</v>
      </c>
      <c r="I3107" s="405"/>
      <c r="J3107" s="405">
        <v>0.41706799999999999</v>
      </c>
      <c r="K3107" s="405">
        <v>32.577019999999997</v>
      </c>
      <c r="L3107" s="405" t="s">
        <v>314</v>
      </c>
      <c r="M3107" s="405" t="s">
        <v>361</v>
      </c>
      <c r="N3107" s="405" t="s">
        <v>362</v>
      </c>
      <c r="O3107" s="405" t="s">
        <v>410</v>
      </c>
      <c r="P3107" s="405" t="s">
        <v>510</v>
      </c>
      <c r="Q3107" s="411">
        <v>6</v>
      </c>
      <c r="R3107" s="405" t="s">
        <v>353</v>
      </c>
      <c r="S3107" s="405" t="s">
        <v>27034</v>
      </c>
      <c r="T3107" s="405" t="s">
        <v>32102</v>
      </c>
      <c r="U3107" s="405" t="s">
        <v>319</v>
      </c>
    </row>
    <row r="3108" spans="1:21" x14ac:dyDescent="0.25">
      <c r="A3108" s="405" t="s">
        <v>310</v>
      </c>
      <c r="B3108" s="405" t="s">
        <v>15646</v>
      </c>
      <c r="C3108" s="405" t="s">
        <v>327</v>
      </c>
      <c r="D3108" s="405"/>
      <c r="E3108" s="410">
        <v>42855</v>
      </c>
      <c r="F3108" s="410">
        <v>42894</v>
      </c>
      <c r="G3108" s="405" t="s">
        <v>15647</v>
      </c>
      <c r="H3108" s="405">
        <v>772640883</v>
      </c>
      <c r="I3108" s="405">
        <v>704955923</v>
      </c>
      <c r="J3108" s="405">
        <v>1.0170330000000001</v>
      </c>
      <c r="K3108" s="405">
        <v>34.371192999999998</v>
      </c>
      <c r="L3108" s="405" t="s">
        <v>6866</v>
      </c>
      <c r="M3108" s="405" t="s">
        <v>6867</v>
      </c>
      <c r="N3108" s="405" t="s">
        <v>6868</v>
      </c>
      <c r="O3108" s="405" t="s">
        <v>15393</v>
      </c>
      <c r="P3108" s="405" t="s">
        <v>15648</v>
      </c>
      <c r="Q3108" s="411">
        <v>6</v>
      </c>
      <c r="R3108" s="405" t="s">
        <v>6871</v>
      </c>
      <c r="S3108" s="405" t="s">
        <v>27306</v>
      </c>
      <c r="T3108" s="405" t="s">
        <v>32102</v>
      </c>
      <c r="U3108" s="405" t="s">
        <v>319</v>
      </c>
    </row>
    <row r="3109" spans="1:21" x14ac:dyDescent="0.25">
      <c r="A3109" s="405" t="s">
        <v>310</v>
      </c>
      <c r="B3109" s="405" t="s">
        <v>15627</v>
      </c>
      <c r="C3109" s="405" t="s">
        <v>327</v>
      </c>
      <c r="D3109" s="405"/>
      <c r="E3109" s="410">
        <v>42855</v>
      </c>
      <c r="F3109" s="410">
        <v>42867</v>
      </c>
      <c r="G3109" s="405" t="s">
        <v>15628</v>
      </c>
      <c r="H3109" s="405">
        <v>772496245</v>
      </c>
      <c r="I3109" s="405"/>
      <c r="J3109" s="405">
        <v>0.79855699999999996</v>
      </c>
      <c r="K3109" s="405">
        <v>33.304872000000003</v>
      </c>
      <c r="L3109" s="405" t="s">
        <v>6866</v>
      </c>
      <c r="M3109" s="405" t="s">
        <v>11128</v>
      </c>
      <c r="N3109" s="405" t="s">
        <v>11941</v>
      </c>
      <c r="O3109" s="405" t="s">
        <v>11941</v>
      </c>
      <c r="P3109" s="405" t="s">
        <v>15629</v>
      </c>
      <c r="Q3109" s="411">
        <v>6</v>
      </c>
      <c r="R3109" s="405" t="s">
        <v>5921</v>
      </c>
      <c r="S3109" s="405" t="s">
        <v>27255</v>
      </c>
      <c r="T3109" s="405" t="s">
        <v>32102</v>
      </c>
      <c r="U3109" s="405" t="s">
        <v>319</v>
      </c>
    </row>
    <row r="3110" spans="1:21" x14ac:dyDescent="0.25">
      <c r="A3110" s="405" t="s">
        <v>310</v>
      </c>
      <c r="B3110" s="405" t="s">
        <v>23092</v>
      </c>
      <c r="C3110" s="405" t="s">
        <v>327</v>
      </c>
      <c r="D3110" s="405"/>
      <c r="E3110" s="410">
        <v>42853</v>
      </c>
      <c r="F3110" s="410">
        <v>42898</v>
      </c>
      <c r="G3110" s="405" t="s">
        <v>23093</v>
      </c>
      <c r="H3110" s="405">
        <v>752371270</v>
      </c>
      <c r="I3110" s="405">
        <v>784150682</v>
      </c>
      <c r="J3110" s="405">
        <v>0.63201200000000002</v>
      </c>
      <c r="K3110" s="405">
        <v>30.718558000000002</v>
      </c>
      <c r="L3110" s="405" t="s">
        <v>590</v>
      </c>
      <c r="M3110" s="405" t="s">
        <v>879</v>
      </c>
      <c r="N3110" s="405" t="s">
        <v>880</v>
      </c>
      <c r="O3110" s="405" t="s">
        <v>881</v>
      </c>
      <c r="P3110" s="405" t="s">
        <v>21351</v>
      </c>
      <c r="Q3110" s="411">
        <v>6</v>
      </c>
      <c r="R3110" s="405" t="s">
        <v>883</v>
      </c>
      <c r="S3110" s="405" t="s">
        <v>27426</v>
      </c>
      <c r="T3110" s="405" t="s">
        <v>32102</v>
      </c>
      <c r="U3110" s="405" t="s">
        <v>319</v>
      </c>
    </row>
    <row r="3111" spans="1:21" x14ac:dyDescent="0.25">
      <c r="A3111" s="405" t="s">
        <v>310</v>
      </c>
      <c r="B3111" s="405" t="s">
        <v>16133</v>
      </c>
      <c r="C3111" s="405" t="s">
        <v>311</v>
      </c>
      <c r="D3111" s="405" t="s">
        <v>839</v>
      </c>
      <c r="E3111" s="410">
        <v>42851</v>
      </c>
      <c r="F3111" s="410">
        <v>42896</v>
      </c>
      <c r="G3111" s="405" t="s">
        <v>16134</v>
      </c>
      <c r="H3111" s="405">
        <v>759927741</v>
      </c>
      <c r="I3111" s="405">
        <v>772680110</v>
      </c>
      <c r="J3111" s="405">
        <v>0.46845700000000001</v>
      </c>
      <c r="K3111" s="405">
        <v>33.260832999999998</v>
      </c>
      <c r="L3111" s="405" t="s">
        <v>6866</v>
      </c>
      <c r="M3111" s="405" t="s">
        <v>9590</v>
      </c>
      <c r="N3111" s="405" t="s">
        <v>9591</v>
      </c>
      <c r="O3111" s="405" t="s">
        <v>16135</v>
      </c>
      <c r="P3111" s="405" t="s">
        <v>15923</v>
      </c>
      <c r="Q3111" s="411">
        <v>13</v>
      </c>
      <c r="R3111" s="405" t="s">
        <v>15368</v>
      </c>
      <c r="S3111" s="405" t="s">
        <v>27054</v>
      </c>
      <c r="T3111" s="405" t="s">
        <v>32102</v>
      </c>
      <c r="U3111" s="405" t="s">
        <v>319</v>
      </c>
    </row>
    <row r="3112" spans="1:21" x14ac:dyDescent="0.25">
      <c r="A3112" s="405" t="s">
        <v>310</v>
      </c>
      <c r="B3112" s="405" t="s">
        <v>15634</v>
      </c>
      <c r="C3112" s="405" t="s">
        <v>327</v>
      </c>
      <c r="D3112" s="405"/>
      <c r="E3112" s="410">
        <v>42851</v>
      </c>
      <c r="F3112" s="410">
        <v>42896</v>
      </c>
      <c r="G3112" s="405" t="s">
        <v>15635</v>
      </c>
      <c r="H3112" s="405">
        <v>756513038</v>
      </c>
      <c r="I3112" s="405">
        <v>777949091</v>
      </c>
      <c r="J3112" s="405">
        <v>1.4254</v>
      </c>
      <c r="K3112" s="405">
        <v>34.486027999999997</v>
      </c>
      <c r="L3112" s="405" t="s">
        <v>6866</v>
      </c>
      <c r="M3112" s="405" t="s">
        <v>9685</v>
      </c>
      <c r="N3112" s="405" t="s">
        <v>9686</v>
      </c>
      <c r="O3112" s="405" t="s">
        <v>15636</v>
      </c>
      <c r="P3112" s="405" t="s">
        <v>15636</v>
      </c>
      <c r="Q3112" s="411">
        <v>4</v>
      </c>
      <c r="R3112" s="405" t="s">
        <v>9506</v>
      </c>
      <c r="S3112" s="405" t="s">
        <v>27169</v>
      </c>
      <c r="T3112" s="405" t="s">
        <v>32102</v>
      </c>
      <c r="U3112" s="405" t="s">
        <v>319</v>
      </c>
    </row>
    <row r="3113" spans="1:21" x14ac:dyDescent="0.25">
      <c r="A3113" s="405" t="s">
        <v>310</v>
      </c>
      <c r="B3113" s="405" t="s">
        <v>23086</v>
      </c>
      <c r="C3113" s="405" t="s">
        <v>327</v>
      </c>
      <c r="D3113" s="405"/>
      <c r="E3113" s="410">
        <v>42850</v>
      </c>
      <c r="F3113" s="410">
        <v>42895</v>
      </c>
      <c r="G3113" s="405" t="s">
        <v>23087</v>
      </c>
      <c r="H3113" s="405">
        <v>772452163</v>
      </c>
      <c r="I3113" s="405">
        <v>701452163</v>
      </c>
      <c r="J3113" s="405">
        <v>50.4634</v>
      </c>
      <c r="K3113" s="405">
        <v>30.475999999999999</v>
      </c>
      <c r="L3113" s="405" t="s">
        <v>590</v>
      </c>
      <c r="M3113" s="405" t="s">
        <v>879</v>
      </c>
      <c r="N3113" s="405" t="s">
        <v>880</v>
      </c>
      <c r="O3113" s="405" t="s">
        <v>881</v>
      </c>
      <c r="P3113" s="405" t="s">
        <v>23088</v>
      </c>
      <c r="Q3113" s="411">
        <v>6</v>
      </c>
      <c r="R3113" s="405" t="s">
        <v>883</v>
      </c>
      <c r="S3113" s="405" t="s">
        <v>27280</v>
      </c>
      <c r="T3113" s="405" t="s">
        <v>32102</v>
      </c>
      <c r="U3113" s="405" t="s">
        <v>319</v>
      </c>
    </row>
    <row r="3114" spans="1:21" x14ac:dyDescent="0.25">
      <c r="A3114" s="405" t="s">
        <v>310</v>
      </c>
      <c r="B3114" s="405" t="s">
        <v>6383</v>
      </c>
      <c r="C3114" s="405" t="s">
        <v>327</v>
      </c>
      <c r="D3114" s="405"/>
      <c r="E3114" s="410">
        <v>42846</v>
      </c>
      <c r="F3114" s="410">
        <v>42969</v>
      </c>
      <c r="G3114" s="405" t="s">
        <v>6384</v>
      </c>
      <c r="H3114" s="405">
        <v>772496245</v>
      </c>
      <c r="I3114" s="405"/>
      <c r="J3114" s="405">
        <v>0.39654200000000001</v>
      </c>
      <c r="K3114" s="405">
        <v>32.629424999999998</v>
      </c>
      <c r="L3114" s="405" t="s">
        <v>314</v>
      </c>
      <c r="M3114" s="405" t="s">
        <v>361</v>
      </c>
      <c r="N3114" s="405" t="s">
        <v>6072</v>
      </c>
      <c r="O3114" s="405" t="s">
        <v>6072</v>
      </c>
      <c r="P3114" s="405" t="s">
        <v>6072</v>
      </c>
      <c r="Q3114" s="411">
        <v>6</v>
      </c>
      <c r="R3114" s="405" t="s">
        <v>5921</v>
      </c>
      <c r="S3114" s="405" t="s">
        <v>27255</v>
      </c>
      <c r="T3114" s="405" t="s">
        <v>32102</v>
      </c>
      <c r="U3114" s="405" t="s">
        <v>319</v>
      </c>
    </row>
    <row r="3115" spans="1:21" x14ac:dyDescent="0.25">
      <c r="A3115" s="405" t="s">
        <v>310</v>
      </c>
      <c r="B3115" s="405" t="s">
        <v>23138</v>
      </c>
      <c r="C3115" s="405" t="s">
        <v>327</v>
      </c>
      <c r="D3115" s="405"/>
      <c r="E3115" s="410">
        <v>42845</v>
      </c>
      <c r="F3115" s="410">
        <v>42890</v>
      </c>
      <c r="G3115" s="405" t="s">
        <v>23139</v>
      </c>
      <c r="H3115" s="405">
        <v>772402882</v>
      </c>
      <c r="I3115" s="405">
        <v>702402882</v>
      </c>
      <c r="J3115" s="405">
        <v>-0.397758</v>
      </c>
      <c r="K3115" s="405">
        <v>30.513110000000001</v>
      </c>
      <c r="L3115" s="405" t="s">
        <v>590</v>
      </c>
      <c r="M3115" s="405" t="s">
        <v>19614</v>
      </c>
      <c r="N3115" s="405" t="s">
        <v>19615</v>
      </c>
      <c r="O3115" s="405" t="s">
        <v>20188</v>
      </c>
      <c r="P3115" s="405" t="s">
        <v>20155</v>
      </c>
      <c r="Q3115" s="411">
        <v>13</v>
      </c>
      <c r="R3115" s="405" t="s">
        <v>32166</v>
      </c>
      <c r="S3115" s="405" t="s">
        <v>27132</v>
      </c>
      <c r="T3115" s="405" t="s">
        <v>32102</v>
      </c>
      <c r="U3115" s="405" t="s">
        <v>319</v>
      </c>
    </row>
    <row r="3116" spans="1:21" x14ac:dyDescent="0.25">
      <c r="A3116" s="405" t="s">
        <v>310</v>
      </c>
      <c r="B3116" s="405" t="s">
        <v>15630</v>
      </c>
      <c r="C3116" s="405" t="s">
        <v>327</v>
      </c>
      <c r="D3116" s="405"/>
      <c r="E3116" s="410">
        <v>42845</v>
      </c>
      <c r="F3116" s="410">
        <v>42873</v>
      </c>
      <c r="G3116" s="405" t="s">
        <v>15631</v>
      </c>
      <c r="H3116" s="405">
        <v>755648101</v>
      </c>
      <c r="I3116" s="405"/>
      <c r="J3116" s="405">
        <v>0.76012299999999999</v>
      </c>
      <c r="K3116" s="405">
        <v>33.588357000000002</v>
      </c>
      <c r="L3116" s="405" t="s">
        <v>6866</v>
      </c>
      <c r="M3116" s="405" t="s">
        <v>10853</v>
      </c>
      <c r="N3116" s="405" t="s">
        <v>15097</v>
      </c>
      <c r="O3116" s="405" t="s">
        <v>12010</v>
      </c>
      <c r="P3116" s="405" t="s">
        <v>15632</v>
      </c>
      <c r="Q3116" s="411">
        <v>9</v>
      </c>
      <c r="R3116" s="405" t="s">
        <v>5336</v>
      </c>
      <c r="S3116" s="405" t="s">
        <v>27174</v>
      </c>
      <c r="T3116" s="405" t="s">
        <v>32102</v>
      </c>
      <c r="U3116" s="405" t="s">
        <v>319</v>
      </c>
    </row>
    <row r="3117" spans="1:21" x14ac:dyDescent="0.25">
      <c r="A3117" s="405" t="s">
        <v>310</v>
      </c>
      <c r="B3117" s="405" t="s">
        <v>15652</v>
      </c>
      <c r="C3117" s="405" t="s">
        <v>327</v>
      </c>
      <c r="D3117" s="405"/>
      <c r="E3117" s="410">
        <v>42845</v>
      </c>
      <c r="F3117" s="410">
        <v>42890</v>
      </c>
      <c r="G3117" s="405" t="s">
        <v>15653</v>
      </c>
      <c r="H3117" s="405">
        <v>782422427</v>
      </c>
      <c r="I3117" s="405">
        <v>782528355</v>
      </c>
      <c r="J3117" s="405">
        <v>1.1299999999999999</v>
      </c>
      <c r="K3117" s="405">
        <v>34.221899999999998</v>
      </c>
      <c r="L3117" s="405" t="s">
        <v>6866</v>
      </c>
      <c r="M3117" s="405" t="s">
        <v>6867</v>
      </c>
      <c r="N3117" s="405" t="s">
        <v>6868</v>
      </c>
      <c r="O3117" s="405" t="s">
        <v>15654</v>
      </c>
      <c r="P3117" s="405" t="s">
        <v>15591</v>
      </c>
      <c r="Q3117" s="411">
        <v>6</v>
      </c>
      <c r="R3117" s="405" t="s">
        <v>6871</v>
      </c>
      <c r="S3117" s="405" t="s">
        <v>17013</v>
      </c>
      <c r="T3117" s="405" t="s">
        <v>32102</v>
      </c>
      <c r="U3117" s="405" t="s">
        <v>319</v>
      </c>
    </row>
    <row r="3118" spans="1:21" x14ac:dyDescent="0.25">
      <c r="A3118" s="405" t="s">
        <v>310</v>
      </c>
      <c r="B3118" s="405" t="s">
        <v>23111</v>
      </c>
      <c r="C3118" s="405" t="s">
        <v>327</v>
      </c>
      <c r="D3118" s="405"/>
      <c r="E3118" s="410">
        <v>42844</v>
      </c>
      <c r="F3118" s="410">
        <v>42889</v>
      </c>
      <c r="G3118" s="405" t="s">
        <v>23112</v>
      </c>
      <c r="H3118" s="405">
        <v>772861844</v>
      </c>
      <c r="I3118" s="405"/>
      <c r="J3118" s="405">
        <v>0.72406700000000002</v>
      </c>
      <c r="K3118" s="405">
        <v>29.839186999999999</v>
      </c>
      <c r="L3118" s="405" t="s">
        <v>590</v>
      </c>
      <c r="M3118" s="405" t="s">
        <v>19720</v>
      </c>
      <c r="N3118" s="405" t="s">
        <v>20297</v>
      </c>
      <c r="O3118" s="405" t="s">
        <v>23027</v>
      </c>
      <c r="P3118" s="405" t="s">
        <v>22115</v>
      </c>
      <c r="Q3118" s="411">
        <v>6</v>
      </c>
      <c r="R3118" s="405" t="s">
        <v>6013</v>
      </c>
      <c r="S3118" s="405" t="s">
        <v>27423</v>
      </c>
      <c r="T3118" s="405" t="s">
        <v>32102</v>
      </c>
      <c r="U3118" s="405" t="s">
        <v>319</v>
      </c>
    </row>
    <row r="3119" spans="1:21" x14ac:dyDescent="0.25">
      <c r="A3119" s="405" t="s">
        <v>310</v>
      </c>
      <c r="B3119" s="405" t="s">
        <v>16092</v>
      </c>
      <c r="C3119" s="405" t="s">
        <v>311</v>
      </c>
      <c r="D3119" s="405" t="s">
        <v>3381</v>
      </c>
      <c r="E3119" s="410">
        <v>42844</v>
      </c>
      <c r="F3119" s="410">
        <v>42889</v>
      </c>
      <c r="G3119" s="405" t="s">
        <v>16093</v>
      </c>
      <c r="H3119" s="405">
        <v>702779111</v>
      </c>
      <c r="I3119" s="405">
        <v>782155998</v>
      </c>
      <c r="J3119" s="405">
        <v>1.3243229999999999</v>
      </c>
      <c r="K3119" s="405">
        <v>34.33793</v>
      </c>
      <c r="L3119" s="405" t="s">
        <v>6866</v>
      </c>
      <c r="M3119" s="405" t="s">
        <v>9685</v>
      </c>
      <c r="N3119" s="405" t="s">
        <v>9686</v>
      </c>
      <c r="O3119" s="405" t="s">
        <v>16094</v>
      </c>
      <c r="P3119" s="405" t="s">
        <v>16095</v>
      </c>
      <c r="Q3119" s="411">
        <v>4</v>
      </c>
      <c r="R3119" s="405" t="s">
        <v>9506</v>
      </c>
      <c r="S3119" s="405" t="s">
        <v>27335</v>
      </c>
      <c r="T3119" s="405" t="s">
        <v>32102</v>
      </c>
      <c r="U3119" s="405" t="s">
        <v>319</v>
      </c>
    </row>
    <row r="3120" spans="1:21" x14ac:dyDescent="0.25">
      <c r="A3120" s="405" t="s">
        <v>310</v>
      </c>
      <c r="B3120" s="405" t="s">
        <v>23074</v>
      </c>
      <c r="C3120" s="405" t="s">
        <v>327</v>
      </c>
      <c r="D3120" s="405"/>
      <c r="E3120" s="410">
        <v>42843</v>
      </c>
      <c r="F3120" s="410">
        <v>42888</v>
      </c>
      <c r="G3120" s="405" t="s">
        <v>23075</v>
      </c>
      <c r="H3120" s="405">
        <v>782164633</v>
      </c>
      <c r="I3120" s="405"/>
      <c r="J3120" s="405">
        <v>0.725742</v>
      </c>
      <c r="K3120" s="405">
        <v>30.761952999999998</v>
      </c>
      <c r="L3120" s="405" t="s">
        <v>590</v>
      </c>
      <c r="M3120" s="405" t="s">
        <v>879</v>
      </c>
      <c r="N3120" s="405" t="s">
        <v>880</v>
      </c>
      <c r="O3120" s="405" t="s">
        <v>881</v>
      </c>
      <c r="P3120" s="405" t="s">
        <v>19795</v>
      </c>
      <c r="Q3120" s="411">
        <v>9</v>
      </c>
      <c r="R3120" s="405" t="s">
        <v>883</v>
      </c>
      <c r="S3120" s="405" t="s">
        <v>27104</v>
      </c>
      <c r="T3120" s="405" t="s">
        <v>32102</v>
      </c>
      <c r="U3120" s="405" t="s">
        <v>319</v>
      </c>
    </row>
    <row r="3121" spans="1:21" x14ac:dyDescent="0.25">
      <c r="A3121" s="405" t="s">
        <v>310</v>
      </c>
      <c r="B3121" s="405" t="s">
        <v>23076</v>
      </c>
      <c r="C3121" s="405" t="s">
        <v>327</v>
      </c>
      <c r="D3121" s="405"/>
      <c r="E3121" s="410">
        <v>42843</v>
      </c>
      <c r="F3121" s="410">
        <v>42888</v>
      </c>
      <c r="G3121" s="405" t="s">
        <v>23077</v>
      </c>
      <c r="H3121" s="405">
        <v>705808995</v>
      </c>
      <c r="I3121" s="405"/>
      <c r="J3121" s="405">
        <v>0.738456</v>
      </c>
      <c r="K3121" s="405">
        <v>30.74559</v>
      </c>
      <c r="L3121" s="405" t="s">
        <v>590</v>
      </c>
      <c r="M3121" s="405" t="s">
        <v>879</v>
      </c>
      <c r="N3121" s="405" t="s">
        <v>880</v>
      </c>
      <c r="O3121" s="405" t="s">
        <v>20737</v>
      </c>
      <c r="P3121" s="405" t="s">
        <v>23078</v>
      </c>
      <c r="Q3121" s="411">
        <v>6</v>
      </c>
      <c r="R3121" s="405" t="s">
        <v>883</v>
      </c>
      <c r="S3121" s="405" t="s">
        <v>27104</v>
      </c>
      <c r="T3121" s="405" t="s">
        <v>32102</v>
      </c>
      <c r="U3121" s="405" t="s">
        <v>319</v>
      </c>
    </row>
    <row r="3122" spans="1:21" x14ac:dyDescent="0.25">
      <c r="A3122" s="405" t="s">
        <v>310</v>
      </c>
      <c r="B3122" s="405" t="s">
        <v>23113</v>
      </c>
      <c r="C3122" s="405" t="s">
        <v>327</v>
      </c>
      <c r="D3122" s="405"/>
      <c r="E3122" s="410">
        <v>42843</v>
      </c>
      <c r="F3122" s="410">
        <v>42888</v>
      </c>
      <c r="G3122" s="405" t="s">
        <v>23114</v>
      </c>
      <c r="H3122" s="405">
        <v>776941302</v>
      </c>
      <c r="I3122" s="405"/>
      <c r="J3122" s="405">
        <v>0.113737</v>
      </c>
      <c r="K3122" s="405">
        <v>37.672868000000001</v>
      </c>
      <c r="L3122" s="405" t="s">
        <v>590</v>
      </c>
      <c r="M3122" s="405" t="s">
        <v>19720</v>
      </c>
      <c r="N3122" s="405" t="s">
        <v>20297</v>
      </c>
      <c r="O3122" s="405" t="s">
        <v>22746</v>
      </c>
      <c r="P3122" s="405" t="s">
        <v>22747</v>
      </c>
      <c r="Q3122" s="411">
        <v>6</v>
      </c>
      <c r="R3122" s="405" t="s">
        <v>6013</v>
      </c>
      <c r="S3122" s="405" t="s">
        <v>27275</v>
      </c>
      <c r="T3122" s="405" t="s">
        <v>32102</v>
      </c>
      <c r="U3122" s="405" t="s">
        <v>319</v>
      </c>
    </row>
    <row r="3123" spans="1:21" x14ac:dyDescent="0.25">
      <c r="A3123" s="405" t="s">
        <v>310</v>
      </c>
      <c r="B3123" s="405" t="s">
        <v>6288</v>
      </c>
      <c r="C3123" s="405" t="s">
        <v>327</v>
      </c>
      <c r="D3123" s="405"/>
      <c r="E3123" s="410">
        <v>42841</v>
      </c>
      <c r="F3123" s="410">
        <v>42886</v>
      </c>
      <c r="G3123" s="405" t="s">
        <v>6289</v>
      </c>
      <c r="H3123" s="405">
        <v>772495859</v>
      </c>
      <c r="I3123" s="405"/>
      <c r="J3123" s="405">
        <v>0.37071799999999999</v>
      </c>
      <c r="K3123" s="405">
        <v>32.648294999999997</v>
      </c>
      <c r="L3123" s="405" t="s">
        <v>314</v>
      </c>
      <c r="M3123" s="405" t="s">
        <v>361</v>
      </c>
      <c r="N3123" s="405" t="s">
        <v>363</v>
      </c>
      <c r="O3123" s="405" t="s">
        <v>363</v>
      </c>
      <c r="P3123" s="405" t="s">
        <v>6290</v>
      </c>
      <c r="Q3123" s="411">
        <v>9</v>
      </c>
      <c r="R3123" s="405" t="s">
        <v>32101</v>
      </c>
      <c r="S3123" s="405" t="s">
        <v>27186</v>
      </c>
      <c r="T3123" s="405" t="s">
        <v>32102</v>
      </c>
      <c r="U3123" s="405" t="s">
        <v>319</v>
      </c>
    </row>
    <row r="3124" spans="1:21" x14ac:dyDescent="0.25">
      <c r="A3124" s="405" t="s">
        <v>310</v>
      </c>
      <c r="B3124" s="405" t="s">
        <v>23175</v>
      </c>
      <c r="C3124" s="405" t="s">
        <v>327</v>
      </c>
      <c r="D3124" s="405"/>
      <c r="E3124" s="410">
        <v>42840</v>
      </c>
      <c r="F3124" s="410">
        <v>42947</v>
      </c>
      <c r="G3124" s="405" t="s">
        <v>23176</v>
      </c>
      <c r="H3124" s="405">
        <v>787190800</v>
      </c>
      <c r="I3124" s="405"/>
      <c r="J3124" s="405">
        <v>0.2016</v>
      </c>
      <c r="K3124" s="405">
        <v>30.234999999999999</v>
      </c>
      <c r="L3124" s="405" t="s">
        <v>590</v>
      </c>
      <c r="M3124" s="405" t="s">
        <v>19720</v>
      </c>
      <c r="N3124" s="405" t="s">
        <v>7352</v>
      </c>
      <c r="O3124" s="405" t="s">
        <v>21940</v>
      </c>
      <c r="P3124" s="405" t="s">
        <v>23177</v>
      </c>
      <c r="Q3124" s="411">
        <v>6</v>
      </c>
      <c r="R3124" s="405" t="s">
        <v>6013</v>
      </c>
      <c r="S3124" s="405" t="s">
        <v>27301</v>
      </c>
      <c r="T3124" s="405" t="s">
        <v>32102</v>
      </c>
      <c r="U3124" s="405" t="s">
        <v>319</v>
      </c>
    </row>
    <row r="3125" spans="1:21" x14ac:dyDescent="0.25">
      <c r="A3125" s="405" t="s">
        <v>310</v>
      </c>
      <c r="B3125" s="405" t="s">
        <v>23032</v>
      </c>
      <c r="C3125" s="405" t="s">
        <v>327</v>
      </c>
      <c r="D3125" s="405"/>
      <c r="E3125" s="410">
        <v>42840</v>
      </c>
      <c r="F3125" s="410">
        <v>42885</v>
      </c>
      <c r="G3125" s="405" t="s">
        <v>23033</v>
      </c>
      <c r="H3125" s="405">
        <v>774924629</v>
      </c>
      <c r="I3125" s="405">
        <v>774358807</v>
      </c>
      <c r="J3125" s="405">
        <v>0.455233</v>
      </c>
      <c r="K3125" s="405">
        <v>30.125112000000001</v>
      </c>
      <c r="L3125" s="405" t="s">
        <v>590</v>
      </c>
      <c r="M3125" s="405" t="s">
        <v>19720</v>
      </c>
      <c r="N3125" s="405" t="s">
        <v>7352</v>
      </c>
      <c r="O3125" s="405" t="s">
        <v>20294</v>
      </c>
      <c r="P3125" s="405" t="s">
        <v>23034</v>
      </c>
      <c r="Q3125" s="411">
        <v>6</v>
      </c>
      <c r="R3125" s="405" t="s">
        <v>6013</v>
      </c>
      <c r="S3125" s="405" t="s">
        <v>27161</v>
      </c>
      <c r="T3125" s="405" t="s">
        <v>32102</v>
      </c>
      <c r="U3125" s="405" t="s">
        <v>319</v>
      </c>
    </row>
    <row r="3126" spans="1:21" x14ac:dyDescent="0.25">
      <c r="A3126" s="405" t="s">
        <v>310</v>
      </c>
      <c r="B3126" s="405" t="s">
        <v>23029</v>
      </c>
      <c r="C3126" s="405" t="s">
        <v>327</v>
      </c>
      <c r="D3126" s="405"/>
      <c r="E3126" s="410">
        <v>42840</v>
      </c>
      <c r="F3126" s="410">
        <v>42885</v>
      </c>
      <c r="G3126" s="405" t="s">
        <v>23030</v>
      </c>
      <c r="H3126" s="405">
        <v>772358988</v>
      </c>
      <c r="I3126" s="405"/>
      <c r="J3126" s="405">
        <v>0.79234300000000002</v>
      </c>
      <c r="K3126" s="405">
        <v>33.884889999999999</v>
      </c>
      <c r="L3126" s="405" t="s">
        <v>590</v>
      </c>
      <c r="M3126" s="405" t="s">
        <v>19720</v>
      </c>
      <c r="N3126" s="405" t="s">
        <v>7352</v>
      </c>
      <c r="O3126" s="405" t="s">
        <v>19720</v>
      </c>
      <c r="P3126" s="405" t="s">
        <v>23031</v>
      </c>
      <c r="Q3126" s="411">
        <v>6</v>
      </c>
      <c r="R3126" s="405" t="s">
        <v>6013</v>
      </c>
      <c r="S3126" s="405" t="s">
        <v>27205</v>
      </c>
      <c r="T3126" s="405" t="s">
        <v>32102</v>
      </c>
      <c r="U3126" s="405" t="s">
        <v>319</v>
      </c>
    </row>
    <row r="3127" spans="1:21" x14ac:dyDescent="0.25">
      <c r="A3127" s="405" t="s">
        <v>310</v>
      </c>
      <c r="B3127" s="405" t="s">
        <v>6291</v>
      </c>
      <c r="C3127" s="405" t="s">
        <v>327</v>
      </c>
      <c r="D3127" s="405"/>
      <c r="E3127" s="410">
        <v>42839</v>
      </c>
      <c r="F3127" s="410">
        <v>42884</v>
      </c>
      <c r="G3127" s="405" t="s">
        <v>6292</v>
      </c>
      <c r="H3127" s="405">
        <v>772478434</v>
      </c>
      <c r="I3127" s="405">
        <v>717440755</v>
      </c>
      <c r="J3127" s="405">
        <v>0.15160000000000001</v>
      </c>
      <c r="K3127" s="405">
        <v>32.214599999999997</v>
      </c>
      <c r="L3127" s="405" t="s">
        <v>314</v>
      </c>
      <c r="M3127" s="405" t="s">
        <v>321</v>
      </c>
      <c r="N3127" s="405" t="s">
        <v>1244</v>
      </c>
      <c r="O3127" s="405" t="s">
        <v>519</v>
      </c>
      <c r="P3127" s="405" t="s">
        <v>6293</v>
      </c>
      <c r="Q3127" s="411">
        <v>13</v>
      </c>
      <c r="R3127" s="405" t="s">
        <v>32101</v>
      </c>
      <c r="S3127" s="405" t="s">
        <v>27167</v>
      </c>
      <c r="T3127" s="405" t="s">
        <v>32102</v>
      </c>
      <c r="U3127" s="405" t="s">
        <v>319</v>
      </c>
    </row>
    <row r="3128" spans="1:21" x14ac:dyDescent="0.25">
      <c r="A3128" s="405" t="s">
        <v>310</v>
      </c>
      <c r="B3128" s="405" t="s">
        <v>23482</v>
      </c>
      <c r="C3128" s="405" t="s">
        <v>327</v>
      </c>
      <c r="D3128" s="405"/>
      <c r="E3128" s="410">
        <v>42839</v>
      </c>
      <c r="F3128" s="410">
        <v>43014</v>
      </c>
      <c r="G3128" s="405" t="s">
        <v>23483</v>
      </c>
      <c r="H3128" s="405">
        <v>700125292</v>
      </c>
      <c r="I3128" s="405"/>
      <c r="J3128" s="405">
        <v>0.63044</v>
      </c>
      <c r="K3128" s="405">
        <v>30.727672999999999</v>
      </c>
      <c r="L3128" s="405" t="s">
        <v>590</v>
      </c>
      <c r="M3128" s="405" t="s">
        <v>879</v>
      </c>
      <c r="N3128" s="405" t="s">
        <v>880</v>
      </c>
      <c r="O3128" s="405" t="s">
        <v>881</v>
      </c>
      <c r="P3128" s="405" t="s">
        <v>19923</v>
      </c>
      <c r="Q3128" s="411">
        <v>6</v>
      </c>
      <c r="R3128" s="405" t="s">
        <v>883</v>
      </c>
      <c r="S3128" s="405" t="s">
        <v>27183</v>
      </c>
      <c r="T3128" s="405" t="s">
        <v>32102</v>
      </c>
      <c r="U3128" s="405" t="s">
        <v>319</v>
      </c>
    </row>
    <row r="3129" spans="1:21" x14ac:dyDescent="0.25">
      <c r="A3129" s="405" t="s">
        <v>310</v>
      </c>
      <c r="B3129" s="405" t="s">
        <v>15623</v>
      </c>
      <c r="C3129" s="405" t="s">
        <v>327</v>
      </c>
      <c r="D3129" s="405"/>
      <c r="E3129" s="410">
        <v>42839</v>
      </c>
      <c r="F3129" s="410">
        <v>42884</v>
      </c>
      <c r="G3129" s="405" t="s">
        <v>15624</v>
      </c>
      <c r="H3129" s="405">
        <v>783239828</v>
      </c>
      <c r="I3129" s="405">
        <v>758498917</v>
      </c>
      <c r="J3129" s="405">
        <v>1.2554890000000001</v>
      </c>
      <c r="K3129" s="405">
        <v>33.691541000000001</v>
      </c>
      <c r="L3129" s="405" t="s">
        <v>6866</v>
      </c>
      <c r="M3129" s="405" t="s">
        <v>9509</v>
      </c>
      <c r="N3129" s="405" t="s">
        <v>10036</v>
      </c>
      <c r="O3129" s="405" t="s">
        <v>15625</v>
      </c>
      <c r="P3129" s="405" t="s">
        <v>15626</v>
      </c>
      <c r="Q3129" s="411">
        <v>6</v>
      </c>
      <c r="R3129" s="405" t="s">
        <v>5655</v>
      </c>
      <c r="S3129" s="405" t="s">
        <v>27056</v>
      </c>
      <c r="T3129" s="405" t="s">
        <v>32102</v>
      </c>
      <c r="U3129" s="405" t="s">
        <v>319</v>
      </c>
    </row>
    <row r="3130" spans="1:21" x14ac:dyDescent="0.25">
      <c r="A3130" s="405" t="s">
        <v>310</v>
      </c>
      <c r="B3130" s="405" t="s">
        <v>23015</v>
      </c>
      <c r="C3130" s="405" t="s">
        <v>327</v>
      </c>
      <c r="D3130" s="405"/>
      <c r="E3130" s="410">
        <v>42839</v>
      </c>
      <c r="F3130" s="410">
        <v>42884</v>
      </c>
      <c r="G3130" s="405" t="s">
        <v>23016</v>
      </c>
      <c r="H3130" s="405">
        <v>774624539</v>
      </c>
      <c r="I3130" s="405"/>
      <c r="J3130" s="405">
        <v>0.63426300000000002</v>
      </c>
      <c r="K3130" s="405">
        <v>30.721423000000001</v>
      </c>
      <c r="L3130" s="405" t="s">
        <v>590</v>
      </c>
      <c r="M3130" s="405" t="s">
        <v>879</v>
      </c>
      <c r="N3130" s="405" t="s">
        <v>880</v>
      </c>
      <c r="O3130" s="405" t="s">
        <v>881</v>
      </c>
      <c r="P3130" s="405" t="s">
        <v>23017</v>
      </c>
      <c r="Q3130" s="411">
        <v>6</v>
      </c>
      <c r="R3130" s="405" t="s">
        <v>883</v>
      </c>
      <c r="S3130" s="405" t="s">
        <v>27109</v>
      </c>
      <c r="T3130" s="405" t="s">
        <v>32102</v>
      </c>
      <c r="U3130" s="405" t="s">
        <v>319</v>
      </c>
    </row>
    <row r="3131" spans="1:21" x14ac:dyDescent="0.25">
      <c r="A3131" s="405" t="s">
        <v>310</v>
      </c>
      <c r="B3131" s="405" t="s">
        <v>23018</v>
      </c>
      <c r="C3131" s="405" t="s">
        <v>327</v>
      </c>
      <c r="D3131" s="405"/>
      <c r="E3131" s="410">
        <v>42839</v>
      </c>
      <c r="F3131" s="410">
        <v>42884</v>
      </c>
      <c r="G3131" s="405" t="s">
        <v>23019</v>
      </c>
      <c r="H3131" s="405">
        <v>772977871</v>
      </c>
      <c r="I3131" s="405"/>
      <c r="J3131" s="405">
        <v>8.1653000000000003E-2</v>
      </c>
      <c r="K3131" s="405">
        <v>30.391403</v>
      </c>
      <c r="L3131" s="405" t="s">
        <v>590</v>
      </c>
      <c r="M3131" s="405" t="s">
        <v>19720</v>
      </c>
      <c r="N3131" s="405" t="s">
        <v>20297</v>
      </c>
      <c r="O3131" s="405" t="s">
        <v>23020</v>
      </c>
      <c r="P3131" s="405" t="s">
        <v>22642</v>
      </c>
      <c r="Q3131" s="411">
        <v>6</v>
      </c>
      <c r="R3131" s="405" t="s">
        <v>6013</v>
      </c>
      <c r="S3131" s="405" t="s">
        <v>27205</v>
      </c>
      <c r="T3131" s="405" t="s">
        <v>32102</v>
      </c>
      <c r="U3131" s="405" t="s">
        <v>319</v>
      </c>
    </row>
    <row r="3132" spans="1:21" x14ac:dyDescent="0.25">
      <c r="A3132" s="405" t="s">
        <v>310</v>
      </c>
      <c r="B3132" s="405" t="s">
        <v>23010</v>
      </c>
      <c r="C3132" s="405" t="s">
        <v>327</v>
      </c>
      <c r="D3132" s="405"/>
      <c r="E3132" s="410">
        <v>42839</v>
      </c>
      <c r="F3132" s="410">
        <v>42884</v>
      </c>
      <c r="G3132" s="405" t="s">
        <v>23011</v>
      </c>
      <c r="H3132" s="405">
        <v>779800384</v>
      </c>
      <c r="I3132" s="405"/>
      <c r="J3132" s="405">
        <v>-0.60967000000000005</v>
      </c>
      <c r="K3132" s="405">
        <v>30.641022</v>
      </c>
      <c r="L3132" s="405" t="s">
        <v>590</v>
      </c>
      <c r="M3132" s="405" t="s">
        <v>879</v>
      </c>
      <c r="N3132" s="405" t="s">
        <v>880</v>
      </c>
      <c r="O3132" s="405" t="s">
        <v>20737</v>
      </c>
      <c r="P3132" s="405" t="s">
        <v>23012</v>
      </c>
      <c r="Q3132" s="411">
        <v>6</v>
      </c>
      <c r="R3132" s="405" t="s">
        <v>883</v>
      </c>
      <c r="S3132" s="405" t="s">
        <v>27183</v>
      </c>
      <c r="T3132" s="405" t="s">
        <v>32102</v>
      </c>
      <c r="U3132" s="405" t="s">
        <v>319</v>
      </c>
    </row>
    <row r="3133" spans="1:21" x14ac:dyDescent="0.25">
      <c r="A3133" s="405" t="s">
        <v>310</v>
      </c>
      <c r="B3133" s="405" t="s">
        <v>19013</v>
      </c>
      <c r="C3133" s="405" t="s">
        <v>327</v>
      </c>
      <c r="D3133" s="405"/>
      <c r="E3133" s="410">
        <v>42838</v>
      </c>
      <c r="F3133" s="410">
        <v>42883</v>
      </c>
      <c r="G3133" s="405" t="s">
        <v>19014</v>
      </c>
      <c r="H3133" s="405">
        <v>772378730</v>
      </c>
      <c r="I3133" s="405">
        <v>757443089</v>
      </c>
      <c r="J3133" s="405">
        <v>1.971662</v>
      </c>
      <c r="K3133" s="405">
        <v>32.978912999999999</v>
      </c>
      <c r="L3133" s="405" t="s">
        <v>860</v>
      </c>
      <c r="M3133" s="405" t="s">
        <v>12189</v>
      </c>
      <c r="N3133" s="405" t="s">
        <v>18294</v>
      </c>
      <c r="O3133" s="405" t="s">
        <v>18271</v>
      </c>
      <c r="P3133" s="405" t="s">
        <v>19015</v>
      </c>
      <c r="Q3133" s="411">
        <v>9</v>
      </c>
      <c r="R3133" s="405" t="s">
        <v>18919</v>
      </c>
      <c r="S3133" s="405" t="s">
        <v>27193</v>
      </c>
      <c r="T3133" s="405" t="s">
        <v>32102</v>
      </c>
      <c r="U3133" s="405" t="s">
        <v>319</v>
      </c>
    </row>
    <row r="3134" spans="1:21" x14ac:dyDescent="0.25">
      <c r="A3134" s="405" t="s">
        <v>310</v>
      </c>
      <c r="B3134" s="405" t="s">
        <v>23134</v>
      </c>
      <c r="C3134" s="405" t="s">
        <v>327</v>
      </c>
      <c r="D3134" s="405"/>
      <c r="E3134" s="410">
        <v>42838</v>
      </c>
      <c r="F3134" s="410">
        <v>42896</v>
      </c>
      <c r="G3134" s="405" t="s">
        <v>23135</v>
      </c>
      <c r="H3134" s="405">
        <v>783718172</v>
      </c>
      <c r="I3134" s="405">
        <v>705661918</v>
      </c>
      <c r="J3134" s="405" t="s">
        <v>23136</v>
      </c>
      <c r="K3134" s="405">
        <v>30.17595</v>
      </c>
      <c r="L3134" s="405" t="s">
        <v>590</v>
      </c>
      <c r="M3134" s="405" t="s">
        <v>19625</v>
      </c>
      <c r="N3134" s="405" t="s">
        <v>19642</v>
      </c>
      <c r="O3134" s="405" t="s">
        <v>22104</v>
      </c>
      <c r="P3134" s="405" t="s">
        <v>23137</v>
      </c>
      <c r="Q3134" s="411">
        <v>6</v>
      </c>
      <c r="R3134" s="405" t="s">
        <v>6572</v>
      </c>
      <c r="S3134" s="405" t="s">
        <v>27240</v>
      </c>
      <c r="T3134" s="405" t="s">
        <v>32102</v>
      </c>
      <c r="U3134" s="405" t="s">
        <v>319</v>
      </c>
    </row>
    <row r="3135" spans="1:21" x14ac:dyDescent="0.25">
      <c r="A3135" s="405" t="s">
        <v>310</v>
      </c>
      <c r="B3135" s="405" t="s">
        <v>16072</v>
      </c>
      <c r="C3135" s="405" t="s">
        <v>311</v>
      </c>
      <c r="D3135" s="405" t="s">
        <v>1789</v>
      </c>
      <c r="E3135" s="410">
        <v>42838</v>
      </c>
      <c r="F3135" s="410">
        <v>42883</v>
      </c>
      <c r="G3135" s="405" t="s">
        <v>16073</v>
      </c>
      <c r="H3135" s="405">
        <v>782579551</v>
      </c>
      <c r="I3135" s="405">
        <v>776435298</v>
      </c>
      <c r="J3135" s="405">
        <v>1.4023030000000001</v>
      </c>
      <c r="K3135" s="405">
        <v>34.628805</v>
      </c>
      <c r="L3135" s="405" t="s">
        <v>6866</v>
      </c>
      <c r="M3135" s="405" t="s">
        <v>9705</v>
      </c>
      <c r="N3135" s="405" t="s">
        <v>9705</v>
      </c>
      <c r="O3135" s="405" t="s">
        <v>10307</v>
      </c>
      <c r="P3135" s="405" t="s">
        <v>16074</v>
      </c>
      <c r="Q3135" s="411">
        <v>6</v>
      </c>
      <c r="R3135" s="405" t="s">
        <v>9506</v>
      </c>
      <c r="S3135" s="405" t="s">
        <v>27335</v>
      </c>
      <c r="T3135" s="405" t="s">
        <v>32102</v>
      </c>
      <c r="U3135" s="405" t="s">
        <v>319</v>
      </c>
    </row>
    <row r="3136" spans="1:21" x14ac:dyDescent="0.25">
      <c r="A3136" s="405" t="s">
        <v>310</v>
      </c>
      <c r="B3136" s="405" t="s">
        <v>23058</v>
      </c>
      <c r="C3136" s="405" t="s">
        <v>327</v>
      </c>
      <c r="D3136" s="405"/>
      <c r="E3136" s="410">
        <v>42837</v>
      </c>
      <c r="F3136" s="410">
        <v>42882</v>
      </c>
      <c r="G3136" s="405" t="s">
        <v>23059</v>
      </c>
      <c r="H3136" s="405">
        <v>782056650</v>
      </c>
      <c r="I3136" s="405"/>
      <c r="J3136" s="405">
        <v>0.34028199999999997</v>
      </c>
      <c r="K3136" s="405">
        <v>30.217196999999999</v>
      </c>
      <c r="L3136" s="405" t="s">
        <v>590</v>
      </c>
      <c r="M3136" s="405" t="s">
        <v>21087</v>
      </c>
      <c r="N3136" s="405" t="s">
        <v>21088</v>
      </c>
      <c r="O3136" s="405" t="s">
        <v>23060</v>
      </c>
      <c r="P3136" s="405" t="s">
        <v>23061</v>
      </c>
      <c r="Q3136" s="411">
        <v>9</v>
      </c>
      <c r="R3136" s="405" t="s">
        <v>5858</v>
      </c>
      <c r="S3136" s="405" t="s">
        <v>27098</v>
      </c>
      <c r="T3136" s="405" t="s">
        <v>32102</v>
      </c>
      <c r="U3136" s="405" t="s">
        <v>319</v>
      </c>
    </row>
    <row r="3137" spans="1:21" x14ac:dyDescent="0.25">
      <c r="A3137" s="405" t="s">
        <v>310</v>
      </c>
      <c r="B3137" s="405" t="s">
        <v>6398</v>
      </c>
      <c r="C3137" s="405" t="s">
        <v>327</v>
      </c>
      <c r="D3137" s="405"/>
      <c r="E3137" s="410">
        <v>42837</v>
      </c>
      <c r="F3137" s="410">
        <v>42980</v>
      </c>
      <c r="G3137" s="405" t="s">
        <v>6399</v>
      </c>
      <c r="H3137" s="405">
        <v>772481412</v>
      </c>
      <c r="I3137" s="405">
        <v>752703994</v>
      </c>
      <c r="J3137" s="405">
        <v>0.70096800000000004</v>
      </c>
      <c r="K3137" s="405">
        <v>32.373111000000002</v>
      </c>
      <c r="L3137" s="405" t="s">
        <v>314</v>
      </c>
      <c r="M3137" s="405" t="s">
        <v>2297</v>
      </c>
      <c r="N3137" s="405" t="s">
        <v>2297</v>
      </c>
      <c r="O3137" s="405" t="s">
        <v>2297</v>
      </c>
      <c r="P3137" s="405" t="s">
        <v>1922</v>
      </c>
      <c r="Q3137" s="411">
        <v>6</v>
      </c>
      <c r="R3137" s="405" t="s">
        <v>402</v>
      </c>
      <c r="S3137" s="405" t="s">
        <v>27045</v>
      </c>
      <c r="T3137" s="405" t="s">
        <v>32102</v>
      </c>
      <c r="U3137" s="405" t="s">
        <v>319</v>
      </c>
    </row>
    <row r="3138" spans="1:21" x14ac:dyDescent="0.25">
      <c r="A3138" s="405" t="s">
        <v>310</v>
      </c>
      <c r="B3138" s="405" t="s">
        <v>23021</v>
      </c>
      <c r="C3138" s="405" t="s">
        <v>327</v>
      </c>
      <c r="D3138" s="405"/>
      <c r="E3138" s="410">
        <v>42837</v>
      </c>
      <c r="F3138" s="410">
        <v>42860</v>
      </c>
      <c r="G3138" s="405" t="s">
        <v>23022</v>
      </c>
      <c r="H3138" s="405">
        <v>772540251</v>
      </c>
      <c r="I3138" s="405">
        <v>772620783</v>
      </c>
      <c r="J3138" s="405">
        <v>2.4E-2</v>
      </c>
      <c r="K3138" s="405">
        <v>30.225999999999999</v>
      </c>
      <c r="L3138" s="405" t="s">
        <v>590</v>
      </c>
      <c r="M3138" s="405" t="s">
        <v>19720</v>
      </c>
      <c r="N3138" s="405" t="s">
        <v>20297</v>
      </c>
      <c r="O3138" s="405" t="s">
        <v>23023</v>
      </c>
      <c r="P3138" s="405" t="s">
        <v>23024</v>
      </c>
      <c r="Q3138" s="411">
        <v>6</v>
      </c>
      <c r="R3138" s="405" t="s">
        <v>6013</v>
      </c>
      <c r="S3138" s="405" t="s">
        <v>27301</v>
      </c>
      <c r="T3138" s="405" t="s">
        <v>32102</v>
      </c>
      <c r="U3138" s="405" t="s">
        <v>319</v>
      </c>
    </row>
    <row r="3139" spans="1:21" x14ac:dyDescent="0.25">
      <c r="A3139" s="405" t="s">
        <v>310</v>
      </c>
      <c r="B3139" s="405" t="s">
        <v>15916</v>
      </c>
      <c r="C3139" s="405" t="s">
        <v>327</v>
      </c>
      <c r="D3139" s="405"/>
      <c r="E3139" s="410">
        <v>42835</v>
      </c>
      <c r="F3139" s="410">
        <v>43000</v>
      </c>
      <c r="G3139" s="405" t="s">
        <v>15917</v>
      </c>
      <c r="H3139" s="405">
        <v>700131385</v>
      </c>
      <c r="I3139" s="405">
        <v>758542429</v>
      </c>
      <c r="J3139" s="405">
        <v>0.44753999999999999</v>
      </c>
      <c r="K3139" s="405">
        <v>33.191898999999999</v>
      </c>
      <c r="L3139" s="405" t="s">
        <v>6866</v>
      </c>
      <c r="M3139" s="405" t="s">
        <v>9590</v>
      </c>
      <c r="N3139" s="405" t="s">
        <v>9591</v>
      </c>
      <c r="O3139" s="405" t="s">
        <v>9592</v>
      </c>
      <c r="P3139" s="405" t="s">
        <v>15367</v>
      </c>
      <c r="Q3139" s="411">
        <v>9</v>
      </c>
      <c r="R3139" s="405" t="s">
        <v>15368</v>
      </c>
      <c r="S3139" s="405" t="s">
        <v>27174</v>
      </c>
      <c r="T3139" s="405" t="s">
        <v>32102</v>
      </c>
      <c r="U3139" s="405" t="s">
        <v>319</v>
      </c>
    </row>
    <row r="3140" spans="1:21" x14ac:dyDescent="0.25">
      <c r="A3140" s="405" t="s">
        <v>310</v>
      </c>
      <c r="B3140" s="405" t="s">
        <v>23025</v>
      </c>
      <c r="C3140" s="405" t="s">
        <v>327</v>
      </c>
      <c r="D3140" s="405"/>
      <c r="E3140" s="410">
        <v>42835</v>
      </c>
      <c r="F3140" s="410">
        <v>42880</v>
      </c>
      <c r="G3140" s="405" t="s">
        <v>23026</v>
      </c>
      <c r="H3140" s="405">
        <v>777877495</v>
      </c>
      <c r="I3140" s="405"/>
      <c r="J3140" s="405">
        <v>0.10659200000000001</v>
      </c>
      <c r="K3140" s="405">
        <v>30.415877999999999</v>
      </c>
      <c r="L3140" s="405" t="s">
        <v>590</v>
      </c>
      <c r="M3140" s="405" t="s">
        <v>19720</v>
      </c>
      <c r="N3140" s="405" t="s">
        <v>20297</v>
      </c>
      <c r="O3140" s="405" t="s">
        <v>23027</v>
      </c>
      <c r="P3140" s="405" t="s">
        <v>23028</v>
      </c>
      <c r="Q3140" s="411">
        <v>6</v>
      </c>
      <c r="R3140" s="405" t="s">
        <v>6013</v>
      </c>
      <c r="S3140" s="405" t="s">
        <v>27181</v>
      </c>
      <c r="T3140" s="405" t="s">
        <v>32102</v>
      </c>
      <c r="U3140" s="405" t="s">
        <v>319</v>
      </c>
    </row>
    <row r="3141" spans="1:21" x14ac:dyDescent="0.25">
      <c r="A3141" s="405" t="s">
        <v>310</v>
      </c>
      <c r="B3141" s="405" t="s">
        <v>23013</v>
      </c>
      <c r="C3141" s="405" t="s">
        <v>327</v>
      </c>
      <c r="D3141" s="405"/>
      <c r="E3141" s="410">
        <v>42835</v>
      </c>
      <c r="F3141" s="410">
        <v>42880</v>
      </c>
      <c r="G3141" s="405" t="s">
        <v>23014</v>
      </c>
      <c r="H3141" s="405">
        <v>778557515</v>
      </c>
      <c r="I3141" s="405"/>
      <c r="J3141" s="405">
        <v>0.63890199999999997</v>
      </c>
      <c r="K3141" s="405">
        <v>30.718831999999999</v>
      </c>
      <c r="L3141" s="405" t="s">
        <v>590</v>
      </c>
      <c r="M3141" s="405" t="s">
        <v>879</v>
      </c>
      <c r="N3141" s="405" t="s">
        <v>880</v>
      </c>
      <c r="O3141" s="405" t="s">
        <v>881</v>
      </c>
      <c r="P3141" s="405" t="s">
        <v>21351</v>
      </c>
      <c r="Q3141" s="411">
        <v>6</v>
      </c>
      <c r="R3141" s="405" t="s">
        <v>883</v>
      </c>
      <c r="S3141" s="405" t="s">
        <v>27104</v>
      </c>
      <c r="T3141" s="405" t="s">
        <v>32102</v>
      </c>
      <c r="U3141" s="405" t="s">
        <v>319</v>
      </c>
    </row>
    <row r="3142" spans="1:21" x14ac:dyDescent="0.25">
      <c r="A3142" s="405" t="s">
        <v>310</v>
      </c>
      <c r="B3142" s="405" t="s">
        <v>23000</v>
      </c>
      <c r="C3142" s="405" t="s">
        <v>327</v>
      </c>
      <c r="D3142" s="405"/>
      <c r="E3142" s="410">
        <v>42833</v>
      </c>
      <c r="F3142" s="410">
        <v>42878</v>
      </c>
      <c r="G3142" s="405" t="s">
        <v>23001</v>
      </c>
      <c r="H3142" s="405">
        <v>789433999</v>
      </c>
      <c r="I3142" s="405">
        <v>784340000</v>
      </c>
      <c r="J3142" s="405">
        <v>0.118545</v>
      </c>
      <c r="K3142" s="405">
        <v>30.403582</v>
      </c>
      <c r="L3142" s="405" t="s">
        <v>590</v>
      </c>
      <c r="M3142" s="405" t="s">
        <v>19720</v>
      </c>
      <c r="N3142" s="405" t="s">
        <v>20297</v>
      </c>
      <c r="O3142" s="405" t="s">
        <v>23002</v>
      </c>
      <c r="P3142" s="405" t="s">
        <v>23003</v>
      </c>
      <c r="Q3142" s="411">
        <v>6</v>
      </c>
      <c r="R3142" s="405" t="s">
        <v>6013</v>
      </c>
      <c r="S3142" s="405" t="s">
        <v>27181</v>
      </c>
      <c r="T3142" s="405" t="s">
        <v>32102</v>
      </c>
      <c r="U3142" s="405" t="s">
        <v>319</v>
      </c>
    </row>
    <row r="3143" spans="1:21" x14ac:dyDescent="0.25">
      <c r="A3143" s="405" t="s">
        <v>310</v>
      </c>
      <c r="B3143" s="405" t="s">
        <v>6891</v>
      </c>
      <c r="C3143" s="405" t="s">
        <v>311</v>
      </c>
      <c r="D3143" s="405" t="s">
        <v>1789</v>
      </c>
      <c r="E3143" s="410">
        <v>42831</v>
      </c>
      <c r="F3143" s="410">
        <v>42876</v>
      </c>
      <c r="G3143" s="405" t="s">
        <v>6892</v>
      </c>
      <c r="H3143" s="405">
        <v>772440090</v>
      </c>
      <c r="I3143" s="405">
        <v>757440090</v>
      </c>
      <c r="J3143" s="405">
        <v>0.186747</v>
      </c>
      <c r="K3143" s="405">
        <v>32.553452</v>
      </c>
      <c r="L3143" s="405" t="s">
        <v>314</v>
      </c>
      <c r="M3143" s="405" t="s">
        <v>361</v>
      </c>
      <c r="N3143" s="405" t="s">
        <v>619</v>
      </c>
      <c r="O3143" s="405" t="s">
        <v>619</v>
      </c>
      <c r="P3143" s="405" t="s">
        <v>6893</v>
      </c>
      <c r="Q3143" s="411">
        <v>13</v>
      </c>
      <c r="R3143" s="405" t="s">
        <v>5336</v>
      </c>
      <c r="S3143" s="405" t="s">
        <v>27047</v>
      </c>
      <c r="T3143" s="405" t="s">
        <v>32102</v>
      </c>
      <c r="U3143" s="405" t="s">
        <v>319</v>
      </c>
    </row>
    <row r="3144" spans="1:21" x14ac:dyDescent="0.25">
      <c r="A3144" s="405" t="s">
        <v>310</v>
      </c>
      <c r="B3144" s="405" t="s">
        <v>23045</v>
      </c>
      <c r="C3144" s="405" t="s">
        <v>327</v>
      </c>
      <c r="D3144" s="405"/>
      <c r="E3144" s="410">
        <v>42830</v>
      </c>
      <c r="F3144" s="410">
        <v>42875</v>
      </c>
      <c r="G3144" s="405" t="s">
        <v>23046</v>
      </c>
      <c r="H3144" s="405">
        <v>701257746</v>
      </c>
      <c r="I3144" s="405">
        <v>782061212</v>
      </c>
      <c r="J3144" s="405">
        <v>21.1159</v>
      </c>
      <c r="K3144" s="405">
        <v>90.25</v>
      </c>
      <c r="L3144" s="405" t="s">
        <v>590</v>
      </c>
      <c r="M3144" s="405" t="s">
        <v>1805</v>
      </c>
      <c r="N3144" s="405" t="s">
        <v>5898</v>
      </c>
      <c r="O3144" s="405" t="s">
        <v>5898</v>
      </c>
      <c r="P3144" s="405" t="s">
        <v>23047</v>
      </c>
      <c r="Q3144" s="411">
        <v>9</v>
      </c>
      <c r="R3144" s="405" t="s">
        <v>32166</v>
      </c>
      <c r="S3144" s="405" t="s">
        <v>27132</v>
      </c>
      <c r="T3144" s="405" t="s">
        <v>32102</v>
      </c>
      <c r="U3144" s="405" t="s">
        <v>319</v>
      </c>
    </row>
    <row r="3145" spans="1:21" x14ac:dyDescent="0.25">
      <c r="A3145" s="405" t="s">
        <v>310</v>
      </c>
      <c r="B3145" s="405" t="s">
        <v>22984</v>
      </c>
      <c r="C3145" s="405" t="s">
        <v>327</v>
      </c>
      <c r="D3145" s="405"/>
      <c r="E3145" s="410">
        <v>42830</v>
      </c>
      <c r="F3145" s="410">
        <v>42840</v>
      </c>
      <c r="G3145" s="405" t="s">
        <v>22985</v>
      </c>
      <c r="H3145" s="405">
        <v>753291635</v>
      </c>
      <c r="I3145" s="405">
        <v>753126204</v>
      </c>
      <c r="J3145" s="405">
        <v>3.0022000000000002</v>
      </c>
      <c r="K3145" s="405">
        <v>1.1531</v>
      </c>
      <c r="L3145" s="405" t="s">
        <v>590</v>
      </c>
      <c r="M3145" s="405" t="s">
        <v>5312</v>
      </c>
      <c r="N3145" s="405" t="s">
        <v>20080</v>
      </c>
      <c r="O3145" s="405" t="s">
        <v>16533</v>
      </c>
      <c r="P3145" s="405" t="s">
        <v>22986</v>
      </c>
      <c r="Q3145" s="411">
        <v>6</v>
      </c>
      <c r="R3145" s="405" t="s">
        <v>6572</v>
      </c>
      <c r="S3145" s="405" t="s">
        <v>27166</v>
      </c>
      <c r="T3145" s="405" t="s">
        <v>32102</v>
      </c>
      <c r="U3145" s="405" t="s">
        <v>319</v>
      </c>
    </row>
    <row r="3146" spans="1:21" x14ac:dyDescent="0.25">
      <c r="A3146" s="405" t="s">
        <v>310</v>
      </c>
      <c r="B3146" s="405" t="s">
        <v>23048</v>
      </c>
      <c r="C3146" s="405" t="s">
        <v>327</v>
      </c>
      <c r="D3146" s="405"/>
      <c r="E3146" s="410">
        <v>42829</v>
      </c>
      <c r="F3146" s="410">
        <v>42874</v>
      </c>
      <c r="G3146" s="405" t="s">
        <v>23049</v>
      </c>
      <c r="H3146" s="405">
        <v>787397312</v>
      </c>
      <c r="I3146" s="405">
        <v>777305352</v>
      </c>
      <c r="J3146" s="405">
        <v>29.524699999999999</v>
      </c>
      <c r="K3146" s="405">
        <v>50.442500000000003</v>
      </c>
      <c r="L3146" s="405" t="s">
        <v>590</v>
      </c>
      <c r="M3146" s="405" t="s">
        <v>19619</v>
      </c>
      <c r="N3146" s="405" t="s">
        <v>6395</v>
      </c>
      <c r="O3146" s="405" t="s">
        <v>19793</v>
      </c>
      <c r="P3146" s="405" t="s">
        <v>23050</v>
      </c>
      <c r="Q3146" s="411">
        <v>9</v>
      </c>
      <c r="R3146" s="405" t="s">
        <v>5858</v>
      </c>
      <c r="S3146" s="405" t="s">
        <v>27280</v>
      </c>
      <c r="T3146" s="405" t="s">
        <v>32102</v>
      </c>
      <c r="U3146" s="405" t="s">
        <v>319</v>
      </c>
    </row>
    <row r="3147" spans="1:21" x14ac:dyDescent="0.25">
      <c r="A3147" s="405" t="s">
        <v>310</v>
      </c>
      <c r="B3147" s="405" t="s">
        <v>23062</v>
      </c>
      <c r="C3147" s="405" t="s">
        <v>327</v>
      </c>
      <c r="D3147" s="405"/>
      <c r="E3147" s="410">
        <v>42829</v>
      </c>
      <c r="F3147" s="410">
        <v>42874</v>
      </c>
      <c r="G3147" s="405" t="s">
        <v>23063</v>
      </c>
      <c r="H3147" s="405">
        <v>775773348</v>
      </c>
      <c r="I3147" s="405">
        <v>775736102</v>
      </c>
      <c r="J3147" s="405">
        <v>1.8017879999999999</v>
      </c>
      <c r="K3147" s="405">
        <v>31.705881999999999</v>
      </c>
      <c r="L3147" s="405" t="s">
        <v>590</v>
      </c>
      <c r="M3147" s="405" t="s">
        <v>19608</v>
      </c>
      <c r="N3147" s="405" t="s">
        <v>19608</v>
      </c>
      <c r="O3147" s="405" t="s">
        <v>19608</v>
      </c>
      <c r="P3147" s="405" t="s">
        <v>19608</v>
      </c>
      <c r="Q3147" s="411">
        <v>9</v>
      </c>
      <c r="R3147" s="405" t="s">
        <v>6397</v>
      </c>
      <c r="S3147" s="405" t="s">
        <v>22880</v>
      </c>
      <c r="T3147" s="405" t="s">
        <v>32102</v>
      </c>
      <c r="U3147" s="405" t="s">
        <v>319</v>
      </c>
    </row>
    <row r="3148" spans="1:21" x14ac:dyDescent="0.25">
      <c r="A3148" s="405" t="s">
        <v>310</v>
      </c>
      <c r="B3148" s="405" t="s">
        <v>23055</v>
      </c>
      <c r="C3148" s="405" t="s">
        <v>327</v>
      </c>
      <c r="D3148" s="405"/>
      <c r="E3148" s="410">
        <v>42829</v>
      </c>
      <c r="F3148" s="410">
        <v>42874</v>
      </c>
      <c r="G3148" s="405" t="s">
        <v>23056</v>
      </c>
      <c r="H3148" s="405">
        <v>781252152</v>
      </c>
      <c r="I3148" s="405"/>
      <c r="J3148" s="405">
        <v>29.5717</v>
      </c>
      <c r="K3148" s="405" t="s">
        <v>23057</v>
      </c>
      <c r="L3148" s="405" t="s">
        <v>590</v>
      </c>
      <c r="M3148" s="405" t="s">
        <v>19619</v>
      </c>
      <c r="N3148" s="405" t="s">
        <v>19793</v>
      </c>
      <c r="O3148" s="405" t="s">
        <v>20033</v>
      </c>
      <c r="P3148" s="405" t="s">
        <v>23054</v>
      </c>
      <c r="Q3148" s="411">
        <v>6</v>
      </c>
      <c r="R3148" s="405" t="s">
        <v>5858</v>
      </c>
      <c r="S3148" s="405" t="s">
        <v>27420</v>
      </c>
      <c r="T3148" s="405" t="s">
        <v>32102</v>
      </c>
      <c r="U3148" s="405" t="s">
        <v>319</v>
      </c>
    </row>
    <row r="3149" spans="1:21" x14ac:dyDescent="0.25">
      <c r="A3149" s="405" t="s">
        <v>310</v>
      </c>
      <c r="B3149" s="405" t="s">
        <v>23051</v>
      </c>
      <c r="C3149" s="405" t="s">
        <v>327</v>
      </c>
      <c r="D3149" s="405"/>
      <c r="E3149" s="410">
        <v>42829</v>
      </c>
      <c r="F3149" s="410">
        <v>42874</v>
      </c>
      <c r="G3149" s="405" t="s">
        <v>23052</v>
      </c>
      <c r="H3149" s="405">
        <v>771320012</v>
      </c>
      <c r="I3149" s="405">
        <v>784820199</v>
      </c>
      <c r="J3149" s="405">
        <v>27.571999999999999</v>
      </c>
      <c r="K3149" s="405">
        <v>50.401899999999998</v>
      </c>
      <c r="L3149" s="405" t="s">
        <v>590</v>
      </c>
      <c r="M3149" s="405" t="s">
        <v>19619</v>
      </c>
      <c r="N3149" s="405" t="s">
        <v>23053</v>
      </c>
      <c r="O3149" s="405" t="s">
        <v>20033</v>
      </c>
      <c r="P3149" s="405" t="s">
        <v>23054</v>
      </c>
      <c r="Q3149" s="411">
        <v>6</v>
      </c>
      <c r="R3149" s="405" t="s">
        <v>5858</v>
      </c>
      <c r="S3149" s="405" t="s">
        <v>27160</v>
      </c>
      <c r="T3149" s="405" t="s">
        <v>32102</v>
      </c>
      <c r="U3149" s="405" t="s">
        <v>319</v>
      </c>
    </row>
    <row r="3150" spans="1:21" x14ac:dyDescent="0.25">
      <c r="A3150" s="405" t="s">
        <v>310</v>
      </c>
      <c r="B3150" s="405" t="s">
        <v>6883</v>
      </c>
      <c r="C3150" s="405" t="s">
        <v>311</v>
      </c>
      <c r="D3150" s="405" t="s">
        <v>1111</v>
      </c>
      <c r="E3150" s="410">
        <v>42828</v>
      </c>
      <c r="F3150" s="410">
        <v>42873</v>
      </c>
      <c r="G3150" s="405" t="s">
        <v>6884</v>
      </c>
      <c r="H3150" s="405">
        <v>772420518</v>
      </c>
      <c r="I3150" s="405">
        <v>752420518</v>
      </c>
      <c r="J3150" s="405">
        <v>0.30162</v>
      </c>
      <c r="K3150" s="405">
        <v>32.535966999999999</v>
      </c>
      <c r="L3150" s="405" t="s">
        <v>314</v>
      </c>
      <c r="M3150" s="405" t="s">
        <v>361</v>
      </c>
      <c r="N3150" s="405" t="s">
        <v>362</v>
      </c>
      <c r="O3150" s="405" t="s">
        <v>6343</v>
      </c>
      <c r="P3150" s="405" t="s">
        <v>6885</v>
      </c>
      <c r="Q3150" s="411">
        <v>6</v>
      </c>
      <c r="R3150" s="405" t="s">
        <v>5921</v>
      </c>
      <c r="S3150" s="405" t="s">
        <v>27255</v>
      </c>
      <c r="T3150" s="405" t="s">
        <v>32102</v>
      </c>
      <c r="U3150" s="405" t="s">
        <v>319</v>
      </c>
    </row>
    <row r="3151" spans="1:21" x14ac:dyDescent="0.25">
      <c r="A3151" s="405" t="s">
        <v>310</v>
      </c>
      <c r="B3151" s="405" t="s">
        <v>15605</v>
      </c>
      <c r="C3151" s="405" t="s">
        <v>327</v>
      </c>
      <c r="D3151" s="405"/>
      <c r="E3151" s="410">
        <v>42826</v>
      </c>
      <c r="F3151" s="410">
        <v>42871</v>
      </c>
      <c r="G3151" s="405" t="s">
        <v>15606</v>
      </c>
      <c r="H3151" s="405">
        <v>752636521</v>
      </c>
      <c r="I3151" s="405">
        <v>776636521</v>
      </c>
      <c r="J3151" s="405">
        <v>0.51358099999999995</v>
      </c>
      <c r="K3151" s="405">
        <v>33.221190999999997</v>
      </c>
      <c r="L3151" s="405" t="s">
        <v>6866</v>
      </c>
      <c r="M3151" s="405" t="s">
        <v>9590</v>
      </c>
      <c r="N3151" s="405" t="s">
        <v>542</v>
      </c>
      <c r="O3151" s="405" t="s">
        <v>13581</v>
      </c>
      <c r="P3151" s="405" t="s">
        <v>2206</v>
      </c>
      <c r="Q3151" s="411">
        <v>13</v>
      </c>
      <c r="R3151" s="405" t="s">
        <v>15368</v>
      </c>
      <c r="S3151" s="405" t="s">
        <v>27188</v>
      </c>
      <c r="T3151" s="405" t="s">
        <v>32102</v>
      </c>
      <c r="U3151" s="405" t="s">
        <v>319</v>
      </c>
    </row>
    <row r="3152" spans="1:21" x14ac:dyDescent="0.25">
      <c r="A3152" s="405" t="s">
        <v>310</v>
      </c>
      <c r="B3152" s="405" t="s">
        <v>23587</v>
      </c>
      <c r="C3152" s="405" t="s">
        <v>327</v>
      </c>
      <c r="D3152" s="405"/>
      <c r="E3152" s="410">
        <v>42826</v>
      </c>
      <c r="F3152" s="410">
        <v>42982</v>
      </c>
      <c r="G3152" s="405" t="s">
        <v>23588</v>
      </c>
      <c r="H3152" s="405">
        <v>773659873</v>
      </c>
      <c r="I3152" s="405">
        <v>752977326</v>
      </c>
      <c r="J3152" s="405">
        <v>-0.59964499999999998</v>
      </c>
      <c r="K3152" s="405">
        <v>30.232222</v>
      </c>
      <c r="L3152" s="405" t="s">
        <v>590</v>
      </c>
      <c r="M3152" s="405" t="s">
        <v>19625</v>
      </c>
      <c r="N3152" s="405" t="s">
        <v>19642</v>
      </c>
      <c r="O3152" s="405" t="s">
        <v>20275</v>
      </c>
      <c r="P3152" s="405" t="s">
        <v>23589</v>
      </c>
      <c r="Q3152" s="411">
        <v>6</v>
      </c>
      <c r="R3152" s="405" t="s">
        <v>6943</v>
      </c>
      <c r="S3152" s="405" t="s">
        <v>27173</v>
      </c>
      <c r="T3152" s="405" t="s">
        <v>32102</v>
      </c>
      <c r="U3152" s="405" t="s">
        <v>319</v>
      </c>
    </row>
    <row r="3153" spans="1:21" x14ac:dyDescent="0.25">
      <c r="A3153" s="405" t="s">
        <v>310</v>
      </c>
      <c r="B3153" s="405" t="s">
        <v>22982</v>
      </c>
      <c r="C3153" s="405" t="s">
        <v>327</v>
      </c>
      <c r="D3153" s="405"/>
      <c r="E3153" s="410">
        <v>42825</v>
      </c>
      <c r="F3153" s="410">
        <v>42854</v>
      </c>
      <c r="G3153" s="405" t="s">
        <v>22983</v>
      </c>
      <c r="H3153" s="405">
        <v>7725696766</v>
      </c>
      <c r="I3153" s="405">
        <v>772569676</v>
      </c>
      <c r="J3153" s="405">
        <v>-0.80301800000000001</v>
      </c>
      <c r="K3153" s="405">
        <v>29.941032</v>
      </c>
      <c r="L3153" s="405" t="s">
        <v>590</v>
      </c>
      <c r="M3153" s="405" t="s">
        <v>19619</v>
      </c>
      <c r="N3153" s="405" t="s">
        <v>19619</v>
      </c>
      <c r="O3153" s="405" t="s">
        <v>19619</v>
      </c>
      <c r="P3153" s="405" t="s">
        <v>19619</v>
      </c>
      <c r="Q3153" s="411">
        <v>9</v>
      </c>
      <c r="R3153" s="405" t="s">
        <v>6572</v>
      </c>
      <c r="S3153" s="405" t="s">
        <v>27399</v>
      </c>
      <c r="T3153" s="405" t="s">
        <v>32102</v>
      </c>
      <c r="U3153" s="405" t="s">
        <v>319</v>
      </c>
    </row>
    <row r="3154" spans="1:21" x14ac:dyDescent="0.25">
      <c r="A3154" s="405" t="s">
        <v>310</v>
      </c>
      <c r="B3154" s="405" t="s">
        <v>23038</v>
      </c>
      <c r="C3154" s="405" t="s">
        <v>327</v>
      </c>
      <c r="D3154" s="405"/>
      <c r="E3154" s="410">
        <v>42824</v>
      </c>
      <c r="F3154" s="410">
        <v>42869</v>
      </c>
      <c r="G3154" s="405" t="s">
        <v>23039</v>
      </c>
      <c r="H3154" s="405">
        <v>772677346</v>
      </c>
      <c r="I3154" s="405"/>
      <c r="J3154" s="405">
        <v>0.40379999999999999</v>
      </c>
      <c r="K3154" s="405">
        <v>30.946000000000002</v>
      </c>
      <c r="L3154" s="405" t="s">
        <v>590</v>
      </c>
      <c r="M3154" s="405" t="s">
        <v>21554</v>
      </c>
      <c r="N3154" s="405" t="s">
        <v>23040</v>
      </c>
      <c r="O3154" s="405" t="s">
        <v>23041</v>
      </c>
      <c r="P3154" s="405" t="s">
        <v>23042</v>
      </c>
      <c r="Q3154" s="411">
        <v>6</v>
      </c>
      <c r="R3154" s="405" t="s">
        <v>6572</v>
      </c>
      <c r="S3154" s="405" t="s">
        <v>27240</v>
      </c>
      <c r="T3154" s="405" t="s">
        <v>32102</v>
      </c>
      <c r="U3154" s="405" t="s">
        <v>319</v>
      </c>
    </row>
    <row r="3155" spans="1:21" x14ac:dyDescent="0.25">
      <c r="A3155" s="405" t="s">
        <v>310</v>
      </c>
      <c r="B3155" s="405" t="s">
        <v>6286</v>
      </c>
      <c r="C3155" s="405" t="s">
        <v>327</v>
      </c>
      <c r="D3155" s="405"/>
      <c r="E3155" s="410">
        <v>42823</v>
      </c>
      <c r="F3155" s="410">
        <v>42868</v>
      </c>
      <c r="G3155" s="405" t="s">
        <v>6287</v>
      </c>
      <c r="H3155" s="405">
        <v>772120881</v>
      </c>
      <c r="I3155" s="405">
        <v>772120829</v>
      </c>
      <c r="J3155" s="405">
        <v>0.21579999999999999</v>
      </c>
      <c r="K3155" s="405">
        <v>32.415599999999998</v>
      </c>
      <c r="L3155" s="405" t="s">
        <v>314</v>
      </c>
      <c r="M3155" s="405" t="s">
        <v>329</v>
      </c>
      <c r="N3155" s="405" t="s">
        <v>329</v>
      </c>
      <c r="O3155" s="405" t="s">
        <v>787</v>
      </c>
      <c r="P3155" s="405" t="s">
        <v>3817</v>
      </c>
      <c r="Q3155" s="411">
        <v>6</v>
      </c>
      <c r="R3155" s="405" t="s">
        <v>5336</v>
      </c>
      <c r="S3155" s="405" t="s">
        <v>27049</v>
      </c>
      <c r="T3155" s="405" t="s">
        <v>32102</v>
      </c>
      <c r="U3155" s="405" t="s">
        <v>319</v>
      </c>
    </row>
    <row r="3156" spans="1:21" x14ac:dyDescent="0.25">
      <c r="A3156" s="405" t="s">
        <v>310</v>
      </c>
      <c r="B3156" s="405" t="s">
        <v>15615</v>
      </c>
      <c r="C3156" s="405" t="s">
        <v>327</v>
      </c>
      <c r="D3156" s="405"/>
      <c r="E3156" s="410">
        <v>42821</v>
      </c>
      <c r="F3156" s="410">
        <v>42866</v>
      </c>
      <c r="G3156" s="405" t="s">
        <v>15616</v>
      </c>
      <c r="H3156" s="405">
        <v>781105939</v>
      </c>
      <c r="I3156" s="405"/>
      <c r="J3156" s="405">
        <v>1.39879</v>
      </c>
      <c r="K3156" s="405">
        <v>34.550702000000001</v>
      </c>
      <c r="L3156" s="405" t="s">
        <v>6866</v>
      </c>
      <c r="M3156" s="405" t="s">
        <v>9705</v>
      </c>
      <c r="N3156" s="405" t="s">
        <v>9705</v>
      </c>
      <c r="O3156" s="405" t="s">
        <v>15617</v>
      </c>
      <c r="P3156" s="405" t="s">
        <v>15618</v>
      </c>
      <c r="Q3156" s="411">
        <v>6</v>
      </c>
      <c r="R3156" s="405" t="s">
        <v>9506</v>
      </c>
      <c r="S3156" s="405" t="s">
        <v>27335</v>
      </c>
      <c r="T3156" s="405" t="s">
        <v>32102</v>
      </c>
      <c r="U3156" s="405" t="s">
        <v>319</v>
      </c>
    </row>
    <row r="3157" spans="1:21" x14ac:dyDescent="0.25">
      <c r="A3157" s="405" t="s">
        <v>310</v>
      </c>
      <c r="B3157" s="405" t="s">
        <v>15619</v>
      </c>
      <c r="C3157" s="405" t="s">
        <v>327</v>
      </c>
      <c r="D3157" s="405"/>
      <c r="E3157" s="410">
        <v>42820</v>
      </c>
      <c r="F3157" s="410">
        <v>42865</v>
      </c>
      <c r="G3157" s="405" t="s">
        <v>15620</v>
      </c>
      <c r="H3157" s="405">
        <v>775982454</v>
      </c>
      <c r="I3157" s="405">
        <v>782428762</v>
      </c>
      <c r="J3157" s="405">
        <v>0.54500000000000004</v>
      </c>
      <c r="K3157" s="405">
        <v>34.162500000000001</v>
      </c>
      <c r="L3157" s="405" t="s">
        <v>6866</v>
      </c>
      <c r="M3157" s="405" t="s">
        <v>9763</v>
      </c>
      <c r="N3157" s="405" t="s">
        <v>9764</v>
      </c>
      <c r="O3157" s="405" t="s">
        <v>15621</v>
      </c>
      <c r="P3157" s="405" t="s">
        <v>15622</v>
      </c>
      <c r="Q3157" s="411">
        <v>6</v>
      </c>
      <c r="R3157" s="405" t="s">
        <v>7224</v>
      </c>
      <c r="S3157" s="405" t="s">
        <v>27067</v>
      </c>
      <c r="T3157" s="405" t="s">
        <v>32102</v>
      </c>
      <c r="U3157" s="405" t="s">
        <v>319</v>
      </c>
    </row>
    <row r="3158" spans="1:21" x14ac:dyDescent="0.25">
      <c r="A3158" s="405" t="s">
        <v>310</v>
      </c>
      <c r="B3158" s="405" t="s">
        <v>22979</v>
      </c>
      <c r="C3158" s="405" t="s">
        <v>327</v>
      </c>
      <c r="D3158" s="405"/>
      <c r="E3158" s="410">
        <v>42819</v>
      </c>
      <c r="F3158" s="410">
        <v>42845</v>
      </c>
      <c r="G3158" s="405" t="s">
        <v>22980</v>
      </c>
      <c r="H3158" s="405">
        <v>701673237</v>
      </c>
      <c r="I3158" s="405"/>
      <c r="J3158" s="405">
        <v>-1.0703849999999999</v>
      </c>
      <c r="K3158" s="405">
        <v>30.174263</v>
      </c>
      <c r="L3158" s="405" t="s">
        <v>590</v>
      </c>
      <c r="M3158" s="405" t="s">
        <v>19659</v>
      </c>
      <c r="N3158" s="405" t="s">
        <v>19677</v>
      </c>
      <c r="O3158" s="405" t="s">
        <v>20548</v>
      </c>
      <c r="P3158" s="405" t="s">
        <v>22981</v>
      </c>
      <c r="Q3158" s="411">
        <v>13</v>
      </c>
      <c r="R3158" s="405" t="s">
        <v>6572</v>
      </c>
      <c r="S3158" s="405" t="s">
        <v>27166</v>
      </c>
      <c r="T3158" s="405" t="s">
        <v>32102</v>
      </c>
      <c r="U3158" s="405" t="s">
        <v>319</v>
      </c>
    </row>
    <row r="3159" spans="1:21" x14ac:dyDescent="0.25">
      <c r="A3159" s="405" t="s">
        <v>310</v>
      </c>
      <c r="B3159" s="405" t="s">
        <v>23004</v>
      </c>
      <c r="C3159" s="405" t="s">
        <v>327</v>
      </c>
      <c r="D3159" s="405"/>
      <c r="E3159" s="410">
        <v>42819</v>
      </c>
      <c r="F3159" s="410">
        <v>42864</v>
      </c>
      <c r="G3159" s="405" t="s">
        <v>23005</v>
      </c>
      <c r="H3159" s="405">
        <v>772954677</v>
      </c>
      <c r="I3159" s="405"/>
      <c r="J3159" s="405">
        <v>-0.85529100000000002</v>
      </c>
      <c r="K3159" s="405">
        <v>30.001331</v>
      </c>
      <c r="L3159" s="405" t="s">
        <v>590</v>
      </c>
      <c r="M3159" s="405" t="s">
        <v>19619</v>
      </c>
      <c r="N3159" s="405" t="s">
        <v>2430</v>
      </c>
      <c r="O3159" s="405" t="s">
        <v>2430</v>
      </c>
      <c r="P3159" s="405" t="s">
        <v>2430</v>
      </c>
      <c r="Q3159" s="411">
        <v>9</v>
      </c>
      <c r="R3159" s="405" t="s">
        <v>883</v>
      </c>
      <c r="S3159" s="405" t="s">
        <v>27220</v>
      </c>
      <c r="T3159" s="405" t="s">
        <v>32102</v>
      </c>
      <c r="U3159" s="405" t="s">
        <v>319</v>
      </c>
    </row>
    <row r="3160" spans="1:21" x14ac:dyDescent="0.25">
      <c r="A3160" s="405" t="s">
        <v>310</v>
      </c>
      <c r="B3160" s="405" t="s">
        <v>23064</v>
      </c>
      <c r="C3160" s="405" t="s">
        <v>327</v>
      </c>
      <c r="D3160" s="405"/>
      <c r="E3160" s="410">
        <v>42819</v>
      </c>
      <c r="F3160" s="410">
        <v>42864</v>
      </c>
      <c r="G3160" s="405" t="s">
        <v>23065</v>
      </c>
      <c r="H3160" s="405">
        <v>772461036</v>
      </c>
      <c r="I3160" s="405">
        <v>77246103</v>
      </c>
      <c r="J3160" s="405">
        <v>0.67135</v>
      </c>
      <c r="K3160" s="405">
        <v>30.494928000000002</v>
      </c>
      <c r="L3160" s="405" t="s">
        <v>590</v>
      </c>
      <c r="M3160" s="405" t="s">
        <v>20757</v>
      </c>
      <c r="N3160" s="405" t="s">
        <v>10925</v>
      </c>
      <c r="O3160" s="405" t="s">
        <v>21386</v>
      </c>
      <c r="P3160" s="405" t="s">
        <v>23066</v>
      </c>
      <c r="Q3160" s="411">
        <v>9</v>
      </c>
      <c r="R3160" s="405" t="s">
        <v>5336</v>
      </c>
      <c r="S3160" s="405" t="s">
        <v>27047</v>
      </c>
      <c r="T3160" s="405" t="s">
        <v>32102</v>
      </c>
      <c r="U3160" s="405" t="s">
        <v>319</v>
      </c>
    </row>
    <row r="3161" spans="1:21" x14ac:dyDescent="0.25">
      <c r="A3161" s="405" t="s">
        <v>310</v>
      </c>
      <c r="B3161" s="405" t="s">
        <v>16082</v>
      </c>
      <c r="C3161" s="405" t="s">
        <v>311</v>
      </c>
      <c r="D3161" s="405" t="s">
        <v>3381</v>
      </c>
      <c r="E3161" s="410">
        <v>42816</v>
      </c>
      <c r="F3161" s="410">
        <v>42861</v>
      </c>
      <c r="G3161" s="405" t="s">
        <v>16083</v>
      </c>
      <c r="H3161" s="405">
        <v>785158323</v>
      </c>
      <c r="I3161" s="405">
        <v>772477929</v>
      </c>
      <c r="J3161" s="405">
        <v>3.3147000000000002</v>
      </c>
      <c r="K3161" s="405">
        <v>1.4132</v>
      </c>
      <c r="L3161" s="405" t="s">
        <v>6866</v>
      </c>
      <c r="M3161" s="405" t="s">
        <v>12153</v>
      </c>
      <c r="N3161" s="405" t="s">
        <v>12153</v>
      </c>
      <c r="O3161" s="405" t="s">
        <v>16084</v>
      </c>
      <c r="P3161" s="405" t="s">
        <v>16085</v>
      </c>
      <c r="Q3161" s="411">
        <v>6</v>
      </c>
      <c r="R3161" s="405" t="s">
        <v>5655</v>
      </c>
      <c r="S3161" s="405" t="s">
        <v>27056</v>
      </c>
      <c r="T3161" s="405" t="s">
        <v>32102</v>
      </c>
      <c r="U3161" s="405" t="s">
        <v>319</v>
      </c>
    </row>
    <row r="3162" spans="1:21" x14ac:dyDescent="0.25">
      <c r="A3162" s="405" t="s">
        <v>310</v>
      </c>
      <c r="B3162" s="405" t="s">
        <v>23067</v>
      </c>
      <c r="C3162" s="405" t="s">
        <v>327</v>
      </c>
      <c r="D3162" s="405"/>
      <c r="E3162" s="410">
        <v>42815</v>
      </c>
      <c r="F3162" s="410">
        <v>42860</v>
      </c>
      <c r="G3162" s="405" t="s">
        <v>23068</v>
      </c>
      <c r="H3162" s="405">
        <v>702334455</v>
      </c>
      <c r="I3162" s="405">
        <v>705733843</v>
      </c>
      <c r="J3162" s="405">
        <v>0.1915</v>
      </c>
      <c r="K3162" s="405">
        <v>31.44</v>
      </c>
      <c r="L3162" s="405" t="s">
        <v>590</v>
      </c>
      <c r="M3162" s="405" t="s">
        <v>19705</v>
      </c>
      <c r="N3162" s="405" t="s">
        <v>22327</v>
      </c>
      <c r="O3162" s="405" t="s">
        <v>22327</v>
      </c>
      <c r="P3162" s="405" t="s">
        <v>22294</v>
      </c>
      <c r="Q3162" s="411">
        <v>9</v>
      </c>
      <c r="R3162" s="405" t="s">
        <v>32101</v>
      </c>
      <c r="S3162" s="405" t="s">
        <v>27186</v>
      </c>
      <c r="T3162" s="405" t="s">
        <v>32102</v>
      </c>
      <c r="U3162" s="405" t="s">
        <v>319</v>
      </c>
    </row>
    <row r="3163" spans="1:21" x14ac:dyDescent="0.25">
      <c r="A3163" s="405" t="s">
        <v>310</v>
      </c>
      <c r="B3163" s="405" t="s">
        <v>23377</v>
      </c>
      <c r="C3163" s="405" t="s">
        <v>327</v>
      </c>
      <c r="D3163" s="405"/>
      <c r="E3163" s="410">
        <v>42814</v>
      </c>
      <c r="F3163" s="410">
        <v>43005</v>
      </c>
      <c r="G3163" s="405" t="s">
        <v>23378</v>
      </c>
      <c r="H3163" s="405">
        <v>773731029</v>
      </c>
      <c r="I3163" s="405"/>
      <c r="J3163" s="405">
        <v>0.374</v>
      </c>
      <c r="K3163" s="405">
        <v>29.584800000000001</v>
      </c>
      <c r="L3163" s="405" t="s">
        <v>590</v>
      </c>
      <c r="M3163" s="405" t="s">
        <v>20032</v>
      </c>
      <c r="N3163" s="405" t="s">
        <v>23379</v>
      </c>
      <c r="O3163" s="405" t="s">
        <v>23380</v>
      </c>
      <c r="P3163" s="405" t="s">
        <v>23225</v>
      </c>
      <c r="Q3163" s="411">
        <v>9</v>
      </c>
      <c r="R3163" s="405" t="s">
        <v>6572</v>
      </c>
      <c r="S3163" s="405" t="s">
        <v>27399</v>
      </c>
      <c r="T3163" s="405" t="s">
        <v>32102</v>
      </c>
      <c r="U3163" s="405" t="s">
        <v>319</v>
      </c>
    </row>
    <row r="3164" spans="1:21" x14ac:dyDescent="0.25">
      <c r="A3164" s="405" t="s">
        <v>310</v>
      </c>
      <c r="B3164" s="405" t="s">
        <v>15612</v>
      </c>
      <c r="C3164" s="405" t="s">
        <v>327</v>
      </c>
      <c r="D3164" s="405"/>
      <c r="E3164" s="410">
        <v>42814</v>
      </c>
      <c r="F3164" s="410">
        <v>42859</v>
      </c>
      <c r="G3164" s="405" t="s">
        <v>15613</v>
      </c>
      <c r="H3164" s="405">
        <v>777226673</v>
      </c>
      <c r="I3164" s="405">
        <v>777000002</v>
      </c>
      <c r="J3164" s="405">
        <v>1.345518</v>
      </c>
      <c r="K3164" s="405">
        <v>34.679369999999999</v>
      </c>
      <c r="L3164" s="405" t="s">
        <v>6866</v>
      </c>
      <c r="M3164" s="405" t="s">
        <v>9685</v>
      </c>
      <c r="N3164" s="405" t="s">
        <v>10164</v>
      </c>
      <c r="O3164" s="405" t="s">
        <v>14939</v>
      </c>
      <c r="P3164" s="405" t="s">
        <v>15614</v>
      </c>
      <c r="Q3164" s="411">
        <v>6</v>
      </c>
      <c r="R3164" s="405" t="s">
        <v>9506</v>
      </c>
      <c r="S3164" s="405" t="s">
        <v>27318</v>
      </c>
      <c r="T3164" s="405" t="s">
        <v>32102</v>
      </c>
      <c r="U3164" s="405" t="s">
        <v>319</v>
      </c>
    </row>
    <row r="3165" spans="1:21" x14ac:dyDescent="0.25">
      <c r="A3165" s="405" t="s">
        <v>310</v>
      </c>
      <c r="B3165" s="405" t="s">
        <v>22971</v>
      </c>
      <c r="C3165" s="405" t="s">
        <v>327</v>
      </c>
      <c r="D3165" s="405"/>
      <c r="E3165" s="410">
        <v>42809</v>
      </c>
      <c r="F3165" s="410">
        <v>42854</v>
      </c>
      <c r="G3165" s="405" t="s">
        <v>22972</v>
      </c>
      <c r="H3165" s="405">
        <v>779366629</v>
      </c>
      <c r="I3165" s="405"/>
      <c r="J3165" s="405">
        <v>0.33417999999999998</v>
      </c>
      <c r="K3165" s="405">
        <v>30.634982000000001</v>
      </c>
      <c r="L3165" s="405" t="s">
        <v>590</v>
      </c>
      <c r="M3165" s="405" t="s">
        <v>19720</v>
      </c>
      <c r="N3165" s="405" t="s">
        <v>22532</v>
      </c>
      <c r="O3165" s="405" t="s">
        <v>11792</v>
      </c>
      <c r="P3165" s="405" t="s">
        <v>22973</v>
      </c>
      <c r="Q3165" s="411">
        <v>9</v>
      </c>
      <c r="R3165" s="405" t="s">
        <v>6013</v>
      </c>
      <c r="S3165" s="405" t="s">
        <v>27205</v>
      </c>
      <c r="T3165" s="405" t="s">
        <v>32102</v>
      </c>
      <c r="U3165" s="405" t="s">
        <v>319</v>
      </c>
    </row>
    <row r="3166" spans="1:21" x14ac:dyDescent="0.25">
      <c r="A3166" s="405" t="s">
        <v>310</v>
      </c>
      <c r="B3166" s="405" t="s">
        <v>22987</v>
      </c>
      <c r="C3166" s="405" t="s">
        <v>327</v>
      </c>
      <c r="D3166" s="405"/>
      <c r="E3166" s="410">
        <v>42809</v>
      </c>
      <c r="F3166" s="410">
        <v>42854</v>
      </c>
      <c r="G3166" s="405" t="s">
        <v>22988</v>
      </c>
      <c r="H3166" s="405">
        <v>782502729</v>
      </c>
      <c r="I3166" s="405">
        <v>772694368</v>
      </c>
      <c r="J3166" s="405">
        <v>1.33263</v>
      </c>
      <c r="K3166" s="405">
        <v>34.358060000000002</v>
      </c>
      <c r="L3166" s="405" t="s">
        <v>590</v>
      </c>
      <c r="M3166" s="405" t="s">
        <v>20032</v>
      </c>
      <c r="N3166" s="405" t="s">
        <v>20032</v>
      </c>
      <c r="O3166" s="405" t="s">
        <v>20032</v>
      </c>
      <c r="P3166" s="405" t="s">
        <v>20032</v>
      </c>
      <c r="Q3166" s="411">
        <v>9</v>
      </c>
      <c r="R3166" s="405" t="s">
        <v>6572</v>
      </c>
      <c r="S3166" s="405" t="s">
        <v>27399</v>
      </c>
      <c r="T3166" s="405" t="s">
        <v>32102</v>
      </c>
      <c r="U3166" s="405" t="s">
        <v>319</v>
      </c>
    </row>
    <row r="3167" spans="1:21" x14ac:dyDescent="0.25">
      <c r="A3167" s="405" t="s">
        <v>310</v>
      </c>
      <c r="B3167" s="405" t="s">
        <v>6278</v>
      </c>
      <c r="C3167" s="405" t="s">
        <v>327</v>
      </c>
      <c r="D3167" s="405"/>
      <c r="E3167" s="410">
        <v>42809</v>
      </c>
      <c r="F3167" s="410">
        <v>42854</v>
      </c>
      <c r="G3167" s="405" t="s">
        <v>6279</v>
      </c>
      <c r="H3167" s="405">
        <v>772990340</v>
      </c>
      <c r="I3167" s="405">
        <v>701297225</v>
      </c>
      <c r="J3167" s="405">
        <v>0.25618200000000002</v>
      </c>
      <c r="K3167" s="405">
        <v>32.406303000000001</v>
      </c>
      <c r="L3167" s="405" t="s">
        <v>314</v>
      </c>
      <c r="M3167" s="405" t="s">
        <v>321</v>
      </c>
      <c r="N3167" s="405" t="s">
        <v>1244</v>
      </c>
      <c r="O3167" s="405" t="s">
        <v>519</v>
      </c>
      <c r="P3167" s="405" t="s">
        <v>6280</v>
      </c>
      <c r="Q3167" s="411">
        <v>9</v>
      </c>
      <c r="R3167" s="405" t="s">
        <v>414</v>
      </c>
      <c r="S3167" s="405" t="s">
        <v>414</v>
      </c>
      <c r="T3167" s="405" t="s">
        <v>32102</v>
      </c>
      <c r="U3167" s="405" t="s">
        <v>319</v>
      </c>
    </row>
    <row r="3168" spans="1:21" x14ac:dyDescent="0.25">
      <c r="A3168" s="405" t="s">
        <v>310</v>
      </c>
      <c r="B3168" s="405" t="s">
        <v>15602</v>
      </c>
      <c r="C3168" s="405" t="s">
        <v>327</v>
      </c>
      <c r="D3168" s="405"/>
      <c r="E3168" s="410">
        <v>42809</v>
      </c>
      <c r="F3168" s="410">
        <v>42854</v>
      </c>
      <c r="G3168" s="405" t="s">
        <v>15603</v>
      </c>
      <c r="H3168" s="405">
        <v>775028184</v>
      </c>
      <c r="I3168" s="405">
        <v>752888501</v>
      </c>
      <c r="J3168" s="405">
        <v>1.3817870000000001</v>
      </c>
      <c r="K3168" s="405">
        <v>34.462488</v>
      </c>
      <c r="L3168" s="405" t="s">
        <v>6866</v>
      </c>
      <c r="M3168" s="405" t="s">
        <v>9685</v>
      </c>
      <c r="N3168" s="405" t="s">
        <v>9686</v>
      </c>
      <c r="O3168" s="405" t="s">
        <v>11545</v>
      </c>
      <c r="P3168" s="405" t="s">
        <v>15604</v>
      </c>
      <c r="Q3168" s="411">
        <v>6</v>
      </c>
      <c r="R3168" s="405" t="s">
        <v>9506</v>
      </c>
      <c r="S3168" s="405" t="s">
        <v>27318</v>
      </c>
      <c r="T3168" s="405" t="s">
        <v>32102</v>
      </c>
      <c r="U3168" s="405" t="s">
        <v>319</v>
      </c>
    </row>
    <row r="3169" spans="1:21" x14ac:dyDescent="0.25">
      <c r="A3169" s="405" t="s">
        <v>310</v>
      </c>
      <c r="B3169" s="405" t="s">
        <v>22967</v>
      </c>
      <c r="C3169" s="405" t="s">
        <v>327</v>
      </c>
      <c r="D3169" s="405"/>
      <c r="E3169" s="410">
        <v>42808</v>
      </c>
      <c r="F3169" s="410">
        <v>42818</v>
      </c>
      <c r="G3169" s="405" t="s">
        <v>22968</v>
      </c>
      <c r="H3169" s="405">
        <v>771443412</v>
      </c>
      <c r="I3169" s="405">
        <v>776719153</v>
      </c>
      <c r="J3169" s="405">
        <v>0.20549999999999999</v>
      </c>
      <c r="K3169" s="405">
        <v>30.463999999999999</v>
      </c>
      <c r="L3169" s="405" t="s">
        <v>590</v>
      </c>
      <c r="M3169" s="405" t="s">
        <v>19720</v>
      </c>
      <c r="N3169" s="405" t="s">
        <v>22532</v>
      </c>
      <c r="O3169" s="405" t="s">
        <v>22511</v>
      </c>
      <c r="P3169" s="405" t="s">
        <v>5312</v>
      </c>
      <c r="Q3169" s="411">
        <v>6</v>
      </c>
      <c r="R3169" s="405" t="s">
        <v>6013</v>
      </c>
      <c r="S3169" s="405" t="s">
        <v>27301</v>
      </c>
      <c r="T3169" s="405" t="s">
        <v>32102</v>
      </c>
      <c r="U3169" s="405" t="s">
        <v>319</v>
      </c>
    </row>
    <row r="3170" spans="1:21" x14ac:dyDescent="0.25">
      <c r="A3170" s="405" t="s">
        <v>310</v>
      </c>
      <c r="B3170" s="405" t="s">
        <v>23207</v>
      </c>
      <c r="C3170" s="405" t="s">
        <v>857</v>
      </c>
      <c r="D3170" s="405" t="s">
        <v>33051</v>
      </c>
      <c r="E3170" s="410">
        <v>42807</v>
      </c>
      <c r="F3170" s="410">
        <v>42852</v>
      </c>
      <c r="G3170" s="405" t="s">
        <v>23208</v>
      </c>
      <c r="H3170" s="405">
        <v>774881462</v>
      </c>
      <c r="I3170" s="405"/>
      <c r="J3170" s="405">
        <v>0.19389999999999999</v>
      </c>
      <c r="K3170" s="405">
        <v>30.453099999999999</v>
      </c>
      <c r="L3170" s="405" t="s">
        <v>590</v>
      </c>
      <c r="M3170" s="405" t="s">
        <v>19720</v>
      </c>
      <c r="N3170" s="405" t="s">
        <v>22532</v>
      </c>
      <c r="O3170" s="405" t="s">
        <v>22511</v>
      </c>
      <c r="P3170" s="405" t="s">
        <v>22934</v>
      </c>
      <c r="Q3170" s="411">
        <v>6</v>
      </c>
      <c r="R3170" s="405" t="s">
        <v>6013</v>
      </c>
      <c r="S3170" s="405" t="s">
        <v>27423</v>
      </c>
      <c r="T3170" s="405" t="s">
        <v>32102</v>
      </c>
      <c r="U3170" s="405" t="s">
        <v>319</v>
      </c>
    </row>
    <row r="3171" spans="1:21" x14ac:dyDescent="0.25">
      <c r="A3171" s="405" t="s">
        <v>310</v>
      </c>
      <c r="B3171" s="405" t="s">
        <v>22932</v>
      </c>
      <c r="C3171" s="405" t="s">
        <v>327</v>
      </c>
      <c r="D3171" s="405"/>
      <c r="E3171" s="410">
        <v>42807</v>
      </c>
      <c r="F3171" s="410">
        <v>42822</v>
      </c>
      <c r="G3171" s="405" t="s">
        <v>22933</v>
      </c>
      <c r="H3171" s="405">
        <v>774771671</v>
      </c>
      <c r="I3171" s="405">
        <v>774771672</v>
      </c>
      <c r="J3171" s="405">
        <v>0.19289999999999999</v>
      </c>
      <c r="K3171" s="405">
        <v>30.4514</v>
      </c>
      <c r="L3171" s="405" t="s">
        <v>590</v>
      </c>
      <c r="M3171" s="405" t="s">
        <v>19720</v>
      </c>
      <c r="N3171" s="405" t="s">
        <v>22532</v>
      </c>
      <c r="O3171" s="405" t="s">
        <v>22511</v>
      </c>
      <c r="P3171" s="405" t="s">
        <v>22934</v>
      </c>
      <c r="Q3171" s="411">
        <v>6</v>
      </c>
      <c r="R3171" s="405" t="s">
        <v>6013</v>
      </c>
      <c r="S3171" s="405" t="s">
        <v>27275</v>
      </c>
      <c r="T3171" s="405" t="s">
        <v>32102</v>
      </c>
      <c r="U3171" s="405" t="s">
        <v>319</v>
      </c>
    </row>
    <row r="3172" spans="1:21" x14ac:dyDescent="0.25">
      <c r="A3172" s="405" t="s">
        <v>310</v>
      </c>
      <c r="B3172" s="405" t="s">
        <v>22969</v>
      </c>
      <c r="C3172" s="405" t="s">
        <v>327</v>
      </c>
      <c r="D3172" s="405"/>
      <c r="E3172" s="410">
        <v>42806</v>
      </c>
      <c r="F3172" s="410">
        <v>42851</v>
      </c>
      <c r="G3172" s="405" t="s">
        <v>22970</v>
      </c>
      <c r="H3172" s="405">
        <v>777746884</v>
      </c>
      <c r="I3172" s="405"/>
      <c r="J3172" s="405">
        <v>0.98</v>
      </c>
      <c r="K3172" s="405">
        <v>30.293299999999999</v>
      </c>
      <c r="L3172" s="405" t="s">
        <v>590</v>
      </c>
      <c r="M3172" s="405" t="s">
        <v>19720</v>
      </c>
      <c r="N3172" s="405" t="s">
        <v>22532</v>
      </c>
      <c r="O3172" s="405" t="s">
        <v>20663</v>
      </c>
      <c r="P3172" s="405" t="s">
        <v>20414</v>
      </c>
      <c r="Q3172" s="411">
        <v>6</v>
      </c>
      <c r="R3172" s="405" t="s">
        <v>6013</v>
      </c>
      <c r="S3172" s="405" t="s">
        <v>27181</v>
      </c>
      <c r="T3172" s="405" t="s">
        <v>32102</v>
      </c>
      <c r="U3172" s="405" t="s">
        <v>319</v>
      </c>
    </row>
    <row r="3173" spans="1:21" x14ac:dyDescent="0.25">
      <c r="A3173" s="405" t="s">
        <v>310</v>
      </c>
      <c r="B3173" s="405" t="s">
        <v>22929</v>
      </c>
      <c r="C3173" s="405" t="s">
        <v>327</v>
      </c>
      <c r="D3173" s="405"/>
      <c r="E3173" s="410">
        <v>42805</v>
      </c>
      <c r="F3173" s="410">
        <v>42819</v>
      </c>
      <c r="G3173" s="405" t="s">
        <v>22930</v>
      </c>
      <c r="H3173" s="405">
        <v>772838269</v>
      </c>
      <c r="I3173" s="405">
        <v>754838269</v>
      </c>
      <c r="J3173" s="405">
        <v>0.36673</v>
      </c>
      <c r="K3173" s="405">
        <v>30.77009</v>
      </c>
      <c r="L3173" s="405" t="s">
        <v>590</v>
      </c>
      <c r="M3173" s="405" t="s">
        <v>19720</v>
      </c>
      <c r="N3173" s="405" t="s">
        <v>22532</v>
      </c>
      <c r="O3173" s="405" t="s">
        <v>22511</v>
      </c>
      <c r="P3173" s="405" t="s">
        <v>22931</v>
      </c>
      <c r="Q3173" s="411">
        <v>6</v>
      </c>
      <c r="R3173" s="405" t="s">
        <v>6013</v>
      </c>
      <c r="S3173" s="405" t="s">
        <v>27161</v>
      </c>
      <c r="T3173" s="405" t="s">
        <v>32102</v>
      </c>
      <c r="U3173" s="405" t="s">
        <v>319</v>
      </c>
    </row>
    <row r="3174" spans="1:21" x14ac:dyDescent="0.25">
      <c r="A3174" s="405" t="s">
        <v>310</v>
      </c>
      <c r="B3174" s="405" t="s">
        <v>16055</v>
      </c>
      <c r="C3174" s="405" t="s">
        <v>311</v>
      </c>
      <c r="D3174" s="405" t="s">
        <v>3381</v>
      </c>
      <c r="E3174" s="410">
        <v>42805</v>
      </c>
      <c r="F3174" s="410">
        <v>42849</v>
      </c>
      <c r="G3174" s="405" t="s">
        <v>16056</v>
      </c>
      <c r="H3174" s="405">
        <v>783611465</v>
      </c>
      <c r="I3174" s="405">
        <v>777829904</v>
      </c>
      <c r="J3174" s="405">
        <v>1.39872</v>
      </c>
      <c r="K3174" s="405">
        <v>34.539487000000001</v>
      </c>
      <c r="L3174" s="405" t="s">
        <v>6866</v>
      </c>
      <c r="M3174" s="405" t="s">
        <v>9705</v>
      </c>
      <c r="N3174" s="405" t="s">
        <v>9705</v>
      </c>
      <c r="O3174" s="405" t="s">
        <v>16057</v>
      </c>
      <c r="P3174" s="405" t="s">
        <v>16058</v>
      </c>
      <c r="Q3174" s="411">
        <v>4</v>
      </c>
      <c r="R3174" s="405" t="s">
        <v>9506</v>
      </c>
      <c r="S3174" s="405" t="s">
        <v>27335</v>
      </c>
      <c r="T3174" s="405" t="s">
        <v>32102</v>
      </c>
      <c r="U3174" s="405" t="s">
        <v>319</v>
      </c>
    </row>
    <row r="3175" spans="1:21" x14ac:dyDescent="0.25">
      <c r="A3175" s="405" t="s">
        <v>310</v>
      </c>
      <c r="B3175" s="405" t="s">
        <v>22994</v>
      </c>
      <c r="C3175" s="405" t="s">
        <v>327</v>
      </c>
      <c r="D3175" s="405"/>
      <c r="E3175" s="410">
        <v>42804</v>
      </c>
      <c r="F3175" s="410">
        <v>42827</v>
      </c>
      <c r="G3175" s="405" t="s">
        <v>22995</v>
      </c>
      <c r="H3175" s="405">
        <v>752968834</v>
      </c>
      <c r="I3175" s="405">
        <v>777832767</v>
      </c>
      <c r="J3175" s="405">
        <v>-0.35841200000000001</v>
      </c>
      <c r="K3175" s="405">
        <v>30.781797999999998</v>
      </c>
      <c r="L3175" s="405" t="s">
        <v>590</v>
      </c>
      <c r="M3175" s="405" t="s">
        <v>19705</v>
      </c>
      <c r="N3175" s="405" t="s">
        <v>19706</v>
      </c>
      <c r="O3175" s="405" t="s">
        <v>21291</v>
      </c>
      <c r="P3175" s="405" t="s">
        <v>22996</v>
      </c>
      <c r="Q3175" s="411">
        <v>9</v>
      </c>
      <c r="R3175" s="405" t="s">
        <v>32101</v>
      </c>
      <c r="S3175" s="405" t="s">
        <v>27186</v>
      </c>
      <c r="T3175" s="405" t="s">
        <v>32102</v>
      </c>
      <c r="U3175" s="405" t="s">
        <v>319</v>
      </c>
    </row>
    <row r="3176" spans="1:21" x14ac:dyDescent="0.25">
      <c r="A3176" s="405" t="s">
        <v>310</v>
      </c>
      <c r="B3176" s="405" t="s">
        <v>22964</v>
      </c>
      <c r="C3176" s="405" t="s">
        <v>327</v>
      </c>
      <c r="D3176" s="405"/>
      <c r="E3176" s="410">
        <v>42804</v>
      </c>
      <c r="F3176" s="410">
        <v>42849</v>
      </c>
      <c r="G3176" s="405" t="s">
        <v>22965</v>
      </c>
      <c r="H3176" s="405">
        <v>789284326</v>
      </c>
      <c r="I3176" s="405"/>
      <c r="J3176" s="405">
        <v>0.216</v>
      </c>
      <c r="K3176" s="405">
        <v>30.266999999999999</v>
      </c>
      <c r="L3176" s="405" t="s">
        <v>590</v>
      </c>
      <c r="M3176" s="405" t="s">
        <v>19720</v>
      </c>
      <c r="N3176" s="405" t="s">
        <v>22532</v>
      </c>
      <c r="O3176" s="405" t="s">
        <v>11792</v>
      </c>
      <c r="P3176" s="405" t="s">
        <v>22966</v>
      </c>
      <c r="Q3176" s="411">
        <v>6</v>
      </c>
      <c r="R3176" s="405" t="s">
        <v>6013</v>
      </c>
      <c r="S3176" s="405" t="s">
        <v>27275</v>
      </c>
      <c r="T3176" s="405" t="s">
        <v>32102</v>
      </c>
      <c r="U3176" s="405" t="s">
        <v>319</v>
      </c>
    </row>
    <row r="3177" spans="1:21" x14ac:dyDescent="0.25">
      <c r="A3177" s="405" t="s">
        <v>310</v>
      </c>
      <c r="B3177" s="405" t="s">
        <v>22974</v>
      </c>
      <c r="C3177" s="405" t="s">
        <v>327</v>
      </c>
      <c r="D3177" s="405"/>
      <c r="E3177" s="410">
        <v>42803</v>
      </c>
      <c r="F3177" s="410">
        <v>42848</v>
      </c>
      <c r="G3177" s="405" t="s">
        <v>22975</v>
      </c>
      <c r="H3177" s="405">
        <v>781548570</v>
      </c>
      <c r="I3177" s="405">
        <v>789089451</v>
      </c>
      <c r="J3177" s="405">
        <v>0.1918</v>
      </c>
      <c r="K3177" s="405">
        <v>30.266999999999999</v>
      </c>
      <c r="L3177" s="405" t="s">
        <v>590</v>
      </c>
      <c r="M3177" s="405" t="s">
        <v>19720</v>
      </c>
      <c r="N3177" s="405" t="s">
        <v>22532</v>
      </c>
      <c r="O3177" s="405" t="s">
        <v>21940</v>
      </c>
      <c r="P3177" s="405" t="s">
        <v>22476</v>
      </c>
      <c r="Q3177" s="411">
        <v>6</v>
      </c>
      <c r="R3177" s="405" t="s">
        <v>6013</v>
      </c>
      <c r="S3177" s="405" t="s">
        <v>27423</v>
      </c>
      <c r="T3177" s="405" t="s">
        <v>32102</v>
      </c>
      <c r="U3177" s="405" t="s">
        <v>319</v>
      </c>
    </row>
    <row r="3178" spans="1:21" x14ac:dyDescent="0.25">
      <c r="A3178" s="405" t="s">
        <v>310</v>
      </c>
      <c r="B3178" s="405" t="s">
        <v>22959</v>
      </c>
      <c r="C3178" s="405" t="s">
        <v>327</v>
      </c>
      <c r="D3178" s="405"/>
      <c r="E3178" s="410">
        <v>42803</v>
      </c>
      <c r="F3178" s="410">
        <v>42848</v>
      </c>
      <c r="G3178" s="405" t="s">
        <v>22960</v>
      </c>
      <c r="H3178" s="405">
        <v>785464400</v>
      </c>
      <c r="I3178" s="405"/>
      <c r="J3178" s="405">
        <v>0.63044</v>
      </c>
      <c r="K3178" s="405">
        <v>30.727672999999999</v>
      </c>
      <c r="L3178" s="405" t="s">
        <v>590</v>
      </c>
      <c r="M3178" s="405" t="s">
        <v>19720</v>
      </c>
      <c r="N3178" s="405" t="s">
        <v>20297</v>
      </c>
      <c r="O3178" s="405" t="s">
        <v>22654</v>
      </c>
      <c r="P3178" s="405" t="s">
        <v>22655</v>
      </c>
      <c r="Q3178" s="411">
        <v>6</v>
      </c>
      <c r="R3178" s="405" t="s">
        <v>6013</v>
      </c>
      <c r="S3178" s="405" t="s">
        <v>27161</v>
      </c>
      <c r="T3178" s="405" t="s">
        <v>32102</v>
      </c>
      <c r="U3178" s="405" t="s">
        <v>319</v>
      </c>
    </row>
    <row r="3179" spans="1:21" x14ac:dyDescent="0.25">
      <c r="A3179" s="405" t="s">
        <v>310</v>
      </c>
      <c r="B3179" s="405" t="s">
        <v>22953</v>
      </c>
      <c r="C3179" s="405" t="s">
        <v>327</v>
      </c>
      <c r="D3179" s="405"/>
      <c r="E3179" s="410">
        <v>42802</v>
      </c>
      <c r="F3179" s="410">
        <v>42847</v>
      </c>
      <c r="G3179" s="405" t="s">
        <v>22954</v>
      </c>
      <c r="H3179" s="405">
        <v>782655226</v>
      </c>
      <c r="I3179" s="405">
        <v>772568534</v>
      </c>
      <c r="J3179" s="405">
        <v>1.4E-2</v>
      </c>
      <c r="K3179" s="405">
        <v>30.2331</v>
      </c>
      <c r="L3179" s="405" t="s">
        <v>590</v>
      </c>
      <c r="M3179" s="405" t="s">
        <v>19720</v>
      </c>
      <c r="N3179" s="405" t="s">
        <v>20297</v>
      </c>
      <c r="O3179" s="405" t="s">
        <v>22359</v>
      </c>
      <c r="P3179" s="405" t="s">
        <v>22955</v>
      </c>
      <c r="Q3179" s="411">
        <v>6</v>
      </c>
      <c r="R3179" s="405" t="s">
        <v>6013</v>
      </c>
      <c r="S3179" s="405" t="s">
        <v>27205</v>
      </c>
      <c r="T3179" s="405" t="s">
        <v>32102</v>
      </c>
      <c r="U3179" s="405" t="s">
        <v>319</v>
      </c>
    </row>
    <row r="3180" spans="1:21" x14ac:dyDescent="0.25">
      <c r="A3180" s="405" t="s">
        <v>310</v>
      </c>
      <c r="B3180" s="405" t="s">
        <v>22961</v>
      </c>
      <c r="C3180" s="405" t="s">
        <v>327</v>
      </c>
      <c r="D3180" s="405"/>
      <c r="E3180" s="410">
        <v>42801</v>
      </c>
      <c r="F3180" s="410">
        <v>42846</v>
      </c>
      <c r="G3180" s="405" t="s">
        <v>22962</v>
      </c>
      <c r="H3180" s="405">
        <v>785178588</v>
      </c>
      <c r="I3180" s="405">
        <v>785901578</v>
      </c>
      <c r="J3180" s="405">
        <v>0.1822</v>
      </c>
      <c r="K3180" s="405">
        <v>30.265000000000001</v>
      </c>
      <c r="L3180" s="405" t="s">
        <v>590</v>
      </c>
      <c r="M3180" s="405" t="s">
        <v>19720</v>
      </c>
      <c r="N3180" s="405" t="s">
        <v>22532</v>
      </c>
      <c r="O3180" s="405" t="s">
        <v>20294</v>
      </c>
      <c r="P3180" s="405" t="s">
        <v>22963</v>
      </c>
      <c r="Q3180" s="411">
        <v>6</v>
      </c>
      <c r="R3180" s="405" t="s">
        <v>6013</v>
      </c>
      <c r="S3180" s="405" t="s">
        <v>27301</v>
      </c>
      <c r="T3180" s="405" t="s">
        <v>32102</v>
      </c>
      <c r="U3180" s="405" t="s">
        <v>319</v>
      </c>
    </row>
    <row r="3181" spans="1:21" x14ac:dyDescent="0.25">
      <c r="A3181" s="405" t="s">
        <v>310</v>
      </c>
      <c r="B3181" s="405" t="s">
        <v>22956</v>
      </c>
      <c r="C3181" s="405" t="s">
        <v>327</v>
      </c>
      <c r="D3181" s="405"/>
      <c r="E3181" s="410">
        <v>42801</v>
      </c>
      <c r="F3181" s="410">
        <v>42846</v>
      </c>
      <c r="G3181" s="405" t="s">
        <v>22957</v>
      </c>
      <c r="H3181" s="405">
        <v>787230772</v>
      </c>
      <c r="I3181" s="405"/>
      <c r="J3181" s="405">
        <v>0.50600000000000001</v>
      </c>
      <c r="K3181" s="405">
        <v>30.194400000000002</v>
      </c>
      <c r="L3181" s="405" t="s">
        <v>590</v>
      </c>
      <c r="M3181" s="405" t="s">
        <v>19720</v>
      </c>
      <c r="N3181" s="405" t="s">
        <v>20297</v>
      </c>
      <c r="O3181" s="405" t="s">
        <v>22746</v>
      </c>
      <c r="P3181" s="405" t="s">
        <v>22958</v>
      </c>
      <c r="Q3181" s="411">
        <v>6</v>
      </c>
      <c r="R3181" s="405" t="s">
        <v>6013</v>
      </c>
      <c r="S3181" s="405" t="s">
        <v>27181</v>
      </c>
      <c r="T3181" s="405" t="s">
        <v>32102</v>
      </c>
      <c r="U3181" s="405" t="s">
        <v>319</v>
      </c>
    </row>
    <row r="3182" spans="1:21" x14ac:dyDescent="0.25">
      <c r="A3182" s="405" t="s">
        <v>310</v>
      </c>
      <c r="B3182" s="405" t="s">
        <v>16015</v>
      </c>
      <c r="C3182" s="405" t="s">
        <v>327</v>
      </c>
      <c r="D3182" s="405"/>
      <c r="E3182" s="410">
        <v>42798</v>
      </c>
      <c r="F3182" s="410">
        <v>42843</v>
      </c>
      <c r="G3182" s="405" t="s">
        <v>16016</v>
      </c>
      <c r="H3182" s="405">
        <v>782879398</v>
      </c>
      <c r="I3182" s="405">
        <v>751879398</v>
      </c>
      <c r="J3182" s="405">
        <v>1.3993949999999999</v>
      </c>
      <c r="K3182" s="405">
        <v>34.527487999999998</v>
      </c>
      <c r="L3182" s="405" t="s">
        <v>6866</v>
      </c>
      <c r="M3182" s="405" t="s">
        <v>9705</v>
      </c>
      <c r="N3182" s="405" t="s">
        <v>16017</v>
      </c>
      <c r="O3182" s="405" t="s">
        <v>16018</v>
      </c>
      <c r="P3182" s="405" t="s">
        <v>16019</v>
      </c>
      <c r="Q3182" s="411">
        <v>6</v>
      </c>
      <c r="R3182" s="405" t="s">
        <v>9506</v>
      </c>
      <c r="S3182" s="405" t="s">
        <v>27318</v>
      </c>
      <c r="T3182" s="405" t="s">
        <v>32102</v>
      </c>
      <c r="U3182" s="405" t="s">
        <v>319</v>
      </c>
    </row>
    <row r="3183" spans="1:21" x14ac:dyDescent="0.25">
      <c r="A3183" s="405" t="s">
        <v>310</v>
      </c>
      <c r="B3183" s="405" t="s">
        <v>6851</v>
      </c>
      <c r="C3183" s="405" t="s">
        <v>311</v>
      </c>
      <c r="D3183" s="405" t="s">
        <v>839</v>
      </c>
      <c r="E3183" s="410">
        <v>42797</v>
      </c>
      <c r="F3183" s="410">
        <v>42818</v>
      </c>
      <c r="G3183" s="405" t="s">
        <v>6852</v>
      </c>
      <c r="H3183" s="405">
        <v>772456475</v>
      </c>
      <c r="I3183" s="405"/>
      <c r="J3183" s="405">
        <v>0.47883999999999999</v>
      </c>
      <c r="K3183" s="405">
        <v>32.745477999999999</v>
      </c>
      <c r="L3183" s="405" t="s">
        <v>314</v>
      </c>
      <c r="M3183" s="405" t="s">
        <v>349</v>
      </c>
      <c r="N3183" s="405" t="s">
        <v>545</v>
      </c>
      <c r="O3183" s="405" t="s">
        <v>336</v>
      </c>
      <c r="P3183" s="405" t="s">
        <v>5133</v>
      </c>
      <c r="Q3183" s="411">
        <v>6</v>
      </c>
      <c r="R3183" s="405" t="s">
        <v>5921</v>
      </c>
      <c r="S3183" s="405" t="s">
        <v>27255</v>
      </c>
      <c r="T3183" s="405" t="s">
        <v>32102</v>
      </c>
      <c r="U3183" s="405" t="s">
        <v>319</v>
      </c>
    </row>
    <row r="3184" spans="1:21" x14ac:dyDescent="0.25">
      <c r="A3184" s="405" t="s">
        <v>310</v>
      </c>
      <c r="B3184" s="405" t="s">
        <v>6274</v>
      </c>
      <c r="C3184" s="405" t="s">
        <v>327</v>
      </c>
      <c r="D3184" s="405"/>
      <c r="E3184" s="410">
        <v>42796</v>
      </c>
      <c r="F3184" s="410">
        <v>42845</v>
      </c>
      <c r="G3184" s="405" t="s">
        <v>6275</v>
      </c>
      <c r="H3184" s="405">
        <v>772418328</v>
      </c>
      <c r="I3184" s="405">
        <v>772717165</v>
      </c>
      <c r="J3184" s="405">
        <v>0.33400000000000002</v>
      </c>
      <c r="K3184" s="405">
        <v>32.384599999999999</v>
      </c>
      <c r="L3184" s="405" t="s">
        <v>314</v>
      </c>
      <c r="M3184" s="405" t="s">
        <v>959</v>
      </c>
      <c r="N3184" s="405" t="s">
        <v>6276</v>
      </c>
      <c r="O3184" s="405" t="s">
        <v>961</v>
      </c>
      <c r="P3184" s="405" t="s">
        <v>6277</v>
      </c>
      <c r="Q3184" s="411">
        <v>13</v>
      </c>
      <c r="R3184" s="405" t="s">
        <v>5903</v>
      </c>
      <c r="S3184" s="405" t="s">
        <v>27153</v>
      </c>
      <c r="T3184" s="405" t="s">
        <v>32102</v>
      </c>
      <c r="U3184" s="405" t="s">
        <v>319</v>
      </c>
    </row>
    <row r="3185" spans="1:21" x14ac:dyDescent="0.25">
      <c r="A3185" s="405" t="s">
        <v>310</v>
      </c>
      <c r="B3185" s="405" t="s">
        <v>23190</v>
      </c>
      <c r="C3185" s="405" t="s">
        <v>857</v>
      </c>
      <c r="D3185" s="405" t="s">
        <v>1037</v>
      </c>
      <c r="E3185" s="410">
        <v>42796</v>
      </c>
      <c r="F3185" s="410">
        <v>42841</v>
      </c>
      <c r="G3185" s="405" t="s">
        <v>23191</v>
      </c>
      <c r="H3185" s="405">
        <v>702590258</v>
      </c>
      <c r="I3185" s="405">
        <v>756555691</v>
      </c>
      <c r="J3185" s="405">
        <v>0.74423499999999998</v>
      </c>
      <c r="K3185" s="405">
        <v>30.759177999999999</v>
      </c>
      <c r="L3185" s="405" t="s">
        <v>590</v>
      </c>
      <c r="M3185" s="405" t="s">
        <v>879</v>
      </c>
      <c r="N3185" s="405" t="s">
        <v>881</v>
      </c>
      <c r="O3185" s="405" t="s">
        <v>20241</v>
      </c>
      <c r="P3185" s="405" t="s">
        <v>5358</v>
      </c>
      <c r="Q3185" s="411">
        <v>13</v>
      </c>
      <c r="R3185" s="405" t="s">
        <v>6943</v>
      </c>
      <c r="S3185" s="405" t="s">
        <v>27096</v>
      </c>
      <c r="T3185" s="405" t="s">
        <v>32102</v>
      </c>
      <c r="U3185" s="405" t="s">
        <v>319</v>
      </c>
    </row>
    <row r="3186" spans="1:21" x14ac:dyDescent="0.25">
      <c r="A3186" s="405" t="s">
        <v>310</v>
      </c>
      <c r="B3186" s="405" t="s">
        <v>22997</v>
      </c>
      <c r="C3186" s="405" t="s">
        <v>327</v>
      </c>
      <c r="D3186" s="405"/>
      <c r="E3186" s="410">
        <v>42796</v>
      </c>
      <c r="F3186" s="410">
        <v>42841</v>
      </c>
      <c r="G3186" s="405" t="s">
        <v>22998</v>
      </c>
      <c r="H3186" s="405">
        <v>751982645</v>
      </c>
      <c r="I3186" s="405">
        <v>772603923</v>
      </c>
      <c r="J3186" s="405">
        <v>0.67451000000000005</v>
      </c>
      <c r="K3186" s="405">
        <v>30.285087999999998</v>
      </c>
      <c r="L3186" s="405" t="s">
        <v>590</v>
      </c>
      <c r="M3186" s="405" t="s">
        <v>20125</v>
      </c>
      <c r="N3186" s="405" t="s">
        <v>20772</v>
      </c>
      <c r="O3186" s="405" t="s">
        <v>9881</v>
      </c>
      <c r="P3186" s="405" t="s">
        <v>22999</v>
      </c>
      <c r="Q3186" s="411">
        <v>13</v>
      </c>
      <c r="R3186" s="405" t="s">
        <v>5665</v>
      </c>
      <c r="S3186" s="405" t="s">
        <v>27051</v>
      </c>
      <c r="T3186" s="405" t="s">
        <v>32102</v>
      </c>
      <c r="U3186" s="405" t="s">
        <v>319</v>
      </c>
    </row>
    <row r="3187" spans="1:21" x14ac:dyDescent="0.25">
      <c r="A3187" s="405" t="s">
        <v>310</v>
      </c>
      <c r="B3187" s="405" t="s">
        <v>15600</v>
      </c>
      <c r="C3187" s="405" t="s">
        <v>327</v>
      </c>
      <c r="D3187" s="405"/>
      <c r="E3187" s="410">
        <v>42795</v>
      </c>
      <c r="F3187" s="410">
        <v>42840</v>
      </c>
      <c r="G3187" s="405" t="s">
        <v>15601</v>
      </c>
      <c r="H3187" s="405">
        <v>775752503</v>
      </c>
      <c r="I3187" s="405"/>
      <c r="J3187" s="405">
        <v>33.401000000000003</v>
      </c>
      <c r="K3187" s="405">
        <v>33.401000000000003</v>
      </c>
      <c r="L3187" s="405" t="s">
        <v>6866</v>
      </c>
      <c r="M3187" s="405" t="s">
        <v>13470</v>
      </c>
      <c r="N3187" s="405" t="s">
        <v>10001</v>
      </c>
      <c r="O3187" s="405" t="s">
        <v>14315</v>
      </c>
      <c r="P3187" s="405" t="s">
        <v>15355</v>
      </c>
      <c r="Q3187" s="411">
        <v>6</v>
      </c>
      <c r="R3187" s="405" t="s">
        <v>5655</v>
      </c>
      <c r="S3187" s="405" t="s">
        <v>27243</v>
      </c>
      <c r="T3187" s="405" t="s">
        <v>32102</v>
      </c>
      <c r="U3187" s="405" t="s">
        <v>319</v>
      </c>
    </row>
    <row r="3188" spans="1:21" x14ac:dyDescent="0.25">
      <c r="A3188" s="405" t="s">
        <v>310</v>
      </c>
      <c r="B3188" s="405" t="s">
        <v>6878</v>
      </c>
      <c r="C3188" s="405" t="s">
        <v>311</v>
      </c>
      <c r="D3188" s="405" t="s">
        <v>1789</v>
      </c>
      <c r="E3188" s="410">
        <v>42794</v>
      </c>
      <c r="F3188" s="410">
        <v>42839</v>
      </c>
      <c r="G3188" s="405" t="s">
        <v>6879</v>
      </c>
      <c r="H3188" s="405">
        <v>757315178</v>
      </c>
      <c r="I3188" s="405"/>
      <c r="J3188" s="405">
        <v>0.35470000000000002</v>
      </c>
      <c r="K3188" s="405">
        <v>32.353299999999997</v>
      </c>
      <c r="L3188" s="405" t="s">
        <v>314</v>
      </c>
      <c r="M3188" s="405" t="s">
        <v>361</v>
      </c>
      <c r="N3188" s="405" t="s">
        <v>1290</v>
      </c>
      <c r="O3188" s="405" t="s">
        <v>6880</v>
      </c>
      <c r="P3188" s="405" t="s">
        <v>1290</v>
      </c>
      <c r="Q3188" s="411">
        <v>13</v>
      </c>
      <c r="R3188" s="405" t="s">
        <v>4176</v>
      </c>
      <c r="S3188" s="405" t="s">
        <v>27053</v>
      </c>
      <c r="T3188" s="405" t="s">
        <v>32102</v>
      </c>
      <c r="U3188" s="405" t="s">
        <v>319</v>
      </c>
    </row>
    <row r="3189" spans="1:21" x14ac:dyDescent="0.25">
      <c r="A3189" s="405" t="s">
        <v>310</v>
      </c>
      <c r="B3189" s="405" t="s">
        <v>6268</v>
      </c>
      <c r="C3189" s="405" t="s">
        <v>327</v>
      </c>
      <c r="D3189" s="405"/>
      <c r="E3189" s="410">
        <v>42794</v>
      </c>
      <c r="F3189" s="410">
        <v>42839</v>
      </c>
      <c r="G3189" s="405" t="s">
        <v>6269</v>
      </c>
      <c r="H3189" s="405">
        <v>752611901</v>
      </c>
      <c r="I3189" s="405"/>
      <c r="J3189" s="405">
        <v>0.48799999999999999</v>
      </c>
      <c r="K3189" s="405">
        <v>32.331800000000001</v>
      </c>
      <c r="L3189" s="405" t="s">
        <v>314</v>
      </c>
      <c r="M3189" s="405" t="s">
        <v>959</v>
      </c>
      <c r="N3189" s="405" t="s">
        <v>6270</v>
      </c>
      <c r="O3189" s="405" t="s">
        <v>959</v>
      </c>
      <c r="P3189" s="405" t="s">
        <v>962</v>
      </c>
      <c r="Q3189" s="411">
        <v>13</v>
      </c>
      <c r="R3189" s="405" t="s">
        <v>4176</v>
      </c>
      <c r="S3189" s="405" t="s">
        <v>27059</v>
      </c>
      <c r="T3189" s="405" t="s">
        <v>32102</v>
      </c>
      <c r="U3189" s="405" t="s">
        <v>319</v>
      </c>
    </row>
    <row r="3190" spans="1:21" x14ac:dyDescent="0.25">
      <c r="A3190" s="405" t="s">
        <v>310</v>
      </c>
      <c r="B3190" s="405" t="s">
        <v>6262</v>
      </c>
      <c r="C3190" s="405" t="s">
        <v>327</v>
      </c>
      <c r="D3190" s="405"/>
      <c r="E3190" s="410">
        <v>42794</v>
      </c>
      <c r="F3190" s="410">
        <v>42839</v>
      </c>
      <c r="G3190" s="405" t="s">
        <v>6263</v>
      </c>
      <c r="H3190" s="405">
        <v>703053891</v>
      </c>
      <c r="I3190" s="405">
        <v>772918826</v>
      </c>
      <c r="J3190" s="405">
        <v>0.22520000000000001</v>
      </c>
      <c r="K3190" s="405" t="s">
        <v>6264</v>
      </c>
      <c r="L3190" s="405" t="s">
        <v>314</v>
      </c>
      <c r="M3190" s="405" t="s">
        <v>329</v>
      </c>
      <c r="N3190" s="405" t="s">
        <v>330</v>
      </c>
      <c r="O3190" s="405" t="s">
        <v>787</v>
      </c>
      <c r="P3190" s="405" t="s">
        <v>1817</v>
      </c>
      <c r="Q3190" s="411">
        <v>9</v>
      </c>
      <c r="R3190" s="405" t="s">
        <v>4176</v>
      </c>
      <c r="S3190" s="405" t="s">
        <v>27059</v>
      </c>
      <c r="T3190" s="405" t="s">
        <v>32102</v>
      </c>
      <c r="U3190" s="405" t="s">
        <v>319</v>
      </c>
    </row>
    <row r="3191" spans="1:21" x14ac:dyDescent="0.25">
      <c r="A3191" s="405" t="s">
        <v>310</v>
      </c>
      <c r="B3191" s="405" t="s">
        <v>6265</v>
      </c>
      <c r="C3191" s="405" t="s">
        <v>327</v>
      </c>
      <c r="D3191" s="405"/>
      <c r="E3191" s="410">
        <v>42794</v>
      </c>
      <c r="F3191" s="410">
        <v>42839</v>
      </c>
      <c r="G3191" s="405" t="s">
        <v>6266</v>
      </c>
      <c r="H3191" s="405">
        <v>772496644</v>
      </c>
      <c r="I3191" s="405">
        <v>772496644</v>
      </c>
      <c r="J3191" s="405">
        <v>0.2324</v>
      </c>
      <c r="K3191" s="405">
        <v>32.451799999999999</v>
      </c>
      <c r="L3191" s="405" t="s">
        <v>314</v>
      </c>
      <c r="M3191" s="405" t="s">
        <v>329</v>
      </c>
      <c r="N3191" s="405" t="s">
        <v>330</v>
      </c>
      <c r="O3191" s="405" t="s">
        <v>787</v>
      </c>
      <c r="P3191" s="405" t="s">
        <v>6267</v>
      </c>
      <c r="Q3191" s="411">
        <v>6</v>
      </c>
      <c r="R3191" s="405" t="s">
        <v>4176</v>
      </c>
      <c r="S3191" s="405" t="s">
        <v>27059</v>
      </c>
      <c r="T3191" s="405" t="s">
        <v>32102</v>
      </c>
      <c r="U3191" s="405" t="s">
        <v>319</v>
      </c>
    </row>
    <row r="3192" spans="1:21" x14ac:dyDescent="0.25">
      <c r="A3192" s="405" t="s">
        <v>310</v>
      </c>
      <c r="B3192" s="405" t="s">
        <v>23223</v>
      </c>
      <c r="C3192" s="405" t="s">
        <v>311</v>
      </c>
      <c r="D3192" s="405" t="s">
        <v>1789</v>
      </c>
      <c r="E3192" s="410">
        <v>42791</v>
      </c>
      <c r="F3192" s="410">
        <v>42836</v>
      </c>
      <c r="G3192" s="405" t="s">
        <v>23224</v>
      </c>
      <c r="H3192" s="405">
        <v>773219872</v>
      </c>
      <c r="I3192" s="405">
        <v>777657018</v>
      </c>
      <c r="J3192" s="405">
        <v>-0.62697499999999995</v>
      </c>
      <c r="K3192" s="405">
        <v>29.98441</v>
      </c>
      <c r="L3192" s="405" t="s">
        <v>590</v>
      </c>
      <c r="M3192" s="405" t="s">
        <v>20032</v>
      </c>
      <c r="N3192" s="405" t="s">
        <v>20033</v>
      </c>
      <c r="O3192" s="405" t="s">
        <v>20601</v>
      </c>
      <c r="P3192" s="405" t="s">
        <v>23225</v>
      </c>
      <c r="Q3192" s="411">
        <v>9</v>
      </c>
      <c r="R3192" s="405" t="s">
        <v>6572</v>
      </c>
      <c r="S3192" s="405" t="s">
        <v>27399</v>
      </c>
      <c r="T3192" s="405" t="s">
        <v>32102</v>
      </c>
      <c r="U3192" s="405" t="s">
        <v>319</v>
      </c>
    </row>
    <row r="3193" spans="1:21" x14ac:dyDescent="0.25">
      <c r="A3193" s="405" t="s">
        <v>310</v>
      </c>
      <c r="B3193" s="405" t="s">
        <v>15592</v>
      </c>
      <c r="C3193" s="405" t="s">
        <v>327</v>
      </c>
      <c r="D3193" s="405"/>
      <c r="E3193" s="410">
        <v>42788</v>
      </c>
      <c r="F3193" s="410">
        <v>42833</v>
      </c>
      <c r="G3193" s="405" t="s">
        <v>15593</v>
      </c>
      <c r="H3193" s="405">
        <v>771943423</v>
      </c>
      <c r="I3193" s="405"/>
      <c r="J3193" s="405">
        <v>0.92239000000000004</v>
      </c>
      <c r="K3193" s="405">
        <v>34.165678</v>
      </c>
      <c r="L3193" s="405" t="s">
        <v>6866</v>
      </c>
      <c r="M3193" s="405" t="s">
        <v>9514</v>
      </c>
      <c r="N3193" s="405" t="s">
        <v>9529</v>
      </c>
      <c r="O3193" s="405" t="s">
        <v>15594</v>
      </c>
      <c r="P3193" s="405" t="s">
        <v>15595</v>
      </c>
      <c r="Q3193" s="411">
        <v>6</v>
      </c>
      <c r="R3193" s="405" t="s">
        <v>6871</v>
      </c>
      <c r="S3193" s="405" t="s">
        <v>17062</v>
      </c>
      <c r="T3193" s="405" t="s">
        <v>32102</v>
      </c>
      <c r="U3193" s="405" t="s">
        <v>319</v>
      </c>
    </row>
    <row r="3194" spans="1:21" x14ac:dyDescent="0.25">
      <c r="A3194" s="405" t="s">
        <v>310</v>
      </c>
      <c r="B3194" s="405" t="s">
        <v>28360</v>
      </c>
      <c r="C3194" s="405" t="s">
        <v>327</v>
      </c>
      <c r="D3194" s="405"/>
      <c r="E3194" s="410">
        <v>42786</v>
      </c>
      <c r="F3194" s="410">
        <v>42831</v>
      </c>
      <c r="G3194" s="405" t="s">
        <v>22951</v>
      </c>
      <c r="H3194" s="405">
        <v>777595077</v>
      </c>
      <c r="I3194" s="405">
        <v>752916550</v>
      </c>
      <c r="J3194" s="405">
        <v>-0.58177699999999999</v>
      </c>
      <c r="K3194" s="405">
        <v>30.525929999999999</v>
      </c>
      <c r="L3194" s="405" t="s">
        <v>590</v>
      </c>
      <c r="M3194" s="405" t="s">
        <v>19614</v>
      </c>
      <c r="N3194" s="405" t="s">
        <v>19615</v>
      </c>
      <c r="O3194" s="405" t="s">
        <v>20063</v>
      </c>
      <c r="P3194" s="405" t="s">
        <v>22952</v>
      </c>
      <c r="Q3194" s="411">
        <v>13</v>
      </c>
      <c r="R3194" s="405" t="s">
        <v>883</v>
      </c>
      <c r="S3194" s="405" t="s">
        <v>27104</v>
      </c>
      <c r="T3194" s="405" t="s">
        <v>32102</v>
      </c>
      <c r="U3194" s="405" t="s">
        <v>319</v>
      </c>
    </row>
    <row r="3195" spans="1:21" x14ac:dyDescent="0.25">
      <c r="A3195" s="405" t="s">
        <v>310</v>
      </c>
      <c r="B3195" s="405" t="s">
        <v>16038</v>
      </c>
      <c r="C3195" s="405" t="s">
        <v>311</v>
      </c>
      <c r="D3195" s="405" t="s">
        <v>932</v>
      </c>
      <c r="E3195" s="410">
        <v>42786</v>
      </c>
      <c r="F3195" s="410">
        <v>42831</v>
      </c>
      <c r="G3195" s="405" t="s">
        <v>16039</v>
      </c>
      <c r="H3195" s="405">
        <v>782505725</v>
      </c>
      <c r="I3195" s="405"/>
      <c r="J3195" s="405">
        <v>1.0098149999999999</v>
      </c>
      <c r="K3195" s="405">
        <v>34.366197999999997</v>
      </c>
      <c r="L3195" s="405" t="s">
        <v>6866</v>
      </c>
      <c r="M3195" s="405" t="s">
        <v>6867</v>
      </c>
      <c r="N3195" s="405" t="s">
        <v>6868</v>
      </c>
      <c r="O3195" s="405" t="s">
        <v>15393</v>
      </c>
      <c r="P3195" s="405" t="s">
        <v>16040</v>
      </c>
      <c r="Q3195" s="411">
        <v>6</v>
      </c>
      <c r="R3195" s="405" t="s">
        <v>6871</v>
      </c>
      <c r="S3195" s="405" t="s">
        <v>27306</v>
      </c>
      <c r="T3195" s="405" t="s">
        <v>32102</v>
      </c>
      <c r="U3195" s="405" t="s">
        <v>319</v>
      </c>
    </row>
    <row r="3196" spans="1:21" x14ac:dyDescent="0.25">
      <c r="A3196" s="405" t="s">
        <v>310</v>
      </c>
      <c r="B3196" s="405" t="s">
        <v>28231</v>
      </c>
      <c r="C3196" s="405" t="s">
        <v>327</v>
      </c>
      <c r="D3196" s="405"/>
      <c r="E3196" s="410">
        <v>42785</v>
      </c>
      <c r="F3196" s="410">
        <v>42830</v>
      </c>
      <c r="G3196" s="405" t="s">
        <v>15585</v>
      </c>
      <c r="H3196" s="405">
        <v>787051466</v>
      </c>
      <c r="I3196" s="405"/>
      <c r="J3196" s="405">
        <v>1.0537080000000001</v>
      </c>
      <c r="K3196" s="405">
        <v>34.343237000000002</v>
      </c>
      <c r="L3196" s="405" t="s">
        <v>6866</v>
      </c>
      <c r="M3196" s="405" t="s">
        <v>6867</v>
      </c>
      <c r="N3196" s="405" t="s">
        <v>6868</v>
      </c>
      <c r="O3196" s="405" t="s">
        <v>6869</v>
      </c>
      <c r="P3196" s="405" t="s">
        <v>15586</v>
      </c>
      <c r="Q3196" s="411">
        <v>6</v>
      </c>
      <c r="R3196" s="405" t="s">
        <v>6871</v>
      </c>
      <c r="S3196" s="405" t="s">
        <v>27107</v>
      </c>
      <c r="T3196" s="405" t="s">
        <v>32102</v>
      </c>
      <c r="U3196" s="405" t="s">
        <v>319</v>
      </c>
    </row>
    <row r="3197" spans="1:21" x14ac:dyDescent="0.25">
      <c r="A3197" s="405" t="s">
        <v>310</v>
      </c>
      <c r="B3197" s="405" t="s">
        <v>28519</v>
      </c>
      <c r="C3197" s="405" t="s">
        <v>311</v>
      </c>
      <c r="D3197" s="405" t="s">
        <v>839</v>
      </c>
      <c r="E3197" s="410">
        <v>42784</v>
      </c>
      <c r="F3197" s="410">
        <v>42829</v>
      </c>
      <c r="G3197" s="405" t="s">
        <v>6865</v>
      </c>
      <c r="H3197" s="405">
        <v>774326838</v>
      </c>
      <c r="I3197" s="405"/>
      <c r="J3197" s="405">
        <v>1.056913</v>
      </c>
      <c r="K3197" s="405">
        <v>34.343806999999998</v>
      </c>
      <c r="L3197" s="405" t="s">
        <v>6866</v>
      </c>
      <c r="M3197" s="405" t="s">
        <v>6867</v>
      </c>
      <c r="N3197" s="405" t="s">
        <v>6868</v>
      </c>
      <c r="O3197" s="405" t="s">
        <v>6869</v>
      </c>
      <c r="P3197" s="405" t="s">
        <v>6870</v>
      </c>
      <c r="Q3197" s="411">
        <v>6</v>
      </c>
      <c r="R3197" s="405" t="s">
        <v>6871</v>
      </c>
      <c r="S3197" s="405" t="s">
        <v>27107</v>
      </c>
      <c r="T3197" s="405" t="s">
        <v>32102</v>
      </c>
      <c r="U3197" s="405" t="s">
        <v>319</v>
      </c>
    </row>
    <row r="3198" spans="1:21" x14ac:dyDescent="0.25">
      <c r="A3198" s="405" t="s">
        <v>310</v>
      </c>
      <c r="B3198" s="405" t="s">
        <v>6861</v>
      </c>
      <c r="C3198" s="405" t="s">
        <v>311</v>
      </c>
      <c r="D3198" s="405" t="s">
        <v>1789</v>
      </c>
      <c r="E3198" s="410">
        <v>42784</v>
      </c>
      <c r="F3198" s="410">
        <v>42829</v>
      </c>
      <c r="G3198" s="405" t="s">
        <v>6862</v>
      </c>
      <c r="H3198" s="405">
        <v>756126702</v>
      </c>
      <c r="I3198" s="405"/>
      <c r="J3198" s="405">
        <v>0.24299999999999999</v>
      </c>
      <c r="K3198" s="405">
        <v>31.403099999999998</v>
      </c>
      <c r="L3198" s="405" t="s">
        <v>314</v>
      </c>
      <c r="M3198" s="405" t="s">
        <v>1080</v>
      </c>
      <c r="N3198" s="405" t="s">
        <v>6863</v>
      </c>
      <c r="O3198" s="405" t="s">
        <v>5875</v>
      </c>
      <c r="P3198" s="405" t="s">
        <v>6864</v>
      </c>
      <c r="Q3198" s="411">
        <v>6</v>
      </c>
      <c r="R3198" s="405" t="s">
        <v>32101</v>
      </c>
      <c r="S3198" s="405" t="s">
        <v>27186</v>
      </c>
      <c r="T3198" s="405" t="s">
        <v>32102</v>
      </c>
      <c r="U3198" s="405" t="s">
        <v>319</v>
      </c>
    </row>
    <row r="3199" spans="1:21" x14ac:dyDescent="0.25">
      <c r="A3199" s="405" t="s">
        <v>310</v>
      </c>
      <c r="B3199" s="405" t="s">
        <v>15815</v>
      </c>
      <c r="C3199" s="405" t="s">
        <v>327</v>
      </c>
      <c r="D3199" s="405"/>
      <c r="E3199" s="410">
        <v>42783</v>
      </c>
      <c r="F3199" s="410">
        <v>43000</v>
      </c>
      <c r="G3199" s="405" t="s">
        <v>15816</v>
      </c>
      <c r="H3199" s="405">
        <v>773889274</v>
      </c>
      <c r="I3199" s="405">
        <v>782412840</v>
      </c>
      <c r="J3199" s="405">
        <v>1.012195</v>
      </c>
      <c r="K3199" s="405">
        <v>34.367421999999998</v>
      </c>
      <c r="L3199" s="405" t="s">
        <v>6866</v>
      </c>
      <c r="M3199" s="405" t="s">
        <v>6867</v>
      </c>
      <c r="N3199" s="405" t="s">
        <v>6868</v>
      </c>
      <c r="O3199" s="405" t="s">
        <v>15393</v>
      </c>
      <c r="P3199" s="405" t="s">
        <v>15817</v>
      </c>
      <c r="Q3199" s="411">
        <v>6</v>
      </c>
      <c r="R3199" s="405" t="s">
        <v>6871</v>
      </c>
      <c r="S3199" s="405" t="s">
        <v>27306</v>
      </c>
      <c r="T3199" s="405" t="s">
        <v>32102</v>
      </c>
      <c r="U3199" s="405" t="s">
        <v>319</v>
      </c>
    </row>
    <row r="3200" spans="1:21" x14ac:dyDescent="0.25">
      <c r="A3200" s="405" t="s">
        <v>310</v>
      </c>
      <c r="B3200" s="405" t="s">
        <v>29097</v>
      </c>
      <c r="C3200" s="405" t="s">
        <v>327</v>
      </c>
      <c r="D3200" s="405"/>
      <c r="E3200" s="410">
        <v>42783</v>
      </c>
      <c r="F3200" s="410">
        <v>42828</v>
      </c>
      <c r="G3200" s="405" t="s">
        <v>15587</v>
      </c>
      <c r="H3200" s="405">
        <v>786062826</v>
      </c>
      <c r="I3200" s="405"/>
      <c r="J3200" s="405">
        <v>1.0243070000000001</v>
      </c>
      <c r="K3200" s="405">
        <v>34.370545</v>
      </c>
      <c r="L3200" s="405" t="s">
        <v>6866</v>
      </c>
      <c r="M3200" s="405" t="s">
        <v>6867</v>
      </c>
      <c r="N3200" s="405" t="s">
        <v>6868</v>
      </c>
      <c r="O3200" s="405" t="s">
        <v>15393</v>
      </c>
      <c r="P3200" s="405" t="s">
        <v>15588</v>
      </c>
      <c r="Q3200" s="411">
        <v>6</v>
      </c>
      <c r="R3200" s="405" t="s">
        <v>6871</v>
      </c>
      <c r="S3200" s="405" t="s">
        <v>27248</v>
      </c>
      <c r="T3200" s="405" t="s">
        <v>32102</v>
      </c>
      <c r="U3200" s="405" t="s">
        <v>319</v>
      </c>
    </row>
    <row r="3201" spans="1:21" x14ac:dyDescent="0.25">
      <c r="A3201" s="405" t="s">
        <v>310</v>
      </c>
      <c r="B3201" s="405" t="s">
        <v>15596</v>
      </c>
      <c r="C3201" s="405" t="s">
        <v>327</v>
      </c>
      <c r="D3201" s="405"/>
      <c r="E3201" s="410">
        <v>42783</v>
      </c>
      <c r="F3201" s="410">
        <v>42828</v>
      </c>
      <c r="G3201" s="405" t="s">
        <v>15597</v>
      </c>
      <c r="H3201" s="405">
        <v>782261251</v>
      </c>
      <c r="I3201" s="405"/>
      <c r="J3201" s="405">
        <v>1.412255</v>
      </c>
      <c r="K3201" s="405">
        <v>34.605853000000003</v>
      </c>
      <c r="L3201" s="405" t="s">
        <v>6866</v>
      </c>
      <c r="M3201" s="405" t="s">
        <v>9705</v>
      </c>
      <c r="N3201" s="405" t="s">
        <v>9705</v>
      </c>
      <c r="O3201" s="405" t="s">
        <v>15598</v>
      </c>
      <c r="P3201" s="405" t="s">
        <v>15599</v>
      </c>
      <c r="Q3201" s="411">
        <v>6</v>
      </c>
      <c r="R3201" s="405" t="s">
        <v>9506</v>
      </c>
      <c r="S3201" s="405" t="s">
        <v>27353</v>
      </c>
      <c r="T3201" s="405" t="s">
        <v>32102</v>
      </c>
      <c r="U3201" s="405" t="s">
        <v>319</v>
      </c>
    </row>
    <row r="3202" spans="1:21" x14ac:dyDescent="0.25">
      <c r="A3202" s="405" t="s">
        <v>310</v>
      </c>
      <c r="B3202" s="405" t="s">
        <v>15589</v>
      </c>
      <c r="C3202" s="405" t="s">
        <v>857</v>
      </c>
      <c r="D3202" s="405" t="s">
        <v>33052</v>
      </c>
      <c r="E3202" s="410">
        <v>42783</v>
      </c>
      <c r="F3202" s="410">
        <v>42828</v>
      </c>
      <c r="G3202" s="405" t="s">
        <v>15590</v>
      </c>
      <c r="H3202" s="405">
        <v>772317842</v>
      </c>
      <c r="I3202" s="405">
        <v>782977657</v>
      </c>
      <c r="J3202" s="405">
        <v>1.0178400000000001</v>
      </c>
      <c r="K3202" s="405">
        <v>34.371915000000001</v>
      </c>
      <c r="L3202" s="405" t="s">
        <v>6866</v>
      </c>
      <c r="M3202" s="405" t="s">
        <v>6867</v>
      </c>
      <c r="N3202" s="405" t="s">
        <v>6868</v>
      </c>
      <c r="O3202" s="405" t="s">
        <v>15393</v>
      </c>
      <c r="P3202" s="405" t="s">
        <v>15591</v>
      </c>
      <c r="Q3202" s="411">
        <v>6</v>
      </c>
      <c r="R3202" s="405" t="s">
        <v>6871</v>
      </c>
      <c r="S3202" s="405" t="s">
        <v>17013</v>
      </c>
      <c r="T3202" s="405" t="s">
        <v>32102</v>
      </c>
      <c r="U3202" s="405" t="s">
        <v>319</v>
      </c>
    </row>
    <row r="3203" spans="1:21" x14ac:dyDescent="0.25">
      <c r="A3203" s="405" t="s">
        <v>310</v>
      </c>
      <c r="B3203" s="405" t="s">
        <v>27642</v>
      </c>
      <c r="C3203" s="405" t="s">
        <v>327</v>
      </c>
      <c r="D3203" s="405"/>
      <c r="E3203" s="410">
        <v>42782</v>
      </c>
      <c r="F3203" s="410">
        <v>42988</v>
      </c>
      <c r="G3203" s="405" t="s">
        <v>15823</v>
      </c>
      <c r="H3203" s="405">
        <v>756519991</v>
      </c>
      <c r="I3203" s="405"/>
      <c r="J3203" s="405">
        <v>1.4013279999999999</v>
      </c>
      <c r="K3203" s="405">
        <v>34.627752999999998</v>
      </c>
      <c r="L3203" s="405" t="s">
        <v>6866</v>
      </c>
      <c r="M3203" s="405" t="s">
        <v>9705</v>
      </c>
      <c r="N3203" s="405" t="s">
        <v>9705</v>
      </c>
      <c r="O3203" s="405" t="s">
        <v>10307</v>
      </c>
      <c r="P3203" s="405" t="s">
        <v>15824</v>
      </c>
      <c r="Q3203" s="411">
        <v>6</v>
      </c>
      <c r="R3203" s="405" t="s">
        <v>9506</v>
      </c>
      <c r="S3203" s="405" t="s">
        <v>27169</v>
      </c>
      <c r="T3203" s="405" t="s">
        <v>32102</v>
      </c>
      <c r="U3203" s="405" t="s">
        <v>319</v>
      </c>
    </row>
    <row r="3204" spans="1:21" x14ac:dyDescent="0.25">
      <c r="A3204" s="405" t="s">
        <v>310</v>
      </c>
      <c r="B3204" s="405" t="s">
        <v>22989</v>
      </c>
      <c r="C3204" s="405" t="s">
        <v>327</v>
      </c>
      <c r="D3204" s="405"/>
      <c r="E3204" s="410">
        <v>42781</v>
      </c>
      <c r="F3204" s="410">
        <v>42826</v>
      </c>
      <c r="G3204" s="405" t="s">
        <v>22990</v>
      </c>
      <c r="H3204" s="405">
        <v>777312530</v>
      </c>
      <c r="I3204" s="405"/>
      <c r="J3204" s="405">
        <v>1.6973020000000001</v>
      </c>
      <c r="K3204" s="405">
        <v>31.834343000000001</v>
      </c>
      <c r="L3204" s="405" t="s">
        <v>590</v>
      </c>
      <c r="M3204" s="405" t="s">
        <v>19608</v>
      </c>
      <c r="N3204" s="405" t="s">
        <v>22991</v>
      </c>
      <c r="O3204" s="405" t="s">
        <v>22992</v>
      </c>
      <c r="P3204" s="405" t="s">
        <v>22993</v>
      </c>
      <c r="Q3204" s="411">
        <v>6</v>
      </c>
      <c r="R3204" s="405" t="s">
        <v>22785</v>
      </c>
      <c r="S3204" s="405" t="s">
        <v>27126</v>
      </c>
      <c r="T3204" s="405" t="s">
        <v>32102</v>
      </c>
      <c r="U3204" s="405" t="s">
        <v>319</v>
      </c>
    </row>
    <row r="3205" spans="1:21" x14ac:dyDescent="0.25">
      <c r="A3205" s="405" t="s">
        <v>310</v>
      </c>
      <c r="B3205" s="405" t="s">
        <v>16043</v>
      </c>
      <c r="C3205" s="405" t="s">
        <v>311</v>
      </c>
      <c r="D3205" s="405" t="s">
        <v>312</v>
      </c>
      <c r="E3205" s="410">
        <v>42781</v>
      </c>
      <c r="F3205" s="410">
        <v>42826</v>
      </c>
      <c r="G3205" s="405" t="s">
        <v>16044</v>
      </c>
      <c r="H3205" s="405">
        <v>702538667</v>
      </c>
      <c r="I3205" s="405"/>
      <c r="J3205" s="405">
        <v>0.74423499999999998</v>
      </c>
      <c r="K3205" s="405">
        <v>30.759177999999999</v>
      </c>
      <c r="L3205" s="405" t="s">
        <v>6866</v>
      </c>
      <c r="M3205" s="405" t="s">
        <v>9514</v>
      </c>
      <c r="N3205" s="405" t="s">
        <v>9722</v>
      </c>
      <c r="O3205" s="405" t="s">
        <v>9608</v>
      </c>
      <c r="P3205" s="405" t="s">
        <v>8039</v>
      </c>
      <c r="Q3205" s="411">
        <v>6</v>
      </c>
      <c r="R3205" s="405" t="s">
        <v>7224</v>
      </c>
      <c r="S3205" s="405" t="s">
        <v>27309</v>
      </c>
      <c r="T3205" s="405" t="s">
        <v>32102</v>
      </c>
      <c r="U3205" s="405" t="s">
        <v>319</v>
      </c>
    </row>
    <row r="3206" spans="1:21" x14ac:dyDescent="0.25">
      <c r="A3206" s="405" t="s">
        <v>310</v>
      </c>
      <c r="B3206" s="405" t="s">
        <v>22947</v>
      </c>
      <c r="C3206" s="405" t="s">
        <v>327</v>
      </c>
      <c r="D3206" s="405"/>
      <c r="E3206" s="410">
        <v>42780</v>
      </c>
      <c r="F3206" s="410">
        <v>42825</v>
      </c>
      <c r="G3206" s="405" t="s">
        <v>22948</v>
      </c>
      <c r="H3206" s="405">
        <v>702491342</v>
      </c>
      <c r="I3206" s="405"/>
      <c r="J3206" s="405">
        <v>0.62753800000000004</v>
      </c>
      <c r="K3206" s="405">
        <v>30.656092999999998</v>
      </c>
      <c r="L3206" s="405" t="s">
        <v>590</v>
      </c>
      <c r="M3206" s="405" t="s">
        <v>879</v>
      </c>
      <c r="N3206" s="405" t="s">
        <v>22949</v>
      </c>
      <c r="O3206" s="405" t="s">
        <v>22949</v>
      </c>
      <c r="P3206" s="405" t="s">
        <v>22950</v>
      </c>
      <c r="Q3206" s="411">
        <v>13</v>
      </c>
      <c r="R3206" s="405" t="s">
        <v>5665</v>
      </c>
      <c r="S3206" s="405" t="s">
        <v>27051</v>
      </c>
      <c r="T3206" s="405" t="s">
        <v>32102</v>
      </c>
      <c r="U3206" s="405" t="s">
        <v>319</v>
      </c>
    </row>
    <row r="3207" spans="1:21" x14ac:dyDescent="0.25">
      <c r="A3207" s="405" t="s">
        <v>310</v>
      </c>
      <c r="B3207" s="405" t="s">
        <v>28101</v>
      </c>
      <c r="C3207" s="405" t="s">
        <v>311</v>
      </c>
      <c r="D3207" s="405" t="s">
        <v>839</v>
      </c>
      <c r="E3207" s="410">
        <v>42780</v>
      </c>
      <c r="F3207" s="410">
        <v>42825</v>
      </c>
      <c r="G3207" s="405" t="s">
        <v>16013</v>
      </c>
      <c r="H3207" s="405">
        <v>787171076</v>
      </c>
      <c r="I3207" s="405">
        <v>783715800</v>
      </c>
      <c r="J3207" s="405">
        <v>0.53907300000000002</v>
      </c>
      <c r="K3207" s="405">
        <v>33.217803000000004</v>
      </c>
      <c r="L3207" s="405" t="s">
        <v>6866</v>
      </c>
      <c r="M3207" s="405" t="s">
        <v>6867</v>
      </c>
      <c r="N3207" s="405" t="s">
        <v>15536</v>
      </c>
      <c r="O3207" s="405" t="s">
        <v>12252</v>
      </c>
      <c r="P3207" s="405" t="s">
        <v>16014</v>
      </c>
      <c r="Q3207" s="411">
        <v>6</v>
      </c>
      <c r="R3207" s="405" t="s">
        <v>6871</v>
      </c>
      <c r="S3207" s="405" t="s">
        <v>27074</v>
      </c>
      <c r="T3207" s="405" t="s">
        <v>32102</v>
      </c>
      <c r="U3207" s="405" t="s">
        <v>319</v>
      </c>
    </row>
    <row r="3208" spans="1:21" x14ac:dyDescent="0.25">
      <c r="A3208" s="405" t="s">
        <v>310</v>
      </c>
      <c r="B3208" s="405" t="s">
        <v>27645</v>
      </c>
      <c r="C3208" s="405" t="s">
        <v>327</v>
      </c>
      <c r="D3208" s="405"/>
      <c r="E3208" s="410">
        <v>42779</v>
      </c>
      <c r="F3208" s="410">
        <v>42824</v>
      </c>
      <c r="G3208" s="405" t="s">
        <v>15578</v>
      </c>
      <c r="H3208" s="405">
        <v>782848328</v>
      </c>
      <c r="I3208" s="405"/>
      <c r="J3208" s="405">
        <v>1.4066749999999999</v>
      </c>
      <c r="K3208" s="405">
        <v>34.415543</v>
      </c>
      <c r="L3208" s="405" t="s">
        <v>6866</v>
      </c>
      <c r="M3208" s="405" t="s">
        <v>9685</v>
      </c>
      <c r="N3208" s="405" t="s">
        <v>15579</v>
      </c>
      <c r="O3208" s="405" t="s">
        <v>14943</v>
      </c>
      <c r="P3208" s="405" t="s">
        <v>15580</v>
      </c>
      <c r="Q3208" s="411">
        <v>6</v>
      </c>
      <c r="R3208" s="405" t="s">
        <v>9506</v>
      </c>
      <c r="S3208" s="405" t="s">
        <v>27169</v>
      </c>
      <c r="T3208" s="405" t="s">
        <v>32102</v>
      </c>
      <c r="U3208" s="405" t="s">
        <v>319</v>
      </c>
    </row>
    <row r="3209" spans="1:21" x14ac:dyDescent="0.25">
      <c r="A3209" s="405" t="s">
        <v>310</v>
      </c>
      <c r="B3209" s="405" t="s">
        <v>22938</v>
      </c>
      <c r="C3209" s="405" t="s">
        <v>327</v>
      </c>
      <c r="D3209" s="405"/>
      <c r="E3209" s="410">
        <v>42778</v>
      </c>
      <c r="F3209" s="410">
        <v>42823</v>
      </c>
      <c r="G3209" s="405" t="s">
        <v>22939</v>
      </c>
      <c r="H3209" s="405">
        <v>782352407</v>
      </c>
      <c r="I3209" s="405"/>
      <c r="J3209" s="405">
        <v>1.4818</v>
      </c>
      <c r="K3209" s="405">
        <v>31.5945</v>
      </c>
      <c r="L3209" s="405" t="s">
        <v>590</v>
      </c>
      <c r="M3209" s="405" t="s">
        <v>7300</v>
      </c>
      <c r="N3209" s="405" t="s">
        <v>20450</v>
      </c>
      <c r="O3209" s="405" t="s">
        <v>20451</v>
      </c>
      <c r="P3209" s="405" t="s">
        <v>22314</v>
      </c>
      <c r="Q3209" s="411">
        <v>6</v>
      </c>
      <c r="R3209" s="405" t="s">
        <v>6397</v>
      </c>
      <c r="S3209" s="405" t="s">
        <v>22880</v>
      </c>
      <c r="T3209" s="405" t="s">
        <v>32102</v>
      </c>
      <c r="U3209" s="405" t="s">
        <v>319</v>
      </c>
    </row>
    <row r="3210" spans="1:21" x14ac:dyDescent="0.25">
      <c r="A3210" s="405" t="s">
        <v>310</v>
      </c>
      <c r="B3210" s="405" t="s">
        <v>28693</v>
      </c>
      <c r="C3210" s="405" t="s">
        <v>327</v>
      </c>
      <c r="D3210" s="405"/>
      <c r="E3210" s="410">
        <v>42776</v>
      </c>
      <c r="F3210" s="410">
        <v>42821</v>
      </c>
      <c r="G3210" s="405" t="s">
        <v>6250</v>
      </c>
      <c r="H3210" s="405">
        <v>752959268</v>
      </c>
      <c r="I3210" s="405">
        <v>772407450</v>
      </c>
      <c r="J3210" s="405">
        <v>0.18440000000000001</v>
      </c>
      <c r="K3210" s="405">
        <v>32.384500000000003</v>
      </c>
      <c r="L3210" s="405" t="s">
        <v>314</v>
      </c>
      <c r="M3210" s="405" t="s">
        <v>992</v>
      </c>
      <c r="N3210" s="405" t="s">
        <v>362</v>
      </c>
      <c r="O3210" s="405" t="s">
        <v>987</v>
      </c>
      <c r="P3210" s="405" t="s">
        <v>6251</v>
      </c>
      <c r="Q3210" s="411">
        <v>13</v>
      </c>
      <c r="R3210" s="405" t="s">
        <v>5903</v>
      </c>
      <c r="S3210" s="405" t="s">
        <v>27153</v>
      </c>
      <c r="T3210" s="405" t="s">
        <v>32102</v>
      </c>
      <c r="U3210" s="405" t="s">
        <v>319</v>
      </c>
    </row>
    <row r="3211" spans="1:21" x14ac:dyDescent="0.25">
      <c r="A3211" s="405" t="s">
        <v>310</v>
      </c>
      <c r="B3211" s="405" t="s">
        <v>22976</v>
      </c>
      <c r="C3211" s="405" t="s">
        <v>327</v>
      </c>
      <c r="D3211" s="405"/>
      <c r="E3211" s="410">
        <v>42776</v>
      </c>
      <c r="F3211" s="410">
        <v>42841</v>
      </c>
      <c r="G3211" s="405" t="s">
        <v>22977</v>
      </c>
      <c r="H3211" s="405">
        <v>777525222</v>
      </c>
      <c r="I3211" s="405">
        <v>751740681</v>
      </c>
      <c r="J3211" s="405">
        <v>0.58150000000000002</v>
      </c>
      <c r="K3211" s="405">
        <v>30.815999999999999</v>
      </c>
      <c r="L3211" s="405" t="s">
        <v>590</v>
      </c>
      <c r="M3211" s="405" t="s">
        <v>19659</v>
      </c>
      <c r="N3211" s="405" t="s">
        <v>19677</v>
      </c>
      <c r="O3211" s="405" t="s">
        <v>20207</v>
      </c>
      <c r="P3211" s="405" t="s">
        <v>22978</v>
      </c>
      <c r="Q3211" s="411">
        <v>6</v>
      </c>
      <c r="R3211" s="405" t="s">
        <v>6572</v>
      </c>
      <c r="S3211" s="405" t="s">
        <v>27240</v>
      </c>
      <c r="T3211" s="405" t="s">
        <v>32102</v>
      </c>
      <c r="U3211" s="405" t="s">
        <v>319</v>
      </c>
    </row>
    <row r="3212" spans="1:21" x14ac:dyDescent="0.25">
      <c r="A3212" s="405" t="s">
        <v>310</v>
      </c>
      <c r="B3212" s="405" t="s">
        <v>22935</v>
      </c>
      <c r="C3212" s="405" t="s">
        <v>327</v>
      </c>
      <c r="D3212" s="405"/>
      <c r="E3212" s="410">
        <v>42774</v>
      </c>
      <c r="F3212" s="410">
        <v>42810</v>
      </c>
      <c r="G3212" s="405" t="s">
        <v>22936</v>
      </c>
      <c r="H3212" s="405">
        <v>775541212</v>
      </c>
      <c r="I3212" s="405">
        <v>702504766</v>
      </c>
      <c r="J3212" s="405">
        <v>-0.84075200000000005</v>
      </c>
      <c r="K3212" s="405">
        <v>30.007539999999999</v>
      </c>
      <c r="L3212" s="405" t="s">
        <v>590</v>
      </c>
      <c r="M3212" s="405" t="s">
        <v>19619</v>
      </c>
      <c r="N3212" s="405" t="s">
        <v>19620</v>
      </c>
      <c r="O3212" s="405" t="s">
        <v>22937</v>
      </c>
      <c r="P3212" s="405" t="s">
        <v>5876</v>
      </c>
      <c r="Q3212" s="411">
        <v>9</v>
      </c>
      <c r="R3212" s="405" t="s">
        <v>6572</v>
      </c>
      <c r="S3212" s="405" t="s">
        <v>27399</v>
      </c>
      <c r="T3212" s="405" t="s">
        <v>32102</v>
      </c>
      <c r="U3212" s="405" t="s">
        <v>319</v>
      </c>
    </row>
    <row r="3213" spans="1:21" x14ac:dyDescent="0.25">
      <c r="A3213" s="405" t="s">
        <v>310</v>
      </c>
      <c r="B3213" s="405" t="s">
        <v>22940</v>
      </c>
      <c r="C3213" s="405" t="s">
        <v>327</v>
      </c>
      <c r="D3213" s="405"/>
      <c r="E3213" s="410">
        <v>42773</v>
      </c>
      <c r="F3213" s="410">
        <v>42810</v>
      </c>
      <c r="G3213" s="405" t="s">
        <v>22941</v>
      </c>
      <c r="H3213" s="405">
        <v>753618504</v>
      </c>
      <c r="I3213" s="405">
        <v>39289139</v>
      </c>
      <c r="J3213" s="405">
        <v>1.4119999999999999</v>
      </c>
      <c r="K3213" s="405">
        <v>31.421299999999999</v>
      </c>
      <c r="L3213" s="405" t="s">
        <v>590</v>
      </c>
      <c r="M3213" s="405" t="s">
        <v>7300</v>
      </c>
      <c r="N3213" s="405" t="s">
        <v>20091</v>
      </c>
      <c r="O3213" s="405" t="s">
        <v>22942</v>
      </c>
      <c r="P3213" s="405" t="s">
        <v>22943</v>
      </c>
      <c r="Q3213" s="411">
        <v>9</v>
      </c>
      <c r="R3213" s="405" t="s">
        <v>6397</v>
      </c>
      <c r="S3213" s="405" t="s">
        <v>22880</v>
      </c>
      <c r="T3213" s="405" t="s">
        <v>32102</v>
      </c>
      <c r="U3213" s="405" t="s">
        <v>319</v>
      </c>
    </row>
    <row r="3214" spans="1:21" x14ac:dyDescent="0.25">
      <c r="A3214" s="405" t="s">
        <v>310</v>
      </c>
      <c r="B3214" s="405" t="s">
        <v>23163</v>
      </c>
      <c r="C3214" s="405" t="s">
        <v>311</v>
      </c>
      <c r="D3214" s="405" t="s">
        <v>1789</v>
      </c>
      <c r="E3214" s="410">
        <v>42772</v>
      </c>
      <c r="F3214" s="410">
        <v>42817</v>
      </c>
      <c r="G3214" s="405" t="s">
        <v>23164</v>
      </c>
      <c r="H3214" s="405">
        <v>777195413</v>
      </c>
      <c r="I3214" s="405"/>
      <c r="J3214" s="405">
        <v>-0.60803300000000005</v>
      </c>
      <c r="K3214" s="405">
        <v>30.225325000000002</v>
      </c>
      <c r="L3214" s="405" t="s">
        <v>590</v>
      </c>
      <c r="M3214" s="405" t="s">
        <v>19625</v>
      </c>
      <c r="N3214" s="405" t="s">
        <v>19642</v>
      </c>
      <c r="O3214" s="405" t="s">
        <v>23165</v>
      </c>
      <c r="P3214" s="405" t="s">
        <v>23166</v>
      </c>
      <c r="Q3214" s="411">
        <v>6</v>
      </c>
      <c r="R3214" s="405" t="s">
        <v>6943</v>
      </c>
      <c r="S3214" s="405" t="s">
        <v>27096</v>
      </c>
      <c r="T3214" s="405" t="s">
        <v>32102</v>
      </c>
      <c r="U3214" s="405" t="s">
        <v>319</v>
      </c>
    </row>
    <row r="3215" spans="1:21" x14ac:dyDescent="0.25">
      <c r="A3215" s="405" t="s">
        <v>310</v>
      </c>
      <c r="B3215" s="405" t="s">
        <v>22919</v>
      </c>
      <c r="C3215" s="405" t="s">
        <v>327</v>
      </c>
      <c r="D3215" s="405"/>
      <c r="E3215" s="410">
        <v>42767</v>
      </c>
      <c r="F3215" s="410">
        <v>42812</v>
      </c>
      <c r="G3215" s="405" t="s">
        <v>22920</v>
      </c>
      <c r="H3215" s="405">
        <v>782386026</v>
      </c>
      <c r="I3215" s="405"/>
      <c r="J3215" s="405">
        <v>0.48047000000000001</v>
      </c>
      <c r="K3215" s="405">
        <v>30.308617999999999</v>
      </c>
      <c r="L3215" s="405" t="s">
        <v>590</v>
      </c>
      <c r="M3215" s="405" t="s">
        <v>19625</v>
      </c>
      <c r="N3215" s="405" t="s">
        <v>20342</v>
      </c>
      <c r="O3215" s="405" t="s">
        <v>22921</v>
      </c>
      <c r="P3215" s="405" t="s">
        <v>20793</v>
      </c>
      <c r="Q3215" s="411">
        <v>9</v>
      </c>
      <c r="R3215" s="405" t="s">
        <v>6943</v>
      </c>
      <c r="S3215" s="405" t="s">
        <v>27280</v>
      </c>
      <c r="T3215" s="405" t="s">
        <v>32102</v>
      </c>
      <c r="U3215" s="405" t="s">
        <v>319</v>
      </c>
    </row>
    <row r="3216" spans="1:21" x14ac:dyDescent="0.25">
      <c r="A3216" s="405" t="s">
        <v>310</v>
      </c>
      <c r="B3216" s="405" t="s">
        <v>28170</v>
      </c>
      <c r="C3216" s="405" t="s">
        <v>327</v>
      </c>
      <c r="D3216" s="405"/>
      <c r="E3216" s="410">
        <v>42767</v>
      </c>
      <c r="F3216" s="410">
        <v>42812</v>
      </c>
      <c r="G3216" s="405" t="s">
        <v>15569</v>
      </c>
      <c r="H3216" s="405">
        <v>784424354</v>
      </c>
      <c r="I3216" s="405">
        <v>704424304</v>
      </c>
      <c r="J3216" s="405">
        <v>1.3083400000000001</v>
      </c>
      <c r="K3216" s="405">
        <v>34.365600000000001</v>
      </c>
      <c r="L3216" s="405" t="s">
        <v>6866</v>
      </c>
      <c r="M3216" s="405" t="s">
        <v>9685</v>
      </c>
      <c r="N3216" s="405" t="s">
        <v>9686</v>
      </c>
      <c r="O3216" s="405" t="s">
        <v>15570</v>
      </c>
      <c r="P3216" s="405" t="s">
        <v>15571</v>
      </c>
      <c r="Q3216" s="411">
        <v>6</v>
      </c>
      <c r="R3216" s="405" t="s">
        <v>9506</v>
      </c>
      <c r="S3216" s="405" t="s">
        <v>27169</v>
      </c>
      <c r="T3216" s="405" t="s">
        <v>32102</v>
      </c>
      <c r="U3216" s="405" t="s">
        <v>319</v>
      </c>
    </row>
    <row r="3217" spans="1:21" x14ac:dyDescent="0.25">
      <c r="A3217" s="405" t="s">
        <v>310</v>
      </c>
      <c r="B3217" s="405" t="s">
        <v>22944</v>
      </c>
      <c r="C3217" s="405" t="s">
        <v>327</v>
      </c>
      <c r="D3217" s="405"/>
      <c r="E3217" s="410">
        <v>42765</v>
      </c>
      <c r="F3217" s="410">
        <v>42810</v>
      </c>
      <c r="G3217" s="405" t="s">
        <v>22945</v>
      </c>
      <c r="H3217" s="405">
        <v>776341002</v>
      </c>
      <c r="I3217" s="405"/>
      <c r="J3217" s="405">
        <v>1.7582199999999999</v>
      </c>
      <c r="K3217" s="405">
        <v>31.870280000000001</v>
      </c>
      <c r="L3217" s="405" t="s">
        <v>590</v>
      </c>
      <c r="M3217" s="405" t="s">
        <v>19608</v>
      </c>
      <c r="N3217" s="405" t="s">
        <v>19609</v>
      </c>
      <c r="O3217" s="405" t="s">
        <v>19610</v>
      </c>
      <c r="P3217" s="405" t="s">
        <v>22946</v>
      </c>
      <c r="Q3217" s="411">
        <v>9</v>
      </c>
      <c r="R3217" s="405" t="s">
        <v>22785</v>
      </c>
      <c r="S3217" s="405" t="s">
        <v>27126</v>
      </c>
      <c r="T3217" s="405" t="s">
        <v>32102</v>
      </c>
      <c r="U3217" s="405" t="s">
        <v>319</v>
      </c>
    </row>
    <row r="3218" spans="1:21" x14ac:dyDescent="0.25">
      <c r="A3218" s="405" t="s">
        <v>310</v>
      </c>
      <c r="B3218" s="405" t="s">
        <v>22898</v>
      </c>
      <c r="C3218" s="405" t="s">
        <v>327</v>
      </c>
      <c r="D3218" s="405"/>
      <c r="E3218" s="410">
        <v>42762</v>
      </c>
      <c r="F3218" s="410">
        <v>42784</v>
      </c>
      <c r="G3218" s="405" t="s">
        <v>22899</v>
      </c>
      <c r="H3218" s="405">
        <v>712876115</v>
      </c>
      <c r="I3218" s="405"/>
      <c r="J3218" s="405">
        <v>-0.206182</v>
      </c>
      <c r="K3218" s="405">
        <v>30.945869999999999</v>
      </c>
      <c r="L3218" s="405" t="s">
        <v>590</v>
      </c>
      <c r="M3218" s="405" t="s">
        <v>19705</v>
      </c>
      <c r="N3218" s="405" t="s">
        <v>19706</v>
      </c>
      <c r="O3218" s="405" t="s">
        <v>19707</v>
      </c>
      <c r="P3218" s="405" t="s">
        <v>22900</v>
      </c>
      <c r="Q3218" s="411">
        <v>13</v>
      </c>
      <c r="R3218" s="405" t="s">
        <v>874</v>
      </c>
      <c r="S3218" s="405" t="s">
        <v>27063</v>
      </c>
      <c r="T3218" s="405" t="s">
        <v>32102</v>
      </c>
      <c r="U3218" s="405" t="s">
        <v>319</v>
      </c>
    </row>
    <row r="3219" spans="1:21" x14ac:dyDescent="0.25">
      <c r="A3219" s="405" t="s">
        <v>310</v>
      </c>
      <c r="B3219" s="405" t="s">
        <v>23321</v>
      </c>
      <c r="C3219" s="405" t="s">
        <v>327</v>
      </c>
      <c r="D3219" s="405"/>
      <c r="E3219" s="410">
        <v>42762</v>
      </c>
      <c r="F3219" s="410">
        <v>42807</v>
      </c>
      <c r="G3219" s="405" t="s">
        <v>23322</v>
      </c>
      <c r="H3219" s="405">
        <v>772768154</v>
      </c>
      <c r="I3219" s="405"/>
      <c r="J3219" s="405">
        <v>0.74751500000000004</v>
      </c>
      <c r="K3219" s="405">
        <v>29.832055</v>
      </c>
      <c r="L3219" s="405" t="s">
        <v>590</v>
      </c>
      <c r="M3219" s="405" t="s">
        <v>21087</v>
      </c>
      <c r="N3219" s="405" t="s">
        <v>21927</v>
      </c>
      <c r="O3219" s="405" t="s">
        <v>23323</v>
      </c>
      <c r="P3219" s="405" t="s">
        <v>23323</v>
      </c>
      <c r="Q3219" s="411">
        <v>6</v>
      </c>
      <c r="R3219" s="405" t="s">
        <v>402</v>
      </c>
      <c r="S3219" s="405" t="s">
        <v>27186</v>
      </c>
      <c r="T3219" s="405" t="s">
        <v>32102</v>
      </c>
      <c r="U3219" s="405" t="s">
        <v>319</v>
      </c>
    </row>
    <row r="3220" spans="1:21" x14ac:dyDescent="0.25">
      <c r="A3220" s="405" t="s">
        <v>310</v>
      </c>
      <c r="B3220" s="405" t="s">
        <v>6257</v>
      </c>
      <c r="C3220" s="405" t="s">
        <v>327</v>
      </c>
      <c r="D3220" s="405"/>
      <c r="E3220" s="410">
        <v>42761</v>
      </c>
      <c r="F3220" s="410">
        <v>42806</v>
      </c>
      <c r="G3220" s="405" t="s">
        <v>6258</v>
      </c>
      <c r="H3220" s="405">
        <v>704350885</v>
      </c>
      <c r="I3220" s="405"/>
      <c r="J3220" s="405">
        <v>0.34865200000000002</v>
      </c>
      <c r="K3220" s="405">
        <v>30.778186999999999</v>
      </c>
      <c r="L3220" s="405" t="s">
        <v>314</v>
      </c>
      <c r="M3220" s="405" t="s">
        <v>445</v>
      </c>
      <c r="N3220" s="405" t="s">
        <v>6240</v>
      </c>
      <c r="O3220" s="405" t="s">
        <v>6241</v>
      </c>
      <c r="P3220" s="405" t="s">
        <v>6259</v>
      </c>
      <c r="Q3220" s="411">
        <v>6</v>
      </c>
      <c r="R3220" s="405" t="s">
        <v>5336</v>
      </c>
      <c r="S3220" s="405" t="s">
        <v>27174</v>
      </c>
      <c r="T3220" s="405" t="s">
        <v>32102</v>
      </c>
      <c r="U3220" s="405" t="s">
        <v>319</v>
      </c>
    </row>
    <row r="3221" spans="1:21" x14ac:dyDescent="0.25">
      <c r="A3221" s="405" t="s">
        <v>310</v>
      </c>
      <c r="B3221" s="405" t="s">
        <v>19043</v>
      </c>
      <c r="C3221" s="405" t="s">
        <v>327</v>
      </c>
      <c r="D3221" s="405"/>
      <c r="E3221" s="410">
        <v>42760</v>
      </c>
      <c r="F3221" s="410">
        <v>43412</v>
      </c>
      <c r="G3221" s="405" t="s">
        <v>19044</v>
      </c>
      <c r="H3221" s="405">
        <v>773434392</v>
      </c>
      <c r="I3221" s="405"/>
      <c r="J3221" s="405">
        <v>2.5493269999999999</v>
      </c>
      <c r="K3221" s="405">
        <v>32.358072999999997</v>
      </c>
      <c r="L3221" s="405" t="s">
        <v>860</v>
      </c>
      <c r="M3221" s="405" t="s">
        <v>18349</v>
      </c>
      <c r="N3221" s="405" t="s">
        <v>18311</v>
      </c>
      <c r="O3221" s="405" t="s">
        <v>19045</v>
      </c>
      <c r="P3221" s="405" t="s">
        <v>19046</v>
      </c>
      <c r="Q3221" s="411">
        <v>13</v>
      </c>
      <c r="R3221" s="405" t="s">
        <v>5665</v>
      </c>
      <c r="S3221" s="405" t="s">
        <v>27179</v>
      </c>
      <c r="T3221" s="405" t="s">
        <v>32102</v>
      </c>
      <c r="U3221" s="405" t="s">
        <v>319</v>
      </c>
    </row>
    <row r="3222" spans="1:21" x14ac:dyDescent="0.25">
      <c r="A3222" s="405" t="s">
        <v>310</v>
      </c>
      <c r="B3222" s="405" t="s">
        <v>19010</v>
      </c>
      <c r="C3222" s="405" t="s">
        <v>327</v>
      </c>
      <c r="D3222" s="405"/>
      <c r="E3222" s="410">
        <v>42760</v>
      </c>
      <c r="F3222" s="410">
        <v>42805</v>
      </c>
      <c r="G3222" s="405" t="s">
        <v>19011</v>
      </c>
      <c r="H3222" s="405">
        <v>774923304</v>
      </c>
      <c r="I3222" s="405"/>
      <c r="J3222" s="405">
        <v>1.02247</v>
      </c>
      <c r="K3222" s="405">
        <v>34.368583000000001</v>
      </c>
      <c r="L3222" s="405" t="s">
        <v>860</v>
      </c>
      <c r="M3222" s="405" t="s">
        <v>18234</v>
      </c>
      <c r="N3222" s="405" t="s">
        <v>18252</v>
      </c>
      <c r="O3222" s="405" t="s">
        <v>18234</v>
      </c>
      <c r="P3222" s="405" t="s">
        <v>19012</v>
      </c>
      <c r="Q3222" s="411">
        <v>9</v>
      </c>
      <c r="R3222" s="405" t="s">
        <v>18919</v>
      </c>
      <c r="S3222" s="405" t="s">
        <v>27243</v>
      </c>
      <c r="T3222" s="405" t="s">
        <v>32102</v>
      </c>
      <c r="U3222" s="405" t="s">
        <v>319</v>
      </c>
    </row>
    <row r="3223" spans="1:21" x14ac:dyDescent="0.25">
      <c r="A3223" s="405" t="s">
        <v>310</v>
      </c>
      <c r="B3223" s="405" t="s">
        <v>6655</v>
      </c>
      <c r="C3223" s="405" t="s">
        <v>327</v>
      </c>
      <c r="D3223" s="405"/>
      <c r="E3223" s="410">
        <v>42756</v>
      </c>
      <c r="F3223" s="410">
        <v>43130</v>
      </c>
      <c r="G3223" s="405" t="s">
        <v>6656</v>
      </c>
      <c r="H3223" s="405">
        <v>772403854</v>
      </c>
      <c r="I3223" s="405"/>
      <c r="J3223" s="405">
        <v>0.41014800000000001</v>
      </c>
      <c r="K3223" s="405">
        <v>32.578982000000003</v>
      </c>
      <c r="L3223" s="405" t="s">
        <v>314</v>
      </c>
      <c r="M3223" s="405" t="s">
        <v>361</v>
      </c>
      <c r="N3223" s="405" t="s">
        <v>362</v>
      </c>
      <c r="O3223" s="405" t="s">
        <v>6198</v>
      </c>
      <c r="P3223" s="405" t="s">
        <v>579</v>
      </c>
      <c r="Q3223" s="411">
        <v>9</v>
      </c>
      <c r="R3223" s="405" t="s">
        <v>5903</v>
      </c>
      <c r="S3223" s="405" t="s">
        <v>27153</v>
      </c>
      <c r="T3223" s="405" t="s">
        <v>32102</v>
      </c>
      <c r="U3223" s="405" t="s">
        <v>319</v>
      </c>
    </row>
    <row r="3224" spans="1:21" x14ac:dyDescent="0.25">
      <c r="A3224" s="405" t="s">
        <v>310</v>
      </c>
      <c r="B3224" s="405" t="s">
        <v>6245</v>
      </c>
      <c r="C3224" s="405" t="s">
        <v>327</v>
      </c>
      <c r="D3224" s="405"/>
      <c r="E3224" s="410">
        <v>42756</v>
      </c>
      <c r="F3224" s="410">
        <v>42801</v>
      </c>
      <c r="G3224" s="405" t="s">
        <v>6246</v>
      </c>
      <c r="H3224" s="405">
        <v>786295228</v>
      </c>
      <c r="I3224" s="405"/>
      <c r="J3224" s="405">
        <v>0.1953</v>
      </c>
      <c r="K3224" s="405">
        <v>32.433100000000003</v>
      </c>
      <c r="L3224" s="405" t="s">
        <v>314</v>
      </c>
      <c r="M3224" s="405" t="s">
        <v>329</v>
      </c>
      <c r="N3224" s="405" t="s">
        <v>329</v>
      </c>
      <c r="O3224" s="405" t="s">
        <v>1096</v>
      </c>
      <c r="P3224" s="405" t="s">
        <v>4481</v>
      </c>
      <c r="Q3224" s="411">
        <v>9</v>
      </c>
      <c r="R3224" s="405" t="s">
        <v>32101</v>
      </c>
      <c r="S3224" s="405" t="s">
        <v>27167</v>
      </c>
      <c r="T3224" s="405" t="s">
        <v>32102</v>
      </c>
      <c r="U3224" s="405" t="s">
        <v>319</v>
      </c>
    </row>
    <row r="3225" spans="1:21" x14ac:dyDescent="0.25">
      <c r="A3225" s="405" t="s">
        <v>310</v>
      </c>
      <c r="B3225" s="405" t="s">
        <v>15581</v>
      </c>
      <c r="C3225" s="405" t="s">
        <v>327</v>
      </c>
      <c r="D3225" s="405"/>
      <c r="E3225" s="410">
        <v>42756</v>
      </c>
      <c r="F3225" s="410">
        <v>42801</v>
      </c>
      <c r="G3225" s="405" t="s">
        <v>15582</v>
      </c>
      <c r="H3225" s="405">
        <v>776449952</v>
      </c>
      <c r="I3225" s="405">
        <v>772333285</v>
      </c>
      <c r="J3225" s="405">
        <v>0.91894900000000002</v>
      </c>
      <c r="K3225" s="405">
        <v>33.287072999999999</v>
      </c>
      <c r="L3225" s="405" t="s">
        <v>6866</v>
      </c>
      <c r="M3225" s="405" t="s">
        <v>3009</v>
      </c>
      <c r="N3225" s="405" t="s">
        <v>15583</v>
      </c>
      <c r="O3225" s="405" t="s">
        <v>13500</v>
      </c>
      <c r="P3225" s="405" t="s">
        <v>15584</v>
      </c>
      <c r="Q3225" s="411">
        <v>6</v>
      </c>
      <c r="R3225" s="405" t="s">
        <v>15368</v>
      </c>
      <c r="S3225" s="405" t="s">
        <v>6822</v>
      </c>
      <c r="T3225" s="405" t="s">
        <v>32102</v>
      </c>
      <c r="U3225" s="405" t="s">
        <v>319</v>
      </c>
    </row>
    <row r="3226" spans="1:21" x14ac:dyDescent="0.25">
      <c r="A3226" s="405" t="s">
        <v>310</v>
      </c>
      <c r="B3226" s="405" t="s">
        <v>27784</v>
      </c>
      <c r="C3226" s="405" t="s">
        <v>327</v>
      </c>
      <c r="D3226" s="405"/>
      <c r="E3226" s="410">
        <v>42755</v>
      </c>
      <c r="F3226" s="410">
        <v>42800</v>
      </c>
      <c r="G3226" s="405" t="s">
        <v>15572</v>
      </c>
      <c r="H3226" s="405">
        <v>703312114</v>
      </c>
      <c r="I3226" s="405">
        <v>779259971</v>
      </c>
      <c r="J3226" s="405">
        <v>1.2535719999999999</v>
      </c>
      <c r="K3226" s="405">
        <v>34.330517</v>
      </c>
      <c r="L3226" s="405" t="s">
        <v>6866</v>
      </c>
      <c r="M3226" s="405" t="s">
        <v>9550</v>
      </c>
      <c r="N3226" s="405" t="s">
        <v>9943</v>
      </c>
      <c r="O3226" s="405" t="s">
        <v>9550</v>
      </c>
      <c r="P3226" s="405" t="s">
        <v>15573</v>
      </c>
      <c r="Q3226" s="411">
        <v>6</v>
      </c>
      <c r="R3226" s="405" t="s">
        <v>9506</v>
      </c>
      <c r="S3226" s="405" t="s">
        <v>27169</v>
      </c>
      <c r="T3226" s="405" t="s">
        <v>32102</v>
      </c>
      <c r="U3226" s="405" t="s">
        <v>319</v>
      </c>
    </row>
    <row r="3227" spans="1:21" x14ac:dyDescent="0.25">
      <c r="A3227" s="405" t="s">
        <v>310</v>
      </c>
      <c r="B3227" s="405" t="s">
        <v>28348</v>
      </c>
      <c r="C3227" s="405" t="s">
        <v>327</v>
      </c>
      <c r="D3227" s="405"/>
      <c r="E3227" s="410">
        <v>42755</v>
      </c>
      <c r="F3227" s="410">
        <v>42800</v>
      </c>
      <c r="G3227" s="405" t="s">
        <v>22927</v>
      </c>
      <c r="H3227" s="405">
        <v>701211756</v>
      </c>
      <c r="I3227" s="405"/>
      <c r="J3227" s="405">
        <v>1.3753919999999999</v>
      </c>
      <c r="K3227" s="405">
        <v>31.324086999999999</v>
      </c>
      <c r="L3227" s="405" t="s">
        <v>314</v>
      </c>
      <c r="M3227" s="405" t="s">
        <v>445</v>
      </c>
      <c r="N3227" s="405" t="s">
        <v>6240</v>
      </c>
      <c r="O3227" s="405" t="s">
        <v>6241</v>
      </c>
      <c r="P3227" s="405" t="s">
        <v>22928</v>
      </c>
      <c r="Q3227" s="411">
        <v>6</v>
      </c>
      <c r="R3227" s="405" t="s">
        <v>5336</v>
      </c>
      <c r="S3227" s="405" t="s">
        <v>27174</v>
      </c>
      <c r="T3227" s="405" t="s">
        <v>32102</v>
      </c>
      <c r="U3227" s="405" t="s">
        <v>319</v>
      </c>
    </row>
    <row r="3228" spans="1:21" x14ac:dyDescent="0.25">
      <c r="A3228" s="405" t="s">
        <v>310</v>
      </c>
      <c r="B3228" s="405" t="s">
        <v>9291</v>
      </c>
      <c r="C3228" s="405" t="s">
        <v>327</v>
      </c>
      <c r="D3228" s="405"/>
      <c r="E3228" s="410">
        <v>44554</v>
      </c>
      <c r="F3228" s="410">
        <v>44576</v>
      </c>
      <c r="G3228" s="405" t="s">
        <v>9292</v>
      </c>
      <c r="H3228" s="405" t="s">
        <v>9293</v>
      </c>
      <c r="I3228" s="405" t="s">
        <v>2913</v>
      </c>
      <c r="J3228" s="405">
        <v>0.35025000000000001</v>
      </c>
      <c r="K3228" s="405">
        <v>32.502468999999998</v>
      </c>
      <c r="L3228" s="405" t="s">
        <v>314</v>
      </c>
      <c r="M3228" s="405" t="s">
        <v>361</v>
      </c>
      <c r="N3228" s="405" t="s">
        <v>5838</v>
      </c>
      <c r="O3228" s="405" t="s">
        <v>374</v>
      </c>
      <c r="P3228" s="405" t="s">
        <v>8039</v>
      </c>
      <c r="Q3228" s="411">
        <v>40</v>
      </c>
      <c r="R3228" s="405" t="s">
        <v>32157</v>
      </c>
      <c r="S3228" s="405" t="s">
        <v>27055</v>
      </c>
      <c r="T3228" s="405" t="s">
        <v>32102</v>
      </c>
      <c r="U3228" s="405" t="s">
        <v>319</v>
      </c>
    </row>
    <row r="3229" spans="1:21" x14ac:dyDescent="0.25">
      <c r="A3229" s="405" t="s">
        <v>310</v>
      </c>
      <c r="B3229" s="405" t="s">
        <v>28003</v>
      </c>
      <c r="C3229" s="405" t="s">
        <v>327</v>
      </c>
      <c r="D3229" s="405"/>
      <c r="E3229" s="410">
        <v>42752</v>
      </c>
      <c r="F3229" s="410">
        <v>42797</v>
      </c>
      <c r="G3229" s="405" t="s">
        <v>22922</v>
      </c>
      <c r="H3229" s="405">
        <v>702432048</v>
      </c>
      <c r="I3229" s="405">
        <v>782432048</v>
      </c>
      <c r="J3229" s="405">
        <v>1.5029999999999999</v>
      </c>
      <c r="K3229" s="405">
        <v>31.2715</v>
      </c>
      <c r="L3229" s="405" t="s">
        <v>590</v>
      </c>
      <c r="M3229" s="405" t="s">
        <v>7300</v>
      </c>
      <c r="N3229" s="405" t="s">
        <v>19880</v>
      </c>
      <c r="O3229" s="405" t="s">
        <v>22126</v>
      </c>
      <c r="P3229" s="405" t="s">
        <v>22923</v>
      </c>
      <c r="Q3229" s="411">
        <v>13</v>
      </c>
      <c r="R3229" s="405" t="s">
        <v>6397</v>
      </c>
      <c r="S3229" s="405" t="s">
        <v>27126</v>
      </c>
      <c r="T3229" s="405" t="s">
        <v>32102</v>
      </c>
      <c r="U3229" s="405" t="s">
        <v>319</v>
      </c>
    </row>
    <row r="3230" spans="1:21" x14ac:dyDescent="0.25">
      <c r="A3230" s="405" t="s">
        <v>310</v>
      </c>
      <c r="B3230" s="405" t="s">
        <v>19433</v>
      </c>
      <c r="C3230" s="405" t="s">
        <v>857</v>
      </c>
      <c r="D3230" s="405" t="s">
        <v>4394</v>
      </c>
      <c r="E3230" s="410">
        <v>42750</v>
      </c>
      <c r="F3230" s="410">
        <v>42795</v>
      </c>
      <c r="G3230" s="405" t="s">
        <v>19434</v>
      </c>
      <c r="H3230" s="405">
        <v>788432980</v>
      </c>
      <c r="I3230" s="405">
        <v>772876013</v>
      </c>
      <c r="J3230" s="405">
        <v>2.300837</v>
      </c>
      <c r="K3230" s="405">
        <v>32.925710000000002</v>
      </c>
      <c r="L3230" s="405" t="s">
        <v>860</v>
      </c>
      <c r="M3230" s="405" t="s">
        <v>18234</v>
      </c>
      <c r="N3230" s="405" t="s">
        <v>18252</v>
      </c>
      <c r="O3230" s="405" t="s">
        <v>18714</v>
      </c>
      <c r="P3230" s="405" t="s">
        <v>19435</v>
      </c>
      <c r="Q3230" s="411">
        <v>6</v>
      </c>
      <c r="R3230" s="405" t="s">
        <v>18919</v>
      </c>
      <c r="S3230" s="405" t="s">
        <v>27243</v>
      </c>
      <c r="T3230" s="405" t="s">
        <v>32102</v>
      </c>
      <c r="U3230" s="405" t="s">
        <v>319</v>
      </c>
    </row>
    <row r="3231" spans="1:21" x14ac:dyDescent="0.25">
      <c r="A3231" s="405" t="s">
        <v>310</v>
      </c>
      <c r="B3231" s="405" t="s">
        <v>15574</v>
      </c>
      <c r="C3231" s="405" t="s">
        <v>327</v>
      </c>
      <c r="D3231" s="405"/>
      <c r="E3231" s="410">
        <v>42750</v>
      </c>
      <c r="F3231" s="410">
        <v>42795</v>
      </c>
      <c r="G3231" s="405" t="s">
        <v>15575</v>
      </c>
      <c r="H3231" s="405">
        <v>782659668</v>
      </c>
      <c r="I3231" s="405"/>
      <c r="J3231" s="405">
        <v>1.4061319999999999</v>
      </c>
      <c r="K3231" s="405">
        <v>34.415543</v>
      </c>
      <c r="L3231" s="405" t="s">
        <v>6866</v>
      </c>
      <c r="M3231" s="405" t="s">
        <v>9685</v>
      </c>
      <c r="N3231" s="405" t="s">
        <v>15576</v>
      </c>
      <c r="O3231" s="405" t="s">
        <v>14943</v>
      </c>
      <c r="P3231" s="405" t="s">
        <v>15577</v>
      </c>
      <c r="Q3231" s="411">
        <v>6</v>
      </c>
      <c r="R3231" s="405" t="s">
        <v>9506</v>
      </c>
      <c r="S3231" s="405" t="s">
        <v>27169</v>
      </c>
      <c r="T3231" s="405" t="s">
        <v>32102</v>
      </c>
      <c r="U3231" s="405" t="s">
        <v>319</v>
      </c>
    </row>
    <row r="3232" spans="1:21" x14ac:dyDescent="0.25">
      <c r="A3232" s="405" t="s">
        <v>310</v>
      </c>
      <c r="B3232" s="405" t="s">
        <v>28573</v>
      </c>
      <c r="C3232" s="405" t="s">
        <v>327</v>
      </c>
      <c r="D3232" s="405"/>
      <c r="E3232" s="410">
        <v>42748</v>
      </c>
      <c r="F3232" s="410">
        <v>42793</v>
      </c>
      <c r="G3232" s="405" t="s">
        <v>15558</v>
      </c>
      <c r="H3232" s="405">
        <v>772867195</v>
      </c>
      <c r="I3232" s="405">
        <v>781870910</v>
      </c>
      <c r="J3232" s="405">
        <v>1.0228079999999999</v>
      </c>
      <c r="K3232" s="405">
        <v>34.376240000000003</v>
      </c>
      <c r="L3232" s="405" t="s">
        <v>6866</v>
      </c>
      <c r="M3232" s="405" t="s">
        <v>6867</v>
      </c>
      <c r="N3232" s="405" t="s">
        <v>10297</v>
      </c>
      <c r="O3232" s="405" t="s">
        <v>15559</v>
      </c>
      <c r="P3232" s="405" t="s">
        <v>15559</v>
      </c>
      <c r="Q3232" s="411">
        <v>6</v>
      </c>
      <c r="R3232" s="405" t="s">
        <v>6871</v>
      </c>
      <c r="S3232" s="405" t="s">
        <v>17013</v>
      </c>
      <c r="T3232" s="405" t="s">
        <v>32102</v>
      </c>
      <c r="U3232" s="405" t="s">
        <v>319</v>
      </c>
    </row>
    <row r="3233" spans="1:21" x14ac:dyDescent="0.25">
      <c r="A3233" s="405" t="s">
        <v>310</v>
      </c>
      <c r="B3233" s="405" t="s">
        <v>15970</v>
      </c>
      <c r="C3233" s="405" t="s">
        <v>327</v>
      </c>
      <c r="D3233" s="405"/>
      <c r="E3233" s="410">
        <v>42745</v>
      </c>
      <c r="F3233" s="410">
        <v>43047</v>
      </c>
      <c r="G3233" s="405" t="s">
        <v>15971</v>
      </c>
      <c r="H3233" s="405">
        <v>714431306</v>
      </c>
      <c r="I3233" s="405"/>
      <c r="J3233" s="405">
        <v>1.06</v>
      </c>
      <c r="K3233" s="405">
        <v>34.087666599999999</v>
      </c>
      <c r="L3233" s="405" t="s">
        <v>6866</v>
      </c>
      <c r="M3233" s="405" t="s">
        <v>9514</v>
      </c>
      <c r="N3233" s="405" t="s">
        <v>10236</v>
      </c>
      <c r="O3233" s="405" t="s">
        <v>10236</v>
      </c>
      <c r="P3233" s="405" t="s">
        <v>10236</v>
      </c>
      <c r="Q3233" s="411">
        <v>6</v>
      </c>
      <c r="R3233" s="405" t="s">
        <v>5921</v>
      </c>
      <c r="S3233" s="405" t="s">
        <v>27255</v>
      </c>
      <c r="T3233" s="405" t="s">
        <v>32102</v>
      </c>
      <c r="U3233" s="405" t="s">
        <v>319</v>
      </c>
    </row>
    <row r="3234" spans="1:21" x14ac:dyDescent="0.25">
      <c r="A3234" s="405" t="s">
        <v>310</v>
      </c>
      <c r="B3234" s="405" t="s">
        <v>6238</v>
      </c>
      <c r="C3234" s="405" t="s">
        <v>327</v>
      </c>
      <c r="D3234" s="405"/>
      <c r="E3234" s="410">
        <v>42745</v>
      </c>
      <c r="F3234" s="410">
        <v>42790</v>
      </c>
      <c r="G3234" s="405" t="s">
        <v>6239</v>
      </c>
      <c r="H3234" s="405">
        <v>779160723</v>
      </c>
      <c r="I3234" s="405"/>
      <c r="J3234" s="405">
        <v>-0.34975299999999998</v>
      </c>
      <c r="K3234" s="405">
        <v>31.729285000000001</v>
      </c>
      <c r="L3234" s="405" t="s">
        <v>314</v>
      </c>
      <c r="M3234" s="405" t="s">
        <v>445</v>
      </c>
      <c r="N3234" s="405" t="s">
        <v>6240</v>
      </c>
      <c r="O3234" s="405" t="s">
        <v>6241</v>
      </c>
      <c r="P3234" s="405" t="s">
        <v>6242</v>
      </c>
      <c r="Q3234" s="411">
        <v>6</v>
      </c>
      <c r="R3234" s="405" t="s">
        <v>5336</v>
      </c>
      <c r="S3234" s="405" t="s">
        <v>27174</v>
      </c>
      <c r="T3234" s="405" t="s">
        <v>32102</v>
      </c>
      <c r="U3234" s="405" t="s">
        <v>319</v>
      </c>
    </row>
    <row r="3235" spans="1:21" x14ac:dyDescent="0.25">
      <c r="A3235" s="405" t="s">
        <v>310</v>
      </c>
      <c r="B3235" s="405" t="s">
        <v>6233</v>
      </c>
      <c r="C3235" s="405" t="s">
        <v>327</v>
      </c>
      <c r="D3235" s="405"/>
      <c r="E3235" s="410">
        <v>42742</v>
      </c>
      <c r="F3235" s="410">
        <v>42787</v>
      </c>
      <c r="G3235" s="405" t="s">
        <v>6234</v>
      </c>
      <c r="H3235" s="405">
        <v>784876264</v>
      </c>
      <c r="I3235" s="405">
        <v>789228292</v>
      </c>
      <c r="J3235" s="405">
        <v>0.21240000000000001</v>
      </c>
      <c r="K3235" s="405">
        <v>32.345999999999997</v>
      </c>
      <c r="L3235" s="405" t="s">
        <v>314</v>
      </c>
      <c r="M3235" s="405" t="s">
        <v>675</v>
      </c>
      <c r="N3235" s="405" t="s">
        <v>675</v>
      </c>
      <c r="O3235" s="405" t="s">
        <v>675</v>
      </c>
      <c r="P3235" s="405" t="s">
        <v>6235</v>
      </c>
      <c r="Q3235" s="411">
        <v>9</v>
      </c>
      <c r="R3235" s="405" t="s">
        <v>402</v>
      </c>
      <c r="S3235" s="405" t="s">
        <v>27186</v>
      </c>
      <c r="T3235" s="405" t="s">
        <v>32102</v>
      </c>
      <c r="U3235" s="405" t="s">
        <v>319</v>
      </c>
    </row>
    <row r="3236" spans="1:21" x14ac:dyDescent="0.25">
      <c r="A3236" s="405" t="s">
        <v>310</v>
      </c>
      <c r="B3236" s="405" t="s">
        <v>22924</v>
      </c>
      <c r="C3236" s="405" t="s">
        <v>327</v>
      </c>
      <c r="D3236" s="405"/>
      <c r="E3236" s="410">
        <v>42742</v>
      </c>
      <c r="F3236" s="410">
        <v>42797</v>
      </c>
      <c r="G3236" s="405" t="s">
        <v>22925</v>
      </c>
      <c r="H3236" s="405">
        <v>777539972</v>
      </c>
      <c r="I3236" s="405"/>
      <c r="J3236" s="405">
        <v>0.57289999999999996</v>
      </c>
      <c r="K3236" s="405">
        <v>31.3642</v>
      </c>
      <c r="L3236" s="405" t="s">
        <v>314</v>
      </c>
      <c r="M3236" s="405" t="s">
        <v>1360</v>
      </c>
      <c r="N3236" s="405" t="s">
        <v>1361</v>
      </c>
      <c r="O3236" s="405" t="s">
        <v>6226</v>
      </c>
      <c r="P3236" s="405" t="s">
        <v>22926</v>
      </c>
      <c r="Q3236" s="411">
        <v>6</v>
      </c>
      <c r="R3236" s="405" t="s">
        <v>414</v>
      </c>
      <c r="S3236" s="405" t="s">
        <v>414</v>
      </c>
      <c r="T3236" s="405" t="s">
        <v>32102</v>
      </c>
      <c r="U3236" s="405" t="s">
        <v>319</v>
      </c>
    </row>
    <row r="3237" spans="1:21" x14ac:dyDescent="0.25">
      <c r="A3237" s="405" t="s">
        <v>310</v>
      </c>
      <c r="B3237" s="405" t="s">
        <v>27643</v>
      </c>
      <c r="C3237" s="405" t="s">
        <v>327</v>
      </c>
      <c r="D3237" s="405"/>
      <c r="E3237" s="410">
        <v>42742</v>
      </c>
      <c r="F3237" s="410">
        <v>42988</v>
      </c>
      <c r="G3237" s="405" t="s">
        <v>15818</v>
      </c>
      <c r="H3237" s="405">
        <v>700325890</v>
      </c>
      <c r="I3237" s="405"/>
      <c r="J3237" s="405">
        <v>1.33263</v>
      </c>
      <c r="K3237" s="405">
        <v>34.358060000000002</v>
      </c>
      <c r="L3237" s="405" t="s">
        <v>6866</v>
      </c>
      <c r="M3237" s="405" t="s">
        <v>9685</v>
      </c>
      <c r="N3237" s="405" t="s">
        <v>9686</v>
      </c>
      <c r="O3237" s="405" t="s">
        <v>15766</v>
      </c>
      <c r="P3237" s="405" t="s">
        <v>15580</v>
      </c>
      <c r="Q3237" s="411">
        <v>4</v>
      </c>
      <c r="R3237" s="405" t="s">
        <v>9506</v>
      </c>
      <c r="S3237" s="405" t="s">
        <v>27169</v>
      </c>
      <c r="T3237" s="405" t="s">
        <v>32102</v>
      </c>
      <c r="U3237" s="405" t="s">
        <v>319</v>
      </c>
    </row>
    <row r="3238" spans="1:21" x14ac:dyDescent="0.25">
      <c r="A3238" s="405" t="s">
        <v>310</v>
      </c>
      <c r="B3238" s="405" t="s">
        <v>6281</v>
      </c>
      <c r="C3238" s="405" t="s">
        <v>327</v>
      </c>
      <c r="D3238" s="405"/>
      <c r="E3238" s="410">
        <v>42739</v>
      </c>
      <c r="F3238" s="410">
        <v>42871</v>
      </c>
      <c r="G3238" s="405" t="s">
        <v>6282</v>
      </c>
      <c r="H3238" s="405">
        <v>753511105</v>
      </c>
      <c r="I3238" s="405"/>
      <c r="J3238" s="405">
        <v>0.42320000000000002</v>
      </c>
      <c r="K3238" s="405">
        <v>31.232199999999999</v>
      </c>
      <c r="L3238" s="405" t="s">
        <v>314</v>
      </c>
      <c r="M3238" s="405" t="s">
        <v>398</v>
      </c>
      <c r="N3238" s="405" t="s">
        <v>6283</v>
      </c>
      <c r="O3238" s="405" t="s">
        <v>6284</v>
      </c>
      <c r="P3238" s="405" t="s">
        <v>6285</v>
      </c>
      <c r="Q3238" s="411">
        <v>9</v>
      </c>
      <c r="R3238" s="405" t="s">
        <v>402</v>
      </c>
      <c r="S3238" s="405" t="s">
        <v>27139</v>
      </c>
      <c r="T3238" s="405" t="s">
        <v>32102</v>
      </c>
      <c r="U3238" s="405" t="s">
        <v>319</v>
      </c>
    </row>
    <row r="3239" spans="1:21" x14ac:dyDescent="0.25">
      <c r="A3239" s="405" t="s">
        <v>310</v>
      </c>
      <c r="B3239" s="405" t="s">
        <v>22915</v>
      </c>
      <c r="C3239" s="405" t="s">
        <v>327</v>
      </c>
      <c r="D3239" s="405"/>
      <c r="E3239" s="410">
        <v>42738</v>
      </c>
      <c r="F3239" s="410">
        <v>42809</v>
      </c>
      <c r="G3239" s="405" t="s">
        <v>22916</v>
      </c>
      <c r="H3239" s="405">
        <v>774518309</v>
      </c>
      <c r="I3239" s="405"/>
      <c r="J3239" s="405">
        <v>0.38450000000000001</v>
      </c>
      <c r="K3239" s="405">
        <v>32.115600000000001</v>
      </c>
      <c r="L3239" s="405" t="s">
        <v>590</v>
      </c>
      <c r="M3239" s="405" t="s">
        <v>19725</v>
      </c>
      <c r="N3239" s="405" t="s">
        <v>19725</v>
      </c>
      <c r="O3239" s="405" t="s">
        <v>22917</v>
      </c>
      <c r="P3239" s="405" t="s">
        <v>22918</v>
      </c>
      <c r="Q3239" s="411">
        <v>9</v>
      </c>
      <c r="R3239" s="405" t="s">
        <v>6943</v>
      </c>
      <c r="S3239" s="405" t="s">
        <v>27399</v>
      </c>
      <c r="T3239" s="405" t="s">
        <v>32102</v>
      </c>
      <c r="U3239" s="405" t="s">
        <v>319</v>
      </c>
    </row>
    <row r="3240" spans="1:21" x14ac:dyDescent="0.25">
      <c r="A3240" s="405" t="s">
        <v>310</v>
      </c>
      <c r="B3240" s="405" t="s">
        <v>29126</v>
      </c>
      <c r="C3240" s="405" t="s">
        <v>327</v>
      </c>
      <c r="D3240" s="405"/>
      <c r="E3240" s="410">
        <v>42737</v>
      </c>
      <c r="F3240" s="410">
        <v>42782</v>
      </c>
      <c r="G3240" s="405" t="s">
        <v>15564</v>
      </c>
      <c r="H3240" s="405">
        <v>753143638</v>
      </c>
      <c r="I3240" s="405"/>
      <c r="J3240" s="405">
        <v>1.2724850000000001</v>
      </c>
      <c r="K3240" s="405">
        <v>34.361919999999998</v>
      </c>
      <c r="L3240" s="405" t="s">
        <v>6866</v>
      </c>
      <c r="M3240" s="405" t="s">
        <v>9550</v>
      </c>
      <c r="N3240" s="405" t="s">
        <v>9550</v>
      </c>
      <c r="O3240" s="405" t="s">
        <v>9943</v>
      </c>
      <c r="P3240" s="405" t="s">
        <v>15565</v>
      </c>
      <c r="Q3240" s="411">
        <v>6</v>
      </c>
      <c r="R3240" s="405" t="s">
        <v>9506</v>
      </c>
      <c r="S3240" s="405" t="s">
        <v>27169</v>
      </c>
      <c r="T3240" s="405" t="s">
        <v>32102</v>
      </c>
      <c r="U3240" s="405" t="s">
        <v>319</v>
      </c>
    </row>
    <row r="3241" spans="1:21" x14ac:dyDescent="0.25">
      <c r="A3241" s="405" t="s">
        <v>310</v>
      </c>
      <c r="B3241" s="405" t="s">
        <v>28056</v>
      </c>
      <c r="C3241" s="405" t="s">
        <v>327</v>
      </c>
      <c r="D3241" s="405"/>
      <c r="E3241" s="410">
        <v>42734</v>
      </c>
      <c r="F3241" s="410">
        <v>42779</v>
      </c>
      <c r="G3241" s="405" t="s">
        <v>15560</v>
      </c>
      <c r="H3241" s="405">
        <v>774242454</v>
      </c>
      <c r="I3241" s="405"/>
      <c r="J3241" s="405">
        <v>0.82184400000000002</v>
      </c>
      <c r="K3241" s="405">
        <v>34.308860000000003</v>
      </c>
      <c r="L3241" s="405" t="s">
        <v>6866</v>
      </c>
      <c r="M3241" s="405" t="s">
        <v>9763</v>
      </c>
      <c r="N3241" s="405" t="s">
        <v>10174</v>
      </c>
      <c r="O3241" s="405" t="s">
        <v>10122</v>
      </c>
      <c r="P3241" s="405" t="s">
        <v>15561</v>
      </c>
      <c r="Q3241" s="411">
        <v>9</v>
      </c>
      <c r="R3241" s="405" t="s">
        <v>7224</v>
      </c>
      <c r="S3241" s="405" t="s">
        <v>27259</v>
      </c>
      <c r="T3241" s="405" t="s">
        <v>32102</v>
      </c>
      <c r="U3241" s="405" t="s">
        <v>319</v>
      </c>
    </row>
    <row r="3242" spans="1:21" x14ac:dyDescent="0.25">
      <c r="A3242" s="405" t="s">
        <v>310</v>
      </c>
      <c r="B3242" s="405" t="s">
        <v>28458</v>
      </c>
      <c r="C3242" s="405" t="s">
        <v>327</v>
      </c>
      <c r="D3242" s="405"/>
      <c r="E3242" s="410">
        <v>42733</v>
      </c>
      <c r="F3242" s="410">
        <v>42778</v>
      </c>
      <c r="G3242" s="405" t="s">
        <v>22886</v>
      </c>
      <c r="H3242" s="405">
        <v>772372064</v>
      </c>
      <c r="I3242" s="405"/>
      <c r="J3242" s="405">
        <v>1.7250000000000001</v>
      </c>
      <c r="K3242" s="405">
        <v>30.100999999999999</v>
      </c>
      <c r="L3242" s="405" t="s">
        <v>590</v>
      </c>
      <c r="M3242" s="405" t="s">
        <v>19659</v>
      </c>
      <c r="N3242" s="405" t="s">
        <v>19677</v>
      </c>
      <c r="O3242" s="405" t="s">
        <v>2864</v>
      </c>
      <c r="P3242" s="405" t="s">
        <v>22887</v>
      </c>
      <c r="Q3242" s="411">
        <v>9</v>
      </c>
      <c r="R3242" s="405" t="s">
        <v>6572</v>
      </c>
      <c r="S3242" s="405" t="s">
        <v>27166</v>
      </c>
      <c r="T3242" s="405" t="s">
        <v>32102</v>
      </c>
      <c r="U3242" s="405" t="s">
        <v>319</v>
      </c>
    </row>
    <row r="3243" spans="1:21" x14ac:dyDescent="0.25">
      <c r="A3243" s="405" t="s">
        <v>310</v>
      </c>
      <c r="B3243" s="405" t="s">
        <v>28299</v>
      </c>
      <c r="C3243" s="405" t="s">
        <v>311</v>
      </c>
      <c r="D3243" s="405" t="s">
        <v>33053</v>
      </c>
      <c r="E3243" s="410">
        <v>42733</v>
      </c>
      <c r="F3243" s="410">
        <v>42778</v>
      </c>
      <c r="G3243" s="405" t="s">
        <v>23122</v>
      </c>
      <c r="H3243" s="405">
        <v>784044813</v>
      </c>
      <c r="I3243" s="405"/>
      <c r="J3243" s="405">
        <v>1.111</v>
      </c>
      <c r="K3243" s="405">
        <v>30.84</v>
      </c>
      <c r="L3243" s="405" t="s">
        <v>590</v>
      </c>
      <c r="M3243" s="405" t="s">
        <v>19659</v>
      </c>
      <c r="N3243" s="405" t="s">
        <v>19677</v>
      </c>
      <c r="O3243" s="405" t="s">
        <v>20548</v>
      </c>
      <c r="P3243" s="405" t="s">
        <v>23123</v>
      </c>
      <c r="Q3243" s="411">
        <v>6</v>
      </c>
      <c r="R3243" s="405" t="s">
        <v>6572</v>
      </c>
      <c r="S3243" s="405" t="s">
        <v>27166</v>
      </c>
      <c r="T3243" s="405" t="s">
        <v>32102</v>
      </c>
      <c r="U3243" s="405" t="s">
        <v>319</v>
      </c>
    </row>
    <row r="3244" spans="1:21" x14ac:dyDescent="0.25">
      <c r="A3244" s="405" t="s">
        <v>310</v>
      </c>
      <c r="B3244" s="405" t="s">
        <v>28853</v>
      </c>
      <c r="C3244" s="405" t="s">
        <v>327</v>
      </c>
      <c r="D3244" s="405"/>
      <c r="E3244" s="410">
        <v>42733</v>
      </c>
      <c r="F3244" s="410">
        <v>42778</v>
      </c>
      <c r="G3244" s="405" t="s">
        <v>22884</v>
      </c>
      <c r="H3244" s="405">
        <v>789548529</v>
      </c>
      <c r="I3244" s="405"/>
      <c r="J3244" s="405">
        <v>0.3448</v>
      </c>
      <c r="K3244" s="405">
        <v>30.125599999999999</v>
      </c>
      <c r="L3244" s="405" t="s">
        <v>590</v>
      </c>
      <c r="M3244" s="405" t="s">
        <v>19625</v>
      </c>
      <c r="N3244" s="405" t="s">
        <v>21955</v>
      </c>
      <c r="O3244" s="405" t="s">
        <v>22104</v>
      </c>
      <c r="P3244" s="405" t="s">
        <v>22885</v>
      </c>
      <c r="Q3244" s="411">
        <v>6</v>
      </c>
      <c r="R3244" s="405" t="s">
        <v>6572</v>
      </c>
      <c r="S3244" s="405" t="s">
        <v>27399</v>
      </c>
      <c r="T3244" s="405" t="s">
        <v>32102</v>
      </c>
      <c r="U3244" s="405" t="s">
        <v>319</v>
      </c>
    </row>
    <row r="3245" spans="1:21" x14ac:dyDescent="0.25">
      <c r="A3245" s="405" t="s">
        <v>310</v>
      </c>
      <c r="B3245" s="405" t="s">
        <v>28552</v>
      </c>
      <c r="C3245" s="405" t="s">
        <v>327</v>
      </c>
      <c r="D3245" s="405"/>
      <c r="E3245" s="410">
        <v>42733</v>
      </c>
      <c r="F3245" s="410">
        <v>42778</v>
      </c>
      <c r="G3245" s="405" t="s">
        <v>15562</v>
      </c>
      <c r="H3245" s="405">
        <v>782949264</v>
      </c>
      <c r="I3245" s="405"/>
      <c r="J3245" s="405">
        <v>1.0169999999999999</v>
      </c>
      <c r="K3245" s="405">
        <v>34.144199999999998</v>
      </c>
      <c r="L3245" s="405" t="s">
        <v>6866</v>
      </c>
      <c r="M3245" s="405" t="s">
        <v>9514</v>
      </c>
      <c r="N3245" s="405" t="s">
        <v>9616</v>
      </c>
      <c r="O3245" s="405" t="s">
        <v>9668</v>
      </c>
      <c r="P3245" s="405" t="s">
        <v>15563</v>
      </c>
      <c r="Q3245" s="411">
        <v>6</v>
      </c>
      <c r="R3245" s="405" t="s">
        <v>7224</v>
      </c>
      <c r="S3245" s="405" t="s">
        <v>27067</v>
      </c>
      <c r="T3245" s="405" t="s">
        <v>32102</v>
      </c>
      <c r="U3245" s="405" t="s">
        <v>319</v>
      </c>
    </row>
    <row r="3246" spans="1:21" x14ac:dyDescent="0.25">
      <c r="A3246" s="405" t="s">
        <v>310</v>
      </c>
      <c r="B3246" s="405" t="s">
        <v>22912</v>
      </c>
      <c r="C3246" s="405" t="s">
        <v>327</v>
      </c>
      <c r="D3246" s="405"/>
      <c r="E3246" s="410">
        <v>42733</v>
      </c>
      <c r="F3246" s="410">
        <v>42778</v>
      </c>
      <c r="G3246" s="405" t="s">
        <v>22913</v>
      </c>
      <c r="H3246" s="405">
        <v>772642713</v>
      </c>
      <c r="I3246" s="405"/>
      <c r="J3246" s="405">
        <v>0.52210000000000001</v>
      </c>
      <c r="K3246" s="405">
        <v>30.736000000000001</v>
      </c>
      <c r="L3246" s="405" t="s">
        <v>590</v>
      </c>
      <c r="M3246" s="405" t="s">
        <v>19659</v>
      </c>
      <c r="N3246" s="405" t="s">
        <v>19604</v>
      </c>
      <c r="O3246" s="405" t="s">
        <v>19822</v>
      </c>
      <c r="P3246" s="405" t="s">
        <v>22914</v>
      </c>
      <c r="Q3246" s="411">
        <v>6</v>
      </c>
      <c r="R3246" s="405" t="s">
        <v>6572</v>
      </c>
      <c r="S3246" s="405" t="s">
        <v>27161</v>
      </c>
      <c r="T3246" s="405" t="s">
        <v>32102</v>
      </c>
      <c r="U3246" s="405" t="s">
        <v>319</v>
      </c>
    </row>
    <row r="3247" spans="1:21" x14ac:dyDescent="0.25">
      <c r="A3247" s="405" t="s">
        <v>310</v>
      </c>
      <c r="B3247" s="405" t="s">
        <v>22895</v>
      </c>
      <c r="C3247" s="405" t="s">
        <v>327</v>
      </c>
      <c r="D3247" s="405"/>
      <c r="E3247" s="410">
        <v>42732</v>
      </c>
      <c r="F3247" s="410">
        <v>42777</v>
      </c>
      <c r="G3247" s="405" t="s">
        <v>22896</v>
      </c>
      <c r="H3247" s="405">
        <v>781148811</v>
      </c>
      <c r="I3247" s="405"/>
      <c r="J3247" s="405">
        <v>0.44500000000000001</v>
      </c>
      <c r="K3247" s="405">
        <v>29.503699999999998</v>
      </c>
      <c r="L3247" s="405" t="s">
        <v>590</v>
      </c>
      <c r="M3247" s="405" t="s">
        <v>19619</v>
      </c>
      <c r="N3247" s="405" t="s">
        <v>19793</v>
      </c>
      <c r="O3247" s="405" t="s">
        <v>6395</v>
      </c>
      <c r="P3247" s="405" t="s">
        <v>22897</v>
      </c>
      <c r="Q3247" s="411">
        <v>6</v>
      </c>
      <c r="R3247" s="405" t="s">
        <v>5858</v>
      </c>
      <c r="S3247" s="405" t="s">
        <v>27420</v>
      </c>
      <c r="T3247" s="405" t="s">
        <v>32102</v>
      </c>
      <c r="U3247" s="405" t="s">
        <v>319</v>
      </c>
    </row>
    <row r="3248" spans="1:21" x14ac:dyDescent="0.25">
      <c r="A3248" s="405" t="s">
        <v>310</v>
      </c>
      <c r="B3248" s="405" t="s">
        <v>23466</v>
      </c>
      <c r="C3248" s="405" t="s">
        <v>327</v>
      </c>
      <c r="D3248" s="405"/>
      <c r="E3248" s="410">
        <v>42728</v>
      </c>
      <c r="F3248" s="410">
        <v>43031</v>
      </c>
      <c r="G3248" s="405" t="s">
        <v>23467</v>
      </c>
      <c r="H3248" s="405">
        <v>776648231</v>
      </c>
      <c r="I3248" s="405">
        <v>772897004</v>
      </c>
      <c r="J3248" s="405">
        <v>1.2425999999999999</v>
      </c>
      <c r="K3248" s="405">
        <v>31.181000000000001</v>
      </c>
      <c r="L3248" s="405" t="s">
        <v>590</v>
      </c>
      <c r="M3248" s="405" t="s">
        <v>7300</v>
      </c>
      <c r="N3248" s="405" t="s">
        <v>20091</v>
      </c>
      <c r="O3248" s="405" t="s">
        <v>22809</v>
      </c>
      <c r="P3248" s="405" t="s">
        <v>20686</v>
      </c>
      <c r="Q3248" s="411">
        <v>13</v>
      </c>
      <c r="R3248" s="405" t="s">
        <v>6397</v>
      </c>
      <c r="S3248" s="405" t="s">
        <v>22880</v>
      </c>
      <c r="T3248" s="405" t="s">
        <v>32102</v>
      </c>
      <c r="U3248" s="405" t="s">
        <v>319</v>
      </c>
    </row>
    <row r="3249" spans="1:21" x14ac:dyDescent="0.25">
      <c r="A3249" s="405" t="s">
        <v>310</v>
      </c>
      <c r="B3249" s="405" t="s">
        <v>29047</v>
      </c>
      <c r="C3249" s="405" t="s">
        <v>311</v>
      </c>
      <c r="D3249" s="405" t="s">
        <v>312</v>
      </c>
      <c r="E3249" s="410">
        <v>42727</v>
      </c>
      <c r="F3249" s="410">
        <v>42772</v>
      </c>
      <c r="G3249" s="405" t="s">
        <v>16003</v>
      </c>
      <c r="H3249" s="405">
        <v>779735993</v>
      </c>
      <c r="I3249" s="405"/>
      <c r="J3249" s="405">
        <v>1.02</v>
      </c>
      <c r="K3249" s="405">
        <v>34.155999999999999</v>
      </c>
      <c r="L3249" s="405" t="s">
        <v>6866</v>
      </c>
      <c r="M3249" s="405" t="s">
        <v>9514</v>
      </c>
      <c r="N3249" s="405" t="s">
        <v>9616</v>
      </c>
      <c r="O3249" s="405" t="s">
        <v>11449</v>
      </c>
      <c r="P3249" s="405" t="s">
        <v>16004</v>
      </c>
      <c r="Q3249" s="411">
        <v>9</v>
      </c>
      <c r="R3249" s="405" t="s">
        <v>7224</v>
      </c>
      <c r="S3249" s="405" t="s">
        <v>27041</v>
      </c>
      <c r="T3249" s="405" t="s">
        <v>32102</v>
      </c>
      <c r="U3249" s="405" t="s">
        <v>319</v>
      </c>
    </row>
    <row r="3250" spans="1:21" x14ac:dyDescent="0.25">
      <c r="A3250" s="405" t="s">
        <v>310</v>
      </c>
      <c r="B3250" s="405" t="s">
        <v>22904</v>
      </c>
      <c r="C3250" s="405" t="s">
        <v>327</v>
      </c>
      <c r="D3250" s="405"/>
      <c r="E3250" s="410">
        <v>42727</v>
      </c>
      <c r="F3250" s="410">
        <v>42772</v>
      </c>
      <c r="G3250" s="405" t="s">
        <v>22905</v>
      </c>
      <c r="H3250" s="405">
        <v>772928225</v>
      </c>
      <c r="I3250" s="405"/>
      <c r="J3250" s="405">
        <v>0.47470000000000001</v>
      </c>
      <c r="K3250" s="405">
        <v>30.103000000000002</v>
      </c>
      <c r="L3250" s="405" t="s">
        <v>590</v>
      </c>
      <c r="M3250" s="405" t="s">
        <v>19659</v>
      </c>
      <c r="N3250" s="405" t="s">
        <v>19604</v>
      </c>
      <c r="O3250" s="405" t="s">
        <v>22906</v>
      </c>
      <c r="P3250" s="405" t="s">
        <v>22907</v>
      </c>
      <c r="Q3250" s="411">
        <v>6</v>
      </c>
      <c r="R3250" s="405" t="s">
        <v>6572</v>
      </c>
      <c r="S3250" s="405" t="s">
        <v>27166</v>
      </c>
      <c r="T3250" s="405" t="s">
        <v>32102</v>
      </c>
      <c r="U3250" s="405" t="s">
        <v>319</v>
      </c>
    </row>
    <row r="3251" spans="1:21" x14ac:dyDescent="0.25">
      <c r="A3251" s="405" t="s">
        <v>310</v>
      </c>
      <c r="B3251" s="405" t="s">
        <v>22908</v>
      </c>
      <c r="C3251" s="405" t="s">
        <v>327</v>
      </c>
      <c r="D3251" s="405"/>
      <c r="E3251" s="410">
        <v>42727</v>
      </c>
      <c r="F3251" s="410">
        <v>42772</v>
      </c>
      <c r="G3251" s="405" t="s">
        <v>22909</v>
      </c>
      <c r="H3251" s="405">
        <v>772661193</v>
      </c>
      <c r="I3251" s="405">
        <v>702661193</v>
      </c>
      <c r="J3251" s="405">
        <v>0.53539999999999999</v>
      </c>
      <c r="K3251" s="405">
        <v>30.143699999999999</v>
      </c>
      <c r="L3251" s="405" t="s">
        <v>590</v>
      </c>
      <c r="M3251" s="405" t="s">
        <v>19659</v>
      </c>
      <c r="N3251" s="405" t="s">
        <v>22910</v>
      </c>
      <c r="O3251" s="405" t="s">
        <v>16357</v>
      </c>
      <c r="P3251" s="405" t="s">
        <v>22911</v>
      </c>
      <c r="Q3251" s="411">
        <v>6</v>
      </c>
      <c r="R3251" s="405" t="s">
        <v>6572</v>
      </c>
      <c r="S3251" s="405" t="s">
        <v>27394</v>
      </c>
      <c r="T3251" s="405" t="s">
        <v>32102</v>
      </c>
      <c r="U3251" s="405" t="s">
        <v>319</v>
      </c>
    </row>
    <row r="3252" spans="1:21" x14ac:dyDescent="0.25">
      <c r="A3252" s="405" t="s">
        <v>310</v>
      </c>
      <c r="B3252" s="405" t="s">
        <v>22875</v>
      </c>
      <c r="C3252" s="405" t="s">
        <v>327</v>
      </c>
      <c r="D3252" s="405"/>
      <c r="E3252" s="410">
        <v>42727</v>
      </c>
      <c r="F3252" s="410">
        <v>42772</v>
      </c>
      <c r="G3252" s="405" t="s">
        <v>22876</v>
      </c>
      <c r="H3252" s="405">
        <v>774066152</v>
      </c>
      <c r="I3252" s="405"/>
      <c r="J3252" s="405">
        <v>0.33100000000000002</v>
      </c>
      <c r="K3252" s="405">
        <v>29.592099999999999</v>
      </c>
      <c r="L3252" s="405" t="s">
        <v>590</v>
      </c>
      <c r="M3252" s="405" t="s">
        <v>20032</v>
      </c>
      <c r="N3252" s="405" t="s">
        <v>20033</v>
      </c>
      <c r="O3252" s="405" t="s">
        <v>22877</v>
      </c>
      <c r="P3252" s="405" t="s">
        <v>22878</v>
      </c>
      <c r="Q3252" s="411">
        <v>6</v>
      </c>
      <c r="R3252" s="405" t="s">
        <v>5858</v>
      </c>
      <c r="S3252" s="405" t="s">
        <v>27132</v>
      </c>
      <c r="T3252" s="405" t="s">
        <v>32102</v>
      </c>
      <c r="U3252" s="405" t="s">
        <v>319</v>
      </c>
    </row>
    <row r="3253" spans="1:21" x14ac:dyDescent="0.25">
      <c r="A3253" s="405" t="s">
        <v>310</v>
      </c>
      <c r="B3253" s="405" t="s">
        <v>22891</v>
      </c>
      <c r="C3253" s="405" t="s">
        <v>327</v>
      </c>
      <c r="D3253" s="405"/>
      <c r="E3253" s="410">
        <v>42726</v>
      </c>
      <c r="F3253" s="410">
        <v>42771</v>
      </c>
      <c r="G3253" s="405" t="s">
        <v>22892</v>
      </c>
      <c r="H3253" s="405">
        <v>752373522</v>
      </c>
      <c r="I3253" s="405"/>
      <c r="J3253" s="405">
        <v>0.27129999999999999</v>
      </c>
      <c r="K3253" s="405">
        <v>30.734999999999999</v>
      </c>
      <c r="L3253" s="405" t="s">
        <v>590</v>
      </c>
      <c r="M3253" s="405" t="s">
        <v>19625</v>
      </c>
      <c r="N3253" s="405" t="s">
        <v>20342</v>
      </c>
      <c r="O3253" s="405" t="s">
        <v>22893</v>
      </c>
      <c r="P3253" s="405" t="s">
        <v>22894</v>
      </c>
      <c r="Q3253" s="411">
        <v>9</v>
      </c>
      <c r="R3253" s="405" t="s">
        <v>5858</v>
      </c>
      <c r="S3253" s="405" t="s">
        <v>27420</v>
      </c>
      <c r="T3253" s="405" t="s">
        <v>32102</v>
      </c>
      <c r="U3253" s="405" t="s">
        <v>319</v>
      </c>
    </row>
    <row r="3254" spans="1:21" x14ac:dyDescent="0.25">
      <c r="A3254" s="405" t="s">
        <v>310</v>
      </c>
      <c r="B3254" s="405" t="s">
        <v>6826</v>
      </c>
      <c r="C3254" s="405" t="s">
        <v>857</v>
      </c>
      <c r="D3254" s="405" t="s">
        <v>4630</v>
      </c>
      <c r="E3254" s="410">
        <v>42724</v>
      </c>
      <c r="F3254" s="410">
        <v>42783</v>
      </c>
      <c r="G3254" s="405" t="s">
        <v>6827</v>
      </c>
      <c r="H3254" s="405">
        <v>773524419</v>
      </c>
      <c r="I3254" s="405">
        <v>753524419</v>
      </c>
      <c r="J3254" s="405">
        <v>0.54320000000000002</v>
      </c>
      <c r="K3254" s="405">
        <v>31.3658</v>
      </c>
      <c r="L3254" s="405" t="s">
        <v>314</v>
      </c>
      <c r="M3254" s="405" t="s">
        <v>1360</v>
      </c>
      <c r="N3254" s="405" t="s">
        <v>1361</v>
      </c>
      <c r="O3254" s="405" t="s">
        <v>6226</v>
      </c>
      <c r="P3254" s="405" t="s">
        <v>411</v>
      </c>
      <c r="Q3254" s="411">
        <v>6</v>
      </c>
      <c r="R3254" s="405" t="s">
        <v>414</v>
      </c>
      <c r="S3254" s="405" t="s">
        <v>414</v>
      </c>
      <c r="T3254" s="405" t="s">
        <v>32102</v>
      </c>
      <c r="U3254" s="405" t="s">
        <v>319</v>
      </c>
    </row>
    <row r="3255" spans="1:21" x14ac:dyDescent="0.25">
      <c r="A3255" s="405" t="s">
        <v>310</v>
      </c>
      <c r="B3255" s="405" t="s">
        <v>15566</v>
      </c>
      <c r="C3255" s="405" t="s">
        <v>327</v>
      </c>
      <c r="D3255" s="405"/>
      <c r="E3255" s="410">
        <v>42724</v>
      </c>
      <c r="F3255" s="410">
        <v>42769</v>
      </c>
      <c r="G3255" s="405" t="s">
        <v>15567</v>
      </c>
      <c r="H3255" s="405">
        <v>772465603</v>
      </c>
      <c r="I3255" s="405"/>
      <c r="J3255" s="405">
        <v>1.3280000000000001</v>
      </c>
      <c r="K3255" s="405">
        <v>33.141500000000001</v>
      </c>
      <c r="L3255" s="405" t="s">
        <v>6866</v>
      </c>
      <c r="M3255" s="405" t="s">
        <v>9658</v>
      </c>
      <c r="N3255" s="405" t="s">
        <v>11057</v>
      </c>
      <c r="O3255" s="405" t="s">
        <v>15568</v>
      </c>
      <c r="P3255" s="405" t="s">
        <v>14349</v>
      </c>
      <c r="Q3255" s="411">
        <v>6</v>
      </c>
      <c r="R3255" s="405" t="s">
        <v>5655</v>
      </c>
      <c r="S3255" s="405" t="s">
        <v>27072</v>
      </c>
      <c r="T3255" s="405" t="s">
        <v>32102</v>
      </c>
      <c r="U3255" s="405" t="s">
        <v>319</v>
      </c>
    </row>
    <row r="3256" spans="1:21" x14ac:dyDescent="0.25">
      <c r="A3256" s="405" t="s">
        <v>310</v>
      </c>
      <c r="B3256" s="405" t="s">
        <v>6823</v>
      </c>
      <c r="C3256" s="405" t="s">
        <v>857</v>
      </c>
      <c r="D3256" s="405" t="s">
        <v>6824</v>
      </c>
      <c r="E3256" s="410">
        <v>42724</v>
      </c>
      <c r="F3256" s="410">
        <v>42769</v>
      </c>
      <c r="G3256" s="405" t="s">
        <v>6825</v>
      </c>
      <c r="H3256" s="405">
        <v>752646064</v>
      </c>
      <c r="I3256" s="405"/>
      <c r="J3256" s="405">
        <v>2.0590000000000002</v>
      </c>
      <c r="K3256" s="405">
        <v>31.4344</v>
      </c>
      <c r="L3256" s="405" t="s">
        <v>314</v>
      </c>
      <c r="M3256" s="405" t="s">
        <v>382</v>
      </c>
      <c r="N3256" s="405" t="s">
        <v>1076</v>
      </c>
      <c r="O3256" s="405" t="s">
        <v>1076</v>
      </c>
      <c r="P3256" s="405" t="s">
        <v>447</v>
      </c>
      <c r="Q3256" s="411">
        <v>6</v>
      </c>
      <c r="R3256" s="405" t="s">
        <v>32101</v>
      </c>
      <c r="S3256" s="405" t="s">
        <v>27186</v>
      </c>
      <c r="T3256" s="405" t="s">
        <v>32102</v>
      </c>
      <c r="U3256" s="405" t="s">
        <v>319</v>
      </c>
    </row>
    <row r="3257" spans="1:21" x14ac:dyDescent="0.25">
      <c r="A3257" s="405" t="s">
        <v>310</v>
      </c>
      <c r="B3257" s="405" t="s">
        <v>22879</v>
      </c>
      <c r="C3257" s="405" t="s">
        <v>327</v>
      </c>
      <c r="D3257" s="405"/>
      <c r="E3257" s="410">
        <v>42723</v>
      </c>
      <c r="F3257" s="410">
        <v>42768</v>
      </c>
      <c r="G3257" s="405" t="s">
        <v>22880</v>
      </c>
      <c r="H3257" s="405">
        <v>779024719</v>
      </c>
      <c r="I3257" s="405">
        <v>77977635</v>
      </c>
      <c r="J3257" s="405">
        <v>1.411</v>
      </c>
      <c r="K3257" s="405">
        <v>31.425000000000001</v>
      </c>
      <c r="L3257" s="405" t="s">
        <v>590</v>
      </c>
      <c r="M3257" s="405" t="s">
        <v>19608</v>
      </c>
      <c r="N3257" s="405" t="s">
        <v>19762</v>
      </c>
      <c r="O3257" s="405" t="s">
        <v>13002</v>
      </c>
      <c r="P3257" s="405" t="s">
        <v>22881</v>
      </c>
      <c r="Q3257" s="411">
        <v>6</v>
      </c>
      <c r="R3257" s="405" t="s">
        <v>6397</v>
      </c>
      <c r="S3257" s="405" t="s">
        <v>22880</v>
      </c>
      <c r="T3257" s="405" t="s">
        <v>32102</v>
      </c>
      <c r="U3257" s="405" t="s">
        <v>319</v>
      </c>
    </row>
    <row r="3258" spans="1:21" x14ac:dyDescent="0.25">
      <c r="A3258" s="405" t="s">
        <v>310</v>
      </c>
      <c r="B3258" s="405" t="s">
        <v>28864</v>
      </c>
      <c r="C3258" s="405" t="s">
        <v>327</v>
      </c>
      <c r="D3258" s="405"/>
      <c r="E3258" s="410">
        <v>42722</v>
      </c>
      <c r="F3258" s="410">
        <v>42780</v>
      </c>
      <c r="G3258" s="405" t="s">
        <v>16005</v>
      </c>
      <c r="H3258" s="405">
        <v>776035170</v>
      </c>
      <c r="I3258" s="405"/>
      <c r="J3258" s="405">
        <v>1.3958999999999999</v>
      </c>
      <c r="K3258" s="405">
        <v>34.409500000000001</v>
      </c>
      <c r="L3258" s="405" t="s">
        <v>6866</v>
      </c>
      <c r="M3258" s="405" t="s">
        <v>9685</v>
      </c>
      <c r="N3258" s="405" t="s">
        <v>9686</v>
      </c>
      <c r="O3258" s="405" t="s">
        <v>14943</v>
      </c>
      <c r="P3258" s="405" t="s">
        <v>16006</v>
      </c>
      <c r="Q3258" s="411">
        <v>6</v>
      </c>
      <c r="R3258" s="405" t="s">
        <v>9506</v>
      </c>
      <c r="S3258" s="405" t="s">
        <v>27169</v>
      </c>
      <c r="T3258" s="405" t="s">
        <v>32102</v>
      </c>
      <c r="U3258" s="405" t="s">
        <v>319</v>
      </c>
    </row>
    <row r="3259" spans="1:21" x14ac:dyDescent="0.25">
      <c r="A3259" s="405" t="s">
        <v>310</v>
      </c>
      <c r="B3259" s="405" t="s">
        <v>22888</v>
      </c>
      <c r="C3259" s="405" t="s">
        <v>327</v>
      </c>
      <c r="D3259" s="405"/>
      <c r="E3259" s="410">
        <v>42722</v>
      </c>
      <c r="F3259" s="410">
        <v>42767</v>
      </c>
      <c r="G3259" s="405" t="s">
        <v>22889</v>
      </c>
      <c r="H3259" s="405">
        <v>782447155</v>
      </c>
      <c r="I3259" s="405">
        <v>781592474</v>
      </c>
      <c r="J3259" s="405">
        <v>0.68079999999999996</v>
      </c>
      <c r="K3259" s="405">
        <v>29.907299999999999</v>
      </c>
      <c r="L3259" s="405" t="s">
        <v>590</v>
      </c>
      <c r="M3259" s="405" t="s">
        <v>19619</v>
      </c>
      <c r="N3259" s="405" t="s">
        <v>21497</v>
      </c>
      <c r="O3259" s="405" t="s">
        <v>20033</v>
      </c>
      <c r="P3259" s="405" t="s">
        <v>22890</v>
      </c>
      <c r="Q3259" s="411">
        <v>6</v>
      </c>
      <c r="R3259" s="405" t="s">
        <v>5858</v>
      </c>
      <c r="S3259" s="405" t="s">
        <v>27098</v>
      </c>
      <c r="T3259" s="405" t="s">
        <v>32102</v>
      </c>
      <c r="U3259" s="405" t="s">
        <v>319</v>
      </c>
    </row>
    <row r="3260" spans="1:21" x14ac:dyDescent="0.25">
      <c r="A3260" s="405" t="s">
        <v>310</v>
      </c>
      <c r="B3260" s="405" t="s">
        <v>27937</v>
      </c>
      <c r="C3260" s="405" t="s">
        <v>311</v>
      </c>
      <c r="D3260" s="405" t="s">
        <v>1789</v>
      </c>
      <c r="E3260" s="410">
        <v>42721</v>
      </c>
      <c r="F3260" s="410">
        <v>42766</v>
      </c>
      <c r="G3260" s="405" t="s">
        <v>23089</v>
      </c>
      <c r="H3260" s="405">
        <v>783642178</v>
      </c>
      <c r="I3260" s="405"/>
      <c r="J3260" s="405">
        <v>0.47289999999999999</v>
      </c>
      <c r="K3260" s="405">
        <v>30.114000000000001</v>
      </c>
      <c r="L3260" s="405" t="s">
        <v>590</v>
      </c>
      <c r="M3260" s="405" t="s">
        <v>19659</v>
      </c>
      <c r="N3260" s="405" t="s">
        <v>19659</v>
      </c>
      <c r="O3260" s="405" t="s">
        <v>23090</v>
      </c>
      <c r="P3260" s="405" t="s">
        <v>23091</v>
      </c>
      <c r="Q3260" s="411">
        <v>6</v>
      </c>
      <c r="R3260" s="405" t="s">
        <v>6572</v>
      </c>
      <c r="S3260" s="405" t="s">
        <v>27161</v>
      </c>
      <c r="T3260" s="405" t="s">
        <v>32102</v>
      </c>
      <c r="U3260" s="405" t="s">
        <v>319</v>
      </c>
    </row>
    <row r="3261" spans="1:21" x14ac:dyDescent="0.25">
      <c r="A3261" s="405" t="s">
        <v>310</v>
      </c>
      <c r="B3261" s="405" t="s">
        <v>28459</v>
      </c>
      <c r="C3261" s="405" t="s">
        <v>327</v>
      </c>
      <c r="D3261" s="405"/>
      <c r="E3261" s="410">
        <v>42721</v>
      </c>
      <c r="F3261" s="410">
        <v>42766</v>
      </c>
      <c r="G3261" s="405" t="s">
        <v>22849</v>
      </c>
      <c r="H3261" s="405">
        <v>772371722</v>
      </c>
      <c r="I3261" s="405"/>
      <c r="J3261" s="405">
        <v>-0.537385</v>
      </c>
      <c r="K3261" s="405">
        <v>30.309542</v>
      </c>
      <c r="L3261" s="405" t="s">
        <v>590</v>
      </c>
      <c r="M3261" s="405" t="s">
        <v>19725</v>
      </c>
      <c r="N3261" s="405" t="s">
        <v>20342</v>
      </c>
      <c r="O3261" s="405" t="s">
        <v>20792</v>
      </c>
      <c r="P3261" s="405" t="s">
        <v>22850</v>
      </c>
      <c r="Q3261" s="411">
        <v>6</v>
      </c>
      <c r="R3261" s="405" t="s">
        <v>6943</v>
      </c>
      <c r="S3261" s="405" t="s">
        <v>27096</v>
      </c>
      <c r="T3261" s="405" t="s">
        <v>32102</v>
      </c>
      <c r="U3261" s="405" t="s">
        <v>319</v>
      </c>
    </row>
    <row r="3262" spans="1:21" x14ac:dyDescent="0.25">
      <c r="A3262" s="405" t="s">
        <v>310</v>
      </c>
      <c r="B3262" s="405" t="s">
        <v>22901</v>
      </c>
      <c r="C3262" s="405" t="s">
        <v>327</v>
      </c>
      <c r="D3262" s="405"/>
      <c r="E3262" s="410">
        <v>42720</v>
      </c>
      <c r="F3262" s="410">
        <v>42768</v>
      </c>
      <c r="G3262" s="405" t="s">
        <v>22902</v>
      </c>
      <c r="H3262" s="405">
        <v>788645952</v>
      </c>
      <c r="I3262" s="405">
        <v>783857184</v>
      </c>
      <c r="J3262" s="405">
        <v>0.228102</v>
      </c>
      <c r="K3262" s="405">
        <v>31.011855000000001</v>
      </c>
      <c r="L3262" s="405" t="s">
        <v>590</v>
      </c>
      <c r="M3262" s="405" t="s">
        <v>20757</v>
      </c>
      <c r="N3262" s="405" t="s">
        <v>22733</v>
      </c>
      <c r="O3262" s="405" t="s">
        <v>20759</v>
      </c>
      <c r="P3262" s="405" t="s">
        <v>22903</v>
      </c>
      <c r="Q3262" s="411">
        <v>9</v>
      </c>
      <c r="R3262" s="405" t="s">
        <v>874</v>
      </c>
      <c r="S3262" s="405" t="s">
        <v>27172</v>
      </c>
      <c r="T3262" s="405" t="s">
        <v>32102</v>
      </c>
      <c r="U3262" s="405" t="s">
        <v>319</v>
      </c>
    </row>
    <row r="3263" spans="1:21" x14ac:dyDescent="0.25">
      <c r="A3263" s="405" t="s">
        <v>310</v>
      </c>
      <c r="B3263" s="405" t="s">
        <v>6222</v>
      </c>
      <c r="C3263" s="405" t="s">
        <v>327</v>
      </c>
      <c r="D3263" s="405"/>
      <c r="E3263" s="410">
        <v>42719</v>
      </c>
      <c r="F3263" s="410">
        <v>42764</v>
      </c>
      <c r="G3263" s="405" t="s">
        <v>6223</v>
      </c>
      <c r="H3263" s="405">
        <v>776830381</v>
      </c>
      <c r="I3263" s="405"/>
      <c r="J3263" s="405">
        <v>0.49770700000000001</v>
      </c>
      <c r="K3263" s="405">
        <v>30.27084</v>
      </c>
      <c r="L3263" s="405" t="s">
        <v>314</v>
      </c>
      <c r="M3263" s="405" t="s">
        <v>329</v>
      </c>
      <c r="N3263" s="405" t="s">
        <v>336</v>
      </c>
      <c r="O3263" s="405" t="s">
        <v>336</v>
      </c>
      <c r="P3263" s="405" t="s">
        <v>6224</v>
      </c>
      <c r="Q3263" s="411">
        <v>9</v>
      </c>
      <c r="R3263" s="405" t="s">
        <v>5665</v>
      </c>
      <c r="S3263" s="405" t="s">
        <v>27110</v>
      </c>
      <c r="T3263" s="405" t="s">
        <v>32102</v>
      </c>
      <c r="U3263" s="405" t="s">
        <v>319</v>
      </c>
    </row>
    <row r="3264" spans="1:21" x14ac:dyDescent="0.25">
      <c r="A3264" s="405" t="s">
        <v>310</v>
      </c>
      <c r="B3264" s="405" t="s">
        <v>22866</v>
      </c>
      <c r="C3264" s="405" t="s">
        <v>327</v>
      </c>
      <c r="D3264" s="405"/>
      <c r="E3264" s="410">
        <v>42719</v>
      </c>
      <c r="F3264" s="410">
        <v>42764</v>
      </c>
      <c r="G3264" s="405" t="s">
        <v>22867</v>
      </c>
      <c r="H3264" s="405">
        <v>752017438</v>
      </c>
      <c r="I3264" s="405"/>
      <c r="J3264" s="405">
        <v>0.25485200000000002</v>
      </c>
      <c r="K3264" s="405">
        <v>30.933327999999999</v>
      </c>
      <c r="L3264" s="405" t="s">
        <v>590</v>
      </c>
      <c r="M3264" s="405" t="s">
        <v>19705</v>
      </c>
      <c r="N3264" s="405" t="s">
        <v>2250</v>
      </c>
      <c r="O3264" s="405" t="s">
        <v>7810</v>
      </c>
      <c r="P3264" s="405" t="s">
        <v>22868</v>
      </c>
      <c r="Q3264" s="411">
        <v>9</v>
      </c>
      <c r="R3264" s="405" t="s">
        <v>883</v>
      </c>
      <c r="S3264" s="405" t="s">
        <v>27104</v>
      </c>
      <c r="T3264" s="405" t="s">
        <v>32102</v>
      </c>
      <c r="U3264" s="405" t="s">
        <v>319</v>
      </c>
    </row>
    <row r="3265" spans="1:21" x14ac:dyDescent="0.25">
      <c r="A3265" s="405" t="s">
        <v>310</v>
      </c>
      <c r="B3265" s="405" t="s">
        <v>28626</v>
      </c>
      <c r="C3265" s="405" t="s">
        <v>311</v>
      </c>
      <c r="D3265" s="405" t="s">
        <v>839</v>
      </c>
      <c r="E3265" s="410">
        <v>42719</v>
      </c>
      <c r="F3265" s="410">
        <v>42764</v>
      </c>
      <c r="G3265" s="405" t="s">
        <v>23084</v>
      </c>
      <c r="H3265" s="405">
        <v>702654755</v>
      </c>
      <c r="I3265" s="405"/>
      <c r="J3265" s="405">
        <v>0.31380000000000002</v>
      </c>
      <c r="K3265" s="405">
        <v>30.165700000000001</v>
      </c>
      <c r="L3265" s="405" t="s">
        <v>590</v>
      </c>
      <c r="M3265" s="405" t="s">
        <v>19625</v>
      </c>
      <c r="N3265" s="405" t="s">
        <v>20342</v>
      </c>
      <c r="O3265" s="405" t="s">
        <v>22921</v>
      </c>
      <c r="P3265" s="405" t="s">
        <v>23085</v>
      </c>
      <c r="Q3265" s="411">
        <v>6</v>
      </c>
      <c r="R3265" s="405" t="s">
        <v>6943</v>
      </c>
      <c r="S3265" s="405" t="s">
        <v>27425</v>
      </c>
      <c r="T3265" s="405" t="s">
        <v>32102</v>
      </c>
      <c r="U3265" s="405" t="s">
        <v>319</v>
      </c>
    </row>
    <row r="3266" spans="1:21" x14ac:dyDescent="0.25">
      <c r="A3266" s="405" t="s">
        <v>310</v>
      </c>
      <c r="B3266" s="405" t="s">
        <v>28228</v>
      </c>
      <c r="C3266" s="405" t="s">
        <v>327</v>
      </c>
      <c r="D3266" s="405"/>
      <c r="E3266" s="410">
        <v>42718</v>
      </c>
      <c r="F3266" s="410">
        <v>42763</v>
      </c>
      <c r="G3266" s="405" t="s">
        <v>15553</v>
      </c>
      <c r="H3266" s="405">
        <v>782821222</v>
      </c>
      <c r="I3266" s="405"/>
      <c r="J3266" s="405">
        <v>-0.54876599999999998</v>
      </c>
      <c r="K3266" s="405">
        <v>34.135899999999999</v>
      </c>
      <c r="L3266" s="405" t="s">
        <v>6866</v>
      </c>
      <c r="M3266" s="405" t="s">
        <v>9514</v>
      </c>
      <c r="N3266" s="405" t="s">
        <v>9722</v>
      </c>
      <c r="O3266" s="405" t="s">
        <v>10614</v>
      </c>
      <c r="P3266" s="405" t="s">
        <v>15554</v>
      </c>
      <c r="Q3266" s="411">
        <v>13</v>
      </c>
      <c r="R3266" s="405" t="s">
        <v>7224</v>
      </c>
      <c r="S3266" s="405" t="s">
        <v>27142</v>
      </c>
      <c r="T3266" s="405" t="s">
        <v>32102</v>
      </c>
      <c r="U3266" s="405" t="s">
        <v>319</v>
      </c>
    </row>
    <row r="3267" spans="1:21" x14ac:dyDescent="0.25">
      <c r="A3267" s="405" t="s">
        <v>310</v>
      </c>
      <c r="B3267" s="405" t="s">
        <v>28441</v>
      </c>
      <c r="C3267" s="405" t="s">
        <v>327</v>
      </c>
      <c r="D3267" s="405"/>
      <c r="E3267" s="410">
        <v>42718</v>
      </c>
      <c r="F3267" s="410">
        <v>42763</v>
      </c>
      <c r="G3267" s="405" t="s">
        <v>15556</v>
      </c>
      <c r="H3267" s="405">
        <v>788484093</v>
      </c>
      <c r="I3267" s="405"/>
      <c r="J3267" s="405">
        <v>1.5106900000000001</v>
      </c>
      <c r="K3267" s="405">
        <v>34.013530000000003</v>
      </c>
      <c r="L3267" s="405" t="s">
        <v>6866</v>
      </c>
      <c r="M3267" s="405" t="s">
        <v>9514</v>
      </c>
      <c r="N3267" s="405" t="s">
        <v>9722</v>
      </c>
      <c r="O3267" s="405" t="s">
        <v>15406</v>
      </c>
      <c r="P3267" s="405" t="s">
        <v>15557</v>
      </c>
      <c r="Q3267" s="411">
        <v>6</v>
      </c>
      <c r="R3267" s="405" t="s">
        <v>7224</v>
      </c>
      <c r="S3267" s="405" t="s">
        <v>27348</v>
      </c>
      <c r="T3267" s="405" t="s">
        <v>32102</v>
      </c>
      <c r="U3267" s="405" t="s">
        <v>319</v>
      </c>
    </row>
    <row r="3268" spans="1:21" x14ac:dyDescent="0.25">
      <c r="A3268" s="405" t="s">
        <v>310</v>
      </c>
      <c r="B3268" s="405" t="s">
        <v>6802</v>
      </c>
      <c r="C3268" s="405" t="s">
        <v>327</v>
      </c>
      <c r="D3268" s="405"/>
      <c r="E3268" s="410">
        <v>42716</v>
      </c>
      <c r="F3268" s="410">
        <v>42761</v>
      </c>
      <c r="G3268" s="405" t="s">
        <v>6803</v>
      </c>
      <c r="H3268" s="405">
        <v>754520991</v>
      </c>
      <c r="I3268" s="405"/>
      <c r="J3268" s="405">
        <v>50.195</v>
      </c>
      <c r="K3268" s="405">
        <v>31.505600000000001</v>
      </c>
      <c r="L3268" s="405" t="s">
        <v>314</v>
      </c>
      <c r="M3268" s="405" t="s">
        <v>382</v>
      </c>
      <c r="N3268" s="405" t="s">
        <v>941</v>
      </c>
      <c r="O3268" s="405" t="s">
        <v>1076</v>
      </c>
      <c r="P3268" s="405" t="s">
        <v>6804</v>
      </c>
      <c r="Q3268" s="411">
        <v>9</v>
      </c>
      <c r="R3268" s="405" t="s">
        <v>32101</v>
      </c>
      <c r="S3268" s="405" t="s">
        <v>27186</v>
      </c>
      <c r="T3268" s="405" t="s">
        <v>32102</v>
      </c>
      <c r="U3268" s="405" t="s">
        <v>319</v>
      </c>
    </row>
    <row r="3269" spans="1:21" x14ac:dyDescent="0.25">
      <c r="A3269" s="405" t="s">
        <v>310</v>
      </c>
      <c r="B3269" s="405" t="s">
        <v>6227</v>
      </c>
      <c r="C3269" s="405" t="s">
        <v>327</v>
      </c>
      <c r="D3269" s="405"/>
      <c r="E3269" s="410">
        <v>42716</v>
      </c>
      <c r="F3269" s="410">
        <v>42761</v>
      </c>
      <c r="G3269" s="405" t="s">
        <v>6228</v>
      </c>
      <c r="H3269" s="405">
        <v>704550486</v>
      </c>
      <c r="I3269" s="405">
        <v>712219889</v>
      </c>
      <c r="J3269" s="405">
        <v>0.49199300000000001</v>
      </c>
      <c r="K3269" s="405">
        <v>32.537933000000002</v>
      </c>
      <c r="L3269" s="405" t="s">
        <v>314</v>
      </c>
      <c r="M3269" s="405" t="s">
        <v>361</v>
      </c>
      <c r="N3269" s="405" t="s">
        <v>6229</v>
      </c>
      <c r="O3269" s="405" t="s">
        <v>523</v>
      </c>
      <c r="P3269" s="405" t="s">
        <v>470</v>
      </c>
      <c r="Q3269" s="411">
        <v>9</v>
      </c>
      <c r="R3269" s="405" t="s">
        <v>4176</v>
      </c>
      <c r="S3269" s="405" t="s">
        <v>27059</v>
      </c>
      <c r="T3269" s="405" t="s">
        <v>32102</v>
      </c>
      <c r="U3269" s="405" t="s">
        <v>319</v>
      </c>
    </row>
    <row r="3270" spans="1:21" x14ac:dyDescent="0.25">
      <c r="A3270" s="405" t="s">
        <v>310</v>
      </c>
      <c r="B3270" s="413" t="s">
        <v>23079</v>
      </c>
      <c r="C3270" s="413" t="s">
        <v>311</v>
      </c>
      <c r="D3270" s="420" t="s">
        <v>33054</v>
      </c>
      <c r="E3270" s="418">
        <v>42716</v>
      </c>
      <c r="F3270" s="418">
        <v>42761</v>
      </c>
      <c r="G3270" s="413" t="s">
        <v>23080</v>
      </c>
      <c r="H3270" s="405">
        <v>752498465</v>
      </c>
      <c r="I3270" s="405"/>
      <c r="J3270" s="405">
        <v>0.56999999999999995</v>
      </c>
      <c r="K3270" s="405">
        <v>30.196100000000001</v>
      </c>
      <c r="L3270" s="405" t="s">
        <v>590</v>
      </c>
      <c r="M3270" s="405" t="s">
        <v>19625</v>
      </c>
      <c r="N3270" s="405" t="s">
        <v>19625</v>
      </c>
      <c r="O3270" s="405" t="s">
        <v>21955</v>
      </c>
      <c r="P3270" s="405" t="s">
        <v>19639</v>
      </c>
      <c r="Q3270" s="411">
        <v>6</v>
      </c>
      <c r="R3270" s="405" t="s">
        <v>5858</v>
      </c>
      <c r="S3270" s="405" t="s">
        <v>27161</v>
      </c>
      <c r="T3270" s="405" t="s">
        <v>32102</v>
      </c>
      <c r="U3270" s="405" t="s">
        <v>319</v>
      </c>
    </row>
    <row r="3271" spans="1:21" x14ac:dyDescent="0.25">
      <c r="A3271" s="405" t="s">
        <v>310</v>
      </c>
      <c r="B3271" s="405" t="s">
        <v>28186</v>
      </c>
      <c r="C3271" s="405" t="s">
        <v>327</v>
      </c>
      <c r="D3271" s="405"/>
      <c r="E3271" s="410">
        <v>42716</v>
      </c>
      <c r="F3271" s="410">
        <v>42761</v>
      </c>
      <c r="G3271" s="405" t="s">
        <v>15551</v>
      </c>
      <c r="H3271" s="405">
        <v>771315589</v>
      </c>
      <c r="I3271" s="405"/>
      <c r="J3271" s="405">
        <v>1.5309999999999999</v>
      </c>
      <c r="K3271" s="405">
        <v>34.152000000000001</v>
      </c>
      <c r="L3271" s="405" t="s">
        <v>6866</v>
      </c>
      <c r="M3271" s="405" t="s">
        <v>9514</v>
      </c>
      <c r="N3271" s="405" t="s">
        <v>9722</v>
      </c>
      <c r="O3271" s="405" t="s">
        <v>14735</v>
      </c>
      <c r="P3271" s="405" t="s">
        <v>15552</v>
      </c>
      <c r="Q3271" s="411">
        <v>6</v>
      </c>
      <c r="R3271" s="405" t="s">
        <v>7224</v>
      </c>
      <c r="S3271" s="405" t="s">
        <v>27067</v>
      </c>
      <c r="T3271" s="405" t="s">
        <v>32102</v>
      </c>
      <c r="U3271" s="405" t="s">
        <v>319</v>
      </c>
    </row>
    <row r="3272" spans="1:21" x14ac:dyDescent="0.25">
      <c r="A3272" s="405" t="s">
        <v>310</v>
      </c>
      <c r="B3272" s="405" t="s">
        <v>22862</v>
      </c>
      <c r="C3272" s="405" t="s">
        <v>327</v>
      </c>
      <c r="D3272" s="405"/>
      <c r="E3272" s="410">
        <v>42714</v>
      </c>
      <c r="F3272" s="410">
        <v>42759</v>
      </c>
      <c r="G3272" s="405" t="s">
        <v>22863</v>
      </c>
      <c r="H3272" s="405">
        <v>775804710</v>
      </c>
      <c r="I3272" s="405"/>
      <c r="J3272" s="405">
        <v>0.72430000000000005</v>
      </c>
      <c r="K3272" s="405">
        <v>29.839200000000002</v>
      </c>
      <c r="L3272" s="405" t="s">
        <v>590</v>
      </c>
      <c r="M3272" s="405" t="s">
        <v>19619</v>
      </c>
      <c r="N3272" s="405" t="s">
        <v>19793</v>
      </c>
      <c r="O3272" s="405" t="s">
        <v>6395</v>
      </c>
      <c r="P3272" s="405" t="s">
        <v>22795</v>
      </c>
      <c r="Q3272" s="411">
        <v>6</v>
      </c>
      <c r="R3272" s="405" t="s">
        <v>5858</v>
      </c>
      <c r="S3272" s="405" t="s">
        <v>27414</v>
      </c>
      <c r="T3272" s="405" t="s">
        <v>32102</v>
      </c>
      <c r="U3272" s="405" t="s">
        <v>319</v>
      </c>
    </row>
    <row r="3273" spans="1:21" x14ac:dyDescent="0.25">
      <c r="A3273" s="405" t="s">
        <v>310</v>
      </c>
      <c r="B3273" s="405" t="s">
        <v>22853</v>
      </c>
      <c r="C3273" s="405" t="s">
        <v>327</v>
      </c>
      <c r="D3273" s="405"/>
      <c r="E3273" s="410">
        <v>42714</v>
      </c>
      <c r="F3273" s="410">
        <v>42759</v>
      </c>
      <c r="G3273" s="405" t="s">
        <v>22854</v>
      </c>
      <c r="H3273" s="405">
        <v>752550107</v>
      </c>
      <c r="I3273" s="405"/>
      <c r="J3273" s="405">
        <v>1.7000000000000001E-2</v>
      </c>
      <c r="K3273" s="405">
        <v>30.755800000000001</v>
      </c>
      <c r="L3273" s="405" t="s">
        <v>590</v>
      </c>
      <c r="M3273" s="405" t="s">
        <v>19705</v>
      </c>
      <c r="N3273" s="405" t="s">
        <v>2250</v>
      </c>
      <c r="O3273" s="405" t="s">
        <v>2250</v>
      </c>
      <c r="P3273" s="405" t="s">
        <v>22855</v>
      </c>
      <c r="Q3273" s="411">
        <v>6</v>
      </c>
      <c r="R3273" s="405" t="s">
        <v>5858</v>
      </c>
      <c r="S3273" s="405" t="s">
        <v>27227</v>
      </c>
      <c r="T3273" s="405" t="s">
        <v>32102</v>
      </c>
      <c r="U3273" s="405" t="s">
        <v>319</v>
      </c>
    </row>
    <row r="3274" spans="1:21" x14ac:dyDescent="0.25">
      <c r="A3274" s="405" t="s">
        <v>310</v>
      </c>
      <c r="B3274" s="405" t="s">
        <v>28370</v>
      </c>
      <c r="C3274" s="405" t="s">
        <v>327</v>
      </c>
      <c r="D3274" s="405"/>
      <c r="E3274" s="410">
        <v>42711</v>
      </c>
      <c r="F3274" s="410">
        <v>42756</v>
      </c>
      <c r="G3274" s="405" t="s">
        <v>6225</v>
      </c>
      <c r="H3274" s="405">
        <v>757528667</v>
      </c>
      <c r="I3274" s="405"/>
      <c r="J3274" s="405">
        <v>0.24540000000000001</v>
      </c>
      <c r="K3274" s="405">
        <v>32.341099999999997</v>
      </c>
      <c r="L3274" s="405" t="s">
        <v>314</v>
      </c>
      <c r="M3274" s="405" t="s">
        <v>361</v>
      </c>
      <c r="N3274" s="405" t="s">
        <v>362</v>
      </c>
      <c r="O3274" s="405" t="s">
        <v>6198</v>
      </c>
      <c r="P3274" s="405" t="s">
        <v>510</v>
      </c>
      <c r="Q3274" s="411">
        <v>13</v>
      </c>
      <c r="R3274" s="405" t="s">
        <v>5903</v>
      </c>
      <c r="S3274" s="405" t="s">
        <v>27153</v>
      </c>
      <c r="T3274" s="405" t="s">
        <v>32102</v>
      </c>
      <c r="U3274" s="405" t="s">
        <v>319</v>
      </c>
    </row>
    <row r="3275" spans="1:21" x14ac:dyDescent="0.25">
      <c r="A3275" s="405" t="s">
        <v>310</v>
      </c>
      <c r="B3275" s="405" t="s">
        <v>22858</v>
      </c>
      <c r="C3275" s="405" t="s">
        <v>327</v>
      </c>
      <c r="D3275" s="405"/>
      <c r="E3275" s="410">
        <v>42711</v>
      </c>
      <c r="F3275" s="410">
        <v>42756</v>
      </c>
      <c r="G3275" s="405" t="s">
        <v>22859</v>
      </c>
      <c r="H3275" s="405">
        <v>755378909</v>
      </c>
      <c r="I3275" s="405"/>
      <c r="J3275" s="405">
        <v>0.73799999999999999</v>
      </c>
      <c r="K3275" s="405">
        <v>29.844200000000001</v>
      </c>
      <c r="L3275" s="405" t="s">
        <v>590</v>
      </c>
      <c r="M3275" s="405" t="s">
        <v>19619</v>
      </c>
      <c r="N3275" s="405" t="s">
        <v>19793</v>
      </c>
      <c r="O3275" s="405" t="s">
        <v>6395</v>
      </c>
      <c r="P3275" s="405" t="s">
        <v>22282</v>
      </c>
      <c r="Q3275" s="411">
        <v>6</v>
      </c>
      <c r="R3275" s="405" t="s">
        <v>5858</v>
      </c>
      <c r="S3275" s="405" t="s">
        <v>27420</v>
      </c>
      <c r="T3275" s="405" t="s">
        <v>32102</v>
      </c>
      <c r="U3275" s="405" t="s">
        <v>319</v>
      </c>
    </row>
    <row r="3276" spans="1:21" x14ac:dyDescent="0.25">
      <c r="A3276" s="405" t="s">
        <v>310</v>
      </c>
      <c r="B3276" s="405" t="s">
        <v>28257</v>
      </c>
      <c r="C3276" s="405" t="s">
        <v>327</v>
      </c>
      <c r="D3276" s="405"/>
      <c r="E3276" s="410">
        <v>42710</v>
      </c>
      <c r="F3276" s="410">
        <v>42755</v>
      </c>
      <c r="G3276" s="405" t="s">
        <v>15549</v>
      </c>
      <c r="H3276" s="405">
        <v>782405007</v>
      </c>
      <c r="I3276" s="405">
        <v>782612131</v>
      </c>
      <c r="J3276" s="405">
        <v>0.56489999999999996</v>
      </c>
      <c r="K3276" s="405">
        <v>34.111199999999997</v>
      </c>
      <c r="L3276" s="405" t="s">
        <v>6866</v>
      </c>
      <c r="M3276" s="405" t="s">
        <v>9514</v>
      </c>
      <c r="N3276" s="405" t="s">
        <v>9722</v>
      </c>
      <c r="O3276" s="405" t="s">
        <v>10681</v>
      </c>
      <c r="P3276" s="405" t="s">
        <v>15550</v>
      </c>
      <c r="Q3276" s="411">
        <v>6</v>
      </c>
      <c r="R3276" s="405" t="s">
        <v>7224</v>
      </c>
      <c r="S3276" s="405" t="s">
        <v>27348</v>
      </c>
      <c r="T3276" s="405" t="s">
        <v>32102</v>
      </c>
      <c r="U3276" s="405" t="s">
        <v>319</v>
      </c>
    </row>
    <row r="3277" spans="1:21" x14ac:dyDescent="0.25">
      <c r="A3277" s="405" t="s">
        <v>310</v>
      </c>
      <c r="B3277" s="405" t="s">
        <v>27950</v>
      </c>
      <c r="C3277" s="405" t="s">
        <v>327</v>
      </c>
      <c r="D3277" s="405"/>
      <c r="E3277" s="410">
        <v>42708</v>
      </c>
      <c r="F3277" s="410">
        <v>42753</v>
      </c>
      <c r="G3277" s="405" t="s">
        <v>15535</v>
      </c>
      <c r="H3277" s="405">
        <v>773151818</v>
      </c>
      <c r="I3277" s="405">
        <v>782245995</v>
      </c>
      <c r="J3277" s="405">
        <v>1.137</v>
      </c>
      <c r="K3277" s="405">
        <v>34.223599999999998</v>
      </c>
      <c r="L3277" s="405" t="s">
        <v>6866</v>
      </c>
      <c r="M3277" s="405" t="s">
        <v>6867</v>
      </c>
      <c r="N3277" s="405" t="s">
        <v>15536</v>
      </c>
      <c r="O3277" s="405" t="s">
        <v>12252</v>
      </c>
      <c r="P3277" s="405" t="s">
        <v>15537</v>
      </c>
      <c r="Q3277" s="411">
        <v>6</v>
      </c>
      <c r="R3277" s="405" t="s">
        <v>6871</v>
      </c>
      <c r="S3277" s="405" t="s">
        <v>17013</v>
      </c>
      <c r="T3277" s="405" t="s">
        <v>32102</v>
      </c>
      <c r="U3277" s="405" t="s">
        <v>319</v>
      </c>
    </row>
    <row r="3278" spans="1:21" x14ac:dyDescent="0.25">
      <c r="A3278" s="405" t="s">
        <v>310</v>
      </c>
      <c r="B3278" s="405" t="s">
        <v>28305</v>
      </c>
      <c r="C3278" s="405" t="s">
        <v>311</v>
      </c>
      <c r="D3278" s="405" t="s">
        <v>839</v>
      </c>
      <c r="E3278" s="410">
        <v>42707</v>
      </c>
      <c r="F3278" s="410">
        <v>42752</v>
      </c>
      <c r="G3278" s="405" t="s">
        <v>6808</v>
      </c>
      <c r="H3278" s="405">
        <v>702315807</v>
      </c>
      <c r="I3278" s="405"/>
      <c r="J3278" s="405">
        <v>0.28299999999999997</v>
      </c>
      <c r="K3278" s="405">
        <v>32.312600000000003</v>
      </c>
      <c r="L3278" s="405" t="s">
        <v>314</v>
      </c>
      <c r="M3278" s="405" t="s">
        <v>361</v>
      </c>
      <c r="N3278" s="405" t="s">
        <v>362</v>
      </c>
      <c r="O3278" s="405" t="s">
        <v>6198</v>
      </c>
      <c r="P3278" s="405" t="s">
        <v>4992</v>
      </c>
      <c r="Q3278" s="411">
        <v>13</v>
      </c>
      <c r="R3278" s="405" t="s">
        <v>5903</v>
      </c>
      <c r="S3278" s="405" t="s">
        <v>27153</v>
      </c>
      <c r="T3278" s="405" t="s">
        <v>32102</v>
      </c>
      <c r="U3278" s="405" t="s">
        <v>319</v>
      </c>
    </row>
    <row r="3279" spans="1:21" x14ac:dyDescent="0.25">
      <c r="A3279" s="405" t="s">
        <v>310</v>
      </c>
      <c r="B3279" s="405" t="s">
        <v>22864</v>
      </c>
      <c r="C3279" s="405" t="s">
        <v>327</v>
      </c>
      <c r="D3279" s="405"/>
      <c r="E3279" s="410">
        <v>42707</v>
      </c>
      <c r="F3279" s="410">
        <v>42752</v>
      </c>
      <c r="G3279" s="405" t="s">
        <v>22865</v>
      </c>
      <c r="H3279" s="405">
        <v>772558366</v>
      </c>
      <c r="I3279" s="405">
        <v>700794262</v>
      </c>
      <c r="J3279" s="405">
        <v>-0.544879</v>
      </c>
      <c r="K3279" s="405">
        <v>30.137459</v>
      </c>
      <c r="L3279" s="405" t="s">
        <v>590</v>
      </c>
      <c r="M3279" s="405" t="s">
        <v>19625</v>
      </c>
      <c r="N3279" s="405" t="s">
        <v>22016</v>
      </c>
      <c r="O3279" s="405" t="s">
        <v>19639</v>
      </c>
      <c r="P3279" s="405" t="s">
        <v>20935</v>
      </c>
      <c r="Q3279" s="411">
        <v>6</v>
      </c>
      <c r="R3279" s="405" t="s">
        <v>883</v>
      </c>
      <c r="S3279" s="405" t="s">
        <v>27183</v>
      </c>
      <c r="T3279" s="405" t="s">
        <v>32102</v>
      </c>
      <c r="U3279" s="405" t="s">
        <v>319</v>
      </c>
    </row>
    <row r="3280" spans="1:21" x14ac:dyDescent="0.25">
      <c r="A3280" s="405" t="s">
        <v>310</v>
      </c>
      <c r="B3280" s="405" t="s">
        <v>22856</v>
      </c>
      <c r="C3280" s="405" t="s">
        <v>327</v>
      </c>
      <c r="D3280" s="405"/>
      <c r="E3280" s="410">
        <v>42707</v>
      </c>
      <c r="F3280" s="410">
        <v>42752</v>
      </c>
      <c r="G3280" s="405" t="s">
        <v>22857</v>
      </c>
      <c r="H3280" s="405">
        <v>772325728</v>
      </c>
      <c r="I3280" s="405"/>
      <c r="J3280" s="405">
        <v>5.0565499999999997</v>
      </c>
      <c r="K3280" s="405">
        <v>30.244299999999999</v>
      </c>
      <c r="L3280" s="405" t="s">
        <v>590</v>
      </c>
      <c r="M3280" s="405" t="s">
        <v>19659</v>
      </c>
      <c r="N3280" s="405" t="s">
        <v>19664</v>
      </c>
      <c r="O3280" s="405" t="s">
        <v>22196</v>
      </c>
      <c r="P3280" s="405" t="s">
        <v>22197</v>
      </c>
      <c r="Q3280" s="411">
        <v>6</v>
      </c>
      <c r="R3280" s="405" t="s">
        <v>6572</v>
      </c>
      <c r="S3280" s="405" t="s">
        <v>27161</v>
      </c>
      <c r="T3280" s="405" t="s">
        <v>32102</v>
      </c>
      <c r="U3280" s="405" t="s">
        <v>319</v>
      </c>
    </row>
    <row r="3281" spans="1:21" x14ac:dyDescent="0.25">
      <c r="A3281" s="405" t="s">
        <v>310</v>
      </c>
      <c r="B3281" s="405" t="s">
        <v>22851</v>
      </c>
      <c r="C3281" s="405" t="s">
        <v>327</v>
      </c>
      <c r="D3281" s="405"/>
      <c r="E3281" s="410">
        <v>42706</v>
      </c>
      <c r="F3281" s="410">
        <v>42751</v>
      </c>
      <c r="G3281" s="405" t="s">
        <v>22852</v>
      </c>
      <c r="H3281" s="405">
        <v>751090815</v>
      </c>
      <c r="I3281" s="405"/>
      <c r="J3281" s="405">
        <v>-0.73949500000000001</v>
      </c>
      <c r="K3281" s="405">
        <v>29.845414999999999</v>
      </c>
      <c r="L3281" s="405" t="s">
        <v>590</v>
      </c>
      <c r="M3281" s="405" t="s">
        <v>19619</v>
      </c>
      <c r="N3281" s="405" t="s">
        <v>19793</v>
      </c>
      <c r="O3281" s="405" t="s">
        <v>6395</v>
      </c>
      <c r="P3281" s="405" t="s">
        <v>22284</v>
      </c>
      <c r="Q3281" s="411">
        <v>9</v>
      </c>
      <c r="R3281" s="405" t="s">
        <v>5858</v>
      </c>
      <c r="S3281" s="405" t="s">
        <v>27098</v>
      </c>
      <c r="T3281" s="405" t="s">
        <v>32102</v>
      </c>
      <c r="U3281" s="405" t="s">
        <v>319</v>
      </c>
    </row>
    <row r="3282" spans="1:21" x14ac:dyDescent="0.25">
      <c r="A3282" s="405" t="s">
        <v>310</v>
      </c>
      <c r="B3282" s="405" t="s">
        <v>27564</v>
      </c>
      <c r="C3282" s="405" t="s">
        <v>311</v>
      </c>
      <c r="D3282" s="405" t="s">
        <v>23098</v>
      </c>
      <c r="E3282" s="410">
        <v>42706</v>
      </c>
      <c r="F3282" s="410">
        <v>42751</v>
      </c>
      <c r="G3282" s="405" t="s">
        <v>23099</v>
      </c>
      <c r="H3282" s="405">
        <v>779484460</v>
      </c>
      <c r="I3282" s="405"/>
      <c r="J3282" s="405">
        <v>1.2716000000000001</v>
      </c>
      <c r="K3282" s="405">
        <v>31.124099999999999</v>
      </c>
      <c r="L3282" s="405" t="s">
        <v>590</v>
      </c>
      <c r="M3282" s="405" t="s">
        <v>20125</v>
      </c>
      <c r="N3282" s="405" t="s">
        <v>20866</v>
      </c>
      <c r="O3282" s="405" t="s">
        <v>23100</v>
      </c>
      <c r="P3282" s="405" t="s">
        <v>23101</v>
      </c>
      <c r="Q3282" s="411">
        <v>6</v>
      </c>
      <c r="R3282" s="405" t="s">
        <v>6397</v>
      </c>
      <c r="S3282" s="405" t="s">
        <v>27046</v>
      </c>
      <c r="T3282" s="405" t="s">
        <v>32102</v>
      </c>
      <c r="U3282" s="405" t="s">
        <v>319</v>
      </c>
    </row>
    <row r="3283" spans="1:21" x14ac:dyDescent="0.25">
      <c r="A3283" s="405" t="s">
        <v>310</v>
      </c>
      <c r="B3283" s="405" t="s">
        <v>28550</v>
      </c>
      <c r="C3283" s="405" t="s">
        <v>327</v>
      </c>
      <c r="D3283" s="405"/>
      <c r="E3283" s="410">
        <v>42705</v>
      </c>
      <c r="F3283" s="410">
        <v>42750</v>
      </c>
      <c r="G3283" s="405" t="s">
        <v>15547</v>
      </c>
      <c r="H3283" s="405">
        <v>773198380</v>
      </c>
      <c r="I3283" s="405"/>
      <c r="J3283" s="405">
        <v>1.036</v>
      </c>
      <c r="K3283" s="405">
        <v>34.154699999999998</v>
      </c>
      <c r="L3283" s="405" t="s">
        <v>6866</v>
      </c>
      <c r="M3283" s="405" t="s">
        <v>9514</v>
      </c>
      <c r="N3283" s="405" t="s">
        <v>9529</v>
      </c>
      <c r="O3283" s="405" t="s">
        <v>11449</v>
      </c>
      <c r="P3283" s="405" t="s">
        <v>15548</v>
      </c>
      <c r="Q3283" s="411">
        <v>6</v>
      </c>
      <c r="R3283" s="405" t="s">
        <v>7224</v>
      </c>
      <c r="S3283" s="405" t="s">
        <v>27259</v>
      </c>
      <c r="T3283" s="405" t="s">
        <v>32102</v>
      </c>
      <c r="U3283" s="405" t="s">
        <v>319</v>
      </c>
    </row>
    <row r="3284" spans="1:21" x14ac:dyDescent="0.25">
      <c r="A3284" s="405" t="s">
        <v>310</v>
      </c>
      <c r="B3284" s="405" t="s">
        <v>15545</v>
      </c>
      <c r="C3284" s="405" t="s">
        <v>327</v>
      </c>
      <c r="D3284" s="405"/>
      <c r="E3284" s="410">
        <v>42705</v>
      </c>
      <c r="F3284" s="410">
        <v>42750</v>
      </c>
      <c r="G3284" s="405" t="s">
        <v>15546</v>
      </c>
      <c r="H3284" s="405">
        <v>777172618</v>
      </c>
      <c r="I3284" s="405">
        <v>782928070</v>
      </c>
      <c r="J3284" s="405">
        <v>1.06</v>
      </c>
      <c r="K3284" s="405">
        <v>34.152999999999999</v>
      </c>
      <c r="L3284" s="405" t="s">
        <v>6866</v>
      </c>
      <c r="M3284" s="405" t="s">
        <v>9514</v>
      </c>
      <c r="N3284" s="405" t="s">
        <v>9529</v>
      </c>
      <c r="O3284" s="405" t="s">
        <v>11449</v>
      </c>
      <c r="P3284" s="405" t="s">
        <v>10963</v>
      </c>
      <c r="Q3284" s="411">
        <v>6</v>
      </c>
      <c r="R3284" s="405" t="s">
        <v>7224</v>
      </c>
      <c r="S3284" s="405" t="s">
        <v>27041</v>
      </c>
      <c r="T3284" s="405" t="s">
        <v>32102</v>
      </c>
      <c r="U3284" s="405" t="s">
        <v>319</v>
      </c>
    </row>
    <row r="3285" spans="1:21" x14ac:dyDescent="0.25">
      <c r="A3285" s="405" t="s">
        <v>310</v>
      </c>
      <c r="B3285" s="405" t="s">
        <v>22872</v>
      </c>
      <c r="C3285" s="405" t="s">
        <v>327</v>
      </c>
      <c r="D3285" s="405"/>
      <c r="E3285" s="410">
        <v>42703</v>
      </c>
      <c r="F3285" s="410">
        <v>42748</v>
      </c>
      <c r="G3285" s="405" t="s">
        <v>22873</v>
      </c>
      <c r="H3285" s="405">
        <v>777237011</v>
      </c>
      <c r="I3285" s="405"/>
      <c r="J3285" s="405">
        <v>-0.51646199999999998</v>
      </c>
      <c r="K3285" s="405">
        <v>30.609466999999999</v>
      </c>
      <c r="L3285" s="405" t="s">
        <v>590</v>
      </c>
      <c r="M3285" s="405" t="s">
        <v>19614</v>
      </c>
      <c r="N3285" s="405" t="s">
        <v>19615</v>
      </c>
      <c r="O3285" s="405" t="s">
        <v>20063</v>
      </c>
      <c r="P3285" s="405" t="s">
        <v>22874</v>
      </c>
      <c r="Q3285" s="411">
        <v>9</v>
      </c>
      <c r="R3285" s="405" t="s">
        <v>883</v>
      </c>
      <c r="S3285" s="405" t="s">
        <v>27413</v>
      </c>
      <c r="T3285" s="405" t="s">
        <v>32102</v>
      </c>
      <c r="U3285" s="405" t="s">
        <v>319</v>
      </c>
    </row>
    <row r="3286" spans="1:21" x14ac:dyDescent="0.25">
      <c r="A3286" s="405" t="s">
        <v>310</v>
      </c>
      <c r="B3286" s="405" t="s">
        <v>15542</v>
      </c>
      <c r="C3286" s="405" t="s">
        <v>327</v>
      </c>
      <c r="D3286" s="405"/>
      <c r="E3286" s="410">
        <v>42703</v>
      </c>
      <c r="F3286" s="410">
        <v>42748</v>
      </c>
      <c r="G3286" s="405" t="s">
        <v>15543</v>
      </c>
      <c r="H3286" s="405">
        <v>777959966</v>
      </c>
      <c r="I3286" s="405"/>
      <c r="J3286" s="405">
        <v>1.3440000000000001</v>
      </c>
      <c r="K3286" s="405">
        <v>34.914000000000001</v>
      </c>
      <c r="L3286" s="405" t="s">
        <v>6866</v>
      </c>
      <c r="M3286" s="405" t="s">
        <v>9514</v>
      </c>
      <c r="N3286" s="405" t="s">
        <v>9722</v>
      </c>
      <c r="O3286" s="405" t="s">
        <v>9780</v>
      </c>
      <c r="P3286" s="405" t="s">
        <v>10198</v>
      </c>
      <c r="Q3286" s="411">
        <v>6</v>
      </c>
      <c r="R3286" s="405" t="s">
        <v>7224</v>
      </c>
      <c r="S3286" s="405" t="s">
        <v>27067</v>
      </c>
      <c r="T3286" s="405" t="s">
        <v>32102</v>
      </c>
      <c r="U3286" s="405" t="s">
        <v>319</v>
      </c>
    </row>
    <row r="3287" spans="1:21" x14ac:dyDescent="0.25">
      <c r="A3287" s="405" t="s">
        <v>310</v>
      </c>
      <c r="B3287" s="405" t="s">
        <v>27606</v>
      </c>
      <c r="C3287" s="405" t="s">
        <v>327</v>
      </c>
      <c r="D3287" s="405"/>
      <c r="E3287" s="410">
        <v>42702</v>
      </c>
      <c r="F3287" s="410">
        <v>42747</v>
      </c>
      <c r="G3287" s="405" t="s">
        <v>15532</v>
      </c>
      <c r="H3287" s="405">
        <v>774661507</v>
      </c>
      <c r="I3287" s="405"/>
      <c r="J3287" s="405">
        <v>1.033148</v>
      </c>
      <c r="K3287" s="405">
        <v>34.373440000000002</v>
      </c>
      <c r="L3287" s="405" t="s">
        <v>6866</v>
      </c>
      <c r="M3287" s="405" t="s">
        <v>6867</v>
      </c>
      <c r="N3287" s="405" t="s">
        <v>6868</v>
      </c>
      <c r="O3287" s="405" t="s">
        <v>15533</v>
      </c>
      <c r="P3287" s="405" t="s">
        <v>15534</v>
      </c>
      <c r="Q3287" s="411">
        <v>6</v>
      </c>
      <c r="R3287" s="405" t="s">
        <v>6871</v>
      </c>
      <c r="S3287" s="405" t="s">
        <v>27306</v>
      </c>
      <c r="T3287" s="405" t="s">
        <v>32102</v>
      </c>
      <c r="U3287" s="405" t="s">
        <v>319</v>
      </c>
    </row>
    <row r="3288" spans="1:21" x14ac:dyDescent="0.25">
      <c r="A3288" s="405" t="s">
        <v>310</v>
      </c>
      <c r="B3288" s="405" t="s">
        <v>22837</v>
      </c>
      <c r="C3288" s="405" t="s">
        <v>327</v>
      </c>
      <c r="D3288" s="405"/>
      <c r="E3288" s="410">
        <v>42698</v>
      </c>
      <c r="F3288" s="410">
        <v>42733</v>
      </c>
      <c r="G3288" s="405" t="s">
        <v>22838</v>
      </c>
      <c r="H3288" s="405">
        <v>782265509</v>
      </c>
      <c r="I3288" s="405"/>
      <c r="J3288" s="405">
        <v>1.95</v>
      </c>
      <c r="K3288" s="405">
        <v>31.662893</v>
      </c>
      <c r="L3288" s="405" t="s">
        <v>590</v>
      </c>
      <c r="M3288" s="405" t="s">
        <v>1360</v>
      </c>
      <c r="N3288" s="405" t="s">
        <v>3545</v>
      </c>
      <c r="O3288" s="405" t="s">
        <v>1360</v>
      </c>
      <c r="P3288" s="405" t="s">
        <v>22839</v>
      </c>
      <c r="Q3288" s="411">
        <v>9</v>
      </c>
      <c r="R3288" s="405" t="s">
        <v>414</v>
      </c>
      <c r="S3288" s="405" t="s">
        <v>414</v>
      </c>
      <c r="T3288" s="405" t="s">
        <v>32102</v>
      </c>
      <c r="U3288" s="405" t="s">
        <v>319</v>
      </c>
    </row>
    <row r="3289" spans="1:21" x14ac:dyDescent="0.25">
      <c r="A3289" s="405" t="s">
        <v>310</v>
      </c>
      <c r="B3289" s="405" t="s">
        <v>28486</v>
      </c>
      <c r="C3289" s="405" t="s">
        <v>311</v>
      </c>
      <c r="D3289" s="405" t="s">
        <v>32749</v>
      </c>
      <c r="E3289" s="410">
        <v>42696</v>
      </c>
      <c r="F3289" s="410">
        <v>42741</v>
      </c>
      <c r="G3289" s="405" t="s">
        <v>15969</v>
      </c>
      <c r="H3289" s="405">
        <v>772839649</v>
      </c>
      <c r="I3289" s="405">
        <v>751266535</v>
      </c>
      <c r="J3289" s="405">
        <v>0.57320000000000004</v>
      </c>
      <c r="K3289" s="405">
        <v>24.125699999999998</v>
      </c>
      <c r="L3289" s="405" t="s">
        <v>6866</v>
      </c>
      <c r="M3289" s="405" t="s">
        <v>9514</v>
      </c>
      <c r="N3289" s="405" t="s">
        <v>9616</v>
      </c>
      <c r="O3289" s="405" t="s">
        <v>10681</v>
      </c>
      <c r="P3289" s="405" t="s">
        <v>9604</v>
      </c>
      <c r="Q3289" s="411">
        <v>6</v>
      </c>
      <c r="R3289" s="405" t="s">
        <v>7224</v>
      </c>
      <c r="S3289" s="405" t="s">
        <v>27041</v>
      </c>
      <c r="T3289" s="405" t="s">
        <v>32102</v>
      </c>
      <c r="U3289" s="405" t="s">
        <v>319</v>
      </c>
    </row>
    <row r="3290" spans="1:21" x14ac:dyDescent="0.25">
      <c r="A3290" s="405" t="s">
        <v>310</v>
      </c>
      <c r="B3290" s="405" t="s">
        <v>15540</v>
      </c>
      <c r="C3290" s="405" t="s">
        <v>327</v>
      </c>
      <c r="D3290" s="405"/>
      <c r="E3290" s="410">
        <v>42696</v>
      </c>
      <c r="F3290" s="410">
        <v>42741</v>
      </c>
      <c r="G3290" s="405" t="s">
        <v>15541</v>
      </c>
      <c r="H3290" s="405">
        <v>772886231</v>
      </c>
      <c r="I3290" s="405">
        <v>704259140</v>
      </c>
      <c r="J3290" s="405">
        <v>1.6539999999999999</v>
      </c>
      <c r="K3290" s="405">
        <v>34.101900000000001</v>
      </c>
      <c r="L3290" s="405" t="s">
        <v>6866</v>
      </c>
      <c r="M3290" s="405" t="s">
        <v>9514</v>
      </c>
      <c r="N3290" s="405" t="s">
        <v>9722</v>
      </c>
      <c r="O3290" s="405" t="s">
        <v>9608</v>
      </c>
      <c r="P3290" s="405" t="s">
        <v>10567</v>
      </c>
      <c r="Q3290" s="411">
        <v>6</v>
      </c>
      <c r="R3290" s="405" t="s">
        <v>7224</v>
      </c>
      <c r="S3290" s="405" t="s">
        <v>27259</v>
      </c>
      <c r="T3290" s="405" t="s">
        <v>32102</v>
      </c>
      <c r="U3290" s="405" t="s">
        <v>319</v>
      </c>
    </row>
    <row r="3291" spans="1:21" x14ac:dyDescent="0.25">
      <c r="A3291" s="405" t="s">
        <v>310</v>
      </c>
      <c r="B3291" s="405" t="s">
        <v>28478</v>
      </c>
      <c r="C3291" s="405" t="s">
        <v>327</v>
      </c>
      <c r="D3291" s="405"/>
      <c r="E3291" s="410">
        <v>42694</v>
      </c>
      <c r="F3291" s="410">
        <v>42739</v>
      </c>
      <c r="G3291" s="405" t="s">
        <v>6230</v>
      </c>
      <c r="H3291" s="405">
        <v>750509163</v>
      </c>
      <c r="I3291" s="405">
        <v>757056242</v>
      </c>
      <c r="J3291" s="405">
        <v>50.184100000000001</v>
      </c>
      <c r="K3291" s="405">
        <v>31.5045</v>
      </c>
      <c r="L3291" s="405" t="s">
        <v>314</v>
      </c>
      <c r="M3291" s="405" t="s">
        <v>382</v>
      </c>
      <c r="N3291" s="405" t="s">
        <v>941</v>
      </c>
      <c r="O3291" s="405" t="s">
        <v>6231</v>
      </c>
      <c r="P3291" s="405" t="s">
        <v>6232</v>
      </c>
      <c r="Q3291" s="411">
        <v>6</v>
      </c>
      <c r="R3291" s="405" t="s">
        <v>32101</v>
      </c>
      <c r="S3291" s="405" t="s">
        <v>27186</v>
      </c>
      <c r="T3291" s="405" t="s">
        <v>32102</v>
      </c>
      <c r="U3291" s="405" t="s">
        <v>319</v>
      </c>
    </row>
    <row r="3292" spans="1:21" x14ac:dyDescent="0.25">
      <c r="A3292" s="405" t="s">
        <v>310</v>
      </c>
      <c r="B3292" s="405" t="s">
        <v>22869</v>
      </c>
      <c r="C3292" s="405" t="s">
        <v>327</v>
      </c>
      <c r="D3292" s="405"/>
      <c r="E3292" s="410">
        <v>42691</v>
      </c>
      <c r="F3292" s="410">
        <v>42736</v>
      </c>
      <c r="G3292" s="405" t="s">
        <v>22870</v>
      </c>
      <c r="H3292" s="405">
        <v>772482359</v>
      </c>
      <c r="I3292" s="405"/>
      <c r="J3292" s="405">
        <v>-0.373502</v>
      </c>
      <c r="K3292" s="405">
        <v>30.598033000000001</v>
      </c>
      <c r="L3292" s="405" t="s">
        <v>590</v>
      </c>
      <c r="M3292" s="405" t="s">
        <v>19614</v>
      </c>
      <c r="N3292" s="405" t="s">
        <v>19615</v>
      </c>
      <c r="O3292" s="405" t="s">
        <v>22871</v>
      </c>
      <c r="P3292" s="405" t="s">
        <v>21157</v>
      </c>
      <c r="Q3292" s="411">
        <v>6</v>
      </c>
      <c r="R3292" s="405" t="s">
        <v>883</v>
      </c>
      <c r="S3292" s="405" t="s">
        <v>27104</v>
      </c>
      <c r="T3292" s="405" t="s">
        <v>32102</v>
      </c>
      <c r="U3292" s="405" t="s">
        <v>319</v>
      </c>
    </row>
    <row r="3293" spans="1:21" x14ac:dyDescent="0.25">
      <c r="A3293" s="405" t="s">
        <v>310</v>
      </c>
      <c r="B3293" s="405" t="s">
        <v>22840</v>
      </c>
      <c r="C3293" s="405" t="s">
        <v>327</v>
      </c>
      <c r="D3293" s="405"/>
      <c r="E3293" s="410">
        <v>42690</v>
      </c>
      <c r="F3293" s="410">
        <v>42735</v>
      </c>
      <c r="G3293" s="405" t="s">
        <v>22841</v>
      </c>
      <c r="H3293" s="405">
        <v>702319329</v>
      </c>
      <c r="I3293" s="405"/>
      <c r="J3293" s="405">
        <v>0.109943</v>
      </c>
      <c r="K3293" s="405">
        <v>30.925633000000001</v>
      </c>
      <c r="L3293" s="405" t="s">
        <v>590</v>
      </c>
      <c r="M3293" s="405" t="s">
        <v>19705</v>
      </c>
      <c r="N3293" s="405" t="s">
        <v>2250</v>
      </c>
      <c r="O3293" s="405" t="s">
        <v>7810</v>
      </c>
      <c r="P3293" s="405" t="s">
        <v>22842</v>
      </c>
      <c r="Q3293" s="411">
        <v>6</v>
      </c>
      <c r="R3293" s="405" t="s">
        <v>883</v>
      </c>
      <c r="S3293" s="405" t="s">
        <v>27104</v>
      </c>
      <c r="T3293" s="405" t="s">
        <v>32102</v>
      </c>
      <c r="U3293" s="405" t="s">
        <v>319</v>
      </c>
    </row>
    <row r="3294" spans="1:21" x14ac:dyDescent="0.25">
      <c r="A3294" s="405" t="s">
        <v>310</v>
      </c>
      <c r="B3294" s="405" t="s">
        <v>22834</v>
      </c>
      <c r="C3294" s="405" t="s">
        <v>327</v>
      </c>
      <c r="D3294" s="405"/>
      <c r="E3294" s="410">
        <v>42687</v>
      </c>
      <c r="F3294" s="410">
        <v>42732</v>
      </c>
      <c r="G3294" s="405" t="s">
        <v>22835</v>
      </c>
      <c r="H3294" s="405">
        <v>703831885</v>
      </c>
      <c r="I3294" s="405"/>
      <c r="J3294" s="405">
        <v>1.0170630000000001</v>
      </c>
      <c r="K3294" s="405">
        <v>34.371237000000001</v>
      </c>
      <c r="L3294" s="405" t="s">
        <v>590</v>
      </c>
      <c r="M3294" s="405" t="s">
        <v>19720</v>
      </c>
      <c r="N3294" s="405" t="s">
        <v>22346</v>
      </c>
      <c r="O3294" s="405" t="s">
        <v>19720</v>
      </c>
      <c r="P3294" s="405" t="s">
        <v>22836</v>
      </c>
      <c r="Q3294" s="411">
        <v>9</v>
      </c>
      <c r="R3294" s="405" t="s">
        <v>6013</v>
      </c>
      <c r="S3294" s="405" t="s">
        <v>27163</v>
      </c>
      <c r="T3294" s="405" t="s">
        <v>32102</v>
      </c>
      <c r="U3294" s="405" t="s">
        <v>319</v>
      </c>
    </row>
    <row r="3295" spans="1:21" x14ac:dyDescent="0.25">
      <c r="A3295" s="405" t="s">
        <v>310</v>
      </c>
      <c r="B3295" s="405" t="s">
        <v>22827</v>
      </c>
      <c r="C3295" s="405" t="s">
        <v>327</v>
      </c>
      <c r="D3295" s="405"/>
      <c r="E3295" s="410">
        <v>42687</v>
      </c>
      <c r="F3295" s="410">
        <v>42732</v>
      </c>
      <c r="G3295" s="405" t="s">
        <v>22828</v>
      </c>
      <c r="H3295" s="405">
        <v>785698309</v>
      </c>
      <c r="I3295" s="405"/>
      <c r="J3295" s="405">
        <v>0.71099999999999997</v>
      </c>
      <c r="K3295" s="405">
        <v>30.241399999999999</v>
      </c>
      <c r="L3295" s="405" t="s">
        <v>590</v>
      </c>
      <c r="M3295" s="405" t="s">
        <v>19720</v>
      </c>
      <c r="N3295" s="405" t="s">
        <v>20297</v>
      </c>
      <c r="O3295" s="405" t="s">
        <v>22654</v>
      </c>
      <c r="P3295" s="405" t="s">
        <v>22655</v>
      </c>
      <c r="Q3295" s="411">
        <v>6</v>
      </c>
      <c r="R3295" s="405" t="s">
        <v>6013</v>
      </c>
      <c r="S3295" s="405" t="s">
        <v>27301</v>
      </c>
      <c r="T3295" s="405" t="s">
        <v>32102</v>
      </c>
      <c r="U3295" s="405" t="s">
        <v>319</v>
      </c>
    </row>
    <row r="3296" spans="1:21" x14ac:dyDescent="0.25">
      <c r="A3296" s="405" t="s">
        <v>310</v>
      </c>
      <c r="B3296" s="405" t="s">
        <v>22829</v>
      </c>
      <c r="C3296" s="405" t="s">
        <v>327</v>
      </c>
      <c r="D3296" s="405"/>
      <c r="E3296" s="410">
        <v>42687</v>
      </c>
      <c r="F3296" s="410">
        <v>42732</v>
      </c>
      <c r="G3296" s="405" t="s">
        <v>22830</v>
      </c>
      <c r="H3296" s="405">
        <v>775939678</v>
      </c>
      <c r="I3296" s="405"/>
      <c r="J3296" s="405">
        <v>0.43</v>
      </c>
      <c r="K3296" s="405">
        <v>30.234300000000001</v>
      </c>
      <c r="L3296" s="405" t="s">
        <v>590</v>
      </c>
      <c r="M3296" s="405" t="s">
        <v>19720</v>
      </c>
      <c r="N3296" s="405" t="s">
        <v>20297</v>
      </c>
      <c r="O3296" s="405" t="s">
        <v>22654</v>
      </c>
      <c r="P3296" s="405" t="s">
        <v>22763</v>
      </c>
      <c r="Q3296" s="411">
        <v>6</v>
      </c>
      <c r="R3296" s="405" t="s">
        <v>6013</v>
      </c>
      <c r="S3296" s="405" t="s">
        <v>27275</v>
      </c>
      <c r="T3296" s="405" t="s">
        <v>32102</v>
      </c>
      <c r="U3296" s="405" t="s">
        <v>319</v>
      </c>
    </row>
    <row r="3297" spans="1:21" x14ac:dyDescent="0.25">
      <c r="A3297" s="405" t="s">
        <v>310</v>
      </c>
      <c r="B3297" s="405" t="s">
        <v>23035</v>
      </c>
      <c r="C3297" s="405" t="s">
        <v>311</v>
      </c>
      <c r="D3297" s="405" t="s">
        <v>1789</v>
      </c>
      <c r="E3297" s="410">
        <v>42686</v>
      </c>
      <c r="F3297" s="410">
        <v>42731</v>
      </c>
      <c r="G3297" s="405" t="s">
        <v>23036</v>
      </c>
      <c r="H3297" s="405">
        <v>751643969</v>
      </c>
      <c r="I3297" s="405">
        <v>756600296</v>
      </c>
      <c r="J3297" s="405">
        <v>1.2138</v>
      </c>
      <c r="K3297" s="405">
        <v>31.205400000000001</v>
      </c>
      <c r="L3297" s="405" t="s">
        <v>590</v>
      </c>
      <c r="M3297" s="405" t="s">
        <v>7300</v>
      </c>
      <c r="N3297" s="405" t="s">
        <v>20450</v>
      </c>
      <c r="O3297" s="405" t="s">
        <v>23037</v>
      </c>
      <c r="P3297" s="405" t="s">
        <v>15167</v>
      </c>
      <c r="Q3297" s="411">
        <v>6</v>
      </c>
      <c r="R3297" s="405" t="s">
        <v>6397</v>
      </c>
      <c r="S3297" s="405" t="s">
        <v>22481</v>
      </c>
      <c r="T3297" s="405" t="s">
        <v>32102</v>
      </c>
      <c r="U3297" s="405" t="s">
        <v>319</v>
      </c>
    </row>
    <row r="3298" spans="1:21" x14ac:dyDescent="0.25">
      <c r="A3298" s="405" t="s">
        <v>310</v>
      </c>
      <c r="B3298" s="405" t="s">
        <v>6204</v>
      </c>
      <c r="C3298" s="405" t="s">
        <v>327</v>
      </c>
      <c r="D3298" s="405"/>
      <c r="E3298" s="410">
        <v>42686</v>
      </c>
      <c r="F3298" s="410">
        <v>42731</v>
      </c>
      <c r="G3298" s="405" t="s">
        <v>6205</v>
      </c>
      <c r="H3298" s="405">
        <v>702426273</v>
      </c>
      <c r="I3298" s="405"/>
      <c r="J3298" s="405">
        <v>31.392399999999999</v>
      </c>
      <c r="K3298" s="405">
        <v>50.27</v>
      </c>
      <c r="L3298" s="405" t="s">
        <v>314</v>
      </c>
      <c r="M3298" s="405" t="s">
        <v>382</v>
      </c>
      <c r="N3298" s="405" t="s">
        <v>941</v>
      </c>
      <c r="O3298" s="405" t="s">
        <v>6206</v>
      </c>
      <c r="P3298" s="405" t="s">
        <v>6207</v>
      </c>
      <c r="Q3298" s="411">
        <v>6</v>
      </c>
      <c r="R3298" s="405" t="s">
        <v>32101</v>
      </c>
      <c r="S3298" s="405" t="s">
        <v>27186</v>
      </c>
      <c r="T3298" s="405" t="s">
        <v>32102</v>
      </c>
      <c r="U3298" s="405" t="s">
        <v>319</v>
      </c>
    </row>
    <row r="3299" spans="1:21" x14ac:dyDescent="0.25">
      <c r="A3299" s="405" t="s">
        <v>310</v>
      </c>
      <c r="B3299" s="405" t="s">
        <v>22802</v>
      </c>
      <c r="C3299" s="405" t="s">
        <v>327</v>
      </c>
      <c r="D3299" s="405"/>
      <c r="E3299" s="410">
        <v>42686</v>
      </c>
      <c r="F3299" s="410">
        <v>42731</v>
      </c>
      <c r="G3299" s="405" t="s">
        <v>22803</v>
      </c>
      <c r="H3299" s="405">
        <v>782194086</v>
      </c>
      <c r="I3299" s="405"/>
      <c r="J3299" s="405">
        <v>5.2299999999999999E-2</v>
      </c>
      <c r="K3299" s="405">
        <v>30.947199999999999</v>
      </c>
      <c r="L3299" s="405" t="s">
        <v>590</v>
      </c>
      <c r="M3299" s="405" t="s">
        <v>19705</v>
      </c>
      <c r="N3299" s="405" t="s">
        <v>19706</v>
      </c>
      <c r="O3299" s="405" t="s">
        <v>1215</v>
      </c>
      <c r="P3299" s="405" t="s">
        <v>22804</v>
      </c>
      <c r="Q3299" s="411">
        <v>6</v>
      </c>
      <c r="R3299" s="405" t="s">
        <v>5858</v>
      </c>
      <c r="S3299" s="405" t="s">
        <v>27161</v>
      </c>
      <c r="T3299" s="405" t="s">
        <v>32102</v>
      </c>
      <c r="U3299" s="405" t="s">
        <v>319</v>
      </c>
    </row>
    <row r="3300" spans="1:21" x14ac:dyDescent="0.25">
      <c r="A3300" s="405" t="s">
        <v>310</v>
      </c>
      <c r="B3300" s="405" t="s">
        <v>22843</v>
      </c>
      <c r="C3300" s="405" t="s">
        <v>327</v>
      </c>
      <c r="D3300" s="405"/>
      <c r="E3300" s="410">
        <v>42685</v>
      </c>
      <c r="F3300" s="410">
        <v>42730</v>
      </c>
      <c r="G3300" s="405" t="s">
        <v>22844</v>
      </c>
      <c r="H3300" s="405">
        <v>775007777</v>
      </c>
      <c r="I3300" s="405">
        <v>777622131</v>
      </c>
      <c r="J3300" s="405">
        <v>1.2130000000000001</v>
      </c>
      <c r="K3300" s="405">
        <v>31.194199999999999</v>
      </c>
      <c r="L3300" s="405" t="s">
        <v>590</v>
      </c>
      <c r="M3300" s="405" t="s">
        <v>7300</v>
      </c>
      <c r="N3300" s="405" t="s">
        <v>20091</v>
      </c>
      <c r="O3300" s="405" t="s">
        <v>22810</v>
      </c>
      <c r="P3300" s="405" t="s">
        <v>22845</v>
      </c>
      <c r="Q3300" s="411">
        <v>6</v>
      </c>
      <c r="R3300" s="405" t="s">
        <v>6397</v>
      </c>
      <c r="S3300" s="405" t="s">
        <v>22481</v>
      </c>
      <c r="T3300" s="405" t="s">
        <v>32102</v>
      </c>
      <c r="U3300" s="405" t="s">
        <v>319</v>
      </c>
    </row>
    <row r="3301" spans="1:21" x14ac:dyDescent="0.25">
      <c r="A3301" s="405" t="s">
        <v>310</v>
      </c>
      <c r="B3301" s="405" t="s">
        <v>6211</v>
      </c>
      <c r="C3301" s="405" t="s">
        <v>327</v>
      </c>
      <c r="D3301" s="405"/>
      <c r="E3301" s="410">
        <v>42683</v>
      </c>
      <c r="F3301" s="410">
        <v>42728</v>
      </c>
      <c r="G3301" s="405" t="s">
        <v>6212</v>
      </c>
      <c r="H3301" s="405">
        <v>702744192</v>
      </c>
      <c r="I3301" s="405"/>
      <c r="J3301" s="405">
        <v>0.27339999999999998</v>
      </c>
      <c r="K3301" s="405">
        <v>32.611072999999998</v>
      </c>
      <c r="L3301" s="405" t="s">
        <v>314</v>
      </c>
      <c r="M3301" s="405" t="s">
        <v>361</v>
      </c>
      <c r="N3301" s="405" t="s">
        <v>362</v>
      </c>
      <c r="O3301" s="405" t="s">
        <v>6213</v>
      </c>
      <c r="P3301" s="405" t="s">
        <v>411</v>
      </c>
      <c r="Q3301" s="411">
        <v>9</v>
      </c>
      <c r="R3301" s="405" t="s">
        <v>5903</v>
      </c>
      <c r="S3301" s="405" t="s">
        <v>27053</v>
      </c>
      <c r="T3301" s="405" t="s">
        <v>32102</v>
      </c>
      <c r="U3301" s="405" t="s">
        <v>319</v>
      </c>
    </row>
    <row r="3302" spans="1:21" x14ac:dyDescent="0.25">
      <c r="A3302" s="405" t="s">
        <v>310</v>
      </c>
      <c r="B3302" s="405" t="s">
        <v>22807</v>
      </c>
      <c r="C3302" s="405" t="s">
        <v>327</v>
      </c>
      <c r="D3302" s="405"/>
      <c r="E3302" s="410">
        <v>42683</v>
      </c>
      <c r="F3302" s="410">
        <v>42728</v>
      </c>
      <c r="G3302" s="405" t="s">
        <v>22808</v>
      </c>
      <c r="H3302" s="405">
        <v>774228471</v>
      </c>
      <c r="I3302" s="405"/>
      <c r="J3302" s="405">
        <v>1.2434000000000001</v>
      </c>
      <c r="K3302" s="405">
        <v>31.205200000000001</v>
      </c>
      <c r="L3302" s="405" t="s">
        <v>590</v>
      </c>
      <c r="M3302" s="405" t="s">
        <v>7300</v>
      </c>
      <c r="N3302" s="405" t="s">
        <v>20091</v>
      </c>
      <c r="O3302" s="405" t="s">
        <v>22809</v>
      </c>
      <c r="P3302" s="405" t="s">
        <v>22810</v>
      </c>
      <c r="Q3302" s="411">
        <v>6</v>
      </c>
      <c r="R3302" s="405" t="s">
        <v>6397</v>
      </c>
      <c r="S3302" s="405" t="s">
        <v>22481</v>
      </c>
      <c r="T3302" s="405" t="s">
        <v>32102</v>
      </c>
      <c r="U3302" s="405" t="s">
        <v>319</v>
      </c>
    </row>
    <row r="3303" spans="1:21" x14ac:dyDescent="0.25">
      <c r="A3303" s="405" t="s">
        <v>310</v>
      </c>
      <c r="B3303" s="405" t="s">
        <v>28474</v>
      </c>
      <c r="C3303" s="405" t="s">
        <v>311</v>
      </c>
      <c r="D3303" s="405" t="s">
        <v>890</v>
      </c>
      <c r="E3303" s="410">
        <v>42681</v>
      </c>
      <c r="F3303" s="410">
        <v>42726</v>
      </c>
      <c r="G3303" s="405" t="s">
        <v>15955</v>
      </c>
      <c r="H3303" s="405">
        <v>772843862</v>
      </c>
      <c r="I3303" s="405"/>
      <c r="J3303" s="405">
        <v>0.60599199999999998</v>
      </c>
      <c r="K3303" s="405">
        <v>33.676834999999997</v>
      </c>
      <c r="L3303" s="405" t="s">
        <v>6866</v>
      </c>
      <c r="M3303" s="405" t="s">
        <v>13470</v>
      </c>
      <c r="N3303" s="405" t="s">
        <v>15155</v>
      </c>
      <c r="O3303" s="405" t="s">
        <v>14315</v>
      </c>
      <c r="P3303" s="405" t="s">
        <v>15119</v>
      </c>
      <c r="Q3303" s="411">
        <v>6</v>
      </c>
      <c r="R3303" s="405" t="s">
        <v>5655</v>
      </c>
      <c r="S3303" s="405" t="s">
        <v>27056</v>
      </c>
      <c r="T3303" s="405" t="s">
        <v>32102</v>
      </c>
      <c r="U3303" s="405" t="s">
        <v>319</v>
      </c>
    </row>
    <row r="3304" spans="1:21" x14ac:dyDescent="0.25">
      <c r="A3304" s="405" t="s">
        <v>310</v>
      </c>
      <c r="B3304" s="405" t="s">
        <v>15528</v>
      </c>
      <c r="C3304" s="405" t="s">
        <v>327</v>
      </c>
      <c r="D3304" s="405"/>
      <c r="E3304" s="410">
        <v>42679</v>
      </c>
      <c r="F3304" s="410">
        <v>42724</v>
      </c>
      <c r="G3304" s="405" t="s">
        <v>15529</v>
      </c>
      <c r="H3304" s="405">
        <v>778515793</v>
      </c>
      <c r="I3304" s="405"/>
      <c r="J3304" s="405">
        <v>0.2823581</v>
      </c>
      <c r="K3304" s="405">
        <v>33.1402158</v>
      </c>
      <c r="L3304" s="405" t="s">
        <v>6866</v>
      </c>
      <c r="M3304" s="405" t="s">
        <v>13470</v>
      </c>
      <c r="N3304" s="405" t="s">
        <v>10001</v>
      </c>
      <c r="O3304" s="405" t="s">
        <v>15530</v>
      </c>
      <c r="P3304" s="405" t="s">
        <v>15531</v>
      </c>
      <c r="Q3304" s="411">
        <v>6</v>
      </c>
      <c r="R3304" s="405" t="s">
        <v>5655</v>
      </c>
      <c r="S3304" s="405" t="s">
        <v>27041</v>
      </c>
      <c r="T3304" s="405" t="s">
        <v>32102</v>
      </c>
      <c r="U3304" s="405" t="s">
        <v>319</v>
      </c>
    </row>
    <row r="3305" spans="1:21" x14ac:dyDescent="0.25">
      <c r="A3305" s="405" t="s">
        <v>310</v>
      </c>
      <c r="B3305" s="405" t="s">
        <v>15525</v>
      </c>
      <c r="C3305" s="405" t="s">
        <v>327</v>
      </c>
      <c r="D3305" s="405"/>
      <c r="E3305" s="410">
        <v>42677</v>
      </c>
      <c r="F3305" s="410">
        <v>42722</v>
      </c>
      <c r="G3305" s="405" t="s">
        <v>15526</v>
      </c>
      <c r="H3305" s="405">
        <v>781840849</v>
      </c>
      <c r="I3305" s="405">
        <v>750095730</v>
      </c>
      <c r="J3305" s="405">
        <v>0.42993700000000001</v>
      </c>
      <c r="K3305" s="405">
        <v>33.433216999999999</v>
      </c>
      <c r="L3305" s="405" t="s">
        <v>6866</v>
      </c>
      <c r="M3305" s="405" t="s">
        <v>5411</v>
      </c>
      <c r="N3305" s="405" t="s">
        <v>9774</v>
      </c>
      <c r="O3305" s="405" t="s">
        <v>10043</v>
      </c>
      <c r="P3305" s="405" t="s">
        <v>15527</v>
      </c>
      <c r="Q3305" s="411">
        <v>13</v>
      </c>
      <c r="R3305" s="405" t="s">
        <v>6822</v>
      </c>
      <c r="S3305" s="405" t="s">
        <v>27174</v>
      </c>
      <c r="T3305" s="405" t="s">
        <v>32102</v>
      </c>
      <c r="U3305" s="405" t="s">
        <v>319</v>
      </c>
    </row>
    <row r="3306" spans="1:21" x14ac:dyDescent="0.25">
      <c r="A3306" s="405" t="s">
        <v>310</v>
      </c>
      <c r="B3306" s="405" t="s">
        <v>15516</v>
      </c>
      <c r="C3306" s="405" t="s">
        <v>327</v>
      </c>
      <c r="D3306" s="405"/>
      <c r="E3306" s="410">
        <v>42676</v>
      </c>
      <c r="F3306" s="410">
        <v>42721</v>
      </c>
      <c r="G3306" s="405" t="s">
        <v>15517</v>
      </c>
      <c r="H3306" s="405">
        <v>752455740</v>
      </c>
      <c r="I3306" s="405"/>
      <c r="J3306" s="405">
        <v>0.59100699999999995</v>
      </c>
      <c r="K3306" s="405">
        <v>33.595813</v>
      </c>
      <c r="L3306" s="405" t="s">
        <v>6866</v>
      </c>
      <c r="M3306" s="405" t="s">
        <v>10853</v>
      </c>
      <c r="N3306" s="405" t="s">
        <v>15097</v>
      </c>
      <c r="O3306" s="405" t="s">
        <v>14289</v>
      </c>
      <c r="P3306" s="405" t="s">
        <v>15518</v>
      </c>
      <c r="Q3306" s="411">
        <v>6</v>
      </c>
      <c r="R3306" s="405" t="s">
        <v>5655</v>
      </c>
      <c r="S3306" s="405" t="s">
        <v>27346</v>
      </c>
      <c r="T3306" s="405" t="s">
        <v>32102</v>
      </c>
      <c r="U3306" s="405" t="s">
        <v>319</v>
      </c>
    </row>
    <row r="3307" spans="1:21" x14ac:dyDescent="0.25">
      <c r="A3307" s="405" t="s">
        <v>310</v>
      </c>
      <c r="B3307" s="405" t="s">
        <v>15519</v>
      </c>
      <c r="C3307" s="405" t="s">
        <v>327</v>
      </c>
      <c r="D3307" s="405"/>
      <c r="E3307" s="410">
        <v>42675</v>
      </c>
      <c r="F3307" s="410">
        <v>42720</v>
      </c>
      <c r="G3307" s="405" t="s">
        <v>15520</v>
      </c>
      <c r="H3307" s="405">
        <v>758350313</v>
      </c>
      <c r="I3307" s="405"/>
      <c r="J3307" s="405">
        <v>33.301000000000002</v>
      </c>
      <c r="K3307" s="405">
        <v>33.301099999999998</v>
      </c>
      <c r="L3307" s="405" t="s">
        <v>6866</v>
      </c>
      <c r="M3307" s="405" t="s">
        <v>10515</v>
      </c>
      <c r="N3307" s="405" t="s">
        <v>10525</v>
      </c>
      <c r="O3307" s="405" t="s">
        <v>15521</v>
      </c>
      <c r="P3307" s="405" t="s">
        <v>15522</v>
      </c>
      <c r="Q3307" s="411">
        <v>6</v>
      </c>
      <c r="R3307" s="405" t="s">
        <v>5655</v>
      </c>
      <c r="S3307" s="405" t="s">
        <v>27357</v>
      </c>
      <c r="T3307" s="405" t="s">
        <v>32102</v>
      </c>
      <c r="U3307" s="405" t="s">
        <v>319</v>
      </c>
    </row>
    <row r="3308" spans="1:21" x14ac:dyDescent="0.25">
      <c r="A3308" s="405" t="s">
        <v>310</v>
      </c>
      <c r="B3308" s="405" t="s">
        <v>27530</v>
      </c>
      <c r="C3308" s="405" t="s">
        <v>327</v>
      </c>
      <c r="D3308" s="405"/>
      <c r="E3308" s="410">
        <v>42675</v>
      </c>
      <c r="F3308" s="410">
        <v>42720</v>
      </c>
      <c r="G3308" s="405" t="s">
        <v>22805</v>
      </c>
      <c r="H3308" s="405">
        <v>701238020</v>
      </c>
      <c r="I3308" s="405"/>
      <c r="J3308" s="405">
        <v>-0.58452800000000005</v>
      </c>
      <c r="K3308" s="405">
        <v>30.090357000000001</v>
      </c>
      <c r="L3308" s="405" t="s">
        <v>590</v>
      </c>
      <c r="M3308" s="405" t="s">
        <v>19625</v>
      </c>
      <c r="N3308" s="405" t="s">
        <v>20342</v>
      </c>
      <c r="O3308" s="405" t="s">
        <v>19639</v>
      </c>
      <c r="P3308" s="405" t="s">
        <v>22806</v>
      </c>
      <c r="Q3308" s="411">
        <v>6</v>
      </c>
      <c r="R3308" s="405" t="s">
        <v>6943</v>
      </c>
      <c r="S3308" s="405" t="s">
        <v>27065</v>
      </c>
      <c r="T3308" s="405" t="s">
        <v>32102</v>
      </c>
      <c r="U3308" s="405" t="s">
        <v>319</v>
      </c>
    </row>
    <row r="3309" spans="1:21" x14ac:dyDescent="0.25">
      <c r="A3309" s="405" t="s">
        <v>310</v>
      </c>
      <c r="B3309" s="405" t="s">
        <v>6208</v>
      </c>
      <c r="C3309" s="405" t="s">
        <v>327</v>
      </c>
      <c r="D3309" s="405"/>
      <c r="E3309" s="410">
        <v>42673</v>
      </c>
      <c r="F3309" s="410">
        <v>42718</v>
      </c>
      <c r="G3309" s="405" t="s">
        <v>6209</v>
      </c>
      <c r="H3309" s="405">
        <v>756499296</v>
      </c>
      <c r="I3309" s="405"/>
      <c r="J3309" s="405">
        <v>0.33279999999999998</v>
      </c>
      <c r="K3309" s="405">
        <v>32.411900000000003</v>
      </c>
      <c r="L3309" s="405" t="s">
        <v>314</v>
      </c>
      <c r="M3309" s="405" t="s">
        <v>329</v>
      </c>
      <c r="N3309" s="405" t="s">
        <v>5950</v>
      </c>
      <c r="O3309" s="405" t="s">
        <v>336</v>
      </c>
      <c r="P3309" s="405" t="s">
        <v>6210</v>
      </c>
      <c r="Q3309" s="411">
        <v>13</v>
      </c>
      <c r="R3309" s="405" t="s">
        <v>5903</v>
      </c>
      <c r="S3309" s="405" t="s">
        <v>27153</v>
      </c>
      <c r="T3309" s="405" t="s">
        <v>884</v>
      </c>
      <c r="U3309" s="405" t="s">
        <v>319</v>
      </c>
    </row>
    <row r="3310" spans="1:21" x14ac:dyDescent="0.25">
      <c r="A3310" s="405" t="s">
        <v>310</v>
      </c>
      <c r="B3310" s="405" t="s">
        <v>19006</v>
      </c>
      <c r="C3310" s="405" t="s">
        <v>327</v>
      </c>
      <c r="D3310" s="405"/>
      <c r="E3310" s="410">
        <v>42671</v>
      </c>
      <c r="F3310" s="410">
        <v>42716</v>
      </c>
      <c r="G3310" s="405" t="s">
        <v>19007</v>
      </c>
      <c r="H3310" s="405">
        <v>772982421</v>
      </c>
      <c r="I3310" s="405"/>
      <c r="J3310" s="405">
        <v>1.2146999999999999</v>
      </c>
      <c r="K3310" s="405">
        <v>32.55294</v>
      </c>
      <c r="L3310" s="405" t="s">
        <v>860</v>
      </c>
      <c r="M3310" s="405" t="s">
        <v>18234</v>
      </c>
      <c r="N3310" s="405" t="s">
        <v>18253</v>
      </c>
      <c r="O3310" s="405" t="s">
        <v>19008</v>
      </c>
      <c r="P3310" s="405" t="s">
        <v>18816</v>
      </c>
      <c r="Q3310" s="411">
        <v>6</v>
      </c>
      <c r="R3310" s="405" t="s">
        <v>19009</v>
      </c>
      <c r="S3310" s="405" t="s">
        <v>27384</v>
      </c>
      <c r="T3310" s="405" t="s">
        <v>884</v>
      </c>
      <c r="U3310" s="405" t="s">
        <v>319</v>
      </c>
    </row>
    <row r="3311" spans="1:21" x14ac:dyDescent="0.25">
      <c r="A3311" s="405" t="s">
        <v>310</v>
      </c>
      <c r="B3311" s="405" t="s">
        <v>6216</v>
      </c>
      <c r="C3311" s="405" t="s">
        <v>327</v>
      </c>
      <c r="D3311" s="405"/>
      <c r="E3311" s="410">
        <v>42668</v>
      </c>
      <c r="F3311" s="410">
        <v>42715</v>
      </c>
      <c r="G3311" s="405" t="s">
        <v>6217</v>
      </c>
      <c r="H3311" s="405">
        <v>706630948</v>
      </c>
      <c r="I3311" s="405">
        <v>772437305</v>
      </c>
      <c r="J3311" s="405">
        <v>0.22900000000000001</v>
      </c>
      <c r="K3311" s="405">
        <v>32.565300000000001</v>
      </c>
      <c r="L3311" s="405" t="s">
        <v>314</v>
      </c>
      <c r="M3311" s="405" t="s">
        <v>992</v>
      </c>
      <c r="N3311" s="405" t="s">
        <v>5902</v>
      </c>
      <c r="O3311" s="405" t="s">
        <v>6218</v>
      </c>
      <c r="P3311" s="405" t="s">
        <v>4770</v>
      </c>
      <c r="Q3311" s="411">
        <v>6</v>
      </c>
      <c r="R3311" s="405" t="s">
        <v>414</v>
      </c>
      <c r="S3311" s="405" t="s">
        <v>414</v>
      </c>
      <c r="T3311" s="405" t="s">
        <v>884</v>
      </c>
      <c r="U3311" s="405" t="s">
        <v>319</v>
      </c>
    </row>
    <row r="3312" spans="1:21" x14ac:dyDescent="0.25">
      <c r="A3312" s="405" t="s">
        <v>310</v>
      </c>
      <c r="B3312" s="405" t="s">
        <v>6799</v>
      </c>
      <c r="C3312" s="405" t="s">
        <v>311</v>
      </c>
      <c r="D3312" s="405" t="s">
        <v>5973</v>
      </c>
      <c r="E3312" s="410">
        <v>42666</v>
      </c>
      <c r="F3312" s="410">
        <v>42711</v>
      </c>
      <c r="G3312" s="405" t="s">
        <v>6800</v>
      </c>
      <c r="H3312" s="405">
        <v>772413576</v>
      </c>
      <c r="I3312" s="405"/>
      <c r="J3312" s="405">
        <v>8.7683999999999998E-2</v>
      </c>
      <c r="K3312" s="405">
        <v>32.510463000000001</v>
      </c>
      <c r="L3312" s="405" t="s">
        <v>314</v>
      </c>
      <c r="M3312" s="405" t="s">
        <v>361</v>
      </c>
      <c r="N3312" s="405" t="s">
        <v>362</v>
      </c>
      <c r="O3312" s="405" t="s">
        <v>6198</v>
      </c>
      <c r="P3312" s="405" t="s">
        <v>6801</v>
      </c>
      <c r="Q3312" s="411">
        <v>6</v>
      </c>
      <c r="R3312" s="405" t="s">
        <v>5921</v>
      </c>
      <c r="S3312" s="405" t="s">
        <v>22481</v>
      </c>
      <c r="T3312" s="405" t="s">
        <v>884</v>
      </c>
      <c r="U3312" s="405" t="s">
        <v>319</v>
      </c>
    </row>
    <row r="3313" spans="1:21" x14ac:dyDescent="0.25">
      <c r="A3313" s="405" t="s">
        <v>310</v>
      </c>
      <c r="B3313" s="405" t="s">
        <v>22811</v>
      </c>
      <c r="C3313" s="405" t="s">
        <v>327</v>
      </c>
      <c r="D3313" s="405"/>
      <c r="E3313" s="410">
        <v>42661</v>
      </c>
      <c r="F3313" s="410">
        <v>42706</v>
      </c>
      <c r="G3313" s="405" t="s">
        <v>22812</v>
      </c>
      <c r="H3313" s="405">
        <v>782485910</v>
      </c>
      <c r="I3313" s="405">
        <v>774591817</v>
      </c>
      <c r="J3313" s="405">
        <v>0.55060699999999996</v>
      </c>
      <c r="K3313" s="405">
        <v>34.045862999999997</v>
      </c>
      <c r="L3313" s="405" t="s">
        <v>590</v>
      </c>
      <c r="M3313" s="405" t="s">
        <v>19720</v>
      </c>
      <c r="N3313" s="405" t="s">
        <v>22346</v>
      </c>
      <c r="O3313" s="405" t="s">
        <v>22511</v>
      </c>
      <c r="P3313" s="405" t="s">
        <v>22813</v>
      </c>
      <c r="Q3313" s="411">
        <v>9</v>
      </c>
      <c r="R3313" s="405" t="s">
        <v>6013</v>
      </c>
      <c r="S3313" s="405" t="s">
        <v>27205</v>
      </c>
      <c r="T3313" s="405" t="s">
        <v>884</v>
      </c>
      <c r="U3313" s="405" t="s">
        <v>319</v>
      </c>
    </row>
    <row r="3314" spans="1:21" x14ac:dyDescent="0.25">
      <c r="A3314" s="405" t="s">
        <v>310</v>
      </c>
      <c r="B3314" s="405" t="s">
        <v>28122</v>
      </c>
      <c r="C3314" s="405" t="s">
        <v>311</v>
      </c>
      <c r="D3314" s="405" t="s">
        <v>33055</v>
      </c>
      <c r="E3314" s="410">
        <v>42661</v>
      </c>
      <c r="F3314" s="410">
        <v>42706</v>
      </c>
      <c r="G3314" s="405" t="s">
        <v>23043</v>
      </c>
      <c r="H3314" s="405">
        <v>773966569</v>
      </c>
      <c r="I3314" s="405"/>
      <c r="J3314" s="405">
        <v>0.21410000000000001</v>
      </c>
      <c r="K3314" s="405">
        <v>30.4925</v>
      </c>
      <c r="L3314" s="405" t="s">
        <v>590</v>
      </c>
      <c r="M3314" s="405" t="s">
        <v>19720</v>
      </c>
      <c r="N3314" s="405" t="s">
        <v>22346</v>
      </c>
      <c r="O3314" s="405" t="s">
        <v>22511</v>
      </c>
      <c r="P3314" s="405" t="s">
        <v>23044</v>
      </c>
      <c r="Q3314" s="411">
        <v>6</v>
      </c>
      <c r="R3314" s="405" t="s">
        <v>6013</v>
      </c>
      <c r="S3314" s="405" t="s">
        <v>27423</v>
      </c>
      <c r="T3314" s="405" t="s">
        <v>32102</v>
      </c>
      <c r="U3314" s="405" t="s">
        <v>319</v>
      </c>
    </row>
    <row r="3315" spans="1:21" x14ac:dyDescent="0.25">
      <c r="A3315" s="405" t="s">
        <v>310</v>
      </c>
      <c r="B3315" s="405" t="s">
        <v>22817</v>
      </c>
      <c r="C3315" s="405" t="s">
        <v>327</v>
      </c>
      <c r="D3315" s="405"/>
      <c r="E3315" s="410">
        <v>42661</v>
      </c>
      <c r="F3315" s="410">
        <v>42706</v>
      </c>
      <c r="G3315" s="405" t="s">
        <v>22818</v>
      </c>
      <c r="H3315" s="405">
        <v>774663562</v>
      </c>
      <c r="I3315" s="405"/>
      <c r="J3315" s="405">
        <v>0.51813500000000001</v>
      </c>
      <c r="K3315" s="405">
        <v>34.045712000000002</v>
      </c>
      <c r="L3315" s="405" t="s">
        <v>590</v>
      </c>
      <c r="M3315" s="405" t="s">
        <v>19720</v>
      </c>
      <c r="N3315" s="405" t="s">
        <v>22346</v>
      </c>
      <c r="O3315" s="405" t="s">
        <v>22819</v>
      </c>
      <c r="P3315" s="405" t="s">
        <v>22820</v>
      </c>
      <c r="Q3315" s="411">
        <v>6</v>
      </c>
      <c r="R3315" s="405" t="s">
        <v>6013</v>
      </c>
      <c r="S3315" s="405" t="s">
        <v>27163</v>
      </c>
      <c r="T3315" s="405" t="s">
        <v>32102</v>
      </c>
      <c r="U3315" s="405" t="s">
        <v>319</v>
      </c>
    </row>
    <row r="3316" spans="1:21" x14ac:dyDescent="0.25">
      <c r="A3316" s="405" t="s">
        <v>310</v>
      </c>
      <c r="B3316" s="405" t="s">
        <v>22814</v>
      </c>
      <c r="C3316" s="405" t="s">
        <v>327</v>
      </c>
      <c r="D3316" s="405"/>
      <c r="E3316" s="410">
        <v>42661</v>
      </c>
      <c r="F3316" s="410">
        <v>42706</v>
      </c>
      <c r="G3316" s="405" t="s">
        <v>22815</v>
      </c>
      <c r="H3316" s="405">
        <v>782332124</v>
      </c>
      <c r="I3316" s="405"/>
      <c r="J3316" s="405">
        <v>0.34175499999999998</v>
      </c>
      <c r="K3316" s="405">
        <v>30.783783</v>
      </c>
      <c r="L3316" s="405" t="s">
        <v>590</v>
      </c>
      <c r="M3316" s="405" t="s">
        <v>19720</v>
      </c>
      <c r="N3316" s="405" t="s">
        <v>22346</v>
      </c>
      <c r="O3316" s="405" t="s">
        <v>22511</v>
      </c>
      <c r="P3316" s="405" t="s">
        <v>22816</v>
      </c>
      <c r="Q3316" s="411">
        <v>6</v>
      </c>
      <c r="R3316" s="405" t="s">
        <v>6013</v>
      </c>
      <c r="S3316" s="405" t="s">
        <v>27275</v>
      </c>
      <c r="T3316" s="405" t="s">
        <v>32102</v>
      </c>
      <c r="U3316" s="405" t="s">
        <v>319</v>
      </c>
    </row>
    <row r="3317" spans="1:21" x14ac:dyDescent="0.25">
      <c r="A3317" s="405" t="s">
        <v>310</v>
      </c>
      <c r="B3317" s="405" t="s">
        <v>22821</v>
      </c>
      <c r="C3317" s="405" t="s">
        <v>327</v>
      </c>
      <c r="D3317" s="405"/>
      <c r="E3317" s="410">
        <v>42661</v>
      </c>
      <c r="F3317" s="410">
        <v>42706</v>
      </c>
      <c r="G3317" s="405" t="s">
        <v>22822</v>
      </c>
      <c r="H3317" s="405">
        <v>782451720</v>
      </c>
      <c r="I3317" s="405"/>
      <c r="J3317" s="405">
        <v>0.23300000000000001</v>
      </c>
      <c r="K3317" s="405">
        <v>30.255299999999998</v>
      </c>
      <c r="L3317" s="405" t="s">
        <v>590</v>
      </c>
      <c r="M3317" s="405" t="s">
        <v>19720</v>
      </c>
      <c r="N3317" s="405" t="s">
        <v>22346</v>
      </c>
      <c r="O3317" s="405" t="s">
        <v>21991</v>
      </c>
      <c r="P3317" s="405" t="s">
        <v>22823</v>
      </c>
      <c r="Q3317" s="411">
        <v>6</v>
      </c>
      <c r="R3317" s="405" t="s">
        <v>6013</v>
      </c>
      <c r="S3317" s="405" t="s">
        <v>27301</v>
      </c>
      <c r="T3317" s="405" t="s">
        <v>32102</v>
      </c>
      <c r="U3317" s="405" t="s">
        <v>319</v>
      </c>
    </row>
    <row r="3318" spans="1:21" x14ac:dyDescent="0.25">
      <c r="A3318" s="405" t="s">
        <v>310</v>
      </c>
      <c r="B3318" s="405" t="s">
        <v>28002</v>
      </c>
      <c r="C3318" s="405" t="s">
        <v>327</v>
      </c>
      <c r="D3318" s="405"/>
      <c r="E3318" s="410">
        <v>42658</v>
      </c>
      <c r="F3318" s="410">
        <v>42703</v>
      </c>
      <c r="G3318" s="405" t="s">
        <v>22774</v>
      </c>
      <c r="H3318" s="405">
        <v>773916824</v>
      </c>
      <c r="I3318" s="405">
        <v>756798165</v>
      </c>
      <c r="J3318" s="405">
        <v>0.59260000000000002</v>
      </c>
      <c r="K3318" s="405">
        <v>31.3157</v>
      </c>
      <c r="L3318" s="405" t="s">
        <v>590</v>
      </c>
      <c r="M3318" s="405" t="s">
        <v>1360</v>
      </c>
      <c r="N3318" s="405" t="s">
        <v>1361</v>
      </c>
      <c r="O3318" s="405" t="s">
        <v>3965</v>
      </c>
      <c r="P3318" s="405" t="s">
        <v>3966</v>
      </c>
      <c r="Q3318" s="411">
        <v>6</v>
      </c>
      <c r="R3318" s="405" t="s">
        <v>414</v>
      </c>
      <c r="S3318" s="405" t="s">
        <v>414</v>
      </c>
      <c r="T3318" s="405" t="s">
        <v>884</v>
      </c>
      <c r="U3318" s="405" t="s">
        <v>319</v>
      </c>
    </row>
    <row r="3319" spans="1:21" x14ac:dyDescent="0.25">
      <c r="A3319" s="405" t="s">
        <v>310</v>
      </c>
      <c r="B3319" s="405" t="s">
        <v>6260</v>
      </c>
      <c r="C3319" s="405" t="s">
        <v>327</v>
      </c>
      <c r="D3319" s="405"/>
      <c r="E3319" s="410">
        <v>42654</v>
      </c>
      <c r="F3319" s="410">
        <v>42797</v>
      </c>
      <c r="G3319" s="405" t="s">
        <v>6261</v>
      </c>
      <c r="H3319" s="405">
        <v>774054388</v>
      </c>
      <c r="I3319" s="405"/>
      <c r="J3319" s="405">
        <v>5.0713999999999997</v>
      </c>
      <c r="K3319" s="405">
        <v>30.2347</v>
      </c>
      <c r="L3319" s="405" t="s">
        <v>314</v>
      </c>
      <c r="M3319" s="405" t="s">
        <v>445</v>
      </c>
      <c r="N3319" s="405" t="s">
        <v>446</v>
      </c>
      <c r="O3319" s="405" t="s">
        <v>6241</v>
      </c>
      <c r="P3319" s="405" t="s">
        <v>4794</v>
      </c>
      <c r="Q3319" s="411">
        <v>6</v>
      </c>
      <c r="R3319" s="405" t="s">
        <v>5336</v>
      </c>
      <c r="S3319" s="405" t="s">
        <v>27174</v>
      </c>
      <c r="T3319" s="405" t="s">
        <v>32679</v>
      </c>
      <c r="U3319" s="405" t="s">
        <v>2267</v>
      </c>
    </row>
    <row r="3320" spans="1:21" x14ac:dyDescent="0.25">
      <c r="A3320" s="405" t="s">
        <v>310</v>
      </c>
      <c r="B3320" s="405" t="s">
        <v>15451</v>
      </c>
      <c r="C3320" s="405" t="s">
        <v>327</v>
      </c>
      <c r="D3320" s="405"/>
      <c r="E3320" s="410">
        <v>42654</v>
      </c>
      <c r="F3320" s="410">
        <v>42699</v>
      </c>
      <c r="G3320" s="405" t="s">
        <v>15452</v>
      </c>
      <c r="H3320" s="405">
        <v>781073311</v>
      </c>
      <c r="I3320" s="405"/>
      <c r="J3320" s="405">
        <v>1.108573</v>
      </c>
      <c r="K3320" s="405">
        <v>34.122900000000001</v>
      </c>
      <c r="L3320" s="405" t="s">
        <v>6866</v>
      </c>
      <c r="M3320" s="405" t="s">
        <v>9514</v>
      </c>
      <c r="N3320" s="405" t="s">
        <v>9529</v>
      </c>
      <c r="O3320" s="405" t="s">
        <v>9530</v>
      </c>
      <c r="P3320" s="405" t="s">
        <v>15453</v>
      </c>
      <c r="Q3320" s="411">
        <v>6</v>
      </c>
      <c r="R3320" s="405" t="s">
        <v>5655</v>
      </c>
      <c r="S3320" s="405" t="s">
        <v>27357</v>
      </c>
      <c r="T3320" s="405" t="s">
        <v>32679</v>
      </c>
      <c r="U3320" s="405" t="s">
        <v>2267</v>
      </c>
    </row>
    <row r="3321" spans="1:21" x14ac:dyDescent="0.25">
      <c r="A3321" s="405" t="s">
        <v>310</v>
      </c>
      <c r="B3321" s="405" t="s">
        <v>6219</v>
      </c>
      <c r="C3321" s="405" t="s">
        <v>327</v>
      </c>
      <c r="D3321" s="405"/>
      <c r="E3321" s="410">
        <v>42653</v>
      </c>
      <c r="F3321" s="410">
        <v>42724</v>
      </c>
      <c r="G3321" s="405" t="s">
        <v>6220</v>
      </c>
      <c r="H3321" s="405">
        <v>703302179</v>
      </c>
      <c r="I3321" s="405"/>
      <c r="J3321" s="405">
        <v>0.20100000000000001</v>
      </c>
      <c r="K3321" s="405">
        <v>32.493400000000001</v>
      </c>
      <c r="L3321" s="405" t="s">
        <v>314</v>
      </c>
      <c r="M3321" s="405" t="s">
        <v>329</v>
      </c>
      <c r="N3321" s="405" t="s">
        <v>1107</v>
      </c>
      <c r="O3321" s="405" t="s">
        <v>653</v>
      </c>
      <c r="P3321" s="405" t="s">
        <v>6221</v>
      </c>
      <c r="Q3321" s="411">
        <v>13</v>
      </c>
      <c r="R3321" s="405" t="s">
        <v>5903</v>
      </c>
      <c r="S3321" s="405" t="s">
        <v>27153</v>
      </c>
      <c r="T3321" s="405" t="s">
        <v>32679</v>
      </c>
      <c r="U3321" s="405" t="s">
        <v>2267</v>
      </c>
    </row>
    <row r="3322" spans="1:21" x14ac:dyDescent="0.25">
      <c r="A3322" s="405" t="s">
        <v>310</v>
      </c>
      <c r="B3322" s="405" t="s">
        <v>22755</v>
      </c>
      <c r="C3322" s="405" t="s">
        <v>327</v>
      </c>
      <c r="D3322" s="405"/>
      <c r="E3322" s="410">
        <v>42653</v>
      </c>
      <c r="F3322" s="410">
        <v>42698</v>
      </c>
      <c r="G3322" s="405" t="s">
        <v>22756</v>
      </c>
      <c r="H3322" s="405">
        <v>778863404</v>
      </c>
      <c r="I3322" s="405">
        <v>777304778</v>
      </c>
      <c r="J3322" s="405">
        <v>0.50542699999999996</v>
      </c>
      <c r="K3322" s="405">
        <v>33.716985000000001</v>
      </c>
      <c r="L3322" s="405" t="s">
        <v>590</v>
      </c>
      <c r="M3322" s="405" t="s">
        <v>19720</v>
      </c>
      <c r="N3322" s="405" t="s">
        <v>20297</v>
      </c>
      <c r="O3322" s="405" t="s">
        <v>22359</v>
      </c>
      <c r="P3322" s="405" t="s">
        <v>22375</v>
      </c>
      <c r="Q3322" s="411">
        <v>9</v>
      </c>
      <c r="R3322" s="405" t="s">
        <v>6013</v>
      </c>
      <c r="S3322" s="405" t="s">
        <v>27275</v>
      </c>
      <c r="T3322" s="405" t="s">
        <v>32679</v>
      </c>
      <c r="U3322" s="405" t="s">
        <v>2267</v>
      </c>
    </row>
    <row r="3323" spans="1:21" x14ac:dyDescent="0.25">
      <c r="A3323" s="405" t="s">
        <v>310</v>
      </c>
      <c r="B3323" s="405" t="s">
        <v>22759</v>
      </c>
      <c r="C3323" s="405" t="s">
        <v>327</v>
      </c>
      <c r="D3323" s="405"/>
      <c r="E3323" s="410">
        <v>42651</v>
      </c>
      <c r="F3323" s="410">
        <v>42696</v>
      </c>
      <c r="G3323" s="405" t="s">
        <v>22760</v>
      </c>
      <c r="H3323" s="405">
        <v>784828402</v>
      </c>
      <c r="I3323" s="405"/>
      <c r="J3323" s="405">
        <v>0.72599999999999998</v>
      </c>
      <c r="K3323" s="405">
        <v>30.2346</v>
      </c>
      <c r="L3323" s="405" t="s">
        <v>590</v>
      </c>
      <c r="M3323" s="405" t="s">
        <v>19720</v>
      </c>
      <c r="N3323" s="405" t="s">
        <v>20297</v>
      </c>
      <c r="O3323" s="405" t="s">
        <v>22654</v>
      </c>
      <c r="P3323" s="405" t="s">
        <v>22664</v>
      </c>
      <c r="Q3323" s="411">
        <v>9</v>
      </c>
      <c r="R3323" s="405" t="s">
        <v>6013</v>
      </c>
      <c r="S3323" s="405" t="s">
        <v>27205</v>
      </c>
      <c r="T3323" s="405" t="s">
        <v>32679</v>
      </c>
      <c r="U3323" s="405" t="s">
        <v>2267</v>
      </c>
    </row>
    <row r="3324" spans="1:21" x14ac:dyDescent="0.25">
      <c r="A3324" s="405" t="s">
        <v>310</v>
      </c>
      <c r="B3324" s="405" t="s">
        <v>6192</v>
      </c>
      <c r="C3324" s="405" t="s">
        <v>327</v>
      </c>
      <c r="D3324" s="405"/>
      <c r="E3324" s="410">
        <v>42650</v>
      </c>
      <c r="F3324" s="410">
        <v>42680</v>
      </c>
      <c r="G3324" s="405" t="s">
        <v>6193</v>
      </c>
      <c r="H3324" s="405">
        <v>759977565</v>
      </c>
      <c r="I3324" s="405">
        <v>782558060</v>
      </c>
      <c r="J3324" s="405">
        <v>6.9318000000000005E-2</v>
      </c>
      <c r="K3324" s="405">
        <v>32.061129999999999</v>
      </c>
      <c r="L3324" s="405" t="s">
        <v>314</v>
      </c>
      <c r="M3324" s="405" t="s">
        <v>321</v>
      </c>
      <c r="N3324" s="405" t="s">
        <v>6194</v>
      </c>
      <c r="O3324" s="405" t="s">
        <v>476</v>
      </c>
      <c r="P3324" s="405" t="s">
        <v>6195</v>
      </c>
      <c r="Q3324" s="411">
        <v>9</v>
      </c>
      <c r="R3324" s="405" t="s">
        <v>32101</v>
      </c>
      <c r="S3324" s="405" t="s">
        <v>27167</v>
      </c>
      <c r="T3324" s="405" t="s">
        <v>32679</v>
      </c>
      <c r="U3324" s="405" t="s">
        <v>2267</v>
      </c>
    </row>
    <row r="3325" spans="1:21" x14ac:dyDescent="0.25">
      <c r="A3325" s="405" t="s">
        <v>310</v>
      </c>
      <c r="B3325" s="405" t="s">
        <v>22713</v>
      </c>
      <c r="C3325" s="405" t="s">
        <v>327</v>
      </c>
      <c r="D3325" s="405"/>
      <c r="E3325" s="410">
        <v>42648</v>
      </c>
      <c r="F3325" s="410">
        <v>42693</v>
      </c>
      <c r="G3325" s="405" t="s">
        <v>22714</v>
      </c>
      <c r="H3325" s="405">
        <v>782661581</v>
      </c>
      <c r="I3325" s="405"/>
      <c r="J3325" s="405">
        <v>0.34179999999999999</v>
      </c>
      <c r="K3325" s="405">
        <v>29.583200000000001</v>
      </c>
      <c r="L3325" s="405" t="s">
        <v>590</v>
      </c>
      <c r="M3325" s="405" t="s">
        <v>20032</v>
      </c>
      <c r="N3325" s="405" t="s">
        <v>22715</v>
      </c>
      <c r="O3325" s="405" t="s">
        <v>20790</v>
      </c>
      <c r="P3325" s="405" t="s">
        <v>22168</v>
      </c>
      <c r="Q3325" s="411">
        <v>9</v>
      </c>
      <c r="R3325" s="405" t="s">
        <v>5858</v>
      </c>
      <c r="S3325" s="405" t="s">
        <v>27257</v>
      </c>
      <c r="T3325" s="405" t="s">
        <v>32679</v>
      </c>
      <c r="U3325" s="405" t="s">
        <v>2267</v>
      </c>
    </row>
    <row r="3326" spans="1:21" x14ac:dyDescent="0.25">
      <c r="A3326" s="405" t="s">
        <v>310</v>
      </c>
      <c r="B3326" s="405" t="s">
        <v>27527</v>
      </c>
      <c r="C3326" s="405" t="s">
        <v>327</v>
      </c>
      <c r="D3326" s="405"/>
      <c r="E3326" s="410">
        <v>42647</v>
      </c>
      <c r="F3326" s="410">
        <v>42692</v>
      </c>
      <c r="G3326" s="405" t="s">
        <v>22794</v>
      </c>
      <c r="H3326" s="405">
        <v>776744993</v>
      </c>
      <c r="I3326" s="405"/>
      <c r="J3326" s="405">
        <v>2.1706650000000001</v>
      </c>
      <c r="K3326" s="405">
        <v>32.819355000000002</v>
      </c>
      <c r="L3326" s="405" t="s">
        <v>590</v>
      </c>
      <c r="M3326" s="405" t="s">
        <v>19619</v>
      </c>
      <c r="N3326" s="405" t="s">
        <v>19793</v>
      </c>
      <c r="O3326" s="405" t="s">
        <v>6395</v>
      </c>
      <c r="P3326" s="405" t="s">
        <v>22795</v>
      </c>
      <c r="Q3326" s="411">
        <v>9</v>
      </c>
      <c r="R3326" s="405" t="s">
        <v>5858</v>
      </c>
      <c r="S3326" s="405" t="s">
        <v>27414</v>
      </c>
      <c r="T3326" s="405" t="s">
        <v>32679</v>
      </c>
      <c r="U3326" s="405" t="s">
        <v>2267</v>
      </c>
    </row>
    <row r="3327" spans="1:21" x14ac:dyDescent="0.25">
      <c r="A3327" s="405" t="s">
        <v>310</v>
      </c>
      <c r="B3327" s="405" t="s">
        <v>27489</v>
      </c>
      <c r="C3327" s="405" t="s">
        <v>327</v>
      </c>
      <c r="D3327" s="405"/>
      <c r="E3327" s="410">
        <v>42647</v>
      </c>
      <c r="F3327" s="410">
        <v>42692</v>
      </c>
      <c r="G3327" s="405" t="s">
        <v>22748</v>
      </c>
      <c r="H3327" s="405">
        <v>776343415</v>
      </c>
      <c r="I3327" s="405"/>
      <c r="J3327" s="405">
        <v>0.44700000000000001</v>
      </c>
      <c r="K3327" s="405">
        <v>30.213799999999999</v>
      </c>
      <c r="L3327" s="405" t="s">
        <v>590</v>
      </c>
      <c r="M3327" s="405" t="s">
        <v>19720</v>
      </c>
      <c r="N3327" s="405" t="s">
        <v>20297</v>
      </c>
      <c r="O3327" s="405" t="s">
        <v>22746</v>
      </c>
      <c r="P3327" s="405" t="s">
        <v>22747</v>
      </c>
      <c r="Q3327" s="411">
        <v>6</v>
      </c>
      <c r="R3327" s="405" t="s">
        <v>6013</v>
      </c>
      <c r="S3327" s="405" t="s">
        <v>27422</v>
      </c>
      <c r="T3327" s="405" t="s">
        <v>32679</v>
      </c>
      <c r="U3327" s="405" t="s">
        <v>2267</v>
      </c>
    </row>
    <row r="3328" spans="1:21" x14ac:dyDescent="0.25">
      <c r="A3328" s="405" t="s">
        <v>310</v>
      </c>
      <c r="B3328" s="405" t="s">
        <v>29087</v>
      </c>
      <c r="C3328" s="405" t="s">
        <v>327</v>
      </c>
      <c r="D3328" s="405"/>
      <c r="E3328" s="410">
        <v>42646</v>
      </c>
      <c r="F3328" s="410">
        <v>42691</v>
      </c>
      <c r="G3328" s="405" t="s">
        <v>15473</v>
      </c>
      <c r="H3328" s="405">
        <v>782606369</v>
      </c>
      <c r="I3328" s="405">
        <v>702918247</v>
      </c>
      <c r="J3328" s="405">
        <v>0.86847399999999997</v>
      </c>
      <c r="K3328" s="405">
        <v>30.267678</v>
      </c>
      <c r="L3328" s="405" t="s">
        <v>6866</v>
      </c>
      <c r="M3328" s="405" t="s">
        <v>9514</v>
      </c>
      <c r="N3328" s="405" t="s">
        <v>9722</v>
      </c>
      <c r="O3328" s="405" t="s">
        <v>9571</v>
      </c>
      <c r="P3328" s="405" t="s">
        <v>11336</v>
      </c>
      <c r="Q3328" s="411">
        <v>9</v>
      </c>
      <c r="R3328" s="405" t="s">
        <v>7224</v>
      </c>
      <c r="S3328" s="405" t="s">
        <v>27041</v>
      </c>
      <c r="T3328" s="405" t="s">
        <v>32679</v>
      </c>
      <c r="U3328" s="405" t="s">
        <v>2267</v>
      </c>
    </row>
    <row r="3329" spans="1:21" x14ac:dyDescent="0.25">
      <c r="A3329" s="405" t="s">
        <v>310</v>
      </c>
      <c r="B3329" s="405" t="s">
        <v>6243</v>
      </c>
      <c r="C3329" s="405" t="s">
        <v>327</v>
      </c>
      <c r="D3329" s="405"/>
      <c r="E3329" s="410">
        <v>42646</v>
      </c>
      <c r="F3329" s="410">
        <v>42807</v>
      </c>
      <c r="G3329" s="405" t="s">
        <v>6244</v>
      </c>
      <c r="H3329" s="405">
        <v>754873100</v>
      </c>
      <c r="I3329" s="405">
        <v>774540099</v>
      </c>
      <c r="J3329" s="405">
        <v>0.67281800000000003</v>
      </c>
      <c r="K3329" s="405">
        <v>32.618333300000003</v>
      </c>
      <c r="L3329" s="405" t="s">
        <v>314</v>
      </c>
      <c r="M3329" s="405" t="s">
        <v>959</v>
      </c>
      <c r="N3329" s="405" t="s">
        <v>960</v>
      </c>
      <c r="O3329" s="405" t="s">
        <v>960</v>
      </c>
      <c r="P3329" s="405" t="s">
        <v>962</v>
      </c>
      <c r="Q3329" s="411">
        <v>6</v>
      </c>
      <c r="R3329" s="405" t="s">
        <v>4176</v>
      </c>
      <c r="S3329" s="405" t="s">
        <v>27053</v>
      </c>
      <c r="T3329" s="405" t="s">
        <v>32679</v>
      </c>
      <c r="U3329" s="405" t="s">
        <v>2267</v>
      </c>
    </row>
    <row r="3330" spans="1:21" x14ac:dyDescent="0.25">
      <c r="A3330" s="405" t="s">
        <v>310</v>
      </c>
      <c r="B3330" s="405" t="s">
        <v>22796</v>
      </c>
      <c r="C3330" s="405" t="s">
        <v>327</v>
      </c>
      <c r="D3330" s="405"/>
      <c r="E3330" s="410">
        <v>42645</v>
      </c>
      <c r="F3330" s="410">
        <v>42690</v>
      </c>
      <c r="G3330" s="405" t="s">
        <v>22797</v>
      </c>
      <c r="H3330" s="405">
        <v>777853036</v>
      </c>
      <c r="I3330" s="405"/>
      <c r="J3330" s="405">
        <v>0.2414</v>
      </c>
      <c r="K3330" s="405">
        <v>30.2331</v>
      </c>
      <c r="L3330" s="405" t="s">
        <v>590</v>
      </c>
      <c r="M3330" s="405" t="s">
        <v>19720</v>
      </c>
      <c r="N3330" s="405" t="s">
        <v>7352</v>
      </c>
      <c r="O3330" s="405" t="s">
        <v>21991</v>
      </c>
      <c r="P3330" s="405" t="s">
        <v>22798</v>
      </c>
      <c r="Q3330" s="411">
        <v>6</v>
      </c>
      <c r="R3330" s="405" t="s">
        <v>6013</v>
      </c>
      <c r="S3330" s="405" t="s">
        <v>27423</v>
      </c>
      <c r="T3330" s="405" t="s">
        <v>32679</v>
      </c>
      <c r="U3330" s="405" t="s">
        <v>2267</v>
      </c>
    </row>
    <row r="3331" spans="1:21" x14ac:dyDescent="0.25">
      <c r="A3331" s="405" t="s">
        <v>310</v>
      </c>
      <c r="B3331" s="405" t="s">
        <v>27591</v>
      </c>
      <c r="C3331" s="405" t="s">
        <v>327</v>
      </c>
      <c r="D3331" s="405"/>
      <c r="E3331" s="410">
        <v>42644</v>
      </c>
      <c r="F3331" s="410">
        <v>42689</v>
      </c>
      <c r="G3331" s="405" t="s">
        <v>22773</v>
      </c>
      <c r="H3331" s="405">
        <v>789119122</v>
      </c>
      <c r="I3331" s="405"/>
      <c r="J3331" s="405">
        <v>0.57540000000000002</v>
      </c>
      <c r="K3331" s="405">
        <v>31.313600000000001</v>
      </c>
      <c r="L3331" s="405" t="s">
        <v>590</v>
      </c>
      <c r="M3331" s="405" t="s">
        <v>1360</v>
      </c>
      <c r="N3331" s="405" t="s">
        <v>1361</v>
      </c>
      <c r="O3331" s="405" t="s">
        <v>411</v>
      </c>
      <c r="P3331" s="405" t="s">
        <v>7381</v>
      </c>
      <c r="Q3331" s="411">
        <v>6</v>
      </c>
      <c r="R3331" s="405" t="s">
        <v>414</v>
      </c>
      <c r="S3331" s="405" t="s">
        <v>414</v>
      </c>
      <c r="T3331" s="405" t="s">
        <v>32679</v>
      </c>
      <c r="U3331" s="405" t="s">
        <v>2267</v>
      </c>
    </row>
    <row r="3332" spans="1:21" x14ac:dyDescent="0.25">
      <c r="A3332" s="405" t="s">
        <v>310</v>
      </c>
      <c r="B3332" s="405" t="s">
        <v>15503</v>
      </c>
      <c r="C3332" s="405" t="s">
        <v>327</v>
      </c>
      <c r="D3332" s="405"/>
      <c r="E3332" s="410">
        <v>42644</v>
      </c>
      <c r="F3332" s="410">
        <v>42689</v>
      </c>
      <c r="G3332" s="405" t="s">
        <v>15504</v>
      </c>
      <c r="H3332" s="405">
        <v>782037222</v>
      </c>
      <c r="I3332" s="405"/>
      <c r="J3332" s="405">
        <v>0.97469700000000004</v>
      </c>
      <c r="K3332" s="405">
        <v>31.600825</v>
      </c>
      <c r="L3332" s="405" t="s">
        <v>6866</v>
      </c>
      <c r="M3332" s="405" t="s">
        <v>9514</v>
      </c>
      <c r="N3332" s="405" t="s">
        <v>9722</v>
      </c>
      <c r="O3332" s="405" t="s">
        <v>9530</v>
      </c>
      <c r="P3332" s="405" t="s">
        <v>10665</v>
      </c>
      <c r="Q3332" s="411">
        <v>6</v>
      </c>
      <c r="R3332" s="405" t="s">
        <v>5655</v>
      </c>
      <c r="S3332" s="405" t="s">
        <v>27193</v>
      </c>
      <c r="T3332" s="405" t="s">
        <v>32679</v>
      </c>
      <c r="U3332" s="405" t="s">
        <v>2267</v>
      </c>
    </row>
    <row r="3333" spans="1:21" x14ac:dyDescent="0.25">
      <c r="A3333" s="405" t="s">
        <v>310</v>
      </c>
      <c r="B3333" s="405" t="s">
        <v>9312</v>
      </c>
      <c r="C3333" s="405" t="s">
        <v>327</v>
      </c>
      <c r="D3333" s="405"/>
      <c r="E3333" s="410">
        <v>44571</v>
      </c>
      <c r="F3333" s="410">
        <v>44578</v>
      </c>
      <c r="G3333" s="405" t="s">
        <v>9313</v>
      </c>
      <c r="H3333" s="405" t="s">
        <v>9314</v>
      </c>
      <c r="I3333" s="405" t="s">
        <v>9315</v>
      </c>
      <c r="J3333" s="405">
        <v>0.26731300000000002</v>
      </c>
      <c r="K3333" s="405">
        <v>32.448742000000003</v>
      </c>
      <c r="L3333" s="405" t="s">
        <v>314</v>
      </c>
      <c r="M3333" s="405" t="s">
        <v>361</v>
      </c>
      <c r="N3333" s="405" t="s">
        <v>374</v>
      </c>
      <c r="O3333" s="405" t="s">
        <v>375</v>
      </c>
      <c r="P3333" s="405" t="s">
        <v>9316</v>
      </c>
      <c r="Q3333" s="411">
        <v>60</v>
      </c>
      <c r="R3333" s="405" t="s">
        <v>32101</v>
      </c>
      <c r="S3333" s="405" t="s">
        <v>27243</v>
      </c>
      <c r="T3333" s="406" t="s">
        <v>32679</v>
      </c>
      <c r="U3333" s="406" t="s">
        <v>2267</v>
      </c>
    </row>
    <row r="3334" spans="1:21" x14ac:dyDescent="0.25">
      <c r="A3334" s="405" t="s">
        <v>310</v>
      </c>
      <c r="B3334" s="405" t="s">
        <v>28937</v>
      </c>
      <c r="C3334" s="405" t="s">
        <v>327</v>
      </c>
      <c r="D3334" s="405"/>
      <c r="E3334" s="410">
        <v>42643</v>
      </c>
      <c r="F3334" s="410">
        <v>42688</v>
      </c>
      <c r="G3334" s="405" t="s">
        <v>6199</v>
      </c>
      <c r="H3334" s="405">
        <v>776065626</v>
      </c>
      <c r="I3334" s="405"/>
      <c r="J3334" s="405">
        <v>0.31130000000000002</v>
      </c>
      <c r="K3334" s="405">
        <v>32.103999999999999</v>
      </c>
      <c r="L3334" s="405" t="s">
        <v>314</v>
      </c>
      <c r="M3334" s="405" t="s">
        <v>675</v>
      </c>
      <c r="N3334" s="405" t="s">
        <v>5584</v>
      </c>
      <c r="O3334" s="405" t="s">
        <v>6200</v>
      </c>
      <c r="P3334" s="405" t="s">
        <v>6201</v>
      </c>
      <c r="Q3334" s="411">
        <v>13</v>
      </c>
      <c r="R3334" s="405" t="s">
        <v>5903</v>
      </c>
      <c r="S3334" s="405" t="s">
        <v>27153</v>
      </c>
      <c r="T3334" s="405" t="s">
        <v>32679</v>
      </c>
      <c r="U3334" s="405" t="s">
        <v>2267</v>
      </c>
    </row>
    <row r="3335" spans="1:21" x14ac:dyDescent="0.25">
      <c r="A3335" s="405" t="s">
        <v>310</v>
      </c>
      <c r="B3335" s="405" t="s">
        <v>23006</v>
      </c>
      <c r="C3335" s="405" t="s">
        <v>857</v>
      </c>
      <c r="D3335" s="405" t="s">
        <v>921</v>
      </c>
      <c r="E3335" s="410">
        <v>42643</v>
      </c>
      <c r="F3335" s="410">
        <v>42688</v>
      </c>
      <c r="G3335" s="405" t="s">
        <v>23007</v>
      </c>
      <c r="H3335" s="405">
        <v>772534726</v>
      </c>
      <c r="I3335" s="405"/>
      <c r="J3335" s="405">
        <v>1.70061</v>
      </c>
      <c r="K3335" s="405">
        <v>31.71837</v>
      </c>
      <c r="L3335" s="405" t="s">
        <v>590</v>
      </c>
      <c r="M3335" s="405" t="s">
        <v>19608</v>
      </c>
      <c r="N3335" s="405" t="s">
        <v>19762</v>
      </c>
      <c r="O3335" s="405" t="s">
        <v>4147</v>
      </c>
      <c r="P3335" s="405" t="s">
        <v>19763</v>
      </c>
      <c r="Q3335" s="411">
        <v>13</v>
      </c>
      <c r="R3335" s="405" t="s">
        <v>22785</v>
      </c>
      <c r="S3335" s="405" t="s">
        <v>27126</v>
      </c>
      <c r="T3335" s="406" t="s">
        <v>884</v>
      </c>
      <c r="U3335" s="406" t="s">
        <v>319</v>
      </c>
    </row>
    <row r="3336" spans="1:21" x14ac:dyDescent="0.25">
      <c r="A3336" s="405" t="s">
        <v>310</v>
      </c>
      <c r="B3336" s="405" t="s">
        <v>6173</v>
      </c>
      <c r="C3336" s="405" t="s">
        <v>327</v>
      </c>
      <c r="D3336" s="405"/>
      <c r="E3336" s="410">
        <v>42643</v>
      </c>
      <c r="F3336" s="410">
        <v>42688</v>
      </c>
      <c r="G3336" s="405" t="s">
        <v>6174</v>
      </c>
      <c r="H3336" s="405">
        <v>772447030</v>
      </c>
      <c r="I3336" s="405"/>
      <c r="J3336" s="405">
        <v>0.22575300000000001</v>
      </c>
      <c r="K3336" s="405">
        <v>32.386806999999997</v>
      </c>
      <c r="L3336" s="405" t="s">
        <v>314</v>
      </c>
      <c r="M3336" s="405" t="s">
        <v>321</v>
      </c>
      <c r="N3336" s="405" t="s">
        <v>1244</v>
      </c>
      <c r="O3336" s="405" t="s">
        <v>519</v>
      </c>
      <c r="P3336" s="405" t="s">
        <v>6175</v>
      </c>
      <c r="Q3336" s="411">
        <v>13</v>
      </c>
      <c r="R3336" s="405" t="s">
        <v>4176</v>
      </c>
      <c r="S3336" s="405" t="s">
        <v>27059</v>
      </c>
      <c r="T3336" s="406" t="s">
        <v>32102</v>
      </c>
      <c r="U3336" s="406" t="s">
        <v>319</v>
      </c>
    </row>
    <row r="3337" spans="1:21" x14ac:dyDescent="0.25">
      <c r="A3337" s="405" t="s">
        <v>310</v>
      </c>
      <c r="B3337" s="405" t="s">
        <v>22799</v>
      </c>
      <c r="C3337" s="405" t="s">
        <v>327</v>
      </c>
      <c r="D3337" s="405"/>
      <c r="E3337" s="410">
        <v>42643</v>
      </c>
      <c r="F3337" s="410">
        <v>42688</v>
      </c>
      <c r="G3337" s="405" t="s">
        <v>22800</v>
      </c>
      <c r="H3337" s="405">
        <v>777448622</v>
      </c>
      <c r="I3337" s="405"/>
      <c r="J3337" s="405">
        <v>1.418323</v>
      </c>
      <c r="K3337" s="405">
        <v>31.292983</v>
      </c>
      <c r="L3337" s="405" t="s">
        <v>590</v>
      </c>
      <c r="M3337" s="405" t="s">
        <v>7300</v>
      </c>
      <c r="N3337" s="405" t="s">
        <v>20091</v>
      </c>
      <c r="O3337" s="405" t="s">
        <v>22783</v>
      </c>
      <c r="P3337" s="405" t="s">
        <v>22801</v>
      </c>
      <c r="Q3337" s="411">
        <v>9</v>
      </c>
      <c r="R3337" s="405" t="s">
        <v>22785</v>
      </c>
      <c r="S3337" s="405" t="s">
        <v>27126</v>
      </c>
      <c r="T3337" s="406" t="s">
        <v>32102</v>
      </c>
      <c r="U3337" s="406" t="s">
        <v>319</v>
      </c>
    </row>
    <row r="3338" spans="1:21" x14ac:dyDescent="0.25">
      <c r="A3338" s="405" t="s">
        <v>310</v>
      </c>
      <c r="B3338" s="405" t="s">
        <v>27583</v>
      </c>
      <c r="C3338" s="405" t="s">
        <v>327</v>
      </c>
      <c r="D3338" s="405"/>
      <c r="E3338" s="410">
        <v>42643</v>
      </c>
      <c r="F3338" s="410">
        <v>42688</v>
      </c>
      <c r="G3338" s="405" t="s">
        <v>22723</v>
      </c>
      <c r="H3338" s="405">
        <v>775173731</v>
      </c>
      <c r="I3338" s="405">
        <v>751929599</v>
      </c>
      <c r="J3338" s="405">
        <v>0.30380000000000001</v>
      </c>
      <c r="K3338" s="405">
        <v>30.261099999999999</v>
      </c>
      <c r="L3338" s="405" t="s">
        <v>590</v>
      </c>
      <c r="M3338" s="405" t="s">
        <v>19725</v>
      </c>
      <c r="N3338" s="405" t="s">
        <v>19725</v>
      </c>
      <c r="O3338" s="405" t="s">
        <v>22721</v>
      </c>
      <c r="P3338" s="405" t="s">
        <v>22722</v>
      </c>
      <c r="Q3338" s="411">
        <v>9</v>
      </c>
      <c r="R3338" s="405" t="s">
        <v>6943</v>
      </c>
      <c r="S3338" s="405" t="s">
        <v>27096</v>
      </c>
      <c r="T3338" s="406" t="s">
        <v>32102</v>
      </c>
      <c r="U3338" s="406" t="s">
        <v>319</v>
      </c>
    </row>
    <row r="3339" spans="1:21" x14ac:dyDescent="0.25">
      <c r="A3339" s="405" t="s">
        <v>310</v>
      </c>
      <c r="B3339" s="405" t="s">
        <v>27624</v>
      </c>
      <c r="C3339" s="405" t="s">
        <v>327</v>
      </c>
      <c r="D3339" s="405"/>
      <c r="E3339" s="410">
        <v>42643</v>
      </c>
      <c r="F3339" s="410">
        <v>42688</v>
      </c>
      <c r="G3339" s="405" t="s">
        <v>22736</v>
      </c>
      <c r="H3339" s="405">
        <v>787798230</v>
      </c>
      <c r="I3339" s="405"/>
      <c r="J3339" s="405">
        <v>0.44140000000000001</v>
      </c>
      <c r="K3339" s="405">
        <v>29.503599999999999</v>
      </c>
      <c r="L3339" s="405" t="s">
        <v>590</v>
      </c>
      <c r="M3339" s="405" t="s">
        <v>19619</v>
      </c>
      <c r="N3339" s="405" t="s">
        <v>19793</v>
      </c>
      <c r="O3339" s="405" t="s">
        <v>6395</v>
      </c>
      <c r="P3339" s="405" t="s">
        <v>22737</v>
      </c>
      <c r="Q3339" s="411">
        <v>9</v>
      </c>
      <c r="R3339" s="405" t="s">
        <v>5858</v>
      </c>
      <c r="S3339" s="405" t="s">
        <v>27160</v>
      </c>
      <c r="T3339" s="406" t="s">
        <v>32102</v>
      </c>
      <c r="U3339" s="406" t="s">
        <v>319</v>
      </c>
    </row>
    <row r="3340" spans="1:21" x14ac:dyDescent="0.25">
      <c r="A3340" s="405" t="s">
        <v>310</v>
      </c>
      <c r="B3340" s="405" t="s">
        <v>6196</v>
      </c>
      <c r="C3340" s="405" t="s">
        <v>327</v>
      </c>
      <c r="D3340" s="405"/>
      <c r="E3340" s="410">
        <v>42643</v>
      </c>
      <c r="F3340" s="410">
        <v>42688</v>
      </c>
      <c r="G3340" s="405" t="s">
        <v>6197</v>
      </c>
      <c r="H3340" s="405">
        <v>702744772</v>
      </c>
      <c r="I3340" s="405"/>
      <c r="J3340" s="405">
        <v>0.27339999999999998</v>
      </c>
      <c r="K3340" s="405">
        <v>32.363900000000001</v>
      </c>
      <c r="L3340" s="405" t="s">
        <v>314</v>
      </c>
      <c r="M3340" s="405" t="s">
        <v>361</v>
      </c>
      <c r="N3340" s="405" t="s">
        <v>362</v>
      </c>
      <c r="O3340" s="405" t="s">
        <v>6198</v>
      </c>
      <c r="P3340" s="405" t="s">
        <v>411</v>
      </c>
      <c r="Q3340" s="411">
        <v>9</v>
      </c>
      <c r="R3340" s="405" t="s">
        <v>5903</v>
      </c>
      <c r="S3340" s="405" t="s">
        <v>27047</v>
      </c>
      <c r="T3340" s="406" t="s">
        <v>32102</v>
      </c>
      <c r="U3340" s="406" t="s">
        <v>319</v>
      </c>
    </row>
    <row r="3341" spans="1:21" x14ac:dyDescent="0.25">
      <c r="A3341" s="405" t="s">
        <v>310</v>
      </c>
      <c r="B3341" s="405" t="s">
        <v>22781</v>
      </c>
      <c r="C3341" s="405" t="s">
        <v>327</v>
      </c>
      <c r="D3341" s="405"/>
      <c r="E3341" s="410">
        <v>42643</v>
      </c>
      <c r="F3341" s="410">
        <v>42688</v>
      </c>
      <c r="G3341" s="405" t="s">
        <v>22782</v>
      </c>
      <c r="H3341" s="405">
        <v>773750356</v>
      </c>
      <c r="I3341" s="405"/>
      <c r="J3341" s="405">
        <v>1.439675</v>
      </c>
      <c r="K3341" s="405">
        <v>31.301278</v>
      </c>
      <c r="L3341" s="405" t="s">
        <v>590</v>
      </c>
      <c r="M3341" s="405" t="s">
        <v>7300</v>
      </c>
      <c r="N3341" s="405" t="s">
        <v>20091</v>
      </c>
      <c r="O3341" s="405" t="s">
        <v>22783</v>
      </c>
      <c r="P3341" s="405" t="s">
        <v>22784</v>
      </c>
      <c r="Q3341" s="411">
        <v>9</v>
      </c>
      <c r="R3341" s="405" t="s">
        <v>22785</v>
      </c>
      <c r="S3341" s="405" t="s">
        <v>27126</v>
      </c>
      <c r="T3341" s="406" t="s">
        <v>32102</v>
      </c>
      <c r="U3341" s="406" t="s">
        <v>319</v>
      </c>
    </row>
    <row r="3342" spans="1:21" x14ac:dyDescent="0.25">
      <c r="A3342" s="405" t="s">
        <v>310</v>
      </c>
      <c r="B3342" s="405" t="s">
        <v>28272</v>
      </c>
      <c r="C3342" s="405" t="s">
        <v>327</v>
      </c>
      <c r="D3342" s="405"/>
      <c r="E3342" s="410">
        <v>42643</v>
      </c>
      <c r="F3342" s="410">
        <v>42688</v>
      </c>
      <c r="G3342" s="405" t="s">
        <v>23008</v>
      </c>
      <c r="H3342" s="405">
        <v>777615922</v>
      </c>
      <c r="I3342" s="405"/>
      <c r="J3342" s="405">
        <v>1.3753919999999999</v>
      </c>
      <c r="K3342" s="405">
        <v>31.324086999999999</v>
      </c>
      <c r="L3342" s="405" t="s">
        <v>590</v>
      </c>
      <c r="M3342" s="405" t="s">
        <v>7300</v>
      </c>
      <c r="N3342" s="405" t="s">
        <v>20091</v>
      </c>
      <c r="O3342" s="405" t="s">
        <v>22783</v>
      </c>
      <c r="P3342" s="405" t="s">
        <v>23009</v>
      </c>
      <c r="Q3342" s="411">
        <v>9</v>
      </c>
      <c r="R3342" s="405" t="s">
        <v>22785</v>
      </c>
      <c r="S3342" s="405" t="s">
        <v>27126</v>
      </c>
      <c r="T3342" s="406" t="s">
        <v>884</v>
      </c>
      <c r="U3342" s="406" t="s">
        <v>319</v>
      </c>
    </row>
    <row r="3343" spans="1:21" x14ac:dyDescent="0.25">
      <c r="A3343" s="405" t="s">
        <v>310</v>
      </c>
      <c r="B3343" s="405" t="s">
        <v>22786</v>
      </c>
      <c r="C3343" s="405" t="s">
        <v>327</v>
      </c>
      <c r="D3343" s="405"/>
      <c r="E3343" s="410">
        <v>42643</v>
      </c>
      <c r="F3343" s="410">
        <v>42688</v>
      </c>
      <c r="G3343" s="405" t="s">
        <v>22787</v>
      </c>
      <c r="H3343" s="405">
        <v>782646284</v>
      </c>
      <c r="I3343" s="405"/>
      <c r="J3343" s="405">
        <v>1.447138</v>
      </c>
      <c r="K3343" s="405">
        <v>31.286933000000001</v>
      </c>
      <c r="L3343" s="405" t="s">
        <v>590</v>
      </c>
      <c r="M3343" s="405" t="s">
        <v>7300</v>
      </c>
      <c r="N3343" s="405" t="s">
        <v>20091</v>
      </c>
      <c r="O3343" s="405" t="s">
        <v>22788</v>
      </c>
      <c r="P3343" s="405" t="s">
        <v>22789</v>
      </c>
      <c r="Q3343" s="411">
        <v>9</v>
      </c>
      <c r="R3343" s="405" t="s">
        <v>22785</v>
      </c>
      <c r="S3343" s="405" t="s">
        <v>27126</v>
      </c>
      <c r="T3343" s="406" t="s">
        <v>884</v>
      </c>
      <c r="U3343" s="406" t="s">
        <v>319</v>
      </c>
    </row>
    <row r="3344" spans="1:21" x14ac:dyDescent="0.25">
      <c r="A3344" s="405" t="s">
        <v>310</v>
      </c>
      <c r="B3344" s="405" t="s">
        <v>28175</v>
      </c>
      <c r="C3344" s="405" t="s">
        <v>327</v>
      </c>
      <c r="D3344" s="405"/>
      <c r="E3344" s="410">
        <v>42643</v>
      </c>
      <c r="F3344" s="410">
        <v>42688</v>
      </c>
      <c r="G3344" s="405" t="s">
        <v>15457</v>
      </c>
      <c r="H3344" s="405">
        <v>783210959</v>
      </c>
      <c r="I3344" s="405"/>
      <c r="J3344" s="405">
        <v>1.2098409999999999</v>
      </c>
      <c r="K3344" s="405">
        <v>34.121997</v>
      </c>
      <c r="L3344" s="405" t="s">
        <v>6866</v>
      </c>
      <c r="M3344" s="405" t="s">
        <v>9514</v>
      </c>
      <c r="N3344" s="405" t="s">
        <v>14735</v>
      </c>
      <c r="O3344" s="405" t="s">
        <v>15458</v>
      </c>
      <c r="P3344" s="405" t="s">
        <v>15459</v>
      </c>
      <c r="Q3344" s="411">
        <v>6</v>
      </c>
      <c r="R3344" s="405" t="s">
        <v>7224</v>
      </c>
      <c r="S3344" s="405" t="s">
        <v>27041</v>
      </c>
      <c r="T3344" s="406" t="s">
        <v>884</v>
      </c>
      <c r="U3344" s="406" t="s">
        <v>319</v>
      </c>
    </row>
    <row r="3345" spans="1:21" x14ac:dyDescent="0.25">
      <c r="A3345" s="405" t="s">
        <v>310</v>
      </c>
      <c r="B3345" s="405" t="s">
        <v>28622</v>
      </c>
      <c r="C3345" s="405" t="s">
        <v>327</v>
      </c>
      <c r="D3345" s="405"/>
      <c r="E3345" s="410">
        <v>42643</v>
      </c>
      <c r="F3345" s="410">
        <v>42688</v>
      </c>
      <c r="G3345" s="405" t="s">
        <v>15456</v>
      </c>
      <c r="H3345" s="405">
        <v>777434757</v>
      </c>
      <c r="I3345" s="405">
        <v>775719203</v>
      </c>
      <c r="J3345" s="405">
        <v>0.63890199999999997</v>
      </c>
      <c r="K3345" s="405">
        <v>30.718831999999999</v>
      </c>
      <c r="L3345" s="405" t="s">
        <v>6866</v>
      </c>
      <c r="M3345" s="405" t="s">
        <v>13470</v>
      </c>
      <c r="N3345" s="405" t="s">
        <v>13471</v>
      </c>
      <c r="O3345" s="405" t="s">
        <v>14315</v>
      </c>
      <c r="P3345" s="405" t="s">
        <v>14315</v>
      </c>
      <c r="Q3345" s="411">
        <v>6</v>
      </c>
      <c r="R3345" s="405" t="s">
        <v>5655</v>
      </c>
      <c r="S3345" s="405" t="s">
        <v>27351</v>
      </c>
      <c r="T3345" s="406" t="s">
        <v>32102</v>
      </c>
      <c r="U3345" s="406" t="s">
        <v>319</v>
      </c>
    </row>
    <row r="3346" spans="1:21" x14ac:dyDescent="0.25">
      <c r="A3346" s="405" t="s">
        <v>310</v>
      </c>
      <c r="B3346" s="405" t="s">
        <v>28623</v>
      </c>
      <c r="C3346" s="405" t="s">
        <v>327</v>
      </c>
      <c r="D3346" s="405"/>
      <c r="E3346" s="410">
        <v>42643</v>
      </c>
      <c r="F3346" s="410">
        <v>42688</v>
      </c>
      <c r="G3346" s="405" t="s">
        <v>22749</v>
      </c>
      <c r="H3346" s="405">
        <v>788577407</v>
      </c>
      <c r="I3346" s="405"/>
      <c r="J3346" s="405">
        <v>0.44900000000000001</v>
      </c>
      <c r="K3346" s="405">
        <v>30.215499999999999</v>
      </c>
      <c r="L3346" s="405" t="s">
        <v>590</v>
      </c>
      <c r="M3346" s="405" t="s">
        <v>19720</v>
      </c>
      <c r="N3346" s="405" t="s">
        <v>20297</v>
      </c>
      <c r="O3346" s="405" t="s">
        <v>22746</v>
      </c>
      <c r="P3346" s="405" t="s">
        <v>22747</v>
      </c>
      <c r="Q3346" s="411">
        <v>6</v>
      </c>
      <c r="R3346" s="405" t="s">
        <v>6013</v>
      </c>
      <c r="S3346" s="405" t="s">
        <v>27423</v>
      </c>
      <c r="T3346" s="406" t="s">
        <v>32102</v>
      </c>
      <c r="U3346" s="406" t="s">
        <v>319</v>
      </c>
    </row>
    <row r="3347" spans="1:21" x14ac:dyDescent="0.25">
      <c r="A3347" s="405" t="s">
        <v>310</v>
      </c>
      <c r="B3347" s="405" t="s">
        <v>29037</v>
      </c>
      <c r="C3347" s="405" t="s">
        <v>327</v>
      </c>
      <c r="D3347" s="405"/>
      <c r="E3347" s="410">
        <v>42643</v>
      </c>
      <c r="F3347" s="410">
        <v>42688</v>
      </c>
      <c r="G3347" s="405" t="s">
        <v>15465</v>
      </c>
      <c r="H3347" s="405">
        <v>783267550</v>
      </c>
      <c r="I3347" s="405"/>
      <c r="J3347" s="405">
        <v>0.46845700000000001</v>
      </c>
      <c r="K3347" s="405">
        <v>33.260832999999998</v>
      </c>
      <c r="L3347" s="405" t="s">
        <v>6866</v>
      </c>
      <c r="M3347" s="405" t="s">
        <v>9763</v>
      </c>
      <c r="N3347" s="405" t="s">
        <v>15466</v>
      </c>
      <c r="O3347" s="405" t="s">
        <v>11475</v>
      </c>
      <c r="P3347" s="405" t="s">
        <v>15467</v>
      </c>
      <c r="Q3347" s="411">
        <v>6</v>
      </c>
      <c r="R3347" s="405" t="s">
        <v>7224</v>
      </c>
      <c r="S3347" s="405" t="s">
        <v>27041</v>
      </c>
      <c r="T3347" s="406" t="s">
        <v>32102</v>
      </c>
      <c r="U3347" s="406" t="s">
        <v>319</v>
      </c>
    </row>
    <row r="3348" spans="1:21" x14ac:dyDescent="0.25">
      <c r="A3348" s="405" t="s">
        <v>310</v>
      </c>
      <c r="B3348" s="405" t="s">
        <v>29042</v>
      </c>
      <c r="C3348" s="405" t="s">
        <v>311</v>
      </c>
      <c r="D3348" s="405" t="s">
        <v>1789</v>
      </c>
      <c r="E3348" s="410">
        <v>42643</v>
      </c>
      <c r="F3348" s="410">
        <v>42688</v>
      </c>
      <c r="G3348" s="405" t="s">
        <v>15886</v>
      </c>
      <c r="H3348" s="405">
        <v>782600277</v>
      </c>
      <c r="I3348" s="405">
        <v>775303788</v>
      </c>
      <c r="J3348" s="405">
        <v>2.7779400000000001</v>
      </c>
      <c r="K3348" s="405">
        <v>32.271317000000003</v>
      </c>
      <c r="L3348" s="405" t="s">
        <v>6866</v>
      </c>
      <c r="M3348" s="405" t="s">
        <v>6867</v>
      </c>
      <c r="N3348" s="405" t="s">
        <v>11399</v>
      </c>
      <c r="O3348" s="405" t="s">
        <v>10075</v>
      </c>
      <c r="P3348" s="405" t="s">
        <v>15273</v>
      </c>
      <c r="Q3348" s="411">
        <v>6</v>
      </c>
      <c r="R3348" s="405" t="s">
        <v>6871</v>
      </c>
      <c r="S3348" s="405" t="s">
        <v>27107</v>
      </c>
      <c r="T3348" s="406" t="s">
        <v>884</v>
      </c>
      <c r="U3348" s="406" t="s">
        <v>319</v>
      </c>
    </row>
    <row r="3349" spans="1:21" x14ac:dyDescent="0.25">
      <c r="A3349" s="405" t="s">
        <v>310</v>
      </c>
      <c r="B3349" s="405" t="s">
        <v>29110</v>
      </c>
      <c r="C3349" s="405" t="s">
        <v>311</v>
      </c>
      <c r="D3349" s="405" t="s">
        <v>839</v>
      </c>
      <c r="E3349" s="410">
        <v>42643</v>
      </c>
      <c r="F3349" s="410">
        <v>42688</v>
      </c>
      <c r="G3349" s="405" t="s">
        <v>15883</v>
      </c>
      <c r="H3349" s="405">
        <v>782032425</v>
      </c>
      <c r="I3349" s="405"/>
      <c r="J3349" s="405">
        <v>1.090767</v>
      </c>
      <c r="K3349" s="405">
        <v>34.167946999999998</v>
      </c>
      <c r="L3349" s="405" t="s">
        <v>6866</v>
      </c>
      <c r="M3349" s="405" t="s">
        <v>9514</v>
      </c>
      <c r="N3349" s="405" t="s">
        <v>10236</v>
      </c>
      <c r="O3349" s="405" t="s">
        <v>15884</v>
      </c>
      <c r="P3349" s="405" t="s">
        <v>15885</v>
      </c>
      <c r="Q3349" s="411">
        <v>6</v>
      </c>
      <c r="R3349" s="405" t="s">
        <v>6871</v>
      </c>
      <c r="S3349" s="405" t="s">
        <v>27074</v>
      </c>
      <c r="T3349" s="406" t="s">
        <v>32102</v>
      </c>
      <c r="U3349" s="406" t="s">
        <v>319</v>
      </c>
    </row>
    <row r="3350" spans="1:21" x14ac:dyDescent="0.25">
      <c r="A3350" s="405" t="s">
        <v>310</v>
      </c>
      <c r="B3350" s="405" t="s">
        <v>18999</v>
      </c>
      <c r="C3350" s="405" t="s">
        <v>327</v>
      </c>
      <c r="D3350" s="405"/>
      <c r="E3350" s="410">
        <v>42643</v>
      </c>
      <c r="F3350" s="410">
        <v>42688</v>
      </c>
      <c r="G3350" s="405" t="s">
        <v>19000</v>
      </c>
      <c r="H3350" s="405">
        <v>785395913</v>
      </c>
      <c r="I3350" s="405"/>
      <c r="J3350" s="405">
        <v>2.1339000000000001</v>
      </c>
      <c r="K3350" s="405">
        <v>32.515000000000001</v>
      </c>
      <c r="L3350" s="405" t="s">
        <v>860</v>
      </c>
      <c r="M3350" s="405" t="s">
        <v>18234</v>
      </c>
      <c r="N3350" s="405" t="s">
        <v>18252</v>
      </c>
      <c r="O3350" s="405" t="s">
        <v>18234</v>
      </c>
      <c r="P3350" s="405" t="s">
        <v>19001</v>
      </c>
      <c r="Q3350" s="411">
        <v>6</v>
      </c>
      <c r="R3350" s="405" t="s">
        <v>18919</v>
      </c>
      <c r="S3350" s="405" t="s">
        <v>27193</v>
      </c>
      <c r="T3350" s="406" t="s">
        <v>884</v>
      </c>
      <c r="U3350" s="406" t="s">
        <v>319</v>
      </c>
    </row>
    <row r="3351" spans="1:21" x14ac:dyDescent="0.25">
      <c r="A3351" s="405" t="s">
        <v>310</v>
      </c>
      <c r="B3351" s="405" t="s">
        <v>22727</v>
      </c>
      <c r="C3351" s="405" t="s">
        <v>327</v>
      </c>
      <c r="D3351" s="405"/>
      <c r="E3351" s="410">
        <v>42643</v>
      </c>
      <c r="F3351" s="410">
        <v>42688</v>
      </c>
      <c r="G3351" s="405" t="s">
        <v>22728</v>
      </c>
      <c r="H3351" s="405">
        <v>772590563</v>
      </c>
      <c r="I3351" s="405">
        <v>772520553</v>
      </c>
      <c r="J3351" s="405" t="s">
        <v>22729</v>
      </c>
      <c r="K3351" s="405">
        <v>30.075453</v>
      </c>
      <c r="L3351" s="405" t="s">
        <v>590</v>
      </c>
      <c r="M3351" s="405" t="s">
        <v>19625</v>
      </c>
      <c r="N3351" s="405" t="s">
        <v>21569</v>
      </c>
      <c r="O3351" s="405" t="s">
        <v>21569</v>
      </c>
      <c r="P3351" s="405" t="s">
        <v>22730</v>
      </c>
      <c r="Q3351" s="411">
        <v>6</v>
      </c>
      <c r="R3351" s="405" t="s">
        <v>6943</v>
      </c>
      <c r="S3351" s="405" t="s">
        <v>27096</v>
      </c>
      <c r="T3351" s="406" t="s">
        <v>884</v>
      </c>
      <c r="U3351" s="406" t="s">
        <v>319</v>
      </c>
    </row>
    <row r="3352" spans="1:21" x14ac:dyDescent="0.25">
      <c r="A3352" s="405" t="s">
        <v>310</v>
      </c>
      <c r="B3352" s="405" t="s">
        <v>6187</v>
      </c>
      <c r="C3352" s="405" t="s">
        <v>327</v>
      </c>
      <c r="D3352" s="405"/>
      <c r="E3352" s="410">
        <v>42643</v>
      </c>
      <c r="F3352" s="410">
        <v>42688</v>
      </c>
      <c r="G3352" s="405" t="s">
        <v>6188</v>
      </c>
      <c r="H3352" s="405">
        <v>773402137</v>
      </c>
      <c r="I3352" s="405"/>
      <c r="J3352" s="405">
        <v>0.82499999999999996</v>
      </c>
      <c r="K3352" s="405">
        <v>31.41</v>
      </c>
      <c r="L3352" s="405" t="s">
        <v>314</v>
      </c>
      <c r="M3352" s="405" t="s">
        <v>343</v>
      </c>
      <c r="N3352" s="405" t="s">
        <v>6185</v>
      </c>
      <c r="O3352" s="405" t="s">
        <v>6189</v>
      </c>
      <c r="P3352" s="405" t="s">
        <v>6186</v>
      </c>
      <c r="Q3352" s="411">
        <v>6</v>
      </c>
      <c r="R3352" s="405" t="s">
        <v>32101</v>
      </c>
      <c r="S3352" s="405" t="s">
        <v>27186</v>
      </c>
      <c r="T3352" s="406" t="s">
        <v>32102</v>
      </c>
      <c r="U3352" s="406" t="s">
        <v>319</v>
      </c>
    </row>
    <row r="3353" spans="1:21" x14ac:dyDescent="0.25">
      <c r="A3353" s="405" t="s">
        <v>310</v>
      </c>
      <c r="B3353" s="405" t="s">
        <v>27588</v>
      </c>
      <c r="C3353" s="405" t="s">
        <v>327</v>
      </c>
      <c r="D3353" s="405"/>
      <c r="E3353" s="410">
        <v>42643</v>
      </c>
      <c r="F3353" s="410">
        <v>42688</v>
      </c>
      <c r="G3353" s="405" t="s">
        <v>22718</v>
      </c>
      <c r="H3353" s="405">
        <v>772984031</v>
      </c>
      <c r="I3353" s="405">
        <v>786844195</v>
      </c>
      <c r="J3353" s="405">
        <v>-0.49770700000000001</v>
      </c>
      <c r="K3353" s="405">
        <v>30.27084</v>
      </c>
      <c r="L3353" s="405" t="s">
        <v>590</v>
      </c>
      <c r="M3353" s="405" t="s">
        <v>19625</v>
      </c>
      <c r="N3353" s="405" t="s">
        <v>20342</v>
      </c>
      <c r="O3353" s="405" t="s">
        <v>20937</v>
      </c>
      <c r="P3353" s="405" t="s">
        <v>22719</v>
      </c>
      <c r="Q3353" s="411">
        <v>6</v>
      </c>
      <c r="R3353" s="405" t="s">
        <v>6943</v>
      </c>
      <c r="S3353" s="405" t="s">
        <v>27065</v>
      </c>
      <c r="T3353" s="406" t="s">
        <v>32102</v>
      </c>
      <c r="U3353" s="406" t="s">
        <v>319</v>
      </c>
    </row>
    <row r="3354" spans="1:21" x14ac:dyDescent="0.25">
      <c r="A3354" s="405" t="s">
        <v>310</v>
      </c>
      <c r="B3354" s="405" t="s">
        <v>15511</v>
      </c>
      <c r="C3354" s="405" t="s">
        <v>327</v>
      </c>
      <c r="D3354" s="405"/>
      <c r="E3354" s="410">
        <v>42643</v>
      </c>
      <c r="F3354" s="410">
        <v>42688</v>
      </c>
      <c r="G3354" s="405" t="s">
        <v>15512</v>
      </c>
      <c r="H3354" s="405">
        <v>782181824</v>
      </c>
      <c r="I3354" s="405">
        <v>756018528</v>
      </c>
      <c r="J3354" s="405">
        <v>0.75963199999999997</v>
      </c>
      <c r="K3354" s="405">
        <v>33.881883000000002</v>
      </c>
      <c r="L3354" s="405" t="s">
        <v>6866</v>
      </c>
      <c r="M3354" s="405" t="s">
        <v>9566</v>
      </c>
      <c r="N3354" s="405" t="s">
        <v>15254</v>
      </c>
      <c r="O3354" s="405" t="s">
        <v>9788</v>
      </c>
      <c r="P3354" s="405" t="s">
        <v>13999</v>
      </c>
      <c r="Q3354" s="411">
        <v>6</v>
      </c>
      <c r="R3354" s="405" t="s">
        <v>5655</v>
      </c>
      <c r="S3354" s="405" t="s">
        <v>27072</v>
      </c>
      <c r="T3354" s="406" t="s">
        <v>32102</v>
      </c>
      <c r="U3354" s="406" t="s">
        <v>319</v>
      </c>
    </row>
    <row r="3355" spans="1:21" x14ac:dyDescent="0.25">
      <c r="A3355" s="405" t="s">
        <v>310</v>
      </c>
      <c r="B3355" s="405" t="s">
        <v>22724</v>
      </c>
      <c r="C3355" s="405" t="s">
        <v>327</v>
      </c>
      <c r="D3355" s="405"/>
      <c r="E3355" s="410">
        <v>42643</v>
      </c>
      <c r="F3355" s="410">
        <v>42688</v>
      </c>
      <c r="G3355" s="405" t="s">
        <v>22725</v>
      </c>
      <c r="H3355" s="405">
        <v>776223496</v>
      </c>
      <c r="I3355" s="405"/>
      <c r="J3355" s="405">
        <v>0.54509700000000005</v>
      </c>
      <c r="K3355" s="405">
        <v>30.140035999999998</v>
      </c>
      <c r="L3355" s="405" t="s">
        <v>590</v>
      </c>
      <c r="M3355" s="405" t="s">
        <v>19625</v>
      </c>
      <c r="N3355" s="405" t="s">
        <v>20342</v>
      </c>
      <c r="O3355" s="405" t="s">
        <v>19639</v>
      </c>
      <c r="P3355" s="405" t="s">
        <v>22726</v>
      </c>
      <c r="Q3355" s="411">
        <v>6</v>
      </c>
      <c r="R3355" s="405" t="s">
        <v>6943</v>
      </c>
      <c r="S3355" s="405" t="s">
        <v>27280</v>
      </c>
      <c r="T3355" s="406" t="s">
        <v>32102</v>
      </c>
      <c r="U3355" s="406" t="s">
        <v>319</v>
      </c>
    </row>
    <row r="3356" spans="1:21" x14ac:dyDescent="0.25">
      <c r="A3356" s="405" t="s">
        <v>310</v>
      </c>
      <c r="B3356" s="405" t="s">
        <v>27981</v>
      </c>
      <c r="C3356" s="405" t="s">
        <v>327</v>
      </c>
      <c r="D3356" s="405"/>
      <c r="E3356" s="410">
        <v>42643</v>
      </c>
      <c r="F3356" s="410">
        <v>42688</v>
      </c>
      <c r="G3356" s="405" t="s">
        <v>22745</v>
      </c>
      <c r="H3356" s="405">
        <v>784603778</v>
      </c>
      <c r="I3356" s="405"/>
      <c r="J3356" s="405">
        <v>0.44500000000000001</v>
      </c>
      <c r="K3356" s="405">
        <v>30.2148</v>
      </c>
      <c r="L3356" s="405" t="s">
        <v>590</v>
      </c>
      <c r="M3356" s="405" t="s">
        <v>19720</v>
      </c>
      <c r="N3356" s="405" t="s">
        <v>20297</v>
      </c>
      <c r="O3356" s="405" t="s">
        <v>22746</v>
      </c>
      <c r="P3356" s="405" t="s">
        <v>22747</v>
      </c>
      <c r="Q3356" s="411">
        <v>6</v>
      </c>
      <c r="R3356" s="405" t="s">
        <v>6013</v>
      </c>
      <c r="S3356" s="405" t="s">
        <v>27181</v>
      </c>
      <c r="T3356" s="406" t="s">
        <v>884</v>
      </c>
      <c r="U3356" s="406" t="s">
        <v>319</v>
      </c>
    </row>
    <row r="3357" spans="1:21" x14ac:dyDescent="0.25">
      <c r="A3357" s="405" t="s">
        <v>310</v>
      </c>
      <c r="B3357" s="405" t="s">
        <v>22750</v>
      </c>
      <c r="C3357" s="405" t="s">
        <v>327</v>
      </c>
      <c r="D3357" s="405"/>
      <c r="E3357" s="410">
        <v>42643</v>
      </c>
      <c r="F3357" s="410">
        <v>42688</v>
      </c>
      <c r="G3357" s="405" t="s">
        <v>22751</v>
      </c>
      <c r="H3357" s="405">
        <v>785842494</v>
      </c>
      <c r="I3357" s="405">
        <v>775218936</v>
      </c>
      <c r="J3357" s="405">
        <v>0.71199999999999997</v>
      </c>
      <c r="K3357" s="405">
        <v>30.241199999999999</v>
      </c>
      <c r="L3357" s="405" t="s">
        <v>590</v>
      </c>
      <c r="M3357" s="405" t="s">
        <v>19720</v>
      </c>
      <c r="N3357" s="405" t="s">
        <v>20297</v>
      </c>
      <c r="O3357" s="405" t="s">
        <v>22654</v>
      </c>
      <c r="P3357" s="405" t="s">
        <v>22654</v>
      </c>
      <c r="Q3357" s="411">
        <v>6</v>
      </c>
      <c r="R3357" s="405" t="s">
        <v>6013</v>
      </c>
      <c r="S3357" s="405" t="s">
        <v>27301</v>
      </c>
      <c r="T3357" s="406" t="s">
        <v>884</v>
      </c>
      <c r="U3357" s="406" t="s">
        <v>319</v>
      </c>
    </row>
    <row r="3358" spans="1:21" x14ac:dyDescent="0.25">
      <c r="A3358" s="405" t="s">
        <v>310</v>
      </c>
      <c r="B3358" s="405" t="s">
        <v>6180</v>
      </c>
      <c r="C3358" s="405" t="s">
        <v>327</v>
      </c>
      <c r="D3358" s="405"/>
      <c r="E3358" s="410">
        <v>42643</v>
      </c>
      <c r="F3358" s="410">
        <v>42688</v>
      </c>
      <c r="G3358" s="405" t="s">
        <v>6181</v>
      </c>
      <c r="H3358" s="405">
        <v>781491675</v>
      </c>
      <c r="I3358" s="405">
        <v>704161154</v>
      </c>
      <c r="J3358" s="405">
        <v>0.105888</v>
      </c>
      <c r="K3358" s="405">
        <v>32.179087000000003</v>
      </c>
      <c r="L3358" s="405" t="s">
        <v>314</v>
      </c>
      <c r="M3358" s="405" t="s">
        <v>315</v>
      </c>
      <c r="N3358" s="405" t="s">
        <v>315</v>
      </c>
      <c r="O3358" s="405" t="s">
        <v>2063</v>
      </c>
      <c r="P3358" s="405" t="s">
        <v>6182</v>
      </c>
      <c r="Q3358" s="411">
        <v>6</v>
      </c>
      <c r="R3358" s="405" t="s">
        <v>32101</v>
      </c>
      <c r="S3358" s="405" t="s">
        <v>27167</v>
      </c>
      <c r="T3358" s="406" t="s">
        <v>884</v>
      </c>
      <c r="U3358" s="406" t="s">
        <v>319</v>
      </c>
    </row>
    <row r="3359" spans="1:21" x14ac:dyDescent="0.25">
      <c r="A3359" s="405" t="s">
        <v>310</v>
      </c>
      <c r="B3359" s="405" t="s">
        <v>15487</v>
      </c>
      <c r="C3359" s="405" t="s">
        <v>327</v>
      </c>
      <c r="D3359" s="405"/>
      <c r="E3359" s="410">
        <v>42643</v>
      </c>
      <c r="F3359" s="410">
        <v>42688</v>
      </c>
      <c r="G3359" s="405" t="s">
        <v>15488</v>
      </c>
      <c r="H3359" s="405">
        <v>779972032</v>
      </c>
      <c r="I3359" s="405"/>
      <c r="J3359" s="405">
        <v>0.78778700000000002</v>
      </c>
      <c r="K3359" s="405">
        <v>33.834122000000001</v>
      </c>
      <c r="L3359" s="405" t="s">
        <v>6866</v>
      </c>
      <c r="M3359" s="405" t="s">
        <v>9514</v>
      </c>
      <c r="N3359" s="405" t="s">
        <v>9722</v>
      </c>
      <c r="O3359" s="405" t="s">
        <v>9530</v>
      </c>
      <c r="P3359" s="405" t="s">
        <v>13529</v>
      </c>
      <c r="Q3359" s="411">
        <v>6</v>
      </c>
      <c r="R3359" s="405" t="s">
        <v>5655</v>
      </c>
      <c r="S3359" s="405" t="s">
        <v>27056</v>
      </c>
      <c r="T3359" s="406" t="s">
        <v>884</v>
      </c>
      <c r="U3359" s="406" t="s">
        <v>319</v>
      </c>
    </row>
    <row r="3360" spans="1:21" x14ac:dyDescent="0.25">
      <c r="A3360" s="405" t="s">
        <v>310</v>
      </c>
      <c r="B3360" s="405" t="s">
        <v>28412</v>
      </c>
      <c r="C3360" s="405" t="s">
        <v>327</v>
      </c>
      <c r="D3360" s="405"/>
      <c r="E3360" s="410">
        <v>42643</v>
      </c>
      <c r="F3360" s="410">
        <v>42688</v>
      </c>
      <c r="G3360" s="405" t="s">
        <v>22720</v>
      </c>
      <c r="H3360" s="405">
        <v>775318510</v>
      </c>
      <c r="I3360" s="405"/>
      <c r="J3360" s="405">
        <v>50.294199999999996</v>
      </c>
      <c r="K3360" s="405">
        <v>30.244199999999999</v>
      </c>
      <c r="L3360" s="405" t="s">
        <v>590</v>
      </c>
      <c r="M3360" s="405" t="s">
        <v>19725</v>
      </c>
      <c r="N3360" s="405" t="s">
        <v>19725</v>
      </c>
      <c r="O3360" s="405" t="s">
        <v>22721</v>
      </c>
      <c r="P3360" s="405" t="s">
        <v>22722</v>
      </c>
      <c r="Q3360" s="411">
        <v>6</v>
      </c>
      <c r="R3360" s="405" t="s">
        <v>6943</v>
      </c>
      <c r="S3360" s="405" t="s">
        <v>27096</v>
      </c>
      <c r="T3360" s="406" t="s">
        <v>884</v>
      </c>
      <c r="U3360" s="406" t="s">
        <v>319</v>
      </c>
    </row>
    <row r="3361" spans="1:21" x14ac:dyDescent="0.25">
      <c r="A3361" s="405" t="s">
        <v>310</v>
      </c>
      <c r="B3361" s="405" t="s">
        <v>6202</v>
      </c>
      <c r="C3361" s="405" t="s">
        <v>327</v>
      </c>
      <c r="D3361" s="405"/>
      <c r="E3361" s="410">
        <v>42641</v>
      </c>
      <c r="F3361" s="410">
        <v>42686</v>
      </c>
      <c r="G3361" s="405" t="s">
        <v>6203</v>
      </c>
      <c r="H3361" s="405">
        <v>777202650</v>
      </c>
      <c r="I3361" s="405"/>
      <c r="J3361" s="405">
        <v>0.53963000000000005</v>
      </c>
      <c r="K3361" s="405">
        <v>32.622976000000001</v>
      </c>
      <c r="L3361" s="405" t="s">
        <v>314</v>
      </c>
      <c r="M3361" s="405" t="s">
        <v>329</v>
      </c>
      <c r="N3361" s="405" t="s">
        <v>5950</v>
      </c>
      <c r="O3361" s="405" t="s">
        <v>336</v>
      </c>
      <c r="P3361" s="405" t="s">
        <v>796</v>
      </c>
      <c r="Q3361" s="411">
        <v>9</v>
      </c>
      <c r="R3361" s="405" t="s">
        <v>5336</v>
      </c>
      <c r="S3361" s="405" t="s">
        <v>27181</v>
      </c>
      <c r="T3361" s="406" t="s">
        <v>884</v>
      </c>
      <c r="U3361" s="406" t="s">
        <v>319</v>
      </c>
    </row>
    <row r="3362" spans="1:21" x14ac:dyDescent="0.25">
      <c r="A3362" s="405" t="s">
        <v>310</v>
      </c>
      <c r="B3362" s="405" t="s">
        <v>15491</v>
      </c>
      <c r="C3362" s="405" t="s">
        <v>327</v>
      </c>
      <c r="D3362" s="405"/>
      <c r="E3362" s="410">
        <v>42641</v>
      </c>
      <c r="F3362" s="410">
        <v>42686</v>
      </c>
      <c r="G3362" s="405" t="s">
        <v>15492</v>
      </c>
      <c r="H3362" s="405">
        <v>782209860</v>
      </c>
      <c r="I3362" s="405">
        <v>757977333</v>
      </c>
      <c r="J3362" s="405">
        <v>1.66</v>
      </c>
      <c r="K3362" s="405">
        <v>32.1126</v>
      </c>
      <c r="L3362" s="405" t="s">
        <v>6866</v>
      </c>
      <c r="M3362" s="405" t="s">
        <v>9514</v>
      </c>
      <c r="N3362" s="405" t="s">
        <v>9722</v>
      </c>
      <c r="O3362" s="405" t="s">
        <v>9530</v>
      </c>
      <c r="P3362" s="405" t="s">
        <v>13626</v>
      </c>
      <c r="Q3362" s="411">
        <v>6</v>
      </c>
      <c r="R3362" s="405" t="s">
        <v>5655</v>
      </c>
      <c r="S3362" s="405" t="s">
        <v>27169</v>
      </c>
      <c r="T3362" s="406" t="s">
        <v>32102</v>
      </c>
      <c r="U3362" s="406" t="s">
        <v>319</v>
      </c>
    </row>
    <row r="3363" spans="1:21" x14ac:dyDescent="0.25">
      <c r="A3363" s="405" t="s">
        <v>310</v>
      </c>
      <c r="B3363" s="405" t="s">
        <v>6190</v>
      </c>
      <c r="C3363" s="405" t="s">
        <v>327</v>
      </c>
      <c r="D3363" s="405"/>
      <c r="E3363" s="410">
        <v>42640</v>
      </c>
      <c r="F3363" s="410">
        <v>42685</v>
      </c>
      <c r="G3363" s="405" t="s">
        <v>6191</v>
      </c>
      <c r="H3363" s="405">
        <v>752110750</v>
      </c>
      <c r="I3363" s="405"/>
      <c r="J3363" s="405">
        <v>0.16364200000000001</v>
      </c>
      <c r="K3363" s="405">
        <v>32.163381999999999</v>
      </c>
      <c r="L3363" s="405" t="s">
        <v>314</v>
      </c>
      <c r="M3363" s="405" t="s">
        <v>315</v>
      </c>
      <c r="N3363" s="405" t="s">
        <v>315</v>
      </c>
      <c r="O3363" s="405" t="s">
        <v>2063</v>
      </c>
      <c r="P3363" s="405" t="s">
        <v>5301</v>
      </c>
      <c r="Q3363" s="411">
        <v>6</v>
      </c>
      <c r="R3363" s="405" t="s">
        <v>32101</v>
      </c>
      <c r="S3363" s="405" t="s">
        <v>27167</v>
      </c>
      <c r="T3363" s="406" t="s">
        <v>32102</v>
      </c>
      <c r="U3363" s="406" t="s">
        <v>319</v>
      </c>
    </row>
    <row r="3364" spans="1:21" x14ac:dyDescent="0.25">
      <c r="A3364" s="405" t="s">
        <v>310</v>
      </c>
      <c r="B3364" s="405" t="s">
        <v>15496</v>
      </c>
      <c r="C3364" s="405" t="s">
        <v>327</v>
      </c>
      <c r="D3364" s="405"/>
      <c r="E3364" s="410">
        <v>42640</v>
      </c>
      <c r="F3364" s="410">
        <v>42685</v>
      </c>
      <c r="G3364" s="405" t="s">
        <v>15497</v>
      </c>
      <c r="H3364" s="405">
        <v>775203049</v>
      </c>
      <c r="I3364" s="405"/>
      <c r="J3364" s="405">
        <v>0.544879</v>
      </c>
      <c r="K3364" s="405">
        <v>30.137459</v>
      </c>
      <c r="L3364" s="405" t="s">
        <v>6866</v>
      </c>
      <c r="M3364" s="405" t="s">
        <v>9514</v>
      </c>
      <c r="N3364" s="405" t="s">
        <v>9529</v>
      </c>
      <c r="O3364" s="405" t="s">
        <v>9530</v>
      </c>
      <c r="P3364" s="405" t="s">
        <v>13626</v>
      </c>
      <c r="Q3364" s="411">
        <v>6</v>
      </c>
      <c r="R3364" s="405" t="s">
        <v>5655</v>
      </c>
      <c r="S3364" s="405" t="s">
        <v>27359</v>
      </c>
      <c r="T3364" s="406" t="s">
        <v>32102</v>
      </c>
      <c r="U3364" s="406" t="s">
        <v>319</v>
      </c>
    </row>
    <row r="3365" spans="1:21" x14ac:dyDescent="0.25">
      <c r="A3365" s="405" t="s">
        <v>310</v>
      </c>
      <c r="B3365" s="405" t="s">
        <v>15489</v>
      </c>
      <c r="C3365" s="405" t="s">
        <v>327</v>
      </c>
      <c r="D3365" s="405"/>
      <c r="E3365" s="410">
        <v>42639</v>
      </c>
      <c r="F3365" s="410">
        <v>42684</v>
      </c>
      <c r="G3365" s="405" t="s">
        <v>15490</v>
      </c>
      <c r="H3365" s="405">
        <v>703012812</v>
      </c>
      <c r="I3365" s="405">
        <v>772593955</v>
      </c>
      <c r="J3365" s="405">
        <v>0.32219999999999999</v>
      </c>
      <c r="K3365" s="405">
        <v>34.411999999999999</v>
      </c>
      <c r="L3365" s="405" t="s">
        <v>6866</v>
      </c>
      <c r="M3365" s="405" t="s">
        <v>10515</v>
      </c>
      <c r="N3365" s="405" t="s">
        <v>10525</v>
      </c>
      <c r="O3365" s="405" t="s">
        <v>10526</v>
      </c>
      <c r="P3365" s="405" t="s">
        <v>14329</v>
      </c>
      <c r="Q3365" s="411">
        <v>6</v>
      </c>
      <c r="R3365" s="405" t="s">
        <v>5655</v>
      </c>
      <c r="S3365" s="405" t="s">
        <v>27243</v>
      </c>
      <c r="T3365" s="406" t="s">
        <v>865</v>
      </c>
      <c r="U3365" s="406" t="s">
        <v>866</v>
      </c>
    </row>
    <row r="3366" spans="1:21" x14ac:dyDescent="0.25">
      <c r="A3366" s="405" t="s">
        <v>310</v>
      </c>
      <c r="B3366" s="405" t="s">
        <v>15500</v>
      </c>
      <c r="C3366" s="405" t="s">
        <v>327</v>
      </c>
      <c r="D3366" s="405"/>
      <c r="E3366" s="410">
        <v>42639</v>
      </c>
      <c r="F3366" s="410">
        <v>42684</v>
      </c>
      <c r="G3366" s="405" t="s">
        <v>15501</v>
      </c>
      <c r="H3366" s="405">
        <v>758961958</v>
      </c>
      <c r="I3366" s="405"/>
      <c r="J3366" s="405">
        <v>1.819</v>
      </c>
      <c r="K3366" s="405">
        <v>34.1158</v>
      </c>
      <c r="L3366" s="405" t="s">
        <v>6866</v>
      </c>
      <c r="M3366" s="405" t="s">
        <v>9514</v>
      </c>
      <c r="N3366" s="405" t="s">
        <v>9529</v>
      </c>
      <c r="O3366" s="405" t="s">
        <v>9530</v>
      </c>
      <c r="P3366" s="405" t="s">
        <v>15502</v>
      </c>
      <c r="Q3366" s="411">
        <v>6</v>
      </c>
      <c r="R3366" s="405" t="s">
        <v>5655</v>
      </c>
      <c r="S3366" s="405" t="s">
        <v>27351</v>
      </c>
      <c r="T3366" s="406" t="s">
        <v>32102</v>
      </c>
      <c r="U3366" s="406" t="s">
        <v>319</v>
      </c>
    </row>
    <row r="3367" spans="1:21" x14ac:dyDescent="0.25">
      <c r="A3367" s="405" t="s">
        <v>310</v>
      </c>
      <c r="B3367" s="405" t="s">
        <v>15454</v>
      </c>
      <c r="C3367" s="405" t="s">
        <v>327</v>
      </c>
      <c r="D3367" s="405"/>
      <c r="E3367" s="410">
        <v>42638</v>
      </c>
      <c r="F3367" s="410">
        <v>42683</v>
      </c>
      <c r="G3367" s="405" t="s">
        <v>15455</v>
      </c>
      <c r="H3367" s="405">
        <v>757286182</v>
      </c>
      <c r="I3367" s="405"/>
      <c r="J3367" s="405">
        <v>1.7310000000000001</v>
      </c>
      <c r="K3367" s="405">
        <v>34.1128</v>
      </c>
      <c r="L3367" s="405" t="s">
        <v>6866</v>
      </c>
      <c r="M3367" s="405" t="s">
        <v>9514</v>
      </c>
      <c r="N3367" s="405" t="s">
        <v>9722</v>
      </c>
      <c r="O3367" s="405" t="s">
        <v>9530</v>
      </c>
      <c r="P3367" s="405" t="s">
        <v>9683</v>
      </c>
      <c r="Q3367" s="411">
        <v>9</v>
      </c>
      <c r="R3367" s="405" t="s">
        <v>5655</v>
      </c>
      <c r="S3367" s="405" t="s">
        <v>27346</v>
      </c>
      <c r="T3367" s="406" t="s">
        <v>884</v>
      </c>
      <c r="U3367" s="406" t="s">
        <v>319</v>
      </c>
    </row>
    <row r="3368" spans="1:21" x14ac:dyDescent="0.25">
      <c r="A3368" s="405" t="s">
        <v>310</v>
      </c>
      <c r="B3368" s="405" t="s">
        <v>28327</v>
      </c>
      <c r="C3368" s="405" t="s">
        <v>857</v>
      </c>
      <c r="D3368" s="405" t="s">
        <v>4394</v>
      </c>
      <c r="E3368" s="410">
        <v>42638</v>
      </c>
      <c r="F3368" s="410">
        <v>42800</v>
      </c>
      <c r="G3368" s="405" t="s">
        <v>6842</v>
      </c>
      <c r="H3368" s="405">
        <v>777693901</v>
      </c>
      <c r="I3368" s="405"/>
      <c r="J3368" s="405">
        <v>0.96409500000000004</v>
      </c>
      <c r="K3368" s="405">
        <v>31.569067</v>
      </c>
      <c r="L3368" s="405" t="s">
        <v>314</v>
      </c>
      <c r="M3368" s="405" t="s">
        <v>1360</v>
      </c>
      <c r="N3368" s="405" t="s">
        <v>1361</v>
      </c>
      <c r="O3368" s="405" t="s">
        <v>1361</v>
      </c>
      <c r="P3368" s="405" t="s">
        <v>4897</v>
      </c>
      <c r="Q3368" s="411">
        <v>6</v>
      </c>
      <c r="R3368" s="405" t="s">
        <v>414</v>
      </c>
      <c r="S3368" s="405" t="s">
        <v>414</v>
      </c>
      <c r="T3368" s="406" t="s">
        <v>32102</v>
      </c>
      <c r="U3368" s="406" t="s">
        <v>319</v>
      </c>
    </row>
    <row r="3369" spans="1:21" x14ac:dyDescent="0.25">
      <c r="A3369" s="405" t="s">
        <v>310</v>
      </c>
      <c r="B3369" s="405" t="s">
        <v>29045</v>
      </c>
      <c r="C3369" s="405" t="s">
        <v>327</v>
      </c>
      <c r="D3369" s="405"/>
      <c r="E3369" s="410">
        <v>42638</v>
      </c>
      <c r="F3369" s="410">
        <v>42683</v>
      </c>
      <c r="G3369" s="405" t="s">
        <v>15471</v>
      </c>
      <c r="H3369" s="405">
        <v>752369460</v>
      </c>
      <c r="I3369" s="405"/>
      <c r="J3369" s="405">
        <v>0.18848699999999999</v>
      </c>
      <c r="K3369" s="405">
        <v>30.461458</v>
      </c>
      <c r="L3369" s="405" t="s">
        <v>6866</v>
      </c>
      <c r="M3369" s="405" t="s">
        <v>9763</v>
      </c>
      <c r="N3369" s="405" t="s">
        <v>11470</v>
      </c>
      <c r="O3369" s="405" t="s">
        <v>11475</v>
      </c>
      <c r="P3369" s="405" t="s">
        <v>15472</v>
      </c>
      <c r="Q3369" s="411">
        <v>6</v>
      </c>
      <c r="R3369" s="405" t="s">
        <v>7224</v>
      </c>
      <c r="S3369" s="405" t="s">
        <v>27348</v>
      </c>
      <c r="T3369" s="406" t="s">
        <v>865</v>
      </c>
      <c r="U3369" s="406" t="s">
        <v>866</v>
      </c>
    </row>
    <row r="3370" spans="1:21" x14ac:dyDescent="0.25">
      <c r="A3370" s="405" t="s">
        <v>310</v>
      </c>
      <c r="B3370" s="405" t="s">
        <v>15505</v>
      </c>
      <c r="C3370" s="405" t="s">
        <v>327</v>
      </c>
      <c r="D3370" s="405"/>
      <c r="E3370" s="410">
        <v>42638</v>
      </c>
      <c r="F3370" s="410">
        <v>42683</v>
      </c>
      <c r="G3370" s="405" t="s">
        <v>15506</v>
      </c>
      <c r="H3370" s="405">
        <v>777438125</v>
      </c>
      <c r="I3370" s="405">
        <v>782037222</v>
      </c>
      <c r="J3370" s="405">
        <v>1.1036999999999999</v>
      </c>
      <c r="K3370" s="405">
        <v>34.132100000000001</v>
      </c>
      <c r="L3370" s="405" t="s">
        <v>6866</v>
      </c>
      <c r="M3370" s="405" t="s">
        <v>9514</v>
      </c>
      <c r="N3370" s="405" t="s">
        <v>9722</v>
      </c>
      <c r="O3370" s="405" t="s">
        <v>9530</v>
      </c>
      <c r="P3370" s="405" t="s">
        <v>15507</v>
      </c>
      <c r="Q3370" s="411">
        <v>6</v>
      </c>
      <c r="R3370" s="405" t="s">
        <v>5655</v>
      </c>
      <c r="S3370" s="405" t="s">
        <v>27193</v>
      </c>
      <c r="T3370" s="405" t="s">
        <v>32102</v>
      </c>
      <c r="U3370" s="405" t="s">
        <v>319</v>
      </c>
    </row>
    <row r="3371" spans="1:21" x14ac:dyDescent="0.25">
      <c r="A3371" s="405" t="s">
        <v>310</v>
      </c>
      <c r="B3371" s="405" t="s">
        <v>15477</v>
      </c>
      <c r="C3371" s="405" t="s">
        <v>327</v>
      </c>
      <c r="D3371" s="405"/>
      <c r="E3371" s="410">
        <v>42638</v>
      </c>
      <c r="F3371" s="410">
        <v>42683</v>
      </c>
      <c r="G3371" s="405" t="s">
        <v>15478</v>
      </c>
      <c r="H3371" s="405">
        <v>782713651</v>
      </c>
      <c r="I3371" s="405"/>
      <c r="J3371" s="405">
        <v>1.629</v>
      </c>
      <c r="K3371" s="405">
        <v>34.112400000000001</v>
      </c>
      <c r="L3371" s="405" t="s">
        <v>6866</v>
      </c>
      <c r="M3371" s="405" t="s">
        <v>9514</v>
      </c>
      <c r="N3371" s="405" t="s">
        <v>9722</v>
      </c>
      <c r="O3371" s="405" t="s">
        <v>9530</v>
      </c>
      <c r="P3371" s="405" t="s">
        <v>13626</v>
      </c>
      <c r="Q3371" s="411">
        <v>6</v>
      </c>
      <c r="R3371" s="405" t="s">
        <v>5655</v>
      </c>
      <c r="S3371" s="405" t="s">
        <v>27072</v>
      </c>
      <c r="T3371" s="405" t="s">
        <v>32102</v>
      </c>
      <c r="U3371" s="405" t="s">
        <v>319</v>
      </c>
    </row>
    <row r="3372" spans="1:21" x14ac:dyDescent="0.25">
      <c r="A3372" s="405" t="s">
        <v>310</v>
      </c>
      <c r="B3372" s="405" t="s">
        <v>15493</v>
      </c>
      <c r="C3372" s="405" t="s">
        <v>327</v>
      </c>
      <c r="D3372" s="405"/>
      <c r="E3372" s="410">
        <v>42637</v>
      </c>
      <c r="F3372" s="410">
        <v>42682</v>
      </c>
      <c r="G3372" s="405" t="s">
        <v>15494</v>
      </c>
      <c r="H3372" s="405">
        <v>772526300</v>
      </c>
      <c r="I3372" s="405"/>
      <c r="J3372" s="405">
        <v>1.915745</v>
      </c>
      <c r="K3372" s="405">
        <v>33.977902</v>
      </c>
      <c r="L3372" s="405" t="s">
        <v>6866</v>
      </c>
      <c r="M3372" s="405" t="s">
        <v>9514</v>
      </c>
      <c r="N3372" s="405" t="s">
        <v>9529</v>
      </c>
      <c r="O3372" s="405" t="s">
        <v>9530</v>
      </c>
      <c r="P3372" s="405" t="s">
        <v>15495</v>
      </c>
      <c r="Q3372" s="411">
        <v>6</v>
      </c>
      <c r="R3372" s="405" t="s">
        <v>5655</v>
      </c>
      <c r="S3372" s="405" t="s">
        <v>27086</v>
      </c>
      <c r="T3372" s="405" t="s">
        <v>32102</v>
      </c>
      <c r="U3372" s="405" t="s">
        <v>319</v>
      </c>
    </row>
    <row r="3373" spans="1:21" x14ac:dyDescent="0.25">
      <c r="A3373" s="405" t="s">
        <v>310</v>
      </c>
      <c r="B3373" s="405" t="s">
        <v>29029</v>
      </c>
      <c r="C3373" s="405" t="s">
        <v>327</v>
      </c>
      <c r="D3373" s="405"/>
      <c r="E3373" s="410">
        <v>42636</v>
      </c>
      <c r="F3373" s="410">
        <v>42681</v>
      </c>
      <c r="G3373" s="405" t="s">
        <v>15461</v>
      </c>
      <c r="H3373" s="405">
        <v>772997799</v>
      </c>
      <c r="I3373" s="405"/>
      <c r="J3373" s="405">
        <v>1.2098409999999999</v>
      </c>
      <c r="K3373" s="405">
        <v>34.121997</v>
      </c>
      <c r="L3373" s="405" t="s">
        <v>6866</v>
      </c>
      <c r="M3373" s="405" t="s">
        <v>9514</v>
      </c>
      <c r="N3373" s="405" t="s">
        <v>9529</v>
      </c>
      <c r="O3373" s="405" t="s">
        <v>14735</v>
      </c>
      <c r="P3373" s="405" t="s">
        <v>12229</v>
      </c>
      <c r="Q3373" s="411">
        <v>6</v>
      </c>
      <c r="R3373" s="405" t="s">
        <v>7224</v>
      </c>
      <c r="S3373" s="405" t="s">
        <v>27259</v>
      </c>
      <c r="T3373" s="405" t="s">
        <v>32746</v>
      </c>
      <c r="U3373" s="405" t="s">
        <v>2267</v>
      </c>
    </row>
    <row r="3374" spans="1:21" x14ac:dyDescent="0.25">
      <c r="A3374" s="405" t="s">
        <v>310</v>
      </c>
      <c r="B3374" s="405" t="s">
        <v>22770</v>
      </c>
      <c r="C3374" s="405" t="s">
        <v>327</v>
      </c>
      <c r="D3374" s="405"/>
      <c r="E3374" s="410">
        <v>42636</v>
      </c>
      <c r="F3374" s="410">
        <v>42681</v>
      </c>
      <c r="G3374" s="405" t="s">
        <v>22771</v>
      </c>
      <c r="H3374" s="405">
        <v>773674194</v>
      </c>
      <c r="I3374" s="405"/>
      <c r="J3374" s="405">
        <v>5.8280000000000003</v>
      </c>
      <c r="K3374" s="405">
        <v>31.363</v>
      </c>
      <c r="L3374" s="405" t="s">
        <v>314</v>
      </c>
      <c r="M3374" s="405" t="s">
        <v>1360</v>
      </c>
      <c r="N3374" s="405" t="s">
        <v>1361</v>
      </c>
      <c r="O3374" s="405" t="s">
        <v>3965</v>
      </c>
      <c r="P3374" s="405" t="s">
        <v>22772</v>
      </c>
      <c r="Q3374" s="411">
        <v>6</v>
      </c>
      <c r="R3374" s="405" t="s">
        <v>414</v>
      </c>
      <c r="S3374" s="405" t="s">
        <v>414</v>
      </c>
      <c r="T3374" s="405" t="s">
        <v>32746</v>
      </c>
      <c r="U3374" s="405" t="s">
        <v>2267</v>
      </c>
    </row>
    <row r="3375" spans="1:21" x14ac:dyDescent="0.25">
      <c r="A3375" s="405" t="s">
        <v>310</v>
      </c>
      <c r="B3375" s="405" t="s">
        <v>15479</v>
      </c>
      <c r="C3375" s="405" t="s">
        <v>327</v>
      </c>
      <c r="D3375" s="405"/>
      <c r="E3375" s="410">
        <v>42635</v>
      </c>
      <c r="F3375" s="410">
        <v>42680</v>
      </c>
      <c r="G3375" s="405" t="s">
        <v>15480</v>
      </c>
      <c r="H3375" s="405">
        <v>777722413</v>
      </c>
      <c r="I3375" s="405">
        <v>778327949</v>
      </c>
      <c r="J3375" s="405">
        <v>1.506</v>
      </c>
      <c r="K3375" s="405">
        <v>33.4039</v>
      </c>
      <c r="L3375" s="405" t="s">
        <v>6866</v>
      </c>
      <c r="M3375" s="405" t="s">
        <v>13470</v>
      </c>
      <c r="N3375" s="405" t="s">
        <v>13471</v>
      </c>
      <c r="O3375" s="405" t="s">
        <v>14315</v>
      </c>
      <c r="P3375" s="405" t="s">
        <v>15481</v>
      </c>
      <c r="Q3375" s="411">
        <v>6</v>
      </c>
      <c r="R3375" s="405" t="s">
        <v>5655</v>
      </c>
      <c r="S3375" s="405" t="s">
        <v>27357</v>
      </c>
      <c r="T3375" s="405" t="s">
        <v>32746</v>
      </c>
      <c r="U3375" s="405" t="s">
        <v>2267</v>
      </c>
    </row>
    <row r="3376" spans="1:21" x14ac:dyDescent="0.25">
      <c r="A3376" s="405" t="s">
        <v>310</v>
      </c>
      <c r="B3376" s="405" t="s">
        <v>15513</v>
      </c>
      <c r="C3376" s="405" t="s">
        <v>327</v>
      </c>
      <c r="D3376" s="405"/>
      <c r="E3376" s="410">
        <v>42634</v>
      </c>
      <c r="F3376" s="410">
        <v>42679</v>
      </c>
      <c r="G3376" s="405" t="s">
        <v>15514</v>
      </c>
      <c r="H3376" s="405">
        <v>789047787</v>
      </c>
      <c r="I3376" s="405"/>
      <c r="J3376" s="405">
        <v>0.26569999999999999</v>
      </c>
      <c r="K3376" s="405">
        <v>33.404000000000003</v>
      </c>
      <c r="L3376" s="405" t="s">
        <v>6866</v>
      </c>
      <c r="M3376" s="405" t="s">
        <v>13470</v>
      </c>
      <c r="N3376" s="405" t="s">
        <v>13471</v>
      </c>
      <c r="O3376" s="405" t="s">
        <v>14315</v>
      </c>
      <c r="P3376" s="405" t="s">
        <v>15515</v>
      </c>
      <c r="Q3376" s="411">
        <v>6</v>
      </c>
      <c r="R3376" s="405" t="s">
        <v>5655</v>
      </c>
      <c r="S3376" s="405" t="s">
        <v>27351</v>
      </c>
      <c r="T3376" s="405" t="s">
        <v>32746</v>
      </c>
      <c r="U3376" s="405" t="s">
        <v>2267</v>
      </c>
    </row>
    <row r="3377" spans="1:21" x14ac:dyDescent="0.25">
      <c r="A3377" s="405" t="s">
        <v>310</v>
      </c>
      <c r="B3377" s="405" t="s">
        <v>6183</v>
      </c>
      <c r="C3377" s="405" t="s">
        <v>327</v>
      </c>
      <c r="D3377" s="405"/>
      <c r="E3377" s="410">
        <v>42634</v>
      </c>
      <c r="F3377" s="410">
        <v>42679</v>
      </c>
      <c r="G3377" s="405" t="s">
        <v>6184</v>
      </c>
      <c r="H3377" s="405">
        <v>772068499</v>
      </c>
      <c r="I3377" s="405">
        <v>758789663</v>
      </c>
      <c r="J3377" s="405">
        <v>0.64600000000000002</v>
      </c>
      <c r="K3377" s="405">
        <v>31.451000000000001</v>
      </c>
      <c r="L3377" s="405" t="s">
        <v>314</v>
      </c>
      <c r="M3377" s="405" t="s">
        <v>343</v>
      </c>
      <c r="N3377" s="405" t="s">
        <v>6185</v>
      </c>
      <c r="O3377" s="405" t="s">
        <v>6185</v>
      </c>
      <c r="P3377" s="405" t="s">
        <v>6186</v>
      </c>
      <c r="Q3377" s="411">
        <v>6</v>
      </c>
      <c r="R3377" s="405" t="s">
        <v>32101</v>
      </c>
      <c r="S3377" s="405" t="s">
        <v>27186</v>
      </c>
      <c r="T3377" s="405" t="s">
        <v>32746</v>
      </c>
      <c r="U3377" s="405" t="s">
        <v>2267</v>
      </c>
    </row>
    <row r="3378" spans="1:21" x14ac:dyDescent="0.25">
      <c r="A3378" s="405" t="s">
        <v>310</v>
      </c>
      <c r="B3378" s="405" t="s">
        <v>15508</v>
      </c>
      <c r="C3378" s="405" t="s">
        <v>327</v>
      </c>
      <c r="D3378" s="405"/>
      <c r="E3378" s="410">
        <v>42634</v>
      </c>
      <c r="F3378" s="410">
        <v>42679</v>
      </c>
      <c r="G3378" s="405" t="s">
        <v>15509</v>
      </c>
      <c r="H3378" s="405">
        <v>775022722</v>
      </c>
      <c r="I3378" s="405"/>
      <c r="J3378" s="405">
        <v>0.26569999999999999</v>
      </c>
      <c r="K3378" s="405">
        <v>33.404000000000003</v>
      </c>
      <c r="L3378" s="405" t="s">
        <v>6866</v>
      </c>
      <c r="M3378" s="405" t="s">
        <v>13470</v>
      </c>
      <c r="N3378" s="405" t="s">
        <v>15147</v>
      </c>
      <c r="O3378" s="405" t="s">
        <v>14315</v>
      </c>
      <c r="P3378" s="405" t="s">
        <v>15510</v>
      </c>
      <c r="Q3378" s="411">
        <v>6</v>
      </c>
      <c r="R3378" s="405" t="s">
        <v>5655</v>
      </c>
      <c r="S3378" s="405" t="s">
        <v>27056</v>
      </c>
      <c r="T3378" s="405" t="s">
        <v>32746</v>
      </c>
      <c r="U3378" s="405" t="s">
        <v>2267</v>
      </c>
    </row>
    <row r="3379" spans="1:21" x14ac:dyDescent="0.25">
      <c r="A3379" s="405" t="s">
        <v>310</v>
      </c>
      <c r="B3379" s="405" t="s">
        <v>22778</v>
      </c>
      <c r="C3379" s="405" t="s">
        <v>327</v>
      </c>
      <c r="D3379" s="405"/>
      <c r="E3379" s="410">
        <v>42633</v>
      </c>
      <c r="F3379" s="410">
        <v>42678</v>
      </c>
      <c r="G3379" s="405" t="s">
        <v>22779</v>
      </c>
      <c r="H3379" s="405">
        <v>789002081</v>
      </c>
      <c r="I3379" s="405"/>
      <c r="J3379" s="405">
        <v>1.3993949999999999</v>
      </c>
      <c r="K3379" s="405">
        <v>34.527487999999998</v>
      </c>
      <c r="L3379" s="405" t="s">
        <v>590</v>
      </c>
      <c r="M3379" s="405" t="s">
        <v>879</v>
      </c>
      <c r="N3379" s="405" t="s">
        <v>21069</v>
      </c>
      <c r="O3379" s="405" t="s">
        <v>20226</v>
      </c>
      <c r="P3379" s="405" t="s">
        <v>22780</v>
      </c>
      <c r="Q3379" s="411">
        <v>6</v>
      </c>
      <c r="R3379" s="405" t="s">
        <v>883</v>
      </c>
      <c r="S3379" s="405" t="s">
        <v>27413</v>
      </c>
      <c r="T3379" s="405" t="s">
        <v>32746</v>
      </c>
      <c r="U3379" s="405" t="s">
        <v>2267</v>
      </c>
    </row>
    <row r="3380" spans="1:21" x14ac:dyDescent="0.25">
      <c r="A3380" s="405" t="s">
        <v>310</v>
      </c>
      <c r="B3380" s="405" t="s">
        <v>15947</v>
      </c>
      <c r="C3380" s="405" t="s">
        <v>327</v>
      </c>
      <c r="D3380" s="405"/>
      <c r="E3380" s="410">
        <v>42633</v>
      </c>
      <c r="F3380" s="410">
        <v>42678</v>
      </c>
      <c r="G3380" s="405" t="s">
        <v>15948</v>
      </c>
      <c r="H3380" s="405">
        <v>777083478</v>
      </c>
      <c r="I3380" s="405"/>
      <c r="J3380" s="405">
        <v>0.2656</v>
      </c>
      <c r="K3380" s="405">
        <v>33.4039</v>
      </c>
      <c r="L3380" s="405" t="s">
        <v>6866</v>
      </c>
      <c r="M3380" s="405" t="s">
        <v>13470</v>
      </c>
      <c r="N3380" s="405" t="s">
        <v>15155</v>
      </c>
      <c r="O3380" s="405" t="s">
        <v>14315</v>
      </c>
      <c r="P3380" s="405" t="s">
        <v>15510</v>
      </c>
      <c r="Q3380" s="411">
        <v>6</v>
      </c>
      <c r="R3380" s="405" t="s">
        <v>5655</v>
      </c>
      <c r="S3380" s="405" t="s">
        <v>27072</v>
      </c>
      <c r="T3380" s="405" t="s">
        <v>32746</v>
      </c>
      <c r="U3380" s="405" t="s">
        <v>2267</v>
      </c>
    </row>
    <row r="3381" spans="1:21" x14ac:dyDescent="0.25">
      <c r="A3381" s="405" t="s">
        <v>310</v>
      </c>
      <c r="B3381" s="405" t="s">
        <v>6176</v>
      </c>
      <c r="C3381" s="405" t="s">
        <v>327</v>
      </c>
      <c r="D3381" s="405"/>
      <c r="E3381" s="410">
        <v>42632</v>
      </c>
      <c r="F3381" s="410">
        <v>42677</v>
      </c>
      <c r="G3381" s="405" t="s">
        <v>6177</v>
      </c>
      <c r="H3381" s="405">
        <v>783964873</v>
      </c>
      <c r="I3381" s="405">
        <v>704008962</v>
      </c>
      <c r="J3381" s="405">
        <v>0.37877899999999998</v>
      </c>
      <c r="K3381" s="405">
        <v>32.487743999999999</v>
      </c>
      <c r="L3381" s="405" t="s">
        <v>314</v>
      </c>
      <c r="M3381" s="405" t="s">
        <v>361</v>
      </c>
      <c r="N3381" s="405" t="s">
        <v>6178</v>
      </c>
      <c r="O3381" s="405" t="s">
        <v>1345</v>
      </c>
      <c r="P3381" s="405" t="s">
        <v>6179</v>
      </c>
      <c r="Q3381" s="411">
        <v>9</v>
      </c>
      <c r="R3381" s="405" t="s">
        <v>4176</v>
      </c>
      <c r="S3381" s="405" t="s">
        <v>27059</v>
      </c>
      <c r="T3381" s="405" t="s">
        <v>32746</v>
      </c>
      <c r="U3381" s="405" t="s">
        <v>2267</v>
      </c>
    </row>
    <row r="3382" spans="1:21" x14ac:dyDescent="0.25">
      <c r="A3382" s="405" t="s">
        <v>310</v>
      </c>
      <c r="B3382" s="405" t="s">
        <v>28467</v>
      </c>
      <c r="C3382" s="405" t="s">
        <v>327</v>
      </c>
      <c r="D3382" s="405"/>
      <c r="E3382" s="410">
        <v>42632</v>
      </c>
      <c r="F3382" s="410">
        <v>42677</v>
      </c>
      <c r="G3382" s="405" t="s">
        <v>22744</v>
      </c>
      <c r="H3382" s="405">
        <v>772931675</v>
      </c>
      <c r="I3382" s="405"/>
      <c r="J3382" s="405">
        <v>0.45800000000000002</v>
      </c>
      <c r="K3382" s="405">
        <v>30.234000000000002</v>
      </c>
      <c r="L3382" s="405" t="s">
        <v>590</v>
      </c>
      <c r="M3382" s="405" t="s">
        <v>19720</v>
      </c>
      <c r="N3382" s="405" t="s">
        <v>20297</v>
      </c>
      <c r="O3382" s="405" t="s">
        <v>22654</v>
      </c>
      <c r="P3382" s="405" t="s">
        <v>22655</v>
      </c>
      <c r="Q3382" s="411">
        <v>6</v>
      </c>
      <c r="R3382" s="405" t="s">
        <v>6013</v>
      </c>
      <c r="S3382" s="405" t="s">
        <v>27275</v>
      </c>
      <c r="T3382" s="405" t="s">
        <v>32746</v>
      </c>
      <c r="U3382" s="405" t="s">
        <v>2267</v>
      </c>
    </row>
    <row r="3383" spans="1:21" x14ac:dyDescent="0.25">
      <c r="A3383" s="405" t="s">
        <v>310</v>
      </c>
      <c r="B3383" s="405" t="s">
        <v>22761</v>
      </c>
      <c r="C3383" s="405" t="s">
        <v>327</v>
      </c>
      <c r="D3383" s="405"/>
      <c r="E3383" s="410">
        <v>42632</v>
      </c>
      <c r="F3383" s="410">
        <v>42677</v>
      </c>
      <c r="G3383" s="405" t="s">
        <v>22762</v>
      </c>
      <c r="H3383" s="405">
        <v>772562562</v>
      </c>
      <c r="I3383" s="405">
        <v>788833130</v>
      </c>
      <c r="J3383" s="405">
        <v>2.500785</v>
      </c>
      <c r="K3383" s="405">
        <v>32.375982999999998</v>
      </c>
      <c r="L3383" s="405" t="s">
        <v>590</v>
      </c>
      <c r="M3383" s="405" t="s">
        <v>19720</v>
      </c>
      <c r="N3383" s="405" t="s">
        <v>20297</v>
      </c>
      <c r="O3383" s="405" t="s">
        <v>22654</v>
      </c>
      <c r="P3383" s="405" t="s">
        <v>22763</v>
      </c>
      <c r="Q3383" s="411">
        <v>6</v>
      </c>
      <c r="R3383" s="405" t="s">
        <v>6013</v>
      </c>
      <c r="S3383" s="405" t="s">
        <v>27205</v>
      </c>
      <c r="T3383" s="405" t="s">
        <v>32746</v>
      </c>
      <c r="U3383" s="405" t="s">
        <v>2267</v>
      </c>
    </row>
    <row r="3384" spans="1:21" x14ac:dyDescent="0.25">
      <c r="A3384" s="405" t="s">
        <v>310</v>
      </c>
      <c r="B3384" s="405" t="s">
        <v>22738</v>
      </c>
      <c r="C3384" s="405" t="s">
        <v>327</v>
      </c>
      <c r="D3384" s="405"/>
      <c r="E3384" s="410">
        <v>42632</v>
      </c>
      <c r="F3384" s="410">
        <v>42677</v>
      </c>
      <c r="G3384" s="405" t="s">
        <v>22739</v>
      </c>
      <c r="H3384" s="405">
        <v>786839009</v>
      </c>
      <c r="I3384" s="405">
        <v>786539227</v>
      </c>
      <c r="J3384" s="405">
        <v>0.34799999999999998</v>
      </c>
      <c r="K3384" s="405">
        <v>30.241</v>
      </c>
      <c r="L3384" s="405" t="s">
        <v>590</v>
      </c>
      <c r="M3384" s="405" t="s">
        <v>19720</v>
      </c>
      <c r="N3384" s="405" t="s">
        <v>20297</v>
      </c>
      <c r="O3384" s="405" t="s">
        <v>22654</v>
      </c>
      <c r="P3384" s="405" t="s">
        <v>22740</v>
      </c>
      <c r="Q3384" s="411">
        <v>6</v>
      </c>
      <c r="R3384" s="405" t="s">
        <v>6013</v>
      </c>
      <c r="S3384" s="405" t="s">
        <v>27181</v>
      </c>
      <c r="T3384" s="405" t="s">
        <v>32746</v>
      </c>
      <c r="U3384" s="405" t="s">
        <v>2267</v>
      </c>
    </row>
    <row r="3385" spans="1:21" x14ac:dyDescent="0.25">
      <c r="A3385" s="405" t="s">
        <v>310</v>
      </c>
      <c r="B3385" s="405" t="s">
        <v>15474</v>
      </c>
      <c r="C3385" s="405" t="s">
        <v>327</v>
      </c>
      <c r="D3385" s="405"/>
      <c r="E3385" s="410">
        <v>42632</v>
      </c>
      <c r="F3385" s="410">
        <v>42677</v>
      </c>
      <c r="G3385" s="405" t="s">
        <v>15475</v>
      </c>
      <c r="H3385" s="405">
        <v>771977253</v>
      </c>
      <c r="I3385" s="405"/>
      <c r="J3385" s="405">
        <v>2.718</v>
      </c>
      <c r="K3385" s="405">
        <v>33.417999999999999</v>
      </c>
      <c r="L3385" s="405" t="s">
        <v>6866</v>
      </c>
      <c r="M3385" s="405" t="s">
        <v>13470</v>
      </c>
      <c r="N3385" s="405" t="s">
        <v>13471</v>
      </c>
      <c r="O3385" s="405" t="s">
        <v>14315</v>
      </c>
      <c r="P3385" s="405" t="s">
        <v>15476</v>
      </c>
      <c r="Q3385" s="411">
        <v>6</v>
      </c>
      <c r="R3385" s="405" t="s">
        <v>5655</v>
      </c>
      <c r="S3385" s="405" t="s">
        <v>27353</v>
      </c>
      <c r="T3385" s="405" t="s">
        <v>32746</v>
      </c>
      <c r="U3385" s="405" t="s">
        <v>2267</v>
      </c>
    </row>
    <row r="3386" spans="1:21" x14ac:dyDescent="0.25">
      <c r="A3386" s="405" t="s">
        <v>310</v>
      </c>
      <c r="B3386" s="405" t="s">
        <v>26666</v>
      </c>
      <c r="C3386" s="405" t="s">
        <v>327</v>
      </c>
      <c r="D3386" s="405"/>
      <c r="E3386" s="410">
        <v>44565</v>
      </c>
      <c r="F3386" s="410">
        <v>44584</v>
      </c>
      <c r="G3386" s="405" t="s">
        <v>26667</v>
      </c>
      <c r="H3386" s="405" t="s">
        <v>26668</v>
      </c>
      <c r="I3386" s="405" t="s">
        <v>2913</v>
      </c>
      <c r="J3386" s="405">
        <v>-0.47378999999999999</v>
      </c>
      <c r="K3386" s="405">
        <v>31.011212</v>
      </c>
      <c r="L3386" s="405" t="s">
        <v>590</v>
      </c>
      <c r="M3386" s="405" t="s">
        <v>19614</v>
      </c>
      <c r="N3386" s="405" t="s">
        <v>19614</v>
      </c>
      <c r="O3386" s="405" t="s">
        <v>19614</v>
      </c>
      <c r="P3386" s="405" t="s">
        <v>26669</v>
      </c>
      <c r="Q3386" s="411">
        <v>20</v>
      </c>
      <c r="R3386" s="405" t="s">
        <v>32101</v>
      </c>
      <c r="S3386" s="405" t="s">
        <v>27065</v>
      </c>
      <c r="T3386" s="406" t="s">
        <v>884</v>
      </c>
      <c r="U3386" s="406" t="s">
        <v>319</v>
      </c>
    </row>
    <row r="3387" spans="1:21" x14ac:dyDescent="0.25">
      <c r="A3387" s="405" t="s">
        <v>310</v>
      </c>
      <c r="B3387" s="405" t="s">
        <v>22731</v>
      </c>
      <c r="C3387" s="405" t="s">
        <v>327</v>
      </c>
      <c r="D3387" s="405"/>
      <c r="E3387" s="410">
        <v>42631</v>
      </c>
      <c r="F3387" s="410">
        <v>42676</v>
      </c>
      <c r="G3387" s="405" t="s">
        <v>22732</v>
      </c>
      <c r="H3387" s="405">
        <v>771442330</v>
      </c>
      <c r="I3387" s="405"/>
      <c r="J3387" s="405">
        <v>0.221</v>
      </c>
      <c r="K3387" s="405">
        <v>31.32</v>
      </c>
      <c r="L3387" s="405" t="s">
        <v>590</v>
      </c>
      <c r="M3387" s="405" t="s">
        <v>20757</v>
      </c>
      <c r="N3387" s="405" t="s">
        <v>22733</v>
      </c>
      <c r="O3387" s="405" t="s">
        <v>22734</v>
      </c>
      <c r="P3387" s="405" t="s">
        <v>22735</v>
      </c>
      <c r="Q3387" s="411">
        <v>13</v>
      </c>
      <c r="R3387" s="405" t="s">
        <v>5858</v>
      </c>
      <c r="S3387" s="405" t="s">
        <v>27127</v>
      </c>
      <c r="T3387" s="405" t="s">
        <v>884</v>
      </c>
      <c r="U3387" s="405" t="s">
        <v>319</v>
      </c>
    </row>
    <row r="3388" spans="1:21" x14ac:dyDescent="0.25">
      <c r="A3388" s="405" t="s">
        <v>310</v>
      </c>
      <c r="B3388" s="405" t="s">
        <v>28589</v>
      </c>
      <c r="C3388" s="405" t="s">
        <v>327</v>
      </c>
      <c r="D3388" s="405"/>
      <c r="E3388" s="410">
        <v>42631</v>
      </c>
      <c r="F3388" s="410">
        <v>42676</v>
      </c>
      <c r="G3388" s="405" t="s">
        <v>15460</v>
      </c>
      <c r="H3388" s="405">
        <v>785185351</v>
      </c>
      <c r="I3388" s="405">
        <v>785185357</v>
      </c>
      <c r="J3388" s="405">
        <v>1.12035</v>
      </c>
      <c r="K3388" s="405">
        <v>34.233682999999999</v>
      </c>
      <c r="L3388" s="405" t="s">
        <v>6866</v>
      </c>
      <c r="M3388" s="405" t="s">
        <v>9514</v>
      </c>
      <c r="N3388" s="405" t="s">
        <v>9529</v>
      </c>
      <c r="O3388" s="405" t="s">
        <v>10139</v>
      </c>
      <c r="P3388" s="405" t="s">
        <v>11149</v>
      </c>
      <c r="Q3388" s="411">
        <v>6</v>
      </c>
      <c r="R3388" s="405" t="s">
        <v>7224</v>
      </c>
      <c r="S3388" s="405" t="s">
        <v>27259</v>
      </c>
      <c r="T3388" s="406" t="s">
        <v>32102</v>
      </c>
      <c r="U3388" s="406" t="s">
        <v>319</v>
      </c>
    </row>
    <row r="3389" spans="1:21" x14ac:dyDescent="0.25">
      <c r="A3389" s="405" t="s">
        <v>310</v>
      </c>
      <c r="B3389" s="405" t="s">
        <v>28051</v>
      </c>
      <c r="C3389" s="405" t="s">
        <v>327</v>
      </c>
      <c r="D3389" s="405"/>
      <c r="E3389" s="410">
        <v>42630</v>
      </c>
      <c r="F3389" s="410">
        <v>42675</v>
      </c>
      <c r="G3389" s="405" t="s">
        <v>22743</v>
      </c>
      <c r="H3389" s="405">
        <v>789220021</v>
      </c>
      <c r="I3389" s="405">
        <v>784690162</v>
      </c>
      <c r="J3389" s="405">
        <v>6.6962999999999995E-2</v>
      </c>
      <c r="K3389" s="405">
        <v>30.396967</v>
      </c>
      <c r="L3389" s="405" t="s">
        <v>590</v>
      </c>
      <c r="M3389" s="405" t="s">
        <v>19720</v>
      </c>
      <c r="N3389" s="405" t="s">
        <v>20297</v>
      </c>
      <c r="O3389" s="405" t="s">
        <v>22654</v>
      </c>
      <c r="P3389" s="405" t="s">
        <v>22740</v>
      </c>
      <c r="Q3389" s="411">
        <v>6</v>
      </c>
      <c r="R3389" s="405" t="s">
        <v>6013</v>
      </c>
      <c r="S3389" s="405" t="s">
        <v>27423</v>
      </c>
      <c r="T3389" s="406" t="s">
        <v>32102</v>
      </c>
      <c r="U3389" s="406" t="s">
        <v>319</v>
      </c>
    </row>
    <row r="3390" spans="1:21" x14ac:dyDescent="0.25">
      <c r="A3390" s="405" t="s">
        <v>310</v>
      </c>
      <c r="B3390" s="405" t="s">
        <v>22741</v>
      </c>
      <c r="C3390" s="405" t="s">
        <v>327</v>
      </c>
      <c r="D3390" s="405"/>
      <c r="E3390" s="410">
        <v>42630</v>
      </c>
      <c r="F3390" s="410">
        <v>42675</v>
      </c>
      <c r="G3390" s="405" t="s">
        <v>22742</v>
      </c>
      <c r="H3390" s="405">
        <v>774442592</v>
      </c>
      <c r="I3390" s="405">
        <v>706087176</v>
      </c>
      <c r="J3390" s="405">
        <v>0.434</v>
      </c>
      <c r="K3390" s="405">
        <v>30.245999999999999</v>
      </c>
      <c r="L3390" s="405" t="s">
        <v>590</v>
      </c>
      <c r="M3390" s="405" t="s">
        <v>19720</v>
      </c>
      <c r="N3390" s="405" t="s">
        <v>20297</v>
      </c>
      <c r="O3390" s="405" t="s">
        <v>22654</v>
      </c>
      <c r="P3390" s="405" t="s">
        <v>22639</v>
      </c>
      <c r="Q3390" s="411">
        <v>6</v>
      </c>
      <c r="R3390" s="405" t="s">
        <v>6013</v>
      </c>
      <c r="S3390" s="405" t="s">
        <v>27424</v>
      </c>
      <c r="T3390" s="405" t="s">
        <v>884</v>
      </c>
      <c r="U3390" s="405" t="s">
        <v>319</v>
      </c>
    </row>
    <row r="3391" spans="1:21" x14ac:dyDescent="0.25">
      <c r="A3391" s="405" t="s">
        <v>310</v>
      </c>
      <c r="B3391" s="405" t="s">
        <v>22707</v>
      </c>
      <c r="C3391" s="405" t="s">
        <v>327</v>
      </c>
      <c r="D3391" s="405"/>
      <c r="E3391" s="410">
        <v>42628</v>
      </c>
      <c r="F3391" s="410">
        <v>42673</v>
      </c>
      <c r="G3391" s="405" t="s">
        <v>22708</v>
      </c>
      <c r="H3391" s="405">
        <v>776839222</v>
      </c>
      <c r="I3391" s="405"/>
      <c r="J3391" s="405">
        <v>-0.623</v>
      </c>
      <c r="K3391" s="405">
        <v>30.245699999999999</v>
      </c>
      <c r="L3391" s="405" t="s">
        <v>590</v>
      </c>
      <c r="M3391" s="405" t="s">
        <v>19720</v>
      </c>
      <c r="N3391" s="405" t="s">
        <v>20297</v>
      </c>
      <c r="O3391" s="405" t="s">
        <v>22654</v>
      </c>
      <c r="P3391" s="405" t="s">
        <v>22709</v>
      </c>
      <c r="Q3391" s="411">
        <v>6</v>
      </c>
      <c r="R3391" s="405" t="s">
        <v>6013</v>
      </c>
      <c r="S3391" s="405" t="s">
        <v>27301</v>
      </c>
      <c r="T3391" s="405" t="s">
        <v>32102</v>
      </c>
      <c r="U3391" s="405" t="s">
        <v>319</v>
      </c>
    </row>
    <row r="3392" spans="1:21" x14ac:dyDescent="0.25">
      <c r="A3392" s="405" t="s">
        <v>310</v>
      </c>
      <c r="B3392" s="405" t="s">
        <v>15418</v>
      </c>
      <c r="C3392" s="405" t="s">
        <v>327</v>
      </c>
      <c r="D3392" s="405"/>
      <c r="E3392" s="410">
        <v>42628</v>
      </c>
      <c r="F3392" s="410">
        <v>42673</v>
      </c>
      <c r="G3392" s="405" t="s">
        <v>15419</v>
      </c>
      <c r="H3392" s="405">
        <v>774142573</v>
      </c>
      <c r="I3392" s="405">
        <v>785798688</v>
      </c>
      <c r="J3392" s="405">
        <v>0.26250000000000001</v>
      </c>
      <c r="K3392" s="405">
        <v>33.4039</v>
      </c>
      <c r="L3392" s="405" t="s">
        <v>6866</v>
      </c>
      <c r="M3392" s="405" t="s">
        <v>13470</v>
      </c>
      <c r="N3392" s="405" t="s">
        <v>13471</v>
      </c>
      <c r="O3392" s="405" t="s">
        <v>14315</v>
      </c>
      <c r="P3392" s="405" t="s">
        <v>15420</v>
      </c>
      <c r="Q3392" s="411">
        <v>6</v>
      </c>
      <c r="R3392" s="405" t="s">
        <v>5655</v>
      </c>
      <c r="S3392" s="405" t="s">
        <v>27056</v>
      </c>
      <c r="T3392" s="405" t="s">
        <v>32102</v>
      </c>
      <c r="U3392" s="405" t="s">
        <v>319</v>
      </c>
    </row>
    <row r="3393" spans="1:21" x14ac:dyDescent="0.25">
      <c r="A3393" s="405" t="s">
        <v>310</v>
      </c>
      <c r="B3393" s="405" t="s">
        <v>15421</v>
      </c>
      <c r="C3393" s="405" t="s">
        <v>327</v>
      </c>
      <c r="D3393" s="405"/>
      <c r="E3393" s="410">
        <v>42628</v>
      </c>
      <c r="F3393" s="410">
        <v>42673</v>
      </c>
      <c r="G3393" s="405" t="s">
        <v>15422</v>
      </c>
      <c r="H3393" s="405">
        <v>753895910</v>
      </c>
      <c r="I3393" s="405"/>
      <c r="J3393" s="405">
        <v>0.26900000000000002</v>
      </c>
      <c r="K3393" s="405" t="s">
        <v>15423</v>
      </c>
      <c r="L3393" s="405" t="s">
        <v>6866</v>
      </c>
      <c r="M3393" s="405" t="s">
        <v>13470</v>
      </c>
      <c r="N3393" s="405" t="s">
        <v>13471</v>
      </c>
      <c r="O3393" s="405" t="s">
        <v>14315</v>
      </c>
      <c r="P3393" s="405" t="s">
        <v>15424</v>
      </c>
      <c r="Q3393" s="411">
        <v>6</v>
      </c>
      <c r="R3393" s="405" t="s">
        <v>5655</v>
      </c>
      <c r="S3393" s="405" t="s">
        <v>27357</v>
      </c>
      <c r="T3393" s="405" t="s">
        <v>32102</v>
      </c>
      <c r="U3393" s="405" t="s">
        <v>319</v>
      </c>
    </row>
    <row r="3394" spans="1:21" x14ac:dyDescent="0.25">
      <c r="A3394" s="405" t="s">
        <v>310</v>
      </c>
      <c r="B3394" s="405" t="s">
        <v>15429</v>
      </c>
      <c r="C3394" s="405" t="s">
        <v>327</v>
      </c>
      <c r="D3394" s="405"/>
      <c r="E3394" s="410">
        <v>42628</v>
      </c>
      <c r="F3394" s="410">
        <v>42673</v>
      </c>
      <c r="G3394" s="405" t="s">
        <v>15430</v>
      </c>
      <c r="H3394" s="405">
        <v>777987381</v>
      </c>
      <c r="I3394" s="405"/>
      <c r="J3394" s="405">
        <v>0.32104700000000003</v>
      </c>
      <c r="K3394" s="405">
        <v>31.373999999999999</v>
      </c>
      <c r="L3394" s="405" t="s">
        <v>6866</v>
      </c>
      <c r="M3394" s="405" t="s">
        <v>10390</v>
      </c>
      <c r="N3394" s="405" t="s">
        <v>15326</v>
      </c>
      <c r="O3394" s="405" t="s">
        <v>15326</v>
      </c>
      <c r="P3394" s="405" t="s">
        <v>12574</v>
      </c>
      <c r="Q3394" s="411">
        <v>6</v>
      </c>
      <c r="R3394" s="405" t="s">
        <v>5655</v>
      </c>
      <c r="S3394" s="405" t="s">
        <v>27041</v>
      </c>
      <c r="T3394" s="405" t="s">
        <v>32102</v>
      </c>
      <c r="U3394" s="405" t="s">
        <v>319</v>
      </c>
    </row>
    <row r="3395" spans="1:21" x14ac:dyDescent="0.25">
      <c r="A3395" s="405" t="s">
        <v>310</v>
      </c>
      <c r="B3395" s="405" t="s">
        <v>28717</v>
      </c>
      <c r="C3395" s="405" t="s">
        <v>327</v>
      </c>
      <c r="D3395" s="405"/>
      <c r="E3395" s="410">
        <v>42627</v>
      </c>
      <c r="F3395" s="410">
        <v>42672</v>
      </c>
      <c r="G3395" s="405" t="s">
        <v>18993</v>
      </c>
      <c r="H3395" s="405">
        <v>775451784</v>
      </c>
      <c r="I3395" s="405"/>
      <c r="J3395" s="405">
        <v>2.16</v>
      </c>
      <c r="K3395" s="405">
        <v>32.533200000000001</v>
      </c>
      <c r="L3395" s="405" t="s">
        <v>860</v>
      </c>
      <c r="M3395" s="405" t="s">
        <v>18234</v>
      </c>
      <c r="N3395" s="405" t="s">
        <v>18250</v>
      </c>
      <c r="O3395" s="405" t="s">
        <v>18545</v>
      </c>
      <c r="P3395" s="405" t="s">
        <v>18994</v>
      </c>
      <c r="Q3395" s="411">
        <v>9</v>
      </c>
      <c r="R3395" s="405" t="s">
        <v>18995</v>
      </c>
      <c r="S3395" s="405" t="s">
        <v>27383</v>
      </c>
      <c r="T3395" s="405" t="s">
        <v>32746</v>
      </c>
      <c r="U3395" s="405" t="s">
        <v>2267</v>
      </c>
    </row>
    <row r="3396" spans="1:21" x14ac:dyDescent="0.25">
      <c r="A3396" s="405" t="s">
        <v>310</v>
      </c>
      <c r="B3396" s="405" t="s">
        <v>6167</v>
      </c>
      <c r="C3396" s="405" t="s">
        <v>327</v>
      </c>
      <c r="D3396" s="405"/>
      <c r="E3396" s="410">
        <v>42627</v>
      </c>
      <c r="F3396" s="410">
        <v>42672</v>
      </c>
      <c r="G3396" s="405" t="s">
        <v>6168</v>
      </c>
      <c r="H3396" s="405">
        <v>772317384</v>
      </c>
      <c r="I3396" s="405">
        <v>702317384</v>
      </c>
      <c r="J3396" s="405">
        <v>1.0306299999999999</v>
      </c>
      <c r="K3396" s="405">
        <v>34.372872000000001</v>
      </c>
      <c r="L3396" s="405" t="s">
        <v>314</v>
      </c>
      <c r="M3396" s="405" t="s">
        <v>329</v>
      </c>
      <c r="N3396" s="405" t="s">
        <v>330</v>
      </c>
      <c r="O3396" s="405" t="s">
        <v>787</v>
      </c>
      <c r="P3396" s="405" t="s">
        <v>6169</v>
      </c>
      <c r="Q3396" s="411">
        <v>9</v>
      </c>
      <c r="R3396" s="405" t="s">
        <v>5336</v>
      </c>
      <c r="S3396" s="405" t="s">
        <v>27041</v>
      </c>
      <c r="T3396" s="405" t="s">
        <v>884</v>
      </c>
      <c r="U3396" s="405" t="s">
        <v>319</v>
      </c>
    </row>
    <row r="3397" spans="1:21" x14ac:dyDescent="0.25">
      <c r="A3397" s="405" t="s">
        <v>310</v>
      </c>
      <c r="B3397" s="405" t="s">
        <v>15433</v>
      </c>
      <c r="C3397" s="405" t="s">
        <v>327</v>
      </c>
      <c r="D3397" s="405"/>
      <c r="E3397" s="410">
        <v>42627</v>
      </c>
      <c r="F3397" s="410">
        <v>42672</v>
      </c>
      <c r="G3397" s="405" t="s">
        <v>15434</v>
      </c>
      <c r="H3397" s="405">
        <v>772547778</v>
      </c>
      <c r="I3397" s="405"/>
      <c r="J3397" s="405">
        <v>1.5807</v>
      </c>
      <c r="K3397" s="405">
        <v>33.395099999999999</v>
      </c>
      <c r="L3397" s="405" t="s">
        <v>6866</v>
      </c>
      <c r="M3397" s="405" t="s">
        <v>13470</v>
      </c>
      <c r="N3397" s="405" t="s">
        <v>13471</v>
      </c>
      <c r="O3397" s="405" t="s">
        <v>14315</v>
      </c>
      <c r="P3397" s="405" t="s">
        <v>15435</v>
      </c>
      <c r="Q3397" s="411">
        <v>6</v>
      </c>
      <c r="R3397" s="405" t="s">
        <v>5655</v>
      </c>
      <c r="S3397" s="405" t="s">
        <v>27351</v>
      </c>
      <c r="T3397" s="405" t="s">
        <v>884</v>
      </c>
      <c r="U3397" s="405" t="s">
        <v>319</v>
      </c>
    </row>
    <row r="3398" spans="1:21" x14ac:dyDescent="0.25">
      <c r="A3398" s="405" t="s">
        <v>310</v>
      </c>
      <c r="B3398" s="405" t="s">
        <v>15841</v>
      </c>
      <c r="C3398" s="405" t="s">
        <v>311</v>
      </c>
      <c r="D3398" s="405" t="s">
        <v>839</v>
      </c>
      <c r="E3398" s="410">
        <v>42627</v>
      </c>
      <c r="F3398" s="410">
        <v>42672</v>
      </c>
      <c r="G3398" s="405" t="s">
        <v>15842</v>
      </c>
      <c r="H3398" s="405">
        <v>774374175</v>
      </c>
      <c r="I3398" s="405"/>
      <c r="J3398" s="405">
        <v>0.2555</v>
      </c>
      <c r="K3398" s="405">
        <v>33.395499999999998</v>
      </c>
      <c r="L3398" s="405" t="s">
        <v>6866</v>
      </c>
      <c r="M3398" s="405" t="s">
        <v>13470</v>
      </c>
      <c r="N3398" s="405" t="s">
        <v>15155</v>
      </c>
      <c r="O3398" s="405" t="s">
        <v>14315</v>
      </c>
      <c r="P3398" s="405" t="s">
        <v>14369</v>
      </c>
      <c r="Q3398" s="411">
        <v>6</v>
      </c>
      <c r="R3398" s="405" t="s">
        <v>5655</v>
      </c>
      <c r="S3398" s="405" t="s">
        <v>27072</v>
      </c>
      <c r="T3398" s="405" t="s">
        <v>884</v>
      </c>
      <c r="U3398" s="405" t="s">
        <v>319</v>
      </c>
    </row>
    <row r="3399" spans="1:21" x14ac:dyDescent="0.25">
      <c r="A3399" s="405" t="s">
        <v>310</v>
      </c>
      <c r="B3399" s="405" t="s">
        <v>15425</v>
      </c>
      <c r="C3399" s="405" t="s">
        <v>327</v>
      </c>
      <c r="D3399" s="405"/>
      <c r="E3399" s="410">
        <v>42627</v>
      </c>
      <c r="F3399" s="410">
        <v>42672</v>
      </c>
      <c r="G3399" s="405" t="s">
        <v>15426</v>
      </c>
      <c r="H3399" s="405">
        <v>777269714</v>
      </c>
      <c r="I3399" s="405"/>
      <c r="J3399" s="405">
        <v>0.34539999999999998</v>
      </c>
      <c r="K3399" s="405" t="s">
        <v>15427</v>
      </c>
      <c r="L3399" s="405" t="s">
        <v>6866</v>
      </c>
      <c r="M3399" s="405" t="s">
        <v>10390</v>
      </c>
      <c r="N3399" s="405" t="s">
        <v>15428</v>
      </c>
      <c r="O3399" s="405" t="s">
        <v>15326</v>
      </c>
      <c r="P3399" s="405" t="s">
        <v>15326</v>
      </c>
      <c r="Q3399" s="411">
        <v>6</v>
      </c>
      <c r="R3399" s="405" t="s">
        <v>5655</v>
      </c>
      <c r="S3399" s="405" t="s">
        <v>27041</v>
      </c>
      <c r="T3399" s="405" t="s">
        <v>32102</v>
      </c>
      <c r="U3399" s="405" t="s">
        <v>319</v>
      </c>
    </row>
    <row r="3400" spans="1:21" x14ac:dyDescent="0.25">
      <c r="A3400" s="405" t="s">
        <v>310</v>
      </c>
      <c r="B3400" s="405" t="s">
        <v>6164</v>
      </c>
      <c r="C3400" s="405" t="s">
        <v>327</v>
      </c>
      <c r="D3400" s="405"/>
      <c r="E3400" s="410">
        <v>42626</v>
      </c>
      <c r="F3400" s="410">
        <v>42671</v>
      </c>
      <c r="G3400" s="405" t="s">
        <v>6165</v>
      </c>
      <c r="H3400" s="405">
        <v>776907446</v>
      </c>
      <c r="I3400" s="405"/>
      <c r="J3400" s="405">
        <v>1.4098900000000001</v>
      </c>
      <c r="K3400" s="405">
        <v>34.422502000000001</v>
      </c>
      <c r="L3400" s="405" t="s">
        <v>314</v>
      </c>
      <c r="M3400" s="405" t="s">
        <v>361</v>
      </c>
      <c r="N3400" s="405" t="s">
        <v>362</v>
      </c>
      <c r="O3400" s="405" t="s">
        <v>410</v>
      </c>
      <c r="P3400" s="405" t="s">
        <v>6166</v>
      </c>
      <c r="Q3400" s="411">
        <v>6</v>
      </c>
      <c r="R3400" s="405" t="s">
        <v>5336</v>
      </c>
      <c r="S3400" s="405" t="s">
        <v>27254</v>
      </c>
      <c r="T3400" s="405" t="s">
        <v>865</v>
      </c>
      <c r="U3400" s="405" t="s">
        <v>866</v>
      </c>
    </row>
    <row r="3401" spans="1:21" x14ac:dyDescent="0.25">
      <c r="A3401" s="405" t="s">
        <v>310</v>
      </c>
      <c r="B3401" s="405" t="s">
        <v>6143</v>
      </c>
      <c r="C3401" s="405" t="s">
        <v>327</v>
      </c>
      <c r="D3401" s="405"/>
      <c r="E3401" s="410">
        <v>42626</v>
      </c>
      <c r="F3401" s="410">
        <v>42671</v>
      </c>
      <c r="G3401" s="405" t="s">
        <v>6144</v>
      </c>
      <c r="H3401" s="405">
        <v>787834302</v>
      </c>
      <c r="I3401" s="405"/>
      <c r="J3401" s="405">
        <v>0.11360000000000001</v>
      </c>
      <c r="K3401" s="405">
        <v>31.337</v>
      </c>
      <c r="L3401" s="405" t="s">
        <v>314</v>
      </c>
      <c r="M3401" s="405" t="s">
        <v>343</v>
      </c>
      <c r="N3401" s="405" t="s">
        <v>6145</v>
      </c>
      <c r="O3401" s="405" t="s">
        <v>6146</v>
      </c>
      <c r="P3401" s="405" t="s">
        <v>6147</v>
      </c>
      <c r="Q3401" s="411">
        <v>6</v>
      </c>
      <c r="R3401" s="405" t="s">
        <v>32101</v>
      </c>
      <c r="S3401" s="405" t="s">
        <v>27253</v>
      </c>
      <c r="T3401" s="405" t="s">
        <v>32102</v>
      </c>
      <c r="U3401" s="405" t="s">
        <v>319</v>
      </c>
    </row>
    <row r="3402" spans="1:21" x14ac:dyDescent="0.25">
      <c r="A3402" s="405" t="s">
        <v>310</v>
      </c>
      <c r="B3402" s="405" t="s">
        <v>28029</v>
      </c>
      <c r="C3402" s="405" t="s">
        <v>327</v>
      </c>
      <c r="D3402" s="405"/>
      <c r="E3402" s="410">
        <v>42626</v>
      </c>
      <c r="F3402" s="410">
        <v>42671</v>
      </c>
      <c r="G3402" s="405" t="s">
        <v>15408</v>
      </c>
      <c r="H3402" s="405">
        <v>782563221</v>
      </c>
      <c r="I3402" s="405"/>
      <c r="J3402" s="405">
        <v>0.254527</v>
      </c>
      <c r="K3402" s="405">
        <v>32.362822000000001</v>
      </c>
      <c r="L3402" s="405" t="s">
        <v>6866</v>
      </c>
      <c r="M3402" s="405" t="s">
        <v>9514</v>
      </c>
      <c r="N3402" s="405" t="s">
        <v>9603</v>
      </c>
      <c r="O3402" s="405" t="s">
        <v>9729</v>
      </c>
      <c r="P3402" s="405" t="s">
        <v>15409</v>
      </c>
      <c r="Q3402" s="411">
        <v>6</v>
      </c>
      <c r="R3402" s="405" t="s">
        <v>7224</v>
      </c>
      <c r="S3402" s="405" t="s">
        <v>27041</v>
      </c>
      <c r="T3402" s="405" t="s">
        <v>32102</v>
      </c>
      <c r="U3402" s="405" t="s">
        <v>319</v>
      </c>
    </row>
    <row r="3403" spans="1:21" x14ac:dyDescent="0.25">
      <c r="A3403" s="405" t="s">
        <v>310</v>
      </c>
      <c r="B3403" s="405" t="s">
        <v>28812</v>
      </c>
      <c r="C3403" s="405" t="s">
        <v>327</v>
      </c>
      <c r="D3403" s="405"/>
      <c r="E3403" s="410">
        <v>42625</v>
      </c>
      <c r="F3403" s="410">
        <v>42670</v>
      </c>
      <c r="G3403" s="405" t="s">
        <v>6152</v>
      </c>
      <c r="H3403" s="405">
        <v>704027831</v>
      </c>
      <c r="I3403" s="405">
        <v>752132900</v>
      </c>
      <c r="J3403" s="405">
        <v>0.25219999999999998</v>
      </c>
      <c r="K3403" s="405">
        <v>32.243699999999997</v>
      </c>
      <c r="L3403" s="405" t="s">
        <v>314</v>
      </c>
      <c r="M3403" s="405" t="s">
        <v>361</v>
      </c>
      <c r="N3403" s="405" t="s">
        <v>3398</v>
      </c>
      <c r="O3403" s="405" t="s">
        <v>6153</v>
      </c>
      <c r="P3403" s="405" t="s">
        <v>6154</v>
      </c>
      <c r="Q3403" s="411">
        <v>9</v>
      </c>
      <c r="R3403" s="405" t="s">
        <v>5903</v>
      </c>
      <c r="S3403" s="405" t="s">
        <v>27153</v>
      </c>
      <c r="T3403" s="405" t="s">
        <v>32746</v>
      </c>
      <c r="U3403" s="405" t="s">
        <v>2267</v>
      </c>
    </row>
    <row r="3404" spans="1:21" x14ac:dyDescent="0.25">
      <c r="A3404" s="405" t="s">
        <v>310</v>
      </c>
      <c r="B3404" s="405" t="s">
        <v>27586</v>
      </c>
      <c r="C3404" s="405" t="s">
        <v>327</v>
      </c>
      <c r="D3404" s="405"/>
      <c r="E3404" s="410">
        <v>42625</v>
      </c>
      <c r="F3404" s="410">
        <v>42670</v>
      </c>
      <c r="G3404" s="405" t="s">
        <v>22699</v>
      </c>
      <c r="H3404" s="405">
        <v>772611432</v>
      </c>
      <c r="I3404" s="405"/>
      <c r="J3404" s="405">
        <v>-0.56890799999999997</v>
      </c>
      <c r="K3404" s="405">
        <v>30.096371999999999</v>
      </c>
      <c r="L3404" s="405" t="s">
        <v>590</v>
      </c>
      <c r="M3404" s="405" t="s">
        <v>19625</v>
      </c>
      <c r="N3404" s="405" t="s">
        <v>20342</v>
      </c>
      <c r="O3404" s="405" t="s">
        <v>19639</v>
      </c>
      <c r="P3404" s="405" t="s">
        <v>22700</v>
      </c>
      <c r="Q3404" s="411">
        <v>6</v>
      </c>
      <c r="R3404" s="405" t="s">
        <v>6943</v>
      </c>
      <c r="S3404" s="405" t="s">
        <v>27096</v>
      </c>
      <c r="T3404" s="405" t="s">
        <v>884</v>
      </c>
      <c r="U3404" s="405" t="s">
        <v>319</v>
      </c>
    </row>
    <row r="3405" spans="1:21" x14ac:dyDescent="0.25">
      <c r="A3405" s="405" t="s">
        <v>310</v>
      </c>
      <c r="B3405" s="405" t="s">
        <v>6170</v>
      </c>
      <c r="C3405" s="405" t="s">
        <v>327</v>
      </c>
      <c r="D3405" s="405"/>
      <c r="E3405" s="410">
        <v>42624</v>
      </c>
      <c r="F3405" s="410">
        <v>42654</v>
      </c>
      <c r="G3405" s="405" t="s">
        <v>6171</v>
      </c>
      <c r="H3405" s="405">
        <v>778121666</v>
      </c>
      <c r="I3405" s="405">
        <v>755447271</v>
      </c>
      <c r="J3405" s="405">
        <v>0.15329999999999999</v>
      </c>
      <c r="K3405" s="405">
        <v>31.482199999999999</v>
      </c>
      <c r="L3405" s="405" t="s">
        <v>314</v>
      </c>
      <c r="M3405" s="405" t="s">
        <v>382</v>
      </c>
      <c r="N3405" s="405" t="s">
        <v>941</v>
      </c>
      <c r="O3405" s="405" t="s">
        <v>1076</v>
      </c>
      <c r="P3405" s="405" t="s">
        <v>6172</v>
      </c>
      <c r="Q3405" s="411">
        <v>13</v>
      </c>
      <c r="R3405" s="405" t="s">
        <v>5903</v>
      </c>
      <c r="S3405" s="405" t="s">
        <v>27153</v>
      </c>
      <c r="T3405" s="405" t="s">
        <v>32746</v>
      </c>
      <c r="U3405" s="405" t="s">
        <v>2267</v>
      </c>
    </row>
    <row r="3406" spans="1:21" x14ac:dyDescent="0.25">
      <c r="A3406" s="405" t="s">
        <v>310</v>
      </c>
      <c r="B3406" s="405" t="s">
        <v>6731</v>
      </c>
      <c r="C3406" s="405" t="s">
        <v>327</v>
      </c>
      <c r="D3406" s="405"/>
      <c r="E3406" s="410">
        <v>42624</v>
      </c>
      <c r="F3406" s="410">
        <v>42669</v>
      </c>
      <c r="G3406" s="405" t="s">
        <v>6732</v>
      </c>
      <c r="H3406" s="405">
        <v>777838465</v>
      </c>
      <c r="I3406" s="405">
        <v>773062856</v>
      </c>
      <c r="J3406" s="405">
        <v>0.94499999999999995</v>
      </c>
      <c r="K3406" s="405">
        <v>31.547000000000001</v>
      </c>
      <c r="L3406" s="405" t="s">
        <v>314</v>
      </c>
      <c r="M3406" s="405" t="s">
        <v>343</v>
      </c>
      <c r="N3406" s="405" t="s">
        <v>6185</v>
      </c>
      <c r="O3406" s="405" t="s">
        <v>6185</v>
      </c>
      <c r="P3406" s="405" t="s">
        <v>6733</v>
      </c>
      <c r="Q3406" s="411">
        <v>6</v>
      </c>
      <c r="R3406" s="405" t="s">
        <v>32101</v>
      </c>
      <c r="S3406" s="405" t="s">
        <v>27186</v>
      </c>
      <c r="T3406" s="405" t="s">
        <v>32746</v>
      </c>
      <c r="U3406" s="405" t="s">
        <v>2267</v>
      </c>
    </row>
    <row r="3407" spans="1:21" x14ac:dyDescent="0.25">
      <c r="A3407" s="405" t="s">
        <v>310</v>
      </c>
      <c r="B3407" s="405" t="s">
        <v>15388</v>
      </c>
      <c r="C3407" s="405" t="s">
        <v>327</v>
      </c>
      <c r="D3407" s="405"/>
      <c r="E3407" s="410">
        <v>42623</v>
      </c>
      <c r="F3407" s="410">
        <v>42668</v>
      </c>
      <c r="G3407" s="405" t="s">
        <v>15389</v>
      </c>
      <c r="H3407" s="405">
        <v>783363196</v>
      </c>
      <c r="I3407" s="405"/>
      <c r="J3407" s="405">
        <v>1.6240000000000001</v>
      </c>
      <c r="K3407" s="405">
        <v>34.124400000000001</v>
      </c>
      <c r="L3407" s="405" t="s">
        <v>6866</v>
      </c>
      <c r="M3407" s="405" t="s">
        <v>9514</v>
      </c>
      <c r="N3407" s="405" t="s">
        <v>9722</v>
      </c>
      <c r="O3407" s="405" t="s">
        <v>9530</v>
      </c>
      <c r="P3407" s="405" t="s">
        <v>13529</v>
      </c>
      <c r="Q3407" s="411">
        <v>6</v>
      </c>
      <c r="R3407" s="405" t="s">
        <v>5655</v>
      </c>
      <c r="S3407" s="405" t="s">
        <v>27353</v>
      </c>
      <c r="T3407" s="405" t="s">
        <v>32746</v>
      </c>
      <c r="U3407" s="405" t="s">
        <v>2267</v>
      </c>
    </row>
    <row r="3408" spans="1:21" x14ac:dyDescent="0.25">
      <c r="A3408" s="405" t="s">
        <v>310</v>
      </c>
      <c r="B3408" s="405" t="s">
        <v>22710</v>
      </c>
      <c r="C3408" s="405" t="s">
        <v>327</v>
      </c>
      <c r="D3408" s="405"/>
      <c r="E3408" s="410">
        <v>42622</v>
      </c>
      <c r="F3408" s="410">
        <v>43032</v>
      </c>
      <c r="G3408" s="405" t="s">
        <v>22711</v>
      </c>
      <c r="H3408" s="405">
        <v>776866606</v>
      </c>
      <c r="I3408" s="405"/>
      <c r="J3408" s="405">
        <v>5.398E-2</v>
      </c>
      <c r="K3408" s="405">
        <v>30.265115000000002</v>
      </c>
      <c r="L3408" s="405" t="s">
        <v>590</v>
      </c>
      <c r="M3408" s="405" t="s">
        <v>20757</v>
      </c>
      <c r="N3408" s="405" t="s">
        <v>22712</v>
      </c>
      <c r="O3408" s="405" t="s">
        <v>22712</v>
      </c>
      <c r="P3408" s="405" t="s">
        <v>22712</v>
      </c>
      <c r="Q3408" s="411">
        <v>9</v>
      </c>
      <c r="R3408" s="405" t="s">
        <v>32101</v>
      </c>
      <c r="S3408" s="405" t="s">
        <v>27167</v>
      </c>
      <c r="T3408" s="405" t="s">
        <v>32746</v>
      </c>
      <c r="U3408" s="405" t="s">
        <v>2267</v>
      </c>
    </row>
    <row r="3409" spans="1:21" x14ac:dyDescent="0.25">
      <c r="A3409" s="405" t="s">
        <v>310</v>
      </c>
      <c r="B3409" s="405" t="s">
        <v>6137</v>
      </c>
      <c r="C3409" s="405" t="s">
        <v>327</v>
      </c>
      <c r="D3409" s="405"/>
      <c r="E3409" s="410">
        <v>42617</v>
      </c>
      <c r="F3409" s="410">
        <v>42662</v>
      </c>
      <c r="G3409" s="405" t="s">
        <v>6138</v>
      </c>
      <c r="H3409" s="405">
        <v>772422695</v>
      </c>
      <c r="I3409" s="405"/>
      <c r="J3409" s="405">
        <v>0.31812400000000002</v>
      </c>
      <c r="K3409" s="405">
        <v>32.480550000000001</v>
      </c>
      <c r="L3409" s="405" t="s">
        <v>314</v>
      </c>
      <c r="M3409" s="405" t="s">
        <v>361</v>
      </c>
      <c r="N3409" s="405" t="s">
        <v>6139</v>
      </c>
      <c r="O3409" s="405" t="s">
        <v>361</v>
      </c>
      <c r="P3409" s="405" t="s">
        <v>4517</v>
      </c>
      <c r="Q3409" s="411">
        <v>13</v>
      </c>
      <c r="R3409" s="405" t="s">
        <v>4176</v>
      </c>
      <c r="S3409" s="405" t="s">
        <v>27059</v>
      </c>
      <c r="T3409" s="405" t="s">
        <v>32746</v>
      </c>
      <c r="U3409" s="405" t="s">
        <v>2267</v>
      </c>
    </row>
    <row r="3410" spans="1:21" x14ac:dyDescent="0.25">
      <c r="A3410" s="405" t="s">
        <v>310</v>
      </c>
      <c r="B3410" s="405" t="s">
        <v>6155</v>
      </c>
      <c r="C3410" s="405" t="s">
        <v>327</v>
      </c>
      <c r="D3410" s="405"/>
      <c r="E3410" s="410">
        <v>42617</v>
      </c>
      <c r="F3410" s="410">
        <v>42662</v>
      </c>
      <c r="G3410" s="405" t="s">
        <v>6156</v>
      </c>
      <c r="H3410" s="405">
        <v>701116363</v>
      </c>
      <c r="I3410" s="405"/>
      <c r="J3410" s="405">
        <v>0.81084800000000001</v>
      </c>
      <c r="K3410" s="405">
        <v>30.112148000000001</v>
      </c>
      <c r="L3410" s="405" t="s">
        <v>314</v>
      </c>
      <c r="M3410" s="405" t="s">
        <v>992</v>
      </c>
      <c r="N3410" s="405" t="s">
        <v>6157</v>
      </c>
      <c r="O3410" s="405" t="s">
        <v>6157</v>
      </c>
      <c r="P3410" s="405" t="s">
        <v>6157</v>
      </c>
      <c r="Q3410" s="411">
        <v>13</v>
      </c>
      <c r="R3410" s="405" t="s">
        <v>4176</v>
      </c>
      <c r="S3410" s="405" t="s">
        <v>27162</v>
      </c>
      <c r="T3410" s="405" t="s">
        <v>32746</v>
      </c>
      <c r="U3410" s="405" t="s">
        <v>2267</v>
      </c>
    </row>
    <row r="3411" spans="1:21" x14ac:dyDescent="0.25">
      <c r="A3411" s="405" t="s">
        <v>310</v>
      </c>
      <c r="B3411" s="405" t="s">
        <v>29081</v>
      </c>
      <c r="C3411" s="405" t="s">
        <v>327</v>
      </c>
      <c r="D3411" s="405"/>
      <c r="E3411" s="410">
        <v>42613</v>
      </c>
      <c r="F3411" s="410">
        <v>42658</v>
      </c>
      <c r="G3411" s="405" t="s">
        <v>15405</v>
      </c>
      <c r="H3411" s="405">
        <v>784426461</v>
      </c>
      <c r="I3411" s="405"/>
      <c r="J3411" s="405">
        <v>1.12035</v>
      </c>
      <c r="K3411" s="405">
        <v>34.233682999999999</v>
      </c>
      <c r="L3411" s="405" t="s">
        <v>6866</v>
      </c>
      <c r="M3411" s="405" t="s">
        <v>9514</v>
      </c>
      <c r="N3411" s="405" t="s">
        <v>9722</v>
      </c>
      <c r="O3411" s="405" t="s">
        <v>15406</v>
      </c>
      <c r="P3411" s="405" t="s">
        <v>15407</v>
      </c>
      <c r="Q3411" s="411">
        <v>9</v>
      </c>
      <c r="R3411" s="405" t="s">
        <v>7224</v>
      </c>
      <c r="S3411" s="405" t="s">
        <v>27259</v>
      </c>
      <c r="T3411" s="405" t="s">
        <v>884</v>
      </c>
      <c r="U3411" s="405" t="s">
        <v>319</v>
      </c>
    </row>
    <row r="3412" spans="1:21" x14ac:dyDescent="0.25">
      <c r="A3412" s="405" t="s">
        <v>310</v>
      </c>
      <c r="B3412" s="405" t="s">
        <v>27941</v>
      </c>
      <c r="C3412" s="405" t="s">
        <v>327</v>
      </c>
      <c r="D3412" s="405"/>
      <c r="E3412" s="410">
        <v>42612</v>
      </c>
      <c r="F3412" s="410">
        <v>42657</v>
      </c>
      <c r="G3412" s="405" t="s">
        <v>22701</v>
      </c>
      <c r="H3412" s="405">
        <v>701422096</v>
      </c>
      <c r="I3412" s="405">
        <v>782027408</v>
      </c>
      <c r="J3412" s="405">
        <v>0.31626300000000002</v>
      </c>
      <c r="K3412" s="405">
        <v>32.622751999999998</v>
      </c>
      <c r="L3412" s="405" t="s">
        <v>590</v>
      </c>
      <c r="M3412" s="405" t="s">
        <v>19614</v>
      </c>
      <c r="N3412" s="405" t="s">
        <v>19615</v>
      </c>
      <c r="O3412" s="405" t="s">
        <v>20154</v>
      </c>
      <c r="P3412" s="405" t="s">
        <v>22702</v>
      </c>
      <c r="Q3412" s="411">
        <v>13</v>
      </c>
      <c r="R3412" s="405" t="s">
        <v>6943</v>
      </c>
      <c r="S3412" s="405" t="s">
        <v>27280</v>
      </c>
      <c r="T3412" s="405" t="s">
        <v>32102</v>
      </c>
      <c r="U3412" s="405" t="s">
        <v>319</v>
      </c>
    </row>
    <row r="3413" spans="1:21" x14ac:dyDescent="0.25">
      <c r="A3413" s="405" t="s">
        <v>310</v>
      </c>
      <c r="B3413" s="405" t="s">
        <v>6130</v>
      </c>
      <c r="C3413" s="405" t="s">
        <v>327</v>
      </c>
      <c r="D3413" s="405"/>
      <c r="E3413" s="410">
        <v>42612</v>
      </c>
      <c r="F3413" s="410">
        <v>42657</v>
      </c>
      <c r="G3413" s="405" t="s">
        <v>6131</v>
      </c>
      <c r="H3413" s="405">
        <v>703242946</v>
      </c>
      <c r="I3413" s="405"/>
      <c r="J3413" s="405">
        <v>0.442552</v>
      </c>
      <c r="K3413" s="405">
        <v>32.578471999999998</v>
      </c>
      <c r="L3413" s="405" t="s">
        <v>314</v>
      </c>
      <c r="M3413" s="405" t="s">
        <v>900</v>
      </c>
      <c r="N3413" s="405" t="s">
        <v>362</v>
      </c>
      <c r="O3413" s="405" t="s">
        <v>410</v>
      </c>
      <c r="P3413" s="405" t="s">
        <v>410</v>
      </c>
      <c r="Q3413" s="411">
        <v>13</v>
      </c>
      <c r="R3413" s="405" t="s">
        <v>4176</v>
      </c>
      <c r="S3413" s="405" t="s">
        <v>27059</v>
      </c>
      <c r="T3413" s="405" t="s">
        <v>884</v>
      </c>
      <c r="U3413" s="405" t="s">
        <v>319</v>
      </c>
    </row>
    <row r="3414" spans="1:21" x14ac:dyDescent="0.25">
      <c r="A3414" s="405" t="s">
        <v>310</v>
      </c>
      <c r="B3414" s="405" t="s">
        <v>28976</v>
      </c>
      <c r="C3414" s="405" t="s">
        <v>327</v>
      </c>
      <c r="D3414" s="405"/>
      <c r="E3414" s="410">
        <v>42612</v>
      </c>
      <c r="F3414" s="410">
        <v>42657</v>
      </c>
      <c r="G3414" s="405" t="s">
        <v>6128</v>
      </c>
      <c r="H3414" s="405">
        <v>782967820</v>
      </c>
      <c r="I3414" s="405"/>
      <c r="J3414" s="405">
        <v>0.45641199999999998</v>
      </c>
      <c r="K3414" s="405">
        <v>32.617080000000001</v>
      </c>
      <c r="L3414" s="405" t="s">
        <v>314</v>
      </c>
      <c r="M3414" s="405" t="s">
        <v>361</v>
      </c>
      <c r="N3414" s="405" t="s">
        <v>362</v>
      </c>
      <c r="O3414" s="405" t="s">
        <v>410</v>
      </c>
      <c r="P3414" s="405" t="s">
        <v>6129</v>
      </c>
      <c r="Q3414" s="411">
        <v>13</v>
      </c>
      <c r="R3414" s="405" t="s">
        <v>4176</v>
      </c>
      <c r="S3414" s="405" t="s">
        <v>27053</v>
      </c>
      <c r="T3414" s="406" t="s">
        <v>32102</v>
      </c>
      <c r="U3414" s="406" t="s">
        <v>319</v>
      </c>
    </row>
    <row r="3415" spans="1:21" x14ac:dyDescent="0.25">
      <c r="A3415" s="405" t="s">
        <v>310</v>
      </c>
      <c r="B3415" s="405" t="s">
        <v>22703</v>
      </c>
      <c r="C3415" s="405" t="s">
        <v>327</v>
      </c>
      <c r="D3415" s="405"/>
      <c r="E3415" s="410">
        <v>42612</v>
      </c>
      <c r="F3415" s="410">
        <v>42657</v>
      </c>
      <c r="G3415" s="405" t="s">
        <v>22704</v>
      </c>
      <c r="H3415" s="405">
        <v>772367778</v>
      </c>
      <c r="I3415" s="405"/>
      <c r="J3415" s="405">
        <v>0.42470000000000002</v>
      </c>
      <c r="K3415" s="405">
        <v>30.042000000000002</v>
      </c>
      <c r="L3415" s="405" t="s">
        <v>590</v>
      </c>
      <c r="M3415" s="405" t="s">
        <v>20032</v>
      </c>
      <c r="N3415" s="405" t="s">
        <v>20033</v>
      </c>
      <c r="O3415" s="405" t="s">
        <v>22705</v>
      </c>
      <c r="P3415" s="405" t="s">
        <v>22706</v>
      </c>
      <c r="Q3415" s="411">
        <v>9</v>
      </c>
      <c r="R3415" s="405" t="s">
        <v>5858</v>
      </c>
      <c r="S3415" s="405" t="s">
        <v>27098</v>
      </c>
      <c r="T3415" s="405" t="s">
        <v>884</v>
      </c>
      <c r="U3415" s="405" t="s">
        <v>319</v>
      </c>
    </row>
    <row r="3416" spans="1:21" x14ac:dyDescent="0.25">
      <c r="A3416" s="405" t="s">
        <v>310</v>
      </c>
      <c r="B3416" s="405" t="s">
        <v>29066</v>
      </c>
      <c r="C3416" s="405" t="s">
        <v>327</v>
      </c>
      <c r="D3416" s="405"/>
      <c r="E3416" s="410">
        <v>42612</v>
      </c>
      <c r="F3416" s="410">
        <v>42657</v>
      </c>
      <c r="G3416" s="405" t="s">
        <v>15396</v>
      </c>
      <c r="H3416" s="405">
        <v>782194856</v>
      </c>
      <c r="I3416" s="405">
        <v>782612478</v>
      </c>
      <c r="J3416" s="405">
        <v>1.0421</v>
      </c>
      <c r="K3416" s="405">
        <v>34.331404999999997</v>
      </c>
      <c r="L3416" s="405" t="s">
        <v>6866</v>
      </c>
      <c r="M3416" s="405" t="s">
        <v>6867</v>
      </c>
      <c r="N3416" s="405" t="s">
        <v>11399</v>
      </c>
      <c r="O3416" s="405" t="s">
        <v>6869</v>
      </c>
      <c r="P3416" s="405" t="s">
        <v>15397</v>
      </c>
      <c r="Q3416" s="411">
        <v>6</v>
      </c>
      <c r="R3416" s="405" t="s">
        <v>6871</v>
      </c>
      <c r="S3416" s="405" t="s">
        <v>27074</v>
      </c>
      <c r="T3416" s="405" t="s">
        <v>884</v>
      </c>
      <c r="U3416" s="405" t="s">
        <v>319</v>
      </c>
    </row>
    <row r="3417" spans="1:21" x14ac:dyDescent="0.25">
      <c r="A3417" s="405" t="s">
        <v>310</v>
      </c>
      <c r="B3417" s="405" t="s">
        <v>15449</v>
      </c>
      <c r="C3417" s="405" t="s">
        <v>327</v>
      </c>
      <c r="D3417" s="405"/>
      <c r="E3417" s="410">
        <v>42612</v>
      </c>
      <c r="F3417" s="410">
        <v>42657</v>
      </c>
      <c r="G3417" s="405" t="s">
        <v>15450</v>
      </c>
      <c r="H3417" s="405">
        <v>779469281</v>
      </c>
      <c r="I3417" s="405"/>
      <c r="J3417" s="405">
        <v>0.53827800000000003</v>
      </c>
      <c r="K3417" s="405">
        <v>34.040658000000001</v>
      </c>
      <c r="L3417" s="405" t="s">
        <v>6866</v>
      </c>
      <c r="M3417" s="405" t="s">
        <v>10390</v>
      </c>
      <c r="N3417" s="405" t="s">
        <v>12174</v>
      </c>
      <c r="O3417" s="405" t="s">
        <v>12372</v>
      </c>
      <c r="P3417" s="405" t="s">
        <v>2617</v>
      </c>
      <c r="Q3417" s="411">
        <v>6</v>
      </c>
      <c r="R3417" s="405" t="s">
        <v>5655</v>
      </c>
      <c r="S3417" s="405" t="s">
        <v>27041</v>
      </c>
      <c r="T3417" s="406" t="s">
        <v>32746</v>
      </c>
      <c r="U3417" s="406" t="s">
        <v>2267</v>
      </c>
    </row>
    <row r="3418" spans="1:21" x14ac:dyDescent="0.25">
      <c r="A3418" s="405" t="s">
        <v>310</v>
      </c>
      <c r="B3418" s="405" t="s">
        <v>28234</v>
      </c>
      <c r="C3418" s="405" t="s">
        <v>327</v>
      </c>
      <c r="D3418" s="405"/>
      <c r="E3418" s="410">
        <v>42611</v>
      </c>
      <c r="F3418" s="410">
        <v>42656</v>
      </c>
      <c r="G3418" s="405" t="s">
        <v>15403</v>
      </c>
      <c r="H3418" s="405">
        <v>782498914</v>
      </c>
      <c r="I3418" s="405">
        <v>701498914</v>
      </c>
      <c r="J3418" s="405">
        <v>1.055957</v>
      </c>
      <c r="K3418" s="405">
        <v>34.198104000000001</v>
      </c>
      <c r="L3418" s="405" t="s">
        <v>6866</v>
      </c>
      <c r="M3418" s="405" t="s">
        <v>9514</v>
      </c>
      <c r="N3418" s="405" t="s">
        <v>9616</v>
      </c>
      <c r="O3418" s="405" t="s">
        <v>12702</v>
      </c>
      <c r="P3418" s="405" t="s">
        <v>15404</v>
      </c>
      <c r="Q3418" s="411">
        <v>6</v>
      </c>
      <c r="R3418" s="405" t="s">
        <v>7224</v>
      </c>
      <c r="S3418" s="405" t="s">
        <v>27067</v>
      </c>
      <c r="T3418" s="405" t="s">
        <v>32746</v>
      </c>
      <c r="U3418" s="405" t="s">
        <v>2267</v>
      </c>
    </row>
    <row r="3419" spans="1:21" x14ac:dyDescent="0.25">
      <c r="A3419" s="405" t="s">
        <v>310</v>
      </c>
      <c r="B3419" s="405" t="s">
        <v>15400</v>
      </c>
      <c r="C3419" s="405" t="s">
        <v>327</v>
      </c>
      <c r="D3419" s="405"/>
      <c r="E3419" s="410">
        <v>42611</v>
      </c>
      <c r="F3419" s="410">
        <v>42656</v>
      </c>
      <c r="G3419" s="405" t="s">
        <v>15401</v>
      </c>
      <c r="H3419" s="405">
        <v>783362865</v>
      </c>
      <c r="I3419" s="405"/>
      <c r="J3419" s="405">
        <v>1.104303</v>
      </c>
      <c r="K3419" s="405">
        <v>34.199916999999999</v>
      </c>
      <c r="L3419" s="405" t="s">
        <v>6866</v>
      </c>
      <c r="M3419" s="405" t="s">
        <v>9514</v>
      </c>
      <c r="N3419" s="405" t="s">
        <v>9722</v>
      </c>
      <c r="O3419" s="405" t="s">
        <v>9714</v>
      </c>
      <c r="P3419" s="405" t="s">
        <v>15402</v>
      </c>
      <c r="Q3419" s="411">
        <v>6</v>
      </c>
      <c r="R3419" s="405" t="s">
        <v>7224</v>
      </c>
      <c r="S3419" s="405" t="s">
        <v>27041</v>
      </c>
      <c r="T3419" s="405" t="s">
        <v>32746</v>
      </c>
      <c r="U3419" s="405" t="s">
        <v>2267</v>
      </c>
    </row>
    <row r="3420" spans="1:21" x14ac:dyDescent="0.25">
      <c r="A3420" s="405" t="s">
        <v>310</v>
      </c>
      <c r="B3420" s="405" t="s">
        <v>28100</v>
      </c>
      <c r="C3420" s="405" t="s">
        <v>327</v>
      </c>
      <c r="D3420" s="405"/>
      <c r="E3420" s="410">
        <v>42610</v>
      </c>
      <c r="F3420" s="410">
        <v>42655</v>
      </c>
      <c r="G3420" s="405" t="s">
        <v>15395</v>
      </c>
      <c r="H3420" s="405">
        <v>782528702</v>
      </c>
      <c r="I3420" s="405"/>
      <c r="J3420" s="405">
        <v>1.009112</v>
      </c>
      <c r="K3420" s="405">
        <v>34.359532999999999</v>
      </c>
      <c r="L3420" s="405" t="s">
        <v>6866</v>
      </c>
      <c r="M3420" s="405" t="s">
        <v>6867</v>
      </c>
      <c r="N3420" s="405" t="s">
        <v>11399</v>
      </c>
      <c r="O3420" s="405" t="s">
        <v>15393</v>
      </c>
      <c r="P3420" s="405" t="s">
        <v>15394</v>
      </c>
      <c r="Q3420" s="411">
        <v>6</v>
      </c>
      <c r="R3420" s="405" t="s">
        <v>6871</v>
      </c>
      <c r="S3420" s="405" t="s">
        <v>17013</v>
      </c>
      <c r="T3420" s="405" t="s">
        <v>32746</v>
      </c>
      <c r="U3420" s="405" t="s">
        <v>2267</v>
      </c>
    </row>
    <row r="3421" spans="1:21" x14ac:dyDescent="0.25">
      <c r="A3421" s="405" t="s">
        <v>310</v>
      </c>
      <c r="B3421" s="413" t="s">
        <v>28235</v>
      </c>
      <c r="C3421" s="413" t="s">
        <v>327</v>
      </c>
      <c r="D3421" s="413"/>
      <c r="E3421" s="418">
        <v>42607</v>
      </c>
      <c r="F3421" s="418">
        <v>42652</v>
      </c>
      <c r="G3421" s="413" t="s">
        <v>15819</v>
      </c>
      <c r="H3421" s="405">
        <v>782515468</v>
      </c>
      <c r="I3421" s="405"/>
      <c r="J3421" s="405">
        <v>1.030708</v>
      </c>
      <c r="K3421" s="405">
        <v>34.338276999999998</v>
      </c>
      <c r="L3421" s="405" t="s">
        <v>6866</v>
      </c>
      <c r="M3421" s="405" t="s">
        <v>6867</v>
      </c>
      <c r="N3421" s="405" t="s">
        <v>11399</v>
      </c>
      <c r="O3421" s="405" t="s">
        <v>9736</v>
      </c>
      <c r="P3421" s="405" t="s">
        <v>11750</v>
      </c>
      <c r="Q3421" s="411">
        <v>6</v>
      </c>
      <c r="R3421" s="405" t="s">
        <v>6871</v>
      </c>
      <c r="S3421" s="405" t="s">
        <v>27074</v>
      </c>
      <c r="T3421" s="405" t="s">
        <v>32746</v>
      </c>
      <c r="U3421" s="405" t="s">
        <v>2267</v>
      </c>
    </row>
    <row r="3422" spans="1:21" x14ac:dyDescent="0.25">
      <c r="A3422" s="405" t="s">
        <v>310</v>
      </c>
      <c r="B3422" s="405" t="s">
        <v>28609</v>
      </c>
      <c r="C3422" s="405" t="s">
        <v>327</v>
      </c>
      <c r="D3422" s="405"/>
      <c r="E3422" s="410">
        <v>42607</v>
      </c>
      <c r="F3422" s="410">
        <v>42652</v>
      </c>
      <c r="G3422" s="405" t="s">
        <v>15392</v>
      </c>
      <c r="H3422" s="405">
        <v>782321122</v>
      </c>
      <c r="I3422" s="405"/>
      <c r="J3422" s="405">
        <v>1.02247</v>
      </c>
      <c r="K3422" s="405">
        <v>34.368583000000001</v>
      </c>
      <c r="L3422" s="405" t="s">
        <v>6866</v>
      </c>
      <c r="M3422" s="405" t="s">
        <v>6867</v>
      </c>
      <c r="N3422" s="405" t="s">
        <v>11399</v>
      </c>
      <c r="O3422" s="405" t="s">
        <v>15393</v>
      </c>
      <c r="P3422" s="405" t="s">
        <v>15394</v>
      </c>
      <c r="Q3422" s="411">
        <v>6</v>
      </c>
      <c r="R3422" s="405" t="s">
        <v>6871</v>
      </c>
      <c r="S3422" s="405" t="s">
        <v>27306</v>
      </c>
      <c r="T3422" s="405" t="s">
        <v>32746</v>
      </c>
      <c r="U3422" s="405" t="s">
        <v>2267</v>
      </c>
    </row>
    <row r="3423" spans="1:21" x14ac:dyDescent="0.25">
      <c r="A3423" s="405" t="s">
        <v>310</v>
      </c>
      <c r="B3423" s="405" t="s">
        <v>29041</v>
      </c>
      <c r="C3423" s="405" t="s">
        <v>327</v>
      </c>
      <c r="D3423" s="405"/>
      <c r="E3423" s="410">
        <v>42607</v>
      </c>
      <c r="F3423" s="410">
        <v>42652</v>
      </c>
      <c r="G3423" s="405" t="s">
        <v>15398</v>
      </c>
      <c r="H3423" s="405">
        <v>772929389</v>
      </c>
      <c r="I3423" s="405"/>
      <c r="J3423" s="405">
        <v>1.015282</v>
      </c>
      <c r="K3423" s="405">
        <v>34.363545000000002</v>
      </c>
      <c r="L3423" s="405" t="s">
        <v>6866</v>
      </c>
      <c r="M3423" s="405" t="s">
        <v>6867</v>
      </c>
      <c r="N3423" s="405" t="s">
        <v>11399</v>
      </c>
      <c r="O3423" s="405" t="s">
        <v>15393</v>
      </c>
      <c r="P3423" s="405" t="s">
        <v>15399</v>
      </c>
      <c r="Q3423" s="411">
        <v>6</v>
      </c>
      <c r="R3423" s="405" t="s">
        <v>6871</v>
      </c>
      <c r="S3423" s="405" t="s">
        <v>17013</v>
      </c>
      <c r="T3423" s="405" t="s">
        <v>884</v>
      </c>
      <c r="U3423" s="405" t="s">
        <v>319</v>
      </c>
    </row>
    <row r="3424" spans="1:21" x14ac:dyDescent="0.25">
      <c r="A3424" s="405" t="s">
        <v>310</v>
      </c>
      <c r="B3424" s="405" t="s">
        <v>29060</v>
      </c>
      <c r="C3424" s="405" t="s">
        <v>311</v>
      </c>
      <c r="D3424" s="405" t="s">
        <v>932</v>
      </c>
      <c r="E3424" s="410">
        <v>42607</v>
      </c>
      <c r="F3424" s="410">
        <v>42652</v>
      </c>
      <c r="G3424" s="405" t="s">
        <v>15820</v>
      </c>
      <c r="H3424" s="405">
        <v>709605108</v>
      </c>
      <c r="I3424" s="405">
        <v>771463024</v>
      </c>
      <c r="J3424" s="405">
        <v>1.060378</v>
      </c>
      <c r="K3424" s="405">
        <v>34.365662</v>
      </c>
      <c r="L3424" s="405" t="s">
        <v>6866</v>
      </c>
      <c r="M3424" s="405" t="s">
        <v>6867</v>
      </c>
      <c r="N3424" s="405" t="s">
        <v>11399</v>
      </c>
      <c r="O3424" s="405" t="s">
        <v>15821</v>
      </c>
      <c r="P3424" s="405" t="s">
        <v>15822</v>
      </c>
      <c r="Q3424" s="411">
        <v>6</v>
      </c>
      <c r="R3424" s="405" t="s">
        <v>6871</v>
      </c>
      <c r="S3424" s="405" t="s">
        <v>27306</v>
      </c>
      <c r="T3424" s="406" t="s">
        <v>32746</v>
      </c>
      <c r="U3424" s="406" t="s">
        <v>2267</v>
      </c>
    </row>
    <row r="3425" spans="1:21" x14ac:dyDescent="0.25">
      <c r="A3425" s="405" t="s">
        <v>310</v>
      </c>
      <c r="B3425" s="405" t="s">
        <v>15445</v>
      </c>
      <c r="C3425" s="405" t="s">
        <v>327</v>
      </c>
      <c r="D3425" s="405"/>
      <c r="E3425" s="410">
        <v>42603</v>
      </c>
      <c r="F3425" s="410">
        <v>42648</v>
      </c>
      <c r="G3425" s="405" t="s">
        <v>15446</v>
      </c>
      <c r="H3425" s="405">
        <v>772457330</v>
      </c>
      <c r="I3425" s="405"/>
      <c r="J3425" s="405">
        <v>1.08416</v>
      </c>
      <c r="K3425" s="405">
        <v>34.173046999999997</v>
      </c>
      <c r="L3425" s="405" t="s">
        <v>6866</v>
      </c>
      <c r="M3425" s="405" t="s">
        <v>9514</v>
      </c>
      <c r="N3425" s="405" t="s">
        <v>9529</v>
      </c>
      <c r="O3425" s="405" t="s">
        <v>15447</v>
      </c>
      <c r="P3425" s="405" t="s">
        <v>15448</v>
      </c>
      <c r="Q3425" s="411">
        <v>6</v>
      </c>
      <c r="R3425" s="405" t="s">
        <v>7224</v>
      </c>
      <c r="S3425" s="405" t="s">
        <v>27358</v>
      </c>
      <c r="T3425" s="405" t="s">
        <v>32102</v>
      </c>
      <c r="U3425" s="405" t="s">
        <v>319</v>
      </c>
    </row>
    <row r="3426" spans="1:21" x14ac:dyDescent="0.25">
      <c r="A3426" s="405" t="s">
        <v>310</v>
      </c>
      <c r="B3426" s="405" t="s">
        <v>15383</v>
      </c>
      <c r="C3426" s="405" t="s">
        <v>327</v>
      </c>
      <c r="D3426" s="405"/>
      <c r="E3426" s="410">
        <v>42602</v>
      </c>
      <c r="F3426" s="410">
        <v>42658</v>
      </c>
      <c r="G3426" s="405" t="s">
        <v>15384</v>
      </c>
      <c r="H3426" s="405">
        <v>783522623</v>
      </c>
      <c r="I3426" s="405"/>
      <c r="J3426" s="405">
        <v>1.0522149999999999</v>
      </c>
      <c r="K3426" s="405">
        <v>34.368858000000003</v>
      </c>
      <c r="L3426" s="405" t="s">
        <v>6866</v>
      </c>
      <c r="M3426" s="405" t="s">
        <v>6867</v>
      </c>
      <c r="N3426" s="405" t="s">
        <v>11399</v>
      </c>
      <c r="O3426" s="405" t="s">
        <v>15300</v>
      </c>
      <c r="P3426" s="405" t="s">
        <v>15306</v>
      </c>
      <c r="Q3426" s="411">
        <v>6</v>
      </c>
      <c r="R3426" s="405" t="s">
        <v>6871</v>
      </c>
      <c r="S3426" s="405" t="s">
        <v>27074</v>
      </c>
      <c r="T3426" s="405" t="s">
        <v>32746</v>
      </c>
      <c r="U3426" s="405" t="s">
        <v>2267</v>
      </c>
    </row>
    <row r="3427" spans="1:21" x14ac:dyDescent="0.25">
      <c r="A3427" s="405" t="s">
        <v>310</v>
      </c>
      <c r="B3427" s="405" t="s">
        <v>15412</v>
      </c>
      <c r="C3427" s="405" t="s">
        <v>327</v>
      </c>
      <c r="D3427" s="405"/>
      <c r="E3427" s="410">
        <v>42602</v>
      </c>
      <c r="F3427" s="410">
        <v>42647</v>
      </c>
      <c r="G3427" s="405" t="s">
        <v>15413</v>
      </c>
      <c r="H3427" s="405">
        <v>785831406</v>
      </c>
      <c r="I3427" s="405"/>
      <c r="J3427" s="405">
        <v>1.1033029999999999</v>
      </c>
      <c r="K3427" s="405">
        <v>34.199916999999999</v>
      </c>
      <c r="L3427" s="405" t="s">
        <v>6866</v>
      </c>
      <c r="M3427" s="405" t="s">
        <v>9514</v>
      </c>
      <c r="N3427" s="405" t="s">
        <v>9722</v>
      </c>
      <c r="O3427" s="405" t="s">
        <v>9530</v>
      </c>
      <c r="P3427" s="405" t="s">
        <v>15361</v>
      </c>
      <c r="Q3427" s="411">
        <v>6</v>
      </c>
      <c r="R3427" s="405" t="s">
        <v>5655</v>
      </c>
      <c r="S3427" s="405" t="s">
        <v>27072</v>
      </c>
      <c r="T3427" s="405" t="s">
        <v>32746</v>
      </c>
      <c r="U3427" s="405" t="s">
        <v>2267</v>
      </c>
    </row>
    <row r="3428" spans="1:21" x14ac:dyDescent="0.25">
      <c r="A3428" s="405" t="s">
        <v>310</v>
      </c>
      <c r="B3428" s="405" t="s">
        <v>6162</v>
      </c>
      <c r="C3428" s="405" t="s">
        <v>327</v>
      </c>
      <c r="D3428" s="405"/>
      <c r="E3428" s="410">
        <v>42602</v>
      </c>
      <c r="F3428" s="410">
        <v>42647</v>
      </c>
      <c r="G3428" s="405" t="s">
        <v>6163</v>
      </c>
      <c r="H3428" s="405">
        <v>754111409</v>
      </c>
      <c r="I3428" s="405"/>
      <c r="J3428" s="405">
        <v>1.039982</v>
      </c>
      <c r="K3428" s="405">
        <v>34.022441999999998</v>
      </c>
      <c r="L3428" s="405" t="s">
        <v>314</v>
      </c>
      <c r="M3428" s="405" t="s">
        <v>329</v>
      </c>
      <c r="N3428" s="405" t="s">
        <v>5950</v>
      </c>
      <c r="O3428" s="405" t="s">
        <v>546</v>
      </c>
      <c r="P3428" s="405" t="s">
        <v>4840</v>
      </c>
      <c r="Q3428" s="411">
        <v>6</v>
      </c>
      <c r="R3428" s="405" t="s">
        <v>5336</v>
      </c>
      <c r="S3428" s="405" t="s">
        <v>27049</v>
      </c>
      <c r="T3428" s="405" t="s">
        <v>884</v>
      </c>
      <c r="U3428" s="405" t="s">
        <v>319</v>
      </c>
    </row>
    <row r="3429" spans="1:21" x14ac:dyDescent="0.25">
      <c r="A3429" s="405" t="s">
        <v>310</v>
      </c>
      <c r="B3429" s="405" t="s">
        <v>6158</v>
      </c>
      <c r="C3429" s="405" t="s">
        <v>327</v>
      </c>
      <c r="D3429" s="405"/>
      <c r="E3429" s="410">
        <v>42601</v>
      </c>
      <c r="F3429" s="410">
        <v>42646</v>
      </c>
      <c r="G3429" s="405" t="s">
        <v>6159</v>
      </c>
      <c r="H3429" s="405">
        <v>754837003</v>
      </c>
      <c r="I3429" s="405">
        <v>712837003</v>
      </c>
      <c r="J3429" s="405">
        <v>0.46051500000000001</v>
      </c>
      <c r="K3429" s="405">
        <v>32.189160000000001</v>
      </c>
      <c r="L3429" s="405" t="s">
        <v>314</v>
      </c>
      <c r="M3429" s="405" t="s">
        <v>675</v>
      </c>
      <c r="N3429" s="405" t="s">
        <v>1717</v>
      </c>
      <c r="O3429" s="405" t="s">
        <v>6160</v>
      </c>
      <c r="P3429" s="405" t="s">
        <v>6161</v>
      </c>
      <c r="Q3429" s="411">
        <v>9</v>
      </c>
      <c r="R3429" s="405" t="s">
        <v>5336</v>
      </c>
      <c r="S3429" s="405" t="s">
        <v>27047</v>
      </c>
      <c r="T3429" s="405" t="s">
        <v>32746</v>
      </c>
      <c r="U3429" s="405" t="s">
        <v>2267</v>
      </c>
    </row>
    <row r="3430" spans="1:21" x14ac:dyDescent="0.25">
      <c r="A3430" s="405" t="s">
        <v>310</v>
      </c>
      <c r="B3430" s="405" t="s">
        <v>29116</v>
      </c>
      <c r="C3430" s="405" t="s">
        <v>327</v>
      </c>
      <c r="D3430" s="405"/>
      <c r="E3430" s="410">
        <v>42601</v>
      </c>
      <c r="F3430" s="410">
        <v>42646</v>
      </c>
      <c r="G3430" s="405" t="s">
        <v>15390</v>
      </c>
      <c r="H3430" s="405">
        <v>774199042</v>
      </c>
      <c r="I3430" s="405"/>
      <c r="J3430" s="405">
        <v>1.024878</v>
      </c>
      <c r="K3430" s="405">
        <v>34.318424999999998</v>
      </c>
      <c r="L3430" s="405" t="s">
        <v>6866</v>
      </c>
      <c r="M3430" s="405" t="s">
        <v>6867</v>
      </c>
      <c r="N3430" s="405" t="s">
        <v>6867</v>
      </c>
      <c r="O3430" s="405" t="s">
        <v>10075</v>
      </c>
      <c r="P3430" s="405" t="s">
        <v>15391</v>
      </c>
      <c r="Q3430" s="411">
        <v>6</v>
      </c>
      <c r="R3430" s="405" t="s">
        <v>6871</v>
      </c>
      <c r="S3430" s="405" t="s">
        <v>27107</v>
      </c>
      <c r="T3430" s="405" t="s">
        <v>32746</v>
      </c>
      <c r="U3430" s="405" t="s">
        <v>2267</v>
      </c>
    </row>
    <row r="3431" spans="1:21" x14ac:dyDescent="0.25">
      <c r="A3431" s="405" t="s">
        <v>310</v>
      </c>
      <c r="B3431" s="405" t="s">
        <v>15302</v>
      </c>
      <c r="C3431" s="405" t="s">
        <v>327</v>
      </c>
      <c r="D3431" s="405"/>
      <c r="E3431" s="410">
        <v>42598</v>
      </c>
      <c r="F3431" s="410">
        <v>42643</v>
      </c>
      <c r="G3431" s="405" t="s">
        <v>15303</v>
      </c>
      <c r="H3431" s="405">
        <v>782259458</v>
      </c>
      <c r="I3431" s="405">
        <v>780674094</v>
      </c>
      <c r="J3431" s="405">
        <v>1.061285</v>
      </c>
      <c r="K3431" s="405">
        <v>34.363742000000002</v>
      </c>
      <c r="L3431" s="405" t="s">
        <v>6866</v>
      </c>
      <c r="M3431" s="405" t="s">
        <v>6867</v>
      </c>
      <c r="N3431" s="405" t="s">
        <v>11399</v>
      </c>
      <c r="O3431" s="405" t="s">
        <v>15300</v>
      </c>
      <c r="P3431" s="405" t="s">
        <v>15304</v>
      </c>
      <c r="Q3431" s="411">
        <v>6</v>
      </c>
      <c r="R3431" s="405" t="s">
        <v>6871</v>
      </c>
      <c r="S3431" s="405" t="s">
        <v>27306</v>
      </c>
      <c r="T3431" s="406" t="s">
        <v>32102</v>
      </c>
      <c r="U3431" s="406" t="s">
        <v>319</v>
      </c>
    </row>
    <row r="3432" spans="1:21" x14ac:dyDescent="0.25">
      <c r="A3432" s="405" t="s">
        <v>310</v>
      </c>
      <c r="B3432" s="405" t="s">
        <v>28251</v>
      </c>
      <c r="C3432" s="405" t="s">
        <v>327</v>
      </c>
      <c r="D3432" s="405"/>
      <c r="E3432" s="410">
        <v>42597</v>
      </c>
      <c r="F3432" s="410">
        <v>42642</v>
      </c>
      <c r="G3432" s="405" t="s">
        <v>15305</v>
      </c>
      <c r="H3432" s="405">
        <v>782497169</v>
      </c>
      <c r="I3432" s="405"/>
      <c r="J3432" s="405">
        <v>1.0535270000000001</v>
      </c>
      <c r="K3432" s="405">
        <v>34.365735000000001</v>
      </c>
      <c r="L3432" s="405" t="s">
        <v>6866</v>
      </c>
      <c r="M3432" s="405" t="s">
        <v>6867</v>
      </c>
      <c r="N3432" s="405" t="s">
        <v>11399</v>
      </c>
      <c r="O3432" s="405" t="s">
        <v>15300</v>
      </c>
      <c r="P3432" s="405" t="s">
        <v>15306</v>
      </c>
      <c r="Q3432" s="411">
        <v>6</v>
      </c>
      <c r="R3432" s="405" t="s">
        <v>6871</v>
      </c>
      <c r="S3432" s="405" t="s">
        <v>17013</v>
      </c>
      <c r="T3432" s="405" t="s">
        <v>32102</v>
      </c>
      <c r="U3432" s="405" t="s">
        <v>319</v>
      </c>
    </row>
    <row r="3433" spans="1:21" x14ac:dyDescent="0.25">
      <c r="A3433" s="405" t="s">
        <v>310</v>
      </c>
      <c r="B3433" s="405" t="s">
        <v>15298</v>
      </c>
      <c r="C3433" s="405" t="s">
        <v>327</v>
      </c>
      <c r="D3433" s="405"/>
      <c r="E3433" s="410">
        <v>42597</v>
      </c>
      <c r="F3433" s="410">
        <v>42642</v>
      </c>
      <c r="G3433" s="405" t="s">
        <v>15299</v>
      </c>
      <c r="H3433" s="405">
        <v>782093152</v>
      </c>
      <c r="I3433" s="405"/>
      <c r="J3433" s="405">
        <v>1.058235</v>
      </c>
      <c r="K3433" s="405">
        <v>34.361165</v>
      </c>
      <c r="L3433" s="405" t="s">
        <v>6866</v>
      </c>
      <c r="M3433" s="405" t="s">
        <v>6867</v>
      </c>
      <c r="N3433" s="405" t="s">
        <v>11399</v>
      </c>
      <c r="O3433" s="405" t="s">
        <v>15300</v>
      </c>
      <c r="P3433" s="405" t="s">
        <v>15301</v>
      </c>
      <c r="Q3433" s="411">
        <v>6</v>
      </c>
      <c r="R3433" s="405" t="s">
        <v>6871</v>
      </c>
      <c r="S3433" s="405" t="s">
        <v>17013</v>
      </c>
      <c r="T3433" s="406" t="s">
        <v>32102</v>
      </c>
      <c r="U3433" s="406" t="s">
        <v>319</v>
      </c>
    </row>
    <row r="3434" spans="1:21" x14ac:dyDescent="0.25">
      <c r="A3434" s="405" t="s">
        <v>310</v>
      </c>
      <c r="B3434" s="405" t="s">
        <v>15314</v>
      </c>
      <c r="C3434" s="405" t="s">
        <v>327</v>
      </c>
      <c r="D3434" s="405"/>
      <c r="E3434" s="410">
        <v>42596</v>
      </c>
      <c r="F3434" s="410">
        <v>42641</v>
      </c>
      <c r="G3434" s="405" t="s">
        <v>15315</v>
      </c>
      <c r="H3434" s="405">
        <v>784035071</v>
      </c>
      <c r="I3434" s="405"/>
      <c r="J3434" s="405">
        <v>2.6139999999999999</v>
      </c>
      <c r="K3434" s="405">
        <v>38.383299999999998</v>
      </c>
      <c r="L3434" s="405" t="s">
        <v>6866</v>
      </c>
      <c r="M3434" s="405" t="s">
        <v>13470</v>
      </c>
      <c r="N3434" s="405" t="s">
        <v>13471</v>
      </c>
      <c r="O3434" s="405" t="s">
        <v>14315</v>
      </c>
      <c r="P3434" s="405" t="s">
        <v>14369</v>
      </c>
      <c r="Q3434" s="411">
        <v>6</v>
      </c>
      <c r="R3434" s="405" t="s">
        <v>5655</v>
      </c>
      <c r="S3434" s="405" t="s">
        <v>27353</v>
      </c>
      <c r="T3434" s="406" t="s">
        <v>32746</v>
      </c>
      <c r="U3434" s="406" t="s">
        <v>2267</v>
      </c>
    </row>
    <row r="3435" spans="1:21" x14ac:dyDescent="0.25">
      <c r="A3435" s="405" t="s">
        <v>310</v>
      </c>
      <c r="B3435" s="405" t="s">
        <v>15319</v>
      </c>
      <c r="C3435" s="405" t="s">
        <v>857</v>
      </c>
      <c r="D3435" s="405" t="s">
        <v>33056</v>
      </c>
      <c r="E3435" s="410">
        <v>42595</v>
      </c>
      <c r="F3435" s="410">
        <v>42640</v>
      </c>
      <c r="G3435" s="405" t="s">
        <v>15320</v>
      </c>
      <c r="H3435" s="405">
        <v>773815563</v>
      </c>
      <c r="I3435" s="405"/>
      <c r="J3435" s="405">
        <v>1.655</v>
      </c>
      <c r="K3435" s="405">
        <v>34.125700000000002</v>
      </c>
      <c r="L3435" s="405" t="s">
        <v>6866</v>
      </c>
      <c r="M3435" s="405" t="s">
        <v>9514</v>
      </c>
      <c r="N3435" s="405" t="s">
        <v>9722</v>
      </c>
      <c r="O3435" s="405" t="s">
        <v>9530</v>
      </c>
      <c r="P3435" s="405" t="s">
        <v>9683</v>
      </c>
      <c r="Q3435" s="411">
        <v>6</v>
      </c>
      <c r="R3435" s="405" t="s">
        <v>5655</v>
      </c>
      <c r="S3435" s="405" t="s">
        <v>27072</v>
      </c>
      <c r="T3435" s="405" t="s">
        <v>32746</v>
      </c>
      <c r="U3435" s="405" t="s">
        <v>2267</v>
      </c>
    </row>
    <row r="3436" spans="1:21" x14ac:dyDescent="0.25">
      <c r="A3436" s="405" t="s">
        <v>310</v>
      </c>
      <c r="B3436" s="405" t="s">
        <v>29117</v>
      </c>
      <c r="C3436" s="405" t="s">
        <v>327</v>
      </c>
      <c r="D3436" s="405"/>
      <c r="E3436" s="410">
        <v>42594</v>
      </c>
      <c r="F3436" s="410">
        <v>42639</v>
      </c>
      <c r="G3436" s="405" t="s">
        <v>15291</v>
      </c>
      <c r="H3436" s="405">
        <v>781771952</v>
      </c>
      <c r="I3436" s="405"/>
      <c r="J3436" s="405">
        <v>1.3712629999999999</v>
      </c>
      <c r="K3436" s="405">
        <v>34.465432999999997</v>
      </c>
      <c r="L3436" s="405" t="s">
        <v>6866</v>
      </c>
      <c r="M3436" s="405" t="s">
        <v>10390</v>
      </c>
      <c r="N3436" s="405" t="s">
        <v>15292</v>
      </c>
      <c r="O3436" s="405" t="s">
        <v>15292</v>
      </c>
      <c r="P3436" s="405" t="s">
        <v>15292</v>
      </c>
      <c r="Q3436" s="411">
        <v>6</v>
      </c>
      <c r="R3436" s="405" t="s">
        <v>5655</v>
      </c>
      <c r="S3436" s="405" t="s">
        <v>27357</v>
      </c>
      <c r="T3436" s="405" t="s">
        <v>32746</v>
      </c>
      <c r="U3436" s="405" t="s">
        <v>2267</v>
      </c>
    </row>
    <row r="3437" spans="1:21" x14ac:dyDescent="0.25">
      <c r="A3437" s="405" t="s">
        <v>310</v>
      </c>
      <c r="B3437" s="405" t="s">
        <v>15376</v>
      </c>
      <c r="C3437" s="405" t="s">
        <v>327</v>
      </c>
      <c r="D3437" s="405"/>
      <c r="E3437" s="410">
        <v>42594</v>
      </c>
      <c r="F3437" s="410">
        <v>42639</v>
      </c>
      <c r="G3437" s="405" t="s">
        <v>15377</v>
      </c>
      <c r="H3437" s="405">
        <v>775770884</v>
      </c>
      <c r="I3437" s="405"/>
      <c r="J3437" s="405">
        <v>0.49250500000000003</v>
      </c>
      <c r="K3437" s="405">
        <v>34.050252999999998</v>
      </c>
      <c r="L3437" s="405" t="s">
        <v>6866</v>
      </c>
      <c r="M3437" s="405" t="s">
        <v>10390</v>
      </c>
      <c r="N3437" s="405" t="s">
        <v>12174</v>
      </c>
      <c r="O3437" s="405" t="s">
        <v>12372</v>
      </c>
      <c r="P3437" s="405" t="s">
        <v>15326</v>
      </c>
      <c r="Q3437" s="411">
        <v>6</v>
      </c>
      <c r="R3437" s="405" t="s">
        <v>5655</v>
      </c>
      <c r="S3437" s="405" t="s">
        <v>27353</v>
      </c>
      <c r="T3437" s="405" t="s">
        <v>32746</v>
      </c>
      <c r="U3437" s="405" t="s">
        <v>2267</v>
      </c>
    </row>
    <row r="3438" spans="1:21" x14ac:dyDescent="0.25">
      <c r="A3438" s="405" t="s">
        <v>310</v>
      </c>
      <c r="B3438" s="405" t="s">
        <v>15362</v>
      </c>
      <c r="C3438" s="405" t="s">
        <v>327</v>
      </c>
      <c r="D3438" s="405"/>
      <c r="E3438" s="410">
        <v>42593</v>
      </c>
      <c r="F3438" s="410">
        <v>42638</v>
      </c>
      <c r="G3438" s="405" t="s">
        <v>15363</v>
      </c>
      <c r="H3438" s="405">
        <v>785046382</v>
      </c>
      <c r="I3438" s="405"/>
      <c r="J3438" s="405">
        <v>1.4061319999999999</v>
      </c>
      <c r="K3438" s="405">
        <v>34.405202000000003</v>
      </c>
      <c r="L3438" s="405" t="s">
        <v>6866</v>
      </c>
      <c r="M3438" s="405" t="s">
        <v>13470</v>
      </c>
      <c r="N3438" s="405" t="s">
        <v>13471</v>
      </c>
      <c r="O3438" s="405" t="s">
        <v>14315</v>
      </c>
      <c r="P3438" s="405" t="s">
        <v>15364</v>
      </c>
      <c r="Q3438" s="411">
        <v>6</v>
      </c>
      <c r="R3438" s="405" t="s">
        <v>5655</v>
      </c>
      <c r="S3438" s="405" t="s">
        <v>27337</v>
      </c>
      <c r="T3438" s="405" t="s">
        <v>32746</v>
      </c>
      <c r="U3438" s="405" t="s">
        <v>2267</v>
      </c>
    </row>
    <row r="3439" spans="1:21" x14ac:dyDescent="0.25">
      <c r="A3439" s="405" t="s">
        <v>310</v>
      </c>
      <c r="B3439" s="405" t="s">
        <v>29040</v>
      </c>
      <c r="C3439" s="405" t="s">
        <v>327</v>
      </c>
      <c r="D3439" s="405"/>
      <c r="E3439" s="410">
        <v>42592</v>
      </c>
      <c r="F3439" s="410">
        <v>42637</v>
      </c>
      <c r="G3439" s="405" t="s">
        <v>15279</v>
      </c>
      <c r="H3439" s="405">
        <v>783049177</v>
      </c>
      <c r="I3439" s="405"/>
      <c r="J3439" s="405">
        <v>1.0591619999999999</v>
      </c>
      <c r="K3439" s="405">
        <v>34.352916999999998</v>
      </c>
      <c r="L3439" s="405" t="s">
        <v>6866</v>
      </c>
      <c r="M3439" s="405" t="s">
        <v>6867</v>
      </c>
      <c r="N3439" s="405" t="s">
        <v>11399</v>
      </c>
      <c r="O3439" s="405" t="s">
        <v>6869</v>
      </c>
      <c r="P3439" s="405" t="s">
        <v>15280</v>
      </c>
      <c r="Q3439" s="411">
        <v>6</v>
      </c>
      <c r="R3439" s="405" t="s">
        <v>6871</v>
      </c>
      <c r="S3439" s="405" t="s">
        <v>27306</v>
      </c>
      <c r="T3439" s="405" t="s">
        <v>32746</v>
      </c>
      <c r="U3439" s="405" t="s">
        <v>2267</v>
      </c>
    </row>
    <row r="3440" spans="1:21" x14ac:dyDescent="0.25">
      <c r="A3440" s="405" t="s">
        <v>310</v>
      </c>
      <c r="B3440" s="405" t="s">
        <v>15351</v>
      </c>
      <c r="C3440" s="405" t="s">
        <v>327</v>
      </c>
      <c r="D3440" s="405"/>
      <c r="E3440" s="410">
        <v>42592</v>
      </c>
      <c r="F3440" s="410">
        <v>42637</v>
      </c>
      <c r="G3440" s="405" t="s">
        <v>15352</v>
      </c>
      <c r="H3440" s="405">
        <v>757347131</v>
      </c>
      <c r="I3440" s="405"/>
      <c r="J3440" s="405">
        <v>0.87028399999999995</v>
      </c>
      <c r="K3440" s="405">
        <v>30.267318</v>
      </c>
      <c r="L3440" s="405" t="s">
        <v>6866</v>
      </c>
      <c r="M3440" s="405" t="s">
        <v>9514</v>
      </c>
      <c r="N3440" s="405" t="s">
        <v>9722</v>
      </c>
      <c r="O3440" s="405" t="s">
        <v>9530</v>
      </c>
      <c r="P3440" s="405" t="s">
        <v>13666</v>
      </c>
      <c r="Q3440" s="411">
        <v>6</v>
      </c>
      <c r="R3440" s="405" t="s">
        <v>5655</v>
      </c>
      <c r="S3440" s="405" t="s">
        <v>27056</v>
      </c>
      <c r="T3440" s="405" t="s">
        <v>32746</v>
      </c>
      <c r="U3440" s="405" t="s">
        <v>2267</v>
      </c>
    </row>
    <row r="3441" spans="1:21" x14ac:dyDescent="0.25">
      <c r="A3441" s="405" t="s">
        <v>310</v>
      </c>
      <c r="B3441" s="405" t="s">
        <v>15295</v>
      </c>
      <c r="C3441" s="405" t="s">
        <v>327</v>
      </c>
      <c r="D3441" s="405"/>
      <c r="E3441" s="410">
        <v>42592</v>
      </c>
      <c r="F3441" s="410">
        <v>42637</v>
      </c>
      <c r="G3441" s="405" t="s">
        <v>15296</v>
      </c>
      <c r="H3441" s="405">
        <v>773902106</v>
      </c>
      <c r="I3441" s="405"/>
      <c r="J3441" s="405">
        <v>1.0297829999999999</v>
      </c>
      <c r="K3441" s="405">
        <v>34.337257999999999</v>
      </c>
      <c r="L3441" s="405" t="s">
        <v>6866</v>
      </c>
      <c r="M3441" s="405" t="s">
        <v>6867</v>
      </c>
      <c r="N3441" s="405" t="s">
        <v>11399</v>
      </c>
      <c r="O3441" s="405" t="s">
        <v>9736</v>
      </c>
      <c r="P3441" s="405" t="s">
        <v>15297</v>
      </c>
      <c r="Q3441" s="411">
        <v>6</v>
      </c>
      <c r="R3441" s="405" t="s">
        <v>6871</v>
      </c>
      <c r="S3441" s="405" t="s">
        <v>27107</v>
      </c>
      <c r="T3441" s="405" t="s">
        <v>32746</v>
      </c>
      <c r="U3441" s="405" t="s">
        <v>2267</v>
      </c>
    </row>
    <row r="3442" spans="1:21" x14ac:dyDescent="0.25">
      <c r="A3442" s="405" t="s">
        <v>310</v>
      </c>
      <c r="B3442" s="405" t="s">
        <v>29064</v>
      </c>
      <c r="C3442" s="405" t="s">
        <v>327</v>
      </c>
      <c r="D3442" s="405"/>
      <c r="E3442" s="410">
        <v>42591</v>
      </c>
      <c r="F3442" s="410">
        <v>42636</v>
      </c>
      <c r="G3442" s="405" t="s">
        <v>15293</v>
      </c>
      <c r="H3442" s="405">
        <v>785757068</v>
      </c>
      <c r="I3442" s="405"/>
      <c r="J3442" s="405">
        <v>1.05393</v>
      </c>
      <c r="K3442" s="405">
        <v>34.352587</v>
      </c>
      <c r="L3442" s="405" t="s">
        <v>6866</v>
      </c>
      <c r="M3442" s="405" t="s">
        <v>6867</v>
      </c>
      <c r="N3442" s="405" t="s">
        <v>11399</v>
      </c>
      <c r="O3442" s="405" t="s">
        <v>6869</v>
      </c>
      <c r="P3442" s="405" t="s">
        <v>15294</v>
      </c>
      <c r="Q3442" s="411">
        <v>6</v>
      </c>
      <c r="R3442" s="405" t="s">
        <v>6871</v>
      </c>
      <c r="S3442" s="405" t="s">
        <v>27074</v>
      </c>
      <c r="T3442" s="405" t="s">
        <v>32102</v>
      </c>
      <c r="U3442" s="405" t="s">
        <v>319</v>
      </c>
    </row>
    <row r="3443" spans="1:21" x14ac:dyDescent="0.25">
      <c r="A3443" s="405" t="s">
        <v>310</v>
      </c>
      <c r="B3443" s="405" t="s">
        <v>15357</v>
      </c>
      <c r="C3443" s="405" t="s">
        <v>327</v>
      </c>
      <c r="D3443" s="405"/>
      <c r="E3443" s="410">
        <v>42590</v>
      </c>
      <c r="F3443" s="410">
        <v>42635</v>
      </c>
      <c r="G3443" s="405" t="s">
        <v>15358</v>
      </c>
      <c r="H3443" s="405">
        <v>788265103</v>
      </c>
      <c r="I3443" s="405"/>
      <c r="J3443" s="405">
        <v>1.407</v>
      </c>
      <c r="K3443" s="405">
        <v>34.431306999999997</v>
      </c>
      <c r="L3443" s="405" t="s">
        <v>6866</v>
      </c>
      <c r="M3443" s="405" t="s">
        <v>9514</v>
      </c>
      <c r="N3443" s="405" t="s">
        <v>9722</v>
      </c>
      <c r="O3443" s="405" t="s">
        <v>9530</v>
      </c>
      <c r="P3443" s="405" t="s">
        <v>9563</v>
      </c>
      <c r="Q3443" s="411">
        <v>6</v>
      </c>
      <c r="R3443" s="405" t="s">
        <v>5655</v>
      </c>
      <c r="S3443" s="405" t="s">
        <v>27086</v>
      </c>
      <c r="T3443" s="405" t="s">
        <v>32746</v>
      </c>
      <c r="U3443" s="405" t="s">
        <v>2267</v>
      </c>
    </row>
    <row r="3444" spans="1:21" x14ac:dyDescent="0.25">
      <c r="A3444" s="405" t="s">
        <v>310</v>
      </c>
      <c r="B3444" s="405" t="s">
        <v>15339</v>
      </c>
      <c r="C3444" s="405" t="s">
        <v>327</v>
      </c>
      <c r="D3444" s="405"/>
      <c r="E3444" s="410">
        <v>42589</v>
      </c>
      <c r="F3444" s="410">
        <v>42634</v>
      </c>
      <c r="G3444" s="405" t="s">
        <v>15340</v>
      </c>
      <c r="H3444" s="405">
        <v>779956273</v>
      </c>
      <c r="I3444" s="405"/>
      <c r="J3444" s="405">
        <v>0.50724199999999997</v>
      </c>
      <c r="K3444" s="405">
        <v>34.078994999999999</v>
      </c>
      <c r="L3444" s="405" t="s">
        <v>6866</v>
      </c>
      <c r="M3444" s="405" t="s">
        <v>10390</v>
      </c>
      <c r="N3444" s="405" t="s">
        <v>15268</v>
      </c>
      <c r="O3444" s="405" t="s">
        <v>15326</v>
      </c>
      <c r="P3444" s="405" t="s">
        <v>15341</v>
      </c>
      <c r="Q3444" s="411">
        <v>6</v>
      </c>
      <c r="R3444" s="405" t="s">
        <v>5655</v>
      </c>
      <c r="S3444" s="405" t="s">
        <v>27351</v>
      </c>
      <c r="T3444" s="405" t="s">
        <v>32746</v>
      </c>
      <c r="U3444" s="405" t="s">
        <v>2267</v>
      </c>
    </row>
    <row r="3445" spans="1:21" x14ac:dyDescent="0.25">
      <c r="A3445" s="405" t="s">
        <v>310</v>
      </c>
      <c r="B3445" s="405" t="s">
        <v>15332</v>
      </c>
      <c r="C3445" s="405" t="s">
        <v>327</v>
      </c>
      <c r="D3445" s="405"/>
      <c r="E3445" s="410">
        <v>42588</v>
      </c>
      <c r="F3445" s="410">
        <v>42633</v>
      </c>
      <c r="G3445" s="405" t="s">
        <v>15333</v>
      </c>
      <c r="H3445" s="405">
        <v>773905976</v>
      </c>
      <c r="I3445" s="405"/>
      <c r="J3445" s="405">
        <v>0.52362799999999998</v>
      </c>
      <c r="K3445" s="405">
        <v>34.069336999999997</v>
      </c>
      <c r="L3445" s="405" t="s">
        <v>6866</v>
      </c>
      <c r="M3445" s="405" t="s">
        <v>10390</v>
      </c>
      <c r="N3445" s="405" t="s">
        <v>15268</v>
      </c>
      <c r="O3445" s="405" t="s">
        <v>15326</v>
      </c>
      <c r="P3445" s="405" t="s">
        <v>15334</v>
      </c>
      <c r="Q3445" s="411">
        <v>6</v>
      </c>
      <c r="R3445" s="405" t="s">
        <v>5655</v>
      </c>
      <c r="S3445" s="405" t="s">
        <v>27346</v>
      </c>
      <c r="T3445" s="405" t="s">
        <v>884</v>
      </c>
      <c r="U3445" s="405" t="s">
        <v>319</v>
      </c>
    </row>
    <row r="3446" spans="1:21" x14ac:dyDescent="0.25">
      <c r="A3446" s="405" t="s">
        <v>310</v>
      </c>
      <c r="B3446" s="405" t="s">
        <v>15316</v>
      </c>
      <c r="C3446" s="405" t="s">
        <v>327</v>
      </c>
      <c r="D3446" s="405"/>
      <c r="E3446" s="410">
        <v>42588</v>
      </c>
      <c r="F3446" s="410">
        <v>42633</v>
      </c>
      <c r="G3446" s="405" t="s">
        <v>15317</v>
      </c>
      <c r="H3446" s="405">
        <v>772343916</v>
      </c>
      <c r="I3446" s="405"/>
      <c r="J3446" s="405">
        <v>1.9139999999999999</v>
      </c>
      <c r="K3446" s="405">
        <v>32.124899999999997</v>
      </c>
      <c r="L3446" s="405" t="s">
        <v>6866</v>
      </c>
      <c r="M3446" s="405" t="s">
        <v>9514</v>
      </c>
      <c r="N3446" s="405" t="s">
        <v>9722</v>
      </c>
      <c r="O3446" s="405" t="s">
        <v>9530</v>
      </c>
      <c r="P3446" s="405" t="s">
        <v>15318</v>
      </c>
      <c r="Q3446" s="411">
        <v>6</v>
      </c>
      <c r="R3446" s="405" t="s">
        <v>5655</v>
      </c>
      <c r="S3446" s="405" t="s">
        <v>27072</v>
      </c>
      <c r="T3446" s="406" t="s">
        <v>884</v>
      </c>
      <c r="U3446" s="406" t="s">
        <v>319</v>
      </c>
    </row>
    <row r="3447" spans="1:21" x14ac:dyDescent="0.25">
      <c r="A3447" s="405" t="s">
        <v>310</v>
      </c>
      <c r="B3447" s="405" t="s">
        <v>15373</v>
      </c>
      <c r="C3447" s="405" t="s">
        <v>327</v>
      </c>
      <c r="D3447" s="405"/>
      <c r="E3447" s="410">
        <v>42588</v>
      </c>
      <c r="F3447" s="410">
        <v>42633</v>
      </c>
      <c r="G3447" s="405" t="s">
        <v>15374</v>
      </c>
      <c r="H3447" s="405">
        <v>772836107</v>
      </c>
      <c r="I3447" s="405"/>
      <c r="J3447" s="405">
        <v>1.0747450000000001</v>
      </c>
      <c r="K3447" s="405">
        <v>34.198732999999997</v>
      </c>
      <c r="L3447" s="405" t="s">
        <v>6866</v>
      </c>
      <c r="M3447" s="405" t="s">
        <v>9514</v>
      </c>
      <c r="N3447" s="405" t="s">
        <v>10236</v>
      </c>
      <c r="O3447" s="405" t="s">
        <v>9681</v>
      </c>
      <c r="P3447" s="405" t="s">
        <v>15375</v>
      </c>
      <c r="Q3447" s="411">
        <v>6</v>
      </c>
      <c r="R3447" s="405" t="s">
        <v>6871</v>
      </c>
      <c r="S3447" s="405" t="s">
        <v>27306</v>
      </c>
      <c r="T3447" s="405" t="s">
        <v>32746</v>
      </c>
      <c r="U3447" s="405" t="s">
        <v>2267</v>
      </c>
    </row>
    <row r="3448" spans="1:21" x14ac:dyDescent="0.25">
      <c r="A3448" s="405" t="s">
        <v>310</v>
      </c>
      <c r="B3448" s="405" t="s">
        <v>15324</v>
      </c>
      <c r="C3448" s="405" t="s">
        <v>327</v>
      </c>
      <c r="D3448" s="405"/>
      <c r="E3448" s="410">
        <v>42587</v>
      </c>
      <c r="F3448" s="410">
        <v>42632</v>
      </c>
      <c r="G3448" s="405" t="s">
        <v>15325</v>
      </c>
      <c r="H3448" s="405">
        <v>782070399</v>
      </c>
      <c r="I3448" s="405"/>
      <c r="J3448" s="405">
        <v>0.54376199999999997</v>
      </c>
      <c r="K3448" s="405">
        <v>33.682344999999998</v>
      </c>
      <c r="L3448" s="405" t="s">
        <v>6866</v>
      </c>
      <c r="M3448" s="405" t="s">
        <v>10390</v>
      </c>
      <c r="N3448" s="405" t="s">
        <v>12174</v>
      </c>
      <c r="O3448" s="405" t="s">
        <v>15326</v>
      </c>
      <c r="P3448" s="405" t="s">
        <v>15327</v>
      </c>
      <c r="Q3448" s="411">
        <v>6</v>
      </c>
      <c r="R3448" s="405" t="s">
        <v>5655</v>
      </c>
      <c r="S3448" s="405" t="s">
        <v>27041</v>
      </c>
      <c r="T3448" s="405" t="s">
        <v>884</v>
      </c>
      <c r="U3448" s="405" t="s">
        <v>319</v>
      </c>
    </row>
    <row r="3449" spans="1:21" x14ac:dyDescent="0.25">
      <c r="A3449" s="405" t="s">
        <v>310</v>
      </c>
      <c r="B3449" s="405" t="s">
        <v>28390</v>
      </c>
      <c r="C3449" s="405" t="s">
        <v>327</v>
      </c>
      <c r="D3449" s="405"/>
      <c r="E3449" s="410">
        <v>42587</v>
      </c>
      <c r="F3449" s="410">
        <v>42632</v>
      </c>
      <c r="G3449" s="405" t="s">
        <v>15356</v>
      </c>
      <c r="H3449" s="405">
        <v>787575753</v>
      </c>
      <c r="I3449" s="405"/>
      <c r="J3449" s="405">
        <v>1.01064</v>
      </c>
      <c r="K3449" s="405">
        <v>34.048417000000001</v>
      </c>
      <c r="L3449" s="405" t="s">
        <v>6866</v>
      </c>
      <c r="M3449" s="405" t="s">
        <v>13470</v>
      </c>
      <c r="N3449" s="405" t="s">
        <v>13471</v>
      </c>
      <c r="O3449" s="405" t="s">
        <v>14315</v>
      </c>
      <c r="P3449" s="405" t="s">
        <v>15276</v>
      </c>
      <c r="Q3449" s="411">
        <v>6</v>
      </c>
      <c r="R3449" s="405" t="s">
        <v>5655</v>
      </c>
      <c r="S3449" s="405" t="s">
        <v>27337</v>
      </c>
      <c r="T3449" s="405" t="s">
        <v>32746</v>
      </c>
      <c r="U3449" s="405" t="s">
        <v>2267</v>
      </c>
    </row>
    <row r="3450" spans="1:21" x14ac:dyDescent="0.25">
      <c r="A3450" s="405" t="s">
        <v>310</v>
      </c>
      <c r="B3450" s="405" t="s">
        <v>55</v>
      </c>
      <c r="C3450" s="405" t="s">
        <v>327</v>
      </c>
      <c r="D3450" s="405"/>
      <c r="E3450" s="410">
        <v>42586</v>
      </c>
      <c r="F3450" s="410">
        <v>42644</v>
      </c>
      <c r="G3450" s="405" t="s">
        <v>15436</v>
      </c>
      <c r="H3450" s="405" t="s">
        <v>15437</v>
      </c>
      <c r="I3450" s="405" t="s">
        <v>15438</v>
      </c>
      <c r="J3450" s="405">
        <v>1.1607879999999999</v>
      </c>
      <c r="K3450" s="405">
        <v>34.203164999999998</v>
      </c>
      <c r="L3450" s="405" t="s">
        <v>6866</v>
      </c>
      <c r="M3450" s="405" t="s">
        <v>9514</v>
      </c>
      <c r="N3450" s="405" t="s">
        <v>15439</v>
      </c>
      <c r="O3450" s="405" t="s">
        <v>9530</v>
      </c>
      <c r="P3450" s="405" t="s">
        <v>14694</v>
      </c>
      <c r="Q3450" s="411">
        <v>6</v>
      </c>
      <c r="R3450" s="405" t="s">
        <v>7224</v>
      </c>
      <c r="S3450" s="405" t="s">
        <v>17062</v>
      </c>
      <c r="T3450" s="405" t="s">
        <v>884</v>
      </c>
      <c r="U3450" s="405" t="s">
        <v>319</v>
      </c>
    </row>
    <row r="3451" spans="1:21" x14ac:dyDescent="0.25">
      <c r="A3451" s="405" t="s">
        <v>310</v>
      </c>
      <c r="B3451" s="405" t="s">
        <v>27935</v>
      </c>
      <c r="C3451" s="405" t="s">
        <v>327</v>
      </c>
      <c r="D3451" s="405"/>
      <c r="E3451" s="410">
        <v>42582</v>
      </c>
      <c r="F3451" s="410">
        <v>42627</v>
      </c>
      <c r="G3451" s="405" t="s">
        <v>22694</v>
      </c>
      <c r="H3451" s="405">
        <v>777748958</v>
      </c>
      <c r="I3451" s="405">
        <v>706583044</v>
      </c>
      <c r="J3451" s="405">
        <v>0.38229999999999997</v>
      </c>
      <c r="K3451" s="405">
        <v>30.29</v>
      </c>
      <c r="L3451" s="405" t="s">
        <v>590</v>
      </c>
      <c r="M3451" s="405" t="s">
        <v>20125</v>
      </c>
      <c r="N3451" s="405" t="s">
        <v>20125</v>
      </c>
      <c r="O3451" s="405" t="s">
        <v>20853</v>
      </c>
      <c r="P3451" s="405" t="s">
        <v>22695</v>
      </c>
      <c r="Q3451" s="411">
        <v>13</v>
      </c>
      <c r="R3451" s="405" t="s">
        <v>6943</v>
      </c>
      <c r="S3451" s="405" t="s">
        <v>27280</v>
      </c>
      <c r="T3451" s="405" t="s">
        <v>32746</v>
      </c>
      <c r="U3451" s="405" t="s">
        <v>2267</v>
      </c>
    </row>
    <row r="3452" spans="1:21" x14ac:dyDescent="0.25">
      <c r="A3452" s="405" t="s">
        <v>310</v>
      </c>
      <c r="B3452" s="405" t="s">
        <v>15287</v>
      </c>
      <c r="C3452" s="405" t="s">
        <v>327</v>
      </c>
      <c r="D3452" s="405"/>
      <c r="E3452" s="410">
        <v>42581</v>
      </c>
      <c r="F3452" s="410">
        <v>42626</v>
      </c>
      <c r="G3452" s="405" t="s">
        <v>15288</v>
      </c>
      <c r="H3452" s="405">
        <v>775719203</v>
      </c>
      <c r="I3452" s="405"/>
      <c r="J3452" s="405">
        <v>0.25</v>
      </c>
      <c r="K3452" s="405">
        <v>34.405900000000003</v>
      </c>
      <c r="L3452" s="405" t="s">
        <v>6866</v>
      </c>
      <c r="M3452" s="405" t="s">
        <v>13470</v>
      </c>
      <c r="N3452" s="405" t="s">
        <v>15289</v>
      </c>
      <c r="O3452" s="405" t="s">
        <v>14315</v>
      </c>
      <c r="P3452" s="405" t="s">
        <v>15290</v>
      </c>
      <c r="Q3452" s="411">
        <v>6</v>
      </c>
      <c r="R3452" s="405" t="s">
        <v>5655</v>
      </c>
      <c r="S3452" s="405" t="s">
        <v>27357</v>
      </c>
      <c r="T3452" s="405" t="s">
        <v>32746</v>
      </c>
      <c r="U3452" s="405" t="s">
        <v>2267</v>
      </c>
    </row>
    <row r="3453" spans="1:21" x14ac:dyDescent="0.25">
      <c r="A3453" s="405" t="s">
        <v>310</v>
      </c>
      <c r="B3453" s="405" t="s">
        <v>15347</v>
      </c>
      <c r="C3453" s="405" t="s">
        <v>327</v>
      </c>
      <c r="D3453" s="405"/>
      <c r="E3453" s="410">
        <v>42581</v>
      </c>
      <c r="F3453" s="410">
        <v>42626</v>
      </c>
      <c r="G3453" s="405" t="s">
        <v>15348</v>
      </c>
      <c r="H3453" s="405">
        <v>776954194</v>
      </c>
      <c r="I3453" s="405"/>
      <c r="J3453" s="405">
        <v>1.7569999999999999</v>
      </c>
      <c r="K3453" s="405">
        <v>34.123699999999999</v>
      </c>
      <c r="L3453" s="405" t="s">
        <v>6866</v>
      </c>
      <c r="M3453" s="405" t="s">
        <v>9514</v>
      </c>
      <c r="N3453" s="405" t="s">
        <v>9722</v>
      </c>
      <c r="O3453" s="405" t="s">
        <v>9530</v>
      </c>
      <c r="P3453" s="405" t="s">
        <v>13526</v>
      </c>
      <c r="Q3453" s="411">
        <v>6</v>
      </c>
      <c r="R3453" s="405" t="s">
        <v>5655</v>
      </c>
      <c r="S3453" s="405" t="s">
        <v>27056</v>
      </c>
      <c r="T3453" s="405" t="s">
        <v>32746</v>
      </c>
      <c r="U3453" s="405" t="s">
        <v>2267</v>
      </c>
    </row>
    <row r="3454" spans="1:21" x14ac:dyDescent="0.25">
      <c r="A3454" s="405" t="s">
        <v>310</v>
      </c>
      <c r="B3454" s="405" t="s">
        <v>28454</v>
      </c>
      <c r="C3454" s="405" t="s">
        <v>327</v>
      </c>
      <c r="D3454" s="405"/>
      <c r="E3454" s="410">
        <v>42580</v>
      </c>
      <c r="F3454" s="410">
        <v>42625</v>
      </c>
      <c r="G3454" s="405" t="s">
        <v>15359</v>
      </c>
      <c r="H3454" s="405">
        <v>772916130</v>
      </c>
      <c r="I3454" s="405">
        <v>776166844</v>
      </c>
      <c r="J3454" s="405">
        <v>1.921</v>
      </c>
      <c r="K3454" s="405">
        <v>34.115900000000003</v>
      </c>
      <c r="L3454" s="405" t="s">
        <v>6866</v>
      </c>
      <c r="M3454" s="405" t="s">
        <v>9514</v>
      </c>
      <c r="N3454" s="405" t="s">
        <v>9722</v>
      </c>
      <c r="O3454" s="405" t="s">
        <v>9530</v>
      </c>
      <c r="P3454" s="405" t="s">
        <v>14694</v>
      </c>
      <c r="Q3454" s="411">
        <v>6</v>
      </c>
      <c r="R3454" s="405" t="s">
        <v>5655</v>
      </c>
      <c r="S3454" s="405" t="s">
        <v>27086</v>
      </c>
      <c r="T3454" s="405" t="s">
        <v>32746</v>
      </c>
      <c r="U3454" s="405" t="s">
        <v>2267</v>
      </c>
    </row>
    <row r="3455" spans="1:21" x14ac:dyDescent="0.25">
      <c r="A3455" s="405" t="s">
        <v>310</v>
      </c>
      <c r="B3455" s="405" t="s">
        <v>15353</v>
      </c>
      <c r="C3455" s="405" t="s">
        <v>327</v>
      </c>
      <c r="D3455" s="405"/>
      <c r="E3455" s="410">
        <v>42580</v>
      </c>
      <c r="F3455" s="410">
        <v>42625</v>
      </c>
      <c r="G3455" s="405" t="s">
        <v>15354</v>
      </c>
      <c r="H3455" s="405">
        <v>783294467</v>
      </c>
      <c r="I3455" s="405"/>
      <c r="J3455" s="405">
        <v>5.2374999999999998E-2</v>
      </c>
      <c r="K3455" s="405">
        <v>30.947285000000001</v>
      </c>
      <c r="L3455" s="405" t="s">
        <v>6866</v>
      </c>
      <c r="M3455" s="405" t="s">
        <v>13470</v>
      </c>
      <c r="N3455" s="405" t="s">
        <v>13471</v>
      </c>
      <c r="O3455" s="405" t="s">
        <v>14315</v>
      </c>
      <c r="P3455" s="405" t="s">
        <v>15355</v>
      </c>
      <c r="Q3455" s="411">
        <v>6</v>
      </c>
      <c r="R3455" s="405" t="s">
        <v>5655</v>
      </c>
      <c r="S3455" s="405" t="s">
        <v>27337</v>
      </c>
      <c r="T3455" s="405" t="s">
        <v>32746</v>
      </c>
      <c r="U3455" s="405" t="s">
        <v>2267</v>
      </c>
    </row>
    <row r="3456" spans="1:21" x14ac:dyDescent="0.25">
      <c r="A3456" s="405" t="s">
        <v>310</v>
      </c>
      <c r="B3456" s="405" t="s">
        <v>15378</v>
      </c>
      <c r="C3456" s="405" t="s">
        <v>327</v>
      </c>
      <c r="D3456" s="405"/>
      <c r="E3456" s="410">
        <v>42579</v>
      </c>
      <c r="F3456" s="410">
        <v>42624</v>
      </c>
      <c r="G3456" s="405" t="s">
        <v>15379</v>
      </c>
      <c r="H3456" s="405">
        <v>782721270</v>
      </c>
      <c r="I3456" s="405"/>
      <c r="J3456" s="405">
        <v>0.33160000000000001</v>
      </c>
      <c r="K3456" s="405">
        <v>34.238999999999997</v>
      </c>
      <c r="L3456" s="405" t="s">
        <v>6866</v>
      </c>
      <c r="M3456" s="405" t="s">
        <v>10390</v>
      </c>
      <c r="N3456" s="405" t="s">
        <v>12174</v>
      </c>
      <c r="O3456" s="405" t="s">
        <v>12372</v>
      </c>
      <c r="P3456" s="405" t="s">
        <v>2617</v>
      </c>
      <c r="Q3456" s="411">
        <v>6</v>
      </c>
      <c r="R3456" s="405" t="s">
        <v>5655</v>
      </c>
      <c r="S3456" s="405" t="s">
        <v>27072</v>
      </c>
      <c r="T3456" s="405" t="s">
        <v>32746</v>
      </c>
      <c r="U3456" s="405" t="s">
        <v>2267</v>
      </c>
    </row>
    <row r="3457" spans="1:21" x14ac:dyDescent="0.25">
      <c r="A3457" s="405" t="s">
        <v>310</v>
      </c>
      <c r="B3457" s="405" t="s">
        <v>18985</v>
      </c>
      <c r="C3457" s="405" t="s">
        <v>327</v>
      </c>
      <c r="D3457" s="405"/>
      <c r="E3457" s="410">
        <v>42578</v>
      </c>
      <c r="F3457" s="410">
        <v>42623</v>
      </c>
      <c r="G3457" s="405" t="s">
        <v>18986</v>
      </c>
      <c r="H3457" s="405">
        <v>772895435</v>
      </c>
      <c r="I3457" s="405"/>
      <c r="J3457" s="405">
        <v>2.7779400000000001</v>
      </c>
      <c r="K3457" s="405">
        <v>32.271317000000003</v>
      </c>
      <c r="L3457" s="405" t="s">
        <v>860</v>
      </c>
      <c r="M3457" s="405" t="s">
        <v>853</v>
      </c>
      <c r="N3457" s="405" t="s">
        <v>18246</v>
      </c>
      <c r="O3457" s="405" t="s">
        <v>18987</v>
      </c>
      <c r="P3457" s="405" t="s">
        <v>18988</v>
      </c>
      <c r="Q3457" s="411">
        <v>13</v>
      </c>
      <c r="R3457" s="405" t="s">
        <v>18919</v>
      </c>
      <c r="S3457" s="405" t="s">
        <v>27243</v>
      </c>
      <c r="T3457" s="405" t="s">
        <v>32746</v>
      </c>
      <c r="U3457" s="405" t="s">
        <v>2267</v>
      </c>
    </row>
    <row r="3458" spans="1:21" x14ac:dyDescent="0.25">
      <c r="A3458" s="405" t="s">
        <v>310</v>
      </c>
      <c r="B3458" s="405" t="s">
        <v>15284</v>
      </c>
      <c r="C3458" s="405" t="s">
        <v>857</v>
      </c>
      <c r="D3458" s="405" t="s">
        <v>33057</v>
      </c>
      <c r="E3458" s="410">
        <v>42578</v>
      </c>
      <c r="F3458" s="410">
        <v>42623</v>
      </c>
      <c r="G3458" s="405" t="s">
        <v>15285</v>
      </c>
      <c r="H3458" s="405">
        <v>772669686</v>
      </c>
      <c r="I3458" s="405"/>
      <c r="J3458" s="405">
        <v>0.33100000000000002</v>
      </c>
      <c r="K3458" s="405">
        <v>34.222999999999999</v>
      </c>
      <c r="L3458" s="405" t="s">
        <v>6866</v>
      </c>
      <c r="M3458" s="405" t="s">
        <v>10390</v>
      </c>
      <c r="N3458" s="405" t="s">
        <v>15286</v>
      </c>
      <c r="O3458" s="405" t="s">
        <v>12372</v>
      </c>
      <c r="P3458" s="405" t="s">
        <v>15246</v>
      </c>
      <c r="Q3458" s="411">
        <v>6</v>
      </c>
      <c r="R3458" s="405" t="s">
        <v>5655</v>
      </c>
      <c r="S3458" s="405" t="s">
        <v>27346</v>
      </c>
      <c r="T3458" s="405" t="s">
        <v>884</v>
      </c>
      <c r="U3458" s="405" t="s">
        <v>319</v>
      </c>
    </row>
    <row r="3459" spans="1:21" x14ac:dyDescent="0.25">
      <c r="A3459" s="405" t="s">
        <v>310</v>
      </c>
      <c r="B3459" s="405" t="s">
        <v>15310</v>
      </c>
      <c r="C3459" s="405" t="s">
        <v>327</v>
      </c>
      <c r="D3459" s="405"/>
      <c r="E3459" s="410">
        <v>42578</v>
      </c>
      <c r="F3459" s="410">
        <v>42623</v>
      </c>
      <c r="G3459" s="405" t="s">
        <v>15311</v>
      </c>
      <c r="H3459" s="405">
        <v>782038074</v>
      </c>
      <c r="I3459" s="405"/>
      <c r="J3459" s="405">
        <v>26.31</v>
      </c>
      <c r="K3459" s="405" t="s">
        <v>15312</v>
      </c>
      <c r="L3459" s="405" t="s">
        <v>6866</v>
      </c>
      <c r="M3459" s="405" t="s">
        <v>13470</v>
      </c>
      <c r="N3459" s="405" t="s">
        <v>15147</v>
      </c>
      <c r="O3459" s="405" t="s">
        <v>14315</v>
      </c>
      <c r="P3459" s="405" t="s">
        <v>15313</v>
      </c>
      <c r="Q3459" s="411">
        <v>6</v>
      </c>
      <c r="R3459" s="405" t="s">
        <v>5655</v>
      </c>
      <c r="S3459" s="405" t="s">
        <v>27072</v>
      </c>
      <c r="T3459" s="405" t="s">
        <v>884</v>
      </c>
      <c r="U3459" s="405" t="s">
        <v>319</v>
      </c>
    </row>
    <row r="3460" spans="1:21" x14ac:dyDescent="0.25">
      <c r="A3460" s="405" t="s">
        <v>310</v>
      </c>
      <c r="B3460" s="405" t="s">
        <v>22696</v>
      </c>
      <c r="C3460" s="405" t="s">
        <v>327</v>
      </c>
      <c r="D3460" s="405"/>
      <c r="E3460" s="410">
        <v>42577</v>
      </c>
      <c r="F3460" s="410">
        <v>42622</v>
      </c>
      <c r="G3460" s="405" t="s">
        <v>22697</v>
      </c>
      <c r="H3460" s="405">
        <v>256772325728</v>
      </c>
      <c r="I3460" s="405">
        <v>772325728</v>
      </c>
      <c r="J3460" s="405">
        <v>-0.67095199999999999</v>
      </c>
      <c r="K3460" s="405">
        <v>30.43178</v>
      </c>
      <c r="L3460" s="405" t="s">
        <v>590</v>
      </c>
      <c r="M3460" s="405" t="s">
        <v>19614</v>
      </c>
      <c r="N3460" s="405" t="s">
        <v>19654</v>
      </c>
      <c r="O3460" s="405" t="s">
        <v>20015</v>
      </c>
      <c r="P3460" s="405" t="s">
        <v>22698</v>
      </c>
      <c r="Q3460" s="411">
        <v>6</v>
      </c>
      <c r="R3460" s="405" t="s">
        <v>6572</v>
      </c>
      <c r="S3460" s="405" t="s">
        <v>27394</v>
      </c>
      <c r="T3460" s="405" t="s">
        <v>32102</v>
      </c>
      <c r="U3460" s="405" t="s">
        <v>319</v>
      </c>
    </row>
    <row r="3461" spans="1:21" x14ac:dyDescent="0.25">
      <c r="A3461" s="405" t="s">
        <v>310</v>
      </c>
      <c r="B3461" s="405" t="s">
        <v>22690</v>
      </c>
      <c r="C3461" s="405" t="s">
        <v>327</v>
      </c>
      <c r="D3461" s="405"/>
      <c r="E3461" s="410">
        <v>42576</v>
      </c>
      <c r="F3461" s="410">
        <v>42621</v>
      </c>
      <c r="G3461" s="405" t="s">
        <v>22691</v>
      </c>
      <c r="H3461" s="405">
        <v>752878851</v>
      </c>
      <c r="I3461" s="405"/>
      <c r="J3461" s="405">
        <v>-0.79661700000000002</v>
      </c>
      <c r="K3461" s="405">
        <v>29.928940999999998</v>
      </c>
      <c r="L3461" s="405" t="s">
        <v>590</v>
      </c>
      <c r="M3461" s="405" t="s">
        <v>19659</v>
      </c>
      <c r="N3461" s="405" t="s">
        <v>22692</v>
      </c>
      <c r="O3461" s="405" t="s">
        <v>19681</v>
      </c>
      <c r="P3461" s="405" t="s">
        <v>22693</v>
      </c>
      <c r="Q3461" s="411">
        <v>9</v>
      </c>
      <c r="R3461" s="405" t="s">
        <v>32166</v>
      </c>
      <c r="S3461" s="405" t="s">
        <v>27401</v>
      </c>
      <c r="T3461" s="405" t="s">
        <v>884</v>
      </c>
      <c r="U3461" s="405" t="s">
        <v>319</v>
      </c>
    </row>
    <row r="3462" spans="1:21" x14ac:dyDescent="0.25">
      <c r="A3462" s="405" t="s">
        <v>310</v>
      </c>
      <c r="B3462" s="405" t="s">
        <v>28431</v>
      </c>
      <c r="C3462" s="405" t="s">
        <v>327</v>
      </c>
      <c r="D3462" s="405"/>
      <c r="E3462" s="410">
        <v>42576</v>
      </c>
      <c r="F3462" s="410">
        <v>42621</v>
      </c>
      <c r="G3462" s="405" t="s">
        <v>15360</v>
      </c>
      <c r="H3462" s="405">
        <v>752275654</v>
      </c>
      <c r="I3462" s="405"/>
      <c r="J3462" s="405">
        <v>1.615</v>
      </c>
      <c r="K3462" s="405">
        <v>34.115699999999997</v>
      </c>
      <c r="L3462" s="405" t="s">
        <v>6866</v>
      </c>
      <c r="M3462" s="405" t="s">
        <v>9514</v>
      </c>
      <c r="N3462" s="405" t="s">
        <v>9529</v>
      </c>
      <c r="O3462" s="405" t="s">
        <v>9530</v>
      </c>
      <c r="P3462" s="405" t="s">
        <v>15361</v>
      </c>
      <c r="Q3462" s="411">
        <v>6</v>
      </c>
      <c r="R3462" s="405" t="s">
        <v>5655</v>
      </c>
      <c r="S3462" s="405" t="s">
        <v>27086</v>
      </c>
      <c r="T3462" s="405" t="s">
        <v>884</v>
      </c>
      <c r="U3462" s="405" t="s">
        <v>319</v>
      </c>
    </row>
    <row r="3463" spans="1:21" x14ac:dyDescent="0.25">
      <c r="A3463" s="405" t="s">
        <v>310</v>
      </c>
      <c r="B3463" s="405" t="s">
        <v>15344</v>
      </c>
      <c r="C3463" s="405" t="s">
        <v>327</v>
      </c>
      <c r="D3463" s="405"/>
      <c r="E3463" s="410">
        <v>42575</v>
      </c>
      <c r="F3463" s="410">
        <v>42620</v>
      </c>
      <c r="G3463" s="405" t="s">
        <v>15345</v>
      </c>
      <c r="H3463" s="405">
        <v>773851715</v>
      </c>
      <c r="I3463" s="405"/>
      <c r="J3463" s="405">
        <v>0.30589300000000003</v>
      </c>
      <c r="K3463" s="405">
        <v>30.434950000000001</v>
      </c>
      <c r="L3463" s="405" t="s">
        <v>6866</v>
      </c>
      <c r="M3463" s="405" t="s">
        <v>9514</v>
      </c>
      <c r="N3463" s="405" t="s">
        <v>9722</v>
      </c>
      <c r="O3463" s="405" t="s">
        <v>9530</v>
      </c>
      <c r="P3463" s="405" t="s">
        <v>15346</v>
      </c>
      <c r="Q3463" s="411">
        <v>6</v>
      </c>
      <c r="R3463" s="405" t="s">
        <v>5655</v>
      </c>
      <c r="S3463" s="405" t="s">
        <v>27056</v>
      </c>
      <c r="T3463" s="405" t="s">
        <v>884</v>
      </c>
      <c r="U3463" s="405" t="s">
        <v>319</v>
      </c>
    </row>
    <row r="3464" spans="1:21" x14ac:dyDescent="0.25">
      <c r="A3464" s="405" t="s">
        <v>310</v>
      </c>
      <c r="B3464" s="405" t="s">
        <v>15321</v>
      </c>
      <c r="C3464" s="405" t="s">
        <v>327</v>
      </c>
      <c r="D3464" s="405"/>
      <c r="E3464" s="410">
        <v>42573</v>
      </c>
      <c r="F3464" s="410">
        <v>42618</v>
      </c>
      <c r="G3464" s="405" t="s">
        <v>15322</v>
      </c>
      <c r="H3464" s="405">
        <v>782873124</v>
      </c>
      <c r="I3464" s="405"/>
      <c r="J3464" s="405">
        <v>0.54212700000000003</v>
      </c>
      <c r="K3464" s="405">
        <v>34.034807000000001</v>
      </c>
      <c r="L3464" s="405" t="s">
        <v>6866</v>
      </c>
      <c r="M3464" s="405" t="s">
        <v>10390</v>
      </c>
      <c r="N3464" s="405" t="s">
        <v>12174</v>
      </c>
      <c r="O3464" s="405" t="s">
        <v>12372</v>
      </c>
      <c r="P3464" s="405" t="s">
        <v>15323</v>
      </c>
      <c r="Q3464" s="411">
        <v>6</v>
      </c>
      <c r="R3464" s="405" t="s">
        <v>5655</v>
      </c>
      <c r="S3464" s="405" t="s">
        <v>27072</v>
      </c>
      <c r="T3464" s="405" t="s">
        <v>32102</v>
      </c>
      <c r="U3464" s="405" t="s">
        <v>319</v>
      </c>
    </row>
    <row r="3465" spans="1:21" x14ac:dyDescent="0.25">
      <c r="A3465" s="405" t="s">
        <v>310</v>
      </c>
      <c r="B3465" s="405" t="s">
        <v>18989</v>
      </c>
      <c r="C3465" s="405" t="s">
        <v>327</v>
      </c>
      <c r="D3465" s="405"/>
      <c r="E3465" s="410">
        <v>42572</v>
      </c>
      <c r="F3465" s="410">
        <v>42617</v>
      </c>
      <c r="G3465" s="405" t="s">
        <v>18990</v>
      </c>
      <c r="H3465" s="405">
        <v>782159373</v>
      </c>
      <c r="I3465" s="405"/>
      <c r="J3465" s="405">
        <v>2.500785</v>
      </c>
      <c r="K3465" s="405">
        <v>32.375982999999998</v>
      </c>
      <c r="L3465" s="405" t="s">
        <v>860</v>
      </c>
      <c r="M3465" s="405" t="s">
        <v>853</v>
      </c>
      <c r="N3465" s="405" t="s">
        <v>18349</v>
      </c>
      <c r="O3465" s="405" t="s">
        <v>18991</v>
      </c>
      <c r="P3465" s="405" t="s">
        <v>18992</v>
      </c>
      <c r="Q3465" s="411">
        <v>6</v>
      </c>
      <c r="R3465" s="405" t="s">
        <v>18919</v>
      </c>
      <c r="S3465" s="405" t="s">
        <v>27179</v>
      </c>
      <c r="T3465" s="405" t="s">
        <v>32746</v>
      </c>
      <c r="U3465" s="405" t="s">
        <v>2267</v>
      </c>
    </row>
    <row r="3466" spans="1:21" x14ac:dyDescent="0.25">
      <c r="A3466" s="405" t="s">
        <v>310</v>
      </c>
      <c r="B3466" s="405" t="s">
        <v>15281</v>
      </c>
      <c r="C3466" s="405" t="s">
        <v>327</v>
      </c>
      <c r="D3466" s="405"/>
      <c r="E3466" s="410">
        <v>42572</v>
      </c>
      <c r="F3466" s="410">
        <v>42617</v>
      </c>
      <c r="G3466" s="405" t="s">
        <v>15282</v>
      </c>
      <c r="H3466" s="405">
        <v>777829505</v>
      </c>
      <c r="I3466" s="405"/>
      <c r="J3466" s="405">
        <v>0.35489999999999999</v>
      </c>
      <c r="K3466" s="405">
        <v>34.244</v>
      </c>
      <c r="L3466" s="405" t="s">
        <v>6866</v>
      </c>
      <c r="M3466" s="405" t="s">
        <v>10390</v>
      </c>
      <c r="N3466" s="405" t="s">
        <v>12174</v>
      </c>
      <c r="O3466" s="405" t="s">
        <v>12372</v>
      </c>
      <c r="P3466" s="405" t="s">
        <v>15283</v>
      </c>
      <c r="Q3466" s="411">
        <v>6</v>
      </c>
      <c r="R3466" s="405" t="s">
        <v>5655</v>
      </c>
      <c r="S3466" s="405" t="s">
        <v>27346</v>
      </c>
      <c r="T3466" s="405" t="s">
        <v>32746</v>
      </c>
      <c r="U3466" s="405" t="s">
        <v>2267</v>
      </c>
    </row>
    <row r="3467" spans="1:21" x14ac:dyDescent="0.25">
      <c r="A3467" s="405" t="s">
        <v>310</v>
      </c>
      <c r="B3467" s="405" t="s">
        <v>6125</v>
      </c>
      <c r="C3467" s="405" t="s">
        <v>327</v>
      </c>
      <c r="D3467" s="405"/>
      <c r="E3467" s="410">
        <v>42571</v>
      </c>
      <c r="F3467" s="410">
        <v>42616</v>
      </c>
      <c r="G3467" s="405" t="s">
        <v>6126</v>
      </c>
      <c r="H3467" s="405">
        <v>702465108</v>
      </c>
      <c r="I3467" s="405">
        <v>704063832</v>
      </c>
      <c r="J3467" s="405">
        <v>31.233499999999999</v>
      </c>
      <c r="K3467" s="405">
        <v>50.515599999999999</v>
      </c>
      <c r="L3467" s="405" t="s">
        <v>314</v>
      </c>
      <c r="M3467" s="405" t="s">
        <v>1189</v>
      </c>
      <c r="N3467" s="405" t="s">
        <v>3837</v>
      </c>
      <c r="O3467" s="405" t="s">
        <v>6127</v>
      </c>
      <c r="P3467" s="405" t="s">
        <v>3837</v>
      </c>
      <c r="Q3467" s="411">
        <v>13</v>
      </c>
      <c r="R3467" s="405" t="s">
        <v>32166</v>
      </c>
      <c r="S3467" s="405" t="s">
        <v>27132</v>
      </c>
      <c r="T3467" s="405" t="s">
        <v>32746</v>
      </c>
      <c r="U3467" s="405" t="s">
        <v>2267</v>
      </c>
    </row>
    <row r="3468" spans="1:21" x14ac:dyDescent="0.25">
      <c r="A3468" s="405" t="s">
        <v>310</v>
      </c>
      <c r="B3468" s="405" t="s">
        <v>15342</v>
      </c>
      <c r="C3468" s="405" t="s">
        <v>327</v>
      </c>
      <c r="D3468" s="405"/>
      <c r="E3468" s="410">
        <v>42571</v>
      </c>
      <c r="F3468" s="410">
        <v>42616</v>
      </c>
      <c r="G3468" s="405" t="s">
        <v>15343</v>
      </c>
      <c r="H3468" s="405">
        <v>775984209</v>
      </c>
      <c r="I3468" s="405">
        <v>700848341</v>
      </c>
      <c r="J3468" s="405">
        <v>0.12393700000000001</v>
      </c>
      <c r="K3468" s="405">
        <v>30.396182</v>
      </c>
      <c r="L3468" s="405" t="s">
        <v>6866</v>
      </c>
      <c r="M3468" s="405" t="s">
        <v>10390</v>
      </c>
      <c r="N3468" s="405" t="s">
        <v>12174</v>
      </c>
      <c r="O3468" s="405" t="s">
        <v>12372</v>
      </c>
      <c r="P3468" s="405" t="s">
        <v>6888</v>
      </c>
      <c r="Q3468" s="411">
        <v>6</v>
      </c>
      <c r="R3468" s="405" t="s">
        <v>5655</v>
      </c>
      <c r="S3468" s="405" t="s">
        <v>27041</v>
      </c>
      <c r="T3468" s="405" t="s">
        <v>32746</v>
      </c>
      <c r="U3468" s="405" t="s">
        <v>2267</v>
      </c>
    </row>
    <row r="3469" spans="1:21" x14ac:dyDescent="0.25">
      <c r="A3469" s="405" t="s">
        <v>310</v>
      </c>
      <c r="B3469" s="405" t="s">
        <v>15307</v>
      </c>
      <c r="C3469" s="405" t="s">
        <v>327</v>
      </c>
      <c r="D3469" s="405"/>
      <c r="E3469" s="410">
        <v>42570</v>
      </c>
      <c r="F3469" s="410">
        <v>42615</v>
      </c>
      <c r="G3469" s="405" t="s">
        <v>15308</v>
      </c>
      <c r="H3469" s="405">
        <v>775044999</v>
      </c>
      <c r="I3469" s="405"/>
      <c r="J3469" s="405">
        <v>1.39076</v>
      </c>
      <c r="K3469" s="405">
        <v>34.429900000000004</v>
      </c>
      <c r="L3469" s="405" t="s">
        <v>6866</v>
      </c>
      <c r="M3469" s="405" t="s">
        <v>9685</v>
      </c>
      <c r="N3469" s="405" t="s">
        <v>9686</v>
      </c>
      <c r="O3469" s="405" t="s">
        <v>14943</v>
      </c>
      <c r="P3469" s="405" t="s">
        <v>15309</v>
      </c>
      <c r="Q3469" s="411">
        <v>6</v>
      </c>
      <c r="R3469" s="405" t="s">
        <v>9506</v>
      </c>
      <c r="S3469" s="405" t="s">
        <v>27169</v>
      </c>
      <c r="T3469" s="405" t="s">
        <v>32746</v>
      </c>
      <c r="U3469" s="405" t="s">
        <v>2267</v>
      </c>
    </row>
    <row r="3470" spans="1:21" x14ac:dyDescent="0.25">
      <c r="A3470" s="405" t="s">
        <v>310</v>
      </c>
      <c r="B3470" s="405" t="s">
        <v>15365</v>
      </c>
      <c r="C3470" s="405" t="s">
        <v>327</v>
      </c>
      <c r="D3470" s="405"/>
      <c r="E3470" s="410">
        <v>42569</v>
      </c>
      <c r="F3470" s="410">
        <v>42614</v>
      </c>
      <c r="G3470" s="405" t="s">
        <v>15366</v>
      </c>
      <c r="H3470" s="405">
        <v>775573890</v>
      </c>
      <c r="I3470" s="405"/>
      <c r="J3470" s="405">
        <v>0.44753999999999999</v>
      </c>
      <c r="K3470" s="405">
        <v>33.191898999999999</v>
      </c>
      <c r="L3470" s="405" t="s">
        <v>6866</v>
      </c>
      <c r="M3470" s="405" t="s">
        <v>9590</v>
      </c>
      <c r="N3470" s="405" t="s">
        <v>9591</v>
      </c>
      <c r="O3470" s="405" t="s">
        <v>9592</v>
      </c>
      <c r="P3470" s="405" t="s">
        <v>15367</v>
      </c>
      <c r="Q3470" s="411">
        <v>9</v>
      </c>
      <c r="R3470" s="405" t="s">
        <v>15368</v>
      </c>
      <c r="S3470" s="405" t="s">
        <v>27054</v>
      </c>
      <c r="T3470" s="405" t="s">
        <v>32746</v>
      </c>
      <c r="U3470" s="405" t="s">
        <v>2267</v>
      </c>
    </row>
    <row r="3471" spans="1:21" x14ac:dyDescent="0.25">
      <c r="A3471" s="405" t="s">
        <v>310</v>
      </c>
      <c r="B3471" s="405" t="s">
        <v>15221</v>
      </c>
      <c r="C3471" s="405" t="s">
        <v>327</v>
      </c>
      <c r="D3471" s="405"/>
      <c r="E3471" s="410">
        <v>42568</v>
      </c>
      <c r="F3471" s="410">
        <v>42613</v>
      </c>
      <c r="G3471" s="405" t="s">
        <v>15222</v>
      </c>
      <c r="H3471" s="405">
        <v>756959269</v>
      </c>
      <c r="I3471" s="405"/>
      <c r="J3471" s="405">
        <v>1.9573780000000001</v>
      </c>
      <c r="K3471" s="405">
        <v>32.989094999999999</v>
      </c>
      <c r="L3471" s="405" t="s">
        <v>6866</v>
      </c>
      <c r="M3471" s="405" t="s">
        <v>13470</v>
      </c>
      <c r="N3471" s="405" t="s">
        <v>13471</v>
      </c>
      <c r="O3471" s="405" t="s">
        <v>14315</v>
      </c>
      <c r="P3471" s="405" t="s">
        <v>15223</v>
      </c>
      <c r="Q3471" s="411">
        <v>6</v>
      </c>
      <c r="R3471" s="405" t="s">
        <v>5655</v>
      </c>
      <c r="S3471" s="405" t="s">
        <v>27357</v>
      </c>
      <c r="T3471" s="405" t="s">
        <v>32746</v>
      </c>
      <c r="U3471" s="405" t="s">
        <v>2267</v>
      </c>
    </row>
    <row r="3472" spans="1:21" x14ac:dyDescent="0.25">
      <c r="A3472" s="405" t="s">
        <v>310</v>
      </c>
      <c r="B3472" s="405" t="s">
        <v>15242</v>
      </c>
      <c r="C3472" s="405" t="s">
        <v>327</v>
      </c>
      <c r="D3472" s="405"/>
      <c r="E3472" s="410">
        <v>42567</v>
      </c>
      <c r="F3472" s="410">
        <v>42612</v>
      </c>
      <c r="G3472" s="405" t="s">
        <v>15243</v>
      </c>
      <c r="H3472" s="405">
        <v>782699364</v>
      </c>
      <c r="I3472" s="405"/>
      <c r="J3472" s="405">
        <v>0.25280000000000002</v>
      </c>
      <c r="K3472" s="405">
        <v>33.414200000000001</v>
      </c>
      <c r="L3472" s="405" t="s">
        <v>6866</v>
      </c>
      <c r="M3472" s="405" t="s">
        <v>13470</v>
      </c>
      <c r="N3472" s="405" t="s">
        <v>13471</v>
      </c>
      <c r="O3472" s="405" t="s">
        <v>14315</v>
      </c>
      <c r="P3472" s="405" t="s">
        <v>15223</v>
      </c>
      <c r="Q3472" s="411">
        <v>6</v>
      </c>
      <c r="R3472" s="405" t="s">
        <v>5655</v>
      </c>
      <c r="S3472" s="405" t="s">
        <v>27072</v>
      </c>
      <c r="T3472" s="405" t="s">
        <v>32746</v>
      </c>
      <c r="U3472" s="405" t="s">
        <v>2267</v>
      </c>
    </row>
    <row r="3473" spans="1:21" x14ac:dyDescent="0.25">
      <c r="A3473" s="405" t="s">
        <v>310</v>
      </c>
      <c r="B3473" s="405" t="s">
        <v>27662</v>
      </c>
      <c r="C3473" s="405" t="s">
        <v>327</v>
      </c>
      <c r="D3473" s="405"/>
      <c r="E3473" s="410">
        <v>42566</v>
      </c>
      <c r="F3473" s="410">
        <v>42611</v>
      </c>
      <c r="G3473" s="405" t="s">
        <v>15267</v>
      </c>
      <c r="H3473" s="405">
        <v>772464705</v>
      </c>
      <c r="I3473" s="405"/>
      <c r="J3473" s="405">
        <v>1.342679</v>
      </c>
      <c r="K3473" s="405">
        <v>34.382862000000003</v>
      </c>
      <c r="L3473" s="405" t="s">
        <v>6866</v>
      </c>
      <c r="M3473" s="405" t="s">
        <v>10390</v>
      </c>
      <c r="N3473" s="405" t="s">
        <v>15268</v>
      </c>
      <c r="O3473" s="405" t="s">
        <v>12372</v>
      </c>
      <c r="P3473" s="405" t="s">
        <v>15246</v>
      </c>
      <c r="Q3473" s="411">
        <v>6</v>
      </c>
      <c r="R3473" s="405" t="s">
        <v>5655</v>
      </c>
      <c r="S3473" s="405" t="s">
        <v>27086</v>
      </c>
      <c r="T3473" s="405" t="s">
        <v>32746</v>
      </c>
      <c r="U3473" s="405" t="s">
        <v>2267</v>
      </c>
    </row>
    <row r="3474" spans="1:21" x14ac:dyDescent="0.25">
      <c r="A3474" s="405" t="s">
        <v>310</v>
      </c>
      <c r="B3474" s="405" t="s">
        <v>15265</v>
      </c>
      <c r="C3474" s="405" t="s">
        <v>327</v>
      </c>
      <c r="D3474" s="405"/>
      <c r="E3474" s="410">
        <v>42565</v>
      </c>
      <c r="F3474" s="410">
        <v>42610</v>
      </c>
      <c r="G3474" s="405" t="s">
        <v>15266</v>
      </c>
      <c r="H3474" s="405">
        <v>777774410</v>
      </c>
      <c r="I3474" s="405"/>
      <c r="J3474" s="405">
        <v>0.109943</v>
      </c>
      <c r="K3474" s="405">
        <v>30.925633000000001</v>
      </c>
      <c r="L3474" s="405" t="s">
        <v>6866</v>
      </c>
      <c r="M3474" s="405" t="s">
        <v>9566</v>
      </c>
      <c r="N3474" s="405" t="s">
        <v>9787</v>
      </c>
      <c r="O3474" s="405" t="s">
        <v>9932</v>
      </c>
      <c r="P3474" s="405" t="s">
        <v>11270</v>
      </c>
      <c r="Q3474" s="411">
        <v>6</v>
      </c>
      <c r="R3474" s="405" t="s">
        <v>5655</v>
      </c>
      <c r="S3474" s="405" t="s">
        <v>27067</v>
      </c>
      <c r="T3474" s="405" t="s">
        <v>32746</v>
      </c>
      <c r="U3474" s="405" t="s">
        <v>2267</v>
      </c>
    </row>
    <row r="3475" spans="1:21" x14ac:dyDescent="0.25">
      <c r="A3475" s="405" t="s">
        <v>310</v>
      </c>
      <c r="B3475" s="405" t="s">
        <v>15250</v>
      </c>
      <c r="C3475" s="405" t="s">
        <v>327</v>
      </c>
      <c r="D3475" s="405"/>
      <c r="E3475" s="410">
        <v>42565</v>
      </c>
      <c r="F3475" s="410">
        <v>42610</v>
      </c>
      <c r="G3475" s="405" t="s">
        <v>15251</v>
      </c>
      <c r="H3475" s="405">
        <v>779883246</v>
      </c>
      <c r="I3475" s="405"/>
      <c r="J3475" s="405">
        <v>2.2607750000000002</v>
      </c>
      <c r="K3475" s="405">
        <v>32.900359999999999</v>
      </c>
      <c r="L3475" s="405" t="s">
        <v>6866</v>
      </c>
      <c r="M3475" s="405" t="s">
        <v>9658</v>
      </c>
      <c r="N3475" s="405" t="s">
        <v>11057</v>
      </c>
      <c r="O3475" s="405" t="s">
        <v>14099</v>
      </c>
      <c r="P3475" s="405" t="s">
        <v>14349</v>
      </c>
      <c r="Q3475" s="411">
        <v>6</v>
      </c>
      <c r="R3475" s="405" t="s">
        <v>5655</v>
      </c>
      <c r="S3475" s="405" t="s">
        <v>27056</v>
      </c>
      <c r="T3475" s="405" t="s">
        <v>32746</v>
      </c>
      <c r="U3475" s="405" t="s">
        <v>2267</v>
      </c>
    </row>
    <row r="3476" spans="1:21" x14ac:dyDescent="0.25">
      <c r="A3476" s="405" t="s">
        <v>310</v>
      </c>
      <c r="B3476" s="405" t="s">
        <v>15235</v>
      </c>
      <c r="C3476" s="405" t="s">
        <v>327</v>
      </c>
      <c r="D3476" s="405"/>
      <c r="E3476" s="410">
        <v>42564</v>
      </c>
      <c r="F3476" s="410">
        <v>42609</v>
      </c>
      <c r="G3476" s="405" t="s">
        <v>15236</v>
      </c>
      <c r="H3476" s="405">
        <v>752809710</v>
      </c>
      <c r="I3476" s="405"/>
      <c r="J3476" s="405">
        <v>0.76005</v>
      </c>
      <c r="K3476" s="405">
        <v>33.848638000000001</v>
      </c>
      <c r="L3476" s="405" t="s">
        <v>6866</v>
      </c>
      <c r="M3476" s="405" t="s">
        <v>9566</v>
      </c>
      <c r="N3476" s="405" t="s">
        <v>9787</v>
      </c>
      <c r="O3476" s="405" t="s">
        <v>13884</v>
      </c>
      <c r="P3476" s="405" t="s">
        <v>13884</v>
      </c>
      <c r="Q3476" s="411">
        <v>6</v>
      </c>
      <c r="R3476" s="405" t="s">
        <v>5655</v>
      </c>
      <c r="S3476" s="405" t="s">
        <v>27086</v>
      </c>
      <c r="T3476" s="405" t="s">
        <v>32746</v>
      </c>
      <c r="U3476" s="405" t="s">
        <v>2267</v>
      </c>
    </row>
    <row r="3477" spans="1:21" x14ac:dyDescent="0.25">
      <c r="A3477" s="405" t="s">
        <v>310</v>
      </c>
      <c r="B3477" s="405" t="s">
        <v>28402</v>
      </c>
      <c r="C3477" s="405" t="s">
        <v>327</v>
      </c>
      <c r="D3477" s="405"/>
      <c r="E3477" s="410">
        <v>42563</v>
      </c>
      <c r="F3477" s="410">
        <v>42608</v>
      </c>
      <c r="G3477" s="405" t="s">
        <v>22680</v>
      </c>
      <c r="H3477" s="405">
        <v>772674141</v>
      </c>
      <c r="I3477" s="405">
        <v>752530474</v>
      </c>
      <c r="J3477" s="405">
        <v>0.34179999999999999</v>
      </c>
      <c r="K3477" s="405">
        <v>30.72</v>
      </c>
      <c r="L3477" s="405" t="s">
        <v>590</v>
      </c>
      <c r="M3477" s="405" t="s">
        <v>19625</v>
      </c>
      <c r="N3477" s="405" t="s">
        <v>19979</v>
      </c>
      <c r="O3477" s="405" t="s">
        <v>19979</v>
      </c>
      <c r="P3477" s="405" t="s">
        <v>22681</v>
      </c>
      <c r="Q3477" s="411">
        <v>6</v>
      </c>
      <c r="R3477" s="405" t="s">
        <v>6943</v>
      </c>
      <c r="S3477" s="405" t="s">
        <v>27096</v>
      </c>
      <c r="T3477" s="405" t="s">
        <v>32746</v>
      </c>
      <c r="U3477" s="405" t="s">
        <v>2267</v>
      </c>
    </row>
    <row r="3478" spans="1:21" x14ac:dyDescent="0.25">
      <c r="A3478" s="405" t="s">
        <v>310</v>
      </c>
      <c r="B3478" s="405" t="s">
        <v>19378</v>
      </c>
      <c r="C3478" s="405" t="s">
        <v>311</v>
      </c>
      <c r="D3478" s="405" t="s">
        <v>932</v>
      </c>
      <c r="E3478" s="410">
        <v>42563</v>
      </c>
      <c r="F3478" s="410">
        <v>42608</v>
      </c>
      <c r="G3478" s="405" t="s">
        <v>19379</v>
      </c>
      <c r="H3478" s="405">
        <v>782991687</v>
      </c>
      <c r="I3478" s="405"/>
      <c r="J3478" s="405">
        <v>2.5095000000000001</v>
      </c>
      <c r="K3478" s="405">
        <v>32.372480000000003</v>
      </c>
      <c r="L3478" s="405" t="s">
        <v>860</v>
      </c>
      <c r="M3478" s="405" t="s">
        <v>853</v>
      </c>
      <c r="N3478" s="405" t="s">
        <v>18349</v>
      </c>
      <c r="O3478" s="405" t="s">
        <v>18991</v>
      </c>
      <c r="P3478" s="405" t="s">
        <v>19380</v>
      </c>
      <c r="Q3478" s="411">
        <v>6</v>
      </c>
      <c r="R3478" s="405" t="s">
        <v>18919</v>
      </c>
      <c r="S3478" s="405" t="s">
        <v>27179</v>
      </c>
      <c r="T3478" s="405" t="s">
        <v>32746</v>
      </c>
      <c r="U3478" s="405" t="s">
        <v>2267</v>
      </c>
    </row>
    <row r="3479" spans="1:21" x14ac:dyDescent="0.25">
      <c r="A3479" s="405" t="s">
        <v>310</v>
      </c>
      <c r="B3479" s="405" t="s">
        <v>15219</v>
      </c>
      <c r="C3479" s="405" t="s">
        <v>327</v>
      </c>
      <c r="D3479" s="405"/>
      <c r="E3479" s="410">
        <v>42562</v>
      </c>
      <c r="F3479" s="410">
        <v>42607</v>
      </c>
      <c r="G3479" s="405" t="s">
        <v>15220</v>
      </c>
      <c r="H3479" s="405">
        <v>782345028</v>
      </c>
      <c r="I3479" s="405">
        <v>778188785</v>
      </c>
      <c r="J3479" s="405">
        <v>0.60599199999999998</v>
      </c>
      <c r="K3479" s="405">
        <v>33.676834999999997</v>
      </c>
      <c r="L3479" s="405" t="s">
        <v>6866</v>
      </c>
      <c r="M3479" s="405" t="s">
        <v>13470</v>
      </c>
      <c r="N3479" s="405" t="s">
        <v>15147</v>
      </c>
      <c r="O3479" s="405" t="s">
        <v>14315</v>
      </c>
      <c r="P3479" s="405" t="s">
        <v>15119</v>
      </c>
      <c r="Q3479" s="411">
        <v>6</v>
      </c>
      <c r="R3479" s="405" t="s">
        <v>5655</v>
      </c>
      <c r="S3479" s="405" t="s">
        <v>27353</v>
      </c>
      <c r="T3479" s="405" t="s">
        <v>32746</v>
      </c>
      <c r="U3479" s="405" t="s">
        <v>2267</v>
      </c>
    </row>
    <row r="3480" spans="1:21" x14ac:dyDescent="0.25">
      <c r="A3480" s="405" t="s">
        <v>310</v>
      </c>
      <c r="B3480" s="405" t="s">
        <v>15263</v>
      </c>
      <c r="C3480" s="405" t="s">
        <v>327</v>
      </c>
      <c r="D3480" s="405"/>
      <c r="E3480" s="410">
        <v>42560</v>
      </c>
      <c r="F3480" s="410">
        <v>42605</v>
      </c>
      <c r="G3480" s="405" t="s">
        <v>15264</v>
      </c>
      <c r="H3480" s="405">
        <v>789733053</v>
      </c>
      <c r="I3480" s="405"/>
      <c r="J3480" s="405">
        <v>0.30728</v>
      </c>
      <c r="K3480" s="405">
        <v>32.657997999999999</v>
      </c>
      <c r="L3480" s="405" t="s">
        <v>6866</v>
      </c>
      <c r="M3480" s="405" t="s">
        <v>10390</v>
      </c>
      <c r="N3480" s="405" t="s">
        <v>12174</v>
      </c>
      <c r="O3480" s="405" t="s">
        <v>12372</v>
      </c>
      <c r="P3480" s="405" t="s">
        <v>15249</v>
      </c>
      <c r="Q3480" s="411">
        <v>6</v>
      </c>
      <c r="R3480" s="405" t="s">
        <v>5655</v>
      </c>
      <c r="S3480" s="405" t="s">
        <v>27351</v>
      </c>
      <c r="T3480" s="405" t="s">
        <v>32746</v>
      </c>
      <c r="U3480" s="405" t="s">
        <v>2267</v>
      </c>
    </row>
    <row r="3481" spans="1:21" x14ac:dyDescent="0.25">
      <c r="A3481" s="405" t="s">
        <v>310</v>
      </c>
      <c r="B3481" s="405" t="s">
        <v>15224</v>
      </c>
      <c r="C3481" s="405" t="s">
        <v>327</v>
      </c>
      <c r="D3481" s="405"/>
      <c r="E3481" s="410">
        <v>42560</v>
      </c>
      <c r="F3481" s="410">
        <v>42605</v>
      </c>
      <c r="G3481" s="405" t="s">
        <v>15225</v>
      </c>
      <c r="H3481" s="405">
        <v>752864082</v>
      </c>
      <c r="I3481" s="405"/>
      <c r="J3481" s="405">
        <v>0.60803300000000005</v>
      </c>
      <c r="K3481" s="405">
        <v>30.225325000000002</v>
      </c>
      <c r="L3481" s="405" t="s">
        <v>6866</v>
      </c>
      <c r="M3481" s="405" t="s">
        <v>13470</v>
      </c>
      <c r="N3481" s="405" t="s">
        <v>15155</v>
      </c>
      <c r="O3481" s="405" t="s">
        <v>14315</v>
      </c>
      <c r="P3481" s="405" t="s">
        <v>15226</v>
      </c>
      <c r="Q3481" s="411">
        <v>6</v>
      </c>
      <c r="R3481" s="405" t="s">
        <v>5655</v>
      </c>
      <c r="S3481" s="405" t="s">
        <v>27041</v>
      </c>
      <c r="T3481" s="405" t="s">
        <v>32746</v>
      </c>
      <c r="U3481" s="405" t="s">
        <v>2267</v>
      </c>
    </row>
    <row r="3482" spans="1:21" x14ac:dyDescent="0.25">
      <c r="A3482" s="405" t="s">
        <v>310</v>
      </c>
      <c r="B3482" s="405" t="s">
        <v>6113</v>
      </c>
      <c r="C3482" s="405" t="s">
        <v>327</v>
      </c>
      <c r="D3482" s="405"/>
      <c r="E3482" s="410">
        <v>42557</v>
      </c>
      <c r="F3482" s="410">
        <v>42602</v>
      </c>
      <c r="G3482" s="405" t="s">
        <v>6114</v>
      </c>
      <c r="H3482" s="405">
        <v>783602867</v>
      </c>
      <c r="I3482" s="405"/>
      <c r="J3482" s="405">
        <v>0.40439999999999998</v>
      </c>
      <c r="K3482" s="405">
        <v>32.141300000000001</v>
      </c>
      <c r="L3482" s="405" t="s">
        <v>314</v>
      </c>
      <c r="M3482" s="405" t="s">
        <v>2297</v>
      </c>
      <c r="N3482" s="405" t="s">
        <v>1308</v>
      </c>
      <c r="O3482" s="405" t="s">
        <v>2297</v>
      </c>
      <c r="P3482" s="405" t="s">
        <v>6115</v>
      </c>
      <c r="Q3482" s="411">
        <v>9</v>
      </c>
      <c r="R3482" s="405" t="s">
        <v>5903</v>
      </c>
      <c r="S3482" s="405" t="s">
        <v>27047</v>
      </c>
      <c r="T3482" s="405" t="s">
        <v>32746</v>
      </c>
      <c r="U3482" s="405" t="s">
        <v>2267</v>
      </c>
    </row>
    <row r="3483" spans="1:21" x14ac:dyDescent="0.25">
      <c r="A3483" s="405" t="s">
        <v>310</v>
      </c>
      <c r="B3483" s="405" t="s">
        <v>27851</v>
      </c>
      <c r="C3483" s="405" t="s">
        <v>311</v>
      </c>
      <c r="D3483" s="405" t="s">
        <v>1789</v>
      </c>
      <c r="E3483" s="410">
        <v>42557</v>
      </c>
      <c r="F3483" s="410">
        <v>42602</v>
      </c>
      <c r="G3483" s="405" t="s">
        <v>15633</v>
      </c>
      <c r="H3483" s="405">
        <v>779610700</v>
      </c>
      <c r="I3483" s="405">
        <v>759610700</v>
      </c>
      <c r="J3483" s="405">
        <v>1.496343</v>
      </c>
      <c r="K3483" s="405">
        <v>33.117547000000002</v>
      </c>
      <c r="L3483" s="405" t="s">
        <v>6866</v>
      </c>
      <c r="M3483" s="405" t="s">
        <v>9658</v>
      </c>
      <c r="N3483" s="405" t="s">
        <v>11057</v>
      </c>
      <c r="O3483" s="405" t="s">
        <v>14099</v>
      </c>
      <c r="P3483" s="405" t="s">
        <v>15047</v>
      </c>
      <c r="Q3483" s="411">
        <v>6</v>
      </c>
      <c r="R3483" s="405" t="s">
        <v>5655</v>
      </c>
      <c r="S3483" s="405" t="s">
        <v>27056</v>
      </c>
      <c r="T3483" s="405" t="s">
        <v>32746</v>
      </c>
      <c r="U3483" s="405" t="s">
        <v>2267</v>
      </c>
    </row>
    <row r="3484" spans="1:21" x14ac:dyDescent="0.25">
      <c r="A3484" s="405" t="s">
        <v>310</v>
      </c>
      <c r="B3484" s="405" t="s">
        <v>15217</v>
      </c>
      <c r="C3484" s="405" t="s">
        <v>327</v>
      </c>
      <c r="D3484" s="405"/>
      <c r="E3484" s="410">
        <v>42557</v>
      </c>
      <c r="F3484" s="410">
        <v>42602</v>
      </c>
      <c r="G3484" s="405" t="s">
        <v>15218</v>
      </c>
      <c r="H3484" s="405">
        <v>778188785</v>
      </c>
      <c r="I3484" s="405"/>
      <c r="J3484" s="405">
        <v>0.30509999999999998</v>
      </c>
      <c r="K3484" s="405">
        <v>33.421900000000001</v>
      </c>
      <c r="L3484" s="405" t="s">
        <v>6866</v>
      </c>
      <c r="M3484" s="405" t="s">
        <v>13470</v>
      </c>
      <c r="N3484" s="405" t="s">
        <v>15147</v>
      </c>
      <c r="O3484" s="405" t="s">
        <v>14315</v>
      </c>
      <c r="P3484" s="405" t="s">
        <v>15119</v>
      </c>
      <c r="Q3484" s="411">
        <v>6</v>
      </c>
      <c r="R3484" s="405" t="s">
        <v>5655</v>
      </c>
      <c r="S3484" s="405" t="s">
        <v>27353</v>
      </c>
      <c r="T3484" s="405" t="s">
        <v>32746</v>
      </c>
      <c r="U3484" s="405" t="s">
        <v>2267</v>
      </c>
    </row>
    <row r="3485" spans="1:21" x14ac:dyDescent="0.25">
      <c r="A3485" s="405" t="s">
        <v>310</v>
      </c>
      <c r="B3485" s="405" t="s">
        <v>28570</v>
      </c>
      <c r="C3485" s="405" t="s">
        <v>327</v>
      </c>
      <c r="D3485" s="405"/>
      <c r="E3485" s="410">
        <v>42556</v>
      </c>
      <c r="F3485" s="410">
        <v>42601</v>
      </c>
      <c r="G3485" s="405" t="s">
        <v>15237</v>
      </c>
      <c r="H3485" s="405">
        <v>755629760</v>
      </c>
      <c r="I3485" s="405"/>
      <c r="J3485" s="405">
        <v>0.96231500000000003</v>
      </c>
      <c r="K3485" s="405">
        <v>34.038865000000001</v>
      </c>
      <c r="L3485" s="405" t="s">
        <v>6866</v>
      </c>
      <c r="M3485" s="405" t="s">
        <v>9566</v>
      </c>
      <c r="N3485" s="405" t="s">
        <v>9787</v>
      </c>
      <c r="O3485" s="405" t="s">
        <v>9932</v>
      </c>
      <c r="P3485" s="405" t="s">
        <v>11270</v>
      </c>
      <c r="Q3485" s="411">
        <v>6</v>
      </c>
      <c r="R3485" s="405" t="s">
        <v>5655</v>
      </c>
      <c r="S3485" s="405" t="s">
        <v>27067</v>
      </c>
      <c r="T3485" s="405" t="s">
        <v>32746</v>
      </c>
      <c r="U3485" s="405" t="s">
        <v>2267</v>
      </c>
    </row>
    <row r="3486" spans="1:21" x14ac:dyDescent="0.25">
      <c r="A3486" s="405" t="s">
        <v>310</v>
      </c>
      <c r="B3486" s="405" t="s">
        <v>6074</v>
      </c>
      <c r="C3486" s="405" t="s">
        <v>327</v>
      </c>
      <c r="D3486" s="405"/>
      <c r="E3486" s="410">
        <v>42556</v>
      </c>
      <c r="F3486" s="410">
        <v>42601</v>
      </c>
      <c r="G3486" s="405" t="s">
        <v>6075</v>
      </c>
      <c r="H3486" s="405">
        <v>791613010</v>
      </c>
      <c r="I3486" s="405">
        <v>791613010</v>
      </c>
      <c r="J3486" s="405">
        <v>0.20799999999999999</v>
      </c>
      <c r="K3486" s="405">
        <v>31.462199999999999</v>
      </c>
      <c r="L3486" s="405" t="s">
        <v>314</v>
      </c>
      <c r="M3486" s="405" t="s">
        <v>382</v>
      </c>
      <c r="N3486" s="405" t="s">
        <v>941</v>
      </c>
      <c r="O3486" s="405" t="s">
        <v>1076</v>
      </c>
      <c r="P3486" s="405" t="s">
        <v>6076</v>
      </c>
      <c r="Q3486" s="411">
        <v>6</v>
      </c>
      <c r="R3486" s="405" t="s">
        <v>32101</v>
      </c>
      <c r="S3486" s="405" t="s">
        <v>27186</v>
      </c>
      <c r="T3486" s="405" t="s">
        <v>32746</v>
      </c>
      <c r="U3486" s="405" t="s">
        <v>2267</v>
      </c>
    </row>
    <row r="3487" spans="1:21" x14ac:dyDescent="0.25">
      <c r="A3487" s="405" t="s">
        <v>310</v>
      </c>
      <c r="B3487" s="405" t="s">
        <v>6070</v>
      </c>
      <c r="C3487" s="405" t="s">
        <v>327</v>
      </c>
      <c r="D3487" s="405"/>
      <c r="E3487" s="410">
        <v>42552</v>
      </c>
      <c r="F3487" s="410">
        <v>42597</v>
      </c>
      <c r="G3487" s="405" t="s">
        <v>6071</v>
      </c>
      <c r="H3487" s="405">
        <v>772633325</v>
      </c>
      <c r="I3487" s="405"/>
      <c r="J3487" s="405">
        <v>0.20599999999999999</v>
      </c>
      <c r="K3487" s="405">
        <v>32.305</v>
      </c>
      <c r="L3487" s="405" t="s">
        <v>314</v>
      </c>
      <c r="M3487" s="405" t="s">
        <v>361</v>
      </c>
      <c r="N3487" s="405" t="s">
        <v>6072</v>
      </c>
      <c r="O3487" s="405" t="s">
        <v>375</v>
      </c>
      <c r="P3487" s="405" t="s">
        <v>6073</v>
      </c>
      <c r="Q3487" s="411">
        <v>13</v>
      </c>
      <c r="R3487" s="405" t="s">
        <v>4176</v>
      </c>
      <c r="S3487" s="405" t="s">
        <v>27053</v>
      </c>
      <c r="T3487" s="405" t="s">
        <v>32746</v>
      </c>
      <c r="U3487" s="405" t="s">
        <v>2267</v>
      </c>
    </row>
    <row r="3488" spans="1:21" x14ac:dyDescent="0.25">
      <c r="A3488" s="405" t="s">
        <v>310</v>
      </c>
      <c r="B3488" s="405" t="s">
        <v>27892</v>
      </c>
      <c r="C3488" s="405" t="s">
        <v>327</v>
      </c>
      <c r="D3488" s="405"/>
      <c r="E3488" s="410">
        <v>42551</v>
      </c>
      <c r="F3488" s="410">
        <v>42596</v>
      </c>
      <c r="G3488" s="405" t="s">
        <v>15690</v>
      </c>
      <c r="H3488" s="405">
        <v>782914866</v>
      </c>
      <c r="I3488" s="405"/>
      <c r="J3488" s="405">
        <v>1.228</v>
      </c>
      <c r="K3488" s="405">
        <v>34.194800000000001</v>
      </c>
      <c r="L3488" s="405" t="s">
        <v>6866</v>
      </c>
      <c r="M3488" s="405" t="s">
        <v>6867</v>
      </c>
      <c r="N3488" s="405" t="s">
        <v>6868</v>
      </c>
      <c r="O3488" s="405" t="s">
        <v>6869</v>
      </c>
      <c r="P3488" s="405" t="s">
        <v>15691</v>
      </c>
      <c r="Q3488" s="411">
        <v>6</v>
      </c>
      <c r="R3488" s="405" t="s">
        <v>6871</v>
      </c>
      <c r="S3488" s="405" t="s">
        <v>27074</v>
      </c>
      <c r="T3488" s="405" t="s">
        <v>32746</v>
      </c>
      <c r="U3488" s="405" t="s">
        <v>2267</v>
      </c>
    </row>
    <row r="3489" spans="1:21" x14ac:dyDescent="0.25">
      <c r="A3489" s="405" t="s">
        <v>310</v>
      </c>
      <c r="B3489" s="405" t="s">
        <v>28199</v>
      </c>
      <c r="C3489" s="405" t="s">
        <v>327</v>
      </c>
      <c r="D3489" s="405"/>
      <c r="E3489" s="410">
        <v>42551</v>
      </c>
      <c r="F3489" s="410">
        <v>42596</v>
      </c>
      <c r="G3489" s="405" t="s">
        <v>15272</v>
      </c>
      <c r="H3489" s="405">
        <v>775303788</v>
      </c>
      <c r="I3489" s="405"/>
      <c r="J3489" s="405">
        <v>1.0125</v>
      </c>
      <c r="K3489" s="405">
        <v>34.201500000000003</v>
      </c>
      <c r="L3489" s="405" t="s">
        <v>6866</v>
      </c>
      <c r="M3489" s="405" t="s">
        <v>6867</v>
      </c>
      <c r="N3489" s="405" t="s">
        <v>6868</v>
      </c>
      <c r="O3489" s="405" t="s">
        <v>10075</v>
      </c>
      <c r="P3489" s="405" t="s">
        <v>15273</v>
      </c>
      <c r="Q3489" s="411">
        <v>6</v>
      </c>
      <c r="R3489" s="405" t="s">
        <v>6871</v>
      </c>
      <c r="S3489" s="405" t="s">
        <v>27074</v>
      </c>
      <c r="T3489" s="405" t="s">
        <v>32746</v>
      </c>
      <c r="U3489" s="405" t="s">
        <v>2267</v>
      </c>
    </row>
    <row r="3490" spans="1:21" x14ac:dyDescent="0.25">
      <c r="A3490" s="405" t="s">
        <v>310</v>
      </c>
      <c r="B3490" s="405" t="s">
        <v>15244</v>
      </c>
      <c r="C3490" s="405" t="s">
        <v>327</v>
      </c>
      <c r="D3490" s="405"/>
      <c r="E3490" s="410">
        <v>42551</v>
      </c>
      <c r="F3490" s="410">
        <v>42596</v>
      </c>
      <c r="G3490" s="405" t="s">
        <v>15245</v>
      </c>
      <c r="H3490" s="405">
        <v>782662734</v>
      </c>
      <c r="I3490" s="405">
        <v>704662734</v>
      </c>
      <c r="J3490" s="405">
        <v>0.55989199999999995</v>
      </c>
      <c r="K3490" s="405">
        <v>34.040388</v>
      </c>
      <c r="L3490" s="405" t="s">
        <v>6866</v>
      </c>
      <c r="M3490" s="405" t="s">
        <v>10390</v>
      </c>
      <c r="N3490" s="405" t="s">
        <v>12174</v>
      </c>
      <c r="O3490" s="405" t="s">
        <v>12372</v>
      </c>
      <c r="P3490" s="405" t="s">
        <v>15246</v>
      </c>
      <c r="Q3490" s="411">
        <v>6</v>
      </c>
      <c r="R3490" s="405" t="s">
        <v>5655</v>
      </c>
      <c r="S3490" s="405" t="s">
        <v>27351</v>
      </c>
      <c r="T3490" s="405" t="s">
        <v>32746</v>
      </c>
      <c r="U3490" s="405" t="s">
        <v>2267</v>
      </c>
    </row>
    <row r="3491" spans="1:21" x14ac:dyDescent="0.25">
      <c r="A3491" s="405" t="s">
        <v>310</v>
      </c>
      <c r="B3491" s="405" t="s">
        <v>15269</v>
      </c>
      <c r="C3491" s="405" t="s">
        <v>327</v>
      </c>
      <c r="D3491" s="405"/>
      <c r="E3491" s="410">
        <v>42551</v>
      </c>
      <c r="F3491" s="410">
        <v>42596</v>
      </c>
      <c r="G3491" s="405" t="s">
        <v>15270</v>
      </c>
      <c r="H3491" s="405">
        <v>778504026</v>
      </c>
      <c r="I3491" s="405"/>
      <c r="J3491" s="405">
        <v>1.030627</v>
      </c>
      <c r="K3491" s="405">
        <v>34.372782999999998</v>
      </c>
      <c r="L3491" s="405" t="s">
        <v>6866</v>
      </c>
      <c r="M3491" s="405" t="s">
        <v>6867</v>
      </c>
      <c r="N3491" s="405" t="s">
        <v>10297</v>
      </c>
      <c r="O3491" s="405" t="s">
        <v>12252</v>
      </c>
      <c r="P3491" s="405" t="s">
        <v>15271</v>
      </c>
      <c r="Q3491" s="411">
        <v>6</v>
      </c>
      <c r="R3491" s="405" t="s">
        <v>6871</v>
      </c>
      <c r="S3491" s="405" t="s">
        <v>27306</v>
      </c>
      <c r="T3491" s="405" t="s">
        <v>32746</v>
      </c>
      <c r="U3491" s="405" t="s">
        <v>2267</v>
      </c>
    </row>
    <row r="3492" spans="1:21" x14ac:dyDescent="0.25">
      <c r="A3492" s="405" t="s">
        <v>310</v>
      </c>
      <c r="B3492" s="405" t="s">
        <v>15256</v>
      </c>
      <c r="C3492" s="405" t="s">
        <v>327</v>
      </c>
      <c r="D3492" s="405"/>
      <c r="E3492" s="410">
        <v>42551</v>
      </c>
      <c r="F3492" s="410">
        <v>42596</v>
      </c>
      <c r="G3492" s="405" t="s">
        <v>15257</v>
      </c>
      <c r="H3492" s="405">
        <v>754955603</v>
      </c>
      <c r="I3492" s="405">
        <v>758015755</v>
      </c>
      <c r="J3492" s="405">
        <v>1.3855919999999999</v>
      </c>
      <c r="K3492" s="405">
        <v>34.42971</v>
      </c>
      <c r="L3492" s="405" t="s">
        <v>6866</v>
      </c>
      <c r="M3492" s="405" t="s">
        <v>9566</v>
      </c>
      <c r="N3492" s="405" t="s">
        <v>14784</v>
      </c>
      <c r="O3492" s="405" t="s">
        <v>13884</v>
      </c>
      <c r="P3492" s="405" t="s">
        <v>15258</v>
      </c>
      <c r="Q3492" s="411">
        <v>6</v>
      </c>
      <c r="R3492" s="405" t="s">
        <v>5655</v>
      </c>
      <c r="S3492" s="405" t="s">
        <v>27041</v>
      </c>
      <c r="T3492" s="405" t="s">
        <v>32746</v>
      </c>
      <c r="U3492" s="405" t="s">
        <v>2267</v>
      </c>
    </row>
    <row r="3493" spans="1:21" x14ac:dyDescent="0.25">
      <c r="A3493" s="405" t="s">
        <v>310</v>
      </c>
      <c r="B3493" s="405" t="s">
        <v>6085</v>
      </c>
      <c r="C3493" s="405" t="s">
        <v>327</v>
      </c>
      <c r="D3493" s="405"/>
      <c r="E3493" s="410">
        <v>42551</v>
      </c>
      <c r="F3493" s="410">
        <v>42596</v>
      </c>
      <c r="G3493" s="405" t="s">
        <v>6086</v>
      </c>
      <c r="H3493" s="405">
        <v>772493666</v>
      </c>
      <c r="I3493" s="405"/>
      <c r="J3493" s="405">
        <v>0.97983500000000001</v>
      </c>
      <c r="K3493" s="405">
        <v>31.217865</v>
      </c>
      <c r="L3493" s="405" t="s">
        <v>314</v>
      </c>
      <c r="M3493" s="405" t="s">
        <v>329</v>
      </c>
      <c r="N3493" s="405" t="s">
        <v>330</v>
      </c>
      <c r="O3493" s="405" t="s">
        <v>6087</v>
      </c>
      <c r="P3493" s="405" t="s">
        <v>2099</v>
      </c>
      <c r="Q3493" s="411">
        <v>6</v>
      </c>
      <c r="R3493" s="405" t="s">
        <v>5336</v>
      </c>
      <c r="S3493" s="405" t="s">
        <v>414</v>
      </c>
      <c r="T3493" s="405" t="s">
        <v>32746</v>
      </c>
      <c r="U3493" s="405" t="s">
        <v>2267</v>
      </c>
    </row>
    <row r="3494" spans="1:21" x14ac:dyDescent="0.25">
      <c r="A3494" s="405" t="s">
        <v>310</v>
      </c>
      <c r="B3494" s="405" t="s">
        <v>15240</v>
      </c>
      <c r="C3494" s="405" t="s">
        <v>327</v>
      </c>
      <c r="D3494" s="405"/>
      <c r="E3494" s="410">
        <v>42550</v>
      </c>
      <c r="F3494" s="410">
        <v>42595</v>
      </c>
      <c r="G3494" s="405" t="s">
        <v>15241</v>
      </c>
      <c r="H3494" s="405">
        <v>755608401</v>
      </c>
      <c r="I3494" s="405">
        <v>754948964</v>
      </c>
      <c r="J3494" s="405">
        <v>0.46300000000000002</v>
      </c>
      <c r="K3494" s="405">
        <v>33.5244</v>
      </c>
      <c r="L3494" s="405" t="s">
        <v>6866</v>
      </c>
      <c r="M3494" s="405" t="s">
        <v>9566</v>
      </c>
      <c r="N3494" s="405" t="s">
        <v>9788</v>
      </c>
      <c r="O3494" s="405" t="s">
        <v>9788</v>
      </c>
      <c r="P3494" s="405" t="s">
        <v>13879</v>
      </c>
      <c r="Q3494" s="411">
        <v>6</v>
      </c>
      <c r="R3494" s="405" t="s">
        <v>5655</v>
      </c>
      <c r="S3494" s="405" t="s">
        <v>27072</v>
      </c>
      <c r="T3494" s="405" t="s">
        <v>32746</v>
      </c>
      <c r="U3494" s="405" t="s">
        <v>2267</v>
      </c>
    </row>
    <row r="3495" spans="1:21" x14ac:dyDescent="0.25">
      <c r="A3495" s="405" t="s">
        <v>310</v>
      </c>
      <c r="B3495" s="405" t="s">
        <v>15232</v>
      </c>
      <c r="C3495" s="405" t="s">
        <v>327</v>
      </c>
      <c r="D3495" s="405"/>
      <c r="E3495" s="410">
        <v>42550</v>
      </c>
      <c r="F3495" s="410">
        <v>42595</v>
      </c>
      <c r="G3495" s="405" t="s">
        <v>15233</v>
      </c>
      <c r="H3495" s="405">
        <v>787814273</v>
      </c>
      <c r="I3495" s="405">
        <v>778097293</v>
      </c>
      <c r="J3495" s="405">
        <v>1.36</v>
      </c>
      <c r="K3495" s="405">
        <v>34.22</v>
      </c>
      <c r="L3495" s="405" t="s">
        <v>6866</v>
      </c>
      <c r="M3495" s="405" t="s">
        <v>6867</v>
      </c>
      <c r="N3495" s="405" t="s">
        <v>6868</v>
      </c>
      <c r="O3495" s="405" t="s">
        <v>6869</v>
      </c>
      <c r="P3495" s="405" t="s">
        <v>15234</v>
      </c>
      <c r="Q3495" s="411">
        <v>6</v>
      </c>
      <c r="R3495" s="405" t="s">
        <v>6871</v>
      </c>
      <c r="S3495" s="405" t="s">
        <v>17013</v>
      </c>
      <c r="T3495" s="405" t="s">
        <v>32746</v>
      </c>
      <c r="U3495" s="405" t="s">
        <v>2267</v>
      </c>
    </row>
    <row r="3496" spans="1:21" x14ac:dyDescent="0.25">
      <c r="A3496" s="405" t="s">
        <v>310</v>
      </c>
      <c r="B3496" s="405" t="s">
        <v>15227</v>
      </c>
      <c r="C3496" s="405" t="s">
        <v>327</v>
      </c>
      <c r="D3496" s="405"/>
      <c r="E3496" s="410">
        <v>42550</v>
      </c>
      <c r="F3496" s="410">
        <v>42595</v>
      </c>
      <c r="G3496" s="405" t="s">
        <v>15228</v>
      </c>
      <c r="H3496" s="405">
        <v>774662384</v>
      </c>
      <c r="I3496" s="405"/>
      <c r="J3496" s="405">
        <v>1.3011999999999999</v>
      </c>
      <c r="K3496" s="405">
        <v>33.750999999999998</v>
      </c>
      <c r="L3496" s="405" t="s">
        <v>6866</v>
      </c>
      <c r="M3496" s="405" t="s">
        <v>9658</v>
      </c>
      <c r="N3496" s="405" t="s">
        <v>11057</v>
      </c>
      <c r="O3496" s="405" t="s">
        <v>14099</v>
      </c>
      <c r="P3496" s="405" t="s">
        <v>15050</v>
      </c>
      <c r="Q3496" s="411">
        <v>6</v>
      </c>
      <c r="R3496" s="405" t="s">
        <v>5655</v>
      </c>
      <c r="S3496" s="405" t="s">
        <v>27056</v>
      </c>
      <c r="T3496" s="405" t="s">
        <v>32746</v>
      </c>
      <c r="U3496" s="405" t="s">
        <v>2267</v>
      </c>
    </row>
    <row r="3497" spans="1:21" x14ac:dyDescent="0.25">
      <c r="A3497" s="405" t="s">
        <v>310</v>
      </c>
      <c r="B3497" s="405" t="s">
        <v>18971</v>
      </c>
      <c r="C3497" s="405" t="s">
        <v>327</v>
      </c>
      <c r="D3497" s="405"/>
      <c r="E3497" s="410">
        <v>42550</v>
      </c>
      <c r="F3497" s="410">
        <v>42595</v>
      </c>
      <c r="G3497" s="405" t="s">
        <v>18972</v>
      </c>
      <c r="H3497" s="405">
        <v>773177335</v>
      </c>
      <c r="I3497" s="405"/>
      <c r="J3497" s="405">
        <v>2.72926</v>
      </c>
      <c r="K3497" s="405">
        <v>32.366022000000001</v>
      </c>
      <c r="L3497" s="405" t="s">
        <v>860</v>
      </c>
      <c r="M3497" s="405" t="s">
        <v>853</v>
      </c>
      <c r="N3497" s="405" t="s">
        <v>18311</v>
      </c>
      <c r="O3497" s="405" t="s">
        <v>18307</v>
      </c>
      <c r="P3497" s="405" t="s">
        <v>18973</v>
      </c>
      <c r="Q3497" s="411">
        <v>6</v>
      </c>
      <c r="R3497" s="405" t="s">
        <v>18919</v>
      </c>
      <c r="S3497" s="405" t="s">
        <v>27179</v>
      </c>
      <c r="T3497" s="405" t="s">
        <v>884</v>
      </c>
      <c r="U3497" s="405" t="s">
        <v>319</v>
      </c>
    </row>
    <row r="3498" spans="1:21" x14ac:dyDescent="0.25">
      <c r="A3498" s="405" t="s">
        <v>310</v>
      </c>
      <c r="B3498" s="405" t="s">
        <v>6947</v>
      </c>
      <c r="C3498" s="405" t="s">
        <v>311</v>
      </c>
      <c r="D3498" s="405" t="s">
        <v>839</v>
      </c>
      <c r="E3498" s="410">
        <v>42549</v>
      </c>
      <c r="F3498" s="410">
        <v>42967</v>
      </c>
      <c r="G3498" s="405" t="s">
        <v>6948</v>
      </c>
      <c r="H3498" s="405">
        <v>701506150</v>
      </c>
      <c r="I3498" s="405">
        <v>772506150</v>
      </c>
      <c r="J3498" s="405">
        <v>0.40464299999999997</v>
      </c>
      <c r="K3498" s="405">
        <v>32.438957000000002</v>
      </c>
      <c r="L3498" s="405" t="s">
        <v>314</v>
      </c>
      <c r="M3498" s="405" t="s">
        <v>361</v>
      </c>
      <c r="N3498" s="405" t="s">
        <v>6139</v>
      </c>
      <c r="O3498" s="405" t="s">
        <v>5703</v>
      </c>
      <c r="P3498" s="405" t="s">
        <v>6949</v>
      </c>
      <c r="Q3498" s="411">
        <v>13</v>
      </c>
      <c r="R3498" s="405" t="s">
        <v>414</v>
      </c>
      <c r="S3498" s="405" t="s">
        <v>414</v>
      </c>
      <c r="T3498" s="405" t="s">
        <v>884</v>
      </c>
      <c r="U3498" s="405" t="s">
        <v>319</v>
      </c>
    </row>
    <row r="3499" spans="1:21" x14ac:dyDescent="0.25">
      <c r="A3499" s="405" t="s">
        <v>310</v>
      </c>
      <c r="B3499" s="405" t="s">
        <v>15252</v>
      </c>
      <c r="C3499" s="405" t="s">
        <v>327</v>
      </c>
      <c r="D3499" s="405"/>
      <c r="E3499" s="410">
        <v>42549</v>
      </c>
      <c r="F3499" s="410">
        <v>42594</v>
      </c>
      <c r="G3499" s="405" t="s">
        <v>15253</v>
      </c>
      <c r="H3499" s="405">
        <v>782443190</v>
      </c>
      <c r="I3499" s="405">
        <v>758310139</v>
      </c>
      <c r="J3499" s="405">
        <v>0.50739500000000004</v>
      </c>
      <c r="K3499" s="405">
        <v>33.718192000000002</v>
      </c>
      <c r="L3499" s="405" t="s">
        <v>6866</v>
      </c>
      <c r="M3499" s="405" t="s">
        <v>9566</v>
      </c>
      <c r="N3499" s="405" t="s">
        <v>15254</v>
      </c>
      <c r="O3499" s="405" t="s">
        <v>9788</v>
      </c>
      <c r="P3499" s="405" t="s">
        <v>15255</v>
      </c>
      <c r="Q3499" s="411">
        <v>6</v>
      </c>
      <c r="R3499" s="405" t="s">
        <v>5655</v>
      </c>
      <c r="S3499" s="405" t="s">
        <v>27169</v>
      </c>
      <c r="T3499" s="405" t="s">
        <v>884</v>
      </c>
      <c r="U3499" s="405" t="s">
        <v>319</v>
      </c>
    </row>
    <row r="3500" spans="1:21" x14ac:dyDescent="0.25">
      <c r="A3500" s="405" t="s">
        <v>310</v>
      </c>
      <c r="B3500" s="405" t="s">
        <v>6102</v>
      </c>
      <c r="C3500" s="405" t="s">
        <v>327</v>
      </c>
      <c r="D3500" s="405"/>
      <c r="E3500" s="410">
        <v>42548</v>
      </c>
      <c r="F3500" s="410">
        <v>42593</v>
      </c>
      <c r="G3500" s="405" t="s">
        <v>6103</v>
      </c>
      <c r="H3500" s="405">
        <v>753423730</v>
      </c>
      <c r="I3500" s="405"/>
      <c r="J3500" s="405">
        <v>0.44400000000000001</v>
      </c>
      <c r="K3500" s="405">
        <v>31.241399999999999</v>
      </c>
      <c r="L3500" s="405" t="s">
        <v>314</v>
      </c>
      <c r="M3500" s="405" t="s">
        <v>343</v>
      </c>
      <c r="N3500" s="405" t="s">
        <v>6104</v>
      </c>
      <c r="O3500" s="405" t="s">
        <v>6105</v>
      </c>
      <c r="P3500" s="405" t="s">
        <v>6106</v>
      </c>
      <c r="Q3500" s="411">
        <v>13</v>
      </c>
      <c r="R3500" s="405" t="s">
        <v>32101</v>
      </c>
      <c r="S3500" s="405" t="s">
        <v>27186</v>
      </c>
      <c r="T3500" s="405" t="s">
        <v>884</v>
      </c>
      <c r="U3500" s="405" t="s">
        <v>319</v>
      </c>
    </row>
    <row r="3501" spans="1:21" x14ac:dyDescent="0.25">
      <c r="A3501" s="405" t="s">
        <v>310</v>
      </c>
      <c r="B3501" s="405" t="s">
        <v>15229</v>
      </c>
      <c r="C3501" s="405" t="s">
        <v>327</v>
      </c>
      <c r="D3501" s="405"/>
      <c r="E3501" s="410">
        <v>42548</v>
      </c>
      <c r="F3501" s="410">
        <v>42593</v>
      </c>
      <c r="G3501" s="405" t="s">
        <v>15230</v>
      </c>
      <c r="H3501" s="405">
        <v>782113894</v>
      </c>
      <c r="I3501" s="405">
        <v>783316478</v>
      </c>
      <c r="J3501" s="405">
        <v>0.44007800000000002</v>
      </c>
      <c r="K3501" s="405">
        <v>33.658361999999997</v>
      </c>
      <c r="L3501" s="405" t="s">
        <v>6866</v>
      </c>
      <c r="M3501" s="405" t="s">
        <v>10390</v>
      </c>
      <c r="N3501" s="405" t="s">
        <v>12372</v>
      </c>
      <c r="O3501" s="405" t="s">
        <v>12372</v>
      </c>
      <c r="P3501" s="405" t="s">
        <v>15231</v>
      </c>
      <c r="Q3501" s="411">
        <v>6</v>
      </c>
      <c r="R3501" s="405" t="s">
        <v>5655</v>
      </c>
      <c r="S3501" s="405" t="s">
        <v>27193</v>
      </c>
      <c r="T3501" s="405" t="s">
        <v>884</v>
      </c>
      <c r="U3501" s="405" t="s">
        <v>319</v>
      </c>
    </row>
    <row r="3502" spans="1:21" x14ac:dyDescent="0.25">
      <c r="A3502" s="405" t="s">
        <v>310</v>
      </c>
      <c r="B3502" s="405" t="s">
        <v>18978</v>
      </c>
      <c r="C3502" s="405" t="s">
        <v>327</v>
      </c>
      <c r="D3502" s="405"/>
      <c r="E3502" s="410">
        <v>42548</v>
      </c>
      <c r="F3502" s="410">
        <v>42593</v>
      </c>
      <c r="G3502" s="405" t="s">
        <v>18979</v>
      </c>
      <c r="H3502" s="405">
        <v>782992227</v>
      </c>
      <c r="I3502" s="405"/>
      <c r="J3502" s="405">
        <v>2.7205870000000001</v>
      </c>
      <c r="K3502" s="405">
        <v>32.283208000000002</v>
      </c>
      <c r="L3502" s="405" t="s">
        <v>860</v>
      </c>
      <c r="M3502" s="405" t="s">
        <v>853</v>
      </c>
      <c r="N3502" s="405" t="s">
        <v>18311</v>
      </c>
      <c r="O3502" s="405" t="s">
        <v>18307</v>
      </c>
      <c r="P3502" s="405" t="s">
        <v>18980</v>
      </c>
      <c r="Q3502" s="411">
        <v>6</v>
      </c>
      <c r="R3502" s="405" t="s">
        <v>18919</v>
      </c>
      <c r="S3502" s="405" t="s">
        <v>27179</v>
      </c>
      <c r="T3502" s="405" t="s">
        <v>884</v>
      </c>
      <c r="U3502" s="405" t="s">
        <v>319</v>
      </c>
    </row>
    <row r="3503" spans="1:21" x14ac:dyDescent="0.25">
      <c r="A3503" s="405" t="s">
        <v>310</v>
      </c>
      <c r="B3503" s="405" t="s">
        <v>22685</v>
      </c>
      <c r="C3503" s="405" t="s">
        <v>327</v>
      </c>
      <c r="D3503" s="405"/>
      <c r="E3503" s="410">
        <v>42544</v>
      </c>
      <c r="F3503" s="410">
        <v>42589</v>
      </c>
      <c r="G3503" s="405" t="s">
        <v>22686</v>
      </c>
      <c r="H3503" s="405">
        <v>779496466</v>
      </c>
      <c r="I3503" s="405"/>
      <c r="J3503" s="405">
        <v>0.68799500000000002</v>
      </c>
      <c r="K3503" s="405">
        <v>30.702252999999999</v>
      </c>
      <c r="L3503" s="405" t="s">
        <v>590</v>
      </c>
      <c r="M3503" s="405" t="s">
        <v>22687</v>
      </c>
      <c r="N3503" s="405" t="s">
        <v>880</v>
      </c>
      <c r="O3503" s="405" t="s">
        <v>22688</v>
      </c>
      <c r="P3503" s="405" t="s">
        <v>22689</v>
      </c>
      <c r="Q3503" s="411">
        <v>9</v>
      </c>
      <c r="R3503" s="405" t="s">
        <v>883</v>
      </c>
      <c r="S3503" s="405" t="s">
        <v>27097</v>
      </c>
      <c r="T3503" s="405" t="s">
        <v>865</v>
      </c>
      <c r="U3503" s="405" t="s">
        <v>866</v>
      </c>
    </row>
    <row r="3504" spans="1:21" x14ac:dyDescent="0.25">
      <c r="A3504" s="405" t="s">
        <v>310</v>
      </c>
      <c r="B3504" s="405" t="s">
        <v>15649</v>
      </c>
      <c r="C3504" s="405" t="s">
        <v>311</v>
      </c>
      <c r="D3504" s="405" t="s">
        <v>839</v>
      </c>
      <c r="E3504" s="410">
        <v>42544</v>
      </c>
      <c r="F3504" s="410">
        <v>42589</v>
      </c>
      <c r="G3504" s="405" t="s">
        <v>15650</v>
      </c>
      <c r="H3504" s="405">
        <v>755226674</v>
      </c>
      <c r="I3504" s="405"/>
      <c r="J3504" s="405">
        <v>0.76771299999999998</v>
      </c>
      <c r="K3504" s="405">
        <v>33.878968</v>
      </c>
      <c r="L3504" s="405" t="s">
        <v>6866</v>
      </c>
      <c r="M3504" s="405" t="s">
        <v>9566</v>
      </c>
      <c r="N3504" s="405" t="s">
        <v>14784</v>
      </c>
      <c r="O3504" s="405" t="s">
        <v>9788</v>
      </c>
      <c r="P3504" s="405" t="s">
        <v>15651</v>
      </c>
      <c r="Q3504" s="411">
        <v>6</v>
      </c>
      <c r="R3504" s="405" t="s">
        <v>5655</v>
      </c>
      <c r="S3504" s="405" t="s">
        <v>27072</v>
      </c>
      <c r="T3504" s="405" t="s">
        <v>884</v>
      </c>
      <c r="U3504" s="405" t="s">
        <v>319</v>
      </c>
    </row>
    <row r="3505" spans="1:21" x14ac:dyDescent="0.25">
      <c r="A3505" s="405" t="s">
        <v>310</v>
      </c>
      <c r="B3505" s="405" t="s">
        <v>15247</v>
      </c>
      <c r="C3505" s="405" t="s">
        <v>327</v>
      </c>
      <c r="D3505" s="405"/>
      <c r="E3505" s="410">
        <v>42544</v>
      </c>
      <c r="F3505" s="410">
        <v>42589</v>
      </c>
      <c r="G3505" s="405" t="s">
        <v>15248</v>
      </c>
      <c r="H3505" s="405">
        <v>703867446</v>
      </c>
      <c r="I3505" s="405">
        <v>777415553</v>
      </c>
      <c r="J3505" s="405">
        <v>0.55060699999999996</v>
      </c>
      <c r="K3505" s="405">
        <v>34.045862999999997</v>
      </c>
      <c r="L3505" s="405" t="s">
        <v>6866</v>
      </c>
      <c r="M3505" s="405" t="s">
        <v>10390</v>
      </c>
      <c r="N3505" s="405" t="s">
        <v>12174</v>
      </c>
      <c r="O3505" s="405" t="s">
        <v>12372</v>
      </c>
      <c r="P3505" s="405" t="s">
        <v>15249</v>
      </c>
      <c r="Q3505" s="411">
        <v>6</v>
      </c>
      <c r="R3505" s="405" t="s">
        <v>5655</v>
      </c>
      <c r="S3505" s="405" t="s">
        <v>27353</v>
      </c>
      <c r="T3505" s="405" t="s">
        <v>32102</v>
      </c>
      <c r="U3505" s="405" t="s">
        <v>319</v>
      </c>
    </row>
    <row r="3506" spans="1:21" x14ac:dyDescent="0.25">
      <c r="A3506" s="405" t="s">
        <v>310</v>
      </c>
      <c r="B3506" s="405" t="s">
        <v>15259</v>
      </c>
      <c r="C3506" s="405" t="s">
        <v>327</v>
      </c>
      <c r="D3506" s="405"/>
      <c r="E3506" s="410">
        <v>42544</v>
      </c>
      <c r="F3506" s="410">
        <v>42589</v>
      </c>
      <c r="G3506" s="405" t="s">
        <v>15260</v>
      </c>
      <c r="H3506" s="405">
        <v>789398511</v>
      </c>
      <c r="I3506" s="405"/>
      <c r="J3506" s="405">
        <v>0.81384800000000002</v>
      </c>
      <c r="K3506" s="405">
        <v>33.852722999999997</v>
      </c>
      <c r="L3506" s="405" t="s">
        <v>6866</v>
      </c>
      <c r="M3506" s="405" t="s">
        <v>9566</v>
      </c>
      <c r="N3506" s="405" t="s">
        <v>14784</v>
      </c>
      <c r="O3506" s="405" t="s">
        <v>15261</v>
      </c>
      <c r="P3506" s="405" t="s">
        <v>15262</v>
      </c>
      <c r="Q3506" s="411">
        <v>6</v>
      </c>
      <c r="R3506" s="405" t="s">
        <v>5655</v>
      </c>
      <c r="S3506" s="405" t="s">
        <v>27041</v>
      </c>
      <c r="T3506" s="405" t="s">
        <v>884</v>
      </c>
      <c r="U3506" s="405" t="s">
        <v>319</v>
      </c>
    </row>
    <row r="3507" spans="1:21" x14ac:dyDescent="0.25">
      <c r="A3507" s="405" t="s">
        <v>310</v>
      </c>
      <c r="B3507" s="405" t="s">
        <v>6065</v>
      </c>
      <c r="C3507" s="405" t="s">
        <v>327</v>
      </c>
      <c r="D3507" s="405"/>
      <c r="E3507" s="410">
        <v>42543</v>
      </c>
      <c r="F3507" s="410">
        <v>42588</v>
      </c>
      <c r="G3507" s="405" t="s">
        <v>6066</v>
      </c>
      <c r="H3507" s="405">
        <v>702298651</v>
      </c>
      <c r="I3507" s="405"/>
      <c r="J3507" s="405">
        <v>0.36520000000000002</v>
      </c>
      <c r="K3507" s="405">
        <v>31.3155</v>
      </c>
      <c r="L3507" s="405" t="s">
        <v>314</v>
      </c>
      <c r="M3507" s="405" t="s">
        <v>398</v>
      </c>
      <c r="N3507" s="405" t="s">
        <v>399</v>
      </c>
      <c r="O3507" s="405" t="s">
        <v>4383</v>
      </c>
      <c r="P3507" s="405" t="s">
        <v>5960</v>
      </c>
      <c r="Q3507" s="411">
        <v>13</v>
      </c>
      <c r="R3507" s="405" t="s">
        <v>402</v>
      </c>
      <c r="S3507" s="405" t="s">
        <v>5986</v>
      </c>
      <c r="T3507" s="405" t="s">
        <v>884</v>
      </c>
      <c r="U3507" s="405" t="s">
        <v>319</v>
      </c>
    </row>
    <row r="3508" spans="1:21" x14ac:dyDescent="0.25">
      <c r="A3508" s="405" t="s">
        <v>310</v>
      </c>
      <c r="B3508" s="405" t="s">
        <v>29094</v>
      </c>
      <c r="C3508" s="405" t="s">
        <v>327</v>
      </c>
      <c r="D3508" s="405"/>
      <c r="E3508" s="410">
        <v>42543</v>
      </c>
      <c r="F3508" s="410">
        <v>42588</v>
      </c>
      <c r="G3508" s="405" t="s">
        <v>6110</v>
      </c>
      <c r="H3508" s="405">
        <v>772502880</v>
      </c>
      <c r="I3508" s="405"/>
      <c r="J3508" s="405">
        <v>0.34510000000000002</v>
      </c>
      <c r="K3508" s="405">
        <v>32.444800000000001</v>
      </c>
      <c r="L3508" s="405" t="s">
        <v>314</v>
      </c>
      <c r="M3508" s="405" t="s">
        <v>329</v>
      </c>
      <c r="N3508" s="405" t="s">
        <v>528</v>
      </c>
      <c r="O3508" s="405" t="s">
        <v>6111</v>
      </c>
      <c r="P3508" s="405" t="s">
        <v>6112</v>
      </c>
      <c r="Q3508" s="411">
        <v>9</v>
      </c>
      <c r="R3508" s="405" t="s">
        <v>32101</v>
      </c>
      <c r="S3508" s="405" t="s">
        <v>27186</v>
      </c>
      <c r="T3508" s="405" t="s">
        <v>884</v>
      </c>
      <c r="U3508" s="405" t="s">
        <v>319</v>
      </c>
    </row>
    <row r="3509" spans="1:21" x14ac:dyDescent="0.25">
      <c r="A3509" s="405" t="s">
        <v>310</v>
      </c>
      <c r="B3509" s="405" t="s">
        <v>6099</v>
      </c>
      <c r="C3509" s="405" t="s">
        <v>327</v>
      </c>
      <c r="D3509" s="405"/>
      <c r="E3509" s="410">
        <v>42543</v>
      </c>
      <c r="F3509" s="410">
        <v>42588</v>
      </c>
      <c r="G3509" s="405" t="s">
        <v>6100</v>
      </c>
      <c r="H3509" s="405">
        <v>779110760</v>
      </c>
      <c r="I3509" s="405"/>
      <c r="J3509" s="405">
        <v>1.7582199999999999</v>
      </c>
      <c r="K3509" s="405">
        <v>31.870280000000001</v>
      </c>
      <c r="L3509" s="405" t="s">
        <v>314</v>
      </c>
      <c r="M3509" s="405" t="s">
        <v>321</v>
      </c>
      <c r="N3509" s="405" t="s">
        <v>1244</v>
      </c>
      <c r="O3509" s="405" t="s">
        <v>1886</v>
      </c>
      <c r="P3509" s="405" t="s">
        <v>6101</v>
      </c>
      <c r="Q3509" s="411">
        <v>6</v>
      </c>
      <c r="R3509" s="405" t="s">
        <v>32101</v>
      </c>
      <c r="S3509" s="405" t="s">
        <v>27167</v>
      </c>
      <c r="T3509" s="405" t="s">
        <v>865</v>
      </c>
      <c r="U3509" s="405" t="s">
        <v>866</v>
      </c>
    </row>
    <row r="3510" spans="1:21" x14ac:dyDescent="0.25">
      <c r="A3510" s="405" t="s">
        <v>310</v>
      </c>
      <c r="B3510" s="405" t="s">
        <v>15214</v>
      </c>
      <c r="C3510" s="405" t="s">
        <v>327</v>
      </c>
      <c r="D3510" s="405"/>
      <c r="E3510" s="410">
        <v>42543</v>
      </c>
      <c r="F3510" s="410">
        <v>42588</v>
      </c>
      <c r="G3510" s="405" t="s">
        <v>15215</v>
      </c>
      <c r="H3510" s="405">
        <v>772946331</v>
      </c>
      <c r="I3510" s="405"/>
      <c r="J3510" s="405">
        <v>0.33400000000000002</v>
      </c>
      <c r="K3510" s="405">
        <v>34.143999999999998</v>
      </c>
      <c r="L3510" s="405" t="s">
        <v>6866</v>
      </c>
      <c r="M3510" s="405" t="s">
        <v>10390</v>
      </c>
      <c r="N3510" s="405" t="s">
        <v>12174</v>
      </c>
      <c r="O3510" s="405" t="s">
        <v>12372</v>
      </c>
      <c r="P3510" s="405" t="s">
        <v>15216</v>
      </c>
      <c r="Q3510" s="411">
        <v>6</v>
      </c>
      <c r="R3510" s="405" t="s">
        <v>5655</v>
      </c>
      <c r="S3510" s="405" t="s">
        <v>27346</v>
      </c>
      <c r="T3510" s="405" t="s">
        <v>884</v>
      </c>
      <c r="U3510" s="405" t="s">
        <v>319</v>
      </c>
    </row>
    <row r="3511" spans="1:21" x14ac:dyDescent="0.25">
      <c r="A3511" s="405" t="s">
        <v>310</v>
      </c>
      <c r="B3511" s="405" t="s">
        <v>6088</v>
      </c>
      <c r="C3511" s="405" t="s">
        <v>327</v>
      </c>
      <c r="D3511" s="405"/>
      <c r="E3511" s="410">
        <v>42540</v>
      </c>
      <c r="F3511" s="410">
        <v>42585</v>
      </c>
      <c r="G3511" s="405" t="s">
        <v>6089</v>
      </c>
      <c r="H3511" s="405">
        <v>779736276</v>
      </c>
      <c r="I3511" s="405"/>
      <c r="J3511" s="405">
        <v>0.27439999999999998</v>
      </c>
      <c r="K3511" s="405">
        <v>32.184199999999997</v>
      </c>
      <c r="L3511" s="405" t="s">
        <v>314</v>
      </c>
      <c r="M3511" s="405" t="s">
        <v>361</v>
      </c>
      <c r="N3511" s="405" t="s">
        <v>5838</v>
      </c>
      <c r="O3511" s="405" t="s">
        <v>952</v>
      </c>
      <c r="P3511" s="405" t="s">
        <v>6090</v>
      </c>
      <c r="Q3511" s="411">
        <v>6</v>
      </c>
      <c r="R3511" s="405" t="s">
        <v>32101</v>
      </c>
      <c r="S3511" s="405" t="s">
        <v>27167</v>
      </c>
      <c r="T3511" s="405" t="s">
        <v>32102</v>
      </c>
      <c r="U3511" s="405" t="s">
        <v>319</v>
      </c>
    </row>
    <row r="3512" spans="1:21" x14ac:dyDescent="0.25">
      <c r="A3512" s="405" t="s">
        <v>310</v>
      </c>
      <c r="B3512" s="405" t="s">
        <v>9294</v>
      </c>
      <c r="C3512" s="405" t="s">
        <v>311</v>
      </c>
      <c r="D3512" s="405" t="s">
        <v>9525</v>
      </c>
      <c r="E3512" s="410">
        <v>44573</v>
      </c>
      <c r="F3512" s="410">
        <v>44585</v>
      </c>
      <c r="G3512" s="405" t="s">
        <v>9295</v>
      </c>
      <c r="H3512" s="405" t="s">
        <v>9296</v>
      </c>
      <c r="I3512" s="405" t="s">
        <v>2913</v>
      </c>
      <c r="J3512" s="405">
        <v>0.36124000000000001</v>
      </c>
      <c r="K3512" s="405">
        <v>32.7562</v>
      </c>
      <c r="L3512" s="405" t="s">
        <v>314</v>
      </c>
      <c r="M3512" s="405" t="s">
        <v>329</v>
      </c>
      <c r="N3512" s="405" t="s">
        <v>7638</v>
      </c>
      <c r="O3512" s="405" t="s">
        <v>9297</v>
      </c>
      <c r="P3512" s="405" t="s">
        <v>707</v>
      </c>
      <c r="Q3512" s="411">
        <v>30</v>
      </c>
      <c r="R3512" s="405" t="s">
        <v>32101</v>
      </c>
      <c r="S3512" s="405" t="s">
        <v>27266</v>
      </c>
      <c r="T3512" s="405" t="s">
        <v>32102</v>
      </c>
      <c r="U3512" s="405" t="s">
        <v>319</v>
      </c>
    </row>
    <row r="3513" spans="1:21" x14ac:dyDescent="0.25">
      <c r="A3513" s="405" t="s">
        <v>310</v>
      </c>
      <c r="B3513" s="405" t="s">
        <v>6107</v>
      </c>
      <c r="C3513" s="405" t="s">
        <v>327</v>
      </c>
      <c r="D3513" s="405"/>
      <c r="E3513" s="410">
        <v>42535</v>
      </c>
      <c r="F3513" s="410">
        <v>42591</v>
      </c>
      <c r="G3513" s="405" t="s">
        <v>6108</v>
      </c>
      <c r="H3513" s="405">
        <v>704383138</v>
      </c>
      <c r="I3513" s="405"/>
      <c r="J3513" s="405">
        <v>0.20499999999999999</v>
      </c>
      <c r="K3513" s="405">
        <v>31.412800000000001</v>
      </c>
      <c r="L3513" s="405" t="s">
        <v>314</v>
      </c>
      <c r="M3513" s="405" t="s">
        <v>1189</v>
      </c>
      <c r="N3513" s="405" t="s">
        <v>1189</v>
      </c>
      <c r="O3513" s="405" t="s">
        <v>1953</v>
      </c>
      <c r="P3513" s="405" t="s">
        <v>6109</v>
      </c>
      <c r="Q3513" s="411">
        <v>9</v>
      </c>
      <c r="R3513" s="405" t="s">
        <v>32101</v>
      </c>
      <c r="S3513" s="405" t="s">
        <v>27186</v>
      </c>
      <c r="T3513" s="405" t="s">
        <v>6551</v>
      </c>
      <c r="U3513" s="405" t="s">
        <v>2267</v>
      </c>
    </row>
    <row r="3514" spans="1:21" x14ac:dyDescent="0.25">
      <c r="A3514" s="405" t="s">
        <v>310</v>
      </c>
      <c r="B3514" s="405" t="s">
        <v>15198</v>
      </c>
      <c r="C3514" s="405" t="s">
        <v>327</v>
      </c>
      <c r="D3514" s="405"/>
      <c r="E3514" s="410">
        <v>42535</v>
      </c>
      <c r="F3514" s="410">
        <v>42580</v>
      </c>
      <c r="G3514" s="405" t="s">
        <v>15199</v>
      </c>
      <c r="H3514" s="405">
        <v>772309664</v>
      </c>
      <c r="I3514" s="405">
        <v>775110764</v>
      </c>
      <c r="J3514" s="405">
        <v>0.34399999999999997</v>
      </c>
      <c r="K3514" s="405">
        <v>33.5944</v>
      </c>
      <c r="L3514" s="405" t="s">
        <v>6866</v>
      </c>
      <c r="M3514" s="405" t="s">
        <v>10390</v>
      </c>
      <c r="N3514" s="405" t="s">
        <v>12174</v>
      </c>
      <c r="O3514" s="405" t="s">
        <v>12372</v>
      </c>
      <c r="P3514" s="405" t="s">
        <v>15200</v>
      </c>
      <c r="Q3514" s="411">
        <v>6</v>
      </c>
      <c r="R3514" s="405" t="s">
        <v>5655</v>
      </c>
      <c r="S3514" s="405" t="s">
        <v>27351</v>
      </c>
      <c r="T3514" s="405" t="s">
        <v>884</v>
      </c>
      <c r="U3514" s="405" t="s">
        <v>319</v>
      </c>
    </row>
    <row r="3515" spans="1:21" x14ac:dyDescent="0.25">
      <c r="A3515" s="405" t="s">
        <v>310</v>
      </c>
      <c r="B3515" s="405" t="s">
        <v>15211</v>
      </c>
      <c r="C3515" s="405" t="s">
        <v>327</v>
      </c>
      <c r="D3515" s="405"/>
      <c r="E3515" s="410">
        <v>42534</v>
      </c>
      <c r="F3515" s="410">
        <v>42579</v>
      </c>
      <c r="G3515" s="405" t="s">
        <v>15212</v>
      </c>
      <c r="H3515" s="405">
        <v>781453503</v>
      </c>
      <c r="I3515" s="405"/>
      <c r="J3515" s="405">
        <v>0.75634800000000002</v>
      </c>
      <c r="K3515" s="405">
        <v>33.868749999999999</v>
      </c>
      <c r="L3515" s="405" t="s">
        <v>6866</v>
      </c>
      <c r="M3515" s="405" t="s">
        <v>10390</v>
      </c>
      <c r="N3515" s="405" t="s">
        <v>12372</v>
      </c>
      <c r="O3515" s="405" t="s">
        <v>15177</v>
      </c>
      <c r="P3515" s="405" t="s">
        <v>15213</v>
      </c>
      <c r="Q3515" s="411">
        <v>6</v>
      </c>
      <c r="R3515" s="405" t="s">
        <v>5655</v>
      </c>
      <c r="S3515" s="405" t="s">
        <v>27193</v>
      </c>
      <c r="T3515" s="405" t="s">
        <v>32102</v>
      </c>
      <c r="U3515" s="405" t="s">
        <v>319</v>
      </c>
    </row>
    <row r="3516" spans="1:21" x14ac:dyDescent="0.25">
      <c r="A3516" s="405" t="s">
        <v>310</v>
      </c>
      <c r="B3516" s="405" t="s">
        <v>15607</v>
      </c>
      <c r="C3516" s="405" t="s">
        <v>311</v>
      </c>
      <c r="D3516" s="405" t="s">
        <v>3381</v>
      </c>
      <c r="E3516" s="410">
        <v>42534</v>
      </c>
      <c r="F3516" s="410">
        <v>42579</v>
      </c>
      <c r="G3516" s="405" t="s">
        <v>15608</v>
      </c>
      <c r="H3516" s="405">
        <v>702650455</v>
      </c>
      <c r="I3516" s="405"/>
      <c r="J3516" s="405">
        <v>2.7886630000000001</v>
      </c>
      <c r="K3516" s="405">
        <v>32.325828000000001</v>
      </c>
      <c r="L3516" s="405" t="s">
        <v>6866</v>
      </c>
      <c r="M3516" s="405" t="s">
        <v>9566</v>
      </c>
      <c r="N3516" s="405" t="s">
        <v>14780</v>
      </c>
      <c r="O3516" s="405" t="s">
        <v>13884</v>
      </c>
      <c r="P3516" s="405" t="s">
        <v>15609</v>
      </c>
      <c r="Q3516" s="411">
        <v>6</v>
      </c>
      <c r="R3516" s="405" t="s">
        <v>5655</v>
      </c>
      <c r="S3516" s="405" t="s">
        <v>27067</v>
      </c>
      <c r="T3516" s="405" t="s">
        <v>6551</v>
      </c>
      <c r="U3516" s="405" t="s">
        <v>2267</v>
      </c>
    </row>
    <row r="3517" spans="1:21" x14ac:dyDescent="0.25">
      <c r="A3517" s="405" t="s">
        <v>310</v>
      </c>
      <c r="B3517" s="405" t="s">
        <v>22665</v>
      </c>
      <c r="C3517" s="405" t="s">
        <v>327</v>
      </c>
      <c r="D3517" s="405"/>
      <c r="E3517" s="410">
        <v>42533</v>
      </c>
      <c r="F3517" s="410">
        <v>42574</v>
      </c>
      <c r="G3517" s="405" t="s">
        <v>22666</v>
      </c>
      <c r="H3517" s="405">
        <v>753373077</v>
      </c>
      <c r="I3517" s="405"/>
      <c r="J3517" s="405">
        <v>5.6715000000000002E-2</v>
      </c>
      <c r="K3517" s="405" t="s">
        <v>22667</v>
      </c>
      <c r="L3517" s="405" t="s">
        <v>590</v>
      </c>
      <c r="M3517" s="405" t="s">
        <v>1805</v>
      </c>
      <c r="N3517" s="405" t="s">
        <v>22668</v>
      </c>
      <c r="O3517" s="405" t="s">
        <v>7400</v>
      </c>
      <c r="P3517" s="405" t="s">
        <v>22669</v>
      </c>
      <c r="Q3517" s="411">
        <v>13</v>
      </c>
      <c r="R3517" s="405" t="s">
        <v>5986</v>
      </c>
      <c r="S3517" s="405" t="s">
        <v>5986</v>
      </c>
      <c r="T3517" s="405" t="s">
        <v>865</v>
      </c>
      <c r="U3517" s="405" t="s">
        <v>866</v>
      </c>
    </row>
    <row r="3518" spans="1:21" x14ac:dyDescent="0.25">
      <c r="A3518" s="405" t="s">
        <v>310</v>
      </c>
      <c r="B3518" s="405" t="s">
        <v>28089</v>
      </c>
      <c r="C3518" s="405" t="s">
        <v>327</v>
      </c>
      <c r="D3518" s="405"/>
      <c r="E3518" s="410">
        <v>42533</v>
      </c>
      <c r="F3518" s="410">
        <v>42578</v>
      </c>
      <c r="G3518" s="405" t="s">
        <v>15176</v>
      </c>
      <c r="H3518" s="405">
        <v>775028677</v>
      </c>
      <c r="I3518" s="405"/>
      <c r="J3518" s="405">
        <v>0.201933</v>
      </c>
      <c r="K3518" s="405">
        <v>30.479064999999999</v>
      </c>
      <c r="L3518" s="405" t="s">
        <v>6866</v>
      </c>
      <c r="M3518" s="405" t="s">
        <v>10390</v>
      </c>
      <c r="N3518" s="405" t="s">
        <v>12174</v>
      </c>
      <c r="O3518" s="405" t="s">
        <v>15177</v>
      </c>
      <c r="P3518" s="405" t="s">
        <v>15178</v>
      </c>
      <c r="Q3518" s="411">
        <v>6</v>
      </c>
      <c r="R3518" s="405" t="s">
        <v>5655</v>
      </c>
      <c r="S3518" s="405" t="s">
        <v>27353</v>
      </c>
      <c r="T3518" s="405" t="s">
        <v>865</v>
      </c>
      <c r="U3518" s="405" t="s">
        <v>866</v>
      </c>
    </row>
    <row r="3519" spans="1:21" x14ac:dyDescent="0.25">
      <c r="A3519" s="405" t="s">
        <v>310</v>
      </c>
      <c r="B3519" s="405" t="s">
        <v>15610</v>
      </c>
      <c r="C3519" s="405" t="s">
        <v>311</v>
      </c>
      <c r="D3519" s="405" t="s">
        <v>1789</v>
      </c>
      <c r="E3519" s="410">
        <v>42533</v>
      </c>
      <c r="F3519" s="410">
        <v>42578</v>
      </c>
      <c r="G3519" s="405" t="s">
        <v>15611</v>
      </c>
      <c r="H3519" s="405">
        <v>778563201</v>
      </c>
      <c r="I3519" s="405"/>
      <c r="J3519" s="405">
        <v>2.2041149999999998</v>
      </c>
      <c r="K3519" s="405">
        <v>32.918918329999997</v>
      </c>
      <c r="L3519" s="405" t="s">
        <v>6866</v>
      </c>
      <c r="M3519" s="405" t="s">
        <v>10390</v>
      </c>
      <c r="N3519" s="405" t="s">
        <v>15191</v>
      </c>
      <c r="O3519" s="405" t="s">
        <v>15192</v>
      </c>
      <c r="P3519" s="405" t="s">
        <v>15193</v>
      </c>
      <c r="Q3519" s="411">
        <v>6</v>
      </c>
      <c r="R3519" s="405" t="s">
        <v>5655</v>
      </c>
      <c r="S3519" s="405" t="s">
        <v>27041</v>
      </c>
      <c r="T3519" s="405" t="s">
        <v>865</v>
      </c>
      <c r="U3519" s="405" t="s">
        <v>866</v>
      </c>
    </row>
    <row r="3520" spans="1:21" x14ac:dyDescent="0.25">
      <c r="A3520" s="405" t="s">
        <v>310</v>
      </c>
      <c r="B3520" s="405" t="s">
        <v>15194</v>
      </c>
      <c r="C3520" s="405" t="s">
        <v>327</v>
      </c>
      <c r="D3520" s="405"/>
      <c r="E3520" s="410">
        <v>42532</v>
      </c>
      <c r="F3520" s="410">
        <v>42577</v>
      </c>
      <c r="G3520" s="405" t="s">
        <v>15195</v>
      </c>
      <c r="H3520" s="405">
        <v>785266014</v>
      </c>
      <c r="I3520" s="405"/>
      <c r="J3520" s="405">
        <v>0.61554759999999997</v>
      </c>
      <c r="K3520" s="405">
        <v>33.4786225</v>
      </c>
      <c r="L3520" s="405" t="s">
        <v>6866</v>
      </c>
      <c r="M3520" s="405" t="s">
        <v>10390</v>
      </c>
      <c r="N3520" s="405" t="s">
        <v>15196</v>
      </c>
      <c r="O3520" s="405" t="s">
        <v>15192</v>
      </c>
      <c r="P3520" s="405" t="s">
        <v>15197</v>
      </c>
      <c r="Q3520" s="411">
        <v>6</v>
      </c>
      <c r="R3520" s="405" t="s">
        <v>5655</v>
      </c>
      <c r="S3520" s="405" t="s">
        <v>27072</v>
      </c>
      <c r="T3520" s="405" t="s">
        <v>32102</v>
      </c>
      <c r="U3520" s="405" t="s">
        <v>319</v>
      </c>
    </row>
    <row r="3521" spans="1:21" x14ac:dyDescent="0.25">
      <c r="A3521" s="405" t="s">
        <v>310</v>
      </c>
      <c r="B3521" s="405" t="s">
        <v>15179</v>
      </c>
      <c r="C3521" s="405" t="s">
        <v>327</v>
      </c>
      <c r="D3521" s="405"/>
      <c r="E3521" s="410">
        <v>42531</v>
      </c>
      <c r="F3521" s="410">
        <v>42576</v>
      </c>
      <c r="G3521" s="405" t="s">
        <v>15180</v>
      </c>
      <c r="H3521" s="405">
        <v>772841815</v>
      </c>
      <c r="I3521" s="405"/>
      <c r="J3521" s="405">
        <v>0.33560000000000001</v>
      </c>
      <c r="K3521" s="405">
        <v>33.585599999999999</v>
      </c>
      <c r="L3521" s="405" t="s">
        <v>6866</v>
      </c>
      <c r="M3521" s="405" t="s">
        <v>10390</v>
      </c>
      <c r="N3521" s="405" t="s">
        <v>12174</v>
      </c>
      <c r="O3521" s="405" t="s">
        <v>15177</v>
      </c>
      <c r="P3521" s="405" t="s">
        <v>15178</v>
      </c>
      <c r="Q3521" s="411">
        <v>6</v>
      </c>
      <c r="R3521" s="405" t="s">
        <v>5655</v>
      </c>
      <c r="S3521" s="405" t="s">
        <v>27243</v>
      </c>
      <c r="T3521" s="405" t="s">
        <v>32102</v>
      </c>
      <c r="U3521" s="405" t="s">
        <v>319</v>
      </c>
    </row>
    <row r="3522" spans="1:21" x14ac:dyDescent="0.25">
      <c r="A3522" s="405" t="s">
        <v>310</v>
      </c>
      <c r="B3522" s="405" t="s">
        <v>15189</v>
      </c>
      <c r="C3522" s="405" t="s">
        <v>327</v>
      </c>
      <c r="D3522" s="405"/>
      <c r="E3522" s="410">
        <v>42530</v>
      </c>
      <c r="F3522" s="410">
        <v>42575</v>
      </c>
      <c r="G3522" s="405" t="s">
        <v>15190</v>
      </c>
      <c r="H3522" s="405">
        <v>703558911</v>
      </c>
      <c r="I3522" s="405"/>
      <c r="J3522" s="405">
        <v>2.740462</v>
      </c>
      <c r="K3522" s="405">
        <v>32.310485999999997</v>
      </c>
      <c r="L3522" s="405" t="s">
        <v>6866</v>
      </c>
      <c r="M3522" s="405" t="s">
        <v>10390</v>
      </c>
      <c r="N3522" s="405" t="s">
        <v>15191</v>
      </c>
      <c r="O3522" s="405" t="s">
        <v>15192</v>
      </c>
      <c r="P3522" s="405" t="s">
        <v>15193</v>
      </c>
      <c r="Q3522" s="411">
        <v>6</v>
      </c>
      <c r="R3522" s="405" t="s">
        <v>5655</v>
      </c>
      <c r="S3522" s="405" t="s">
        <v>27351</v>
      </c>
      <c r="T3522" s="405" t="s">
        <v>6551</v>
      </c>
      <c r="U3522" s="405" t="s">
        <v>2267</v>
      </c>
    </row>
    <row r="3523" spans="1:21" x14ac:dyDescent="0.25">
      <c r="A3523" s="405" t="s">
        <v>310</v>
      </c>
      <c r="B3523" s="405" t="s">
        <v>22660</v>
      </c>
      <c r="C3523" s="405" t="s">
        <v>327</v>
      </c>
      <c r="D3523" s="405"/>
      <c r="E3523" s="410">
        <v>42529</v>
      </c>
      <c r="F3523" s="410">
        <v>42574</v>
      </c>
      <c r="G3523" s="405" t="s">
        <v>22661</v>
      </c>
      <c r="H3523" s="405">
        <v>776700228</v>
      </c>
      <c r="I3523" s="405"/>
      <c r="J3523" s="405">
        <v>4.8999999999999998E-3</v>
      </c>
      <c r="K3523" s="405">
        <v>30.205400000000001</v>
      </c>
      <c r="L3523" s="405" t="s">
        <v>590</v>
      </c>
      <c r="M3523" s="405" t="s">
        <v>19720</v>
      </c>
      <c r="N3523" s="405" t="s">
        <v>20297</v>
      </c>
      <c r="O3523" s="405" t="s">
        <v>22359</v>
      </c>
      <c r="P3523" s="405" t="s">
        <v>22541</v>
      </c>
      <c r="Q3523" s="411">
        <v>13</v>
      </c>
      <c r="R3523" s="405" t="s">
        <v>6013</v>
      </c>
      <c r="S3523" s="405" t="s">
        <v>27181</v>
      </c>
      <c r="T3523" s="405" t="s">
        <v>6551</v>
      </c>
      <c r="U3523" s="405" t="s">
        <v>2267</v>
      </c>
    </row>
    <row r="3524" spans="1:21" x14ac:dyDescent="0.25">
      <c r="A3524" s="405" t="s">
        <v>310</v>
      </c>
      <c r="B3524" s="405" t="s">
        <v>22652</v>
      </c>
      <c r="C3524" s="405" t="s">
        <v>327</v>
      </c>
      <c r="D3524" s="405"/>
      <c r="E3524" s="410">
        <v>42529</v>
      </c>
      <c r="F3524" s="410">
        <v>42574</v>
      </c>
      <c r="G3524" s="405" t="s">
        <v>22653</v>
      </c>
      <c r="H3524" s="405">
        <v>788890471</v>
      </c>
      <c r="I3524" s="405">
        <v>781819420</v>
      </c>
      <c r="J3524" s="405">
        <v>0.12442499999999999</v>
      </c>
      <c r="K3524" s="405">
        <v>30.401859999999999</v>
      </c>
      <c r="L3524" s="405" t="s">
        <v>590</v>
      </c>
      <c r="M3524" s="405" t="s">
        <v>19720</v>
      </c>
      <c r="N3524" s="405" t="s">
        <v>20297</v>
      </c>
      <c r="O3524" s="405" t="s">
        <v>22654</v>
      </c>
      <c r="P3524" s="405" t="s">
        <v>22655</v>
      </c>
      <c r="Q3524" s="411">
        <v>6</v>
      </c>
      <c r="R3524" s="405" t="s">
        <v>6013</v>
      </c>
      <c r="S3524" s="405" t="s">
        <v>27423</v>
      </c>
      <c r="T3524" s="405" t="s">
        <v>32102</v>
      </c>
      <c r="U3524" s="405" t="s">
        <v>319</v>
      </c>
    </row>
    <row r="3525" spans="1:21" x14ac:dyDescent="0.25">
      <c r="A3525" s="405" t="s">
        <v>310</v>
      </c>
      <c r="B3525" s="405" t="s">
        <v>22662</v>
      </c>
      <c r="C3525" s="405" t="s">
        <v>327</v>
      </c>
      <c r="D3525" s="405"/>
      <c r="E3525" s="410">
        <v>42528</v>
      </c>
      <c r="F3525" s="410">
        <v>42573</v>
      </c>
      <c r="G3525" s="405" t="s">
        <v>22663</v>
      </c>
      <c r="H3525" s="405">
        <v>786397226</v>
      </c>
      <c r="I3525" s="405"/>
      <c r="J3525" s="405">
        <v>0.122045</v>
      </c>
      <c r="K3525" s="405">
        <v>30.394701999999999</v>
      </c>
      <c r="L3525" s="405" t="s">
        <v>590</v>
      </c>
      <c r="M3525" s="405" t="s">
        <v>19720</v>
      </c>
      <c r="N3525" s="405" t="s">
        <v>20297</v>
      </c>
      <c r="O3525" s="405" t="s">
        <v>22654</v>
      </c>
      <c r="P3525" s="405" t="s">
        <v>22664</v>
      </c>
      <c r="Q3525" s="411">
        <v>6</v>
      </c>
      <c r="R3525" s="405" t="s">
        <v>6013</v>
      </c>
      <c r="S3525" s="405" t="s">
        <v>27275</v>
      </c>
      <c r="T3525" s="405" t="s">
        <v>32102</v>
      </c>
      <c r="U3525" s="405" t="s">
        <v>319</v>
      </c>
    </row>
    <row r="3526" spans="1:21" x14ac:dyDescent="0.25">
      <c r="A3526" s="405" t="s">
        <v>310</v>
      </c>
      <c r="B3526" s="405" t="s">
        <v>6058</v>
      </c>
      <c r="C3526" s="405" t="s">
        <v>327</v>
      </c>
      <c r="D3526" s="405"/>
      <c r="E3526" s="410">
        <v>42527</v>
      </c>
      <c r="F3526" s="410">
        <v>42572</v>
      </c>
      <c r="G3526" s="405" t="s">
        <v>6059</v>
      </c>
      <c r="H3526" s="405">
        <v>701351736</v>
      </c>
      <c r="I3526" s="405"/>
      <c r="J3526" s="405">
        <v>0.41609000000000002</v>
      </c>
      <c r="K3526" s="405">
        <v>31.575780000000002</v>
      </c>
      <c r="L3526" s="405" t="s">
        <v>314</v>
      </c>
      <c r="M3526" s="405" t="s">
        <v>1189</v>
      </c>
      <c r="N3526" s="405" t="s">
        <v>6060</v>
      </c>
      <c r="O3526" s="405" t="s">
        <v>6061</v>
      </c>
      <c r="P3526" s="405" t="s">
        <v>6062</v>
      </c>
      <c r="Q3526" s="411">
        <v>13</v>
      </c>
      <c r="R3526" s="405" t="s">
        <v>5986</v>
      </c>
      <c r="S3526" s="405" t="s">
        <v>5986</v>
      </c>
      <c r="T3526" s="405" t="s">
        <v>32102</v>
      </c>
      <c r="U3526" s="405" t="s">
        <v>319</v>
      </c>
    </row>
    <row r="3527" spans="1:21" x14ac:dyDescent="0.25">
      <c r="A3527" s="405" t="s">
        <v>310</v>
      </c>
      <c r="B3527" s="405" t="s">
        <v>15206</v>
      </c>
      <c r="C3527" s="405" t="s">
        <v>327</v>
      </c>
      <c r="D3527" s="405"/>
      <c r="E3527" s="410">
        <v>42527</v>
      </c>
      <c r="F3527" s="410">
        <v>42572</v>
      </c>
      <c r="G3527" s="405" t="s">
        <v>15207</v>
      </c>
      <c r="H3527" s="405">
        <v>775882173</v>
      </c>
      <c r="I3527" s="405"/>
      <c r="J3527" s="405">
        <v>0.57003199999999998</v>
      </c>
      <c r="K3527" s="405">
        <v>30.196149999999999</v>
      </c>
      <c r="L3527" s="405" t="s">
        <v>6866</v>
      </c>
      <c r="M3527" s="405" t="s">
        <v>10390</v>
      </c>
      <c r="N3527" s="405" t="s">
        <v>15196</v>
      </c>
      <c r="O3527" s="405" t="s">
        <v>1281</v>
      </c>
      <c r="P3527" s="405" t="s">
        <v>15205</v>
      </c>
      <c r="Q3527" s="411">
        <v>6</v>
      </c>
      <c r="R3527" s="405" t="s">
        <v>5655</v>
      </c>
      <c r="S3527" s="405" t="s">
        <v>27243</v>
      </c>
      <c r="T3527" s="405" t="s">
        <v>32102</v>
      </c>
      <c r="U3527" s="405" t="s">
        <v>319</v>
      </c>
    </row>
    <row r="3528" spans="1:21" x14ac:dyDescent="0.25">
      <c r="A3528" s="405" t="s">
        <v>310</v>
      </c>
      <c r="B3528" s="405" t="s">
        <v>15203</v>
      </c>
      <c r="C3528" s="405" t="s">
        <v>327</v>
      </c>
      <c r="D3528" s="405"/>
      <c r="E3528" s="410">
        <v>42527</v>
      </c>
      <c r="F3528" s="410">
        <v>42572</v>
      </c>
      <c r="G3528" s="405" t="s">
        <v>15204</v>
      </c>
      <c r="H3528" s="405">
        <v>782659845</v>
      </c>
      <c r="I3528" s="405"/>
      <c r="J3528" s="405">
        <v>0.63426300000000002</v>
      </c>
      <c r="K3528" s="405">
        <v>30.721423000000001</v>
      </c>
      <c r="L3528" s="405" t="s">
        <v>6866</v>
      </c>
      <c r="M3528" s="405" t="s">
        <v>10390</v>
      </c>
      <c r="N3528" s="405" t="s">
        <v>10901</v>
      </c>
      <c r="O3528" s="405" t="s">
        <v>1281</v>
      </c>
      <c r="P3528" s="405" t="s">
        <v>15205</v>
      </c>
      <c r="Q3528" s="411">
        <v>6</v>
      </c>
      <c r="R3528" s="405" t="s">
        <v>5655</v>
      </c>
      <c r="S3528" s="405" t="s">
        <v>27353</v>
      </c>
      <c r="T3528" s="405" t="s">
        <v>6551</v>
      </c>
      <c r="U3528" s="405" t="s">
        <v>2267</v>
      </c>
    </row>
    <row r="3529" spans="1:21" x14ac:dyDescent="0.25">
      <c r="A3529" s="405" t="s">
        <v>310</v>
      </c>
      <c r="B3529" s="405" t="s">
        <v>15208</v>
      </c>
      <c r="C3529" s="405" t="s">
        <v>327</v>
      </c>
      <c r="D3529" s="405"/>
      <c r="E3529" s="410">
        <v>42527</v>
      </c>
      <c r="F3529" s="410">
        <v>42572</v>
      </c>
      <c r="G3529" s="405" t="s">
        <v>15209</v>
      </c>
      <c r="H3529" s="405">
        <v>752383608</v>
      </c>
      <c r="I3529" s="405"/>
      <c r="J3529" s="405">
        <v>1.219978</v>
      </c>
      <c r="K3529" s="405">
        <v>33.799720000000001</v>
      </c>
      <c r="L3529" s="405" t="s">
        <v>6866</v>
      </c>
      <c r="M3529" s="405" t="s">
        <v>10390</v>
      </c>
      <c r="N3529" s="405" t="s">
        <v>15191</v>
      </c>
      <c r="O3529" s="405" t="s">
        <v>15192</v>
      </c>
      <c r="P3529" s="405" t="s">
        <v>15210</v>
      </c>
      <c r="Q3529" s="411">
        <v>6</v>
      </c>
      <c r="R3529" s="405" t="s">
        <v>5655</v>
      </c>
      <c r="S3529" s="405" t="s">
        <v>27193</v>
      </c>
      <c r="T3529" s="405" t="s">
        <v>6551</v>
      </c>
      <c r="U3529" s="405" t="s">
        <v>2267</v>
      </c>
    </row>
    <row r="3530" spans="1:21" x14ac:dyDescent="0.25">
      <c r="A3530" s="405" t="s">
        <v>310</v>
      </c>
      <c r="B3530" s="405" t="s">
        <v>15173</v>
      </c>
      <c r="C3530" s="405" t="s">
        <v>327</v>
      </c>
      <c r="D3530" s="405"/>
      <c r="E3530" s="410">
        <v>42525</v>
      </c>
      <c r="F3530" s="410">
        <v>42566</v>
      </c>
      <c r="G3530" s="405" t="s">
        <v>15174</v>
      </c>
      <c r="H3530" s="405">
        <v>783994410</v>
      </c>
      <c r="I3530" s="405">
        <v>75467353</v>
      </c>
      <c r="J3530" s="405">
        <v>0.63201200000000002</v>
      </c>
      <c r="K3530" s="405">
        <v>30.718558000000002</v>
      </c>
      <c r="L3530" s="405" t="s">
        <v>6866</v>
      </c>
      <c r="M3530" s="405" t="s">
        <v>9566</v>
      </c>
      <c r="N3530" s="405" t="s">
        <v>10001</v>
      </c>
      <c r="O3530" s="405" t="s">
        <v>9932</v>
      </c>
      <c r="P3530" s="405" t="s">
        <v>15175</v>
      </c>
      <c r="Q3530" s="411">
        <v>6</v>
      </c>
      <c r="R3530" s="405" t="s">
        <v>5655</v>
      </c>
      <c r="S3530" s="405" t="s">
        <v>27353</v>
      </c>
      <c r="T3530" s="405" t="s">
        <v>32102</v>
      </c>
      <c r="U3530" s="405" t="s">
        <v>319</v>
      </c>
    </row>
    <row r="3531" spans="1:21" x14ac:dyDescent="0.25">
      <c r="A3531" s="405" t="s">
        <v>310</v>
      </c>
      <c r="B3531" s="405" t="s">
        <v>28196</v>
      </c>
      <c r="C3531" s="405" t="s">
        <v>327</v>
      </c>
      <c r="D3531" s="405"/>
      <c r="E3531" s="410">
        <v>42523</v>
      </c>
      <c r="F3531" s="410">
        <v>42568</v>
      </c>
      <c r="G3531" s="405" t="s">
        <v>22673</v>
      </c>
      <c r="H3531" s="405">
        <v>772440280</v>
      </c>
      <c r="I3531" s="405"/>
      <c r="J3531" s="405">
        <v>1.7000729999999999</v>
      </c>
      <c r="K3531" s="405">
        <v>31.703341999999999</v>
      </c>
      <c r="L3531" s="405" t="s">
        <v>590</v>
      </c>
      <c r="M3531" s="405" t="s">
        <v>19608</v>
      </c>
      <c r="N3531" s="405" t="s">
        <v>19762</v>
      </c>
      <c r="O3531" s="405" t="s">
        <v>4147</v>
      </c>
      <c r="P3531" s="405" t="s">
        <v>22674</v>
      </c>
      <c r="Q3531" s="411">
        <v>13</v>
      </c>
      <c r="R3531" s="405" t="s">
        <v>6397</v>
      </c>
      <c r="S3531" s="405" t="s">
        <v>22880</v>
      </c>
      <c r="T3531" s="405" t="s">
        <v>32102</v>
      </c>
      <c r="U3531" s="405" t="s">
        <v>319</v>
      </c>
    </row>
    <row r="3532" spans="1:21" x14ac:dyDescent="0.25">
      <c r="A3532" s="405" t="s">
        <v>310</v>
      </c>
      <c r="B3532" s="405" t="s">
        <v>22633</v>
      </c>
      <c r="C3532" s="405" t="s">
        <v>327</v>
      </c>
      <c r="D3532" s="405"/>
      <c r="E3532" s="410">
        <v>42523</v>
      </c>
      <c r="F3532" s="410">
        <v>42568</v>
      </c>
      <c r="G3532" s="405" t="s">
        <v>22634</v>
      </c>
      <c r="H3532" s="405">
        <v>772465946</v>
      </c>
      <c r="I3532" s="405"/>
      <c r="J3532" s="405">
        <v>0.25922000000000001</v>
      </c>
      <c r="K3532" s="405">
        <v>30.610810000000001</v>
      </c>
      <c r="L3532" s="405" t="s">
        <v>590</v>
      </c>
      <c r="M3532" s="405" t="s">
        <v>19720</v>
      </c>
      <c r="N3532" s="405" t="s">
        <v>22346</v>
      </c>
      <c r="O3532" s="405" t="s">
        <v>11792</v>
      </c>
      <c r="P3532" s="405" t="s">
        <v>22635</v>
      </c>
      <c r="Q3532" s="411">
        <v>9</v>
      </c>
      <c r="R3532" s="405" t="s">
        <v>6013</v>
      </c>
      <c r="S3532" s="405" t="s">
        <v>27181</v>
      </c>
      <c r="T3532" s="405" t="s">
        <v>32746</v>
      </c>
      <c r="U3532" s="405" t="s">
        <v>2267</v>
      </c>
    </row>
    <row r="3533" spans="1:21" x14ac:dyDescent="0.25">
      <c r="A3533" s="405" t="s">
        <v>310</v>
      </c>
      <c r="B3533" s="405" t="s">
        <v>28264</v>
      </c>
      <c r="C3533" s="405" t="s">
        <v>327</v>
      </c>
      <c r="D3533" s="405"/>
      <c r="E3533" s="410">
        <v>42523</v>
      </c>
      <c r="F3533" s="410">
        <v>42568</v>
      </c>
      <c r="G3533" s="405" t="s">
        <v>22621</v>
      </c>
      <c r="H3533" s="405">
        <v>750761882</v>
      </c>
      <c r="I3533" s="405"/>
      <c r="J3533" s="405">
        <v>0.412275</v>
      </c>
      <c r="K3533" s="405">
        <v>30.519268</v>
      </c>
      <c r="L3533" s="405" t="s">
        <v>590</v>
      </c>
      <c r="M3533" s="405" t="s">
        <v>19720</v>
      </c>
      <c r="N3533" s="405" t="s">
        <v>7352</v>
      </c>
      <c r="O3533" s="405" t="s">
        <v>21991</v>
      </c>
      <c r="P3533" s="405" t="s">
        <v>22622</v>
      </c>
      <c r="Q3533" s="411">
        <v>6</v>
      </c>
      <c r="R3533" s="405" t="s">
        <v>6013</v>
      </c>
      <c r="S3533" s="405" t="s">
        <v>27301</v>
      </c>
      <c r="T3533" s="405" t="s">
        <v>32746</v>
      </c>
      <c r="U3533" s="405" t="s">
        <v>2267</v>
      </c>
    </row>
    <row r="3534" spans="1:21" x14ac:dyDescent="0.25">
      <c r="A3534" s="405" t="s">
        <v>310</v>
      </c>
      <c r="B3534" s="405" t="s">
        <v>28849</v>
      </c>
      <c r="C3534" s="405" t="s">
        <v>311</v>
      </c>
      <c r="D3534" s="405" t="s">
        <v>22860</v>
      </c>
      <c r="E3534" s="410">
        <v>42523</v>
      </c>
      <c r="F3534" s="410">
        <v>42568</v>
      </c>
      <c r="G3534" s="405" t="s">
        <v>22861</v>
      </c>
      <c r="H3534" s="405">
        <v>772431690</v>
      </c>
      <c r="I3534" s="405"/>
      <c r="J3534" s="405">
        <v>0.44990799999999997</v>
      </c>
      <c r="K3534" s="405">
        <v>33.601044000000002</v>
      </c>
      <c r="L3534" s="405" t="s">
        <v>590</v>
      </c>
      <c r="M3534" s="405" t="s">
        <v>19720</v>
      </c>
      <c r="N3534" s="405" t="s">
        <v>7352</v>
      </c>
      <c r="O3534" s="405" t="s">
        <v>21940</v>
      </c>
      <c r="P3534" s="405" t="s">
        <v>22600</v>
      </c>
      <c r="Q3534" s="411">
        <v>6</v>
      </c>
      <c r="R3534" s="405" t="s">
        <v>6013</v>
      </c>
      <c r="S3534" s="405" t="s">
        <v>27423</v>
      </c>
      <c r="T3534" s="405" t="s">
        <v>32746</v>
      </c>
      <c r="U3534" s="405" t="s">
        <v>2267</v>
      </c>
    </row>
    <row r="3535" spans="1:21" x14ac:dyDescent="0.25">
      <c r="A3535" s="405" t="s">
        <v>310</v>
      </c>
      <c r="B3535" s="405" t="s">
        <v>28650</v>
      </c>
      <c r="C3535" s="405" t="s">
        <v>857</v>
      </c>
      <c r="D3535" s="405" t="s">
        <v>32472</v>
      </c>
      <c r="E3535" s="410">
        <v>42522</v>
      </c>
      <c r="F3535" s="410">
        <v>42567</v>
      </c>
      <c r="G3535" s="405" t="s">
        <v>6683</v>
      </c>
      <c r="H3535" s="405">
        <v>753938668</v>
      </c>
      <c r="I3535" s="405"/>
      <c r="J3535" s="405">
        <v>0.28304000000000001</v>
      </c>
      <c r="K3535" s="405">
        <v>32.451193799999999</v>
      </c>
      <c r="L3535" s="405" t="s">
        <v>314</v>
      </c>
      <c r="M3535" s="405" t="s">
        <v>361</v>
      </c>
      <c r="N3535" s="405" t="s">
        <v>6072</v>
      </c>
      <c r="O3535" s="405" t="s">
        <v>375</v>
      </c>
      <c r="P3535" s="405" t="s">
        <v>6307</v>
      </c>
      <c r="Q3535" s="411">
        <v>13</v>
      </c>
      <c r="R3535" s="405" t="s">
        <v>4176</v>
      </c>
      <c r="S3535" s="405" t="s">
        <v>27039</v>
      </c>
      <c r="T3535" s="405" t="s">
        <v>884</v>
      </c>
      <c r="U3535" s="405" t="s">
        <v>319</v>
      </c>
    </row>
    <row r="3536" spans="1:21" x14ac:dyDescent="0.25">
      <c r="A3536" s="405" t="s">
        <v>310</v>
      </c>
      <c r="B3536" s="405" t="s">
        <v>22628</v>
      </c>
      <c r="C3536" s="405" t="s">
        <v>327</v>
      </c>
      <c r="D3536" s="405"/>
      <c r="E3536" s="410">
        <v>42522</v>
      </c>
      <c r="F3536" s="410">
        <v>42567</v>
      </c>
      <c r="G3536" s="405" t="s">
        <v>22629</v>
      </c>
      <c r="H3536" s="405">
        <v>776845748</v>
      </c>
      <c r="I3536" s="405"/>
      <c r="J3536" s="405">
        <v>0.39457799999999998</v>
      </c>
      <c r="K3536" s="405">
        <v>30.433575000000001</v>
      </c>
      <c r="L3536" s="405" t="s">
        <v>590</v>
      </c>
      <c r="M3536" s="405" t="s">
        <v>19720</v>
      </c>
      <c r="N3536" s="405" t="s">
        <v>7352</v>
      </c>
      <c r="O3536" s="405" t="s">
        <v>21940</v>
      </c>
      <c r="P3536" s="405" t="s">
        <v>22630</v>
      </c>
      <c r="Q3536" s="411">
        <v>6</v>
      </c>
      <c r="R3536" s="405" t="s">
        <v>6013</v>
      </c>
      <c r="S3536" s="405" t="s">
        <v>27205</v>
      </c>
      <c r="T3536" s="405" t="s">
        <v>32746</v>
      </c>
      <c r="U3536" s="405" t="s">
        <v>2267</v>
      </c>
    </row>
    <row r="3537" spans="1:21" x14ac:dyDescent="0.25">
      <c r="A3537" s="405" t="s">
        <v>310</v>
      </c>
      <c r="B3537" s="405" t="s">
        <v>22623</v>
      </c>
      <c r="C3537" s="405" t="s">
        <v>327</v>
      </c>
      <c r="D3537" s="405"/>
      <c r="E3537" s="410">
        <v>42522</v>
      </c>
      <c r="F3537" s="410">
        <v>42567</v>
      </c>
      <c r="G3537" s="405" t="s">
        <v>22624</v>
      </c>
      <c r="H3537" s="405">
        <v>773272736</v>
      </c>
      <c r="I3537" s="405"/>
      <c r="J3537" s="405">
        <v>0.526771667</v>
      </c>
      <c r="K3537" s="405">
        <v>32.576276669999999</v>
      </c>
      <c r="L3537" s="405" t="s">
        <v>590</v>
      </c>
      <c r="M3537" s="405" t="s">
        <v>19720</v>
      </c>
      <c r="N3537" s="405" t="s">
        <v>7352</v>
      </c>
      <c r="O3537" s="405" t="s">
        <v>21940</v>
      </c>
      <c r="P3537" s="405" t="s">
        <v>22625</v>
      </c>
      <c r="Q3537" s="411">
        <v>6</v>
      </c>
      <c r="R3537" s="405" t="s">
        <v>6013</v>
      </c>
      <c r="S3537" s="405" t="s">
        <v>27422</v>
      </c>
      <c r="T3537" s="405" t="s">
        <v>32746</v>
      </c>
      <c r="U3537" s="405" t="s">
        <v>2267</v>
      </c>
    </row>
    <row r="3538" spans="1:21" x14ac:dyDescent="0.25">
      <c r="A3538" s="405" t="s">
        <v>310</v>
      </c>
      <c r="B3538" s="405" t="s">
        <v>15201</v>
      </c>
      <c r="C3538" s="405" t="s">
        <v>327</v>
      </c>
      <c r="D3538" s="405"/>
      <c r="E3538" s="410">
        <v>42521</v>
      </c>
      <c r="F3538" s="410">
        <v>42553</v>
      </c>
      <c r="G3538" s="405" t="s">
        <v>15202</v>
      </c>
      <c r="H3538" s="405">
        <v>772824426</v>
      </c>
      <c r="I3538" s="405">
        <v>701170143</v>
      </c>
      <c r="J3538" s="405">
        <v>0.51490499999999995</v>
      </c>
      <c r="K3538" s="405">
        <v>33.217112999999998</v>
      </c>
      <c r="L3538" s="405" t="s">
        <v>6866</v>
      </c>
      <c r="M3538" s="405" t="s">
        <v>9590</v>
      </c>
      <c r="N3538" s="405" t="s">
        <v>9591</v>
      </c>
      <c r="O3538" s="405" t="s">
        <v>9592</v>
      </c>
      <c r="P3538" s="405" t="s">
        <v>11513</v>
      </c>
      <c r="Q3538" s="411">
        <v>9</v>
      </c>
      <c r="R3538" s="405" t="s">
        <v>6822</v>
      </c>
      <c r="S3538" s="405" t="s">
        <v>6822</v>
      </c>
      <c r="T3538" s="405" t="s">
        <v>32102</v>
      </c>
      <c r="U3538" s="405" t="s">
        <v>319</v>
      </c>
    </row>
    <row r="3539" spans="1:21" x14ac:dyDescent="0.25">
      <c r="A3539" s="405" t="s">
        <v>310</v>
      </c>
      <c r="B3539" s="405" t="s">
        <v>22626</v>
      </c>
      <c r="C3539" s="405" t="s">
        <v>327</v>
      </c>
      <c r="D3539" s="405"/>
      <c r="E3539" s="410">
        <v>42520</v>
      </c>
      <c r="F3539" s="410">
        <v>42565</v>
      </c>
      <c r="G3539" s="405" t="s">
        <v>22627</v>
      </c>
      <c r="H3539" s="405">
        <v>782194074</v>
      </c>
      <c r="I3539" s="405">
        <v>701174074</v>
      </c>
      <c r="J3539" s="405">
        <v>0.86856800000000001</v>
      </c>
      <c r="K3539" s="405">
        <v>30.228086000000001</v>
      </c>
      <c r="L3539" s="405" t="s">
        <v>590</v>
      </c>
      <c r="M3539" s="405" t="s">
        <v>19720</v>
      </c>
      <c r="N3539" s="405" t="s">
        <v>7352</v>
      </c>
      <c r="O3539" s="405" t="s">
        <v>19720</v>
      </c>
      <c r="P3539" s="405" t="s">
        <v>21937</v>
      </c>
      <c r="Q3539" s="411">
        <v>9</v>
      </c>
      <c r="R3539" s="405" t="s">
        <v>6013</v>
      </c>
      <c r="S3539" s="405" t="s">
        <v>27275</v>
      </c>
      <c r="T3539" s="405" t="s">
        <v>32746</v>
      </c>
      <c r="U3539" s="405" t="s">
        <v>2267</v>
      </c>
    </row>
    <row r="3540" spans="1:21" x14ac:dyDescent="0.25">
      <c r="A3540" s="405" t="s">
        <v>310</v>
      </c>
      <c r="B3540" s="405" t="s">
        <v>15164</v>
      </c>
      <c r="C3540" s="405" t="s">
        <v>327</v>
      </c>
      <c r="D3540" s="405"/>
      <c r="E3540" s="410">
        <v>42518</v>
      </c>
      <c r="F3540" s="410">
        <v>42563</v>
      </c>
      <c r="G3540" s="405" t="s">
        <v>15165</v>
      </c>
      <c r="H3540" s="405">
        <v>772404803</v>
      </c>
      <c r="I3540" s="405"/>
      <c r="J3540" s="405">
        <v>0.61629679999999998</v>
      </c>
      <c r="K3540" s="405">
        <v>33.479163100000001</v>
      </c>
      <c r="L3540" s="405" t="s">
        <v>6866</v>
      </c>
      <c r="M3540" s="405" t="s">
        <v>13470</v>
      </c>
      <c r="N3540" s="405" t="s">
        <v>13471</v>
      </c>
      <c r="O3540" s="405" t="s">
        <v>15166</v>
      </c>
      <c r="P3540" s="405" t="s">
        <v>15167</v>
      </c>
      <c r="Q3540" s="411">
        <v>9</v>
      </c>
      <c r="R3540" s="405" t="s">
        <v>5655</v>
      </c>
      <c r="S3540" s="405" t="s">
        <v>27351</v>
      </c>
      <c r="T3540" s="405" t="s">
        <v>32746</v>
      </c>
      <c r="U3540" s="405" t="s">
        <v>2267</v>
      </c>
    </row>
    <row r="3541" spans="1:21" x14ac:dyDescent="0.25">
      <c r="A3541" s="405" t="s">
        <v>310</v>
      </c>
      <c r="B3541" s="405" t="s">
        <v>6305</v>
      </c>
      <c r="C3541" s="405" t="s">
        <v>327</v>
      </c>
      <c r="D3541" s="405"/>
      <c r="E3541" s="410">
        <v>42517</v>
      </c>
      <c r="F3541" s="410">
        <v>42931</v>
      </c>
      <c r="G3541" s="405" t="s">
        <v>6306</v>
      </c>
      <c r="H3541" s="405">
        <v>752812698</v>
      </c>
      <c r="I3541" s="405">
        <v>701700094</v>
      </c>
      <c r="J3541" s="405">
        <v>0.44928499999999999</v>
      </c>
      <c r="K3541" s="405">
        <v>31.733318000000001</v>
      </c>
      <c r="L3541" s="405" t="s">
        <v>314</v>
      </c>
      <c r="M3541" s="405" t="s">
        <v>361</v>
      </c>
      <c r="N3541" s="405" t="s">
        <v>1682</v>
      </c>
      <c r="O3541" s="405" t="s">
        <v>375</v>
      </c>
      <c r="P3541" s="405" t="s">
        <v>6307</v>
      </c>
      <c r="Q3541" s="411">
        <v>9</v>
      </c>
      <c r="R3541" s="405" t="s">
        <v>414</v>
      </c>
      <c r="S3541" s="405" t="s">
        <v>414</v>
      </c>
      <c r="T3541" s="405" t="s">
        <v>32746</v>
      </c>
      <c r="U3541" s="405" t="s">
        <v>2267</v>
      </c>
    </row>
    <row r="3542" spans="1:21" x14ac:dyDescent="0.25">
      <c r="A3542" s="405" t="s">
        <v>310</v>
      </c>
      <c r="B3542" s="405" t="s">
        <v>28194</v>
      </c>
      <c r="C3542" s="405" t="s">
        <v>327</v>
      </c>
      <c r="D3542" s="405"/>
      <c r="E3542" s="410">
        <v>42516</v>
      </c>
      <c r="F3542" s="410">
        <v>42561</v>
      </c>
      <c r="G3542" s="405" t="s">
        <v>15181</v>
      </c>
      <c r="H3542" s="405">
        <v>782751350</v>
      </c>
      <c r="I3542" s="405">
        <v>756200741</v>
      </c>
      <c r="J3542" s="405">
        <v>0.93203800000000003</v>
      </c>
      <c r="K3542" s="405">
        <v>34.158794999999998</v>
      </c>
      <c r="L3542" s="405" t="s">
        <v>6866</v>
      </c>
      <c r="M3542" s="405" t="s">
        <v>9514</v>
      </c>
      <c r="N3542" s="405" t="s">
        <v>9529</v>
      </c>
      <c r="O3542" s="405" t="s">
        <v>10567</v>
      </c>
      <c r="P3542" s="405" t="s">
        <v>15182</v>
      </c>
      <c r="Q3542" s="411">
        <v>6</v>
      </c>
      <c r="R3542" s="405" t="s">
        <v>6871</v>
      </c>
      <c r="S3542" s="405" t="s">
        <v>27306</v>
      </c>
      <c r="T3542" s="405" t="s">
        <v>884</v>
      </c>
      <c r="U3542" s="405" t="s">
        <v>319</v>
      </c>
    </row>
    <row r="3543" spans="1:21" x14ac:dyDescent="0.25">
      <c r="A3543" s="405" t="s">
        <v>310</v>
      </c>
      <c r="B3543" s="405" t="s">
        <v>22644</v>
      </c>
      <c r="C3543" s="405" t="s">
        <v>327</v>
      </c>
      <c r="D3543" s="405"/>
      <c r="E3543" s="410">
        <v>42516</v>
      </c>
      <c r="F3543" s="410">
        <v>42561</v>
      </c>
      <c r="G3543" s="405" t="s">
        <v>22645</v>
      </c>
      <c r="H3543" s="405">
        <v>776448973</v>
      </c>
      <c r="I3543" s="405"/>
      <c r="J3543" s="405">
        <v>0.83173699999999995</v>
      </c>
      <c r="K3543" s="405">
        <v>31.054829999999999</v>
      </c>
      <c r="L3543" s="405" t="s">
        <v>590</v>
      </c>
      <c r="M3543" s="405" t="s">
        <v>19720</v>
      </c>
      <c r="N3543" s="405" t="s">
        <v>20297</v>
      </c>
      <c r="O3543" s="405" t="s">
        <v>22646</v>
      </c>
      <c r="P3543" s="405" t="s">
        <v>22647</v>
      </c>
      <c r="Q3543" s="411">
        <v>6</v>
      </c>
      <c r="R3543" s="405" t="s">
        <v>6013</v>
      </c>
      <c r="S3543" s="405" t="s">
        <v>27181</v>
      </c>
      <c r="T3543" s="405" t="s">
        <v>884</v>
      </c>
      <c r="U3543" s="405" t="s">
        <v>319</v>
      </c>
    </row>
    <row r="3544" spans="1:21" x14ac:dyDescent="0.25">
      <c r="A3544" s="405" t="s">
        <v>310</v>
      </c>
      <c r="B3544" s="405" t="s">
        <v>22640</v>
      </c>
      <c r="C3544" s="405" t="s">
        <v>327</v>
      </c>
      <c r="D3544" s="405"/>
      <c r="E3544" s="410">
        <v>42516</v>
      </c>
      <c r="F3544" s="410">
        <v>42561</v>
      </c>
      <c r="G3544" s="405" t="s">
        <v>22641</v>
      </c>
      <c r="H3544" s="405">
        <v>772693619</v>
      </c>
      <c r="I3544" s="405"/>
      <c r="J3544" s="405">
        <v>0.75170800000000004</v>
      </c>
      <c r="K3544" s="405">
        <v>33.897368</v>
      </c>
      <c r="L3544" s="405" t="s">
        <v>590</v>
      </c>
      <c r="M3544" s="405" t="s">
        <v>19720</v>
      </c>
      <c r="N3544" s="405" t="s">
        <v>20297</v>
      </c>
      <c r="O3544" s="405" t="s">
        <v>22638</v>
      </c>
      <c r="P3544" s="405" t="s">
        <v>22642</v>
      </c>
      <c r="Q3544" s="411">
        <v>6</v>
      </c>
      <c r="R3544" s="405" t="s">
        <v>6013</v>
      </c>
      <c r="S3544" s="405" t="s">
        <v>27301</v>
      </c>
      <c r="T3544" s="405" t="s">
        <v>32102</v>
      </c>
      <c r="U3544" s="405" t="s">
        <v>319</v>
      </c>
    </row>
    <row r="3545" spans="1:21" x14ac:dyDescent="0.25">
      <c r="A3545" s="405" t="s">
        <v>310</v>
      </c>
      <c r="B3545" s="405" t="s">
        <v>22636</v>
      </c>
      <c r="C3545" s="405" t="s">
        <v>327</v>
      </c>
      <c r="D3545" s="405"/>
      <c r="E3545" s="410">
        <v>42516</v>
      </c>
      <c r="F3545" s="410">
        <v>42561</v>
      </c>
      <c r="G3545" s="405" t="s">
        <v>22637</v>
      </c>
      <c r="H3545" s="405">
        <v>775626407</v>
      </c>
      <c r="I3545" s="405">
        <v>781816612</v>
      </c>
      <c r="J3545" s="405">
        <v>0.72914100000000004</v>
      </c>
      <c r="K3545" s="405">
        <v>29.856584000000002</v>
      </c>
      <c r="L3545" s="405" t="s">
        <v>590</v>
      </c>
      <c r="M3545" s="405" t="s">
        <v>19720</v>
      </c>
      <c r="N3545" s="405" t="s">
        <v>20297</v>
      </c>
      <c r="O3545" s="405" t="s">
        <v>22638</v>
      </c>
      <c r="P3545" s="405" t="s">
        <v>22639</v>
      </c>
      <c r="Q3545" s="411">
        <v>6</v>
      </c>
      <c r="R3545" s="405" t="s">
        <v>6013</v>
      </c>
      <c r="S3545" s="405" t="s">
        <v>27423</v>
      </c>
      <c r="T3545" s="405" t="s">
        <v>884</v>
      </c>
      <c r="U3545" s="405" t="s">
        <v>319</v>
      </c>
    </row>
    <row r="3546" spans="1:21" x14ac:dyDescent="0.25">
      <c r="A3546" s="405" t="s">
        <v>310</v>
      </c>
      <c r="B3546" s="405" t="s">
        <v>22670</v>
      </c>
      <c r="C3546" s="405" t="s">
        <v>327</v>
      </c>
      <c r="D3546" s="405"/>
      <c r="E3546" s="410">
        <v>42515</v>
      </c>
      <c r="F3546" s="410">
        <v>42560</v>
      </c>
      <c r="G3546" s="405" t="s">
        <v>22671</v>
      </c>
      <c r="H3546" s="405">
        <v>701805961</v>
      </c>
      <c r="I3546" s="405">
        <v>772436022</v>
      </c>
      <c r="J3546" s="405">
        <v>0.38700000000000001</v>
      </c>
      <c r="K3546" s="405">
        <v>30.395700000000001</v>
      </c>
      <c r="L3546" s="405" t="s">
        <v>590</v>
      </c>
      <c r="M3546" s="405" t="s">
        <v>20426</v>
      </c>
      <c r="N3546" s="405" t="s">
        <v>22672</v>
      </c>
      <c r="O3546" s="405" t="s">
        <v>20744</v>
      </c>
      <c r="P3546" s="405" t="s">
        <v>22560</v>
      </c>
      <c r="Q3546" s="411">
        <v>9</v>
      </c>
      <c r="R3546" s="405" t="s">
        <v>32101</v>
      </c>
      <c r="S3546" s="405" t="s">
        <v>27186</v>
      </c>
      <c r="T3546" s="405" t="s">
        <v>884</v>
      </c>
      <c r="U3546" s="405" t="s">
        <v>319</v>
      </c>
    </row>
    <row r="3547" spans="1:21" x14ac:dyDescent="0.25">
      <c r="A3547" s="405" t="s">
        <v>310</v>
      </c>
      <c r="B3547" s="405" t="s">
        <v>22882</v>
      </c>
      <c r="C3547" s="405" t="s">
        <v>327</v>
      </c>
      <c r="D3547" s="405"/>
      <c r="E3547" s="410">
        <v>42514</v>
      </c>
      <c r="F3547" s="410">
        <v>42553</v>
      </c>
      <c r="G3547" s="405" t="s">
        <v>22883</v>
      </c>
      <c r="H3547" s="405">
        <v>756209985</v>
      </c>
      <c r="I3547" s="405">
        <v>772654291</v>
      </c>
      <c r="J3547" s="405">
        <v>0.2253</v>
      </c>
      <c r="K3547" s="405">
        <v>30.324000000000002</v>
      </c>
      <c r="L3547" s="405" t="s">
        <v>590</v>
      </c>
      <c r="M3547" s="405" t="s">
        <v>19720</v>
      </c>
      <c r="N3547" s="405" t="s">
        <v>7352</v>
      </c>
      <c r="O3547" s="405" t="s">
        <v>21991</v>
      </c>
      <c r="P3547" s="405" t="s">
        <v>22603</v>
      </c>
      <c r="Q3547" s="411">
        <v>6</v>
      </c>
      <c r="R3547" s="405" t="s">
        <v>6013</v>
      </c>
      <c r="S3547" s="405" t="s">
        <v>27422</v>
      </c>
      <c r="T3547" s="405" t="s">
        <v>884</v>
      </c>
      <c r="U3547" s="405" t="s">
        <v>319</v>
      </c>
    </row>
    <row r="3548" spans="1:21" x14ac:dyDescent="0.25">
      <c r="A3548" s="405" t="s">
        <v>310</v>
      </c>
      <c r="B3548" s="405" t="s">
        <v>15274</v>
      </c>
      <c r="C3548" s="405" t="s">
        <v>327</v>
      </c>
      <c r="D3548" s="405"/>
      <c r="E3548" s="410">
        <v>42513</v>
      </c>
      <c r="F3548" s="410">
        <v>42587</v>
      </c>
      <c r="G3548" s="405" t="s">
        <v>15275</v>
      </c>
      <c r="H3548" s="405">
        <v>785203858</v>
      </c>
      <c r="I3548" s="405"/>
      <c r="J3548" s="405">
        <v>0.25340000000000001</v>
      </c>
      <c r="K3548" s="405">
        <v>32.401000000000003</v>
      </c>
      <c r="L3548" s="405" t="s">
        <v>6866</v>
      </c>
      <c r="M3548" s="405" t="s">
        <v>13470</v>
      </c>
      <c r="N3548" s="405" t="s">
        <v>14315</v>
      </c>
      <c r="O3548" s="405" t="s">
        <v>14315</v>
      </c>
      <c r="P3548" s="405" t="s">
        <v>15276</v>
      </c>
      <c r="Q3548" s="411">
        <v>6</v>
      </c>
      <c r="R3548" s="405" t="s">
        <v>5655</v>
      </c>
      <c r="S3548" s="405" t="s">
        <v>27346</v>
      </c>
      <c r="T3548" s="405" t="s">
        <v>884</v>
      </c>
      <c r="U3548" s="405" t="s">
        <v>319</v>
      </c>
    </row>
    <row r="3549" spans="1:21" x14ac:dyDescent="0.25">
      <c r="A3549" s="405" t="s">
        <v>310</v>
      </c>
      <c r="B3549" s="405" t="s">
        <v>6055</v>
      </c>
      <c r="C3549" s="405" t="s">
        <v>327</v>
      </c>
      <c r="D3549" s="405"/>
      <c r="E3549" s="410">
        <v>42511</v>
      </c>
      <c r="F3549" s="410">
        <v>42556</v>
      </c>
      <c r="G3549" s="405" t="s">
        <v>6056</v>
      </c>
      <c r="H3549" s="405">
        <v>772503391</v>
      </c>
      <c r="I3549" s="405"/>
      <c r="J3549" s="405">
        <v>0.50467200000000001</v>
      </c>
      <c r="K3549" s="405">
        <v>32.749389999999998</v>
      </c>
      <c r="L3549" s="405" t="s">
        <v>314</v>
      </c>
      <c r="M3549" s="405" t="s">
        <v>329</v>
      </c>
      <c r="N3549" s="405" t="s">
        <v>528</v>
      </c>
      <c r="O3549" s="405" t="s">
        <v>336</v>
      </c>
      <c r="P3549" s="405" t="s">
        <v>6057</v>
      </c>
      <c r="Q3549" s="411">
        <v>9</v>
      </c>
      <c r="R3549" s="405" t="s">
        <v>4176</v>
      </c>
      <c r="S3549" s="405" t="s">
        <v>27059</v>
      </c>
      <c r="T3549" s="405" t="s">
        <v>884</v>
      </c>
      <c r="U3549" s="405" t="s">
        <v>319</v>
      </c>
    </row>
    <row r="3550" spans="1:21" x14ac:dyDescent="0.25">
      <c r="A3550" s="405" t="s">
        <v>310</v>
      </c>
      <c r="B3550" s="405" t="s">
        <v>15168</v>
      </c>
      <c r="C3550" s="405" t="s">
        <v>327</v>
      </c>
      <c r="D3550" s="405"/>
      <c r="E3550" s="410">
        <v>42511</v>
      </c>
      <c r="F3550" s="410">
        <v>42556</v>
      </c>
      <c r="G3550" s="405" t="s">
        <v>15169</v>
      </c>
      <c r="H3550" s="405">
        <v>772191140</v>
      </c>
      <c r="I3550" s="405"/>
      <c r="J3550" s="405">
        <v>1.9403999999999999</v>
      </c>
      <c r="K3550" s="405">
        <v>33.701360000000001</v>
      </c>
      <c r="L3550" s="405" t="s">
        <v>6866</v>
      </c>
      <c r="M3550" s="405" t="s">
        <v>9658</v>
      </c>
      <c r="N3550" s="405" t="s">
        <v>15170</v>
      </c>
      <c r="O3550" s="405" t="s">
        <v>14099</v>
      </c>
      <c r="P3550" s="405" t="s">
        <v>14100</v>
      </c>
      <c r="Q3550" s="411">
        <v>6</v>
      </c>
      <c r="R3550" s="405" t="s">
        <v>5655</v>
      </c>
      <c r="S3550" s="405" t="s">
        <v>27351</v>
      </c>
      <c r="T3550" s="405" t="s">
        <v>884</v>
      </c>
      <c r="U3550" s="405" t="s">
        <v>319</v>
      </c>
    </row>
    <row r="3551" spans="1:21" x14ac:dyDescent="0.25">
      <c r="A3551" s="405" t="s">
        <v>310</v>
      </c>
      <c r="B3551" s="405" t="s">
        <v>15171</v>
      </c>
      <c r="C3551" s="405" t="s">
        <v>327</v>
      </c>
      <c r="D3551" s="405"/>
      <c r="E3551" s="410">
        <v>42511</v>
      </c>
      <c r="F3551" s="410">
        <v>42556</v>
      </c>
      <c r="G3551" s="405" t="s">
        <v>15172</v>
      </c>
      <c r="H3551" s="405">
        <v>771456493</v>
      </c>
      <c r="I3551" s="405"/>
      <c r="J3551" s="405">
        <v>1.4838279999999999</v>
      </c>
      <c r="K3551" s="405">
        <v>33.126227</v>
      </c>
      <c r="L3551" s="405" t="s">
        <v>6866</v>
      </c>
      <c r="M3551" s="405" t="s">
        <v>9658</v>
      </c>
      <c r="N3551" s="405" t="s">
        <v>15170</v>
      </c>
      <c r="O3551" s="405" t="s">
        <v>14099</v>
      </c>
      <c r="P3551" s="405" t="s">
        <v>14329</v>
      </c>
      <c r="Q3551" s="411">
        <v>6</v>
      </c>
      <c r="R3551" s="405" t="s">
        <v>5655</v>
      </c>
      <c r="S3551" s="405" t="s">
        <v>27193</v>
      </c>
      <c r="T3551" s="405" t="s">
        <v>884</v>
      </c>
      <c r="U3551" s="405" t="s">
        <v>319</v>
      </c>
    </row>
    <row r="3552" spans="1:21" x14ac:dyDescent="0.25">
      <c r="A3552" s="405" t="s">
        <v>310</v>
      </c>
      <c r="B3552" s="405" t="s">
        <v>22618</v>
      </c>
      <c r="C3552" s="405" t="s">
        <v>327</v>
      </c>
      <c r="D3552" s="405"/>
      <c r="E3552" s="410">
        <v>42510</v>
      </c>
      <c r="F3552" s="410">
        <v>42555</v>
      </c>
      <c r="G3552" s="405" t="s">
        <v>22619</v>
      </c>
      <c r="H3552" s="405">
        <v>774843886</v>
      </c>
      <c r="I3552" s="405"/>
      <c r="J3552" s="405">
        <v>0.31627300000000003</v>
      </c>
      <c r="K3552" s="405">
        <v>32.622663000000003</v>
      </c>
      <c r="L3552" s="405" t="s">
        <v>590</v>
      </c>
      <c r="M3552" s="405" t="s">
        <v>19659</v>
      </c>
      <c r="N3552" s="405" t="s">
        <v>19677</v>
      </c>
      <c r="O3552" s="405" t="s">
        <v>2520</v>
      </c>
      <c r="P3552" s="405" t="s">
        <v>22620</v>
      </c>
      <c r="Q3552" s="411">
        <v>13</v>
      </c>
      <c r="R3552" s="405" t="s">
        <v>6572</v>
      </c>
      <c r="S3552" s="405" t="s">
        <v>27394</v>
      </c>
      <c r="T3552" s="405" t="s">
        <v>32102</v>
      </c>
      <c r="U3552" s="405" t="s">
        <v>319</v>
      </c>
    </row>
    <row r="3553" spans="1:21" x14ac:dyDescent="0.25">
      <c r="A3553" s="405" t="s">
        <v>310</v>
      </c>
      <c r="B3553" s="405" t="s">
        <v>27572</v>
      </c>
      <c r="C3553" s="405" t="s">
        <v>327</v>
      </c>
      <c r="D3553" s="405"/>
      <c r="E3553" s="410">
        <v>42510</v>
      </c>
      <c r="F3553" s="410">
        <v>42555</v>
      </c>
      <c r="G3553" s="405" t="s">
        <v>22675</v>
      </c>
      <c r="H3553" s="405">
        <v>777408754</v>
      </c>
      <c r="I3553" s="405">
        <v>751267821</v>
      </c>
      <c r="J3553" s="405">
        <v>0.38038499999999997</v>
      </c>
      <c r="K3553" s="405">
        <v>30.464983</v>
      </c>
      <c r="L3553" s="405" t="s">
        <v>590</v>
      </c>
      <c r="M3553" s="405" t="s">
        <v>19720</v>
      </c>
      <c r="N3553" s="405" t="s">
        <v>22676</v>
      </c>
      <c r="O3553" s="405" t="s">
        <v>21991</v>
      </c>
      <c r="P3553" s="405" t="s">
        <v>22372</v>
      </c>
      <c r="Q3553" s="411">
        <v>6</v>
      </c>
      <c r="R3553" s="405" t="s">
        <v>6013</v>
      </c>
      <c r="S3553" s="405" t="s">
        <v>27423</v>
      </c>
      <c r="T3553" s="405" t="s">
        <v>32102</v>
      </c>
      <c r="U3553" s="405" t="s">
        <v>319</v>
      </c>
    </row>
    <row r="3554" spans="1:21" x14ac:dyDescent="0.25">
      <c r="A3554" s="405" t="s">
        <v>310</v>
      </c>
      <c r="B3554" s="405" t="s">
        <v>22650</v>
      </c>
      <c r="C3554" s="405" t="s">
        <v>327</v>
      </c>
      <c r="D3554" s="405"/>
      <c r="E3554" s="410">
        <v>42510</v>
      </c>
      <c r="F3554" s="410">
        <v>42555</v>
      </c>
      <c r="G3554" s="405" t="s">
        <v>22651</v>
      </c>
      <c r="H3554" s="405">
        <v>771255880</v>
      </c>
      <c r="I3554" s="405"/>
      <c r="J3554" s="405">
        <v>0.87617900000000004</v>
      </c>
      <c r="K3554" s="405">
        <v>30.280621</v>
      </c>
      <c r="L3554" s="405" t="s">
        <v>590</v>
      </c>
      <c r="M3554" s="405" t="s">
        <v>19720</v>
      </c>
      <c r="N3554" s="405" t="s">
        <v>22346</v>
      </c>
      <c r="O3554" s="405" t="s">
        <v>11792</v>
      </c>
      <c r="P3554" s="405" t="s">
        <v>22615</v>
      </c>
      <c r="Q3554" s="411">
        <v>6</v>
      </c>
      <c r="R3554" s="405" t="s">
        <v>6013</v>
      </c>
      <c r="S3554" s="405" t="s">
        <v>27181</v>
      </c>
      <c r="T3554" s="405" t="s">
        <v>884</v>
      </c>
      <c r="U3554" s="405" t="s">
        <v>319</v>
      </c>
    </row>
    <row r="3555" spans="1:21" x14ac:dyDescent="0.25">
      <c r="A3555" s="405" t="s">
        <v>310</v>
      </c>
      <c r="B3555" s="405" t="s">
        <v>22542</v>
      </c>
      <c r="C3555" s="405" t="s">
        <v>327</v>
      </c>
      <c r="D3555" s="405"/>
      <c r="E3555" s="410">
        <v>42510</v>
      </c>
      <c r="F3555" s="410">
        <v>42550</v>
      </c>
      <c r="G3555" s="405" t="s">
        <v>22543</v>
      </c>
      <c r="H3555" s="405">
        <v>785007323</v>
      </c>
      <c r="I3555" s="405"/>
      <c r="J3555" s="405">
        <v>0.33094299999999999</v>
      </c>
      <c r="K3555" s="405">
        <v>30.473575</v>
      </c>
      <c r="L3555" s="405" t="s">
        <v>590</v>
      </c>
      <c r="M3555" s="405" t="s">
        <v>19720</v>
      </c>
      <c r="N3555" s="405" t="s">
        <v>7352</v>
      </c>
      <c r="O3555" s="405" t="s">
        <v>21940</v>
      </c>
      <c r="P3555" s="405" t="s">
        <v>22544</v>
      </c>
      <c r="Q3555" s="411">
        <v>6</v>
      </c>
      <c r="R3555" s="405" t="s">
        <v>6013</v>
      </c>
      <c r="S3555" s="405" t="s">
        <v>27301</v>
      </c>
      <c r="T3555" s="405" t="s">
        <v>884</v>
      </c>
      <c r="U3555" s="405" t="s">
        <v>319</v>
      </c>
    </row>
    <row r="3556" spans="1:21" x14ac:dyDescent="0.25">
      <c r="A3556" s="405" t="s">
        <v>310</v>
      </c>
      <c r="B3556" s="405" t="s">
        <v>22648</v>
      </c>
      <c r="C3556" s="405" t="s">
        <v>327</v>
      </c>
      <c r="D3556" s="405"/>
      <c r="E3556" s="410">
        <v>42507</v>
      </c>
      <c r="F3556" s="410">
        <v>42552</v>
      </c>
      <c r="G3556" s="405" t="s">
        <v>22649</v>
      </c>
      <c r="H3556" s="405">
        <v>772555130</v>
      </c>
      <c r="I3556" s="405"/>
      <c r="J3556" s="405">
        <v>1.420452</v>
      </c>
      <c r="K3556" s="405">
        <v>29.929283000000002</v>
      </c>
      <c r="L3556" s="405" t="s">
        <v>590</v>
      </c>
      <c r="M3556" s="405" t="s">
        <v>19720</v>
      </c>
      <c r="N3556" s="405" t="s">
        <v>7352</v>
      </c>
      <c r="O3556" s="405" t="s">
        <v>21940</v>
      </c>
      <c r="P3556" s="405" t="s">
        <v>20373</v>
      </c>
      <c r="Q3556" s="411">
        <v>6</v>
      </c>
      <c r="R3556" s="405" t="s">
        <v>6013</v>
      </c>
      <c r="S3556" s="405" t="s">
        <v>27422</v>
      </c>
      <c r="T3556" s="405" t="s">
        <v>32102</v>
      </c>
      <c r="U3556" s="405" t="s">
        <v>319</v>
      </c>
    </row>
    <row r="3557" spans="1:21" x14ac:dyDescent="0.25">
      <c r="A3557" s="405" t="s">
        <v>310</v>
      </c>
      <c r="B3557" s="405" t="s">
        <v>22539</v>
      </c>
      <c r="C3557" s="405" t="s">
        <v>327</v>
      </c>
      <c r="D3557" s="405"/>
      <c r="E3557" s="410">
        <v>42506</v>
      </c>
      <c r="F3557" s="410">
        <v>42551</v>
      </c>
      <c r="G3557" s="405" t="s">
        <v>22540</v>
      </c>
      <c r="H3557" s="405">
        <v>701552066</v>
      </c>
      <c r="I3557" s="405">
        <v>772552066</v>
      </c>
      <c r="J3557" s="405">
        <v>0.22470000000000001</v>
      </c>
      <c r="K3557" s="405">
        <v>30.474299999999999</v>
      </c>
      <c r="L3557" s="405" t="s">
        <v>590</v>
      </c>
      <c r="M3557" s="405" t="s">
        <v>19720</v>
      </c>
      <c r="N3557" s="405" t="s">
        <v>20297</v>
      </c>
      <c r="O3557" s="405" t="s">
        <v>22359</v>
      </c>
      <c r="P3557" s="405" t="s">
        <v>22541</v>
      </c>
      <c r="Q3557" s="411">
        <v>9</v>
      </c>
      <c r="R3557" s="405" t="s">
        <v>6013</v>
      </c>
      <c r="S3557" s="405" t="s">
        <v>27275</v>
      </c>
      <c r="T3557" s="405" t="s">
        <v>32102</v>
      </c>
      <c r="U3557" s="405" t="s">
        <v>319</v>
      </c>
    </row>
    <row r="3558" spans="1:21" x14ac:dyDescent="0.25">
      <c r="A3558" s="405" t="s">
        <v>310</v>
      </c>
      <c r="B3558" s="405" t="s">
        <v>28649</v>
      </c>
      <c r="C3558" s="405" t="s">
        <v>327</v>
      </c>
      <c r="D3558" s="405"/>
      <c r="E3558" s="410">
        <v>42506</v>
      </c>
      <c r="F3558" s="410">
        <v>42551</v>
      </c>
      <c r="G3558" s="405" t="s">
        <v>22534</v>
      </c>
      <c r="H3558" s="405">
        <v>785528443</v>
      </c>
      <c r="I3558" s="405">
        <v>772906266</v>
      </c>
      <c r="J3558" s="405">
        <v>0.38309300000000002</v>
      </c>
      <c r="K3558" s="405">
        <v>32.296767000000003</v>
      </c>
      <c r="L3558" s="405" t="s">
        <v>590</v>
      </c>
      <c r="M3558" s="405" t="s">
        <v>19720</v>
      </c>
      <c r="N3558" s="405" t="s">
        <v>20297</v>
      </c>
      <c r="O3558" s="405" t="s">
        <v>22033</v>
      </c>
      <c r="P3558" s="405" t="s">
        <v>22535</v>
      </c>
      <c r="Q3558" s="411">
        <v>6</v>
      </c>
      <c r="R3558" s="405" t="s">
        <v>6013</v>
      </c>
      <c r="S3558" s="405" t="s">
        <v>27205</v>
      </c>
      <c r="T3558" s="405" t="s">
        <v>32102</v>
      </c>
      <c r="U3558" s="405" t="s">
        <v>319</v>
      </c>
    </row>
    <row r="3559" spans="1:21" x14ac:dyDescent="0.25">
      <c r="A3559" s="405" t="s">
        <v>310</v>
      </c>
      <c r="B3559" s="405" t="s">
        <v>27570</v>
      </c>
      <c r="C3559" s="405" t="s">
        <v>327</v>
      </c>
      <c r="D3559" s="405"/>
      <c r="E3559" s="410">
        <v>42505</v>
      </c>
      <c r="F3559" s="410">
        <v>42550</v>
      </c>
      <c r="G3559" s="405" t="s">
        <v>6670</v>
      </c>
      <c r="H3559" s="405">
        <v>752980779</v>
      </c>
      <c r="I3559" s="405"/>
      <c r="J3559" s="405">
        <v>0.37230000000000002</v>
      </c>
      <c r="K3559" s="405">
        <v>31.324000000000002</v>
      </c>
      <c r="L3559" s="405" t="s">
        <v>314</v>
      </c>
      <c r="M3559" s="405" t="s">
        <v>398</v>
      </c>
      <c r="N3559" s="405" t="s">
        <v>399</v>
      </c>
      <c r="O3559" s="405" t="s">
        <v>4383</v>
      </c>
      <c r="P3559" s="405" t="s">
        <v>6671</v>
      </c>
      <c r="Q3559" s="411">
        <v>13</v>
      </c>
      <c r="R3559" s="405" t="s">
        <v>402</v>
      </c>
      <c r="S3559" s="405" t="s">
        <v>5986</v>
      </c>
      <c r="T3559" s="405" t="s">
        <v>884</v>
      </c>
      <c r="U3559" s="405" t="s">
        <v>319</v>
      </c>
    </row>
    <row r="3560" spans="1:21" x14ac:dyDescent="0.25">
      <c r="A3560" s="405" t="s">
        <v>310</v>
      </c>
      <c r="B3560" s="405" t="s">
        <v>28664</v>
      </c>
      <c r="C3560" s="405" t="s">
        <v>327</v>
      </c>
      <c r="D3560" s="405"/>
      <c r="E3560" s="410">
        <v>42505</v>
      </c>
      <c r="F3560" s="410">
        <v>42550</v>
      </c>
      <c r="G3560" s="405" t="s">
        <v>22573</v>
      </c>
      <c r="H3560" s="405">
        <v>773383148</v>
      </c>
      <c r="I3560" s="405"/>
      <c r="J3560" s="405">
        <v>1.0297829999999999</v>
      </c>
      <c r="K3560" s="405">
        <v>34.337257999999999</v>
      </c>
      <c r="L3560" s="405" t="s">
        <v>590</v>
      </c>
      <c r="M3560" s="405" t="s">
        <v>20070</v>
      </c>
      <c r="N3560" s="405" t="s">
        <v>20071</v>
      </c>
      <c r="O3560" s="405" t="s">
        <v>22574</v>
      </c>
      <c r="P3560" s="405" t="s">
        <v>22575</v>
      </c>
      <c r="Q3560" s="411">
        <v>9</v>
      </c>
      <c r="R3560" s="405" t="s">
        <v>5858</v>
      </c>
      <c r="S3560" s="405" t="s">
        <v>27280</v>
      </c>
      <c r="T3560" s="405" t="s">
        <v>884</v>
      </c>
      <c r="U3560" s="405" t="s">
        <v>319</v>
      </c>
    </row>
    <row r="3561" spans="1:21" x14ac:dyDescent="0.25">
      <c r="A3561" s="405" t="s">
        <v>310</v>
      </c>
      <c r="B3561" s="405" t="s">
        <v>22752</v>
      </c>
      <c r="C3561" s="405" t="s">
        <v>857</v>
      </c>
      <c r="D3561" s="405" t="s">
        <v>32759</v>
      </c>
      <c r="E3561" s="410">
        <v>42505</v>
      </c>
      <c r="F3561" s="410">
        <v>42550</v>
      </c>
      <c r="G3561" s="405" t="s">
        <v>22753</v>
      </c>
      <c r="H3561" s="405">
        <v>773747390</v>
      </c>
      <c r="I3561" s="405">
        <v>772489091</v>
      </c>
      <c r="J3561" s="405">
        <v>0.59961299999999995</v>
      </c>
      <c r="K3561" s="405">
        <v>30.232189999999999</v>
      </c>
      <c r="L3561" s="405" t="s">
        <v>590</v>
      </c>
      <c r="M3561" s="405" t="s">
        <v>19720</v>
      </c>
      <c r="N3561" s="405" t="s">
        <v>7352</v>
      </c>
      <c r="O3561" s="405" t="s">
        <v>21940</v>
      </c>
      <c r="P3561" s="405" t="s">
        <v>22754</v>
      </c>
      <c r="Q3561" s="411">
        <v>9</v>
      </c>
      <c r="R3561" s="405" t="s">
        <v>6013</v>
      </c>
      <c r="S3561" s="405" t="s">
        <v>27275</v>
      </c>
      <c r="T3561" s="405" t="s">
        <v>884</v>
      </c>
      <c r="U3561" s="405" t="s">
        <v>319</v>
      </c>
    </row>
    <row r="3562" spans="1:21" x14ac:dyDescent="0.25">
      <c r="A3562" s="405" t="s">
        <v>310</v>
      </c>
      <c r="B3562" s="405" t="s">
        <v>6047</v>
      </c>
      <c r="C3562" s="405" t="s">
        <v>327</v>
      </c>
      <c r="D3562" s="405"/>
      <c r="E3562" s="410">
        <v>42504</v>
      </c>
      <c r="F3562" s="410">
        <v>42549</v>
      </c>
      <c r="G3562" s="405" t="s">
        <v>6048</v>
      </c>
      <c r="H3562" s="405">
        <v>782758100</v>
      </c>
      <c r="I3562" s="405"/>
      <c r="J3562" s="405">
        <v>0.29036899999999999</v>
      </c>
      <c r="K3562" s="405">
        <v>34.020265000000002</v>
      </c>
      <c r="L3562" s="405" t="s">
        <v>314</v>
      </c>
      <c r="M3562" s="405" t="s">
        <v>329</v>
      </c>
      <c r="N3562" s="405" t="s">
        <v>330</v>
      </c>
      <c r="O3562" s="405" t="s">
        <v>329</v>
      </c>
      <c r="P3562" s="405" t="s">
        <v>6049</v>
      </c>
      <c r="Q3562" s="411">
        <v>9</v>
      </c>
      <c r="R3562" s="405" t="s">
        <v>402</v>
      </c>
      <c r="S3562" s="405" t="s">
        <v>27186</v>
      </c>
      <c r="T3562" s="405" t="s">
        <v>32102</v>
      </c>
      <c r="U3562" s="405" t="s">
        <v>319</v>
      </c>
    </row>
    <row r="3563" spans="1:21" x14ac:dyDescent="0.25">
      <c r="A3563" s="405" t="s">
        <v>310</v>
      </c>
      <c r="B3563" s="405" t="s">
        <v>28994</v>
      </c>
      <c r="C3563" s="405" t="s">
        <v>327</v>
      </c>
      <c r="D3563" s="405"/>
      <c r="E3563" s="410">
        <v>42504</v>
      </c>
      <c r="F3563" s="410">
        <v>42549</v>
      </c>
      <c r="G3563" s="405" t="s">
        <v>22531</v>
      </c>
      <c r="H3563" s="405">
        <v>753359955</v>
      </c>
      <c r="I3563" s="405"/>
      <c r="J3563" s="405">
        <v>0.18190000000000001</v>
      </c>
      <c r="K3563" s="405">
        <v>30.453099999999999</v>
      </c>
      <c r="L3563" s="405" t="s">
        <v>590</v>
      </c>
      <c r="M3563" s="405" t="s">
        <v>19720</v>
      </c>
      <c r="N3563" s="405" t="s">
        <v>22532</v>
      </c>
      <c r="O3563" s="405" t="s">
        <v>22511</v>
      </c>
      <c r="P3563" s="405" t="s">
        <v>22533</v>
      </c>
      <c r="Q3563" s="411">
        <v>6</v>
      </c>
      <c r="R3563" s="405" t="s">
        <v>6013</v>
      </c>
      <c r="S3563" s="405" t="s">
        <v>27181</v>
      </c>
      <c r="T3563" s="405" t="s">
        <v>884</v>
      </c>
      <c r="U3563" s="405" t="s">
        <v>319</v>
      </c>
    </row>
    <row r="3564" spans="1:21" x14ac:dyDescent="0.25">
      <c r="A3564" s="405" t="s">
        <v>310</v>
      </c>
      <c r="B3564" s="405" t="s">
        <v>22536</v>
      </c>
      <c r="C3564" s="405" t="s">
        <v>327</v>
      </c>
      <c r="D3564" s="405"/>
      <c r="E3564" s="410">
        <v>42504</v>
      </c>
      <c r="F3564" s="410">
        <v>42549</v>
      </c>
      <c r="G3564" s="405" t="s">
        <v>22537</v>
      </c>
      <c r="H3564" s="405">
        <v>777158568</v>
      </c>
      <c r="I3564" s="405"/>
      <c r="J3564" s="405">
        <v>0.114008</v>
      </c>
      <c r="K3564" s="405">
        <v>30.383267</v>
      </c>
      <c r="L3564" s="405" t="s">
        <v>590</v>
      </c>
      <c r="M3564" s="405" t="s">
        <v>19720</v>
      </c>
      <c r="N3564" s="405" t="s">
        <v>20297</v>
      </c>
      <c r="O3564" s="405" t="s">
        <v>22033</v>
      </c>
      <c r="P3564" s="405" t="s">
        <v>22538</v>
      </c>
      <c r="Q3564" s="411">
        <v>6</v>
      </c>
      <c r="R3564" s="405" t="s">
        <v>6013</v>
      </c>
      <c r="S3564" s="405" t="s">
        <v>27205</v>
      </c>
      <c r="T3564" s="405" t="s">
        <v>884</v>
      </c>
      <c r="U3564" s="405" t="s">
        <v>319</v>
      </c>
    </row>
    <row r="3565" spans="1:21" x14ac:dyDescent="0.25">
      <c r="A3565" s="405" t="s">
        <v>310</v>
      </c>
      <c r="B3565" s="405" t="s">
        <v>22557</v>
      </c>
      <c r="C3565" s="405" t="s">
        <v>327</v>
      </c>
      <c r="D3565" s="405"/>
      <c r="E3565" s="410">
        <v>42503</v>
      </c>
      <c r="F3565" s="410">
        <v>42548</v>
      </c>
      <c r="G3565" s="405" t="s">
        <v>22558</v>
      </c>
      <c r="H3565" s="405">
        <v>772032495</v>
      </c>
      <c r="I3565" s="405"/>
      <c r="J3565" s="405">
        <v>0.38700000000000001</v>
      </c>
      <c r="K3565" s="405">
        <v>30.395900000000001</v>
      </c>
      <c r="L3565" s="405" t="s">
        <v>590</v>
      </c>
      <c r="M3565" s="405" t="s">
        <v>20426</v>
      </c>
      <c r="N3565" s="405" t="s">
        <v>10880</v>
      </c>
      <c r="O3565" s="405" t="s">
        <v>22559</v>
      </c>
      <c r="P3565" s="405" t="s">
        <v>22560</v>
      </c>
      <c r="Q3565" s="411">
        <v>6</v>
      </c>
      <c r="R3565" s="405" t="s">
        <v>32101</v>
      </c>
      <c r="S3565" s="405" t="s">
        <v>27186</v>
      </c>
      <c r="T3565" s="405" t="s">
        <v>32102</v>
      </c>
      <c r="U3565" s="405" t="s">
        <v>319</v>
      </c>
    </row>
    <row r="3566" spans="1:21" x14ac:dyDescent="0.25">
      <c r="A3566" s="405" t="s">
        <v>310</v>
      </c>
      <c r="B3566" s="405" t="s">
        <v>15133</v>
      </c>
      <c r="C3566" s="405" t="s">
        <v>327</v>
      </c>
      <c r="D3566" s="405"/>
      <c r="E3566" s="410">
        <v>42502</v>
      </c>
      <c r="F3566" s="410">
        <v>42547</v>
      </c>
      <c r="G3566" s="405" t="s">
        <v>15134</v>
      </c>
      <c r="H3566" s="405">
        <v>782698561</v>
      </c>
      <c r="I3566" s="405">
        <v>752698561</v>
      </c>
      <c r="J3566" s="405">
        <v>1.2918000000000001</v>
      </c>
      <c r="K3566" s="405">
        <v>33.715000000000003</v>
      </c>
      <c r="L3566" s="405" t="s">
        <v>6866</v>
      </c>
      <c r="M3566" s="405" t="s">
        <v>9658</v>
      </c>
      <c r="N3566" s="405" t="s">
        <v>11057</v>
      </c>
      <c r="O3566" s="405" t="s">
        <v>14099</v>
      </c>
      <c r="P3566" s="405" t="s">
        <v>14329</v>
      </c>
      <c r="Q3566" s="411">
        <v>6</v>
      </c>
      <c r="R3566" s="405" t="s">
        <v>5655</v>
      </c>
      <c r="S3566" s="405" t="s">
        <v>27193</v>
      </c>
      <c r="T3566" s="405" t="s">
        <v>32102</v>
      </c>
      <c r="U3566" s="405" t="s">
        <v>319</v>
      </c>
    </row>
    <row r="3567" spans="1:21" ht="25.5" x14ac:dyDescent="0.25">
      <c r="A3567" s="405" t="s">
        <v>310</v>
      </c>
      <c r="B3567" s="413" t="s">
        <v>28362</v>
      </c>
      <c r="C3567" s="413" t="s">
        <v>311</v>
      </c>
      <c r="D3567" s="419" t="s">
        <v>32760</v>
      </c>
      <c r="E3567" s="418">
        <v>42501</v>
      </c>
      <c r="F3567" s="418">
        <v>42546</v>
      </c>
      <c r="G3567" s="413" t="s">
        <v>22764</v>
      </c>
      <c r="H3567" s="405">
        <v>782025310</v>
      </c>
      <c r="I3567" s="405">
        <v>715263522</v>
      </c>
      <c r="J3567" s="405">
        <v>0.54203699999999999</v>
      </c>
      <c r="K3567" s="405">
        <v>30.230335</v>
      </c>
      <c r="L3567" s="405" t="s">
        <v>590</v>
      </c>
      <c r="M3567" s="405" t="s">
        <v>19625</v>
      </c>
      <c r="N3567" s="405" t="s">
        <v>20086</v>
      </c>
      <c r="O3567" s="405" t="s">
        <v>22765</v>
      </c>
      <c r="P3567" s="405" t="s">
        <v>22766</v>
      </c>
      <c r="Q3567" s="411">
        <v>9</v>
      </c>
      <c r="R3567" s="405" t="s">
        <v>883</v>
      </c>
      <c r="S3567" s="405" t="s">
        <v>27183</v>
      </c>
      <c r="T3567" s="405" t="s">
        <v>32102</v>
      </c>
      <c r="U3567" s="405" t="s">
        <v>319</v>
      </c>
    </row>
    <row r="3568" spans="1:21" x14ac:dyDescent="0.25">
      <c r="A3568" s="405" t="s">
        <v>310</v>
      </c>
      <c r="B3568" s="405" t="s">
        <v>22576</v>
      </c>
      <c r="C3568" s="405" t="s">
        <v>327</v>
      </c>
      <c r="D3568" s="405"/>
      <c r="E3568" s="410">
        <v>42500</v>
      </c>
      <c r="F3568" s="410">
        <v>42545</v>
      </c>
      <c r="G3568" s="405" t="s">
        <v>22577</v>
      </c>
      <c r="H3568" s="405">
        <v>785155516</v>
      </c>
      <c r="I3568" s="405">
        <v>783384909</v>
      </c>
      <c r="J3568" s="405">
        <v>0.68288499999999996</v>
      </c>
      <c r="K3568" s="405">
        <v>29.944405</v>
      </c>
      <c r="L3568" s="405" t="s">
        <v>590</v>
      </c>
      <c r="M3568" s="405" t="s">
        <v>19619</v>
      </c>
      <c r="N3568" s="405" t="s">
        <v>19793</v>
      </c>
      <c r="O3568" s="405" t="s">
        <v>20033</v>
      </c>
      <c r="P3568" s="405" t="s">
        <v>22578</v>
      </c>
      <c r="Q3568" s="411">
        <v>9</v>
      </c>
      <c r="R3568" s="405" t="s">
        <v>5858</v>
      </c>
      <c r="S3568" s="405" t="s">
        <v>27098</v>
      </c>
      <c r="T3568" s="405" t="s">
        <v>32102</v>
      </c>
      <c r="U3568" s="405" t="s">
        <v>319</v>
      </c>
    </row>
    <row r="3569" spans="1:21" x14ac:dyDescent="0.25">
      <c r="A3569" s="405" t="s">
        <v>310</v>
      </c>
      <c r="B3569" s="405" t="s">
        <v>28356</v>
      </c>
      <c r="C3569" s="405" t="s">
        <v>327</v>
      </c>
      <c r="D3569" s="405"/>
      <c r="E3569" s="410">
        <v>42500</v>
      </c>
      <c r="F3569" s="410">
        <v>42545</v>
      </c>
      <c r="G3569" s="405" t="s">
        <v>22545</v>
      </c>
      <c r="H3569" s="405">
        <v>785464480</v>
      </c>
      <c r="I3569" s="405"/>
      <c r="J3569" s="405">
        <v>0.37668200000000002</v>
      </c>
      <c r="K3569" s="405">
        <v>30.769812999999999</v>
      </c>
      <c r="L3569" s="405" t="s">
        <v>590</v>
      </c>
      <c r="M3569" s="405" t="s">
        <v>19720</v>
      </c>
      <c r="N3569" s="405" t="s">
        <v>22346</v>
      </c>
      <c r="O3569" s="405" t="s">
        <v>22511</v>
      </c>
      <c r="P3569" s="405" t="s">
        <v>22546</v>
      </c>
      <c r="Q3569" s="411">
        <v>6</v>
      </c>
      <c r="R3569" s="405" t="s">
        <v>6013</v>
      </c>
      <c r="S3569" s="405" t="s">
        <v>27423</v>
      </c>
      <c r="T3569" s="405" t="s">
        <v>32102</v>
      </c>
      <c r="U3569" s="405" t="s">
        <v>319</v>
      </c>
    </row>
    <row r="3570" spans="1:21" x14ac:dyDescent="0.25">
      <c r="A3570" s="405" t="s">
        <v>310</v>
      </c>
      <c r="B3570" s="405" t="s">
        <v>28850</v>
      </c>
      <c r="C3570" s="405" t="s">
        <v>327</v>
      </c>
      <c r="D3570" s="405"/>
      <c r="E3570" s="410">
        <v>42500</v>
      </c>
      <c r="F3570" s="410">
        <v>42545</v>
      </c>
      <c r="G3570" s="405" t="s">
        <v>22529</v>
      </c>
      <c r="H3570" s="405">
        <v>781261877</v>
      </c>
      <c r="I3570" s="405"/>
      <c r="J3570" s="405">
        <v>0.1111</v>
      </c>
      <c r="K3570" s="405">
        <v>30.292300000000001</v>
      </c>
      <c r="L3570" s="405" t="s">
        <v>590</v>
      </c>
      <c r="M3570" s="405" t="s">
        <v>19720</v>
      </c>
      <c r="N3570" s="405" t="s">
        <v>7352</v>
      </c>
      <c r="O3570" s="405" t="s">
        <v>19720</v>
      </c>
      <c r="P3570" s="405" t="s">
        <v>22530</v>
      </c>
      <c r="Q3570" s="411">
        <v>6</v>
      </c>
      <c r="R3570" s="405" t="s">
        <v>6013</v>
      </c>
      <c r="S3570" s="405" t="s">
        <v>27422</v>
      </c>
      <c r="T3570" s="405" t="s">
        <v>32102</v>
      </c>
      <c r="U3570" s="405" t="s">
        <v>319</v>
      </c>
    </row>
    <row r="3571" spans="1:21" x14ac:dyDescent="0.25">
      <c r="A3571" s="405" t="s">
        <v>310</v>
      </c>
      <c r="B3571" s="405" t="s">
        <v>6721</v>
      </c>
      <c r="C3571" s="405" t="s">
        <v>311</v>
      </c>
      <c r="D3571" s="405" t="s">
        <v>839</v>
      </c>
      <c r="E3571" s="410">
        <v>42499</v>
      </c>
      <c r="F3571" s="410">
        <v>42632</v>
      </c>
      <c r="G3571" s="405" t="s">
        <v>6722</v>
      </c>
      <c r="H3571" s="405">
        <v>750595760</v>
      </c>
      <c r="I3571" s="405">
        <v>784763924</v>
      </c>
      <c r="J3571" s="405">
        <v>0.28092499999999998</v>
      </c>
      <c r="K3571" s="405">
        <v>32.560648</v>
      </c>
      <c r="L3571" s="405" t="s">
        <v>314</v>
      </c>
      <c r="M3571" s="405" t="s">
        <v>992</v>
      </c>
      <c r="N3571" s="405" t="s">
        <v>1340</v>
      </c>
      <c r="O3571" s="405" t="s">
        <v>1340</v>
      </c>
      <c r="P3571" s="405" t="s">
        <v>5985</v>
      </c>
      <c r="Q3571" s="411">
        <v>9</v>
      </c>
      <c r="R3571" s="405" t="s">
        <v>5986</v>
      </c>
      <c r="S3571" s="405" t="s">
        <v>27251</v>
      </c>
      <c r="T3571" s="405" t="s">
        <v>32102</v>
      </c>
      <c r="U3571" s="405" t="s">
        <v>319</v>
      </c>
    </row>
    <row r="3572" spans="1:21" x14ac:dyDescent="0.25">
      <c r="A3572" s="405" t="s">
        <v>310</v>
      </c>
      <c r="B3572" s="405" t="s">
        <v>28450</v>
      </c>
      <c r="C3572" s="405" t="s">
        <v>311</v>
      </c>
      <c r="D3572" s="405" t="s">
        <v>932</v>
      </c>
      <c r="E3572" s="410">
        <v>42499</v>
      </c>
      <c r="F3572" s="410">
        <v>42544</v>
      </c>
      <c r="G3572" s="405" t="s">
        <v>22757</v>
      </c>
      <c r="H3572" s="405">
        <v>781148304</v>
      </c>
      <c r="I3572" s="405"/>
      <c r="J3572" s="405">
        <v>0.21440000000000001</v>
      </c>
      <c r="K3572" s="405">
        <v>30.494599999999998</v>
      </c>
      <c r="L3572" s="405" t="s">
        <v>590</v>
      </c>
      <c r="M3572" s="405" t="s">
        <v>19720</v>
      </c>
      <c r="N3572" s="405" t="s">
        <v>22346</v>
      </c>
      <c r="O3572" s="405" t="s">
        <v>22511</v>
      </c>
      <c r="P3572" s="405" t="s">
        <v>22758</v>
      </c>
      <c r="Q3572" s="411">
        <v>6</v>
      </c>
      <c r="R3572" s="405" t="s">
        <v>6013</v>
      </c>
      <c r="S3572" s="405" t="s">
        <v>27301</v>
      </c>
      <c r="T3572" s="405" t="s">
        <v>32102</v>
      </c>
      <c r="U3572" s="405" t="s">
        <v>319</v>
      </c>
    </row>
    <row r="3573" spans="1:21" x14ac:dyDescent="0.25">
      <c r="A3573" s="405" t="s">
        <v>310</v>
      </c>
      <c r="B3573" s="405" t="s">
        <v>22583</v>
      </c>
      <c r="C3573" s="405" t="s">
        <v>327</v>
      </c>
      <c r="D3573" s="405"/>
      <c r="E3573" s="410">
        <v>42499</v>
      </c>
      <c r="F3573" s="410">
        <v>42544</v>
      </c>
      <c r="G3573" s="405" t="s">
        <v>22584</v>
      </c>
      <c r="H3573" s="405">
        <v>779811879</v>
      </c>
      <c r="I3573" s="405"/>
      <c r="J3573" s="405">
        <v>1.268167</v>
      </c>
      <c r="K3573" s="405">
        <v>33.290345000000002</v>
      </c>
      <c r="L3573" s="405" t="s">
        <v>590</v>
      </c>
      <c r="M3573" s="405" t="s">
        <v>19720</v>
      </c>
      <c r="N3573" s="405" t="s">
        <v>22346</v>
      </c>
      <c r="O3573" s="405" t="s">
        <v>11792</v>
      </c>
      <c r="P3573" s="405" t="s">
        <v>22585</v>
      </c>
      <c r="Q3573" s="411">
        <v>6</v>
      </c>
      <c r="R3573" s="405" t="s">
        <v>6013</v>
      </c>
      <c r="S3573" s="405" t="s">
        <v>27275</v>
      </c>
      <c r="T3573" s="405" t="s">
        <v>32102</v>
      </c>
      <c r="U3573" s="405" t="s">
        <v>319</v>
      </c>
    </row>
    <row r="3574" spans="1:21" x14ac:dyDescent="0.25">
      <c r="A3574" s="405" t="s">
        <v>310</v>
      </c>
      <c r="B3574" s="405" t="s">
        <v>22607</v>
      </c>
      <c r="C3574" s="405" t="s">
        <v>327</v>
      </c>
      <c r="D3574" s="405"/>
      <c r="E3574" s="410">
        <v>42498</v>
      </c>
      <c r="F3574" s="410">
        <v>42543</v>
      </c>
      <c r="G3574" s="405" t="s">
        <v>22608</v>
      </c>
      <c r="H3574" s="405">
        <v>772644601</v>
      </c>
      <c r="I3574" s="405"/>
      <c r="J3574" s="405">
        <v>9.8379999999999995E-3</v>
      </c>
      <c r="K3574" s="405">
        <v>31.471108999999998</v>
      </c>
      <c r="L3574" s="405" t="s">
        <v>590</v>
      </c>
      <c r="M3574" s="405" t="s">
        <v>19720</v>
      </c>
      <c r="N3574" s="405" t="s">
        <v>7352</v>
      </c>
      <c r="O3574" s="405" t="s">
        <v>21940</v>
      </c>
      <c r="P3574" s="405" t="s">
        <v>20373</v>
      </c>
      <c r="Q3574" s="411">
        <v>9</v>
      </c>
      <c r="R3574" s="405" t="s">
        <v>6013</v>
      </c>
      <c r="S3574" s="405" t="s">
        <v>27181</v>
      </c>
      <c r="T3574" s="405" t="s">
        <v>32102</v>
      </c>
      <c r="U3574" s="405" t="s">
        <v>319</v>
      </c>
    </row>
    <row r="3575" spans="1:21" x14ac:dyDescent="0.25">
      <c r="A3575" s="405" t="s">
        <v>310</v>
      </c>
      <c r="B3575" s="405" t="s">
        <v>22550</v>
      </c>
      <c r="C3575" s="405" t="s">
        <v>327</v>
      </c>
      <c r="D3575" s="405"/>
      <c r="E3575" s="410">
        <v>42498</v>
      </c>
      <c r="F3575" s="410">
        <v>42543</v>
      </c>
      <c r="G3575" s="405" t="s">
        <v>22551</v>
      </c>
      <c r="H3575" s="405">
        <v>784682109</v>
      </c>
      <c r="I3575" s="405"/>
      <c r="J3575" s="405">
        <v>0.37961299999999998</v>
      </c>
      <c r="K3575" s="405">
        <v>30.833728000000001</v>
      </c>
      <c r="L3575" s="405" t="s">
        <v>590</v>
      </c>
      <c r="M3575" s="405" t="s">
        <v>19720</v>
      </c>
      <c r="N3575" s="405" t="s">
        <v>22532</v>
      </c>
      <c r="O3575" s="405" t="s">
        <v>22511</v>
      </c>
      <c r="P3575" s="405" t="s">
        <v>22552</v>
      </c>
      <c r="Q3575" s="411">
        <v>6</v>
      </c>
      <c r="R3575" s="405" t="s">
        <v>6013</v>
      </c>
      <c r="S3575" s="405" t="s">
        <v>27301</v>
      </c>
      <c r="T3575" s="405" t="s">
        <v>32102</v>
      </c>
      <c r="U3575" s="405" t="s">
        <v>319</v>
      </c>
    </row>
    <row r="3576" spans="1:21" x14ac:dyDescent="0.25">
      <c r="A3576" s="405" t="s">
        <v>310</v>
      </c>
      <c r="B3576" s="405" t="s">
        <v>18966</v>
      </c>
      <c r="C3576" s="405" t="s">
        <v>327</v>
      </c>
      <c r="D3576" s="405"/>
      <c r="E3576" s="410">
        <v>42498</v>
      </c>
      <c r="F3576" s="410">
        <v>42543</v>
      </c>
      <c r="G3576" s="405" t="s">
        <v>18967</v>
      </c>
      <c r="H3576" s="405">
        <v>772350771</v>
      </c>
      <c r="I3576" s="405"/>
      <c r="J3576" s="405">
        <v>1.9793000000000001</v>
      </c>
      <c r="K3576" s="405">
        <v>32.525807</v>
      </c>
      <c r="L3576" s="405" t="s">
        <v>860</v>
      </c>
      <c r="M3576" s="405" t="s">
        <v>861</v>
      </c>
      <c r="N3576" s="405" t="s">
        <v>18968</v>
      </c>
      <c r="O3576" s="405" t="s">
        <v>18969</v>
      </c>
      <c r="P3576" s="405" t="s">
        <v>18970</v>
      </c>
      <c r="Q3576" s="411">
        <v>6</v>
      </c>
      <c r="R3576" s="405" t="s">
        <v>18919</v>
      </c>
      <c r="S3576" s="405" t="s">
        <v>27243</v>
      </c>
      <c r="T3576" s="405" t="s">
        <v>884</v>
      </c>
      <c r="U3576" s="405" t="s">
        <v>319</v>
      </c>
    </row>
    <row r="3577" spans="1:21" x14ac:dyDescent="0.25">
      <c r="A3577" s="405" t="s">
        <v>310</v>
      </c>
      <c r="B3577" s="405" t="s">
        <v>6464</v>
      </c>
      <c r="C3577" s="405" t="s">
        <v>327</v>
      </c>
      <c r="D3577" s="405"/>
      <c r="E3577" s="410">
        <v>42495</v>
      </c>
      <c r="F3577" s="410">
        <v>42997</v>
      </c>
      <c r="G3577" s="405" t="s">
        <v>6465</v>
      </c>
      <c r="H3577" s="405">
        <v>757740473</v>
      </c>
      <c r="I3577" s="405"/>
      <c r="J3577" s="405">
        <v>0.35342800000000002</v>
      </c>
      <c r="K3577" s="405">
        <v>32.980958000000001</v>
      </c>
      <c r="L3577" s="405" t="s">
        <v>314</v>
      </c>
      <c r="M3577" s="405" t="s">
        <v>349</v>
      </c>
      <c r="N3577" s="405" t="s">
        <v>6408</v>
      </c>
      <c r="O3577" s="405" t="s">
        <v>656</v>
      </c>
      <c r="P3577" s="405" t="s">
        <v>1618</v>
      </c>
      <c r="Q3577" s="411">
        <v>9</v>
      </c>
      <c r="R3577" s="405" t="s">
        <v>5986</v>
      </c>
      <c r="S3577" s="405" t="s">
        <v>27251</v>
      </c>
      <c r="T3577" s="405" t="s">
        <v>884</v>
      </c>
      <c r="U3577" s="405" t="s">
        <v>319</v>
      </c>
    </row>
    <row r="3578" spans="1:21" x14ac:dyDescent="0.25">
      <c r="A3578" s="405" t="s">
        <v>310</v>
      </c>
      <c r="B3578" s="405" t="s">
        <v>6050</v>
      </c>
      <c r="C3578" s="405" t="s">
        <v>327</v>
      </c>
      <c r="D3578" s="405"/>
      <c r="E3578" s="410">
        <v>42495</v>
      </c>
      <c r="F3578" s="410">
        <v>42540</v>
      </c>
      <c r="G3578" s="405" t="s">
        <v>6051</v>
      </c>
      <c r="H3578" s="405">
        <v>700400940</v>
      </c>
      <c r="I3578" s="405">
        <v>702298651</v>
      </c>
      <c r="J3578" s="405">
        <v>0.37219999999999998</v>
      </c>
      <c r="K3578" s="405">
        <v>31.3218</v>
      </c>
      <c r="L3578" s="405" t="s">
        <v>314</v>
      </c>
      <c r="M3578" s="405" t="s">
        <v>398</v>
      </c>
      <c r="N3578" s="405" t="s">
        <v>399</v>
      </c>
      <c r="O3578" s="405" t="s">
        <v>5963</v>
      </c>
      <c r="P3578" s="405" t="s">
        <v>5963</v>
      </c>
      <c r="Q3578" s="411">
        <v>9</v>
      </c>
      <c r="R3578" s="405" t="s">
        <v>402</v>
      </c>
      <c r="S3578" s="405" t="s">
        <v>5986</v>
      </c>
      <c r="T3578" s="405" t="s">
        <v>884</v>
      </c>
      <c r="U3578" s="405" t="s">
        <v>319</v>
      </c>
    </row>
    <row r="3579" spans="1:21" x14ac:dyDescent="0.25">
      <c r="A3579" s="405" t="s">
        <v>310</v>
      </c>
      <c r="B3579" s="405" t="s">
        <v>22547</v>
      </c>
      <c r="C3579" s="405" t="s">
        <v>327</v>
      </c>
      <c r="D3579" s="405"/>
      <c r="E3579" s="410">
        <v>42495</v>
      </c>
      <c r="F3579" s="410">
        <v>42540</v>
      </c>
      <c r="G3579" s="405" t="s">
        <v>22548</v>
      </c>
      <c r="H3579" s="405">
        <v>782864004</v>
      </c>
      <c r="I3579" s="405"/>
      <c r="J3579" s="405">
        <v>1.3836569999999999</v>
      </c>
      <c r="K3579" s="405">
        <v>34.459307000000003</v>
      </c>
      <c r="L3579" s="405" t="s">
        <v>590</v>
      </c>
      <c r="M3579" s="405" t="s">
        <v>19720</v>
      </c>
      <c r="N3579" s="405" t="s">
        <v>22346</v>
      </c>
      <c r="O3579" s="405" t="s">
        <v>22511</v>
      </c>
      <c r="P3579" s="405" t="s">
        <v>22549</v>
      </c>
      <c r="Q3579" s="411">
        <v>6</v>
      </c>
      <c r="R3579" s="405" t="s">
        <v>6013</v>
      </c>
      <c r="S3579" s="405" t="s">
        <v>27205</v>
      </c>
      <c r="T3579" s="405" t="s">
        <v>884</v>
      </c>
      <c r="U3579" s="405" t="s">
        <v>319</v>
      </c>
    </row>
    <row r="3580" spans="1:21" x14ac:dyDescent="0.25">
      <c r="A3580" s="405" t="s">
        <v>310</v>
      </c>
      <c r="B3580" s="405" t="s">
        <v>15135</v>
      </c>
      <c r="C3580" s="405" t="s">
        <v>327</v>
      </c>
      <c r="D3580" s="405"/>
      <c r="E3580" s="410">
        <v>42495</v>
      </c>
      <c r="F3580" s="410">
        <v>42540</v>
      </c>
      <c r="G3580" s="405" t="s">
        <v>15136</v>
      </c>
      <c r="H3580" s="405">
        <v>772514390</v>
      </c>
      <c r="I3580" s="405"/>
      <c r="J3580" s="405">
        <v>0.343223</v>
      </c>
      <c r="K3580" s="405">
        <v>31.19942</v>
      </c>
      <c r="L3580" s="405" t="s">
        <v>6866</v>
      </c>
      <c r="M3580" s="405" t="s">
        <v>10515</v>
      </c>
      <c r="N3580" s="405" t="s">
        <v>10515</v>
      </c>
      <c r="O3580" s="405" t="s">
        <v>10645</v>
      </c>
      <c r="P3580" s="405" t="s">
        <v>15137</v>
      </c>
      <c r="Q3580" s="411">
        <v>6</v>
      </c>
      <c r="R3580" s="405" t="s">
        <v>5655</v>
      </c>
      <c r="S3580" s="405" t="s">
        <v>27193</v>
      </c>
      <c r="T3580" s="405" t="s">
        <v>884</v>
      </c>
      <c r="U3580" s="405" t="s">
        <v>319</v>
      </c>
    </row>
    <row r="3581" spans="1:21" x14ac:dyDescent="0.25">
      <c r="A3581" s="405" t="s">
        <v>310</v>
      </c>
      <c r="B3581" s="405" t="s">
        <v>22609</v>
      </c>
      <c r="C3581" s="405" t="s">
        <v>327</v>
      </c>
      <c r="D3581" s="405"/>
      <c r="E3581" s="410">
        <v>42492</v>
      </c>
      <c r="F3581" s="410">
        <v>42537</v>
      </c>
      <c r="G3581" s="405" t="s">
        <v>22610</v>
      </c>
      <c r="H3581" s="405">
        <v>772345677</v>
      </c>
      <c r="I3581" s="405">
        <v>776491641</v>
      </c>
      <c r="J3581" s="405">
        <v>0.20569999999999999</v>
      </c>
      <c r="K3581" s="405">
        <v>30.471800000000002</v>
      </c>
      <c r="L3581" s="405" t="s">
        <v>590</v>
      </c>
      <c r="M3581" s="405" t="s">
        <v>19720</v>
      </c>
      <c r="N3581" s="405" t="s">
        <v>7352</v>
      </c>
      <c r="O3581" s="405" t="s">
        <v>22511</v>
      </c>
      <c r="P3581" s="405" t="s">
        <v>22511</v>
      </c>
      <c r="Q3581" s="411">
        <v>9</v>
      </c>
      <c r="R3581" s="405" t="s">
        <v>6013</v>
      </c>
      <c r="S3581" s="405" t="s">
        <v>27275</v>
      </c>
      <c r="T3581" s="405" t="s">
        <v>884</v>
      </c>
      <c r="U3581" s="405" t="s">
        <v>319</v>
      </c>
    </row>
    <row r="3582" spans="1:21" x14ac:dyDescent="0.25">
      <c r="A3582" s="405" t="s">
        <v>310</v>
      </c>
      <c r="B3582" s="405" t="s">
        <v>22846</v>
      </c>
      <c r="C3582" s="405" t="s">
        <v>857</v>
      </c>
      <c r="D3582" s="405" t="s">
        <v>33058</v>
      </c>
      <c r="E3582" s="410">
        <v>42492</v>
      </c>
      <c r="F3582" s="410">
        <v>42537</v>
      </c>
      <c r="G3582" s="405" t="s">
        <v>22847</v>
      </c>
      <c r="H3582" s="405">
        <v>779608942</v>
      </c>
      <c r="I3582" s="405"/>
      <c r="J3582" s="405">
        <v>0.63227</v>
      </c>
      <c r="K3582" s="405">
        <v>30.075786999999998</v>
      </c>
      <c r="L3582" s="405" t="s">
        <v>590</v>
      </c>
      <c r="M3582" s="405" t="s">
        <v>19720</v>
      </c>
      <c r="N3582" s="405" t="s">
        <v>7352</v>
      </c>
      <c r="O3582" s="405" t="s">
        <v>22511</v>
      </c>
      <c r="P3582" s="405" t="s">
        <v>22848</v>
      </c>
      <c r="Q3582" s="411">
        <v>6</v>
      </c>
      <c r="R3582" s="405" t="s">
        <v>6013</v>
      </c>
      <c r="S3582" s="405" t="s">
        <v>27423</v>
      </c>
      <c r="T3582" s="405" t="s">
        <v>884</v>
      </c>
      <c r="U3582" s="405" t="s">
        <v>319</v>
      </c>
    </row>
    <row r="3583" spans="1:21" x14ac:dyDescent="0.25">
      <c r="A3583" s="405" t="s">
        <v>310</v>
      </c>
      <c r="B3583" s="405" t="s">
        <v>22604</v>
      </c>
      <c r="C3583" s="405" t="s">
        <v>327</v>
      </c>
      <c r="D3583" s="405"/>
      <c r="E3583" s="410">
        <v>42492</v>
      </c>
      <c r="F3583" s="410">
        <v>42537</v>
      </c>
      <c r="G3583" s="405" t="s">
        <v>22605</v>
      </c>
      <c r="H3583" s="405">
        <v>777848410</v>
      </c>
      <c r="I3583" s="405"/>
      <c r="J3583" s="405">
        <v>0.66028500000000001</v>
      </c>
      <c r="K3583" s="405">
        <v>30.172381999999999</v>
      </c>
      <c r="L3583" s="405" t="s">
        <v>590</v>
      </c>
      <c r="M3583" s="405" t="s">
        <v>19720</v>
      </c>
      <c r="N3583" s="405" t="s">
        <v>7352</v>
      </c>
      <c r="O3583" s="405" t="s">
        <v>22511</v>
      </c>
      <c r="P3583" s="405" t="s">
        <v>22606</v>
      </c>
      <c r="Q3583" s="411">
        <v>6</v>
      </c>
      <c r="R3583" s="405" t="s">
        <v>6013</v>
      </c>
      <c r="S3583" s="405" t="s">
        <v>27181</v>
      </c>
      <c r="T3583" s="405" t="s">
        <v>884</v>
      </c>
      <c r="U3583" s="405" t="s">
        <v>319</v>
      </c>
    </row>
    <row r="3584" spans="1:21" x14ac:dyDescent="0.25">
      <c r="A3584" s="405" t="s">
        <v>310</v>
      </c>
      <c r="B3584" s="405" t="s">
        <v>22616</v>
      </c>
      <c r="C3584" s="405" t="s">
        <v>327</v>
      </c>
      <c r="D3584" s="405"/>
      <c r="E3584" s="410">
        <v>42492</v>
      </c>
      <c r="F3584" s="410">
        <v>42537</v>
      </c>
      <c r="G3584" s="405" t="s">
        <v>22617</v>
      </c>
      <c r="H3584" s="405">
        <v>774988432</v>
      </c>
      <c r="I3584" s="405"/>
      <c r="J3584" s="405">
        <v>0.59620099999999998</v>
      </c>
      <c r="K3584" s="405">
        <v>33.708170000000003</v>
      </c>
      <c r="L3584" s="405" t="s">
        <v>590</v>
      </c>
      <c r="M3584" s="405" t="s">
        <v>19720</v>
      </c>
      <c r="N3584" s="405" t="s">
        <v>7352</v>
      </c>
      <c r="O3584" s="405" t="s">
        <v>22511</v>
      </c>
      <c r="P3584" s="405" t="s">
        <v>22517</v>
      </c>
      <c r="Q3584" s="411">
        <v>6</v>
      </c>
      <c r="R3584" s="405" t="s">
        <v>6013</v>
      </c>
      <c r="S3584" s="405" t="s">
        <v>27422</v>
      </c>
      <c r="T3584" s="405" t="s">
        <v>865</v>
      </c>
      <c r="U3584" s="405" t="s">
        <v>866</v>
      </c>
    </row>
    <row r="3585" spans="1:21" x14ac:dyDescent="0.25">
      <c r="A3585" s="405" t="s">
        <v>310</v>
      </c>
      <c r="B3585" s="405" t="s">
        <v>28020</v>
      </c>
      <c r="C3585" s="405" t="s">
        <v>857</v>
      </c>
      <c r="D3585" s="405" t="s">
        <v>1037</v>
      </c>
      <c r="E3585" s="410">
        <v>42492</v>
      </c>
      <c r="F3585" s="410">
        <v>42537</v>
      </c>
      <c r="G3585" s="405" t="s">
        <v>15555</v>
      </c>
      <c r="H3585" s="405">
        <v>785159676</v>
      </c>
      <c r="I3585" s="405"/>
      <c r="J3585" s="405">
        <v>0.58910899999999999</v>
      </c>
      <c r="K3585" s="405">
        <v>32.303683999999997</v>
      </c>
      <c r="L3585" s="405" t="s">
        <v>6866</v>
      </c>
      <c r="M3585" s="405" t="s">
        <v>13470</v>
      </c>
      <c r="N3585" s="405" t="s">
        <v>13471</v>
      </c>
      <c r="O3585" s="405" t="s">
        <v>1260</v>
      </c>
      <c r="P3585" s="405" t="s">
        <v>15148</v>
      </c>
      <c r="Q3585" s="411">
        <v>6</v>
      </c>
      <c r="R3585" s="405" t="s">
        <v>5655</v>
      </c>
      <c r="S3585" s="405" t="s">
        <v>27356</v>
      </c>
      <c r="T3585" s="405" t="s">
        <v>32102</v>
      </c>
      <c r="U3585" s="405" t="s">
        <v>319</v>
      </c>
    </row>
    <row r="3586" spans="1:21" x14ac:dyDescent="0.25">
      <c r="A3586" s="405" t="s">
        <v>310</v>
      </c>
      <c r="B3586" s="405" t="s">
        <v>15145</v>
      </c>
      <c r="C3586" s="405" t="s">
        <v>327</v>
      </c>
      <c r="D3586" s="405"/>
      <c r="E3586" s="410">
        <v>42492</v>
      </c>
      <c r="F3586" s="410">
        <v>42537</v>
      </c>
      <c r="G3586" s="405" t="s">
        <v>15146</v>
      </c>
      <c r="H3586" s="405">
        <v>757534478</v>
      </c>
      <c r="I3586" s="405"/>
      <c r="J3586" s="405">
        <v>0.54372324000000005</v>
      </c>
      <c r="K3586" s="405">
        <v>33.682655359999998</v>
      </c>
      <c r="L3586" s="405" t="s">
        <v>6866</v>
      </c>
      <c r="M3586" s="405" t="s">
        <v>13470</v>
      </c>
      <c r="N3586" s="405" t="s">
        <v>15147</v>
      </c>
      <c r="O3586" s="405" t="s">
        <v>1260</v>
      </c>
      <c r="P3586" s="405" t="s">
        <v>15148</v>
      </c>
      <c r="Q3586" s="411">
        <v>6</v>
      </c>
      <c r="R3586" s="405" t="s">
        <v>5655</v>
      </c>
      <c r="S3586" s="405" t="s">
        <v>27072</v>
      </c>
      <c r="T3586" s="405" t="s">
        <v>32102</v>
      </c>
      <c r="U3586" s="405" t="s">
        <v>319</v>
      </c>
    </row>
    <row r="3587" spans="1:21" x14ac:dyDescent="0.25">
      <c r="A3587" s="405" t="s">
        <v>310</v>
      </c>
      <c r="B3587" s="405" t="s">
        <v>28080</v>
      </c>
      <c r="C3587" s="405" t="s">
        <v>327</v>
      </c>
      <c r="D3587" s="405"/>
      <c r="E3587" s="410">
        <v>42492</v>
      </c>
      <c r="F3587" s="410">
        <v>42537</v>
      </c>
      <c r="G3587" s="405" t="s">
        <v>6046</v>
      </c>
      <c r="H3587" s="405">
        <v>754526622</v>
      </c>
      <c r="I3587" s="405"/>
      <c r="J3587" s="405">
        <v>0.313</v>
      </c>
      <c r="K3587" s="405">
        <v>31.294499999999999</v>
      </c>
      <c r="L3587" s="405" t="s">
        <v>314</v>
      </c>
      <c r="M3587" s="405" t="s">
        <v>1189</v>
      </c>
      <c r="N3587" s="405" t="s">
        <v>1189</v>
      </c>
      <c r="O3587" s="405" t="s">
        <v>3973</v>
      </c>
      <c r="P3587" s="405" t="s">
        <v>3974</v>
      </c>
      <c r="Q3587" s="411">
        <v>6</v>
      </c>
      <c r="R3587" s="405" t="s">
        <v>402</v>
      </c>
      <c r="S3587" s="405" t="s">
        <v>5986</v>
      </c>
      <c r="T3587" s="405" t="s">
        <v>32102</v>
      </c>
      <c r="U3587" s="405" t="s">
        <v>319</v>
      </c>
    </row>
    <row r="3588" spans="1:21" x14ac:dyDescent="0.25">
      <c r="A3588" s="405" t="s">
        <v>310</v>
      </c>
      <c r="B3588" s="405" t="s">
        <v>22601</v>
      </c>
      <c r="C3588" s="405" t="s">
        <v>327</v>
      </c>
      <c r="D3588" s="405"/>
      <c r="E3588" s="410">
        <v>42491</v>
      </c>
      <c r="F3588" s="410">
        <v>42536</v>
      </c>
      <c r="G3588" s="405" t="s">
        <v>22602</v>
      </c>
      <c r="H3588" s="405">
        <v>754368777</v>
      </c>
      <c r="I3588" s="405"/>
      <c r="J3588" s="405">
        <v>0.38260699999999997</v>
      </c>
      <c r="K3588" s="405">
        <v>30.536268</v>
      </c>
      <c r="L3588" s="405" t="s">
        <v>590</v>
      </c>
      <c r="M3588" s="405" t="s">
        <v>19720</v>
      </c>
      <c r="N3588" s="405" t="s">
        <v>7352</v>
      </c>
      <c r="O3588" s="405" t="s">
        <v>21991</v>
      </c>
      <c r="P3588" s="405" t="s">
        <v>22603</v>
      </c>
      <c r="Q3588" s="411">
        <v>6</v>
      </c>
      <c r="R3588" s="405" t="s">
        <v>6013</v>
      </c>
      <c r="S3588" s="405" t="s">
        <v>27301</v>
      </c>
      <c r="T3588" s="405" t="s">
        <v>32102</v>
      </c>
      <c r="U3588" s="405" t="s">
        <v>319</v>
      </c>
    </row>
    <row r="3589" spans="1:21" x14ac:dyDescent="0.25">
      <c r="A3589" s="405" t="s">
        <v>310</v>
      </c>
      <c r="B3589" s="405" t="s">
        <v>15161</v>
      </c>
      <c r="C3589" s="405" t="s">
        <v>327</v>
      </c>
      <c r="D3589" s="405"/>
      <c r="E3589" s="410">
        <v>42491</v>
      </c>
      <c r="F3589" s="410">
        <v>42536</v>
      </c>
      <c r="G3589" s="405" t="s">
        <v>15162</v>
      </c>
      <c r="H3589" s="405">
        <v>771454909</v>
      </c>
      <c r="I3589" s="405"/>
      <c r="J3589" s="405">
        <v>0.54447451000000002</v>
      </c>
      <c r="K3589" s="405">
        <v>33.696014589999997</v>
      </c>
      <c r="L3589" s="405" t="s">
        <v>6866</v>
      </c>
      <c r="M3589" s="405" t="s">
        <v>13470</v>
      </c>
      <c r="N3589" s="405" t="s">
        <v>13471</v>
      </c>
      <c r="O3589" s="405" t="s">
        <v>1260</v>
      </c>
      <c r="P3589" s="405" t="s">
        <v>15153</v>
      </c>
      <c r="Q3589" s="411">
        <v>6</v>
      </c>
      <c r="R3589" s="405" t="s">
        <v>5655</v>
      </c>
      <c r="S3589" s="405" t="s">
        <v>27041</v>
      </c>
      <c r="T3589" s="405" t="s">
        <v>884</v>
      </c>
      <c r="U3589" s="405" t="s">
        <v>319</v>
      </c>
    </row>
    <row r="3590" spans="1:21" x14ac:dyDescent="0.25">
      <c r="A3590" s="405" t="s">
        <v>310</v>
      </c>
      <c r="B3590" s="405" t="s">
        <v>28374</v>
      </c>
      <c r="C3590" s="405" t="s">
        <v>327</v>
      </c>
      <c r="D3590" s="405"/>
      <c r="E3590" s="410">
        <v>42490</v>
      </c>
      <c r="F3590" s="410">
        <v>42535</v>
      </c>
      <c r="G3590" s="405" t="s">
        <v>15132</v>
      </c>
      <c r="H3590" s="405">
        <v>773684052</v>
      </c>
      <c r="I3590" s="405"/>
      <c r="J3590" s="405">
        <v>0.381272</v>
      </c>
      <c r="K3590" s="405">
        <v>32.696337</v>
      </c>
      <c r="L3590" s="405" t="s">
        <v>6866</v>
      </c>
      <c r="M3590" s="405" t="s">
        <v>9566</v>
      </c>
      <c r="N3590" s="405" t="s">
        <v>10001</v>
      </c>
      <c r="O3590" s="405" t="s">
        <v>11178</v>
      </c>
      <c r="P3590" s="405" t="s">
        <v>11922</v>
      </c>
      <c r="Q3590" s="411">
        <v>6</v>
      </c>
      <c r="R3590" s="405" t="s">
        <v>5655</v>
      </c>
      <c r="S3590" s="405" t="s">
        <v>27353</v>
      </c>
      <c r="T3590" s="405" t="s">
        <v>884</v>
      </c>
      <c r="U3590" s="405" t="s">
        <v>319</v>
      </c>
    </row>
    <row r="3591" spans="1:21" x14ac:dyDescent="0.25">
      <c r="A3591" s="405" t="s">
        <v>310</v>
      </c>
      <c r="B3591" s="405" t="s">
        <v>28892</v>
      </c>
      <c r="C3591" s="405" t="s">
        <v>327</v>
      </c>
      <c r="D3591" s="405"/>
      <c r="E3591" s="410">
        <v>42490</v>
      </c>
      <c r="F3591" s="410">
        <v>42535</v>
      </c>
      <c r="G3591" s="405" t="s">
        <v>15140</v>
      </c>
      <c r="H3591" s="405">
        <v>777696381</v>
      </c>
      <c r="I3591" s="405">
        <v>753696601</v>
      </c>
      <c r="J3591" s="405">
        <v>0.30888199999999999</v>
      </c>
      <c r="K3591" s="405">
        <v>32.008747999999997</v>
      </c>
      <c r="L3591" s="405" t="s">
        <v>6866</v>
      </c>
      <c r="M3591" s="405" t="s">
        <v>9514</v>
      </c>
      <c r="N3591" s="405" t="s">
        <v>9616</v>
      </c>
      <c r="O3591" s="405" t="s">
        <v>9780</v>
      </c>
      <c r="P3591" s="405" t="s">
        <v>15141</v>
      </c>
      <c r="Q3591" s="411">
        <v>6</v>
      </c>
      <c r="R3591" s="405" t="s">
        <v>6871</v>
      </c>
      <c r="S3591" s="405" t="s">
        <v>27306</v>
      </c>
      <c r="T3591" s="405" t="s">
        <v>884</v>
      </c>
      <c r="U3591" s="405" t="s">
        <v>319</v>
      </c>
    </row>
    <row r="3592" spans="1:21" x14ac:dyDescent="0.25">
      <c r="A3592" s="405" t="s">
        <v>310</v>
      </c>
      <c r="B3592" s="405" t="s">
        <v>29093</v>
      </c>
      <c r="C3592" s="405" t="s">
        <v>327</v>
      </c>
      <c r="D3592" s="405"/>
      <c r="E3592" s="410">
        <v>42490</v>
      </c>
      <c r="F3592" s="410">
        <v>42535</v>
      </c>
      <c r="G3592" s="405" t="s">
        <v>15158</v>
      </c>
      <c r="H3592" s="405">
        <v>775131327</v>
      </c>
      <c r="I3592" s="405">
        <v>755142055</v>
      </c>
      <c r="J3592" s="405">
        <v>0.311</v>
      </c>
      <c r="K3592" s="405">
        <v>33.393300000000004</v>
      </c>
      <c r="L3592" s="405" t="s">
        <v>6866</v>
      </c>
      <c r="M3592" s="405" t="s">
        <v>13470</v>
      </c>
      <c r="N3592" s="405" t="s">
        <v>15147</v>
      </c>
      <c r="O3592" s="405" t="s">
        <v>1260</v>
      </c>
      <c r="P3592" s="405" t="s">
        <v>15156</v>
      </c>
      <c r="Q3592" s="411">
        <v>6</v>
      </c>
      <c r="R3592" s="405" t="s">
        <v>5655</v>
      </c>
      <c r="S3592" s="405" t="s">
        <v>27346</v>
      </c>
      <c r="T3592" s="405" t="s">
        <v>32102</v>
      </c>
      <c r="U3592" s="405" t="s">
        <v>319</v>
      </c>
    </row>
    <row r="3593" spans="1:21" x14ac:dyDescent="0.25">
      <c r="A3593" s="405" t="s">
        <v>310</v>
      </c>
      <c r="B3593" s="405" t="s">
        <v>29120</v>
      </c>
      <c r="C3593" s="405" t="s">
        <v>327</v>
      </c>
      <c r="D3593" s="405"/>
      <c r="E3593" s="410">
        <v>42490</v>
      </c>
      <c r="F3593" s="410">
        <v>42535</v>
      </c>
      <c r="G3593" s="405" t="s">
        <v>15142</v>
      </c>
      <c r="H3593" s="405">
        <v>778309738</v>
      </c>
      <c r="I3593" s="405"/>
      <c r="J3593" s="405">
        <v>0.32214999999999999</v>
      </c>
      <c r="K3593" s="405">
        <v>32.738370000000003</v>
      </c>
      <c r="L3593" s="405" t="s">
        <v>6866</v>
      </c>
      <c r="M3593" s="405" t="s">
        <v>9514</v>
      </c>
      <c r="N3593" s="405" t="s">
        <v>9616</v>
      </c>
      <c r="O3593" s="405" t="s">
        <v>9780</v>
      </c>
      <c r="P3593" s="405" t="s">
        <v>15143</v>
      </c>
      <c r="Q3593" s="411">
        <v>6</v>
      </c>
      <c r="R3593" s="405" t="s">
        <v>6871</v>
      </c>
      <c r="S3593" s="405" t="s">
        <v>17013</v>
      </c>
      <c r="T3593" s="405" t="s">
        <v>884</v>
      </c>
      <c r="U3593" s="405" t="s">
        <v>319</v>
      </c>
    </row>
    <row r="3594" spans="1:21" x14ac:dyDescent="0.25">
      <c r="A3594" s="405" t="s">
        <v>310</v>
      </c>
      <c r="B3594" s="405" t="s">
        <v>27574</v>
      </c>
      <c r="C3594" s="405" t="s">
        <v>327</v>
      </c>
      <c r="D3594" s="405"/>
      <c r="E3594" s="410">
        <v>42490</v>
      </c>
      <c r="F3594" s="410">
        <v>42535</v>
      </c>
      <c r="G3594" s="405" t="s">
        <v>15127</v>
      </c>
      <c r="H3594" s="405">
        <v>787861734</v>
      </c>
      <c r="I3594" s="405"/>
      <c r="J3594" s="405">
        <v>0.11650000000000001</v>
      </c>
      <c r="K3594" s="405">
        <v>33.172499999999999</v>
      </c>
      <c r="L3594" s="405" t="s">
        <v>6866</v>
      </c>
      <c r="M3594" s="405" t="s">
        <v>9520</v>
      </c>
      <c r="N3594" s="405" t="s">
        <v>13356</v>
      </c>
      <c r="O3594" s="405" t="s">
        <v>13286</v>
      </c>
      <c r="P3594" s="405" t="s">
        <v>15128</v>
      </c>
      <c r="Q3594" s="411">
        <v>6</v>
      </c>
      <c r="R3594" s="405" t="s">
        <v>5665</v>
      </c>
      <c r="S3594" s="405" t="s">
        <v>27162</v>
      </c>
      <c r="T3594" s="405" t="s">
        <v>884</v>
      </c>
      <c r="U3594" s="405" t="s">
        <v>319</v>
      </c>
    </row>
    <row r="3595" spans="1:21" x14ac:dyDescent="0.25">
      <c r="A3595" s="405" t="s">
        <v>310</v>
      </c>
      <c r="B3595" s="405" t="s">
        <v>22831</v>
      </c>
      <c r="C3595" s="405" t="s">
        <v>311</v>
      </c>
      <c r="D3595" s="405" t="s">
        <v>312</v>
      </c>
      <c r="E3595" s="410">
        <v>42490</v>
      </c>
      <c r="F3595" s="410">
        <v>42535</v>
      </c>
      <c r="G3595" s="405" t="s">
        <v>22832</v>
      </c>
      <c r="H3595" s="405">
        <v>782783174</v>
      </c>
      <c r="I3595" s="405"/>
      <c r="J3595" s="405">
        <v>0.82689500000000005</v>
      </c>
      <c r="K3595" s="405">
        <v>33.825118000000003</v>
      </c>
      <c r="L3595" s="405" t="s">
        <v>590</v>
      </c>
      <c r="M3595" s="405" t="s">
        <v>19720</v>
      </c>
      <c r="N3595" s="405" t="s">
        <v>20297</v>
      </c>
      <c r="O3595" s="405" t="s">
        <v>22359</v>
      </c>
      <c r="P3595" s="405" t="s">
        <v>22833</v>
      </c>
      <c r="Q3595" s="411">
        <v>6</v>
      </c>
      <c r="R3595" s="405" t="s">
        <v>6013</v>
      </c>
      <c r="S3595" s="405" t="s">
        <v>27181</v>
      </c>
      <c r="T3595" s="405" t="s">
        <v>6551</v>
      </c>
      <c r="U3595" s="405" t="s">
        <v>2267</v>
      </c>
    </row>
    <row r="3596" spans="1:21" x14ac:dyDescent="0.25">
      <c r="A3596" s="405" t="s">
        <v>310</v>
      </c>
      <c r="B3596" s="405" t="s">
        <v>29000</v>
      </c>
      <c r="C3596" s="405" t="s">
        <v>327</v>
      </c>
      <c r="D3596" s="405"/>
      <c r="E3596" s="410">
        <v>42490</v>
      </c>
      <c r="F3596" s="410">
        <v>42535</v>
      </c>
      <c r="G3596" s="405" t="s">
        <v>22563</v>
      </c>
      <c r="H3596" s="405">
        <v>702501916</v>
      </c>
      <c r="I3596" s="405"/>
      <c r="J3596" s="405">
        <v>0.51593199999999995</v>
      </c>
      <c r="K3596" s="405">
        <v>33.343127000000003</v>
      </c>
      <c r="L3596" s="405" t="s">
        <v>590</v>
      </c>
      <c r="M3596" s="405" t="s">
        <v>19614</v>
      </c>
      <c r="N3596" s="405" t="s">
        <v>19654</v>
      </c>
      <c r="O3596" s="405" t="s">
        <v>22564</v>
      </c>
      <c r="P3596" s="405" t="s">
        <v>19912</v>
      </c>
      <c r="Q3596" s="411">
        <v>6</v>
      </c>
      <c r="R3596" s="405" t="s">
        <v>6943</v>
      </c>
      <c r="S3596" s="405" t="s">
        <v>27065</v>
      </c>
      <c r="T3596" s="405" t="s">
        <v>884</v>
      </c>
      <c r="U3596" s="405" t="s">
        <v>319</v>
      </c>
    </row>
    <row r="3597" spans="1:21" x14ac:dyDescent="0.25">
      <c r="A3597" s="405" t="s">
        <v>310</v>
      </c>
      <c r="B3597" s="405" t="s">
        <v>28298</v>
      </c>
      <c r="C3597" s="405" t="s">
        <v>327</v>
      </c>
      <c r="D3597" s="405"/>
      <c r="E3597" s="410">
        <v>42489</v>
      </c>
      <c r="F3597" s="410">
        <v>42534</v>
      </c>
      <c r="G3597" s="405" t="s">
        <v>22561</v>
      </c>
      <c r="H3597" s="405">
        <v>782325963</v>
      </c>
      <c r="I3597" s="405"/>
      <c r="J3597" s="405">
        <v>0.2918</v>
      </c>
      <c r="K3597" s="405">
        <v>30.1556</v>
      </c>
      <c r="L3597" s="405" t="s">
        <v>590</v>
      </c>
      <c r="M3597" s="405" t="s">
        <v>19625</v>
      </c>
      <c r="N3597" s="405" t="s">
        <v>20086</v>
      </c>
      <c r="O3597" s="405" t="s">
        <v>22562</v>
      </c>
      <c r="P3597" s="405" t="s">
        <v>20763</v>
      </c>
      <c r="Q3597" s="411">
        <v>9</v>
      </c>
      <c r="R3597" s="405" t="s">
        <v>6943</v>
      </c>
      <c r="S3597" s="405" t="s">
        <v>27065</v>
      </c>
      <c r="T3597" s="405" t="s">
        <v>884</v>
      </c>
      <c r="U3597" s="405" t="s">
        <v>319</v>
      </c>
    </row>
    <row r="3598" spans="1:21" x14ac:dyDescent="0.25">
      <c r="A3598" s="405" t="s">
        <v>310</v>
      </c>
      <c r="B3598" s="405" t="s">
        <v>27474</v>
      </c>
      <c r="C3598" s="405" t="s">
        <v>857</v>
      </c>
      <c r="D3598" s="405" t="s">
        <v>1007</v>
      </c>
      <c r="E3598" s="410">
        <v>42489</v>
      </c>
      <c r="F3598" s="410">
        <v>42534</v>
      </c>
      <c r="G3598" s="405" t="s">
        <v>15523</v>
      </c>
      <c r="H3598" s="405">
        <v>752200982</v>
      </c>
      <c r="I3598" s="405"/>
      <c r="J3598" s="405">
        <v>0.45904299999999998</v>
      </c>
      <c r="K3598" s="405">
        <v>31.652688000000001</v>
      </c>
      <c r="L3598" s="405" t="s">
        <v>6866</v>
      </c>
      <c r="M3598" s="405" t="s">
        <v>9658</v>
      </c>
      <c r="N3598" s="405" t="s">
        <v>11057</v>
      </c>
      <c r="O3598" s="405" t="s">
        <v>14099</v>
      </c>
      <c r="P3598" s="405" t="s">
        <v>15524</v>
      </c>
      <c r="Q3598" s="411">
        <v>6</v>
      </c>
      <c r="R3598" s="405" t="s">
        <v>5655</v>
      </c>
      <c r="S3598" s="405" t="s">
        <v>27056</v>
      </c>
      <c r="T3598" s="405" t="s">
        <v>32102</v>
      </c>
      <c r="U3598" s="405" t="s">
        <v>319</v>
      </c>
    </row>
    <row r="3599" spans="1:21" x14ac:dyDescent="0.25">
      <c r="A3599" s="405" t="s">
        <v>310</v>
      </c>
      <c r="B3599" s="405" t="s">
        <v>22775</v>
      </c>
      <c r="C3599" s="405" t="s">
        <v>311</v>
      </c>
      <c r="D3599" s="405" t="s">
        <v>312</v>
      </c>
      <c r="E3599" s="410">
        <v>42489</v>
      </c>
      <c r="F3599" s="410">
        <v>42534</v>
      </c>
      <c r="G3599" s="405" t="s">
        <v>22776</v>
      </c>
      <c r="H3599" s="405">
        <v>701446408</v>
      </c>
      <c r="I3599" s="405"/>
      <c r="J3599" s="405">
        <v>0.67666300000000001</v>
      </c>
      <c r="K3599" s="405">
        <v>30.266023000000001</v>
      </c>
      <c r="L3599" s="405" t="s">
        <v>590</v>
      </c>
      <c r="M3599" s="405" t="s">
        <v>20125</v>
      </c>
      <c r="N3599" s="405" t="s">
        <v>20772</v>
      </c>
      <c r="O3599" s="405" t="s">
        <v>17919</v>
      </c>
      <c r="P3599" s="405" t="s">
        <v>22777</v>
      </c>
      <c r="Q3599" s="411">
        <v>6</v>
      </c>
      <c r="R3599" s="405" t="s">
        <v>32101</v>
      </c>
      <c r="S3599" s="405" t="s">
        <v>27186</v>
      </c>
      <c r="T3599" s="405" t="s">
        <v>32102</v>
      </c>
      <c r="U3599" s="405" t="s">
        <v>319</v>
      </c>
    </row>
    <row r="3600" spans="1:21" x14ac:dyDescent="0.25">
      <c r="A3600" s="405" t="s">
        <v>310</v>
      </c>
      <c r="B3600" s="405" t="s">
        <v>29036</v>
      </c>
      <c r="C3600" s="405" t="s">
        <v>327</v>
      </c>
      <c r="D3600" s="405"/>
      <c r="E3600" s="410">
        <v>42488</v>
      </c>
      <c r="F3600" s="410">
        <v>42533</v>
      </c>
      <c r="G3600" s="405" t="s">
        <v>15159</v>
      </c>
      <c r="H3600" s="405">
        <v>758855204</v>
      </c>
      <c r="I3600" s="405"/>
      <c r="J3600" s="405">
        <v>0.59826000000000001</v>
      </c>
      <c r="K3600" s="405">
        <v>33.459944999999998</v>
      </c>
      <c r="L3600" s="405" t="s">
        <v>6866</v>
      </c>
      <c r="M3600" s="405" t="s">
        <v>13470</v>
      </c>
      <c r="N3600" s="405" t="s">
        <v>13471</v>
      </c>
      <c r="O3600" s="405" t="s">
        <v>1260</v>
      </c>
      <c r="P3600" s="405" t="s">
        <v>15160</v>
      </c>
      <c r="Q3600" s="411">
        <v>6</v>
      </c>
      <c r="R3600" s="405" t="s">
        <v>5655</v>
      </c>
      <c r="S3600" s="405" t="s">
        <v>27351</v>
      </c>
      <c r="T3600" s="405" t="s">
        <v>32102</v>
      </c>
      <c r="U3600" s="405" t="s">
        <v>319</v>
      </c>
    </row>
    <row r="3601" spans="1:21" x14ac:dyDescent="0.25">
      <c r="A3601" s="405" t="s">
        <v>310</v>
      </c>
      <c r="B3601" s="405" t="s">
        <v>28408</v>
      </c>
      <c r="C3601" s="405" t="s">
        <v>327</v>
      </c>
      <c r="D3601" s="405"/>
      <c r="E3601" s="410">
        <v>42487</v>
      </c>
      <c r="F3601" s="410">
        <v>42532</v>
      </c>
      <c r="G3601" s="405" t="s">
        <v>15157</v>
      </c>
      <c r="H3601" s="405">
        <v>752014868</v>
      </c>
      <c r="I3601" s="405"/>
      <c r="J3601" s="405">
        <v>0.54663300000000004</v>
      </c>
      <c r="K3601" s="405">
        <v>33.661845</v>
      </c>
      <c r="L3601" s="405" t="s">
        <v>6866</v>
      </c>
      <c r="M3601" s="405" t="s">
        <v>13470</v>
      </c>
      <c r="N3601" s="405" t="s">
        <v>15147</v>
      </c>
      <c r="O3601" s="405" t="s">
        <v>1260</v>
      </c>
      <c r="P3601" s="405" t="s">
        <v>15156</v>
      </c>
      <c r="Q3601" s="411">
        <v>6</v>
      </c>
      <c r="R3601" s="405" t="s">
        <v>5655</v>
      </c>
      <c r="S3601" s="405" t="s">
        <v>27072</v>
      </c>
      <c r="T3601" s="405" t="s">
        <v>6551</v>
      </c>
      <c r="U3601" s="405" t="s">
        <v>2267</v>
      </c>
    </row>
    <row r="3602" spans="1:21" x14ac:dyDescent="0.25">
      <c r="A3602" s="405" t="s">
        <v>310</v>
      </c>
      <c r="B3602" s="405" t="s">
        <v>22555</v>
      </c>
      <c r="C3602" s="405" t="s">
        <v>857</v>
      </c>
      <c r="D3602" s="405" t="s">
        <v>32761</v>
      </c>
      <c r="E3602" s="410">
        <v>42486</v>
      </c>
      <c r="F3602" s="410">
        <v>42531</v>
      </c>
      <c r="G3602" s="405" t="s">
        <v>22556</v>
      </c>
      <c r="H3602" s="405">
        <v>781816600</v>
      </c>
      <c r="I3602" s="405"/>
      <c r="J3602" s="405">
        <v>0.56890799999999997</v>
      </c>
      <c r="K3602" s="405">
        <v>30.096371999999999</v>
      </c>
      <c r="L3602" s="405" t="s">
        <v>590</v>
      </c>
      <c r="M3602" s="405" t="s">
        <v>19720</v>
      </c>
      <c r="N3602" s="405" t="s">
        <v>7352</v>
      </c>
      <c r="O3602" s="405" t="s">
        <v>22511</v>
      </c>
      <c r="P3602" s="405" t="s">
        <v>22511</v>
      </c>
      <c r="Q3602" s="411">
        <v>9</v>
      </c>
      <c r="R3602" s="405" t="s">
        <v>6013</v>
      </c>
      <c r="S3602" s="405" t="s">
        <v>27205</v>
      </c>
      <c r="T3602" s="405" t="s">
        <v>32102</v>
      </c>
      <c r="U3602" s="405" t="s">
        <v>319</v>
      </c>
    </row>
    <row r="3603" spans="1:21" x14ac:dyDescent="0.25">
      <c r="A3603" s="405" t="s">
        <v>310</v>
      </c>
      <c r="B3603" s="405" t="s">
        <v>28302</v>
      </c>
      <c r="C3603" s="405" t="s">
        <v>327</v>
      </c>
      <c r="D3603" s="405"/>
      <c r="E3603" s="410">
        <v>42486</v>
      </c>
      <c r="F3603" s="410">
        <v>42531</v>
      </c>
      <c r="G3603" s="405" t="s">
        <v>15152</v>
      </c>
      <c r="H3603" s="405">
        <v>776336677</v>
      </c>
      <c r="I3603" s="405">
        <v>712075669</v>
      </c>
      <c r="J3603" s="405">
        <v>0.54499198999999998</v>
      </c>
      <c r="K3603" s="405">
        <v>33.695535450000001</v>
      </c>
      <c r="L3603" s="405" t="s">
        <v>6866</v>
      </c>
      <c r="M3603" s="405" t="s">
        <v>13470</v>
      </c>
      <c r="N3603" s="405" t="s">
        <v>15147</v>
      </c>
      <c r="O3603" s="405" t="s">
        <v>1260</v>
      </c>
      <c r="P3603" s="405" t="s">
        <v>15153</v>
      </c>
      <c r="Q3603" s="411">
        <v>6</v>
      </c>
      <c r="R3603" s="405" t="s">
        <v>5655</v>
      </c>
      <c r="S3603" s="405" t="s">
        <v>27041</v>
      </c>
      <c r="T3603" s="405" t="s">
        <v>884</v>
      </c>
      <c r="U3603" s="405" t="s">
        <v>319</v>
      </c>
    </row>
    <row r="3604" spans="1:21" x14ac:dyDescent="0.25">
      <c r="A3604" s="405" t="s">
        <v>310</v>
      </c>
      <c r="B3604" s="405" t="s">
        <v>22553</v>
      </c>
      <c r="C3604" s="405" t="s">
        <v>327</v>
      </c>
      <c r="D3604" s="405"/>
      <c r="E3604" s="410">
        <v>42486</v>
      </c>
      <c r="F3604" s="410">
        <v>42531</v>
      </c>
      <c r="G3604" s="405" t="s">
        <v>22554</v>
      </c>
      <c r="H3604" s="405">
        <v>785520933</v>
      </c>
      <c r="I3604" s="405"/>
      <c r="J3604" s="405">
        <v>0.29941800000000002</v>
      </c>
      <c r="K3604" s="405">
        <v>30.403517000000001</v>
      </c>
      <c r="L3604" s="405" t="s">
        <v>590</v>
      </c>
      <c r="M3604" s="405" t="s">
        <v>19720</v>
      </c>
      <c r="N3604" s="405" t="s">
        <v>7352</v>
      </c>
      <c r="O3604" s="405" t="s">
        <v>21940</v>
      </c>
      <c r="P3604" s="405" t="s">
        <v>1029</v>
      </c>
      <c r="Q3604" s="411">
        <v>6</v>
      </c>
      <c r="R3604" s="405" t="s">
        <v>6013</v>
      </c>
      <c r="S3604" s="405" t="s">
        <v>27275</v>
      </c>
      <c r="T3604" s="405" t="s">
        <v>884</v>
      </c>
      <c r="U3604" s="405" t="s">
        <v>319</v>
      </c>
    </row>
    <row r="3605" spans="1:21" x14ac:dyDescent="0.25">
      <c r="A3605" s="405" t="s">
        <v>310</v>
      </c>
      <c r="B3605" s="405" t="s">
        <v>22611</v>
      </c>
      <c r="C3605" s="405" t="s">
        <v>327</v>
      </c>
      <c r="D3605" s="405"/>
      <c r="E3605" s="410">
        <v>42486</v>
      </c>
      <c r="F3605" s="410">
        <v>42531</v>
      </c>
      <c r="G3605" s="405" t="s">
        <v>22612</v>
      </c>
      <c r="H3605" s="405">
        <v>775988773</v>
      </c>
      <c r="I3605" s="405"/>
      <c r="J3605" s="405">
        <v>0.29901499999999998</v>
      </c>
      <c r="K3605" s="405">
        <v>30.405146999999999</v>
      </c>
      <c r="L3605" s="405" t="s">
        <v>590</v>
      </c>
      <c r="M3605" s="405" t="s">
        <v>19720</v>
      </c>
      <c r="N3605" s="405" t="s">
        <v>7352</v>
      </c>
      <c r="O3605" s="405" t="s">
        <v>21940</v>
      </c>
      <c r="P3605" s="405" t="s">
        <v>1029</v>
      </c>
      <c r="Q3605" s="411">
        <v>6</v>
      </c>
      <c r="R3605" s="405" t="s">
        <v>6013</v>
      </c>
      <c r="S3605" s="405" t="s">
        <v>27423</v>
      </c>
      <c r="T3605" s="405" t="s">
        <v>884</v>
      </c>
      <c r="U3605" s="405" t="s">
        <v>319</v>
      </c>
    </row>
    <row r="3606" spans="1:21" x14ac:dyDescent="0.25">
      <c r="A3606" s="405" t="s">
        <v>310</v>
      </c>
      <c r="B3606" s="405" t="s">
        <v>22613</v>
      </c>
      <c r="C3606" s="405" t="s">
        <v>327</v>
      </c>
      <c r="D3606" s="405"/>
      <c r="E3606" s="410">
        <v>42486</v>
      </c>
      <c r="F3606" s="410">
        <v>42531</v>
      </c>
      <c r="G3606" s="405" t="s">
        <v>22614</v>
      </c>
      <c r="H3606" s="405">
        <v>782699416</v>
      </c>
      <c r="I3606" s="405"/>
      <c r="J3606" s="405">
        <v>0.86229199999999995</v>
      </c>
      <c r="K3606" s="405">
        <v>30.236675999999999</v>
      </c>
      <c r="L3606" s="405" t="s">
        <v>590</v>
      </c>
      <c r="M3606" s="405" t="s">
        <v>19720</v>
      </c>
      <c r="N3606" s="405" t="s">
        <v>7352</v>
      </c>
      <c r="O3606" s="405" t="s">
        <v>21940</v>
      </c>
      <c r="P3606" s="405" t="s">
        <v>22615</v>
      </c>
      <c r="Q3606" s="411">
        <v>6</v>
      </c>
      <c r="R3606" s="405" t="s">
        <v>6013</v>
      </c>
      <c r="S3606" s="405" t="s">
        <v>27422</v>
      </c>
      <c r="T3606" s="405" t="s">
        <v>32102</v>
      </c>
      <c r="U3606" s="405" t="s">
        <v>319</v>
      </c>
    </row>
    <row r="3607" spans="1:21" x14ac:dyDescent="0.25">
      <c r="A3607" s="405" t="s">
        <v>310</v>
      </c>
      <c r="B3607" s="413" t="s">
        <v>22824</v>
      </c>
      <c r="C3607" s="413" t="s">
        <v>311</v>
      </c>
      <c r="D3607" s="412" t="s">
        <v>33059</v>
      </c>
      <c r="E3607" s="418">
        <v>42485</v>
      </c>
      <c r="F3607" s="418">
        <v>42530</v>
      </c>
      <c r="G3607" s="413" t="s">
        <v>22825</v>
      </c>
      <c r="H3607" s="405">
        <v>756939022</v>
      </c>
      <c r="I3607" s="405">
        <v>752974400</v>
      </c>
      <c r="J3607" s="405">
        <v>0.535408</v>
      </c>
      <c r="K3607" s="405">
        <v>30.508232</v>
      </c>
      <c r="L3607" s="405" t="s">
        <v>590</v>
      </c>
      <c r="M3607" s="405" t="s">
        <v>19720</v>
      </c>
      <c r="N3607" s="405" t="s">
        <v>7352</v>
      </c>
      <c r="O3607" s="405" t="s">
        <v>21991</v>
      </c>
      <c r="P3607" s="405" t="s">
        <v>22826</v>
      </c>
      <c r="Q3607" s="411">
        <v>6</v>
      </c>
      <c r="R3607" s="405" t="s">
        <v>6013</v>
      </c>
      <c r="S3607" s="405" t="s">
        <v>27423</v>
      </c>
      <c r="T3607" s="405" t="s">
        <v>32102</v>
      </c>
      <c r="U3607" s="405" t="s">
        <v>319</v>
      </c>
    </row>
    <row r="3608" spans="1:21" x14ac:dyDescent="0.25">
      <c r="A3608" s="405" t="s">
        <v>310</v>
      </c>
      <c r="B3608" s="405" t="s">
        <v>50</v>
      </c>
      <c r="C3608" s="405" t="s">
        <v>327</v>
      </c>
      <c r="D3608" s="405"/>
      <c r="E3608" s="410">
        <v>42485</v>
      </c>
      <c r="F3608" s="410">
        <v>42530</v>
      </c>
      <c r="G3608" s="405" t="s">
        <v>22598</v>
      </c>
      <c r="H3608" s="405">
        <v>784697789</v>
      </c>
      <c r="I3608" s="405"/>
      <c r="J3608" s="405">
        <v>0.16109999999999999</v>
      </c>
      <c r="K3608" s="405">
        <v>30.252400000000002</v>
      </c>
      <c r="L3608" s="405" t="s">
        <v>590</v>
      </c>
      <c r="M3608" s="405" t="s">
        <v>19720</v>
      </c>
      <c r="N3608" s="405" t="s">
        <v>7352</v>
      </c>
      <c r="O3608" s="405" t="s">
        <v>19720</v>
      </c>
      <c r="P3608" s="405" t="s">
        <v>1029</v>
      </c>
      <c r="Q3608" s="411">
        <v>6</v>
      </c>
      <c r="R3608" s="405" t="s">
        <v>6013</v>
      </c>
      <c r="S3608" s="405" t="s">
        <v>27181</v>
      </c>
      <c r="T3608" s="405" t="s">
        <v>884</v>
      </c>
      <c r="U3608" s="405" t="s">
        <v>319</v>
      </c>
    </row>
    <row r="3609" spans="1:21" x14ac:dyDescent="0.25">
      <c r="A3609" s="405" t="s">
        <v>310</v>
      </c>
      <c r="B3609" s="405" t="s">
        <v>27589</v>
      </c>
      <c r="C3609" s="405" t="s">
        <v>327</v>
      </c>
      <c r="D3609" s="405"/>
      <c r="E3609" s="410">
        <v>42485</v>
      </c>
      <c r="F3609" s="410">
        <v>42530</v>
      </c>
      <c r="G3609" s="405" t="s">
        <v>22592</v>
      </c>
      <c r="H3609" s="405">
        <v>783546223</v>
      </c>
      <c r="I3609" s="405"/>
      <c r="J3609" s="405">
        <v>0.69397799999999998</v>
      </c>
      <c r="K3609" s="405">
        <v>30.737293000000001</v>
      </c>
      <c r="L3609" s="405" t="s">
        <v>590</v>
      </c>
      <c r="M3609" s="405" t="s">
        <v>19720</v>
      </c>
      <c r="N3609" s="405" t="s">
        <v>20297</v>
      </c>
      <c r="O3609" s="405" t="s">
        <v>22359</v>
      </c>
      <c r="P3609" s="405" t="s">
        <v>22593</v>
      </c>
      <c r="Q3609" s="411">
        <v>6</v>
      </c>
      <c r="R3609" s="405" t="s">
        <v>6013</v>
      </c>
      <c r="S3609" s="405" t="s">
        <v>27301</v>
      </c>
      <c r="T3609" s="405" t="s">
        <v>884</v>
      </c>
      <c r="U3609" s="405" t="s">
        <v>319</v>
      </c>
    </row>
    <row r="3610" spans="1:21" x14ac:dyDescent="0.25">
      <c r="A3610" s="405" t="s">
        <v>310</v>
      </c>
      <c r="B3610" s="405" t="s">
        <v>28281</v>
      </c>
      <c r="C3610" s="405" t="s">
        <v>327</v>
      </c>
      <c r="D3610" s="405"/>
      <c r="E3610" s="410">
        <v>42484</v>
      </c>
      <c r="F3610" s="410">
        <v>42529</v>
      </c>
      <c r="G3610" s="405" t="s">
        <v>15154</v>
      </c>
      <c r="H3610" s="405">
        <v>704929153</v>
      </c>
      <c r="I3610" s="405"/>
      <c r="J3610" s="405">
        <v>0.56121699999999997</v>
      </c>
      <c r="K3610" s="405">
        <v>32.646143000000002</v>
      </c>
      <c r="L3610" s="405" t="s">
        <v>6866</v>
      </c>
      <c r="M3610" s="405" t="s">
        <v>13470</v>
      </c>
      <c r="N3610" s="405" t="s">
        <v>15155</v>
      </c>
      <c r="O3610" s="405" t="s">
        <v>1260</v>
      </c>
      <c r="P3610" s="405" t="s">
        <v>15156</v>
      </c>
      <c r="Q3610" s="411">
        <v>6</v>
      </c>
      <c r="R3610" s="405" t="s">
        <v>5655</v>
      </c>
      <c r="S3610" s="405" t="s">
        <v>27346</v>
      </c>
      <c r="T3610" s="405" t="s">
        <v>884</v>
      </c>
      <c r="U3610" s="405" t="s">
        <v>319</v>
      </c>
    </row>
    <row r="3611" spans="1:21" x14ac:dyDescent="0.25">
      <c r="A3611" s="405" t="s">
        <v>310</v>
      </c>
      <c r="B3611" s="405" t="s">
        <v>6032</v>
      </c>
      <c r="C3611" s="405" t="s">
        <v>327</v>
      </c>
      <c r="D3611" s="405"/>
      <c r="E3611" s="410">
        <v>42483</v>
      </c>
      <c r="F3611" s="410">
        <v>42508</v>
      </c>
      <c r="G3611" s="405" t="s">
        <v>6033</v>
      </c>
      <c r="H3611" s="405">
        <v>774051374</v>
      </c>
      <c r="I3611" s="405">
        <v>712415815</v>
      </c>
      <c r="J3611" s="405">
        <v>0.29069699999999998</v>
      </c>
      <c r="K3611" s="405">
        <v>32.619773000000002</v>
      </c>
      <c r="L3611" s="405" t="s">
        <v>314</v>
      </c>
      <c r="M3611" s="405" t="s">
        <v>992</v>
      </c>
      <c r="N3611" s="405" t="s">
        <v>5624</v>
      </c>
      <c r="O3611" s="405" t="s">
        <v>5624</v>
      </c>
      <c r="P3611" s="405" t="s">
        <v>5624</v>
      </c>
      <c r="Q3611" s="411">
        <v>9</v>
      </c>
      <c r="R3611" s="405" t="s">
        <v>5986</v>
      </c>
      <c r="S3611" s="405" t="s">
        <v>27251</v>
      </c>
      <c r="T3611" s="405" t="s">
        <v>884</v>
      </c>
      <c r="U3611" s="405" t="s">
        <v>319</v>
      </c>
    </row>
    <row r="3612" spans="1:21" x14ac:dyDescent="0.25">
      <c r="A3612" s="405" t="s">
        <v>310</v>
      </c>
      <c r="B3612" s="405" t="s">
        <v>15149</v>
      </c>
      <c r="C3612" s="405" t="s">
        <v>327</v>
      </c>
      <c r="D3612" s="405"/>
      <c r="E3612" s="410">
        <v>42482</v>
      </c>
      <c r="F3612" s="410">
        <v>42527</v>
      </c>
      <c r="G3612" s="405" t="s">
        <v>15150</v>
      </c>
      <c r="H3612" s="405">
        <v>773571744</v>
      </c>
      <c r="I3612" s="405"/>
      <c r="J3612" s="405">
        <v>0.53510000000000002</v>
      </c>
      <c r="K3612" s="405">
        <v>33.299999999999997</v>
      </c>
      <c r="L3612" s="405" t="s">
        <v>6866</v>
      </c>
      <c r="M3612" s="405" t="s">
        <v>3009</v>
      </c>
      <c r="N3612" s="405" t="s">
        <v>9842</v>
      </c>
      <c r="O3612" s="405" t="s">
        <v>15151</v>
      </c>
      <c r="P3612" s="405" t="s">
        <v>15151</v>
      </c>
      <c r="Q3612" s="411">
        <v>13</v>
      </c>
      <c r="R3612" s="405" t="s">
        <v>5336</v>
      </c>
      <c r="S3612" s="405" t="s">
        <v>27054</v>
      </c>
      <c r="T3612" s="405" t="s">
        <v>32102</v>
      </c>
      <c r="U3612" s="405" t="s">
        <v>319</v>
      </c>
    </row>
    <row r="3613" spans="1:21" x14ac:dyDescent="0.25">
      <c r="A3613" s="405" t="s">
        <v>310</v>
      </c>
      <c r="B3613" s="405" t="s">
        <v>28485</v>
      </c>
      <c r="C3613" s="405" t="s">
        <v>327</v>
      </c>
      <c r="D3613" s="405"/>
      <c r="E3613" s="410">
        <v>42482</v>
      </c>
      <c r="F3613" s="410">
        <v>42527</v>
      </c>
      <c r="G3613" s="405" t="s">
        <v>15163</v>
      </c>
      <c r="H3613" s="405">
        <v>783210007</v>
      </c>
      <c r="I3613" s="405"/>
      <c r="J3613" s="405">
        <v>1.103037</v>
      </c>
      <c r="K3613" s="405">
        <v>34.190437000000003</v>
      </c>
      <c r="L3613" s="405" t="s">
        <v>6866</v>
      </c>
      <c r="M3613" s="405" t="s">
        <v>9514</v>
      </c>
      <c r="N3613" s="405" t="s">
        <v>9530</v>
      </c>
      <c r="O3613" s="405" t="s">
        <v>9530</v>
      </c>
      <c r="P3613" s="405" t="s">
        <v>11507</v>
      </c>
      <c r="Q3613" s="411">
        <v>6</v>
      </c>
      <c r="R3613" s="405" t="s">
        <v>5655</v>
      </c>
      <c r="S3613" s="405" t="s">
        <v>27294</v>
      </c>
      <c r="T3613" s="405" t="s">
        <v>884</v>
      </c>
      <c r="U3613" s="405" t="s">
        <v>319</v>
      </c>
    </row>
    <row r="3614" spans="1:21" x14ac:dyDescent="0.25">
      <c r="A3614" s="405" t="s">
        <v>310</v>
      </c>
      <c r="B3614" s="405" t="s">
        <v>29095</v>
      </c>
      <c r="C3614" s="405" t="s">
        <v>327</v>
      </c>
      <c r="D3614" s="405"/>
      <c r="E3614" s="410">
        <v>42481</v>
      </c>
      <c r="F3614" s="410">
        <v>42526</v>
      </c>
      <c r="G3614" s="405" t="s">
        <v>15138</v>
      </c>
      <c r="H3614" s="405">
        <v>777769466</v>
      </c>
      <c r="I3614" s="405"/>
      <c r="J3614" s="405">
        <v>0.73803300000000005</v>
      </c>
      <c r="K3614" s="405">
        <v>29.842324999999999</v>
      </c>
      <c r="L3614" s="405" t="s">
        <v>6866</v>
      </c>
      <c r="M3614" s="405" t="s">
        <v>9763</v>
      </c>
      <c r="N3614" s="405" t="s">
        <v>10880</v>
      </c>
      <c r="O3614" s="405" t="s">
        <v>10880</v>
      </c>
      <c r="P3614" s="405" t="s">
        <v>15139</v>
      </c>
      <c r="Q3614" s="411">
        <v>6</v>
      </c>
      <c r="R3614" s="405" t="s">
        <v>6871</v>
      </c>
      <c r="S3614" s="405" t="s">
        <v>27306</v>
      </c>
      <c r="T3614" s="405" t="s">
        <v>884</v>
      </c>
      <c r="U3614" s="405" t="s">
        <v>319</v>
      </c>
    </row>
    <row r="3615" spans="1:21" x14ac:dyDescent="0.25">
      <c r="A3615" s="405" t="s">
        <v>310</v>
      </c>
      <c r="B3615" s="405" t="s">
        <v>27905</v>
      </c>
      <c r="C3615" s="405" t="s">
        <v>327</v>
      </c>
      <c r="D3615" s="405"/>
      <c r="E3615" s="410">
        <v>42481</v>
      </c>
      <c r="F3615" s="410">
        <v>42526</v>
      </c>
      <c r="G3615" s="405" t="s">
        <v>22581</v>
      </c>
      <c r="H3615" s="405">
        <v>784290607</v>
      </c>
      <c r="I3615" s="405"/>
      <c r="J3615" s="405">
        <v>0.29713800000000001</v>
      </c>
      <c r="K3615" s="405">
        <v>32.545174000000003</v>
      </c>
      <c r="L3615" s="405" t="s">
        <v>590</v>
      </c>
      <c r="M3615" s="405" t="s">
        <v>1851</v>
      </c>
      <c r="N3615" s="405" t="s">
        <v>20804</v>
      </c>
      <c r="O3615" s="405" t="s">
        <v>22582</v>
      </c>
      <c r="P3615" s="405" t="s">
        <v>411</v>
      </c>
      <c r="Q3615" s="411">
        <v>6</v>
      </c>
      <c r="R3615" s="405" t="s">
        <v>6397</v>
      </c>
      <c r="S3615" s="405" t="s">
        <v>22880</v>
      </c>
      <c r="T3615" s="405" t="s">
        <v>884</v>
      </c>
      <c r="U3615" s="405" t="s">
        <v>319</v>
      </c>
    </row>
    <row r="3616" spans="1:21" x14ac:dyDescent="0.25">
      <c r="A3616" s="405" t="s">
        <v>310</v>
      </c>
      <c r="B3616" s="405" t="s">
        <v>6294</v>
      </c>
      <c r="C3616" s="405" t="s">
        <v>327</v>
      </c>
      <c r="D3616" s="405"/>
      <c r="E3616" s="410">
        <v>42480</v>
      </c>
      <c r="F3616" s="410">
        <v>42523</v>
      </c>
      <c r="G3616" s="405" t="s">
        <v>6295</v>
      </c>
      <c r="H3616" s="405">
        <v>701417569</v>
      </c>
      <c r="I3616" s="405"/>
      <c r="J3616" s="405">
        <v>0.33845999999999998</v>
      </c>
      <c r="K3616" s="405">
        <v>32.465342999999997</v>
      </c>
      <c r="L3616" s="405" t="s">
        <v>314</v>
      </c>
      <c r="M3616" s="405" t="s">
        <v>361</v>
      </c>
      <c r="N3616" s="405" t="s">
        <v>374</v>
      </c>
      <c r="O3616" s="405" t="s">
        <v>4359</v>
      </c>
      <c r="P3616" s="405" t="s">
        <v>4359</v>
      </c>
      <c r="Q3616" s="411">
        <v>13</v>
      </c>
      <c r="R3616" s="405" t="s">
        <v>5903</v>
      </c>
      <c r="S3616" s="405" t="s">
        <v>27153</v>
      </c>
      <c r="T3616" s="405" t="s">
        <v>884</v>
      </c>
      <c r="U3616" s="405" t="s">
        <v>319</v>
      </c>
    </row>
    <row r="3617" spans="1:21" x14ac:dyDescent="0.25">
      <c r="A3617" s="405" t="s">
        <v>310</v>
      </c>
      <c r="B3617" s="405" t="s">
        <v>28590</v>
      </c>
      <c r="C3617" s="405" t="s">
        <v>327</v>
      </c>
      <c r="D3617" s="405"/>
      <c r="E3617" s="410">
        <v>42480</v>
      </c>
      <c r="F3617" s="410">
        <v>42525</v>
      </c>
      <c r="G3617" s="405" t="s">
        <v>22572</v>
      </c>
      <c r="H3617" s="405">
        <v>702931585</v>
      </c>
      <c r="I3617" s="405"/>
      <c r="J3617" s="405">
        <v>1.0055350000000001</v>
      </c>
      <c r="K3617" s="405">
        <v>34.239035000000001</v>
      </c>
      <c r="L3617" s="405" t="s">
        <v>590</v>
      </c>
      <c r="M3617" s="405" t="s">
        <v>879</v>
      </c>
      <c r="N3617" s="405" t="s">
        <v>880</v>
      </c>
      <c r="O3617" s="405" t="s">
        <v>881</v>
      </c>
      <c r="P3617" s="405" t="s">
        <v>22011</v>
      </c>
      <c r="Q3617" s="411">
        <v>9</v>
      </c>
      <c r="R3617" s="405" t="s">
        <v>5858</v>
      </c>
      <c r="S3617" s="405" t="s">
        <v>27227</v>
      </c>
      <c r="T3617" s="405" t="s">
        <v>32102</v>
      </c>
      <c r="U3617" s="405" t="s">
        <v>319</v>
      </c>
    </row>
    <row r="3618" spans="1:21" x14ac:dyDescent="0.25">
      <c r="A3618" s="405" t="s">
        <v>310</v>
      </c>
      <c r="B3618" s="405" t="s">
        <v>28662</v>
      </c>
      <c r="C3618" s="405" t="s">
        <v>857</v>
      </c>
      <c r="D3618" s="405" t="s">
        <v>858</v>
      </c>
      <c r="E3618" s="410">
        <v>42480</v>
      </c>
      <c r="F3618" s="410">
        <v>42525</v>
      </c>
      <c r="G3618" s="405" t="s">
        <v>15544</v>
      </c>
      <c r="H3618" s="405">
        <v>701422123</v>
      </c>
      <c r="I3618" s="405"/>
      <c r="J3618" s="405">
        <v>0.114</v>
      </c>
      <c r="K3618" s="405">
        <v>32.444000000000003</v>
      </c>
      <c r="L3618" s="405" t="s">
        <v>6866</v>
      </c>
      <c r="M3618" s="405" t="s">
        <v>13470</v>
      </c>
      <c r="N3618" s="405" t="s">
        <v>15147</v>
      </c>
      <c r="O3618" s="405" t="s">
        <v>1260</v>
      </c>
      <c r="P3618" s="405" t="s">
        <v>15160</v>
      </c>
      <c r="Q3618" s="411">
        <v>6</v>
      </c>
      <c r="R3618" s="405" t="s">
        <v>5655</v>
      </c>
      <c r="S3618" s="405" t="s">
        <v>27351</v>
      </c>
      <c r="T3618" s="405" t="s">
        <v>884</v>
      </c>
      <c r="U3618" s="405" t="s">
        <v>319</v>
      </c>
    </row>
    <row r="3619" spans="1:21" x14ac:dyDescent="0.25">
      <c r="A3619" s="405" t="s">
        <v>310</v>
      </c>
      <c r="B3619" s="405" t="s">
        <v>22594</v>
      </c>
      <c r="C3619" s="405" t="s">
        <v>327</v>
      </c>
      <c r="D3619" s="405"/>
      <c r="E3619" s="410">
        <v>42480</v>
      </c>
      <c r="F3619" s="410">
        <v>42525</v>
      </c>
      <c r="G3619" s="405" t="s">
        <v>22595</v>
      </c>
      <c r="H3619" s="405">
        <v>771847094</v>
      </c>
      <c r="I3619" s="405"/>
      <c r="J3619" s="405">
        <v>0.71699999999999997</v>
      </c>
      <c r="K3619" s="405">
        <v>30.234000000000002</v>
      </c>
      <c r="L3619" s="405" t="s">
        <v>590</v>
      </c>
      <c r="M3619" s="405" t="s">
        <v>19720</v>
      </c>
      <c r="N3619" s="405" t="s">
        <v>7352</v>
      </c>
      <c r="O3619" s="405" t="s">
        <v>22033</v>
      </c>
      <c r="P3619" s="405" t="s">
        <v>22538</v>
      </c>
      <c r="Q3619" s="411">
        <v>6</v>
      </c>
      <c r="R3619" s="405" t="s">
        <v>6013</v>
      </c>
      <c r="S3619" s="405" t="s">
        <v>27423</v>
      </c>
      <c r="T3619" s="405" t="s">
        <v>884</v>
      </c>
      <c r="U3619" s="405" t="s">
        <v>319</v>
      </c>
    </row>
    <row r="3620" spans="1:21" x14ac:dyDescent="0.25">
      <c r="A3620" s="405" t="s">
        <v>310</v>
      </c>
      <c r="B3620" s="405" t="s">
        <v>22767</v>
      </c>
      <c r="C3620" s="405" t="s">
        <v>311</v>
      </c>
      <c r="D3620" s="405" t="s">
        <v>1142</v>
      </c>
      <c r="E3620" s="410">
        <v>42480</v>
      </c>
      <c r="F3620" s="410">
        <v>42525</v>
      </c>
      <c r="G3620" s="405" t="s">
        <v>22768</v>
      </c>
      <c r="H3620" s="405">
        <v>782354850</v>
      </c>
      <c r="I3620" s="405"/>
      <c r="J3620" s="405">
        <v>2.8000000000000001E-2</v>
      </c>
      <c r="K3620" s="405">
        <v>30.212</v>
      </c>
      <c r="L3620" s="405" t="s">
        <v>590</v>
      </c>
      <c r="M3620" s="405" t="s">
        <v>19720</v>
      </c>
      <c r="N3620" s="405" t="s">
        <v>20297</v>
      </c>
      <c r="O3620" s="405" t="s">
        <v>22359</v>
      </c>
      <c r="P3620" s="405" t="s">
        <v>22769</v>
      </c>
      <c r="Q3620" s="411">
        <v>6</v>
      </c>
      <c r="R3620" s="405" t="s">
        <v>6013</v>
      </c>
      <c r="S3620" s="405" t="s">
        <v>27422</v>
      </c>
      <c r="T3620" s="405" t="s">
        <v>884</v>
      </c>
      <c r="U3620" s="405" t="s">
        <v>319</v>
      </c>
    </row>
    <row r="3621" spans="1:21" x14ac:dyDescent="0.25">
      <c r="A3621" s="405" t="s">
        <v>310</v>
      </c>
      <c r="B3621" s="405" t="s">
        <v>28367</v>
      </c>
      <c r="C3621" s="405" t="s">
        <v>327</v>
      </c>
      <c r="D3621" s="405"/>
      <c r="E3621" s="410">
        <v>42480</v>
      </c>
      <c r="F3621" s="410">
        <v>42525</v>
      </c>
      <c r="G3621" s="405" t="s">
        <v>22588</v>
      </c>
      <c r="H3621" s="405">
        <v>776255262</v>
      </c>
      <c r="I3621" s="405"/>
      <c r="J3621" s="405">
        <v>5.7693000000000001E-2</v>
      </c>
      <c r="K3621" s="405">
        <v>30.359235000000002</v>
      </c>
      <c r="L3621" s="405" t="s">
        <v>590</v>
      </c>
      <c r="M3621" s="405" t="s">
        <v>19720</v>
      </c>
      <c r="N3621" s="405" t="s">
        <v>20297</v>
      </c>
      <c r="O3621" s="405" t="s">
        <v>22359</v>
      </c>
      <c r="P3621" s="405" t="s">
        <v>22589</v>
      </c>
      <c r="Q3621" s="411">
        <v>6</v>
      </c>
      <c r="R3621" s="405" t="s">
        <v>6013</v>
      </c>
      <c r="S3621" s="405" t="s">
        <v>27275</v>
      </c>
      <c r="T3621" s="405" t="s">
        <v>884</v>
      </c>
      <c r="U3621" s="405" t="s">
        <v>319</v>
      </c>
    </row>
    <row r="3622" spans="1:21" x14ac:dyDescent="0.25">
      <c r="A3622" s="405" t="s">
        <v>310</v>
      </c>
      <c r="B3622" s="405" t="s">
        <v>73</v>
      </c>
      <c r="C3622" s="405" t="s">
        <v>327</v>
      </c>
      <c r="D3622" s="405"/>
      <c r="E3622" s="410">
        <v>42480</v>
      </c>
      <c r="F3622" s="410">
        <v>42525</v>
      </c>
      <c r="G3622" s="405" t="s">
        <v>22596</v>
      </c>
      <c r="H3622" s="405">
        <v>774783609</v>
      </c>
      <c r="I3622" s="405"/>
      <c r="J3622" s="405">
        <v>0.87637399999999999</v>
      </c>
      <c r="K3622" s="405">
        <v>30.250371000000001</v>
      </c>
      <c r="L3622" s="405" t="s">
        <v>590</v>
      </c>
      <c r="M3622" s="405" t="s">
        <v>19720</v>
      </c>
      <c r="N3622" s="405" t="s">
        <v>22346</v>
      </c>
      <c r="O3622" s="405" t="s">
        <v>11792</v>
      </c>
      <c r="P3622" s="405" t="s">
        <v>22597</v>
      </c>
      <c r="Q3622" s="411">
        <v>6</v>
      </c>
      <c r="R3622" s="405" t="s">
        <v>6013</v>
      </c>
      <c r="S3622" s="405" t="s">
        <v>27181</v>
      </c>
      <c r="T3622" s="405" t="s">
        <v>32102</v>
      </c>
      <c r="U3622" s="405" t="s">
        <v>319</v>
      </c>
    </row>
    <row r="3623" spans="1:21" x14ac:dyDescent="0.25">
      <c r="A3623" s="405" t="s">
        <v>310</v>
      </c>
      <c r="B3623" s="405" t="s">
        <v>22586</v>
      </c>
      <c r="C3623" s="405" t="s">
        <v>327</v>
      </c>
      <c r="D3623" s="405"/>
      <c r="E3623" s="410">
        <v>42480</v>
      </c>
      <c r="F3623" s="410">
        <v>42525</v>
      </c>
      <c r="G3623" s="405" t="s">
        <v>22587</v>
      </c>
      <c r="H3623" s="405">
        <v>772612354</v>
      </c>
      <c r="I3623" s="405"/>
      <c r="J3623" s="405">
        <v>0.46331699999999998</v>
      </c>
      <c r="K3623" s="405">
        <v>32.566434999999998</v>
      </c>
      <c r="L3623" s="405" t="s">
        <v>590</v>
      </c>
      <c r="M3623" s="405" t="s">
        <v>19720</v>
      </c>
      <c r="N3623" s="405" t="s">
        <v>7352</v>
      </c>
      <c r="O3623" s="405" t="s">
        <v>21940</v>
      </c>
      <c r="P3623" s="405" t="s">
        <v>20373</v>
      </c>
      <c r="Q3623" s="411">
        <v>6</v>
      </c>
      <c r="R3623" s="405" t="s">
        <v>6013</v>
      </c>
      <c r="S3623" s="405" t="s">
        <v>27205</v>
      </c>
      <c r="T3623" s="405" t="s">
        <v>884</v>
      </c>
      <c r="U3623" s="405" t="s">
        <v>319</v>
      </c>
    </row>
    <row r="3624" spans="1:21" x14ac:dyDescent="0.25">
      <c r="A3624" s="405" t="s">
        <v>310</v>
      </c>
      <c r="B3624" s="405" t="s">
        <v>28996</v>
      </c>
      <c r="C3624" s="405" t="s">
        <v>327</v>
      </c>
      <c r="D3624" s="405"/>
      <c r="E3624" s="410">
        <v>42480</v>
      </c>
      <c r="F3624" s="410">
        <v>42525</v>
      </c>
      <c r="G3624" s="405" t="s">
        <v>22590</v>
      </c>
      <c r="H3624" s="405">
        <v>754911629</v>
      </c>
      <c r="I3624" s="405"/>
      <c r="J3624" s="405">
        <v>0.817469</v>
      </c>
      <c r="K3624" s="405">
        <v>30.089473000000002</v>
      </c>
      <c r="L3624" s="405" t="s">
        <v>590</v>
      </c>
      <c r="M3624" s="405" t="s">
        <v>19720</v>
      </c>
      <c r="N3624" s="405" t="s">
        <v>7352</v>
      </c>
      <c r="O3624" s="405" t="s">
        <v>21991</v>
      </c>
      <c r="P3624" s="405" t="s">
        <v>22591</v>
      </c>
      <c r="Q3624" s="411">
        <v>6</v>
      </c>
      <c r="R3624" s="405" t="s">
        <v>6013</v>
      </c>
      <c r="S3624" s="405" t="s">
        <v>27301</v>
      </c>
      <c r="T3624" s="405" t="s">
        <v>884</v>
      </c>
      <c r="U3624" s="405" t="s">
        <v>319</v>
      </c>
    </row>
    <row r="3625" spans="1:21" x14ac:dyDescent="0.25">
      <c r="A3625" s="405" t="s">
        <v>310</v>
      </c>
      <c r="B3625" s="405" t="s">
        <v>15538</v>
      </c>
      <c r="C3625" s="405" t="s">
        <v>311</v>
      </c>
      <c r="D3625" s="405" t="s">
        <v>312</v>
      </c>
      <c r="E3625" s="410">
        <v>42480</v>
      </c>
      <c r="F3625" s="410">
        <v>42525</v>
      </c>
      <c r="G3625" s="405" t="s">
        <v>15539</v>
      </c>
      <c r="H3625" s="405">
        <v>774103048</v>
      </c>
      <c r="I3625" s="405"/>
      <c r="J3625" s="405">
        <v>1.1517329999999999</v>
      </c>
      <c r="K3625" s="405">
        <v>34.201317000000003</v>
      </c>
      <c r="L3625" s="405" t="s">
        <v>6866</v>
      </c>
      <c r="M3625" s="405" t="s">
        <v>9514</v>
      </c>
      <c r="N3625" s="405" t="s">
        <v>9557</v>
      </c>
      <c r="O3625" s="405" t="s">
        <v>9557</v>
      </c>
      <c r="P3625" s="405" t="s">
        <v>9557</v>
      </c>
      <c r="Q3625" s="411">
        <v>6</v>
      </c>
      <c r="R3625" s="405" t="s">
        <v>7224</v>
      </c>
      <c r="S3625" s="405" t="s">
        <v>27072</v>
      </c>
      <c r="T3625" s="405" t="s">
        <v>32746</v>
      </c>
      <c r="U3625" s="405" t="s">
        <v>2267</v>
      </c>
    </row>
    <row r="3626" spans="1:21" x14ac:dyDescent="0.25">
      <c r="A3626" s="405" t="s">
        <v>310</v>
      </c>
      <c r="B3626" s="405" t="s">
        <v>28615</v>
      </c>
      <c r="C3626" s="405" t="s">
        <v>327</v>
      </c>
      <c r="D3626" s="405"/>
      <c r="E3626" s="410">
        <v>42478</v>
      </c>
      <c r="F3626" s="410">
        <v>42523</v>
      </c>
      <c r="G3626" s="405" t="s">
        <v>22571</v>
      </c>
      <c r="H3626" s="405">
        <v>771622532</v>
      </c>
      <c r="I3626" s="405"/>
      <c r="J3626" s="405">
        <v>0.117309</v>
      </c>
      <c r="K3626" s="405">
        <v>30.786902000000001</v>
      </c>
      <c r="L3626" s="405" t="s">
        <v>590</v>
      </c>
      <c r="M3626" s="405" t="s">
        <v>879</v>
      </c>
      <c r="N3626" s="405" t="s">
        <v>880</v>
      </c>
      <c r="O3626" s="405" t="s">
        <v>881</v>
      </c>
      <c r="P3626" s="405" t="s">
        <v>22011</v>
      </c>
      <c r="Q3626" s="411">
        <v>9</v>
      </c>
      <c r="R3626" s="405" t="s">
        <v>5858</v>
      </c>
      <c r="S3626" s="405" t="s">
        <v>27227</v>
      </c>
      <c r="T3626" s="405" t="s">
        <v>32746</v>
      </c>
      <c r="U3626" s="405" t="s">
        <v>2267</v>
      </c>
    </row>
    <row r="3627" spans="1:21" x14ac:dyDescent="0.25">
      <c r="A3627" s="405" t="s">
        <v>310</v>
      </c>
      <c r="B3627" s="405" t="s">
        <v>6648</v>
      </c>
      <c r="C3627" s="405" t="s">
        <v>311</v>
      </c>
      <c r="D3627" s="405" t="s">
        <v>839</v>
      </c>
      <c r="E3627" s="410">
        <v>42476</v>
      </c>
      <c r="F3627" s="410">
        <v>42506</v>
      </c>
      <c r="G3627" s="405" t="s">
        <v>6649</v>
      </c>
      <c r="H3627" s="405">
        <v>751777662</v>
      </c>
      <c r="I3627" s="405"/>
      <c r="J3627" s="405">
        <v>0.17439299999999999</v>
      </c>
      <c r="K3627" s="405">
        <v>32.554313</v>
      </c>
      <c r="L3627" s="405" t="s">
        <v>314</v>
      </c>
      <c r="M3627" s="405" t="s">
        <v>361</v>
      </c>
      <c r="N3627" s="405" t="s">
        <v>374</v>
      </c>
      <c r="O3627" s="405" t="s">
        <v>4689</v>
      </c>
      <c r="P3627" s="405" t="s">
        <v>6650</v>
      </c>
      <c r="Q3627" s="411">
        <v>13</v>
      </c>
      <c r="R3627" s="405" t="s">
        <v>5903</v>
      </c>
      <c r="S3627" s="405" t="s">
        <v>27235</v>
      </c>
      <c r="T3627" s="405" t="s">
        <v>32746</v>
      </c>
      <c r="U3627" s="405" t="s">
        <v>2267</v>
      </c>
    </row>
    <row r="3628" spans="1:21" x14ac:dyDescent="0.25">
      <c r="A3628" s="405" t="s">
        <v>310</v>
      </c>
      <c r="B3628" s="405" t="s">
        <v>27897</v>
      </c>
      <c r="C3628" s="405" t="s">
        <v>327</v>
      </c>
      <c r="D3628" s="405"/>
      <c r="E3628" s="410">
        <v>42475</v>
      </c>
      <c r="F3628" s="410">
        <v>42520</v>
      </c>
      <c r="G3628" s="405" t="s">
        <v>22523</v>
      </c>
      <c r="H3628" s="405">
        <v>773255474</v>
      </c>
      <c r="I3628" s="405"/>
      <c r="J3628" s="405">
        <v>1.439675</v>
      </c>
      <c r="K3628" s="405">
        <v>31.301278</v>
      </c>
      <c r="L3628" s="405" t="s">
        <v>590</v>
      </c>
      <c r="M3628" s="405" t="s">
        <v>19720</v>
      </c>
      <c r="N3628" s="405" t="s">
        <v>22346</v>
      </c>
      <c r="O3628" s="405" t="s">
        <v>22511</v>
      </c>
      <c r="P3628" s="405" t="s">
        <v>22517</v>
      </c>
      <c r="Q3628" s="411">
        <v>6</v>
      </c>
      <c r="R3628" s="405" t="s">
        <v>6013</v>
      </c>
      <c r="S3628" s="405" t="s">
        <v>27423</v>
      </c>
      <c r="T3628" s="405" t="s">
        <v>32746</v>
      </c>
      <c r="U3628" s="405" t="s">
        <v>2267</v>
      </c>
    </row>
    <row r="3629" spans="1:21" x14ac:dyDescent="0.25">
      <c r="A3629" s="405" t="s">
        <v>310</v>
      </c>
      <c r="B3629" s="405" t="s">
        <v>15088</v>
      </c>
      <c r="C3629" s="405" t="s">
        <v>327</v>
      </c>
      <c r="D3629" s="405"/>
      <c r="E3629" s="410">
        <v>42475</v>
      </c>
      <c r="F3629" s="410">
        <v>42520</v>
      </c>
      <c r="G3629" s="405" t="s">
        <v>15089</v>
      </c>
      <c r="H3629" s="405">
        <v>782347370</v>
      </c>
      <c r="I3629" s="405">
        <v>7057362088</v>
      </c>
      <c r="J3629" s="405">
        <v>1.123</v>
      </c>
      <c r="K3629" s="405">
        <v>34.58</v>
      </c>
      <c r="L3629" s="405" t="s">
        <v>6866</v>
      </c>
      <c r="M3629" s="405" t="s">
        <v>9566</v>
      </c>
      <c r="N3629" s="405" t="s">
        <v>10001</v>
      </c>
      <c r="O3629" s="405" t="s">
        <v>11178</v>
      </c>
      <c r="P3629" s="405" t="s">
        <v>15090</v>
      </c>
      <c r="Q3629" s="411">
        <v>6</v>
      </c>
      <c r="R3629" s="405" t="s">
        <v>5655</v>
      </c>
      <c r="S3629" s="405" t="s">
        <v>27353</v>
      </c>
      <c r="T3629" s="405" t="s">
        <v>32746</v>
      </c>
      <c r="U3629" s="405" t="s">
        <v>2267</v>
      </c>
    </row>
    <row r="3630" spans="1:21" x14ac:dyDescent="0.25">
      <c r="A3630" s="405" t="s">
        <v>310</v>
      </c>
      <c r="B3630" s="405" t="s">
        <v>22509</v>
      </c>
      <c r="C3630" s="405" t="s">
        <v>327</v>
      </c>
      <c r="D3630" s="405"/>
      <c r="E3630" s="410">
        <v>42475</v>
      </c>
      <c r="F3630" s="410">
        <v>42520</v>
      </c>
      <c r="G3630" s="405" t="s">
        <v>22510</v>
      </c>
      <c r="H3630" s="405">
        <v>783562711</v>
      </c>
      <c r="I3630" s="405">
        <v>787559520</v>
      </c>
      <c r="J3630" s="405">
        <v>0.38654300000000003</v>
      </c>
      <c r="K3630" s="405">
        <v>30.833763000000001</v>
      </c>
      <c r="L3630" s="405" t="s">
        <v>590</v>
      </c>
      <c r="M3630" s="405" t="s">
        <v>19720</v>
      </c>
      <c r="N3630" s="405" t="s">
        <v>22346</v>
      </c>
      <c r="O3630" s="405" t="s">
        <v>22511</v>
      </c>
      <c r="P3630" s="405" t="s">
        <v>22512</v>
      </c>
      <c r="Q3630" s="411">
        <v>6</v>
      </c>
      <c r="R3630" s="405" t="s">
        <v>6013</v>
      </c>
      <c r="S3630" s="405" t="s">
        <v>27205</v>
      </c>
      <c r="T3630" s="405" t="s">
        <v>884</v>
      </c>
      <c r="U3630" s="405" t="s">
        <v>319</v>
      </c>
    </row>
    <row r="3631" spans="1:21" x14ac:dyDescent="0.25">
      <c r="A3631" s="405" t="s">
        <v>310</v>
      </c>
      <c r="B3631" s="405" t="s">
        <v>28271</v>
      </c>
      <c r="C3631" s="405" t="s">
        <v>327</v>
      </c>
      <c r="D3631" s="405"/>
      <c r="E3631" s="410">
        <v>42475</v>
      </c>
      <c r="F3631" s="410">
        <v>42520</v>
      </c>
      <c r="G3631" s="405" t="s">
        <v>22518</v>
      </c>
      <c r="H3631" s="405">
        <v>778005709</v>
      </c>
      <c r="I3631" s="405"/>
      <c r="J3631" s="405">
        <v>0.39436500000000002</v>
      </c>
      <c r="K3631" s="405">
        <v>30.811675000000001</v>
      </c>
      <c r="L3631" s="405" t="s">
        <v>590</v>
      </c>
      <c r="M3631" s="405" t="s">
        <v>19720</v>
      </c>
      <c r="N3631" s="405" t="s">
        <v>22346</v>
      </c>
      <c r="O3631" s="405" t="s">
        <v>22511</v>
      </c>
      <c r="P3631" s="405" t="s">
        <v>22519</v>
      </c>
      <c r="Q3631" s="411">
        <v>6</v>
      </c>
      <c r="R3631" s="405" t="s">
        <v>6013</v>
      </c>
      <c r="S3631" s="405" t="s">
        <v>27275</v>
      </c>
      <c r="T3631" s="405" t="s">
        <v>884</v>
      </c>
      <c r="U3631" s="405" t="s">
        <v>319</v>
      </c>
    </row>
    <row r="3632" spans="1:21" x14ac:dyDescent="0.25">
      <c r="A3632" s="405" t="s">
        <v>310</v>
      </c>
      <c r="B3632" s="405" t="s">
        <v>28411</v>
      </c>
      <c r="C3632" s="405" t="s">
        <v>327</v>
      </c>
      <c r="D3632" s="405"/>
      <c r="E3632" s="410">
        <v>42475</v>
      </c>
      <c r="F3632" s="410">
        <v>42520</v>
      </c>
      <c r="G3632" s="405" t="s">
        <v>22520</v>
      </c>
      <c r="H3632" s="405">
        <v>784727589</v>
      </c>
      <c r="I3632" s="405"/>
      <c r="J3632" s="405">
        <v>0.725742</v>
      </c>
      <c r="K3632" s="405">
        <v>30.761952999999998</v>
      </c>
      <c r="L3632" s="405" t="s">
        <v>590</v>
      </c>
      <c r="M3632" s="405" t="s">
        <v>19720</v>
      </c>
      <c r="N3632" s="405" t="s">
        <v>22346</v>
      </c>
      <c r="O3632" s="405" t="s">
        <v>22511</v>
      </c>
      <c r="P3632" s="405" t="s">
        <v>22517</v>
      </c>
      <c r="Q3632" s="411">
        <v>6</v>
      </c>
      <c r="R3632" s="405" t="s">
        <v>6013</v>
      </c>
      <c r="S3632" s="405" t="s">
        <v>27301</v>
      </c>
      <c r="T3632" s="405" t="s">
        <v>884</v>
      </c>
      <c r="U3632" s="405" t="s">
        <v>319</v>
      </c>
    </row>
    <row r="3633" spans="1:21" x14ac:dyDescent="0.25">
      <c r="A3633" s="405" t="s">
        <v>310</v>
      </c>
      <c r="B3633" s="405" t="s">
        <v>6042</v>
      </c>
      <c r="C3633" s="405" t="s">
        <v>327</v>
      </c>
      <c r="D3633" s="405"/>
      <c r="E3633" s="410">
        <v>42475</v>
      </c>
      <c r="F3633" s="410">
        <v>42520</v>
      </c>
      <c r="G3633" s="405" t="s">
        <v>6043</v>
      </c>
      <c r="H3633" s="405">
        <v>712528677</v>
      </c>
      <c r="I3633" s="405"/>
      <c r="J3633" s="405">
        <v>0.20499999999999999</v>
      </c>
      <c r="K3633" s="405">
        <v>31.445599999999999</v>
      </c>
      <c r="L3633" s="405" t="s">
        <v>314</v>
      </c>
      <c r="M3633" s="405" t="s">
        <v>382</v>
      </c>
      <c r="N3633" s="405" t="s">
        <v>2265</v>
      </c>
      <c r="O3633" s="405" t="s">
        <v>6044</v>
      </c>
      <c r="P3633" s="405" t="s">
        <v>6045</v>
      </c>
      <c r="Q3633" s="411">
        <v>6</v>
      </c>
      <c r="R3633" s="405" t="s">
        <v>32101</v>
      </c>
      <c r="S3633" s="405" t="s">
        <v>27186</v>
      </c>
      <c r="T3633" s="405" t="s">
        <v>884</v>
      </c>
      <c r="U3633" s="405" t="s">
        <v>319</v>
      </c>
    </row>
    <row r="3634" spans="1:21" x14ac:dyDescent="0.25">
      <c r="A3634" s="405" t="s">
        <v>310</v>
      </c>
      <c r="B3634" s="405" t="s">
        <v>22515</v>
      </c>
      <c r="C3634" s="405" t="s">
        <v>327</v>
      </c>
      <c r="D3634" s="405"/>
      <c r="E3634" s="410">
        <v>42475</v>
      </c>
      <c r="F3634" s="410">
        <v>42520</v>
      </c>
      <c r="G3634" s="405" t="s">
        <v>22516</v>
      </c>
      <c r="H3634" s="405">
        <v>772484281</v>
      </c>
      <c r="I3634" s="405"/>
      <c r="J3634" s="405">
        <v>0.947523</v>
      </c>
      <c r="K3634" s="405">
        <v>30.271702000000001</v>
      </c>
      <c r="L3634" s="405" t="s">
        <v>590</v>
      </c>
      <c r="M3634" s="405" t="s">
        <v>19720</v>
      </c>
      <c r="N3634" s="405" t="s">
        <v>22346</v>
      </c>
      <c r="O3634" s="405" t="s">
        <v>22511</v>
      </c>
      <c r="P3634" s="405" t="s">
        <v>22517</v>
      </c>
      <c r="Q3634" s="411">
        <v>6</v>
      </c>
      <c r="R3634" s="405" t="s">
        <v>6013</v>
      </c>
      <c r="S3634" s="405" t="s">
        <v>27422</v>
      </c>
      <c r="T3634" s="405" t="s">
        <v>884</v>
      </c>
      <c r="U3634" s="405" t="s">
        <v>319</v>
      </c>
    </row>
    <row r="3635" spans="1:21" x14ac:dyDescent="0.25">
      <c r="A3635" s="405" t="s">
        <v>310</v>
      </c>
      <c r="B3635" s="405" t="s">
        <v>22524</v>
      </c>
      <c r="C3635" s="405" t="s">
        <v>327</v>
      </c>
      <c r="D3635" s="405"/>
      <c r="E3635" s="410">
        <v>42475</v>
      </c>
      <c r="F3635" s="410">
        <v>42520</v>
      </c>
      <c r="G3635" s="405" t="s">
        <v>22525</v>
      </c>
      <c r="H3635" s="405">
        <v>775514526</v>
      </c>
      <c r="I3635" s="405"/>
      <c r="J3635" s="405">
        <v>0.95183499999999999</v>
      </c>
      <c r="K3635" s="405">
        <v>30.478413</v>
      </c>
      <c r="L3635" s="405" t="s">
        <v>590</v>
      </c>
      <c r="M3635" s="405" t="s">
        <v>19720</v>
      </c>
      <c r="N3635" s="405" t="s">
        <v>22346</v>
      </c>
      <c r="O3635" s="405" t="s">
        <v>22511</v>
      </c>
      <c r="P3635" s="405" t="s">
        <v>22517</v>
      </c>
      <c r="Q3635" s="411">
        <v>6</v>
      </c>
      <c r="R3635" s="405" t="s">
        <v>6013</v>
      </c>
      <c r="S3635" s="405" t="s">
        <v>27181</v>
      </c>
      <c r="T3635" s="405" t="s">
        <v>32746</v>
      </c>
      <c r="U3635" s="405" t="s">
        <v>2267</v>
      </c>
    </row>
    <row r="3636" spans="1:21" x14ac:dyDescent="0.25">
      <c r="A3636" s="405" t="s">
        <v>310</v>
      </c>
      <c r="B3636" s="405" t="s">
        <v>28033</v>
      </c>
      <c r="C3636" s="405" t="s">
        <v>311</v>
      </c>
      <c r="D3636" s="405" t="s">
        <v>33060</v>
      </c>
      <c r="E3636" s="410">
        <v>42474</v>
      </c>
      <c r="F3636" s="410">
        <v>42519</v>
      </c>
      <c r="G3636" s="405" t="s">
        <v>15470</v>
      </c>
      <c r="H3636" s="405">
        <v>777250892</v>
      </c>
      <c r="I3636" s="405"/>
      <c r="J3636" s="405">
        <v>0.48693199999999998</v>
      </c>
      <c r="K3636" s="405">
        <v>33.632174999999997</v>
      </c>
      <c r="L3636" s="405" t="s">
        <v>6866</v>
      </c>
      <c r="M3636" s="405" t="s">
        <v>13470</v>
      </c>
      <c r="N3636" s="405" t="s">
        <v>13471</v>
      </c>
      <c r="O3636" s="405" t="s">
        <v>14315</v>
      </c>
      <c r="P3636" s="405" t="s">
        <v>14369</v>
      </c>
      <c r="Q3636" s="411">
        <v>6</v>
      </c>
      <c r="R3636" s="405" t="s">
        <v>5655</v>
      </c>
      <c r="S3636" s="405" t="s">
        <v>27351</v>
      </c>
      <c r="T3636" s="405" t="s">
        <v>884</v>
      </c>
      <c r="U3636" s="405" t="s">
        <v>319</v>
      </c>
    </row>
    <row r="3637" spans="1:21" x14ac:dyDescent="0.25">
      <c r="A3637" s="405" t="s">
        <v>310</v>
      </c>
      <c r="B3637" s="405" t="s">
        <v>6014</v>
      </c>
      <c r="C3637" s="405" t="s">
        <v>327</v>
      </c>
      <c r="D3637" s="405"/>
      <c r="E3637" s="410">
        <v>42472</v>
      </c>
      <c r="F3637" s="410">
        <v>42506</v>
      </c>
      <c r="G3637" s="405" t="s">
        <v>6015</v>
      </c>
      <c r="H3637" s="405">
        <v>701061213</v>
      </c>
      <c r="I3637" s="405"/>
      <c r="J3637" s="405">
        <v>-0.343225</v>
      </c>
      <c r="K3637" s="405">
        <v>31.200035</v>
      </c>
      <c r="L3637" s="405" t="s">
        <v>314</v>
      </c>
      <c r="M3637" s="405" t="s">
        <v>1805</v>
      </c>
      <c r="N3637" s="405" t="s">
        <v>5855</v>
      </c>
      <c r="O3637" s="405" t="s">
        <v>6016</v>
      </c>
      <c r="P3637" s="405" t="s">
        <v>6016</v>
      </c>
      <c r="Q3637" s="411">
        <v>13</v>
      </c>
      <c r="R3637" s="405" t="s">
        <v>32101</v>
      </c>
      <c r="S3637" s="405" t="s">
        <v>27186</v>
      </c>
      <c r="T3637" s="405" t="s">
        <v>884</v>
      </c>
      <c r="U3637" s="405" t="s">
        <v>319</v>
      </c>
    </row>
    <row r="3638" spans="1:21" x14ac:dyDescent="0.25">
      <c r="A3638" s="405" t="s">
        <v>310</v>
      </c>
      <c r="B3638" s="405" t="s">
        <v>28293</v>
      </c>
      <c r="C3638" s="405" t="s">
        <v>327</v>
      </c>
      <c r="D3638" s="405"/>
      <c r="E3638" s="410">
        <v>42470</v>
      </c>
      <c r="F3638" s="410">
        <v>42515</v>
      </c>
      <c r="G3638" s="405" t="s">
        <v>22442</v>
      </c>
      <c r="H3638" s="405">
        <v>774130716</v>
      </c>
      <c r="I3638" s="405"/>
      <c r="J3638" s="405">
        <v>-0.648698</v>
      </c>
      <c r="K3638" s="405">
        <v>29.992567000000001</v>
      </c>
      <c r="L3638" s="405" t="s">
        <v>590</v>
      </c>
      <c r="M3638" s="405" t="s">
        <v>20032</v>
      </c>
      <c r="N3638" s="405" t="s">
        <v>20033</v>
      </c>
      <c r="O3638" s="405" t="s">
        <v>22443</v>
      </c>
      <c r="P3638" s="405" t="s">
        <v>17515</v>
      </c>
      <c r="Q3638" s="411">
        <v>9</v>
      </c>
      <c r="R3638" s="405" t="s">
        <v>5858</v>
      </c>
      <c r="S3638" s="405" t="s">
        <v>27249</v>
      </c>
      <c r="T3638" s="405" t="s">
        <v>884</v>
      </c>
      <c r="U3638" s="405" t="s">
        <v>319</v>
      </c>
    </row>
    <row r="3639" spans="1:21" x14ac:dyDescent="0.25">
      <c r="A3639" s="405" t="s">
        <v>310</v>
      </c>
      <c r="B3639" s="405" t="s">
        <v>6040</v>
      </c>
      <c r="C3639" s="405" t="s">
        <v>327</v>
      </c>
      <c r="D3639" s="405"/>
      <c r="E3639" s="410">
        <v>42470</v>
      </c>
      <c r="F3639" s="410">
        <v>42515</v>
      </c>
      <c r="G3639" s="405" t="s">
        <v>6041</v>
      </c>
      <c r="H3639" s="405">
        <v>750323283</v>
      </c>
      <c r="I3639" s="405"/>
      <c r="J3639" s="405">
        <v>0.27479999999999999</v>
      </c>
      <c r="K3639" s="405">
        <v>32.1753</v>
      </c>
      <c r="L3639" s="405" t="s">
        <v>314</v>
      </c>
      <c r="M3639" s="405" t="s">
        <v>361</v>
      </c>
      <c r="N3639" s="405" t="s">
        <v>5838</v>
      </c>
      <c r="O3639" s="405" t="s">
        <v>662</v>
      </c>
      <c r="P3639" s="405" t="s">
        <v>6036</v>
      </c>
      <c r="Q3639" s="411">
        <v>6</v>
      </c>
      <c r="R3639" s="405" t="s">
        <v>32101</v>
      </c>
      <c r="S3639" s="405" t="s">
        <v>414</v>
      </c>
      <c r="T3639" s="405" t="s">
        <v>6551</v>
      </c>
      <c r="U3639" s="405" t="s">
        <v>2267</v>
      </c>
    </row>
    <row r="3640" spans="1:21" x14ac:dyDescent="0.25">
      <c r="A3640" s="405" t="s">
        <v>310</v>
      </c>
      <c r="B3640" s="405" t="s">
        <v>6024</v>
      </c>
      <c r="C3640" s="405" t="s">
        <v>327</v>
      </c>
      <c r="D3640" s="405"/>
      <c r="E3640" s="410">
        <v>42469</v>
      </c>
      <c r="F3640" s="410">
        <v>42514</v>
      </c>
      <c r="G3640" s="405" t="s">
        <v>6025</v>
      </c>
      <c r="H3640" s="405">
        <v>772504836</v>
      </c>
      <c r="I3640" s="405"/>
      <c r="J3640" s="405">
        <v>0.63588699999999998</v>
      </c>
      <c r="K3640" s="405">
        <v>32.682322999999997</v>
      </c>
      <c r="L3640" s="405" t="s">
        <v>314</v>
      </c>
      <c r="M3640" s="405" t="s">
        <v>959</v>
      </c>
      <c r="N3640" s="405" t="s">
        <v>960</v>
      </c>
      <c r="O3640" s="405" t="s">
        <v>961</v>
      </c>
      <c r="P3640" s="405" t="s">
        <v>6026</v>
      </c>
      <c r="Q3640" s="411">
        <v>13</v>
      </c>
      <c r="R3640" s="405" t="s">
        <v>5336</v>
      </c>
      <c r="S3640" s="405" t="s">
        <v>27047</v>
      </c>
      <c r="T3640" s="405" t="s">
        <v>32746</v>
      </c>
      <c r="U3640" s="405" t="s">
        <v>2267</v>
      </c>
    </row>
    <row r="3641" spans="1:21" x14ac:dyDescent="0.25">
      <c r="A3641" s="405" t="s">
        <v>310</v>
      </c>
      <c r="B3641" s="405" t="s">
        <v>28569</v>
      </c>
      <c r="C3641" s="405" t="s">
        <v>311</v>
      </c>
      <c r="D3641" s="405" t="s">
        <v>1789</v>
      </c>
      <c r="E3641" s="410">
        <v>42469</v>
      </c>
      <c r="F3641" s="410">
        <v>42514</v>
      </c>
      <c r="G3641" s="405" t="s">
        <v>22631</v>
      </c>
      <c r="H3641" s="405">
        <v>753481941</v>
      </c>
      <c r="I3641" s="405"/>
      <c r="J3641" s="405">
        <v>0.44990799999999997</v>
      </c>
      <c r="K3641" s="405">
        <v>33.601044000000002</v>
      </c>
      <c r="L3641" s="405" t="s">
        <v>590</v>
      </c>
      <c r="M3641" s="405" t="s">
        <v>21087</v>
      </c>
      <c r="N3641" s="405" t="s">
        <v>21902</v>
      </c>
      <c r="O3641" s="405" t="s">
        <v>22632</v>
      </c>
      <c r="P3641" s="405" t="s">
        <v>22632</v>
      </c>
      <c r="Q3641" s="411">
        <v>13</v>
      </c>
      <c r="R3641" s="405" t="s">
        <v>402</v>
      </c>
      <c r="S3641" s="405" t="s">
        <v>27154</v>
      </c>
      <c r="T3641" s="405" t="s">
        <v>6551</v>
      </c>
      <c r="U3641" s="405" t="s">
        <v>2267</v>
      </c>
    </row>
    <row r="3642" spans="1:21" x14ac:dyDescent="0.25">
      <c r="A3642" s="405" t="s">
        <v>310</v>
      </c>
      <c r="B3642" s="405" t="s">
        <v>28962</v>
      </c>
      <c r="C3642" s="405" t="s">
        <v>327</v>
      </c>
      <c r="D3642" s="405"/>
      <c r="E3642" s="410">
        <v>42469</v>
      </c>
      <c r="F3642" s="410">
        <v>42662</v>
      </c>
      <c r="G3642" s="405" t="s">
        <v>15440</v>
      </c>
      <c r="H3642" s="405">
        <v>777209317</v>
      </c>
      <c r="I3642" s="405"/>
      <c r="J3642" s="405">
        <v>0.50739500000000004</v>
      </c>
      <c r="K3642" s="405" t="s">
        <v>15441</v>
      </c>
      <c r="L3642" s="405" t="s">
        <v>6866</v>
      </c>
      <c r="M3642" s="405" t="s">
        <v>13470</v>
      </c>
      <c r="N3642" s="405" t="s">
        <v>13471</v>
      </c>
      <c r="O3642" s="405" t="s">
        <v>14315</v>
      </c>
      <c r="P3642" s="405" t="s">
        <v>15119</v>
      </c>
      <c r="Q3642" s="411">
        <v>6</v>
      </c>
      <c r="R3642" s="405" t="s">
        <v>5655</v>
      </c>
      <c r="S3642" s="405" t="s">
        <v>27353</v>
      </c>
      <c r="T3642" s="405" t="s">
        <v>6551</v>
      </c>
      <c r="U3642" s="405" t="s">
        <v>2267</v>
      </c>
    </row>
    <row r="3643" spans="1:21" x14ac:dyDescent="0.25">
      <c r="A3643" s="405" t="s">
        <v>310</v>
      </c>
      <c r="B3643" s="405" t="s">
        <v>15442</v>
      </c>
      <c r="C3643" s="405" t="s">
        <v>327</v>
      </c>
      <c r="D3643" s="405"/>
      <c r="E3643" s="410">
        <v>42469</v>
      </c>
      <c r="F3643" s="410">
        <v>42662</v>
      </c>
      <c r="G3643" s="405" t="s">
        <v>15443</v>
      </c>
      <c r="H3643" s="405">
        <v>774350245</v>
      </c>
      <c r="I3643" s="405">
        <v>781529947</v>
      </c>
      <c r="J3643" s="405">
        <v>0.26500000000000001</v>
      </c>
      <c r="K3643" s="405">
        <v>33.401000000000003</v>
      </c>
      <c r="L3643" s="405" t="s">
        <v>6866</v>
      </c>
      <c r="M3643" s="405" t="s">
        <v>13470</v>
      </c>
      <c r="N3643" s="405" t="s">
        <v>13471</v>
      </c>
      <c r="O3643" s="405" t="s">
        <v>14315</v>
      </c>
      <c r="P3643" s="405" t="s">
        <v>15444</v>
      </c>
      <c r="Q3643" s="411">
        <v>6</v>
      </c>
      <c r="R3643" s="405" t="s">
        <v>5655</v>
      </c>
      <c r="S3643" s="405" t="s">
        <v>27072</v>
      </c>
      <c r="T3643" s="405" t="s">
        <v>32746</v>
      </c>
      <c r="U3643" s="405" t="s">
        <v>2267</v>
      </c>
    </row>
    <row r="3644" spans="1:21" x14ac:dyDescent="0.25">
      <c r="A3644" s="405" t="s">
        <v>310</v>
      </c>
      <c r="B3644" s="405" t="s">
        <v>22479</v>
      </c>
      <c r="C3644" s="405" t="s">
        <v>327</v>
      </c>
      <c r="D3644" s="405"/>
      <c r="E3644" s="410">
        <v>42469</v>
      </c>
      <c r="F3644" s="410">
        <v>42514</v>
      </c>
      <c r="G3644" s="405" t="s">
        <v>22480</v>
      </c>
      <c r="H3644" s="405">
        <v>772392523</v>
      </c>
      <c r="I3644" s="405"/>
      <c r="J3644" s="405">
        <v>0.1933</v>
      </c>
      <c r="K3644" s="405">
        <v>230.26140000000001</v>
      </c>
      <c r="L3644" s="405" t="s">
        <v>590</v>
      </c>
      <c r="M3644" s="405" t="s">
        <v>19720</v>
      </c>
      <c r="N3644" s="405" t="s">
        <v>7352</v>
      </c>
      <c r="O3644" s="405" t="s">
        <v>21940</v>
      </c>
      <c r="P3644" s="405" t="s">
        <v>22476</v>
      </c>
      <c r="Q3644" s="411">
        <v>6</v>
      </c>
      <c r="R3644" s="405" t="s">
        <v>6013</v>
      </c>
      <c r="S3644" s="405" t="s">
        <v>27154</v>
      </c>
      <c r="T3644" s="405" t="s">
        <v>32746</v>
      </c>
      <c r="U3644" s="405" t="s">
        <v>2267</v>
      </c>
    </row>
    <row r="3645" spans="1:21" x14ac:dyDescent="0.25">
      <c r="A3645" s="405" t="s">
        <v>310</v>
      </c>
      <c r="B3645" s="405" t="s">
        <v>22465</v>
      </c>
      <c r="C3645" s="405" t="s">
        <v>327</v>
      </c>
      <c r="D3645" s="405"/>
      <c r="E3645" s="410">
        <v>42469</v>
      </c>
      <c r="F3645" s="410">
        <v>42514</v>
      </c>
      <c r="G3645" s="405" t="s">
        <v>22466</v>
      </c>
      <c r="H3645" s="405">
        <v>773722959</v>
      </c>
      <c r="I3645" s="405"/>
      <c r="J3645" s="405">
        <v>0.1225</v>
      </c>
      <c r="K3645" s="405">
        <v>30.222200000000001</v>
      </c>
      <c r="L3645" s="405" t="s">
        <v>590</v>
      </c>
      <c r="M3645" s="405" t="s">
        <v>19720</v>
      </c>
      <c r="N3645" s="405" t="s">
        <v>7352</v>
      </c>
      <c r="O3645" s="405" t="s">
        <v>19720</v>
      </c>
      <c r="P3645" s="405" t="s">
        <v>22467</v>
      </c>
      <c r="Q3645" s="411">
        <v>6</v>
      </c>
      <c r="R3645" s="405" t="s">
        <v>6013</v>
      </c>
      <c r="S3645" s="405" t="s">
        <v>27205</v>
      </c>
      <c r="T3645" s="405" t="s">
        <v>32746</v>
      </c>
      <c r="U3645" s="405" t="s">
        <v>2267</v>
      </c>
    </row>
    <row r="3646" spans="1:21" x14ac:dyDescent="0.25">
      <c r="A3646" s="405" t="s">
        <v>310</v>
      </c>
      <c r="B3646" s="405" t="s">
        <v>28461</v>
      </c>
      <c r="C3646" s="405" t="s">
        <v>327</v>
      </c>
      <c r="D3646" s="405"/>
      <c r="E3646" s="410">
        <v>42469</v>
      </c>
      <c r="F3646" s="410">
        <v>42514</v>
      </c>
      <c r="G3646" s="405" t="s">
        <v>22503</v>
      </c>
      <c r="H3646" s="405">
        <v>785127536</v>
      </c>
      <c r="I3646" s="405"/>
      <c r="J3646" s="405">
        <v>0.41476245</v>
      </c>
      <c r="K3646" s="405">
        <v>30.400448999999998</v>
      </c>
      <c r="L3646" s="405" t="s">
        <v>590</v>
      </c>
      <c r="M3646" s="405" t="s">
        <v>19720</v>
      </c>
      <c r="N3646" s="405" t="s">
        <v>7352</v>
      </c>
      <c r="O3646" s="405" t="s">
        <v>21991</v>
      </c>
      <c r="P3646" s="405" t="s">
        <v>22504</v>
      </c>
      <c r="Q3646" s="411">
        <v>6</v>
      </c>
      <c r="R3646" s="405" t="s">
        <v>6013</v>
      </c>
      <c r="S3646" s="405" t="s">
        <v>27181</v>
      </c>
      <c r="T3646" s="405" t="s">
        <v>884</v>
      </c>
      <c r="U3646" s="405" t="s">
        <v>319</v>
      </c>
    </row>
    <row r="3647" spans="1:21" x14ac:dyDescent="0.25">
      <c r="A3647" s="405" t="s">
        <v>310</v>
      </c>
      <c r="B3647" s="405" t="s">
        <v>22496</v>
      </c>
      <c r="C3647" s="405" t="s">
        <v>327</v>
      </c>
      <c r="D3647" s="405"/>
      <c r="E3647" s="410">
        <v>42469</v>
      </c>
      <c r="F3647" s="410">
        <v>42514</v>
      </c>
      <c r="G3647" s="405" t="s">
        <v>22497</v>
      </c>
      <c r="H3647" s="405">
        <v>773640105</v>
      </c>
      <c r="I3647" s="405"/>
      <c r="J3647" s="405">
        <v>0.12540000000000001</v>
      </c>
      <c r="K3647" s="405">
        <v>30.271000000000001</v>
      </c>
      <c r="L3647" s="405" t="s">
        <v>590</v>
      </c>
      <c r="M3647" s="405" t="s">
        <v>19720</v>
      </c>
      <c r="N3647" s="405" t="s">
        <v>7352</v>
      </c>
      <c r="O3647" s="405" t="s">
        <v>19720</v>
      </c>
      <c r="P3647" s="405" t="s">
        <v>22498</v>
      </c>
      <c r="Q3647" s="411">
        <v>6</v>
      </c>
      <c r="R3647" s="405" t="s">
        <v>6013</v>
      </c>
      <c r="S3647" s="405" t="s">
        <v>27275</v>
      </c>
      <c r="T3647" s="405" t="s">
        <v>884</v>
      </c>
      <c r="U3647" s="405" t="s">
        <v>319</v>
      </c>
    </row>
    <row r="3648" spans="1:21" x14ac:dyDescent="0.25">
      <c r="A3648" s="405" t="s">
        <v>310</v>
      </c>
      <c r="B3648" s="405" t="s">
        <v>28851</v>
      </c>
      <c r="C3648" s="405" t="s">
        <v>311</v>
      </c>
      <c r="D3648" s="405" t="s">
        <v>1789</v>
      </c>
      <c r="E3648" s="410">
        <v>42469</v>
      </c>
      <c r="F3648" s="410">
        <v>42514</v>
      </c>
      <c r="G3648" s="405" t="s">
        <v>22658</v>
      </c>
      <c r="H3648" s="405">
        <v>782294475</v>
      </c>
      <c r="I3648" s="405"/>
      <c r="J3648" s="405">
        <v>0.1143</v>
      </c>
      <c r="K3648" s="405">
        <v>30.3233</v>
      </c>
      <c r="L3648" s="405" t="s">
        <v>590</v>
      </c>
      <c r="M3648" s="405" t="s">
        <v>19720</v>
      </c>
      <c r="N3648" s="405" t="s">
        <v>22346</v>
      </c>
      <c r="O3648" s="405" t="s">
        <v>20663</v>
      </c>
      <c r="P3648" s="405" t="s">
        <v>22659</v>
      </c>
      <c r="Q3648" s="411">
        <v>6</v>
      </c>
      <c r="R3648" s="405" t="s">
        <v>6013</v>
      </c>
      <c r="S3648" s="405" t="s">
        <v>27422</v>
      </c>
      <c r="T3648" s="405" t="s">
        <v>32746</v>
      </c>
      <c r="U3648" s="405" t="s">
        <v>2267</v>
      </c>
    </row>
    <row r="3649" spans="1:21" x14ac:dyDescent="0.25">
      <c r="A3649" s="405" t="s">
        <v>310</v>
      </c>
      <c r="B3649" s="405" t="s">
        <v>6121</v>
      </c>
      <c r="C3649" s="405" t="s">
        <v>327</v>
      </c>
      <c r="D3649" s="405"/>
      <c r="E3649" s="410">
        <v>42468</v>
      </c>
      <c r="F3649" s="410">
        <v>42640</v>
      </c>
      <c r="G3649" s="405" t="s">
        <v>6122</v>
      </c>
      <c r="H3649" s="405">
        <v>703500001</v>
      </c>
      <c r="I3649" s="405">
        <v>772510740</v>
      </c>
      <c r="J3649" s="405">
        <v>0.37066700000000002</v>
      </c>
      <c r="K3649" s="405">
        <v>32.563969999999998</v>
      </c>
      <c r="L3649" s="405" t="s">
        <v>314</v>
      </c>
      <c r="M3649" s="405" t="s">
        <v>992</v>
      </c>
      <c r="N3649" s="405" t="s">
        <v>6123</v>
      </c>
      <c r="O3649" s="405" t="s">
        <v>6124</v>
      </c>
      <c r="P3649" s="405" t="s">
        <v>936</v>
      </c>
      <c r="Q3649" s="411">
        <v>9</v>
      </c>
      <c r="R3649" s="405" t="s">
        <v>5986</v>
      </c>
      <c r="S3649" s="405" t="s">
        <v>27251</v>
      </c>
      <c r="T3649" s="405" t="s">
        <v>32746</v>
      </c>
      <c r="U3649" s="405" t="s">
        <v>2267</v>
      </c>
    </row>
    <row r="3650" spans="1:21" x14ac:dyDescent="0.25">
      <c r="A3650" s="405" t="s">
        <v>310</v>
      </c>
      <c r="B3650" s="405" t="s">
        <v>15369</v>
      </c>
      <c r="C3650" s="405" t="s">
        <v>327</v>
      </c>
      <c r="D3650" s="405"/>
      <c r="E3650" s="410">
        <v>42468</v>
      </c>
      <c r="F3650" s="410">
        <v>42640</v>
      </c>
      <c r="G3650" s="405" t="s">
        <v>15370</v>
      </c>
      <c r="H3650" s="405">
        <v>705364145</v>
      </c>
      <c r="I3650" s="405"/>
      <c r="J3650" s="405">
        <v>0.35288999999999998</v>
      </c>
      <c r="K3650" s="405">
        <v>32.982562999999999</v>
      </c>
      <c r="L3650" s="405" t="s">
        <v>6866</v>
      </c>
      <c r="M3650" s="405" t="s">
        <v>9590</v>
      </c>
      <c r="N3650" s="405" t="s">
        <v>6408</v>
      </c>
      <c r="O3650" s="405" t="s">
        <v>656</v>
      </c>
      <c r="P3650" s="405" t="s">
        <v>1618</v>
      </c>
      <c r="Q3650" s="411">
        <v>9</v>
      </c>
      <c r="R3650" s="405" t="s">
        <v>5986</v>
      </c>
      <c r="S3650" s="405" t="s">
        <v>27251</v>
      </c>
      <c r="T3650" s="405" t="s">
        <v>32746</v>
      </c>
      <c r="U3650" s="405" t="s">
        <v>2267</v>
      </c>
    </row>
    <row r="3651" spans="1:21" x14ac:dyDescent="0.25">
      <c r="A3651" s="405" t="s">
        <v>310</v>
      </c>
      <c r="B3651" s="405" t="s">
        <v>5987</v>
      </c>
      <c r="C3651" s="405" t="s">
        <v>327</v>
      </c>
      <c r="D3651" s="405"/>
      <c r="E3651" s="410">
        <v>42468</v>
      </c>
      <c r="F3651" s="410">
        <v>42490</v>
      </c>
      <c r="G3651" s="405" t="s">
        <v>5988</v>
      </c>
      <c r="H3651" s="405">
        <v>712560929</v>
      </c>
      <c r="I3651" s="405">
        <v>701777291</v>
      </c>
      <c r="J3651" s="405">
        <v>0.28301799999999999</v>
      </c>
      <c r="K3651" s="405">
        <v>32.550890000000003</v>
      </c>
      <c r="L3651" s="405" t="s">
        <v>314</v>
      </c>
      <c r="M3651" s="405" t="s">
        <v>992</v>
      </c>
      <c r="N3651" s="405" t="s">
        <v>5985</v>
      </c>
      <c r="O3651" s="405" t="s">
        <v>5985</v>
      </c>
      <c r="P3651" s="405" t="s">
        <v>5989</v>
      </c>
      <c r="Q3651" s="411">
        <v>9</v>
      </c>
      <c r="R3651" s="405" t="s">
        <v>5986</v>
      </c>
      <c r="S3651" s="405" t="s">
        <v>27251</v>
      </c>
      <c r="T3651" s="405" t="s">
        <v>32746</v>
      </c>
      <c r="U3651" s="405" t="s">
        <v>2267</v>
      </c>
    </row>
    <row r="3652" spans="1:21" x14ac:dyDescent="0.25">
      <c r="A3652" s="405" t="s">
        <v>310</v>
      </c>
      <c r="B3652" s="405" t="s">
        <v>5990</v>
      </c>
      <c r="C3652" s="405" t="s">
        <v>327</v>
      </c>
      <c r="D3652" s="405"/>
      <c r="E3652" s="410">
        <v>42468</v>
      </c>
      <c r="F3652" s="410">
        <v>42490</v>
      </c>
      <c r="G3652" s="405" t="s">
        <v>5991</v>
      </c>
      <c r="H3652" s="405">
        <v>752807057</v>
      </c>
      <c r="I3652" s="405"/>
      <c r="J3652" s="405">
        <v>0.28303200000000001</v>
      </c>
      <c r="K3652" s="405">
        <v>32.551192999999998</v>
      </c>
      <c r="L3652" s="405" t="s">
        <v>314</v>
      </c>
      <c r="M3652" s="405" t="s">
        <v>992</v>
      </c>
      <c r="N3652" s="405" t="s">
        <v>2327</v>
      </c>
      <c r="O3652" s="405" t="s">
        <v>5985</v>
      </c>
      <c r="P3652" s="405" t="s">
        <v>5992</v>
      </c>
      <c r="Q3652" s="411">
        <v>9</v>
      </c>
      <c r="R3652" s="405" t="s">
        <v>5986</v>
      </c>
      <c r="S3652" s="405" t="s">
        <v>27251</v>
      </c>
      <c r="T3652" s="405" t="s">
        <v>32746</v>
      </c>
      <c r="U3652" s="405" t="s">
        <v>2267</v>
      </c>
    </row>
    <row r="3653" spans="1:21" x14ac:dyDescent="0.25">
      <c r="A3653" s="405" t="s">
        <v>310</v>
      </c>
      <c r="B3653" s="405" t="s">
        <v>28107</v>
      </c>
      <c r="C3653" s="405" t="s">
        <v>327</v>
      </c>
      <c r="D3653" s="405"/>
      <c r="E3653" s="410">
        <v>42468</v>
      </c>
      <c r="F3653" s="410">
        <v>42631</v>
      </c>
      <c r="G3653" s="405" t="s">
        <v>15371</v>
      </c>
      <c r="H3653" s="405">
        <v>775950378</v>
      </c>
      <c r="I3653" s="405"/>
      <c r="J3653" s="405">
        <v>0.44007800000000002</v>
      </c>
      <c r="K3653" s="405">
        <v>33.658361999999997</v>
      </c>
      <c r="L3653" s="405" t="s">
        <v>6866</v>
      </c>
      <c r="M3653" s="405" t="s">
        <v>13470</v>
      </c>
      <c r="N3653" s="405" t="s">
        <v>13471</v>
      </c>
      <c r="O3653" s="405" t="s">
        <v>14315</v>
      </c>
      <c r="P3653" s="405" t="s">
        <v>15372</v>
      </c>
      <c r="Q3653" s="411">
        <v>6</v>
      </c>
      <c r="R3653" s="405" t="s">
        <v>5655</v>
      </c>
      <c r="S3653" s="405" t="s">
        <v>27351</v>
      </c>
      <c r="T3653" s="405" t="s">
        <v>32746</v>
      </c>
      <c r="U3653" s="405" t="s">
        <v>2267</v>
      </c>
    </row>
    <row r="3654" spans="1:21" x14ac:dyDescent="0.25">
      <c r="A3654" s="405" t="s">
        <v>310</v>
      </c>
      <c r="B3654" s="405" t="s">
        <v>28110</v>
      </c>
      <c r="C3654" s="405" t="s">
        <v>311</v>
      </c>
      <c r="D3654" s="405" t="s">
        <v>312</v>
      </c>
      <c r="E3654" s="410">
        <v>42468</v>
      </c>
      <c r="F3654" s="410">
        <v>42513</v>
      </c>
      <c r="G3654" s="405" t="s">
        <v>22643</v>
      </c>
      <c r="H3654" s="405">
        <v>787679494</v>
      </c>
      <c r="I3654" s="405">
        <v>794824100</v>
      </c>
      <c r="J3654" s="405">
        <v>1.3311550000000001</v>
      </c>
      <c r="K3654" s="405">
        <v>31.295113000000001</v>
      </c>
      <c r="L3654" s="405" t="s">
        <v>590</v>
      </c>
      <c r="M3654" s="405" t="s">
        <v>7300</v>
      </c>
      <c r="N3654" s="405" t="s">
        <v>20450</v>
      </c>
      <c r="O3654" s="405" t="s">
        <v>20451</v>
      </c>
      <c r="P3654" s="405" t="s">
        <v>22314</v>
      </c>
      <c r="Q3654" s="411">
        <v>6</v>
      </c>
      <c r="R3654" s="405" t="s">
        <v>6397</v>
      </c>
      <c r="S3654" s="405" t="s">
        <v>22880</v>
      </c>
      <c r="T3654" s="405" t="s">
        <v>884</v>
      </c>
      <c r="U3654" s="405" t="s">
        <v>319</v>
      </c>
    </row>
    <row r="3655" spans="1:21" x14ac:dyDescent="0.25">
      <c r="A3655" s="405" t="s">
        <v>310</v>
      </c>
      <c r="B3655" s="405" t="s">
        <v>15100</v>
      </c>
      <c r="C3655" s="405" t="s">
        <v>327</v>
      </c>
      <c r="D3655" s="405"/>
      <c r="E3655" s="410">
        <v>42467</v>
      </c>
      <c r="F3655" s="410">
        <v>42512</v>
      </c>
      <c r="G3655" s="405" t="s">
        <v>15101</v>
      </c>
      <c r="H3655" s="405">
        <v>774404492</v>
      </c>
      <c r="I3655" s="405"/>
      <c r="J3655" s="405">
        <v>0.93624200000000002</v>
      </c>
      <c r="K3655" s="405">
        <v>33.123522000000001</v>
      </c>
      <c r="L3655" s="405" t="s">
        <v>6866</v>
      </c>
      <c r="M3655" s="405" t="s">
        <v>3009</v>
      </c>
      <c r="N3655" s="405" t="s">
        <v>10406</v>
      </c>
      <c r="O3655" s="405" t="s">
        <v>15102</v>
      </c>
      <c r="P3655" s="405" t="s">
        <v>15103</v>
      </c>
      <c r="Q3655" s="411">
        <v>9</v>
      </c>
      <c r="R3655" s="405" t="s">
        <v>5903</v>
      </c>
      <c r="S3655" s="405" t="s">
        <v>27054</v>
      </c>
      <c r="T3655" s="405" t="s">
        <v>884</v>
      </c>
      <c r="U3655" s="405" t="s">
        <v>319</v>
      </c>
    </row>
    <row r="3656" spans="1:21" x14ac:dyDescent="0.25">
      <c r="A3656" s="405" t="s">
        <v>310</v>
      </c>
      <c r="B3656" s="405" t="s">
        <v>29004</v>
      </c>
      <c r="C3656" s="405" t="s">
        <v>327</v>
      </c>
      <c r="D3656" s="405"/>
      <c r="E3656" s="410">
        <v>42466</v>
      </c>
      <c r="F3656" s="410">
        <v>42511</v>
      </c>
      <c r="G3656" s="405" t="s">
        <v>22450</v>
      </c>
      <c r="H3656" s="405">
        <v>778282446</v>
      </c>
      <c r="I3656" s="405"/>
      <c r="J3656" s="405">
        <v>0.443</v>
      </c>
      <c r="K3656" s="405">
        <v>30.264099999999999</v>
      </c>
      <c r="L3656" s="405" t="s">
        <v>590</v>
      </c>
      <c r="M3656" s="405" t="s">
        <v>19720</v>
      </c>
      <c r="N3656" s="405" t="s">
        <v>20297</v>
      </c>
      <c r="O3656" s="405" t="s">
        <v>22426</v>
      </c>
      <c r="P3656" s="405" t="s">
        <v>22451</v>
      </c>
      <c r="Q3656" s="411">
        <v>6</v>
      </c>
      <c r="R3656" s="405" t="s">
        <v>6013</v>
      </c>
      <c r="S3656" s="405" t="s">
        <v>27301</v>
      </c>
      <c r="T3656" s="405" t="s">
        <v>884</v>
      </c>
      <c r="U3656" s="405" t="s">
        <v>319</v>
      </c>
    </row>
    <row r="3657" spans="1:21" x14ac:dyDescent="0.25">
      <c r="A3657" s="405" t="s">
        <v>310</v>
      </c>
      <c r="B3657" s="405" t="s">
        <v>18964</v>
      </c>
      <c r="C3657" s="405" t="s">
        <v>327</v>
      </c>
      <c r="D3657" s="405"/>
      <c r="E3657" s="410">
        <v>42465</v>
      </c>
      <c r="F3657" s="410">
        <v>42510</v>
      </c>
      <c r="G3657" s="405" t="s">
        <v>18965</v>
      </c>
      <c r="H3657" s="405">
        <v>772689880</v>
      </c>
      <c r="I3657" s="405">
        <v>75980074</v>
      </c>
      <c r="J3657" s="405">
        <v>2.216952</v>
      </c>
      <c r="K3657" s="405">
        <v>32.904828000000002</v>
      </c>
      <c r="L3657" s="405" t="s">
        <v>860</v>
      </c>
      <c r="M3657" s="405" t="s">
        <v>18234</v>
      </c>
      <c r="N3657" s="405" t="s">
        <v>18252</v>
      </c>
      <c r="O3657" s="405" t="s">
        <v>18253</v>
      </c>
      <c r="P3657" s="405" t="s">
        <v>18860</v>
      </c>
      <c r="Q3657" s="411">
        <v>6</v>
      </c>
      <c r="R3657" s="405" t="s">
        <v>18919</v>
      </c>
      <c r="S3657" s="405" t="s">
        <v>27243</v>
      </c>
      <c r="T3657" s="405" t="s">
        <v>884</v>
      </c>
      <c r="U3657" s="405" t="s">
        <v>319</v>
      </c>
    </row>
    <row r="3658" spans="1:21" x14ac:dyDescent="0.25">
      <c r="A3658" s="405" t="s">
        <v>310</v>
      </c>
      <c r="B3658" s="405" t="s">
        <v>22477</v>
      </c>
      <c r="C3658" s="405" t="s">
        <v>327</v>
      </c>
      <c r="D3658" s="405"/>
      <c r="E3658" s="410">
        <v>42464</v>
      </c>
      <c r="F3658" s="410">
        <v>42509</v>
      </c>
      <c r="G3658" s="405" t="s">
        <v>22478</v>
      </c>
      <c r="H3658" s="405">
        <v>782671121</v>
      </c>
      <c r="I3658" s="405"/>
      <c r="J3658" s="405">
        <v>0.52200000000000002</v>
      </c>
      <c r="K3658" s="405">
        <v>30.251999999999999</v>
      </c>
      <c r="L3658" s="405" t="s">
        <v>590</v>
      </c>
      <c r="M3658" s="405" t="s">
        <v>19720</v>
      </c>
      <c r="N3658" s="405" t="s">
        <v>20297</v>
      </c>
      <c r="O3658" s="405" t="s">
        <v>22056</v>
      </c>
      <c r="P3658" s="405" t="s">
        <v>21995</v>
      </c>
      <c r="Q3658" s="411">
        <v>6</v>
      </c>
      <c r="R3658" s="405" t="s">
        <v>6013</v>
      </c>
      <c r="S3658" s="405" t="s">
        <v>27154</v>
      </c>
      <c r="T3658" s="405" t="s">
        <v>884</v>
      </c>
      <c r="U3658" s="405" t="s">
        <v>319</v>
      </c>
    </row>
    <row r="3659" spans="1:21" x14ac:dyDescent="0.25">
      <c r="A3659" s="405" t="s">
        <v>310</v>
      </c>
      <c r="B3659" s="405" t="s">
        <v>22457</v>
      </c>
      <c r="C3659" s="405" t="s">
        <v>327</v>
      </c>
      <c r="D3659" s="405"/>
      <c r="E3659" s="410">
        <v>42464</v>
      </c>
      <c r="F3659" s="410">
        <v>42509</v>
      </c>
      <c r="G3659" s="405" t="s">
        <v>22458</v>
      </c>
      <c r="H3659" s="405">
        <v>787433136</v>
      </c>
      <c r="I3659" s="405"/>
      <c r="J3659" s="405">
        <v>0.13389999999999999</v>
      </c>
      <c r="K3659" s="405">
        <v>30.374600000000001</v>
      </c>
      <c r="L3659" s="405" t="s">
        <v>590</v>
      </c>
      <c r="M3659" s="405" t="s">
        <v>19720</v>
      </c>
      <c r="N3659" s="405" t="s">
        <v>19722</v>
      </c>
      <c r="O3659" s="405" t="s">
        <v>19722</v>
      </c>
      <c r="P3659" s="405" t="s">
        <v>19797</v>
      </c>
      <c r="Q3659" s="411">
        <v>6</v>
      </c>
      <c r="R3659" s="405" t="s">
        <v>6013</v>
      </c>
      <c r="S3659" s="405" t="s">
        <v>27205</v>
      </c>
      <c r="T3659" s="405" t="s">
        <v>32746</v>
      </c>
      <c r="U3659" s="405" t="s">
        <v>2267</v>
      </c>
    </row>
    <row r="3660" spans="1:21" x14ac:dyDescent="0.25">
      <c r="A3660" s="405" t="s">
        <v>310</v>
      </c>
      <c r="B3660" s="405" t="s">
        <v>28345</v>
      </c>
      <c r="C3660" s="405" t="s">
        <v>327</v>
      </c>
      <c r="D3660" s="405"/>
      <c r="E3660" s="410">
        <v>42464</v>
      </c>
      <c r="F3660" s="410">
        <v>42509</v>
      </c>
      <c r="G3660" s="405" t="s">
        <v>22505</v>
      </c>
      <c r="H3660" s="405">
        <v>777292116</v>
      </c>
      <c r="I3660" s="405"/>
      <c r="J3660" s="405">
        <v>0.107</v>
      </c>
      <c r="K3660" s="405">
        <v>30.2636</v>
      </c>
      <c r="L3660" s="405" t="s">
        <v>590</v>
      </c>
      <c r="M3660" s="405" t="s">
        <v>19720</v>
      </c>
      <c r="N3660" s="405" t="s">
        <v>7352</v>
      </c>
      <c r="O3660" s="405" t="s">
        <v>19720</v>
      </c>
      <c r="P3660" s="405" t="s">
        <v>22420</v>
      </c>
      <c r="Q3660" s="411">
        <v>6</v>
      </c>
      <c r="R3660" s="405" t="s">
        <v>6013</v>
      </c>
      <c r="S3660" s="405" t="s">
        <v>27181</v>
      </c>
      <c r="T3660" s="405" t="s">
        <v>32746</v>
      </c>
      <c r="U3660" s="405" t="s">
        <v>2267</v>
      </c>
    </row>
    <row r="3661" spans="1:21" x14ac:dyDescent="0.25">
      <c r="A3661" s="405" t="s">
        <v>310</v>
      </c>
      <c r="B3661" s="405" t="s">
        <v>22491</v>
      </c>
      <c r="C3661" s="405" t="s">
        <v>327</v>
      </c>
      <c r="D3661" s="405"/>
      <c r="E3661" s="410">
        <v>42464</v>
      </c>
      <c r="F3661" s="410">
        <v>42509</v>
      </c>
      <c r="G3661" s="405" t="s">
        <v>22492</v>
      </c>
      <c r="H3661" s="405">
        <v>775400988</v>
      </c>
      <c r="I3661" s="405"/>
      <c r="J3661" s="405">
        <v>0.19162399999999999</v>
      </c>
      <c r="K3661" s="405">
        <v>30.373340200000001</v>
      </c>
      <c r="L3661" s="405" t="s">
        <v>590</v>
      </c>
      <c r="M3661" s="405" t="s">
        <v>19720</v>
      </c>
      <c r="N3661" s="405" t="s">
        <v>22346</v>
      </c>
      <c r="O3661" s="405" t="s">
        <v>19722</v>
      </c>
      <c r="P3661" s="405" t="s">
        <v>22380</v>
      </c>
      <c r="Q3661" s="411">
        <v>6</v>
      </c>
      <c r="R3661" s="405" t="s">
        <v>6013</v>
      </c>
      <c r="S3661" s="405" t="s">
        <v>27275</v>
      </c>
      <c r="T3661" s="405" t="s">
        <v>32746</v>
      </c>
      <c r="U3661" s="405" t="s">
        <v>2267</v>
      </c>
    </row>
    <row r="3662" spans="1:21" x14ac:dyDescent="0.25">
      <c r="A3662" s="405" t="s">
        <v>310</v>
      </c>
      <c r="B3662" s="405" t="s">
        <v>15095</v>
      </c>
      <c r="C3662" s="405" t="s">
        <v>327</v>
      </c>
      <c r="D3662" s="405"/>
      <c r="E3662" s="410">
        <v>42462</v>
      </c>
      <c r="F3662" s="410">
        <v>42507</v>
      </c>
      <c r="G3662" s="405" t="s">
        <v>15096</v>
      </c>
      <c r="H3662" s="405">
        <v>392176788</v>
      </c>
      <c r="I3662" s="405"/>
      <c r="J3662" s="405">
        <v>0.60418400000000005</v>
      </c>
      <c r="K3662" s="405">
        <v>33.603833999999999</v>
      </c>
      <c r="L3662" s="405" t="s">
        <v>6866</v>
      </c>
      <c r="M3662" s="405" t="s">
        <v>10853</v>
      </c>
      <c r="N3662" s="405" t="s">
        <v>15097</v>
      </c>
      <c r="O3662" s="405" t="s">
        <v>15098</v>
      </c>
      <c r="P3662" s="405" t="s">
        <v>15099</v>
      </c>
      <c r="Q3662" s="411">
        <v>13</v>
      </c>
      <c r="R3662" s="405" t="s">
        <v>5336</v>
      </c>
      <c r="S3662" s="405" t="s">
        <v>27054</v>
      </c>
      <c r="T3662" s="405" t="s">
        <v>32746</v>
      </c>
      <c r="U3662" s="405" t="s">
        <v>2267</v>
      </c>
    </row>
    <row r="3663" spans="1:21" x14ac:dyDescent="0.25">
      <c r="A3663" s="405" t="s">
        <v>310</v>
      </c>
      <c r="B3663" s="405" t="s">
        <v>27536</v>
      </c>
      <c r="C3663" s="405" t="s">
        <v>327</v>
      </c>
      <c r="D3663" s="405"/>
      <c r="E3663" s="410">
        <v>42462</v>
      </c>
      <c r="F3663" s="410">
        <v>42507</v>
      </c>
      <c r="G3663" s="405" t="s">
        <v>22447</v>
      </c>
      <c r="H3663" s="405">
        <v>774378726</v>
      </c>
      <c r="I3663" s="405">
        <v>772653144</v>
      </c>
      <c r="J3663" s="405">
        <v>0.99071699999999996</v>
      </c>
      <c r="K3663" s="405">
        <v>30.865041999999999</v>
      </c>
      <c r="L3663" s="405" t="s">
        <v>590</v>
      </c>
      <c r="M3663" s="405" t="s">
        <v>1851</v>
      </c>
      <c r="N3663" s="405" t="s">
        <v>20804</v>
      </c>
      <c r="O3663" s="405" t="s">
        <v>22448</v>
      </c>
      <c r="P3663" s="405" t="s">
        <v>22449</v>
      </c>
      <c r="Q3663" s="411">
        <v>6</v>
      </c>
      <c r="R3663" s="405" t="s">
        <v>6397</v>
      </c>
      <c r="S3663" s="405" t="s">
        <v>22880</v>
      </c>
      <c r="T3663" s="405" t="s">
        <v>32746</v>
      </c>
      <c r="U3663" s="405" t="s">
        <v>2267</v>
      </c>
    </row>
    <row r="3664" spans="1:21" x14ac:dyDescent="0.25">
      <c r="A3664" s="405" t="s">
        <v>310</v>
      </c>
      <c r="B3664" s="405" t="s">
        <v>6660</v>
      </c>
      <c r="C3664" s="405" t="s">
        <v>311</v>
      </c>
      <c r="D3664" s="405" t="s">
        <v>1789</v>
      </c>
      <c r="E3664" s="410">
        <v>42462</v>
      </c>
      <c r="F3664" s="410">
        <v>42507</v>
      </c>
      <c r="G3664" s="405" t="s">
        <v>6661</v>
      </c>
      <c r="H3664" s="405">
        <v>753042722</v>
      </c>
      <c r="I3664" s="405">
        <v>755000803</v>
      </c>
      <c r="J3664" s="405">
        <v>0.629</v>
      </c>
      <c r="K3664" s="405">
        <v>34.616999999999997</v>
      </c>
      <c r="L3664" s="405" t="s">
        <v>314</v>
      </c>
      <c r="M3664" s="405" t="s">
        <v>321</v>
      </c>
      <c r="N3664" s="405" t="s">
        <v>1244</v>
      </c>
      <c r="O3664" s="405" t="s">
        <v>5509</v>
      </c>
      <c r="P3664" s="405" t="s">
        <v>6662</v>
      </c>
      <c r="Q3664" s="411">
        <v>6</v>
      </c>
      <c r="R3664" s="405" t="s">
        <v>32101</v>
      </c>
      <c r="S3664" s="405" t="s">
        <v>414</v>
      </c>
      <c r="T3664" s="405" t="s">
        <v>32746</v>
      </c>
      <c r="U3664" s="405" t="s">
        <v>2267</v>
      </c>
    </row>
    <row r="3665" spans="1:21" x14ac:dyDescent="0.25">
      <c r="A3665" s="405" t="s">
        <v>310</v>
      </c>
      <c r="B3665" s="405" t="s">
        <v>27955</v>
      </c>
      <c r="C3665" s="405" t="s">
        <v>327</v>
      </c>
      <c r="D3665" s="405"/>
      <c r="E3665" s="410">
        <v>42461</v>
      </c>
      <c r="F3665" s="410">
        <v>42506</v>
      </c>
      <c r="G3665" s="405" t="s">
        <v>22452</v>
      </c>
      <c r="H3665" s="405">
        <v>775839358</v>
      </c>
      <c r="I3665" s="405"/>
      <c r="J3665" s="405">
        <v>0.14299999999999999</v>
      </c>
      <c r="K3665" s="405">
        <v>30.382999999999999</v>
      </c>
      <c r="L3665" s="405" t="s">
        <v>590</v>
      </c>
      <c r="M3665" s="405" t="s">
        <v>19720</v>
      </c>
      <c r="N3665" s="405" t="s">
        <v>22346</v>
      </c>
      <c r="O3665" s="405" t="s">
        <v>19722</v>
      </c>
      <c r="P3665" s="405" t="s">
        <v>22453</v>
      </c>
      <c r="Q3665" s="411">
        <v>6</v>
      </c>
      <c r="R3665" s="405" t="s">
        <v>6013</v>
      </c>
      <c r="S3665" s="405" t="s">
        <v>27301</v>
      </c>
      <c r="T3665" s="405" t="s">
        <v>32102</v>
      </c>
      <c r="U3665" s="405" t="s">
        <v>319</v>
      </c>
    </row>
    <row r="3666" spans="1:21" x14ac:dyDescent="0.25">
      <c r="A3666" s="405" t="s">
        <v>310</v>
      </c>
      <c r="B3666" s="405" t="s">
        <v>27729</v>
      </c>
      <c r="C3666" s="405" t="s">
        <v>327</v>
      </c>
      <c r="D3666" s="405"/>
      <c r="E3666" s="410">
        <v>42459</v>
      </c>
      <c r="F3666" s="410">
        <v>42504</v>
      </c>
      <c r="G3666" s="405" t="s">
        <v>22440</v>
      </c>
      <c r="H3666" s="405">
        <v>772581718</v>
      </c>
      <c r="I3666" s="405"/>
      <c r="J3666" s="405">
        <v>0.1424</v>
      </c>
      <c r="K3666" s="405">
        <v>30.263999999999999</v>
      </c>
      <c r="L3666" s="405" t="s">
        <v>590</v>
      </c>
      <c r="M3666" s="405" t="s">
        <v>19720</v>
      </c>
      <c r="N3666" s="405" t="s">
        <v>7352</v>
      </c>
      <c r="O3666" s="405" t="s">
        <v>19720</v>
      </c>
      <c r="P3666" s="405" t="s">
        <v>22441</v>
      </c>
      <c r="Q3666" s="411">
        <v>6</v>
      </c>
      <c r="R3666" s="405" t="s">
        <v>6013</v>
      </c>
      <c r="S3666" s="405" t="s">
        <v>27252</v>
      </c>
      <c r="T3666" s="405" t="s">
        <v>32102</v>
      </c>
      <c r="U3666" s="405" t="s">
        <v>319</v>
      </c>
    </row>
    <row r="3667" spans="1:21" x14ac:dyDescent="0.25">
      <c r="A3667" s="405" t="s">
        <v>310</v>
      </c>
      <c r="B3667" s="405" t="s">
        <v>29111</v>
      </c>
      <c r="C3667" s="405" t="s">
        <v>327</v>
      </c>
      <c r="D3667" s="405"/>
      <c r="E3667" s="410">
        <v>42459</v>
      </c>
      <c r="F3667" s="410">
        <v>42504</v>
      </c>
      <c r="G3667" s="405" t="s">
        <v>15116</v>
      </c>
      <c r="H3667" s="405">
        <v>707725453</v>
      </c>
      <c r="I3667" s="405"/>
      <c r="J3667" s="405">
        <v>0.62795299999999998</v>
      </c>
      <c r="K3667" s="405">
        <v>32.99051</v>
      </c>
      <c r="L3667" s="405" t="s">
        <v>6866</v>
      </c>
      <c r="M3667" s="405" t="s">
        <v>9566</v>
      </c>
      <c r="N3667" s="405" t="s">
        <v>10001</v>
      </c>
      <c r="O3667" s="405" t="s">
        <v>9932</v>
      </c>
      <c r="P3667" s="405" t="s">
        <v>11172</v>
      </c>
      <c r="Q3667" s="411">
        <v>6</v>
      </c>
      <c r="R3667" s="405" t="s">
        <v>5655</v>
      </c>
      <c r="S3667" s="405" t="s">
        <v>27355</v>
      </c>
      <c r="T3667" s="405" t="s">
        <v>32102</v>
      </c>
      <c r="U3667" s="405" t="s">
        <v>319</v>
      </c>
    </row>
    <row r="3668" spans="1:21" x14ac:dyDescent="0.25">
      <c r="A3668" s="405" t="s">
        <v>310</v>
      </c>
      <c r="B3668" s="405" t="s">
        <v>22459</v>
      </c>
      <c r="C3668" s="405" t="s">
        <v>327</v>
      </c>
      <c r="D3668" s="405"/>
      <c r="E3668" s="410">
        <v>42459</v>
      </c>
      <c r="F3668" s="410">
        <v>42504</v>
      </c>
      <c r="G3668" s="405" t="s">
        <v>22460</v>
      </c>
      <c r="H3668" s="405">
        <v>787433136</v>
      </c>
      <c r="I3668" s="405"/>
      <c r="J3668" s="405">
        <v>0.22811767999999999</v>
      </c>
      <c r="K3668" s="405">
        <v>30.626251</v>
      </c>
      <c r="L3668" s="405" t="s">
        <v>590</v>
      </c>
      <c r="M3668" s="405" t="s">
        <v>19720</v>
      </c>
      <c r="N3668" s="405" t="s">
        <v>22346</v>
      </c>
      <c r="O3668" s="405" t="s">
        <v>19722</v>
      </c>
      <c r="P3668" s="405" t="s">
        <v>19797</v>
      </c>
      <c r="Q3668" s="411">
        <v>6</v>
      </c>
      <c r="R3668" s="405" t="s">
        <v>6013</v>
      </c>
      <c r="S3668" s="405" t="s">
        <v>27422</v>
      </c>
      <c r="T3668" s="405" t="s">
        <v>32102</v>
      </c>
      <c r="U3668" s="405" t="s">
        <v>319</v>
      </c>
    </row>
    <row r="3669" spans="1:21" x14ac:dyDescent="0.25">
      <c r="A3669" s="405" t="s">
        <v>310</v>
      </c>
      <c r="B3669" s="405" t="s">
        <v>22474</v>
      </c>
      <c r="C3669" s="405" t="s">
        <v>327</v>
      </c>
      <c r="D3669" s="405"/>
      <c r="E3669" s="410">
        <v>42459</v>
      </c>
      <c r="F3669" s="410">
        <v>42504</v>
      </c>
      <c r="G3669" s="405" t="s">
        <v>22475</v>
      </c>
      <c r="H3669" s="405">
        <v>772933513</v>
      </c>
      <c r="I3669" s="405"/>
      <c r="J3669" s="405">
        <v>0.32822699999999999</v>
      </c>
      <c r="K3669" s="405">
        <v>30.430467</v>
      </c>
      <c r="L3669" s="405" t="s">
        <v>590</v>
      </c>
      <c r="M3669" s="405" t="s">
        <v>19720</v>
      </c>
      <c r="N3669" s="405" t="s">
        <v>7352</v>
      </c>
      <c r="O3669" s="405" t="s">
        <v>21940</v>
      </c>
      <c r="P3669" s="405" t="s">
        <v>22476</v>
      </c>
      <c r="Q3669" s="411">
        <v>6</v>
      </c>
      <c r="R3669" s="405" t="s">
        <v>6013</v>
      </c>
      <c r="S3669" s="405" t="s">
        <v>27154</v>
      </c>
      <c r="T3669" s="405" t="s">
        <v>32746</v>
      </c>
      <c r="U3669" s="405" t="s">
        <v>2267</v>
      </c>
    </row>
    <row r="3670" spans="1:21" x14ac:dyDescent="0.25">
      <c r="A3670" s="405" t="s">
        <v>310</v>
      </c>
      <c r="B3670" s="405" t="s">
        <v>27820</v>
      </c>
      <c r="C3670" s="405" t="s">
        <v>327</v>
      </c>
      <c r="D3670" s="405"/>
      <c r="E3670" s="410">
        <v>42459</v>
      </c>
      <c r="F3670" s="410">
        <v>42504</v>
      </c>
      <c r="G3670" s="405" t="s">
        <v>15107</v>
      </c>
      <c r="H3670" s="405">
        <v>774907797</v>
      </c>
      <c r="I3670" s="405"/>
      <c r="J3670" s="405">
        <v>0.48690800000000001</v>
      </c>
      <c r="K3670" s="405">
        <v>33.632097000000002</v>
      </c>
      <c r="L3670" s="405" t="s">
        <v>6866</v>
      </c>
      <c r="M3670" s="405" t="s">
        <v>13470</v>
      </c>
      <c r="N3670" s="405" t="s">
        <v>13471</v>
      </c>
      <c r="O3670" s="405" t="s">
        <v>14315</v>
      </c>
      <c r="P3670" s="405" t="s">
        <v>15108</v>
      </c>
      <c r="Q3670" s="411">
        <v>6</v>
      </c>
      <c r="R3670" s="405" t="s">
        <v>5655</v>
      </c>
      <c r="S3670" s="405" t="s">
        <v>27351</v>
      </c>
      <c r="T3670" s="405" t="s">
        <v>32746</v>
      </c>
      <c r="U3670" s="405" t="s">
        <v>2267</v>
      </c>
    </row>
    <row r="3671" spans="1:21" x14ac:dyDescent="0.25">
      <c r="A3671" s="405" t="s">
        <v>310</v>
      </c>
      <c r="B3671" s="405" t="s">
        <v>22488</v>
      </c>
      <c r="C3671" s="405" t="s">
        <v>327</v>
      </c>
      <c r="D3671" s="405"/>
      <c r="E3671" s="410">
        <v>42459</v>
      </c>
      <c r="F3671" s="410">
        <v>42504</v>
      </c>
      <c r="G3671" s="405" t="s">
        <v>22489</v>
      </c>
      <c r="H3671" s="405">
        <v>754001216</v>
      </c>
      <c r="I3671" s="405"/>
      <c r="J3671" s="405">
        <v>0.72799999999999998</v>
      </c>
      <c r="K3671" s="405">
        <v>30.236000000000001</v>
      </c>
      <c r="L3671" s="405" t="s">
        <v>590</v>
      </c>
      <c r="M3671" s="405" t="s">
        <v>19720</v>
      </c>
      <c r="N3671" s="405" t="s">
        <v>20297</v>
      </c>
      <c r="O3671" s="405" t="s">
        <v>22033</v>
      </c>
      <c r="P3671" s="405" t="s">
        <v>22490</v>
      </c>
      <c r="Q3671" s="411">
        <v>6</v>
      </c>
      <c r="R3671" s="405" t="s">
        <v>6013</v>
      </c>
      <c r="S3671" s="405" t="s">
        <v>27275</v>
      </c>
      <c r="T3671" s="405" t="s">
        <v>32746</v>
      </c>
      <c r="U3671" s="405" t="s">
        <v>2267</v>
      </c>
    </row>
    <row r="3672" spans="1:21" x14ac:dyDescent="0.25">
      <c r="A3672" s="405" t="s">
        <v>310</v>
      </c>
      <c r="B3672" s="405" t="s">
        <v>27901</v>
      </c>
      <c r="C3672" s="405" t="s">
        <v>327</v>
      </c>
      <c r="D3672" s="405"/>
      <c r="E3672" s="410">
        <v>42459</v>
      </c>
      <c r="F3672" s="410">
        <v>42504</v>
      </c>
      <c r="G3672" s="405" t="s">
        <v>22716</v>
      </c>
      <c r="H3672" s="405">
        <v>782548433</v>
      </c>
      <c r="I3672" s="405"/>
      <c r="J3672" s="405">
        <v>0.1825</v>
      </c>
      <c r="K3672" s="405">
        <v>30.255500000000001</v>
      </c>
      <c r="L3672" s="405" t="s">
        <v>590</v>
      </c>
      <c r="M3672" s="405" t="s">
        <v>19720</v>
      </c>
      <c r="N3672" s="405" t="s">
        <v>7352</v>
      </c>
      <c r="O3672" s="405" t="s">
        <v>21940</v>
      </c>
      <c r="P3672" s="405" t="s">
        <v>22717</v>
      </c>
      <c r="Q3672" s="411">
        <v>6</v>
      </c>
      <c r="R3672" s="405" t="s">
        <v>6013</v>
      </c>
      <c r="S3672" s="405" t="s">
        <v>27181</v>
      </c>
      <c r="T3672" s="405" t="s">
        <v>32746</v>
      </c>
      <c r="U3672" s="405" t="s">
        <v>2267</v>
      </c>
    </row>
    <row r="3673" spans="1:21" x14ac:dyDescent="0.25">
      <c r="A3673" s="405" t="s">
        <v>310</v>
      </c>
      <c r="B3673" s="405" t="s">
        <v>22469</v>
      </c>
      <c r="C3673" s="405" t="s">
        <v>327</v>
      </c>
      <c r="D3673" s="405"/>
      <c r="E3673" s="410">
        <v>42459</v>
      </c>
      <c r="F3673" s="410">
        <v>42504</v>
      </c>
      <c r="G3673" s="405" t="s">
        <v>22470</v>
      </c>
      <c r="H3673" s="405">
        <v>774771650</v>
      </c>
      <c r="I3673" s="405"/>
      <c r="J3673" s="405">
        <v>0.13469999999999999</v>
      </c>
      <c r="K3673" s="405">
        <v>30.3431</v>
      </c>
      <c r="L3673" s="405" t="s">
        <v>590</v>
      </c>
      <c r="M3673" s="405" t="s">
        <v>19720</v>
      </c>
      <c r="N3673" s="405" t="s">
        <v>22346</v>
      </c>
      <c r="O3673" s="405" t="s">
        <v>11792</v>
      </c>
      <c r="P3673" s="405" t="s">
        <v>22471</v>
      </c>
      <c r="Q3673" s="411">
        <v>6</v>
      </c>
      <c r="R3673" s="405" t="s">
        <v>6013</v>
      </c>
      <c r="S3673" s="405" t="s">
        <v>27205</v>
      </c>
      <c r="T3673" s="405" t="s">
        <v>32746</v>
      </c>
      <c r="U3673" s="405" t="s">
        <v>2267</v>
      </c>
    </row>
    <row r="3674" spans="1:21" x14ac:dyDescent="0.25">
      <c r="A3674" s="405" t="s">
        <v>310</v>
      </c>
      <c r="B3674" s="405" t="s">
        <v>15110</v>
      </c>
      <c r="C3674" s="405" t="s">
        <v>327</v>
      </c>
      <c r="D3674" s="405"/>
      <c r="E3674" s="410">
        <v>42459</v>
      </c>
      <c r="F3674" s="410">
        <v>42504</v>
      </c>
      <c r="G3674" s="405" t="s">
        <v>15111</v>
      </c>
      <c r="H3674" s="405">
        <v>777250850</v>
      </c>
      <c r="I3674" s="405"/>
      <c r="J3674" s="405">
        <v>0.48644999999999999</v>
      </c>
      <c r="K3674" s="405">
        <v>33.690322000000002</v>
      </c>
      <c r="L3674" s="405" t="s">
        <v>6866</v>
      </c>
      <c r="M3674" s="405" t="s">
        <v>13470</v>
      </c>
      <c r="N3674" s="405" t="s">
        <v>15112</v>
      </c>
      <c r="O3674" s="405" t="s">
        <v>14315</v>
      </c>
      <c r="P3674" s="405" t="s">
        <v>15113</v>
      </c>
      <c r="Q3674" s="411">
        <v>6</v>
      </c>
      <c r="R3674" s="405" t="s">
        <v>5655</v>
      </c>
      <c r="S3674" s="405" t="s">
        <v>27337</v>
      </c>
      <c r="T3674" s="405" t="s">
        <v>32746</v>
      </c>
      <c r="U3674" s="405" t="s">
        <v>2267</v>
      </c>
    </row>
    <row r="3675" spans="1:21" x14ac:dyDescent="0.25">
      <c r="A3675" s="405" t="s">
        <v>310</v>
      </c>
      <c r="B3675" s="405" t="s">
        <v>15091</v>
      </c>
      <c r="C3675" s="405" t="s">
        <v>327</v>
      </c>
      <c r="D3675" s="405"/>
      <c r="E3675" s="410">
        <v>42459</v>
      </c>
      <c r="F3675" s="410">
        <v>42504</v>
      </c>
      <c r="G3675" s="405" t="s">
        <v>15092</v>
      </c>
      <c r="H3675" s="405">
        <v>701611982</v>
      </c>
      <c r="I3675" s="405"/>
      <c r="J3675" s="405">
        <v>0.44281599999999999</v>
      </c>
      <c r="K3675" s="405">
        <v>33.197167999999998</v>
      </c>
      <c r="L3675" s="405" t="s">
        <v>6866</v>
      </c>
      <c r="M3675" s="405" t="s">
        <v>9590</v>
      </c>
      <c r="N3675" s="405" t="s">
        <v>10716</v>
      </c>
      <c r="O3675" s="405" t="s">
        <v>15093</v>
      </c>
      <c r="P3675" s="405" t="s">
        <v>15094</v>
      </c>
      <c r="Q3675" s="411">
        <v>6</v>
      </c>
      <c r="R3675" s="405" t="s">
        <v>5336</v>
      </c>
      <c r="S3675" s="405" t="s">
        <v>6822</v>
      </c>
      <c r="T3675" s="405" t="s">
        <v>32746</v>
      </c>
      <c r="U3675" s="405" t="s">
        <v>2267</v>
      </c>
    </row>
    <row r="3676" spans="1:21" x14ac:dyDescent="0.25">
      <c r="A3676" s="405" t="s">
        <v>310</v>
      </c>
      <c r="B3676" s="405" t="s">
        <v>6017</v>
      </c>
      <c r="C3676" s="405" t="s">
        <v>327</v>
      </c>
      <c r="D3676" s="405"/>
      <c r="E3676" s="410">
        <v>42458</v>
      </c>
      <c r="F3676" s="410">
        <v>42503</v>
      </c>
      <c r="G3676" s="405" t="s">
        <v>6018</v>
      </c>
      <c r="H3676" s="405">
        <v>772589211</v>
      </c>
      <c r="I3676" s="405"/>
      <c r="J3676" s="405">
        <v>0.43250499999999997</v>
      </c>
      <c r="K3676" s="405">
        <v>32.573154000000002</v>
      </c>
      <c r="L3676" s="405" t="s">
        <v>314</v>
      </c>
      <c r="M3676" s="405" t="s">
        <v>361</v>
      </c>
      <c r="N3676" s="405" t="s">
        <v>362</v>
      </c>
      <c r="O3676" s="405" t="s">
        <v>410</v>
      </c>
      <c r="P3676" s="405" t="s">
        <v>1236</v>
      </c>
      <c r="Q3676" s="411">
        <v>9</v>
      </c>
      <c r="R3676" s="405" t="s">
        <v>5903</v>
      </c>
      <c r="S3676" s="405" t="s">
        <v>27153</v>
      </c>
      <c r="T3676" s="405" t="s">
        <v>32746</v>
      </c>
      <c r="U3676" s="405" t="s">
        <v>2267</v>
      </c>
    </row>
    <row r="3677" spans="1:21" x14ac:dyDescent="0.25">
      <c r="A3677" s="405" t="s">
        <v>310</v>
      </c>
      <c r="B3677" s="405" t="s">
        <v>6646</v>
      </c>
      <c r="C3677" s="405" t="s">
        <v>311</v>
      </c>
      <c r="D3677" s="405" t="s">
        <v>2127</v>
      </c>
      <c r="E3677" s="410">
        <v>42458</v>
      </c>
      <c r="F3677" s="410">
        <v>42503</v>
      </c>
      <c r="G3677" s="405" t="s">
        <v>6647</v>
      </c>
      <c r="H3677" s="405">
        <v>772589211</v>
      </c>
      <c r="I3677" s="405"/>
      <c r="J3677" s="405">
        <v>0.253</v>
      </c>
      <c r="K3677" s="405">
        <v>32.347999999999999</v>
      </c>
      <c r="L3677" s="405" t="s">
        <v>314</v>
      </c>
      <c r="M3677" s="405" t="s">
        <v>361</v>
      </c>
      <c r="N3677" s="405" t="s">
        <v>362</v>
      </c>
      <c r="O3677" s="405" t="s">
        <v>410</v>
      </c>
      <c r="P3677" s="405" t="s">
        <v>1236</v>
      </c>
      <c r="Q3677" s="411">
        <v>9</v>
      </c>
      <c r="R3677" s="405" t="s">
        <v>5903</v>
      </c>
      <c r="S3677" s="405" t="s">
        <v>27153</v>
      </c>
      <c r="T3677" s="405" t="s">
        <v>884</v>
      </c>
      <c r="U3677" s="405" t="s">
        <v>319</v>
      </c>
    </row>
    <row r="3678" spans="1:21" x14ac:dyDescent="0.25">
      <c r="A3678" s="405" t="s">
        <v>310</v>
      </c>
      <c r="B3678" s="405" t="s">
        <v>28058</v>
      </c>
      <c r="C3678" s="405" t="s">
        <v>327</v>
      </c>
      <c r="D3678" s="405"/>
      <c r="E3678" s="410">
        <v>42458</v>
      </c>
      <c r="F3678" s="410">
        <v>42497</v>
      </c>
      <c r="G3678" s="405" t="s">
        <v>15114</v>
      </c>
      <c r="H3678" s="405">
        <v>784969173</v>
      </c>
      <c r="I3678" s="405"/>
      <c r="J3678" s="405">
        <v>0.3019</v>
      </c>
      <c r="K3678" s="405">
        <v>33.430999999999997</v>
      </c>
      <c r="L3678" s="405" t="s">
        <v>6866</v>
      </c>
      <c r="M3678" s="405" t="s">
        <v>13470</v>
      </c>
      <c r="N3678" s="405" t="s">
        <v>13471</v>
      </c>
      <c r="O3678" s="405" t="s">
        <v>14315</v>
      </c>
      <c r="P3678" s="405" t="s">
        <v>15115</v>
      </c>
      <c r="Q3678" s="411">
        <v>6</v>
      </c>
      <c r="R3678" s="405" t="s">
        <v>5655</v>
      </c>
      <c r="S3678" s="405" t="s">
        <v>27353</v>
      </c>
      <c r="T3678" s="405" t="s">
        <v>884</v>
      </c>
      <c r="U3678" s="405" t="s">
        <v>319</v>
      </c>
    </row>
    <row r="3679" spans="1:21" x14ac:dyDescent="0.25">
      <c r="A3679" s="405" t="s">
        <v>310</v>
      </c>
      <c r="B3679" s="405" t="s">
        <v>22433</v>
      </c>
      <c r="C3679" s="405" t="s">
        <v>327</v>
      </c>
      <c r="D3679" s="405"/>
      <c r="E3679" s="410">
        <v>42456</v>
      </c>
      <c r="F3679" s="410">
        <v>42501</v>
      </c>
      <c r="G3679" s="405" t="s">
        <v>22434</v>
      </c>
      <c r="H3679" s="405">
        <v>703834685</v>
      </c>
      <c r="I3679" s="405"/>
      <c r="J3679" s="405">
        <v>0.41560000000000002</v>
      </c>
      <c r="K3679" s="405">
        <v>30.102699999999999</v>
      </c>
      <c r="L3679" s="405" t="s">
        <v>590</v>
      </c>
      <c r="M3679" s="405" t="s">
        <v>19725</v>
      </c>
      <c r="N3679" s="405" t="s">
        <v>19725</v>
      </c>
      <c r="O3679" s="405" t="s">
        <v>20013</v>
      </c>
      <c r="P3679" s="405" t="s">
        <v>22435</v>
      </c>
      <c r="Q3679" s="411">
        <v>9</v>
      </c>
      <c r="R3679" s="405" t="s">
        <v>6572</v>
      </c>
      <c r="S3679" s="405" t="s">
        <v>27166</v>
      </c>
      <c r="T3679" s="405" t="s">
        <v>884</v>
      </c>
      <c r="U3679" s="405" t="s">
        <v>319</v>
      </c>
    </row>
    <row r="3680" spans="1:21" x14ac:dyDescent="0.25">
      <c r="A3680" s="405" t="s">
        <v>310</v>
      </c>
      <c r="B3680" s="405" t="s">
        <v>22526</v>
      </c>
      <c r="C3680" s="405" t="s">
        <v>327</v>
      </c>
      <c r="D3680" s="405"/>
      <c r="E3680" s="410">
        <v>42456</v>
      </c>
      <c r="F3680" s="410">
        <v>42501</v>
      </c>
      <c r="G3680" s="405" t="s">
        <v>22527</v>
      </c>
      <c r="H3680" s="405">
        <v>783377831</v>
      </c>
      <c r="I3680" s="405"/>
      <c r="J3680" s="405">
        <v>0.59</v>
      </c>
      <c r="K3680" s="405">
        <v>30.245100000000001</v>
      </c>
      <c r="L3680" s="405" t="s">
        <v>590</v>
      </c>
      <c r="M3680" s="405" t="s">
        <v>19720</v>
      </c>
      <c r="N3680" s="405" t="s">
        <v>20297</v>
      </c>
      <c r="O3680" s="405" t="s">
        <v>20439</v>
      </c>
      <c r="P3680" s="405" t="s">
        <v>22528</v>
      </c>
      <c r="Q3680" s="411">
        <v>6</v>
      </c>
      <c r="R3680" s="405" t="s">
        <v>6013</v>
      </c>
      <c r="S3680" s="405" t="s">
        <v>27301</v>
      </c>
      <c r="T3680" s="405" t="s">
        <v>884</v>
      </c>
      <c r="U3680" s="405" t="s">
        <v>319</v>
      </c>
    </row>
    <row r="3681" spans="1:21" x14ac:dyDescent="0.25">
      <c r="A3681" s="405" t="s">
        <v>310</v>
      </c>
      <c r="B3681" s="405" t="s">
        <v>6118</v>
      </c>
      <c r="C3681" s="405" t="s">
        <v>327</v>
      </c>
      <c r="D3681" s="405"/>
      <c r="E3681" s="410">
        <v>42455</v>
      </c>
      <c r="F3681" s="410">
        <v>42628</v>
      </c>
      <c r="G3681" s="405" t="s">
        <v>6119</v>
      </c>
      <c r="H3681" s="405">
        <v>757992713</v>
      </c>
      <c r="I3681" s="405"/>
      <c r="J3681" s="405">
        <v>0.85</v>
      </c>
      <c r="K3681" s="405">
        <v>31.344000000000001</v>
      </c>
      <c r="L3681" s="405" t="s">
        <v>314</v>
      </c>
      <c r="M3681" s="405" t="s">
        <v>1080</v>
      </c>
      <c r="N3681" s="405" t="s">
        <v>5799</v>
      </c>
      <c r="O3681" s="405" t="s">
        <v>6120</v>
      </c>
      <c r="P3681" s="405" t="s">
        <v>6120</v>
      </c>
      <c r="Q3681" s="411">
        <v>6</v>
      </c>
      <c r="R3681" s="405" t="s">
        <v>402</v>
      </c>
      <c r="S3681" s="405" t="s">
        <v>27181</v>
      </c>
      <c r="T3681" s="405" t="s">
        <v>6551</v>
      </c>
      <c r="U3681" s="405" t="s">
        <v>2267</v>
      </c>
    </row>
    <row r="3682" spans="1:21" x14ac:dyDescent="0.25">
      <c r="A3682" s="405" t="s">
        <v>310</v>
      </c>
      <c r="B3682" s="405" t="s">
        <v>28975</v>
      </c>
      <c r="C3682" s="405" t="s">
        <v>311</v>
      </c>
      <c r="D3682" s="405" t="s">
        <v>312</v>
      </c>
      <c r="E3682" s="410">
        <v>42455</v>
      </c>
      <c r="F3682" s="410">
        <v>42500</v>
      </c>
      <c r="G3682" s="405" t="s">
        <v>22656</v>
      </c>
      <c r="H3682" s="405">
        <v>779927583</v>
      </c>
      <c r="I3682" s="405"/>
      <c r="J3682" s="405">
        <v>0.626</v>
      </c>
      <c r="K3682" s="405">
        <v>30.215499999999999</v>
      </c>
      <c r="L3682" s="405" t="s">
        <v>590</v>
      </c>
      <c r="M3682" s="405" t="s">
        <v>19720</v>
      </c>
      <c r="N3682" s="405" t="s">
        <v>20297</v>
      </c>
      <c r="O3682" s="405" t="s">
        <v>22033</v>
      </c>
      <c r="P3682" s="405" t="s">
        <v>22657</v>
      </c>
      <c r="Q3682" s="411">
        <v>6</v>
      </c>
      <c r="R3682" s="405" t="s">
        <v>6013</v>
      </c>
      <c r="S3682" s="405" t="s">
        <v>27275</v>
      </c>
      <c r="T3682" s="405" t="s">
        <v>884</v>
      </c>
      <c r="U3682" s="405" t="s">
        <v>319</v>
      </c>
    </row>
    <row r="3683" spans="1:21" x14ac:dyDescent="0.25">
      <c r="A3683" s="405" t="s">
        <v>310</v>
      </c>
      <c r="B3683" s="405" t="s">
        <v>27867</v>
      </c>
      <c r="C3683" s="405" t="s">
        <v>311</v>
      </c>
      <c r="D3683" s="405" t="s">
        <v>1789</v>
      </c>
      <c r="E3683" s="410">
        <v>42454</v>
      </c>
      <c r="F3683" s="410">
        <v>42499</v>
      </c>
      <c r="G3683" s="405" t="s">
        <v>6668</v>
      </c>
      <c r="H3683" s="405">
        <v>772404029</v>
      </c>
      <c r="I3683" s="405"/>
      <c r="J3683" s="405">
        <v>0.55399299999999996</v>
      </c>
      <c r="K3683" s="405">
        <v>32.625188000000001</v>
      </c>
      <c r="L3683" s="405" t="s">
        <v>314</v>
      </c>
      <c r="M3683" s="405" t="s">
        <v>361</v>
      </c>
      <c r="N3683" s="405" t="s">
        <v>3606</v>
      </c>
      <c r="O3683" s="405" t="s">
        <v>3606</v>
      </c>
      <c r="P3683" s="405" t="s">
        <v>6669</v>
      </c>
      <c r="Q3683" s="411">
        <v>9</v>
      </c>
      <c r="R3683" s="405" t="s">
        <v>6013</v>
      </c>
      <c r="S3683" s="405" t="s">
        <v>27252</v>
      </c>
      <c r="T3683" s="405" t="s">
        <v>884</v>
      </c>
      <c r="U3683" s="405" t="s">
        <v>319</v>
      </c>
    </row>
    <row r="3684" spans="1:21" x14ac:dyDescent="0.25">
      <c r="A3684" s="405" t="s">
        <v>310</v>
      </c>
      <c r="B3684" s="413" t="s">
        <v>22682</v>
      </c>
      <c r="C3684" s="413" t="s">
        <v>311</v>
      </c>
      <c r="D3684" s="412" t="s">
        <v>33061</v>
      </c>
      <c r="E3684" s="418">
        <v>42454</v>
      </c>
      <c r="F3684" s="418">
        <v>42499</v>
      </c>
      <c r="G3684" s="413" t="s">
        <v>22683</v>
      </c>
      <c r="H3684" s="405">
        <v>782948603</v>
      </c>
      <c r="I3684" s="405">
        <v>775840383</v>
      </c>
      <c r="J3684" s="405">
        <v>0.91100000000000003</v>
      </c>
      <c r="K3684" s="405">
        <v>30.25</v>
      </c>
      <c r="L3684" s="405" t="s">
        <v>590</v>
      </c>
      <c r="M3684" s="405" t="s">
        <v>19720</v>
      </c>
      <c r="N3684" s="405" t="s">
        <v>20297</v>
      </c>
      <c r="O3684" s="405" t="s">
        <v>22056</v>
      </c>
      <c r="P3684" s="405" t="s">
        <v>22684</v>
      </c>
      <c r="Q3684" s="411">
        <v>6</v>
      </c>
      <c r="R3684" s="405" t="s">
        <v>6013</v>
      </c>
      <c r="S3684" s="405" t="s">
        <v>27154</v>
      </c>
      <c r="T3684" s="405" t="s">
        <v>884</v>
      </c>
      <c r="U3684" s="405" t="s">
        <v>319</v>
      </c>
    </row>
    <row r="3685" spans="1:21" x14ac:dyDescent="0.25">
      <c r="A3685" s="405" t="s">
        <v>310</v>
      </c>
      <c r="B3685" s="405" t="s">
        <v>22486</v>
      </c>
      <c r="C3685" s="405" t="s">
        <v>327</v>
      </c>
      <c r="D3685" s="405"/>
      <c r="E3685" s="410">
        <v>42454</v>
      </c>
      <c r="F3685" s="410">
        <v>42499</v>
      </c>
      <c r="G3685" s="405" t="s">
        <v>22487</v>
      </c>
      <c r="H3685" s="405">
        <v>777717674</v>
      </c>
      <c r="I3685" s="405"/>
      <c r="J3685" s="405">
        <v>0.13139999999999999</v>
      </c>
      <c r="K3685" s="405">
        <v>30.382000000000001</v>
      </c>
      <c r="L3685" s="405" t="s">
        <v>590</v>
      </c>
      <c r="M3685" s="405" t="s">
        <v>19720</v>
      </c>
      <c r="N3685" s="405" t="s">
        <v>22346</v>
      </c>
      <c r="O3685" s="405" t="s">
        <v>19722</v>
      </c>
      <c r="P3685" s="405" t="s">
        <v>22485</v>
      </c>
      <c r="Q3685" s="411">
        <v>6</v>
      </c>
      <c r="R3685" s="405" t="s">
        <v>6013</v>
      </c>
      <c r="S3685" s="405" t="s">
        <v>27275</v>
      </c>
      <c r="T3685" s="405" t="s">
        <v>884</v>
      </c>
      <c r="U3685" s="405" t="s">
        <v>319</v>
      </c>
    </row>
    <row r="3686" spans="1:21" x14ac:dyDescent="0.25">
      <c r="A3686" s="405" t="s">
        <v>310</v>
      </c>
      <c r="B3686" s="405" t="s">
        <v>15120</v>
      </c>
      <c r="C3686" s="405" t="s">
        <v>327</v>
      </c>
      <c r="D3686" s="405"/>
      <c r="E3686" s="410">
        <v>42454</v>
      </c>
      <c r="F3686" s="410">
        <v>42499</v>
      </c>
      <c r="G3686" s="405" t="s">
        <v>15121</v>
      </c>
      <c r="H3686" s="405">
        <v>775027315</v>
      </c>
      <c r="I3686" s="405"/>
      <c r="J3686" s="405">
        <v>0.30470000000000003</v>
      </c>
      <c r="K3686" s="405">
        <v>33.412799999999997</v>
      </c>
      <c r="L3686" s="405" t="s">
        <v>6866</v>
      </c>
      <c r="M3686" s="405" t="s">
        <v>13470</v>
      </c>
      <c r="N3686" s="405" t="s">
        <v>15112</v>
      </c>
      <c r="O3686" s="405" t="s">
        <v>14315</v>
      </c>
      <c r="P3686" s="405" t="s">
        <v>15122</v>
      </c>
      <c r="Q3686" s="411">
        <v>6</v>
      </c>
      <c r="R3686" s="405" t="s">
        <v>5655</v>
      </c>
      <c r="S3686" s="405" t="s">
        <v>27072</v>
      </c>
      <c r="T3686" s="405" t="s">
        <v>32102</v>
      </c>
      <c r="U3686" s="405" t="s">
        <v>319</v>
      </c>
    </row>
    <row r="3687" spans="1:21" x14ac:dyDescent="0.25">
      <c r="A3687" s="405" t="s">
        <v>310</v>
      </c>
      <c r="B3687" s="405" t="s">
        <v>22436</v>
      </c>
      <c r="C3687" s="405" t="s">
        <v>327</v>
      </c>
      <c r="D3687" s="405"/>
      <c r="E3687" s="410">
        <v>42454</v>
      </c>
      <c r="F3687" s="410">
        <v>42499</v>
      </c>
      <c r="G3687" s="405" t="s">
        <v>22437</v>
      </c>
      <c r="H3687" s="405">
        <v>752908747</v>
      </c>
      <c r="I3687" s="405"/>
      <c r="J3687" s="405" t="s">
        <v>22438</v>
      </c>
      <c r="K3687" s="405">
        <v>30.273700000000002</v>
      </c>
      <c r="L3687" s="405" t="s">
        <v>590</v>
      </c>
      <c r="M3687" s="405" t="s">
        <v>19720</v>
      </c>
      <c r="N3687" s="405" t="s">
        <v>7352</v>
      </c>
      <c r="O3687" s="405" t="s">
        <v>19720</v>
      </c>
      <c r="P3687" s="405" t="s">
        <v>22439</v>
      </c>
      <c r="Q3687" s="411">
        <v>6</v>
      </c>
      <c r="R3687" s="405" t="s">
        <v>6013</v>
      </c>
      <c r="S3687" s="405" t="s">
        <v>27205</v>
      </c>
      <c r="T3687" s="405" t="s">
        <v>884</v>
      </c>
      <c r="U3687" s="405" t="s">
        <v>319</v>
      </c>
    </row>
    <row r="3688" spans="1:21" x14ac:dyDescent="0.25">
      <c r="A3688" s="405" t="s">
        <v>310</v>
      </c>
      <c r="B3688" s="405" t="s">
        <v>28621</v>
      </c>
      <c r="C3688" s="405" t="s">
        <v>327</v>
      </c>
      <c r="D3688" s="405"/>
      <c r="E3688" s="410">
        <v>42454</v>
      </c>
      <c r="F3688" s="410">
        <v>42499</v>
      </c>
      <c r="G3688" s="405" t="s">
        <v>22506</v>
      </c>
      <c r="H3688" s="405">
        <v>772416382</v>
      </c>
      <c r="I3688" s="405"/>
      <c r="J3688" s="405">
        <v>0.10299999999999999</v>
      </c>
      <c r="K3688" s="405">
        <v>30.2636</v>
      </c>
      <c r="L3688" s="405" t="s">
        <v>590</v>
      </c>
      <c r="M3688" s="405" t="s">
        <v>19720</v>
      </c>
      <c r="N3688" s="405" t="s">
        <v>7352</v>
      </c>
      <c r="O3688" s="405" t="s">
        <v>19720</v>
      </c>
      <c r="P3688" s="405" t="s">
        <v>22420</v>
      </c>
      <c r="Q3688" s="411">
        <v>6</v>
      </c>
      <c r="R3688" s="405" t="s">
        <v>6013</v>
      </c>
      <c r="S3688" s="405" t="s">
        <v>27181</v>
      </c>
      <c r="T3688" s="405" t="s">
        <v>884</v>
      </c>
      <c r="U3688" s="405" t="s">
        <v>319</v>
      </c>
    </row>
    <row r="3689" spans="1:21" x14ac:dyDescent="0.25">
      <c r="A3689" s="405" t="s">
        <v>310</v>
      </c>
      <c r="B3689" s="405" t="s">
        <v>22461</v>
      </c>
      <c r="C3689" s="405" t="s">
        <v>327</v>
      </c>
      <c r="D3689" s="405"/>
      <c r="E3689" s="410">
        <v>42454</v>
      </c>
      <c r="F3689" s="410">
        <v>42499</v>
      </c>
      <c r="G3689" s="405" t="s">
        <v>22462</v>
      </c>
      <c r="H3689" s="405">
        <v>776453718</v>
      </c>
      <c r="I3689" s="405"/>
      <c r="J3689" s="405">
        <v>0.188</v>
      </c>
      <c r="K3689" s="405">
        <v>30.2654</v>
      </c>
      <c r="L3689" s="405" t="s">
        <v>590</v>
      </c>
      <c r="M3689" s="405" t="s">
        <v>19720</v>
      </c>
      <c r="N3689" s="405" t="s">
        <v>7352</v>
      </c>
      <c r="O3689" s="405" t="s">
        <v>19720</v>
      </c>
      <c r="P3689" s="405" t="s">
        <v>22420</v>
      </c>
      <c r="Q3689" s="411">
        <v>6</v>
      </c>
      <c r="R3689" s="405" t="s">
        <v>6013</v>
      </c>
      <c r="S3689" s="405" t="s">
        <v>27422</v>
      </c>
      <c r="T3689" s="405" t="s">
        <v>32102</v>
      </c>
      <c r="U3689" s="405" t="s">
        <v>319</v>
      </c>
    </row>
    <row r="3690" spans="1:21" x14ac:dyDescent="0.25">
      <c r="A3690" s="405" t="s">
        <v>310</v>
      </c>
      <c r="B3690" s="405" t="s">
        <v>15484</v>
      </c>
      <c r="C3690" s="405" t="s">
        <v>857</v>
      </c>
      <c r="D3690" s="405" t="s">
        <v>25953</v>
      </c>
      <c r="E3690" s="410">
        <v>42453</v>
      </c>
      <c r="F3690" s="410">
        <v>42498</v>
      </c>
      <c r="G3690" s="405" t="s">
        <v>15485</v>
      </c>
      <c r="H3690" s="405">
        <v>772324975</v>
      </c>
      <c r="I3690" s="405"/>
      <c r="J3690" s="405">
        <v>0.46219320000000003</v>
      </c>
      <c r="K3690" s="405">
        <v>33.667945209999999</v>
      </c>
      <c r="L3690" s="405" t="s">
        <v>6866</v>
      </c>
      <c r="M3690" s="405" t="s">
        <v>13470</v>
      </c>
      <c r="N3690" s="405" t="s">
        <v>13471</v>
      </c>
      <c r="O3690" s="405" t="s">
        <v>14315</v>
      </c>
      <c r="P3690" s="405" t="s">
        <v>15486</v>
      </c>
      <c r="Q3690" s="411">
        <v>6</v>
      </c>
      <c r="R3690" s="405" t="s">
        <v>5655</v>
      </c>
      <c r="S3690" s="405" t="s">
        <v>27346</v>
      </c>
      <c r="T3690" s="405" t="s">
        <v>884</v>
      </c>
      <c r="U3690" s="405" t="s">
        <v>319</v>
      </c>
    </row>
    <row r="3691" spans="1:21" x14ac:dyDescent="0.25">
      <c r="A3691" s="405" t="s">
        <v>310</v>
      </c>
      <c r="B3691" s="405" t="s">
        <v>15123</v>
      </c>
      <c r="C3691" s="405" t="s">
        <v>327</v>
      </c>
      <c r="D3691" s="405"/>
      <c r="E3691" s="410">
        <v>42453</v>
      </c>
      <c r="F3691" s="410">
        <v>42498</v>
      </c>
      <c r="G3691" s="405" t="s">
        <v>15124</v>
      </c>
      <c r="H3691" s="405">
        <v>774178229</v>
      </c>
      <c r="I3691" s="405"/>
      <c r="J3691" s="405">
        <v>0.2913</v>
      </c>
      <c r="K3691" s="405">
        <v>33.412199999999999</v>
      </c>
      <c r="L3691" s="405" t="s">
        <v>6866</v>
      </c>
      <c r="M3691" s="405" t="s">
        <v>13470</v>
      </c>
      <c r="N3691" s="405" t="s">
        <v>15112</v>
      </c>
      <c r="O3691" s="405" t="s">
        <v>14315</v>
      </c>
      <c r="P3691" s="405" t="s">
        <v>15113</v>
      </c>
      <c r="Q3691" s="411">
        <v>6</v>
      </c>
      <c r="R3691" s="405" t="s">
        <v>5655</v>
      </c>
      <c r="S3691" s="405" t="s">
        <v>27346</v>
      </c>
      <c r="T3691" s="405" t="s">
        <v>884</v>
      </c>
      <c r="U3691" s="405" t="s">
        <v>319</v>
      </c>
    </row>
    <row r="3692" spans="1:21" x14ac:dyDescent="0.25">
      <c r="A3692" s="405" t="s">
        <v>310</v>
      </c>
      <c r="B3692" s="405" t="s">
        <v>22445</v>
      </c>
      <c r="C3692" s="405" t="s">
        <v>327</v>
      </c>
      <c r="D3692" s="405"/>
      <c r="E3692" s="410">
        <v>42452</v>
      </c>
      <c r="F3692" s="410">
        <v>42497</v>
      </c>
      <c r="G3692" s="405" t="s">
        <v>22446</v>
      </c>
      <c r="H3692" s="405">
        <v>772454518</v>
      </c>
      <c r="I3692" s="405">
        <v>712454518</v>
      </c>
      <c r="J3692" s="405">
        <v>1.390738</v>
      </c>
      <c r="K3692" s="405">
        <v>34.429847000000002</v>
      </c>
      <c r="L3692" s="405" t="s">
        <v>590</v>
      </c>
      <c r="M3692" s="405" t="s">
        <v>7300</v>
      </c>
      <c r="N3692" s="405" t="s">
        <v>20091</v>
      </c>
      <c r="O3692" s="405" t="s">
        <v>20512</v>
      </c>
      <c r="P3692" s="405" t="s">
        <v>20657</v>
      </c>
      <c r="Q3692" s="411">
        <v>9</v>
      </c>
      <c r="R3692" s="405" t="s">
        <v>6397</v>
      </c>
      <c r="S3692" s="405" t="s">
        <v>22880</v>
      </c>
      <c r="T3692" s="405" t="s">
        <v>884</v>
      </c>
      <c r="U3692" s="405" t="s">
        <v>319</v>
      </c>
    </row>
    <row r="3693" spans="1:21" x14ac:dyDescent="0.25">
      <c r="A3693" s="405" t="s">
        <v>310</v>
      </c>
      <c r="B3693" s="405" t="s">
        <v>15125</v>
      </c>
      <c r="C3693" s="405" t="s">
        <v>327</v>
      </c>
      <c r="D3693" s="405"/>
      <c r="E3693" s="410">
        <v>42452</v>
      </c>
      <c r="F3693" s="410">
        <v>42497</v>
      </c>
      <c r="G3693" s="405" t="s">
        <v>15126</v>
      </c>
      <c r="H3693" s="405">
        <v>778290484</v>
      </c>
      <c r="I3693" s="405"/>
      <c r="J3693" s="405">
        <v>0.30509999999999998</v>
      </c>
      <c r="K3693" s="405">
        <v>33.421900000000001</v>
      </c>
      <c r="L3693" s="405" t="s">
        <v>6866</v>
      </c>
      <c r="M3693" s="405" t="s">
        <v>13470</v>
      </c>
      <c r="N3693" s="405" t="s">
        <v>15112</v>
      </c>
      <c r="O3693" s="405" t="s">
        <v>14315</v>
      </c>
      <c r="P3693" s="405" t="s">
        <v>15113</v>
      </c>
      <c r="Q3693" s="411">
        <v>6</v>
      </c>
      <c r="R3693" s="405" t="s">
        <v>5655</v>
      </c>
      <c r="S3693" s="405" t="s">
        <v>27337</v>
      </c>
      <c r="T3693" s="405" t="s">
        <v>884</v>
      </c>
      <c r="U3693" s="405" t="s">
        <v>319</v>
      </c>
    </row>
    <row r="3694" spans="1:21" x14ac:dyDescent="0.25">
      <c r="A3694" s="405" t="s">
        <v>310</v>
      </c>
      <c r="B3694" s="405" t="s">
        <v>15117</v>
      </c>
      <c r="C3694" s="405" t="s">
        <v>327</v>
      </c>
      <c r="D3694" s="405"/>
      <c r="E3694" s="410">
        <v>42452</v>
      </c>
      <c r="F3694" s="410">
        <v>42497</v>
      </c>
      <c r="G3694" s="405" t="s">
        <v>15118</v>
      </c>
      <c r="H3694" s="405">
        <v>779373073</v>
      </c>
      <c r="I3694" s="405"/>
      <c r="J3694" s="405">
        <v>0.311</v>
      </c>
      <c r="K3694" s="405">
        <v>33.4223</v>
      </c>
      <c r="L3694" s="405" t="s">
        <v>6866</v>
      </c>
      <c r="M3694" s="405" t="s">
        <v>13470</v>
      </c>
      <c r="N3694" s="405" t="s">
        <v>15112</v>
      </c>
      <c r="O3694" s="405" t="s">
        <v>14315</v>
      </c>
      <c r="P3694" s="405" t="s">
        <v>15119</v>
      </c>
      <c r="Q3694" s="411">
        <v>6</v>
      </c>
      <c r="R3694" s="405" t="s">
        <v>5655</v>
      </c>
      <c r="S3694" s="405" t="s">
        <v>27353</v>
      </c>
      <c r="T3694" s="405" t="s">
        <v>884</v>
      </c>
      <c r="U3694" s="405" t="s">
        <v>319</v>
      </c>
    </row>
    <row r="3695" spans="1:21" x14ac:dyDescent="0.25">
      <c r="A3695" s="405" t="s">
        <v>310</v>
      </c>
      <c r="B3695" s="405" t="s">
        <v>28289</v>
      </c>
      <c r="C3695" s="405" t="s">
        <v>327</v>
      </c>
      <c r="D3695" s="405"/>
      <c r="E3695" s="410">
        <v>42451</v>
      </c>
      <c r="F3695" s="410">
        <v>42496</v>
      </c>
      <c r="G3695" s="405" t="s">
        <v>22444</v>
      </c>
      <c r="H3695" s="405">
        <v>772584479</v>
      </c>
      <c r="I3695" s="405"/>
      <c r="J3695" s="405">
        <v>0.41199999999999998</v>
      </c>
      <c r="K3695" s="405">
        <v>29.533999999999999</v>
      </c>
      <c r="L3695" s="405" t="s">
        <v>590</v>
      </c>
      <c r="M3695" s="405" t="s">
        <v>19619</v>
      </c>
      <c r="N3695" s="405" t="s">
        <v>19793</v>
      </c>
      <c r="O3695" s="405" t="s">
        <v>6395</v>
      </c>
      <c r="P3695" s="405" t="s">
        <v>21148</v>
      </c>
      <c r="Q3695" s="411">
        <v>6</v>
      </c>
      <c r="R3695" s="405" t="s">
        <v>5858</v>
      </c>
      <c r="S3695" s="405" t="s">
        <v>27227</v>
      </c>
      <c r="T3695" s="405" t="s">
        <v>884</v>
      </c>
      <c r="U3695" s="405" t="s">
        <v>319</v>
      </c>
    </row>
    <row r="3696" spans="1:21" x14ac:dyDescent="0.25">
      <c r="A3696" s="405" t="s">
        <v>310</v>
      </c>
      <c r="B3696" s="405" t="s">
        <v>28449</v>
      </c>
      <c r="C3696" s="405" t="s">
        <v>327</v>
      </c>
      <c r="D3696" s="405"/>
      <c r="E3696" s="410">
        <v>42450</v>
      </c>
      <c r="F3696" s="410">
        <v>42495</v>
      </c>
      <c r="G3696" s="405" t="s">
        <v>15109</v>
      </c>
      <c r="H3696" s="405">
        <v>785276615</v>
      </c>
      <c r="I3696" s="405">
        <v>754721991</v>
      </c>
      <c r="J3696" s="405">
        <v>0.29599999999999999</v>
      </c>
      <c r="K3696" s="405">
        <v>33.375500000000002</v>
      </c>
      <c r="L3696" s="405" t="s">
        <v>6866</v>
      </c>
      <c r="M3696" s="405" t="s">
        <v>13470</v>
      </c>
      <c r="N3696" s="405" t="s">
        <v>13471</v>
      </c>
      <c r="O3696" s="405" t="s">
        <v>14315</v>
      </c>
      <c r="P3696" s="405" t="s">
        <v>15108</v>
      </c>
      <c r="Q3696" s="411">
        <v>6</v>
      </c>
      <c r="R3696" s="405" t="s">
        <v>5655</v>
      </c>
      <c r="S3696" s="405" t="s">
        <v>27072</v>
      </c>
      <c r="T3696" s="405" t="s">
        <v>6551</v>
      </c>
      <c r="U3696" s="405" t="s">
        <v>2267</v>
      </c>
    </row>
    <row r="3697" spans="1:21" x14ac:dyDescent="0.25">
      <c r="A3697" s="405" t="s">
        <v>310</v>
      </c>
      <c r="B3697" s="405" t="s">
        <v>28436</v>
      </c>
      <c r="C3697" s="405" t="s">
        <v>311</v>
      </c>
      <c r="D3697" s="405" t="s">
        <v>1111</v>
      </c>
      <c r="E3697" s="410">
        <v>42450</v>
      </c>
      <c r="F3697" s="410">
        <v>42495</v>
      </c>
      <c r="G3697" s="405" t="s">
        <v>15482</v>
      </c>
      <c r="H3697" s="405">
        <v>782389143</v>
      </c>
      <c r="I3697" s="405"/>
      <c r="J3697" s="405">
        <v>1.042592</v>
      </c>
      <c r="K3697" s="405">
        <v>34.187572000000003</v>
      </c>
      <c r="L3697" s="405" t="s">
        <v>6866</v>
      </c>
      <c r="M3697" s="405" t="s">
        <v>9514</v>
      </c>
      <c r="N3697" s="405" t="s">
        <v>9529</v>
      </c>
      <c r="O3697" s="405" t="s">
        <v>12168</v>
      </c>
      <c r="P3697" s="405" t="s">
        <v>15483</v>
      </c>
      <c r="Q3697" s="411">
        <v>4</v>
      </c>
      <c r="R3697" s="405" t="s">
        <v>7224</v>
      </c>
      <c r="S3697" s="405" t="s">
        <v>17062</v>
      </c>
      <c r="T3697" s="405" t="s">
        <v>32102</v>
      </c>
      <c r="U3697" s="405" t="s">
        <v>319</v>
      </c>
    </row>
    <row r="3698" spans="1:21" x14ac:dyDescent="0.25">
      <c r="A3698" s="405" t="s">
        <v>310</v>
      </c>
      <c r="B3698" s="405" t="s">
        <v>27555</v>
      </c>
      <c r="C3698" s="405" t="s">
        <v>327</v>
      </c>
      <c r="D3698" s="405"/>
      <c r="E3698" s="410">
        <v>42449</v>
      </c>
      <c r="F3698" s="410">
        <v>42494</v>
      </c>
      <c r="G3698" s="405" t="s">
        <v>22508</v>
      </c>
      <c r="H3698" s="405">
        <v>703782711</v>
      </c>
      <c r="I3698" s="405">
        <v>775999848</v>
      </c>
      <c r="J3698" s="405">
        <v>-0.87951599999999996</v>
      </c>
      <c r="K3698" s="405">
        <v>30.009985</v>
      </c>
      <c r="L3698" s="405" t="s">
        <v>590</v>
      </c>
      <c r="M3698" s="405" t="s">
        <v>19619</v>
      </c>
      <c r="N3698" s="405" t="s">
        <v>19620</v>
      </c>
      <c r="O3698" s="405" t="s">
        <v>19635</v>
      </c>
      <c r="P3698" s="405" t="s">
        <v>20907</v>
      </c>
      <c r="Q3698" s="411">
        <v>6</v>
      </c>
      <c r="R3698" s="405" t="s">
        <v>6013</v>
      </c>
      <c r="S3698" s="405" t="s">
        <v>27252</v>
      </c>
      <c r="T3698" s="405" t="s">
        <v>884</v>
      </c>
      <c r="U3698" s="405" t="s">
        <v>319</v>
      </c>
    </row>
    <row r="3699" spans="1:21" x14ac:dyDescent="0.25">
      <c r="A3699" s="405" t="s">
        <v>310</v>
      </c>
      <c r="B3699" s="405" t="s">
        <v>27594</v>
      </c>
      <c r="C3699" s="405" t="s">
        <v>327</v>
      </c>
      <c r="D3699" s="405"/>
      <c r="E3699" s="410">
        <v>42449</v>
      </c>
      <c r="F3699" s="410">
        <v>42494</v>
      </c>
      <c r="G3699" s="405" t="s">
        <v>22507</v>
      </c>
      <c r="H3699" s="405">
        <v>392940795</v>
      </c>
      <c r="I3699" s="405"/>
      <c r="J3699" s="405">
        <v>0.18440000000000001</v>
      </c>
      <c r="K3699" s="405">
        <v>30.265599999999999</v>
      </c>
      <c r="L3699" s="405" t="s">
        <v>590</v>
      </c>
      <c r="M3699" s="405" t="s">
        <v>19720</v>
      </c>
      <c r="N3699" s="405" t="s">
        <v>7352</v>
      </c>
      <c r="O3699" s="405" t="s">
        <v>21940</v>
      </c>
      <c r="P3699" s="405" t="s">
        <v>21940</v>
      </c>
      <c r="Q3699" s="411">
        <v>6</v>
      </c>
      <c r="R3699" s="405" t="s">
        <v>6013</v>
      </c>
      <c r="S3699" s="405" t="s">
        <v>27181</v>
      </c>
      <c r="T3699" s="405" t="s">
        <v>884</v>
      </c>
      <c r="U3699" s="405" t="s">
        <v>319</v>
      </c>
    </row>
    <row r="3700" spans="1:21" x14ac:dyDescent="0.25">
      <c r="A3700" s="405" t="s">
        <v>310</v>
      </c>
      <c r="B3700" s="405" t="s">
        <v>22463</v>
      </c>
      <c r="C3700" s="405" t="s">
        <v>327</v>
      </c>
      <c r="D3700" s="405"/>
      <c r="E3700" s="410">
        <v>42449</v>
      </c>
      <c r="F3700" s="410">
        <v>42494</v>
      </c>
      <c r="G3700" s="405" t="s">
        <v>22464</v>
      </c>
      <c r="H3700" s="405">
        <v>772365561</v>
      </c>
      <c r="I3700" s="405"/>
      <c r="J3700" s="405">
        <v>0.13270000000000001</v>
      </c>
      <c r="K3700" s="405">
        <v>30.321999999999999</v>
      </c>
      <c r="L3700" s="405" t="s">
        <v>590</v>
      </c>
      <c r="M3700" s="405" t="s">
        <v>19720</v>
      </c>
      <c r="N3700" s="405" t="s">
        <v>7352</v>
      </c>
      <c r="O3700" s="405" t="s">
        <v>19720</v>
      </c>
      <c r="P3700" s="405" t="s">
        <v>22393</v>
      </c>
      <c r="Q3700" s="411">
        <v>6</v>
      </c>
      <c r="R3700" s="405" t="s">
        <v>6013</v>
      </c>
      <c r="S3700" s="405" t="s">
        <v>27205</v>
      </c>
      <c r="T3700" s="405" t="s">
        <v>884</v>
      </c>
      <c r="U3700" s="405" t="s">
        <v>319</v>
      </c>
    </row>
    <row r="3701" spans="1:21" x14ac:dyDescent="0.25">
      <c r="A3701" s="405" t="s">
        <v>310</v>
      </c>
      <c r="B3701" s="405" t="s">
        <v>22483</v>
      </c>
      <c r="C3701" s="405" t="s">
        <v>327</v>
      </c>
      <c r="D3701" s="405"/>
      <c r="E3701" s="410">
        <v>42449</v>
      </c>
      <c r="F3701" s="410">
        <v>42494</v>
      </c>
      <c r="G3701" s="405" t="s">
        <v>22484</v>
      </c>
      <c r="H3701" s="405">
        <v>777717674</v>
      </c>
      <c r="I3701" s="405"/>
      <c r="J3701" s="405">
        <v>1.052157</v>
      </c>
      <c r="K3701" s="405">
        <v>34.368478000000003</v>
      </c>
      <c r="L3701" s="405" t="s">
        <v>590</v>
      </c>
      <c r="M3701" s="405" t="s">
        <v>19720</v>
      </c>
      <c r="N3701" s="405" t="s">
        <v>22346</v>
      </c>
      <c r="O3701" s="405" t="s">
        <v>19722</v>
      </c>
      <c r="P3701" s="405" t="s">
        <v>22485</v>
      </c>
      <c r="Q3701" s="411">
        <v>6</v>
      </c>
      <c r="R3701" s="405" t="s">
        <v>6013</v>
      </c>
      <c r="S3701" s="405" t="s">
        <v>27275</v>
      </c>
      <c r="T3701" s="405" t="s">
        <v>884</v>
      </c>
      <c r="U3701" s="405" t="s">
        <v>319</v>
      </c>
    </row>
    <row r="3702" spans="1:21" x14ac:dyDescent="0.25">
      <c r="A3702" s="405" t="s">
        <v>310</v>
      </c>
      <c r="B3702" s="405" t="s">
        <v>22677</v>
      </c>
      <c r="C3702" s="405" t="s">
        <v>327</v>
      </c>
      <c r="D3702" s="405"/>
      <c r="E3702" s="410">
        <v>42449</v>
      </c>
      <c r="F3702" s="410">
        <v>42494</v>
      </c>
      <c r="G3702" s="405" t="s">
        <v>22678</v>
      </c>
      <c r="H3702" s="405">
        <v>781827241</v>
      </c>
      <c r="I3702" s="405"/>
      <c r="J3702" s="405">
        <v>0.31024200000000002</v>
      </c>
      <c r="K3702" s="405">
        <v>30.612818000000001</v>
      </c>
      <c r="L3702" s="405" t="s">
        <v>590</v>
      </c>
      <c r="M3702" s="405" t="s">
        <v>19720</v>
      </c>
      <c r="N3702" s="405" t="s">
        <v>22346</v>
      </c>
      <c r="O3702" s="405" t="s">
        <v>11792</v>
      </c>
      <c r="P3702" s="405" t="s">
        <v>22679</v>
      </c>
      <c r="Q3702" s="411">
        <v>6</v>
      </c>
      <c r="R3702" s="405" t="s">
        <v>6013</v>
      </c>
      <c r="S3702" s="405" t="s">
        <v>27205</v>
      </c>
      <c r="T3702" s="405" t="s">
        <v>884</v>
      </c>
      <c r="U3702" s="405" t="s">
        <v>319</v>
      </c>
    </row>
    <row r="3703" spans="1:21" x14ac:dyDescent="0.25">
      <c r="A3703" s="405" t="s">
        <v>310</v>
      </c>
      <c r="B3703" s="405" t="s">
        <v>15498</v>
      </c>
      <c r="C3703" s="405" t="s">
        <v>311</v>
      </c>
      <c r="D3703" s="405" t="s">
        <v>33062</v>
      </c>
      <c r="E3703" s="410">
        <v>42449</v>
      </c>
      <c r="F3703" s="410">
        <v>42494</v>
      </c>
      <c r="G3703" s="405" t="s">
        <v>15499</v>
      </c>
      <c r="H3703" s="405">
        <v>775021265</v>
      </c>
      <c r="I3703" s="405"/>
      <c r="J3703" s="405">
        <v>0.2747</v>
      </c>
      <c r="K3703" s="405">
        <v>33.405700000000003</v>
      </c>
      <c r="L3703" s="405" t="s">
        <v>6866</v>
      </c>
      <c r="M3703" s="405" t="s">
        <v>13470</v>
      </c>
      <c r="N3703" s="405" t="s">
        <v>15155</v>
      </c>
      <c r="O3703" s="405" t="s">
        <v>14315</v>
      </c>
      <c r="P3703" s="405" t="s">
        <v>15223</v>
      </c>
      <c r="Q3703" s="411">
        <v>6</v>
      </c>
      <c r="R3703" s="405" t="s">
        <v>5655</v>
      </c>
      <c r="S3703" s="405" t="s">
        <v>27351</v>
      </c>
      <c r="T3703" s="405" t="s">
        <v>884</v>
      </c>
      <c r="U3703" s="405" t="s">
        <v>319</v>
      </c>
    </row>
    <row r="3704" spans="1:21" x14ac:dyDescent="0.25">
      <c r="A3704" s="405" t="s">
        <v>310</v>
      </c>
      <c r="B3704" s="405" t="s">
        <v>28857</v>
      </c>
      <c r="C3704" s="405" t="s">
        <v>327</v>
      </c>
      <c r="D3704" s="405"/>
      <c r="E3704" s="410">
        <v>42449</v>
      </c>
      <c r="F3704" s="410">
        <v>42494</v>
      </c>
      <c r="G3704" s="405" t="s">
        <v>22472</v>
      </c>
      <c r="H3704" s="405">
        <v>787829593</v>
      </c>
      <c r="I3704" s="405"/>
      <c r="J3704" s="405">
        <v>0.10100000000000001</v>
      </c>
      <c r="K3704" s="405">
        <v>30.2638</v>
      </c>
      <c r="L3704" s="405" t="s">
        <v>590</v>
      </c>
      <c r="M3704" s="405" t="s">
        <v>19720</v>
      </c>
      <c r="N3704" s="405" t="s">
        <v>7352</v>
      </c>
      <c r="O3704" s="405" t="s">
        <v>19720</v>
      </c>
      <c r="P3704" s="405" t="s">
        <v>22473</v>
      </c>
      <c r="Q3704" s="411">
        <v>6</v>
      </c>
      <c r="R3704" s="405" t="s">
        <v>6013</v>
      </c>
      <c r="S3704" s="405" t="s">
        <v>27154</v>
      </c>
      <c r="T3704" s="405" t="s">
        <v>884</v>
      </c>
      <c r="U3704" s="405" t="s">
        <v>319</v>
      </c>
    </row>
    <row r="3705" spans="1:21" x14ac:dyDescent="0.25">
      <c r="A3705" s="405" t="s">
        <v>310</v>
      </c>
      <c r="B3705" s="405" t="s">
        <v>28470</v>
      </c>
      <c r="C3705" s="405" t="s">
        <v>311</v>
      </c>
      <c r="D3705" s="405" t="s">
        <v>33063</v>
      </c>
      <c r="E3705" s="410">
        <v>42447</v>
      </c>
      <c r="F3705" s="410">
        <v>42492</v>
      </c>
      <c r="G3705" s="405" t="s">
        <v>15468</v>
      </c>
      <c r="H3705" s="405">
        <v>777806029</v>
      </c>
      <c r="I3705" s="405">
        <v>753862902</v>
      </c>
      <c r="J3705" s="405">
        <v>0.51319700000000001</v>
      </c>
      <c r="K3705" s="405">
        <v>33.691364999999998</v>
      </c>
      <c r="L3705" s="405" t="s">
        <v>6866</v>
      </c>
      <c r="M3705" s="405" t="s">
        <v>9520</v>
      </c>
      <c r="N3705" s="405" t="s">
        <v>13356</v>
      </c>
      <c r="O3705" s="405" t="s">
        <v>13286</v>
      </c>
      <c r="P3705" s="405" t="s">
        <v>15469</v>
      </c>
      <c r="Q3705" s="411">
        <v>6</v>
      </c>
      <c r="R3705" s="405" t="s">
        <v>5665</v>
      </c>
      <c r="S3705" s="405" t="s">
        <v>27162</v>
      </c>
      <c r="T3705" s="405" t="s">
        <v>865</v>
      </c>
      <c r="U3705" s="405" t="s">
        <v>866</v>
      </c>
    </row>
    <row r="3706" spans="1:21" x14ac:dyDescent="0.25">
      <c r="A3706" s="405" t="s">
        <v>310</v>
      </c>
      <c r="B3706" s="405" t="s">
        <v>6034</v>
      </c>
      <c r="C3706" s="405" t="s">
        <v>327</v>
      </c>
      <c r="D3706" s="405"/>
      <c r="E3706" s="410">
        <v>42447</v>
      </c>
      <c r="F3706" s="410">
        <v>42492</v>
      </c>
      <c r="G3706" s="405" t="s">
        <v>6035</v>
      </c>
      <c r="H3706" s="405">
        <v>752178705</v>
      </c>
      <c r="I3706" s="405"/>
      <c r="J3706" s="405">
        <v>0.27550000000000002</v>
      </c>
      <c r="K3706" s="405">
        <v>32.181199999999997</v>
      </c>
      <c r="L3706" s="405" t="s">
        <v>314</v>
      </c>
      <c r="M3706" s="405" t="s">
        <v>361</v>
      </c>
      <c r="N3706" s="405" t="s">
        <v>5838</v>
      </c>
      <c r="O3706" s="405" t="s">
        <v>662</v>
      </c>
      <c r="P3706" s="405" t="s">
        <v>6036</v>
      </c>
      <c r="Q3706" s="411">
        <v>6</v>
      </c>
      <c r="R3706" s="405" t="s">
        <v>32101</v>
      </c>
      <c r="S3706" s="405" t="s">
        <v>414</v>
      </c>
      <c r="T3706" s="405" t="s">
        <v>884</v>
      </c>
      <c r="U3706" s="405" t="s">
        <v>319</v>
      </c>
    </row>
    <row r="3707" spans="1:21" x14ac:dyDescent="0.25">
      <c r="A3707" s="405" t="s">
        <v>310</v>
      </c>
      <c r="B3707" s="405" t="s">
        <v>6037</v>
      </c>
      <c r="C3707" s="405" t="s">
        <v>327</v>
      </c>
      <c r="D3707" s="405"/>
      <c r="E3707" s="410">
        <v>42447</v>
      </c>
      <c r="F3707" s="410">
        <v>42492</v>
      </c>
      <c r="G3707" s="405" t="s">
        <v>6038</v>
      </c>
      <c r="H3707" s="405">
        <v>789431330</v>
      </c>
      <c r="I3707" s="405"/>
      <c r="J3707" s="405">
        <v>0.31480000000000002</v>
      </c>
      <c r="K3707" s="405">
        <v>32.1648</v>
      </c>
      <c r="L3707" s="405" t="s">
        <v>314</v>
      </c>
      <c r="M3707" s="405" t="s">
        <v>361</v>
      </c>
      <c r="N3707" s="405" t="s">
        <v>5838</v>
      </c>
      <c r="O3707" s="405" t="s">
        <v>662</v>
      </c>
      <c r="P3707" s="405" t="s">
        <v>6039</v>
      </c>
      <c r="Q3707" s="411">
        <v>6</v>
      </c>
      <c r="R3707" s="405" t="s">
        <v>32101</v>
      </c>
      <c r="S3707" s="405" t="s">
        <v>27167</v>
      </c>
      <c r="T3707" s="405" t="s">
        <v>884</v>
      </c>
      <c r="U3707" s="405" t="s">
        <v>319</v>
      </c>
    </row>
    <row r="3708" spans="1:21" x14ac:dyDescent="0.25">
      <c r="A3708" s="405" t="s">
        <v>310</v>
      </c>
      <c r="B3708" s="405" t="s">
        <v>22454</v>
      </c>
      <c r="C3708" s="405" t="s">
        <v>327</v>
      </c>
      <c r="D3708" s="405"/>
      <c r="E3708" s="410">
        <v>42446</v>
      </c>
      <c r="F3708" s="410">
        <v>42491</v>
      </c>
      <c r="G3708" s="405" t="s">
        <v>22455</v>
      </c>
      <c r="H3708" s="405">
        <v>774820340</v>
      </c>
      <c r="I3708" s="405"/>
      <c r="J3708" s="405">
        <v>1.418323</v>
      </c>
      <c r="K3708" s="405">
        <v>31.292983</v>
      </c>
      <c r="L3708" s="405" t="s">
        <v>590</v>
      </c>
      <c r="M3708" s="405" t="s">
        <v>19720</v>
      </c>
      <c r="N3708" s="405" t="s">
        <v>22346</v>
      </c>
      <c r="O3708" s="405" t="s">
        <v>11792</v>
      </c>
      <c r="P3708" s="405" t="s">
        <v>22456</v>
      </c>
      <c r="Q3708" s="411">
        <v>6</v>
      </c>
      <c r="R3708" s="405" t="s">
        <v>6013</v>
      </c>
      <c r="S3708" s="405" t="s">
        <v>27301</v>
      </c>
      <c r="T3708" s="405" t="s">
        <v>884</v>
      </c>
      <c r="U3708" s="405" t="s">
        <v>319</v>
      </c>
    </row>
    <row r="3709" spans="1:21" x14ac:dyDescent="0.25">
      <c r="A3709" s="405" t="s">
        <v>310</v>
      </c>
      <c r="B3709" s="405" t="s">
        <v>28771</v>
      </c>
      <c r="C3709" s="405" t="s">
        <v>327</v>
      </c>
      <c r="D3709" s="405"/>
      <c r="E3709" s="410">
        <v>42445</v>
      </c>
      <c r="F3709" s="410">
        <v>42490</v>
      </c>
      <c r="G3709" s="405" t="s">
        <v>15078</v>
      </c>
      <c r="H3709" s="405">
        <v>782867542</v>
      </c>
      <c r="I3709" s="405"/>
      <c r="J3709" s="405">
        <v>0.21199999999999999</v>
      </c>
      <c r="K3709" s="405">
        <v>34.045000000000002</v>
      </c>
      <c r="L3709" s="405" t="s">
        <v>6866</v>
      </c>
      <c r="M3709" s="405" t="s">
        <v>10390</v>
      </c>
      <c r="N3709" s="405" t="s">
        <v>15079</v>
      </c>
      <c r="O3709" s="405" t="s">
        <v>15079</v>
      </c>
      <c r="P3709" s="405" t="s">
        <v>15080</v>
      </c>
      <c r="Q3709" s="411">
        <v>6</v>
      </c>
      <c r="R3709" s="405" t="s">
        <v>7224</v>
      </c>
      <c r="S3709" s="405" t="s">
        <v>27041</v>
      </c>
      <c r="T3709" s="405" t="s">
        <v>884</v>
      </c>
      <c r="U3709" s="405" t="s">
        <v>319</v>
      </c>
    </row>
    <row r="3710" spans="1:21" x14ac:dyDescent="0.25">
      <c r="A3710" s="405" t="s">
        <v>310</v>
      </c>
      <c r="B3710" s="405" t="s">
        <v>28468</v>
      </c>
      <c r="C3710" s="405" t="s">
        <v>327</v>
      </c>
      <c r="D3710" s="405"/>
      <c r="E3710" s="410">
        <v>42445</v>
      </c>
      <c r="F3710" s="410">
        <v>42490</v>
      </c>
      <c r="G3710" s="405" t="s">
        <v>22388</v>
      </c>
      <c r="H3710" s="405">
        <v>774101177</v>
      </c>
      <c r="I3710" s="405"/>
      <c r="J3710" s="405" t="s">
        <v>22389</v>
      </c>
      <c r="K3710" s="405">
        <v>30.381699999999999</v>
      </c>
      <c r="L3710" s="405" t="s">
        <v>590</v>
      </c>
      <c r="M3710" s="405" t="s">
        <v>19720</v>
      </c>
      <c r="N3710" s="405" t="s">
        <v>22346</v>
      </c>
      <c r="O3710" s="405" t="s">
        <v>19722</v>
      </c>
      <c r="P3710" s="405" t="s">
        <v>22390</v>
      </c>
      <c r="Q3710" s="411">
        <v>6</v>
      </c>
      <c r="R3710" s="405" t="s">
        <v>6013</v>
      </c>
      <c r="S3710" s="405" t="s">
        <v>27423</v>
      </c>
      <c r="T3710" s="405" t="s">
        <v>32102</v>
      </c>
      <c r="U3710" s="405" t="s">
        <v>319</v>
      </c>
    </row>
    <row r="3711" spans="1:21" x14ac:dyDescent="0.25">
      <c r="A3711" s="405" t="s">
        <v>310</v>
      </c>
      <c r="B3711" s="405" t="s">
        <v>22414</v>
      </c>
      <c r="C3711" s="405" t="s">
        <v>327</v>
      </c>
      <c r="D3711" s="405"/>
      <c r="E3711" s="410">
        <v>42444</v>
      </c>
      <c r="F3711" s="410">
        <v>42489</v>
      </c>
      <c r="G3711" s="405" t="s">
        <v>22415</v>
      </c>
      <c r="H3711" s="405">
        <v>777189242</v>
      </c>
      <c r="I3711" s="405"/>
      <c r="J3711" s="405">
        <v>1.0666199999999999</v>
      </c>
      <c r="K3711" s="405">
        <v>34.096254999999999</v>
      </c>
      <c r="L3711" s="405" t="s">
        <v>590</v>
      </c>
      <c r="M3711" s="405" t="s">
        <v>19720</v>
      </c>
      <c r="N3711" s="405" t="s">
        <v>22346</v>
      </c>
      <c r="O3711" s="405" t="s">
        <v>11792</v>
      </c>
      <c r="P3711" s="405" t="s">
        <v>22416</v>
      </c>
      <c r="Q3711" s="411">
        <v>6</v>
      </c>
      <c r="R3711" s="405" t="s">
        <v>6013</v>
      </c>
      <c r="S3711" s="405" t="s">
        <v>27275</v>
      </c>
      <c r="T3711" s="405" t="s">
        <v>884</v>
      </c>
      <c r="U3711" s="405" t="s">
        <v>319</v>
      </c>
    </row>
    <row r="3712" spans="1:21" x14ac:dyDescent="0.25">
      <c r="A3712" s="405" t="s">
        <v>310</v>
      </c>
      <c r="B3712" s="405" t="s">
        <v>22408</v>
      </c>
      <c r="C3712" s="405" t="s">
        <v>327</v>
      </c>
      <c r="D3712" s="405"/>
      <c r="E3712" s="410">
        <v>42444</v>
      </c>
      <c r="F3712" s="410">
        <v>42489</v>
      </c>
      <c r="G3712" s="405" t="s">
        <v>22409</v>
      </c>
      <c r="H3712" s="405">
        <v>786598582</v>
      </c>
      <c r="I3712" s="405"/>
      <c r="J3712" s="405">
        <v>0.36753799999999998</v>
      </c>
      <c r="K3712" s="405">
        <v>30.407406999999999</v>
      </c>
      <c r="L3712" s="405" t="s">
        <v>590</v>
      </c>
      <c r="M3712" s="405" t="s">
        <v>19720</v>
      </c>
      <c r="N3712" s="405" t="s">
        <v>7352</v>
      </c>
      <c r="O3712" s="405" t="s">
        <v>21991</v>
      </c>
      <c r="P3712" s="405" t="s">
        <v>22410</v>
      </c>
      <c r="Q3712" s="411">
        <v>6</v>
      </c>
      <c r="R3712" s="405" t="s">
        <v>6013</v>
      </c>
      <c r="S3712" s="405" t="s">
        <v>27154</v>
      </c>
      <c r="T3712" s="405" t="s">
        <v>884</v>
      </c>
      <c r="U3712" s="405" t="s">
        <v>319</v>
      </c>
    </row>
    <row r="3713" spans="1:21" x14ac:dyDescent="0.25">
      <c r="A3713" s="405" t="s">
        <v>310</v>
      </c>
      <c r="B3713" s="405" t="s">
        <v>27632</v>
      </c>
      <c r="C3713" s="405" t="s">
        <v>327</v>
      </c>
      <c r="D3713" s="405"/>
      <c r="E3713" s="410">
        <v>42444</v>
      </c>
      <c r="F3713" s="410">
        <v>42489</v>
      </c>
      <c r="G3713" s="405" t="s">
        <v>22429</v>
      </c>
      <c r="H3713" s="405">
        <v>772926047</v>
      </c>
      <c r="I3713" s="405"/>
      <c r="J3713" s="405">
        <v>0.1118</v>
      </c>
      <c r="K3713" s="405">
        <v>30.284099999999999</v>
      </c>
      <c r="L3713" s="405" t="s">
        <v>590</v>
      </c>
      <c r="M3713" s="405" t="s">
        <v>19720</v>
      </c>
      <c r="N3713" s="405" t="s">
        <v>7352</v>
      </c>
      <c r="O3713" s="405" t="s">
        <v>19720</v>
      </c>
      <c r="P3713" s="405" t="s">
        <v>21937</v>
      </c>
      <c r="Q3713" s="411">
        <v>6</v>
      </c>
      <c r="R3713" s="405" t="s">
        <v>6013</v>
      </c>
      <c r="S3713" s="405" t="s">
        <v>27252</v>
      </c>
      <c r="T3713" s="405" t="s">
        <v>884</v>
      </c>
      <c r="U3713" s="405" t="s">
        <v>319</v>
      </c>
    </row>
    <row r="3714" spans="1:21" x14ac:dyDescent="0.25">
      <c r="A3714" s="405" t="s">
        <v>310</v>
      </c>
      <c r="B3714" s="405" t="s">
        <v>6010</v>
      </c>
      <c r="C3714" s="405" t="s">
        <v>327</v>
      </c>
      <c r="D3714" s="405"/>
      <c r="E3714" s="410">
        <v>42444</v>
      </c>
      <c r="F3714" s="410">
        <v>42489</v>
      </c>
      <c r="G3714" s="405" t="s">
        <v>6011</v>
      </c>
      <c r="H3714" s="405">
        <v>773724010</v>
      </c>
      <c r="I3714" s="405">
        <v>755220312</v>
      </c>
      <c r="J3714" s="405">
        <v>0.42799999999999999</v>
      </c>
      <c r="K3714" s="405">
        <v>31.281199999999998</v>
      </c>
      <c r="L3714" s="405" t="s">
        <v>314</v>
      </c>
      <c r="M3714" s="405" t="s">
        <v>382</v>
      </c>
      <c r="N3714" s="405" t="s">
        <v>398</v>
      </c>
      <c r="O3714" s="405" t="s">
        <v>398</v>
      </c>
      <c r="P3714" s="405" t="s">
        <v>6012</v>
      </c>
      <c r="Q3714" s="411">
        <v>6</v>
      </c>
      <c r="R3714" s="405" t="s">
        <v>6013</v>
      </c>
      <c r="S3714" s="405" t="s">
        <v>27205</v>
      </c>
      <c r="T3714" s="405" t="s">
        <v>884</v>
      </c>
      <c r="U3714" s="405" t="s">
        <v>319</v>
      </c>
    </row>
    <row r="3715" spans="1:21" x14ac:dyDescent="0.25">
      <c r="A3715" s="405" t="s">
        <v>310</v>
      </c>
      <c r="B3715" s="405" t="s">
        <v>28279</v>
      </c>
      <c r="C3715" s="405" t="s">
        <v>327</v>
      </c>
      <c r="D3715" s="405"/>
      <c r="E3715" s="410">
        <v>42444</v>
      </c>
      <c r="F3715" s="410">
        <v>42489</v>
      </c>
      <c r="G3715" s="405" t="s">
        <v>22391</v>
      </c>
      <c r="H3715" s="405">
        <v>774820330</v>
      </c>
      <c r="I3715" s="405" t="s">
        <v>22392</v>
      </c>
      <c r="J3715" s="405">
        <v>0.1331</v>
      </c>
      <c r="K3715" s="405">
        <v>30.321300000000001</v>
      </c>
      <c r="L3715" s="405" t="s">
        <v>590</v>
      </c>
      <c r="M3715" s="405" t="s">
        <v>19720</v>
      </c>
      <c r="N3715" s="405" t="s">
        <v>7352</v>
      </c>
      <c r="O3715" s="405" t="s">
        <v>19720</v>
      </c>
      <c r="P3715" s="405" t="s">
        <v>22393</v>
      </c>
      <c r="Q3715" s="411">
        <v>6</v>
      </c>
      <c r="R3715" s="405" t="s">
        <v>6013</v>
      </c>
      <c r="S3715" s="405" t="s">
        <v>27422</v>
      </c>
      <c r="T3715" s="405" t="s">
        <v>884</v>
      </c>
      <c r="U3715" s="405" t="s">
        <v>319</v>
      </c>
    </row>
    <row r="3716" spans="1:21" x14ac:dyDescent="0.25">
      <c r="A3716" s="405" t="s">
        <v>310</v>
      </c>
      <c r="B3716" s="405" t="s">
        <v>28992</v>
      </c>
      <c r="C3716" s="405" t="s">
        <v>327</v>
      </c>
      <c r="D3716" s="405"/>
      <c r="E3716" s="410">
        <v>42444</v>
      </c>
      <c r="F3716" s="410">
        <v>42489</v>
      </c>
      <c r="G3716" s="405" t="s">
        <v>22417</v>
      </c>
      <c r="H3716" s="405">
        <v>772903248</v>
      </c>
      <c r="I3716" s="405"/>
      <c r="J3716" s="405">
        <v>0.214</v>
      </c>
      <c r="K3716" s="405">
        <v>30.253900000000002</v>
      </c>
      <c r="L3716" s="405" t="s">
        <v>590</v>
      </c>
      <c r="M3716" s="405" t="s">
        <v>19720</v>
      </c>
      <c r="N3716" s="405" t="s">
        <v>7352</v>
      </c>
      <c r="O3716" s="405" t="s">
        <v>21940</v>
      </c>
      <c r="P3716" s="405" t="s">
        <v>22418</v>
      </c>
      <c r="Q3716" s="411">
        <v>6</v>
      </c>
      <c r="R3716" s="405" t="s">
        <v>6013</v>
      </c>
      <c r="S3716" s="405" t="s">
        <v>27181</v>
      </c>
      <c r="T3716" s="405" t="s">
        <v>32102</v>
      </c>
      <c r="U3716" s="405" t="s">
        <v>319</v>
      </c>
    </row>
    <row r="3717" spans="1:21" x14ac:dyDescent="0.25">
      <c r="A3717" s="405" t="s">
        <v>310</v>
      </c>
      <c r="B3717" s="405" t="s">
        <v>15104</v>
      </c>
      <c r="C3717" s="405" t="s">
        <v>327</v>
      </c>
      <c r="D3717" s="405"/>
      <c r="E3717" s="410">
        <v>42443</v>
      </c>
      <c r="F3717" s="410">
        <v>42507</v>
      </c>
      <c r="G3717" s="405" t="s">
        <v>15105</v>
      </c>
      <c r="H3717" s="405">
        <v>782838845</v>
      </c>
      <c r="I3717" s="405"/>
      <c r="J3717" s="405">
        <v>0.1628</v>
      </c>
      <c r="K3717" s="405">
        <v>34.549999999999997</v>
      </c>
      <c r="L3717" s="405" t="s">
        <v>6866</v>
      </c>
      <c r="M3717" s="405" t="s">
        <v>10390</v>
      </c>
      <c r="N3717" s="405" t="s">
        <v>10901</v>
      </c>
      <c r="O3717" s="405" t="s">
        <v>12291</v>
      </c>
      <c r="P3717" s="405" t="s">
        <v>15106</v>
      </c>
      <c r="Q3717" s="411">
        <v>6</v>
      </c>
      <c r="R3717" s="405" t="s">
        <v>7224</v>
      </c>
      <c r="S3717" s="405" t="s">
        <v>27041</v>
      </c>
      <c r="T3717" s="405" t="s">
        <v>32102</v>
      </c>
      <c r="U3717" s="405" t="s">
        <v>319</v>
      </c>
    </row>
    <row r="3718" spans="1:21" x14ac:dyDescent="0.25">
      <c r="A3718" s="405" t="s">
        <v>310</v>
      </c>
      <c r="B3718" s="405" t="s">
        <v>15070</v>
      </c>
      <c r="C3718" s="405" t="s">
        <v>327</v>
      </c>
      <c r="D3718" s="405"/>
      <c r="E3718" s="410">
        <v>42442</v>
      </c>
      <c r="F3718" s="410">
        <v>42487</v>
      </c>
      <c r="G3718" s="405" t="s">
        <v>15071</v>
      </c>
      <c r="H3718" s="405">
        <v>772577120</v>
      </c>
      <c r="I3718" s="405"/>
      <c r="J3718" s="405">
        <v>0.94246099999999999</v>
      </c>
      <c r="K3718" s="405">
        <v>33.123949000000003</v>
      </c>
      <c r="L3718" s="405" t="s">
        <v>6866</v>
      </c>
      <c r="M3718" s="405" t="s">
        <v>3009</v>
      </c>
      <c r="N3718" s="405" t="s">
        <v>10406</v>
      </c>
      <c r="O3718" s="405" t="s">
        <v>15072</v>
      </c>
      <c r="P3718" s="405" t="s">
        <v>11729</v>
      </c>
      <c r="Q3718" s="411">
        <v>13</v>
      </c>
      <c r="R3718" s="405" t="s">
        <v>5336</v>
      </c>
      <c r="S3718" s="405" t="s">
        <v>27054</v>
      </c>
      <c r="T3718" s="405" t="s">
        <v>32102</v>
      </c>
      <c r="U3718" s="405" t="s">
        <v>319</v>
      </c>
    </row>
    <row r="3719" spans="1:21" x14ac:dyDescent="0.25">
      <c r="A3719" s="405" t="s">
        <v>310</v>
      </c>
      <c r="B3719" s="405" t="s">
        <v>22363</v>
      </c>
      <c r="C3719" s="405" t="s">
        <v>327</v>
      </c>
      <c r="D3719" s="405"/>
      <c r="E3719" s="410">
        <v>42442</v>
      </c>
      <c r="F3719" s="410">
        <v>42470</v>
      </c>
      <c r="G3719" s="405" t="s">
        <v>22364</v>
      </c>
      <c r="H3719" s="405">
        <v>779043583</v>
      </c>
      <c r="I3719" s="405"/>
      <c r="J3719" s="405">
        <v>1.2612000000000001</v>
      </c>
      <c r="K3719" s="405">
        <v>31.455500000000001</v>
      </c>
      <c r="L3719" s="405" t="s">
        <v>590</v>
      </c>
      <c r="M3719" s="405" t="s">
        <v>19608</v>
      </c>
      <c r="N3719" s="405" t="s">
        <v>21981</v>
      </c>
      <c r="O3719" s="405" t="s">
        <v>21981</v>
      </c>
      <c r="P3719" s="405" t="s">
        <v>9305</v>
      </c>
      <c r="Q3719" s="411">
        <v>13</v>
      </c>
      <c r="R3719" s="405" t="s">
        <v>5665</v>
      </c>
      <c r="S3719" s="405" t="s">
        <v>27126</v>
      </c>
      <c r="T3719" s="405" t="s">
        <v>884</v>
      </c>
      <c r="U3719" s="405" t="s">
        <v>319</v>
      </c>
    </row>
    <row r="3720" spans="1:21" x14ac:dyDescent="0.25">
      <c r="A3720" s="405" t="s">
        <v>310</v>
      </c>
      <c r="B3720" s="405" t="s">
        <v>27625</v>
      </c>
      <c r="C3720" s="405" t="s">
        <v>327</v>
      </c>
      <c r="D3720" s="405"/>
      <c r="E3720" s="410">
        <v>42442</v>
      </c>
      <c r="F3720" s="410">
        <v>42487</v>
      </c>
      <c r="G3720" s="405" t="s">
        <v>22368</v>
      </c>
      <c r="H3720" s="405">
        <v>775486593</v>
      </c>
      <c r="I3720" s="405"/>
      <c r="J3720" s="405">
        <v>1.4760180000000001</v>
      </c>
      <c r="K3720" s="405">
        <v>31.593553</v>
      </c>
      <c r="L3720" s="405" t="s">
        <v>590</v>
      </c>
      <c r="M3720" s="405" t="s">
        <v>19608</v>
      </c>
      <c r="N3720" s="405" t="s">
        <v>20218</v>
      </c>
      <c r="O3720" s="405" t="s">
        <v>20219</v>
      </c>
      <c r="P3720" s="405" t="s">
        <v>22369</v>
      </c>
      <c r="Q3720" s="411">
        <v>6</v>
      </c>
      <c r="R3720" s="405" t="s">
        <v>5665</v>
      </c>
      <c r="S3720" s="405" t="s">
        <v>27422</v>
      </c>
      <c r="T3720" s="405" t="s">
        <v>884</v>
      </c>
      <c r="U3720" s="405" t="s">
        <v>319</v>
      </c>
    </row>
    <row r="3721" spans="1:21" x14ac:dyDescent="0.25">
      <c r="A3721" s="405" t="s">
        <v>310</v>
      </c>
      <c r="B3721" s="405" t="s">
        <v>28677</v>
      </c>
      <c r="C3721" s="405" t="s">
        <v>857</v>
      </c>
      <c r="D3721" s="405" t="s">
        <v>1037</v>
      </c>
      <c r="E3721" s="410">
        <v>42441</v>
      </c>
      <c r="F3721" s="410">
        <v>42486</v>
      </c>
      <c r="G3721" s="405" t="s">
        <v>22579</v>
      </c>
      <c r="H3721" s="405">
        <v>774294228</v>
      </c>
      <c r="I3721" s="405"/>
      <c r="J3721" s="405">
        <v>0.11459999999999999</v>
      </c>
      <c r="K3721" s="405">
        <v>30.351400000000002</v>
      </c>
      <c r="L3721" s="405" t="s">
        <v>590</v>
      </c>
      <c r="M3721" s="405" t="s">
        <v>19720</v>
      </c>
      <c r="N3721" s="405" t="s">
        <v>22346</v>
      </c>
      <c r="O3721" s="405" t="s">
        <v>19722</v>
      </c>
      <c r="P3721" s="405" t="s">
        <v>22580</v>
      </c>
      <c r="Q3721" s="411">
        <v>6</v>
      </c>
      <c r="R3721" s="405" t="s">
        <v>6013</v>
      </c>
      <c r="S3721" s="405" t="s">
        <v>27301</v>
      </c>
      <c r="T3721" s="405" t="s">
        <v>884</v>
      </c>
      <c r="U3721" s="405" t="s">
        <v>319</v>
      </c>
    </row>
    <row r="3722" spans="1:21" x14ac:dyDescent="0.25">
      <c r="A3722" s="405" t="s">
        <v>310</v>
      </c>
      <c r="B3722" s="405" t="s">
        <v>6006</v>
      </c>
      <c r="C3722" s="405" t="s">
        <v>327</v>
      </c>
      <c r="D3722" s="405"/>
      <c r="E3722" s="410">
        <v>42441</v>
      </c>
      <c r="F3722" s="410">
        <v>42486</v>
      </c>
      <c r="G3722" s="405" t="s">
        <v>6007</v>
      </c>
      <c r="H3722" s="405">
        <v>754617640</v>
      </c>
      <c r="I3722" s="405"/>
      <c r="J3722" s="405">
        <v>0.2056</v>
      </c>
      <c r="K3722" s="405">
        <v>31.434999999999999</v>
      </c>
      <c r="L3722" s="405" t="s">
        <v>314</v>
      </c>
      <c r="M3722" s="405" t="s">
        <v>382</v>
      </c>
      <c r="N3722" s="405" t="s">
        <v>383</v>
      </c>
      <c r="O3722" s="405" t="s">
        <v>6008</v>
      </c>
      <c r="P3722" s="405" t="s">
        <v>6009</v>
      </c>
      <c r="Q3722" s="411">
        <v>6</v>
      </c>
      <c r="R3722" s="405" t="s">
        <v>402</v>
      </c>
      <c r="S3722" s="405" t="s">
        <v>27052</v>
      </c>
      <c r="T3722" s="405" t="s">
        <v>884</v>
      </c>
      <c r="U3722" s="405" t="s">
        <v>319</v>
      </c>
    </row>
    <row r="3723" spans="1:21" x14ac:dyDescent="0.25">
      <c r="A3723" s="405" t="s">
        <v>310</v>
      </c>
      <c r="B3723" s="405" t="s">
        <v>15073</v>
      </c>
      <c r="C3723" s="405" t="s">
        <v>327</v>
      </c>
      <c r="D3723" s="405"/>
      <c r="E3723" s="410">
        <v>42440</v>
      </c>
      <c r="F3723" s="410">
        <v>42485</v>
      </c>
      <c r="G3723" s="405" t="s">
        <v>15074</v>
      </c>
      <c r="H3723" s="405">
        <v>752982774</v>
      </c>
      <c r="I3723" s="405"/>
      <c r="J3723" s="405">
        <v>0.92764199999999997</v>
      </c>
      <c r="K3723" s="405">
        <v>34.164327</v>
      </c>
      <c r="L3723" s="405" t="s">
        <v>6866</v>
      </c>
      <c r="M3723" s="405" t="s">
        <v>10390</v>
      </c>
      <c r="N3723" s="405" t="s">
        <v>15075</v>
      </c>
      <c r="O3723" s="405" t="s">
        <v>14874</v>
      </c>
      <c r="P3723" s="405" t="s">
        <v>15076</v>
      </c>
      <c r="Q3723" s="411">
        <v>9</v>
      </c>
      <c r="R3723" s="405" t="s">
        <v>402</v>
      </c>
      <c r="S3723" s="405" t="s">
        <v>27139</v>
      </c>
      <c r="T3723" s="405" t="s">
        <v>32102</v>
      </c>
      <c r="U3723" s="405" t="s">
        <v>319</v>
      </c>
    </row>
    <row r="3724" spans="1:21" x14ac:dyDescent="0.25">
      <c r="A3724" s="405" t="s">
        <v>310</v>
      </c>
      <c r="B3724" s="405" t="s">
        <v>28034</v>
      </c>
      <c r="C3724" s="405" t="s">
        <v>327</v>
      </c>
      <c r="D3724" s="405"/>
      <c r="E3724" s="410">
        <v>42440</v>
      </c>
      <c r="F3724" s="410">
        <v>42485</v>
      </c>
      <c r="G3724" s="405" t="s">
        <v>22386</v>
      </c>
      <c r="H3724" s="405">
        <v>783032900</v>
      </c>
      <c r="I3724" s="405"/>
      <c r="J3724" s="405">
        <v>0.99022200000000005</v>
      </c>
      <c r="K3724" s="405">
        <v>30.358733000000001</v>
      </c>
      <c r="L3724" s="405" t="s">
        <v>590</v>
      </c>
      <c r="M3724" s="405" t="s">
        <v>19720</v>
      </c>
      <c r="N3724" s="405" t="s">
        <v>22346</v>
      </c>
      <c r="O3724" s="405" t="s">
        <v>11792</v>
      </c>
      <c r="P3724" s="405" t="s">
        <v>22387</v>
      </c>
      <c r="Q3724" s="411">
        <v>6</v>
      </c>
      <c r="R3724" s="405" t="s">
        <v>6013</v>
      </c>
      <c r="S3724" s="405" t="s">
        <v>27275</v>
      </c>
      <c r="T3724" s="405" t="s">
        <v>884</v>
      </c>
      <c r="U3724" s="405" t="s">
        <v>319</v>
      </c>
    </row>
    <row r="3725" spans="1:21" x14ac:dyDescent="0.25">
      <c r="A3725" s="405" t="s">
        <v>310</v>
      </c>
      <c r="B3725" s="405" t="s">
        <v>5993</v>
      </c>
      <c r="C3725" s="405" t="s">
        <v>327</v>
      </c>
      <c r="D3725" s="405"/>
      <c r="E3725" s="410">
        <v>42440</v>
      </c>
      <c r="F3725" s="410">
        <v>42485</v>
      </c>
      <c r="G3725" s="405" t="s">
        <v>5994</v>
      </c>
      <c r="H3725" s="405">
        <v>700662174</v>
      </c>
      <c r="I3725" s="405"/>
      <c r="J3725" s="405">
        <v>0.745</v>
      </c>
      <c r="K3725" s="405">
        <v>31.4954</v>
      </c>
      <c r="L3725" s="405" t="s">
        <v>314</v>
      </c>
      <c r="M3725" s="405" t="s">
        <v>900</v>
      </c>
      <c r="N3725" s="405" t="s">
        <v>1302</v>
      </c>
      <c r="O3725" s="405" t="s">
        <v>1302</v>
      </c>
      <c r="P3725" s="405" t="s">
        <v>5995</v>
      </c>
      <c r="Q3725" s="411">
        <v>6</v>
      </c>
      <c r="R3725" s="405" t="s">
        <v>32101</v>
      </c>
      <c r="S3725" s="405" t="s">
        <v>27186</v>
      </c>
      <c r="T3725" s="405" t="s">
        <v>884</v>
      </c>
      <c r="U3725" s="405" t="s">
        <v>319</v>
      </c>
    </row>
    <row r="3726" spans="1:21" x14ac:dyDescent="0.25">
      <c r="A3726" s="405" t="s">
        <v>310</v>
      </c>
      <c r="B3726" s="405" t="s">
        <v>27859</v>
      </c>
      <c r="C3726" s="405" t="s">
        <v>327</v>
      </c>
      <c r="D3726" s="405"/>
      <c r="E3726" s="410">
        <v>42439</v>
      </c>
      <c r="F3726" s="410">
        <v>42484</v>
      </c>
      <c r="G3726" s="405" t="s">
        <v>22428</v>
      </c>
      <c r="H3726" s="405">
        <v>774669107</v>
      </c>
      <c r="I3726" s="405"/>
      <c r="J3726" s="405">
        <v>0.76122999999999996</v>
      </c>
      <c r="K3726" s="405">
        <v>33.851595000000003</v>
      </c>
      <c r="L3726" s="405" t="s">
        <v>590</v>
      </c>
      <c r="M3726" s="405" t="s">
        <v>19720</v>
      </c>
      <c r="N3726" s="405" t="s">
        <v>7352</v>
      </c>
      <c r="O3726" s="405" t="s">
        <v>21991</v>
      </c>
      <c r="P3726" s="405" t="s">
        <v>21713</v>
      </c>
      <c r="Q3726" s="411">
        <v>6</v>
      </c>
      <c r="R3726" s="405" t="s">
        <v>6013</v>
      </c>
      <c r="S3726" s="405" t="s">
        <v>27252</v>
      </c>
      <c r="T3726" s="405" t="s">
        <v>32102</v>
      </c>
      <c r="U3726" s="405" t="s">
        <v>319</v>
      </c>
    </row>
    <row r="3727" spans="1:21" x14ac:dyDescent="0.25">
      <c r="A3727" s="405" t="s">
        <v>310</v>
      </c>
      <c r="B3727" s="405" t="s">
        <v>28269</v>
      </c>
      <c r="C3727" s="405" t="s">
        <v>327</v>
      </c>
      <c r="D3727" s="405"/>
      <c r="E3727" s="410">
        <v>42439</v>
      </c>
      <c r="F3727" s="410">
        <v>42484</v>
      </c>
      <c r="G3727" s="405" t="s">
        <v>22406</v>
      </c>
      <c r="H3727" s="405">
        <v>772404041</v>
      </c>
      <c r="I3727" s="405"/>
      <c r="J3727" s="405">
        <v>0.295902</v>
      </c>
      <c r="K3727" s="405">
        <v>30.600739999999998</v>
      </c>
      <c r="L3727" s="405" t="s">
        <v>590</v>
      </c>
      <c r="M3727" s="405" t="s">
        <v>19720</v>
      </c>
      <c r="N3727" s="405" t="s">
        <v>22346</v>
      </c>
      <c r="O3727" s="405" t="s">
        <v>11792</v>
      </c>
      <c r="P3727" s="405" t="s">
        <v>22407</v>
      </c>
      <c r="Q3727" s="411">
        <v>6</v>
      </c>
      <c r="R3727" s="405" t="s">
        <v>6013</v>
      </c>
      <c r="S3727" s="405" t="s">
        <v>27154</v>
      </c>
      <c r="T3727" s="405" t="s">
        <v>32102</v>
      </c>
      <c r="U3727" s="405" t="s">
        <v>319</v>
      </c>
    </row>
    <row r="3728" spans="1:21" x14ac:dyDescent="0.25">
      <c r="A3728" s="405" t="s">
        <v>310</v>
      </c>
      <c r="B3728" s="405" t="s">
        <v>22411</v>
      </c>
      <c r="C3728" s="405" t="s">
        <v>327</v>
      </c>
      <c r="D3728" s="405"/>
      <c r="E3728" s="410">
        <v>42439</v>
      </c>
      <c r="F3728" s="410">
        <v>42484</v>
      </c>
      <c r="G3728" s="405" t="s">
        <v>22412</v>
      </c>
      <c r="H3728" s="405">
        <v>782864165</v>
      </c>
      <c r="I3728" s="405"/>
      <c r="J3728" s="405">
        <v>0.129</v>
      </c>
      <c r="K3728" s="405">
        <v>30.29</v>
      </c>
      <c r="L3728" s="405" t="s">
        <v>590</v>
      </c>
      <c r="M3728" s="405" t="s">
        <v>19720</v>
      </c>
      <c r="N3728" s="405" t="s">
        <v>7352</v>
      </c>
      <c r="O3728" s="405" t="s">
        <v>19720</v>
      </c>
      <c r="P3728" s="405" t="s">
        <v>22413</v>
      </c>
      <c r="Q3728" s="411">
        <v>6</v>
      </c>
      <c r="R3728" s="405" t="s">
        <v>6013</v>
      </c>
      <c r="S3728" s="405" t="s">
        <v>27275</v>
      </c>
      <c r="T3728" s="405" t="s">
        <v>32102</v>
      </c>
      <c r="U3728" s="405" t="s">
        <v>319</v>
      </c>
    </row>
    <row r="3729" spans="1:21" x14ac:dyDescent="0.25">
      <c r="A3729" s="405" t="s">
        <v>310</v>
      </c>
      <c r="B3729" s="405" t="s">
        <v>29002</v>
      </c>
      <c r="C3729" s="405" t="s">
        <v>327</v>
      </c>
      <c r="D3729" s="405"/>
      <c r="E3729" s="410">
        <v>42439</v>
      </c>
      <c r="F3729" s="410">
        <v>42484</v>
      </c>
      <c r="G3729" s="405" t="s">
        <v>22419</v>
      </c>
      <c r="H3729" s="405">
        <v>772498586</v>
      </c>
      <c r="I3729" s="405"/>
      <c r="J3729" s="405">
        <v>0.1033</v>
      </c>
      <c r="K3729" s="405">
        <v>30.276</v>
      </c>
      <c r="L3729" s="405" t="s">
        <v>590</v>
      </c>
      <c r="M3729" s="405" t="s">
        <v>19720</v>
      </c>
      <c r="N3729" s="405" t="s">
        <v>7352</v>
      </c>
      <c r="O3729" s="405" t="s">
        <v>19720</v>
      </c>
      <c r="P3729" s="405" t="s">
        <v>22420</v>
      </c>
      <c r="Q3729" s="411">
        <v>6</v>
      </c>
      <c r="R3729" s="405" t="s">
        <v>6013</v>
      </c>
      <c r="S3729" s="405" t="s">
        <v>27181</v>
      </c>
      <c r="T3729" s="405" t="s">
        <v>884</v>
      </c>
      <c r="U3729" s="405" t="s">
        <v>319</v>
      </c>
    </row>
    <row r="3730" spans="1:21" x14ac:dyDescent="0.25">
      <c r="A3730" s="405" t="s">
        <v>310</v>
      </c>
      <c r="B3730" s="405" t="s">
        <v>5965</v>
      </c>
      <c r="C3730" s="405" t="s">
        <v>327</v>
      </c>
      <c r="D3730" s="405"/>
      <c r="E3730" s="410">
        <v>42438</v>
      </c>
      <c r="F3730" s="410">
        <v>42483</v>
      </c>
      <c r="G3730" s="405" t="s">
        <v>5966</v>
      </c>
      <c r="H3730" s="405">
        <v>759314053</v>
      </c>
      <c r="I3730" s="405"/>
      <c r="J3730" s="405">
        <v>0.573017</v>
      </c>
      <c r="K3730" s="405">
        <v>31.942723000000001</v>
      </c>
      <c r="L3730" s="405" t="s">
        <v>314</v>
      </c>
      <c r="M3730" s="405" t="s">
        <v>382</v>
      </c>
      <c r="N3730" s="405" t="s">
        <v>383</v>
      </c>
      <c r="O3730" s="405" t="s">
        <v>1265</v>
      </c>
      <c r="P3730" s="405" t="s">
        <v>5967</v>
      </c>
      <c r="Q3730" s="411">
        <v>9</v>
      </c>
      <c r="R3730" s="405" t="s">
        <v>402</v>
      </c>
      <c r="S3730" s="405" t="s">
        <v>27154</v>
      </c>
      <c r="T3730" s="405" t="s">
        <v>884</v>
      </c>
      <c r="U3730" s="405" t="s">
        <v>319</v>
      </c>
    </row>
    <row r="3731" spans="1:21" x14ac:dyDescent="0.25">
      <c r="A3731" s="405" t="s">
        <v>310</v>
      </c>
      <c r="B3731" s="405" t="s">
        <v>6027</v>
      </c>
      <c r="C3731" s="405" t="s">
        <v>327</v>
      </c>
      <c r="D3731" s="405"/>
      <c r="E3731" s="410">
        <v>42437</v>
      </c>
      <c r="F3731" s="410">
        <v>42495</v>
      </c>
      <c r="G3731" s="405" t="s">
        <v>6028</v>
      </c>
      <c r="H3731" s="405">
        <v>752627054</v>
      </c>
      <c r="I3731" s="405"/>
      <c r="J3731" s="405">
        <v>0.26569999999999999</v>
      </c>
      <c r="K3731" s="405">
        <v>31.4359</v>
      </c>
      <c r="L3731" s="405" t="s">
        <v>314</v>
      </c>
      <c r="M3731" s="405" t="s">
        <v>382</v>
      </c>
      <c r="N3731" s="405" t="s">
        <v>1260</v>
      </c>
      <c r="O3731" s="405" t="s">
        <v>1260</v>
      </c>
      <c r="P3731" s="405" t="s">
        <v>601</v>
      </c>
      <c r="Q3731" s="411">
        <v>9</v>
      </c>
      <c r="R3731" s="405" t="s">
        <v>402</v>
      </c>
      <c r="S3731" s="405" t="s">
        <v>27052</v>
      </c>
      <c r="T3731" s="405" t="s">
        <v>32102</v>
      </c>
      <c r="U3731" s="405" t="s">
        <v>319</v>
      </c>
    </row>
    <row r="3732" spans="1:21" x14ac:dyDescent="0.25">
      <c r="A3732" s="405" t="s">
        <v>310</v>
      </c>
      <c r="B3732" s="405" t="s">
        <v>5977</v>
      </c>
      <c r="C3732" s="405" t="s">
        <v>327</v>
      </c>
      <c r="D3732" s="405"/>
      <c r="E3732" s="410">
        <v>42436</v>
      </c>
      <c r="F3732" s="410">
        <v>42465</v>
      </c>
      <c r="G3732" s="405" t="s">
        <v>5978</v>
      </c>
      <c r="H3732" s="405">
        <v>752703994</v>
      </c>
      <c r="I3732" s="405"/>
      <c r="J3732" s="405">
        <v>0.162573</v>
      </c>
      <c r="K3732" s="405">
        <v>31.281700000000001</v>
      </c>
      <c r="L3732" s="405" t="s">
        <v>314</v>
      </c>
      <c r="M3732" s="405" t="s">
        <v>1805</v>
      </c>
      <c r="N3732" s="405" t="s">
        <v>5979</v>
      </c>
      <c r="O3732" s="405" t="s">
        <v>5980</v>
      </c>
      <c r="P3732" s="405" t="s">
        <v>5981</v>
      </c>
      <c r="Q3732" s="411">
        <v>9</v>
      </c>
      <c r="R3732" s="405" t="s">
        <v>402</v>
      </c>
      <c r="S3732" s="405" t="s">
        <v>5986</v>
      </c>
      <c r="T3732" s="405" t="s">
        <v>884</v>
      </c>
      <c r="U3732" s="405" t="s">
        <v>319</v>
      </c>
    </row>
    <row r="3733" spans="1:21" x14ac:dyDescent="0.25">
      <c r="A3733" s="405" t="s">
        <v>310</v>
      </c>
      <c r="B3733" s="405" t="s">
        <v>28391</v>
      </c>
      <c r="C3733" s="405" t="s">
        <v>327</v>
      </c>
      <c r="D3733" s="405"/>
      <c r="E3733" s="410">
        <v>42435</v>
      </c>
      <c r="F3733" s="410">
        <v>42569</v>
      </c>
      <c r="G3733" s="405" t="s">
        <v>15183</v>
      </c>
      <c r="H3733" s="405">
        <v>782661481</v>
      </c>
      <c r="I3733" s="405"/>
      <c r="J3733" s="405">
        <v>1.580157</v>
      </c>
      <c r="K3733" s="405">
        <v>33.956940000000003</v>
      </c>
      <c r="L3733" s="405" t="s">
        <v>6866</v>
      </c>
      <c r="M3733" s="405" t="s">
        <v>9514</v>
      </c>
      <c r="N3733" s="405" t="s">
        <v>9616</v>
      </c>
      <c r="O3733" s="405" t="s">
        <v>10567</v>
      </c>
      <c r="P3733" s="405" t="s">
        <v>15184</v>
      </c>
      <c r="Q3733" s="411">
        <v>6</v>
      </c>
      <c r="R3733" s="405" t="s">
        <v>7224</v>
      </c>
      <c r="S3733" s="405" t="s">
        <v>27067</v>
      </c>
      <c r="T3733" s="405" t="s">
        <v>32102</v>
      </c>
      <c r="U3733" s="405" t="s">
        <v>319</v>
      </c>
    </row>
    <row r="3734" spans="1:21" x14ac:dyDescent="0.25">
      <c r="A3734" s="405" t="s">
        <v>310</v>
      </c>
      <c r="B3734" s="405" t="s">
        <v>28167</v>
      </c>
      <c r="C3734" s="405" t="s">
        <v>327</v>
      </c>
      <c r="D3734" s="405"/>
      <c r="E3734" s="410">
        <v>42435</v>
      </c>
      <c r="F3734" s="410">
        <v>42479</v>
      </c>
      <c r="G3734" s="405" t="s">
        <v>15082</v>
      </c>
      <c r="H3734" s="405">
        <v>779462744</v>
      </c>
      <c r="I3734" s="405">
        <v>781452577</v>
      </c>
      <c r="J3734" s="405">
        <v>1.0226550000000001</v>
      </c>
      <c r="K3734" s="405">
        <v>34.369096999999996</v>
      </c>
      <c r="L3734" s="405" t="s">
        <v>6866</v>
      </c>
      <c r="M3734" s="405" t="s">
        <v>9514</v>
      </c>
      <c r="N3734" s="405" t="s">
        <v>9530</v>
      </c>
      <c r="O3734" s="405" t="s">
        <v>9530</v>
      </c>
      <c r="P3734" s="405" t="s">
        <v>14694</v>
      </c>
      <c r="Q3734" s="411">
        <v>6</v>
      </c>
      <c r="R3734" s="405" t="s">
        <v>7224</v>
      </c>
      <c r="S3734" s="405" t="s">
        <v>27353</v>
      </c>
      <c r="T3734" s="405" t="s">
        <v>884</v>
      </c>
      <c r="U3734" s="405" t="s">
        <v>319</v>
      </c>
    </row>
    <row r="3735" spans="1:21" x14ac:dyDescent="0.25">
      <c r="A3735" s="405" t="s">
        <v>310</v>
      </c>
      <c r="B3735" s="405" t="s">
        <v>22365</v>
      </c>
      <c r="C3735" s="405" t="s">
        <v>327</v>
      </c>
      <c r="D3735" s="405"/>
      <c r="E3735" s="410">
        <v>42434</v>
      </c>
      <c r="F3735" s="410">
        <v>42479</v>
      </c>
      <c r="G3735" s="405" t="s">
        <v>22366</v>
      </c>
      <c r="H3735" s="405">
        <v>773324942</v>
      </c>
      <c r="I3735" s="405"/>
      <c r="J3735" s="405">
        <v>-0.88309199999999999</v>
      </c>
      <c r="K3735" s="405">
        <v>30.357827</v>
      </c>
      <c r="L3735" s="405" t="s">
        <v>590</v>
      </c>
      <c r="M3735" s="405" t="s">
        <v>19659</v>
      </c>
      <c r="N3735" s="405" t="s">
        <v>19664</v>
      </c>
      <c r="O3735" s="405" t="s">
        <v>19701</v>
      </c>
      <c r="P3735" s="405" t="s">
        <v>22367</v>
      </c>
      <c r="Q3735" s="411">
        <v>13</v>
      </c>
      <c r="R3735" s="405" t="s">
        <v>6572</v>
      </c>
      <c r="S3735" s="405" t="s">
        <v>27394</v>
      </c>
      <c r="T3735" s="405" t="s">
        <v>884</v>
      </c>
      <c r="U3735" s="405" t="s">
        <v>319</v>
      </c>
    </row>
    <row r="3736" spans="1:21" x14ac:dyDescent="0.25">
      <c r="A3736" s="405" t="s">
        <v>310</v>
      </c>
      <c r="B3736" s="405" t="s">
        <v>28562</v>
      </c>
      <c r="C3736" s="405" t="s">
        <v>327</v>
      </c>
      <c r="D3736" s="405"/>
      <c r="E3736" s="410">
        <v>42434</v>
      </c>
      <c r="F3736" s="410">
        <v>42538</v>
      </c>
      <c r="G3736" s="405" t="s">
        <v>15144</v>
      </c>
      <c r="H3736" s="405">
        <v>782633409</v>
      </c>
      <c r="I3736" s="405"/>
      <c r="J3736" s="405">
        <v>1.106417</v>
      </c>
      <c r="K3736" s="405">
        <v>34.212305000000001</v>
      </c>
      <c r="L3736" s="405" t="s">
        <v>6866</v>
      </c>
      <c r="M3736" s="405" t="s">
        <v>9514</v>
      </c>
      <c r="N3736" s="405" t="s">
        <v>9722</v>
      </c>
      <c r="O3736" s="405" t="s">
        <v>9530</v>
      </c>
      <c r="P3736" s="405" t="s">
        <v>10607</v>
      </c>
      <c r="Q3736" s="411">
        <v>6</v>
      </c>
      <c r="R3736" s="405" t="s">
        <v>7224</v>
      </c>
      <c r="S3736" s="405" t="s">
        <v>27204</v>
      </c>
      <c r="T3736" s="405" t="s">
        <v>32102</v>
      </c>
      <c r="U3736" s="405" t="s">
        <v>319</v>
      </c>
    </row>
    <row r="3737" spans="1:21" x14ac:dyDescent="0.25">
      <c r="A3737" s="405" t="s">
        <v>310</v>
      </c>
      <c r="B3737" s="405" t="s">
        <v>27559</v>
      </c>
      <c r="C3737" s="405" t="s">
        <v>327</v>
      </c>
      <c r="D3737" s="405"/>
      <c r="E3737" s="410">
        <v>42434</v>
      </c>
      <c r="F3737" s="410">
        <v>42479</v>
      </c>
      <c r="G3737" s="405" t="s">
        <v>22421</v>
      </c>
      <c r="H3737" s="405">
        <v>774570970</v>
      </c>
      <c r="I3737" s="405"/>
      <c r="J3737" s="405">
        <v>0.39337</v>
      </c>
      <c r="K3737" s="405">
        <v>30.653015</v>
      </c>
      <c r="L3737" s="405" t="s">
        <v>590</v>
      </c>
      <c r="M3737" s="405" t="s">
        <v>19720</v>
      </c>
      <c r="N3737" s="405" t="s">
        <v>22422</v>
      </c>
      <c r="O3737" s="405" t="s">
        <v>11792</v>
      </c>
      <c r="P3737" s="405" t="s">
        <v>22423</v>
      </c>
      <c r="Q3737" s="411">
        <v>6</v>
      </c>
      <c r="R3737" s="405" t="s">
        <v>6013</v>
      </c>
      <c r="S3737" s="405" t="s">
        <v>27181</v>
      </c>
      <c r="T3737" s="405" t="s">
        <v>884</v>
      </c>
      <c r="U3737" s="405" t="s">
        <v>319</v>
      </c>
    </row>
    <row r="3738" spans="1:21" x14ac:dyDescent="0.25">
      <c r="A3738" s="405" t="s">
        <v>310</v>
      </c>
      <c r="B3738" s="405" t="s">
        <v>22424</v>
      </c>
      <c r="C3738" s="405" t="s">
        <v>327</v>
      </c>
      <c r="D3738" s="405"/>
      <c r="E3738" s="410">
        <v>42434</v>
      </c>
      <c r="F3738" s="410">
        <v>42479</v>
      </c>
      <c r="G3738" s="405" t="s">
        <v>22425</v>
      </c>
      <c r="H3738" s="405">
        <v>789182588</v>
      </c>
      <c r="I3738" s="405"/>
      <c r="J3738" s="405">
        <v>9.2532000000000003E-2</v>
      </c>
      <c r="K3738" s="405">
        <v>30.439126999999999</v>
      </c>
      <c r="L3738" s="405" t="s">
        <v>590</v>
      </c>
      <c r="M3738" s="405" t="s">
        <v>19720</v>
      </c>
      <c r="N3738" s="405" t="s">
        <v>20297</v>
      </c>
      <c r="O3738" s="405" t="s">
        <v>22426</v>
      </c>
      <c r="P3738" s="405" t="s">
        <v>22427</v>
      </c>
      <c r="Q3738" s="411">
        <v>6</v>
      </c>
      <c r="R3738" s="405" t="s">
        <v>6013</v>
      </c>
      <c r="S3738" s="405" t="s">
        <v>27252</v>
      </c>
      <c r="T3738" s="405" t="s">
        <v>884</v>
      </c>
      <c r="U3738" s="405" t="s">
        <v>319</v>
      </c>
    </row>
    <row r="3739" spans="1:21" x14ac:dyDescent="0.25">
      <c r="A3739" s="405" t="s">
        <v>310</v>
      </c>
      <c r="B3739" s="405" t="s">
        <v>27587</v>
      </c>
      <c r="C3739" s="405" t="s">
        <v>327</v>
      </c>
      <c r="D3739" s="405"/>
      <c r="E3739" s="410">
        <v>42434</v>
      </c>
      <c r="F3739" s="410">
        <v>42479</v>
      </c>
      <c r="G3739" s="405" t="s">
        <v>22404</v>
      </c>
      <c r="H3739" s="405">
        <v>774771938</v>
      </c>
      <c r="I3739" s="405"/>
      <c r="J3739" s="405">
        <v>0.36894500000000002</v>
      </c>
      <c r="K3739" s="405">
        <v>30.653749999999999</v>
      </c>
      <c r="L3739" s="405" t="s">
        <v>590</v>
      </c>
      <c r="M3739" s="405" t="s">
        <v>19720</v>
      </c>
      <c r="N3739" s="405" t="s">
        <v>22346</v>
      </c>
      <c r="O3739" s="405" t="s">
        <v>22405</v>
      </c>
      <c r="P3739" s="405" t="s">
        <v>2864</v>
      </c>
      <c r="Q3739" s="411">
        <v>6</v>
      </c>
      <c r="R3739" s="405" t="s">
        <v>6013</v>
      </c>
      <c r="S3739" s="405" t="s">
        <v>27154</v>
      </c>
      <c r="T3739" s="405" t="s">
        <v>884</v>
      </c>
      <c r="U3739" s="405" t="s">
        <v>319</v>
      </c>
    </row>
    <row r="3740" spans="1:21" x14ac:dyDescent="0.25">
      <c r="A3740" s="405" t="s">
        <v>310</v>
      </c>
      <c r="B3740" s="405" t="s">
        <v>22394</v>
      </c>
      <c r="C3740" s="405" t="s">
        <v>327</v>
      </c>
      <c r="D3740" s="405"/>
      <c r="E3740" s="410">
        <v>42434</v>
      </c>
      <c r="F3740" s="410">
        <v>42479</v>
      </c>
      <c r="G3740" s="405" t="s">
        <v>22395</v>
      </c>
      <c r="H3740" s="405">
        <v>779140963</v>
      </c>
      <c r="I3740" s="405"/>
      <c r="J3740" s="405">
        <v>0.14199999999999999</v>
      </c>
      <c r="K3740" s="405">
        <v>30.384699999999999</v>
      </c>
      <c r="L3740" s="405" t="s">
        <v>590</v>
      </c>
      <c r="M3740" s="405" t="s">
        <v>19720</v>
      </c>
      <c r="N3740" s="405" t="s">
        <v>22346</v>
      </c>
      <c r="O3740" s="405" t="s">
        <v>19722</v>
      </c>
      <c r="P3740" s="405" t="s">
        <v>19797</v>
      </c>
      <c r="Q3740" s="411">
        <v>6</v>
      </c>
      <c r="R3740" s="405" t="s">
        <v>6013</v>
      </c>
      <c r="S3740" s="405" t="s">
        <v>27205</v>
      </c>
      <c r="T3740" s="405" t="s">
        <v>884</v>
      </c>
      <c r="U3740" s="405" t="s">
        <v>319</v>
      </c>
    </row>
    <row r="3741" spans="1:21" x14ac:dyDescent="0.25">
      <c r="A3741" s="405" t="s">
        <v>310</v>
      </c>
      <c r="B3741" s="405" t="s">
        <v>22401</v>
      </c>
      <c r="C3741" s="405" t="s">
        <v>327</v>
      </c>
      <c r="D3741" s="405"/>
      <c r="E3741" s="410">
        <v>42434</v>
      </c>
      <c r="F3741" s="410">
        <v>42479</v>
      </c>
      <c r="G3741" s="405" t="s">
        <v>22402</v>
      </c>
      <c r="H3741" s="405">
        <v>787828243</v>
      </c>
      <c r="I3741" s="405"/>
      <c r="J3741" s="405">
        <v>0.17180000000000001</v>
      </c>
      <c r="K3741" s="405">
        <v>30.298999999999999</v>
      </c>
      <c r="L3741" s="405" t="s">
        <v>590</v>
      </c>
      <c r="M3741" s="405" t="s">
        <v>19720</v>
      </c>
      <c r="N3741" s="405" t="s">
        <v>7352</v>
      </c>
      <c r="O3741" s="405" t="s">
        <v>21940</v>
      </c>
      <c r="P3741" s="405" t="s">
        <v>22403</v>
      </c>
      <c r="Q3741" s="411">
        <v>6</v>
      </c>
      <c r="R3741" s="405" t="s">
        <v>6013</v>
      </c>
      <c r="S3741" s="405" t="s">
        <v>27205</v>
      </c>
      <c r="T3741" s="405" t="s">
        <v>884</v>
      </c>
      <c r="U3741" s="405" t="s">
        <v>319</v>
      </c>
    </row>
    <row r="3742" spans="1:21" x14ac:dyDescent="0.25">
      <c r="A3742" s="405" t="s">
        <v>310</v>
      </c>
      <c r="B3742" s="405" t="s">
        <v>28347</v>
      </c>
      <c r="C3742" s="405" t="s">
        <v>311</v>
      </c>
      <c r="D3742" s="405" t="s">
        <v>312</v>
      </c>
      <c r="E3742" s="410">
        <v>42432</v>
      </c>
      <c r="F3742" s="410">
        <v>42477</v>
      </c>
      <c r="G3742" s="405" t="s">
        <v>22599</v>
      </c>
      <c r="H3742" s="405">
        <v>772559923</v>
      </c>
      <c r="I3742" s="405"/>
      <c r="J3742" s="405">
        <v>0.33688200000000001</v>
      </c>
      <c r="K3742" s="405">
        <v>30.441462000000001</v>
      </c>
      <c r="L3742" s="405" t="s">
        <v>590</v>
      </c>
      <c r="M3742" s="405" t="s">
        <v>19720</v>
      </c>
      <c r="N3742" s="405" t="s">
        <v>7352</v>
      </c>
      <c r="O3742" s="405" t="s">
        <v>21940</v>
      </c>
      <c r="P3742" s="405" t="s">
        <v>22600</v>
      </c>
      <c r="Q3742" s="411">
        <v>6</v>
      </c>
      <c r="R3742" s="405" t="s">
        <v>6013</v>
      </c>
      <c r="S3742" s="405" t="s">
        <v>27275</v>
      </c>
      <c r="T3742" s="405" t="s">
        <v>884</v>
      </c>
      <c r="U3742" s="405" t="s">
        <v>319</v>
      </c>
    </row>
    <row r="3743" spans="1:21" x14ac:dyDescent="0.25">
      <c r="A3743" s="405" t="s">
        <v>310</v>
      </c>
      <c r="B3743" s="405" t="s">
        <v>27795</v>
      </c>
      <c r="C3743" s="405" t="s">
        <v>327</v>
      </c>
      <c r="D3743" s="405"/>
      <c r="E3743" s="410">
        <v>42431</v>
      </c>
      <c r="F3743" s="410">
        <v>42476</v>
      </c>
      <c r="G3743" s="405" t="s">
        <v>15077</v>
      </c>
      <c r="H3743" s="405">
        <v>772445842</v>
      </c>
      <c r="I3743" s="405"/>
      <c r="J3743" s="405">
        <v>1.044807</v>
      </c>
      <c r="K3743" s="405">
        <v>34.164520000000003</v>
      </c>
      <c r="L3743" s="405" t="s">
        <v>6866</v>
      </c>
      <c r="M3743" s="405" t="s">
        <v>9534</v>
      </c>
      <c r="N3743" s="405" t="s">
        <v>9927</v>
      </c>
      <c r="O3743" s="405" t="s">
        <v>9536</v>
      </c>
      <c r="P3743" s="405" t="s">
        <v>11350</v>
      </c>
      <c r="Q3743" s="411">
        <v>9</v>
      </c>
      <c r="R3743" s="405" t="s">
        <v>7224</v>
      </c>
      <c r="S3743" s="405" t="s">
        <v>27259</v>
      </c>
      <c r="T3743" s="405" t="s">
        <v>32102</v>
      </c>
      <c r="U3743" s="405" t="s">
        <v>319</v>
      </c>
    </row>
    <row r="3744" spans="1:21" x14ac:dyDescent="0.25">
      <c r="A3744" s="405" t="s">
        <v>310</v>
      </c>
      <c r="B3744" s="405" t="s">
        <v>22376</v>
      </c>
      <c r="C3744" s="405" t="s">
        <v>327</v>
      </c>
      <c r="D3744" s="405"/>
      <c r="E3744" s="410">
        <v>42431</v>
      </c>
      <c r="F3744" s="410">
        <v>42476</v>
      </c>
      <c r="G3744" s="405" t="s">
        <v>22377</v>
      </c>
      <c r="H3744" s="405">
        <v>787654636</v>
      </c>
      <c r="I3744" s="405"/>
      <c r="J3744" s="405">
        <v>0.74099999999999999</v>
      </c>
      <c r="K3744" s="405">
        <v>30.216000000000001</v>
      </c>
      <c r="L3744" s="405" t="s">
        <v>590</v>
      </c>
      <c r="M3744" s="405" t="s">
        <v>19720</v>
      </c>
      <c r="N3744" s="405" t="s">
        <v>20297</v>
      </c>
      <c r="O3744" s="405" t="s">
        <v>22033</v>
      </c>
      <c r="P3744" s="405" t="s">
        <v>21257</v>
      </c>
      <c r="Q3744" s="411">
        <v>6</v>
      </c>
      <c r="R3744" s="405" t="s">
        <v>6013</v>
      </c>
      <c r="S3744" s="405" t="s">
        <v>27423</v>
      </c>
      <c r="T3744" s="405" t="s">
        <v>884</v>
      </c>
      <c r="U3744" s="405" t="s">
        <v>319</v>
      </c>
    </row>
    <row r="3745" spans="1:21" x14ac:dyDescent="0.25">
      <c r="A3745" s="405" t="s">
        <v>310</v>
      </c>
      <c r="B3745" s="405" t="s">
        <v>15063</v>
      </c>
      <c r="C3745" s="405" t="s">
        <v>327</v>
      </c>
      <c r="D3745" s="405"/>
      <c r="E3745" s="410">
        <v>42430</v>
      </c>
      <c r="F3745" s="410">
        <v>42475</v>
      </c>
      <c r="G3745" s="405" t="s">
        <v>15064</v>
      </c>
      <c r="H3745" s="405">
        <v>772477929</v>
      </c>
      <c r="I3745" s="405"/>
      <c r="J3745" s="405">
        <v>1.427</v>
      </c>
      <c r="K3745" s="405">
        <v>33.158000000000001</v>
      </c>
      <c r="L3745" s="405" t="s">
        <v>6866</v>
      </c>
      <c r="M3745" s="405" t="s">
        <v>12153</v>
      </c>
      <c r="N3745" s="405" t="s">
        <v>12153</v>
      </c>
      <c r="O3745" s="405" t="s">
        <v>15065</v>
      </c>
      <c r="P3745" s="405" t="s">
        <v>15066</v>
      </c>
      <c r="Q3745" s="411">
        <v>6</v>
      </c>
      <c r="R3745" s="405" t="s">
        <v>5655</v>
      </c>
      <c r="S3745" s="405" t="s">
        <v>27243</v>
      </c>
      <c r="T3745" s="405" t="s">
        <v>32102</v>
      </c>
      <c r="U3745" s="405" t="s">
        <v>319</v>
      </c>
    </row>
    <row r="3746" spans="1:21" x14ac:dyDescent="0.25">
      <c r="A3746" s="405" t="s">
        <v>310</v>
      </c>
      <c r="B3746" s="405" t="s">
        <v>22399</v>
      </c>
      <c r="C3746" s="405" t="s">
        <v>327</v>
      </c>
      <c r="D3746" s="405"/>
      <c r="E3746" s="410">
        <v>42430</v>
      </c>
      <c r="F3746" s="410">
        <v>42475</v>
      </c>
      <c r="G3746" s="405" t="s">
        <v>22400</v>
      </c>
      <c r="H3746" s="405">
        <v>772522936</v>
      </c>
      <c r="I3746" s="405"/>
      <c r="J3746" s="405">
        <v>0.35368788000000001</v>
      </c>
      <c r="K3746" s="405">
        <v>30.425307100000001</v>
      </c>
      <c r="L3746" s="405" t="s">
        <v>590</v>
      </c>
      <c r="M3746" s="405" t="s">
        <v>19720</v>
      </c>
      <c r="N3746" s="405" t="s">
        <v>7352</v>
      </c>
      <c r="O3746" s="405" t="s">
        <v>21940</v>
      </c>
      <c r="P3746" s="405" t="s">
        <v>21708</v>
      </c>
      <c r="Q3746" s="411">
        <v>6</v>
      </c>
      <c r="R3746" s="405" t="s">
        <v>6013</v>
      </c>
      <c r="S3746" s="405" t="s">
        <v>27205</v>
      </c>
      <c r="T3746" s="405" t="s">
        <v>884</v>
      </c>
      <c r="U3746" s="405" t="s">
        <v>319</v>
      </c>
    </row>
    <row r="3747" spans="1:21" x14ac:dyDescent="0.25">
      <c r="A3747" s="405" t="s">
        <v>310</v>
      </c>
      <c r="B3747" s="405" t="s">
        <v>22430</v>
      </c>
      <c r="C3747" s="405" t="s">
        <v>327</v>
      </c>
      <c r="D3747" s="405"/>
      <c r="E3747" s="410">
        <v>42429</v>
      </c>
      <c r="F3747" s="410">
        <v>42474</v>
      </c>
      <c r="G3747" s="405" t="s">
        <v>22431</v>
      </c>
      <c r="H3747" s="405">
        <v>703694440</v>
      </c>
      <c r="I3747" s="405"/>
      <c r="J3747" s="405">
        <v>0.70318499999999995</v>
      </c>
      <c r="K3747" s="405">
        <v>34.216613000000002</v>
      </c>
      <c r="L3747" s="405" t="s">
        <v>590</v>
      </c>
      <c r="M3747" s="405" t="s">
        <v>19725</v>
      </c>
      <c r="N3747" s="405" t="s">
        <v>20013</v>
      </c>
      <c r="O3747" s="405" t="s">
        <v>20013</v>
      </c>
      <c r="P3747" s="405" t="s">
        <v>22432</v>
      </c>
      <c r="Q3747" s="411">
        <v>13</v>
      </c>
      <c r="R3747" s="405" t="s">
        <v>32166</v>
      </c>
      <c r="S3747" s="405" t="s">
        <v>27401</v>
      </c>
      <c r="T3747" s="405" t="s">
        <v>884</v>
      </c>
      <c r="U3747" s="405" t="s">
        <v>319</v>
      </c>
    </row>
    <row r="3748" spans="1:21" x14ac:dyDescent="0.25">
      <c r="A3748" s="405" t="s">
        <v>310</v>
      </c>
      <c r="B3748" s="405" t="s">
        <v>22373</v>
      </c>
      <c r="C3748" s="405" t="s">
        <v>327</v>
      </c>
      <c r="D3748" s="405"/>
      <c r="E3748" s="410">
        <v>42427</v>
      </c>
      <c r="F3748" s="410">
        <v>42472</v>
      </c>
      <c r="G3748" s="405" t="s">
        <v>22374</v>
      </c>
      <c r="H3748" s="405">
        <v>775802623</v>
      </c>
      <c r="I3748" s="405"/>
      <c r="J3748" s="405">
        <v>0.1041</v>
      </c>
      <c r="K3748" s="405">
        <v>30.276</v>
      </c>
      <c r="L3748" s="405" t="s">
        <v>590</v>
      </c>
      <c r="M3748" s="405" t="s">
        <v>19720</v>
      </c>
      <c r="N3748" s="405" t="s">
        <v>7352</v>
      </c>
      <c r="O3748" s="405" t="s">
        <v>19720</v>
      </c>
      <c r="P3748" s="405" t="s">
        <v>22375</v>
      </c>
      <c r="Q3748" s="411">
        <v>6</v>
      </c>
      <c r="R3748" s="405" t="s">
        <v>6013</v>
      </c>
      <c r="S3748" s="405" t="s">
        <v>27301</v>
      </c>
      <c r="T3748" s="405" t="s">
        <v>884</v>
      </c>
      <c r="U3748" s="405" t="s">
        <v>319</v>
      </c>
    </row>
    <row r="3749" spans="1:21" x14ac:dyDescent="0.25">
      <c r="A3749" s="405" t="s">
        <v>310</v>
      </c>
      <c r="B3749" s="405" t="s">
        <v>22370</v>
      </c>
      <c r="C3749" s="405" t="s">
        <v>327</v>
      </c>
      <c r="D3749" s="405"/>
      <c r="E3749" s="410">
        <v>42427</v>
      </c>
      <c r="F3749" s="410">
        <v>42472</v>
      </c>
      <c r="G3749" s="405" t="s">
        <v>22371</v>
      </c>
      <c r="H3749" s="405">
        <v>782370787</v>
      </c>
      <c r="I3749" s="405"/>
      <c r="J3749" s="405">
        <v>0.22589999999999999</v>
      </c>
      <c r="K3749" s="405">
        <v>30.2712</v>
      </c>
      <c r="L3749" s="405" t="s">
        <v>590</v>
      </c>
      <c r="M3749" s="405" t="s">
        <v>19720</v>
      </c>
      <c r="N3749" s="405" t="s">
        <v>7352</v>
      </c>
      <c r="O3749" s="405" t="s">
        <v>21991</v>
      </c>
      <c r="P3749" s="405" t="s">
        <v>22372</v>
      </c>
      <c r="Q3749" s="411">
        <v>6</v>
      </c>
      <c r="R3749" s="405" t="s">
        <v>6013</v>
      </c>
      <c r="S3749" s="405" t="s">
        <v>27205</v>
      </c>
      <c r="T3749" s="405" t="s">
        <v>32102</v>
      </c>
      <c r="U3749" s="405" t="s">
        <v>319</v>
      </c>
    </row>
    <row r="3750" spans="1:21" x14ac:dyDescent="0.25">
      <c r="A3750" s="405" t="s">
        <v>310</v>
      </c>
      <c r="B3750" s="405" t="s">
        <v>22568</v>
      </c>
      <c r="C3750" s="405" t="s">
        <v>311</v>
      </c>
      <c r="D3750" s="405" t="s">
        <v>33062</v>
      </c>
      <c r="E3750" s="410">
        <v>42426</v>
      </c>
      <c r="F3750" s="410">
        <v>42471</v>
      </c>
      <c r="G3750" s="405" t="s">
        <v>22569</v>
      </c>
      <c r="H3750" s="405">
        <v>772954134</v>
      </c>
      <c r="I3750" s="405"/>
      <c r="J3750" s="405">
        <v>0.2881764</v>
      </c>
      <c r="K3750" s="405">
        <v>30.5592033</v>
      </c>
      <c r="L3750" s="405" t="s">
        <v>590</v>
      </c>
      <c r="M3750" s="405" t="s">
        <v>19720</v>
      </c>
      <c r="N3750" s="405" t="s">
        <v>22346</v>
      </c>
      <c r="O3750" s="405" t="s">
        <v>11792</v>
      </c>
      <c r="P3750" s="405" t="s">
        <v>22570</v>
      </c>
      <c r="Q3750" s="411">
        <v>6</v>
      </c>
      <c r="R3750" s="405" t="s">
        <v>6013</v>
      </c>
      <c r="S3750" s="405" t="s">
        <v>27422</v>
      </c>
      <c r="T3750" s="405" t="s">
        <v>884</v>
      </c>
      <c r="U3750" s="405" t="s">
        <v>319</v>
      </c>
    </row>
    <row r="3751" spans="1:21" x14ac:dyDescent="0.25">
      <c r="A3751" s="405" t="s">
        <v>310</v>
      </c>
      <c r="B3751" s="405" t="s">
        <v>27960</v>
      </c>
      <c r="C3751" s="405" t="s">
        <v>327</v>
      </c>
      <c r="D3751" s="405"/>
      <c r="E3751" s="410">
        <v>42425</v>
      </c>
      <c r="F3751" s="410">
        <v>42470</v>
      </c>
      <c r="G3751" s="405" t="s">
        <v>5970</v>
      </c>
      <c r="H3751" s="405">
        <v>752999995</v>
      </c>
      <c r="I3751" s="405"/>
      <c r="J3751" s="405">
        <v>0.24</v>
      </c>
      <c r="K3751" s="405">
        <v>32.42</v>
      </c>
      <c r="L3751" s="405" t="s">
        <v>314</v>
      </c>
      <c r="M3751" s="405" t="s">
        <v>329</v>
      </c>
      <c r="N3751" s="405" t="s">
        <v>5442</v>
      </c>
      <c r="O3751" s="405" t="s">
        <v>787</v>
      </c>
      <c r="P3751" s="405" t="s">
        <v>5971</v>
      </c>
      <c r="Q3751" s="411">
        <v>9</v>
      </c>
      <c r="R3751" s="405" t="s">
        <v>5665</v>
      </c>
      <c r="S3751" s="405" t="s">
        <v>27110</v>
      </c>
      <c r="T3751" s="405" t="s">
        <v>884</v>
      </c>
      <c r="U3751" s="405" t="s">
        <v>319</v>
      </c>
    </row>
    <row r="3752" spans="1:21" x14ac:dyDescent="0.25">
      <c r="A3752" s="405" t="s">
        <v>310</v>
      </c>
      <c r="B3752" s="405" t="s">
        <v>28016</v>
      </c>
      <c r="C3752" s="405" t="s">
        <v>327</v>
      </c>
      <c r="D3752" s="405"/>
      <c r="E3752" s="410">
        <v>42425</v>
      </c>
      <c r="F3752" s="410">
        <v>42470</v>
      </c>
      <c r="G3752" s="405" t="s">
        <v>5998</v>
      </c>
      <c r="H3752" s="405">
        <v>706250906</v>
      </c>
      <c r="I3752" s="405"/>
      <c r="J3752" s="405">
        <v>0.13481699999999999</v>
      </c>
      <c r="K3752" s="405">
        <v>31.895714999999999</v>
      </c>
      <c r="L3752" s="405" t="s">
        <v>314</v>
      </c>
      <c r="M3752" s="405" t="s">
        <v>900</v>
      </c>
      <c r="N3752" s="405" t="s">
        <v>5999</v>
      </c>
      <c r="O3752" s="405" t="s">
        <v>5999</v>
      </c>
      <c r="P3752" s="405" t="s">
        <v>1360</v>
      </c>
      <c r="Q3752" s="411">
        <v>6</v>
      </c>
      <c r="R3752" s="405" t="s">
        <v>402</v>
      </c>
      <c r="S3752" s="405" t="s">
        <v>27139</v>
      </c>
      <c r="T3752" s="405" t="s">
        <v>884</v>
      </c>
      <c r="U3752" s="405" t="s">
        <v>319</v>
      </c>
    </row>
    <row r="3753" spans="1:21" x14ac:dyDescent="0.25">
      <c r="A3753" s="405" t="s">
        <v>310</v>
      </c>
      <c r="B3753" s="405" t="s">
        <v>28366</v>
      </c>
      <c r="C3753" s="405" t="s">
        <v>327</v>
      </c>
      <c r="D3753" s="405"/>
      <c r="E3753" s="410">
        <v>42423</v>
      </c>
      <c r="F3753" s="410">
        <v>42468</v>
      </c>
      <c r="G3753" s="405" t="s">
        <v>22381</v>
      </c>
      <c r="H3753" s="405">
        <v>782470357</v>
      </c>
      <c r="I3753" s="405"/>
      <c r="J3753" s="405">
        <v>0.28875499999999998</v>
      </c>
      <c r="K3753" s="405">
        <v>30.601222</v>
      </c>
      <c r="L3753" s="405" t="s">
        <v>590</v>
      </c>
      <c r="M3753" s="405" t="s">
        <v>19720</v>
      </c>
      <c r="N3753" s="405" t="s">
        <v>22346</v>
      </c>
      <c r="O3753" s="405" t="s">
        <v>22382</v>
      </c>
      <c r="P3753" s="405" t="s">
        <v>22383</v>
      </c>
      <c r="Q3753" s="411">
        <v>6</v>
      </c>
      <c r="R3753" s="405" t="s">
        <v>6013</v>
      </c>
      <c r="S3753" s="405" t="s">
        <v>27423</v>
      </c>
      <c r="T3753" s="405" t="s">
        <v>884</v>
      </c>
      <c r="U3753" s="405" t="s">
        <v>319</v>
      </c>
    </row>
    <row r="3754" spans="1:21" x14ac:dyDescent="0.25">
      <c r="A3754" s="405" t="s">
        <v>310</v>
      </c>
      <c r="B3754" s="405" t="s">
        <v>18961</v>
      </c>
      <c r="C3754" s="405" t="s">
        <v>327</v>
      </c>
      <c r="D3754" s="405"/>
      <c r="E3754" s="410">
        <v>42423</v>
      </c>
      <c r="F3754" s="410">
        <v>42468</v>
      </c>
      <c r="G3754" s="405" t="s">
        <v>18962</v>
      </c>
      <c r="H3754" s="405">
        <v>782404316</v>
      </c>
      <c r="I3754" s="405">
        <v>759404316</v>
      </c>
      <c r="J3754" s="405">
        <v>2.222718</v>
      </c>
      <c r="K3754" s="405">
        <v>32.903511999999999</v>
      </c>
      <c r="L3754" s="405" t="s">
        <v>860</v>
      </c>
      <c r="M3754" s="405" t="s">
        <v>18234</v>
      </c>
      <c r="N3754" s="405" t="s">
        <v>18252</v>
      </c>
      <c r="O3754" s="405" t="s">
        <v>18253</v>
      </c>
      <c r="P3754" s="405" t="s">
        <v>18963</v>
      </c>
      <c r="Q3754" s="411">
        <v>6</v>
      </c>
      <c r="R3754" s="405" t="s">
        <v>525</v>
      </c>
      <c r="S3754" s="405" t="s">
        <v>27179</v>
      </c>
      <c r="T3754" s="405" t="s">
        <v>884</v>
      </c>
      <c r="U3754" s="405" t="s">
        <v>319</v>
      </c>
    </row>
    <row r="3755" spans="1:21" x14ac:dyDescent="0.25">
      <c r="A3755" s="405" t="s">
        <v>310</v>
      </c>
      <c r="B3755" s="405" t="s">
        <v>15462</v>
      </c>
      <c r="C3755" s="405" t="s">
        <v>311</v>
      </c>
      <c r="D3755" s="405" t="s">
        <v>3381</v>
      </c>
      <c r="E3755" s="410">
        <v>42421</v>
      </c>
      <c r="F3755" s="410">
        <v>42466</v>
      </c>
      <c r="G3755" s="405" t="s">
        <v>15463</v>
      </c>
      <c r="H3755" s="405">
        <v>756893716</v>
      </c>
      <c r="I3755" s="405"/>
      <c r="J3755" s="405">
        <v>1.3011999999999999</v>
      </c>
      <c r="K3755" s="405">
        <v>30.751000000000001</v>
      </c>
      <c r="L3755" s="405" t="s">
        <v>6866</v>
      </c>
      <c r="M3755" s="405" t="s">
        <v>9658</v>
      </c>
      <c r="N3755" s="405" t="s">
        <v>11057</v>
      </c>
      <c r="O3755" s="405" t="s">
        <v>11058</v>
      </c>
      <c r="P3755" s="405" t="s">
        <v>15464</v>
      </c>
      <c r="Q3755" s="411">
        <v>6</v>
      </c>
      <c r="R3755" s="405" t="s">
        <v>5655</v>
      </c>
      <c r="S3755" s="405" t="s">
        <v>27072</v>
      </c>
      <c r="T3755" s="405" t="s">
        <v>884</v>
      </c>
      <c r="U3755" s="405" t="s">
        <v>319</v>
      </c>
    </row>
    <row r="3756" spans="1:21" x14ac:dyDescent="0.25">
      <c r="A3756" s="405" t="s">
        <v>310</v>
      </c>
      <c r="B3756" s="405" t="s">
        <v>15060</v>
      </c>
      <c r="C3756" s="405" t="s">
        <v>327</v>
      </c>
      <c r="D3756" s="405"/>
      <c r="E3756" s="410">
        <v>42420</v>
      </c>
      <c r="F3756" s="410">
        <v>42465</v>
      </c>
      <c r="G3756" s="405" t="s">
        <v>15061</v>
      </c>
      <c r="H3756" s="405">
        <v>785767778</v>
      </c>
      <c r="I3756" s="405"/>
      <c r="J3756" s="405">
        <v>0.74275000000000002</v>
      </c>
      <c r="K3756" s="405">
        <v>29.874088</v>
      </c>
      <c r="L3756" s="405" t="s">
        <v>6866</v>
      </c>
      <c r="M3756" s="405" t="s">
        <v>10390</v>
      </c>
      <c r="N3756" s="405" t="s">
        <v>13715</v>
      </c>
      <c r="O3756" s="405" t="s">
        <v>9989</v>
      </c>
      <c r="P3756" s="405" t="s">
        <v>15062</v>
      </c>
      <c r="Q3756" s="411">
        <v>6</v>
      </c>
      <c r="R3756" s="405" t="s">
        <v>5336</v>
      </c>
      <c r="S3756" s="405" t="s">
        <v>27054</v>
      </c>
      <c r="T3756" s="405" t="s">
        <v>884</v>
      </c>
      <c r="U3756" s="405" t="s">
        <v>319</v>
      </c>
    </row>
    <row r="3757" spans="1:21" x14ac:dyDescent="0.25">
      <c r="A3757" s="405" t="s">
        <v>310</v>
      </c>
      <c r="B3757" s="405" t="s">
        <v>32473</v>
      </c>
      <c r="C3757" s="405" t="s">
        <v>311</v>
      </c>
      <c r="D3757" s="405" t="s">
        <v>1142</v>
      </c>
      <c r="E3757" s="410">
        <v>42418</v>
      </c>
      <c r="F3757" s="410">
        <v>42463</v>
      </c>
      <c r="G3757" s="405" t="s">
        <v>6612</v>
      </c>
      <c r="H3757" s="405">
        <v>772689197</v>
      </c>
      <c r="I3757" s="405">
        <v>772909540</v>
      </c>
      <c r="J3757" s="405">
        <v>0.33845999999999998</v>
      </c>
      <c r="K3757" s="405">
        <v>32.465342999999997</v>
      </c>
      <c r="L3757" s="405" t="s">
        <v>314</v>
      </c>
      <c r="M3757" s="405" t="s">
        <v>959</v>
      </c>
      <c r="N3757" s="405" t="s">
        <v>6613</v>
      </c>
      <c r="O3757" s="405" t="s">
        <v>2921</v>
      </c>
      <c r="P3757" s="405" t="s">
        <v>2684</v>
      </c>
      <c r="Q3757" s="411">
        <v>13</v>
      </c>
      <c r="R3757" s="405" t="s">
        <v>5336</v>
      </c>
      <c r="S3757" s="405" t="s">
        <v>27174</v>
      </c>
      <c r="T3757" s="405" t="s">
        <v>884</v>
      </c>
      <c r="U3757" s="405" t="s">
        <v>319</v>
      </c>
    </row>
    <row r="3758" spans="1:21" x14ac:dyDescent="0.25">
      <c r="A3758" s="405" t="s">
        <v>310</v>
      </c>
      <c r="B3758" s="405" t="s">
        <v>27882</v>
      </c>
      <c r="C3758" s="405" t="s">
        <v>327</v>
      </c>
      <c r="D3758" s="405"/>
      <c r="E3758" s="410">
        <v>42418</v>
      </c>
      <c r="F3758" s="410">
        <v>42463</v>
      </c>
      <c r="G3758" s="405" t="s">
        <v>6005</v>
      </c>
      <c r="H3758" s="405">
        <v>772641575</v>
      </c>
      <c r="I3758" s="405"/>
      <c r="J3758" s="405">
        <v>0.30549999999999999</v>
      </c>
      <c r="K3758" s="405">
        <v>31.293600000000001</v>
      </c>
      <c r="L3758" s="405" t="s">
        <v>314</v>
      </c>
      <c r="M3758" s="405" t="s">
        <v>361</v>
      </c>
      <c r="N3758" s="405" t="s">
        <v>362</v>
      </c>
      <c r="O3758" s="405" t="s">
        <v>410</v>
      </c>
      <c r="P3758" s="405" t="s">
        <v>962</v>
      </c>
      <c r="Q3758" s="411">
        <v>9</v>
      </c>
      <c r="R3758" s="405" t="s">
        <v>353</v>
      </c>
      <c r="S3758" s="405" t="s">
        <v>5986</v>
      </c>
      <c r="T3758" s="405" t="s">
        <v>884</v>
      </c>
      <c r="U3758" s="405" t="s">
        <v>319</v>
      </c>
    </row>
    <row r="3759" spans="1:21" x14ac:dyDescent="0.25">
      <c r="A3759" s="405" t="s">
        <v>310</v>
      </c>
      <c r="B3759" s="405" t="s">
        <v>27610</v>
      </c>
      <c r="C3759" s="405" t="s">
        <v>327</v>
      </c>
      <c r="D3759" s="405"/>
      <c r="E3759" s="410">
        <v>42418</v>
      </c>
      <c r="F3759" s="410">
        <v>42463</v>
      </c>
      <c r="G3759" s="405" t="s">
        <v>6000</v>
      </c>
      <c r="H3759" s="405">
        <v>782527432</v>
      </c>
      <c r="I3759" s="405"/>
      <c r="J3759" s="405">
        <v>0.30549999999999999</v>
      </c>
      <c r="K3759" s="405">
        <v>31.293600000000001</v>
      </c>
      <c r="L3759" s="405" t="s">
        <v>314</v>
      </c>
      <c r="M3759" s="405" t="s">
        <v>1189</v>
      </c>
      <c r="N3759" s="405" t="s">
        <v>1189</v>
      </c>
      <c r="O3759" s="405" t="s">
        <v>3973</v>
      </c>
      <c r="P3759" s="405" t="s">
        <v>3974</v>
      </c>
      <c r="Q3759" s="411">
        <v>6</v>
      </c>
      <c r="R3759" s="405" t="s">
        <v>402</v>
      </c>
      <c r="S3759" s="405" t="s">
        <v>5986</v>
      </c>
      <c r="T3759" s="405" t="s">
        <v>884</v>
      </c>
      <c r="U3759" s="405" t="s">
        <v>319</v>
      </c>
    </row>
    <row r="3760" spans="1:21" x14ac:dyDescent="0.25">
      <c r="A3760" s="405" t="s">
        <v>310</v>
      </c>
      <c r="B3760" s="405" t="s">
        <v>22565</v>
      </c>
      <c r="C3760" s="405" t="s">
        <v>311</v>
      </c>
      <c r="D3760" s="405" t="s">
        <v>22566</v>
      </c>
      <c r="E3760" s="410">
        <v>42417</v>
      </c>
      <c r="F3760" s="410">
        <v>42462</v>
      </c>
      <c r="G3760" s="405" t="s">
        <v>22567</v>
      </c>
      <c r="H3760" s="405">
        <v>772995086</v>
      </c>
      <c r="I3760" s="405"/>
      <c r="J3760" s="405">
        <v>0.13708799999999999</v>
      </c>
      <c r="K3760" s="405">
        <v>30.34750515</v>
      </c>
      <c r="L3760" s="405" t="s">
        <v>590</v>
      </c>
      <c r="M3760" s="405" t="s">
        <v>19720</v>
      </c>
      <c r="N3760" s="405" t="s">
        <v>20297</v>
      </c>
      <c r="O3760" s="405" t="s">
        <v>22033</v>
      </c>
      <c r="P3760" s="405" t="s">
        <v>21257</v>
      </c>
      <c r="Q3760" s="411">
        <v>6</v>
      </c>
      <c r="R3760" s="405" t="s">
        <v>6013</v>
      </c>
      <c r="S3760" s="405" t="s">
        <v>27422</v>
      </c>
      <c r="T3760" s="405" t="s">
        <v>6551</v>
      </c>
      <c r="U3760" s="405" t="s">
        <v>2267</v>
      </c>
    </row>
    <row r="3761" spans="1:21" x14ac:dyDescent="0.25">
      <c r="A3761" s="405" t="s">
        <v>310</v>
      </c>
      <c r="B3761" s="405" t="s">
        <v>22378</v>
      </c>
      <c r="C3761" s="405" t="s">
        <v>327</v>
      </c>
      <c r="D3761" s="405"/>
      <c r="E3761" s="410">
        <v>42416</v>
      </c>
      <c r="F3761" s="410">
        <v>42461</v>
      </c>
      <c r="G3761" s="405" t="s">
        <v>22379</v>
      </c>
      <c r="H3761" s="405">
        <v>774346316</v>
      </c>
      <c r="I3761" s="405"/>
      <c r="J3761" s="405">
        <v>0.19506565000000001</v>
      </c>
      <c r="K3761" s="405">
        <v>30.632172000000001</v>
      </c>
      <c r="L3761" s="405" t="s">
        <v>590</v>
      </c>
      <c r="M3761" s="405" t="s">
        <v>19720</v>
      </c>
      <c r="N3761" s="405" t="s">
        <v>22346</v>
      </c>
      <c r="O3761" s="405" t="s">
        <v>19722</v>
      </c>
      <c r="P3761" s="405" t="s">
        <v>22380</v>
      </c>
      <c r="Q3761" s="411">
        <v>6</v>
      </c>
      <c r="R3761" s="405" t="s">
        <v>6013</v>
      </c>
      <c r="S3761" s="405" t="s">
        <v>27423</v>
      </c>
      <c r="T3761" s="405" t="s">
        <v>32102</v>
      </c>
      <c r="U3761" s="405" t="s">
        <v>319</v>
      </c>
    </row>
    <row r="3762" spans="1:21" x14ac:dyDescent="0.25">
      <c r="A3762" s="405" t="s">
        <v>310</v>
      </c>
      <c r="B3762" s="405" t="s">
        <v>15085</v>
      </c>
      <c r="C3762" s="405" t="s">
        <v>327</v>
      </c>
      <c r="D3762" s="405"/>
      <c r="E3762" s="410">
        <v>42416</v>
      </c>
      <c r="F3762" s="410">
        <v>42461</v>
      </c>
      <c r="G3762" s="405" t="s">
        <v>15086</v>
      </c>
      <c r="H3762" s="405">
        <v>771625781</v>
      </c>
      <c r="I3762" s="405"/>
      <c r="J3762" s="405">
        <v>1.2831250000000001</v>
      </c>
      <c r="K3762" s="405">
        <v>33.916677</v>
      </c>
      <c r="L3762" s="405" t="s">
        <v>6866</v>
      </c>
      <c r="M3762" s="405" t="s">
        <v>9658</v>
      </c>
      <c r="N3762" s="405" t="s">
        <v>11057</v>
      </c>
      <c r="O3762" s="405" t="s">
        <v>14099</v>
      </c>
      <c r="P3762" s="405" t="s">
        <v>15087</v>
      </c>
      <c r="Q3762" s="411">
        <v>6</v>
      </c>
      <c r="R3762" s="405" t="s">
        <v>5655</v>
      </c>
      <c r="S3762" s="405" t="s">
        <v>27337</v>
      </c>
      <c r="T3762" s="405" t="s">
        <v>884</v>
      </c>
      <c r="U3762" s="405" t="s">
        <v>319</v>
      </c>
    </row>
    <row r="3763" spans="1:21" x14ac:dyDescent="0.25">
      <c r="A3763" s="405" t="s">
        <v>310</v>
      </c>
      <c r="B3763" s="405" t="s">
        <v>22325</v>
      </c>
      <c r="C3763" s="405" t="s">
        <v>327</v>
      </c>
      <c r="D3763" s="405"/>
      <c r="E3763" s="410">
        <v>42415</v>
      </c>
      <c r="F3763" s="410">
        <v>42460</v>
      </c>
      <c r="G3763" s="405" t="s">
        <v>22326</v>
      </c>
      <c r="H3763" s="405">
        <v>701421214</v>
      </c>
      <c r="I3763" s="405"/>
      <c r="J3763" s="405">
        <v>0.453065</v>
      </c>
      <c r="K3763" s="405">
        <v>31.032817999999999</v>
      </c>
      <c r="L3763" s="405" t="s">
        <v>590</v>
      </c>
      <c r="M3763" s="405" t="s">
        <v>19705</v>
      </c>
      <c r="N3763" s="405" t="s">
        <v>19706</v>
      </c>
      <c r="O3763" s="405" t="s">
        <v>22327</v>
      </c>
      <c r="P3763" s="405" t="s">
        <v>22328</v>
      </c>
      <c r="Q3763" s="411">
        <v>6</v>
      </c>
      <c r="R3763" s="405" t="s">
        <v>874</v>
      </c>
      <c r="S3763" s="405" t="s">
        <v>27249</v>
      </c>
      <c r="T3763" s="405" t="s">
        <v>32102</v>
      </c>
      <c r="U3763" s="405" t="s">
        <v>319</v>
      </c>
    </row>
    <row r="3764" spans="1:21" x14ac:dyDescent="0.25">
      <c r="A3764" s="405" t="s">
        <v>310</v>
      </c>
      <c r="B3764" s="405" t="s">
        <v>22342</v>
      </c>
      <c r="C3764" s="405" t="s">
        <v>327</v>
      </c>
      <c r="D3764" s="405"/>
      <c r="E3764" s="410">
        <v>42415</v>
      </c>
      <c r="F3764" s="410">
        <v>42460</v>
      </c>
      <c r="G3764" s="405" t="s">
        <v>22343</v>
      </c>
      <c r="H3764" s="405">
        <v>775459625</v>
      </c>
      <c r="I3764" s="405"/>
      <c r="J3764" s="405">
        <v>0.11210000000000001</v>
      </c>
      <c r="K3764" s="405">
        <v>30.285799999999998</v>
      </c>
      <c r="L3764" s="405" t="s">
        <v>590</v>
      </c>
      <c r="M3764" s="405" t="s">
        <v>19720</v>
      </c>
      <c r="N3764" s="405" t="s">
        <v>7352</v>
      </c>
      <c r="O3764" s="405" t="s">
        <v>19720</v>
      </c>
      <c r="P3764" s="405" t="s">
        <v>5876</v>
      </c>
      <c r="Q3764" s="411">
        <v>6</v>
      </c>
      <c r="R3764" s="405" t="s">
        <v>6013</v>
      </c>
      <c r="S3764" s="405" t="s">
        <v>27205</v>
      </c>
      <c r="T3764" s="405" t="s">
        <v>32102</v>
      </c>
      <c r="U3764" s="405" t="s">
        <v>319</v>
      </c>
    </row>
    <row r="3765" spans="1:21" x14ac:dyDescent="0.25">
      <c r="A3765" s="405" t="s">
        <v>310</v>
      </c>
      <c r="B3765" s="405" t="s">
        <v>6562</v>
      </c>
      <c r="C3765" s="405" t="s">
        <v>311</v>
      </c>
      <c r="D3765" s="405" t="s">
        <v>1789</v>
      </c>
      <c r="E3765" s="410">
        <v>42415</v>
      </c>
      <c r="F3765" s="410">
        <v>42460</v>
      </c>
      <c r="G3765" s="405" t="s">
        <v>6563</v>
      </c>
      <c r="H3765" s="405">
        <v>775293173</v>
      </c>
      <c r="I3765" s="405"/>
      <c r="J3765" s="405">
        <v>1.4047350000000001</v>
      </c>
      <c r="K3765" s="405">
        <v>34.464455000000001</v>
      </c>
      <c r="L3765" s="405" t="s">
        <v>314</v>
      </c>
      <c r="M3765" s="405" t="s">
        <v>904</v>
      </c>
      <c r="N3765" s="405" t="s">
        <v>900</v>
      </c>
      <c r="O3765" s="405" t="s">
        <v>2335</v>
      </c>
      <c r="P3765" s="405" t="s">
        <v>6564</v>
      </c>
      <c r="Q3765" s="411">
        <v>6</v>
      </c>
      <c r="R3765" s="405" t="s">
        <v>402</v>
      </c>
      <c r="S3765" s="405" t="s">
        <v>27052</v>
      </c>
      <c r="T3765" s="405" t="s">
        <v>865</v>
      </c>
      <c r="U3765" s="405" t="s">
        <v>866</v>
      </c>
    </row>
    <row r="3766" spans="1:21" x14ac:dyDescent="0.25">
      <c r="A3766" s="405" t="s">
        <v>310</v>
      </c>
      <c r="B3766" s="405" t="s">
        <v>28008</v>
      </c>
      <c r="C3766" s="405" t="s">
        <v>327</v>
      </c>
      <c r="D3766" s="405"/>
      <c r="E3766" s="410">
        <v>42413</v>
      </c>
      <c r="F3766" s="410">
        <v>42447</v>
      </c>
      <c r="G3766" s="405" t="s">
        <v>15431</v>
      </c>
      <c r="H3766" s="405">
        <v>781529947</v>
      </c>
      <c r="I3766" s="405"/>
      <c r="J3766" s="405">
        <v>0.29599999999999999</v>
      </c>
      <c r="K3766" s="405">
        <v>33.375500000000002</v>
      </c>
      <c r="L3766" s="405" t="s">
        <v>6866</v>
      </c>
      <c r="M3766" s="405" t="s">
        <v>13470</v>
      </c>
      <c r="N3766" s="405" t="s">
        <v>13471</v>
      </c>
      <c r="O3766" s="405" t="s">
        <v>14315</v>
      </c>
      <c r="P3766" s="405" t="s">
        <v>15432</v>
      </c>
      <c r="Q3766" s="411">
        <v>6</v>
      </c>
      <c r="R3766" s="405" t="s">
        <v>5655</v>
      </c>
      <c r="S3766" s="405" t="s">
        <v>27351</v>
      </c>
      <c r="T3766" s="405" t="s">
        <v>884</v>
      </c>
      <c r="U3766" s="405" t="s">
        <v>319</v>
      </c>
    </row>
    <row r="3767" spans="1:21" x14ac:dyDescent="0.25">
      <c r="A3767" s="405" t="s">
        <v>310</v>
      </c>
      <c r="B3767" s="405" t="s">
        <v>27883</v>
      </c>
      <c r="C3767" s="405" t="s">
        <v>327</v>
      </c>
      <c r="D3767" s="405"/>
      <c r="E3767" s="410">
        <v>42412</v>
      </c>
      <c r="F3767" s="410">
        <v>42457</v>
      </c>
      <c r="G3767" s="405" t="s">
        <v>5958</v>
      </c>
      <c r="H3767" s="405">
        <v>783754619</v>
      </c>
      <c r="I3767" s="405">
        <v>703260752</v>
      </c>
      <c r="J3767" s="405">
        <v>0.23899999999999999</v>
      </c>
      <c r="K3767" s="405">
        <v>31.4252</v>
      </c>
      <c r="L3767" s="405" t="s">
        <v>314</v>
      </c>
      <c r="M3767" s="405" t="s">
        <v>382</v>
      </c>
      <c r="N3767" s="405" t="s">
        <v>383</v>
      </c>
      <c r="O3767" s="405" t="s">
        <v>894</v>
      </c>
      <c r="P3767" s="405" t="s">
        <v>5451</v>
      </c>
      <c r="Q3767" s="411">
        <v>13</v>
      </c>
      <c r="R3767" s="405" t="s">
        <v>402</v>
      </c>
      <c r="S3767" s="405" t="s">
        <v>27052</v>
      </c>
      <c r="T3767" s="405" t="s">
        <v>865</v>
      </c>
      <c r="U3767" s="405" t="s">
        <v>866</v>
      </c>
    </row>
    <row r="3768" spans="1:21" x14ac:dyDescent="0.25">
      <c r="A3768" s="405" t="s">
        <v>310</v>
      </c>
      <c r="B3768" s="405" t="s">
        <v>6548</v>
      </c>
      <c r="C3768" s="405" t="s">
        <v>311</v>
      </c>
      <c r="D3768" s="405" t="s">
        <v>6549</v>
      </c>
      <c r="E3768" s="410">
        <v>42412</v>
      </c>
      <c r="F3768" s="410">
        <v>42457</v>
      </c>
      <c r="G3768" s="405" t="s">
        <v>6550</v>
      </c>
      <c r="H3768" s="405">
        <v>700481800</v>
      </c>
      <c r="I3768" s="405"/>
      <c r="J3768" s="405">
        <v>0.1825</v>
      </c>
      <c r="K3768" s="405">
        <v>32.392899999999997</v>
      </c>
      <c r="L3768" s="405" t="s">
        <v>314</v>
      </c>
      <c r="M3768" s="405" t="s">
        <v>992</v>
      </c>
      <c r="N3768" s="405" t="s">
        <v>987</v>
      </c>
      <c r="O3768" s="405" t="s">
        <v>987</v>
      </c>
      <c r="P3768" s="405" t="s">
        <v>3410</v>
      </c>
      <c r="Q3768" s="411">
        <v>6</v>
      </c>
      <c r="R3768" s="405" t="s">
        <v>414</v>
      </c>
      <c r="S3768" s="405" t="s">
        <v>27049</v>
      </c>
      <c r="T3768" s="405" t="s">
        <v>884</v>
      </c>
      <c r="U3768" s="405" t="s">
        <v>319</v>
      </c>
    </row>
    <row r="3769" spans="1:21" x14ac:dyDescent="0.25">
      <c r="A3769" s="405" t="s">
        <v>310</v>
      </c>
      <c r="B3769" s="405" t="s">
        <v>22331</v>
      </c>
      <c r="C3769" s="405" t="s">
        <v>327</v>
      </c>
      <c r="D3769" s="405"/>
      <c r="E3769" s="410">
        <v>42412</v>
      </c>
      <c r="F3769" s="410">
        <v>42457</v>
      </c>
      <c r="G3769" s="405" t="s">
        <v>22332</v>
      </c>
      <c r="H3769" s="405">
        <v>781665429</v>
      </c>
      <c r="I3769" s="405"/>
      <c r="J3769" s="405">
        <v>0.72499999999999998</v>
      </c>
      <c r="K3769" s="405">
        <v>30.253799999999998</v>
      </c>
      <c r="L3769" s="405" t="s">
        <v>590</v>
      </c>
      <c r="M3769" s="405" t="s">
        <v>19720</v>
      </c>
      <c r="N3769" s="405" t="s">
        <v>20297</v>
      </c>
      <c r="O3769" s="405" t="s">
        <v>22056</v>
      </c>
      <c r="P3769" s="405" t="s">
        <v>22333</v>
      </c>
      <c r="Q3769" s="411">
        <v>6</v>
      </c>
      <c r="R3769" s="405" t="s">
        <v>6013</v>
      </c>
      <c r="S3769" s="405" t="s">
        <v>27205</v>
      </c>
      <c r="T3769" s="405" t="s">
        <v>884</v>
      </c>
      <c r="U3769" s="405" t="s">
        <v>319</v>
      </c>
    </row>
    <row r="3770" spans="1:21" x14ac:dyDescent="0.25">
      <c r="A3770" s="405" t="s">
        <v>310</v>
      </c>
      <c r="B3770" s="405" t="s">
        <v>22344</v>
      </c>
      <c r="C3770" s="405" t="s">
        <v>327</v>
      </c>
      <c r="D3770" s="405"/>
      <c r="E3770" s="410">
        <v>42411</v>
      </c>
      <c r="F3770" s="410">
        <v>42456</v>
      </c>
      <c r="G3770" s="405" t="s">
        <v>22345</v>
      </c>
      <c r="H3770" s="405">
        <v>774784335</v>
      </c>
      <c r="I3770" s="405"/>
      <c r="J3770" s="405">
        <v>1.2535719999999999</v>
      </c>
      <c r="K3770" s="405">
        <v>34.330517</v>
      </c>
      <c r="L3770" s="405" t="s">
        <v>590</v>
      </c>
      <c r="M3770" s="405" t="s">
        <v>19720</v>
      </c>
      <c r="N3770" s="405" t="s">
        <v>22346</v>
      </c>
      <c r="O3770" s="405" t="s">
        <v>11792</v>
      </c>
      <c r="P3770" s="405" t="s">
        <v>22347</v>
      </c>
      <c r="Q3770" s="411">
        <v>6</v>
      </c>
      <c r="R3770" s="405" t="s">
        <v>6013</v>
      </c>
      <c r="S3770" s="405" t="s">
        <v>27422</v>
      </c>
      <c r="T3770" s="405" t="s">
        <v>884</v>
      </c>
      <c r="U3770" s="405" t="s">
        <v>319</v>
      </c>
    </row>
    <row r="3771" spans="1:21" x14ac:dyDescent="0.25">
      <c r="A3771" s="405" t="s">
        <v>310</v>
      </c>
      <c r="B3771" s="405" t="s">
        <v>5944</v>
      </c>
      <c r="C3771" s="405" t="s">
        <v>327</v>
      </c>
      <c r="D3771" s="405"/>
      <c r="E3771" s="410">
        <v>42410</v>
      </c>
      <c r="F3771" s="410">
        <v>42455</v>
      </c>
      <c r="G3771" s="405" t="s">
        <v>5945</v>
      </c>
      <c r="H3771" s="405">
        <v>752456617</v>
      </c>
      <c r="I3771" s="405"/>
      <c r="J3771" s="405">
        <v>0.114</v>
      </c>
      <c r="K3771" s="405">
        <v>32.444000000000003</v>
      </c>
      <c r="L3771" s="405" t="s">
        <v>314</v>
      </c>
      <c r="M3771" s="405" t="s">
        <v>321</v>
      </c>
      <c r="N3771" s="405" t="s">
        <v>5946</v>
      </c>
      <c r="O3771" s="405" t="s">
        <v>476</v>
      </c>
      <c r="P3771" s="405" t="s">
        <v>5947</v>
      </c>
      <c r="Q3771" s="411">
        <v>13</v>
      </c>
      <c r="R3771" s="405" t="s">
        <v>32101</v>
      </c>
      <c r="S3771" s="405" t="s">
        <v>27167</v>
      </c>
      <c r="T3771" s="405" t="s">
        <v>884</v>
      </c>
      <c r="U3771" s="405" t="s">
        <v>319</v>
      </c>
    </row>
    <row r="3772" spans="1:21" x14ac:dyDescent="0.25">
      <c r="A3772" s="405" t="s">
        <v>310</v>
      </c>
      <c r="B3772" s="405" t="s">
        <v>28551</v>
      </c>
      <c r="C3772" s="405" t="s">
        <v>327</v>
      </c>
      <c r="D3772" s="405"/>
      <c r="E3772" s="410">
        <v>42410</v>
      </c>
      <c r="F3772" s="410">
        <v>42455</v>
      </c>
      <c r="G3772" s="405" t="s">
        <v>5959</v>
      </c>
      <c r="H3772" s="405">
        <v>702203307</v>
      </c>
      <c r="I3772" s="405"/>
      <c r="J3772" s="405">
        <v>0.37230000000000002</v>
      </c>
      <c r="K3772" s="405">
        <v>31.311499999999999</v>
      </c>
      <c r="L3772" s="405" t="s">
        <v>314</v>
      </c>
      <c r="M3772" s="405" t="s">
        <v>398</v>
      </c>
      <c r="N3772" s="405" t="s">
        <v>4383</v>
      </c>
      <c r="O3772" s="405" t="s">
        <v>5960</v>
      </c>
      <c r="P3772" s="405" t="s">
        <v>5960</v>
      </c>
      <c r="Q3772" s="411">
        <v>9</v>
      </c>
      <c r="R3772" s="405" t="s">
        <v>402</v>
      </c>
      <c r="S3772" s="405" t="s">
        <v>5986</v>
      </c>
      <c r="T3772" s="405" t="s">
        <v>884</v>
      </c>
      <c r="U3772" s="405" t="s">
        <v>319</v>
      </c>
    </row>
    <row r="3773" spans="1:21" x14ac:dyDescent="0.25">
      <c r="A3773" s="405" t="s">
        <v>310</v>
      </c>
      <c r="B3773" s="405" t="s">
        <v>28874</v>
      </c>
      <c r="C3773" s="405" t="s">
        <v>327</v>
      </c>
      <c r="D3773" s="405"/>
      <c r="E3773" s="410">
        <v>42410</v>
      </c>
      <c r="F3773" s="410">
        <v>42601</v>
      </c>
      <c r="G3773" s="405" t="s">
        <v>15238</v>
      </c>
      <c r="H3773" s="405">
        <v>782850426</v>
      </c>
      <c r="I3773" s="405"/>
      <c r="J3773" s="405">
        <v>0.77947200000000005</v>
      </c>
      <c r="K3773" s="405">
        <v>30.80097</v>
      </c>
      <c r="L3773" s="405" t="s">
        <v>6866</v>
      </c>
      <c r="M3773" s="405" t="s">
        <v>9514</v>
      </c>
      <c r="N3773" s="405" t="s">
        <v>9529</v>
      </c>
      <c r="O3773" s="405" t="s">
        <v>12702</v>
      </c>
      <c r="P3773" s="405" t="s">
        <v>15239</v>
      </c>
      <c r="Q3773" s="411">
        <v>6</v>
      </c>
      <c r="R3773" s="405" t="s">
        <v>7224</v>
      </c>
      <c r="S3773" s="405" t="s">
        <v>27067</v>
      </c>
      <c r="T3773" s="405" t="s">
        <v>32102</v>
      </c>
      <c r="U3773" s="405" t="s">
        <v>319</v>
      </c>
    </row>
    <row r="3774" spans="1:21" x14ac:dyDescent="0.25">
      <c r="A3774" s="405" t="s">
        <v>310</v>
      </c>
      <c r="B3774" s="405" t="s">
        <v>27597</v>
      </c>
      <c r="C3774" s="405" t="s">
        <v>327</v>
      </c>
      <c r="D3774" s="405"/>
      <c r="E3774" s="410">
        <v>42410</v>
      </c>
      <c r="F3774" s="410">
        <v>42455</v>
      </c>
      <c r="G3774" s="405" t="s">
        <v>22318</v>
      </c>
      <c r="H3774" s="405">
        <v>774118143</v>
      </c>
      <c r="I3774" s="405"/>
      <c r="J3774" s="405">
        <v>1.456785</v>
      </c>
      <c r="K3774" s="405">
        <v>31.589234999999999</v>
      </c>
      <c r="L3774" s="405" t="s">
        <v>590</v>
      </c>
      <c r="M3774" s="405" t="s">
        <v>19608</v>
      </c>
      <c r="N3774" s="405" t="s">
        <v>21981</v>
      </c>
      <c r="O3774" s="405" t="s">
        <v>20219</v>
      </c>
      <c r="P3774" s="405" t="s">
        <v>22319</v>
      </c>
      <c r="Q3774" s="411">
        <v>6</v>
      </c>
      <c r="R3774" s="405" t="s">
        <v>5665</v>
      </c>
      <c r="S3774" s="405" t="s">
        <v>27126</v>
      </c>
      <c r="T3774" s="405" t="s">
        <v>884</v>
      </c>
      <c r="U3774" s="405" t="s">
        <v>319</v>
      </c>
    </row>
    <row r="3775" spans="1:21" x14ac:dyDescent="0.25">
      <c r="A3775" s="405" t="s">
        <v>310</v>
      </c>
      <c r="B3775" s="405" t="s">
        <v>22348</v>
      </c>
      <c r="C3775" s="405" t="s">
        <v>327</v>
      </c>
      <c r="D3775" s="405"/>
      <c r="E3775" s="410">
        <v>42410</v>
      </c>
      <c r="F3775" s="410">
        <v>42455</v>
      </c>
      <c r="G3775" s="405" t="s">
        <v>22349</v>
      </c>
      <c r="H3775" s="405">
        <v>774254920</v>
      </c>
      <c r="I3775" s="405"/>
      <c r="J3775" s="405">
        <v>0.24399999999999999</v>
      </c>
      <c r="K3775" s="405">
        <v>30.251000000000001</v>
      </c>
      <c r="L3775" s="405" t="s">
        <v>590</v>
      </c>
      <c r="M3775" s="405" t="s">
        <v>19720</v>
      </c>
      <c r="N3775" s="405" t="s">
        <v>7352</v>
      </c>
      <c r="O3775" s="405" t="s">
        <v>21991</v>
      </c>
      <c r="P3775" s="405" t="s">
        <v>22350</v>
      </c>
      <c r="Q3775" s="411">
        <v>6</v>
      </c>
      <c r="R3775" s="405" t="s">
        <v>6013</v>
      </c>
      <c r="S3775" s="405" t="s">
        <v>27422</v>
      </c>
      <c r="T3775" s="405" t="s">
        <v>884</v>
      </c>
      <c r="U3775" s="405" t="s">
        <v>319</v>
      </c>
    </row>
    <row r="3776" spans="1:21" x14ac:dyDescent="0.25">
      <c r="A3776" s="405" t="s">
        <v>310</v>
      </c>
      <c r="B3776" s="405" t="s">
        <v>27490</v>
      </c>
      <c r="C3776" s="405" t="s">
        <v>327</v>
      </c>
      <c r="D3776" s="405"/>
      <c r="E3776" s="410">
        <v>42408</v>
      </c>
      <c r="F3776" s="410">
        <v>42453</v>
      </c>
      <c r="G3776" s="405" t="s">
        <v>22320</v>
      </c>
      <c r="H3776" s="405">
        <v>785457253</v>
      </c>
      <c r="I3776" s="405"/>
      <c r="J3776" s="405">
        <v>0.55532700000000002</v>
      </c>
      <c r="K3776" s="405">
        <v>34.035491999999998</v>
      </c>
      <c r="L3776" s="405" t="s">
        <v>590</v>
      </c>
      <c r="M3776" s="405" t="s">
        <v>19608</v>
      </c>
      <c r="N3776" s="405" t="s">
        <v>20218</v>
      </c>
      <c r="O3776" s="405" t="s">
        <v>20219</v>
      </c>
      <c r="P3776" s="405" t="s">
        <v>22319</v>
      </c>
      <c r="Q3776" s="411">
        <v>6</v>
      </c>
      <c r="R3776" s="405" t="s">
        <v>5665</v>
      </c>
      <c r="S3776" s="405" t="s">
        <v>27422</v>
      </c>
      <c r="T3776" s="405" t="s">
        <v>32746</v>
      </c>
      <c r="U3776" s="405" t="s">
        <v>2267</v>
      </c>
    </row>
    <row r="3777" spans="1:21" x14ac:dyDescent="0.25">
      <c r="A3777" s="405" t="s">
        <v>310</v>
      </c>
      <c r="B3777" s="405" t="s">
        <v>22339</v>
      </c>
      <c r="C3777" s="405" t="s">
        <v>327</v>
      </c>
      <c r="D3777" s="405"/>
      <c r="E3777" s="410">
        <v>42408</v>
      </c>
      <c r="F3777" s="410">
        <v>42453</v>
      </c>
      <c r="G3777" s="405" t="s">
        <v>22340</v>
      </c>
      <c r="H3777" s="405">
        <v>777642999</v>
      </c>
      <c r="I3777" s="405"/>
      <c r="J3777" s="405">
        <v>0.82699999999999996</v>
      </c>
      <c r="K3777" s="405">
        <v>30.214200000000002</v>
      </c>
      <c r="L3777" s="405" t="s">
        <v>590</v>
      </c>
      <c r="M3777" s="405" t="s">
        <v>19720</v>
      </c>
      <c r="N3777" s="405" t="s">
        <v>20297</v>
      </c>
      <c r="O3777" s="405" t="s">
        <v>22033</v>
      </c>
      <c r="P3777" s="405" t="s">
        <v>22341</v>
      </c>
      <c r="Q3777" s="411">
        <v>6</v>
      </c>
      <c r="R3777" s="405" t="s">
        <v>6013</v>
      </c>
      <c r="S3777" s="405" t="s">
        <v>27205</v>
      </c>
      <c r="T3777" s="405" t="s">
        <v>884</v>
      </c>
      <c r="U3777" s="405" t="s">
        <v>319</v>
      </c>
    </row>
    <row r="3778" spans="1:21" x14ac:dyDescent="0.25">
      <c r="A3778" s="405" t="s">
        <v>310</v>
      </c>
      <c r="B3778" s="405" t="s">
        <v>28954</v>
      </c>
      <c r="C3778" s="405" t="s">
        <v>327</v>
      </c>
      <c r="D3778" s="405"/>
      <c r="E3778" s="410">
        <v>42408</v>
      </c>
      <c r="F3778" s="410">
        <v>42453</v>
      </c>
      <c r="G3778" s="405" t="s">
        <v>5941</v>
      </c>
      <c r="H3778" s="405">
        <v>772501671</v>
      </c>
      <c r="I3778" s="405" t="s">
        <v>5942</v>
      </c>
      <c r="J3778" s="405">
        <v>0.29299999999999998</v>
      </c>
      <c r="K3778" s="405">
        <v>31.303799999999999</v>
      </c>
      <c r="L3778" s="405" t="s">
        <v>314</v>
      </c>
      <c r="M3778" s="405" t="s">
        <v>1189</v>
      </c>
      <c r="N3778" s="405" t="s">
        <v>1189</v>
      </c>
      <c r="O3778" s="405" t="s">
        <v>1553</v>
      </c>
      <c r="P3778" s="405" t="s">
        <v>5943</v>
      </c>
      <c r="Q3778" s="411">
        <v>6</v>
      </c>
      <c r="R3778" s="405" t="s">
        <v>402</v>
      </c>
      <c r="S3778" s="405" t="s">
        <v>5986</v>
      </c>
      <c r="T3778" s="405" t="s">
        <v>32102</v>
      </c>
      <c r="U3778" s="405" t="s">
        <v>319</v>
      </c>
    </row>
    <row r="3779" spans="1:21" x14ac:dyDescent="0.25">
      <c r="A3779" s="405" t="s">
        <v>310</v>
      </c>
      <c r="B3779" s="405" t="s">
        <v>71</v>
      </c>
      <c r="C3779" s="405" t="s">
        <v>327</v>
      </c>
      <c r="D3779" s="405"/>
      <c r="E3779" s="410">
        <v>42407</v>
      </c>
      <c r="F3779" s="410">
        <v>42452</v>
      </c>
      <c r="G3779" s="405" t="s">
        <v>22334</v>
      </c>
      <c r="H3779" s="405">
        <v>788930536</v>
      </c>
      <c r="I3779" s="405"/>
      <c r="J3779" s="405">
        <v>0.72799999999999998</v>
      </c>
      <c r="K3779" s="405">
        <v>30.223299999999998</v>
      </c>
      <c r="L3779" s="405" t="s">
        <v>590</v>
      </c>
      <c r="M3779" s="405" t="s">
        <v>19720</v>
      </c>
      <c r="N3779" s="405" t="s">
        <v>20297</v>
      </c>
      <c r="O3779" s="405" t="s">
        <v>22033</v>
      </c>
      <c r="P3779" s="405" t="s">
        <v>22033</v>
      </c>
      <c r="Q3779" s="411">
        <v>6</v>
      </c>
      <c r="R3779" s="405" t="s">
        <v>6013</v>
      </c>
      <c r="S3779" s="405" t="s">
        <v>27275</v>
      </c>
      <c r="T3779" s="405" t="s">
        <v>884</v>
      </c>
      <c r="U3779" s="405" t="s">
        <v>319</v>
      </c>
    </row>
    <row r="3780" spans="1:21" x14ac:dyDescent="0.25">
      <c r="A3780" s="405" t="s">
        <v>310</v>
      </c>
      <c r="B3780" s="405" t="s">
        <v>9329</v>
      </c>
      <c r="C3780" s="405" t="s">
        <v>327</v>
      </c>
      <c r="D3780" s="405"/>
      <c r="E3780" s="410">
        <v>44593</v>
      </c>
      <c r="F3780" s="410">
        <v>44612</v>
      </c>
      <c r="G3780" s="405" t="s">
        <v>9330</v>
      </c>
      <c r="H3780" s="405" t="s">
        <v>9331</v>
      </c>
      <c r="I3780" s="405" t="s">
        <v>9332</v>
      </c>
      <c r="J3780" s="405">
        <v>0.62007999999999996</v>
      </c>
      <c r="K3780" s="405">
        <v>32.428604</v>
      </c>
      <c r="L3780" s="405" t="s">
        <v>314</v>
      </c>
      <c r="M3780" s="405" t="s">
        <v>959</v>
      </c>
      <c r="N3780" s="405" t="s">
        <v>9333</v>
      </c>
      <c r="O3780" s="405" t="s">
        <v>2056</v>
      </c>
      <c r="P3780" s="405" t="s">
        <v>434</v>
      </c>
      <c r="Q3780" s="411">
        <v>20</v>
      </c>
      <c r="R3780" s="405" t="s">
        <v>4176</v>
      </c>
      <c r="S3780" s="405" t="s">
        <v>27286</v>
      </c>
      <c r="T3780" s="405" t="s">
        <v>884</v>
      </c>
      <c r="U3780" s="405" t="s">
        <v>319</v>
      </c>
    </row>
    <row r="3781" spans="1:21" x14ac:dyDescent="0.25">
      <c r="A3781" s="405" t="s">
        <v>310</v>
      </c>
      <c r="B3781" s="405" t="s">
        <v>5961</v>
      </c>
      <c r="C3781" s="405" t="s">
        <v>327</v>
      </c>
      <c r="D3781" s="405"/>
      <c r="E3781" s="410">
        <v>42406</v>
      </c>
      <c r="F3781" s="410">
        <v>42451</v>
      </c>
      <c r="G3781" s="405" t="s">
        <v>5962</v>
      </c>
      <c r="H3781" s="405">
        <v>752041596</v>
      </c>
      <c r="I3781" s="405"/>
      <c r="J3781" s="405">
        <v>0.37230000000000002</v>
      </c>
      <c r="K3781" s="405">
        <v>31.324000000000002</v>
      </c>
      <c r="L3781" s="405" t="s">
        <v>314</v>
      </c>
      <c r="M3781" s="405" t="s">
        <v>398</v>
      </c>
      <c r="N3781" s="405" t="s">
        <v>399</v>
      </c>
      <c r="O3781" s="405" t="s">
        <v>5963</v>
      </c>
      <c r="P3781" s="405" t="s">
        <v>5964</v>
      </c>
      <c r="Q3781" s="411">
        <v>9</v>
      </c>
      <c r="R3781" s="405" t="s">
        <v>402</v>
      </c>
      <c r="S3781" s="405" t="s">
        <v>5986</v>
      </c>
      <c r="T3781" s="405" t="s">
        <v>884</v>
      </c>
      <c r="U3781" s="405" t="s">
        <v>319</v>
      </c>
    </row>
    <row r="3782" spans="1:21" x14ac:dyDescent="0.25">
      <c r="A3782" s="405" t="s">
        <v>310</v>
      </c>
      <c r="B3782" s="405" t="s">
        <v>27864</v>
      </c>
      <c r="C3782" s="405" t="s">
        <v>327</v>
      </c>
      <c r="D3782" s="405"/>
      <c r="E3782" s="410">
        <v>42406</v>
      </c>
      <c r="F3782" s="410">
        <v>42478</v>
      </c>
      <c r="G3782" s="405" t="s">
        <v>15081</v>
      </c>
      <c r="H3782" s="405">
        <v>775551653</v>
      </c>
      <c r="I3782" s="405"/>
      <c r="J3782" s="405">
        <v>1.1049469999999999</v>
      </c>
      <c r="K3782" s="405">
        <v>34.193558000000003</v>
      </c>
      <c r="L3782" s="405" t="s">
        <v>6866</v>
      </c>
      <c r="M3782" s="405" t="s">
        <v>9514</v>
      </c>
      <c r="N3782" s="405" t="s">
        <v>9530</v>
      </c>
      <c r="O3782" s="405" t="s">
        <v>9530</v>
      </c>
      <c r="P3782" s="405" t="s">
        <v>9557</v>
      </c>
      <c r="Q3782" s="411">
        <v>6</v>
      </c>
      <c r="R3782" s="405" t="s">
        <v>7224</v>
      </c>
      <c r="S3782" s="405" t="s">
        <v>27041</v>
      </c>
      <c r="T3782" s="405" t="s">
        <v>884</v>
      </c>
      <c r="U3782" s="405" t="s">
        <v>319</v>
      </c>
    </row>
    <row r="3783" spans="1:21" x14ac:dyDescent="0.25">
      <c r="A3783" s="405" t="s">
        <v>310</v>
      </c>
      <c r="B3783" s="405" t="s">
        <v>22351</v>
      </c>
      <c r="C3783" s="405" t="s">
        <v>327</v>
      </c>
      <c r="D3783" s="405"/>
      <c r="E3783" s="410">
        <v>42406</v>
      </c>
      <c r="F3783" s="410">
        <v>42451</v>
      </c>
      <c r="G3783" s="405" t="s">
        <v>22352</v>
      </c>
      <c r="H3783" s="405">
        <v>775838964</v>
      </c>
      <c r="I3783" s="405"/>
      <c r="J3783" s="405">
        <v>0.238867</v>
      </c>
      <c r="K3783" s="405">
        <v>30.544999000000001</v>
      </c>
      <c r="L3783" s="405" t="s">
        <v>590</v>
      </c>
      <c r="M3783" s="405" t="s">
        <v>19720</v>
      </c>
      <c r="N3783" s="405" t="s">
        <v>22346</v>
      </c>
      <c r="O3783" s="405" t="s">
        <v>11792</v>
      </c>
      <c r="P3783" s="405" t="s">
        <v>22353</v>
      </c>
      <c r="Q3783" s="411">
        <v>6</v>
      </c>
      <c r="R3783" s="405" t="s">
        <v>6013</v>
      </c>
      <c r="S3783" s="405" t="s">
        <v>27301</v>
      </c>
      <c r="T3783" s="405" t="s">
        <v>32102</v>
      </c>
      <c r="U3783" s="405" t="s">
        <v>319</v>
      </c>
    </row>
    <row r="3784" spans="1:21" x14ac:dyDescent="0.25">
      <c r="A3784" s="405" t="s">
        <v>310</v>
      </c>
      <c r="B3784" s="405" t="s">
        <v>22357</v>
      </c>
      <c r="C3784" s="405" t="s">
        <v>327</v>
      </c>
      <c r="D3784" s="405"/>
      <c r="E3784" s="410">
        <v>42405</v>
      </c>
      <c r="F3784" s="410">
        <v>42450</v>
      </c>
      <c r="G3784" s="405" t="s">
        <v>22358</v>
      </c>
      <c r="H3784" s="405">
        <v>783383211</v>
      </c>
      <c r="I3784" s="405"/>
      <c r="J3784" s="405">
        <v>4.3596999999999997E-2</v>
      </c>
      <c r="K3784" s="405">
        <v>30.342903</v>
      </c>
      <c r="L3784" s="405" t="s">
        <v>590</v>
      </c>
      <c r="M3784" s="405" t="s">
        <v>19720</v>
      </c>
      <c r="N3784" s="405" t="s">
        <v>20297</v>
      </c>
      <c r="O3784" s="405" t="s">
        <v>22359</v>
      </c>
      <c r="P3784" s="405" t="s">
        <v>19726</v>
      </c>
      <c r="Q3784" s="411">
        <v>6</v>
      </c>
      <c r="R3784" s="405" t="s">
        <v>6013</v>
      </c>
      <c r="S3784" s="405" t="s">
        <v>27205</v>
      </c>
      <c r="T3784" s="405" t="s">
        <v>32102</v>
      </c>
      <c r="U3784" s="405" t="s">
        <v>319</v>
      </c>
    </row>
    <row r="3785" spans="1:21" x14ac:dyDescent="0.25">
      <c r="A3785" s="405" t="s">
        <v>310</v>
      </c>
      <c r="B3785" s="405" t="s">
        <v>15067</v>
      </c>
      <c r="C3785" s="405" t="s">
        <v>327</v>
      </c>
      <c r="D3785" s="405"/>
      <c r="E3785" s="410">
        <v>42403</v>
      </c>
      <c r="F3785" s="410">
        <v>42468</v>
      </c>
      <c r="G3785" s="405" t="s">
        <v>15068</v>
      </c>
      <c r="H3785" s="405">
        <v>772533280</v>
      </c>
      <c r="I3785" s="405"/>
      <c r="J3785" s="405">
        <v>0.35133999999999999</v>
      </c>
      <c r="K3785" s="405">
        <v>32.982790000000001</v>
      </c>
      <c r="L3785" s="405" t="s">
        <v>6866</v>
      </c>
      <c r="M3785" s="405" t="s">
        <v>9590</v>
      </c>
      <c r="N3785" s="405" t="s">
        <v>6408</v>
      </c>
      <c r="O3785" s="405" t="s">
        <v>15069</v>
      </c>
      <c r="P3785" s="405" t="s">
        <v>1618</v>
      </c>
      <c r="Q3785" s="411">
        <v>13</v>
      </c>
      <c r="R3785" s="405" t="s">
        <v>5986</v>
      </c>
      <c r="S3785" s="405" t="s">
        <v>27251</v>
      </c>
      <c r="T3785" s="405" t="s">
        <v>884</v>
      </c>
      <c r="U3785" s="405" t="s">
        <v>319</v>
      </c>
    </row>
    <row r="3786" spans="1:21" x14ac:dyDescent="0.25">
      <c r="A3786" s="405" t="s">
        <v>310</v>
      </c>
      <c r="B3786" s="405" t="s">
        <v>22337</v>
      </c>
      <c r="C3786" s="405" t="s">
        <v>327</v>
      </c>
      <c r="D3786" s="405"/>
      <c r="E3786" s="410">
        <v>42402</v>
      </c>
      <c r="F3786" s="410">
        <v>42447</v>
      </c>
      <c r="G3786" s="405" t="s">
        <v>22338</v>
      </c>
      <c r="H3786" s="405">
        <v>772230700</v>
      </c>
      <c r="I3786" s="405"/>
      <c r="J3786" s="405">
        <v>0.52900000000000003</v>
      </c>
      <c r="K3786" s="405">
        <v>30.244499999999999</v>
      </c>
      <c r="L3786" s="405" t="s">
        <v>590</v>
      </c>
      <c r="M3786" s="405" t="s">
        <v>19720</v>
      </c>
      <c r="N3786" s="405" t="s">
        <v>20297</v>
      </c>
      <c r="O3786" s="405" t="s">
        <v>20439</v>
      </c>
      <c r="P3786" s="405" t="s">
        <v>21784</v>
      </c>
      <c r="Q3786" s="411">
        <v>6</v>
      </c>
      <c r="R3786" s="405" t="s">
        <v>6013</v>
      </c>
      <c r="S3786" s="405" t="s">
        <v>27205</v>
      </c>
      <c r="T3786" s="405" t="s">
        <v>32102</v>
      </c>
      <c r="U3786" s="405" t="s">
        <v>319</v>
      </c>
    </row>
    <row r="3787" spans="1:21" x14ac:dyDescent="0.25">
      <c r="A3787" s="405" t="s">
        <v>310</v>
      </c>
      <c r="B3787" s="405" t="s">
        <v>28296</v>
      </c>
      <c r="C3787" s="405" t="s">
        <v>327</v>
      </c>
      <c r="D3787" s="405"/>
      <c r="E3787" s="410">
        <v>42399</v>
      </c>
      <c r="F3787" s="410">
        <v>42444</v>
      </c>
      <c r="G3787" s="405" t="s">
        <v>15053</v>
      </c>
      <c r="H3787" s="405">
        <v>779951557</v>
      </c>
      <c r="I3787" s="405"/>
      <c r="J3787" s="405">
        <v>1.0170330000000001</v>
      </c>
      <c r="K3787" s="405">
        <v>34.371192999999998</v>
      </c>
      <c r="L3787" s="405" t="s">
        <v>6866</v>
      </c>
      <c r="M3787" s="405" t="s">
        <v>9763</v>
      </c>
      <c r="N3787" s="405" t="s">
        <v>10880</v>
      </c>
      <c r="O3787" s="405" t="s">
        <v>10880</v>
      </c>
      <c r="P3787" s="405" t="s">
        <v>10880</v>
      </c>
      <c r="Q3787" s="411">
        <v>13</v>
      </c>
      <c r="R3787" s="405" t="s">
        <v>6871</v>
      </c>
      <c r="S3787" s="405" t="s">
        <v>17013</v>
      </c>
      <c r="T3787" s="405" t="s">
        <v>884</v>
      </c>
      <c r="U3787" s="405" t="s">
        <v>319</v>
      </c>
    </row>
    <row r="3788" spans="1:21" x14ac:dyDescent="0.25">
      <c r="A3788" s="405" t="s">
        <v>310</v>
      </c>
      <c r="B3788" s="405" t="s">
        <v>28917</v>
      </c>
      <c r="C3788" s="405" t="s">
        <v>327</v>
      </c>
      <c r="D3788" s="405"/>
      <c r="E3788" s="410">
        <v>42398</v>
      </c>
      <c r="F3788" s="410">
        <v>42437</v>
      </c>
      <c r="G3788" s="405" t="s">
        <v>5954</v>
      </c>
      <c r="H3788" s="405">
        <v>701822426</v>
      </c>
      <c r="I3788" s="405"/>
      <c r="J3788" s="405">
        <v>0.85532699999999995</v>
      </c>
      <c r="K3788" s="405">
        <v>34.380826999999996</v>
      </c>
      <c r="L3788" s="405" t="s">
        <v>314</v>
      </c>
      <c r="M3788" s="405" t="s">
        <v>361</v>
      </c>
      <c r="N3788" s="405" t="s">
        <v>362</v>
      </c>
      <c r="O3788" s="405" t="s">
        <v>618</v>
      </c>
      <c r="P3788" s="405" t="s">
        <v>5955</v>
      </c>
      <c r="Q3788" s="411">
        <v>6</v>
      </c>
      <c r="R3788" s="405" t="s">
        <v>5665</v>
      </c>
      <c r="S3788" s="405" t="s">
        <v>27112</v>
      </c>
      <c r="T3788" s="405" t="s">
        <v>884</v>
      </c>
      <c r="U3788" s="405" t="s">
        <v>319</v>
      </c>
    </row>
    <row r="3789" spans="1:21" x14ac:dyDescent="0.25">
      <c r="A3789" s="405" t="s">
        <v>310</v>
      </c>
      <c r="B3789" s="405" t="s">
        <v>15058</v>
      </c>
      <c r="C3789" s="405" t="s">
        <v>327</v>
      </c>
      <c r="D3789" s="405"/>
      <c r="E3789" s="410">
        <v>42396</v>
      </c>
      <c r="F3789" s="410">
        <v>42441</v>
      </c>
      <c r="G3789" s="405" t="s">
        <v>15059</v>
      </c>
      <c r="H3789" s="405">
        <v>752842001</v>
      </c>
      <c r="I3789" s="405"/>
      <c r="J3789" s="405">
        <v>1.5330250000000001</v>
      </c>
      <c r="K3789" s="405">
        <v>33.14284</v>
      </c>
      <c r="L3789" s="405" t="s">
        <v>6866</v>
      </c>
      <c r="M3789" s="405" t="s">
        <v>9658</v>
      </c>
      <c r="N3789" s="405" t="s">
        <v>11057</v>
      </c>
      <c r="O3789" s="405" t="s">
        <v>14099</v>
      </c>
      <c r="P3789" s="405" t="s">
        <v>15050</v>
      </c>
      <c r="Q3789" s="411">
        <v>6</v>
      </c>
      <c r="R3789" s="405" t="s">
        <v>5655</v>
      </c>
      <c r="S3789" s="405" t="s">
        <v>27351</v>
      </c>
      <c r="T3789" s="405" t="s">
        <v>884</v>
      </c>
      <c r="U3789" s="405" t="s">
        <v>319</v>
      </c>
    </row>
    <row r="3790" spans="1:21" x14ac:dyDescent="0.25">
      <c r="A3790" s="405" t="s">
        <v>310</v>
      </c>
      <c r="B3790" s="405" t="s">
        <v>22354</v>
      </c>
      <c r="C3790" s="405" t="s">
        <v>327</v>
      </c>
      <c r="D3790" s="405"/>
      <c r="E3790" s="410">
        <v>42396</v>
      </c>
      <c r="F3790" s="410">
        <v>42441</v>
      </c>
      <c r="G3790" s="405" t="s">
        <v>22355</v>
      </c>
      <c r="H3790" s="405">
        <v>777742167</v>
      </c>
      <c r="I3790" s="405"/>
      <c r="J3790" s="405">
        <v>0.72</v>
      </c>
      <c r="K3790" s="405">
        <v>30.264800000000001</v>
      </c>
      <c r="L3790" s="405" t="s">
        <v>590</v>
      </c>
      <c r="M3790" s="405" t="s">
        <v>19720</v>
      </c>
      <c r="N3790" s="405" t="s">
        <v>7352</v>
      </c>
      <c r="O3790" s="405" t="s">
        <v>20439</v>
      </c>
      <c r="P3790" s="405" t="s">
        <v>22356</v>
      </c>
      <c r="Q3790" s="411">
        <v>6</v>
      </c>
      <c r="R3790" s="405" t="s">
        <v>6013</v>
      </c>
      <c r="S3790" s="405" t="s">
        <v>27423</v>
      </c>
      <c r="T3790" s="405" t="s">
        <v>884</v>
      </c>
      <c r="U3790" s="405" t="s">
        <v>319</v>
      </c>
    </row>
    <row r="3791" spans="1:21" x14ac:dyDescent="0.25">
      <c r="A3791" s="405" t="s">
        <v>310</v>
      </c>
      <c r="B3791" s="405" t="s">
        <v>22513</v>
      </c>
      <c r="C3791" s="405" t="s">
        <v>311</v>
      </c>
      <c r="D3791" s="405" t="s">
        <v>1789</v>
      </c>
      <c r="E3791" s="410">
        <v>42396</v>
      </c>
      <c r="F3791" s="410">
        <v>42441</v>
      </c>
      <c r="G3791" s="405" t="s">
        <v>22514</v>
      </c>
      <c r="H3791" s="405">
        <v>772183362</v>
      </c>
      <c r="I3791" s="405"/>
      <c r="J3791" s="405">
        <v>0.31785799999999997</v>
      </c>
      <c r="K3791" s="405">
        <v>30.446368</v>
      </c>
      <c r="L3791" s="405" t="s">
        <v>590</v>
      </c>
      <c r="M3791" s="405" t="s">
        <v>19720</v>
      </c>
      <c r="N3791" s="405" t="s">
        <v>7352</v>
      </c>
      <c r="O3791" s="405" t="s">
        <v>21940</v>
      </c>
      <c r="P3791" s="405" t="s">
        <v>21940</v>
      </c>
      <c r="Q3791" s="411">
        <v>6</v>
      </c>
      <c r="R3791" s="405" t="s">
        <v>6013</v>
      </c>
      <c r="S3791" s="405" t="s">
        <v>27422</v>
      </c>
      <c r="T3791" s="405" t="s">
        <v>32102</v>
      </c>
      <c r="U3791" s="405" t="s">
        <v>319</v>
      </c>
    </row>
    <row r="3792" spans="1:21" x14ac:dyDescent="0.25">
      <c r="A3792" s="405" t="s">
        <v>310</v>
      </c>
      <c r="B3792" s="405" t="s">
        <v>5952</v>
      </c>
      <c r="C3792" s="405" t="s">
        <v>327</v>
      </c>
      <c r="D3792" s="405"/>
      <c r="E3792" s="410">
        <v>42396</v>
      </c>
      <c r="F3792" s="410">
        <v>42441</v>
      </c>
      <c r="G3792" s="405" t="s">
        <v>5953</v>
      </c>
      <c r="H3792" s="405">
        <v>752404519</v>
      </c>
      <c r="I3792" s="405"/>
      <c r="J3792" s="405">
        <v>0.15479999999999999</v>
      </c>
      <c r="K3792" s="405">
        <v>31.443100000000001</v>
      </c>
      <c r="L3792" s="405" t="s">
        <v>314</v>
      </c>
      <c r="M3792" s="405" t="s">
        <v>900</v>
      </c>
      <c r="N3792" s="405" t="s">
        <v>900</v>
      </c>
      <c r="O3792" s="405" t="s">
        <v>4589</v>
      </c>
      <c r="P3792" s="405" t="s">
        <v>622</v>
      </c>
      <c r="Q3792" s="411">
        <v>6</v>
      </c>
      <c r="R3792" s="405" t="s">
        <v>32101</v>
      </c>
      <c r="S3792" s="405" t="s">
        <v>27186</v>
      </c>
      <c r="T3792" s="405" t="s">
        <v>884</v>
      </c>
      <c r="U3792" s="405" t="s">
        <v>319</v>
      </c>
    </row>
    <row r="3793" spans="1:21" x14ac:dyDescent="0.25">
      <c r="A3793" s="405" t="s">
        <v>310</v>
      </c>
      <c r="B3793" s="405" t="s">
        <v>22335</v>
      </c>
      <c r="C3793" s="405" t="s">
        <v>327</v>
      </c>
      <c r="D3793" s="405"/>
      <c r="E3793" s="410">
        <v>42395</v>
      </c>
      <c r="F3793" s="410">
        <v>42440</v>
      </c>
      <c r="G3793" s="405" t="s">
        <v>22336</v>
      </c>
      <c r="H3793" s="405">
        <v>774233931</v>
      </c>
      <c r="I3793" s="405"/>
      <c r="J3793" s="405">
        <v>0.55200000000000005</v>
      </c>
      <c r="K3793" s="405">
        <v>30.244199999999999</v>
      </c>
      <c r="L3793" s="405" t="s">
        <v>590</v>
      </c>
      <c r="M3793" s="405" t="s">
        <v>19720</v>
      </c>
      <c r="N3793" s="405" t="s">
        <v>20297</v>
      </c>
      <c r="O3793" s="405" t="s">
        <v>22056</v>
      </c>
      <c r="P3793" s="405" t="s">
        <v>21995</v>
      </c>
      <c r="Q3793" s="411">
        <v>6</v>
      </c>
      <c r="R3793" s="405" t="s">
        <v>6013</v>
      </c>
      <c r="S3793" s="405" t="s">
        <v>27205</v>
      </c>
      <c r="T3793" s="405" t="s">
        <v>884</v>
      </c>
      <c r="U3793" s="405" t="s">
        <v>319</v>
      </c>
    </row>
    <row r="3794" spans="1:21" x14ac:dyDescent="0.25">
      <c r="A3794" s="405" t="s">
        <v>310</v>
      </c>
      <c r="B3794" s="405" t="s">
        <v>22321</v>
      </c>
      <c r="C3794" s="405" t="s">
        <v>327</v>
      </c>
      <c r="D3794" s="405"/>
      <c r="E3794" s="410">
        <v>42391</v>
      </c>
      <c r="F3794" s="410">
        <v>42436</v>
      </c>
      <c r="G3794" s="405" t="s">
        <v>22322</v>
      </c>
      <c r="H3794" s="405">
        <v>777641136</v>
      </c>
      <c r="I3794" s="405"/>
      <c r="J3794" s="405">
        <v>0.62498100000000001</v>
      </c>
      <c r="K3794" s="405">
        <v>30.641369999999998</v>
      </c>
      <c r="L3794" s="405" t="s">
        <v>590</v>
      </c>
      <c r="M3794" s="405" t="s">
        <v>591</v>
      </c>
      <c r="N3794" s="405" t="s">
        <v>22323</v>
      </c>
      <c r="O3794" s="405" t="s">
        <v>3012</v>
      </c>
      <c r="P3794" s="405" t="s">
        <v>22324</v>
      </c>
      <c r="Q3794" s="411">
        <v>6</v>
      </c>
      <c r="R3794" s="405" t="s">
        <v>6397</v>
      </c>
      <c r="S3794" s="405" t="s">
        <v>22880</v>
      </c>
      <c r="T3794" s="405" t="s">
        <v>884</v>
      </c>
      <c r="U3794" s="405" t="s">
        <v>319</v>
      </c>
    </row>
    <row r="3795" spans="1:21" x14ac:dyDescent="0.25">
      <c r="A3795" s="405" t="s">
        <v>310</v>
      </c>
      <c r="B3795" s="405" t="s">
        <v>28985</v>
      </c>
      <c r="C3795" s="405" t="s">
        <v>327</v>
      </c>
      <c r="D3795" s="405"/>
      <c r="E3795" s="410">
        <v>42391</v>
      </c>
      <c r="F3795" s="410">
        <v>42436</v>
      </c>
      <c r="G3795" s="405" t="s">
        <v>5956</v>
      </c>
      <c r="H3795" s="405">
        <v>775208119</v>
      </c>
      <c r="I3795" s="405"/>
      <c r="J3795" s="405">
        <v>1.051023</v>
      </c>
      <c r="K3795" s="405">
        <v>34.150260000000003</v>
      </c>
      <c r="L3795" s="405" t="s">
        <v>314</v>
      </c>
      <c r="M3795" s="405" t="s">
        <v>382</v>
      </c>
      <c r="N3795" s="405" t="s">
        <v>988</v>
      </c>
      <c r="O3795" s="405" t="s">
        <v>894</v>
      </c>
      <c r="P3795" s="405" t="s">
        <v>5957</v>
      </c>
      <c r="Q3795" s="411">
        <v>6</v>
      </c>
      <c r="R3795" s="405" t="s">
        <v>402</v>
      </c>
      <c r="S3795" s="405" t="s">
        <v>27154</v>
      </c>
      <c r="T3795" s="405" t="s">
        <v>884</v>
      </c>
      <c r="U3795" s="405" t="s">
        <v>319</v>
      </c>
    </row>
    <row r="3796" spans="1:21" x14ac:dyDescent="0.25">
      <c r="A3796" s="405" t="s">
        <v>310</v>
      </c>
      <c r="B3796" s="405" t="s">
        <v>28026</v>
      </c>
      <c r="C3796" s="405" t="s">
        <v>311</v>
      </c>
      <c r="D3796" s="405" t="s">
        <v>839</v>
      </c>
      <c r="E3796" s="410">
        <v>42390</v>
      </c>
      <c r="F3796" s="410">
        <v>42435</v>
      </c>
      <c r="G3796" s="405" t="s">
        <v>22521</v>
      </c>
      <c r="H3796" s="405">
        <v>781091617</v>
      </c>
      <c r="I3796" s="405">
        <v>772979470</v>
      </c>
      <c r="J3796" s="405">
        <v>0.27549299999999999</v>
      </c>
      <c r="K3796" s="405">
        <v>30.506606999999999</v>
      </c>
      <c r="L3796" s="405" t="s">
        <v>590</v>
      </c>
      <c r="M3796" s="405" t="s">
        <v>19720</v>
      </c>
      <c r="N3796" s="405" t="s">
        <v>7352</v>
      </c>
      <c r="O3796" s="405" t="s">
        <v>21940</v>
      </c>
      <c r="P3796" s="405" t="s">
        <v>22522</v>
      </c>
      <c r="Q3796" s="411">
        <v>6</v>
      </c>
      <c r="R3796" s="405" t="s">
        <v>6013</v>
      </c>
      <c r="S3796" s="405" t="s">
        <v>27154</v>
      </c>
      <c r="T3796" s="405" t="s">
        <v>32102</v>
      </c>
      <c r="U3796" s="405" t="s">
        <v>319</v>
      </c>
    </row>
    <row r="3797" spans="1:21" x14ac:dyDescent="0.25">
      <c r="A3797" s="405" t="s">
        <v>310</v>
      </c>
      <c r="B3797" s="405" t="s">
        <v>22329</v>
      </c>
      <c r="C3797" s="405" t="s">
        <v>327</v>
      </c>
      <c r="D3797" s="405"/>
      <c r="E3797" s="410">
        <v>42389</v>
      </c>
      <c r="F3797" s="410">
        <v>42453</v>
      </c>
      <c r="G3797" s="405" t="s">
        <v>22330</v>
      </c>
      <c r="H3797" s="405">
        <v>775400900</v>
      </c>
      <c r="I3797" s="405"/>
      <c r="J3797" s="405">
        <v>0.711785</v>
      </c>
      <c r="K3797" s="405">
        <v>30.379771999999999</v>
      </c>
      <c r="L3797" s="405" t="s">
        <v>590</v>
      </c>
      <c r="M3797" s="405" t="s">
        <v>19720</v>
      </c>
      <c r="N3797" s="405" t="s">
        <v>7352</v>
      </c>
      <c r="O3797" s="405" t="s">
        <v>21940</v>
      </c>
      <c r="P3797" s="405" t="s">
        <v>20015</v>
      </c>
      <c r="Q3797" s="411">
        <v>6</v>
      </c>
      <c r="R3797" s="405" t="s">
        <v>6013</v>
      </c>
      <c r="S3797" s="405" t="s">
        <v>27205</v>
      </c>
      <c r="T3797" s="405" t="s">
        <v>32102</v>
      </c>
      <c r="U3797" s="405" t="s">
        <v>319</v>
      </c>
    </row>
    <row r="3798" spans="1:21" x14ac:dyDescent="0.25">
      <c r="A3798" s="405" t="s">
        <v>310</v>
      </c>
      <c r="B3798" s="405" t="s">
        <v>15054</v>
      </c>
      <c r="C3798" s="405" t="s">
        <v>327</v>
      </c>
      <c r="D3798" s="405"/>
      <c r="E3798" s="410">
        <v>42389</v>
      </c>
      <c r="F3798" s="410">
        <v>42434</v>
      </c>
      <c r="G3798" s="405" t="s">
        <v>15055</v>
      </c>
      <c r="H3798" s="405">
        <v>781195586</v>
      </c>
      <c r="I3798" s="405"/>
      <c r="J3798" s="405">
        <v>1.501808</v>
      </c>
      <c r="K3798" s="405">
        <v>33.129783000000003</v>
      </c>
      <c r="L3798" s="405" t="s">
        <v>6866</v>
      </c>
      <c r="M3798" s="405" t="s">
        <v>9658</v>
      </c>
      <c r="N3798" s="405" t="s">
        <v>11057</v>
      </c>
      <c r="O3798" s="405" t="s">
        <v>14099</v>
      </c>
      <c r="P3798" s="405" t="s">
        <v>15047</v>
      </c>
      <c r="Q3798" s="411">
        <v>6</v>
      </c>
      <c r="R3798" s="405" t="s">
        <v>5655</v>
      </c>
      <c r="S3798" s="405" t="s">
        <v>27353</v>
      </c>
      <c r="T3798" s="405" t="s">
        <v>884</v>
      </c>
      <c r="U3798" s="405" t="s">
        <v>319</v>
      </c>
    </row>
    <row r="3799" spans="1:21" x14ac:dyDescent="0.25">
      <c r="A3799" s="405" t="s">
        <v>310</v>
      </c>
      <c r="B3799" s="405" t="s">
        <v>5933</v>
      </c>
      <c r="C3799" s="405" t="s">
        <v>327</v>
      </c>
      <c r="D3799" s="405"/>
      <c r="E3799" s="410">
        <v>42384</v>
      </c>
      <c r="F3799" s="410">
        <v>42429</v>
      </c>
      <c r="G3799" s="405" t="s">
        <v>5934</v>
      </c>
      <c r="H3799" s="405">
        <v>703962296</v>
      </c>
      <c r="I3799" s="405"/>
      <c r="J3799" s="405">
        <v>0.91689299999999996</v>
      </c>
      <c r="K3799" s="405">
        <v>31.611018000000001</v>
      </c>
      <c r="L3799" s="405" t="s">
        <v>314</v>
      </c>
      <c r="M3799" s="405" t="s">
        <v>992</v>
      </c>
      <c r="N3799" s="405" t="s">
        <v>362</v>
      </c>
      <c r="O3799" s="405" t="s">
        <v>3511</v>
      </c>
      <c r="P3799" s="405" t="s">
        <v>5935</v>
      </c>
      <c r="Q3799" s="411">
        <v>9</v>
      </c>
      <c r="R3799" s="405" t="s">
        <v>5665</v>
      </c>
      <c r="S3799" s="405" t="s">
        <v>27112</v>
      </c>
      <c r="T3799" s="405" t="s">
        <v>865</v>
      </c>
      <c r="U3799" s="405" t="s">
        <v>866</v>
      </c>
    </row>
    <row r="3800" spans="1:21" x14ac:dyDescent="0.25">
      <c r="A3800" s="405" t="s">
        <v>310</v>
      </c>
      <c r="B3800" s="405" t="s">
        <v>6539</v>
      </c>
      <c r="C3800" s="405" t="s">
        <v>311</v>
      </c>
      <c r="D3800" s="405" t="s">
        <v>839</v>
      </c>
      <c r="E3800" s="410">
        <v>42383</v>
      </c>
      <c r="F3800" s="410">
        <v>42428</v>
      </c>
      <c r="G3800" s="405" t="s">
        <v>6540</v>
      </c>
      <c r="H3800" s="405">
        <v>759403076</v>
      </c>
      <c r="I3800" s="405">
        <v>755027798</v>
      </c>
      <c r="J3800" s="405">
        <v>0.23499999999999999</v>
      </c>
      <c r="K3800" s="405">
        <v>32.392000000000003</v>
      </c>
      <c r="L3800" s="405" t="s">
        <v>314</v>
      </c>
      <c r="M3800" s="405" t="s">
        <v>361</v>
      </c>
      <c r="N3800" s="405" t="s">
        <v>362</v>
      </c>
      <c r="O3800" s="405" t="s">
        <v>6541</v>
      </c>
      <c r="P3800" s="405" t="s">
        <v>1945</v>
      </c>
      <c r="Q3800" s="411">
        <v>13</v>
      </c>
      <c r="R3800" s="405" t="s">
        <v>4176</v>
      </c>
      <c r="S3800" s="405" t="s">
        <v>27053</v>
      </c>
      <c r="T3800" s="405" t="s">
        <v>884</v>
      </c>
      <c r="U3800" s="405" t="s">
        <v>319</v>
      </c>
    </row>
    <row r="3801" spans="1:21" x14ac:dyDescent="0.25">
      <c r="A3801" s="405" t="s">
        <v>310</v>
      </c>
      <c r="B3801" s="406" t="s">
        <v>32108</v>
      </c>
      <c r="C3801" s="405" t="s">
        <v>327</v>
      </c>
      <c r="D3801" s="405"/>
      <c r="E3801" s="406" t="s">
        <v>32109</v>
      </c>
      <c r="F3801" s="407">
        <v>44842</v>
      </c>
      <c r="G3801" s="406" t="s">
        <v>32110</v>
      </c>
      <c r="H3801" s="406" t="s">
        <v>8291</v>
      </c>
      <c r="I3801" s="406" t="s">
        <v>32111</v>
      </c>
      <c r="J3801" s="408">
        <v>0.415935</v>
      </c>
      <c r="K3801" s="408">
        <v>32.649124999999998</v>
      </c>
      <c r="L3801" s="406" t="s">
        <v>314</v>
      </c>
      <c r="M3801" s="406" t="s">
        <v>361</v>
      </c>
      <c r="N3801" s="406" t="s">
        <v>363</v>
      </c>
      <c r="O3801" s="406" t="s">
        <v>363</v>
      </c>
      <c r="P3801" s="406" t="s">
        <v>2114</v>
      </c>
      <c r="Q3801" s="409">
        <v>60</v>
      </c>
      <c r="R3801" s="406" t="s">
        <v>32101</v>
      </c>
      <c r="S3801" s="406" t="s">
        <v>32112</v>
      </c>
      <c r="T3801" s="405" t="s">
        <v>32102</v>
      </c>
      <c r="U3801" s="405" t="s">
        <v>319</v>
      </c>
    </row>
    <row r="3802" spans="1:21" x14ac:dyDescent="0.25">
      <c r="A3802" s="405" t="s">
        <v>310</v>
      </c>
      <c r="B3802" s="405" t="s">
        <v>22312</v>
      </c>
      <c r="C3802" s="405" t="s">
        <v>327</v>
      </c>
      <c r="D3802" s="405"/>
      <c r="E3802" s="410">
        <v>42382</v>
      </c>
      <c r="F3802" s="410">
        <v>42427</v>
      </c>
      <c r="G3802" s="405" t="s">
        <v>22313</v>
      </c>
      <c r="H3802" s="405">
        <v>774746461</v>
      </c>
      <c r="I3802" s="405">
        <v>772377785</v>
      </c>
      <c r="J3802" s="405">
        <v>0.80234799999999995</v>
      </c>
      <c r="K3802" s="405">
        <v>32.555070000000001</v>
      </c>
      <c r="L3802" s="405" t="s">
        <v>590</v>
      </c>
      <c r="M3802" s="405" t="s">
        <v>7300</v>
      </c>
      <c r="N3802" s="405" t="s">
        <v>20450</v>
      </c>
      <c r="O3802" s="405" t="s">
        <v>20451</v>
      </c>
      <c r="P3802" s="405" t="s">
        <v>22314</v>
      </c>
      <c r="Q3802" s="411">
        <v>6</v>
      </c>
      <c r="R3802" s="405" t="s">
        <v>6397</v>
      </c>
      <c r="S3802" s="405" t="s">
        <v>22880</v>
      </c>
      <c r="T3802" s="405" t="s">
        <v>884</v>
      </c>
      <c r="U3802" s="405" t="s">
        <v>319</v>
      </c>
    </row>
    <row r="3803" spans="1:21" x14ac:dyDescent="0.25">
      <c r="A3803" s="405" t="s">
        <v>310</v>
      </c>
      <c r="B3803" s="405" t="s">
        <v>28291</v>
      </c>
      <c r="C3803" s="405" t="s">
        <v>327</v>
      </c>
      <c r="D3803" s="405"/>
      <c r="E3803" s="410">
        <v>42379</v>
      </c>
      <c r="F3803" s="410">
        <v>42424</v>
      </c>
      <c r="G3803" s="405" t="s">
        <v>22307</v>
      </c>
      <c r="H3803" s="405">
        <v>774708972</v>
      </c>
      <c r="I3803" s="405"/>
      <c r="J3803" s="405">
        <v>0.60258</v>
      </c>
      <c r="K3803" s="405">
        <v>30.181114999999998</v>
      </c>
      <c r="L3803" s="405" t="s">
        <v>590</v>
      </c>
      <c r="M3803" s="405" t="s">
        <v>19625</v>
      </c>
      <c r="N3803" s="405" t="s">
        <v>19642</v>
      </c>
      <c r="O3803" s="405" t="s">
        <v>22104</v>
      </c>
      <c r="P3803" s="405" t="s">
        <v>2210</v>
      </c>
      <c r="Q3803" s="411">
        <v>13</v>
      </c>
      <c r="R3803" s="405" t="s">
        <v>6943</v>
      </c>
      <c r="S3803" s="405" t="s">
        <v>27173</v>
      </c>
      <c r="T3803" s="405" t="s">
        <v>865</v>
      </c>
      <c r="U3803" s="405" t="s">
        <v>866</v>
      </c>
    </row>
    <row r="3804" spans="1:21" x14ac:dyDescent="0.25">
      <c r="A3804" s="405" t="s">
        <v>310</v>
      </c>
      <c r="B3804" s="405" t="s">
        <v>22301</v>
      </c>
      <c r="C3804" s="405" t="s">
        <v>327</v>
      </c>
      <c r="D3804" s="405"/>
      <c r="E3804" s="410">
        <v>42379</v>
      </c>
      <c r="F3804" s="410">
        <v>42424</v>
      </c>
      <c r="G3804" s="405" t="s">
        <v>22302</v>
      </c>
      <c r="H3804" s="405">
        <v>782544264</v>
      </c>
      <c r="I3804" s="405"/>
      <c r="J3804" s="405">
        <v>0.32162200000000002</v>
      </c>
      <c r="K3804" s="405">
        <v>30.435611999999999</v>
      </c>
      <c r="L3804" s="405" t="s">
        <v>590</v>
      </c>
      <c r="M3804" s="405" t="s">
        <v>19720</v>
      </c>
      <c r="N3804" s="405" t="s">
        <v>7352</v>
      </c>
      <c r="O3804" s="405" t="s">
        <v>7352</v>
      </c>
      <c r="P3804" s="405" t="s">
        <v>22303</v>
      </c>
      <c r="Q3804" s="411">
        <v>6</v>
      </c>
      <c r="R3804" s="405" t="s">
        <v>6013</v>
      </c>
      <c r="S3804" s="405" t="s">
        <v>27301</v>
      </c>
      <c r="T3804" s="405" t="s">
        <v>884</v>
      </c>
      <c r="U3804" s="405" t="s">
        <v>319</v>
      </c>
    </row>
    <row r="3805" spans="1:21" x14ac:dyDescent="0.25">
      <c r="A3805" s="405" t="s">
        <v>310</v>
      </c>
      <c r="B3805" s="405" t="s">
        <v>15039</v>
      </c>
      <c r="C3805" s="405" t="s">
        <v>327</v>
      </c>
      <c r="D3805" s="405"/>
      <c r="E3805" s="410">
        <v>42379</v>
      </c>
      <c r="F3805" s="410">
        <v>42424</v>
      </c>
      <c r="G3805" s="405" t="s">
        <v>15040</v>
      </c>
      <c r="H3805" s="405">
        <v>785079502</v>
      </c>
      <c r="I3805" s="405"/>
      <c r="J3805" s="405">
        <v>0.31402999999999998</v>
      </c>
      <c r="K3805" s="405">
        <v>32.622807000000002</v>
      </c>
      <c r="L3805" s="405" t="s">
        <v>6866</v>
      </c>
      <c r="M3805" s="405" t="s">
        <v>9658</v>
      </c>
      <c r="N3805" s="405" t="s">
        <v>11057</v>
      </c>
      <c r="O3805" s="405" t="s">
        <v>14099</v>
      </c>
      <c r="P3805" s="405" t="s">
        <v>15041</v>
      </c>
      <c r="Q3805" s="411">
        <v>6</v>
      </c>
      <c r="R3805" s="405" t="s">
        <v>5655</v>
      </c>
      <c r="S3805" s="405" t="s">
        <v>27353</v>
      </c>
      <c r="T3805" s="405" t="s">
        <v>884</v>
      </c>
      <c r="U3805" s="405" t="s">
        <v>319</v>
      </c>
    </row>
    <row r="3806" spans="1:21" x14ac:dyDescent="0.25">
      <c r="A3806" s="405" t="s">
        <v>310</v>
      </c>
      <c r="B3806" s="405" t="s">
        <v>28328</v>
      </c>
      <c r="C3806" s="405" t="s">
        <v>857</v>
      </c>
      <c r="D3806" s="405" t="s">
        <v>6525</v>
      </c>
      <c r="E3806" s="410">
        <v>42378</v>
      </c>
      <c r="F3806" s="410">
        <v>42423</v>
      </c>
      <c r="G3806" s="405" t="s">
        <v>6526</v>
      </c>
      <c r="H3806" s="405">
        <v>772415444</v>
      </c>
      <c r="I3806" s="405"/>
      <c r="J3806" s="405">
        <v>0.122</v>
      </c>
      <c r="K3806" s="405">
        <v>31.293900000000001</v>
      </c>
      <c r="L3806" s="405" t="s">
        <v>314</v>
      </c>
      <c r="M3806" s="405" t="s">
        <v>343</v>
      </c>
      <c r="N3806" s="405" t="s">
        <v>6527</v>
      </c>
      <c r="O3806" s="405" t="s">
        <v>6527</v>
      </c>
      <c r="P3806" s="405" t="s">
        <v>6528</v>
      </c>
      <c r="Q3806" s="411">
        <v>13</v>
      </c>
      <c r="R3806" s="405" t="s">
        <v>5665</v>
      </c>
      <c r="S3806" s="405" t="s">
        <v>27113</v>
      </c>
      <c r="T3806" s="405" t="s">
        <v>884</v>
      </c>
      <c r="U3806" s="405" t="s">
        <v>319</v>
      </c>
    </row>
    <row r="3807" spans="1:21" x14ac:dyDescent="0.25">
      <c r="A3807" s="405" t="s">
        <v>310</v>
      </c>
      <c r="B3807" s="405" t="s">
        <v>5918</v>
      </c>
      <c r="C3807" s="405" t="s">
        <v>327</v>
      </c>
      <c r="D3807" s="405"/>
      <c r="E3807" s="410">
        <v>42378</v>
      </c>
      <c r="F3807" s="410">
        <v>42423</v>
      </c>
      <c r="G3807" s="405" t="s">
        <v>5919</v>
      </c>
      <c r="H3807" s="405">
        <v>752637086</v>
      </c>
      <c r="I3807" s="405"/>
      <c r="J3807" s="405">
        <v>0.96934299999999995</v>
      </c>
      <c r="K3807" s="405">
        <v>31.253782999999999</v>
      </c>
      <c r="L3807" s="405" t="s">
        <v>314</v>
      </c>
      <c r="M3807" s="405" t="s">
        <v>361</v>
      </c>
      <c r="N3807" s="405" t="s">
        <v>375</v>
      </c>
      <c r="O3807" s="405" t="s">
        <v>375</v>
      </c>
      <c r="P3807" s="405" t="s">
        <v>5920</v>
      </c>
      <c r="Q3807" s="411">
        <v>6</v>
      </c>
      <c r="R3807" s="405" t="s">
        <v>5921</v>
      </c>
      <c r="S3807" s="405" t="s">
        <v>22481</v>
      </c>
      <c r="T3807" s="405" t="s">
        <v>884</v>
      </c>
      <c r="U3807" s="405" t="s">
        <v>319</v>
      </c>
    </row>
    <row r="3808" spans="1:21" x14ac:dyDescent="0.25">
      <c r="A3808" s="405" t="s">
        <v>310</v>
      </c>
      <c r="B3808" s="405" t="s">
        <v>22499</v>
      </c>
      <c r="C3808" s="405" t="s">
        <v>311</v>
      </c>
      <c r="D3808" s="405" t="s">
        <v>839</v>
      </c>
      <c r="E3808" s="410">
        <v>42378</v>
      </c>
      <c r="F3808" s="410">
        <v>42423</v>
      </c>
      <c r="G3808" s="405" t="s">
        <v>22500</v>
      </c>
      <c r="H3808" s="405">
        <v>701573339</v>
      </c>
      <c r="I3808" s="405"/>
      <c r="J3808" s="405">
        <v>0.33579999999999999</v>
      </c>
      <c r="K3808" s="405">
        <v>30.122299999999999</v>
      </c>
      <c r="L3808" s="405" t="s">
        <v>590</v>
      </c>
      <c r="M3808" s="405" t="s">
        <v>19625</v>
      </c>
      <c r="N3808" s="405" t="s">
        <v>22501</v>
      </c>
      <c r="O3808" s="405" t="s">
        <v>22104</v>
      </c>
      <c r="P3808" s="405" t="s">
        <v>22502</v>
      </c>
      <c r="Q3808" s="411">
        <v>6</v>
      </c>
      <c r="R3808" s="405" t="s">
        <v>6943</v>
      </c>
      <c r="S3808" s="405" t="s">
        <v>27172</v>
      </c>
      <c r="T3808" s="405" t="s">
        <v>884</v>
      </c>
      <c r="U3808" s="405" t="s">
        <v>319</v>
      </c>
    </row>
    <row r="3809" spans="1:21" x14ac:dyDescent="0.25">
      <c r="A3809" s="405" t="s">
        <v>310</v>
      </c>
      <c r="B3809" s="405" t="s">
        <v>27810</v>
      </c>
      <c r="C3809" s="405" t="s">
        <v>327</v>
      </c>
      <c r="D3809" s="405"/>
      <c r="E3809" s="410">
        <v>42375</v>
      </c>
      <c r="F3809" s="410">
        <v>42477</v>
      </c>
      <c r="G3809" s="405" t="s">
        <v>15084</v>
      </c>
      <c r="H3809" s="405">
        <v>788617079</v>
      </c>
      <c r="I3809" s="405"/>
      <c r="J3809" s="405">
        <v>1.1430670000000001</v>
      </c>
      <c r="K3809" s="405">
        <v>34.202275</v>
      </c>
      <c r="L3809" s="405" t="s">
        <v>6866</v>
      </c>
      <c r="M3809" s="405" t="s">
        <v>9514</v>
      </c>
      <c r="N3809" s="405" t="s">
        <v>9530</v>
      </c>
      <c r="O3809" s="405" t="s">
        <v>9530</v>
      </c>
      <c r="P3809" s="405" t="s">
        <v>13611</v>
      </c>
      <c r="Q3809" s="411">
        <v>6</v>
      </c>
      <c r="R3809" s="405" t="s">
        <v>7224</v>
      </c>
      <c r="S3809" s="405" t="s">
        <v>27346</v>
      </c>
      <c r="T3809" s="405" t="s">
        <v>884</v>
      </c>
      <c r="U3809" s="405" t="s">
        <v>319</v>
      </c>
    </row>
    <row r="3810" spans="1:21" x14ac:dyDescent="0.25">
      <c r="A3810" s="405" t="s">
        <v>310</v>
      </c>
      <c r="B3810" s="405" t="s">
        <v>5922</v>
      </c>
      <c r="C3810" s="405" t="s">
        <v>327</v>
      </c>
      <c r="D3810" s="405"/>
      <c r="E3810" s="410">
        <v>42374</v>
      </c>
      <c r="F3810" s="410">
        <v>42419</v>
      </c>
      <c r="G3810" s="405" t="s">
        <v>5923</v>
      </c>
      <c r="H3810" s="405">
        <v>772404012</v>
      </c>
      <c r="I3810" s="405"/>
      <c r="J3810" s="405">
        <v>0.18526000000000001</v>
      </c>
      <c r="K3810" s="405">
        <v>32.084989999999998</v>
      </c>
      <c r="L3810" s="405" t="s">
        <v>314</v>
      </c>
      <c r="M3810" s="405" t="s">
        <v>361</v>
      </c>
      <c r="N3810" s="405" t="s">
        <v>374</v>
      </c>
      <c r="O3810" s="405" t="s">
        <v>5924</v>
      </c>
      <c r="P3810" s="405" t="s">
        <v>1341</v>
      </c>
      <c r="Q3810" s="411">
        <v>13</v>
      </c>
      <c r="R3810" s="405" t="s">
        <v>5336</v>
      </c>
      <c r="S3810" s="405" t="s">
        <v>27047</v>
      </c>
      <c r="T3810" s="405" t="s">
        <v>884</v>
      </c>
      <c r="U3810" s="405" t="s">
        <v>319</v>
      </c>
    </row>
    <row r="3811" spans="1:21" x14ac:dyDescent="0.25">
      <c r="A3811" s="405" t="s">
        <v>310</v>
      </c>
      <c r="B3811" s="405" t="s">
        <v>28398</v>
      </c>
      <c r="C3811" s="405" t="s">
        <v>327</v>
      </c>
      <c r="D3811" s="405"/>
      <c r="E3811" s="410">
        <v>42374</v>
      </c>
      <c r="F3811" s="410">
        <v>42419</v>
      </c>
      <c r="G3811" s="405" t="s">
        <v>15037</v>
      </c>
      <c r="H3811" s="405">
        <v>789609695</v>
      </c>
      <c r="I3811" s="405"/>
      <c r="J3811" s="405">
        <v>0.31812400000000002</v>
      </c>
      <c r="K3811" s="405">
        <v>32.480550000000001</v>
      </c>
      <c r="L3811" s="405" t="s">
        <v>6866</v>
      </c>
      <c r="M3811" s="405" t="s">
        <v>9685</v>
      </c>
      <c r="N3811" s="405" t="s">
        <v>9686</v>
      </c>
      <c r="O3811" s="405" t="s">
        <v>14943</v>
      </c>
      <c r="P3811" s="405" t="s">
        <v>15038</v>
      </c>
      <c r="Q3811" s="411">
        <v>6</v>
      </c>
      <c r="R3811" s="405" t="s">
        <v>9506</v>
      </c>
      <c r="S3811" s="405" t="s">
        <v>27169</v>
      </c>
      <c r="T3811" s="405" t="s">
        <v>884</v>
      </c>
      <c r="U3811" s="405" t="s">
        <v>319</v>
      </c>
    </row>
    <row r="3812" spans="1:21" x14ac:dyDescent="0.25">
      <c r="A3812" s="405" t="s">
        <v>310</v>
      </c>
      <c r="B3812" s="405" t="s">
        <v>15051</v>
      </c>
      <c r="C3812" s="405" t="s">
        <v>327</v>
      </c>
      <c r="D3812" s="405"/>
      <c r="E3812" s="410">
        <v>42374</v>
      </c>
      <c r="F3812" s="410">
        <v>42419</v>
      </c>
      <c r="G3812" s="405" t="s">
        <v>15052</v>
      </c>
      <c r="H3812" s="405">
        <v>759764745</v>
      </c>
      <c r="I3812" s="405"/>
      <c r="J3812" s="405">
        <v>0.45208700000000002</v>
      </c>
      <c r="K3812" s="405">
        <v>30.420079000000001</v>
      </c>
      <c r="L3812" s="405" t="s">
        <v>6866</v>
      </c>
      <c r="M3812" s="405" t="s">
        <v>9658</v>
      </c>
      <c r="N3812" s="405" t="s">
        <v>11057</v>
      </c>
      <c r="O3812" s="405" t="s">
        <v>14099</v>
      </c>
      <c r="P3812" s="405" t="s">
        <v>15047</v>
      </c>
      <c r="Q3812" s="411">
        <v>6</v>
      </c>
      <c r="R3812" s="405" t="s">
        <v>5655</v>
      </c>
      <c r="S3812" s="405" t="s">
        <v>27056</v>
      </c>
      <c r="T3812" s="405" t="s">
        <v>32102</v>
      </c>
      <c r="U3812" s="405" t="s">
        <v>319</v>
      </c>
    </row>
    <row r="3813" spans="1:21" x14ac:dyDescent="0.25">
      <c r="A3813" s="405" t="s">
        <v>310</v>
      </c>
      <c r="B3813" s="405" t="s">
        <v>27787</v>
      </c>
      <c r="C3813" s="405" t="s">
        <v>327</v>
      </c>
      <c r="D3813" s="405"/>
      <c r="E3813" s="410">
        <v>42373</v>
      </c>
      <c r="F3813" s="410">
        <v>42418</v>
      </c>
      <c r="G3813" s="405" t="s">
        <v>15035</v>
      </c>
      <c r="H3813" s="405">
        <v>778522382</v>
      </c>
      <c r="I3813" s="405"/>
      <c r="J3813" s="405">
        <v>1.2913019999999999</v>
      </c>
      <c r="K3813" s="405">
        <v>34.385240000000003</v>
      </c>
      <c r="L3813" s="405" t="s">
        <v>6866</v>
      </c>
      <c r="M3813" s="405" t="s">
        <v>9550</v>
      </c>
      <c r="N3813" s="405" t="s">
        <v>9754</v>
      </c>
      <c r="O3813" s="405" t="s">
        <v>9754</v>
      </c>
      <c r="P3813" s="405" t="s">
        <v>15036</v>
      </c>
      <c r="Q3813" s="411">
        <v>6</v>
      </c>
      <c r="R3813" s="405" t="s">
        <v>9506</v>
      </c>
      <c r="S3813" s="405" t="s">
        <v>17062</v>
      </c>
      <c r="T3813" s="405" t="s">
        <v>32102</v>
      </c>
      <c r="U3813" s="405" t="s">
        <v>319</v>
      </c>
    </row>
    <row r="3814" spans="1:21" x14ac:dyDescent="0.25">
      <c r="A3814" s="405" t="s">
        <v>310</v>
      </c>
      <c r="B3814" s="405" t="s">
        <v>14981</v>
      </c>
      <c r="C3814" s="405" t="s">
        <v>327</v>
      </c>
      <c r="D3814" s="405"/>
      <c r="E3814" s="410">
        <v>42373</v>
      </c>
      <c r="F3814" s="410">
        <v>42397</v>
      </c>
      <c r="G3814" s="405" t="s">
        <v>14982</v>
      </c>
      <c r="H3814" s="405">
        <v>782389391</v>
      </c>
      <c r="I3814" s="405"/>
      <c r="J3814" s="405">
        <v>1.2045999999999999</v>
      </c>
      <c r="K3814" s="405">
        <v>34.225499999999997</v>
      </c>
      <c r="L3814" s="405" t="s">
        <v>6866</v>
      </c>
      <c r="M3814" s="405" t="s">
        <v>9685</v>
      </c>
      <c r="N3814" s="405" t="s">
        <v>9686</v>
      </c>
      <c r="O3814" s="405" t="s">
        <v>14983</v>
      </c>
      <c r="P3814" s="405" t="s">
        <v>14984</v>
      </c>
      <c r="Q3814" s="411">
        <v>6</v>
      </c>
      <c r="R3814" s="405" t="s">
        <v>9506</v>
      </c>
      <c r="S3814" s="405" t="s">
        <v>27318</v>
      </c>
      <c r="T3814" s="405" t="s">
        <v>884</v>
      </c>
      <c r="U3814" s="405" t="s">
        <v>319</v>
      </c>
    </row>
    <row r="3815" spans="1:21" x14ac:dyDescent="0.25">
      <c r="A3815" s="405" t="s">
        <v>310</v>
      </c>
      <c r="B3815" s="405" t="s">
        <v>14985</v>
      </c>
      <c r="C3815" s="405" t="s">
        <v>327</v>
      </c>
      <c r="D3815" s="405"/>
      <c r="E3815" s="410">
        <v>42373</v>
      </c>
      <c r="F3815" s="410">
        <v>42397</v>
      </c>
      <c r="G3815" s="405" t="s">
        <v>14986</v>
      </c>
      <c r="H3815" s="405">
        <v>782368491</v>
      </c>
      <c r="I3815" s="405"/>
      <c r="J3815" s="405">
        <v>1.395912</v>
      </c>
      <c r="K3815" s="405">
        <v>34.409618000000002</v>
      </c>
      <c r="L3815" s="405" t="s">
        <v>6866</v>
      </c>
      <c r="M3815" s="405" t="s">
        <v>9685</v>
      </c>
      <c r="N3815" s="405" t="s">
        <v>9686</v>
      </c>
      <c r="O3815" s="405" t="s">
        <v>14943</v>
      </c>
      <c r="P3815" s="405" t="s">
        <v>14987</v>
      </c>
      <c r="Q3815" s="411">
        <v>6</v>
      </c>
      <c r="R3815" s="405" t="s">
        <v>9506</v>
      </c>
      <c r="S3815" s="405" t="s">
        <v>27169</v>
      </c>
      <c r="T3815" s="405" t="s">
        <v>884</v>
      </c>
      <c r="U3815" s="405" t="s">
        <v>319</v>
      </c>
    </row>
    <row r="3816" spans="1:21" x14ac:dyDescent="0.25">
      <c r="A3816" s="405" t="s">
        <v>310</v>
      </c>
      <c r="B3816" s="405" t="s">
        <v>5914</v>
      </c>
      <c r="C3816" s="405" t="s">
        <v>327</v>
      </c>
      <c r="D3816" s="405"/>
      <c r="E3816" s="410">
        <v>42369</v>
      </c>
      <c r="F3816" s="410">
        <v>42414</v>
      </c>
      <c r="G3816" s="405" t="s">
        <v>5915</v>
      </c>
      <c r="H3816" s="405">
        <v>750001075</v>
      </c>
      <c r="I3816" s="405"/>
      <c r="J3816" s="405">
        <v>0.2321</v>
      </c>
      <c r="K3816" s="405">
        <v>32.356000000000002</v>
      </c>
      <c r="L3816" s="405" t="s">
        <v>314</v>
      </c>
      <c r="M3816" s="405" t="s">
        <v>992</v>
      </c>
      <c r="N3816" s="405" t="s">
        <v>936</v>
      </c>
      <c r="O3816" s="405" t="s">
        <v>5916</v>
      </c>
      <c r="P3816" s="405" t="s">
        <v>5917</v>
      </c>
      <c r="Q3816" s="411">
        <v>6</v>
      </c>
      <c r="R3816" s="405" t="s">
        <v>4176</v>
      </c>
      <c r="S3816" s="405" t="s">
        <v>27153</v>
      </c>
      <c r="T3816" s="405" t="s">
        <v>884</v>
      </c>
      <c r="U3816" s="405" t="s">
        <v>319</v>
      </c>
    </row>
    <row r="3817" spans="1:21" x14ac:dyDescent="0.25">
      <c r="A3817" s="405" t="s">
        <v>310</v>
      </c>
      <c r="B3817" s="405" t="s">
        <v>28617</v>
      </c>
      <c r="C3817" s="405" t="s">
        <v>327</v>
      </c>
      <c r="D3817" s="405"/>
      <c r="E3817" s="410">
        <v>42368</v>
      </c>
      <c r="F3817" s="410">
        <v>42413</v>
      </c>
      <c r="G3817" s="405" t="s">
        <v>5938</v>
      </c>
      <c r="H3817" s="405">
        <v>703165753</v>
      </c>
      <c r="I3817" s="405"/>
      <c r="J3817" s="405">
        <v>0.5436434</v>
      </c>
      <c r="K3817" s="405">
        <v>32.621634899999997</v>
      </c>
      <c r="L3817" s="405" t="s">
        <v>314</v>
      </c>
      <c r="M3817" s="405" t="s">
        <v>361</v>
      </c>
      <c r="N3817" s="405" t="s">
        <v>362</v>
      </c>
      <c r="O3817" s="405" t="s">
        <v>433</v>
      </c>
      <c r="P3817" s="405" t="s">
        <v>5939</v>
      </c>
      <c r="Q3817" s="411">
        <v>9</v>
      </c>
      <c r="R3817" s="405" t="s">
        <v>5940</v>
      </c>
      <c r="S3817" s="405" t="s">
        <v>27250</v>
      </c>
      <c r="T3817" s="405" t="s">
        <v>884</v>
      </c>
      <c r="U3817" s="405" t="s">
        <v>319</v>
      </c>
    </row>
    <row r="3818" spans="1:21" x14ac:dyDescent="0.25">
      <c r="A3818" s="405" t="s">
        <v>310</v>
      </c>
      <c r="B3818" s="405" t="s">
        <v>15022</v>
      </c>
      <c r="C3818" s="405" t="s">
        <v>327</v>
      </c>
      <c r="D3818" s="405"/>
      <c r="E3818" s="410">
        <v>42368</v>
      </c>
      <c r="F3818" s="410">
        <v>42413</v>
      </c>
      <c r="G3818" s="405" t="s">
        <v>15023</v>
      </c>
      <c r="H3818" s="405">
        <v>774976055</v>
      </c>
      <c r="I3818" s="405"/>
      <c r="J3818" s="405">
        <v>1.3814219999999999</v>
      </c>
      <c r="K3818" s="405">
        <v>32.920273999999999</v>
      </c>
      <c r="L3818" s="405" t="s">
        <v>6866</v>
      </c>
      <c r="M3818" s="405" t="s">
        <v>9658</v>
      </c>
      <c r="N3818" s="405" t="s">
        <v>11057</v>
      </c>
      <c r="O3818" s="405" t="s">
        <v>13335</v>
      </c>
      <c r="P3818" s="405" t="s">
        <v>15024</v>
      </c>
      <c r="Q3818" s="411">
        <v>6</v>
      </c>
      <c r="R3818" s="405" t="s">
        <v>5655</v>
      </c>
      <c r="S3818" s="405" t="s">
        <v>27351</v>
      </c>
      <c r="T3818" s="405" t="s">
        <v>884</v>
      </c>
      <c r="U3818" s="405" t="s">
        <v>319</v>
      </c>
    </row>
    <row r="3819" spans="1:21" x14ac:dyDescent="0.25">
      <c r="A3819" s="405" t="s">
        <v>310</v>
      </c>
      <c r="B3819" s="405" t="s">
        <v>22493</v>
      </c>
      <c r="C3819" s="405" t="s">
        <v>857</v>
      </c>
      <c r="D3819" s="405" t="s">
        <v>1037</v>
      </c>
      <c r="E3819" s="410">
        <v>42367</v>
      </c>
      <c r="F3819" s="410">
        <v>42412</v>
      </c>
      <c r="G3819" s="405" t="s">
        <v>22494</v>
      </c>
      <c r="H3819" s="405">
        <v>772989617</v>
      </c>
      <c r="I3819" s="405"/>
      <c r="J3819" s="405">
        <v>0.76551000000000002</v>
      </c>
      <c r="K3819" s="405">
        <v>33.813453000000003</v>
      </c>
      <c r="L3819" s="405" t="s">
        <v>590</v>
      </c>
      <c r="M3819" s="405" t="s">
        <v>7300</v>
      </c>
      <c r="N3819" s="405" t="s">
        <v>21079</v>
      </c>
      <c r="O3819" s="405" t="s">
        <v>21079</v>
      </c>
      <c r="P3819" s="405" t="s">
        <v>22495</v>
      </c>
      <c r="Q3819" s="411">
        <v>6</v>
      </c>
      <c r="R3819" s="405" t="s">
        <v>5336</v>
      </c>
      <c r="S3819" s="405" t="s">
        <v>22481</v>
      </c>
      <c r="T3819" s="405" t="s">
        <v>884</v>
      </c>
      <c r="U3819" s="405" t="s">
        <v>319</v>
      </c>
    </row>
    <row r="3820" spans="1:21" x14ac:dyDescent="0.25">
      <c r="A3820" s="405" t="s">
        <v>310</v>
      </c>
      <c r="B3820" s="405" t="s">
        <v>5928</v>
      </c>
      <c r="C3820" s="405" t="s">
        <v>327</v>
      </c>
      <c r="D3820" s="405"/>
      <c r="E3820" s="410">
        <v>42366</v>
      </c>
      <c r="F3820" s="410">
        <v>42411</v>
      </c>
      <c r="G3820" s="405" t="s">
        <v>5929</v>
      </c>
      <c r="H3820" s="405">
        <v>750126828</v>
      </c>
      <c r="I3820" s="405">
        <v>759480238</v>
      </c>
      <c r="J3820" s="405">
        <v>0.412692</v>
      </c>
      <c r="K3820" s="405">
        <v>31.687031999999999</v>
      </c>
      <c r="L3820" s="405" t="s">
        <v>314</v>
      </c>
      <c r="M3820" s="405" t="s">
        <v>315</v>
      </c>
      <c r="N3820" s="405" t="s">
        <v>1244</v>
      </c>
      <c r="O3820" s="405" t="s">
        <v>523</v>
      </c>
      <c r="P3820" s="405" t="s">
        <v>523</v>
      </c>
      <c r="Q3820" s="411">
        <v>6</v>
      </c>
      <c r="R3820" s="405" t="s">
        <v>32101</v>
      </c>
      <c r="S3820" s="405" t="s">
        <v>27167</v>
      </c>
      <c r="T3820" s="405" t="s">
        <v>884</v>
      </c>
      <c r="U3820" s="405" t="s">
        <v>319</v>
      </c>
    </row>
    <row r="3821" spans="1:21" x14ac:dyDescent="0.25">
      <c r="A3821" s="405" t="s">
        <v>310</v>
      </c>
      <c r="B3821" s="405" t="s">
        <v>15032</v>
      </c>
      <c r="C3821" s="405" t="s">
        <v>327</v>
      </c>
      <c r="D3821" s="405"/>
      <c r="E3821" s="410">
        <v>42365</v>
      </c>
      <c r="F3821" s="410">
        <v>42410</v>
      </c>
      <c r="G3821" s="405" t="s">
        <v>15033</v>
      </c>
      <c r="H3821" s="405">
        <v>772120848</v>
      </c>
      <c r="I3821" s="405"/>
      <c r="J3821" s="405">
        <v>1.3244229999999999</v>
      </c>
      <c r="K3821" s="405">
        <v>34.332692999999999</v>
      </c>
      <c r="L3821" s="405" t="s">
        <v>6866</v>
      </c>
      <c r="M3821" s="405" t="s">
        <v>9685</v>
      </c>
      <c r="N3821" s="405" t="s">
        <v>14908</v>
      </c>
      <c r="O3821" s="405" t="s">
        <v>14908</v>
      </c>
      <c r="P3821" s="405" t="s">
        <v>15034</v>
      </c>
      <c r="Q3821" s="411">
        <v>6</v>
      </c>
      <c r="R3821" s="405" t="s">
        <v>9506</v>
      </c>
      <c r="S3821" s="405" t="s">
        <v>27318</v>
      </c>
      <c r="T3821" s="405" t="s">
        <v>884</v>
      </c>
      <c r="U3821" s="405" t="s">
        <v>319</v>
      </c>
    </row>
    <row r="3822" spans="1:21" x14ac:dyDescent="0.25">
      <c r="A3822" s="405" t="s">
        <v>310</v>
      </c>
      <c r="B3822" s="405" t="s">
        <v>15416</v>
      </c>
      <c r="C3822" s="405" t="s">
        <v>311</v>
      </c>
      <c r="D3822" s="405" t="s">
        <v>839</v>
      </c>
      <c r="E3822" s="410">
        <v>42365</v>
      </c>
      <c r="F3822" s="410">
        <v>42410</v>
      </c>
      <c r="G3822" s="405" t="s">
        <v>15417</v>
      </c>
      <c r="H3822" s="405">
        <v>779038466</v>
      </c>
      <c r="I3822" s="405"/>
      <c r="J3822" s="405">
        <v>-6.6962999999999995E-2</v>
      </c>
      <c r="K3822" s="405">
        <v>30.396967</v>
      </c>
      <c r="L3822" s="405" t="s">
        <v>6866</v>
      </c>
      <c r="M3822" s="405" t="s">
        <v>9658</v>
      </c>
      <c r="N3822" s="405" t="s">
        <v>11057</v>
      </c>
      <c r="O3822" s="405" t="s">
        <v>14099</v>
      </c>
      <c r="P3822" s="405" t="s">
        <v>15047</v>
      </c>
      <c r="Q3822" s="411">
        <v>6</v>
      </c>
      <c r="R3822" s="405" t="s">
        <v>5655</v>
      </c>
      <c r="S3822" s="405" t="s">
        <v>27056</v>
      </c>
      <c r="T3822" s="405" t="s">
        <v>884</v>
      </c>
      <c r="U3822" s="405" t="s">
        <v>319</v>
      </c>
    </row>
    <row r="3823" spans="1:21" x14ac:dyDescent="0.25">
      <c r="A3823" s="405" t="s">
        <v>310</v>
      </c>
      <c r="B3823" s="405" t="s">
        <v>15048</v>
      </c>
      <c r="C3823" s="405" t="s">
        <v>327</v>
      </c>
      <c r="D3823" s="405"/>
      <c r="E3823" s="410">
        <v>42364</v>
      </c>
      <c r="F3823" s="410">
        <v>42409</v>
      </c>
      <c r="G3823" s="405" t="s">
        <v>15049</v>
      </c>
      <c r="H3823" s="405">
        <v>779838735</v>
      </c>
      <c r="I3823" s="405"/>
      <c r="J3823" s="405">
        <v>0.373502</v>
      </c>
      <c r="K3823" s="405">
        <v>30.598033000000001</v>
      </c>
      <c r="L3823" s="405" t="s">
        <v>6866</v>
      </c>
      <c r="M3823" s="405" t="s">
        <v>9658</v>
      </c>
      <c r="N3823" s="405" t="s">
        <v>15044</v>
      </c>
      <c r="O3823" s="405" t="s">
        <v>14099</v>
      </c>
      <c r="P3823" s="405" t="s">
        <v>15050</v>
      </c>
      <c r="Q3823" s="411">
        <v>6</v>
      </c>
      <c r="R3823" s="405" t="s">
        <v>5655</v>
      </c>
      <c r="S3823" s="405" t="s">
        <v>27072</v>
      </c>
      <c r="T3823" s="405" t="s">
        <v>884</v>
      </c>
      <c r="U3823" s="405" t="s">
        <v>319</v>
      </c>
    </row>
    <row r="3824" spans="1:21" x14ac:dyDescent="0.25">
      <c r="A3824" s="405" t="s">
        <v>310</v>
      </c>
      <c r="B3824" s="405" t="s">
        <v>5930</v>
      </c>
      <c r="C3824" s="405" t="s">
        <v>327</v>
      </c>
      <c r="D3824" s="405"/>
      <c r="E3824" s="410">
        <v>42364</v>
      </c>
      <c r="F3824" s="410">
        <v>42409</v>
      </c>
      <c r="G3824" s="405" t="s">
        <v>5931</v>
      </c>
      <c r="H3824" s="405">
        <v>758061935</v>
      </c>
      <c r="I3824" s="405"/>
      <c r="J3824" s="405">
        <v>0.33885510000000002</v>
      </c>
      <c r="K3824" s="405">
        <v>32.360349200000002</v>
      </c>
      <c r="L3824" s="405" t="s">
        <v>314</v>
      </c>
      <c r="M3824" s="405" t="s">
        <v>1360</v>
      </c>
      <c r="N3824" s="405" t="s">
        <v>5641</v>
      </c>
      <c r="O3824" s="405" t="s">
        <v>1361</v>
      </c>
      <c r="P3824" s="405" t="s">
        <v>5932</v>
      </c>
      <c r="Q3824" s="411">
        <v>6</v>
      </c>
      <c r="R3824" s="405" t="s">
        <v>32101</v>
      </c>
      <c r="S3824" s="405" t="s">
        <v>414</v>
      </c>
      <c r="T3824" s="405" t="s">
        <v>865</v>
      </c>
      <c r="U3824" s="405" t="s">
        <v>866</v>
      </c>
    </row>
    <row r="3825" spans="1:21" x14ac:dyDescent="0.25">
      <c r="A3825" s="405" t="s">
        <v>310</v>
      </c>
      <c r="B3825" s="405" t="s">
        <v>15045</v>
      </c>
      <c r="C3825" s="405" t="s">
        <v>327</v>
      </c>
      <c r="D3825" s="405"/>
      <c r="E3825" s="410">
        <v>42362</v>
      </c>
      <c r="F3825" s="410">
        <v>42407</v>
      </c>
      <c r="G3825" s="405" t="s">
        <v>15046</v>
      </c>
      <c r="H3825" s="405">
        <v>773496731</v>
      </c>
      <c r="I3825" s="405"/>
      <c r="J3825" s="405">
        <v>1.506348</v>
      </c>
      <c r="K3825" s="405">
        <v>33.156967999999999</v>
      </c>
      <c r="L3825" s="405" t="s">
        <v>6866</v>
      </c>
      <c r="M3825" s="405" t="s">
        <v>9658</v>
      </c>
      <c r="N3825" s="405" t="s">
        <v>11057</v>
      </c>
      <c r="O3825" s="405" t="s">
        <v>14099</v>
      </c>
      <c r="P3825" s="405" t="s">
        <v>15047</v>
      </c>
      <c r="Q3825" s="411">
        <v>6</v>
      </c>
      <c r="R3825" s="405" t="s">
        <v>5655</v>
      </c>
      <c r="S3825" s="405" t="s">
        <v>27041</v>
      </c>
      <c r="T3825" s="405" t="s">
        <v>884</v>
      </c>
      <c r="U3825" s="405" t="s">
        <v>319</v>
      </c>
    </row>
    <row r="3826" spans="1:21" x14ac:dyDescent="0.25">
      <c r="A3826" s="405" t="s">
        <v>310</v>
      </c>
      <c r="B3826" s="405" t="s">
        <v>22304</v>
      </c>
      <c r="C3826" s="405" t="s">
        <v>327</v>
      </c>
      <c r="D3826" s="405"/>
      <c r="E3826" s="410">
        <v>42361</v>
      </c>
      <c r="F3826" s="410">
        <v>42406</v>
      </c>
      <c r="G3826" s="405" t="s">
        <v>22305</v>
      </c>
      <c r="H3826" s="405">
        <v>702550144</v>
      </c>
      <c r="I3826" s="405"/>
      <c r="J3826" s="405">
        <v>0.39369999999999999</v>
      </c>
      <c r="K3826" s="405">
        <v>30.102</v>
      </c>
      <c r="L3826" s="405" t="s">
        <v>590</v>
      </c>
      <c r="M3826" s="405" t="s">
        <v>19625</v>
      </c>
      <c r="N3826" s="405" t="s">
        <v>19642</v>
      </c>
      <c r="O3826" s="405" t="s">
        <v>22306</v>
      </c>
      <c r="P3826" s="405" t="s">
        <v>21464</v>
      </c>
      <c r="Q3826" s="411">
        <v>9</v>
      </c>
      <c r="R3826" s="405" t="s">
        <v>6943</v>
      </c>
      <c r="S3826" s="405" t="s">
        <v>27280</v>
      </c>
      <c r="T3826" s="405" t="s">
        <v>884</v>
      </c>
      <c r="U3826" s="405" t="s">
        <v>319</v>
      </c>
    </row>
    <row r="3827" spans="1:21" x14ac:dyDescent="0.25">
      <c r="A3827" s="405" t="s">
        <v>310</v>
      </c>
      <c r="B3827" s="405" t="s">
        <v>28606</v>
      </c>
      <c r="C3827" s="405" t="s">
        <v>327</v>
      </c>
      <c r="D3827" s="405"/>
      <c r="E3827" s="410">
        <v>42361</v>
      </c>
      <c r="F3827" s="410">
        <v>42406</v>
      </c>
      <c r="G3827" s="405" t="s">
        <v>5936</v>
      </c>
      <c r="H3827" s="405">
        <v>706321045</v>
      </c>
      <c r="I3827" s="405"/>
      <c r="J3827" s="405">
        <v>-0.416825</v>
      </c>
      <c r="K3827" s="405">
        <v>31.630157100000002</v>
      </c>
      <c r="L3827" s="405" t="s">
        <v>314</v>
      </c>
      <c r="M3827" s="405" t="s">
        <v>382</v>
      </c>
      <c r="N3827" s="405" t="s">
        <v>988</v>
      </c>
      <c r="O3827" s="405" t="s">
        <v>894</v>
      </c>
      <c r="P3827" s="405" t="s">
        <v>5937</v>
      </c>
      <c r="Q3827" s="411">
        <v>6</v>
      </c>
      <c r="R3827" s="405" t="s">
        <v>5739</v>
      </c>
      <c r="S3827" s="405" t="s">
        <v>27186</v>
      </c>
      <c r="T3827" s="405" t="s">
        <v>6551</v>
      </c>
      <c r="U3827" s="405" t="s">
        <v>2267</v>
      </c>
    </row>
    <row r="3828" spans="1:21" x14ac:dyDescent="0.25">
      <c r="A3828" s="405" t="s">
        <v>310</v>
      </c>
      <c r="B3828" s="405" t="s">
        <v>28973</v>
      </c>
      <c r="C3828" s="405" t="s">
        <v>327</v>
      </c>
      <c r="D3828" s="405"/>
      <c r="E3828" s="410">
        <v>42360</v>
      </c>
      <c r="F3828" s="410">
        <v>42405</v>
      </c>
      <c r="G3828" s="405" t="s">
        <v>22310</v>
      </c>
      <c r="H3828" s="405">
        <v>772560075</v>
      </c>
      <c r="I3828" s="405"/>
      <c r="J3828" s="405">
        <v>1.448693</v>
      </c>
      <c r="K3828" s="405">
        <v>31.366498</v>
      </c>
      <c r="L3828" s="405" t="s">
        <v>590</v>
      </c>
      <c r="M3828" s="405" t="s">
        <v>7300</v>
      </c>
      <c r="N3828" s="405" t="s">
        <v>20092</v>
      </c>
      <c r="O3828" s="405" t="s">
        <v>20092</v>
      </c>
      <c r="P3828" s="405" t="s">
        <v>22311</v>
      </c>
      <c r="Q3828" s="411">
        <v>6</v>
      </c>
      <c r="R3828" s="405" t="s">
        <v>6397</v>
      </c>
      <c r="S3828" s="405" t="s">
        <v>22880</v>
      </c>
      <c r="T3828" s="405" t="s">
        <v>884</v>
      </c>
      <c r="U3828" s="405" t="s">
        <v>319</v>
      </c>
    </row>
    <row r="3829" spans="1:21" x14ac:dyDescent="0.25">
      <c r="A3829" s="405" t="s">
        <v>310</v>
      </c>
      <c r="B3829" s="405" t="s">
        <v>15029</v>
      </c>
      <c r="C3829" s="405" t="s">
        <v>327</v>
      </c>
      <c r="D3829" s="405"/>
      <c r="E3829" s="410">
        <v>42360</v>
      </c>
      <c r="F3829" s="410">
        <v>42405</v>
      </c>
      <c r="G3829" s="405" t="s">
        <v>15030</v>
      </c>
      <c r="H3829" s="405">
        <v>782315527</v>
      </c>
      <c r="I3829" s="405"/>
      <c r="J3829" s="405">
        <v>0.76947200000000004</v>
      </c>
      <c r="K3829" s="405">
        <v>30.80097</v>
      </c>
      <c r="L3829" s="405" t="s">
        <v>6866</v>
      </c>
      <c r="M3829" s="405" t="s">
        <v>9514</v>
      </c>
      <c r="N3829" s="405" t="s">
        <v>9616</v>
      </c>
      <c r="O3829" s="405" t="s">
        <v>12702</v>
      </c>
      <c r="P3829" s="405" t="s">
        <v>15031</v>
      </c>
      <c r="Q3829" s="411">
        <v>6</v>
      </c>
      <c r="R3829" s="405" t="s">
        <v>6871</v>
      </c>
      <c r="S3829" s="405" t="s">
        <v>27142</v>
      </c>
      <c r="T3829" s="405" t="s">
        <v>884</v>
      </c>
      <c r="U3829" s="405" t="s">
        <v>319</v>
      </c>
    </row>
    <row r="3830" spans="1:21" x14ac:dyDescent="0.25">
      <c r="A3830" s="405" t="s">
        <v>310</v>
      </c>
      <c r="B3830" s="405" t="s">
        <v>27537</v>
      </c>
      <c r="C3830" s="405" t="s">
        <v>327</v>
      </c>
      <c r="D3830" s="405"/>
      <c r="E3830" s="410">
        <v>42359</v>
      </c>
      <c r="F3830" s="410">
        <v>42404</v>
      </c>
      <c r="G3830" s="405" t="s">
        <v>22308</v>
      </c>
      <c r="H3830" s="405">
        <v>772304938</v>
      </c>
      <c r="I3830" s="405">
        <v>705187722</v>
      </c>
      <c r="J3830" s="405">
        <v>-0.53356300000000001</v>
      </c>
      <c r="K3830" s="405">
        <v>30.182355000000001</v>
      </c>
      <c r="L3830" s="405" t="s">
        <v>590</v>
      </c>
      <c r="M3830" s="405" t="s">
        <v>19625</v>
      </c>
      <c r="N3830" s="405" t="s">
        <v>19978</v>
      </c>
      <c r="O3830" s="405" t="s">
        <v>13002</v>
      </c>
      <c r="P3830" s="405" t="s">
        <v>22309</v>
      </c>
      <c r="Q3830" s="411">
        <v>6</v>
      </c>
      <c r="R3830" s="405" t="s">
        <v>5858</v>
      </c>
      <c r="S3830" s="405" t="s">
        <v>27227</v>
      </c>
      <c r="T3830" s="405" t="s">
        <v>884</v>
      </c>
      <c r="U3830" s="405" t="s">
        <v>319</v>
      </c>
    </row>
    <row r="3831" spans="1:21" x14ac:dyDescent="0.25">
      <c r="A3831" s="405" t="s">
        <v>310</v>
      </c>
      <c r="B3831" s="405" t="s">
        <v>15414</v>
      </c>
      <c r="C3831" s="405" t="s">
        <v>311</v>
      </c>
      <c r="D3831" s="405" t="s">
        <v>839</v>
      </c>
      <c r="E3831" s="410">
        <v>42359</v>
      </c>
      <c r="F3831" s="410">
        <v>42404</v>
      </c>
      <c r="G3831" s="405" t="s">
        <v>15415</v>
      </c>
      <c r="H3831" s="405">
        <v>779038466</v>
      </c>
      <c r="I3831" s="405"/>
      <c r="J3831" s="405">
        <v>0.28425</v>
      </c>
      <c r="K3831" s="405">
        <v>32.465941999999998</v>
      </c>
      <c r="L3831" s="405" t="s">
        <v>6866</v>
      </c>
      <c r="M3831" s="405" t="s">
        <v>9658</v>
      </c>
      <c r="N3831" s="405" t="s">
        <v>11057</v>
      </c>
      <c r="O3831" s="405" t="s">
        <v>14099</v>
      </c>
      <c r="P3831" s="405" t="s">
        <v>15047</v>
      </c>
      <c r="Q3831" s="411">
        <v>6</v>
      </c>
      <c r="R3831" s="405" t="s">
        <v>5655</v>
      </c>
      <c r="S3831" s="405" t="s">
        <v>27056</v>
      </c>
      <c r="T3831" s="405" t="s">
        <v>32102</v>
      </c>
      <c r="U3831" s="405" t="s">
        <v>319</v>
      </c>
    </row>
    <row r="3832" spans="1:21" x14ac:dyDescent="0.25">
      <c r="A3832" s="405" t="s">
        <v>310</v>
      </c>
      <c r="B3832" s="405" t="s">
        <v>15994</v>
      </c>
      <c r="C3832" s="405" t="s">
        <v>327</v>
      </c>
      <c r="D3832" s="405"/>
      <c r="E3832" s="410">
        <v>42358</v>
      </c>
      <c r="F3832" s="410">
        <v>43114</v>
      </c>
      <c r="G3832" s="405" t="s">
        <v>15995</v>
      </c>
      <c r="H3832" s="405">
        <v>700242436</v>
      </c>
      <c r="I3832" s="405"/>
      <c r="J3832" s="405">
        <v>0.60534699999999997</v>
      </c>
      <c r="K3832" s="405">
        <v>33.698152</v>
      </c>
      <c r="L3832" s="405" t="s">
        <v>6866</v>
      </c>
      <c r="M3832" s="405" t="s">
        <v>13470</v>
      </c>
      <c r="N3832" s="405" t="s">
        <v>15996</v>
      </c>
      <c r="O3832" s="405" t="s">
        <v>1260</v>
      </c>
      <c r="P3832" s="405" t="s">
        <v>15997</v>
      </c>
      <c r="Q3832" s="411">
        <v>9</v>
      </c>
      <c r="R3832" s="405" t="s">
        <v>5336</v>
      </c>
      <c r="S3832" s="405" t="s">
        <v>27106</v>
      </c>
      <c r="T3832" s="405" t="s">
        <v>884</v>
      </c>
      <c r="U3832" s="405" t="s">
        <v>319</v>
      </c>
    </row>
    <row r="3833" spans="1:21" x14ac:dyDescent="0.25">
      <c r="A3833" s="405" t="s">
        <v>310</v>
      </c>
      <c r="B3833" s="405" t="s">
        <v>5925</v>
      </c>
      <c r="C3833" s="405" t="s">
        <v>327</v>
      </c>
      <c r="D3833" s="405"/>
      <c r="E3833" s="410">
        <v>42358</v>
      </c>
      <c r="F3833" s="410">
        <v>42403</v>
      </c>
      <c r="G3833" s="405" t="s">
        <v>5926</v>
      </c>
      <c r="H3833" s="405">
        <v>702362077</v>
      </c>
      <c r="I3833" s="405"/>
      <c r="J3833" s="405">
        <v>1.0401499999999999</v>
      </c>
      <c r="K3833" s="405">
        <v>33.746881999999999</v>
      </c>
      <c r="L3833" s="405" t="s">
        <v>314</v>
      </c>
      <c r="M3833" s="405" t="s">
        <v>321</v>
      </c>
      <c r="N3833" s="405" t="s">
        <v>1244</v>
      </c>
      <c r="O3833" s="405" t="s">
        <v>5509</v>
      </c>
      <c r="P3833" s="405" t="s">
        <v>5927</v>
      </c>
      <c r="Q3833" s="411">
        <v>9</v>
      </c>
      <c r="R3833" s="405" t="s">
        <v>32101</v>
      </c>
      <c r="S3833" s="405" t="s">
        <v>27167</v>
      </c>
      <c r="T3833" s="405" t="s">
        <v>884</v>
      </c>
      <c r="U3833" s="405" t="s">
        <v>319</v>
      </c>
    </row>
    <row r="3834" spans="1:21" x14ac:dyDescent="0.25">
      <c r="A3834" s="405" t="s">
        <v>310</v>
      </c>
      <c r="B3834" s="405" t="s">
        <v>15410</v>
      </c>
      <c r="C3834" s="405" t="s">
        <v>311</v>
      </c>
      <c r="D3834" s="405" t="s">
        <v>1789</v>
      </c>
      <c r="E3834" s="410">
        <v>42358</v>
      </c>
      <c r="F3834" s="410">
        <v>42403</v>
      </c>
      <c r="G3834" s="405" t="s">
        <v>15411</v>
      </c>
      <c r="H3834" s="405">
        <v>774976055</v>
      </c>
      <c r="I3834" s="405"/>
      <c r="J3834" s="405">
        <v>1.521998</v>
      </c>
      <c r="K3834" s="405">
        <v>33.220148999999999</v>
      </c>
      <c r="L3834" s="405" t="s">
        <v>6866</v>
      </c>
      <c r="M3834" s="405" t="s">
        <v>9658</v>
      </c>
      <c r="N3834" s="405" t="s">
        <v>11057</v>
      </c>
      <c r="O3834" s="405" t="s">
        <v>13335</v>
      </c>
      <c r="P3834" s="405" t="s">
        <v>15024</v>
      </c>
      <c r="Q3834" s="411">
        <v>6</v>
      </c>
      <c r="R3834" s="405" t="s">
        <v>5655</v>
      </c>
      <c r="S3834" s="405" t="s">
        <v>27351</v>
      </c>
      <c r="T3834" s="405" t="s">
        <v>6551</v>
      </c>
      <c r="U3834" s="405" t="s">
        <v>2267</v>
      </c>
    </row>
    <row r="3835" spans="1:21" x14ac:dyDescent="0.25">
      <c r="A3835" s="405" t="s">
        <v>310</v>
      </c>
      <c r="B3835" s="405" t="s">
        <v>22315</v>
      </c>
      <c r="C3835" s="405" t="s">
        <v>327</v>
      </c>
      <c r="D3835" s="405"/>
      <c r="E3835" s="410">
        <v>42358</v>
      </c>
      <c r="F3835" s="410">
        <v>42403</v>
      </c>
      <c r="G3835" s="405" t="s">
        <v>22316</v>
      </c>
      <c r="H3835" s="405">
        <v>782396262</v>
      </c>
      <c r="I3835" s="405">
        <v>702197971</v>
      </c>
      <c r="J3835" s="405">
        <v>-0.16189500000000001</v>
      </c>
      <c r="K3835" s="405">
        <v>30.899495000000002</v>
      </c>
      <c r="L3835" s="405" t="s">
        <v>590</v>
      </c>
      <c r="M3835" s="405" t="s">
        <v>19705</v>
      </c>
      <c r="N3835" s="405" t="s">
        <v>19706</v>
      </c>
      <c r="O3835" s="405" t="s">
        <v>20520</v>
      </c>
      <c r="P3835" s="405" t="s">
        <v>22317</v>
      </c>
      <c r="Q3835" s="411">
        <v>6</v>
      </c>
      <c r="R3835" s="405" t="s">
        <v>874</v>
      </c>
      <c r="S3835" s="405" t="s">
        <v>27249</v>
      </c>
      <c r="T3835" s="405" t="s">
        <v>884</v>
      </c>
      <c r="U3835" s="405" t="s">
        <v>319</v>
      </c>
    </row>
    <row r="3836" spans="1:21" x14ac:dyDescent="0.25">
      <c r="A3836" s="405" t="s">
        <v>310</v>
      </c>
      <c r="B3836" s="405" t="s">
        <v>15042</v>
      </c>
      <c r="C3836" s="405" t="s">
        <v>327</v>
      </c>
      <c r="D3836" s="405"/>
      <c r="E3836" s="410">
        <v>42358</v>
      </c>
      <c r="F3836" s="410">
        <v>42403</v>
      </c>
      <c r="G3836" s="405" t="s">
        <v>15043</v>
      </c>
      <c r="H3836" s="405">
        <v>777041557</v>
      </c>
      <c r="I3836" s="405"/>
      <c r="J3836" s="405">
        <v>1.189595</v>
      </c>
      <c r="K3836" s="405">
        <v>33.621229999999997</v>
      </c>
      <c r="L3836" s="405" t="s">
        <v>6866</v>
      </c>
      <c r="M3836" s="405" t="s">
        <v>9658</v>
      </c>
      <c r="N3836" s="405" t="s">
        <v>15044</v>
      </c>
      <c r="O3836" s="405" t="s">
        <v>14343</v>
      </c>
      <c r="P3836" s="405" t="s">
        <v>15024</v>
      </c>
      <c r="Q3836" s="411">
        <v>6</v>
      </c>
      <c r="R3836" s="405" t="s">
        <v>5655</v>
      </c>
      <c r="S3836" s="405" t="s">
        <v>27072</v>
      </c>
      <c r="T3836" s="405" t="s">
        <v>884</v>
      </c>
      <c r="U3836" s="405" t="s">
        <v>319</v>
      </c>
    </row>
    <row r="3837" spans="1:21" x14ac:dyDescent="0.25">
      <c r="A3837" s="405" t="s">
        <v>310</v>
      </c>
      <c r="B3837" s="405" t="s">
        <v>15025</v>
      </c>
      <c r="C3837" s="405" t="s">
        <v>327</v>
      </c>
      <c r="D3837" s="405"/>
      <c r="E3837" s="410">
        <v>42357</v>
      </c>
      <c r="F3837" s="410">
        <v>42402</v>
      </c>
      <c r="G3837" s="405" t="s">
        <v>15026</v>
      </c>
      <c r="H3837" s="405">
        <v>782032101</v>
      </c>
      <c r="I3837" s="405">
        <v>752976483</v>
      </c>
      <c r="J3837" s="405">
        <v>1.073148</v>
      </c>
      <c r="K3837" s="405">
        <v>34.169497999999997</v>
      </c>
      <c r="L3837" s="405" t="s">
        <v>6866</v>
      </c>
      <c r="M3837" s="405" t="s">
        <v>9514</v>
      </c>
      <c r="N3837" s="405" t="s">
        <v>10236</v>
      </c>
      <c r="O3837" s="405" t="s">
        <v>15027</v>
      </c>
      <c r="P3837" s="405" t="s">
        <v>15028</v>
      </c>
      <c r="Q3837" s="411">
        <v>6</v>
      </c>
      <c r="R3837" s="405" t="s">
        <v>6871</v>
      </c>
      <c r="S3837" s="405" t="s">
        <v>27306</v>
      </c>
      <c r="T3837" s="405" t="s">
        <v>884</v>
      </c>
      <c r="U3837" s="405" t="s">
        <v>319</v>
      </c>
    </row>
    <row r="3838" spans="1:21" x14ac:dyDescent="0.25">
      <c r="A3838" s="405" t="s">
        <v>310</v>
      </c>
      <c r="B3838" s="405" t="s">
        <v>28885</v>
      </c>
      <c r="C3838" s="405" t="s">
        <v>327</v>
      </c>
      <c r="D3838" s="405"/>
      <c r="E3838" s="410">
        <v>42355</v>
      </c>
      <c r="F3838" s="410">
        <v>42400</v>
      </c>
      <c r="G3838" s="405" t="s">
        <v>5894</v>
      </c>
      <c r="H3838" s="405">
        <v>750899238</v>
      </c>
      <c r="I3838" s="405"/>
      <c r="J3838" s="405">
        <v>0.34905333300000002</v>
      </c>
      <c r="K3838" s="405">
        <v>32.613945000000001</v>
      </c>
      <c r="L3838" s="405" t="s">
        <v>314</v>
      </c>
      <c r="M3838" s="405" t="s">
        <v>992</v>
      </c>
      <c r="N3838" s="405" t="s">
        <v>618</v>
      </c>
      <c r="O3838" s="405" t="s">
        <v>618</v>
      </c>
      <c r="P3838" s="405" t="s">
        <v>5895</v>
      </c>
      <c r="Q3838" s="411">
        <v>6</v>
      </c>
      <c r="R3838" s="405" t="s">
        <v>5739</v>
      </c>
      <c r="S3838" s="405" t="s">
        <v>27186</v>
      </c>
      <c r="T3838" s="405" t="s">
        <v>884</v>
      </c>
      <c r="U3838" s="405" t="s">
        <v>319</v>
      </c>
    </row>
    <row r="3839" spans="1:21" x14ac:dyDescent="0.25">
      <c r="A3839" s="405" t="s">
        <v>310</v>
      </c>
      <c r="B3839" s="405" t="s">
        <v>15015</v>
      </c>
      <c r="C3839" s="405" t="s">
        <v>327</v>
      </c>
      <c r="D3839" s="405"/>
      <c r="E3839" s="410">
        <v>42355</v>
      </c>
      <c r="F3839" s="410">
        <v>42400</v>
      </c>
      <c r="G3839" s="405" t="s">
        <v>15016</v>
      </c>
      <c r="H3839" s="405">
        <v>777366112</v>
      </c>
      <c r="I3839" s="405"/>
      <c r="J3839" s="405">
        <v>1.781425</v>
      </c>
      <c r="K3839" s="405">
        <v>33.926113000000001</v>
      </c>
      <c r="L3839" s="405" t="s">
        <v>6866</v>
      </c>
      <c r="M3839" s="405" t="s">
        <v>9658</v>
      </c>
      <c r="N3839" s="405" t="s">
        <v>11057</v>
      </c>
      <c r="O3839" s="405" t="s">
        <v>14099</v>
      </c>
      <c r="P3839" s="405" t="s">
        <v>15017</v>
      </c>
      <c r="Q3839" s="411">
        <v>6</v>
      </c>
      <c r="R3839" s="405" t="s">
        <v>5655</v>
      </c>
      <c r="S3839" s="405" t="s">
        <v>27346</v>
      </c>
      <c r="T3839" s="405" t="s">
        <v>884</v>
      </c>
      <c r="U3839" s="405" t="s">
        <v>319</v>
      </c>
    </row>
    <row r="3840" spans="1:21" x14ac:dyDescent="0.25">
      <c r="A3840" s="405" t="s">
        <v>310</v>
      </c>
      <c r="B3840" s="405" t="s">
        <v>28953</v>
      </c>
      <c r="C3840" s="405" t="s">
        <v>327</v>
      </c>
      <c r="D3840" s="405"/>
      <c r="E3840" s="410">
        <v>42355</v>
      </c>
      <c r="F3840" s="410">
        <v>42400</v>
      </c>
      <c r="G3840" s="405" t="s">
        <v>5883</v>
      </c>
      <c r="H3840" s="405">
        <v>704796929</v>
      </c>
      <c r="I3840" s="405"/>
      <c r="J3840" s="405">
        <v>0.42384850000000002</v>
      </c>
      <c r="K3840" s="405">
        <v>32.562196900000004</v>
      </c>
      <c r="L3840" s="405" t="s">
        <v>314</v>
      </c>
      <c r="M3840" s="405" t="s">
        <v>398</v>
      </c>
      <c r="N3840" s="405" t="s">
        <v>5884</v>
      </c>
      <c r="O3840" s="405" t="s">
        <v>949</v>
      </c>
      <c r="P3840" s="405" t="s">
        <v>5885</v>
      </c>
      <c r="Q3840" s="411">
        <v>6</v>
      </c>
      <c r="R3840" s="405" t="s">
        <v>402</v>
      </c>
      <c r="S3840" s="405" t="s">
        <v>27181</v>
      </c>
      <c r="T3840" s="405" t="s">
        <v>884</v>
      </c>
      <c r="U3840" s="405" t="s">
        <v>319</v>
      </c>
    </row>
    <row r="3841" spans="1:21" x14ac:dyDescent="0.25">
      <c r="A3841" s="405" t="s">
        <v>310</v>
      </c>
      <c r="B3841" s="405" t="s">
        <v>5912</v>
      </c>
      <c r="C3841" s="405" t="s">
        <v>327</v>
      </c>
      <c r="D3841" s="405"/>
      <c r="E3841" s="410">
        <v>42354</v>
      </c>
      <c r="F3841" s="410">
        <v>42399</v>
      </c>
      <c r="G3841" s="405" t="s">
        <v>5913</v>
      </c>
      <c r="H3841" s="405">
        <v>773135240</v>
      </c>
      <c r="I3841" s="405"/>
      <c r="J3841" s="405">
        <v>0.113757</v>
      </c>
      <c r="K3841" s="405">
        <v>30.655232999999999</v>
      </c>
      <c r="L3841" s="405" t="s">
        <v>314</v>
      </c>
      <c r="M3841" s="405" t="s">
        <v>329</v>
      </c>
      <c r="N3841" s="405" t="s">
        <v>5442</v>
      </c>
      <c r="O3841" s="405" t="s">
        <v>5442</v>
      </c>
      <c r="P3841" s="405" t="s">
        <v>1096</v>
      </c>
      <c r="Q3841" s="411">
        <v>13</v>
      </c>
      <c r="R3841" s="405" t="s">
        <v>4176</v>
      </c>
      <c r="S3841" s="405" t="s">
        <v>27248</v>
      </c>
      <c r="T3841" s="405" t="s">
        <v>884</v>
      </c>
      <c r="U3841" s="405" t="s">
        <v>319</v>
      </c>
    </row>
    <row r="3842" spans="1:21" x14ac:dyDescent="0.25">
      <c r="A3842" s="405" t="s">
        <v>310</v>
      </c>
      <c r="B3842" s="405" t="s">
        <v>5907</v>
      </c>
      <c r="C3842" s="405" t="s">
        <v>327</v>
      </c>
      <c r="D3842" s="405"/>
      <c r="E3842" s="410">
        <v>42354</v>
      </c>
      <c r="F3842" s="410">
        <v>42399</v>
      </c>
      <c r="G3842" s="405" t="s">
        <v>5908</v>
      </c>
      <c r="H3842" s="405">
        <v>773381907</v>
      </c>
      <c r="I3842" s="405"/>
      <c r="J3842" s="405">
        <v>0.861097</v>
      </c>
      <c r="K3842" s="405">
        <v>31.139554</v>
      </c>
      <c r="L3842" s="405" t="s">
        <v>314</v>
      </c>
      <c r="M3842" s="405" t="s">
        <v>992</v>
      </c>
      <c r="N3842" s="405" t="s">
        <v>5696</v>
      </c>
      <c r="O3842" s="405" t="s">
        <v>5696</v>
      </c>
      <c r="P3842" s="405" t="s">
        <v>2482</v>
      </c>
      <c r="Q3842" s="411">
        <v>9</v>
      </c>
      <c r="R3842" s="405" t="s">
        <v>4176</v>
      </c>
      <c r="S3842" s="405" t="s">
        <v>27059</v>
      </c>
      <c r="T3842" s="405" t="s">
        <v>884</v>
      </c>
      <c r="U3842" s="405" t="s">
        <v>319</v>
      </c>
    </row>
    <row r="3843" spans="1:21" x14ac:dyDescent="0.25">
      <c r="A3843" s="405" t="s">
        <v>310</v>
      </c>
      <c r="B3843" s="405" t="s">
        <v>28001</v>
      </c>
      <c r="C3843" s="405" t="s">
        <v>327</v>
      </c>
      <c r="D3843" s="405"/>
      <c r="E3843" s="410">
        <v>42353</v>
      </c>
      <c r="F3843" s="410">
        <v>42398</v>
      </c>
      <c r="G3843" s="405" t="s">
        <v>22287</v>
      </c>
      <c r="H3843" s="405">
        <v>774319868</v>
      </c>
      <c r="I3843" s="405"/>
      <c r="J3843" s="405">
        <v>0.51646199999999998</v>
      </c>
      <c r="K3843" s="405">
        <v>30.609466999999999</v>
      </c>
      <c r="L3843" s="405" t="s">
        <v>590</v>
      </c>
      <c r="M3843" s="405" t="s">
        <v>19614</v>
      </c>
      <c r="N3843" s="405" t="s">
        <v>20230</v>
      </c>
      <c r="O3843" s="405" t="s">
        <v>22288</v>
      </c>
      <c r="P3843" s="405" t="s">
        <v>20763</v>
      </c>
      <c r="Q3843" s="411">
        <v>9</v>
      </c>
      <c r="R3843" s="405" t="s">
        <v>5858</v>
      </c>
      <c r="S3843" s="405" t="s">
        <v>27160</v>
      </c>
      <c r="T3843" s="405" t="s">
        <v>884</v>
      </c>
      <c r="U3843" s="405" t="s">
        <v>319</v>
      </c>
    </row>
    <row r="3844" spans="1:21" x14ac:dyDescent="0.25">
      <c r="A3844" s="405" t="s">
        <v>310</v>
      </c>
      <c r="B3844" s="405" t="s">
        <v>15385</v>
      </c>
      <c r="C3844" s="405" t="s">
        <v>857</v>
      </c>
      <c r="D3844" s="405" t="s">
        <v>15386</v>
      </c>
      <c r="E3844" s="410">
        <v>42352</v>
      </c>
      <c r="F3844" s="410">
        <v>42397</v>
      </c>
      <c r="G3844" s="405" t="s">
        <v>15387</v>
      </c>
      <c r="H3844" s="405">
        <v>777145795</v>
      </c>
      <c r="I3844" s="405">
        <v>756893716</v>
      </c>
      <c r="J3844" s="405">
        <v>1.503042</v>
      </c>
      <c r="K3844" s="405">
        <v>33.162129999999998</v>
      </c>
      <c r="L3844" s="405" t="s">
        <v>6866</v>
      </c>
      <c r="M3844" s="405" t="s">
        <v>9658</v>
      </c>
      <c r="N3844" s="405" t="s">
        <v>15044</v>
      </c>
      <c r="O3844" s="405" t="s">
        <v>14099</v>
      </c>
      <c r="P3844" s="405" t="s">
        <v>12728</v>
      </c>
      <c r="Q3844" s="411">
        <v>6</v>
      </c>
      <c r="R3844" s="405" t="s">
        <v>5655</v>
      </c>
      <c r="S3844" s="405" t="s">
        <v>27056</v>
      </c>
      <c r="T3844" s="405" t="s">
        <v>884</v>
      </c>
      <c r="U3844" s="405" t="s">
        <v>319</v>
      </c>
    </row>
    <row r="3845" spans="1:21" x14ac:dyDescent="0.25">
      <c r="A3845" s="405" t="s">
        <v>310</v>
      </c>
      <c r="B3845" s="405" t="s">
        <v>22360</v>
      </c>
      <c r="C3845" s="405" t="s">
        <v>327</v>
      </c>
      <c r="D3845" s="405"/>
      <c r="E3845" s="410">
        <v>42351</v>
      </c>
      <c r="F3845" s="410">
        <v>42437</v>
      </c>
      <c r="G3845" s="405" t="s">
        <v>22361</v>
      </c>
      <c r="H3845" s="405">
        <v>70109003</v>
      </c>
      <c r="I3845" s="405"/>
      <c r="J3845" s="405">
        <v>2.2550119999999998</v>
      </c>
      <c r="K3845" s="405">
        <v>32.869610999999999</v>
      </c>
      <c r="L3845" s="405" t="s">
        <v>590</v>
      </c>
      <c r="M3845" s="405" t="s">
        <v>19659</v>
      </c>
      <c r="N3845" s="405" t="s">
        <v>19677</v>
      </c>
      <c r="O3845" s="405" t="s">
        <v>2864</v>
      </c>
      <c r="P3845" s="405" t="s">
        <v>22362</v>
      </c>
      <c r="Q3845" s="411">
        <v>9</v>
      </c>
      <c r="R3845" s="405" t="s">
        <v>6572</v>
      </c>
      <c r="S3845" s="405" t="s">
        <v>27161</v>
      </c>
      <c r="T3845" s="405" t="s">
        <v>884</v>
      </c>
      <c r="U3845" s="405" t="s">
        <v>319</v>
      </c>
    </row>
    <row r="3846" spans="1:21" x14ac:dyDescent="0.25">
      <c r="A3846" s="405" t="s">
        <v>310</v>
      </c>
      <c r="B3846" s="405" t="s">
        <v>27550</v>
      </c>
      <c r="C3846" s="405" t="s">
        <v>327</v>
      </c>
      <c r="D3846" s="405"/>
      <c r="E3846" s="410">
        <v>42351</v>
      </c>
      <c r="F3846" s="410">
        <v>42396</v>
      </c>
      <c r="G3846" s="405" t="s">
        <v>14979</v>
      </c>
      <c r="H3846" s="405">
        <v>701547746</v>
      </c>
      <c r="I3846" s="405"/>
      <c r="J3846" s="405">
        <v>1.0871980000000001</v>
      </c>
      <c r="K3846" s="405">
        <v>34.196548</v>
      </c>
      <c r="L3846" s="405" t="s">
        <v>6866</v>
      </c>
      <c r="M3846" s="405" t="s">
        <v>9514</v>
      </c>
      <c r="N3846" s="405" t="s">
        <v>9722</v>
      </c>
      <c r="O3846" s="405" t="s">
        <v>9530</v>
      </c>
      <c r="P3846" s="405" t="s">
        <v>14980</v>
      </c>
      <c r="Q3846" s="411">
        <v>6</v>
      </c>
      <c r="R3846" s="405" t="s">
        <v>6871</v>
      </c>
      <c r="S3846" s="405" t="s">
        <v>27142</v>
      </c>
      <c r="T3846" s="405" t="s">
        <v>884</v>
      </c>
      <c r="U3846" s="405" t="s">
        <v>319</v>
      </c>
    </row>
    <row r="3847" spans="1:21" x14ac:dyDescent="0.25">
      <c r="A3847" s="405" t="s">
        <v>310</v>
      </c>
      <c r="B3847" s="405" t="s">
        <v>22292</v>
      </c>
      <c r="C3847" s="405" t="s">
        <v>327</v>
      </c>
      <c r="D3847" s="405"/>
      <c r="E3847" s="410">
        <v>42350</v>
      </c>
      <c r="F3847" s="410">
        <v>42395</v>
      </c>
      <c r="G3847" s="405" t="s">
        <v>22293</v>
      </c>
      <c r="H3847" s="405">
        <v>779185594</v>
      </c>
      <c r="I3847" s="405"/>
      <c r="J3847" s="405">
        <v>0.59964499999999998</v>
      </c>
      <c r="K3847" s="405">
        <v>30.232222</v>
      </c>
      <c r="L3847" s="405" t="s">
        <v>590</v>
      </c>
      <c r="M3847" s="405" t="s">
        <v>19625</v>
      </c>
      <c r="N3847" s="405" t="s">
        <v>20086</v>
      </c>
      <c r="O3847" s="405" t="s">
        <v>20015</v>
      </c>
      <c r="P3847" s="405" t="s">
        <v>22294</v>
      </c>
      <c r="Q3847" s="411">
        <v>9</v>
      </c>
      <c r="R3847" s="405" t="s">
        <v>883</v>
      </c>
      <c r="S3847" s="405" t="s">
        <v>27127</v>
      </c>
      <c r="T3847" s="405" t="s">
        <v>884</v>
      </c>
      <c r="U3847" s="405" t="s">
        <v>319</v>
      </c>
    </row>
    <row r="3848" spans="1:21" x14ac:dyDescent="0.25">
      <c r="A3848" s="405" t="s">
        <v>310</v>
      </c>
      <c r="B3848" s="405" t="s">
        <v>5900</v>
      </c>
      <c r="C3848" s="405" t="s">
        <v>327</v>
      </c>
      <c r="D3848" s="405"/>
      <c r="E3848" s="410">
        <v>42350</v>
      </c>
      <c r="F3848" s="410">
        <v>42395</v>
      </c>
      <c r="G3848" s="405" t="s">
        <v>5901</v>
      </c>
      <c r="H3848" s="405">
        <v>782409875</v>
      </c>
      <c r="I3848" s="405"/>
      <c r="J3848" s="405">
        <v>0.23150000000000001</v>
      </c>
      <c r="K3848" s="405">
        <v>32.341299999999997</v>
      </c>
      <c r="L3848" s="405" t="s">
        <v>314</v>
      </c>
      <c r="M3848" s="405" t="s">
        <v>992</v>
      </c>
      <c r="N3848" s="405" t="s">
        <v>5902</v>
      </c>
      <c r="O3848" s="405" t="s">
        <v>936</v>
      </c>
      <c r="P3848" s="405" t="s">
        <v>2041</v>
      </c>
      <c r="Q3848" s="411">
        <v>9</v>
      </c>
      <c r="R3848" s="405" t="s">
        <v>5903</v>
      </c>
      <c r="S3848" s="405" t="s">
        <v>27153</v>
      </c>
      <c r="T3848" s="405" t="s">
        <v>884</v>
      </c>
      <c r="U3848" s="405" t="s">
        <v>319</v>
      </c>
    </row>
    <row r="3849" spans="1:21" x14ac:dyDescent="0.25">
      <c r="A3849" s="405" t="s">
        <v>310</v>
      </c>
      <c r="B3849" s="405" t="s">
        <v>15012</v>
      </c>
      <c r="C3849" s="405" t="s">
        <v>327</v>
      </c>
      <c r="D3849" s="405"/>
      <c r="E3849" s="410">
        <v>42349</v>
      </c>
      <c r="F3849" s="410">
        <v>42394</v>
      </c>
      <c r="G3849" s="405" t="s">
        <v>15013</v>
      </c>
      <c r="H3849" s="405">
        <v>779588906</v>
      </c>
      <c r="I3849" s="405"/>
      <c r="J3849" s="405">
        <v>0.75153499999999995</v>
      </c>
      <c r="K3849" s="405">
        <v>33.847873</v>
      </c>
      <c r="L3849" s="405" t="s">
        <v>6866</v>
      </c>
      <c r="M3849" s="405" t="s">
        <v>14972</v>
      </c>
      <c r="N3849" s="405" t="s">
        <v>14973</v>
      </c>
      <c r="O3849" s="405" t="s">
        <v>14974</v>
      </c>
      <c r="P3849" s="405" t="s">
        <v>15014</v>
      </c>
      <c r="Q3849" s="411">
        <v>13</v>
      </c>
      <c r="R3849" s="405" t="s">
        <v>5655</v>
      </c>
      <c r="S3849" s="405" t="s">
        <v>27351</v>
      </c>
      <c r="T3849" s="405" t="s">
        <v>884</v>
      </c>
      <c r="U3849" s="405" t="s">
        <v>319</v>
      </c>
    </row>
    <row r="3850" spans="1:21" x14ac:dyDescent="0.25">
      <c r="A3850" s="405" t="s">
        <v>310</v>
      </c>
      <c r="B3850" s="405" t="s">
        <v>14970</v>
      </c>
      <c r="C3850" s="405" t="s">
        <v>327</v>
      </c>
      <c r="D3850" s="405"/>
      <c r="E3850" s="410">
        <v>42348</v>
      </c>
      <c r="F3850" s="410">
        <v>42393</v>
      </c>
      <c r="G3850" s="405" t="s">
        <v>14971</v>
      </c>
      <c r="H3850" s="405">
        <v>753587313</v>
      </c>
      <c r="I3850" s="405">
        <v>782884365</v>
      </c>
      <c r="J3850" s="405">
        <v>3.616053</v>
      </c>
      <c r="K3850" s="405">
        <v>34.046433</v>
      </c>
      <c r="L3850" s="405" t="s">
        <v>6866</v>
      </c>
      <c r="M3850" s="405" t="s">
        <v>14972</v>
      </c>
      <c r="N3850" s="405" t="s">
        <v>14973</v>
      </c>
      <c r="O3850" s="405" t="s">
        <v>14974</v>
      </c>
      <c r="P3850" s="405" t="s">
        <v>14975</v>
      </c>
      <c r="Q3850" s="411">
        <v>13</v>
      </c>
      <c r="R3850" s="405" t="s">
        <v>5655</v>
      </c>
      <c r="S3850" s="405" t="s">
        <v>27072</v>
      </c>
      <c r="T3850" s="405" t="s">
        <v>884</v>
      </c>
      <c r="U3850" s="405" t="s">
        <v>319</v>
      </c>
    </row>
    <row r="3851" spans="1:21" x14ac:dyDescent="0.25">
      <c r="A3851" s="405" t="s">
        <v>310</v>
      </c>
      <c r="B3851" s="405" t="s">
        <v>29012</v>
      </c>
      <c r="C3851" s="405" t="s">
        <v>327</v>
      </c>
      <c r="D3851" s="405"/>
      <c r="E3851" s="410">
        <v>42348</v>
      </c>
      <c r="F3851" s="410">
        <v>42393</v>
      </c>
      <c r="G3851" s="405" t="s">
        <v>22289</v>
      </c>
      <c r="H3851" s="405">
        <v>772864507</v>
      </c>
      <c r="I3851" s="405"/>
      <c r="J3851" s="405">
        <v>0.15337999999999999</v>
      </c>
      <c r="K3851" s="405">
        <v>30.418527999999998</v>
      </c>
      <c r="L3851" s="405" t="s">
        <v>590</v>
      </c>
      <c r="M3851" s="405" t="s">
        <v>19619</v>
      </c>
      <c r="N3851" s="405" t="s">
        <v>19793</v>
      </c>
      <c r="O3851" s="405" t="s">
        <v>22290</v>
      </c>
      <c r="P3851" s="405" t="s">
        <v>22291</v>
      </c>
      <c r="Q3851" s="411">
        <v>9</v>
      </c>
      <c r="R3851" s="405" t="s">
        <v>5858</v>
      </c>
      <c r="S3851" s="405" t="s">
        <v>27257</v>
      </c>
      <c r="T3851" s="405" t="s">
        <v>884</v>
      </c>
      <c r="U3851" s="405" t="s">
        <v>319</v>
      </c>
    </row>
    <row r="3852" spans="1:21" x14ac:dyDescent="0.25">
      <c r="A3852" s="405" t="s">
        <v>310</v>
      </c>
      <c r="B3852" s="405" t="s">
        <v>6734</v>
      </c>
      <c r="C3852" s="405" t="s">
        <v>327</v>
      </c>
      <c r="D3852" s="405"/>
      <c r="E3852" s="410">
        <v>42346</v>
      </c>
      <c r="F3852" s="410">
        <v>43119</v>
      </c>
      <c r="G3852" s="405" t="s">
        <v>6735</v>
      </c>
      <c r="H3852" s="405">
        <v>701363542</v>
      </c>
      <c r="I3852" s="405"/>
      <c r="J3852" s="405">
        <v>0.38300699999999999</v>
      </c>
      <c r="K3852" s="405">
        <v>32.699857000000002</v>
      </c>
      <c r="L3852" s="405" t="s">
        <v>314</v>
      </c>
      <c r="M3852" s="405" t="s">
        <v>361</v>
      </c>
      <c r="N3852" s="405" t="s">
        <v>1107</v>
      </c>
      <c r="O3852" s="405" t="s">
        <v>6736</v>
      </c>
      <c r="P3852" s="405" t="s">
        <v>1817</v>
      </c>
      <c r="Q3852" s="411">
        <v>9</v>
      </c>
      <c r="R3852" s="405" t="s">
        <v>5903</v>
      </c>
      <c r="S3852" s="405" t="s">
        <v>27153</v>
      </c>
      <c r="T3852" s="405" t="s">
        <v>884</v>
      </c>
      <c r="U3852" s="405" t="s">
        <v>319</v>
      </c>
    </row>
    <row r="3853" spans="1:21" x14ac:dyDescent="0.25">
      <c r="A3853" s="405" t="s">
        <v>310</v>
      </c>
      <c r="B3853" s="405" t="s">
        <v>5889</v>
      </c>
      <c r="C3853" s="405" t="s">
        <v>327</v>
      </c>
      <c r="D3853" s="405"/>
      <c r="E3853" s="410">
        <v>42346</v>
      </c>
      <c r="F3853" s="410">
        <v>42391</v>
      </c>
      <c r="G3853" s="405" t="s">
        <v>5890</v>
      </c>
      <c r="H3853" s="405">
        <v>783265790</v>
      </c>
      <c r="I3853" s="405"/>
      <c r="J3853" s="405">
        <v>0.35010000000000002</v>
      </c>
      <c r="K3853" s="405">
        <v>31.729348000000002</v>
      </c>
      <c r="L3853" s="405" t="s">
        <v>314</v>
      </c>
      <c r="M3853" s="405" t="s">
        <v>315</v>
      </c>
      <c r="N3853" s="405" t="s">
        <v>671</v>
      </c>
      <c r="O3853" s="405" t="s">
        <v>671</v>
      </c>
      <c r="P3853" s="405" t="s">
        <v>5891</v>
      </c>
      <c r="Q3853" s="411">
        <v>9</v>
      </c>
      <c r="R3853" s="405" t="s">
        <v>5665</v>
      </c>
      <c r="S3853" s="405" t="s">
        <v>27175</v>
      </c>
      <c r="T3853" s="405" t="s">
        <v>32746</v>
      </c>
      <c r="U3853" s="405" t="s">
        <v>2267</v>
      </c>
    </row>
    <row r="3854" spans="1:21" x14ac:dyDescent="0.25">
      <c r="A3854" s="405" t="s">
        <v>310</v>
      </c>
      <c r="B3854" s="405" t="s">
        <v>28050</v>
      </c>
      <c r="C3854" s="405" t="s">
        <v>311</v>
      </c>
      <c r="D3854" s="405" t="s">
        <v>839</v>
      </c>
      <c r="E3854" s="410">
        <v>42344</v>
      </c>
      <c r="F3854" s="410">
        <v>42389</v>
      </c>
      <c r="G3854" s="405" t="s">
        <v>22481</v>
      </c>
      <c r="H3854" s="405">
        <v>782374999</v>
      </c>
      <c r="I3854" s="405"/>
      <c r="J3854" s="405">
        <v>1.6904170000000001</v>
      </c>
      <c r="K3854" s="405">
        <v>31.693438</v>
      </c>
      <c r="L3854" s="405" t="s">
        <v>590</v>
      </c>
      <c r="M3854" s="405" t="s">
        <v>19608</v>
      </c>
      <c r="N3854" s="405" t="s">
        <v>19783</v>
      </c>
      <c r="O3854" s="405" t="s">
        <v>8805</v>
      </c>
      <c r="P3854" s="405" t="s">
        <v>22482</v>
      </c>
      <c r="Q3854" s="411">
        <v>6</v>
      </c>
      <c r="R3854" s="405" t="s">
        <v>6397</v>
      </c>
      <c r="S3854" s="405" t="s">
        <v>22880</v>
      </c>
      <c r="T3854" s="405" t="s">
        <v>884</v>
      </c>
      <c r="U3854" s="405" t="s">
        <v>319</v>
      </c>
    </row>
    <row r="3855" spans="1:21" x14ac:dyDescent="0.25">
      <c r="A3855" s="405" t="s">
        <v>310</v>
      </c>
      <c r="B3855" s="405" t="s">
        <v>15380</v>
      </c>
      <c r="C3855" s="405" t="s">
        <v>327</v>
      </c>
      <c r="D3855" s="405"/>
      <c r="E3855" s="410">
        <v>42342</v>
      </c>
      <c r="F3855" s="410">
        <v>42387</v>
      </c>
      <c r="G3855" s="405" t="s">
        <v>15381</v>
      </c>
      <c r="H3855" s="405">
        <v>774469483</v>
      </c>
      <c r="I3855" s="405"/>
      <c r="J3855" s="405">
        <v>0.88948700000000003</v>
      </c>
      <c r="K3855" s="405">
        <v>31.134723000000001</v>
      </c>
      <c r="L3855" s="405" t="s">
        <v>6866</v>
      </c>
      <c r="M3855" s="405" t="s">
        <v>9658</v>
      </c>
      <c r="N3855" s="405" t="s">
        <v>11057</v>
      </c>
      <c r="O3855" s="405" t="s">
        <v>14099</v>
      </c>
      <c r="P3855" s="405" t="s">
        <v>15382</v>
      </c>
      <c r="Q3855" s="411">
        <v>6</v>
      </c>
      <c r="R3855" s="405" t="s">
        <v>5655</v>
      </c>
      <c r="S3855" s="405" t="s">
        <v>27056</v>
      </c>
      <c r="T3855" s="405" t="s">
        <v>884</v>
      </c>
      <c r="U3855" s="405" t="s">
        <v>319</v>
      </c>
    </row>
    <row r="3856" spans="1:21" x14ac:dyDescent="0.25">
      <c r="A3856" s="405" t="s">
        <v>310</v>
      </c>
      <c r="B3856" s="405" t="s">
        <v>6605</v>
      </c>
      <c r="C3856" s="405" t="s">
        <v>311</v>
      </c>
      <c r="D3856" s="405" t="s">
        <v>312</v>
      </c>
      <c r="E3856" s="410">
        <v>42341</v>
      </c>
      <c r="F3856" s="410">
        <v>42468</v>
      </c>
      <c r="G3856" s="405" t="s">
        <v>6606</v>
      </c>
      <c r="H3856" s="405">
        <v>701499514</v>
      </c>
      <c r="I3856" s="405"/>
      <c r="J3856" s="405">
        <v>0.40444000000000002</v>
      </c>
      <c r="K3856" s="405">
        <v>23.459440000000001</v>
      </c>
      <c r="L3856" s="405" t="s">
        <v>314</v>
      </c>
      <c r="M3856" s="405" t="s">
        <v>361</v>
      </c>
      <c r="N3856" s="405" t="s">
        <v>374</v>
      </c>
      <c r="O3856" s="405" t="s">
        <v>6607</v>
      </c>
      <c r="P3856" s="405" t="s">
        <v>6608</v>
      </c>
      <c r="Q3856" s="411">
        <v>13</v>
      </c>
      <c r="R3856" s="405" t="s">
        <v>5986</v>
      </c>
      <c r="S3856" s="405" t="s">
        <v>27251</v>
      </c>
      <c r="T3856" s="405" t="s">
        <v>884</v>
      </c>
      <c r="U3856" s="405" t="s">
        <v>319</v>
      </c>
    </row>
    <row r="3857" spans="1:21" x14ac:dyDescent="0.25">
      <c r="A3857" s="405" t="s">
        <v>310</v>
      </c>
      <c r="B3857" s="405" t="s">
        <v>6593</v>
      </c>
      <c r="C3857" s="405" t="s">
        <v>311</v>
      </c>
      <c r="D3857" s="405" t="s">
        <v>932</v>
      </c>
      <c r="E3857" s="410">
        <v>42341</v>
      </c>
      <c r="F3857" s="410">
        <v>42468</v>
      </c>
      <c r="G3857" s="405" t="s">
        <v>6594</v>
      </c>
      <c r="H3857" s="405">
        <v>750066045</v>
      </c>
      <c r="I3857" s="405">
        <v>787465452</v>
      </c>
      <c r="J3857" s="405">
        <v>0.307477</v>
      </c>
      <c r="K3857" s="405">
        <v>32.654040000000002</v>
      </c>
      <c r="L3857" s="405" t="s">
        <v>314</v>
      </c>
      <c r="M3857" s="405" t="s">
        <v>992</v>
      </c>
      <c r="N3857" s="405" t="s">
        <v>3408</v>
      </c>
      <c r="O3857" s="405" t="s">
        <v>3408</v>
      </c>
      <c r="P3857" s="405" t="s">
        <v>3408</v>
      </c>
      <c r="Q3857" s="411">
        <v>9</v>
      </c>
      <c r="R3857" s="405" t="s">
        <v>5986</v>
      </c>
      <c r="S3857" s="405" t="s">
        <v>27251</v>
      </c>
      <c r="T3857" s="405" t="s">
        <v>32102</v>
      </c>
      <c r="U3857" s="405" t="s">
        <v>319</v>
      </c>
    </row>
    <row r="3858" spans="1:21" x14ac:dyDescent="0.25">
      <c r="A3858" s="405" t="s">
        <v>310</v>
      </c>
      <c r="B3858" s="405" t="s">
        <v>5982</v>
      </c>
      <c r="C3858" s="405" t="s">
        <v>327</v>
      </c>
      <c r="D3858" s="405"/>
      <c r="E3858" s="410">
        <v>42341</v>
      </c>
      <c r="F3858" s="410">
        <v>42468</v>
      </c>
      <c r="G3858" s="405" t="s">
        <v>5983</v>
      </c>
      <c r="H3858" s="405">
        <v>776180923</v>
      </c>
      <c r="I3858" s="405"/>
      <c r="J3858" s="405">
        <v>0.28275</v>
      </c>
      <c r="K3858" s="405">
        <v>32.554594999999999</v>
      </c>
      <c r="L3858" s="405" t="s">
        <v>314</v>
      </c>
      <c r="M3858" s="405" t="s">
        <v>992</v>
      </c>
      <c r="N3858" s="405" t="s">
        <v>5984</v>
      </c>
      <c r="O3858" s="405" t="s">
        <v>5985</v>
      </c>
      <c r="P3858" s="405" t="s">
        <v>5985</v>
      </c>
      <c r="Q3858" s="411">
        <v>9</v>
      </c>
      <c r="R3858" s="405" t="s">
        <v>5986</v>
      </c>
      <c r="S3858" s="405" t="s">
        <v>27251</v>
      </c>
      <c r="T3858" s="405" t="s">
        <v>884</v>
      </c>
      <c r="U3858" s="405" t="s">
        <v>319</v>
      </c>
    </row>
    <row r="3859" spans="1:21" x14ac:dyDescent="0.25">
      <c r="A3859" s="405" t="s">
        <v>310</v>
      </c>
      <c r="B3859" s="405" t="s">
        <v>6609</v>
      </c>
      <c r="C3859" s="405" t="s">
        <v>311</v>
      </c>
      <c r="D3859" s="405" t="s">
        <v>839</v>
      </c>
      <c r="E3859" s="410">
        <v>42341</v>
      </c>
      <c r="F3859" s="410">
        <v>42468</v>
      </c>
      <c r="G3859" s="405" t="s">
        <v>6610</v>
      </c>
      <c r="H3859" s="405">
        <v>701755009</v>
      </c>
      <c r="I3859" s="405"/>
      <c r="J3859" s="405">
        <v>0.36585699999999999</v>
      </c>
      <c r="K3859" s="405">
        <v>32.652254999999997</v>
      </c>
      <c r="L3859" s="405" t="s">
        <v>314</v>
      </c>
      <c r="M3859" s="405" t="s">
        <v>361</v>
      </c>
      <c r="N3859" s="405" t="s">
        <v>379</v>
      </c>
      <c r="O3859" s="405" t="s">
        <v>5924</v>
      </c>
      <c r="P3859" s="405" t="s">
        <v>6611</v>
      </c>
      <c r="Q3859" s="411">
        <v>9</v>
      </c>
      <c r="R3859" s="405" t="s">
        <v>5986</v>
      </c>
      <c r="S3859" s="405" t="s">
        <v>27251</v>
      </c>
      <c r="T3859" s="405" t="s">
        <v>884</v>
      </c>
      <c r="U3859" s="405" t="s">
        <v>319</v>
      </c>
    </row>
    <row r="3860" spans="1:21" x14ac:dyDescent="0.25">
      <c r="A3860" s="405" t="s">
        <v>310</v>
      </c>
      <c r="B3860" s="405" t="s">
        <v>5877</v>
      </c>
      <c r="C3860" s="405" t="s">
        <v>327</v>
      </c>
      <c r="D3860" s="405"/>
      <c r="E3860" s="410">
        <v>42340</v>
      </c>
      <c r="F3860" s="410">
        <v>42385</v>
      </c>
      <c r="G3860" s="405" t="s">
        <v>5878</v>
      </c>
      <c r="H3860" s="405">
        <v>772424016</v>
      </c>
      <c r="I3860" s="405">
        <v>752424016</v>
      </c>
      <c r="J3860" s="405">
        <v>0.76572300000000004</v>
      </c>
      <c r="K3860" s="405">
        <v>33.835859999999997</v>
      </c>
      <c r="L3860" s="405" t="s">
        <v>314</v>
      </c>
      <c r="M3860" s="405" t="s">
        <v>329</v>
      </c>
      <c r="N3860" s="405" t="s">
        <v>1107</v>
      </c>
      <c r="O3860" s="405" t="s">
        <v>787</v>
      </c>
      <c r="P3860" s="405" t="s">
        <v>5879</v>
      </c>
      <c r="Q3860" s="411">
        <v>6</v>
      </c>
      <c r="R3860" s="405" t="s">
        <v>5336</v>
      </c>
      <c r="S3860" s="405" t="s">
        <v>27049</v>
      </c>
      <c r="T3860" s="405" t="s">
        <v>884</v>
      </c>
      <c r="U3860" s="405" t="s">
        <v>319</v>
      </c>
    </row>
    <row r="3861" spans="1:21" x14ac:dyDescent="0.25">
      <c r="A3861" s="405" t="s">
        <v>310</v>
      </c>
      <c r="B3861" s="405" t="s">
        <v>14997</v>
      </c>
      <c r="C3861" s="405" t="s">
        <v>327</v>
      </c>
      <c r="D3861" s="405"/>
      <c r="E3861" s="410">
        <v>42338</v>
      </c>
      <c r="F3861" s="410">
        <v>42383</v>
      </c>
      <c r="G3861" s="405" t="s">
        <v>14998</v>
      </c>
      <c r="H3861" s="405">
        <v>776193058</v>
      </c>
      <c r="I3861" s="405"/>
      <c r="J3861" s="405">
        <v>1.521998</v>
      </c>
      <c r="K3861" s="405">
        <v>33.220148999999999</v>
      </c>
      <c r="L3861" s="405" t="s">
        <v>6866</v>
      </c>
      <c r="M3861" s="405" t="s">
        <v>9658</v>
      </c>
      <c r="N3861" s="405" t="s">
        <v>11057</v>
      </c>
      <c r="O3861" s="405" t="s">
        <v>13335</v>
      </c>
      <c r="P3861" s="405" t="s">
        <v>14990</v>
      </c>
      <c r="Q3861" s="411">
        <v>6</v>
      </c>
      <c r="R3861" s="405" t="s">
        <v>5655</v>
      </c>
      <c r="S3861" s="405" t="s">
        <v>27041</v>
      </c>
      <c r="T3861" s="405" t="s">
        <v>884</v>
      </c>
      <c r="U3861" s="405" t="s">
        <v>319</v>
      </c>
    </row>
    <row r="3862" spans="1:21" x14ac:dyDescent="0.25">
      <c r="A3862" s="405" t="s">
        <v>310</v>
      </c>
      <c r="B3862" s="405" t="s">
        <v>5892</v>
      </c>
      <c r="C3862" s="405" t="s">
        <v>327</v>
      </c>
      <c r="D3862" s="405"/>
      <c r="E3862" s="410">
        <v>42337</v>
      </c>
      <c r="F3862" s="410">
        <v>42382</v>
      </c>
      <c r="G3862" s="405" t="s">
        <v>5893</v>
      </c>
      <c r="H3862" s="405">
        <v>751077233</v>
      </c>
      <c r="I3862" s="405"/>
      <c r="J3862" s="405">
        <v>0.76986299999999996</v>
      </c>
      <c r="K3862" s="405">
        <v>33.830844999999997</v>
      </c>
      <c r="L3862" s="405" t="s">
        <v>314</v>
      </c>
      <c r="M3862" s="405" t="s">
        <v>361</v>
      </c>
      <c r="N3862" s="405" t="s">
        <v>3822</v>
      </c>
      <c r="O3862" s="405" t="s">
        <v>3822</v>
      </c>
      <c r="P3862" s="405" t="s">
        <v>375</v>
      </c>
      <c r="Q3862" s="411">
        <v>13</v>
      </c>
      <c r="R3862" s="405" t="s">
        <v>5665</v>
      </c>
      <c r="S3862" s="405" t="s">
        <v>27110</v>
      </c>
      <c r="T3862" s="405" t="s">
        <v>884</v>
      </c>
      <c r="U3862" s="405" t="s">
        <v>319</v>
      </c>
    </row>
    <row r="3863" spans="1:21" x14ac:dyDescent="0.25">
      <c r="A3863" s="405" t="s">
        <v>310</v>
      </c>
      <c r="B3863" s="405" t="s">
        <v>28855</v>
      </c>
      <c r="C3863" s="405" t="s">
        <v>327</v>
      </c>
      <c r="D3863" s="405"/>
      <c r="E3863" s="410">
        <v>42337</v>
      </c>
      <c r="F3863" s="410">
        <v>42382</v>
      </c>
      <c r="G3863" s="405" t="s">
        <v>22285</v>
      </c>
      <c r="H3863" s="405">
        <v>772373667</v>
      </c>
      <c r="I3863" s="405"/>
      <c r="J3863" s="405">
        <v>0.60338199999999997</v>
      </c>
      <c r="K3863" s="405">
        <v>30.463325999999999</v>
      </c>
      <c r="L3863" s="405" t="s">
        <v>590</v>
      </c>
      <c r="M3863" s="405" t="s">
        <v>19619</v>
      </c>
      <c r="N3863" s="405" t="s">
        <v>18655</v>
      </c>
      <c r="O3863" s="405" t="s">
        <v>6748</v>
      </c>
      <c r="P3863" s="405" t="s">
        <v>22286</v>
      </c>
      <c r="Q3863" s="411">
        <v>6</v>
      </c>
      <c r="R3863" s="405" t="s">
        <v>5858</v>
      </c>
      <c r="S3863" s="405" t="s">
        <v>27098</v>
      </c>
      <c r="T3863" s="405" t="s">
        <v>884</v>
      </c>
      <c r="U3863" s="405" t="s">
        <v>319</v>
      </c>
    </row>
    <row r="3864" spans="1:21" x14ac:dyDescent="0.25">
      <c r="A3864" s="405" t="s">
        <v>310</v>
      </c>
      <c r="B3864" s="405" t="s">
        <v>22272</v>
      </c>
      <c r="C3864" s="405" t="s">
        <v>327</v>
      </c>
      <c r="D3864" s="405"/>
      <c r="E3864" s="410">
        <v>42337</v>
      </c>
      <c r="F3864" s="410">
        <v>42382</v>
      </c>
      <c r="G3864" s="405" t="s">
        <v>22273</v>
      </c>
      <c r="H3864" s="405">
        <v>782513437</v>
      </c>
      <c r="I3864" s="405">
        <v>753513437</v>
      </c>
      <c r="J3864" s="405">
        <v>0.65794699999999995</v>
      </c>
      <c r="K3864" s="405">
        <v>30.687787</v>
      </c>
      <c r="L3864" s="405" t="s">
        <v>590</v>
      </c>
      <c r="M3864" s="405" t="s">
        <v>7300</v>
      </c>
      <c r="N3864" s="405" t="s">
        <v>19880</v>
      </c>
      <c r="O3864" s="405" t="s">
        <v>19881</v>
      </c>
      <c r="P3864" s="405" t="s">
        <v>22274</v>
      </c>
      <c r="Q3864" s="411">
        <v>6</v>
      </c>
      <c r="R3864" s="405" t="s">
        <v>5336</v>
      </c>
      <c r="S3864" s="405" t="s">
        <v>22481</v>
      </c>
      <c r="T3864" s="405" t="s">
        <v>884</v>
      </c>
      <c r="U3864" s="405" t="s">
        <v>319</v>
      </c>
    </row>
    <row r="3865" spans="1:21" x14ac:dyDescent="0.25">
      <c r="A3865" s="405" t="s">
        <v>310</v>
      </c>
      <c r="B3865" s="405" t="s">
        <v>28259</v>
      </c>
      <c r="C3865" s="405" t="s">
        <v>311</v>
      </c>
      <c r="D3865" s="405" t="s">
        <v>312</v>
      </c>
      <c r="E3865" s="410">
        <v>42336</v>
      </c>
      <c r="F3865" s="410">
        <v>42381</v>
      </c>
      <c r="G3865" s="405" t="s">
        <v>6475</v>
      </c>
      <c r="H3865" s="405">
        <v>752900044</v>
      </c>
      <c r="I3865" s="405"/>
      <c r="J3865" s="405">
        <v>0.36338900000000002</v>
      </c>
      <c r="K3865" s="405">
        <v>32.615406999999998</v>
      </c>
      <c r="L3865" s="405" t="s">
        <v>314</v>
      </c>
      <c r="M3865" s="405" t="s">
        <v>361</v>
      </c>
      <c r="N3865" s="405" t="s">
        <v>6476</v>
      </c>
      <c r="O3865" s="405" t="s">
        <v>6476</v>
      </c>
      <c r="P3865" s="405" t="s">
        <v>6477</v>
      </c>
      <c r="Q3865" s="411">
        <v>13</v>
      </c>
      <c r="R3865" s="405" t="s">
        <v>5665</v>
      </c>
      <c r="S3865" s="405" t="s">
        <v>27051</v>
      </c>
      <c r="T3865" s="405" t="s">
        <v>884</v>
      </c>
      <c r="U3865" s="405" t="s">
        <v>319</v>
      </c>
    </row>
    <row r="3866" spans="1:21" x14ac:dyDescent="0.25">
      <c r="A3866" s="405" t="s">
        <v>310</v>
      </c>
      <c r="B3866" s="405" t="s">
        <v>23817</v>
      </c>
      <c r="C3866" s="405" t="s">
        <v>327</v>
      </c>
      <c r="D3866" s="405"/>
      <c r="E3866" s="410">
        <v>42335</v>
      </c>
      <c r="F3866" s="410">
        <v>43123</v>
      </c>
      <c r="G3866" s="405" t="s">
        <v>23818</v>
      </c>
      <c r="H3866" s="405">
        <v>701347235</v>
      </c>
      <c r="I3866" s="405"/>
      <c r="J3866" s="405">
        <v>1.680633</v>
      </c>
      <c r="K3866" s="405">
        <v>31.704317</v>
      </c>
      <c r="L3866" s="405" t="s">
        <v>590</v>
      </c>
      <c r="M3866" s="405" t="s">
        <v>19725</v>
      </c>
      <c r="N3866" s="405" t="s">
        <v>22297</v>
      </c>
      <c r="O3866" s="405" t="s">
        <v>20013</v>
      </c>
      <c r="P3866" s="405" t="s">
        <v>20013</v>
      </c>
      <c r="Q3866" s="411">
        <v>9</v>
      </c>
      <c r="R3866" s="405" t="s">
        <v>883</v>
      </c>
      <c r="S3866" s="405" t="s">
        <v>27183</v>
      </c>
      <c r="T3866" s="405" t="s">
        <v>884</v>
      </c>
      <c r="U3866" s="405" t="s">
        <v>319</v>
      </c>
    </row>
    <row r="3867" spans="1:21" x14ac:dyDescent="0.25">
      <c r="A3867" s="405" t="s">
        <v>310</v>
      </c>
      <c r="B3867" s="405" t="s">
        <v>22277</v>
      </c>
      <c r="C3867" s="405" t="s">
        <v>327</v>
      </c>
      <c r="D3867" s="405"/>
      <c r="E3867" s="410">
        <v>42335</v>
      </c>
      <c r="F3867" s="410">
        <v>42380</v>
      </c>
      <c r="G3867" s="405" t="s">
        <v>22278</v>
      </c>
      <c r="H3867" s="405">
        <v>759680491</v>
      </c>
      <c r="I3867" s="405">
        <v>701209999</v>
      </c>
      <c r="J3867" s="405">
        <v>1.9042749999999999</v>
      </c>
      <c r="K3867" s="405">
        <v>33.397742999999998</v>
      </c>
      <c r="L3867" s="405" t="s">
        <v>590</v>
      </c>
      <c r="M3867" s="405" t="s">
        <v>879</v>
      </c>
      <c r="N3867" s="405" t="s">
        <v>881</v>
      </c>
      <c r="O3867" s="405" t="s">
        <v>22279</v>
      </c>
      <c r="P3867" s="405" t="s">
        <v>22280</v>
      </c>
      <c r="Q3867" s="411">
        <v>6</v>
      </c>
      <c r="R3867" s="405" t="s">
        <v>6943</v>
      </c>
      <c r="S3867" s="405" t="s">
        <v>27173</v>
      </c>
      <c r="T3867" s="405" t="s">
        <v>6551</v>
      </c>
      <c r="U3867" s="405" t="s">
        <v>2267</v>
      </c>
    </row>
    <row r="3868" spans="1:21" x14ac:dyDescent="0.25">
      <c r="A3868" s="405" t="s">
        <v>310</v>
      </c>
      <c r="B3868" s="405" t="s">
        <v>14976</v>
      </c>
      <c r="C3868" s="405" t="s">
        <v>327</v>
      </c>
      <c r="D3868" s="405"/>
      <c r="E3868" s="410">
        <v>42335</v>
      </c>
      <c r="F3868" s="410">
        <v>42380</v>
      </c>
      <c r="G3868" s="405" t="s">
        <v>14977</v>
      </c>
      <c r="H3868" s="405">
        <v>755866860</v>
      </c>
      <c r="I3868" s="405"/>
      <c r="J3868" s="405">
        <v>0.74361699999999997</v>
      </c>
      <c r="K3868" s="405">
        <v>30.753135</v>
      </c>
      <c r="L3868" s="405" t="s">
        <v>6866</v>
      </c>
      <c r="M3868" s="405" t="s">
        <v>5411</v>
      </c>
      <c r="N3868" s="405" t="s">
        <v>5412</v>
      </c>
      <c r="O3868" s="405" t="s">
        <v>5412</v>
      </c>
      <c r="P3868" s="405" t="s">
        <v>14978</v>
      </c>
      <c r="Q3868" s="411">
        <v>6</v>
      </c>
      <c r="R3868" s="405" t="s">
        <v>5336</v>
      </c>
      <c r="S3868" s="405" t="s">
        <v>27106</v>
      </c>
      <c r="T3868" s="405" t="s">
        <v>884</v>
      </c>
      <c r="U3868" s="405" t="s">
        <v>319</v>
      </c>
    </row>
    <row r="3869" spans="1:21" x14ac:dyDescent="0.25">
      <c r="A3869" s="405" t="s">
        <v>310</v>
      </c>
      <c r="B3869" s="405" t="s">
        <v>15007</v>
      </c>
      <c r="C3869" s="405" t="s">
        <v>327</v>
      </c>
      <c r="D3869" s="405"/>
      <c r="E3869" s="410">
        <v>42334</v>
      </c>
      <c r="F3869" s="410">
        <v>42379</v>
      </c>
      <c r="G3869" s="405" t="s">
        <v>15008</v>
      </c>
      <c r="H3869" s="405">
        <v>772333784</v>
      </c>
      <c r="I3869" s="405">
        <v>752333784</v>
      </c>
      <c r="J3869" s="405">
        <v>1.90151</v>
      </c>
      <c r="K3869" s="405">
        <v>34.009107</v>
      </c>
      <c r="L3869" s="405" t="s">
        <v>6866</v>
      </c>
      <c r="M3869" s="405" t="s">
        <v>11355</v>
      </c>
      <c r="N3869" s="405" t="s">
        <v>11355</v>
      </c>
      <c r="O3869" s="405" t="s">
        <v>11355</v>
      </c>
      <c r="P3869" s="405" t="s">
        <v>15009</v>
      </c>
      <c r="Q3869" s="411">
        <v>6</v>
      </c>
      <c r="R3869" s="405" t="s">
        <v>5655</v>
      </c>
      <c r="S3869" s="405" t="s">
        <v>27337</v>
      </c>
      <c r="T3869" s="405" t="s">
        <v>6551</v>
      </c>
      <c r="U3869" s="405" t="s">
        <v>2267</v>
      </c>
    </row>
    <row r="3870" spans="1:21" x14ac:dyDescent="0.25">
      <c r="A3870" s="405" t="s">
        <v>310</v>
      </c>
      <c r="B3870" s="405" t="s">
        <v>5904</v>
      </c>
      <c r="C3870" s="405" t="s">
        <v>327</v>
      </c>
      <c r="D3870" s="405"/>
      <c r="E3870" s="410">
        <v>42333</v>
      </c>
      <c r="F3870" s="410">
        <v>42378</v>
      </c>
      <c r="G3870" s="405" t="s">
        <v>5905</v>
      </c>
      <c r="H3870" s="405">
        <v>702107335</v>
      </c>
      <c r="I3870" s="405"/>
      <c r="J3870" s="405">
        <v>0.65329199999999998</v>
      </c>
      <c r="K3870" s="405">
        <v>31.839666999999999</v>
      </c>
      <c r="L3870" s="405" t="s">
        <v>314</v>
      </c>
      <c r="M3870" s="405" t="s">
        <v>959</v>
      </c>
      <c r="N3870" s="405" t="s">
        <v>5906</v>
      </c>
      <c r="O3870" s="405" t="s">
        <v>5906</v>
      </c>
      <c r="P3870" s="405" t="s">
        <v>5906</v>
      </c>
      <c r="Q3870" s="411">
        <v>13</v>
      </c>
      <c r="R3870" s="405" t="s">
        <v>4176</v>
      </c>
      <c r="S3870" s="405" t="s">
        <v>27039</v>
      </c>
      <c r="T3870" s="405" t="s">
        <v>884</v>
      </c>
      <c r="U3870" s="405" t="s">
        <v>319</v>
      </c>
    </row>
    <row r="3871" spans="1:21" x14ac:dyDescent="0.25">
      <c r="A3871" s="405" t="s">
        <v>310</v>
      </c>
      <c r="B3871" s="405" t="s">
        <v>28248</v>
      </c>
      <c r="C3871" s="405" t="s">
        <v>311</v>
      </c>
      <c r="D3871" s="405" t="s">
        <v>3381</v>
      </c>
      <c r="E3871" s="410">
        <v>42333</v>
      </c>
      <c r="F3871" s="410">
        <v>42378</v>
      </c>
      <c r="G3871" s="405" t="s">
        <v>6488</v>
      </c>
      <c r="H3871" s="405">
        <v>752523225</v>
      </c>
      <c r="I3871" s="405"/>
      <c r="J3871" s="405">
        <v>3.1508000000000001E-2</v>
      </c>
      <c r="K3871" s="405">
        <v>31.713165</v>
      </c>
      <c r="L3871" s="405" t="s">
        <v>314</v>
      </c>
      <c r="M3871" s="405" t="s">
        <v>900</v>
      </c>
      <c r="N3871" s="405" t="s">
        <v>900</v>
      </c>
      <c r="O3871" s="405" t="s">
        <v>3520</v>
      </c>
      <c r="P3871" s="405" t="s">
        <v>6489</v>
      </c>
      <c r="Q3871" s="411">
        <v>9</v>
      </c>
      <c r="R3871" s="405" t="s">
        <v>5739</v>
      </c>
      <c r="S3871" s="405" t="s">
        <v>27186</v>
      </c>
      <c r="T3871" s="405" t="s">
        <v>884</v>
      </c>
      <c r="U3871" s="405" t="s">
        <v>319</v>
      </c>
    </row>
    <row r="3872" spans="1:21" x14ac:dyDescent="0.25">
      <c r="A3872" s="405" t="s">
        <v>310</v>
      </c>
      <c r="B3872" s="405" t="s">
        <v>22295</v>
      </c>
      <c r="C3872" s="405" t="s">
        <v>327</v>
      </c>
      <c r="D3872" s="405"/>
      <c r="E3872" s="410">
        <v>42333</v>
      </c>
      <c r="F3872" s="410">
        <v>42378</v>
      </c>
      <c r="G3872" s="405" t="s">
        <v>22296</v>
      </c>
      <c r="H3872" s="405">
        <v>772573429</v>
      </c>
      <c r="I3872" s="405"/>
      <c r="J3872" s="405">
        <v>0.15404799999999999</v>
      </c>
      <c r="K3872" s="405">
        <v>32.412517999999999</v>
      </c>
      <c r="L3872" s="405" t="s">
        <v>590</v>
      </c>
      <c r="M3872" s="405" t="s">
        <v>19725</v>
      </c>
      <c r="N3872" s="405" t="s">
        <v>22297</v>
      </c>
      <c r="O3872" s="405" t="s">
        <v>20013</v>
      </c>
      <c r="P3872" s="405" t="s">
        <v>20013</v>
      </c>
      <c r="Q3872" s="411">
        <v>9</v>
      </c>
      <c r="R3872" s="405" t="s">
        <v>883</v>
      </c>
      <c r="S3872" s="405" t="s">
        <v>27183</v>
      </c>
      <c r="T3872" s="405" t="s">
        <v>884</v>
      </c>
      <c r="U3872" s="405" t="s">
        <v>319</v>
      </c>
    </row>
    <row r="3873" spans="1:21" x14ac:dyDescent="0.25">
      <c r="A3873" s="405" t="s">
        <v>310</v>
      </c>
      <c r="B3873" s="405" t="s">
        <v>15010</v>
      </c>
      <c r="C3873" s="405" t="s">
        <v>327</v>
      </c>
      <c r="D3873" s="405"/>
      <c r="E3873" s="410">
        <v>42333</v>
      </c>
      <c r="F3873" s="410">
        <v>42378</v>
      </c>
      <c r="G3873" s="405" t="s">
        <v>15011</v>
      </c>
      <c r="H3873" s="405">
        <v>789452026</v>
      </c>
      <c r="I3873" s="405"/>
      <c r="J3873" s="405">
        <v>1.345518</v>
      </c>
      <c r="K3873" s="405">
        <v>34.679369999999999</v>
      </c>
      <c r="L3873" s="405" t="s">
        <v>6866</v>
      </c>
      <c r="M3873" s="405" t="s">
        <v>9658</v>
      </c>
      <c r="N3873" s="405" t="s">
        <v>11057</v>
      </c>
      <c r="O3873" s="405" t="s">
        <v>13335</v>
      </c>
      <c r="P3873" s="405" t="s">
        <v>14990</v>
      </c>
      <c r="Q3873" s="411">
        <v>6</v>
      </c>
      <c r="R3873" s="405" t="s">
        <v>5655</v>
      </c>
      <c r="S3873" s="405" t="s">
        <v>27041</v>
      </c>
      <c r="T3873" s="405" t="s">
        <v>884</v>
      </c>
      <c r="U3873" s="405" t="s">
        <v>319</v>
      </c>
    </row>
    <row r="3874" spans="1:21" x14ac:dyDescent="0.25">
      <c r="A3874" s="405" t="s">
        <v>310</v>
      </c>
      <c r="B3874" s="405" t="s">
        <v>27592</v>
      </c>
      <c r="C3874" s="405" t="s">
        <v>857</v>
      </c>
      <c r="D3874" s="405" t="s">
        <v>1037</v>
      </c>
      <c r="E3874" s="410">
        <v>42332</v>
      </c>
      <c r="F3874" s="410">
        <v>42377</v>
      </c>
      <c r="G3874" s="405" t="s">
        <v>22468</v>
      </c>
      <c r="H3874" s="405">
        <v>772451242</v>
      </c>
      <c r="I3874" s="405">
        <v>789001884</v>
      </c>
      <c r="J3874" s="405">
        <v>-0.39366200000000001</v>
      </c>
      <c r="K3874" s="405">
        <v>30.147124999999999</v>
      </c>
      <c r="L3874" s="405" t="s">
        <v>590</v>
      </c>
      <c r="M3874" s="405" t="s">
        <v>19625</v>
      </c>
      <c r="N3874" s="405" t="s">
        <v>19642</v>
      </c>
      <c r="O3874" s="405" t="s">
        <v>22044</v>
      </c>
      <c r="P3874" s="405" t="s">
        <v>7311</v>
      </c>
      <c r="Q3874" s="411">
        <v>13</v>
      </c>
      <c r="R3874" s="405" t="s">
        <v>6943</v>
      </c>
      <c r="S3874" s="405" t="s">
        <v>27065</v>
      </c>
      <c r="T3874" s="405" t="s">
        <v>884</v>
      </c>
      <c r="U3874" s="405" t="s">
        <v>319</v>
      </c>
    </row>
    <row r="3875" spans="1:21" x14ac:dyDescent="0.25">
      <c r="A3875" s="405" t="s">
        <v>310</v>
      </c>
      <c r="B3875" s="405" t="s">
        <v>28966</v>
      </c>
      <c r="C3875" s="405" t="s">
        <v>327</v>
      </c>
      <c r="D3875" s="405"/>
      <c r="E3875" s="410">
        <v>42332</v>
      </c>
      <c r="F3875" s="410">
        <v>42377</v>
      </c>
      <c r="G3875" s="405" t="s">
        <v>5886</v>
      </c>
      <c r="H3875" s="405">
        <v>712554253</v>
      </c>
      <c r="I3875" s="405"/>
      <c r="J3875" s="405">
        <v>0.40158199999999999</v>
      </c>
      <c r="K3875" s="405">
        <v>31.159041999999999</v>
      </c>
      <c r="L3875" s="405" t="s">
        <v>314</v>
      </c>
      <c r="M3875" s="405" t="s">
        <v>349</v>
      </c>
      <c r="N3875" s="405" t="s">
        <v>349</v>
      </c>
      <c r="O3875" s="405" t="s">
        <v>349</v>
      </c>
      <c r="P3875" s="405" t="s">
        <v>5887</v>
      </c>
      <c r="Q3875" s="411">
        <v>9</v>
      </c>
      <c r="R3875" s="405" t="s">
        <v>5665</v>
      </c>
      <c r="S3875" s="405" t="s">
        <v>27115</v>
      </c>
      <c r="T3875" s="405" t="s">
        <v>884</v>
      </c>
      <c r="U3875" s="405" t="s">
        <v>319</v>
      </c>
    </row>
    <row r="3876" spans="1:21" x14ac:dyDescent="0.25">
      <c r="A3876" s="405" t="s">
        <v>310</v>
      </c>
      <c r="B3876" s="405" t="s">
        <v>28891</v>
      </c>
      <c r="C3876" s="405" t="s">
        <v>327</v>
      </c>
      <c r="D3876" s="405"/>
      <c r="E3876" s="410">
        <v>42332</v>
      </c>
      <c r="F3876" s="410">
        <v>42377</v>
      </c>
      <c r="G3876" s="405" t="s">
        <v>5881</v>
      </c>
      <c r="H3876" s="405">
        <v>703555956</v>
      </c>
      <c r="I3876" s="405"/>
      <c r="J3876" s="405">
        <v>1.1404719999999999</v>
      </c>
      <c r="K3876" s="405">
        <v>33.841372</v>
      </c>
      <c r="L3876" s="405" t="s">
        <v>314</v>
      </c>
      <c r="M3876" s="405" t="s">
        <v>321</v>
      </c>
      <c r="N3876" s="405" t="s">
        <v>322</v>
      </c>
      <c r="O3876" s="405" t="s">
        <v>5626</v>
      </c>
      <c r="P3876" s="405" t="s">
        <v>5882</v>
      </c>
      <c r="Q3876" s="411">
        <v>6</v>
      </c>
      <c r="R3876" s="405" t="s">
        <v>32101</v>
      </c>
      <c r="S3876" s="405" t="s">
        <v>27167</v>
      </c>
      <c r="T3876" s="405" t="s">
        <v>884</v>
      </c>
      <c r="U3876" s="405" t="s">
        <v>319</v>
      </c>
    </row>
    <row r="3877" spans="1:21" x14ac:dyDescent="0.25">
      <c r="A3877" s="405" t="s">
        <v>310</v>
      </c>
      <c r="B3877" s="405" t="s">
        <v>27984</v>
      </c>
      <c r="C3877" s="405" t="s">
        <v>327</v>
      </c>
      <c r="D3877" s="405"/>
      <c r="E3877" s="410">
        <v>42331</v>
      </c>
      <c r="F3877" s="410">
        <v>42376</v>
      </c>
      <c r="G3877" s="405" t="s">
        <v>5874</v>
      </c>
      <c r="H3877" s="405">
        <v>777687137</v>
      </c>
      <c r="I3877" s="405"/>
      <c r="J3877" s="405">
        <v>0.13025800000000001</v>
      </c>
      <c r="K3877" s="405">
        <v>31.189827999999999</v>
      </c>
      <c r="L3877" s="405" t="s">
        <v>314</v>
      </c>
      <c r="M3877" s="405" t="s">
        <v>343</v>
      </c>
      <c r="N3877" s="405" t="s">
        <v>5875</v>
      </c>
      <c r="O3877" s="405" t="s">
        <v>5875</v>
      </c>
      <c r="P3877" s="405" t="s">
        <v>5876</v>
      </c>
      <c r="Q3877" s="411">
        <v>13</v>
      </c>
      <c r="R3877" s="405" t="s">
        <v>32101</v>
      </c>
      <c r="S3877" s="405" t="s">
        <v>414</v>
      </c>
      <c r="T3877" s="405" t="s">
        <v>884</v>
      </c>
      <c r="U3877" s="405" t="s">
        <v>319</v>
      </c>
    </row>
    <row r="3878" spans="1:21" x14ac:dyDescent="0.25">
      <c r="A3878" s="405" t="s">
        <v>310</v>
      </c>
      <c r="B3878" s="405" t="s">
        <v>14988</v>
      </c>
      <c r="C3878" s="405" t="s">
        <v>327</v>
      </c>
      <c r="D3878" s="405"/>
      <c r="E3878" s="410">
        <v>42331</v>
      </c>
      <c r="F3878" s="410">
        <v>42376</v>
      </c>
      <c r="G3878" s="405" t="s">
        <v>14989</v>
      </c>
      <c r="H3878" s="405">
        <v>789006408</v>
      </c>
      <c r="I3878" s="405"/>
      <c r="J3878" s="405">
        <v>1.521998</v>
      </c>
      <c r="K3878" s="405">
        <v>33.220148999999999</v>
      </c>
      <c r="L3878" s="405" t="s">
        <v>6866</v>
      </c>
      <c r="M3878" s="405" t="s">
        <v>9658</v>
      </c>
      <c r="N3878" s="405" t="s">
        <v>11057</v>
      </c>
      <c r="O3878" s="405" t="s">
        <v>13335</v>
      </c>
      <c r="P3878" s="405" t="s">
        <v>14990</v>
      </c>
      <c r="Q3878" s="411">
        <v>6</v>
      </c>
      <c r="R3878" s="405" t="s">
        <v>5655</v>
      </c>
      <c r="S3878" s="405" t="s">
        <v>27041</v>
      </c>
      <c r="T3878" s="405" t="s">
        <v>884</v>
      </c>
      <c r="U3878" s="405" t="s">
        <v>319</v>
      </c>
    </row>
    <row r="3879" spans="1:21" x14ac:dyDescent="0.25">
      <c r="A3879" s="405" t="s">
        <v>310</v>
      </c>
      <c r="B3879" s="405" t="s">
        <v>15003</v>
      </c>
      <c r="C3879" s="405" t="s">
        <v>327</v>
      </c>
      <c r="D3879" s="405"/>
      <c r="E3879" s="410">
        <v>42330</v>
      </c>
      <c r="F3879" s="410">
        <v>42375</v>
      </c>
      <c r="G3879" s="405" t="s">
        <v>15004</v>
      </c>
      <c r="H3879" s="405">
        <v>782132093</v>
      </c>
      <c r="I3879" s="405"/>
      <c r="J3879" s="405">
        <v>6.4199999999999993E-2</v>
      </c>
      <c r="K3879" s="405">
        <v>30.554572</v>
      </c>
      <c r="L3879" s="405" t="s">
        <v>6866</v>
      </c>
      <c r="M3879" s="405" t="s">
        <v>9658</v>
      </c>
      <c r="N3879" s="405" t="s">
        <v>11057</v>
      </c>
      <c r="O3879" s="405" t="s">
        <v>11057</v>
      </c>
      <c r="P3879" s="405" t="s">
        <v>13336</v>
      </c>
      <c r="Q3879" s="411">
        <v>6</v>
      </c>
      <c r="R3879" s="405" t="s">
        <v>5655</v>
      </c>
      <c r="S3879" s="405" t="s">
        <v>27346</v>
      </c>
      <c r="T3879" s="405" t="s">
        <v>884</v>
      </c>
      <c r="U3879" s="405" t="s">
        <v>319</v>
      </c>
    </row>
    <row r="3880" spans="1:21" x14ac:dyDescent="0.25">
      <c r="A3880" s="405" t="s">
        <v>310</v>
      </c>
      <c r="B3880" s="405" t="s">
        <v>14999</v>
      </c>
      <c r="C3880" s="405" t="s">
        <v>327</v>
      </c>
      <c r="D3880" s="405"/>
      <c r="E3880" s="410">
        <v>42330</v>
      </c>
      <c r="F3880" s="410">
        <v>42375</v>
      </c>
      <c r="G3880" s="405" t="s">
        <v>15000</v>
      </c>
      <c r="H3880" s="405">
        <v>787723831</v>
      </c>
      <c r="I3880" s="405"/>
      <c r="J3880" s="405">
        <v>1.1514260000000001</v>
      </c>
      <c r="K3880" s="405">
        <v>33.080492</v>
      </c>
      <c r="L3880" s="405" t="s">
        <v>6866</v>
      </c>
      <c r="M3880" s="405" t="s">
        <v>9658</v>
      </c>
      <c r="N3880" s="405" t="s">
        <v>13335</v>
      </c>
      <c r="O3880" s="405" t="s">
        <v>15001</v>
      </c>
      <c r="P3880" s="405" t="s">
        <v>15002</v>
      </c>
      <c r="Q3880" s="411">
        <v>6</v>
      </c>
      <c r="R3880" s="405" t="s">
        <v>5655</v>
      </c>
      <c r="S3880" s="405" t="s">
        <v>27072</v>
      </c>
      <c r="T3880" s="405" t="s">
        <v>32102</v>
      </c>
      <c r="U3880" s="405" t="s">
        <v>319</v>
      </c>
    </row>
    <row r="3881" spans="1:21" x14ac:dyDescent="0.25">
      <c r="A3881" s="405" t="s">
        <v>310</v>
      </c>
      <c r="B3881" s="405" t="s">
        <v>14994</v>
      </c>
      <c r="C3881" s="405" t="s">
        <v>327</v>
      </c>
      <c r="D3881" s="405"/>
      <c r="E3881" s="410">
        <v>42330</v>
      </c>
      <c r="F3881" s="410">
        <v>42375</v>
      </c>
      <c r="G3881" s="405" t="s">
        <v>14995</v>
      </c>
      <c r="H3881" s="405">
        <v>753534207</v>
      </c>
      <c r="I3881" s="405"/>
      <c r="J3881" s="405">
        <v>1.1514260000000001</v>
      </c>
      <c r="K3881" s="405">
        <v>33.080492</v>
      </c>
      <c r="L3881" s="405" t="s">
        <v>6866</v>
      </c>
      <c r="M3881" s="405" t="s">
        <v>9658</v>
      </c>
      <c r="N3881" s="405" t="s">
        <v>13335</v>
      </c>
      <c r="O3881" s="405" t="s">
        <v>13335</v>
      </c>
      <c r="P3881" s="405" t="s">
        <v>14996</v>
      </c>
      <c r="Q3881" s="411">
        <v>6</v>
      </c>
      <c r="R3881" s="405" t="s">
        <v>5655</v>
      </c>
      <c r="S3881" s="405" t="s">
        <v>27351</v>
      </c>
      <c r="T3881" s="405" t="s">
        <v>884</v>
      </c>
      <c r="U3881" s="405" t="s">
        <v>319</v>
      </c>
    </row>
    <row r="3882" spans="1:21" x14ac:dyDescent="0.25">
      <c r="A3882" s="405" t="s">
        <v>310</v>
      </c>
      <c r="B3882" s="405" t="s">
        <v>28042</v>
      </c>
      <c r="C3882" s="405" t="s">
        <v>327</v>
      </c>
      <c r="D3882" s="405"/>
      <c r="E3882" s="410">
        <v>42329</v>
      </c>
      <c r="F3882" s="410">
        <v>42374</v>
      </c>
      <c r="G3882" s="405" t="s">
        <v>5888</v>
      </c>
      <c r="H3882" s="405">
        <v>759413044</v>
      </c>
      <c r="I3882" s="405"/>
      <c r="J3882" s="405">
        <v>0.34844700000000001</v>
      </c>
      <c r="K3882" s="405">
        <v>30.574497000000001</v>
      </c>
      <c r="L3882" s="405" t="s">
        <v>314</v>
      </c>
      <c r="M3882" s="405" t="s">
        <v>361</v>
      </c>
      <c r="N3882" s="405" t="s">
        <v>3606</v>
      </c>
      <c r="O3882" s="405" t="s">
        <v>3606</v>
      </c>
      <c r="P3882" s="405" t="s">
        <v>2993</v>
      </c>
      <c r="Q3882" s="411">
        <v>13</v>
      </c>
      <c r="R3882" s="405" t="s">
        <v>5665</v>
      </c>
      <c r="S3882" s="405" t="s">
        <v>27175</v>
      </c>
      <c r="T3882" s="405" t="s">
        <v>884</v>
      </c>
      <c r="U3882" s="405" t="s">
        <v>319</v>
      </c>
    </row>
    <row r="3883" spans="1:21" x14ac:dyDescent="0.25">
      <c r="A3883" s="405" t="s">
        <v>310</v>
      </c>
      <c r="B3883" s="405" t="s">
        <v>5896</v>
      </c>
      <c r="C3883" s="405" t="s">
        <v>327</v>
      </c>
      <c r="D3883" s="405"/>
      <c r="E3883" s="410">
        <v>42329</v>
      </c>
      <c r="F3883" s="410">
        <v>42374</v>
      </c>
      <c r="G3883" s="405" t="s">
        <v>5897</v>
      </c>
      <c r="H3883" s="405">
        <v>772444001</v>
      </c>
      <c r="I3883" s="405"/>
      <c r="J3883" s="405">
        <v>-7.7384999999999995E-2</v>
      </c>
      <c r="K3883" s="405">
        <v>31.141335000000002</v>
      </c>
      <c r="L3883" s="405" t="s">
        <v>314</v>
      </c>
      <c r="M3883" s="405" t="s">
        <v>1805</v>
      </c>
      <c r="N3883" s="405" t="s">
        <v>5855</v>
      </c>
      <c r="O3883" s="405" t="s">
        <v>5898</v>
      </c>
      <c r="P3883" s="405" t="s">
        <v>5899</v>
      </c>
      <c r="Q3883" s="411">
        <v>9</v>
      </c>
      <c r="R3883" s="405" t="s">
        <v>874</v>
      </c>
      <c r="S3883" s="405" t="s">
        <v>27249</v>
      </c>
      <c r="T3883" s="405" t="s">
        <v>884</v>
      </c>
      <c r="U3883" s="405" t="s">
        <v>319</v>
      </c>
    </row>
    <row r="3884" spans="1:21" x14ac:dyDescent="0.25">
      <c r="A3884" s="405" t="s">
        <v>310</v>
      </c>
      <c r="B3884" s="405" t="s">
        <v>22269</v>
      </c>
      <c r="C3884" s="405" t="s">
        <v>327</v>
      </c>
      <c r="D3884" s="405"/>
      <c r="E3884" s="410">
        <v>42329</v>
      </c>
      <c r="F3884" s="410">
        <v>42374</v>
      </c>
      <c r="G3884" s="405" t="s">
        <v>22270</v>
      </c>
      <c r="H3884" s="405">
        <v>757559288</v>
      </c>
      <c r="I3884" s="405"/>
      <c r="J3884" s="405">
        <v>0.77616399999999997</v>
      </c>
      <c r="K3884" s="405">
        <v>30.785197</v>
      </c>
      <c r="L3884" s="405" t="s">
        <v>590</v>
      </c>
      <c r="M3884" s="405" t="s">
        <v>7300</v>
      </c>
      <c r="N3884" s="405" t="s">
        <v>19880</v>
      </c>
      <c r="O3884" s="405" t="s">
        <v>19881</v>
      </c>
      <c r="P3884" s="405" t="s">
        <v>22271</v>
      </c>
      <c r="Q3884" s="411">
        <v>6</v>
      </c>
      <c r="R3884" s="405" t="s">
        <v>5336</v>
      </c>
      <c r="S3884" s="405" t="s">
        <v>22481</v>
      </c>
      <c r="T3884" s="405" t="s">
        <v>884</v>
      </c>
      <c r="U3884" s="405" t="s">
        <v>319</v>
      </c>
    </row>
    <row r="3885" spans="1:21" x14ac:dyDescent="0.25">
      <c r="A3885" s="405" t="s">
        <v>310</v>
      </c>
      <c r="B3885" s="405" t="s">
        <v>22275</v>
      </c>
      <c r="C3885" s="405" t="s">
        <v>327</v>
      </c>
      <c r="D3885" s="405"/>
      <c r="E3885" s="410">
        <v>42329</v>
      </c>
      <c r="F3885" s="410">
        <v>42374</v>
      </c>
      <c r="G3885" s="405" t="s">
        <v>22276</v>
      </c>
      <c r="H3885" s="405">
        <v>774125426</v>
      </c>
      <c r="I3885" s="405"/>
      <c r="J3885" s="405">
        <v>0.79738299999999995</v>
      </c>
      <c r="K3885" s="405">
        <v>29.927361999999999</v>
      </c>
      <c r="L3885" s="405" t="s">
        <v>590</v>
      </c>
      <c r="M3885" s="405" t="s">
        <v>879</v>
      </c>
      <c r="N3885" s="405" t="s">
        <v>880</v>
      </c>
      <c r="O3885" s="405" t="s">
        <v>20737</v>
      </c>
      <c r="P3885" s="405" t="s">
        <v>22232</v>
      </c>
      <c r="Q3885" s="411">
        <v>6</v>
      </c>
      <c r="R3885" s="405" t="s">
        <v>6943</v>
      </c>
      <c r="S3885" s="405" t="s">
        <v>27280</v>
      </c>
      <c r="T3885" s="405" t="s">
        <v>884</v>
      </c>
      <c r="U3885" s="405" t="s">
        <v>319</v>
      </c>
    </row>
    <row r="3886" spans="1:21" x14ac:dyDescent="0.25">
      <c r="A3886" s="405" t="s">
        <v>310</v>
      </c>
      <c r="B3886" s="405" t="s">
        <v>27803</v>
      </c>
      <c r="C3886" s="405" t="s">
        <v>327</v>
      </c>
      <c r="D3886" s="405"/>
      <c r="E3886" s="410">
        <v>42328</v>
      </c>
      <c r="F3886" s="410">
        <v>42373</v>
      </c>
      <c r="G3886" s="405" t="s">
        <v>22268</v>
      </c>
      <c r="H3886" s="405">
        <v>782266605</v>
      </c>
      <c r="I3886" s="405">
        <v>702047644</v>
      </c>
      <c r="J3886" s="405">
        <v>0.45951799999999998</v>
      </c>
      <c r="K3886" s="405">
        <v>32.611072999999998</v>
      </c>
      <c r="L3886" s="405" t="s">
        <v>590</v>
      </c>
      <c r="M3886" s="405" t="s">
        <v>19625</v>
      </c>
      <c r="N3886" s="405" t="s">
        <v>19642</v>
      </c>
      <c r="O3886" s="405" t="s">
        <v>22097</v>
      </c>
      <c r="P3886" s="405" t="s">
        <v>22202</v>
      </c>
      <c r="Q3886" s="411">
        <v>6</v>
      </c>
      <c r="R3886" s="405" t="s">
        <v>6943</v>
      </c>
      <c r="S3886" s="405" t="s">
        <v>27172</v>
      </c>
      <c r="T3886" s="405" t="s">
        <v>32102</v>
      </c>
      <c r="U3886" s="405" t="s">
        <v>319</v>
      </c>
    </row>
    <row r="3887" spans="1:21" x14ac:dyDescent="0.25">
      <c r="A3887" s="405" t="s">
        <v>310</v>
      </c>
      <c r="B3887" s="405" t="s">
        <v>27603</v>
      </c>
      <c r="C3887" s="405" t="s">
        <v>311</v>
      </c>
      <c r="D3887" s="405" t="s">
        <v>312</v>
      </c>
      <c r="E3887" s="410">
        <v>42327</v>
      </c>
      <c r="F3887" s="410">
        <v>42372</v>
      </c>
      <c r="G3887" s="405" t="s">
        <v>19347</v>
      </c>
      <c r="H3887" s="405">
        <v>782844614</v>
      </c>
      <c r="I3887" s="405"/>
      <c r="J3887" s="405">
        <v>2.2276129999999998</v>
      </c>
      <c r="K3887" s="405">
        <v>32.895339999999997</v>
      </c>
      <c r="L3887" s="405" t="s">
        <v>860</v>
      </c>
      <c r="M3887" s="405" t="s">
        <v>18234</v>
      </c>
      <c r="N3887" s="405" t="s">
        <v>18252</v>
      </c>
      <c r="O3887" s="405" t="s">
        <v>13002</v>
      </c>
      <c r="P3887" s="405" t="s">
        <v>18511</v>
      </c>
      <c r="Q3887" s="411">
        <v>6</v>
      </c>
      <c r="R3887" s="405" t="s">
        <v>18919</v>
      </c>
      <c r="S3887" s="405" t="s">
        <v>27382</v>
      </c>
      <c r="T3887" s="405" t="s">
        <v>884</v>
      </c>
      <c r="U3887" s="405" t="s">
        <v>319</v>
      </c>
    </row>
    <row r="3888" spans="1:21" x14ac:dyDescent="0.25">
      <c r="A3888" s="405" t="s">
        <v>310</v>
      </c>
      <c r="B3888" s="405" t="s">
        <v>28130</v>
      </c>
      <c r="C3888" s="405" t="s">
        <v>327</v>
      </c>
      <c r="D3888" s="405"/>
      <c r="E3888" s="410">
        <v>42327</v>
      </c>
      <c r="F3888" s="410">
        <v>42372</v>
      </c>
      <c r="G3888" s="405" t="s">
        <v>22283</v>
      </c>
      <c r="H3888" s="405">
        <v>785736366</v>
      </c>
      <c r="I3888" s="405"/>
      <c r="J3888" s="405">
        <v>0.76185999999999998</v>
      </c>
      <c r="K3888" s="405">
        <v>29.8553</v>
      </c>
      <c r="L3888" s="405" t="s">
        <v>590</v>
      </c>
      <c r="M3888" s="405" t="s">
        <v>19619</v>
      </c>
      <c r="N3888" s="405" t="s">
        <v>19793</v>
      </c>
      <c r="O3888" s="405" t="s">
        <v>6395</v>
      </c>
      <c r="P3888" s="405" t="s">
        <v>22284</v>
      </c>
      <c r="Q3888" s="411">
        <v>6</v>
      </c>
      <c r="R3888" s="405" t="s">
        <v>5858</v>
      </c>
      <c r="S3888" s="405" t="s">
        <v>27160</v>
      </c>
      <c r="T3888" s="405" t="s">
        <v>884</v>
      </c>
      <c r="U3888" s="405" t="s">
        <v>319</v>
      </c>
    </row>
    <row r="3889" spans="1:21" x14ac:dyDescent="0.25">
      <c r="A3889" s="405" t="s">
        <v>310</v>
      </c>
      <c r="B3889" s="405" t="s">
        <v>27488</v>
      </c>
      <c r="C3889" s="405" t="s">
        <v>327</v>
      </c>
      <c r="D3889" s="405"/>
      <c r="E3889" s="410">
        <v>42326</v>
      </c>
      <c r="F3889" s="410">
        <v>42371</v>
      </c>
      <c r="G3889" s="405" t="s">
        <v>22281</v>
      </c>
      <c r="H3889" s="405">
        <v>757697900</v>
      </c>
      <c r="I3889" s="405"/>
      <c r="J3889" s="405">
        <v>0.73405699999999996</v>
      </c>
      <c r="K3889" s="405">
        <v>29.846381999999998</v>
      </c>
      <c r="L3889" s="405" t="s">
        <v>590</v>
      </c>
      <c r="M3889" s="405" t="s">
        <v>19619</v>
      </c>
      <c r="N3889" s="405" t="s">
        <v>19793</v>
      </c>
      <c r="O3889" s="405" t="s">
        <v>6395</v>
      </c>
      <c r="P3889" s="405" t="s">
        <v>22282</v>
      </c>
      <c r="Q3889" s="411">
        <v>6</v>
      </c>
      <c r="R3889" s="405" t="s">
        <v>5858</v>
      </c>
      <c r="S3889" s="405" t="s">
        <v>27098</v>
      </c>
      <c r="T3889" s="405" t="s">
        <v>884</v>
      </c>
      <c r="U3889" s="405" t="s">
        <v>319</v>
      </c>
    </row>
    <row r="3890" spans="1:21" x14ac:dyDescent="0.25">
      <c r="A3890" s="405" t="s">
        <v>310</v>
      </c>
      <c r="B3890" s="405" t="s">
        <v>22265</v>
      </c>
      <c r="C3890" s="405" t="s">
        <v>327</v>
      </c>
      <c r="D3890" s="405"/>
      <c r="E3890" s="410">
        <v>42326</v>
      </c>
      <c r="F3890" s="410">
        <v>42371</v>
      </c>
      <c r="G3890" s="405" t="s">
        <v>22266</v>
      </c>
      <c r="H3890" s="405">
        <v>776551714</v>
      </c>
      <c r="I3890" s="405">
        <v>705177080</v>
      </c>
      <c r="J3890" s="405">
        <v>1.7879320000000001</v>
      </c>
      <c r="K3890" s="405">
        <v>31.936322000000001</v>
      </c>
      <c r="L3890" s="405" t="s">
        <v>590</v>
      </c>
      <c r="M3890" s="405" t="s">
        <v>591</v>
      </c>
      <c r="N3890" s="405" t="s">
        <v>3012</v>
      </c>
      <c r="O3890" s="405" t="s">
        <v>3012</v>
      </c>
      <c r="P3890" s="405" t="s">
        <v>22267</v>
      </c>
      <c r="Q3890" s="411">
        <v>6</v>
      </c>
      <c r="R3890" s="405" t="s">
        <v>5336</v>
      </c>
      <c r="S3890" s="405" t="s">
        <v>27126</v>
      </c>
      <c r="T3890" s="405" t="s">
        <v>884</v>
      </c>
      <c r="U3890" s="405" t="s">
        <v>319</v>
      </c>
    </row>
    <row r="3891" spans="1:21" x14ac:dyDescent="0.25">
      <c r="A3891" s="405" t="s">
        <v>310</v>
      </c>
      <c r="B3891" s="405" t="s">
        <v>27565</v>
      </c>
      <c r="C3891" s="405" t="s">
        <v>327</v>
      </c>
      <c r="D3891" s="405"/>
      <c r="E3891" s="410">
        <v>42325</v>
      </c>
      <c r="F3891" s="410">
        <v>42370</v>
      </c>
      <c r="G3891" s="405" t="s">
        <v>5880</v>
      </c>
      <c r="H3891" s="405">
        <v>704885990</v>
      </c>
      <c r="I3891" s="405"/>
      <c r="J3891" s="405">
        <v>0.340422</v>
      </c>
      <c r="K3891" s="405">
        <v>32.834533</v>
      </c>
      <c r="L3891" s="405" t="s">
        <v>314</v>
      </c>
      <c r="M3891" s="405" t="s">
        <v>329</v>
      </c>
      <c r="N3891" s="405" t="s">
        <v>1107</v>
      </c>
      <c r="O3891" s="405" t="s">
        <v>653</v>
      </c>
      <c r="P3891" s="405" t="s">
        <v>3536</v>
      </c>
      <c r="Q3891" s="411">
        <v>6</v>
      </c>
      <c r="R3891" s="405" t="s">
        <v>32101</v>
      </c>
      <c r="S3891" s="405" t="s">
        <v>27167</v>
      </c>
      <c r="T3891" s="405" t="s">
        <v>884</v>
      </c>
      <c r="U3891" s="405" t="s">
        <v>319</v>
      </c>
    </row>
    <row r="3892" spans="1:21" x14ac:dyDescent="0.25">
      <c r="A3892" s="405" t="s">
        <v>310</v>
      </c>
      <c r="B3892" s="405" t="s">
        <v>15005</v>
      </c>
      <c r="C3892" s="405" t="s">
        <v>327</v>
      </c>
      <c r="D3892" s="405"/>
      <c r="E3892" s="410">
        <v>42325</v>
      </c>
      <c r="F3892" s="410">
        <v>42370</v>
      </c>
      <c r="G3892" s="405" t="s">
        <v>15006</v>
      </c>
      <c r="H3892" s="405">
        <v>779718017</v>
      </c>
      <c r="I3892" s="405"/>
      <c r="J3892" s="405">
        <v>0.93624200000000002</v>
      </c>
      <c r="K3892" s="405">
        <v>33.123522000000001</v>
      </c>
      <c r="L3892" s="405" t="s">
        <v>6866</v>
      </c>
      <c r="M3892" s="405" t="s">
        <v>9658</v>
      </c>
      <c r="N3892" s="405" t="s">
        <v>11057</v>
      </c>
      <c r="O3892" s="405" t="s">
        <v>13335</v>
      </c>
      <c r="P3892" s="405" t="s">
        <v>14990</v>
      </c>
      <c r="Q3892" s="411">
        <v>6</v>
      </c>
      <c r="R3892" s="405" t="s">
        <v>5655</v>
      </c>
      <c r="S3892" s="405" t="s">
        <v>27041</v>
      </c>
      <c r="T3892" s="405" t="s">
        <v>884</v>
      </c>
      <c r="U3892" s="405" t="s">
        <v>319</v>
      </c>
    </row>
    <row r="3893" spans="1:21" x14ac:dyDescent="0.25">
      <c r="A3893" s="405" t="s">
        <v>310</v>
      </c>
      <c r="B3893" s="405" t="s">
        <v>27809</v>
      </c>
      <c r="C3893" s="405" t="s">
        <v>327</v>
      </c>
      <c r="D3893" s="405"/>
      <c r="E3893" s="410">
        <v>42323</v>
      </c>
      <c r="F3893" s="410">
        <v>43108</v>
      </c>
      <c r="G3893" s="405" t="s">
        <v>23815</v>
      </c>
      <c r="H3893" s="405">
        <v>700713919</v>
      </c>
      <c r="I3893" s="405"/>
      <c r="J3893" s="405">
        <v>-0.62753800000000004</v>
      </c>
      <c r="K3893" s="405">
        <v>30.656092999999998</v>
      </c>
      <c r="L3893" s="405" t="s">
        <v>590</v>
      </c>
      <c r="M3893" s="405" t="s">
        <v>19614</v>
      </c>
      <c r="N3893" s="405" t="s">
        <v>20169</v>
      </c>
      <c r="O3893" s="405" t="s">
        <v>20169</v>
      </c>
      <c r="P3893" s="405" t="s">
        <v>23816</v>
      </c>
      <c r="Q3893" s="411">
        <v>6</v>
      </c>
      <c r="R3893" s="405" t="s">
        <v>5858</v>
      </c>
      <c r="S3893" s="405" t="s">
        <v>27249</v>
      </c>
      <c r="T3893" s="405" t="s">
        <v>884</v>
      </c>
      <c r="U3893" s="405" t="s">
        <v>319</v>
      </c>
    </row>
    <row r="3894" spans="1:21" x14ac:dyDescent="0.25">
      <c r="A3894" s="405" t="s">
        <v>310</v>
      </c>
      <c r="B3894" s="405" t="s">
        <v>14991</v>
      </c>
      <c r="C3894" s="405" t="s">
        <v>327</v>
      </c>
      <c r="D3894" s="405"/>
      <c r="E3894" s="410">
        <v>42323</v>
      </c>
      <c r="F3894" s="410">
        <v>42375</v>
      </c>
      <c r="G3894" s="405" t="s">
        <v>14992</v>
      </c>
      <c r="H3894" s="405">
        <v>773168866</v>
      </c>
      <c r="I3894" s="405">
        <v>777292019</v>
      </c>
      <c r="J3894" s="405">
        <v>1.4420999999999999</v>
      </c>
      <c r="K3894" s="405">
        <v>33.152900000000002</v>
      </c>
      <c r="L3894" s="405" t="s">
        <v>6866</v>
      </c>
      <c r="M3894" s="405" t="s">
        <v>12153</v>
      </c>
      <c r="N3894" s="405" t="s">
        <v>12602</v>
      </c>
      <c r="O3894" s="405" t="s">
        <v>12602</v>
      </c>
      <c r="P3894" s="405" t="s">
        <v>14993</v>
      </c>
      <c r="Q3894" s="411">
        <v>6</v>
      </c>
      <c r="R3894" s="405" t="s">
        <v>5655</v>
      </c>
      <c r="S3894" s="405" t="s">
        <v>27346</v>
      </c>
      <c r="T3894" s="405" t="s">
        <v>865</v>
      </c>
      <c r="U3894" s="405" t="s">
        <v>866</v>
      </c>
    </row>
    <row r="3895" spans="1:21" x14ac:dyDescent="0.25">
      <c r="A3895" s="405" t="s">
        <v>310</v>
      </c>
      <c r="B3895" s="405" t="s">
        <v>5842</v>
      </c>
      <c r="C3895" s="405" t="s">
        <v>327</v>
      </c>
      <c r="D3895" s="405"/>
      <c r="E3895" s="410">
        <v>42323</v>
      </c>
      <c r="F3895" s="410">
        <v>42368</v>
      </c>
      <c r="G3895" s="405" t="s">
        <v>5843</v>
      </c>
      <c r="H3895" s="405">
        <v>778565541</v>
      </c>
      <c r="I3895" s="405"/>
      <c r="J3895" s="405">
        <v>0.55169999999999997</v>
      </c>
      <c r="K3895" s="405">
        <v>31.421900000000001</v>
      </c>
      <c r="L3895" s="405" t="s">
        <v>314</v>
      </c>
      <c r="M3895" s="405" t="s">
        <v>1360</v>
      </c>
      <c r="N3895" s="405" t="s">
        <v>5584</v>
      </c>
      <c r="O3895" s="405" t="s">
        <v>4476</v>
      </c>
      <c r="P3895" s="405" t="s">
        <v>4847</v>
      </c>
      <c r="Q3895" s="411">
        <v>6</v>
      </c>
      <c r="R3895" s="405" t="s">
        <v>5336</v>
      </c>
      <c r="S3895" s="405" t="s">
        <v>414</v>
      </c>
      <c r="T3895" s="405" t="s">
        <v>884</v>
      </c>
      <c r="U3895" s="405" t="s">
        <v>319</v>
      </c>
    </row>
    <row r="3896" spans="1:21" x14ac:dyDescent="0.25">
      <c r="A3896" s="405" t="s">
        <v>310</v>
      </c>
      <c r="B3896" s="405" t="s">
        <v>28268</v>
      </c>
      <c r="C3896" s="405" t="s">
        <v>327</v>
      </c>
      <c r="D3896" s="405"/>
      <c r="E3896" s="410">
        <v>42323</v>
      </c>
      <c r="F3896" s="410">
        <v>42368</v>
      </c>
      <c r="G3896" s="405" t="s">
        <v>22231</v>
      </c>
      <c r="H3896" s="405">
        <v>703007424</v>
      </c>
      <c r="I3896" s="405">
        <v>72890290</v>
      </c>
      <c r="J3896" s="405">
        <v>0.65731300000000004</v>
      </c>
      <c r="K3896" s="405">
        <v>30.687953</v>
      </c>
      <c r="L3896" s="405" t="s">
        <v>590</v>
      </c>
      <c r="M3896" s="405" t="s">
        <v>879</v>
      </c>
      <c r="N3896" s="405" t="s">
        <v>880</v>
      </c>
      <c r="O3896" s="405" t="s">
        <v>20737</v>
      </c>
      <c r="P3896" s="405" t="s">
        <v>22232</v>
      </c>
      <c r="Q3896" s="411">
        <v>6</v>
      </c>
      <c r="R3896" s="405" t="s">
        <v>6943</v>
      </c>
      <c r="S3896" s="405" t="s">
        <v>27096</v>
      </c>
      <c r="T3896" s="405" t="s">
        <v>884</v>
      </c>
      <c r="U3896" s="405" t="s">
        <v>319</v>
      </c>
    </row>
    <row r="3897" spans="1:21" x14ac:dyDescent="0.25">
      <c r="A3897" s="405" t="s">
        <v>310</v>
      </c>
      <c r="B3897" s="405" t="s">
        <v>5830</v>
      </c>
      <c r="C3897" s="405" t="s">
        <v>327</v>
      </c>
      <c r="D3897" s="405"/>
      <c r="E3897" s="410">
        <v>42322</v>
      </c>
      <c r="F3897" s="410">
        <v>42367</v>
      </c>
      <c r="G3897" s="405" t="s">
        <v>5831</v>
      </c>
      <c r="H3897" s="405">
        <v>772447100</v>
      </c>
      <c r="I3897" s="405"/>
      <c r="J3897" s="405">
        <v>0.53795700000000002</v>
      </c>
      <c r="K3897" s="405">
        <v>31.933843</v>
      </c>
      <c r="L3897" s="405" t="s">
        <v>314</v>
      </c>
      <c r="M3897" s="405" t="s">
        <v>959</v>
      </c>
      <c r="N3897" s="405" t="s">
        <v>961</v>
      </c>
      <c r="O3897" s="405" t="s">
        <v>961</v>
      </c>
      <c r="P3897" s="405" t="s">
        <v>5832</v>
      </c>
      <c r="Q3897" s="411">
        <v>13</v>
      </c>
      <c r="R3897" s="405" t="s">
        <v>5336</v>
      </c>
      <c r="S3897" s="405" t="s">
        <v>27047</v>
      </c>
      <c r="T3897" s="405" t="s">
        <v>32102</v>
      </c>
      <c r="U3897" s="405" t="s">
        <v>319</v>
      </c>
    </row>
    <row r="3898" spans="1:21" x14ac:dyDescent="0.25">
      <c r="A3898" s="405" t="s">
        <v>310</v>
      </c>
      <c r="B3898" s="405" t="s">
        <v>22253</v>
      </c>
      <c r="C3898" s="405" t="s">
        <v>327</v>
      </c>
      <c r="D3898" s="405"/>
      <c r="E3898" s="410">
        <v>42322</v>
      </c>
      <c r="F3898" s="410">
        <v>42367</v>
      </c>
      <c r="G3898" s="405" t="s">
        <v>22254</v>
      </c>
      <c r="H3898" s="405">
        <v>703691706</v>
      </c>
      <c r="I3898" s="405"/>
      <c r="J3898" s="405">
        <v>0.54387700000000005</v>
      </c>
      <c r="K3898" s="405">
        <v>30.266736999999999</v>
      </c>
      <c r="L3898" s="405" t="s">
        <v>590</v>
      </c>
      <c r="M3898" s="405" t="s">
        <v>879</v>
      </c>
      <c r="N3898" s="405" t="s">
        <v>880</v>
      </c>
      <c r="O3898" s="405" t="s">
        <v>22248</v>
      </c>
      <c r="P3898" s="405" t="s">
        <v>22249</v>
      </c>
      <c r="Q3898" s="411">
        <v>6</v>
      </c>
      <c r="R3898" s="405" t="s">
        <v>5858</v>
      </c>
      <c r="S3898" s="405" t="s">
        <v>27414</v>
      </c>
      <c r="T3898" s="405" t="s">
        <v>884</v>
      </c>
      <c r="U3898" s="405" t="s">
        <v>319</v>
      </c>
    </row>
    <row r="3899" spans="1:21" x14ac:dyDescent="0.25">
      <c r="A3899" s="405" t="s">
        <v>310</v>
      </c>
      <c r="B3899" s="405" t="s">
        <v>27746</v>
      </c>
      <c r="C3899" s="405" t="s">
        <v>327</v>
      </c>
      <c r="D3899" s="405"/>
      <c r="E3899" s="410">
        <v>42320</v>
      </c>
      <c r="F3899" s="410">
        <v>42365</v>
      </c>
      <c r="G3899" s="405" t="s">
        <v>22260</v>
      </c>
      <c r="H3899" s="405">
        <v>772492601</v>
      </c>
      <c r="I3899" s="405"/>
      <c r="J3899" s="405">
        <v>-0.61352499999999999</v>
      </c>
      <c r="K3899" s="405">
        <v>30.307929999999999</v>
      </c>
      <c r="L3899" s="405" t="s">
        <v>590</v>
      </c>
      <c r="M3899" s="405" t="s">
        <v>19725</v>
      </c>
      <c r="N3899" s="405" t="s">
        <v>19725</v>
      </c>
      <c r="O3899" s="405" t="s">
        <v>21276</v>
      </c>
      <c r="P3899" s="405" t="s">
        <v>22261</v>
      </c>
      <c r="Q3899" s="411">
        <v>13</v>
      </c>
      <c r="R3899" s="405" t="s">
        <v>883</v>
      </c>
      <c r="S3899" s="405" t="s">
        <v>27173</v>
      </c>
      <c r="T3899" s="405" t="s">
        <v>884</v>
      </c>
      <c r="U3899" s="405" t="s">
        <v>319</v>
      </c>
    </row>
    <row r="3900" spans="1:21" x14ac:dyDescent="0.25">
      <c r="A3900" s="405" t="s">
        <v>310</v>
      </c>
      <c r="B3900" s="405" t="s">
        <v>22258</v>
      </c>
      <c r="C3900" s="405" t="s">
        <v>327</v>
      </c>
      <c r="D3900" s="405"/>
      <c r="E3900" s="410">
        <v>42320</v>
      </c>
      <c r="F3900" s="410">
        <v>42365</v>
      </c>
      <c r="G3900" s="405" t="s">
        <v>22259</v>
      </c>
      <c r="H3900" s="405">
        <v>779802754</v>
      </c>
      <c r="I3900" s="405"/>
      <c r="J3900" s="405">
        <v>1.2030149999999999</v>
      </c>
      <c r="K3900" s="405">
        <v>34.319454</v>
      </c>
      <c r="L3900" s="405" t="s">
        <v>590</v>
      </c>
      <c r="M3900" s="405" t="s">
        <v>19614</v>
      </c>
      <c r="N3900" s="405" t="s">
        <v>19654</v>
      </c>
      <c r="O3900" s="405" t="s">
        <v>20015</v>
      </c>
      <c r="P3900" s="405" t="s">
        <v>20195</v>
      </c>
      <c r="Q3900" s="411">
        <v>13</v>
      </c>
      <c r="R3900" s="405" t="s">
        <v>883</v>
      </c>
      <c r="S3900" s="405" t="s">
        <v>27183</v>
      </c>
      <c r="T3900" s="405" t="s">
        <v>884</v>
      </c>
      <c r="U3900" s="405" t="s">
        <v>319</v>
      </c>
    </row>
    <row r="3901" spans="1:21" x14ac:dyDescent="0.25">
      <c r="A3901" s="405" t="s">
        <v>310</v>
      </c>
      <c r="B3901" s="405" t="s">
        <v>22262</v>
      </c>
      <c r="C3901" s="405" t="s">
        <v>327</v>
      </c>
      <c r="D3901" s="405"/>
      <c r="E3901" s="410">
        <v>42320</v>
      </c>
      <c r="F3901" s="410">
        <v>42365</v>
      </c>
      <c r="G3901" s="405" t="s">
        <v>22263</v>
      </c>
      <c r="H3901" s="405">
        <v>784820010</v>
      </c>
      <c r="I3901" s="405"/>
      <c r="J3901" s="405">
        <v>7.9847000000000001E-2</v>
      </c>
      <c r="K3901" s="405">
        <v>30.98413</v>
      </c>
      <c r="L3901" s="405" t="s">
        <v>590</v>
      </c>
      <c r="M3901" s="405" t="s">
        <v>19725</v>
      </c>
      <c r="N3901" s="405" t="s">
        <v>20611</v>
      </c>
      <c r="O3901" s="405" t="s">
        <v>20611</v>
      </c>
      <c r="P3901" s="405" t="s">
        <v>22264</v>
      </c>
      <c r="Q3901" s="411">
        <v>13</v>
      </c>
      <c r="R3901" s="405" t="s">
        <v>525</v>
      </c>
      <c r="S3901" s="405" t="s">
        <v>27170</v>
      </c>
      <c r="T3901" s="405" t="s">
        <v>32102</v>
      </c>
      <c r="U3901" s="405" t="s">
        <v>319</v>
      </c>
    </row>
    <row r="3902" spans="1:21" x14ac:dyDescent="0.25">
      <c r="A3902" s="405" t="s">
        <v>310</v>
      </c>
      <c r="B3902" s="405" t="s">
        <v>5871</v>
      </c>
      <c r="C3902" s="405" t="s">
        <v>327</v>
      </c>
      <c r="D3902" s="405"/>
      <c r="E3902" s="410">
        <v>42320</v>
      </c>
      <c r="F3902" s="410">
        <v>42365</v>
      </c>
      <c r="G3902" s="405" t="s">
        <v>5872</v>
      </c>
      <c r="H3902" s="405">
        <v>704739222</v>
      </c>
      <c r="I3902" s="405"/>
      <c r="J3902" s="405">
        <v>0.33944200000000002</v>
      </c>
      <c r="K3902" s="405">
        <v>32.474851999999998</v>
      </c>
      <c r="L3902" s="405" t="s">
        <v>314</v>
      </c>
      <c r="M3902" s="405" t="s">
        <v>361</v>
      </c>
      <c r="N3902" s="405" t="s">
        <v>817</v>
      </c>
      <c r="O3902" s="405" t="s">
        <v>817</v>
      </c>
      <c r="P3902" s="405" t="s">
        <v>5873</v>
      </c>
      <c r="Q3902" s="411">
        <v>9</v>
      </c>
      <c r="R3902" s="405" t="s">
        <v>4176</v>
      </c>
      <c r="S3902" s="405" t="s">
        <v>27059</v>
      </c>
      <c r="T3902" s="405" t="s">
        <v>884</v>
      </c>
      <c r="U3902" s="405" t="s">
        <v>319</v>
      </c>
    </row>
    <row r="3903" spans="1:21" x14ac:dyDescent="0.25">
      <c r="A3903" s="405" t="s">
        <v>310</v>
      </c>
      <c r="B3903" s="405" t="s">
        <v>5836</v>
      </c>
      <c r="C3903" s="405" t="s">
        <v>327</v>
      </c>
      <c r="D3903" s="405"/>
      <c r="E3903" s="410">
        <v>42320</v>
      </c>
      <c r="F3903" s="410">
        <v>42357</v>
      </c>
      <c r="G3903" s="405" t="s">
        <v>5837</v>
      </c>
      <c r="H3903" s="405">
        <v>753565768</v>
      </c>
      <c r="I3903" s="405"/>
      <c r="J3903" s="405">
        <v>1.344319</v>
      </c>
      <c r="K3903" s="405">
        <v>34.357166999999997</v>
      </c>
      <c r="L3903" s="405" t="s">
        <v>314</v>
      </c>
      <c r="M3903" s="405" t="s">
        <v>361</v>
      </c>
      <c r="N3903" s="405" t="s">
        <v>5838</v>
      </c>
      <c r="O3903" s="405" t="s">
        <v>5703</v>
      </c>
      <c r="P3903" s="405" t="s">
        <v>3009</v>
      </c>
      <c r="Q3903" s="411">
        <v>9</v>
      </c>
      <c r="R3903" s="405" t="s">
        <v>5336</v>
      </c>
      <c r="S3903" s="405" t="s">
        <v>27248</v>
      </c>
      <c r="T3903" s="405" t="s">
        <v>884</v>
      </c>
      <c r="U3903" s="405" t="s">
        <v>319</v>
      </c>
    </row>
    <row r="3904" spans="1:21" x14ac:dyDescent="0.25">
      <c r="A3904" s="405" t="s">
        <v>310</v>
      </c>
      <c r="B3904" s="405" t="s">
        <v>22246</v>
      </c>
      <c r="C3904" s="405" t="s">
        <v>327</v>
      </c>
      <c r="D3904" s="405"/>
      <c r="E3904" s="410">
        <v>42320</v>
      </c>
      <c r="F3904" s="410">
        <v>42365</v>
      </c>
      <c r="G3904" s="405" t="s">
        <v>22247</v>
      </c>
      <c r="H3904" s="405">
        <v>759863770</v>
      </c>
      <c r="I3904" s="405"/>
      <c r="J3904" s="405">
        <v>0.66076699999999999</v>
      </c>
      <c r="K3904" s="405">
        <v>30.684922</v>
      </c>
      <c r="L3904" s="405" t="s">
        <v>590</v>
      </c>
      <c r="M3904" s="405" t="s">
        <v>879</v>
      </c>
      <c r="N3904" s="405" t="s">
        <v>880</v>
      </c>
      <c r="O3904" s="405" t="s">
        <v>22248</v>
      </c>
      <c r="P3904" s="405" t="s">
        <v>22249</v>
      </c>
      <c r="Q3904" s="411">
        <v>6</v>
      </c>
      <c r="R3904" s="405" t="s">
        <v>5858</v>
      </c>
      <c r="S3904" s="405" t="s">
        <v>27227</v>
      </c>
      <c r="T3904" s="405" t="s">
        <v>884</v>
      </c>
      <c r="U3904" s="405" t="s">
        <v>319</v>
      </c>
    </row>
    <row r="3905" spans="1:21" x14ac:dyDescent="0.25">
      <c r="A3905" s="405" t="s">
        <v>310</v>
      </c>
      <c r="B3905" s="405" t="s">
        <v>22250</v>
      </c>
      <c r="C3905" s="405" t="s">
        <v>327</v>
      </c>
      <c r="D3905" s="405"/>
      <c r="E3905" s="410">
        <v>42320</v>
      </c>
      <c r="F3905" s="410">
        <v>42365</v>
      </c>
      <c r="G3905" s="405" t="s">
        <v>22251</v>
      </c>
      <c r="H3905" s="405">
        <v>755144324</v>
      </c>
      <c r="I3905" s="405"/>
      <c r="J3905" s="405">
        <v>0.64821300000000004</v>
      </c>
      <c r="K3905" s="405">
        <v>30.694883000000001</v>
      </c>
      <c r="L3905" s="405" t="s">
        <v>590</v>
      </c>
      <c r="M3905" s="405" t="s">
        <v>879</v>
      </c>
      <c r="N3905" s="405" t="s">
        <v>880</v>
      </c>
      <c r="O3905" s="405" t="s">
        <v>881</v>
      </c>
      <c r="P3905" s="405" t="s">
        <v>22252</v>
      </c>
      <c r="Q3905" s="411">
        <v>6</v>
      </c>
      <c r="R3905" s="405" t="s">
        <v>5858</v>
      </c>
      <c r="S3905" s="405" t="s">
        <v>27098</v>
      </c>
      <c r="T3905" s="405" t="s">
        <v>884</v>
      </c>
      <c r="U3905" s="405" t="s">
        <v>319</v>
      </c>
    </row>
    <row r="3906" spans="1:21" x14ac:dyDescent="0.25">
      <c r="A3906" s="405" t="s">
        <v>310</v>
      </c>
      <c r="B3906" s="405" t="s">
        <v>22221</v>
      </c>
      <c r="C3906" s="405" t="s">
        <v>327</v>
      </c>
      <c r="D3906" s="405"/>
      <c r="E3906" s="410">
        <v>42319</v>
      </c>
      <c r="F3906" s="410">
        <v>42364</v>
      </c>
      <c r="G3906" s="405" t="s">
        <v>22222</v>
      </c>
      <c r="H3906" s="405">
        <v>771962825</v>
      </c>
      <c r="I3906" s="405">
        <v>758778554</v>
      </c>
      <c r="J3906" s="405">
        <v>0.91164900000000004</v>
      </c>
      <c r="K3906" s="405">
        <v>30.247222000000001</v>
      </c>
      <c r="L3906" s="405" t="s">
        <v>590</v>
      </c>
      <c r="M3906" s="405" t="s">
        <v>7300</v>
      </c>
      <c r="N3906" s="405" t="s">
        <v>19880</v>
      </c>
      <c r="O3906" s="405" t="s">
        <v>19881</v>
      </c>
      <c r="P3906" s="405" t="s">
        <v>22223</v>
      </c>
      <c r="Q3906" s="411">
        <v>6</v>
      </c>
      <c r="R3906" s="405" t="s">
        <v>5336</v>
      </c>
      <c r="S3906" s="405" t="s">
        <v>22481</v>
      </c>
      <c r="T3906" s="405" t="s">
        <v>884</v>
      </c>
      <c r="U3906" s="405" t="s">
        <v>319</v>
      </c>
    </row>
    <row r="3907" spans="1:21" x14ac:dyDescent="0.25">
      <c r="A3907" s="405" t="s">
        <v>310</v>
      </c>
      <c r="B3907" s="405" t="s">
        <v>28286</v>
      </c>
      <c r="C3907" s="405" t="s">
        <v>327</v>
      </c>
      <c r="D3907" s="405"/>
      <c r="E3907" s="410">
        <v>42318</v>
      </c>
      <c r="F3907" s="410">
        <v>42363</v>
      </c>
      <c r="G3907" s="405" t="s">
        <v>22229</v>
      </c>
      <c r="H3907" s="405">
        <v>789247251</v>
      </c>
      <c r="I3907" s="405"/>
      <c r="J3907" s="405">
        <v>1.0098149999999999</v>
      </c>
      <c r="K3907" s="405">
        <v>34.366197999999997</v>
      </c>
      <c r="L3907" s="405" t="s">
        <v>590</v>
      </c>
      <c r="M3907" s="405" t="s">
        <v>19725</v>
      </c>
      <c r="N3907" s="405" t="s">
        <v>19797</v>
      </c>
      <c r="O3907" s="405" t="s">
        <v>19797</v>
      </c>
      <c r="P3907" s="405" t="s">
        <v>22230</v>
      </c>
      <c r="Q3907" s="411">
        <v>6</v>
      </c>
      <c r="R3907" s="405" t="s">
        <v>6943</v>
      </c>
      <c r="S3907" s="405" t="s">
        <v>27065</v>
      </c>
      <c r="T3907" s="405" t="s">
        <v>884</v>
      </c>
      <c r="U3907" s="405" t="s">
        <v>319</v>
      </c>
    </row>
    <row r="3908" spans="1:21" x14ac:dyDescent="0.25">
      <c r="A3908" s="405" t="s">
        <v>310</v>
      </c>
      <c r="B3908" s="405" t="s">
        <v>15349</v>
      </c>
      <c r="C3908" s="405" t="s">
        <v>311</v>
      </c>
      <c r="D3908" s="405" t="s">
        <v>1789</v>
      </c>
      <c r="E3908" s="410">
        <v>42318</v>
      </c>
      <c r="F3908" s="410">
        <v>42363</v>
      </c>
      <c r="G3908" s="405" t="s">
        <v>15350</v>
      </c>
      <c r="H3908" s="405">
        <v>777812237</v>
      </c>
      <c r="I3908" s="405"/>
      <c r="J3908" s="405">
        <v>1.022413</v>
      </c>
      <c r="K3908" s="405">
        <v>34.368602000000003</v>
      </c>
      <c r="L3908" s="405" t="s">
        <v>6866</v>
      </c>
      <c r="M3908" s="405" t="s">
        <v>9658</v>
      </c>
      <c r="N3908" s="405" t="s">
        <v>15044</v>
      </c>
      <c r="O3908" s="405" t="s">
        <v>13335</v>
      </c>
      <c r="P3908" s="405" t="s">
        <v>15024</v>
      </c>
      <c r="Q3908" s="411">
        <v>6</v>
      </c>
      <c r="R3908" s="405" t="s">
        <v>5655</v>
      </c>
      <c r="S3908" s="405" t="s">
        <v>27041</v>
      </c>
      <c r="T3908" s="405" t="s">
        <v>865</v>
      </c>
      <c r="U3908" s="405" t="s">
        <v>866</v>
      </c>
    </row>
    <row r="3909" spans="1:21" x14ac:dyDescent="0.25">
      <c r="A3909" s="405" t="s">
        <v>310</v>
      </c>
      <c r="B3909" s="406" t="s">
        <v>32227</v>
      </c>
      <c r="C3909" s="405" t="s">
        <v>327</v>
      </c>
      <c r="D3909" s="405"/>
      <c r="E3909" s="406" t="s">
        <v>32228</v>
      </c>
      <c r="F3909" s="407">
        <v>44852</v>
      </c>
      <c r="G3909" s="406" t="s">
        <v>32229</v>
      </c>
      <c r="H3909" s="406" t="s">
        <v>32154</v>
      </c>
      <c r="I3909" s="406" t="s">
        <v>32155</v>
      </c>
      <c r="J3909" s="408">
        <v>0.43239499999999997</v>
      </c>
      <c r="K3909" s="408">
        <v>32.639781999999997</v>
      </c>
      <c r="L3909" s="406" t="s">
        <v>314</v>
      </c>
      <c r="M3909" s="406" t="s">
        <v>361</v>
      </c>
      <c r="N3909" s="406" t="s">
        <v>32122</v>
      </c>
      <c r="O3909" s="406" t="s">
        <v>363</v>
      </c>
      <c r="P3909" s="406" t="s">
        <v>4885</v>
      </c>
      <c r="Q3909" s="409">
        <v>16</v>
      </c>
      <c r="R3909" s="406" t="s">
        <v>32101</v>
      </c>
      <c r="S3909" s="406" t="s">
        <v>32230</v>
      </c>
      <c r="T3909" s="405" t="s">
        <v>884</v>
      </c>
      <c r="U3909" s="405" t="s">
        <v>319</v>
      </c>
    </row>
    <row r="3910" spans="1:21" x14ac:dyDescent="0.25">
      <c r="A3910" s="405" t="s">
        <v>310</v>
      </c>
      <c r="B3910" s="405" t="s">
        <v>5869</v>
      </c>
      <c r="C3910" s="405" t="s">
        <v>327</v>
      </c>
      <c r="D3910" s="405"/>
      <c r="E3910" s="410">
        <v>42316</v>
      </c>
      <c r="F3910" s="410">
        <v>42361</v>
      </c>
      <c r="G3910" s="405" t="s">
        <v>5870</v>
      </c>
      <c r="H3910" s="405">
        <v>776669580</v>
      </c>
      <c r="I3910" s="405"/>
      <c r="J3910" s="405">
        <v>0.2401134</v>
      </c>
      <c r="K3910" s="405">
        <v>31.7606848</v>
      </c>
      <c r="L3910" s="405" t="s">
        <v>314</v>
      </c>
      <c r="M3910" s="405" t="s">
        <v>2297</v>
      </c>
      <c r="N3910" s="405" t="s">
        <v>5792</v>
      </c>
      <c r="O3910" s="405" t="s">
        <v>5792</v>
      </c>
      <c r="P3910" s="405" t="s">
        <v>1324</v>
      </c>
      <c r="Q3910" s="411">
        <v>6</v>
      </c>
      <c r="R3910" s="405" t="s">
        <v>4176</v>
      </c>
      <c r="S3910" s="405" t="s">
        <v>27059</v>
      </c>
      <c r="T3910" s="405" t="s">
        <v>884</v>
      </c>
      <c r="U3910" s="405" t="s">
        <v>319</v>
      </c>
    </row>
    <row r="3911" spans="1:21" x14ac:dyDescent="0.25">
      <c r="A3911" s="405" t="s">
        <v>310</v>
      </c>
      <c r="B3911" s="405" t="s">
        <v>14967</v>
      </c>
      <c r="C3911" s="405" t="s">
        <v>327</v>
      </c>
      <c r="D3911" s="405"/>
      <c r="E3911" s="410">
        <v>42316</v>
      </c>
      <c r="F3911" s="410">
        <v>42361</v>
      </c>
      <c r="G3911" s="405" t="s">
        <v>14968</v>
      </c>
      <c r="H3911" s="405">
        <v>752571188</v>
      </c>
      <c r="I3911" s="405"/>
      <c r="J3911" s="405">
        <v>0.52737000000000001</v>
      </c>
      <c r="K3911" s="405">
        <v>30.282823</v>
      </c>
      <c r="L3911" s="405" t="s">
        <v>6866</v>
      </c>
      <c r="M3911" s="405" t="s">
        <v>11355</v>
      </c>
      <c r="N3911" s="405" t="s">
        <v>11356</v>
      </c>
      <c r="O3911" s="405" t="s">
        <v>11355</v>
      </c>
      <c r="P3911" s="405" t="s">
        <v>14969</v>
      </c>
      <c r="Q3911" s="411">
        <v>6</v>
      </c>
      <c r="R3911" s="405" t="s">
        <v>5655</v>
      </c>
      <c r="S3911" s="405" t="s">
        <v>27337</v>
      </c>
      <c r="T3911" s="405" t="s">
        <v>884</v>
      </c>
      <c r="U3911" s="405" t="s">
        <v>319</v>
      </c>
    </row>
    <row r="3912" spans="1:21" x14ac:dyDescent="0.25">
      <c r="A3912" s="405" t="s">
        <v>310</v>
      </c>
      <c r="B3912" s="405" t="s">
        <v>28901</v>
      </c>
      <c r="C3912" s="405" t="s">
        <v>857</v>
      </c>
      <c r="D3912" s="405" t="s">
        <v>1037</v>
      </c>
      <c r="E3912" s="410">
        <v>42316</v>
      </c>
      <c r="F3912" s="410">
        <v>42361</v>
      </c>
      <c r="G3912" s="405" t="s">
        <v>6428</v>
      </c>
      <c r="H3912" s="405">
        <v>777006601</v>
      </c>
      <c r="I3912" s="405"/>
      <c r="J3912" s="405">
        <v>0.27232299999999998</v>
      </c>
      <c r="K3912" s="405">
        <v>31.591553000000001</v>
      </c>
      <c r="L3912" s="405" t="s">
        <v>314</v>
      </c>
      <c r="M3912" s="405" t="s">
        <v>339</v>
      </c>
      <c r="N3912" s="405" t="s">
        <v>322</v>
      </c>
      <c r="O3912" s="405" t="s">
        <v>5766</v>
      </c>
      <c r="P3912" s="405" t="s">
        <v>6182</v>
      </c>
      <c r="Q3912" s="411">
        <v>6</v>
      </c>
      <c r="R3912" s="405" t="s">
        <v>32101</v>
      </c>
      <c r="S3912" s="405" t="s">
        <v>27167</v>
      </c>
      <c r="T3912" s="405" t="s">
        <v>884</v>
      </c>
      <c r="U3912" s="405" t="s">
        <v>319</v>
      </c>
    </row>
    <row r="3913" spans="1:21" x14ac:dyDescent="0.25">
      <c r="A3913" s="405" t="s">
        <v>310</v>
      </c>
      <c r="B3913" s="405" t="s">
        <v>28465</v>
      </c>
      <c r="C3913" s="405" t="s">
        <v>327</v>
      </c>
      <c r="D3913" s="405"/>
      <c r="E3913" s="410">
        <v>42315</v>
      </c>
      <c r="F3913" s="410">
        <v>42360</v>
      </c>
      <c r="G3913" s="405" t="s">
        <v>22255</v>
      </c>
      <c r="H3913" s="405">
        <v>772476090</v>
      </c>
      <c r="I3913" s="405"/>
      <c r="J3913" s="405">
        <v>-0.53444499999999995</v>
      </c>
      <c r="K3913" s="405">
        <v>30.022970000000001</v>
      </c>
      <c r="L3913" s="405" t="s">
        <v>590</v>
      </c>
      <c r="M3913" s="405" t="s">
        <v>20032</v>
      </c>
      <c r="N3913" s="405" t="s">
        <v>20033</v>
      </c>
      <c r="O3913" s="405" t="s">
        <v>20790</v>
      </c>
      <c r="P3913" s="405" t="s">
        <v>22235</v>
      </c>
      <c r="Q3913" s="411">
        <v>6</v>
      </c>
      <c r="R3913" s="405" t="s">
        <v>5858</v>
      </c>
      <c r="S3913" s="405" t="s">
        <v>27257</v>
      </c>
      <c r="T3913" s="405" t="s">
        <v>884</v>
      </c>
      <c r="U3913" s="405" t="s">
        <v>319</v>
      </c>
    </row>
    <row r="3914" spans="1:21" x14ac:dyDescent="0.25">
      <c r="A3914" s="405" t="s">
        <v>310</v>
      </c>
      <c r="B3914" s="405" t="s">
        <v>28439</v>
      </c>
      <c r="C3914" s="405" t="s">
        <v>327</v>
      </c>
      <c r="D3914" s="405"/>
      <c r="E3914" s="410">
        <v>42313</v>
      </c>
      <c r="F3914" s="410">
        <v>42358</v>
      </c>
      <c r="G3914" s="405" t="s">
        <v>22236</v>
      </c>
      <c r="H3914" s="405">
        <v>773138121</v>
      </c>
      <c r="I3914" s="405"/>
      <c r="J3914" s="405">
        <v>-0.66558499999999998</v>
      </c>
      <c r="K3914" s="405">
        <v>30.011208</v>
      </c>
      <c r="L3914" s="405" t="s">
        <v>590</v>
      </c>
      <c r="M3914" s="405" t="s">
        <v>20032</v>
      </c>
      <c r="N3914" s="405" t="s">
        <v>20033</v>
      </c>
      <c r="O3914" s="405" t="s">
        <v>21974</v>
      </c>
      <c r="P3914" s="405" t="s">
        <v>22237</v>
      </c>
      <c r="Q3914" s="411">
        <v>9</v>
      </c>
      <c r="R3914" s="405" t="s">
        <v>5858</v>
      </c>
      <c r="S3914" s="405" t="s">
        <v>27249</v>
      </c>
      <c r="T3914" s="405" t="s">
        <v>884</v>
      </c>
      <c r="U3914" s="405" t="s">
        <v>319</v>
      </c>
    </row>
    <row r="3915" spans="1:21" x14ac:dyDescent="0.25">
      <c r="A3915" s="405" t="s">
        <v>310</v>
      </c>
      <c r="B3915" s="405" t="s">
        <v>5826</v>
      </c>
      <c r="C3915" s="405" t="s">
        <v>327</v>
      </c>
      <c r="D3915" s="405"/>
      <c r="E3915" s="410">
        <v>42313</v>
      </c>
      <c r="F3915" s="410">
        <v>42358</v>
      </c>
      <c r="G3915" s="405" t="s">
        <v>5827</v>
      </c>
      <c r="H3915" s="405">
        <v>752401172</v>
      </c>
      <c r="I3915" s="405"/>
      <c r="J3915" s="405">
        <v>0.225717</v>
      </c>
      <c r="K3915" s="405">
        <v>32.386747999999997</v>
      </c>
      <c r="L3915" s="405" t="s">
        <v>314</v>
      </c>
      <c r="M3915" s="405" t="s">
        <v>361</v>
      </c>
      <c r="N3915" s="405" t="s">
        <v>362</v>
      </c>
      <c r="O3915" s="405" t="s">
        <v>5828</v>
      </c>
      <c r="P3915" s="405" t="s">
        <v>5829</v>
      </c>
      <c r="Q3915" s="411">
        <v>9</v>
      </c>
      <c r="R3915" s="405" t="s">
        <v>5336</v>
      </c>
      <c r="S3915" s="405" t="s">
        <v>27036</v>
      </c>
      <c r="T3915" s="405" t="s">
        <v>884</v>
      </c>
      <c r="U3915" s="405" t="s">
        <v>319</v>
      </c>
    </row>
    <row r="3916" spans="1:21" x14ac:dyDescent="0.25">
      <c r="A3916" s="405" t="s">
        <v>310</v>
      </c>
      <c r="B3916" s="405" t="s">
        <v>14962</v>
      </c>
      <c r="C3916" s="405" t="s">
        <v>327</v>
      </c>
      <c r="D3916" s="405"/>
      <c r="E3916" s="410">
        <v>42313</v>
      </c>
      <c r="F3916" s="410">
        <v>42358</v>
      </c>
      <c r="G3916" s="405" t="s">
        <v>14963</v>
      </c>
      <c r="H3916" s="405">
        <v>772461066</v>
      </c>
      <c r="I3916" s="405"/>
      <c r="J3916" s="405">
        <v>1.073715</v>
      </c>
      <c r="K3916" s="405">
        <v>34.202302000000003</v>
      </c>
      <c r="L3916" s="405" t="s">
        <v>6866</v>
      </c>
      <c r="M3916" s="405" t="s">
        <v>9514</v>
      </c>
      <c r="N3916" s="405" t="s">
        <v>9616</v>
      </c>
      <c r="O3916" s="405" t="s">
        <v>9681</v>
      </c>
      <c r="P3916" s="405" t="s">
        <v>9617</v>
      </c>
      <c r="Q3916" s="411">
        <v>6</v>
      </c>
      <c r="R3916" s="405" t="s">
        <v>6871</v>
      </c>
      <c r="S3916" s="405" t="s">
        <v>17062</v>
      </c>
      <c r="T3916" s="405" t="s">
        <v>884</v>
      </c>
      <c r="U3916" s="405" t="s">
        <v>319</v>
      </c>
    </row>
    <row r="3917" spans="1:21" x14ac:dyDescent="0.25">
      <c r="A3917" s="405" t="s">
        <v>310</v>
      </c>
      <c r="B3917" s="405" t="s">
        <v>28290</v>
      </c>
      <c r="C3917" s="405" t="s">
        <v>327</v>
      </c>
      <c r="D3917" s="405"/>
      <c r="E3917" s="410">
        <v>42311</v>
      </c>
      <c r="F3917" s="410">
        <v>42356</v>
      </c>
      <c r="G3917" s="405" t="s">
        <v>5854</v>
      </c>
      <c r="H3917" s="405">
        <v>705549310</v>
      </c>
      <c r="I3917" s="405"/>
      <c r="J3917" s="405">
        <v>-0.41448699999999999</v>
      </c>
      <c r="K3917" s="405">
        <v>31.157135</v>
      </c>
      <c r="L3917" s="405" t="s">
        <v>314</v>
      </c>
      <c r="M3917" s="405" t="s">
        <v>1805</v>
      </c>
      <c r="N3917" s="405" t="s">
        <v>5855</v>
      </c>
      <c r="O3917" s="405" t="s">
        <v>5856</v>
      </c>
      <c r="P3917" s="405" t="s">
        <v>5857</v>
      </c>
      <c r="Q3917" s="411">
        <v>9</v>
      </c>
      <c r="R3917" s="405" t="s">
        <v>5858</v>
      </c>
      <c r="S3917" s="405" t="s">
        <v>27227</v>
      </c>
      <c r="T3917" s="405" t="s">
        <v>32102</v>
      </c>
      <c r="U3917" s="405" t="s">
        <v>319</v>
      </c>
    </row>
    <row r="3918" spans="1:21" x14ac:dyDescent="0.25">
      <c r="A3918" s="405" t="s">
        <v>310</v>
      </c>
      <c r="B3918" s="405" t="s">
        <v>5848</v>
      </c>
      <c r="C3918" s="405" t="s">
        <v>327</v>
      </c>
      <c r="D3918" s="405"/>
      <c r="E3918" s="410">
        <v>42307</v>
      </c>
      <c r="F3918" s="410">
        <v>42352</v>
      </c>
      <c r="G3918" s="405" t="s">
        <v>5849</v>
      </c>
      <c r="H3918" s="405">
        <v>772570827</v>
      </c>
      <c r="I3918" s="405"/>
      <c r="J3918" s="405">
        <v>1.2554890000000001</v>
      </c>
      <c r="K3918" s="405">
        <v>33.691541000000001</v>
      </c>
      <c r="L3918" s="405" t="s">
        <v>314</v>
      </c>
      <c r="M3918" s="405" t="s">
        <v>361</v>
      </c>
      <c r="N3918" s="405" t="s">
        <v>1279</v>
      </c>
      <c r="O3918" s="405" t="s">
        <v>1279</v>
      </c>
      <c r="P3918" s="405" t="s">
        <v>638</v>
      </c>
      <c r="Q3918" s="411">
        <v>9</v>
      </c>
      <c r="R3918" s="405" t="s">
        <v>5665</v>
      </c>
      <c r="S3918" s="405" t="s">
        <v>27110</v>
      </c>
      <c r="T3918" s="405" t="s">
        <v>884</v>
      </c>
      <c r="U3918" s="405" t="s">
        <v>319</v>
      </c>
    </row>
    <row r="3919" spans="1:21" x14ac:dyDescent="0.25">
      <c r="A3919" s="405" t="s">
        <v>310</v>
      </c>
      <c r="B3919" s="405" t="s">
        <v>22224</v>
      </c>
      <c r="C3919" s="405" t="s">
        <v>327</v>
      </c>
      <c r="D3919" s="405"/>
      <c r="E3919" s="410">
        <v>42307</v>
      </c>
      <c r="F3919" s="410">
        <v>42352</v>
      </c>
      <c r="G3919" s="405" t="s">
        <v>22225</v>
      </c>
      <c r="H3919" s="405">
        <v>754159058</v>
      </c>
      <c r="I3919" s="405"/>
      <c r="J3919" s="405">
        <v>0.67737499999999995</v>
      </c>
      <c r="K3919" s="405">
        <v>30.162983000000001</v>
      </c>
      <c r="L3919" s="405" t="s">
        <v>590</v>
      </c>
      <c r="M3919" s="405" t="s">
        <v>7300</v>
      </c>
      <c r="N3919" s="405" t="s">
        <v>19880</v>
      </c>
      <c r="O3919" s="405" t="s">
        <v>19881</v>
      </c>
      <c r="P3919" s="405" t="s">
        <v>22226</v>
      </c>
      <c r="Q3919" s="411">
        <v>6</v>
      </c>
      <c r="R3919" s="405" t="s">
        <v>5336</v>
      </c>
      <c r="S3919" s="405" t="s">
        <v>22481</v>
      </c>
      <c r="T3919" s="405" t="s">
        <v>884</v>
      </c>
      <c r="U3919" s="405" t="s">
        <v>319</v>
      </c>
    </row>
    <row r="3920" spans="1:21" x14ac:dyDescent="0.25">
      <c r="A3920" s="405" t="s">
        <v>310</v>
      </c>
      <c r="B3920" s="405" t="s">
        <v>27754</v>
      </c>
      <c r="C3920" s="405" t="s">
        <v>311</v>
      </c>
      <c r="D3920" s="405" t="s">
        <v>1789</v>
      </c>
      <c r="E3920" s="410">
        <v>42307</v>
      </c>
      <c r="F3920" s="410">
        <v>42352</v>
      </c>
      <c r="G3920" s="405" t="s">
        <v>15335</v>
      </c>
      <c r="H3920" s="405">
        <v>772497116</v>
      </c>
      <c r="I3920" s="405"/>
      <c r="J3920" s="405">
        <v>0.77537</v>
      </c>
      <c r="K3920" s="405">
        <v>34.016782999999997</v>
      </c>
      <c r="L3920" s="405" t="s">
        <v>6866</v>
      </c>
      <c r="M3920" s="405" t="s">
        <v>9534</v>
      </c>
      <c r="N3920" s="405" t="s">
        <v>15336</v>
      </c>
      <c r="O3920" s="405" t="s">
        <v>15337</v>
      </c>
      <c r="P3920" s="405" t="s">
        <v>15338</v>
      </c>
      <c r="Q3920" s="411">
        <v>6</v>
      </c>
      <c r="R3920" s="405" t="s">
        <v>6871</v>
      </c>
      <c r="S3920" s="405" t="s">
        <v>27107</v>
      </c>
      <c r="T3920" s="405" t="s">
        <v>884</v>
      </c>
      <c r="U3920" s="405" t="s">
        <v>319</v>
      </c>
    </row>
    <row r="3921" spans="1:21" x14ac:dyDescent="0.25">
      <c r="A3921" s="405" t="s">
        <v>310</v>
      </c>
      <c r="B3921" s="405" t="s">
        <v>5846</v>
      </c>
      <c r="C3921" s="405" t="s">
        <v>327</v>
      </c>
      <c r="D3921" s="405"/>
      <c r="E3921" s="410">
        <v>42307</v>
      </c>
      <c r="F3921" s="410">
        <v>42352</v>
      </c>
      <c r="G3921" s="405" t="s">
        <v>5847</v>
      </c>
      <c r="H3921" s="405">
        <v>789981647</v>
      </c>
      <c r="I3921" s="405"/>
      <c r="J3921" s="405">
        <v>0.77485499999999996</v>
      </c>
      <c r="K3921" s="405">
        <v>33.182915000000001</v>
      </c>
      <c r="L3921" s="405" t="s">
        <v>314</v>
      </c>
      <c r="M3921" s="405" t="s">
        <v>1360</v>
      </c>
      <c r="N3921" s="405" t="s">
        <v>4476</v>
      </c>
      <c r="O3921" s="405" t="s">
        <v>4476</v>
      </c>
      <c r="P3921" s="405" t="s">
        <v>4476</v>
      </c>
      <c r="Q3921" s="411">
        <v>6</v>
      </c>
      <c r="R3921" s="405" t="s">
        <v>5665</v>
      </c>
      <c r="S3921" s="405" t="s">
        <v>27051</v>
      </c>
      <c r="T3921" s="405" t="s">
        <v>884</v>
      </c>
      <c r="U3921" s="405" t="s">
        <v>319</v>
      </c>
    </row>
    <row r="3922" spans="1:21" x14ac:dyDescent="0.25">
      <c r="A3922" s="405" t="s">
        <v>310</v>
      </c>
      <c r="B3922" s="405" t="s">
        <v>14964</v>
      </c>
      <c r="C3922" s="405" t="s">
        <v>327</v>
      </c>
      <c r="D3922" s="405"/>
      <c r="E3922" s="410">
        <v>42305</v>
      </c>
      <c r="F3922" s="410">
        <v>42350</v>
      </c>
      <c r="G3922" s="405" t="s">
        <v>14965</v>
      </c>
      <c r="H3922" s="405">
        <v>782593632</v>
      </c>
      <c r="I3922" s="405"/>
      <c r="J3922" s="405">
        <v>1.5796520000000001</v>
      </c>
      <c r="K3922" s="405">
        <v>33.493057999999998</v>
      </c>
      <c r="L3922" s="405" t="s">
        <v>6866</v>
      </c>
      <c r="M3922" s="405" t="s">
        <v>9658</v>
      </c>
      <c r="N3922" s="405" t="s">
        <v>12037</v>
      </c>
      <c r="O3922" s="405" t="s">
        <v>12037</v>
      </c>
      <c r="P3922" s="405" t="s">
        <v>14966</v>
      </c>
      <c r="Q3922" s="411">
        <v>6</v>
      </c>
      <c r="R3922" s="405" t="s">
        <v>5655</v>
      </c>
      <c r="S3922" s="405" t="s">
        <v>27346</v>
      </c>
      <c r="T3922" s="405" t="s">
        <v>884</v>
      </c>
      <c r="U3922" s="405" t="s">
        <v>319</v>
      </c>
    </row>
    <row r="3923" spans="1:21" x14ac:dyDescent="0.25">
      <c r="A3923" s="405" t="s">
        <v>310</v>
      </c>
      <c r="B3923" s="405" t="s">
        <v>5850</v>
      </c>
      <c r="C3923" s="405" t="s">
        <v>327</v>
      </c>
      <c r="D3923" s="405"/>
      <c r="E3923" s="410">
        <v>42305</v>
      </c>
      <c r="F3923" s="410">
        <v>42350</v>
      </c>
      <c r="G3923" s="405" t="s">
        <v>5851</v>
      </c>
      <c r="H3923" s="405">
        <v>752212736</v>
      </c>
      <c r="I3923" s="405"/>
      <c r="J3923" s="405">
        <v>0.85568200000000005</v>
      </c>
      <c r="K3923" s="405">
        <v>30.006862999999999</v>
      </c>
      <c r="L3923" s="405" t="s">
        <v>314</v>
      </c>
      <c r="M3923" s="405" t="s">
        <v>1080</v>
      </c>
      <c r="N3923" s="405" t="s">
        <v>1080</v>
      </c>
      <c r="O3923" s="405" t="s">
        <v>5852</v>
      </c>
      <c r="P3923" s="405" t="s">
        <v>5853</v>
      </c>
      <c r="Q3923" s="411">
        <v>6</v>
      </c>
      <c r="R3923" s="405" t="s">
        <v>5739</v>
      </c>
      <c r="S3923" s="405" t="s">
        <v>27186</v>
      </c>
      <c r="T3923" s="405" t="s">
        <v>884</v>
      </c>
      <c r="U3923" s="405" t="s">
        <v>319</v>
      </c>
    </row>
    <row r="3924" spans="1:21" x14ac:dyDescent="0.25">
      <c r="A3924" s="405" t="s">
        <v>310</v>
      </c>
      <c r="B3924" s="405" t="s">
        <v>5867</v>
      </c>
      <c r="C3924" s="405" t="s">
        <v>327</v>
      </c>
      <c r="D3924" s="405"/>
      <c r="E3924" s="410">
        <v>42304</v>
      </c>
      <c r="F3924" s="410">
        <v>42349</v>
      </c>
      <c r="G3924" s="405" t="s">
        <v>5868</v>
      </c>
      <c r="H3924" s="405">
        <v>777880553</v>
      </c>
      <c r="I3924" s="405"/>
      <c r="J3924" s="405">
        <v>0.72306999999999999</v>
      </c>
      <c r="K3924" s="405">
        <v>32.538589999999999</v>
      </c>
      <c r="L3924" s="405" t="s">
        <v>314</v>
      </c>
      <c r="M3924" s="405" t="s">
        <v>2297</v>
      </c>
      <c r="N3924" s="405" t="s">
        <v>2297</v>
      </c>
      <c r="O3924" s="405" t="s">
        <v>5792</v>
      </c>
      <c r="P3924" s="405" t="s">
        <v>502</v>
      </c>
      <c r="Q3924" s="411">
        <v>6</v>
      </c>
      <c r="R3924" s="405" t="s">
        <v>4176</v>
      </c>
      <c r="S3924" s="405" t="s">
        <v>27039</v>
      </c>
      <c r="T3924" s="405" t="s">
        <v>865</v>
      </c>
      <c r="U3924" s="405" t="s">
        <v>866</v>
      </c>
    </row>
    <row r="3925" spans="1:21" x14ac:dyDescent="0.25">
      <c r="A3925" s="405" t="s">
        <v>310</v>
      </c>
      <c r="B3925" s="405" t="s">
        <v>15328</v>
      </c>
      <c r="C3925" s="405" t="s">
        <v>311</v>
      </c>
      <c r="D3925" s="405" t="s">
        <v>839</v>
      </c>
      <c r="E3925" s="410">
        <v>42302</v>
      </c>
      <c r="F3925" s="410">
        <v>42347</v>
      </c>
      <c r="G3925" s="405" t="s">
        <v>15329</v>
      </c>
      <c r="H3925" s="405">
        <v>752836153</v>
      </c>
      <c r="I3925" s="405"/>
      <c r="J3925" s="405">
        <v>1.1368370000000001</v>
      </c>
      <c r="K3925" s="405">
        <v>34.225945000000003</v>
      </c>
      <c r="L3925" s="405" t="s">
        <v>6866</v>
      </c>
      <c r="M3925" s="405" t="s">
        <v>9590</v>
      </c>
      <c r="N3925" s="405" t="s">
        <v>9591</v>
      </c>
      <c r="O3925" s="405" t="s">
        <v>15330</v>
      </c>
      <c r="P3925" s="405" t="s">
        <v>15331</v>
      </c>
      <c r="Q3925" s="411">
        <v>9</v>
      </c>
      <c r="R3925" s="405" t="s">
        <v>5336</v>
      </c>
      <c r="S3925" s="405" t="s">
        <v>27054</v>
      </c>
      <c r="T3925" s="405" t="s">
        <v>6551</v>
      </c>
      <c r="U3925" s="405" t="s">
        <v>2267</v>
      </c>
    </row>
    <row r="3926" spans="1:21" x14ac:dyDescent="0.25">
      <c r="A3926" s="405" t="s">
        <v>310</v>
      </c>
      <c r="B3926" s="405" t="s">
        <v>5859</v>
      </c>
      <c r="C3926" s="405" t="s">
        <v>327</v>
      </c>
      <c r="D3926" s="405"/>
      <c r="E3926" s="410">
        <v>42301</v>
      </c>
      <c r="F3926" s="410">
        <v>42346</v>
      </c>
      <c r="G3926" s="405" t="s">
        <v>5860</v>
      </c>
      <c r="H3926" s="405">
        <v>702388306</v>
      </c>
      <c r="I3926" s="405"/>
      <c r="J3926" s="405">
        <v>0.96126</v>
      </c>
      <c r="K3926" s="405">
        <v>31.616672999999999</v>
      </c>
      <c r="L3926" s="405" t="s">
        <v>314</v>
      </c>
      <c r="M3926" s="405" t="s">
        <v>445</v>
      </c>
      <c r="N3926" s="405" t="s">
        <v>446</v>
      </c>
      <c r="O3926" s="405" t="s">
        <v>2528</v>
      </c>
      <c r="P3926" s="405" t="s">
        <v>5861</v>
      </c>
      <c r="Q3926" s="411">
        <v>6</v>
      </c>
      <c r="R3926" s="405" t="s">
        <v>525</v>
      </c>
      <c r="S3926" s="405" t="s">
        <v>27154</v>
      </c>
      <c r="T3926" s="405" t="s">
        <v>884</v>
      </c>
      <c r="U3926" s="405" t="s">
        <v>319</v>
      </c>
    </row>
    <row r="3927" spans="1:21" x14ac:dyDescent="0.25">
      <c r="A3927" s="405" t="s">
        <v>310</v>
      </c>
      <c r="B3927" s="405" t="s">
        <v>5865</v>
      </c>
      <c r="C3927" s="405" t="s">
        <v>327</v>
      </c>
      <c r="D3927" s="405"/>
      <c r="E3927" s="410">
        <v>42300</v>
      </c>
      <c r="F3927" s="410">
        <v>42345</v>
      </c>
      <c r="G3927" s="405" t="s">
        <v>5866</v>
      </c>
      <c r="H3927" s="405">
        <v>772497168</v>
      </c>
      <c r="I3927" s="405">
        <v>704418080</v>
      </c>
      <c r="J3927" s="405">
        <v>8.6300000000000005E-4</v>
      </c>
      <c r="K3927" s="405">
        <v>32.079391999999999</v>
      </c>
      <c r="L3927" s="405" t="s">
        <v>314</v>
      </c>
      <c r="M3927" s="405" t="s">
        <v>2297</v>
      </c>
      <c r="N3927" s="405" t="s">
        <v>2297</v>
      </c>
      <c r="O3927" s="405" t="s">
        <v>5792</v>
      </c>
      <c r="P3927" s="405" t="s">
        <v>1310</v>
      </c>
      <c r="Q3927" s="411">
        <v>9</v>
      </c>
      <c r="R3927" s="405" t="s">
        <v>4176</v>
      </c>
      <c r="S3927" s="405" t="s">
        <v>27059</v>
      </c>
      <c r="T3927" s="405" t="s">
        <v>884</v>
      </c>
      <c r="U3927" s="405" t="s">
        <v>319</v>
      </c>
    </row>
    <row r="3928" spans="1:21" x14ac:dyDescent="0.25">
      <c r="A3928" s="405" t="s">
        <v>310</v>
      </c>
      <c r="B3928" s="405" t="s">
        <v>28192</v>
      </c>
      <c r="C3928" s="405" t="s">
        <v>327</v>
      </c>
      <c r="D3928" s="405"/>
      <c r="E3928" s="410">
        <v>42300</v>
      </c>
      <c r="F3928" s="410">
        <v>42345</v>
      </c>
      <c r="G3928" s="405" t="s">
        <v>14955</v>
      </c>
      <c r="H3928" s="405">
        <v>782828114</v>
      </c>
      <c r="I3928" s="405"/>
      <c r="J3928" s="405">
        <v>1.1293519999999999</v>
      </c>
      <c r="K3928" s="405">
        <v>34.221668000000001</v>
      </c>
      <c r="L3928" s="405" t="s">
        <v>6866</v>
      </c>
      <c r="M3928" s="405" t="s">
        <v>9575</v>
      </c>
      <c r="N3928" s="405" t="s">
        <v>9576</v>
      </c>
      <c r="O3928" s="405" t="s">
        <v>14956</v>
      </c>
      <c r="P3928" s="405" t="s">
        <v>14957</v>
      </c>
      <c r="Q3928" s="411">
        <v>6</v>
      </c>
      <c r="R3928" s="405" t="s">
        <v>6871</v>
      </c>
      <c r="S3928" s="405" t="s">
        <v>17062</v>
      </c>
      <c r="T3928" s="405" t="s">
        <v>884</v>
      </c>
      <c r="U3928" s="405" t="s">
        <v>319</v>
      </c>
    </row>
    <row r="3929" spans="1:21" x14ac:dyDescent="0.25">
      <c r="A3929" s="405" t="s">
        <v>310</v>
      </c>
      <c r="B3929" s="405" t="s">
        <v>5824</v>
      </c>
      <c r="C3929" s="405" t="s">
        <v>327</v>
      </c>
      <c r="D3929" s="405"/>
      <c r="E3929" s="410">
        <v>42300</v>
      </c>
      <c r="F3929" s="410">
        <v>42345</v>
      </c>
      <c r="G3929" s="405" t="s">
        <v>5825</v>
      </c>
      <c r="H3929" s="405">
        <v>788662447</v>
      </c>
      <c r="I3929" s="405"/>
      <c r="J3929" s="405">
        <v>0.58585500000000001</v>
      </c>
      <c r="K3929" s="405">
        <v>32.305852000000002</v>
      </c>
      <c r="L3929" s="405" t="s">
        <v>314</v>
      </c>
      <c r="M3929" s="405" t="s">
        <v>2297</v>
      </c>
      <c r="N3929" s="405" t="s">
        <v>2297</v>
      </c>
      <c r="O3929" s="405" t="s">
        <v>5792</v>
      </c>
      <c r="P3929" s="405" t="s">
        <v>1310</v>
      </c>
      <c r="Q3929" s="411">
        <v>6</v>
      </c>
      <c r="R3929" s="405" t="s">
        <v>4176</v>
      </c>
      <c r="S3929" s="405" t="s">
        <v>27039</v>
      </c>
      <c r="T3929" s="405" t="s">
        <v>865</v>
      </c>
      <c r="U3929" s="405" t="s">
        <v>866</v>
      </c>
    </row>
    <row r="3930" spans="1:21" x14ac:dyDescent="0.25">
      <c r="A3930" s="405" t="s">
        <v>310</v>
      </c>
      <c r="B3930" s="405" t="s">
        <v>22218</v>
      </c>
      <c r="C3930" s="405" t="s">
        <v>327</v>
      </c>
      <c r="D3930" s="405"/>
      <c r="E3930" s="410">
        <v>42298</v>
      </c>
      <c r="F3930" s="410">
        <v>42343</v>
      </c>
      <c r="G3930" s="405" t="s">
        <v>22219</v>
      </c>
      <c r="H3930" s="405">
        <v>772469150</v>
      </c>
      <c r="I3930" s="405"/>
      <c r="J3930" s="405">
        <v>1.5879449999999999</v>
      </c>
      <c r="K3930" s="405">
        <v>31.658712999999999</v>
      </c>
      <c r="L3930" s="405" t="s">
        <v>590</v>
      </c>
      <c r="M3930" s="405" t="s">
        <v>19608</v>
      </c>
      <c r="N3930" s="405" t="s">
        <v>20218</v>
      </c>
      <c r="O3930" s="405" t="s">
        <v>20219</v>
      </c>
      <c r="P3930" s="405" t="s">
        <v>22220</v>
      </c>
      <c r="Q3930" s="411">
        <v>9</v>
      </c>
      <c r="R3930" s="405" t="s">
        <v>5336</v>
      </c>
      <c r="S3930" s="405" t="s">
        <v>27126</v>
      </c>
      <c r="T3930" s="405" t="s">
        <v>884</v>
      </c>
      <c r="U3930" s="405" t="s">
        <v>319</v>
      </c>
    </row>
    <row r="3931" spans="1:21" x14ac:dyDescent="0.25">
      <c r="A3931" s="405" t="s">
        <v>310</v>
      </c>
      <c r="B3931" s="405" t="s">
        <v>28295</v>
      </c>
      <c r="C3931" s="405" t="s">
        <v>327</v>
      </c>
      <c r="D3931" s="405"/>
      <c r="E3931" s="410">
        <v>42297</v>
      </c>
      <c r="F3931" s="410">
        <v>42342</v>
      </c>
      <c r="G3931" s="405" t="s">
        <v>22233</v>
      </c>
      <c r="H3931" s="405">
        <v>782045604</v>
      </c>
      <c r="I3931" s="405"/>
      <c r="J3931" s="405">
        <v>1.030708</v>
      </c>
      <c r="K3931" s="405">
        <v>34.338276999999998</v>
      </c>
      <c r="L3931" s="405" t="s">
        <v>590</v>
      </c>
      <c r="M3931" s="405" t="s">
        <v>20032</v>
      </c>
      <c r="N3931" s="405" t="s">
        <v>20033</v>
      </c>
      <c r="O3931" s="405" t="s">
        <v>22234</v>
      </c>
      <c r="P3931" s="405" t="s">
        <v>22235</v>
      </c>
      <c r="Q3931" s="411">
        <v>6</v>
      </c>
      <c r="R3931" s="405" t="s">
        <v>5858</v>
      </c>
      <c r="S3931" s="405" t="s">
        <v>27249</v>
      </c>
      <c r="T3931" s="405" t="s">
        <v>884</v>
      </c>
      <c r="U3931" s="405" t="s">
        <v>319</v>
      </c>
    </row>
    <row r="3932" spans="1:21" x14ac:dyDescent="0.25">
      <c r="A3932" s="405" t="s">
        <v>310</v>
      </c>
      <c r="B3932" s="405" t="s">
        <v>5844</v>
      </c>
      <c r="C3932" s="405" t="s">
        <v>327</v>
      </c>
      <c r="D3932" s="405"/>
      <c r="E3932" s="410">
        <v>42294</v>
      </c>
      <c r="F3932" s="410">
        <v>42339</v>
      </c>
      <c r="G3932" s="405" t="s">
        <v>5845</v>
      </c>
      <c r="H3932" s="405">
        <v>788284355</v>
      </c>
      <c r="I3932" s="405"/>
      <c r="J3932" s="405">
        <v>0.58099999999999996</v>
      </c>
      <c r="K3932" s="405">
        <v>31.335699999999999</v>
      </c>
      <c r="L3932" s="405" t="s">
        <v>314</v>
      </c>
      <c r="M3932" s="405" t="s">
        <v>1360</v>
      </c>
      <c r="N3932" s="405" t="s">
        <v>3965</v>
      </c>
      <c r="O3932" s="405" t="s">
        <v>3965</v>
      </c>
      <c r="P3932" s="405" t="s">
        <v>4897</v>
      </c>
      <c r="Q3932" s="411">
        <v>6</v>
      </c>
      <c r="R3932" s="405" t="s">
        <v>32101</v>
      </c>
      <c r="S3932" s="405" t="s">
        <v>414</v>
      </c>
      <c r="T3932" s="405" t="s">
        <v>884</v>
      </c>
      <c r="U3932" s="405" t="s">
        <v>319</v>
      </c>
    </row>
    <row r="3933" spans="1:21" x14ac:dyDescent="0.25">
      <c r="A3933" s="405" t="s">
        <v>310</v>
      </c>
      <c r="B3933" s="405" t="s">
        <v>14958</v>
      </c>
      <c r="C3933" s="405" t="s">
        <v>327</v>
      </c>
      <c r="D3933" s="405"/>
      <c r="E3933" s="410">
        <v>42294</v>
      </c>
      <c r="F3933" s="410">
        <v>42339</v>
      </c>
      <c r="G3933" s="405" t="s">
        <v>14959</v>
      </c>
      <c r="H3933" s="405">
        <v>704408866</v>
      </c>
      <c r="I3933" s="405"/>
      <c r="J3933" s="405">
        <v>1.0242070000000001</v>
      </c>
      <c r="K3933" s="405">
        <v>34.373596999999997</v>
      </c>
      <c r="L3933" s="405" t="s">
        <v>6866</v>
      </c>
      <c r="M3933" s="405" t="s">
        <v>9514</v>
      </c>
      <c r="N3933" s="405" t="s">
        <v>9529</v>
      </c>
      <c r="O3933" s="405" t="s">
        <v>14960</v>
      </c>
      <c r="P3933" s="405" t="s">
        <v>14961</v>
      </c>
      <c r="Q3933" s="411">
        <v>6</v>
      </c>
      <c r="R3933" s="405" t="s">
        <v>6871</v>
      </c>
      <c r="S3933" s="405" t="s">
        <v>27107</v>
      </c>
      <c r="T3933" s="405" t="s">
        <v>884</v>
      </c>
      <c r="U3933" s="405" t="s">
        <v>319</v>
      </c>
    </row>
    <row r="3934" spans="1:21" x14ac:dyDescent="0.25">
      <c r="A3934" s="405" t="s">
        <v>310</v>
      </c>
      <c r="B3934" s="405" t="s">
        <v>27471</v>
      </c>
      <c r="C3934" s="405" t="s">
        <v>327</v>
      </c>
      <c r="D3934" s="405"/>
      <c r="E3934" s="410">
        <v>42293</v>
      </c>
      <c r="F3934" s="410">
        <v>42338</v>
      </c>
      <c r="G3934" s="405" t="s">
        <v>22210</v>
      </c>
      <c r="H3934" s="405">
        <v>755315549</v>
      </c>
      <c r="I3934" s="405"/>
      <c r="J3934" s="405">
        <v>0.60681700000000005</v>
      </c>
      <c r="K3934" s="405">
        <v>31.776641999999999</v>
      </c>
      <c r="L3934" s="405" t="s">
        <v>590</v>
      </c>
      <c r="M3934" s="405" t="s">
        <v>7300</v>
      </c>
      <c r="N3934" s="405" t="s">
        <v>19880</v>
      </c>
      <c r="O3934" s="405" t="s">
        <v>19881</v>
      </c>
      <c r="P3934" s="405" t="s">
        <v>22211</v>
      </c>
      <c r="Q3934" s="411">
        <v>6</v>
      </c>
      <c r="R3934" s="405" t="s">
        <v>6397</v>
      </c>
      <c r="S3934" s="405" t="s">
        <v>22481</v>
      </c>
      <c r="T3934" s="405" t="s">
        <v>884</v>
      </c>
      <c r="U3934" s="405" t="s">
        <v>319</v>
      </c>
    </row>
    <row r="3935" spans="1:21" x14ac:dyDescent="0.25">
      <c r="A3935" s="405" t="s">
        <v>310</v>
      </c>
      <c r="B3935" s="405" t="s">
        <v>22215</v>
      </c>
      <c r="C3935" s="405" t="s">
        <v>327</v>
      </c>
      <c r="D3935" s="405"/>
      <c r="E3935" s="410">
        <v>42293</v>
      </c>
      <c r="F3935" s="410">
        <v>42338</v>
      </c>
      <c r="G3935" s="405" t="s">
        <v>22216</v>
      </c>
      <c r="H3935" s="405">
        <v>712299823</v>
      </c>
      <c r="I3935" s="405"/>
      <c r="J3935" s="405">
        <v>0.63935399999999998</v>
      </c>
      <c r="K3935" s="405">
        <v>30.555073</v>
      </c>
      <c r="L3935" s="405" t="s">
        <v>590</v>
      </c>
      <c r="M3935" s="405" t="s">
        <v>19614</v>
      </c>
      <c r="N3935" s="405" t="s">
        <v>19654</v>
      </c>
      <c r="O3935" s="405" t="s">
        <v>20015</v>
      </c>
      <c r="P3935" s="405" t="s">
        <v>22217</v>
      </c>
      <c r="Q3935" s="411">
        <v>6</v>
      </c>
      <c r="R3935" s="405" t="s">
        <v>883</v>
      </c>
      <c r="S3935" s="405" t="s">
        <v>27183</v>
      </c>
      <c r="T3935" s="405" t="s">
        <v>884</v>
      </c>
      <c r="U3935" s="405" t="s">
        <v>319</v>
      </c>
    </row>
    <row r="3936" spans="1:21" x14ac:dyDescent="0.25">
      <c r="A3936" s="405" t="s">
        <v>310</v>
      </c>
      <c r="B3936" s="405" t="s">
        <v>6400</v>
      </c>
      <c r="C3936" s="405" t="s">
        <v>311</v>
      </c>
      <c r="D3936" s="405" t="s">
        <v>1789</v>
      </c>
      <c r="E3936" s="410">
        <v>42292</v>
      </c>
      <c r="F3936" s="410">
        <v>42337</v>
      </c>
      <c r="G3936" s="405" t="s">
        <v>6401</v>
      </c>
      <c r="H3936" s="405">
        <v>782489829</v>
      </c>
      <c r="I3936" s="405"/>
      <c r="J3936" s="405">
        <v>21.45</v>
      </c>
      <c r="K3936" s="405">
        <v>32.433</v>
      </c>
      <c r="L3936" s="405" t="s">
        <v>314</v>
      </c>
      <c r="M3936" s="405" t="s">
        <v>329</v>
      </c>
      <c r="N3936" s="405" t="s">
        <v>1107</v>
      </c>
      <c r="O3936" s="405" t="s">
        <v>787</v>
      </c>
      <c r="P3936" s="405" t="s">
        <v>6402</v>
      </c>
      <c r="Q3936" s="411">
        <v>13</v>
      </c>
      <c r="R3936" s="405" t="s">
        <v>525</v>
      </c>
      <c r="S3936" s="405" t="s">
        <v>27170</v>
      </c>
      <c r="T3936" s="405" t="s">
        <v>884</v>
      </c>
      <c r="U3936" s="405" t="s">
        <v>319</v>
      </c>
    </row>
    <row r="3937" spans="1:21" x14ac:dyDescent="0.25">
      <c r="A3937" s="405" t="s">
        <v>310</v>
      </c>
      <c r="B3937" s="405" t="s">
        <v>5821</v>
      </c>
      <c r="C3937" s="405" t="s">
        <v>327</v>
      </c>
      <c r="D3937" s="405"/>
      <c r="E3937" s="410">
        <v>42290</v>
      </c>
      <c r="F3937" s="410">
        <v>42335</v>
      </c>
      <c r="G3937" s="405" t="s">
        <v>5822</v>
      </c>
      <c r="H3937" s="405">
        <v>753085302</v>
      </c>
      <c r="I3937" s="405"/>
      <c r="J3937" s="405">
        <v>0.76964699999999997</v>
      </c>
      <c r="K3937" s="405">
        <v>33.849792999999998</v>
      </c>
      <c r="L3937" s="405" t="s">
        <v>314</v>
      </c>
      <c r="M3937" s="405" t="s">
        <v>329</v>
      </c>
      <c r="N3937" s="405" t="s">
        <v>1107</v>
      </c>
      <c r="O3937" s="405" t="s">
        <v>336</v>
      </c>
      <c r="P3937" s="405" t="s">
        <v>5823</v>
      </c>
      <c r="Q3937" s="411">
        <v>13</v>
      </c>
      <c r="R3937" s="405" t="s">
        <v>4176</v>
      </c>
      <c r="S3937" s="405" t="s">
        <v>27039</v>
      </c>
      <c r="T3937" s="405" t="s">
        <v>884</v>
      </c>
      <c r="U3937" s="405" t="s">
        <v>319</v>
      </c>
    </row>
    <row r="3938" spans="1:21" x14ac:dyDescent="0.25">
      <c r="A3938" s="405" t="s">
        <v>310</v>
      </c>
      <c r="B3938" s="405" t="s">
        <v>5811</v>
      </c>
      <c r="C3938" s="405" t="s">
        <v>327</v>
      </c>
      <c r="D3938" s="405"/>
      <c r="E3938" s="410">
        <v>42288</v>
      </c>
      <c r="F3938" s="410">
        <v>42333</v>
      </c>
      <c r="G3938" s="405" t="s">
        <v>5812</v>
      </c>
      <c r="H3938" s="405">
        <v>705408227</v>
      </c>
      <c r="I3938" s="405"/>
      <c r="J3938" s="405">
        <v>1.0537080000000001</v>
      </c>
      <c r="K3938" s="405">
        <v>34.343237000000002</v>
      </c>
      <c r="L3938" s="405" t="s">
        <v>314</v>
      </c>
      <c r="M3938" s="405" t="s">
        <v>361</v>
      </c>
      <c r="N3938" s="405" t="s">
        <v>5607</v>
      </c>
      <c r="O3938" s="405" t="s">
        <v>5607</v>
      </c>
      <c r="P3938" s="405" t="s">
        <v>5606</v>
      </c>
      <c r="Q3938" s="411">
        <v>6</v>
      </c>
      <c r="R3938" s="405" t="s">
        <v>32166</v>
      </c>
      <c r="S3938" s="405" t="s">
        <v>27132</v>
      </c>
      <c r="T3938" s="405" t="s">
        <v>884</v>
      </c>
      <c r="U3938" s="405" t="s">
        <v>319</v>
      </c>
    </row>
    <row r="3939" spans="1:21" x14ac:dyDescent="0.25">
      <c r="A3939" s="405" t="s">
        <v>310</v>
      </c>
      <c r="B3939" s="405" t="s">
        <v>22212</v>
      </c>
      <c r="C3939" s="405" t="s">
        <v>327</v>
      </c>
      <c r="D3939" s="405"/>
      <c r="E3939" s="410">
        <v>42287</v>
      </c>
      <c r="F3939" s="410">
        <v>42332</v>
      </c>
      <c r="G3939" s="405" t="s">
        <v>22213</v>
      </c>
      <c r="H3939" s="405">
        <v>701092825</v>
      </c>
      <c r="I3939" s="405"/>
      <c r="J3939" s="405">
        <v>0.51755499999999999</v>
      </c>
      <c r="K3939" s="405">
        <v>30.917197000000002</v>
      </c>
      <c r="L3939" s="405" t="s">
        <v>590</v>
      </c>
      <c r="M3939" s="405" t="s">
        <v>19705</v>
      </c>
      <c r="N3939" s="405" t="s">
        <v>19706</v>
      </c>
      <c r="O3939" s="405" t="s">
        <v>22214</v>
      </c>
      <c r="P3939" s="405" t="s">
        <v>4156</v>
      </c>
      <c r="Q3939" s="411">
        <v>9</v>
      </c>
      <c r="R3939" s="405" t="s">
        <v>874</v>
      </c>
      <c r="S3939" s="405" t="s">
        <v>27172</v>
      </c>
      <c r="T3939" s="405" t="s">
        <v>884</v>
      </c>
      <c r="U3939" s="405" t="s">
        <v>319</v>
      </c>
    </row>
    <row r="3940" spans="1:21" x14ac:dyDescent="0.25">
      <c r="A3940" s="405" t="s">
        <v>310</v>
      </c>
      <c r="B3940" s="405" t="s">
        <v>22198</v>
      </c>
      <c r="C3940" s="405" t="s">
        <v>327</v>
      </c>
      <c r="D3940" s="405"/>
      <c r="E3940" s="410">
        <v>42285</v>
      </c>
      <c r="F3940" s="410">
        <v>42330</v>
      </c>
      <c r="G3940" s="405" t="s">
        <v>22199</v>
      </c>
      <c r="H3940" s="405">
        <v>774173853</v>
      </c>
      <c r="I3940" s="405"/>
      <c r="J3940" s="405">
        <v>-0.94753799999999999</v>
      </c>
      <c r="K3940" s="405" t="s">
        <v>22200</v>
      </c>
      <c r="L3940" s="405" t="s">
        <v>590</v>
      </c>
      <c r="M3940" s="405" t="s">
        <v>19659</v>
      </c>
      <c r="N3940" s="405" t="s">
        <v>19664</v>
      </c>
      <c r="O3940" s="405" t="s">
        <v>22196</v>
      </c>
      <c r="P3940" s="405" t="s">
        <v>22197</v>
      </c>
      <c r="Q3940" s="411">
        <v>9</v>
      </c>
      <c r="R3940" s="405" t="s">
        <v>6572</v>
      </c>
      <c r="S3940" s="405" t="s">
        <v>27394</v>
      </c>
      <c r="T3940" s="405" t="s">
        <v>884</v>
      </c>
      <c r="U3940" s="405" t="s">
        <v>319</v>
      </c>
    </row>
    <row r="3941" spans="1:21" x14ac:dyDescent="0.25">
      <c r="A3941" s="405" t="s">
        <v>310</v>
      </c>
      <c r="B3941" s="405" t="s">
        <v>28346</v>
      </c>
      <c r="C3941" s="405" t="s">
        <v>327</v>
      </c>
      <c r="D3941" s="405"/>
      <c r="E3941" s="410">
        <v>42283</v>
      </c>
      <c r="F3941" s="410">
        <v>42328</v>
      </c>
      <c r="G3941" s="405" t="s">
        <v>22206</v>
      </c>
      <c r="H3941" s="405">
        <v>772573442</v>
      </c>
      <c r="I3941" s="405">
        <v>782958561</v>
      </c>
      <c r="J3941" s="405">
        <v>1.0922000000000001</v>
      </c>
      <c r="K3941" s="405">
        <v>34.256926999999997</v>
      </c>
      <c r="L3941" s="405" t="s">
        <v>590</v>
      </c>
      <c r="M3941" s="405" t="s">
        <v>19725</v>
      </c>
      <c r="N3941" s="405" t="s">
        <v>1310</v>
      </c>
      <c r="O3941" s="405" t="s">
        <v>1310</v>
      </c>
      <c r="P3941" s="405" t="s">
        <v>22207</v>
      </c>
      <c r="Q3941" s="411">
        <v>6</v>
      </c>
      <c r="R3941" s="405" t="s">
        <v>6943</v>
      </c>
      <c r="S3941" s="405" t="s">
        <v>27065</v>
      </c>
      <c r="T3941" s="405" t="s">
        <v>884</v>
      </c>
      <c r="U3941" s="405" t="s">
        <v>319</v>
      </c>
    </row>
    <row r="3942" spans="1:21" x14ac:dyDescent="0.25">
      <c r="A3942" s="405" t="s">
        <v>310</v>
      </c>
      <c r="B3942" s="406" t="s">
        <v>32213</v>
      </c>
      <c r="C3942" s="405" t="s">
        <v>327</v>
      </c>
      <c r="D3942" s="405"/>
      <c r="E3942" s="406" t="s">
        <v>32114</v>
      </c>
      <c r="F3942" s="407">
        <v>44866</v>
      </c>
      <c r="G3942" s="406" t="s">
        <v>32214</v>
      </c>
      <c r="H3942" s="406" t="s">
        <v>32209</v>
      </c>
      <c r="I3942" s="406" t="s">
        <v>2913</v>
      </c>
      <c r="J3942" s="408">
        <v>0.21413499999999999</v>
      </c>
      <c r="K3942" s="408">
        <v>31.665562000000001</v>
      </c>
      <c r="L3942" s="406" t="s">
        <v>314</v>
      </c>
      <c r="M3942" s="406" t="s">
        <v>339</v>
      </c>
      <c r="N3942" s="406" t="s">
        <v>339</v>
      </c>
      <c r="O3942" s="406" t="s">
        <v>1662</v>
      </c>
      <c r="P3942" s="406" t="s">
        <v>32210</v>
      </c>
      <c r="Q3942" s="409">
        <v>20</v>
      </c>
      <c r="R3942" s="406" t="s">
        <v>9408</v>
      </c>
      <c r="S3942" s="406" t="s">
        <v>32211</v>
      </c>
      <c r="T3942" s="405" t="s">
        <v>884</v>
      </c>
      <c r="U3942" s="405" t="s">
        <v>319</v>
      </c>
    </row>
    <row r="3943" spans="1:21" x14ac:dyDescent="0.25">
      <c r="A3943" s="405" t="s">
        <v>310</v>
      </c>
      <c r="B3943" s="405" t="s">
        <v>15980</v>
      </c>
      <c r="C3943" s="405" t="s">
        <v>327</v>
      </c>
      <c r="D3943" s="405"/>
      <c r="E3943" s="410">
        <v>42282</v>
      </c>
      <c r="F3943" s="410">
        <v>43088</v>
      </c>
      <c r="G3943" s="405" t="s">
        <v>15981</v>
      </c>
      <c r="H3943" s="405">
        <v>701369803</v>
      </c>
      <c r="I3943" s="405"/>
      <c r="J3943" s="405">
        <v>1.1954</v>
      </c>
      <c r="K3943" s="405">
        <v>34.234200000000001</v>
      </c>
      <c r="L3943" s="405" t="s">
        <v>6866</v>
      </c>
      <c r="M3943" s="405" t="s">
        <v>9685</v>
      </c>
      <c r="N3943" s="405" t="s">
        <v>9686</v>
      </c>
      <c r="O3943" s="405" t="s">
        <v>14983</v>
      </c>
      <c r="P3943" s="405" t="s">
        <v>15982</v>
      </c>
      <c r="Q3943" s="411">
        <v>6</v>
      </c>
      <c r="R3943" s="405" t="s">
        <v>9506</v>
      </c>
      <c r="S3943" s="405" t="s">
        <v>27320</v>
      </c>
      <c r="T3943" s="405" t="s">
        <v>884</v>
      </c>
      <c r="U3943" s="405" t="s">
        <v>319</v>
      </c>
    </row>
    <row r="3944" spans="1:21" x14ac:dyDescent="0.25">
      <c r="A3944" s="405" t="s">
        <v>310</v>
      </c>
      <c r="B3944" s="405" t="s">
        <v>5816</v>
      </c>
      <c r="C3944" s="405" t="s">
        <v>327</v>
      </c>
      <c r="D3944" s="405"/>
      <c r="E3944" s="410">
        <v>42281</v>
      </c>
      <c r="F3944" s="410">
        <v>42326</v>
      </c>
      <c r="G3944" s="405" t="s">
        <v>5817</v>
      </c>
      <c r="H3944" s="405">
        <v>773533981</v>
      </c>
      <c r="I3944" s="405"/>
      <c r="J3944" s="405">
        <v>-0.26088800000000001</v>
      </c>
      <c r="K3944" s="405">
        <v>31.64227</v>
      </c>
      <c r="L3944" s="405" t="s">
        <v>314</v>
      </c>
      <c r="M3944" s="405" t="s">
        <v>329</v>
      </c>
      <c r="N3944" s="405" t="s">
        <v>1107</v>
      </c>
      <c r="O3944" s="405" t="s">
        <v>787</v>
      </c>
      <c r="P3944" s="405" t="s">
        <v>3817</v>
      </c>
      <c r="Q3944" s="411">
        <v>13</v>
      </c>
      <c r="R3944" s="405" t="s">
        <v>525</v>
      </c>
      <c r="S3944" s="405" t="s">
        <v>27170</v>
      </c>
      <c r="T3944" s="405" t="s">
        <v>6551</v>
      </c>
      <c r="U3944" s="405" t="s">
        <v>2267</v>
      </c>
    </row>
    <row r="3945" spans="1:21" x14ac:dyDescent="0.25">
      <c r="A3945" s="405" t="s">
        <v>310</v>
      </c>
      <c r="B3945" s="405" t="s">
        <v>28554</v>
      </c>
      <c r="C3945" s="405" t="s">
        <v>327</v>
      </c>
      <c r="D3945" s="405"/>
      <c r="E3945" s="410">
        <v>42280</v>
      </c>
      <c r="F3945" s="410">
        <v>43088</v>
      </c>
      <c r="G3945" s="405" t="s">
        <v>6651</v>
      </c>
      <c r="H3945" s="405">
        <v>701331232</v>
      </c>
      <c r="I3945" s="405"/>
      <c r="J3945" s="405">
        <v>0.495222</v>
      </c>
      <c r="K3945" s="405">
        <v>30.411762</v>
      </c>
      <c r="L3945" s="405" t="s">
        <v>314</v>
      </c>
      <c r="M3945" s="405" t="s">
        <v>382</v>
      </c>
      <c r="N3945" s="405" t="s">
        <v>6652</v>
      </c>
      <c r="O3945" s="405" t="s">
        <v>1260</v>
      </c>
      <c r="P3945" s="405" t="s">
        <v>3691</v>
      </c>
      <c r="Q3945" s="411">
        <v>9</v>
      </c>
      <c r="R3945" s="405" t="s">
        <v>5739</v>
      </c>
      <c r="S3945" s="405" t="s">
        <v>27186</v>
      </c>
      <c r="T3945" s="405" t="s">
        <v>884</v>
      </c>
      <c r="U3945" s="405" t="s">
        <v>319</v>
      </c>
    </row>
    <row r="3946" spans="1:21" x14ac:dyDescent="0.25">
      <c r="A3946" s="405" t="s">
        <v>310</v>
      </c>
      <c r="B3946" s="405" t="s">
        <v>28512</v>
      </c>
      <c r="C3946" s="405" t="s">
        <v>311</v>
      </c>
      <c r="D3946" s="405" t="s">
        <v>839</v>
      </c>
      <c r="E3946" s="410">
        <v>42280</v>
      </c>
      <c r="F3946" s="410">
        <v>42325</v>
      </c>
      <c r="G3946" s="405" t="s">
        <v>6375</v>
      </c>
      <c r="H3946" s="405">
        <v>772434477</v>
      </c>
      <c r="I3946" s="405"/>
      <c r="J3946" s="405">
        <v>-0.35576200000000002</v>
      </c>
      <c r="K3946" s="405">
        <v>31.726492400000001</v>
      </c>
      <c r="L3946" s="405" t="s">
        <v>314</v>
      </c>
      <c r="M3946" s="405" t="s">
        <v>361</v>
      </c>
      <c r="N3946" s="405" t="s">
        <v>410</v>
      </c>
      <c r="O3946" s="405" t="s">
        <v>410</v>
      </c>
      <c r="P3946" s="405" t="s">
        <v>6376</v>
      </c>
      <c r="Q3946" s="411">
        <v>9</v>
      </c>
      <c r="R3946" s="405" t="s">
        <v>5665</v>
      </c>
      <c r="S3946" s="405" t="s">
        <v>27115</v>
      </c>
      <c r="T3946" s="405" t="s">
        <v>32102</v>
      </c>
      <c r="U3946" s="405" t="s">
        <v>319</v>
      </c>
    </row>
    <row r="3947" spans="1:21" x14ac:dyDescent="0.25">
      <c r="A3947" s="405" t="s">
        <v>310</v>
      </c>
      <c r="B3947" s="405" t="s">
        <v>28377</v>
      </c>
      <c r="C3947" s="405" t="s">
        <v>327</v>
      </c>
      <c r="D3947" s="405"/>
      <c r="E3947" s="410">
        <v>42280</v>
      </c>
      <c r="F3947" s="410">
        <v>42353</v>
      </c>
      <c r="G3947" s="405" t="s">
        <v>22256</v>
      </c>
      <c r="H3947" s="405">
        <v>752422946</v>
      </c>
      <c r="I3947" s="405"/>
      <c r="J3947" s="405">
        <v>0.91894900000000002</v>
      </c>
      <c r="K3947" s="405">
        <v>33.287072999999999</v>
      </c>
      <c r="L3947" s="405" t="s">
        <v>590</v>
      </c>
      <c r="M3947" s="405" t="s">
        <v>7300</v>
      </c>
      <c r="N3947" s="405" t="s">
        <v>19880</v>
      </c>
      <c r="O3947" s="405" t="s">
        <v>19881</v>
      </c>
      <c r="P3947" s="405" t="s">
        <v>22257</v>
      </c>
      <c r="Q3947" s="411">
        <v>6</v>
      </c>
      <c r="R3947" s="405" t="s">
        <v>6397</v>
      </c>
      <c r="S3947" s="405" t="s">
        <v>22481</v>
      </c>
      <c r="T3947" s="405" t="s">
        <v>884</v>
      </c>
      <c r="U3947" s="405" t="s">
        <v>319</v>
      </c>
    </row>
    <row r="3948" spans="1:21" x14ac:dyDescent="0.25">
      <c r="A3948" s="405" t="s">
        <v>310</v>
      </c>
      <c r="B3948" s="405" t="s">
        <v>27913</v>
      </c>
      <c r="C3948" s="405" t="s">
        <v>327</v>
      </c>
      <c r="D3948" s="405"/>
      <c r="E3948" s="410">
        <v>42277</v>
      </c>
      <c r="F3948" s="410">
        <v>42322</v>
      </c>
      <c r="G3948" s="405" t="s">
        <v>14913</v>
      </c>
      <c r="H3948" s="405">
        <v>773680516</v>
      </c>
      <c r="I3948" s="405"/>
      <c r="J3948" s="405">
        <v>0.61614999999999998</v>
      </c>
      <c r="K3948" s="405">
        <v>33.188110000000002</v>
      </c>
      <c r="L3948" s="405" t="s">
        <v>6866</v>
      </c>
      <c r="M3948" s="405" t="s">
        <v>9590</v>
      </c>
      <c r="N3948" s="405" t="s">
        <v>10061</v>
      </c>
      <c r="O3948" s="405" t="s">
        <v>10061</v>
      </c>
      <c r="P3948" s="405" t="s">
        <v>542</v>
      </c>
      <c r="Q3948" s="411">
        <v>13</v>
      </c>
      <c r="R3948" s="405" t="s">
        <v>5336</v>
      </c>
      <c r="S3948" s="405" t="s">
        <v>27106</v>
      </c>
      <c r="T3948" s="405" t="s">
        <v>884</v>
      </c>
      <c r="U3948" s="405" t="s">
        <v>319</v>
      </c>
    </row>
    <row r="3949" spans="1:21" x14ac:dyDescent="0.25">
      <c r="A3949" s="405" t="s">
        <v>310</v>
      </c>
      <c r="B3949" s="405" t="s">
        <v>5788</v>
      </c>
      <c r="C3949" s="405" t="s">
        <v>327</v>
      </c>
      <c r="D3949" s="405"/>
      <c r="E3949" s="410">
        <v>42277</v>
      </c>
      <c r="F3949" s="410">
        <v>42322</v>
      </c>
      <c r="G3949" s="405" t="s">
        <v>5789</v>
      </c>
      <c r="H3949" s="405">
        <v>772406127</v>
      </c>
      <c r="I3949" s="405"/>
      <c r="J3949" s="405">
        <v>0.72813799999999995</v>
      </c>
      <c r="K3949" s="405">
        <v>34.152304999999998</v>
      </c>
      <c r="L3949" s="405" t="s">
        <v>314</v>
      </c>
      <c r="M3949" s="405" t="s">
        <v>675</v>
      </c>
      <c r="N3949" s="405" t="s">
        <v>3746</v>
      </c>
      <c r="O3949" s="405" t="s">
        <v>3746</v>
      </c>
      <c r="P3949" s="405" t="s">
        <v>3746</v>
      </c>
      <c r="Q3949" s="411">
        <v>13</v>
      </c>
      <c r="R3949" s="405" t="s">
        <v>5665</v>
      </c>
      <c r="S3949" s="405" t="s">
        <v>27246</v>
      </c>
      <c r="T3949" s="405" t="s">
        <v>884</v>
      </c>
      <c r="U3949" s="405" t="s">
        <v>319</v>
      </c>
    </row>
    <row r="3950" spans="1:21" x14ac:dyDescent="0.25">
      <c r="A3950" s="405" t="s">
        <v>310</v>
      </c>
      <c r="B3950" s="405" t="s">
        <v>5784</v>
      </c>
      <c r="C3950" s="405" t="s">
        <v>327</v>
      </c>
      <c r="D3950" s="405"/>
      <c r="E3950" s="410">
        <v>42277</v>
      </c>
      <c r="F3950" s="410">
        <v>42322</v>
      </c>
      <c r="G3950" s="405" t="s">
        <v>5785</v>
      </c>
      <c r="H3950" s="405">
        <v>772404451</v>
      </c>
      <c r="I3950" s="405"/>
      <c r="J3950" s="405">
        <v>0.641378</v>
      </c>
      <c r="K3950" s="405">
        <v>30.730402999999999</v>
      </c>
      <c r="L3950" s="405" t="s">
        <v>314</v>
      </c>
      <c r="M3950" s="405" t="s">
        <v>361</v>
      </c>
      <c r="N3950" s="405" t="s">
        <v>374</v>
      </c>
      <c r="O3950" s="405" t="s">
        <v>375</v>
      </c>
      <c r="P3950" s="405" t="s">
        <v>5786</v>
      </c>
      <c r="Q3950" s="411">
        <v>9</v>
      </c>
      <c r="R3950" s="405" t="s">
        <v>32101</v>
      </c>
      <c r="S3950" s="405" t="s">
        <v>27167</v>
      </c>
      <c r="T3950" s="405" t="s">
        <v>884</v>
      </c>
      <c r="U3950" s="405" t="s">
        <v>319</v>
      </c>
    </row>
    <row r="3951" spans="1:21" x14ac:dyDescent="0.25">
      <c r="A3951" s="405" t="s">
        <v>310</v>
      </c>
      <c r="B3951" s="405" t="s">
        <v>28479</v>
      </c>
      <c r="C3951" s="405" t="s">
        <v>327</v>
      </c>
      <c r="D3951" s="405"/>
      <c r="E3951" s="410">
        <v>42277</v>
      </c>
      <c r="F3951" s="410">
        <v>42322</v>
      </c>
      <c r="G3951" s="405" t="s">
        <v>14930</v>
      </c>
      <c r="H3951" s="405">
        <v>754665587</v>
      </c>
      <c r="I3951" s="405">
        <v>754665987</v>
      </c>
      <c r="J3951" s="405">
        <v>1.05003</v>
      </c>
      <c r="K3951" s="405">
        <v>34.168602</v>
      </c>
      <c r="L3951" s="405" t="s">
        <v>6866</v>
      </c>
      <c r="M3951" s="405" t="s">
        <v>9514</v>
      </c>
      <c r="N3951" s="405" t="s">
        <v>9616</v>
      </c>
      <c r="O3951" s="405" t="s">
        <v>9780</v>
      </c>
      <c r="P3951" s="405" t="s">
        <v>14889</v>
      </c>
      <c r="Q3951" s="411">
        <v>6</v>
      </c>
      <c r="R3951" s="405" t="s">
        <v>6871</v>
      </c>
      <c r="S3951" s="405" t="s">
        <v>27306</v>
      </c>
      <c r="T3951" s="405" t="s">
        <v>884</v>
      </c>
      <c r="U3951" s="405" t="s">
        <v>319</v>
      </c>
    </row>
    <row r="3952" spans="1:21" x14ac:dyDescent="0.25">
      <c r="A3952" s="405" t="s">
        <v>310</v>
      </c>
      <c r="B3952" s="405" t="s">
        <v>27946</v>
      </c>
      <c r="C3952" s="405" t="s">
        <v>327</v>
      </c>
      <c r="D3952" s="405"/>
      <c r="E3952" s="410">
        <v>42277</v>
      </c>
      <c r="F3952" s="410">
        <v>42322</v>
      </c>
      <c r="G3952" s="405" t="s">
        <v>22208</v>
      </c>
      <c r="H3952" s="405">
        <v>752370295</v>
      </c>
      <c r="I3952" s="405"/>
      <c r="J3952" s="405">
        <v>0.61678999999999995</v>
      </c>
      <c r="K3952" s="405">
        <v>30.651686999999999</v>
      </c>
      <c r="L3952" s="405" t="s">
        <v>590</v>
      </c>
      <c r="M3952" s="405" t="s">
        <v>7300</v>
      </c>
      <c r="N3952" s="405" t="s">
        <v>19880</v>
      </c>
      <c r="O3952" s="405" t="s">
        <v>19881</v>
      </c>
      <c r="P3952" s="405" t="s">
        <v>22209</v>
      </c>
      <c r="Q3952" s="411">
        <v>6</v>
      </c>
      <c r="R3952" s="405" t="s">
        <v>6397</v>
      </c>
      <c r="S3952" s="405" t="s">
        <v>22481</v>
      </c>
      <c r="T3952" s="405" t="s">
        <v>884</v>
      </c>
      <c r="U3952" s="405" t="s">
        <v>319</v>
      </c>
    </row>
    <row r="3953" spans="1:21" x14ac:dyDescent="0.25">
      <c r="A3953" s="405" t="s">
        <v>310</v>
      </c>
      <c r="B3953" s="405" t="s">
        <v>28605</v>
      </c>
      <c r="C3953" s="405" t="s">
        <v>327</v>
      </c>
      <c r="D3953" s="405"/>
      <c r="E3953" s="410">
        <v>42276</v>
      </c>
      <c r="F3953" s="410">
        <v>42321</v>
      </c>
      <c r="G3953" s="405" t="s">
        <v>14929</v>
      </c>
      <c r="H3953" s="405">
        <v>785269625</v>
      </c>
      <c r="I3953" s="405"/>
      <c r="J3953" s="405">
        <v>1.0527329999999999</v>
      </c>
      <c r="K3953" s="405">
        <v>34.163871999999998</v>
      </c>
      <c r="L3953" s="405" t="s">
        <v>6866</v>
      </c>
      <c r="M3953" s="405" t="s">
        <v>9514</v>
      </c>
      <c r="N3953" s="405" t="s">
        <v>9616</v>
      </c>
      <c r="O3953" s="405" t="s">
        <v>9780</v>
      </c>
      <c r="P3953" s="405" t="s">
        <v>14889</v>
      </c>
      <c r="Q3953" s="411">
        <v>6</v>
      </c>
      <c r="R3953" s="405" t="s">
        <v>6871</v>
      </c>
      <c r="S3953" s="405" t="s">
        <v>17062</v>
      </c>
      <c r="T3953" s="405" t="s">
        <v>865</v>
      </c>
      <c r="U3953" s="405" t="s">
        <v>866</v>
      </c>
    </row>
    <row r="3954" spans="1:21" x14ac:dyDescent="0.25">
      <c r="A3954" s="405" t="s">
        <v>310</v>
      </c>
      <c r="B3954" s="405" t="s">
        <v>5813</v>
      </c>
      <c r="C3954" s="405" t="s">
        <v>327</v>
      </c>
      <c r="D3954" s="405"/>
      <c r="E3954" s="410">
        <v>42275</v>
      </c>
      <c r="F3954" s="410">
        <v>42320</v>
      </c>
      <c r="G3954" s="405" t="s">
        <v>5814</v>
      </c>
      <c r="H3954" s="405">
        <v>772315383</v>
      </c>
      <c r="I3954" s="405"/>
      <c r="J3954" s="405">
        <v>0.55016600000000004</v>
      </c>
      <c r="K3954" s="405">
        <v>33.080967000000001</v>
      </c>
      <c r="L3954" s="405" t="s">
        <v>314</v>
      </c>
      <c r="M3954" s="405" t="s">
        <v>349</v>
      </c>
      <c r="N3954" s="405" t="s">
        <v>2107</v>
      </c>
      <c r="O3954" s="405" t="s">
        <v>2107</v>
      </c>
      <c r="P3954" s="405" t="s">
        <v>5815</v>
      </c>
      <c r="Q3954" s="411">
        <v>13</v>
      </c>
      <c r="R3954" s="405" t="s">
        <v>525</v>
      </c>
      <c r="S3954" s="405" t="s">
        <v>27225</v>
      </c>
      <c r="T3954" s="405" t="s">
        <v>32102</v>
      </c>
      <c r="U3954" s="405" t="s">
        <v>319</v>
      </c>
    </row>
    <row r="3955" spans="1:21" x14ac:dyDescent="0.25">
      <c r="A3955" s="405" t="s">
        <v>310</v>
      </c>
      <c r="B3955" s="405" t="s">
        <v>27927</v>
      </c>
      <c r="C3955" s="405" t="s">
        <v>327</v>
      </c>
      <c r="D3955" s="405"/>
      <c r="E3955" s="410">
        <v>42275</v>
      </c>
      <c r="F3955" s="410">
        <v>42320</v>
      </c>
      <c r="G3955" s="405" t="s">
        <v>5809</v>
      </c>
      <c r="H3955" s="405">
        <v>772859217</v>
      </c>
      <c r="I3955" s="405"/>
      <c r="J3955" s="405">
        <v>0.29925000000000002</v>
      </c>
      <c r="K3955" s="405">
        <v>31.796492000000001</v>
      </c>
      <c r="L3955" s="405" t="s">
        <v>314</v>
      </c>
      <c r="M3955" s="405" t="s">
        <v>382</v>
      </c>
      <c r="N3955" s="405" t="s">
        <v>988</v>
      </c>
      <c r="O3955" s="405" t="s">
        <v>1076</v>
      </c>
      <c r="P3955" s="405" t="s">
        <v>5810</v>
      </c>
      <c r="Q3955" s="411">
        <v>6</v>
      </c>
      <c r="R3955" s="405" t="s">
        <v>5739</v>
      </c>
      <c r="S3955" s="405" t="s">
        <v>27186</v>
      </c>
      <c r="T3955" s="405" t="s">
        <v>6551</v>
      </c>
      <c r="U3955" s="405" t="s">
        <v>2267</v>
      </c>
    </row>
    <row r="3956" spans="1:21" x14ac:dyDescent="0.25">
      <c r="A3956" s="405" t="s">
        <v>310</v>
      </c>
      <c r="B3956" s="405" t="s">
        <v>28383</v>
      </c>
      <c r="C3956" s="405" t="s">
        <v>327</v>
      </c>
      <c r="D3956" s="405"/>
      <c r="E3956" s="410">
        <v>42274</v>
      </c>
      <c r="F3956" s="410">
        <v>42319</v>
      </c>
      <c r="G3956" s="405" t="s">
        <v>5808</v>
      </c>
      <c r="H3956" s="405">
        <v>705170271</v>
      </c>
      <c r="I3956" s="405"/>
      <c r="J3956" s="405">
        <v>0.17439299999999999</v>
      </c>
      <c r="K3956" s="405">
        <v>32.554313</v>
      </c>
      <c r="L3956" s="405" t="s">
        <v>314</v>
      </c>
      <c r="M3956" s="405" t="s">
        <v>382</v>
      </c>
      <c r="N3956" s="405" t="s">
        <v>2265</v>
      </c>
      <c r="O3956" s="405" t="s">
        <v>1260</v>
      </c>
      <c r="P3956" s="405" t="s">
        <v>3691</v>
      </c>
      <c r="Q3956" s="411">
        <v>6</v>
      </c>
      <c r="R3956" s="405" t="s">
        <v>5739</v>
      </c>
      <c r="S3956" s="405" t="s">
        <v>27186</v>
      </c>
      <c r="T3956" s="405" t="s">
        <v>865</v>
      </c>
      <c r="U3956" s="405" t="s">
        <v>866</v>
      </c>
    </row>
    <row r="3957" spans="1:21" x14ac:dyDescent="0.25">
      <c r="A3957" s="405" t="s">
        <v>310</v>
      </c>
      <c r="B3957" s="405" t="s">
        <v>5778</v>
      </c>
      <c r="C3957" s="405" t="s">
        <v>327</v>
      </c>
      <c r="D3957" s="405"/>
      <c r="E3957" s="410">
        <v>42274</v>
      </c>
      <c r="F3957" s="410">
        <v>42319</v>
      </c>
      <c r="G3957" s="405" t="s">
        <v>5779</v>
      </c>
      <c r="H3957" s="405">
        <v>775471339</v>
      </c>
      <c r="I3957" s="405"/>
      <c r="J3957" s="405">
        <v>0.95130700000000001</v>
      </c>
      <c r="K3957" s="405">
        <v>31.567509999999999</v>
      </c>
      <c r="L3957" s="405" t="s">
        <v>314</v>
      </c>
      <c r="M3957" s="405" t="s">
        <v>1360</v>
      </c>
      <c r="N3957" s="405" t="s">
        <v>5564</v>
      </c>
      <c r="O3957" s="405" t="s">
        <v>1361</v>
      </c>
      <c r="P3957" s="405" t="s">
        <v>5780</v>
      </c>
      <c r="Q3957" s="411">
        <v>6</v>
      </c>
      <c r="R3957" s="405" t="s">
        <v>32101</v>
      </c>
      <c r="S3957" s="405" t="s">
        <v>414</v>
      </c>
      <c r="T3957" s="405" t="s">
        <v>884</v>
      </c>
      <c r="U3957" s="405" t="s">
        <v>319</v>
      </c>
    </row>
    <row r="3958" spans="1:21" x14ac:dyDescent="0.25">
      <c r="A3958" s="405" t="s">
        <v>310</v>
      </c>
      <c r="B3958" s="405" t="s">
        <v>22194</v>
      </c>
      <c r="C3958" s="405" t="s">
        <v>327</v>
      </c>
      <c r="D3958" s="405"/>
      <c r="E3958" s="410">
        <v>42273</v>
      </c>
      <c r="F3958" s="410">
        <v>42318</v>
      </c>
      <c r="G3958" s="405" t="s">
        <v>22195</v>
      </c>
      <c r="H3958" s="405">
        <v>772409018</v>
      </c>
      <c r="I3958" s="405"/>
      <c r="J3958" s="405">
        <v>0.15112700000000001</v>
      </c>
      <c r="K3958" s="405">
        <v>30.405812000000001</v>
      </c>
      <c r="L3958" s="405" t="s">
        <v>590</v>
      </c>
      <c r="M3958" s="405" t="s">
        <v>19659</v>
      </c>
      <c r="N3958" s="405" t="s">
        <v>19664</v>
      </c>
      <c r="O3958" s="405" t="s">
        <v>22196</v>
      </c>
      <c r="P3958" s="405" t="s">
        <v>22197</v>
      </c>
      <c r="Q3958" s="411">
        <v>6</v>
      </c>
      <c r="R3958" s="405" t="s">
        <v>6572</v>
      </c>
      <c r="S3958" s="405" t="s">
        <v>27394</v>
      </c>
      <c r="T3958" s="405" t="s">
        <v>884</v>
      </c>
      <c r="U3958" s="405" t="s">
        <v>319</v>
      </c>
    </row>
    <row r="3959" spans="1:21" x14ac:dyDescent="0.25">
      <c r="A3959" s="405" t="s">
        <v>310</v>
      </c>
      <c r="B3959" s="405" t="s">
        <v>28549</v>
      </c>
      <c r="C3959" s="405" t="s">
        <v>327</v>
      </c>
      <c r="D3959" s="405"/>
      <c r="E3959" s="410">
        <v>42272</v>
      </c>
      <c r="F3959" s="410">
        <v>42317</v>
      </c>
      <c r="G3959" s="405" t="s">
        <v>22201</v>
      </c>
      <c r="H3959" s="405">
        <v>779086632</v>
      </c>
      <c r="I3959" s="405"/>
      <c r="J3959" s="405">
        <v>0.32319999999999999</v>
      </c>
      <c r="K3959" s="405">
        <v>30.152799999999999</v>
      </c>
      <c r="L3959" s="405" t="s">
        <v>590</v>
      </c>
      <c r="M3959" s="405" t="s">
        <v>19625</v>
      </c>
      <c r="N3959" s="405" t="s">
        <v>19642</v>
      </c>
      <c r="O3959" s="405" t="s">
        <v>22097</v>
      </c>
      <c r="P3959" s="405" t="s">
        <v>22202</v>
      </c>
      <c r="Q3959" s="411">
        <v>9</v>
      </c>
      <c r="R3959" s="405" t="s">
        <v>6943</v>
      </c>
      <c r="S3959" s="405" t="s">
        <v>27065</v>
      </c>
      <c r="T3959" s="405" t="s">
        <v>884</v>
      </c>
      <c r="U3959" s="405" t="s">
        <v>319</v>
      </c>
    </row>
    <row r="3960" spans="1:21" x14ac:dyDescent="0.25">
      <c r="A3960" s="405" t="s">
        <v>310</v>
      </c>
      <c r="B3960" s="405" t="s">
        <v>14916</v>
      </c>
      <c r="C3960" s="405" t="s">
        <v>327</v>
      </c>
      <c r="D3960" s="405"/>
      <c r="E3960" s="410">
        <v>42272</v>
      </c>
      <c r="F3960" s="410">
        <v>42317</v>
      </c>
      <c r="G3960" s="405" t="s">
        <v>14917</v>
      </c>
      <c r="H3960" s="405">
        <v>754064452</v>
      </c>
      <c r="I3960" s="405"/>
      <c r="J3960" s="405">
        <v>0.75055799999999995</v>
      </c>
      <c r="K3960" s="405">
        <v>33.882899000000002</v>
      </c>
      <c r="L3960" s="405" t="s">
        <v>6866</v>
      </c>
      <c r="M3960" s="405" t="s">
        <v>9566</v>
      </c>
      <c r="N3960" s="405" t="s">
        <v>14784</v>
      </c>
      <c r="O3960" s="405" t="s">
        <v>9788</v>
      </c>
      <c r="P3960" s="405" t="s">
        <v>14918</v>
      </c>
      <c r="Q3960" s="411">
        <v>6</v>
      </c>
      <c r="R3960" s="405" t="s">
        <v>7224</v>
      </c>
      <c r="S3960" s="405" t="s">
        <v>27142</v>
      </c>
      <c r="T3960" s="405" t="s">
        <v>6551</v>
      </c>
      <c r="U3960" s="405" t="s">
        <v>2267</v>
      </c>
    </row>
    <row r="3961" spans="1:21" x14ac:dyDescent="0.25">
      <c r="A3961" s="405" t="s">
        <v>310</v>
      </c>
      <c r="B3961" s="405" t="s">
        <v>14949</v>
      </c>
      <c r="C3961" s="405" t="s">
        <v>327</v>
      </c>
      <c r="D3961" s="405"/>
      <c r="E3961" s="410">
        <v>42272</v>
      </c>
      <c r="F3961" s="410">
        <v>42317</v>
      </c>
      <c r="G3961" s="405" t="s">
        <v>14950</v>
      </c>
      <c r="H3961" s="405">
        <v>776744979</v>
      </c>
      <c r="I3961" s="405"/>
      <c r="J3961" s="405">
        <v>1.40374</v>
      </c>
      <c r="K3961" s="405">
        <v>34.414777000000001</v>
      </c>
      <c r="L3961" s="405" t="s">
        <v>6866</v>
      </c>
      <c r="M3961" s="405" t="s">
        <v>9685</v>
      </c>
      <c r="N3961" s="405" t="s">
        <v>9686</v>
      </c>
      <c r="O3961" s="405" t="s">
        <v>14943</v>
      </c>
      <c r="P3961" s="405" t="s">
        <v>14951</v>
      </c>
      <c r="Q3961" s="411">
        <v>6</v>
      </c>
      <c r="R3961" s="405" t="s">
        <v>9506</v>
      </c>
      <c r="S3961" s="405" t="s">
        <v>27337</v>
      </c>
      <c r="T3961" s="405" t="s">
        <v>6551</v>
      </c>
      <c r="U3961" s="405" t="s">
        <v>2267</v>
      </c>
    </row>
    <row r="3962" spans="1:21" x14ac:dyDescent="0.25">
      <c r="A3962" s="405" t="s">
        <v>310</v>
      </c>
      <c r="B3962" s="405" t="s">
        <v>14945</v>
      </c>
      <c r="C3962" s="405" t="s">
        <v>327</v>
      </c>
      <c r="D3962" s="405"/>
      <c r="E3962" s="410">
        <v>42272</v>
      </c>
      <c r="F3962" s="410">
        <v>42317</v>
      </c>
      <c r="G3962" s="405" t="s">
        <v>14946</v>
      </c>
      <c r="H3962" s="405">
        <v>704128222</v>
      </c>
      <c r="I3962" s="405"/>
      <c r="J3962" s="405">
        <v>1.2000930000000001</v>
      </c>
      <c r="K3962" s="405">
        <v>34.320135000000001</v>
      </c>
      <c r="L3962" s="405" t="s">
        <v>6866</v>
      </c>
      <c r="M3962" s="405" t="s">
        <v>9685</v>
      </c>
      <c r="N3962" s="405" t="s">
        <v>9686</v>
      </c>
      <c r="O3962" s="405" t="s">
        <v>14947</v>
      </c>
      <c r="P3962" s="405" t="s">
        <v>14948</v>
      </c>
      <c r="Q3962" s="411">
        <v>6</v>
      </c>
      <c r="R3962" s="405" t="s">
        <v>9506</v>
      </c>
      <c r="S3962" s="405" t="s">
        <v>27294</v>
      </c>
      <c r="T3962" s="405" t="s">
        <v>884</v>
      </c>
      <c r="U3962" s="405" t="s">
        <v>319</v>
      </c>
    </row>
    <row r="3963" spans="1:21" x14ac:dyDescent="0.25">
      <c r="A3963" s="405" t="s">
        <v>310</v>
      </c>
      <c r="B3963" s="405" t="s">
        <v>27788</v>
      </c>
      <c r="C3963" s="405" t="s">
        <v>327</v>
      </c>
      <c r="D3963" s="405"/>
      <c r="E3963" s="410">
        <v>42271</v>
      </c>
      <c r="F3963" s="410">
        <v>42316</v>
      </c>
      <c r="G3963" s="405" t="s">
        <v>14934</v>
      </c>
      <c r="H3963" s="405">
        <v>704490506</v>
      </c>
      <c r="I3963" s="405"/>
      <c r="J3963" s="405">
        <v>1.212639</v>
      </c>
      <c r="K3963" s="405">
        <v>34.318792000000002</v>
      </c>
      <c r="L3963" s="405" t="s">
        <v>6866</v>
      </c>
      <c r="M3963" s="405" t="s">
        <v>9550</v>
      </c>
      <c r="N3963" s="405" t="s">
        <v>9550</v>
      </c>
      <c r="O3963" s="405" t="s">
        <v>14935</v>
      </c>
      <c r="P3963" s="405" t="s">
        <v>14936</v>
      </c>
      <c r="Q3963" s="411">
        <v>6</v>
      </c>
      <c r="R3963" s="405" t="s">
        <v>9506</v>
      </c>
      <c r="S3963" s="405" t="s">
        <v>27294</v>
      </c>
      <c r="T3963" s="405" t="s">
        <v>6551</v>
      </c>
      <c r="U3963" s="405" t="s">
        <v>2267</v>
      </c>
    </row>
    <row r="3964" spans="1:21" x14ac:dyDescent="0.25">
      <c r="A3964" s="405" t="s">
        <v>310</v>
      </c>
      <c r="B3964" s="405" t="s">
        <v>14937</v>
      </c>
      <c r="C3964" s="405" t="s">
        <v>327</v>
      </c>
      <c r="D3964" s="405"/>
      <c r="E3964" s="410">
        <v>42270</v>
      </c>
      <c r="F3964" s="410">
        <v>42315</v>
      </c>
      <c r="G3964" s="405" t="s">
        <v>14938</v>
      </c>
      <c r="H3964" s="405">
        <v>777000002</v>
      </c>
      <c r="I3964" s="405"/>
      <c r="J3964" s="405">
        <v>1.341418</v>
      </c>
      <c r="K3964" s="405">
        <v>34.687738000000003</v>
      </c>
      <c r="L3964" s="405" t="s">
        <v>6866</v>
      </c>
      <c r="M3964" s="405" t="s">
        <v>9685</v>
      </c>
      <c r="N3964" s="405" t="s">
        <v>10164</v>
      </c>
      <c r="O3964" s="405" t="s">
        <v>14939</v>
      </c>
      <c r="P3964" s="405" t="s">
        <v>14940</v>
      </c>
      <c r="Q3964" s="411">
        <v>6</v>
      </c>
      <c r="R3964" s="405" t="s">
        <v>9506</v>
      </c>
      <c r="S3964" s="405" t="s">
        <v>27184</v>
      </c>
      <c r="T3964" s="405" t="s">
        <v>884</v>
      </c>
      <c r="U3964" s="405" t="s">
        <v>319</v>
      </c>
    </row>
    <row r="3965" spans="1:21" x14ac:dyDescent="0.25">
      <c r="A3965" s="405" t="s">
        <v>310</v>
      </c>
      <c r="B3965" s="405" t="s">
        <v>14914</v>
      </c>
      <c r="C3965" s="405" t="s">
        <v>327</v>
      </c>
      <c r="D3965" s="405"/>
      <c r="E3965" s="410">
        <v>42270</v>
      </c>
      <c r="F3965" s="410">
        <v>42315</v>
      </c>
      <c r="G3965" s="405" t="s">
        <v>14915</v>
      </c>
      <c r="H3965" s="405">
        <v>754830266</v>
      </c>
      <c r="I3965" s="405"/>
      <c r="J3965" s="405">
        <v>0.75055799999999995</v>
      </c>
      <c r="K3965" s="405">
        <v>33.882899000000002</v>
      </c>
      <c r="L3965" s="405" t="s">
        <v>6866</v>
      </c>
      <c r="M3965" s="405" t="s">
        <v>9566</v>
      </c>
      <c r="N3965" s="405" t="s">
        <v>14784</v>
      </c>
      <c r="O3965" s="405" t="s">
        <v>9788</v>
      </c>
      <c r="P3965" s="405" t="s">
        <v>13882</v>
      </c>
      <c r="Q3965" s="411">
        <v>6</v>
      </c>
      <c r="R3965" s="405" t="s">
        <v>7224</v>
      </c>
      <c r="S3965" s="405" t="s">
        <v>27294</v>
      </c>
      <c r="T3965" s="405" t="s">
        <v>884</v>
      </c>
      <c r="U3965" s="405" t="s">
        <v>319</v>
      </c>
    </row>
    <row r="3966" spans="1:21" x14ac:dyDescent="0.25">
      <c r="A3966" s="405" t="s">
        <v>310</v>
      </c>
      <c r="B3966" s="405" t="s">
        <v>14927</v>
      </c>
      <c r="C3966" s="405" t="s">
        <v>327</v>
      </c>
      <c r="D3966" s="405"/>
      <c r="E3966" s="410">
        <v>42269</v>
      </c>
      <c r="F3966" s="410">
        <v>42314</v>
      </c>
      <c r="G3966" s="405" t="s">
        <v>14928</v>
      </c>
      <c r="H3966" s="405">
        <v>704006105</v>
      </c>
      <c r="I3966" s="405">
        <v>788793586</v>
      </c>
      <c r="J3966" s="405">
        <v>1.044807</v>
      </c>
      <c r="K3966" s="405">
        <v>34.164520000000003</v>
      </c>
      <c r="L3966" s="405" t="s">
        <v>6866</v>
      </c>
      <c r="M3966" s="405" t="s">
        <v>9514</v>
      </c>
      <c r="N3966" s="405" t="s">
        <v>9616</v>
      </c>
      <c r="O3966" s="405" t="s">
        <v>9780</v>
      </c>
      <c r="P3966" s="405" t="s">
        <v>9783</v>
      </c>
      <c r="Q3966" s="411">
        <v>6</v>
      </c>
      <c r="R3966" s="405" t="s">
        <v>6871</v>
      </c>
      <c r="S3966" s="405" t="s">
        <v>17013</v>
      </c>
      <c r="T3966" s="405" t="s">
        <v>884</v>
      </c>
      <c r="U3966" s="405" t="s">
        <v>319</v>
      </c>
    </row>
    <row r="3967" spans="1:21" x14ac:dyDescent="0.25">
      <c r="A3967" s="405" t="s">
        <v>310</v>
      </c>
      <c r="B3967" s="405" t="s">
        <v>28180</v>
      </c>
      <c r="C3967" s="405" t="s">
        <v>327</v>
      </c>
      <c r="D3967" s="405"/>
      <c r="E3967" s="410">
        <v>42269</v>
      </c>
      <c r="F3967" s="410">
        <v>42314</v>
      </c>
      <c r="G3967" s="405" t="s">
        <v>5776</v>
      </c>
      <c r="H3967" s="405">
        <v>777423101</v>
      </c>
      <c r="I3967" s="405"/>
      <c r="J3967" s="405">
        <v>0.94491800000000004</v>
      </c>
      <c r="K3967" s="405">
        <v>31.483485000000002</v>
      </c>
      <c r="L3967" s="405" t="s">
        <v>314</v>
      </c>
      <c r="M3967" s="405" t="s">
        <v>1360</v>
      </c>
      <c r="N3967" s="405" t="s">
        <v>5564</v>
      </c>
      <c r="O3967" s="405" t="s">
        <v>411</v>
      </c>
      <c r="P3967" s="405" t="s">
        <v>5777</v>
      </c>
      <c r="Q3967" s="411">
        <v>6</v>
      </c>
      <c r="R3967" s="405" t="s">
        <v>32101</v>
      </c>
      <c r="S3967" s="405" t="s">
        <v>414</v>
      </c>
      <c r="T3967" s="405" t="s">
        <v>884</v>
      </c>
      <c r="U3967" s="405" t="s">
        <v>319</v>
      </c>
    </row>
    <row r="3968" spans="1:21" x14ac:dyDescent="0.25">
      <c r="A3968" s="405" t="s">
        <v>310</v>
      </c>
      <c r="B3968" s="405" t="s">
        <v>14921</v>
      </c>
      <c r="C3968" s="405" t="s">
        <v>327</v>
      </c>
      <c r="D3968" s="405"/>
      <c r="E3968" s="410">
        <v>42268</v>
      </c>
      <c r="F3968" s="410">
        <v>42313</v>
      </c>
      <c r="G3968" s="405" t="s">
        <v>14922</v>
      </c>
      <c r="H3968" s="405">
        <v>787180596</v>
      </c>
      <c r="I3968" s="405"/>
      <c r="J3968" s="405">
        <v>1.048942</v>
      </c>
      <c r="K3968" s="405">
        <v>34.155982999999999</v>
      </c>
      <c r="L3968" s="405" t="s">
        <v>6866</v>
      </c>
      <c r="M3968" s="405" t="s">
        <v>9514</v>
      </c>
      <c r="N3968" s="405" t="s">
        <v>9616</v>
      </c>
      <c r="O3968" s="405" t="s">
        <v>9780</v>
      </c>
      <c r="P3968" s="405" t="s">
        <v>14874</v>
      </c>
      <c r="Q3968" s="411">
        <v>6</v>
      </c>
      <c r="R3968" s="405" t="s">
        <v>6871</v>
      </c>
      <c r="S3968" s="405" t="s">
        <v>17013</v>
      </c>
      <c r="T3968" s="405" t="s">
        <v>884</v>
      </c>
      <c r="U3968" s="405" t="s">
        <v>319</v>
      </c>
    </row>
    <row r="3969" spans="1:21" x14ac:dyDescent="0.25">
      <c r="A3969" s="405" t="s">
        <v>310</v>
      </c>
      <c r="B3969" s="405" t="s">
        <v>27614</v>
      </c>
      <c r="C3969" s="405" t="s">
        <v>327</v>
      </c>
      <c r="D3969" s="405"/>
      <c r="E3969" s="410">
        <v>42267</v>
      </c>
      <c r="F3969" s="410">
        <v>42312</v>
      </c>
      <c r="G3969" s="405" t="s">
        <v>5775</v>
      </c>
      <c r="H3969" s="405">
        <v>772460900</v>
      </c>
      <c r="I3969" s="405"/>
      <c r="J3969" s="405">
        <v>0.353043</v>
      </c>
      <c r="K3969" s="405">
        <v>32.784286999999999</v>
      </c>
      <c r="L3969" s="405" t="s">
        <v>314</v>
      </c>
      <c r="M3969" s="405" t="s">
        <v>361</v>
      </c>
      <c r="N3969" s="405" t="s">
        <v>374</v>
      </c>
      <c r="O3969" s="405" t="s">
        <v>410</v>
      </c>
      <c r="P3969" s="405" t="s">
        <v>3554</v>
      </c>
      <c r="Q3969" s="411">
        <v>13</v>
      </c>
      <c r="R3969" s="405" t="s">
        <v>32101</v>
      </c>
      <c r="S3969" s="405" t="s">
        <v>414</v>
      </c>
      <c r="T3969" s="405" t="s">
        <v>884</v>
      </c>
      <c r="U3969" s="405" t="s">
        <v>319</v>
      </c>
    </row>
    <row r="3970" spans="1:21" x14ac:dyDescent="0.25">
      <c r="A3970" s="405" t="s">
        <v>310</v>
      </c>
      <c r="B3970" s="405" t="s">
        <v>14941</v>
      </c>
      <c r="C3970" s="405" t="s">
        <v>327</v>
      </c>
      <c r="D3970" s="405"/>
      <c r="E3970" s="410">
        <v>42267</v>
      </c>
      <c r="F3970" s="410">
        <v>42312</v>
      </c>
      <c r="G3970" s="405" t="s">
        <v>14942</v>
      </c>
      <c r="H3970" s="405">
        <v>787174113</v>
      </c>
      <c r="I3970" s="405"/>
      <c r="J3970" s="405">
        <v>1.4067719999999999</v>
      </c>
      <c r="K3970" s="405">
        <v>34.419352000000003</v>
      </c>
      <c r="L3970" s="405" t="s">
        <v>6866</v>
      </c>
      <c r="M3970" s="405" t="s">
        <v>9685</v>
      </c>
      <c r="N3970" s="405" t="s">
        <v>9686</v>
      </c>
      <c r="O3970" s="405" t="s">
        <v>14943</v>
      </c>
      <c r="P3970" s="405" t="s">
        <v>14944</v>
      </c>
      <c r="Q3970" s="411">
        <v>6</v>
      </c>
      <c r="R3970" s="405" t="s">
        <v>9506</v>
      </c>
      <c r="S3970" s="405" t="s">
        <v>27169</v>
      </c>
      <c r="T3970" s="405" t="s">
        <v>884</v>
      </c>
      <c r="U3970" s="405" t="s">
        <v>319</v>
      </c>
    </row>
    <row r="3971" spans="1:21" x14ac:dyDescent="0.25">
      <c r="A3971" s="405" t="s">
        <v>310</v>
      </c>
      <c r="B3971" s="405" t="s">
        <v>14952</v>
      </c>
      <c r="C3971" s="405" t="s">
        <v>327</v>
      </c>
      <c r="D3971" s="405"/>
      <c r="E3971" s="410">
        <v>42267</v>
      </c>
      <c r="F3971" s="410">
        <v>42312</v>
      </c>
      <c r="G3971" s="405" t="s">
        <v>14953</v>
      </c>
      <c r="H3971" s="405">
        <v>777855385</v>
      </c>
      <c r="I3971" s="405"/>
      <c r="J3971" s="405">
        <v>1.695532</v>
      </c>
      <c r="K3971" s="405">
        <v>33.602119999999999</v>
      </c>
      <c r="L3971" s="405" t="s">
        <v>6866</v>
      </c>
      <c r="M3971" s="405" t="s">
        <v>9658</v>
      </c>
      <c r="N3971" s="405" t="s">
        <v>14954</v>
      </c>
      <c r="O3971" s="405" t="s">
        <v>14954</v>
      </c>
      <c r="P3971" s="405" t="s">
        <v>11285</v>
      </c>
      <c r="Q3971" s="411">
        <v>6</v>
      </c>
      <c r="R3971" s="405" t="s">
        <v>5655</v>
      </c>
      <c r="S3971" s="405" t="s">
        <v>27056</v>
      </c>
      <c r="T3971" s="405" t="s">
        <v>884</v>
      </c>
      <c r="U3971" s="405" t="s">
        <v>319</v>
      </c>
    </row>
    <row r="3972" spans="1:21" x14ac:dyDescent="0.25">
      <c r="A3972" s="405" t="s">
        <v>310</v>
      </c>
      <c r="B3972" s="405" t="s">
        <v>29082</v>
      </c>
      <c r="C3972" s="405" t="s">
        <v>327</v>
      </c>
      <c r="D3972" s="405"/>
      <c r="E3972" s="410">
        <v>42266</v>
      </c>
      <c r="F3972" s="410">
        <v>42311</v>
      </c>
      <c r="G3972" s="405" t="s">
        <v>14919</v>
      </c>
      <c r="H3972" s="405">
        <v>756561132</v>
      </c>
      <c r="I3972" s="405"/>
      <c r="J3972" s="405">
        <v>0.32726699999999997</v>
      </c>
      <c r="K3972" s="405">
        <v>33.984748000000003</v>
      </c>
      <c r="L3972" s="405" t="s">
        <v>6866</v>
      </c>
      <c r="M3972" s="405" t="s">
        <v>9566</v>
      </c>
      <c r="N3972" s="405" t="s">
        <v>14784</v>
      </c>
      <c r="O3972" s="405" t="s">
        <v>9788</v>
      </c>
      <c r="P3972" s="405" t="s">
        <v>14920</v>
      </c>
      <c r="Q3972" s="411">
        <v>6</v>
      </c>
      <c r="R3972" s="405" t="s">
        <v>7224</v>
      </c>
      <c r="S3972" s="405" t="s">
        <v>27204</v>
      </c>
      <c r="T3972" s="405" t="s">
        <v>884</v>
      </c>
      <c r="U3972" s="405" t="s">
        <v>319</v>
      </c>
    </row>
    <row r="3973" spans="1:21" x14ac:dyDescent="0.25">
      <c r="A3973" s="405" t="s">
        <v>310</v>
      </c>
      <c r="B3973" s="405" t="s">
        <v>5781</v>
      </c>
      <c r="C3973" s="405" t="s">
        <v>327</v>
      </c>
      <c r="D3973" s="405"/>
      <c r="E3973" s="410">
        <v>42266</v>
      </c>
      <c r="F3973" s="410">
        <v>42311</v>
      </c>
      <c r="G3973" s="405" t="s">
        <v>5782</v>
      </c>
      <c r="H3973" s="405">
        <v>785497090</v>
      </c>
      <c r="I3973" s="405"/>
      <c r="J3973" s="405">
        <v>0.60765499999999995</v>
      </c>
      <c r="K3973" s="405">
        <v>31.383552999999999</v>
      </c>
      <c r="L3973" s="405" t="s">
        <v>314</v>
      </c>
      <c r="M3973" s="405" t="s">
        <v>445</v>
      </c>
      <c r="N3973" s="405" t="s">
        <v>446</v>
      </c>
      <c r="O3973" s="405" t="s">
        <v>2953</v>
      </c>
      <c r="P3973" s="405" t="s">
        <v>5783</v>
      </c>
      <c r="Q3973" s="411">
        <v>6</v>
      </c>
      <c r="R3973" s="405" t="s">
        <v>32101</v>
      </c>
      <c r="S3973" s="405" t="s">
        <v>27054</v>
      </c>
      <c r="T3973" s="405" t="s">
        <v>884</v>
      </c>
      <c r="U3973" s="405" t="s">
        <v>319</v>
      </c>
    </row>
    <row r="3974" spans="1:21" x14ac:dyDescent="0.25">
      <c r="A3974" s="405" t="s">
        <v>310</v>
      </c>
      <c r="B3974" s="405" t="s">
        <v>28364</v>
      </c>
      <c r="C3974" s="405" t="s">
        <v>311</v>
      </c>
      <c r="D3974" s="405" t="s">
        <v>1789</v>
      </c>
      <c r="E3974" s="410">
        <v>42265</v>
      </c>
      <c r="F3974" s="410">
        <v>42310</v>
      </c>
      <c r="G3974" s="405" t="s">
        <v>15277</v>
      </c>
      <c r="H3974" s="405">
        <v>759353762</v>
      </c>
      <c r="I3974" s="405"/>
      <c r="J3974" s="405">
        <v>0.78288199999999997</v>
      </c>
      <c r="K3974" s="405">
        <v>33.846317999999997</v>
      </c>
      <c r="L3974" s="405" t="s">
        <v>6866</v>
      </c>
      <c r="M3974" s="405" t="s">
        <v>9566</v>
      </c>
      <c r="N3974" s="405" t="s">
        <v>14784</v>
      </c>
      <c r="O3974" s="405" t="s">
        <v>13884</v>
      </c>
      <c r="P3974" s="405" t="s">
        <v>15278</v>
      </c>
      <c r="Q3974" s="411">
        <v>6</v>
      </c>
      <c r="R3974" s="405" t="s">
        <v>7224</v>
      </c>
      <c r="S3974" s="405" t="s">
        <v>27203</v>
      </c>
      <c r="T3974" s="405" t="s">
        <v>884</v>
      </c>
      <c r="U3974" s="405" t="s">
        <v>319</v>
      </c>
    </row>
    <row r="3975" spans="1:21" x14ac:dyDescent="0.25">
      <c r="A3975" s="405" t="s">
        <v>310</v>
      </c>
      <c r="B3975" s="405" t="s">
        <v>14931</v>
      </c>
      <c r="C3975" s="405" t="s">
        <v>327</v>
      </c>
      <c r="D3975" s="405"/>
      <c r="E3975" s="410">
        <v>42265</v>
      </c>
      <c r="F3975" s="410">
        <v>42310</v>
      </c>
      <c r="G3975" s="405" t="s">
        <v>14932</v>
      </c>
      <c r="H3975" s="405">
        <v>781059397</v>
      </c>
      <c r="I3975" s="405">
        <v>753754085</v>
      </c>
      <c r="J3975" s="405">
        <v>1.4023030000000001</v>
      </c>
      <c r="K3975" s="405">
        <v>34.628805</v>
      </c>
      <c r="L3975" s="405" t="s">
        <v>6866</v>
      </c>
      <c r="M3975" s="405" t="s">
        <v>9705</v>
      </c>
      <c r="N3975" s="405" t="s">
        <v>9706</v>
      </c>
      <c r="O3975" s="405" t="s">
        <v>9706</v>
      </c>
      <c r="P3975" s="405" t="s">
        <v>14933</v>
      </c>
      <c r="Q3975" s="411">
        <v>6</v>
      </c>
      <c r="R3975" s="405" t="s">
        <v>9506</v>
      </c>
      <c r="S3975" s="405" t="s">
        <v>27337</v>
      </c>
      <c r="T3975" s="405" t="s">
        <v>884</v>
      </c>
      <c r="U3975" s="405" t="s">
        <v>319</v>
      </c>
    </row>
    <row r="3976" spans="1:21" x14ac:dyDescent="0.25">
      <c r="A3976" s="405" t="s">
        <v>310</v>
      </c>
      <c r="B3976" s="405" t="s">
        <v>14925</v>
      </c>
      <c r="C3976" s="405" t="s">
        <v>327</v>
      </c>
      <c r="D3976" s="405"/>
      <c r="E3976" s="410">
        <v>42264</v>
      </c>
      <c r="F3976" s="410">
        <v>42309</v>
      </c>
      <c r="G3976" s="405" t="s">
        <v>14926</v>
      </c>
      <c r="H3976" s="405">
        <v>791207745</v>
      </c>
      <c r="I3976" s="405">
        <v>781207745</v>
      </c>
      <c r="J3976" s="405">
        <v>1.0493300000000001</v>
      </c>
      <c r="K3976" s="405">
        <v>34.168030000000002</v>
      </c>
      <c r="L3976" s="405" t="s">
        <v>6866</v>
      </c>
      <c r="M3976" s="405" t="s">
        <v>9514</v>
      </c>
      <c r="N3976" s="405" t="s">
        <v>9616</v>
      </c>
      <c r="O3976" s="405" t="s">
        <v>9780</v>
      </c>
      <c r="P3976" s="405" t="s">
        <v>14889</v>
      </c>
      <c r="Q3976" s="411">
        <v>6</v>
      </c>
      <c r="R3976" s="405" t="s">
        <v>6871</v>
      </c>
      <c r="S3976" s="405" t="s">
        <v>27306</v>
      </c>
      <c r="T3976" s="405" t="s">
        <v>884</v>
      </c>
      <c r="U3976" s="405" t="s">
        <v>319</v>
      </c>
    </row>
    <row r="3977" spans="1:21" x14ac:dyDescent="0.25">
      <c r="A3977" s="405" t="s">
        <v>310</v>
      </c>
      <c r="B3977" s="405" t="s">
        <v>5797</v>
      </c>
      <c r="C3977" s="405" t="s">
        <v>327</v>
      </c>
      <c r="D3977" s="405"/>
      <c r="E3977" s="410">
        <v>42264</v>
      </c>
      <c r="F3977" s="410">
        <v>42309</v>
      </c>
      <c r="G3977" s="405" t="s">
        <v>5798</v>
      </c>
      <c r="H3977" s="405">
        <v>754720916</v>
      </c>
      <c r="I3977" s="405"/>
      <c r="J3977" s="405">
        <v>0.138487</v>
      </c>
      <c r="K3977" s="405">
        <v>31.603448</v>
      </c>
      <c r="L3977" s="405" t="s">
        <v>314</v>
      </c>
      <c r="M3977" s="405" t="s">
        <v>1080</v>
      </c>
      <c r="N3977" s="405" t="s">
        <v>1080</v>
      </c>
      <c r="O3977" s="405" t="s">
        <v>5799</v>
      </c>
      <c r="P3977" s="405" t="s">
        <v>5800</v>
      </c>
      <c r="Q3977" s="411">
        <v>6</v>
      </c>
      <c r="R3977" s="405" t="s">
        <v>5739</v>
      </c>
      <c r="S3977" s="405" t="s">
        <v>27186</v>
      </c>
      <c r="T3977" s="405" t="s">
        <v>884</v>
      </c>
      <c r="U3977" s="405" t="s">
        <v>319</v>
      </c>
    </row>
    <row r="3978" spans="1:21" x14ac:dyDescent="0.25">
      <c r="A3978" s="405" t="s">
        <v>310</v>
      </c>
      <c r="B3978" s="405" t="s">
        <v>14923</v>
      </c>
      <c r="C3978" s="405" t="s">
        <v>327</v>
      </c>
      <c r="D3978" s="405"/>
      <c r="E3978" s="410">
        <v>42264</v>
      </c>
      <c r="F3978" s="410">
        <v>42309</v>
      </c>
      <c r="G3978" s="405" t="s">
        <v>14924</v>
      </c>
      <c r="H3978" s="405">
        <v>755505767</v>
      </c>
      <c r="I3978" s="405"/>
      <c r="J3978" s="405">
        <v>1.057158</v>
      </c>
      <c r="K3978" s="405">
        <v>34.164774999999999</v>
      </c>
      <c r="L3978" s="405" t="s">
        <v>6866</v>
      </c>
      <c r="M3978" s="405" t="s">
        <v>9514</v>
      </c>
      <c r="N3978" s="405" t="s">
        <v>9722</v>
      </c>
      <c r="O3978" s="405" t="s">
        <v>9780</v>
      </c>
      <c r="P3978" s="405" t="s">
        <v>4672</v>
      </c>
      <c r="Q3978" s="411">
        <v>6</v>
      </c>
      <c r="R3978" s="405" t="s">
        <v>6871</v>
      </c>
      <c r="S3978" s="405" t="s">
        <v>17062</v>
      </c>
      <c r="T3978" s="405" t="s">
        <v>884</v>
      </c>
      <c r="U3978" s="405" t="s">
        <v>319</v>
      </c>
    </row>
    <row r="3979" spans="1:21" x14ac:dyDescent="0.25">
      <c r="A3979" s="405" t="s">
        <v>310</v>
      </c>
      <c r="B3979" s="405" t="s">
        <v>27638</v>
      </c>
      <c r="C3979" s="405" t="s">
        <v>327</v>
      </c>
      <c r="D3979" s="405"/>
      <c r="E3979" s="410">
        <v>42263</v>
      </c>
      <c r="F3979" s="410">
        <v>42308</v>
      </c>
      <c r="G3979" s="405" t="s">
        <v>14907</v>
      </c>
      <c r="H3979" s="405">
        <v>782610999</v>
      </c>
      <c r="I3979" s="405"/>
      <c r="J3979" s="405">
        <v>1.1910000000000001</v>
      </c>
      <c r="K3979" s="405">
        <v>34.205399999999997</v>
      </c>
      <c r="L3979" s="405" t="s">
        <v>6866</v>
      </c>
      <c r="M3979" s="405" t="s">
        <v>9685</v>
      </c>
      <c r="N3979" s="405" t="s">
        <v>9686</v>
      </c>
      <c r="O3979" s="405" t="s">
        <v>14908</v>
      </c>
      <c r="P3979" s="405" t="s">
        <v>14909</v>
      </c>
      <c r="Q3979" s="411">
        <v>6</v>
      </c>
      <c r="R3979" s="405" t="s">
        <v>9506</v>
      </c>
      <c r="S3979" s="405" t="s">
        <v>27353</v>
      </c>
      <c r="T3979" s="405" t="s">
        <v>884</v>
      </c>
      <c r="U3979" s="405" t="s">
        <v>319</v>
      </c>
    </row>
    <row r="3980" spans="1:21" x14ac:dyDescent="0.25">
      <c r="A3980" s="405" t="s">
        <v>310</v>
      </c>
      <c r="B3980" s="405" t="s">
        <v>27533</v>
      </c>
      <c r="C3980" s="405" t="s">
        <v>327</v>
      </c>
      <c r="D3980" s="405"/>
      <c r="E3980" s="410">
        <v>42263</v>
      </c>
      <c r="F3980" s="410">
        <v>42308</v>
      </c>
      <c r="G3980" s="405" t="s">
        <v>14903</v>
      </c>
      <c r="H3980" s="405">
        <v>774814433</v>
      </c>
      <c r="I3980" s="405"/>
      <c r="J3980" s="405">
        <v>0.72291300000000003</v>
      </c>
      <c r="K3980" s="405">
        <v>34.230490000000003</v>
      </c>
      <c r="L3980" s="405" t="s">
        <v>6866</v>
      </c>
      <c r="M3980" s="405" t="s">
        <v>9514</v>
      </c>
      <c r="N3980" s="405" t="s">
        <v>9722</v>
      </c>
      <c r="O3980" s="405" t="s">
        <v>9780</v>
      </c>
      <c r="P3980" s="405" t="s">
        <v>14904</v>
      </c>
      <c r="Q3980" s="411">
        <v>6</v>
      </c>
      <c r="R3980" s="405" t="s">
        <v>6871</v>
      </c>
      <c r="S3980" s="405" t="s">
        <v>27074</v>
      </c>
      <c r="T3980" s="405" t="s">
        <v>884</v>
      </c>
      <c r="U3980" s="405" t="s">
        <v>319</v>
      </c>
    </row>
    <row r="3981" spans="1:21" x14ac:dyDescent="0.25">
      <c r="A3981" s="405" t="s">
        <v>310</v>
      </c>
      <c r="B3981" s="405" t="s">
        <v>5772</v>
      </c>
      <c r="C3981" s="405" t="s">
        <v>327</v>
      </c>
      <c r="D3981" s="405"/>
      <c r="E3981" s="410">
        <v>42262</v>
      </c>
      <c r="F3981" s="410">
        <v>42307</v>
      </c>
      <c r="G3981" s="405" t="s">
        <v>5773</v>
      </c>
      <c r="H3981" s="405">
        <v>702218218</v>
      </c>
      <c r="I3981" s="405">
        <v>782622908</v>
      </c>
      <c r="J3981" s="405">
        <v>0.134405</v>
      </c>
      <c r="K3981" s="405">
        <v>32.465299999999999</v>
      </c>
      <c r="L3981" s="405" t="s">
        <v>314</v>
      </c>
      <c r="M3981" s="405" t="s">
        <v>361</v>
      </c>
      <c r="N3981" s="405" t="s">
        <v>638</v>
      </c>
      <c r="O3981" s="405" t="s">
        <v>638</v>
      </c>
      <c r="P3981" s="405" t="s">
        <v>639</v>
      </c>
      <c r="Q3981" s="411">
        <v>13</v>
      </c>
      <c r="R3981" s="405" t="s">
        <v>5665</v>
      </c>
      <c r="S3981" s="405" t="s">
        <v>27246</v>
      </c>
      <c r="T3981" s="405" t="s">
        <v>6551</v>
      </c>
      <c r="U3981" s="405" t="s">
        <v>2267</v>
      </c>
    </row>
    <row r="3982" spans="1:21" x14ac:dyDescent="0.25">
      <c r="A3982" s="405" t="s">
        <v>310</v>
      </c>
      <c r="B3982" s="405" t="s">
        <v>22174</v>
      </c>
      <c r="C3982" s="405" t="s">
        <v>327</v>
      </c>
      <c r="D3982" s="405"/>
      <c r="E3982" s="410">
        <v>42262</v>
      </c>
      <c r="F3982" s="410">
        <v>42307</v>
      </c>
      <c r="G3982" s="405" t="s">
        <v>22175</v>
      </c>
      <c r="H3982" s="405">
        <v>774394909</v>
      </c>
      <c r="I3982" s="405"/>
      <c r="J3982" s="405">
        <v>0.64292300000000002</v>
      </c>
      <c r="K3982" s="405">
        <v>29.997308</v>
      </c>
      <c r="L3982" s="405" t="s">
        <v>590</v>
      </c>
      <c r="M3982" s="405" t="s">
        <v>20032</v>
      </c>
      <c r="N3982" s="405" t="s">
        <v>20033</v>
      </c>
      <c r="O3982" s="405" t="s">
        <v>20601</v>
      </c>
      <c r="P3982" s="405" t="s">
        <v>22176</v>
      </c>
      <c r="Q3982" s="411">
        <v>9</v>
      </c>
      <c r="R3982" s="405" t="s">
        <v>5858</v>
      </c>
      <c r="S3982" s="405" t="s">
        <v>27249</v>
      </c>
      <c r="T3982" s="405" t="s">
        <v>884</v>
      </c>
      <c r="U3982" s="405" t="s">
        <v>319</v>
      </c>
    </row>
    <row r="3983" spans="1:21" x14ac:dyDescent="0.25">
      <c r="A3983" s="405" t="s">
        <v>310</v>
      </c>
      <c r="B3983" s="405" t="s">
        <v>14775</v>
      </c>
      <c r="C3983" s="405" t="s">
        <v>327</v>
      </c>
      <c r="D3983" s="405"/>
      <c r="E3983" s="410">
        <v>42262</v>
      </c>
      <c r="F3983" s="410">
        <v>42307</v>
      </c>
      <c r="G3983" s="405" t="s">
        <v>14776</v>
      </c>
      <c r="H3983" s="405">
        <v>752520016</v>
      </c>
      <c r="I3983" s="405"/>
      <c r="J3983" s="405">
        <v>1.553882</v>
      </c>
      <c r="K3983" s="405">
        <v>33.43741</v>
      </c>
      <c r="L3983" s="405" t="s">
        <v>6866</v>
      </c>
      <c r="M3983" s="405" t="s">
        <v>9658</v>
      </c>
      <c r="N3983" s="405" t="s">
        <v>14307</v>
      </c>
      <c r="O3983" s="405" t="s">
        <v>14307</v>
      </c>
      <c r="P3983" s="405" t="s">
        <v>14777</v>
      </c>
      <c r="Q3983" s="411">
        <v>6</v>
      </c>
      <c r="R3983" s="405" t="s">
        <v>5655</v>
      </c>
      <c r="S3983" s="405" t="s">
        <v>27072</v>
      </c>
      <c r="T3983" s="405" t="s">
        <v>884</v>
      </c>
      <c r="U3983" s="405" t="s">
        <v>319</v>
      </c>
    </row>
    <row r="3984" spans="1:21" x14ac:dyDescent="0.25">
      <c r="A3984" s="405" t="s">
        <v>310</v>
      </c>
      <c r="B3984" s="405" t="s">
        <v>14898</v>
      </c>
      <c r="C3984" s="405" t="s">
        <v>327</v>
      </c>
      <c r="D3984" s="405"/>
      <c r="E3984" s="410">
        <v>42262</v>
      </c>
      <c r="F3984" s="410">
        <v>42307</v>
      </c>
      <c r="G3984" s="405" t="s">
        <v>14899</v>
      </c>
      <c r="H3984" s="405">
        <v>777100807</v>
      </c>
      <c r="I3984" s="405"/>
      <c r="J3984" s="405">
        <v>1.049947</v>
      </c>
      <c r="K3984" s="405">
        <v>34.147857000000002</v>
      </c>
      <c r="L3984" s="405" t="s">
        <v>6866</v>
      </c>
      <c r="M3984" s="405" t="s">
        <v>9514</v>
      </c>
      <c r="N3984" s="405" t="s">
        <v>9616</v>
      </c>
      <c r="O3984" s="405" t="s">
        <v>9780</v>
      </c>
      <c r="P3984" s="405" t="s">
        <v>14900</v>
      </c>
      <c r="Q3984" s="411">
        <v>6</v>
      </c>
      <c r="R3984" s="405" t="s">
        <v>6871</v>
      </c>
      <c r="S3984" s="405" t="s">
        <v>17013</v>
      </c>
      <c r="T3984" s="405" t="s">
        <v>884</v>
      </c>
      <c r="U3984" s="405" t="s">
        <v>319</v>
      </c>
    </row>
    <row r="3985" spans="1:21" x14ac:dyDescent="0.25">
      <c r="A3985" s="405" t="s">
        <v>310</v>
      </c>
      <c r="B3985" s="405" t="s">
        <v>22165</v>
      </c>
      <c r="C3985" s="405" t="s">
        <v>327</v>
      </c>
      <c r="D3985" s="405"/>
      <c r="E3985" s="410">
        <v>42261</v>
      </c>
      <c r="F3985" s="410">
        <v>42306</v>
      </c>
      <c r="G3985" s="405" t="s">
        <v>22166</v>
      </c>
      <c r="H3985" s="405">
        <v>754992095</v>
      </c>
      <c r="I3985" s="405"/>
      <c r="J3985" s="405">
        <v>1.0978749999999999</v>
      </c>
      <c r="K3985" s="405">
        <v>34.148417999999999</v>
      </c>
      <c r="L3985" s="405" t="s">
        <v>590</v>
      </c>
      <c r="M3985" s="405" t="s">
        <v>19625</v>
      </c>
      <c r="N3985" s="405" t="s">
        <v>19642</v>
      </c>
      <c r="O3985" s="405" t="s">
        <v>22167</v>
      </c>
      <c r="P3985" s="405" t="s">
        <v>22168</v>
      </c>
      <c r="Q3985" s="411">
        <v>9</v>
      </c>
      <c r="R3985" s="405" t="s">
        <v>6943</v>
      </c>
      <c r="S3985" s="405" t="s">
        <v>27096</v>
      </c>
      <c r="T3985" s="405" t="s">
        <v>884</v>
      </c>
      <c r="U3985" s="405" t="s">
        <v>319</v>
      </c>
    </row>
    <row r="3986" spans="1:21" x14ac:dyDescent="0.25">
      <c r="A3986" s="405" t="s">
        <v>310</v>
      </c>
      <c r="B3986" s="405" t="s">
        <v>28288</v>
      </c>
      <c r="C3986" s="405" t="s">
        <v>327</v>
      </c>
      <c r="D3986" s="405"/>
      <c r="E3986" s="410">
        <v>42260</v>
      </c>
      <c r="F3986" s="410">
        <v>42305</v>
      </c>
      <c r="G3986" s="405" t="s">
        <v>22169</v>
      </c>
      <c r="H3986" s="405">
        <v>771639611</v>
      </c>
      <c r="I3986" s="405"/>
      <c r="J3986" s="405">
        <v>-0.50095999999999996</v>
      </c>
      <c r="K3986" s="405">
        <v>30.258557</v>
      </c>
      <c r="L3986" s="405" t="s">
        <v>590</v>
      </c>
      <c r="M3986" s="405" t="s">
        <v>19625</v>
      </c>
      <c r="N3986" s="405" t="s">
        <v>19642</v>
      </c>
      <c r="O3986" s="405" t="s">
        <v>20937</v>
      </c>
      <c r="P3986" s="405" t="s">
        <v>22170</v>
      </c>
      <c r="Q3986" s="411">
        <v>9</v>
      </c>
      <c r="R3986" s="405" t="s">
        <v>6943</v>
      </c>
      <c r="S3986" s="405" t="s">
        <v>27257</v>
      </c>
      <c r="T3986" s="405" t="s">
        <v>884</v>
      </c>
      <c r="U3986" s="405" t="s">
        <v>319</v>
      </c>
    </row>
    <row r="3987" spans="1:21" x14ac:dyDescent="0.25">
      <c r="A3987" s="405" t="s">
        <v>310</v>
      </c>
      <c r="B3987" s="405" t="s">
        <v>14894</v>
      </c>
      <c r="C3987" s="405" t="s">
        <v>327</v>
      </c>
      <c r="D3987" s="405"/>
      <c r="E3987" s="410">
        <v>42260</v>
      </c>
      <c r="F3987" s="410">
        <v>42305</v>
      </c>
      <c r="G3987" s="405" t="s">
        <v>14895</v>
      </c>
      <c r="H3987" s="405">
        <v>753363218</v>
      </c>
      <c r="I3987" s="405"/>
      <c r="J3987" s="405">
        <v>1.044807</v>
      </c>
      <c r="K3987" s="405">
        <v>34.163535000000003</v>
      </c>
      <c r="L3987" s="405" t="s">
        <v>6866</v>
      </c>
      <c r="M3987" s="405" t="s">
        <v>9514</v>
      </c>
      <c r="N3987" s="405" t="s">
        <v>9616</v>
      </c>
      <c r="O3987" s="405" t="s">
        <v>9780</v>
      </c>
      <c r="P3987" s="405" t="s">
        <v>9783</v>
      </c>
      <c r="Q3987" s="411">
        <v>6</v>
      </c>
      <c r="R3987" s="405" t="s">
        <v>6871</v>
      </c>
      <c r="S3987" s="405" t="s">
        <v>27107</v>
      </c>
      <c r="T3987" s="405" t="s">
        <v>884</v>
      </c>
      <c r="U3987" s="405" t="s">
        <v>319</v>
      </c>
    </row>
    <row r="3988" spans="1:21" x14ac:dyDescent="0.25">
      <c r="A3988" s="405" t="s">
        <v>310</v>
      </c>
      <c r="B3988" s="405" t="s">
        <v>14854</v>
      </c>
      <c r="C3988" s="405" t="s">
        <v>327</v>
      </c>
      <c r="D3988" s="405"/>
      <c r="E3988" s="410">
        <v>42260</v>
      </c>
      <c r="F3988" s="410">
        <v>42305</v>
      </c>
      <c r="G3988" s="405" t="s">
        <v>14855</v>
      </c>
      <c r="H3988" s="405">
        <v>785721877</v>
      </c>
      <c r="I3988" s="405"/>
      <c r="J3988" s="405">
        <v>-0.73841199999999996</v>
      </c>
      <c r="K3988" s="405">
        <v>29.841487999999998</v>
      </c>
      <c r="L3988" s="405" t="s">
        <v>6866</v>
      </c>
      <c r="M3988" s="405" t="s">
        <v>9566</v>
      </c>
      <c r="N3988" s="405" t="s">
        <v>9787</v>
      </c>
      <c r="O3988" s="405" t="s">
        <v>13884</v>
      </c>
      <c r="P3988" s="405" t="s">
        <v>10450</v>
      </c>
      <c r="Q3988" s="411">
        <v>6</v>
      </c>
      <c r="R3988" s="405" t="s">
        <v>7224</v>
      </c>
      <c r="S3988" s="405" t="s">
        <v>27041</v>
      </c>
      <c r="T3988" s="405" t="s">
        <v>884</v>
      </c>
      <c r="U3988" s="405" t="s">
        <v>319</v>
      </c>
    </row>
    <row r="3989" spans="1:21" x14ac:dyDescent="0.25">
      <c r="A3989" s="405" t="s">
        <v>310</v>
      </c>
      <c r="B3989" s="405" t="s">
        <v>22184</v>
      </c>
      <c r="C3989" s="405" t="s">
        <v>327</v>
      </c>
      <c r="D3989" s="405"/>
      <c r="E3989" s="410">
        <v>42259</v>
      </c>
      <c r="F3989" s="410">
        <v>42304</v>
      </c>
      <c r="G3989" s="405" t="s">
        <v>22185</v>
      </c>
      <c r="H3989" s="405">
        <v>750150670</v>
      </c>
      <c r="I3989" s="405"/>
      <c r="J3989" s="405">
        <v>0.78791199999999995</v>
      </c>
      <c r="K3989" s="405">
        <v>33.879804999999998</v>
      </c>
      <c r="L3989" s="405" t="s">
        <v>590</v>
      </c>
      <c r="M3989" s="405" t="s">
        <v>21087</v>
      </c>
      <c r="N3989" s="405" t="s">
        <v>21088</v>
      </c>
      <c r="O3989" s="405" t="s">
        <v>21088</v>
      </c>
      <c r="P3989" s="405" t="s">
        <v>21932</v>
      </c>
      <c r="Q3989" s="411">
        <v>9</v>
      </c>
      <c r="R3989" s="405" t="s">
        <v>883</v>
      </c>
      <c r="S3989" s="405" t="s">
        <v>27183</v>
      </c>
      <c r="T3989" s="405" t="s">
        <v>884</v>
      </c>
      <c r="U3989" s="405" t="s">
        <v>319</v>
      </c>
    </row>
    <row r="3990" spans="1:21" x14ac:dyDescent="0.25">
      <c r="A3990" s="405" t="s">
        <v>310</v>
      </c>
      <c r="B3990" s="405" t="s">
        <v>5764</v>
      </c>
      <c r="C3990" s="405" t="s">
        <v>327</v>
      </c>
      <c r="D3990" s="405"/>
      <c r="E3990" s="410">
        <v>42259</v>
      </c>
      <c r="F3990" s="410">
        <v>42304</v>
      </c>
      <c r="G3990" s="405" t="s">
        <v>5765</v>
      </c>
      <c r="H3990" s="405">
        <v>783803577</v>
      </c>
      <c r="I3990" s="405"/>
      <c r="J3990" s="405">
        <v>0.22464500000000001</v>
      </c>
      <c r="K3990" s="405">
        <v>32.090102999999999</v>
      </c>
      <c r="L3990" s="405" t="s">
        <v>314</v>
      </c>
      <c r="M3990" s="405" t="s">
        <v>339</v>
      </c>
      <c r="N3990" s="405" t="s">
        <v>339</v>
      </c>
      <c r="O3990" s="405" t="s">
        <v>5766</v>
      </c>
      <c r="P3990" s="405" t="s">
        <v>5767</v>
      </c>
      <c r="Q3990" s="411">
        <v>6</v>
      </c>
      <c r="R3990" s="405" t="s">
        <v>32101</v>
      </c>
      <c r="S3990" s="405" t="s">
        <v>27167</v>
      </c>
      <c r="T3990" s="405" t="s">
        <v>884</v>
      </c>
      <c r="U3990" s="405" t="s">
        <v>319</v>
      </c>
    </row>
    <row r="3991" spans="1:21" x14ac:dyDescent="0.25">
      <c r="A3991" s="405" t="s">
        <v>310</v>
      </c>
      <c r="B3991" s="405" t="s">
        <v>27801</v>
      </c>
      <c r="C3991" s="405" t="s">
        <v>311</v>
      </c>
      <c r="D3991" s="405" t="s">
        <v>1789</v>
      </c>
      <c r="E3991" s="410">
        <v>42258</v>
      </c>
      <c r="F3991" s="410">
        <v>42303</v>
      </c>
      <c r="G3991" s="405" t="s">
        <v>15185</v>
      </c>
      <c r="H3991" s="405">
        <v>751344342</v>
      </c>
      <c r="I3991" s="405"/>
      <c r="J3991" s="405">
        <v>0.45950999999999997</v>
      </c>
      <c r="K3991" s="405">
        <v>32.610855000000001</v>
      </c>
      <c r="L3991" s="405" t="s">
        <v>6866</v>
      </c>
      <c r="M3991" s="405" t="s">
        <v>9566</v>
      </c>
      <c r="N3991" s="405" t="s">
        <v>14784</v>
      </c>
      <c r="O3991" s="405" t="s">
        <v>13884</v>
      </c>
      <c r="P3991" s="405" t="s">
        <v>14792</v>
      </c>
      <c r="Q3991" s="411">
        <v>6</v>
      </c>
      <c r="R3991" s="405" t="s">
        <v>7224</v>
      </c>
      <c r="S3991" s="405" t="s">
        <v>27072</v>
      </c>
      <c r="T3991" s="405" t="s">
        <v>6551</v>
      </c>
      <c r="U3991" s="405" t="s">
        <v>2267</v>
      </c>
    </row>
    <row r="3992" spans="1:21" x14ac:dyDescent="0.25">
      <c r="A3992" s="405" t="s">
        <v>310</v>
      </c>
      <c r="B3992" s="405" t="s">
        <v>28313</v>
      </c>
      <c r="C3992" s="405" t="s">
        <v>327</v>
      </c>
      <c r="D3992" s="405"/>
      <c r="E3992" s="410">
        <v>42258</v>
      </c>
      <c r="F3992" s="410">
        <v>42303</v>
      </c>
      <c r="G3992" s="405" t="s">
        <v>14837</v>
      </c>
      <c r="H3992" s="405">
        <v>754381942</v>
      </c>
      <c r="I3992" s="405"/>
      <c r="J3992" s="405">
        <v>0.76572300000000004</v>
      </c>
      <c r="K3992" s="405">
        <v>33.835859999999997</v>
      </c>
      <c r="L3992" s="405" t="s">
        <v>6866</v>
      </c>
      <c r="M3992" s="405" t="s">
        <v>9566</v>
      </c>
      <c r="N3992" s="405" t="s">
        <v>14784</v>
      </c>
      <c r="O3992" s="405" t="s">
        <v>13884</v>
      </c>
      <c r="P3992" s="405" t="s">
        <v>14838</v>
      </c>
      <c r="Q3992" s="411">
        <v>6</v>
      </c>
      <c r="R3992" s="405" t="s">
        <v>7224</v>
      </c>
      <c r="S3992" s="405" t="s">
        <v>27348</v>
      </c>
      <c r="T3992" s="405" t="s">
        <v>884</v>
      </c>
      <c r="U3992" s="405" t="s">
        <v>319</v>
      </c>
    </row>
    <row r="3993" spans="1:21" x14ac:dyDescent="0.25">
      <c r="A3993" s="405" t="s">
        <v>310</v>
      </c>
      <c r="B3993" s="405" t="s">
        <v>14892</v>
      </c>
      <c r="C3993" s="405" t="s">
        <v>327</v>
      </c>
      <c r="D3993" s="405"/>
      <c r="E3993" s="410">
        <v>42258</v>
      </c>
      <c r="F3993" s="410">
        <v>42303</v>
      </c>
      <c r="G3993" s="405" t="s">
        <v>14893</v>
      </c>
      <c r="H3993" s="405">
        <v>774670377</v>
      </c>
      <c r="I3993" s="405">
        <v>758670377</v>
      </c>
      <c r="J3993" s="405">
        <v>1.0525929999999999</v>
      </c>
      <c r="K3993" s="405">
        <v>34.169023000000003</v>
      </c>
      <c r="L3993" s="405" t="s">
        <v>6866</v>
      </c>
      <c r="M3993" s="405" t="s">
        <v>9514</v>
      </c>
      <c r="N3993" s="405" t="s">
        <v>9722</v>
      </c>
      <c r="O3993" s="405" t="s">
        <v>9780</v>
      </c>
      <c r="P3993" s="405" t="s">
        <v>14889</v>
      </c>
      <c r="Q3993" s="411">
        <v>6</v>
      </c>
      <c r="R3993" s="405" t="s">
        <v>6871</v>
      </c>
      <c r="S3993" s="405" t="s">
        <v>17062</v>
      </c>
      <c r="T3993" s="405" t="s">
        <v>884</v>
      </c>
      <c r="U3993" s="405" t="s">
        <v>319</v>
      </c>
    </row>
    <row r="3994" spans="1:21" x14ac:dyDescent="0.25">
      <c r="A3994" s="405" t="s">
        <v>310</v>
      </c>
      <c r="B3994" s="405" t="s">
        <v>29032</v>
      </c>
      <c r="C3994" s="405" t="s">
        <v>327</v>
      </c>
      <c r="D3994" s="405"/>
      <c r="E3994" s="410">
        <v>42257</v>
      </c>
      <c r="F3994" s="410">
        <v>42302</v>
      </c>
      <c r="G3994" s="405" t="s">
        <v>14791</v>
      </c>
      <c r="H3994" s="405">
        <v>751358110</v>
      </c>
      <c r="I3994" s="405"/>
      <c r="J3994" s="405">
        <v>0.83158799999999999</v>
      </c>
      <c r="K3994" s="405">
        <v>33.822552000000002</v>
      </c>
      <c r="L3994" s="405" t="s">
        <v>6866</v>
      </c>
      <c r="M3994" s="405" t="s">
        <v>9566</v>
      </c>
      <c r="N3994" s="405" t="s">
        <v>14784</v>
      </c>
      <c r="O3994" s="405" t="s">
        <v>13884</v>
      </c>
      <c r="P3994" s="405" t="s">
        <v>14792</v>
      </c>
      <c r="Q3994" s="411">
        <v>6</v>
      </c>
      <c r="R3994" s="405" t="s">
        <v>7224</v>
      </c>
      <c r="S3994" s="405" t="s">
        <v>27067</v>
      </c>
      <c r="T3994" s="405" t="s">
        <v>884</v>
      </c>
      <c r="U3994" s="405" t="s">
        <v>319</v>
      </c>
    </row>
    <row r="3995" spans="1:21" x14ac:dyDescent="0.25">
      <c r="A3995" s="405" t="s">
        <v>310</v>
      </c>
      <c r="B3995" s="405" t="s">
        <v>14890</v>
      </c>
      <c r="C3995" s="405" t="s">
        <v>327</v>
      </c>
      <c r="D3995" s="405"/>
      <c r="E3995" s="410">
        <v>42257</v>
      </c>
      <c r="F3995" s="410">
        <v>42302</v>
      </c>
      <c r="G3995" s="405" t="s">
        <v>14891</v>
      </c>
      <c r="H3995" s="405">
        <v>779838244</v>
      </c>
      <c r="I3995" s="405"/>
      <c r="J3995" s="405">
        <v>1.0512919999999999</v>
      </c>
      <c r="K3995" s="405">
        <v>34.167462999999998</v>
      </c>
      <c r="L3995" s="405" t="s">
        <v>6866</v>
      </c>
      <c r="M3995" s="405" t="s">
        <v>9514</v>
      </c>
      <c r="N3995" s="405" t="s">
        <v>9616</v>
      </c>
      <c r="O3995" s="405" t="s">
        <v>9780</v>
      </c>
      <c r="P3995" s="405" t="s">
        <v>14889</v>
      </c>
      <c r="Q3995" s="411">
        <v>6</v>
      </c>
      <c r="R3995" s="405" t="s">
        <v>6871</v>
      </c>
      <c r="S3995" s="405" t="s">
        <v>27074</v>
      </c>
      <c r="T3995" s="405" t="s">
        <v>884</v>
      </c>
      <c r="U3995" s="405" t="s">
        <v>319</v>
      </c>
    </row>
    <row r="3996" spans="1:21" x14ac:dyDescent="0.25">
      <c r="A3996" s="405" t="s">
        <v>310</v>
      </c>
      <c r="B3996" s="405" t="s">
        <v>14882</v>
      </c>
      <c r="C3996" s="405" t="s">
        <v>327</v>
      </c>
      <c r="D3996" s="405"/>
      <c r="E3996" s="410">
        <v>42257</v>
      </c>
      <c r="F3996" s="410">
        <v>42302</v>
      </c>
      <c r="G3996" s="405" t="s">
        <v>14883</v>
      </c>
      <c r="H3996" s="405">
        <v>759795232</v>
      </c>
      <c r="I3996" s="405"/>
      <c r="J3996" s="405">
        <v>1.045172</v>
      </c>
      <c r="K3996" s="405">
        <v>34.170337000000004</v>
      </c>
      <c r="L3996" s="405" t="s">
        <v>6866</v>
      </c>
      <c r="M3996" s="405" t="s">
        <v>9514</v>
      </c>
      <c r="N3996" s="405" t="s">
        <v>9616</v>
      </c>
      <c r="O3996" s="405" t="s">
        <v>9780</v>
      </c>
      <c r="P3996" s="405" t="s">
        <v>9783</v>
      </c>
      <c r="Q3996" s="411">
        <v>6</v>
      </c>
      <c r="R3996" s="405" t="s">
        <v>6871</v>
      </c>
      <c r="S3996" s="405" t="s">
        <v>17013</v>
      </c>
      <c r="T3996" s="405" t="s">
        <v>884</v>
      </c>
      <c r="U3996" s="405" t="s">
        <v>319</v>
      </c>
    </row>
    <row r="3997" spans="1:21" x14ac:dyDescent="0.25">
      <c r="A3997" s="405" t="s">
        <v>310</v>
      </c>
      <c r="B3997" s="405" t="s">
        <v>27835</v>
      </c>
      <c r="C3997" s="405" t="s">
        <v>327</v>
      </c>
      <c r="D3997" s="405"/>
      <c r="E3997" s="410">
        <v>42256</v>
      </c>
      <c r="F3997" s="410">
        <v>42301</v>
      </c>
      <c r="G3997" s="405" t="s">
        <v>14790</v>
      </c>
      <c r="H3997" s="405">
        <v>785721877</v>
      </c>
      <c r="I3997" s="405"/>
      <c r="J3997" s="405">
        <v>0.76122999999999996</v>
      </c>
      <c r="K3997" s="405">
        <v>33.851595000000003</v>
      </c>
      <c r="L3997" s="405" t="s">
        <v>6866</v>
      </c>
      <c r="M3997" s="405" t="s">
        <v>9566</v>
      </c>
      <c r="N3997" s="405" t="s">
        <v>9787</v>
      </c>
      <c r="O3997" s="405" t="s">
        <v>13884</v>
      </c>
      <c r="P3997" s="405" t="s">
        <v>10450</v>
      </c>
      <c r="Q3997" s="411">
        <v>6</v>
      </c>
      <c r="R3997" s="405" t="s">
        <v>7224</v>
      </c>
      <c r="S3997" s="405" t="s">
        <v>27041</v>
      </c>
      <c r="T3997" s="405" t="s">
        <v>884</v>
      </c>
      <c r="U3997" s="405" t="s">
        <v>319</v>
      </c>
    </row>
    <row r="3998" spans="1:21" x14ac:dyDescent="0.25">
      <c r="A3998" s="405" t="s">
        <v>310</v>
      </c>
      <c r="B3998" s="405" t="s">
        <v>29089</v>
      </c>
      <c r="C3998" s="405" t="s">
        <v>327</v>
      </c>
      <c r="D3998" s="405"/>
      <c r="E3998" s="410">
        <v>42256</v>
      </c>
      <c r="F3998" s="410">
        <v>42301</v>
      </c>
      <c r="G3998" s="405" t="s">
        <v>14856</v>
      </c>
      <c r="H3998" s="405">
        <v>753621987</v>
      </c>
      <c r="I3998" s="405"/>
      <c r="J3998" s="405">
        <v>0.76419000000000004</v>
      </c>
      <c r="K3998" s="405">
        <v>33.884053000000002</v>
      </c>
      <c r="L3998" s="405" t="s">
        <v>6866</v>
      </c>
      <c r="M3998" s="405" t="s">
        <v>9566</v>
      </c>
      <c r="N3998" s="405" t="s">
        <v>14784</v>
      </c>
      <c r="O3998" s="405" t="s">
        <v>9788</v>
      </c>
      <c r="P3998" s="405" t="s">
        <v>14857</v>
      </c>
      <c r="Q3998" s="411">
        <v>6</v>
      </c>
      <c r="R3998" s="405" t="s">
        <v>7224</v>
      </c>
      <c r="S3998" s="405" t="s">
        <v>27335</v>
      </c>
      <c r="T3998" s="405" t="s">
        <v>884</v>
      </c>
      <c r="U3998" s="405" t="s">
        <v>319</v>
      </c>
    </row>
    <row r="3999" spans="1:21" x14ac:dyDescent="0.25">
      <c r="A3999" s="405" t="s">
        <v>310</v>
      </c>
      <c r="B3999" s="405" t="s">
        <v>14887</v>
      </c>
      <c r="C3999" s="405" t="s">
        <v>327</v>
      </c>
      <c r="D3999" s="405"/>
      <c r="E3999" s="410">
        <v>42256</v>
      </c>
      <c r="F3999" s="410">
        <v>42301</v>
      </c>
      <c r="G3999" s="405" t="s">
        <v>14888</v>
      </c>
      <c r="H3999" s="405">
        <v>772593760</v>
      </c>
      <c r="I3999" s="405"/>
      <c r="J3999" s="405">
        <v>1.049733</v>
      </c>
      <c r="K3999" s="405">
        <v>34.169454999999999</v>
      </c>
      <c r="L3999" s="405" t="s">
        <v>6866</v>
      </c>
      <c r="M3999" s="405" t="s">
        <v>9514</v>
      </c>
      <c r="N3999" s="405" t="s">
        <v>9616</v>
      </c>
      <c r="O3999" s="405" t="s">
        <v>9780</v>
      </c>
      <c r="P3999" s="405" t="s">
        <v>14889</v>
      </c>
      <c r="Q3999" s="411">
        <v>6</v>
      </c>
      <c r="R3999" s="405" t="s">
        <v>6871</v>
      </c>
      <c r="S3999" s="405" t="s">
        <v>27306</v>
      </c>
      <c r="T3999" s="405" t="s">
        <v>884</v>
      </c>
      <c r="U3999" s="405" t="s">
        <v>319</v>
      </c>
    </row>
    <row r="4000" spans="1:21" x14ac:dyDescent="0.25">
      <c r="A4000" s="405" t="s">
        <v>310</v>
      </c>
      <c r="B4000" s="405" t="s">
        <v>28581</v>
      </c>
      <c r="C4000" s="405" t="s">
        <v>327</v>
      </c>
      <c r="D4000" s="405"/>
      <c r="E4000" s="410">
        <v>42255</v>
      </c>
      <c r="F4000" s="410">
        <v>42300</v>
      </c>
      <c r="G4000" s="405" t="s">
        <v>22179</v>
      </c>
      <c r="H4000" s="405">
        <v>772653144</v>
      </c>
      <c r="I4000" s="405"/>
      <c r="J4000" s="405">
        <v>0.41792699999999999</v>
      </c>
      <c r="K4000" s="405">
        <v>32.543866999999999</v>
      </c>
      <c r="L4000" s="405" t="s">
        <v>590</v>
      </c>
      <c r="M4000" s="405" t="s">
        <v>1851</v>
      </c>
      <c r="N4000" s="405" t="s">
        <v>20804</v>
      </c>
      <c r="O4000" s="405" t="s">
        <v>22156</v>
      </c>
      <c r="P4000" s="405" t="s">
        <v>22157</v>
      </c>
      <c r="Q4000" s="411">
        <v>9</v>
      </c>
      <c r="R4000" s="405" t="s">
        <v>6397</v>
      </c>
      <c r="S4000" s="405" t="s">
        <v>22880</v>
      </c>
      <c r="T4000" s="405" t="s">
        <v>884</v>
      </c>
      <c r="U4000" s="405" t="s">
        <v>319</v>
      </c>
    </row>
    <row r="4001" spans="1:21" x14ac:dyDescent="0.25">
      <c r="A4001" s="405" t="s">
        <v>310</v>
      </c>
      <c r="B4001" s="405" t="s">
        <v>5761</v>
      </c>
      <c r="C4001" s="405" t="s">
        <v>327</v>
      </c>
      <c r="D4001" s="405"/>
      <c r="E4001" s="410">
        <v>42255</v>
      </c>
      <c r="F4001" s="410">
        <v>42300</v>
      </c>
      <c r="G4001" s="405" t="s">
        <v>5762</v>
      </c>
      <c r="H4001" s="405">
        <v>777658180</v>
      </c>
      <c r="I4001" s="405"/>
      <c r="J4001" s="405">
        <v>-8.6300000000000005E-4</v>
      </c>
      <c r="K4001" s="405">
        <v>32.079391999999999</v>
      </c>
      <c r="L4001" s="405" t="s">
        <v>314</v>
      </c>
      <c r="M4001" s="405" t="s">
        <v>321</v>
      </c>
      <c r="N4001" s="405" t="s">
        <v>5763</v>
      </c>
      <c r="O4001" s="405" t="s">
        <v>476</v>
      </c>
      <c r="P4001" s="405" t="s">
        <v>2381</v>
      </c>
      <c r="Q4001" s="411">
        <v>6</v>
      </c>
      <c r="R4001" s="405" t="s">
        <v>32101</v>
      </c>
      <c r="S4001" s="405" t="s">
        <v>414</v>
      </c>
      <c r="T4001" s="405" t="s">
        <v>884</v>
      </c>
      <c r="U4001" s="405" t="s">
        <v>319</v>
      </c>
    </row>
    <row r="4002" spans="1:21" x14ac:dyDescent="0.25">
      <c r="A4002" s="405" t="s">
        <v>310</v>
      </c>
      <c r="B4002" s="405" t="s">
        <v>24062</v>
      </c>
      <c r="C4002" s="405" t="s">
        <v>311</v>
      </c>
      <c r="D4002" s="405" t="s">
        <v>839</v>
      </c>
      <c r="E4002" s="410">
        <v>42254</v>
      </c>
      <c r="F4002" s="410">
        <v>43112</v>
      </c>
      <c r="G4002" s="405" t="s">
        <v>24063</v>
      </c>
      <c r="H4002" s="405">
        <v>700360772</v>
      </c>
      <c r="I4002" s="405">
        <v>750150670</v>
      </c>
      <c r="J4002" s="405">
        <v>0.67095199999999999</v>
      </c>
      <c r="K4002" s="405">
        <v>30.43178</v>
      </c>
      <c r="L4002" s="405" t="s">
        <v>590</v>
      </c>
      <c r="M4002" s="405" t="s">
        <v>879</v>
      </c>
      <c r="N4002" s="405" t="s">
        <v>24064</v>
      </c>
      <c r="O4002" s="405" t="s">
        <v>881</v>
      </c>
      <c r="P4002" s="405" t="s">
        <v>892</v>
      </c>
      <c r="Q4002" s="411">
        <v>9</v>
      </c>
      <c r="R4002" s="405" t="s">
        <v>883</v>
      </c>
      <c r="S4002" s="405" t="s">
        <v>27430</v>
      </c>
      <c r="T4002" s="405" t="s">
        <v>884</v>
      </c>
      <c r="U4002" s="405" t="s">
        <v>319</v>
      </c>
    </row>
    <row r="4003" spans="1:21" x14ac:dyDescent="0.25">
      <c r="A4003" s="405" t="s">
        <v>310</v>
      </c>
      <c r="B4003" s="405" t="s">
        <v>5754</v>
      </c>
      <c r="C4003" s="405" t="s">
        <v>327</v>
      </c>
      <c r="D4003" s="405"/>
      <c r="E4003" s="410">
        <v>42253</v>
      </c>
      <c r="F4003" s="410">
        <v>42298</v>
      </c>
      <c r="G4003" s="405" t="s">
        <v>5755</v>
      </c>
      <c r="H4003" s="405">
        <v>772054214</v>
      </c>
      <c r="I4003" s="405"/>
      <c r="J4003" s="405">
        <v>0.55299299999999996</v>
      </c>
      <c r="K4003" s="405">
        <v>32.625188000000001</v>
      </c>
      <c r="L4003" s="405" t="s">
        <v>314</v>
      </c>
      <c r="M4003" s="405" t="s">
        <v>361</v>
      </c>
      <c r="N4003" s="405" t="s">
        <v>362</v>
      </c>
      <c r="O4003" s="405" t="s">
        <v>1290</v>
      </c>
      <c r="P4003" s="405" t="s">
        <v>3606</v>
      </c>
      <c r="Q4003" s="411">
        <v>13</v>
      </c>
      <c r="R4003" s="405" t="s">
        <v>5665</v>
      </c>
      <c r="S4003" s="405" t="s">
        <v>27175</v>
      </c>
      <c r="T4003" s="405" t="s">
        <v>32746</v>
      </c>
      <c r="U4003" s="405" t="s">
        <v>2267</v>
      </c>
    </row>
    <row r="4004" spans="1:21" x14ac:dyDescent="0.25">
      <c r="A4004" s="405" t="s">
        <v>310</v>
      </c>
      <c r="B4004" s="405" t="s">
        <v>28640</v>
      </c>
      <c r="C4004" s="405" t="s">
        <v>327</v>
      </c>
      <c r="D4004" s="405"/>
      <c r="E4004" s="410">
        <v>42253</v>
      </c>
      <c r="F4004" s="410">
        <v>42298</v>
      </c>
      <c r="G4004" s="405" t="s">
        <v>5774</v>
      </c>
      <c r="H4004" s="405">
        <v>752708827</v>
      </c>
      <c r="I4004" s="405"/>
      <c r="J4004" s="405">
        <v>0.69024300000000005</v>
      </c>
      <c r="K4004" s="405">
        <v>32.682096999999999</v>
      </c>
      <c r="L4004" s="405" t="s">
        <v>314</v>
      </c>
      <c r="M4004" s="405" t="s">
        <v>959</v>
      </c>
      <c r="N4004" s="405" t="s">
        <v>2921</v>
      </c>
      <c r="O4004" s="405" t="s">
        <v>2921</v>
      </c>
      <c r="P4004" s="405" t="s">
        <v>2922</v>
      </c>
      <c r="Q4004" s="411">
        <v>13</v>
      </c>
      <c r="R4004" s="405" t="s">
        <v>32166</v>
      </c>
      <c r="S4004" s="405" t="s">
        <v>27132</v>
      </c>
      <c r="T4004" s="405" t="s">
        <v>884</v>
      </c>
      <c r="U4004" s="405" t="s">
        <v>319</v>
      </c>
    </row>
    <row r="4005" spans="1:21" x14ac:dyDescent="0.25">
      <c r="A4005" s="405" t="s">
        <v>310</v>
      </c>
      <c r="B4005" s="405" t="s">
        <v>22180</v>
      </c>
      <c r="C4005" s="405" t="s">
        <v>327</v>
      </c>
      <c r="D4005" s="405"/>
      <c r="E4005" s="410">
        <v>42253</v>
      </c>
      <c r="F4005" s="410">
        <v>42298</v>
      </c>
      <c r="G4005" s="405" t="s">
        <v>22181</v>
      </c>
      <c r="H4005" s="405">
        <v>702339892</v>
      </c>
      <c r="I4005" s="405"/>
      <c r="J4005" s="405">
        <v>7.9783999999999994E-2</v>
      </c>
      <c r="K4005" s="405">
        <v>30.98432</v>
      </c>
      <c r="L4005" s="405" t="s">
        <v>590</v>
      </c>
      <c r="M4005" s="405" t="s">
        <v>19705</v>
      </c>
      <c r="N4005" s="405" t="s">
        <v>2250</v>
      </c>
      <c r="O4005" s="405" t="s">
        <v>7810</v>
      </c>
      <c r="P4005" s="405" t="s">
        <v>21723</v>
      </c>
      <c r="Q4005" s="411">
        <v>6</v>
      </c>
      <c r="R4005" s="405" t="s">
        <v>874</v>
      </c>
      <c r="S4005" s="405" t="s">
        <v>27098</v>
      </c>
      <c r="T4005" s="405" t="s">
        <v>884</v>
      </c>
      <c r="U4005" s="405" t="s">
        <v>319</v>
      </c>
    </row>
    <row r="4006" spans="1:21" x14ac:dyDescent="0.25">
      <c r="A4006" s="405" t="s">
        <v>310</v>
      </c>
      <c r="B4006" s="405" t="s">
        <v>14845</v>
      </c>
      <c r="C4006" s="405" t="s">
        <v>327</v>
      </c>
      <c r="D4006" s="405"/>
      <c r="E4006" s="410">
        <v>42253</v>
      </c>
      <c r="F4006" s="410">
        <v>42298</v>
      </c>
      <c r="G4006" s="405" t="s">
        <v>14846</v>
      </c>
      <c r="H4006" s="405">
        <v>753577601</v>
      </c>
      <c r="I4006" s="405"/>
      <c r="J4006" s="405">
        <v>0.74925200000000003</v>
      </c>
      <c r="K4006" s="405">
        <v>33.862073000000002</v>
      </c>
      <c r="L4006" s="405" t="s">
        <v>6866</v>
      </c>
      <c r="M4006" s="405" t="s">
        <v>9566</v>
      </c>
      <c r="N4006" s="405" t="s">
        <v>14784</v>
      </c>
      <c r="O4006" s="405" t="s">
        <v>9788</v>
      </c>
      <c r="P4006" s="405" t="s">
        <v>14060</v>
      </c>
      <c r="Q4006" s="411">
        <v>6</v>
      </c>
      <c r="R4006" s="405" t="s">
        <v>7224</v>
      </c>
      <c r="S4006" s="405" t="s">
        <v>27086</v>
      </c>
      <c r="T4006" s="405" t="s">
        <v>884</v>
      </c>
      <c r="U4006" s="405" t="s">
        <v>319</v>
      </c>
    </row>
    <row r="4007" spans="1:21" x14ac:dyDescent="0.25">
      <c r="A4007" s="405" t="s">
        <v>310</v>
      </c>
      <c r="B4007" s="405" t="s">
        <v>14858</v>
      </c>
      <c r="C4007" s="405" t="s">
        <v>327</v>
      </c>
      <c r="D4007" s="405"/>
      <c r="E4007" s="410">
        <v>42253</v>
      </c>
      <c r="F4007" s="410">
        <v>42298</v>
      </c>
      <c r="G4007" s="405" t="s">
        <v>14859</v>
      </c>
      <c r="H4007" s="405">
        <v>757520437</v>
      </c>
      <c r="I4007" s="405"/>
      <c r="J4007" s="405">
        <v>0.97623099999999996</v>
      </c>
      <c r="K4007" s="405">
        <v>34.169361000000002</v>
      </c>
      <c r="L4007" s="405" t="s">
        <v>6866</v>
      </c>
      <c r="M4007" s="405" t="s">
        <v>9566</v>
      </c>
      <c r="N4007" s="405" t="s">
        <v>14784</v>
      </c>
      <c r="O4007" s="405" t="s">
        <v>13884</v>
      </c>
      <c r="P4007" s="405" t="s">
        <v>14792</v>
      </c>
      <c r="Q4007" s="411">
        <v>6</v>
      </c>
      <c r="R4007" s="405" t="s">
        <v>7224</v>
      </c>
      <c r="S4007" s="405" t="s">
        <v>27190</v>
      </c>
      <c r="T4007" s="405" t="s">
        <v>884</v>
      </c>
      <c r="U4007" s="405" t="s">
        <v>319</v>
      </c>
    </row>
    <row r="4008" spans="1:21" x14ac:dyDescent="0.25">
      <c r="A4008" s="405" t="s">
        <v>310</v>
      </c>
      <c r="B4008" s="405" t="s">
        <v>28964</v>
      </c>
      <c r="C4008" s="405" t="s">
        <v>327</v>
      </c>
      <c r="D4008" s="405"/>
      <c r="E4008" s="410">
        <v>42251</v>
      </c>
      <c r="F4008" s="410">
        <v>42296</v>
      </c>
      <c r="G4008" s="405" t="s">
        <v>14906</v>
      </c>
      <c r="H4008" s="405">
        <v>774602644</v>
      </c>
      <c r="I4008" s="405"/>
      <c r="J4008" s="405">
        <v>1.0476700000000001</v>
      </c>
      <c r="K4008" s="405">
        <v>34.154581999999998</v>
      </c>
      <c r="L4008" s="405" t="s">
        <v>6866</v>
      </c>
      <c r="M4008" s="405" t="s">
        <v>9514</v>
      </c>
      <c r="N4008" s="405" t="s">
        <v>9616</v>
      </c>
      <c r="O4008" s="405" t="s">
        <v>9780</v>
      </c>
      <c r="P4008" s="405" t="s">
        <v>14874</v>
      </c>
      <c r="Q4008" s="411">
        <v>6</v>
      </c>
      <c r="R4008" s="405" t="s">
        <v>6871</v>
      </c>
      <c r="S4008" s="405" t="s">
        <v>27107</v>
      </c>
      <c r="T4008" s="405" t="s">
        <v>884</v>
      </c>
      <c r="U4008" s="405" t="s">
        <v>319</v>
      </c>
    </row>
    <row r="4009" spans="1:21" x14ac:dyDescent="0.25">
      <c r="A4009" s="405" t="s">
        <v>310</v>
      </c>
      <c r="B4009" s="405" t="s">
        <v>28982</v>
      </c>
      <c r="C4009" s="405" t="s">
        <v>327</v>
      </c>
      <c r="D4009" s="405"/>
      <c r="E4009" s="410">
        <v>42251</v>
      </c>
      <c r="F4009" s="410">
        <v>42296</v>
      </c>
      <c r="G4009" s="405" t="s">
        <v>14886</v>
      </c>
      <c r="H4009" s="405">
        <v>783412786</v>
      </c>
      <c r="I4009" s="405"/>
      <c r="J4009" s="405">
        <v>1.051023</v>
      </c>
      <c r="K4009" s="405">
        <v>34.150260000000003</v>
      </c>
      <c r="L4009" s="405" t="s">
        <v>6866</v>
      </c>
      <c r="M4009" s="405" t="s">
        <v>9514</v>
      </c>
      <c r="N4009" s="405" t="s">
        <v>9616</v>
      </c>
      <c r="O4009" s="405" t="s">
        <v>9780</v>
      </c>
      <c r="P4009" s="405" t="s">
        <v>14879</v>
      </c>
      <c r="Q4009" s="411">
        <v>6</v>
      </c>
      <c r="R4009" s="405" t="s">
        <v>6871</v>
      </c>
      <c r="S4009" s="405" t="s">
        <v>27074</v>
      </c>
      <c r="T4009" s="405" t="s">
        <v>884</v>
      </c>
      <c r="U4009" s="405" t="s">
        <v>319</v>
      </c>
    </row>
    <row r="4010" spans="1:21" x14ac:dyDescent="0.25">
      <c r="A4010" s="405" t="s">
        <v>310</v>
      </c>
      <c r="B4010" s="405" t="s">
        <v>14860</v>
      </c>
      <c r="C4010" s="405" t="s">
        <v>327</v>
      </c>
      <c r="D4010" s="405"/>
      <c r="E4010" s="410">
        <v>42251</v>
      </c>
      <c r="F4010" s="410">
        <v>42296</v>
      </c>
      <c r="G4010" s="405" t="s">
        <v>14861</v>
      </c>
      <c r="H4010" s="405">
        <v>755018056</v>
      </c>
      <c r="I4010" s="405"/>
      <c r="J4010" s="405">
        <v>0.76966299999999999</v>
      </c>
      <c r="K4010" s="405">
        <v>33.839534999999998</v>
      </c>
      <c r="L4010" s="405" t="s">
        <v>6866</v>
      </c>
      <c r="M4010" s="405" t="s">
        <v>9566</v>
      </c>
      <c r="N4010" s="405" t="s">
        <v>14784</v>
      </c>
      <c r="O4010" s="405" t="s">
        <v>13884</v>
      </c>
      <c r="P4010" s="405" t="s">
        <v>14844</v>
      </c>
      <c r="Q4010" s="411">
        <v>6</v>
      </c>
      <c r="R4010" s="405" t="s">
        <v>7224</v>
      </c>
      <c r="S4010" s="405" t="s">
        <v>27348</v>
      </c>
      <c r="T4010" s="405" t="s">
        <v>884</v>
      </c>
      <c r="U4010" s="405" t="s">
        <v>319</v>
      </c>
    </row>
    <row r="4011" spans="1:21" x14ac:dyDescent="0.25">
      <c r="A4011" s="405" t="s">
        <v>310</v>
      </c>
      <c r="B4011" s="405" t="s">
        <v>14864</v>
      </c>
      <c r="C4011" s="405" t="s">
        <v>327</v>
      </c>
      <c r="D4011" s="405"/>
      <c r="E4011" s="410">
        <v>42251</v>
      </c>
      <c r="F4011" s="410">
        <v>42296</v>
      </c>
      <c r="G4011" s="405" t="s">
        <v>14865</v>
      </c>
      <c r="H4011" s="405">
        <v>757499081</v>
      </c>
      <c r="I4011" s="405"/>
      <c r="J4011" s="405">
        <v>0.79291800000000001</v>
      </c>
      <c r="K4011" s="405">
        <v>33.842934999999997</v>
      </c>
      <c r="L4011" s="405" t="s">
        <v>6866</v>
      </c>
      <c r="M4011" s="405" t="s">
        <v>9566</v>
      </c>
      <c r="N4011" s="405" t="s">
        <v>14784</v>
      </c>
      <c r="O4011" s="405" t="s">
        <v>13884</v>
      </c>
      <c r="P4011" s="405" t="s">
        <v>14866</v>
      </c>
      <c r="Q4011" s="411">
        <v>6</v>
      </c>
      <c r="R4011" s="405" t="s">
        <v>7224</v>
      </c>
      <c r="S4011" s="405" t="s">
        <v>27182</v>
      </c>
      <c r="T4011" s="405" t="s">
        <v>884</v>
      </c>
      <c r="U4011" s="405" t="s">
        <v>319</v>
      </c>
    </row>
    <row r="4012" spans="1:21" x14ac:dyDescent="0.25">
      <c r="A4012" s="405" t="s">
        <v>310</v>
      </c>
      <c r="B4012" s="405" t="s">
        <v>14867</v>
      </c>
      <c r="C4012" s="405" t="s">
        <v>327</v>
      </c>
      <c r="D4012" s="405"/>
      <c r="E4012" s="410">
        <v>42250</v>
      </c>
      <c r="F4012" s="410">
        <v>42295</v>
      </c>
      <c r="G4012" s="405" t="s">
        <v>14868</v>
      </c>
      <c r="H4012" s="405">
        <v>701781696</v>
      </c>
      <c r="I4012" s="405"/>
      <c r="J4012" s="405">
        <v>0.76771800000000001</v>
      </c>
      <c r="K4012" s="405">
        <v>33.824024999999999</v>
      </c>
      <c r="L4012" s="405" t="s">
        <v>6866</v>
      </c>
      <c r="M4012" s="405" t="s">
        <v>9566</v>
      </c>
      <c r="N4012" s="405" t="s">
        <v>14784</v>
      </c>
      <c r="O4012" s="405" t="s">
        <v>13884</v>
      </c>
      <c r="P4012" s="405" t="s">
        <v>10470</v>
      </c>
      <c r="Q4012" s="411">
        <v>6</v>
      </c>
      <c r="R4012" s="405" t="s">
        <v>7224</v>
      </c>
      <c r="S4012" s="405" t="s">
        <v>27259</v>
      </c>
      <c r="T4012" s="405" t="s">
        <v>884</v>
      </c>
      <c r="U4012" s="405" t="s">
        <v>319</v>
      </c>
    </row>
    <row r="4013" spans="1:21" x14ac:dyDescent="0.25">
      <c r="A4013" s="405" t="s">
        <v>310</v>
      </c>
      <c r="B4013" s="405" t="s">
        <v>28270</v>
      </c>
      <c r="C4013" s="405" t="s">
        <v>327</v>
      </c>
      <c r="D4013" s="405"/>
      <c r="E4013" s="410">
        <v>42249</v>
      </c>
      <c r="F4013" s="410">
        <v>42294</v>
      </c>
      <c r="G4013" s="405" t="s">
        <v>14789</v>
      </c>
      <c r="H4013" s="405">
        <v>702010418</v>
      </c>
      <c r="I4013" s="405"/>
      <c r="J4013" s="405">
        <v>0.764795</v>
      </c>
      <c r="K4013" s="405">
        <v>33.831544999999998</v>
      </c>
      <c r="L4013" s="405" t="s">
        <v>6866</v>
      </c>
      <c r="M4013" s="405" t="s">
        <v>9566</v>
      </c>
      <c r="N4013" s="405" t="s">
        <v>14784</v>
      </c>
      <c r="O4013" s="405" t="s">
        <v>13884</v>
      </c>
      <c r="P4013" s="405" t="s">
        <v>10061</v>
      </c>
      <c r="Q4013" s="411">
        <v>6</v>
      </c>
      <c r="R4013" s="405" t="s">
        <v>7224</v>
      </c>
      <c r="S4013" s="405" t="s">
        <v>27041</v>
      </c>
      <c r="T4013" s="405" t="s">
        <v>6551</v>
      </c>
      <c r="U4013" s="405" t="s">
        <v>2267</v>
      </c>
    </row>
    <row r="4014" spans="1:21" x14ac:dyDescent="0.25">
      <c r="A4014" s="405" t="s">
        <v>310</v>
      </c>
      <c r="B4014" s="405" t="s">
        <v>29080</v>
      </c>
      <c r="C4014" s="405" t="s">
        <v>327</v>
      </c>
      <c r="D4014" s="405"/>
      <c r="E4014" s="410">
        <v>42249</v>
      </c>
      <c r="F4014" s="410">
        <v>42294</v>
      </c>
      <c r="G4014" s="405" t="s">
        <v>14835</v>
      </c>
      <c r="H4014" s="405">
        <v>752939816</v>
      </c>
      <c r="I4014" s="405"/>
      <c r="J4014" s="405">
        <v>0.76275499999999996</v>
      </c>
      <c r="K4014" s="405">
        <v>33.840200000000003</v>
      </c>
      <c r="L4014" s="405" t="s">
        <v>6866</v>
      </c>
      <c r="M4014" s="405" t="s">
        <v>9566</v>
      </c>
      <c r="N4014" s="405" t="s">
        <v>14784</v>
      </c>
      <c r="O4014" s="405" t="s">
        <v>13884</v>
      </c>
      <c r="P4014" s="405" t="s">
        <v>14836</v>
      </c>
      <c r="Q4014" s="411">
        <v>6</v>
      </c>
      <c r="R4014" s="405" t="s">
        <v>7224</v>
      </c>
      <c r="S4014" s="405" t="s">
        <v>27067</v>
      </c>
      <c r="T4014" s="405" t="s">
        <v>884</v>
      </c>
      <c r="U4014" s="405" t="s">
        <v>319</v>
      </c>
    </row>
    <row r="4015" spans="1:21" x14ac:dyDescent="0.25">
      <c r="A4015" s="405" t="s">
        <v>310</v>
      </c>
      <c r="B4015" s="405" t="s">
        <v>14827</v>
      </c>
      <c r="C4015" s="405" t="s">
        <v>327</v>
      </c>
      <c r="D4015" s="405"/>
      <c r="E4015" s="410">
        <v>42249</v>
      </c>
      <c r="F4015" s="410">
        <v>42294</v>
      </c>
      <c r="G4015" s="405" t="s">
        <v>14828</v>
      </c>
      <c r="H4015" s="405">
        <v>773287860</v>
      </c>
      <c r="I4015" s="405"/>
      <c r="J4015" s="405">
        <v>0.76138499999999998</v>
      </c>
      <c r="K4015" s="405">
        <v>33.875008000000001</v>
      </c>
      <c r="L4015" s="405" t="s">
        <v>6866</v>
      </c>
      <c r="M4015" s="405" t="s">
        <v>9566</v>
      </c>
      <c r="N4015" s="405" t="s">
        <v>14784</v>
      </c>
      <c r="O4015" s="405" t="s">
        <v>9788</v>
      </c>
      <c r="P4015" s="405" t="s">
        <v>2335</v>
      </c>
      <c r="Q4015" s="411">
        <v>6</v>
      </c>
      <c r="R4015" s="405" t="s">
        <v>7224</v>
      </c>
      <c r="S4015" s="405" t="s">
        <v>27335</v>
      </c>
      <c r="T4015" s="405" t="s">
        <v>6551</v>
      </c>
      <c r="U4015" s="405" t="s">
        <v>2267</v>
      </c>
    </row>
    <row r="4016" spans="1:21" x14ac:dyDescent="0.25">
      <c r="A4016" s="405" t="s">
        <v>310</v>
      </c>
      <c r="B4016" s="405" t="s">
        <v>14884</v>
      </c>
      <c r="C4016" s="405" t="s">
        <v>327</v>
      </c>
      <c r="D4016" s="405"/>
      <c r="E4016" s="410">
        <v>42249</v>
      </c>
      <c r="F4016" s="410">
        <v>42294</v>
      </c>
      <c r="G4016" s="405" t="s">
        <v>14885</v>
      </c>
      <c r="H4016" s="405">
        <v>777252564</v>
      </c>
      <c r="I4016" s="405"/>
      <c r="J4016" s="405">
        <v>1.049528</v>
      </c>
      <c r="K4016" s="405">
        <v>34.153481999999997</v>
      </c>
      <c r="L4016" s="405" t="s">
        <v>6866</v>
      </c>
      <c r="M4016" s="405" t="s">
        <v>9514</v>
      </c>
      <c r="N4016" s="405" t="s">
        <v>9616</v>
      </c>
      <c r="O4016" s="405" t="s">
        <v>9780</v>
      </c>
      <c r="P4016" s="405" t="s">
        <v>14044</v>
      </c>
      <c r="Q4016" s="411">
        <v>6</v>
      </c>
      <c r="R4016" s="405" t="s">
        <v>6871</v>
      </c>
      <c r="S4016" s="405" t="s">
        <v>17062</v>
      </c>
      <c r="T4016" s="405" t="s">
        <v>32746</v>
      </c>
      <c r="U4016" s="405" t="s">
        <v>2267</v>
      </c>
    </row>
    <row r="4017" spans="1:21" x14ac:dyDescent="0.25">
      <c r="A4017" s="405" t="s">
        <v>310</v>
      </c>
      <c r="B4017" s="405" t="s">
        <v>28053</v>
      </c>
      <c r="C4017" s="405" t="s">
        <v>311</v>
      </c>
      <c r="D4017" s="405" t="s">
        <v>839</v>
      </c>
      <c r="E4017" s="410">
        <v>42247</v>
      </c>
      <c r="F4017" s="410">
        <v>42292</v>
      </c>
      <c r="G4017" s="405" t="s">
        <v>6349</v>
      </c>
      <c r="H4017" s="405">
        <v>772950574</v>
      </c>
      <c r="I4017" s="405"/>
      <c r="J4017" s="405">
        <v>0.23535300000000001</v>
      </c>
      <c r="K4017" s="405">
        <v>32.055954</v>
      </c>
      <c r="L4017" s="405" t="s">
        <v>314</v>
      </c>
      <c r="M4017" s="405" t="s">
        <v>339</v>
      </c>
      <c r="N4017" s="405" t="s">
        <v>339</v>
      </c>
      <c r="O4017" s="405" t="s">
        <v>2272</v>
      </c>
      <c r="P4017" s="405" t="s">
        <v>2460</v>
      </c>
      <c r="Q4017" s="411">
        <v>6</v>
      </c>
      <c r="R4017" s="405" t="s">
        <v>1263</v>
      </c>
      <c r="S4017" s="405" t="s">
        <v>27206</v>
      </c>
      <c r="T4017" s="405" t="s">
        <v>884</v>
      </c>
      <c r="U4017" s="405" t="s">
        <v>319</v>
      </c>
    </row>
    <row r="4018" spans="1:21" x14ac:dyDescent="0.25">
      <c r="A4018" s="405" t="s">
        <v>310</v>
      </c>
      <c r="B4018" s="405" t="s">
        <v>14880</v>
      </c>
      <c r="C4018" s="405" t="s">
        <v>327</v>
      </c>
      <c r="D4018" s="405"/>
      <c r="E4018" s="410">
        <v>42247</v>
      </c>
      <c r="F4018" s="410">
        <v>42292</v>
      </c>
      <c r="G4018" s="405" t="s">
        <v>14881</v>
      </c>
      <c r="H4018" s="405">
        <v>754051737</v>
      </c>
      <c r="I4018" s="405"/>
      <c r="J4018" s="405">
        <v>1.04955</v>
      </c>
      <c r="K4018" s="405">
        <v>34.153370000000002</v>
      </c>
      <c r="L4018" s="405" t="s">
        <v>6866</v>
      </c>
      <c r="M4018" s="405" t="s">
        <v>9514</v>
      </c>
      <c r="N4018" s="405" t="s">
        <v>9780</v>
      </c>
      <c r="O4018" s="405" t="s">
        <v>9780</v>
      </c>
      <c r="P4018" s="405" t="s">
        <v>9783</v>
      </c>
      <c r="Q4018" s="411">
        <v>6</v>
      </c>
      <c r="R4018" s="405" t="s">
        <v>6871</v>
      </c>
      <c r="S4018" s="405" t="s">
        <v>27306</v>
      </c>
      <c r="T4018" s="405" t="s">
        <v>884</v>
      </c>
      <c r="U4018" s="405" t="s">
        <v>319</v>
      </c>
    </row>
    <row r="4019" spans="1:21" x14ac:dyDescent="0.25">
      <c r="A4019" s="405" t="s">
        <v>310</v>
      </c>
      <c r="B4019" s="405" t="s">
        <v>14862</v>
      </c>
      <c r="C4019" s="405" t="s">
        <v>327</v>
      </c>
      <c r="D4019" s="405"/>
      <c r="E4019" s="410">
        <v>42247</v>
      </c>
      <c r="F4019" s="410">
        <v>42292</v>
      </c>
      <c r="G4019" s="405" t="s">
        <v>14863</v>
      </c>
      <c r="H4019" s="405">
        <v>756399530</v>
      </c>
      <c r="I4019" s="405"/>
      <c r="J4019" s="405">
        <v>0.77302700000000002</v>
      </c>
      <c r="K4019" s="405">
        <v>33.840097</v>
      </c>
      <c r="L4019" s="405" t="s">
        <v>6866</v>
      </c>
      <c r="M4019" s="405" t="s">
        <v>9566</v>
      </c>
      <c r="N4019" s="405" t="s">
        <v>14784</v>
      </c>
      <c r="O4019" s="405" t="s">
        <v>13884</v>
      </c>
      <c r="P4019" s="405" t="s">
        <v>14844</v>
      </c>
      <c r="Q4019" s="411">
        <v>6</v>
      </c>
      <c r="R4019" s="405" t="s">
        <v>7224</v>
      </c>
      <c r="S4019" s="405" t="s">
        <v>27204</v>
      </c>
      <c r="T4019" s="405" t="s">
        <v>884</v>
      </c>
      <c r="U4019" s="405" t="s">
        <v>319</v>
      </c>
    </row>
    <row r="4020" spans="1:21" x14ac:dyDescent="0.25">
      <c r="A4020" s="405" t="s">
        <v>310</v>
      </c>
      <c r="B4020" s="405" t="s">
        <v>14796</v>
      </c>
      <c r="C4020" s="405" t="s">
        <v>327</v>
      </c>
      <c r="D4020" s="405"/>
      <c r="E4020" s="410">
        <v>42246</v>
      </c>
      <c r="F4020" s="410">
        <v>42291</v>
      </c>
      <c r="G4020" s="405" t="s">
        <v>14797</v>
      </c>
      <c r="H4020" s="405">
        <v>758540385</v>
      </c>
      <c r="I4020" s="405"/>
      <c r="J4020" s="405">
        <v>0.53510000000000002</v>
      </c>
      <c r="K4020" s="405" t="s">
        <v>14798</v>
      </c>
      <c r="L4020" s="405" t="s">
        <v>6866</v>
      </c>
      <c r="M4020" s="405" t="s">
        <v>1120</v>
      </c>
      <c r="N4020" s="405" t="s">
        <v>1120</v>
      </c>
      <c r="O4020" s="405" t="s">
        <v>14799</v>
      </c>
      <c r="P4020" s="405" t="s">
        <v>14800</v>
      </c>
      <c r="Q4020" s="411">
        <v>9</v>
      </c>
      <c r="R4020" s="405" t="s">
        <v>5336</v>
      </c>
      <c r="S4020" s="405" t="s">
        <v>27106</v>
      </c>
      <c r="T4020" s="405" t="s">
        <v>884</v>
      </c>
      <c r="U4020" s="405" t="s">
        <v>319</v>
      </c>
    </row>
    <row r="4021" spans="1:21" x14ac:dyDescent="0.25">
      <c r="A4021" s="405" t="s">
        <v>310</v>
      </c>
      <c r="B4021" s="405" t="s">
        <v>28389</v>
      </c>
      <c r="C4021" s="405" t="s">
        <v>327</v>
      </c>
      <c r="D4021" s="405"/>
      <c r="E4021" s="410">
        <v>42246</v>
      </c>
      <c r="F4021" s="410">
        <v>42291</v>
      </c>
      <c r="G4021" s="405" t="s">
        <v>14834</v>
      </c>
      <c r="H4021" s="405">
        <v>759114702</v>
      </c>
      <c r="I4021" s="405"/>
      <c r="J4021" s="405">
        <v>0.76551000000000002</v>
      </c>
      <c r="K4021" s="405">
        <v>33.813453000000003</v>
      </c>
      <c r="L4021" s="405" t="s">
        <v>6866</v>
      </c>
      <c r="M4021" s="405" t="s">
        <v>9566</v>
      </c>
      <c r="N4021" s="405" t="s">
        <v>14784</v>
      </c>
      <c r="O4021" s="405" t="s">
        <v>13884</v>
      </c>
      <c r="P4021" s="405" t="s">
        <v>10470</v>
      </c>
      <c r="Q4021" s="411">
        <v>6</v>
      </c>
      <c r="R4021" s="405" t="s">
        <v>7224</v>
      </c>
      <c r="S4021" s="405" t="s">
        <v>27348</v>
      </c>
      <c r="T4021" s="405" t="s">
        <v>884</v>
      </c>
      <c r="U4021" s="405" t="s">
        <v>319</v>
      </c>
    </row>
    <row r="4022" spans="1:21" x14ac:dyDescent="0.25">
      <c r="A4022" s="405" t="s">
        <v>310</v>
      </c>
      <c r="B4022" s="405" t="s">
        <v>28991</v>
      </c>
      <c r="C4022" s="405" t="s">
        <v>327</v>
      </c>
      <c r="D4022" s="405"/>
      <c r="E4022" s="410">
        <v>42246</v>
      </c>
      <c r="F4022" s="410">
        <v>42291</v>
      </c>
      <c r="G4022" s="405" t="s">
        <v>22171</v>
      </c>
      <c r="H4022" s="405">
        <v>752857233</v>
      </c>
      <c r="I4022" s="405"/>
      <c r="J4022" s="405">
        <v>0.84634200000000004</v>
      </c>
      <c r="K4022" s="405">
        <v>30.118517000000001</v>
      </c>
      <c r="L4022" s="405" t="s">
        <v>590</v>
      </c>
      <c r="M4022" s="405" t="s">
        <v>19659</v>
      </c>
      <c r="N4022" s="405" t="s">
        <v>19604</v>
      </c>
      <c r="O4022" s="405" t="s">
        <v>22172</v>
      </c>
      <c r="P4022" s="405" t="s">
        <v>22173</v>
      </c>
      <c r="Q4022" s="411">
        <v>6</v>
      </c>
      <c r="R4022" s="405" t="s">
        <v>5858</v>
      </c>
      <c r="S4022" s="405" t="s">
        <v>27098</v>
      </c>
      <c r="T4022" s="405" t="s">
        <v>884</v>
      </c>
      <c r="U4022" s="405" t="s">
        <v>319</v>
      </c>
    </row>
    <row r="4023" spans="1:21" x14ac:dyDescent="0.25">
      <c r="A4023" s="405" t="s">
        <v>310</v>
      </c>
      <c r="B4023" s="405" t="s">
        <v>14842</v>
      </c>
      <c r="C4023" s="405" t="s">
        <v>327</v>
      </c>
      <c r="D4023" s="405"/>
      <c r="E4023" s="410">
        <v>42246</v>
      </c>
      <c r="F4023" s="410">
        <v>42291</v>
      </c>
      <c r="G4023" s="405" t="s">
        <v>14843</v>
      </c>
      <c r="H4023" s="405">
        <v>752613452</v>
      </c>
      <c r="I4023" s="405"/>
      <c r="J4023" s="405">
        <v>0.77743300000000004</v>
      </c>
      <c r="K4023" s="405">
        <v>33.84308</v>
      </c>
      <c r="L4023" s="405" t="s">
        <v>6866</v>
      </c>
      <c r="M4023" s="405" t="s">
        <v>9566</v>
      </c>
      <c r="N4023" s="405" t="s">
        <v>14784</v>
      </c>
      <c r="O4023" s="405" t="s">
        <v>13884</v>
      </c>
      <c r="P4023" s="405" t="s">
        <v>14844</v>
      </c>
      <c r="Q4023" s="411">
        <v>6</v>
      </c>
      <c r="R4023" s="405" t="s">
        <v>7224</v>
      </c>
      <c r="S4023" s="405" t="s">
        <v>27182</v>
      </c>
      <c r="T4023" s="405" t="s">
        <v>884</v>
      </c>
      <c r="U4023" s="405" t="s">
        <v>319</v>
      </c>
    </row>
    <row r="4024" spans="1:21" x14ac:dyDescent="0.25">
      <c r="A4024" s="405" t="s">
        <v>310</v>
      </c>
      <c r="B4024" s="405" t="s">
        <v>14849</v>
      </c>
      <c r="C4024" s="405" t="s">
        <v>327</v>
      </c>
      <c r="D4024" s="405"/>
      <c r="E4024" s="410">
        <v>42246</v>
      </c>
      <c r="F4024" s="410">
        <v>42291</v>
      </c>
      <c r="G4024" s="405" t="s">
        <v>14850</v>
      </c>
      <c r="H4024" s="405">
        <v>757336422</v>
      </c>
      <c r="I4024" s="405"/>
      <c r="J4024" s="405">
        <v>0.75634800000000002</v>
      </c>
      <c r="K4024" s="405">
        <v>33.868749999999999</v>
      </c>
      <c r="L4024" s="405" t="s">
        <v>6866</v>
      </c>
      <c r="M4024" s="405" t="s">
        <v>9566</v>
      </c>
      <c r="N4024" s="405" t="s">
        <v>14784</v>
      </c>
      <c r="O4024" s="405" t="s">
        <v>9788</v>
      </c>
      <c r="P4024" s="405" t="s">
        <v>14060</v>
      </c>
      <c r="Q4024" s="411">
        <v>6</v>
      </c>
      <c r="R4024" s="405" t="s">
        <v>7224</v>
      </c>
      <c r="S4024" s="405" t="s">
        <v>27169</v>
      </c>
      <c r="T4024" s="405" t="s">
        <v>884</v>
      </c>
      <c r="U4024" s="405" t="s">
        <v>319</v>
      </c>
    </row>
    <row r="4025" spans="1:21" x14ac:dyDescent="0.25">
      <c r="A4025" s="405" t="s">
        <v>310</v>
      </c>
      <c r="B4025" s="405" t="s">
        <v>14793</v>
      </c>
      <c r="C4025" s="405" t="s">
        <v>327</v>
      </c>
      <c r="D4025" s="405"/>
      <c r="E4025" s="410">
        <v>42246</v>
      </c>
      <c r="F4025" s="410">
        <v>42291</v>
      </c>
      <c r="G4025" s="405" t="s">
        <v>14794</v>
      </c>
      <c r="H4025" s="405">
        <v>777913598</v>
      </c>
      <c r="I4025" s="405"/>
      <c r="J4025" s="405">
        <v>0.46610000000000001</v>
      </c>
      <c r="K4025" s="405">
        <v>33.239933000000001</v>
      </c>
      <c r="L4025" s="405" t="s">
        <v>6866</v>
      </c>
      <c r="M4025" s="405" t="s">
        <v>9590</v>
      </c>
      <c r="N4025" s="405" t="s">
        <v>13529</v>
      </c>
      <c r="O4025" s="405" t="s">
        <v>13529</v>
      </c>
      <c r="P4025" s="405" t="s">
        <v>14795</v>
      </c>
      <c r="Q4025" s="411">
        <v>6</v>
      </c>
      <c r="R4025" s="405" t="s">
        <v>5336</v>
      </c>
      <c r="S4025" s="405" t="s">
        <v>6822</v>
      </c>
      <c r="T4025" s="405" t="s">
        <v>884</v>
      </c>
      <c r="U4025" s="405" t="s">
        <v>319</v>
      </c>
    </row>
    <row r="4026" spans="1:21" x14ac:dyDescent="0.25">
      <c r="A4026" s="405" t="s">
        <v>310</v>
      </c>
      <c r="B4026" s="405" t="s">
        <v>14819</v>
      </c>
      <c r="C4026" s="405" t="s">
        <v>327</v>
      </c>
      <c r="D4026" s="405"/>
      <c r="E4026" s="410">
        <v>42246</v>
      </c>
      <c r="F4026" s="410">
        <v>42291</v>
      </c>
      <c r="G4026" s="405" t="s">
        <v>14820</v>
      </c>
      <c r="H4026" s="405">
        <v>787089727</v>
      </c>
      <c r="I4026" s="405">
        <v>759349368</v>
      </c>
      <c r="J4026" s="405">
        <v>0.80640999999999996</v>
      </c>
      <c r="K4026" s="405">
        <v>33.820120000000003</v>
      </c>
      <c r="L4026" s="405" t="s">
        <v>6866</v>
      </c>
      <c r="M4026" s="405" t="s">
        <v>9566</v>
      </c>
      <c r="N4026" s="405" t="s">
        <v>13884</v>
      </c>
      <c r="O4026" s="405" t="s">
        <v>13884</v>
      </c>
      <c r="P4026" s="405" t="s">
        <v>14821</v>
      </c>
      <c r="Q4026" s="411">
        <v>6</v>
      </c>
      <c r="R4026" s="405" t="s">
        <v>7224</v>
      </c>
      <c r="S4026" s="405" t="s">
        <v>27298</v>
      </c>
      <c r="T4026" s="405" t="s">
        <v>884</v>
      </c>
      <c r="U4026" s="405" t="s">
        <v>319</v>
      </c>
    </row>
    <row r="4027" spans="1:21" x14ac:dyDescent="0.25">
      <c r="A4027" s="405" t="s">
        <v>310</v>
      </c>
      <c r="B4027" s="405" t="s">
        <v>5756</v>
      </c>
      <c r="C4027" s="405" t="s">
        <v>327</v>
      </c>
      <c r="D4027" s="405"/>
      <c r="E4027" s="410">
        <v>42245</v>
      </c>
      <c r="F4027" s="410">
        <v>42290</v>
      </c>
      <c r="G4027" s="405" t="s">
        <v>5757</v>
      </c>
      <c r="H4027" s="405">
        <v>772693550</v>
      </c>
      <c r="I4027" s="405"/>
      <c r="J4027" s="405">
        <v>0.33881499999999998</v>
      </c>
      <c r="K4027" s="405">
        <v>34.471567</v>
      </c>
      <c r="L4027" s="405" t="s">
        <v>314</v>
      </c>
      <c r="M4027" s="405" t="s">
        <v>361</v>
      </c>
      <c r="N4027" s="405" t="s">
        <v>374</v>
      </c>
      <c r="O4027" s="405" t="s">
        <v>375</v>
      </c>
      <c r="P4027" s="405" t="s">
        <v>4359</v>
      </c>
      <c r="Q4027" s="411">
        <v>13</v>
      </c>
      <c r="R4027" s="405" t="s">
        <v>5336</v>
      </c>
      <c r="S4027" s="405" t="s">
        <v>27106</v>
      </c>
      <c r="T4027" s="405" t="s">
        <v>884</v>
      </c>
      <c r="U4027" s="405" t="s">
        <v>319</v>
      </c>
    </row>
    <row r="4028" spans="1:21" x14ac:dyDescent="0.25">
      <c r="A4028" s="405" t="s">
        <v>310</v>
      </c>
      <c r="B4028" s="405" t="s">
        <v>14851</v>
      </c>
      <c r="C4028" s="405" t="s">
        <v>327</v>
      </c>
      <c r="D4028" s="405"/>
      <c r="E4028" s="410">
        <v>42245</v>
      </c>
      <c r="F4028" s="410">
        <v>42290</v>
      </c>
      <c r="G4028" s="405" t="s">
        <v>14852</v>
      </c>
      <c r="H4028" s="405">
        <v>751502394</v>
      </c>
      <c r="I4028" s="405"/>
      <c r="J4028" s="405">
        <v>0.76986299999999996</v>
      </c>
      <c r="K4028" s="405">
        <v>33.830844999999997</v>
      </c>
      <c r="L4028" s="405" t="s">
        <v>6866</v>
      </c>
      <c r="M4028" s="405" t="s">
        <v>9566</v>
      </c>
      <c r="N4028" s="405" t="s">
        <v>14784</v>
      </c>
      <c r="O4028" s="405" t="s">
        <v>13884</v>
      </c>
      <c r="P4028" s="405" t="s">
        <v>14853</v>
      </c>
      <c r="Q4028" s="411">
        <v>6</v>
      </c>
      <c r="R4028" s="405" t="s">
        <v>7224</v>
      </c>
      <c r="S4028" s="405" t="s">
        <v>27259</v>
      </c>
      <c r="T4028" s="405" t="s">
        <v>884</v>
      </c>
      <c r="U4028" s="405" t="s">
        <v>319</v>
      </c>
    </row>
    <row r="4029" spans="1:21" x14ac:dyDescent="0.25">
      <c r="A4029" s="405" t="s">
        <v>310</v>
      </c>
      <c r="B4029" s="405" t="s">
        <v>14813</v>
      </c>
      <c r="C4029" s="405" t="s">
        <v>327</v>
      </c>
      <c r="D4029" s="405"/>
      <c r="E4029" s="410">
        <v>42245</v>
      </c>
      <c r="F4029" s="410">
        <v>42290</v>
      </c>
      <c r="G4029" s="405" t="s">
        <v>14814</v>
      </c>
      <c r="H4029" s="405">
        <v>783362887</v>
      </c>
      <c r="I4029" s="405">
        <v>702773446</v>
      </c>
      <c r="J4029" s="405">
        <v>1.2854429999999999</v>
      </c>
      <c r="K4029" s="405">
        <v>34.341287000000001</v>
      </c>
      <c r="L4029" s="405" t="s">
        <v>6866</v>
      </c>
      <c r="M4029" s="405" t="s">
        <v>9550</v>
      </c>
      <c r="N4029" s="405" t="s">
        <v>9638</v>
      </c>
      <c r="O4029" s="405" t="s">
        <v>14815</v>
      </c>
      <c r="P4029" s="405" t="s">
        <v>14438</v>
      </c>
      <c r="Q4029" s="411">
        <v>6</v>
      </c>
      <c r="R4029" s="405" t="s">
        <v>7224</v>
      </c>
      <c r="S4029" s="405" t="s">
        <v>27294</v>
      </c>
      <c r="T4029" s="405" t="s">
        <v>884</v>
      </c>
      <c r="U4029" s="405" t="s">
        <v>319</v>
      </c>
    </row>
    <row r="4030" spans="1:21" x14ac:dyDescent="0.25">
      <c r="A4030" s="405" t="s">
        <v>310</v>
      </c>
      <c r="B4030" s="405" t="s">
        <v>28201</v>
      </c>
      <c r="C4030" s="405" t="s">
        <v>327</v>
      </c>
      <c r="D4030" s="405"/>
      <c r="E4030" s="410">
        <v>42244</v>
      </c>
      <c r="F4030" s="410">
        <v>42289</v>
      </c>
      <c r="G4030" s="405" t="s">
        <v>14839</v>
      </c>
      <c r="H4030" s="405">
        <v>753253511</v>
      </c>
      <c r="I4030" s="405"/>
      <c r="J4030" s="405">
        <v>0.78880300000000003</v>
      </c>
      <c r="K4030" s="405">
        <v>33.821317999999998</v>
      </c>
      <c r="L4030" s="405" t="s">
        <v>6866</v>
      </c>
      <c r="M4030" s="405" t="s">
        <v>9566</v>
      </c>
      <c r="N4030" s="405" t="s">
        <v>14784</v>
      </c>
      <c r="O4030" s="405" t="s">
        <v>13884</v>
      </c>
      <c r="P4030" s="405" t="s">
        <v>14840</v>
      </c>
      <c r="Q4030" s="411">
        <v>6</v>
      </c>
      <c r="R4030" s="405" t="s">
        <v>7224</v>
      </c>
      <c r="S4030" s="405" t="s">
        <v>27067</v>
      </c>
      <c r="T4030" s="405" t="s">
        <v>884</v>
      </c>
      <c r="U4030" s="405" t="s">
        <v>319</v>
      </c>
    </row>
    <row r="4031" spans="1:21" x14ac:dyDescent="0.25">
      <c r="A4031" s="405" t="s">
        <v>310</v>
      </c>
      <c r="B4031" s="405" t="s">
        <v>28209</v>
      </c>
      <c r="C4031" s="405" t="s">
        <v>327</v>
      </c>
      <c r="D4031" s="405"/>
      <c r="E4031" s="410">
        <v>42244</v>
      </c>
      <c r="F4031" s="410">
        <v>42289</v>
      </c>
      <c r="G4031" s="405" t="s">
        <v>14878</v>
      </c>
      <c r="H4031" s="405">
        <v>783743377</v>
      </c>
      <c r="I4031" s="405"/>
      <c r="J4031" s="405">
        <v>1.0517179999999999</v>
      </c>
      <c r="K4031" s="405">
        <v>34.142164999999999</v>
      </c>
      <c r="L4031" s="405" t="s">
        <v>6866</v>
      </c>
      <c r="M4031" s="405" t="s">
        <v>9514</v>
      </c>
      <c r="N4031" s="405" t="s">
        <v>9616</v>
      </c>
      <c r="O4031" s="405" t="s">
        <v>9780</v>
      </c>
      <c r="P4031" s="405" t="s">
        <v>14879</v>
      </c>
      <c r="Q4031" s="411">
        <v>6</v>
      </c>
      <c r="R4031" s="405" t="s">
        <v>6871</v>
      </c>
      <c r="S4031" s="405" t="s">
        <v>27306</v>
      </c>
      <c r="T4031" s="405" t="s">
        <v>884</v>
      </c>
      <c r="U4031" s="405" t="s">
        <v>319</v>
      </c>
    </row>
    <row r="4032" spans="1:21" x14ac:dyDescent="0.25">
      <c r="A4032" s="405" t="s">
        <v>310</v>
      </c>
      <c r="B4032" s="405" t="s">
        <v>14869</v>
      </c>
      <c r="C4032" s="405" t="s">
        <v>327</v>
      </c>
      <c r="D4032" s="405"/>
      <c r="E4032" s="410">
        <v>42244</v>
      </c>
      <c r="F4032" s="410">
        <v>42289</v>
      </c>
      <c r="G4032" s="405" t="s">
        <v>14870</v>
      </c>
      <c r="H4032" s="405">
        <v>773376447</v>
      </c>
      <c r="I4032" s="405"/>
      <c r="J4032" s="405">
        <v>1.054862</v>
      </c>
      <c r="K4032" s="405">
        <v>34.143458000000003</v>
      </c>
      <c r="L4032" s="405" t="s">
        <v>6866</v>
      </c>
      <c r="M4032" s="405" t="s">
        <v>9514</v>
      </c>
      <c r="N4032" s="405" t="s">
        <v>9616</v>
      </c>
      <c r="O4032" s="405" t="s">
        <v>9780</v>
      </c>
      <c r="P4032" s="405" t="s">
        <v>14871</v>
      </c>
      <c r="Q4032" s="411">
        <v>6</v>
      </c>
      <c r="R4032" s="405" t="s">
        <v>6871</v>
      </c>
      <c r="S4032" s="405" t="s">
        <v>17013</v>
      </c>
      <c r="T4032" s="405" t="s">
        <v>884</v>
      </c>
      <c r="U4032" s="405" t="s">
        <v>319</v>
      </c>
    </row>
    <row r="4033" spans="1:21" x14ac:dyDescent="0.25">
      <c r="A4033" s="405" t="s">
        <v>310</v>
      </c>
      <c r="B4033" s="405" t="s">
        <v>14847</v>
      </c>
      <c r="C4033" s="405" t="s">
        <v>327</v>
      </c>
      <c r="D4033" s="405"/>
      <c r="E4033" s="410">
        <v>42244</v>
      </c>
      <c r="F4033" s="410">
        <v>42289</v>
      </c>
      <c r="G4033" s="405" t="s">
        <v>14848</v>
      </c>
      <c r="H4033" s="405">
        <v>783328321</v>
      </c>
      <c r="I4033" s="405"/>
      <c r="J4033" s="405">
        <v>1.1334599999999999</v>
      </c>
      <c r="K4033" s="405">
        <v>33.660333000000001</v>
      </c>
      <c r="L4033" s="405" t="s">
        <v>6866</v>
      </c>
      <c r="M4033" s="405" t="s">
        <v>9566</v>
      </c>
      <c r="N4033" s="405" t="s">
        <v>14784</v>
      </c>
      <c r="O4033" s="405" t="s">
        <v>13884</v>
      </c>
      <c r="P4033" s="405" t="s">
        <v>14840</v>
      </c>
      <c r="Q4033" s="411">
        <v>6</v>
      </c>
      <c r="R4033" s="405" t="s">
        <v>7224</v>
      </c>
      <c r="S4033" s="405" t="s">
        <v>27335</v>
      </c>
      <c r="T4033" s="405" t="s">
        <v>884</v>
      </c>
      <c r="U4033" s="405" t="s">
        <v>319</v>
      </c>
    </row>
    <row r="4034" spans="1:21" x14ac:dyDescent="0.25">
      <c r="A4034" s="405" t="s">
        <v>310</v>
      </c>
      <c r="B4034" s="405" t="s">
        <v>5758</v>
      </c>
      <c r="C4034" s="405" t="s">
        <v>327</v>
      </c>
      <c r="D4034" s="405"/>
      <c r="E4034" s="410">
        <v>42243</v>
      </c>
      <c r="F4034" s="410">
        <v>42288</v>
      </c>
      <c r="G4034" s="405" t="s">
        <v>5759</v>
      </c>
      <c r="H4034" s="405">
        <v>772850596</v>
      </c>
      <c r="I4034" s="405"/>
      <c r="J4034" s="405">
        <v>0.55864499999999995</v>
      </c>
      <c r="K4034" s="405">
        <v>31.819521999999999</v>
      </c>
      <c r="L4034" s="405" t="s">
        <v>314</v>
      </c>
      <c r="M4034" s="405" t="s">
        <v>445</v>
      </c>
      <c r="N4034" s="405" t="s">
        <v>570</v>
      </c>
      <c r="O4034" s="405" t="s">
        <v>571</v>
      </c>
      <c r="P4034" s="405" t="s">
        <v>5760</v>
      </c>
      <c r="Q4034" s="411">
        <v>6</v>
      </c>
      <c r="R4034" s="405" t="s">
        <v>5336</v>
      </c>
      <c r="S4034" s="405" t="s">
        <v>27174</v>
      </c>
      <c r="T4034" s="405" t="s">
        <v>884</v>
      </c>
      <c r="U4034" s="405" t="s">
        <v>319</v>
      </c>
    </row>
    <row r="4035" spans="1:21" x14ac:dyDescent="0.25">
      <c r="A4035" s="405" t="s">
        <v>310</v>
      </c>
      <c r="B4035" s="405" t="s">
        <v>14807</v>
      </c>
      <c r="C4035" s="405" t="s">
        <v>327</v>
      </c>
      <c r="D4035" s="405"/>
      <c r="E4035" s="410">
        <v>42242</v>
      </c>
      <c r="F4035" s="410">
        <v>42287</v>
      </c>
      <c r="G4035" s="405" t="s">
        <v>14808</v>
      </c>
      <c r="H4035" s="405">
        <v>755931874</v>
      </c>
      <c r="I4035" s="405"/>
      <c r="J4035" s="405">
        <v>0.78778700000000002</v>
      </c>
      <c r="K4035" s="405">
        <v>33.834122000000001</v>
      </c>
      <c r="L4035" s="405" t="s">
        <v>6866</v>
      </c>
      <c r="M4035" s="405" t="s">
        <v>9566</v>
      </c>
      <c r="N4035" s="405" t="s">
        <v>13884</v>
      </c>
      <c r="O4035" s="405" t="s">
        <v>13884</v>
      </c>
      <c r="P4035" s="405" t="s">
        <v>14809</v>
      </c>
      <c r="Q4035" s="411">
        <v>6</v>
      </c>
      <c r="R4035" s="405" t="s">
        <v>7224</v>
      </c>
      <c r="S4035" s="405" t="s">
        <v>27348</v>
      </c>
      <c r="T4035" s="405" t="s">
        <v>884</v>
      </c>
      <c r="U4035" s="405" t="s">
        <v>319</v>
      </c>
    </row>
    <row r="4036" spans="1:21" x14ac:dyDescent="0.25">
      <c r="A4036" s="405" t="s">
        <v>310</v>
      </c>
      <c r="B4036" s="405" t="s">
        <v>27628</v>
      </c>
      <c r="C4036" s="405" t="s">
        <v>327</v>
      </c>
      <c r="D4036" s="405"/>
      <c r="E4036" s="410">
        <v>42241</v>
      </c>
      <c r="F4036" s="410">
        <v>42286</v>
      </c>
      <c r="G4036" s="405" t="s">
        <v>22177</v>
      </c>
      <c r="H4036" s="405">
        <v>782954388</v>
      </c>
      <c r="I4036" s="405"/>
      <c r="J4036" s="405">
        <v>6.8780000000000004E-3</v>
      </c>
      <c r="K4036" s="405">
        <v>30.368807</v>
      </c>
      <c r="L4036" s="405" t="s">
        <v>590</v>
      </c>
      <c r="M4036" s="405" t="s">
        <v>7300</v>
      </c>
      <c r="N4036" s="405" t="s">
        <v>20450</v>
      </c>
      <c r="O4036" s="405" t="s">
        <v>21799</v>
      </c>
      <c r="P4036" s="405" t="s">
        <v>22178</v>
      </c>
      <c r="Q4036" s="411">
        <v>6</v>
      </c>
      <c r="R4036" s="405" t="s">
        <v>6397</v>
      </c>
      <c r="S4036" s="405" t="s">
        <v>22481</v>
      </c>
      <c r="T4036" s="405" t="s">
        <v>884</v>
      </c>
      <c r="U4036" s="405" t="s">
        <v>319</v>
      </c>
    </row>
    <row r="4037" spans="1:21" x14ac:dyDescent="0.25">
      <c r="A4037" s="405" t="s">
        <v>310</v>
      </c>
      <c r="B4037" s="405" t="s">
        <v>14816</v>
      </c>
      <c r="C4037" s="405" t="s">
        <v>327</v>
      </c>
      <c r="D4037" s="405"/>
      <c r="E4037" s="410">
        <v>42241</v>
      </c>
      <c r="F4037" s="410">
        <v>42286</v>
      </c>
      <c r="G4037" s="405" t="s">
        <v>14817</v>
      </c>
      <c r="H4037" s="405">
        <v>756788358</v>
      </c>
      <c r="I4037" s="405"/>
      <c r="J4037" s="405">
        <v>0.78913500000000003</v>
      </c>
      <c r="K4037" s="405">
        <v>33.892828000000002</v>
      </c>
      <c r="L4037" s="405" t="s">
        <v>6866</v>
      </c>
      <c r="M4037" s="405" t="s">
        <v>9566</v>
      </c>
      <c r="N4037" s="405" t="s">
        <v>9788</v>
      </c>
      <c r="O4037" s="405" t="s">
        <v>9788</v>
      </c>
      <c r="P4037" s="405" t="s">
        <v>14818</v>
      </c>
      <c r="Q4037" s="411">
        <v>6</v>
      </c>
      <c r="R4037" s="405" t="s">
        <v>7224</v>
      </c>
      <c r="S4037" s="405" t="s">
        <v>27041</v>
      </c>
      <c r="T4037" s="405" t="s">
        <v>884</v>
      </c>
      <c r="U4037" s="405" t="s">
        <v>319</v>
      </c>
    </row>
    <row r="4038" spans="1:21" x14ac:dyDescent="0.25">
      <c r="A4038" s="405" t="s">
        <v>310</v>
      </c>
      <c r="B4038" s="405" t="s">
        <v>28354</v>
      </c>
      <c r="C4038" s="405" t="s">
        <v>327</v>
      </c>
      <c r="D4038" s="405"/>
      <c r="E4038" s="410">
        <v>42240</v>
      </c>
      <c r="F4038" s="410">
        <v>42285</v>
      </c>
      <c r="G4038" s="405" t="s">
        <v>14841</v>
      </c>
      <c r="H4038" s="405">
        <v>756788463</v>
      </c>
      <c r="I4038" s="405"/>
      <c r="J4038" s="405">
        <v>0.75170800000000004</v>
      </c>
      <c r="K4038" s="405">
        <v>33.897368</v>
      </c>
      <c r="L4038" s="405" t="s">
        <v>6866</v>
      </c>
      <c r="M4038" s="405" t="s">
        <v>9566</v>
      </c>
      <c r="N4038" s="405" t="s">
        <v>14784</v>
      </c>
      <c r="O4038" s="405" t="s">
        <v>9788</v>
      </c>
      <c r="P4038" s="405" t="s">
        <v>13882</v>
      </c>
      <c r="Q4038" s="411">
        <v>6</v>
      </c>
      <c r="R4038" s="405" t="s">
        <v>7224</v>
      </c>
      <c r="S4038" s="405" t="s">
        <v>27074</v>
      </c>
      <c r="T4038" s="405" t="s">
        <v>884</v>
      </c>
      <c r="U4038" s="405" t="s">
        <v>319</v>
      </c>
    </row>
    <row r="4039" spans="1:21" x14ac:dyDescent="0.25">
      <c r="A4039" s="405" t="s">
        <v>310</v>
      </c>
      <c r="B4039" s="405" t="s">
        <v>28610</v>
      </c>
      <c r="C4039" s="405" t="s">
        <v>327</v>
      </c>
      <c r="D4039" s="405"/>
      <c r="E4039" s="410">
        <v>42240</v>
      </c>
      <c r="F4039" s="410">
        <v>42285</v>
      </c>
      <c r="G4039" s="405" t="s">
        <v>14905</v>
      </c>
      <c r="H4039" s="405">
        <v>779576180</v>
      </c>
      <c r="I4039" s="405"/>
      <c r="J4039" s="405">
        <v>1.0482419999999999</v>
      </c>
      <c r="K4039" s="405">
        <v>34.148251999999999</v>
      </c>
      <c r="L4039" s="405" t="s">
        <v>6866</v>
      </c>
      <c r="M4039" s="405" t="s">
        <v>9514</v>
      </c>
      <c r="N4039" s="405" t="s">
        <v>9616</v>
      </c>
      <c r="O4039" s="405" t="s">
        <v>9780</v>
      </c>
      <c r="P4039" s="405" t="s">
        <v>14879</v>
      </c>
      <c r="Q4039" s="411">
        <v>6</v>
      </c>
      <c r="R4039" s="405" t="s">
        <v>6871</v>
      </c>
      <c r="S4039" s="405" t="s">
        <v>27107</v>
      </c>
      <c r="T4039" s="405" t="s">
        <v>884</v>
      </c>
      <c r="U4039" s="405" t="s">
        <v>319</v>
      </c>
    </row>
    <row r="4040" spans="1:21" x14ac:dyDescent="0.25">
      <c r="A4040" s="405" t="s">
        <v>310</v>
      </c>
      <c r="B4040" s="405" t="s">
        <v>14825</v>
      </c>
      <c r="C4040" s="405" t="s">
        <v>327</v>
      </c>
      <c r="D4040" s="405"/>
      <c r="E4040" s="410">
        <v>42240</v>
      </c>
      <c r="F4040" s="410">
        <v>42285</v>
      </c>
      <c r="G4040" s="405" t="s">
        <v>14826</v>
      </c>
      <c r="H4040" s="405">
        <v>756262988</v>
      </c>
      <c r="I4040" s="405"/>
      <c r="J4040" s="405">
        <v>0.78017000000000003</v>
      </c>
      <c r="K4040" s="405">
        <v>33.902366999999998</v>
      </c>
      <c r="L4040" s="405" t="s">
        <v>6866</v>
      </c>
      <c r="M4040" s="405" t="s">
        <v>9566</v>
      </c>
      <c r="N4040" s="405" t="s">
        <v>14784</v>
      </c>
      <c r="O4040" s="405" t="s">
        <v>9788</v>
      </c>
      <c r="P4040" s="405" t="s">
        <v>13879</v>
      </c>
      <c r="Q4040" s="411">
        <v>6</v>
      </c>
      <c r="R4040" s="405" t="s">
        <v>7224</v>
      </c>
      <c r="S4040" s="405" t="s">
        <v>27353</v>
      </c>
      <c r="T4040" s="405" t="s">
        <v>884</v>
      </c>
      <c r="U4040" s="405" t="s">
        <v>319</v>
      </c>
    </row>
    <row r="4041" spans="1:21" x14ac:dyDescent="0.25">
      <c r="A4041" s="405" t="s">
        <v>310</v>
      </c>
      <c r="B4041" s="405" t="s">
        <v>14831</v>
      </c>
      <c r="C4041" s="405" t="s">
        <v>327</v>
      </c>
      <c r="D4041" s="405"/>
      <c r="E4041" s="410">
        <v>42240</v>
      </c>
      <c r="F4041" s="410">
        <v>42285</v>
      </c>
      <c r="G4041" s="405" t="s">
        <v>14832</v>
      </c>
      <c r="H4041" s="405">
        <v>751011201</v>
      </c>
      <c r="I4041" s="405">
        <v>751011167</v>
      </c>
      <c r="J4041" s="405">
        <v>0.78853200000000001</v>
      </c>
      <c r="K4041" s="405">
        <v>33.833483000000001</v>
      </c>
      <c r="L4041" s="405" t="s">
        <v>6866</v>
      </c>
      <c r="M4041" s="405" t="s">
        <v>9566</v>
      </c>
      <c r="N4041" s="405" t="s">
        <v>14784</v>
      </c>
      <c r="O4041" s="405" t="s">
        <v>13884</v>
      </c>
      <c r="P4041" s="405" t="s">
        <v>14833</v>
      </c>
      <c r="Q4041" s="411">
        <v>6</v>
      </c>
      <c r="R4041" s="405" t="s">
        <v>7224</v>
      </c>
      <c r="S4041" s="405" t="s">
        <v>27204</v>
      </c>
      <c r="T4041" s="405" t="s">
        <v>32102</v>
      </c>
      <c r="U4041" s="405" t="s">
        <v>319</v>
      </c>
    </row>
    <row r="4042" spans="1:21" x14ac:dyDescent="0.25">
      <c r="A4042" s="405" t="s">
        <v>310</v>
      </c>
      <c r="B4042" s="405" t="s">
        <v>14782</v>
      </c>
      <c r="C4042" s="405" t="s">
        <v>327</v>
      </c>
      <c r="D4042" s="405"/>
      <c r="E4042" s="410">
        <v>42240</v>
      </c>
      <c r="F4042" s="410">
        <v>42285</v>
      </c>
      <c r="G4042" s="405" t="s">
        <v>14783</v>
      </c>
      <c r="H4042" s="405">
        <v>753826985</v>
      </c>
      <c r="I4042" s="405"/>
      <c r="J4042" s="405">
        <v>0.79234300000000002</v>
      </c>
      <c r="K4042" s="405">
        <v>33.884889999999999</v>
      </c>
      <c r="L4042" s="405" t="s">
        <v>6866</v>
      </c>
      <c r="M4042" s="405" t="s">
        <v>9566</v>
      </c>
      <c r="N4042" s="405" t="s">
        <v>14784</v>
      </c>
      <c r="O4042" s="405" t="s">
        <v>9788</v>
      </c>
      <c r="P4042" s="405" t="s">
        <v>13873</v>
      </c>
      <c r="Q4042" s="411">
        <v>6</v>
      </c>
      <c r="R4042" s="405" t="s">
        <v>7224</v>
      </c>
      <c r="S4042" s="405" t="s">
        <v>27072</v>
      </c>
      <c r="T4042" s="405" t="s">
        <v>884</v>
      </c>
      <c r="U4042" s="405" t="s">
        <v>319</v>
      </c>
    </row>
    <row r="4043" spans="1:21" x14ac:dyDescent="0.25">
      <c r="A4043" s="405" t="s">
        <v>310</v>
      </c>
      <c r="B4043" s="405" t="s">
        <v>14778</v>
      </c>
      <c r="C4043" s="405" t="s">
        <v>327</v>
      </c>
      <c r="D4043" s="405"/>
      <c r="E4043" s="410">
        <v>42240</v>
      </c>
      <c r="F4043" s="410">
        <v>42285</v>
      </c>
      <c r="G4043" s="405" t="s">
        <v>14779</v>
      </c>
      <c r="H4043" s="405">
        <v>756596928</v>
      </c>
      <c r="I4043" s="405"/>
      <c r="J4043" s="405">
        <v>0.790358</v>
      </c>
      <c r="K4043" s="405">
        <v>33.831957000000003</v>
      </c>
      <c r="L4043" s="405" t="s">
        <v>6866</v>
      </c>
      <c r="M4043" s="405" t="s">
        <v>9566</v>
      </c>
      <c r="N4043" s="405" t="s">
        <v>14780</v>
      </c>
      <c r="O4043" s="405" t="s">
        <v>13884</v>
      </c>
      <c r="P4043" s="405" t="s">
        <v>14781</v>
      </c>
      <c r="Q4043" s="411">
        <v>6</v>
      </c>
      <c r="R4043" s="405" t="s">
        <v>7224</v>
      </c>
      <c r="S4043" s="405" t="s">
        <v>27298</v>
      </c>
      <c r="T4043" s="405" t="s">
        <v>32102</v>
      </c>
      <c r="U4043" s="405" t="s">
        <v>319</v>
      </c>
    </row>
    <row r="4044" spans="1:21" x14ac:dyDescent="0.25">
      <c r="A4044" s="405" t="s">
        <v>310</v>
      </c>
      <c r="B4044" s="405" t="s">
        <v>14785</v>
      </c>
      <c r="C4044" s="405" t="s">
        <v>327</v>
      </c>
      <c r="D4044" s="405"/>
      <c r="E4044" s="410">
        <v>42240</v>
      </c>
      <c r="F4044" s="410">
        <v>42285</v>
      </c>
      <c r="G4044" s="405" t="s">
        <v>14786</v>
      </c>
      <c r="H4044" s="405">
        <v>758762930</v>
      </c>
      <c r="I4044" s="405">
        <v>774596924</v>
      </c>
      <c r="J4044" s="405">
        <v>0.74787800000000004</v>
      </c>
      <c r="K4044" s="405">
        <v>33.859650000000002</v>
      </c>
      <c r="L4044" s="405" t="s">
        <v>6866</v>
      </c>
      <c r="M4044" s="405" t="s">
        <v>9566</v>
      </c>
      <c r="N4044" s="405" t="s">
        <v>14784</v>
      </c>
      <c r="O4044" s="405" t="s">
        <v>9788</v>
      </c>
      <c r="P4044" s="405" t="s">
        <v>14060</v>
      </c>
      <c r="Q4044" s="411">
        <v>6</v>
      </c>
      <c r="R4044" s="405" t="s">
        <v>7224</v>
      </c>
      <c r="S4044" s="405" t="s">
        <v>27259</v>
      </c>
      <c r="T4044" s="405" t="s">
        <v>6551</v>
      </c>
      <c r="U4044" s="405" t="s">
        <v>2267</v>
      </c>
    </row>
    <row r="4045" spans="1:21" x14ac:dyDescent="0.25">
      <c r="A4045" s="405" t="s">
        <v>310</v>
      </c>
      <c r="B4045" s="405" t="s">
        <v>14829</v>
      </c>
      <c r="C4045" s="405" t="s">
        <v>327</v>
      </c>
      <c r="D4045" s="405"/>
      <c r="E4045" s="410">
        <v>42240</v>
      </c>
      <c r="F4045" s="410">
        <v>42285</v>
      </c>
      <c r="G4045" s="405" t="s">
        <v>14830</v>
      </c>
      <c r="H4045" s="405">
        <v>755613069</v>
      </c>
      <c r="I4045" s="405"/>
      <c r="J4045" s="405">
        <v>0.77715199999999995</v>
      </c>
      <c r="K4045" s="405">
        <v>33.885596999999997</v>
      </c>
      <c r="L4045" s="405" t="s">
        <v>6866</v>
      </c>
      <c r="M4045" s="405" t="s">
        <v>9566</v>
      </c>
      <c r="N4045" s="405" t="s">
        <v>14784</v>
      </c>
      <c r="O4045" s="405" t="s">
        <v>9788</v>
      </c>
      <c r="P4045" s="405" t="s">
        <v>9788</v>
      </c>
      <c r="Q4045" s="411">
        <v>6</v>
      </c>
      <c r="R4045" s="405" t="s">
        <v>7224</v>
      </c>
      <c r="S4045" s="405" t="s">
        <v>27169</v>
      </c>
      <c r="T4045" s="405" t="s">
        <v>884</v>
      </c>
      <c r="U4045" s="405" t="s">
        <v>319</v>
      </c>
    </row>
    <row r="4046" spans="1:21" x14ac:dyDescent="0.25">
      <c r="A4046" s="405" t="s">
        <v>310</v>
      </c>
      <c r="B4046" s="405" t="s">
        <v>5770</v>
      </c>
      <c r="C4046" s="405" t="s">
        <v>327</v>
      </c>
      <c r="D4046" s="405"/>
      <c r="E4046" s="410">
        <v>42239</v>
      </c>
      <c r="F4046" s="410">
        <v>42284</v>
      </c>
      <c r="G4046" s="405" t="s">
        <v>5771</v>
      </c>
      <c r="H4046" s="405">
        <v>704023864</v>
      </c>
      <c r="I4046" s="405"/>
      <c r="J4046" s="405">
        <v>0.19697300000000001</v>
      </c>
      <c r="K4046" s="405">
        <v>30.446833000000002</v>
      </c>
      <c r="L4046" s="405" t="s">
        <v>314</v>
      </c>
      <c r="M4046" s="405" t="s">
        <v>361</v>
      </c>
      <c r="N4046" s="405" t="s">
        <v>339</v>
      </c>
      <c r="O4046" s="405" t="s">
        <v>523</v>
      </c>
      <c r="P4046" s="405" t="s">
        <v>3041</v>
      </c>
      <c r="Q4046" s="411">
        <v>13</v>
      </c>
      <c r="R4046" s="405" t="s">
        <v>5665</v>
      </c>
      <c r="S4046" s="405" t="s">
        <v>27112</v>
      </c>
      <c r="T4046" s="405" t="s">
        <v>884</v>
      </c>
      <c r="U4046" s="405" t="s">
        <v>319</v>
      </c>
    </row>
    <row r="4047" spans="1:21" x14ac:dyDescent="0.25">
      <c r="A4047" s="405" t="s">
        <v>310</v>
      </c>
      <c r="B4047" s="405" t="s">
        <v>14822</v>
      </c>
      <c r="C4047" s="405" t="s">
        <v>327</v>
      </c>
      <c r="D4047" s="405"/>
      <c r="E4047" s="410">
        <v>42239</v>
      </c>
      <c r="F4047" s="410">
        <v>42284</v>
      </c>
      <c r="G4047" s="405" t="s">
        <v>14823</v>
      </c>
      <c r="H4047" s="405">
        <v>751785977</v>
      </c>
      <c r="I4047" s="405"/>
      <c r="J4047" s="405">
        <v>0.786555</v>
      </c>
      <c r="K4047" s="405">
        <v>33.892083</v>
      </c>
      <c r="L4047" s="405" t="s">
        <v>6866</v>
      </c>
      <c r="M4047" s="405" t="s">
        <v>9566</v>
      </c>
      <c r="N4047" s="405" t="s">
        <v>14784</v>
      </c>
      <c r="O4047" s="405" t="s">
        <v>9788</v>
      </c>
      <c r="P4047" s="405" t="s">
        <v>14824</v>
      </c>
      <c r="Q4047" s="411">
        <v>6</v>
      </c>
      <c r="R4047" s="405" t="s">
        <v>7224</v>
      </c>
      <c r="S4047" s="405" t="s">
        <v>27067</v>
      </c>
      <c r="T4047" s="405" t="s">
        <v>884</v>
      </c>
      <c r="U4047" s="405" t="s">
        <v>319</v>
      </c>
    </row>
    <row r="4048" spans="1:21" x14ac:dyDescent="0.25">
      <c r="A4048" s="405" t="s">
        <v>310</v>
      </c>
      <c r="B4048" s="405" t="s">
        <v>14787</v>
      </c>
      <c r="C4048" s="405" t="s">
        <v>327</v>
      </c>
      <c r="D4048" s="405"/>
      <c r="E4048" s="410">
        <v>42239</v>
      </c>
      <c r="F4048" s="410">
        <v>42284</v>
      </c>
      <c r="G4048" s="405" t="s">
        <v>14788</v>
      </c>
      <c r="H4048" s="405">
        <v>755800594</v>
      </c>
      <c r="I4048" s="405"/>
      <c r="J4048" s="405">
        <v>0.77480499999999997</v>
      </c>
      <c r="K4048" s="405">
        <v>33.907448000000002</v>
      </c>
      <c r="L4048" s="405" t="s">
        <v>6866</v>
      </c>
      <c r="M4048" s="405" t="s">
        <v>9566</v>
      </c>
      <c r="N4048" s="405" t="s">
        <v>14784</v>
      </c>
      <c r="O4048" s="405" t="s">
        <v>9788</v>
      </c>
      <c r="P4048" s="405" t="s">
        <v>13879</v>
      </c>
      <c r="Q4048" s="411">
        <v>6</v>
      </c>
      <c r="R4048" s="405" t="s">
        <v>7224</v>
      </c>
      <c r="S4048" s="405" t="s">
        <v>27298</v>
      </c>
      <c r="T4048" s="405" t="s">
        <v>884</v>
      </c>
      <c r="U4048" s="405" t="s">
        <v>319</v>
      </c>
    </row>
    <row r="4049" spans="1:21" x14ac:dyDescent="0.25">
      <c r="A4049" s="405" t="s">
        <v>310</v>
      </c>
      <c r="B4049" s="405" t="s">
        <v>14872</v>
      </c>
      <c r="C4049" s="405" t="s">
        <v>327</v>
      </c>
      <c r="D4049" s="405"/>
      <c r="E4049" s="410">
        <v>42239</v>
      </c>
      <c r="F4049" s="410">
        <v>42284</v>
      </c>
      <c r="G4049" s="405" t="s">
        <v>14873</v>
      </c>
      <c r="H4049" s="405">
        <v>788263886</v>
      </c>
      <c r="I4049" s="405">
        <v>784580774</v>
      </c>
      <c r="J4049" s="405">
        <v>1.048197</v>
      </c>
      <c r="K4049" s="405">
        <v>34.152413000000003</v>
      </c>
      <c r="L4049" s="405" t="s">
        <v>6866</v>
      </c>
      <c r="M4049" s="405" t="s">
        <v>9514</v>
      </c>
      <c r="N4049" s="405" t="s">
        <v>9616</v>
      </c>
      <c r="O4049" s="405" t="s">
        <v>9780</v>
      </c>
      <c r="P4049" s="405" t="s">
        <v>14874</v>
      </c>
      <c r="Q4049" s="411">
        <v>6</v>
      </c>
      <c r="R4049" s="405" t="s">
        <v>6871</v>
      </c>
      <c r="S4049" s="405" t="s">
        <v>27074</v>
      </c>
      <c r="T4049" s="405" t="s">
        <v>884</v>
      </c>
      <c r="U4049" s="405" t="s">
        <v>319</v>
      </c>
    </row>
    <row r="4050" spans="1:21" x14ac:dyDescent="0.25">
      <c r="A4050" s="405" t="s">
        <v>310</v>
      </c>
      <c r="B4050" s="405" t="s">
        <v>28166</v>
      </c>
      <c r="C4050" s="405" t="s">
        <v>327</v>
      </c>
      <c r="D4050" s="405"/>
      <c r="E4050" s="410">
        <v>42238</v>
      </c>
      <c r="F4050" s="410">
        <v>42283</v>
      </c>
      <c r="G4050" s="405" t="s">
        <v>14902</v>
      </c>
      <c r="H4050" s="405">
        <v>774814433</v>
      </c>
      <c r="I4050" s="405"/>
      <c r="J4050" s="405">
        <v>1.0407420000000001</v>
      </c>
      <c r="K4050" s="405">
        <v>34.161766999999998</v>
      </c>
      <c r="L4050" s="405" t="s">
        <v>6866</v>
      </c>
      <c r="M4050" s="405" t="s">
        <v>9514</v>
      </c>
      <c r="N4050" s="405" t="s">
        <v>9616</v>
      </c>
      <c r="O4050" s="405" t="s">
        <v>9780</v>
      </c>
      <c r="P4050" s="405" t="s">
        <v>14889</v>
      </c>
      <c r="Q4050" s="411">
        <v>6</v>
      </c>
      <c r="R4050" s="405" t="s">
        <v>6871</v>
      </c>
      <c r="S4050" s="405" t="s">
        <v>27107</v>
      </c>
      <c r="T4050" s="405" t="s">
        <v>884</v>
      </c>
      <c r="U4050" s="405" t="s">
        <v>319</v>
      </c>
    </row>
    <row r="4051" spans="1:21" x14ac:dyDescent="0.25">
      <c r="A4051" s="405" t="s">
        <v>310</v>
      </c>
      <c r="B4051" s="405" t="s">
        <v>14875</v>
      </c>
      <c r="C4051" s="405" t="s">
        <v>327</v>
      </c>
      <c r="D4051" s="405"/>
      <c r="E4051" s="410">
        <v>42238</v>
      </c>
      <c r="F4051" s="410">
        <v>42283</v>
      </c>
      <c r="G4051" s="405" t="s">
        <v>14876</v>
      </c>
      <c r="H4051" s="405">
        <v>779131811</v>
      </c>
      <c r="I4051" s="405"/>
      <c r="J4051" s="405">
        <v>1.0506770000000001</v>
      </c>
      <c r="K4051" s="405">
        <v>34.146762000000003</v>
      </c>
      <c r="L4051" s="405" t="s">
        <v>6866</v>
      </c>
      <c r="M4051" s="405" t="s">
        <v>9514</v>
      </c>
      <c r="N4051" s="405" t="s">
        <v>9616</v>
      </c>
      <c r="O4051" s="405" t="s">
        <v>9780</v>
      </c>
      <c r="P4051" s="405" t="s">
        <v>14877</v>
      </c>
      <c r="Q4051" s="411">
        <v>6</v>
      </c>
      <c r="R4051" s="405" t="s">
        <v>6871</v>
      </c>
      <c r="S4051" s="405" t="s">
        <v>17062</v>
      </c>
      <c r="T4051" s="405" t="s">
        <v>884</v>
      </c>
      <c r="U4051" s="405" t="s">
        <v>319</v>
      </c>
    </row>
    <row r="4052" spans="1:21" x14ac:dyDescent="0.25">
      <c r="A4052" s="405" t="s">
        <v>310</v>
      </c>
      <c r="B4052" s="405" t="s">
        <v>28464</v>
      </c>
      <c r="C4052" s="405" t="s">
        <v>311</v>
      </c>
      <c r="D4052" s="405" t="s">
        <v>312</v>
      </c>
      <c r="E4052" s="410">
        <v>42236</v>
      </c>
      <c r="F4052" s="410">
        <v>42281</v>
      </c>
      <c r="G4052" s="405" t="s">
        <v>22384</v>
      </c>
      <c r="H4052" s="405">
        <v>783464260</v>
      </c>
      <c r="I4052" s="405"/>
      <c r="J4052" s="405">
        <v>-0.57785500000000001</v>
      </c>
      <c r="K4052" s="405">
        <v>30.201391999999998</v>
      </c>
      <c r="L4052" s="405" t="s">
        <v>590</v>
      </c>
      <c r="M4052" s="405" t="s">
        <v>19625</v>
      </c>
      <c r="N4052" s="405" t="s">
        <v>19642</v>
      </c>
      <c r="O4052" s="405" t="s">
        <v>22104</v>
      </c>
      <c r="P4052" s="405" t="s">
        <v>22385</v>
      </c>
      <c r="Q4052" s="411">
        <v>6</v>
      </c>
      <c r="R4052" s="405" t="s">
        <v>5858</v>
      </c>
      <c r="S4052" s="405" t="s">
        <v>27257</v>
      </c>
      <c r="T4052" s="405" t="s">
        <v>7342</v>
      </c>
      <c r="U4052" s="405" t="s">
        <v>7343</v>
      </c>
    </row>
    <row r="4053" spans="1:21" x14ac:dyDescent="0.25">
      <c r="A4053" s="405" t="s">
        <v>310</v>
      </c>
      <c r="B4053" s="405" t="s">
        <v>22396</v>
      </c>
      <c r="C4053" s="405" t="s">
        <v>311</v>
      </c>
      <c r="D4053" s="405" t="s">
        <v>33064</v>
      </c>
      <c r="E4053" s="410">
        <v>42236</v>
      </c>
      <c r="F4053" s="410">
        <v>42281</v>
      </c>
      <c r="G4053" s="405" t="s">
        <v>22397</v>
      </c>
      <c r="H4053" s="405">
        <v>781435620</v>
      </c>
      <c r="I4053" s="405">
        <v>777322412</v>
      </c>
      <c r="J4053" s="405">
        <v>0.22063199999999999</v>
      </c>
      <c r="K4053" s="405">
        <v>30.639288000000001</v>
      </c>
      <c r="L4053" s="405" t="s">
        <v>590</v>
      </c>
      <c r="M4053" s="405" t="s">
        <v>19720</v>
      </c>
      <c r="N4053" s="405" t="s">
        <v>7352</v>
      </c>
      <c r="O4053" s="405" t="s">
        <v>19722</v>
      </c>
      <c r="P4053" s="405" t="s">
        <v>22398</v>
      </c>
      <c r="Q4053" s="411">
        <v>6</v>
      </c>
      <c r="R4053" s="405" t="s">
        <v>874</v>
      </c>
      <c r="S4053" s="405" t="s">
        <v>27275</v>
      </c>
      <c r="T4053" s="405" t="s">
        <v>7342</v>
      </c>
      <c r="U4053" s="405" t="s">
        <v>7343</v>
      </c>
    </row>
    <row r="4054" spans="1:21" x14ac:dyDescent="0.25">
      <c r="A4054" s="405" t="s">
        <v>310</v>
      </c>
      <c r="B4054" s="405" t="s">
        <v>14810</v>
      </c>
      <c r="C4054" s="405" t="s">
        <v>327</v>
      </c>
      <c r="D4054" s="405"/>
      <c r="E4054" s="410">
        <v>42235</v>
      </c>
      <c r="F4054" s="410">
        <v>42280</v>
      </c>
      <c r="G4054" s="405" t="s">
        <v>14811</v>
      </c>
      <c r="H4054" s="405">
        <v>772886270</v>
      </c>
      <c r="I4054" s="405"/>
      <c r="J4054" s="405">
        <v>1.105165</v>
      </c>
      <c r="K4054" s="405">
        <v>34.200961999999997</v>
      </c>
      <c r="L4054" s="405" t="s">
        <v>6866</v>
      </c>
      <c r="M4054" s="405" t="s">
        <v>9514</v>
      </c>
      <c r="N4054" s="405" t="s">
        <v>9722</v>
      </c>
      <c r="O4054" s="405" t="s">
        <v>9530</v>
      </c>
      <c r="P4054" s="405" t="s">
        <v>14812</v>
      </c>
      <c r="Q4054" s="411">
        <v>6</v>
      </c>
      <c r="R4054" s="405" t="s">
        <v>7224</v>
      </c>
      <c r="S4054" s="405" t="s">
        <v>27086</v>
      </c>
      <c r="T4054" s="405" t="s">
        <v>884</v>
      </c>
      <c r="U4054" s="405" t="s">
        <v>319</v>
      </c>
    </row>
    <row r="4055" spans="1:21" x14ac:dyDescent="0.25">
      <c r="A4055" s="405" t="s">
        <v>310</v>
      </c>
      <c r="B4055" s="405" t="s">
        <v>14910</v>
      </c>
      <c r="C4055" s="405" t="s">
        <v>327</v>
      </c>
      <c r="D4055" s="405"/>
      <c r="E4055" s="410">
        <v>42235</v>
      </c>
      <c r="F4055" s="410">
        <v>42280</v>
      </c>
      <c r="G4055" s="405" t="s">
        <v>14911</v>
      </c>
      <c r="H4055" s="405">
        <v>755782551</v>
      </c>
      <c r="I4055" s="405">
        <v>779835616</v>
      </c>
      <c r="J4055" s="405">
        <v>1.59</v>
      </c>
      <c r="K4055" s="405">
        <v>33.323700000000002</v>
      </c>
      <c r="L4055" s="405" t="s">
        <v>6866</v>
      </c>
      <c r="M4055" s="405" t="s">
        <v>10515</v>
      </c>
      <c r="N4055" s="405" t="s">
        <v>13074</v>
      </c>
      <c r="O4055" s="405" t="s">
        <v>13074</v>
      </c>
      <c r="P4055" s="405" t="s">
        <v>14912</v>
      </c>
      <c r="Q4055" s="411">
        <v>6</v>
      </c>
      <c r="R4055" s="405" t="s">
        <v>5655</v>
      </c>
      <c r="S4055" s="405" t="s">
        <v>27351</v>
      </c>
      <c r="T4055" s="405" t="s">
        <v>884</v>
      </c>
      <c r="U4055" s="405" t="s">
        <v>319</v>
      </c>
    </row>
    <row r="4056" spans="1:21" x14ac:dyDescent="0.25">
      <c r="A4056" s="405" t="s">
        <v>310</v>
      </c>
      <c r="B4056" s="405" t="s">
        <v>27637</v>
      </c>
      <c r="C4056" s="405" t="s">
        <v>327</v>
      </c>
      <c r="D4056" s="405"/>
      <c r="E4056" s="410">
        <v>42234</v>
      </c>
      <c r="F4056" s="410">
        <v>42279</v>
      </c>
      <c r="G4056" s="405" t="s">
        <v>5768</v>
      </c>
      <c r="H4056" s="405">
        <v>750692732</v>
      </c>
      <c r="I4056" s="405"/>
      <c r="J4056" s="405">
        <v>0.38840799999999998</v>
      </c>
      <c r="K4056" s="405">
        <v>31.748342999999998</v>
      </c>
      <c r="L4056" s="405" t="s">
        <v>314</v>
      </c>
      <c r="M4056" s="405" t="s">
        <v>382</v>
      </c>
      <c r="N4056" s="405" t="s">
        <v>2265</v>
      </c>
      <c r="O4056" s="405" t="s">
        <v>5769</v>
      </c>
      <c r="P4056" s="405" t="s">
        <v>5769</v>
      </c>
      <c r="Q4056" s="411">
        <v>6</v>
      </c>
      <c r="R4056" s="405" t="s">
        <v>402</v>
      </c>
      <c r="S4056" s="405" t="s">
        <v>27052</v>
      </c>
      <c r="T4056" s="405" t="s">
        <v>884</v>
      </c>
      <c r="U4056" s="405" t="s">
        <v>319</v>
      </c>
    </row>
    <row r="4057" spans="1:21" x14ac:dyDescent="0.25">
      <c r="A4057" s="405" t="s">
        <v>310</v>
      </c>
      <c r="B4057" s="405" t="s">
        <v>14804</v>
      </c>
      <c r="C4057" s="405" t="s">
        <v>327</v>
      </c>
      <c r="D4057" s="405"/>
      <c r="E4057" s="410">
        <v>42234</v>
      </c>
      <c r="F4057" s="410">
        <v>42279</v>
      </c>
      <c r="G4057" s="405" t="s">
        <v>14805</v>
      </c>
      <c r="H4057" s="405">
        <v>789716027</v>
      </c>
      <c r="I4057" s="405"/>
      <c r="J4057" s="405">
        <v>1.1507449999999999</v>
      </c>
      <c r="K4057" s="405">
        <v>34.211337999999998</v>
      </c>
      <c r="L4057" s="405" t="s">
        <v>6866</v>
      </c>
      <c r="M4057" s="405" t="s">
        <v>9514</v>
      </c>
      <c r="N4057" s="405" t="s">
        <v>9722</v>
      </c>
      <c r="O4057" s="405" t="s">
        <v>9530</v>
      </c>
      <c r="P4057" s="405" t="s">
        <v>14806</v>
      </c>
      <c r="Q4057" s="411">
        <v>6</v>
      </c>
      <c r="R4057" s="405" t="s">
        <v>7224</v>
      </c>
      <c r="S4057" s="405" t="s">
        <v>27190</v>
      </c>
      <c r="T4057" s="405" t="s">
        <v>884</v>
      </c>
      <c r="U4057" s="405" t="s">
        <v>319</v>
      </c>
    </row>
    <row r="4058" spans="1:21" x14ac:dyDescent="0.25">
      <c r="A4058" s="405" t="s">
        <v>310</v>
      </c>
      <c r="B4058" s="405" t="s">
        <v>6725</v>
      </c>
      <c r="C4058" s="405" t="s">
        <v>327</v>
      </c>
      <c r="D4058" s="405"/>
      <c r="E4058" s="410">
        <v>42233</v>
      </c>
      <c r="F4058" s="410">
        <v>43118</v>
      </c>
      <c r="G4058" s="405" t="s">
        <v>6726</v>
      </c>
      <c r="H4058" s="405">
        <v>700404071</v>
      </c>
      <c r="I4058" s="405">
        <v>788678801</v>
      </c>
      <c r="J4058" s="405">
        <v>0.494645</v>
      </c>
      <c r="K4058" s="405">
        <v>34.754713000000002</v>
      </c>
      <c r="L4058" s="405" t="s">
        <v>314</v>
      </c>
      <c r="M4058" s="405" t="s">
        <v>329</v>
      </c>
      <c r="N4058" s="405" t="s">
        <v>1107</v>
      </c>
      <c r="O4058" s="405" t="s">
        <v>336</v>
      </c>
      <c r="P4058" s="405" t="s">
        <v>6727</v>
      </c>
      <c r="Q4058" s="411">
        <v>13</v>
      </c>
      <c r="R4058" s="405" t="s">
        <v>5336</v>
      </c>
      <c r="S4058" s="405" t="s">
        <v>27036</v>
      </c>
      <c r="T4058" s="405" t="s">
        <v>884</v>
      </c>
      <c r="U4058" s="405" t="s">
        <v>319</v>
      </c>
    </row>
    <row r="4059" spans="1:21" x14ac:dyDescent="0.25">
      <c r="A4059" s="405" t="s">
        <v>310</v>
      </c>
      <c r="B4059" s="405" t="s">
        <v>14801</v>
      </c>
      <c r="C4059" s="405" t="s">
        <v>327</v>
      </c>
      <c r="D4059" s="405"/>
      <c r="E4059" s="410">
        <v>42233</v>
      </c>
      <c r="F4059" s="410">
        <v>42278</v>
      </c>
      <c r="G4059" s="405" t="s">
        <v>14802</v>
      </c>
      <c r="H4059" s="405">
        <v>779951294</v>
      </c>
      <c r="I4059" s="405"/>
      <c r="J4059" s="405">
        <v>1.159708</v>
      </c>
      <c r="K4059" s="405">
        <v>34.214134999999999</v>
      </c>
      <c r="L4059" s="405" t="s">
        <v>6866</v>
      </c>
      <c r="M4059" s="405" t="s">
        <v>9514</v>
      </c>
      <c r="N4059" s="405" t="s">
        <v>9722</v>
      </c>
      <c r="O4059" s="405" t="s">
        <v>9530</v>
      </c>
      <c r="P4059" s="405" t="s">
        <v>14803</v>
      </c>
      <c r="Q4059" s="411">
        <v>6</v>
      </c>
      <c r="R4059" s="405" t="s">
        <v>7224</v>
      </c>
      <c r="S4059" s="405" t="s">
        <v>27294</v>
      </c>
      <c r="T4059" s="405" t="s">
        <v>884</v>
      </c>
      <c r="U4059" s="405" t="s">
        <v>319</v>
      </c>
    </row>
    <row r="4060" spans="1:21" x14ac:dyDescent="0.25">
      <c r="A4060" s="405" t="s">
        <v>310</v>
      </c>
      <c r="B4060" s="405" t="s">
        <v>5804</v>
      </c>
      <c r="C4060" s="405" t="s">
        <v>327</v>
      </c>
      <c r="D4060" s="405"/>
      <c r="E4060" s="410">
        <v>42233</v>
      </c>
      <c r="F4060" s="410">
        <v>42337</v>
      </c>
      <c r="G4060" s="405" t="s">
        <v>5805</v>
      </c>
      <c r="H4060" s="405">
        <v>772479001</v>
      </c>
      <c r="I4060" s="405"/>
      <c r="J4060" s="405">
        <v>0.35455799999999998</v>
      </c>
      <c r="K4060" s="405">
        <v>32.639730999999998</v>
      </c>
      <c r="L4060" s="405" t="s">
        <v>314</v>
      </c>
      <c r="M4060" s="405" t="s">
        <v>361</v>
      </c>
      <c r="N4060" s="405" t="s">
        <v>362</v>
      </c>
      <c r="O4060" s="405" t="s">
        <v>5806</v>
      </c>
      <c r="P4060" s="405" t="s">
        <v>5807</v>
      </c>
      <c r="Q4060" s="411">
        <v>4</v>
      </c>
      <c r="R4060" s="405" t="s">
        <v>5739</v>
      </c>
      <c r="S4060" s="405" t="s">
        <v>27186</v>
      </c>
      <c r="T4060" s="405" t="s">
        <v>884</v>
      </c>
      <c r="U4060" s="405" t="s">
        <v>319</v>
      </c>
    </row>
    <row r="4061" spans="1:21" x14ac:dyDescent="0.25">
      <c r="A4061" s="405" t="s">
        <v>310</v>
      </c>
      <c r="B4061" s="405" t="s">
        <v>15129</v>
      </c>
      <c r="C4061" s="405" t="s">
        <v>311</v>
      </c>
      <c r="D4061" s="405" t="s">
        <v>1789</v>
      </c>
      <c r="E4061" s="410">
        <v>42231</v>
      </c>
      <c r="F4061" s="410">
        <v>42276</v>
      </c>
      <c r="G4061" s="405" t="s">
        <v>15130</v>
      </c>
      <c r="H4061" s="405">
        <v>772984405</v>
      </c>
      <c r="I4061" s="405">
        <v>752984405</v>
      </c>
      <c r="J4061" s="405">
        <v>1.720893</v>
      </c>
      <c r="K4061" s="405">
        <v>33.623747000000002</v>
      </c>
      <c r="L4061" s="405" t="s">
        <v>6866</v>
      </c>
      <c r="M4061" s="405" t="s">
        <v>10495</v>
      </c>
      <c r="N4061" s="405" t="s">
        <v>11495</v>
      </c>
      <c r="O4061" s="405" t="s">
        <v>11495</v>
      </c>
      <c r="P4061" s="405" t="s">
        <v>15131</v>
      </c>
      <c r="Q4061" s="411">
        <v>6</v>
      </c>
      <c r="R4061" s="405" t="s">
        <v>5655</v>
      </c>
      <c r="S4061" s="405" t="s">
        <v>27056</v>
      </c>
      <c r="T4061" s="405" t="s">
        <v>865</v>
      </c>
      <c r="U4061" s="405" t="s">
        <v>866</v>
      </c>
    </row>
    <row r="4062" spans="1:21" x14ac:dyDescent="0.25">
      <c r="A4062" s="405" t="s">
        <v>310</v>
      </c>
      <c r="B4062" s="405" t="s">
        <v>5744</v>
      </c>
      <c r="C4062" s="405" t="s">
        <v>327</v>
      </c>
      <c r="D4062" s="405"/>
      <c r="E4062" s="410">
        <v>42230</v>
      </c>
      <c r="F4062" s="410">
        <v>42275</v>
      </c>
      <c r="G4062" s="405" t="s">
        <v>5745</v>
      </c>
      <c r="H4062" s="405">
        <v>772405672</v>
      </c>
      <c r="I4062" s="405"/>
      <c r="J4062" s="405">
        <v>0.32454499999999997</v>
      </c>
      <c r="K4062" s="405">
        <v>32.391992000000002</v>
      </c>
      <c r="L4062" s="405" t="s">
        <v>314</v>
      </c>
      <c r="M4062" s="405" t="s">
        <v>321</v>
      </c>
      <c r="N4062" s="405" t="s">
        <v>5509</v>
      </c>
      <c r="O4062" s="405" t="s">
        <v>2473</v>
      </c>
      <c r="P4062" s="405" t="s">
        <v>5746</v>
      </c>
      <c r="Q4062" s="411">
        <v>6</v>
      </c>
      <c r="R4062" s="405" t="s">
        <v>525</v>
      </c>
      <c r="S4062" s="405" t="s">
        <v>27053</v>
      </c>
      <c r="T4062" s="405" t="s">
        <v>865</v>
      </c>
      <c r="U4062" s="405" t="s">
        <v>866</v>
      </c>
    </row>
    <row r="4063" spans="1:21" x14ac:dyDescent="0.25">
      <c r="A4063" s="405" t="s">
        <v>310</v>
      </c>
      <c r="B4063" s="405" t="s">
        <v>5740</v>
      </c>
      <c r="C4063" s="405" t="s">
        <v>327</v>
      </c>
      <c r="D4063" s="405"/>
      <c r="E4063" s="410">
        <v>42229</v>
      </c>
      <c r="F4063" s="410">
        <v>42274</v>
      </c>
      <c r="G4063" s="405" t="s">
        <v>5741</v>
      </c>
      <c r="H4063" s="405">
        <v>775377352</v>
      </c>
      <c r="I4063" s="405"/>
      <c r="J4063" s="405">
        <v>0.80579999999999996</v>
      </c>
      <c r="K4063" s="405">
        <v>32.504995000000001</v>
      </c>
      <c r="L4063" s="405" t="s">
        <v>314</v>
      </c>
      <c r="M4063" s="405" t="s">
        <v>361</v>
      </c>
      <c r="N4063" s="405" t="s">
        <v>5742</v>
      </c>
      <c r="O4063" s="405" t="s">
        <v>5607</v>
      </c>
      <c r="P4063" s="405" t="s">
        <v>5743</v>
      </c>
      <c r="Q4063" s="411">
        <v>13</v>
      </c>
      <c r="R4063" s="405" t="s">
        <v>32166</v>
      </c>
      <c r="S4063" s="405" t="s">
        <v>27132</v>
      </c>
      <c r="T4063" s="405" t="s">
        <v>884</v>
      </c>
      <c r="U4063" s="405" t="s">
        <v>319</v>
      </c>
    </row>
    <row r="4064" spans="1:21" x14ac:dyDescent="0.25">
      <c r="A4064" s="405" t="s">
        <v>310</v>
      </c>
      <c r="B4064" s="405" t="s">
        <v>5708</v>
      </c>
      <c r="C4064" s="405" t="s">
        <v>327</v>
      </c>
      <c r="D4064" s="405"/>
      <c r="E4064" s="410">
        <v>42228</v>
      </c>
      <c r="F4064" s="410">
        <v>42273</v>
      </c>
      <c r="G4064" s="405" t="s">
        <v>5709</v>
      </c>
      <c r="H4064" s="405">
        <v>772350030</v>
      </c>
      <c r="I4064" s="405"/>
      <c r="J4064" s="405">
        <v>0.255637</v>
      </c>
      <c r="K4064" s="405">
        <v>32.426737000000003</v>
      </c>
      <c r="L4064" s="405" t="s">
        <v>314</v>
      </c>
      <c r="M4064" s="405" t="s">
        <v>361</v>
      </c>
      <c r="N4064" s="405" t="s">
        <v>374</v>
      </c>
      <c r="O4064" s="405" t="s">
        <v>375</v>
      </c>
      <c r="P4064" s="405" t="s">
        <v>5710</v>
      </c>
      <c r="Q4064" s="411">
        <v>13</v>
      </c>
      <c r="R4064" s="405" t="s">
        <v>5336</v>
      </c>
      <c r="S4064" s="405" t="s">
        <v>6822</v>
      </c>
      <c r="T4064" s="405" t="s">
        <v>884</v>
      </c>
      <c r="U4064" s="405" t="s">
        <v>319</v>
      </c>
    </row>
    <row r="4065" spans="1:21" x14ac:dyDescent="0.25">
      <c r="A4065" s="405" t="s">
        <v>310</v>
      </c>
      <c r="B4065" s="405" t="s">
        <v>22153</v>
      </c>
      <c r="C4065" s="405" t="s">
        <v>327</v>
      </c>
      <c r="D4065" s="405"/>
      <c r="E4065" s="410">
        <v>42228</v>
      </c>
      <c r="F4065" s="410">
        <v>42273</v>
      </c>
      <c r="G4065" s="405" t="s">
        <v>22154</v>
      </c>
      <c r="H4065" s="405">
        <v>782669236</v>
      </c>
      <c r="I4065" s="405"/>
      <c r="J4065" s="405">
        <v>0.15020166700000001</v>
      </c>
      <c r="K4065" s="405">
        <v>32.318378330000002</v>
      </c>
      <c r="L4065" s="405" t="s">
        <v>590</v>
      </c>
      <c r="M4065" s="405" t="s">
        <v>1851</v>
      </c>
      <c r="N4065" s="405" t="s">
        <v>22155</v>
      </c>
      <c r="O4065" s="405" t="s">
        <v>22156</v>
      </c>
      <c r="P4065" s="405" t="s">
        <v>22157</v>
      </c>
      <c r="Q4065" s="411">
        <v>9</v>
      </c>
      <c r="R4065" s="405" t="s">
        <v>6397</v>
      </c>
      <c r="S4065" s="405" t="s">
        <v>27421</v>
      </c>
      <c r="T4065" s="405" t="s">
        <v>884</v>
      </c>
      <c r="U4065" s="405" t="s">
        <v>319</v>
      </c>
    </row>
    <row r="4066" spans="1:21" x14ac:dyDescent="0.25">
      <c r="A4066" s="405" t="s">
        <v>310</v>
      </c>
      <c r="B4066" s="405" t="s">
        <v>28624</v>
      </c>
      <c r="C4066" s="405" t="s">
        <v>327</v>
      </c>
      <c r="D4066" s="405"/>
      <c r="E4066" s="410">
        <v>42228</v>
      </c>
      <c r="F4066" s="410">
        <v>42273</v>
      </c>
      <c r="G4066" s="405" t="s">
        <v>22144</v>
      </c>
      <c r="H4066" s="405">
        <v>777389295</v>
      </c>
      <c r="I4066" s="405"/>
      <c r="J4066" s="405">
        <v>1.096592</v>
      </c>
      <c r="K4066" s="405">
        <v>34.207425000000001</v>
      </c>
      <c r="L4066" s="405" t="s">
        <v>590</v>
      </c>
      <c r="M4066" s="405" t="s">
        <v>7300</v>
      </c>
      <c r="N4066" s="405" t="s">
        <v>20450</v>
      </c>
      <c r="O4066" s="405" t="s">
        <v>21799</v>
      </c>
      <c r="P4066" s="405" t="s">
        <v>13712</v>
      </c>
      <c r="Q4066" s="411">
        <v>6</v>
      </c>
      <c r="R4066" s="405" t="s">
        <v>6397</v>
      </c>
      <c r="S4066" s="405" t="s">
        <v>22481</v>
      </c>
      <c r="T4066" s="405" t="s">
        <v>884</v>
      </c>
      <c r="U4066" s="405" t="s">
        <v>319</v>
      </c>
    </row>
    <row r="4067" spans="1:21" x14ac:dyDescent="0.25">
      <c r="A4067" s="405" t="s">
        <v>310</v>
      </c>
      <c r="B4067" s="405" t="s">
        <v>27751</v>
      </c>
      <c r="C4067" s="405" t="s">
        <v>311</v>
      </c>
      <c r="D4067" s="405" t="s">
        <v>839</v>
      </c>
      <c r="E4067" s="410">
        <v>42228</v>
      </c>
      <c r="F4067" s="410">
        <v>42273</v>
      </c>
      <c r="G4067" s="405" t="s">
        <v>15083</v>
      </c>
      <c r="H4067" s="405">
        <v>777534965</v>
      </c>
      <c r="I4067" s="405"/>
      <c r="J4067" s="405">
        <v>1.150692</v>
      </c>
      <c r="K4067" s="405">
        <v>34.211497999999999</v>
      </c>
      <c r="L4067" s="405" t="s">
        <v>6866</v>
      </c>
      <c r="M4067" s="405" t="s">
        <v>9514</v>
      </c>
      <c r="N4067" s="405" t="s">
        <v>9722</v>
      </c>
      <c r="O4067" s="405" t="s">
        <v>9530</v>
      </c>
      <c r="P4067" s="405" t="s">
        <v>14806</v>
      </c>
      <c r="Q4067" s="411">
        <v>6</v>
      </c>
      <c r="R4067" s="405" t="s">
        <v>7224</v>
      </c>
      <c r="S4067" s="405" t="s">
        <v>27107</v>
      </c>
      <c r="T4067" s="405" t="s">
        <v>7342</v>
      </c>
      <c r="U4067" s="405" t="s">
        <v>7343</v>
      </c>
    </row>
    <row r="4068" spans="1:21" x14ac:dyDescent="0.25">
      <c r="A4068" s="405" t="s">
        <v>310</v>
      </c>
      <c r="B4068" s="405" t="s">
        <v>14727</v>
      </c>
      <c r="C4068" s="405" t="s">
        <v>327</v>
      </c>
      <c r="D4068" s="405"/>
      <c r="E4068" s="410">
        <v>42226</v>
      </c>
      <c r="F4068" s="410">
        <v>42271</v>
      </c>
      <c r="G4068" s="405" t="s">
        <v>14728</v>
      </c>
      <c r="H4068" s="405">
        <v>779265422</v>
      </c>
      <c r="I4068" s="405"/>
      <c r="J4068" s="405">
        <v>0.25485200000000002</v>
      </c>
      <c r="K4068" s="405">
        <v>30.933327999999999</v>
      </c>
      <c r="L4068" s="405" t="s">
        <v>6866</v>
      </c>
      <c r="M4068" s="405" t="s">
        <v>9514</v>
      </c>
      <c r="N4068" s="405" t="s">
        <v>9722</v>
      </c>
      <c r="O4068" s="405" t="s">
        <v>9530</v>
      </c>
      <c r="P4068" s="405" t="s">
        <v>13529</v>
      </c>
      <c r="Q4068" s="411">
        <v>6</v>
      </c>
      <c r="R4068" s="405" t="s">
        <v>7224</v>
      </c>
      <c r="S4068" s="405" t="s">
        <v>27169</v>
      </c>
      <c r="T4068" s="405" t="s">
        <v>32102</v>
      </c>
      <c r="U4068" s="405" t="s">
        <v>319</v>
      </c>
    </row>
    <row r="4069" spans="1:21" x14ac:dyDescent="0.25">
      <c r="A4069" s="405" t="s">
        <v>310</v>
      </c>
      <c r="B4069" s="405" t="s">
        <v>22124</v>
      </c>
      <c r="C4069" s="405" t="s">
        <v>327</v>
      </c>
      <c r="D4069" s="405"/>
      <c r="E4069" s="410">
        <v>42225</v>
      </c>
      <c r="F4069" s="410">
        <v>42270</v>
      </c>
      <c r="G4069" s="405" t="s">
        <v>22125</v>
      </c>
      <c r="H4069" s="405">
        <v>772744964</v>
      </c>
      <c r="I4069" s="405"/>
      <c r="J4069" s="405">
        <v>0.45492500000000002</v>
      </c>
      <c r="K4069" s="405">
        <v>30.126028000000002</v>
      </c>
      <c r="L4069" s="405" t="s">
        <v>590</v>
      </c>
      <c r="M4069" s="405" t="s">
        <v>7300</v>
      </c>
      <c r="N4069" s="405" t="s">
        <v>20091</v>
      </c>
      <c r="O4069" s="405" t="s">
        <v>22126</v>
      </c>
      <c r="P4069" s="405" t="s">
        <v>22127</v>
      </c>
      <c r="Q4069" s="411">
        <v>13</v>
      </c>
      <c r="R4069" s="405" t="s">
        <v>5336</v>
      </c>
      <c r="S4069" s="405" t="s">
        <v>27126</v>
      </c>
      <c r="T4069" s="405" t="s">
        <v>884</v>
      </c>
      <c r="U4069" s="405" t="s">
        <v>319</v>
      </c>
    </row>
    <row r="4070" spans="1:21" x14ac:dyDescent="0.25">
      <c r="A4070" s="405" t="s">
        <v>310</v>
      </c>
      <c r="B4070" s="405" t="s">
        <v>22132</v>
      </c>
      <c r="C4070" s="405" t="s">
        <v>327</v>
      </c>
      <c r="D4070" s="405"/>
      <c r="E4070" s="410">
        <v>42225</v>
      </c>
      <c r="F4070" s="410">
        <v>42270</v>
      </c>
      <c r="G4070" s="405" t="s">
        <v>22133</v>
      </c>
      <c r="H4070" s="405">
        <v>772471942</v>
      </c>
      <c r="I4070" s="405"/>
      <c r="J4070" s="405">
        <v>0.71152700000000002</v>
      </c>
      <c r="K4070" s="405">
        <v>34.213664999999999</v>
      </c>
      <c r="L4070" s="405" t="s">
        <v>590</v>
      </c>
      <c r="M4070" s="405" t="s">
        <v>19625</v>
      </c>
      <c r="N4070" s="405" t="s">
        <v>20086</v>
      </c>
      <c r="O4070" s="405" t="s">
        <v>22097</v>
      </c>
      <c r="P4070" s="405" t="s">
        <v>22134</v>
      </c>
      <c r="Q4070" s="411">
        <v>9</v>
      </c>
      <c r="R4070" s="405" t="s">
        <v>6572</v>
      </c>
      <c r="S4070" s="405" t="s">
        <v>27161</v>
      </c>
      <c r="T4070" s="405" t="s">
        <v>7342</v>
      </c>
      <c r="U4070" s="405" t="s">
        <v>7343</v>
      </c>
    </row>
    <row r="4071" spans="1:21" x14ac:dyDescent="0.25">
      <c r="A4071" s="405" t="s">
        <v>310</v>
      </c>
      <c r="B4071" s="405" t="s">
        <v>22142</v>
      </c>
      <c r="C4071" s="405" t="s">
        <v>327</v>
      </c>
      <c r="D4071" s="405"/>
      <c r="E4071" s="410">
        <v>42225</v>
      </c>
      <c r="F4071" s="410">
        <v>42270</v>
      </c>
      <c r="G4071" s="405" t="s">
        <v>22143</v>
      </c>
      <c r="H4071" s="405">
        <v>774231285</v>
      </c>
      <c r="I4071" s="405"/>
      <c r="J4071" s="405">
        <v>1.0890230000000001</v>
      </c>
      <c r="K4071" s="405">
        <v>34.190547000000002</v>
      </c>
      <c r="L4071" s="405" t="s">
        <v>590</v>
      </c>
      <c r="M4071" s="405" t="s">
        <v>879</v>
      </c>
      <c r="N4071" s="405" t="s">
        <v>881</v>
      </c>
      <c r="O4071" s="405" t="s">
        <v>881</v>
      </c>
      <c r="P4071" s="405" t="s">
        <v>22011</v>
      </c>
      <c r="Q4071" s="411">
        <v>9</v>
      </c>
      <c r="R4071" s="405" t="s">
        <v>5665</v>
      </c>
      <c r="S4071" s="405" t="s">
        <v>27110</v>
      </c>
      <c r="T4071" s="405" t="s">
        <v>884</v>
      </c>
      <c r="U4071" s="405" t="s">
        <v>319</v>
      </c>
    </row>
    <row r="4072" spans="1:21" x14ac:dyDescent="0.25">
      <c r="A4072" s="405" t="s">
        <v>310</v>
      </c>
      <c r="B4072" s="405" t="s">
        <v>22140</v>
      </c>
      <c r="C4072" s="405" t="s">
        <v>327</v>
      </c>
      <c r="D4072" s="405"/>
      <c r="E4072" s="410">
        <v>42225</v>
      </c>
      <c r="F4072" s="410">
        <v>42270</v>
      </c>
      <c r="G4072" s="405" t="s">
        <v>22141</v>
      </c>
      <c r="H4072" s="405">
        <v>792645551</v>
      </c>
      <c r="I4072" s="405"/>
      <c r="J4072" s="405">
        <v>1.237128</v>
      </c>
      <c r="K4072" s="405">
        <v>31.104647</v>
      </c>
      <c r="L4072" s="405" t="s">
        <v>590</v>
      </c>
      <c r="M4072" s="405" t="s">
        <v>7300</v>
      </c>
      <c r="N4072" s="405" t="s">
        <v>21577</v>
      </c>
      <c r="O4072" s="405" t="s">
        <v>21577</v>
      </c>
      <c r="P4072" s="405" t="s">
        <v>21487</v>
      </c>
      <c r="Q4072" s="411">
        <v>6</v>
      </c>
      <c r="R4072" s="405" t="s">
        <v>5665</v>
      </c>
      <c r="S4072" s="405" t="s">
        <v>27112</v>
      </c>
      <c r="T4072" s="405" t="s">
        <v>884</v>
      </c>
      <c r="U4072" s="405" t="s">
        <v>319</v>
      </c>
    </row>
    <row r="4073" spans="1:21" x14ac:dyDescent="0.25">
      <c r="A4073" s="405" t="s">
        <v>310</v>
      </c>
      <c r="B4073" s="405" t="s">
        <v>14766</v>
      </c>
      <c r="C4073" s="405" t="s">
        <v>327</v>
      </c>
      <c r="D4073" s="405"/>
      <c r="E4073" s="410">
        <v>42224</v>
      </c>
      <c r="F4073" s="410">
        <v>42269</v>
      </c>
      <c r="G4073" s="405" t="s">
        <v>14767</v>
      </c>
      <c r="H4073" s="405">
        <v>778750904</v>
      </c>
      <c r="I4073" s="405"/>
      <c r="J4073" s="405">
        <v>1.930623</v>
      </c>
      <c r="K4073" s="405">
        <v>33.463076999999998</v>
      </c>
      <c r="L4073" s="405" t="s">
        <v>6866</v>
      </c>
      <c r="M4073" s="405" t="s">
        <v>10515</v>
      </c>
      <c r="N4073" s="405" t="s">
        <v>13074</v>
      </c>
      <c r="O4073" s="405" t="s">
        <v>13074</v>
      </c>
      <c r="P4073" s="405" t="s">
        <v>14768</v>
      </c>
      <c r="Q4073" s="411">
        <v>6</v>
      </c>
      <c r="R4073" s="405" t="s">
        <v>5655</v>
      </c>
      <c r="S4073" s="405" t="s">
        <v>27346</v>
      </c>
      <c r="T4073" s="405" t="s">
        <v>884</v>
      </c>
      <c r="U4073" s="405" t="s">
        <v>319</v>
      </c>
    </row>
    <row r="4074" spans="1:21" x14ac:dyDescent="0.25">
      <c r="A4074" s="405" t="s">
        <v>310</v>
      </c>
      <c r="B4074" s="405" t="s">
        <v>5730</v>
      </c>
      <c r="C4074" s="405" t="s">
        <v>327</v>
      </c>
      <c r="D4074" s="405"/>
      <c r="E4074" s="410">
        <v>42224</v>
      </c>
      <c r="F4074" s="410">
        <v>42269</v>
      </c>
      <c r="G4074" s="405" t="s">
        <v>5731</v>
      </c>
      <c r="H4074" s="405">
        <v>751702718</v>
      </c>
      <c r="I4074" s="405"/>
      <c r="J4074" s="405">
        <v>0.43540600000000002</v>
      </c>
      <c r="K4074" s="405">
        <v>32.532167999999999</v>
      </c>
      <c r="L4074" s="405" t="s">
        <v>314</v>
      </c>
      <c r="M4074" s="405" t="s">
        <v>361</v>
      </c>
      <c r="N4074" s="405" t="s">
        <v>410</v>
      </c>
      <c r="O4074" s="405" t="s">
        <v>410</v>
      </c>
      <c r="P4074" s="405" t="s">
        <v>5732</v>
      </c>
      <c r="Q4074" s="411">
        <v>6</v>
      </c>
      <c r="R4074" s="405" t="s">
        <v>5665</v>
      </c>
      <c r="S4074" s="405" t="s">
        <v>27175</v>
      </c>
      <c r="T4074" s="405" t="s">
        <v>884</v>
      </c>
      <c r="U4074" s="405" t="s">
        <v>319</v>
      </c>
    </row>
    <row r="4075" spans="1:21" x14ac:dyDescent="0.25">
      <c r="A4075" s="405" t="s">
        <v>310</v>
      </c>
      <c r="B4075" s="405" t="s">
        <v>14737</v>
      </c>
      <c r="C4075" s="405" t="s">
        <v>327</v>
      </c>
      <c r="D4075" s="405"/>
      <c r="E4075" s="410">
        <v>42224</v>
      </c>
      <c r="F4075" s="410">
        <v>42269</v>
      </c>
      <c r="G4075" s="405" t="s">
        <v>14738</v>
      </c>
      <c r="H4075" s="405">
        <v>785025745</v>
      </c>
      <c r="I4075" s="405"/>
      <c r="J4075" s="405">
        <v>1.158738</v>
      </c>
      <c r="K4075" s="405">
        <v>34.200082000000002</v>
      </c>
      <c r="L4075" s="405" t="s">
        <v>6866</v>
      </c>
      <c r="M4075" s="405" t="s">
        <v>9514</v>
      </c>
      <c r="N4075" s="405" t="s">
        <v>9722</v>
      </c>
      <c r="O4075" s="405" t="s">
        <v>9530</v>
      </c>
      <c r="P4075" s="405" t="s">
        <v>9895</v>
      </c>
      <c r="Q4075" s="411">
        <v>6</v>
      </c>
      <c r="R4075" s="405" t="s">
        <v>7224</v>
      </c>
      <c r="S4075" s="405" t="s">
        <v>27204</v>
      </c>
      <c r="T4075" s="405" t="s">
        <v>7342</v>
      </c>
      <c r="U4075" s="405" t="s">
        <v>7343</v>
      </c>
    </row>
    <row r="4076" spans="1:21" x14ac:dyDescent="0.25">
      <c r="A4076" s="405" t="s">
        <v>310</v>
      </c>
      <c r="B4076" s="405" t="s">
        <v>14749</v>
      </c>
      <c r="C4076" s="405" t="s">
        <v>327</v>
      </c>
      <c r="D4076" s="405"/>
      <c r="E4076" s="410">
        <v>42222</v>
      </c>
      <c r="F4076" s="410">
        <v>42267</v>
      </c>
      <c r="G4076" s="405" t="s">
        <v>14750</v>
      </c>
      <c r="H4076" s="405">
        <v>758975089</v>
      </c>
      <c r="I4076" s="405">
        <v>704477713</v>
      </c>
      <c r="J4076" s="405">
        <v>1.103432</v>
      </c>
      <c r="K4076" s="405">
        <v>34.194380000000002</v>
      </c>
      <c r="L4076" s="405" t="s">
        <v>6866</v>
      </c>
      <c r="M4076" s="405" t="s">
        <v>9514</v>
      </c>
      <c r="N4076" s="405" t="s">
        <v>9722</v>
      </c>
      <c r="O4076" s="405" t="s">
        <v>9530</v>
      </c>
      <c r="P4076" s="405" t="s">
        <v>14719</v>
      </c>
      <c r="Q4076" s="411">
        <v>6</v>
      </c>
      <c r="R4076" s="405" t="s">
        <v>7224</v>
      </c>
      <c r="S4076" s="405" t="s">
        <v>27335</v>
      </c>
      <c r="T4076" s="405" t="s">
        <v>884</v>
      </c>
      <c r="U4076" s="405" t="s">
        <v>319</v>
      </c>
    </row>
    <row r="4077" spans="1:21" x14ac:dyDescent="0.25">
      <c r="A4077" s="405" t="s">
        <v>310</v>
      </c>
      <c r="B4077" s="405" t="s">
        <v>14743</v>
      </c>
      <c r="C4077" s="405" t="s">
        <v>327</v>
      </c>
      <c r="D4077" s="405"/>
      <c r="E4077" s="410">
        <v>42222</v>
      </c>
      <c r="F4077" s="410">
        <v>42267</v>
      </c>
      <c r="G4077" s="405" t="s">
        <v>14744</v>
      </c>
      <c r="H4077" s="405">
        <v>785309024</v>
      </c>
      <c r="I4077" s="405"/>
      <c r="J4077" s="405">
        <v>1.1233919999999999</v>
      </c>
      <c r="K4077" s="405">
        <v>34.220567000000003</v>
      </c>
      <c r="L4077" s="405" t="s">
        <v>6866</v>
      </c>
      <c r="M4077" s="405" t="s">
        <v>9514</v>
      </c>
      <c r="N4077" s="405" t="s">
        <v>9722</v>
      </c>
      <c r="O4077" s="405" t="s">
        <v>9530</v>
      </c>
      <c r="P4077" s="405" t="s">
        <v>11340</v>
      </c>
      <c r="Q4077" s="411">
        <v>6</v>
      </c>
      <c r="R4077" s="405" t="s">
        <v>7224</v>
      </c>
      <c r="S4077" s="405" t="s">
        <v>27072</v>
      </c>
      <c r="T4077" s="405" t="s">
        <v>884</v>
      </c>
      <c r="U4077" s="405" t="s">
        <v>319</v>
      </c>
    </row>
    <row r="4078" spans="1:21" x14ac:dyDescent="0.25">
      <c r="A4078" s="405" t="s">
        <v>310</v>
      </c>
      <c r="B4078" s="405" t="s">
        <v>14741</v>
      </c>
      <c r="C4078" s="405" t="s">
        <v>327</v>
      </c>
      <c r="D4078" s="405"/>
      <c r="E4078" s="410">
        <v>42222</v>
      </c>
      <c r="F4078" s="410">
        <v>42267</v>
      </c>
      <c r="G4078" s="405" t="s">
        <v>14742</v>
      </c>
      <c r="H4078" s="405">
        <v>772886270</v>
      </c>
      <c r="I4078" s="405"/>
      <c r="J4078" s="405">
        <v>1.0890230000000001</v>
      </c>
      <c r="K4078" s="405">
        <v>34.190547000000002</v>
      </c>
      <c r="L4078" s="405" t="s">
        <v>6866</v>
      </c>
      <c r="M4078" s="405" t="s">
        <v>9514</v>
      </c>
      <c r="N4078" s="405" t="s">
        <v>9722</v>
      </c>
      <c r="O4078" s="405" t="s">
        <v>9530</v>
      </c>
      <c r="P4078" s="405" t="s">
        <v>11489</v>
      </c>
      <c r="Q4078" s="411">
        <v>6</v>
      </c>
      <c r="R4078" s="405" t="s">
        <v>7224</v>
      </c>
      <c r="S4078" s="405" t="s">
        <v>27203</v>
      </c>
      <c r="T4078" s="405" t="s">
        <v>884</v>
      </c>
      <c r="U4078" s="405" t="s">
        <v>319</v>
      </c>
    </row>
    <row r="4079" spans="1:21" x14ac:dyDescent="0.25">
      <c r="A4079" s="405" t="s">
        <v>310</v>
      </c>
      <c r="B4079" s="405" t="s">
        <v>14751</v>
      </c>
      <c r="C4079" s="405" t="s">
        <v>327</v>
      </c>
      <c r="D4079" s="405"/>
      <c r="E4079" s="410">
        <v>42222</v>
      </c>
      <c r="F4079" s="410">
        <v>42267</v>
      </c>
      <c r="G4079" s="405" t="s">
        <v>14752</v>
      </c>
      <c r="H4079" s="405">
        <v>777979304</v>
      </c>
      <c r="I4079" s="405"/>
      <c r="J4079" s="405">
        <v>1.114392</v>
      </c>
      <c r="K4079" s="405">
        <v>34.215829999999997</v>
      </c>
      <c r="L4079" s="405" t="s">
        <v>6866</v>
      </c>
      <c r="M4079" s="405" t="s">
        <v>9514</v>
      </c>
      <c r="N4079" s="405" t="s">
        <v>9722</v>
      </c>
      <c r="O4079" s="405" t="s">
        <v>9530</v>
      </c>
      <c r="P4079" s="405" t="s">
        <v>9683</v>
      </c>
      <c r="Q4079" s="411">
        <v>6</v>
      </c>
      <c r="R4079" s="405" t="s">
        <v>7224</v>
      </c>
      <c r="S4079" s="405" t="s">
        <v>27298</v>
      </c>
      <c r="T4079" s="405" t="s">
        <v>884</v>
      </c>
      <c r="U4079" s="405" t="s">
        <v>319</v>
      </c>
    </row>
    <row r="4080" spans="1:21" x14ac:dyDescent="0.25">
      <c r="A4080" s="405" t="s">
        <v>310</v>
      </c>
      <c r="B4080" s="405" t="s">
        <v>27709</v>
      </c>
      <c r="C4080" s="405" t="s">
        <v>327</v>
      </c>
      <c r="D4080" s="405"/>
      <c r="E4080" s="410">
        <v>42221</v>
      </c>
      <c r="F4080" s="410">
        <v>42266</v>
      </c>
      <c r="G4080" s="405" t="s">
        <v>14764</v>
      </c>
      <c r="H4080" s="405">
        <v>752726350</v>
      </c>
      <c r="I4080" s="405"/>
      <c r="J4080" s="405">
        <v>1.928447</v>
      </c>
      <c r="K4080" s="405">
        <v>33.547953</v>
      </c>
      <c r="L4080" s="405" t="s">
        <v>6866</v>
      </c>
      <c r="M4080" s="405" t="s">
        <v>10515</v>
      </c>
      <c r="N4080" s="405" t="s">
        <v>13074</v>
      </c>
      <c r="O4080" s="405" t="s">
        <v>13074</v>
      </c>
      <c r="P4080" s="405" t="s">
        <v>14765</v>
      </c>
      <c r="Q4080" s="411">
        <v>6</v>
      </c>
      <c r="R4080" s="405" t="s">
        <v>5655</v>
      </c>
      <c r="S4080" s="405" t="s">
        <v>27351</v>
      </c>
      <c r="T4080" s="405" t="s">
        <v>884</v>
      </c>
      <c r="U4080" s="405" t="s">
        <v>319</v>
      </c>
    </row>
    <row r="4081" spans="1:21" x14ac:dyDescent="0.25">
      <c r="A4081" s="405" t="s">
        <v>310</v>
      </c>
      <c r="B4081" s="405" t="s">
        <v>14725</v>
      </c>
      <c r="C4081" s="405" t="s">
        <v>327</v>
      </c>
      <c r="D4081" s="405"/>
      <c r="E4081" s="410">
        <v>42221</v>
      </c>
      <c r="F4081" s="410">
        <v>42266</v>
      </c>
      <c r="G4081" s="405" t="s">
        <v>14726</v>
      </c>
      <c r="H4081" s="405">
        <v>782613343</v>
      </c>
      <c r="I4081" s="405"/>
      <c r="J4081" s="405">
        <v>1.1054999999999999</v>
      </c>
      <c r="K4081" s="405">
        <v>34.195278000000002</v>
      </c>
      <c r="L4081" s="405" t="s">
        <v>6866</v>
      </c>
      <c r="M4081" s="405" t="s">
        <v>9514</v>
      </c>
      <c r="N4081" s="405" t="s">
        <v>9722</v>
      </c>
      <c r="O4081" s="405" t="s">
        <v>9530</v>
      </c>
      <c r="P4081" s="405" t="s">
        <v>14621</v>
      </c>
      <c r="Q4081" s="411">
        <v>6</v>
      </c>
      <c r="R4081" s="405" t="s">
        <v>7224</v>
      </c>
      <c r="S4081" s="405" t="s">
        <v>27353</v>
      </c>
      <c r="T4081" s="405" t="s">
        <v>884</v>
      </c>
      <c r="U4081" s="405" t="s">
        <v>319</v>
      </c>
    </row>
    <row r="4082" spans="1:21" x14ac:dyDescent="0.25">
      <c r="A4082" s="405" t="s">
        <v>310</v>
      </c>
      <c r="B4082" s="405" t="s">
        <v>14747</v>
      </c>
      <c r="C4082" s="405" t="s">
        <v>327</v>
      </c>
      <c r="D4082" s="405"/>
      <c r="E4082" s="410">
        <v>42221</v>
      </c>
      <c r="F4082" s="410">
        <v>42266</v>
      </c>
      <c r="G4082" s="405" t="s">
        <v>14748</v>
      </c>
      <c r="H4082" s="405">
        <v>779228703</v>
      </c>
      <c r="I4082" s="405"/>
      <c r="J4082" s="405">
        <v>1.10673</v>
      </c>
      <c r="K4082" s="405">
        <v>34.194563000000002</v>
      </c>
      <c r="L4082" s="405" t="s">
        <v>6866</v>
      </c>
      <c r="M4082" s="405" t="s">
        <v>9514</v>
      </c>
      <c r="N4082" s="405" t="s">
        <v>9722</v>
      </c>
      <c r="O4082" s="405" t="s">
        <v>9530</v>
      </c>
      <c r="P4082" s="405" t="s">
        <v>14719</v>
      </c>
      <c r="Q4082" s="411">
        <v>6</v>
      </c>
      <c r="R4082" s="405" t="s">
        <v>7224</v>
      </c>
      <c r="S4082" s="405" t="s">
        <v>27306</v>
      </c>
      <c r="T4082" s="405" t="s">
        <v>884</v>
      </c>
      <c r="U4082" s="405" t="s">
        <v>319</v>
      </c>
    </row>
    <row r="4083" spans="1:21" x14ac:dyDescent="0.25">
      <c r="A4083" s="405" t="s">
        <v>310</v>
      </c>
      <c r="B4083" s="405" t="s">
        <v>14731</v>
      </c>
      <c r="C4083" s="405" t="s">
        <v>327</v>
      </c>
      <c r="D4083" s="405"/>
      <c r="E4083" s="410">
        <v>42220</v>
      </c>
      <c r="F4083" s="410">
        <v>42265</v>
      </c>
      <c r="G4083" s="405" t="s">
        <v>14732</v>
      </c>
      <c r="H4083" s="405">
        <v>772893362</v>
      </c>
      <c r="I4083" s="405"/>
      <c r="J4083" s="405">
        <v>1.150997</v>
      </c>
      <c r="K4083" s="405">
        <v>34.199142999999999</v>
      </c>
      <c r="L4083" s="405" t="s">
        <v>6866</v>
      </c>
      <c r="M4083" s="405" t="s">
        <v>9514</v>
      </c>
      <c r="N4083" s="405" t="s">
        <v>9722</v>
      </c>
      <c r="O4083" s="405" t="s">
        <v>9530</v>
      </c>
      <c r="P4083" s="405" t="s">
        <v>14566</v>
      </c>
      <c r="Q4083" s="411">
        <v>6</v>
      </c>
      <c r="R4083" s="405" t="s">
        <v>7224</v>
      </c>
      <c r="S4083" s="405" t="s">
        <v>27074</v>
      </c>
      <c r="T4083" s="405" t="s">
        <v>884</v>
      </c>
      <c r="U4083" s="405" t="s">
        <v>319</v>
      </c>
    </row>
    <row r="4084" spans="1:21" x14ac:dyDescent="0.25">
      <c r="A4084" s="405" t="s">
        <v>310</v>
      </c>
      <c r="B4084" s="405" t="s">
        <v>14729</v>
      </c>
      <c r="C4084" s="405" t="s">
        <v>327</v>
      </c>
      <c r="D4084" s="405"/>
      <c r="E4084" s="410">
        <v>42219</v>
      </c>
      <c r="F4084" s="410">
        <v>42264</v>
      </c>
      <c r="G4084" s="405" t="s">
        <v>14730</v>
      </c>
      <c r="H4084" s="405">
        <v>782703019</v>
      </c>
      <c r="I4084" s="405"/>
      <c r="J4084" s="405">
        <v>1.1479729999999999</v>
      </c>
      <c r="K4084" s="405">
        <v>34.200744999999998</v>
      </c>
      <c r="L4084" s="405" t="s">
        <v>6866</v>
      </c>
      <c r="M4084" s="405" t="s">
        <v>9514</v>
      </c>
      <c r="N4084" s="405" t="s">
        <v>9722</v>
      </c>
      <c r="O4084" s="405" t="s">
        <v>9530</v>
      </c>
      <c r="P4084" s="405" t="s">
        <v>14566</v>
      </c>
      <c r="Q4084" s="411">
        <v>6</v>
      </c>
      <c r="R4084" s="405" t="s">
        <v>7224</v>
      </c>
      <c r="S4084" s="405" t="s">
        <v>27348</v>
      </c>
      <c r="T4084" s="405" t="s">
        <v>884</v>
      </c>
      <c r="U4084" s="405" t="s">
        <v>319</v>
      </c>
    </row>
    <row r="4085" spans="1:21" x14ac:dyDescent="0.25">
      <c r="A4085" s="405" t="s">
        <v>310</v>
      </c>
      <c r="B4085" s="405" t="s">
        <v>27983</v>
      </c>
      <c r="C4085" s="405" t="s">
        <v>327</v>
      </c>
      <c r="D4085" s="405"/>
      <c r="E4085" s="410">
        <v>42219</v>
      </c>
      <c r="F4085" s="410">
        <v>42264</v>
      </c>
      <c r="G4085" s="405" t="s">
        <v>22145</v>
      </c>
      <c r="H4085" s="405">
        <v>772581756</v>
      </c>
      <c r="I4085" s="405"/>
      <c r="J4085" s="405">
        <v>0.31627300000000003</v>
      </c>
      <c r="K4085" s="405">
        <v>32.622506999999999</v>
      </c>
      <c r="L4085" s="405" t="s">
        <v>590</v>
      </c>
      <c r="M4085" s="405" t="s">
        <v>7300</v>
      </c>
      <c r="N4085" s="405" t="s">
        <v>20450</v>
      </c>
      <c r="O4085" s="405" t="s">
        <v>22146</v>
      </c>
      <c r="P4085" s="405" t="s">
        <v>22147</v>
      </c>
      <c r="Q4085" s="411">
        <v>6</v>
      </c>
      <c r="R4085" s="405" t="s">
        <v>6397</v>
      </c>
      <c r="S4085" s="405" t="s">
        <v>22481</v>
      </c>
      <c r="T4085" s="405" t="s">
        <v>884</v>
      </c>
      <c r="U4085" s="405" t="s">
        <v>319</v>
      </c>
    </row>
    <row r="4086" spans="1:21" x14ac:dyDescent="0.25">
      <c r="A4086" s="405" t="s">
        <v>310</v>
      </c>
      <c r="B4086" s="405" t="s">
        <v>28503</v>
      </c>
      <c r="C4086" s="405" t="s">
        <v>327</v>
      </c>
      <c r="D4086" s="405"/>
      <c r="E4086" s="410">
        <v>42219</v>
      </c>
      <c r="F4086" s="410">
        <v>42264</v>
      </c>
      <c r="G4086" s="405" t="s">
        <v>14736</v>
      </c>
      <c r="H4086" s="405">
        <v>772568610</v>
      </c>
      <c r="I4086" s="405"/>
      <c r="J4086" s="405">
        <v>1.1056550000000001</v>
      </c>
      <c r="K4086" s="405">
        <v>34.193218000000002</v>
      </c>
      <c r="L4086" s="405" t="s">
        <v>6866</v>
      </c>
      <c r="M4086" s="405" t="s">
        <v>9514</v>
      </c>
      <c r="N4086" s="405" t="s">
        <v>9722</v>
      </c>
      <c r="O4086" s="405" t="s">
        <v>9530</v>
      </c>
      <c r="P4086" s="405" t="s">
        <v>14719</v>
      </c>
      <c r="Q4086" s="411">
        <v>6</v>
      </c>
      <c r="R4086" s="405" t="s">
        <v>7224</v>
      </c>
      <c r="S4086" s="405" t="s">
        <v>27067</v>
      </c>
      <c r="T4086" s="405" t="s">
        <v>884</v>
      </c>
      <c r="U4086" s="405" t="s">
        <v>319</v>
      </c>
    </row>
    <row r="4087" spans="1:21" x14ac:dyDescent="0.25">
      <c r="A4087" s="405" t="s">
        <v>310</v>
      </c>
      <c r="B4087" s="405" t="s">
        <v>14705</v>
      </c>
      <c r="C4087" s="405" t="s">
        <v>327</v>
      </c>
      <c r="D4087" s="405"/>
      <c r="E4087" s="410">
        <v>42219</v>
      </c>
      <c r="F4087" s="410">
        <v>42264</v>
      </c>
      <c r="G4087" s="405" t="s">
        <v>14706</v>
      </c>
      <c r="H4087" s="405">
        <v>782051839</v>
      </c>
      <c r="I4087" s="405"/>
      <c r="J4087" s="405">
        <v>1.0947100000000001</v>
      </c>
      <c r="K4087" s="405">
        <v>34.204607000000003</v>
      </c>
      <c r="L4087" s="405" t="s">
        <v>6866</v>
      </c>
      <c r="M4087" s="405" t="s">
        <v>9514</v>
      </c>
      <c r="N4087" s="405" t="s">
        <v>9722</v>
      </c>
      <c r="O4087" s="405" t="s">
        <v>9530</v>
      </c>
      <c r="P4087" s="405" t="s">
        <v>3322</v>
      </c>
      <c r="Q4087" s="411">
        <v>6</v>
      </c>
      <c r="R4087" s="405" t="s">
        <v>7224</v>
      </c>
      <c r="S4087" s="405" t="s">
        <v>17013</v>
      </c>
      <c r="T4087" s="405" t="s">
        <v>884</v>
      </c>
      <c r="U4087" s="405" t="s">
        <v>319</v>
      </c>
    </row>
    <row r="4088" spans="1:21" x14ac:dyDescent="0.25">
      <c r="A4088" s="405" t="s">
        <v>310</v>
      </c>
      <c r="B4088" s="405" t="s">
        <v>14684</v>
      </c>
      <c r="C4088" s="405" t="s">
        <v>327</v>
      </c>
      <c r="D4088" s="405"/>
      <c r="E4088" s="410">
        <v>42218</v>
      </c>
      <c r="F4088" s="410">
        <v>42263</v>
      </c>
      <c r="G4088" s="405" t="s">
        <v>14685</v>
      </c>
      <c r="H4088" s="405">
        <v>784890638</v>
      </c>
      <c r="I4088" s="405"/>
      <c r="J4088" s="405">
        <v>1.154485</v>
      </c>
      <c r="K4088" s="405">
        <v>34.195794999999997</v>
      </c>
      <c r="L4088" s="405" t="s">
        <v>6866</v>
      </c>
      <c r="M4088" s="405" t="s">
        <v>9514</v>
      </c>
      <c r="N4088" s="405" t="s">
        <v>9722</v>
      </c>
      <c r="O4088" s="405" t="s">
        <v>9530</v>
      </c>
      <c r="P4088" s="405" t="s">
        <v>9895</v>
      </c>
      <c r="Q4088" s="411">
        <v>6</v>
      </c>
      <c r="R4088" s="405" t="s">
        <v>7224</v>
      </c>
      <c r="S4088" s="405" t="s">
        <v>27259</v>
      </c>
      <c r="T4088" s="405" t="s">
        <v>884</v>
      </c>
      <c r="U4088" s="405" t="s">
        <v>319</v>
      </c>
    </row>
    <row r="4089" spans="1:21" x14ac:dyDescent="0.25">
      <c r="A4089" s="405" t="s">
        <v>310</v>
      </c>
      <c r="B4089" s="405" t="s">
        <v>14769</v>
      </c>
      <c r="C4089" s="405" t="s">
        <v>327</v>
      </c>
      <c r="D4089" s="405"/>
      <c r="E4089" s="410">
        <v>42218</v>
      </c>
      <c r="F4089" s="410">
        <v>42263</v>
      </c>
      <c r="G4089" s="405" t="s">
        <v>14770</v>
      </c>
      <c r="H4089" s="405">
        <v>772666142</v>
      </c>
      <c r="I4089" s="405"/>
      <c r="J4089" s="405">
        <v>1.7235050000000001</v>
      </c>
      <c r="K4089" s="405">
        <v>33.624772999999998</v>
      </c>
      <c r="L4089" s="405" t="s">
        <v>6866</v>
      </c>
      <c r="M4089" s="405" t="s">
        <v>10515</v>
      </c>
      <c r="N4089" s="405" t="s">
        <v>10765</v>
      </c>
      <c r="O4089" s="405" t="s">
        <v>12948</v>
      </c>
      <c r="P4089" s="405" t="s">
        <v>14771</v>
      </c>
      <c r="Q4089" s="411">
        <v>6</v>
      </c>
      <c r="R4089" s="405" t="s">
        <v>5655</v>
      </c>
      <c r="S4089" s="405" t="s">
        <v>27354</v>
      </c>
      <c r="T4089" s="405" t="s">
        <v>884</v>
      </c>
      <c r="U4089" s="405" t="s">
        <v>319</v>
      </c>
    </row>
    <row r="4090" spans="1:21" x14ac:dyDescent="0.25">
      <c r="A4090" s="405" t="s">
        <v>310</v>
      </c>
      <c r="B4090" s="405" t="s">
        <v>14710</v>
      </c>
      <c r="C4090" s="405" t="s">
        <v>327</v>
      </c>
      <c r="D4090" s="405"/>
      <c r="E4090" s="410">
        <v>42218</v>
      </c>
      <c r="F4090" s="410">
        <v>42263</v>
      </c>
      <c r="G4090" s="405" t="s">
        <v>14711</v>
      </c>
      <c r="H4090" s="405">
        <v>781470575</v>
      </c>
      <c r="I4090" s="405"/>
      <c r="J4090" s="405">
        <v>1.1327879999999999</v>
      </c>
      <c r="K4090" s="405">
        <v>34.196852</v>
      </c>
      <c r="L4090" s="405" t="s">
        <v>6866</v>
      </c>
      <c r="M4090" s="405" t="s">
        <v>9514</v>
      </c>
      <c r="N4090" s="405" t="s">
        <v>9722</v>
      </c>
      <c r="O4090" s="405" t="s">
        <v>9530</v>
      </c>
      <c r="P4090" s="405" t="s">
        <v>14712</v>
      </c>
      <c r="Q4090" s="411">
        <v>6</v>
      </c>
      <c r="R4090" s="405" t="s">
        <v>7224</v>
      </c>
      <c r="S4090" s="405" t="s">
        <v>27190</v>
      </c>
      <c r="T4090" s="405" t="s">
        <v>865</v>
      </c>
      <c r="U4090" s="405" t="s">
        <v>866</v>
      </c>
    </row>
    <row r="4091" spans="1:21" x14ac:dyDescent="0.25">
      <c r="A4091" s="405" t="s">
        <v>310</v>
      </c>
      <c r="B4091" s="405" t="s">
        <v>28165</v>
      </c>
      <c r="C4091" s="405" t="s">
        <v>327</v>
      </c>
      <c r="D4091" s="405"/>
      <c r="E4091" s="410">
        <v>42217</v>
      </c>
      <c r="F4091" s="410">
        <v>42262</v>
      </c>
      <c r="G4091" s="405" t="s">
        <v>14759</v>
      </c>
      <c r="H4091" s="405">
        <v>772466065</v>
      </c>
      <c r="I4091" s="405"/>
      <c r="J4091" s="405">
        <v>1.0124299999999999</v>
      </c>
      <c r="K4091" s="405">
        <v>34.367330000000003</v>
      </c>
      <c r="L4091" s="405" t="s">
        <v>6866</v>
      </c>
      <c r="M4091" s="405" t="s">
        <v>9514</v>
      </c>
      <c r="N4091" s="405" t="s">
        <v>9616</v>
      </c>
      <c r="O4091" s="405" t="s">
        <v>9681</v>
      </c>
      <c r="P4091" s="405" t="s">
        <v>9617</v>
      </c>
      <c r="Q4091" s="411">
        <v>6</v>
      </c>
      <c r="R4091" s="405" t="s">
        <v>6871</v>
      </c>
      <c r="S4091" s="405" t="s">
        <v>17062</v>
      </c>
      <c r="T4091" s="405" t="s">
        <v>884</v>
      </c>
      <c r="U4091" s="405" t="s">
        <v>319</v>
      </c>
    </row>
    <row r="4092" spans="1:21" x14ac:dyDescent="0.25">
      <c r="A4092" s="405" t="s">
        <v>310</v>
      </c>
      <c r="B4092" s="405" t="s">
        <v>14720</v>
      </c>
      <c r="C4092" s="405" t="s">
        <v>327</v>
      </c>
      <c r="D4092" s="405"/>
      <c r="E4092" s="410">
        <v>42217</v>
      </c>
      <c r="F4092" s="410">
        <v>42262</v>
      </c>
      <c r="G4092" s="405" t="s">
        <v>14721</v>
      </c>
      <c r="H4092" s="405">
        <v>782558679</v>
      </c>
      <c r="I4092" s="405"/>
      <c r="J4092" s="405">
        <v>1.087785</v>
      </c>
      <c r="K4092" s="405">
        <v>34.191397000000002</v>
      </c>
      <c r="L4092" s="405" t="s">
        <v>6866</v>
      </c>
      <c r="M4092" s="405" t="s">
        <v>9514</v>
      </c>
      <c r="N4092" s="405" t="s">
        <v>9722</v>
      </c>
      <c r="O4092" s="405" t="s">
        <v>9530</v>
      </c>
      <c r="P4092" s="405" t="s">
        <v>11489</v>
      </c>
      <c r="Q4092" s="411">
        <v>6</v>
      </c>
      <c r="R4092" s="405" t="s">
        <v>7224</v>
      </c>
      <c r="S4092" s="405" t="s">
        <v>27310</v>
      </c>
      <c r="T4092" s="405" t="s">
        <v>884</v>
      </c>
      <c r="U4092" s="405" t="s">
        <v>319</v>
      </c>
    </row>
    <row r="4093" spans="1:21" x14ac:dyDescent="0.25">
      <c r="A4093" s="405" t="s">
        <v>310</v>
      </c>
      <c r="B4093" s="405" t="s">
        <v>14722</v>
      </c>
      <c r="C4093" s="405" t="s">
        <v>327</v>
      </c>
      <c r="D4093" s="405"/>
      <c r="E4093" s="410">
        <v>42217</v>
      </c>
      <c r="F4093" s="410">
        <v>42262</v>
      </c>
      <c r="G4093" s="405" t="s">
        <v>14723</v>
      </c>
      <c r="H4093" s="405">
        <v>754929391</v>
      </c>
      <c r="I4093" s="405"/>
      <c r="J4093" s="405">
        <v>1.114053</v>
      </c>
      <c r="K4093" s="405">
        <v>34.202359999999999</v>
      </c>
      <c r="L4093" s="405" t="s">
        <v>6866</v>
      </c>
      <c r="M4093" s="405" t="s">
        <v>9514</v>
      </c>
      <c r="N4093" s="405" t="s">
        <v>9722</v>
      </c>
      <c r="O4093" s="405" t="s">
        <v>9530</v>
      </c>
      <c r="P4093" s="405" t="s">
        <v>14724</v>
      </c>
      <c r="Q4093" s="411">
        <v>6</v>
      </c>
      <c r="R4093" s="405" t="s">
        <v>7224</v>
      </c>
      <c r="S4093" s="405" t="s">
        <v>27067</v>
      </c>
      <c r="T4093" s="405" t="s">
        <v>32102</v>
      </c>
      <c r="U4093" s="405" t="s">
        <v>319</v>
      </c>
    </row>
    <row r="4094" spans="1:21" x14ac:dyDescent="0.25">
      <c r="A4094" s="405" t="s">
        <v>310</v>
      </c>
      <c r="B4094" s="405" t="s">
        <v>14772</v>
      </c>
      <c r="C4094" s="405" t="s">
        <v>327</v>
      </c>
      <c r="D4094" s="405"/>
      <c r="E4094" s="410">
        <v>42217</v>
      </c>
      <c r="F4094" s="410">
        <v>42262</v>
      </c>
      <c r="G4094" s="405" t="s">
        <v>14773</v>
      </c>
      <c r="H4094" s="405">
        <v>772430416</v>
      </c>
      <c r="I4094" s="405"/>
      <c r="J4094" s="405">
        <v>0.14237</v>
      </c>
      <c r="K4094" s="405">
        <v>33.361899999999999</v>
      </c>
      <c r="L4094" s="405" t="s">
        <v>6866</v>
      </c>
      <c r="M4094" s="405" t="s">
        <v>10515</v>
      </c>
      <c r="N4094" s="405" t="s">
        <v>10765</v>
      </c>
      <c r="O4094" s="405" t="s">
        <v>9881</v>
      </c>
      <c r="P4094" s="405" t="s">
        <v>14774</v>
      </c>
      <c r="Q4094" s="411">
        <v>6</v>
      </c>
      <c r="R4094" s="405" t="s">
        <v>5655</v>
      </c>
      <c r="S4094" s="405" t="s">
        <v>27337</v>
      </c>
      <c r="T4094" s="405" t="s">
        <v>884</v>
      </c>
      <c r="U4094" s="405" t="s">
        <v>319</v>
      </c>
    </row>
    <row r="4095" spans="1:21" x14ac:dyDescent="0.25">
      <c r="A4095" s="405" t="s">
        <v>310</v>
      </c>
      <c r="B4095" s="405" t="s">
        <v>14717</v>
      </c>
      <c r="C4095" s="405" t="s">
        <v>327</v>
      </c>
      <c r="D4095" s="405"/>
      <c r="E4095" s="410">
        <v>42217</v>
      </c>
      <c r="F4095" s="410">
        <v>42262</v>
      </c>
      <c r="G4095" s="405" t="s">
        <v>14718</v>
      </c>
      <c r="H4095" s="405">
        <v>780811688</v>
      </c>
      <c r="I4095" s="405"/>
      <c r="J4095" s="405">
        <v>1.1037969999999999</v>
      </c>
      <c r="K4095" s="405">
        <v>34.192790000000002</v>
      </c>
      <c r="L4095" s="405" t="s">
        <v>6866</v>
      </c>
      <c r="M4095" s="405" t="s">
        <v>9514</v>
      </c>
      <c r="N4095" s="405" t="s">
        <v>9722</v>
      </c>
      <c r="O4095" s="405" t="s">
        <v>9530</v>
      </c>
      <c r="P4095" s="405" t="s">
        <v>14719</v>
      </c>
      <c r="Q4095" s="411">
        <v>6</v>
      </c>
      <c r="R4095" s="405" t="s">
        <v>7224</v>
      </c>
      <c r="S4095" s="405" t="s">
        <v>27041</v>
      </c>
      <c r="T4095" s="405" t="s">
        <v>884</v>
      </c>
      <c r="U4095" s="405" t="s">
        <v>319</v>
      </c>
    </row>
    <row r="4096" spans="1:21" x14ac:dyDescent="0.25">
      <c r="A4096" s="405" t="s">
        <v>310</v>
      </c>
      <c r="B4096" s="405" t="s">
        <v>14713</v>
      </c>
      <c r="C4096" s="405" t="s">
        <v>327</v>
      </c>
      <c r="D4096" s="405"/>
      <c r="E4096" s="410">
        <v>42217</v>
      </c>
      <c r="F4096" s="410">
        <v>42262</v>
      </c>
      <c r="G4096" s="405" t="s">
        <v>14714</v>
      </c>
      <c r="H4096" s="405">
        <v>773956757</v>
      </c>
      <c r="I4096" s="405"/>
      <c r="J4096" s="405">
        <v>0.458401</v>
      </c>
      <c r="K4096" s="405">
        <v>33.147292</v>
      </c>
      <c r="L4096" s="405" t="s">
        <v>6866</v>
      </c>
      <c r="M4096" s="405" t="s">
        <v>9514</v>
      </c>
      <c r="N4096" s="405" t="s">
        <v>9722</v>
      </c>
      <c r="O4096" s="405" t="s">
        <v>9530</v>
      </c>
      <c r="P4096" s="405" t="s">
        <v>9683</v>
      </c>
      <c r="Q4096" s="411">
        <v>6</v>
      </c>
      <c r="R4096" s="405" t="s">
        <v>7224</v>
      </c>
      <c r="S4096" s="405" t="s">
        <v>27107</v>
      </c>
      <c r="T4096" s="405" t="s">
        <v>884</v>
      </c>
      <c r="U4096" s="405" t="s">
        <v>319</v>
      </c>
    </row>
    <row r="4097" spans="1:21" x14ac:dyDescent="0.25">
      <c r="A4097" s="405" t="s">
        <v>310</v>
      </c>
      <c r="B4097" s="405" t="s">
        <v>5714</v>
      </c>
      <c r="C4097" s="405" t="s">
        <v>327</v>
      </c>
      <c r="D4097" s="405"/>
      <c r="E4097" s="410">
        <v>42216</v>
      </c>
      <c r="F4097" s="410">
        <v>42261</v>
      </c>
      <c r="G4097" s="405" t="s">
        <v>5715</v>
      </c>
      <c r="H4097" s="405">
        <v>775671958</v>
      </c>
      <c r="I4097" s="405"/>
      <c r="J4097" s="405">
        <v>0.97684000000000004</v>
      </c>
      <c r="K4097" s="405">
        <v>31.586926999999999</v>
      </c>
      <c r="L4097" s="405" t="s">
        <v>314</v>
      </c>
      <c r="M4097" s="405" t="s">
        <v>1360</v>
      </c>
      <c r="N4097" s="405" t="s">
        <v>1361</v>
      </c>
      <c r="O4097" s="405" t="s">
        <v>3965</v>
      </c>
      <c r="P4097" s="405" t="s">
        <v>5716</v>
      </c>
      <c r="Q4097" s="411">
        <v>6</v>
      </c>
      <c r="R4097" s="405" t="s">
        <v>32101</v>
      </c>
      <c r="S4097" s="405" t="s">
        <v>414</v>
      </c>
      <c r="T4097" s="405" t="s">
        <v>884</v>
      </c>
      <c r="U4097" s="405" t="s">
        <v>319</v>
      </c>
    </row>
    <row r="4098" spans="1:21" x14ac:dyDescent="0.25">
      <c r="A4098" s="405" t="s">
        <v>310</v>
      </c>
      <c r="B4098" s="406" t="s">
        <v>32113</v>
      </c>
      <c r="C4098" s="405" t="s">
        <v>327</v>
      </c>
      <c r="D4098" s="405"/>
      <c r="E4098" s="406" t="s">
        <v>32114</v>
      </c>
      <c r="F4098" s="407">
        <v>44873</v>
      </c>
      <c r="G4098" s="406" t="s">
        <v>32115</v>
      </c>
      <c r="H4098" s="406" t="s">
        <v>8291</v>
      </c>
      <c r="I4098" s="406" t="s">
        <v>32111</v>
      </c>
      <c r="J4098" s="408">
        <v>0.41604000000000002</v>
      </c>
      <c r="K4098" s="408">
        <v>32.649098000000002</v>
      </c>
      <c r="L4098" s="406" t="s">
        <v>314</v>
      </c>
      <c r="M4098" s="406" t="s">
        <v>361</v>
      </c>
      <c r="N4098" s="406" t="s">
        <v>32116</v>
      </c>
      <c r="O4098" s="406" t="s">
        <v>363</v>
      </c>
      <c r="P4098" s="406" t="s">
        <v>2114</v>
      </c>
      <c r="Q4098" s="409">
        <v>50</v>
      </c>
      <c r="R4098" s="406" t="s">
        <v>32101</v>
      </c>
      <c r="S4098" s="406" t="s">
        <v>32117</v>
      </c>
      <c r="T4098" s="405" t="s">
        <v>884</v>
      </c>
      <c r="U4098" s="405" t="s">
        <v>319</v>
      </c>
    </row>
    <row r="4099" spans="1:21" x14ac:dyDescent="0.25">
      <c r="A4099" s="405" t="s">
        <v>310</v>
      </c>
      <c r="B4099" s="405" t="s">
        <v>14739</v>
      </c>
      <c r="C4099" s="405" t="s">
        <v>327</v>
      </c>
      <c r="D4099" s="405"/>
      <c r="E4099" s="410">
        <v>42215</v>
      </c>
      <c r="F4099" s="410">
        <v>42261</v>
      </c>
      <c r="G4099" s="405" t="s">
        <v>14740</v>
      </c>
      <c r="H4099" s="405">
        <v>774057225</v>
      </c>
      <c r="I4099" s="405"/>
      <c r="J4099" s="405">
        <v>1.13798</v>
      </c>
      <c r="K4099" s="405">
        <v>34.218687000000003</v>
      </c>
      <c r="L4099" s="405" t="s">
        <v>6866</v>
      </c>
      <c r="M4099" s="405" t="s">
        <v>9514</v>
      </c>
      <c r="N4099" s="405" t="s">
        <v>9722</v>
      </c>
      <c r="O4099" s="405" t="s">
        <v>9530</v>
      </c>
      <c r="P4099" s="405" t="s">
        <v>14518</v>
      </c>
      <c r="Q4099" s="411">
        <v>6</v>
      </c>
      <c r="R4099" s="405" t="s">
        <v>7224</v>
      </c>
      <c r="S4099" s="405" t="s">
        <v>27072</v>
      </c>
      <c r="T4099" s="405" t="s">
        <v>884</v>
      </c>
      <c r="U4099" s="405" t="s">
        <v>319</v>
      </c>
    </row>
    <row r="4100" spans="1:21" x14ac:dyDescent="0.25">
      <c r="A4100" s="405" t="s">
        <v>310</v>
      </c>
      <c r="B4100" s="405" t="s">
        <v>22128</v>
      </c>
      <c r="C4100" s="405" t="s">
        <v>327</v>
      </c>
      <c r="D4100" s="405"/>
      <c r="E4100" s="410">
        <v>42215</v>
      </c>
      <c r="F4100" s="410">
        <v>42260</v>
      </c>
      <c r="G4100" s="405" t="s">
        <v>22129</v>
      </c>
      <c r="H4100" s="405">
        <v>785933408</v>
      </c>
      <c r="I4100" s="405"/>
      <c r="J4100" s="405">
        <v>0.58452800000000005</v>
      </c>
      <c r="K4100" s="405">
        <v>30.090357000000001</v>
      </c>
      <c r="L4100" s="405" t="s">
        <v>590</v>
      </c>
      <c r="M4100" s="405" t="s">
        <v>19725</v>
      </c>
      <c r="N4100" s="405" t="s">
        <v>22130</v>
      </c>
      <c r="O4100" s="405" t="s">
        <v>20792</v>
      </c>
      <c r="P4100" s="405" t="s">
        <v>22131</v>
      </c>
      <c r="Q4100" s="411">
        <v>6</v>
      </c>
      <c r="R4100" s="405" t="s">
        <v>6943</v>
      </c>
      <c r="S4100" s="405" t="s">
        <v>27096</v>
      </c>
      <c r="T4100" s="405" t="s">
        <v>884</v>
      </c>
      <c r="U4100" s="405" t="s">
        <v>319</v>
      </c>
    </row>
    <row r="4101" spans="1:21" x14ac:dyDescent="0.25">
      <c r="A4101" s="405" t="s">
        <v>310</v>
      </c>
      <c r="B4101" s="405" t="s">
        <v>14692</v>
      </c>
      <c r="C4101" s="405" t="s">
        <v>327</v>
      </c>
      <c r="D4101" s="405"/>
      <c r="E4101" s="410">
        <v>42215</v>
      </c>
      <c r="F4101" s="410">
        <v>42260</v>
      </c>
      <c r="G4101" s="405" t="s">
        <v>14693</v>
      </c>
      <c r="H4101" s="405">
        <v>782097990</v>
      </c>
      <c r="I4101" s="405"/>
      <c r="J4101" s="405">
        <v>1.1586129999999999</v>
      </c>
      <c r="K4101" s="405">
        <v>34.203000000000003</v>
      </c>
      <c r="L4101" s="405" t="s">
        <v>6866</v>
      </c>
      <c r="M4101" s="405" t="s">
        <v>9514</v>
      </c>
      <c r="N4101" s="405" t="s">
        <v>9722</v>
      </c>
      <c r="O4101" s="405" t="s">
        <v>9530</v>
      </c>
      <c r="P4101" s="405" t="s">
        <v>14694</v>
      </c>
      <c r="Q4101" s="411">
        <v>6</v>
      </c>
      <c r="R4101" s="405" t="s">
        <v>7224</v>
      </c>
      <c r="S4101" s="405" t="s">
        <v>27204</v>
      </c>
      <c r="T4101" s="405" t="s">
        <v>884</v>
      </c>
      <c r="U4101" s="405" t="s">
        <v>319</v>
      </c>
    </row>
    <row r="4102" spans="1:21" x14ac:dyDescent="0.25">
      <c r="A4102" s="405" t="s">
        <v>310</v>
      </c>
      <c r="B4102" s="405" t="s">
        <v>28440</v>
      </c>
      <c r="C4102" s="405" t="s">
        <v>327</v>
      </c>
      <c r="D4102" s="405"/>
      <c r="E4102" s="410">
        <v>42214</v>
      </c>
      <c r="F4102" s="410">
        <v>42259</v>
      </c>
      <c r="G4102" s="405" t="s">
        <v>14707</v>
      </c>
      <c r="H4102" s="405">
        <v>774772783</v>
      </c>
      <c r="I4102" s="405"/>
      <c r="J4102" s="405">
        <v>1.0882849999999999</v>
      </c>
      <c r="K4102" s="405">
        <v>34.198166999999998</v>
      </c>
      <c r="L4102" s="405" t="s">
        <v>6866</v>
      </c>
      <c r="M4102" s="405" t="s">
        <v>9514</v>
      </c>
      <c r="N4102" s="405" t="s">
        <v>9722</v>
      </c>
      <c r="O4102" s="405" t="s">
        <v>9530</v>
      </c>
      <c r="P4102" s="405" t="s">
        <v>10195</v>
      </c>
      <c r="Q4102" s="411">
        <v>6</v>
      </c>
      <c r="R4102" s="405" t="s">
        <v>7224</v>
      </c>
      <c r="S4102" s="405" t="s">
        <v>27335</v>
      </c>
      <c r="T4102" s="405" t="s">
        <v>884</v>
      </c>
      <c r="U4102" s="405" t="s">
        <v>319</v>
      </c>
    </row>
    <row r="4103" spans="1:21" x14ac:dyDescent="0.25">
      <c r="A4103" s="405" t="s">
        <v>310</v>
      </c>
      <c r="B4103" s="405" t="s">
        <v>14695</v>
      </c>
      <c r="C4103" s="405" t="s">
        <v>327</v>
      </c>
      <c r="D4103" s="405"/>
      <c r="E4103" s="410">
        <v>42214</v>
      </c>
      <c r="F4103" s="410">
        <v>42259</v>
      </c>
      <c r="G4103" s="405" t="s">
        <v>14696</v>
      </c>
      <c r="H4103" s="405">
        <v>772781459</v>
      </c>
      <c r="I4103" s="405"/>
      <c r="J4103" s="405">
        <v>1.1281570000000001</v>
      </c>
      <c r="K4103" s="405">
        <v>34.205869999999997</v>
      </c>
      <c r="L4103" s="405" t="s">
        <v>6866</v>
      </c>
      <c r="M4103" s="405" t="s">
        <v>9514</v>
      </c>
      <c r="N4103" s="405" t="s">
        <v>9722</v>
      </c>
      <c r="O4103" s="405" t="s">
        <v>9530</v>
      </c>
      <c r="P4103" s="405" t="s">
        <v>10082</v>
      </c>
      <c r="Q4103" s="411">
        <v>6</v>
      </c>
      <c r="R4103" s="405" t="s">
        <v>7224</v>
      </c>
      <c r="S4103" s="405" t="s">
        <v>27074</v>
      </c>
      <c r="T4103" s="405" t="s">
        <v>884</v>
      </c>
      <c r="U4103" s="405" t="s">
        <v>319</v>
      </c>
    </row>
    <row r="4104" spans="1:21" x14ac:dyDescent="0.25">
      <c r="A4104" s="405" t="s">
        <v>310</v>
      </c>
      <c r="B4104" s="405" t="s">
        <v>5711</v>
      </c>
      <c r="C4104" s="405" t="s">
        <v>327</v>
      </c>
      <c r="D4104" s="405"/>
      <c r="E4104" s="410">
        <v>42213</v>
      </c>
      <c r="F4104" s="410">
        <v>42258</v>
      </c>
      <c r="G4104" s="405" t="s">
        <v>5712</v>
      </c>
      <c r="H4104" s="405">
        <v>754651179</v>
      </c>
      <c r="I4104" s="405"/>
      <c r="J4104" s="405">
        <v>0.18024000000000001</v>
      </c>
      <c r="K4104" s="405">
        <v>32.115662999999998</v>
      </c>
      <c r="L4104" s="405" t="s">
        <v>314</v>
      </c>
      <c r="M4104" s="405" t="s">
        <v>315</v>
      </c>
      <c r="N4104" s="405" t="s">
        <v>315</v>
      </c>
      <c r="O4104" s="405" t="s">
        <v>5713</v>
      </c>
      <c r="P4104" s="405" t="s">
        <v>5713</v>
      </c>
      <c r="Q4104" s="411">
        <v>9</v>
      </c>
      <c r="R4104" s="405" t="s">
        <v>32101</v>
      </c>
      <c r="S4104" s="405" t="s">
        <v>414</v>
      </c>
      <c r="T4104" s="405" t="s">
        <v>884</v>
      </c>
      <c r="U4104" s="405" t="s">
        <v>319</v>
      </c>
    </row>
    <row r="4105" spans="1:21" x14ac:dyDescent="0.25">
      <c r="A4105" s="405" t="s">
        <v>310</v>
      </c>
      <c r="B4105" s="405" t="s">
        <v>14690</v>
      </c>
      <c r="C4105" s="405" t="s">
        <v>327</v>
      </c>
      <c r="D4105" s="405"/>
      <c r="E4105" s="410">
        <v>42213</v>
      </c>
      <c r="F4105" s="410">
        <v>42258</v>
      </c>
      <c r="G4105" s="405" t="s">
        <v>14691</v>
      </c>
      <c r="H4105" s="405">
        <v>781343671</v>
      </c>
      <c r="I4105" s="405"/>
      <c r="J4105" s="405">
        <v>1.12798</v>
      </c>
      <c r="K4105" s="405">
        <v>34.219520000000003</v>
      </c>
      <c r="L4105" s="405" t="s">
        <v>6866</v>
      </c>
      <c r="M4105" s="405" t="s">
        <v>9514</v>
      </c>
      <c r="N4105" s="405" t="s">
        <v>9722</v>
      </c>
      <c r="O4105" s="405" t="s">
        <v>9530</v>
      </c>
      <c r="P4105" s="405" t="s">
        <v>11879</v>
      </c>
      <c r="Q4105" s="411">
        <v>6</v>
      </c>
      <c r="R4105" s="405" t="s">
        <v>7224</v>
      </c>
      <c r="S4105" s="405" t="s">
        <v>27353</v>
      </c>
      <c r="T4105" s="405" t="s">
        <v>884</v>
      </c>
      <c r="U4105" s="405" t="s">
        <v>319</v>
      </c>
    </row>
    <row r="4106" spans="1:21" x14ac:dyDescent="0.25">
      <c r="A4106" s="405" t="s">
        <v>310</v>
      </c>
      <c r="B4106" s="405" t="s">
        <v>14697</v>
      </c>
      <c r="C4106" s="405" t="s">
        <v>327</v>
      </c>
      <c r="D4106" s="405"/>
      <c r="E4106" s="410">
        <v>42213</v>
      </c>
      <c r="F4106" s="410">
        <v>42258</v>
      </c>
      <c r="G4106" s="405" t="s">
        <v>14698</v>
      </c>
      <c r="H4106" s="405">
        <v>775271316</v>
      </c>
      <c r="I4106" s="405">
        <v>758751316</v>
      </c>
      <c r="J4106" s="405">
        <v>1.159327</v>
      </c>
      <c r="K4106" s="405">
        <v>34.202601999999999</v>
      </c>
      <c r="L4106" s="405" t="s">
        <v>6866</v>
      </c>
      <c r="M4106" s="405" t="s">
        <v>9514</v>
      </c>
      <c r="N4106" s="405" t="s">
        <v>9722</v>
      </c>
      <c r="O4106" s="405" t="s">
        <v>9530</v>
      </c>
      <c r="P4106" s="405" t="s">
        <v>14694</v>
      </c>
      <c r="Q4106" s="411">
        <v>6</v>
      </c>
      <c r="R4106" s="405" t="s">
        <v>7224</v>
      </c>
      <c r="S4106" s="405" t="s">
        <v>27348</v>
      </c>
      <c r="T4106" s="405" t="s">
        <v>884</v>
      </c>
      <c r="U4106" s="405" t="s">
        <v>319</v>
      </c>
    </row>
    <row r="4107" spans="1:21" x14ac:dyDescent="0.25">
      <c r="A4107" s="405" t="s">
        <v>310</v>
      </c>
      <c r="B4107" s="405" t="s">
        <v>14688</v>
      </c>
      <c r="C4107" s="405" t="s">
        <v>327</v>
      </c>
      <c r="D4107" s="405"/>
      <c r="E4107" s="410">
        <v>42212</v>
      </c>
      <c r="F4107" s="410">
        <v>42257</v>
      </c>
      <c r="G4107" s="405" t="s">
        <v>14689</v>
      </c>
      <c r="H4107" s="405">
        <v>778633712</v>
      </c>
      <c r="I4107" s="405"/>
      <c r="J4107" s="405">
        <v>1.1138170000000001</v>
      </c>
      <c r="K4107" s="405">
        <v>34.207408000000001</v>
      </c>
      <c r="L4107" s="405" t="s">
        <v>6866</v>
      </c>
      <c r="M4107" s="405" t="s">
        <v>9514</v>
      </c>
      <c r="N4107" s="405" t="s">
        <v>9722</v>
      </c>
      <c r="O4107" s="405" t="s">
        <v>9530</v>
      </c>
      <c r="P4107" s="405" t="s">
        <v>11792</v>
      </c>
      <c r="Q4107" s="411">
        <v>6</v>
      </c>
      <c r="R4107" s="405" t="s">
        <v>7224</v>
      </c>
      <c r="S4107" s="405" t="s">
        <v>27107</v>
      </c>
      <c r="T4107" s="405" t="s">
        <v>32102</v>
      </c>
      <c r="U4107" s="405" t="s">
        <v>319</v>
      </c>
    </row>
    <row r="4108" spans="1:21" x14ac:dyDescent="0.25">
      <c r="A4108" s="405" t="s">
        <v>310</v>
      </c>
      <c r="B4108" s="405" t="s">
        <v>14701</v>
      </c>
      <c r="C4108" s="405" t="s">
        <v>327</v>
      </c>
      <c r="D4108" s="405"/>
      <c r="E4108" s="410">
        <v>42212</v>
      </c>
      <c r="F4108" s="410">
        <v>42257</v>
      </c>
      <c r="G4108" s="405" t="s">
        <v>14702</v>
      </c>
      <c r="H4108" s="405">
        <v>783364599</v>
      </c>
      <c r="I4108" s="405"/>
      <c r="J4108" s="405">
        <v>1.110028</v>
      </c>
      <c r="K4108" s="405">
        <v>34.208312999999997</v>
      </c>
      <c r="L4108" s="405" t="s">
        <v>6866</v>
      </c>
      <c r="M4108" s="405" t="s">
        <v>9514</v>
      </c>
      <c r="N4108" s="405" t="s">
        <v>9722</v>
      </c>
      <c r="O4108" s="405" t="s">
        <v>9530</v>
      </c>
      <c r="P4108" s="405" t="s">
        <v>14537</v>
      </c>
      <c r="Q4108" s="411">
        <v>6</v>
      </c>
      <c r="R4108" s="405" t="s">
        <v>7224</v>
      </c>
      <c r="S4108" s="405" t="s">
        <v>27142</v>
      </c>
      <c r="T4108" s="405" t="s">
        <v>884</v>
      </c>
      <c r="U4108" s="405" t="s">
        <v>319</v>
      </c>
    </row>
    <row r="4109" spans="1:21" x14ac:dyDescent="0.25">
      <c r="A4109" s="405" t="s">
        <v>310</v>
      </c>
      <c r="B4109" s="405" t="s">
        <v>15056</v>
      </c>
      <c r="C4109" s="405" t="s">
        <v>311</v>
      </c>
      <c r="D4109" s="405" t="s">
        <v>1789</v>
      </c>
      <c r="E4109" s="410">
        <v>42212</v>
      </c>
      <c r="F4109" s="410">
        <v>42257</v>
      </c>
      <c r="G4109" s="405" t="s">
        <v>15057</v>
      </c>
      <c r="H4109" s="405">
        <v>779357433</v>
      </c>
      <c r="I4109" s="405"/>
      <c r="J4109" s="405">
        <v>1.117718</v>
      </c>
      <c r="K4109" s="405">
        <v>34.198616999999999</v>
      </c>
      <c r="L4109" s="405" t="s">
        <v>6866</v>
      </c>
      <c r="M4109" s="405" t="s">
        <v>9514</v>
      </c>
      <c r="N4109" s="405" t="s">
        <v>9722</v>
      </c>
      <c r="O4109" s="405" t="s">
        <v>9530</v>
      </c>
      <c r="P4109" s="405" t="s">
        <v>14607</v>
      </c>
      <c r="Q4109" s="411">
        <v>6</v>
      </c>
      <c r="R4109" s="405" t="s">
        <v>7224</v>
      </c>
      <c r="S4109" s="405" t="s">
        <v>17062</v>
      </c>
      <c r="T4109" s="405" t="s">
        <v>884</v>
      </c>
      <c r="U4109" s="405" t="s">
        <v>319</v>
      </c>
    </row>
    <row r="4110" spans="1:21" x14ac:dyDescent="0.25">
      <c r="A4110" s="405" t="s">
        <v>310</v>
      </c>
      <c r="B4110" s="405" t="s">
        <v>15998</v>
      </c>
      <c r="C4110" s="405" t="s">
        <v>327</v>
      </c>
      <c r="D4110" s="405"/>
      <c r="E4110" s="410">
        <v>42211</v>
      </c>
      <c r="F4110" s="410">
        <v>43108</v>
      </c>
      <c r="G4110" s="405" t="s">
        <v>15999</v>
      </c>
      <c r="H4110" s="405">
        <v>701496374</v>
      </c>
      <c r="I4110" s="405"/>
      <c r="J4110" s="405">
        <v>1.1127769999999999</v>
      </c>
      <c r="K4110" s="405">
        <v>34.206358000000002</v>
      </c>
      <c r="L4110" s="405" t="s">
        <v>6866</v>
      </c>
      <c r="M4110" s="405" t="s">
        <v>9514</v>
      </c>
      <c r="N4110" s="405" t="s">
        <v>9722</v>
      </c>
      <c r="O4110" s="405" t="s">
        <v>9530</v>
      </c>
      <c r="P4110" s="405" t="s">
        <v>14537</v>
      </c>
      <c r="Q4110" s="411">
        <v>6</v>
      </c>
      <c r="R4110" s="405" t="s">
        <v>7224</v>
      </c>
      <c r="S4110" s="405" t="s">
        <v>27041</v>
      </c>
      <c r="T4110" s="405" t="s">
        <v>884</v>
      </c>
      <c r="U4110" s="405" t="s">
        <v>319</v>
      </c>
    </row>
    <row r="4111" spans="1:21" x14ac:dyDescent="0.25">
      <c r="A4111" s="405" t="s">
        <v>310</v>
      </c>
      <c r="B4111" s="405" t="s">
        <v>28304</v>
      </c>
      <c r="C4111" s="405" t="s">
        <v>327</v>
      </c>
      <c r="D4111" s="405"/>
      <c r="E4111" s="410">
        <v>42211</v>
      </c>
      <c r="F4111" s="410">
        <v>42256</v>
      </c>
      <c r="G4111" s="405" t="s">
        <v>22135</v>
      </c>
      <c r="H4111" s="405">
        <v>782856476</v>
      </c>
      <c r="I4111" s="405"/>
      <c r="J4111" s="405">
        <v>-0.705175</v>
      </c>
      <c r="K4111" s="405">
        <v>29.937726999999999</v>
      </c>
      <c r="L4111" s="405" t="s">
        <v>590</v>
      </c>
      <c r="M4111" s="405" t="s">
        <v>19619</v>
      </c>
      <c r="N4111" s="405" t="s">
        <v>19793</v>
      </c>
      <c r="O4111" s="405" t="s">
        <v>20033</v>
      </c>
      <c r="P4111" s="405" t="s">
        <v>22136</v>
      </c>
      <c r="Q4111" s="411">
        <v>6</v>
      </c>
      <c r="R4111" s="405" t="s">
        <v>5858</v>
      </c>
      <c r="S4111" s="405" t="s">
        <v>27420</v>
      </c>
      <c r="T4111" s="405" t="s">
        <v>884</v>
      </c>
      <c r="U4111" s="405" t="s">
        <v>319</v>
      </c>
    </row>
    <row r="4112" spans="1:21" x14ac:dyDescent="0.25">
      <c r="A4112" s="405" t="s">
        <v>310</v>
      </c>
      <c r="B4112" s="405" t="s">
        <v>22163</v>
      </c>
      <c r="C4112" s="405" t="s">
        <v>327</v>
      </c>
      <c r="D4112" s="405"/>
      <c r="E4112" s="410">
        <v>42211</v>
      </c>
      <c r="F4112" s="410">
        <v>42256</v>
      </c>
      <c r="G4112" s="405" t="s">
        <v>22164</v>
      </c>
      <c r="H4112" s="405">
        <v>785100978</v>
      </c>
      <c r="I4112" s="405"/>
      <c r="J4112" s="405">
        <v>0.239617</v>
      </c>
      <c r="K4112" s="405">
        <v>30.645263</v>
      </c>
      <c r="L4112" s="405" t="s">
        <v>590</v>
      </c>
      <c r="M4112" s="405" t="s">
        <v>19720</v>
      </c>
      <c r="N4112" s="405" t="s">
        <v>7352</v>
      </c>
      <c r="O4112" s="405" t="s">
        <v>19722</v>
      </c>
      <c r="P4112" s="405" t="s">
        <v>19797</v>
      </c>
      <c r="Q4112" s="411">
        <v>6</v>
      </c>
      <c r="R4112" s="405" t="s">
        <v>874</v>
      </c>
      <c r="S4112" s="405" t="s">
        <v>27161</v>
      </c>
      <c r="T4112" s="405" t="s">
        <v>884</v>
      </c>
      <c r="U4112" s="405" t="s">
        <v>319</v>
      </c>
    </row>
    <row r="4113" spans="1:21" x14ac:dyDescent="0.25">
      <c r="A4113" s="405" t="s">
        <v>310</v>
      </c>
      <c r="B4113" s="405" t="s">
        <v>5747</v>
      </c>
      <c r="C4113" s="405" t="s">
        <v>327</v>
      </c>
      <c r="D4113" s="405"/>
      <c r="E4113" s="410">
        <v>42210</v>
      </c>
      <c r="F4113" s="410">
        <v>42255</v>
      </c>
      <c r="G4113" s="405" t="s">
        <v>5748</v>
      </c>
      <c r="H4113" s="405">
        <v>701659463</v>
      </c>
      <c r="I4113" s="405">
        <v>772601382</v>
      </c>
      <c r="J4113" s="405">
        <v>0.329845</v>
      </c>
      <c r="K4113" s="405">
        <v>32.775823000000003</v>
      </c>
      <c r="L4113" s="405" t="s">
        <v>314</v>
      </c>
      <c r="M4113" s="405" t="s">
        <v>329</v>
      </c>
      <c r="N4113" s="405" t="s">
        <v>5749</v>
      </c>
      <c r="O4113" s="405" t="s">
        <v>653</v>
      </c>
      <c r="P4113" s="405" t="s">
        <v>5750</v>
      </c>
      <c r="Q4113" s="411">
        <v>13</v>
      </c>
      <c r="R4113" s="405" t="s">
        <v>525</v>
      </c>
      <c r="S4113" s="405" t="s">
        <v>27186</v>
      </c>
      <c r="T4113" s="405" t="s">
        <v>884</v>
      </c>
      <c r="U4113" s="405" t="s">
        <v>319</v>
      </c>
    </row>
    <row r="4114" spans="1:21" x14ac:dyDescent="0.25">
      <c r="A4114" s="405" t="s">
        <v>310</v>
      </c>
      <c r="B4114" s="405" t="s">
        <v>14686</v>
      </c>
      <c r="C4114" s="405" t="s">
        <v>327</v>
      </c>
      <c r="D4114" s="405"/>
      <c r="E4114" s="410">
        <v>42210</v>
      </c>
      <c r="F4114" s="410">
        <v>42255</v>
      </c>
      <c r="G4114" s="405" t="s">
        <v>14687</v>
      </c>
      <c r="H4114" s="405">
        <v>783426330</v>
      </c>
      <c r="I4114" s="405"/>
      <c r="J4114" s="405">
        <v>1.130342</v>
      </c>
      <c r="K4114" s="405">
        <v>34.206623</v>
      </c>
      <c r="L4114" s="405" t="s">
        <v>6866</v>
      </c>
      <c r="M4114" s="405" t="s">
        <v>9514</v>
      </c>
      <c r="N4114" s="405" t="s">
        <v>9722</v>
      </c>
      <c r="O4114" s="405" t="s">
        <v>9530</v>
      </c>
      <c r="P4114" s="405" t="s">
        <v>10082</v>
      </c>
      <c r="Q4114" s="411">
        <v>6</v>
      </c>
      <c r="R4114" s="405" t="s">
        <v>7224</v>
      </c>
      <c r="S4114" s="405" t="s">
        <v>27259</v>
      </c>
      <c r="T4114" s="405" t="s">
        <v>884</v>
      </c>
      <c r="U4114" s="405" t="s">
        <v>319</v>
      </c>
    </row>
    <row r="4115" spans="1:21" x14ac:dyDescent="0.25">
      <c r="A4115" s="405" t="s">
        <v>310</v>
      </c>
      <c r="B4115" s="405" t="s">
        <v>14699</v>
      </c>
      <c r="C4115" s="405" t="s">
        <v>327</v>
      </c>
      <c r="D4115" s="405"/>
      <c r="E4115" s="410">
        <v>42210</v>
      </c>
      <c r="F4115" s="410">
        <v>42255</v>
      </c>
      <c r="G4115" s="405" t="s">
        <v>14700</v>
      </c>
      <c r="H4115" s="405">
        <v>781818822</v>
      </c>
      <c r="I4115" s="405"/>
      <c r="J4115" s="405">
        <v>1.11324</v>
      </c>
      <c r="K4115" s="405">
        <v>34.206077000000001</v>
      </c>
      <c r="L4115" s="405" t="s">
        <v>6866</v>
      </c>
      <c r="M4115" s="405" t="s">
        <v>9514</v>
      </c>
      <c r="N4115" s="405" t="s">
        <v>9722</v>
      </c>
      <c r="O4115" s="405" t="s">
        <v>9530</v>
      </c>
      <c r="P4115" s="405" t="s">
        <v>14537</v>
      </c>
      <c r="Q4115" s="411">
        <v>6</v>
      </c>
      <c r="R4115" s="405" t="s">
        <v>7224</v>
      </c>
      <c r="S4115" s="405" t="s">
        <v>27169</v>
      </c>
      <c r="T4115" s="405" t="s">
        <v>884</v>
      </c>
      <c r="U4115" s="405" t="s">
        <v>319</v>
      </c>
    </row>
    <row r="4116" spans="1:21" x14ac:dyDescent="0.25">
      <c r="A4116" s="405" t="s">
        <v>310</v>
      </c>
      <c r="B4116" s="405" t="s">
        <v>14708</v>
      </c>
      <c r="C4116" s="405" t="s">
        <v>327</v>
      </c>
      <c r="D4116" s="405"/>
      <c r="E4116" s="410">
        <v>42209</v>
      </c>
      <c r="F4116" s="410">
        <v>42254</v>
      </c>
      <c r="G4116" s="405" t="s">
        <v>14709</v>
      </c>
      <c r="H4116" s="405">
        <v>706588598</v>
      </c>
      <c r="I4116" s="405"/>
      <c r="J4116" s="405">
        <v>1.113853</v>
      </c>
      <c r="K4116" s="405">
        <v>34.189607000000002</v>
      </c>
      <c r="L4116" s="405" t="s">
        <v>6866</v>
      </c>
      <c r="M4116" s="405" t="s">
        <v>9514</v>
      </c>
      <c r="N4116" s="405" t="s">
        <v>9722</v>
      </c>
      <c r="O4116" s="405" t="s">
        <v>9530</v>
      </c>
      <c r="P4116" s="405" t="s">
        <v>11874</v>
      </c>
      <c r="Q4116" s="411">
        <v>6</v>
      </c>
      <c r="R4116" s="405" t="s">
        <v>7224</v>
      </c>
      <c r="S4116" s="405" t="s">
        <v>27067</v>
      </c>
      <c r="T4116" s="405" t="s">
        <v>884</v>
      </c>
      <c r="U4116" s="405" t="s">
        <v>319</v>
      </c>
    </row>
    <row r="4117" spans="1:21" x14ac:dyDescent="0.25">
      <c r="A4117" s="405" t="s">
        <v>310</v>
      </c>
      <c r="B4117" s="405" t="s">
        <v>14715</v>
      </c>
      <c r="C4117" s="405" t="s">
        <v>327</v>
      </c>
      <c r="D4117" s="405"/>
      <c r="E4117" s="410">
        <v>42209</v>
      </c>
      <c r="F4117" s="410">
        <v>42254</v>
      </c>
      <c r="G4117" s="405" t="s">
        <v>14716</v>
      </c>
      <c r="H4117" s="405">
        <v>754929391</v>
      </c>
      <c r="I4117" s="405"/>
      <c r="J4117" s="405">
        <v>1.114795</v>
      </c>
      <c r="K4117" s="405">
        <v>34.200279999999999</v>
      </c>
      <c r="L4117" s="405" t="s">
        <v>6866</v>
      </c>
      <c r="M4117" s="405" t="s">
        <v>9514</v>
      </c>
      <c r="N4117" s="405" t="s">
        <v>9722</v>
      </c>
      <c r="O4117" s="405" t="s">
        <v>9530</v>
      </c>
      <c r="P4117" s="405" t="s">
        <v>14607</v>
      </c>
      <c r="Q4117" s="411">
        <v>6</v>
      </c>
      <c r="R4117" s="405" t="s">
        <v>7224</v>
      </c>
      <c r="S4117" s="405" t="s">
        <v>17013</v>
      </c>
      <c r="T4117" s="405" t="s">
        <v>884</v>
      </c>
      <c r="U4117" s="405" t="s">
        <v>319</v>
      </c>
    </row>
    <row r="4118" spans="1:21" x14ac:dyDescent="0.25">
      <c r="A4118" s="405" t="s">
        <v>310</v>
      </c>
      <c r="B4118" s="405" t="s">
        <v>14703</v>
      </c>
      <c r="C4118" s="405" t="s">
        <v>327</v>
      </c>
      <c r="D4118" s="405"/>
      <c r="E4118" s="410">
        <v>42209</v>
      </c>
      <c r="F4118" s="410">
        <v>42254</v>
      </c>
      <c r="G4118" s="405" t="s">
        <v>14704</v>
      </c>
      <c r="H4118" s="405">
        <v>783957872</v>
      </c>
      <c r="I4118" s="405"/>
      <c r="J4118" s="405">
        <v>1.1167400000000001</v>
      </c>
      <c r="K4118" s="405">
        <v>34.207900000000002</v>
      </c>
      <c r="L4118" s="405" t="s">
        <v>6866</v>
      </c>
      <c r="M4118" s="405" t="s">
        <v>9514</v>
      </c>
      <c r="N4118" s="405" t="s">
        <v>9722</v>
      </c>
      <c r="O4118" s="405" t="s">
        <v>9530</v>
      </c>
      <c r="P4118" s="405" t="s">
        <v>14537</v>
      </c>
      <c r="Q4118" s="411">
        <v>6</v>
      </c>
      <c r="R4118" s="405" t="s">
        <v>7224</v>
      </c>
      <c r="S4118" s="405" t="s">
        <v>27306</v>
      </c>
      <c r="T4118" s="405" t="s">
        <v>6551</v>
      </c>
      <c r="U4118" s="405" t="s">
        <v>2267</v>
      </c>
    </row>
    <row r="4119" spans="1:21" x14ac:dyDescent="0.25">
      <c r="A4119" s="405" t="s">
        <v>310</v>
      </c>
      <c r="B4119" s="405" t="s">
        <v>5751</v>
      </c>
      <c r="C4119" s="405" t="s">
        <v>327</v>
      </c>
      <c r="D4119" s="405"/>
      <c r="E4119" s="410">
        <v>42208</v>
      </c>
      <c r="F4119" s="410">
        <v>42253</v>
      </c>
      <c r="G4119" s="405" t="s">
        <v>5752</v>
      </c>
      <c r="H4119" s="405">
        <v>773620169</v>
      </c>
      <c r="I4119" s="405">
        <v>758625551</v>
      </c>
      <c r="J4119" s="405">
        <v>0.39070300000000002</v>
      </c>
      <c r="K4119" s="405">
        <v>32.551996000000003</v>
      </c>
      <c r="L4119" s="405" t="s">
        <v>314</v>
      </c>
      <c r="M4119" s="405" t="s">
        <v>361</v>
      </c>
      <c r="N4119" s="405" t="s">
        <v>362</v>
      </c>
      <c r="O4119" s="405" t="s">
        <v>469</v>
      </c>
      <c r="P4119" s="405" t="s">
        <v>5753</v>
      </c>
      <c r="Q4119" s="411">
        <v>13</v>
      </c>
      <c r="R4119" s="405" t="s">
        <v>525</v>
      </c>
      <c r="S4119" s="405" t="s">
        <v>27186</v>
      </c>
      <c r="T4119" s="405" t="s">
        <v>884</v>
      </c>
      <c r="U4119" s="405" t="s">
        <v>319</v>
      </c>
    </row>
    <row r="4120" spans="1:21" x14ac:dyDescent="0.25">
      <c r="A4120" s="405" t="s">
        <v>310</v>
      </c>
      <c r="B4120" s="405" t="s">
        <v>5737</v>
      </c>
      <c r="C4120" s="405" t="s">
        <v>327</v>
      </c>
      <c r="D4120" s="405"/>
      <c r="E4120" s="410">
        <v>42208</v>
      </c>
      <c r="F4120" s="410">
        <v>42253</v>
      </c>
      <c r="G4120" s="405" t="s">
        <v>5738</v>
      </c>
      <c r="H4120" s="405">
        <v>703620688</v>
      </c>
      <c r="I4120" s="405"/>
      <c r="J4120" s="405">
        <v>0.25842300000000001</v>
      </c>
      <c r="K4120" s="405">
        <v>32.123227</v>
      </c>
      <c r="L4120" s="405" t="s">
        <v>314</v>
      </c>
      <c r="M4120" s="405" t="s">
        <v>361</v>
      </c>
      <c r="N4120" s="405" t="s">
        <v>362</v>
      </c>
      <c r="O4120" s="405" t="s">
        <v>469</v>
      </c>
      <c r="P4120" s="405" t="s">
        <v>1724</v>
      </c>
      <c r="Q4120" s="411">
        <v>13</v>
      </c>
      <c r="R4120" s="405" t="s">
        <v>5739</v>
      </c>
      <c r="S4120" s="405" t="s">
        <v>27186</v>
      </c>
      <c r="T4120" s="405" t="s">
        <v>884</v>
      </c>
      <c r="U4120" s="405" t="s">
        <v>319</v>
      </c>
    </row>
    <row r="4121" spans="1:21" x14ac:dyDescent="0.25">
      <c r="A4121" s="405" t="s">
        <v>310</v>
      </c>
      <c r="B4121" s="405" t="s">
        <v>28283</v>
      </c>
      <c r="C4121" s="405" t="s">
        <v>327</v>
      </c>
      <c r="D4121" s="405"/>
      <c r="E4121" s="410">
        <v>42207</v>
      </c>
      <c r="F4121" s="410">
        <v>42252</v>
      </c>
      <c r="G4121" s="405" t="s">
        <v>5701</v>
      </c>
      <c r="H4121" s="405">
        <v>772537501</v>
      </c>
      <c r="I4121" s="405">
        <v>786912841</v>
      </c>
      <c r="J4121" s="405">
        <v>0.39600299999999999</v>
      </c>
      <c r="K4121" s="405">
        <v>32.474277000000001</v>
      </c>
      <c r="L4121" s="405" t="s">
        <v>314</v>
      </c>
      <c r="M4121" s="405" t="s">
        <v>361</v>
      </c>
      <c r="N4121" s="405" t="s">
        <v>5702</v>
      </c>
      <c r="O4121" s="405" t="s">
        <v>5703</v>
      </c>
      <c r="P4121" s="405" t="s">
        <v>5704</v>
      </c>
      <c r="Q4121" s="411">
        <v>13</v>
      </c>
      <c r="R4121" s="405" t="s">
        <v>5336</v>
      </c>
      <c r="S4121" s="405" t="s">
        <v>27106</v>
      </c>
      <c r="T4121" s="405" t="s">
        <v>884</v>
      </c>
      <c r="U4121" s="405" t="s">
        <v>319</v>
      </c>
    </row>
    <row r="4122" spans="1:21" x14ac:dyDescent="0.25">
      <c r="A4122" s="405" t="s">
        <v>310</v>
      </c>
      <c r="B4122" s="405" t="s">
        <v>5705</v>
      </c>
      <c r="C4122" s="405" t="s">
        <v>327</v>
      </c>
      <c r="D4122" s="405"/>
      <c r="E4122" s="410">
        <v>42207</v>
      </c>
      <c r="F4122" s="410">
        <v>42252</v>
      </c>
      <c r="G4122" s="405" t="s">
        <v>5706</v>
      </c>
      <c r="H4122" s="405">
        <v>772414275</v>
      </c>
      <c r="I4122" s="405">
        <v>702414275</v>
      </c>
      <c r="J4122" s="405">
        <v>0.39497700000000002</v>
      </c>
      <c r="K4122" s="405">
        <v>32.573706999999999</v>
      </c>
      <c r="L4122" s="405" t="s">
        <v>314</v>
      </c>
      <c r="M4122" s="405" t="s">
        <v>992</v>
      </c>
      <c r="N4122" s="405" t="s">
        <v>936</v>
      </c>
      <c r="O4122" s="405" t="s">
        <v>936</v>
      </c>
      <c r="P4122" s="405" t="s">
        <v>5707</v>
      </c>
      <c r="Q4122" s="411">
        <v>9</v>
      </c>
      <c r="R4122" s="405" t="s">
        <v>5336</v>
      </c>
      <c r="S4122" s="405" t="s">
        <v>27248</v>
      </c>
      <c r="T4122" s="405" t="s">
        <v>884</v>
      </c>
      <c r="U4122" s="405" t="s">
        <v>319</v>
      </c>
    </row>
    <row r="4123" spans="1:21" x14ac:dyDescent="0.25">
      <c r="A4123" s="405" t="s">
        <v>310</v>
      </c>
      <c r="B4123" s="405" t="s">
        <v>22137</v>
      </c>
      <c r="C4123" s="405" t="s">
        <v>327</v>
      </c>
      <c r="D4123" s="405"/>
      <c r="E4123" s="410">
        <v>42207</v>
      </c>
      <c r="F4123" s="410">
        <v>42252</v>
      </c>
      <c r="G4123" s="405" t="s">
        <v>22138</v>
      </c>
      <c r="H4123" s="405">
        <v>705912140</v>
      </c>
      <c r="I4123" s="405"/>
      <c r="J4123" s="405">
        <v>0.66350500000000001</v>
      </c>
      <c r="K4123" s="405">
        <v>30.694272000000002</v>
      </c>
      <c r="L4123" s="405" t="s">
        <v>590</v>
      </c>
      <c r="M4123" s="405" t="s">
        <v>879</v>
      </c>
      <c r="N4123" s="405" t="s">
        <v>881</v>
      </c>
      <c r="O4123" s="405" t="s">
        <v>881</v>
      </c>
      <c r="P4123" s="405" t="s">
        <v>22139</v>
      </c>
      <c r="Q4123" s="411">
        <v>9</v>
      </c>
      <c r="R4123" s="405" t="s">
        <v>5665</v>
      </c>
      <c r="S4123" s="405" t="s">
        <v>27110</v>
      </c>
      <c r="T4123" s="405" t="s">
        <v>884</v>
      </c>
      <c r="U4123" s="405" t="s">
        <v>319</v>
      </c>
    </row>
    <row r="4124" spans="1:21" x14ac:dyDescent="0.25">
      <c r="A4124" s="405" t="s">
        <v>310</v>
      </c>
      <c r="B4124" s="405" t="s">
        <v>29073</v>
      </c>
      <c r="C4124" s="405" t="s">
        <v>327</v>
      </c>
      <c r="D4124" s="405"/>
      <c r="E4124" s="410">
        <v>42207</v>
      </c>
      <c r="F4124" s="410">
        <v>42252</v>
      </c>
      <c r="G4124" s="405" t="s">
        <v>5726</v>
      </c>
      <c r="H4124" s="405">
        <v>784715823</v>
      </c>
      <c r="I4124" s="405">
        <v>758003813</v>
      </c>
      <c r="J4124" s="405">
        <v>1.03759</v>
      </c>
      <c r="K4124" s="405">
        <v>34.184336999999999</v>
      </c>
      <c r="L4124" s="405" t="s">
        <v>314</v>
      </c>
      <c r="M4124" s="405" t="s">
        <v>502</v>
      </c>
      <c r="N4124" s="405" t="s">
        <v>5727</v>
      </c>
      <c r="O4124" s="405" t="s">
        <v>5727</v>
      </c>
      <c r="P4124" s="405" t="s">
        <v>2163</v>
      </c>
      <c r="Q4124" s="411">
        <v>9</v>
      </c>
      <c r="R4124" s="405" t="s">
        <v>402</v>
      </c>
      <c r="S4124" s="405" t="s">
        <v>27164</v>
      </c>
      <c r="T4124" s="405" t="s">
        <v>884</v>
      </c>
      <c r="U4124" s="405" t="s">
        <v>319</v>
      </c>
    </row>
    <row r="4125" spans="1:21" x14ac:dyDescent="0.25">
      <c r="A4125" s="405" t="s">
        <v>310</v>
      </c>
      <c r="B4125" s="405" t="s">
        <v>28287</v>
      </c>
      <c r="C4125" s="405" t="s">
        <v>327</v>
      </c>
      <c r="D4125" s="405"/>
      <c r="E4125" s="410">
        <v>42206</v>
      </c>
      <c r="F4125" s="410">
        <v>43103</v>
      </c>
      <c r="G4125" s="405" t="s">
        <v>6730</v>
      </c>
      <c r="H4125" s="405">
        <v>700168070</v>
      </c>
      <c r="I4125" s="405"/>
      <c r="J4125" s="405">
        <v>0.35832900000000001</v>
      </c>
      <c r="K4125" s="405">
        <v>32.660769000000002</v>
      </c>
      <c r="L4125" s="405" t="s">
        <v>314</v>
      </c>
      <c r="M4125" s="405" t="s">
        <v>361</v>
      </c>
      <c r="N4125" s="405" t="s">
        <v>987</v>
      </c>
      <c r="O4125" s="405" t="s">
        <v>987</v>
      </c>
      <c r="P4125" s="405" t="s">
        <v>3103</v>
      </c>
      <c r="Q4125" s="411">
        <v>13</v>
      </c>
      <c r="R4125" s="405" t="s">
        <v>5665</v>
      </c>
      <c r="S4125" s="405" t="s">
        <v>27113</v>
      </c>
      <c r="T4125" s="405" t="s">
        <v>32102</v>
      </c>
      <c r="U4125" s="405" t="s">
        <v>319</v>
      </c>
    </row>
    <row r="4126" spans="1:21" x14ac:dyDescent="0.25">
      <c r="A4126" s="405" t="s">
        <v>310</v>
      </c>
      <c r="B4126" s="405" t="s">
        <v>5722</v>
      </c>
      <c r="C4126" s="405" t="s">
        <v>327</v>
      </c>
      <c r="D4126" s="405"/>
      <c r="E4126" s="410">
        <v>42206</v>
      </c>
      <c r="F4126" s="410">
        <v>42251</v>
      </c>
      <c r="G4126" s="405" t="s">
        <v>5723</v>
      </c>
      <c r="H4126" s="405">
        <v>755355160</v>
      </c>
      <c r="I4126" s="405"/>
      <c r="J4126" s="405">
        <v>1.3817870000000001</v>
      </c>
      <c r="K4126" s="405">
        <v>34.462488</v>
      </c>
      <c r="L4126" s="405" t="s">
        <v>314</v>
      </c>
      <c r="M4126" s="405" t="s">
        <v>1189</v>
      </c>
      <c r="N4126" s="405" t="s">
        <v>1189</v>
      </c>
      <c r="O4126" s="405" t="s">
        <v>5724</v>
      </c>
      <c r="P4126" s="405" t="s">
        <v>5725</v>
      </c>
      <c r="Q4126" s="411">
        <v>6</v>
      </c>
      <c r="R4126" s="405" t="s">
        <v>402</v>
      </c>
      <c r="S4126" s="405" t="s">
        <v>27186</v>
      </c>
      <c r="T4126" s="405" t="s">
        <v>884</v>
      </c>
      <c r="U4126" s="405" t="s">
        <v>319</v>
      </c>
    </row>
    <row r="4127" spans="1:21" x14ac:dyDescent="0.25">
      <c r="A4127" s="405" t="s">
        <v>310</v>
      </c>
      <c r="B4127" s="405" t="s">
        <v>14762</v>
      </c>
      <c r="C4127" s="405" t="s">
        <v>327</v>
      </c>
      <c r="D4127" s="405"/>
      <c r="E4127" s="410">
        <v>42206</v>
      </c>
      <c r="F4127" s="410">
        <v>42251</v>
      </c>
      <c r="G4127" s="405" t="s">
        <v>14763</v>
      </c>
      <c r="H4127" s="405">
        <v>774600949</v>
      </c>
      <c r="I4127" s="405"/>
      <c r="J4127" s="405">
        <v>1.988855</v>
      </c>
      <c r="K4127" s="405">
        <v>33.503328000000003</v>
      </c>
      <c r="L4127" s="405" t="s">
        <v>6866</v>
      </c>
      <c r="M4127" s="405" t="s">
        <v>10515</v>
      </c>
      <c r="N4127" s="405" t="s">
        <v>10515</v>
      </c>
      <c r="O4127" s="405" t="s">
        <v>13074</v>
      </c>
      <c r="P4127" s="405" t="s">
        <v>14124</v>
      </c>
      <c r="Q4127" s="411">
        <v>6</v>
      </c>
      <c r="R4127" s="405" t="s">
        <v>5655</v>
      </c>
      <c r="S4127" s="405" t="s">
        <v>27072</v>
      </c>
      <c r="T4127" s="405" t="s">
        <v>884</v>
      </c>
      <c r="U4127" s="405" t="s">
        <v>319</v>
      </c>
    </row>
    <row r="4128" spans="1:21" x14ac:dyDescent="0.25">
      <c r="A4128" s="405" t="s">
        <v>310</v>
      </c>
      <c r="B4128" s="405" t="s">
        <v>27620</v>
      </c>
      <c r="C4128" s="405" t="s">
        <v>311</v>
      </c>
      <c r="D4128" s="405" t="s">
        <v>839</v>
      </c>
      <c r="E4128" s="410">
        <v>42205</v>
      </c>
      <c r="F4128" s="410">
        <v>42250</v>
      </c>
      <c r="G4128" s="405" t="s">
        <v>6298</v>
      </c>
      <c r="H4128" s="405">
        <v>772450275</v>
      </c>
      <c r="I4128" s="405"/>
      <c r="J4128" s="405">
        <v>0.70439300000000005</v>
      </c>
      <c r="K4128" s="405">
        <v>32.065719999999999</v>
      </c>
      <c r="L4128" s="405" t="s">
        <v>314</v>
      </c>
      <c r="M4128" s="405" t="s">
        <v>2537</v>
      </c>
      <c r="N4128" s="405" t="s">
        <v>2858</v>
      </c>
      <c r="O4128" s="405" t="s">
        <v>2858</v>
      </c>
      <c r="P4128" s="405" t="s">
        <v>6299</v>
      </c>
      <c r="Q4128" s="411">
        <v>13</v>
      </c>
      <c r="R4128" s="405" t="s">
        <v>5858</v>
      </c>
      <c r="S4128" s="405" t="s">
        <v>27160</v>
      </c>
      <c r="T4128" s="405" t="s">
        <v>6551</v>
      </c>
      <c r="U4128" s="405" t="s">
        <v>2267</v>
      </c>
    </row>
    <row r="4129" spans="1:21" x14ac:dyDescent="0.25">
      <c r="A4129" s="405" t="s">
        <v>310</v>
      </c>
      <c r="B4129" s="405" t="s">
        <v>28960</v>
      </c>
      <c r="C4129" s="405" t="s">
        <v>327</v>
      </c>
      <c r="D4129" s="405"/>
      <c r="E4129" s="410">
        <v>42205</v>
      </c>
      <c r="F4129" s="410">
        <v>42250</v>
      </c>
      <c r="G4129" s="405" t="s">
        <v>14758</v>
      </c>
      <c r="H4129" s="405">
        <v>772541294</v>
      </c>
      <c r="I4129" s="405"/>
      <c r="J4129" s="405">
        <v>0.91746499999999997</v>
      </c>
      <c r="K4129" s="405">
        <v>34.275658</v>
      </c>
      <c r="L4129" s="405" t="s">
        <v>6866</v>
      </c>
      <c r="M4129" s="405" t="s">
        <v>9763</v>
      </c>
      <c r="N4129" s="405" t="s">
        <v>10174</v>
      </c>
      <c r="O4129" s="405" t="s">
        <v>9765</v>
      </c>
      <c r="P4129" s="405" t="s">
        <v>9799</v>
      </c>
      <c r="Q4129" s="411">
        <v>6</v>
      </c>
      <c r="R4129" s="405" t="s">
        <v>6871</v>
      </c>
      <c r="S4129" s="405" t="s">
        <v>17062</v>
      </c>
      <c r="T4129" s="405" t="s">
        <v>884</v>
      </c>
      <c r="U4129" s="405" t="s">
        <v>319</v>
      </c>
    </row>
    <row r="4130" spans="1:21" x14ac:dyDescent="0.25">
      <c r="A4130" s="405" t="s">
        <v>310</v>
      </c>
      <c r="B4130" s="405" t="s">
        <v>14760</v>
      </c>
      <c r="C4130" s="405" t="s">
        <v>327</v>
      </c>
      <c r="D4130" s="405"/>
      <c r="E4130" s="410">
        <v>42205</v>
      </c>
      <c r="F4130" s="410">
        <v>42250</v>
      </c>
      <c r="G4130" s="405" t="s">
        <v>14761</v>
      </c>
      <c r="H4130" s="405">
        <v>784412541</v>
      </c>
      <c r="I4130" s="405"/>
      <c r="J4130" s="405">
        <v>1.9739629999999999</v>
      </c>
      <c r="K4130" s="405">
        <v>33.498334999999997</v>
      </c>
      <c r="L4130" s="405" t="s">
        <v>6866</v>
      </c>
      <c r="M4130" s="405" t="s">
        <v>10515</v>
      </c>
      <c r="N4130" s="405" t="s">
        <v>10515</v>
      </c>
      <c r="O4130" s="405" t="s">
        <v>13074</v>
      </c>
      <c r="P4130" s="405" t="s">
        <v>13040</v>
      </c>
      <c r="Q4130" s="411">
        <v>6</v>
      </c>
      <c r="R4130" s="405" t="s">
        <v>5655</v>
      </c>
      <c r="S4130" s="405" t="s">
        <v>27056</v>
      </c>
      <c r="T4130" s="405" t="s">
        <v>884</v>
      </c>
      <c r="U4130" s="405" t="s">
        <v>319</v>
      </c>
    </row>
    <row r="4131" spans="1:21" x14ac:dyDescent="0.25">
      <c r="A4131" s="405" t="s">
        <v>310</v>
      </c>
      <c r="B4131" s="405" t="s">
        <v>28064</v>
      </c>
      <c r="C4131" s="405" t="s">
        <v>327</v>
      </c>
      <c r="D4131" s="405"/>
      <c r="E4131" s="410">
        <v>42203</v>
      </c>
      <c r="F4131" s="410">
        <v>42248</v>
      </c>
      <c r="G4131" s="405" t="s">
        <v>22148</v>
      </c>
      <c r="H4131" s="405">
        <v>777594207</v>
      </c>
      <c r="I4131" s="405"/>
      <c r="J4131" s="405">
        <v>0.31627699999999997</v>
      </c>
      <c r="K4131" s="405">
        <v>32.622459999999997</v>
      </c>
      <c r="L4131" s="405" t="s">
        <v>590</v>
      </c>
      <c r="M4131" s="405" t="s">
        <v>1851</v>
      </c>
      <c r="N4131" s="405" t="s">
        <v>20804</v>
      </c>
      <c r="O4131" s="405" t="s">
        <v>22149</v>
      </c>
      <c r="P4131" s="405" t="s">
        <v>22150</v>
      </c>
      <c r="Q4131" s="411">
        <v>13</v>
      </c>
      <c r="R4131" s="405" t="s">
        <v>6397</v>
      </c>
      <c r="S4131" s="405" t="s">
        <v>22880</v>
      </c>
      <c r="T4131" s="405" t="s">
        <v>884</v>
      </c>
      <c r="U4131" s="405" t="s">
        <v>319</v>
      </c>
    </row>
    <row r="4132" spans="1:21" x14ac:dyDescent="0.25">
      <c r="A4132" s="405" t="s">
        <v>310</v>
      </c>
      <c r="B4132" s="405" t="s">
        <v>14755</v>
      </c>
      <c r="C4132" s="405" t="s">
        <v>327</v>
      </c>
      <c r="D4132" s="405"/>
      <c r="E4132" s="410">
        <v>42203</v>
      </c>
      <c r="F4132" s="410">
        <v>42248</v>
      </c>
      <c r="G4132" s="405" t="s">
        <v>14756</v>
      </c>
      <c r="H4132" s="405">
        <v>705053883</v>
      </c>
      <c r="I4132" s="405"/>
      <c r="J4132" s="405">
        <v>1.2230000000000001</v>
      </c>
      <c r="K4132" s="405">
        <v>34.232300000000002</v>
      </c>
      <c r="L4132" s="405" t="s">
        <v>6866</v>
      </c>
      <c r="M4132" s="405" t="s">
        <v>9685</v>
      </c>
      <c r="N4132" s="405" t="s">
        <v>9686</v>
      </c>
      <c r="O4132" s="405" t="s">
        <v>9709</v>
      </c>
      <c r="P4132" s="405" t="s">
        <v>14757</v>
      </c>
      <c r="Q4132" s="411">
        <v>6</v>
      </c>
      <c r="R4132" s="405" t="s">
        <v>7224</v>
      </c>
      <c r="S4132" s="405" t="s">
        <v>27318</v>
      </c>
      <c r="T4132" s="405" t="s">
        <v>32746</v>
      </c>
      <c r="U4132" s="405" t="s">
        <v>2267</v>
      </c>
    </row>
    <row r="4133" spans="1:21" x14ac:dyDescent="0.25">
      <c r="A4133" s="405" t="s">
        <v>310</v>
      </c>
      <c r="B4133" s="405" t="s">
        <v>14680</v>
      </c>
      <c r="C4133" s="405" t="s">
        <v>327</v>
      </c>
      <c r="D4133" s="405"/>
      <c r="E4133" s="410">
        <v>42203</v>
      </c>
      <c r="F4133" s="410">
        <v>42248</v>
      </c>
      <c r="G4133" s="405" t="s">
        <v>14681</v>
      </c>
      <c r="H4133" s="405">
        <v>772458292</v>
      </c>
      <c r="I4133" s="405"/>
      <c r="J4133" s="405">
        <v>1.552832</v>
      </c>
      <c r="K4133" s="405">
        <v>33.829062</v>
      </c>
      <c r="L4133" s="405" t="s">
        <v>6866</v>
      </c>
      <c r="M4133" s="405" t="s">
        <v>10029</v>
      </c>
      <c r="N4133" s="405" t="s">
        <v>10260</v>
      </c>
      <c r="O4133" s="405" t="s">
        <v>14682</v>
      </c>
      <c r="P4133" s="405" t="s">
        <v>14683</v>
      </c>
      <c r="Q4133" s="411">
        <v>6</v>
      </c>
      <c r="R4133" s="405" t="s">
        <v>5336</v>
      </c>
      <c r="S4133" s="405" t="s">
        <v>27320</v>
      </c>
      <c r="T4133" s="405" t="s">
        <v>884</v>
      </c>
      <c r="U4133" s="405" t="s">
        <v>319</v>
      </c>
    </row>
    <row r="4134" spans="1:21" x14ac:dyDescent="0.25">
      <c r="A4134" s="405" t="s">
        <v>310</v>
      </c>
      <c r="B4134" s="405" t="s">
        <v>14557</v>
      </c>
      <c r="C4134" s="405" t="s">
        <v>327</v>
      </c>
      <c r="D4134" s="405"/>
      <c r="E4134" s="410">
        <v>42202</v>
      </c>
      <c r="F4134" s="410">
        <v>42247</v>
      </c>
      <c r="G4134" s="405" t="s">
        <v>14558</v>
      </c>
      <c r="H4134" s="405">
        <v>782818102</v>
      </c>
      <c r="I4134" s="405"/>
      <c r="J4134" s="405">
        <v>1.1122719999999999</v>
      </c>
      <c r="K4134" s="405">
        <v>34.206892000000003</v>
      </c>
      <c r="L4134" s="405" t="s">
        <v>6866</v>
      </c>
      <c r="M4134" s="405" t="s">
        <v>9514</v>
      </c>
      <c r="N4134" s="405" t="s">
        <v>9722</v>
      </c>
      <c r="O4134" s="405" t="s">
        <v>9530</v>
      </c>
      <c r="P4134" s="405" t="s">
        <v>14537</v>
      </c>
      <c r="Q4134" s="411">
        <v>6</v>
      </c>
      <c r="R4134" s="405" t="s">
        <v>7224</v>
      </c>
      <c r="S4134" s="405" t="s">
        <v>27306</v>
      </c>
      <c r="T4134" s="405" t="s">
        <v>884</v>
      </c>
      <c r="U4134" s="405" t="s">
        <v>319</v>
      </c>
    </row>
    <row r="4135" spans="1:21" x14ac:dyDescent="0.25">
      <c r="A4135" s="405" t="s">
        <v>310</v>
      </c>
      <c r="B4135" s="405" t="s">
        <v>5669</v>
      </c>
      <c r="C4135" s="405" t="s">
        <v>327</v>
      </c>
      <c r="D4135" s="405"/>
      <c r="E4135" s="410">
        <v>42201</v>
      </c>
      <c r="F4135" s="410">
        <v>42246</v>
      </c>
      <c r="G4135" s="405" t="s">
        <v>5670</v>
      </c>
      <c r="H4135" s="405">
        <v>752345557</v>
      </c>
      <c r="I4135" s="405"/>
      <c r="J4135" s="405">
        <v>0.41483999999999999</v>
      </c>
      <c r="K4135" s="405">
        <v>32.585120000000003</v>
      </c>
      <c r="L4135" s="405" t="s">
        <v>314</v>
      </c>
      <c r="M4135" s="405" t="s">
        <v>361</v>
      </c>
      <c r="N4135" s="405" t="s">
        <v>410</v>
      </c>
      <c r="O4135" s="405" t="s">
        <v>410</v>
      </c>
      <c r="P4135" s="405" t="s">
        <v>5671</v>
      </c>
      <c r="Q4135" s="411">
        <v>13</v>
      </c>
      <c r="R4135" s="405" t="s">
        <v>5665</v>
      </c>
      <c r="S4135" s="405" t="s">
        <v>27247</v>
      </c>
      <c r="T4135" s="405" t="s">
        <v>32102</v>
      </c>
      <c r="U4135" s="405" t="s">
        <v>319</v>
      </c>
    </row>
    <row r="4136" spans="1:21" x14ac:dyDescent="0.25">
      <c r="A4136" s="405" t="s">
        <v>310</v>
      </c>
      <c r="B4136" s="405" t="s">
        <v>5694</v>
      </c>
      <c r="C4136" s="405" t="s">
        <v>327</v>
      </c>
      <c r="D4136" s="405"/>
      <c r="E4136" s="410">
        <v>42201</v>
      </c>
      <c r="F4136" s="410">
        <v>42246</v>
      </c>
      <c r="G4136" s="405" t="s">
        <v>5695</v>
      </c>
      <c r="H4136" s="405">
        <v>772604834</v>
      </c>
      <c r="I4136" s="405">
        <v>704505246</v>
      </c>
      <c r="J4136" s="405">
        <v>0.34144200000000002</v>
      </c>
      <c r="K4136" s="405">
        <v>30.792852</v>
      </c>
      <c r="L4136" s="405" t="s">
        <v>314</v>
      </c>
      <c r="M4136" s="405" t="s">
        <v>992</v>
      </c>
      <c r="N4136" s="405" t="s">
        <v>5696</v>
      </c>
      <c r="O4136" s="405" t="s">
        <v>2133</v>
      </c>
      <c r="P4136" s="405" t="s">
        <v>3408</v>
      </c>
      <c r="Q4136" s="411">
        <v>13</v>
      </c>
      <c r="R4136" s="405" t="s">
        <v>525</v>
      </c>
      <c r="S4136" s="405" t="s">
        <v>414</v>
      </c>
      <c r="T4136" s="405" t="s">
        <v>884</v>
      </c>
      <c r="U4136" s="405" t="s">
        <v>319</v>
      </c>
    </row>
    <row r="4137" spans="1:21" x14ac:dyDescent="0.25">
      <c r="A4137" s="405" t="s">
        <v>310</v>
      </c>
      <c r="B4137" s="405" t="s">
        <v>14541</v>
      </c>
      <c r="C4137" s="405" t="s">
        <v>327</v>
      </c>
      <c r="D4137" s="405"/>
      <c r="E4137" s="410">
        <v>42201</v>
      </c>
      <c r="F4137" s="410">
        <v>42246</v>
      </c>
      <c r="G4137" s="405" t="s">
        <v>14542</v>
      </c>
      <c r="H4137" s="405">
        <v>704941511</v>
      </c>
      <c r="I4137" s="405"/>
      <c r="J4137" s="405">
        <v>1.0902179999999999</v>
      </c>
      <c r="K4137" s="405">
        <v>34.192013000000003</v>
      </c>
      <c r="L4137" s="405" t="s">
        <v>6866</v>
      </c>
      <c r="M4137" s="405" t="s">
        <v>9514</v>
      </c>
      <c r="N4137" s="405" t="s">
        <v>9529</v>
      </c>
      <c r="O4137" s="405" t="s">
        <v>11792</v>
      </c>
      <c r="P4137" s="405" t="s">
        <v>14537</v>
      </c>
      <c r="Q4137" s="411">
        <v>6</v>
      </c>
      <c r="R4137" s="405" t="s">
        <v>7224</v>
      </c>
      <c r="S4137" s="405" t="s">
        <v>27169</v>
      </c>
      <c r="T4137" s="405" t="s">
        <v>884</v>
      </c>
      <c r="U4137" s="405" t="s">
        <v>319</v>
      </c>
    </row>
    <row r="4138" spans="1:21" x14ac:dyDescent="0.25">
      <c r="A4138" s="405" t="s">
        <v>310</v>
      </c>
      <c r="B4138" s="405" t="s">
        <v>22113</v>
      </c>
      <c r="C4138" s="405" t="s">
        <v>327</v>
      </c>
      <c r="D4138" s="405"/>
      <c r="E4138" s="410">
        <v>42201</v>
      </c>
      <c r="F4138" s="410">
        <v>42246</v>
      </c>
      <c r="G4138" s="405" t="s">
        <v>22114</v>
      </c>
      <c r="H4138" s="405">
        <v>778872992</v>
      </c>
      <c r="I4138" s="405"/>
      <c r="J4138" s="405">
        <v>0.24402499999999999</v>
      </c>
      <c r="K4138" s="405">
        <v>30.638038000000002</v>
      </c>
      <c r="L4138" s="405" t="s">
        <v>590</v>
      </c>
      <c r="M4138" s="405" t="s">
        <v>19720</v>
      </c>
      <c r="N4138" s="405" t="s">
        <v>19721</v>
      </c>
      <c r="O4138" s="405" t="s">
        <v>19722</v>
      </c>
      <c r="P4138" s="405" t="s">
        <v>22115</v>
      </c>
      <c r="Q4138" s="411">
        <v>6</v>
      </c>
      <c r="R4138" s="405" t="s">
        <v>402</v>
      </c>
      <c r="S4138" s="405" t="s">
        <v>27181</v>
      </c>
      <c r="T4138" s="405" t="s">
        <v>884</v>
      </c>
      <c r="U4138" s="405" t="s">
        <v>319</v>
      </c>
    </row>
    <row r="4139" spans="1:21" x14ac:dyDescent="0.25">
      <c r="A4139" s="405" t="s">
        <v>310</v>
      </c>
      <c r="B4139" s="405" t="s">
        <v>28111</v>
      </c>
      <c r="C4139" s="405" t="s">
        <v>327</v>
      </c>
      <c r="D4139" s="405"/>
      <c r="E4139" s="410">
        <v>42200</v>
      </c>
      <c r="F4139" s="410">
        <v>42245</v>
      </c>
      <c r="G4139" s="405" t="s">
        <v>22092</v>
      </c>
      <c r="H4139" s="405">
        <v>772466810</v>
      </c>
      <c r="I4139" s="405"/>
      <c r="J4139" s="405">
        <v>0.55476300000000001</v>
      </c>
      <c r="K4139" s="405">
        <v>34.044452999999997</v>
      </c>
      <c r="L4139" s="405" t="s">
        <v>590</v>
      </c>
      <c r="M4139" s="405" t="s">
        <v>7300</v>
      </c>
      <c r="N4139" s="405" t="s">
        <v>20091</v>
      </c>
      <c r="O4139" s="405" t="s">
        <v>22093</v>
      </c>
      <c r="P4139" s="405" t="s">
        <v>22094</v>
      </c>
      <c r="Q4139" s="411">
        <v>9</v>
      </c>
      <c r="R4139" s="405" t="s">
        <v>6397</v>
      </c>
      <c r="S4139" s="405" t="s">
        <v>22880</v>
      </c>
      <c r="T4139" s="405" t="s">
        <v>884</v>
      </c>
      <c r="U4139" s="405" t="s">
        <v>319</v>
      </c>
    </row>
    <row r="4140" spans="1:21" x14ac:dyDescent="0.25">
      <c r="A4140" s="405" t="s">
        <v>310</v>
      </c>
      <c r="B4140" s="405" t="s">
        <v>27997</v>
      </c>
      <c r="C4140" s="405" t="s">
        <v>327</v>
      </c>
      <c r="D4140" s="405"/>
      <c r="E4140" s="410">
        <v>42200</v>
      </c>
      <c r="F4140" s="410">
        <v>42245</v>
      </c>
      <c r="G4140" s="405" t="s">
        <v>5658</v>
      </c>
      <c r="H4140" s="405">
        <v>703303026</v>
      </c>
      <c r="I4140" s="405">
        <v>777685926</v>
      </c>
      <c r="J4140" s="405">
        <v>0.29876000000000003</v>
      </c>
      <c r="K4140" s="405">
        <v>32.517274999999998</v>
      </c>
      <c r="L4140" s="405" t="s">
        <v>314</v>
      </c>
      <c r="M4140" s="405" t="s">
        <v>361</v>
      </c>
      <c r="N4140" s="405" t="s">
        <v>374</v>
      </c>
      <c r="O4140" s="405" t="s">
        <v>375</v>
      </c>
      <c r="P4140" s="405" t="s">
        <v>5659</v>
      </c>
      <c r="Q4140" s="411">
        <v>9</v>
      </c>
      <c r="R4140" s="405" t="s">
        <v>5336</v>
      </c>
      <c r="S4140" s="405" t="s">
        <v>27248</v>
      </c>
      <c r="T4140" s="405" t="s">
        <v>32102</v>
      </c>
      <c r="U4140" s="405" t="s">
        <v>319</v>
      </c>
    </row>
    <row r="4141" spans="1:21" x14ac:dyDescent="0.25">
      <c r="A4141" s="405" t="s">
        <v>310</v>
      </c>
      <c r="B4141" s="405" t="s">
        <v>5660</v>
      </c>
      <c r="C4141" s="405" t="s">
        <v>327</v>
      </c>
      <c r="D4141" s="405"/>
      <c r="E4141" s="410">
        <v>42199</v>
      </c>
      <c r="F4141" s="410">
        <v>42244</v>
      </c>
      <c r="G4141" s="405" t="s">
        <v>5661</v>
      </c>
      <c r="H4141" s="405">
        <v>703553022</v>
      </c>
      <c r="I4141" s="405"/>
      <c r="J4141" s="405">
        <v>0.188</v>
      </c>
      <c r="K4141" s="405">
        <v>30.2654</v>
      </c>
      <c r="L4141" s="405" t="s">
        <v>314</v>
      </c>
      <c r="M4141" s="405" t="s">
        <v>382</v>
      </c>
      <c r="N4141" s="405" t="s">
        <v>2265</v>
      </c>
      <c r="O4141" s="405" t="s">
        <v>894</v>
      </c>
      <c r="P4141" s="405" t="s">
        <v>2047</v>
      </c>
      <c r="Q4141" s="411">
        <v>6</v>
      </c>
      <c r="R4141" s="405" t="s">
        <v>402</v>
      </c>
      <c r="S4141" s="405" t="s">
        <v>27186</v>
      </c>
      <c r="T4141" s="405" t="s">
        <v>884</v>
      </c>
      <c r="U4141" s="405" t="s">
        <v>319</v>
      </c>
    </row>
    <row r="4142" spans="1:21" x14ac:dyDescent="0.25">
      <c r="A4142" s="405" t="s">
        <v>310</v>
      </c>
      <c r="B4142" s="405" t="s">
        <v>5679</v>
      </c>
      <c r="C4142" s="405" t="s">
        <v>327</v>
      </c>
      <c r="D4142" s="405"/>
      <c r="E4142" s="410">
        <v>42198</v>
      </c>
      <c r="F4142" s="410">
        <v>42243</v>
      </c>
      <c r="G4142" s="405" t="s">
        <v>5680</v>
      </c>
      <c r="H4142" s="405">
        <v>751932827</v>
      </c>
      <c r="I4142" s="405"/>
      <c r="J4142" s="405">
        <v>0.35438799999999998</v>
      </c>
      <c r="K4142" s="405">
        <v>32.192951999999998</v>
      </c>
      <c r="L4142" s="405" t="s">
        <v>314</v>
      </c>
      <c r="M4142" s="405" t="s">
        <v>675</v>
      </c>
      <c r="N4142" s="405" t="s">
        <v>5674</v>
      </c>
      <c r="O4142" s="405" t="s">
        <v>5674</v>
      </c>
      <c r="P4142" s="405" t="s">
        <v>5681</v>
      </c>
      <c r="Q4142" s="411">
        <v>13</v>
      </c>
      <c r="R4142" s="405" t="s">
        <v>5665</v>
      </c>
      <c r="S4142" s="405" t="s">
        <v>27051</v>
      </c>
      <c r="T4142" s="405" t="s">
        <v>6551</v>
      </c>
      <c r="U4142" s="405" t="s">
        <v>2267</v>
      </c>
    </row>
    <row r="4143" spans="1:21" x14ac:dyDescent="0.25">
      <c r="A4143" s="405" t="s">
        <v>310</v>
      </c>
      <c r="B4143" s="405" t="s">
        <v>14569</v>
      </c>
      <c r="C4143" s="405" t="s">
        <v>327</v>
      </c>
      <c r="D4143" s="405"/>
      <c r="E4143" s="410">
        <v>42198</v>
      </c>
      <c r="F4143" s="410">
        <v>42244</v>
      </c>
      <c r="G4143" s="405" t="s">
        <v>14570</v>
      </c>
      <c r="H4143" s="405">
        <v>785348618</v>
      </c>
      <c r="I4143" s="405"/>
      <c r="J4143" s="405">
        <v>1.107283</v>
      </c>
      <c r="K4143" s="405">
        <v>34.175127000000003</v>
      </c>
      <c r="L4143" s="405" t="s">
        <v>6866</v>
      </c>
      <c r="M4143" s="405" t="s">
        <v>9514</v>
      </c>
      <c r="N4143" s="405" t="s">
        <v>9722</v>
      </c>
      <c r="O4143" s="405" t="s">
        <v>9530</v>
      </c>
      <c r="P4143" s="405" t="s">
        <v>14571</v>
      </c>
      <c r="Q4143" s="411">
        <v>6</v>
      </c>
      <c r="R4143" s="405" t="s">
        <v>7224</v>
      </c>
      <c r="S4143" s="405" t="s">
        <v>27107</v>
      </c>
      <c r="T4143" s="405" t="s">
        <v>884</v>
      </c>
      <c r="U4143" s="405" t="s">
        <v>319</v>
      </c>
    </row>
    <row r="4144" spans="1:21" x14ac:dyDescent="0.25">
      <c r="A4144" s="405" t="s">
        <v>310</v>
      </c>
      <c r="B4144" s="405" t="s">
        <v>22085</v>
      </c>
      <c r="C4144" s="405" t="s">
        <v>327</v>
      </c>
      <c r="D4144" s="405"/>
      <c r="E4144" s="410">
        <v>42198</v>
      </c>
      <c r="F4144" s="410">
        <v>42243</v>
      </c>
      <c r="G4144" s="405" t="s">
        <v>22086</v>
      </c>
      <c r="H4144" s="405">
        <v>777087273</v>
      </c>
      <c r="I4144" s="405"/>
      <c r="J4144" s="405">
        <v>0.18232699999999999</v>
      </c>
      <c r="K4144" s="405">
        <v>30.493106999999998</v>
      </c>
      <c r="L4144" s="405" t="s">
        <v>590</v>
      </c>
      <c r="M4144" s="405" t="s">
        <v>19720</v>
      </c>
      <c r="N4144" s="405" t="s">
        <v>7352</v>
      </c>
      <c r="O4144" s="405" t="s">
        <v>22087</v>
      </c>
      <c r="P4144" s="405" t="s">
        <v>22088</v>
      </c>
      <c r="Q4144" s="411">
        <v>6</v>
      </c>
      <c r="R4144" s="405" t="s">
        <v>6572</v>
      </c>
      <c r="S4144" s="405" t="s">
        <v>27161</v>
      </c>
      <c r="T4144" s="405" t="s">
        <v>884</v>
      </c>
      <c r="U4144" s="405" t="s">
        <v>319</v>
      </c>
    </row>
    <row r="4145" spans="1:21" x14ac:dyDescent="0.25">
      <c r="A4145" s="405" t="s">
        <v>310</v>
      </c>
      <c r="B4145" s="405" t="s">
        <v>14567</v>
      </c>
      <c r="C4145" s="405" t="s">
        <v>327</v>
      </c>
      <c r="D4145" s="405"/>
      <c r="E4145" s="410">
        <v>42198</v>
      </c>
      <c r="F4145" s="410">
        <v>42243</v>
      </c>
      <c r="G4145" s="405" t="s">
        <v>14568</v>
      </c>
      <c r="H4145" s="405">
        <v>782980941</v>
      </c>
      <c r="I4145" s="405"/>
      <c r="J4145" s="405">
        <v>1.107532</v>
      </c>
      <c r="K4145" s="405">
        <v>34.174855000000001</v>
      </c>
      <c r="L4145" s="405" t="s">
        <v>6866</v>
      </c>
      <c r="M4145" s="405" t="s">
        <v>9514</v>
      </c>
      <c r="N4145" s="405" t="s">
        <v>9722</v>
      </c>
      <c r="O4145" s="405" t="s">
        <v>9530</v>
      </c>
      <c r="P4145" s="405" t="s">
        <v>11707</v>
      </c>
      <c r="Q4145" s="411">
        <v>6</v>
      </c>
      <c r="R4145" s="405" t="s">
        <v>7224</v>
      </c>
      <c r="S4145" s="405" t="s">
        <v>27298</v>
      </c>
      <c r="T4145" s="405" t="s">
        <v>884</v>
      </c>
      <c r="U4145" s="405" t="s">
        <v>319</v>
      </c>
    </row>
    <row r="4146" spans="1:21" x14ac:dyDescent="0.25">
      <c r="A4146" s="405" t="s">
        <v>310</v>
      </c>
      <c r="B4146" s="405" t="s">
        <v>22106</v>
      </c>
      <c r="C4146" s="405" t="s">
        <v>327</v>
      </c>
      <c r="D4146" s="405"/>
      <c r="E4146" s="410">
        <v>42197</v>
      </c>
      <c r="F4146" s="410">
        <v>42242</v>
      </c>
      <c r="G4146" s="405" t="s">
        <v>22107</v>
      </c>
      <c r="H4146" s="405">
        <v>777522755</v>
      </c>
      <c r="I4146" s="405"/>
      <c r="J4146" s="405">
        <v>0.13040299999999999</v>
      </c>
      <c r="K4146" s="405">
        <v>31.190011999999999</v>
      </c>
      <c r="L4146" s="405" t="s">
        <v>590</v>
      </c>
      <c r="M4146" s="405" t="s">
        <v>343</v>
      </c>
      <c r="N4146" s="405" t="s">
        <v>22108</v>
      </c>
      <c r="O4146" s="405" t="s">
        <v>22109</v>
      </c>
      <c r="P4146" s="405" t="s">
        <v>22057</v>
      </c>
      <c r="Q4146" s="411">
        <v>9</v>
      </c>
      <c r="R4146" s="405" t="s">
        <v>874</v>
      </c>
      <c r="S4146" s="405" t="s">
        <v>27164</v>
      </c>
      <c r="T4146" s="405" t="s">
        <v>6551</v>
      </c>
      <c r="U4146" s="405" t="s">
        <v>2267</v>
      </c>
    </row>
    <row r="4147" spans="1:21" x14ac:dyDescent="0.25">
      <c r="A4147" s="405" t="s">
        <v>310</v>
      </c>
      <c r="B4147" s="405" t="s">
        <v>27702</v>
      </c>
      <c r="C4147" s="405" t="s">
        <v>327</v>
      </c>
      <c r="D4147" s="405"/>
      <c r="E4147" s="410">
        <v>42197</v>
      </c>
      <c r="F4147" s="410">
        <v>42242</v>
      </c>
      <c r="G4147" s="405" t="s">
        <v>22112</v>
      </c>
      <c r="H4147" s="405">
        <v>774827349</v>
      </c>
      <c r="I4147" s="405"/>
      <c r="J4147" s="405">
        <v>0.22775200000000001</v>
      </c>
      <c r="K4147" s="405">
        <v>30.62959</v>
      </c>
      <c r="L4147" s="405" t="s">
        <v>590</v>
      </c>
      <c r="M4147" s="405" t="s">
        <v>19720</v>
      </c>
      <c r="N4147" s="405" t="s">
        <v>21711</v>
      </c>
      <c r="O4147" s="405" t="s">
        <v>19722</v>
      </c>
      <c r="P4147" s="405" t="s">
        <v>2600</v>
      </c>
      <c r="Q4147" s="411">
        <v>6</v>
      </c>
      <c r="R4147" s="405" t="s">
        <v>874</v>
      </c>
      <c r="S4147" s="405" t="s">
        <v>27205</v>
      </c>
      <c r="T4147" s="405" t="s">
        <v>884</v>
      </c>
      <c r="U4147" s="405" t="s">
        <v>319</v>
      </c>
    </row>
    <row r="4148" spans="1:21" x14ac:dyDescent="0.25">
      <c r="A4148" s="405" t="s">
        <v>310</v>
      </c>
      <c r="B4148" s="405" t="s">
        <v>27879</v>
      </c>
      <c r="C4148" s="405" t="s">
        <v>327</v>
      </c>
      <c r="D4148" s="405"/>
      <c r="E4148" s="410">
        <v>42197</v>
      </c>
      <c r="F4148" s="410">
        <v>42242</v>
      </c>
      <c r="G4148" s="405" t="s">
        <v>5656</v>
      </c>
      <c r="H4148" s="405">
        <v>782441396</v>
      </c>
      <c r="I4148" s="405"/>
      <c r="J4148" s="405">
        <v>0.296485</v>
      </c>
      <c r="K4148" s="405">
        <v>32.550311999999998</v>
      </c>
      <c r="L4148" s="405" t="s">
        <v>314</v>
      </c>
      <c r="M4148" s="405" t="s">
        <v>992</v>
      </c>
      <c r="N4148" s="405" t="s">
        <v>362</v>
      </c>
      <c r="O4148" s="405" t="s">
        <v>1340</v>
      </c>
      <c r="P4148" s="405" t="s">
        <v>5657</v>
      </c>
      <c r="Q4148" s="411">
        <v>6</v>
      </c>
      <c r="R4148" s="405" t="s">
        <v>5336</v>
      </c>
      <c r="S4148" s="405" t="s">
        <v>6822</v>
      </c>
      <c r="T4148" s="405" t="s">
        <v>884</v>
      </c>
      <c r="U4148" s="405" t="s">
        <v>319</v>
      </c>
    </row>
    <row r="4149" spans="1:21" x14ac:dyDescent="0.25">
      <c r="A4149" s="405" t="s">
        <v>310</v>
      </c>
      <c r="B4149" s="405" t="s">
        <v>14562</v>
      </c>
      <c r="C4149" s="405" t="s">
        <v>327</v>
      </c>
      <c r="D4149" s="405"/>
      <c r="E4149" s="410">
        <v>42197</v>
      </c>
      <c r="F4149" s="410">
        <v>42242</v>
      </c>
      <c r="G4149" s="405" t="s">
        <v>14563</v>
      </c>
      <c r="H4149" s="405">
        <v>774550995</v>
      </c>
      <c r="I4149" s="405">
        <v>704451693</v>
      </c>
      <c r="J4149" s="405">
        <v>1.623</v>
      </c>
      <c r="K4149" s="405">
        <v>34.103000000000002</v>
      </c>
      <c r="L4149" s="405" t="s">
        <v>6866</v>
      </c>
      <c r="M4149" s="405" t="s">
        <v>9514</v>
      </c>
      <c r="N4149" s="405" t="s">
        <v>9722</v>
      </c>
      <c r="O4149" s="405" t="s">
        <v>9530</v>
      </c>
      <c r="P4149" s="405" t="s">
        <v>11707</v>
      </c>
      <c r="Q4149" s="411">
        <v>6</v>
      </c>
      <c r="R4149" s="405" t="s">
        <v>7224</v>
      </c>
      <c r="S4149" s="405" t="s">
        <v>27337</v>
      </c>
      <c r="T4149" s="405" t="s">
        <v>884</v>
      </c>
      <c r="U4149" s="405" t="s">
        <v>319</v>
      </c>
    </row>
    <row r="4150" spans="1:21" x14ac:dyDescent="0.25">
      <c r="A4150" s="405" t="s">
        <v>310</v>
      </c>
      <c r="B4150" s="405" t="s">
        <v>14549</v>
      </c>
      <c r="C4150" s="405" t="s">
        <v>327</v>
      </c>
      <c r="D4150" s="405"/>
      <c r="E4150" s="410">
        <v>42197</v>
      </c>
      <c r="F4150" s="410">
        <v>42242</v>
      </c>
      <c r="G4150" s="405" t="s">
        <v>14550</v>
      </c>
      <c r="H4150" s="405">
        <v>782850421</v>
      </c>
      <c r="I4150" s="405"/>
      <c r="J4150" s="405">
        <v>1.1102620000000001</v>
      </c>
      <c r="K4150" s="405">
        <v>34.215603000000002</v>
      </c>
      <c r="L4150" s="405" t="s">
        <v>6866</v>
      </c>
      <c r="M4150" s="405" t="s">
        <v>9514</v>
      </c>
      <c r="N4150" s="405" t="s">
        <v>9722</v>
      </c>
      <c r="O4150" s="405" t="s">
        <v>9530</v>
      </c>
      <c r="P4150" s="405" t="s">
        <v>10607</v>
      </c>
      <c r="Q4150" s="411">
        <v>6</v>
      </c>
      <c r="R4150" s="405" t="s">
        <v>7224</v>
      </c>
      <c r="S4150" s="405" t="s">
        <v>27259</v>
      </c>
      <c r="T4150" s="405" t="s">
        <v>884</v>
      </c>
      <c r="U4150" s="405" t="s">
        <v>319</v>
      </c>
    </row>
    <row r="4151" spans="1:21" x14ac:dyDescent="0.25">
      <c r="A4151" s="405" t="s">
        <v>310</v>
      </c>
      <c r="B4151" s="405" t="s">
        <v>14559</v>
      </c>
      <c r="C4151" s="405" t="s">
        <v>327</v>
      </c>
      <c r="D4151" s="405"/>
      <c r="E4151" s="410">
        <v>42197</v>
      </c>
      <c r="F4151" s="410">
        <v>42242</v>
      </c>
      <c r="G4151" s="405" t="s">
        <v>14560</v>
      </c>
      <c r="H4151" s="405">
        <v>788021224</v>
      </c>
      <c r="I4151" s="405"/>
      <c r="J4151" s="405">
        <v>1.0902179999999999</v>
      </c>
      <c r="K4151" s="405">
        <v>34.192013000000003</v>
      </c>
      <c r="L4151" s="405" t="s">
        <v>6866</v>
      </c>
      <c r="M4151" s="405" t="s">
        <v>9514</v>
      </c>
      <c r="N4151" s="405" t="s">
        <v>9722</v>
      </c>
      <c r="O4151" s="405" t="s">
        <v>9530</v>
      </c>
      <c r="P4151" s="405" t="s">
        <v>14561</v>
      </c>
      <c r="Q4151" s="411">
        <v>6</v>
      </c>
      <c r="R4151" s="405" t="s">
        <v>7224</v>
      </c>
      <c r="S4151" s="405" t="s">
        <v>17062</v>
      </c>
      <c r="T4151" s="405" t="s">
        <v>884</v>
      </c>
      <c r="U4151" s="405" t="s">
        <v>319</v>
      </c>
    </row>
    <row r="4152" spans="1:21" x14ac:dyDescent="0.25">
      <c r="A4152" s="405" t="s">
        <v>310</v>
      </c>
      <c r="B4152" s="405" t="s">
        <v>18956</v>
      </c>
      <c r="C4152" s="405" t="s">
        <v>327</v>
      </c>
      <c r="D4152" s="405"/>
      <c r="E4152" s="410">
        <v>42196</v>
      </c>
      <c r="F4152" s="410">
        <v>42241</v>
      </c>
      <c r="G4152" s="405" t="s">
        <v>18957</v>
      </c>
      <c r="H4152" s="405">
        <v>782274215</v>
      </c>
      <c r="I4152" s="405"/>
      <c r="J4152" s="405">
        <v>2.2136999999999998</v>
      </c>
      <c r="K4152" s="405">
        <v>32.412999999999997</v>
      </c>
      <c r="L4152" s="405" t="s">
        <v>860</v>
      </c>
      <c r="M4152" s="405" t="s">
        <v>18288</v>
      </c>
      <c r="N4152" s="405" t="s">
        <v>18958</v>
      </c>
      <c r="O4152" s="405" t="s">
        <v>18681</v>
      </c>
      <c r="P4152" s="405" t="s">
        <v>18686</v>
      </c>
      <c r="Q4152" s="411">
        <v>13</v>
      </c>
      <c r="R4152" s="405" t="s">
        <v>18919</v>
      </c>
      <c r="S4152" s="405" t="s">
        <v>27193</v>
      </c>
      <c r="T4152" s="405" t="s">
        <v>884</v>
      </c>
      <c r="U4152" s="405" t="s">
        <v>319</v>
      </c>
    </row>
    <row r="4153" spans="1:21" x14ac:dyDescent="0.25">
      <c r="A4153" s="405" t="s">
        <v>310</v>
      </c>
      <c r="B4153" s="405" t="s">
        <v>22102</v>
      </c>
      <c r="C4153" s="405" t="s">
        <v>327</v>
      </c>
      <c r="D4153" s="405"/>
      <c r="E4153" s="410">
        <v>42196</v>
      </c>
      <c r="F4153" s="410">
        <v>42241</v>
      </c>
      <c r="G4153" s="405" t="s">
        <v>22103</v>
      </c>
      <c r="H4153" s="405">
        <v>772508611</v>
      </c>
      <c r="I4153" s="405"/>
      <c r="J4153" s="405">
        <v>-0.59006000000000003</v>
      </c>
      <c r="K4153" s="405">
        <v>30.209651999999998</v>
      </c>
      <c r="L4153" s="405" t="s">
        <v>590</v>
      </c>
      <c r="M4153" s="405" t="s">
        <v>19625</v>
      </c>
      <c r="N4153" s="405" t="s">
        <v>20086</v>
      </c>
      <c r="O4153" s="405" t="s">
        <v>22104</v>
      </c>
      <c r="P4153" s="405" t="s">
        <v>22105</v>
      </c>
      <c r="Q4153" s="411">
        <v>9</v>
      </c>
      <c r="R4153" s="405" t="s">
        <v>874</v>
      </c>
      <c r="S4153" s="405" t="s">
        <v>27172</v>
      </c>
      <c r="T4153" s="405" t="s">
        <v>884</v>
      </c>
      <c r="U4153" s="405" t="s">
        <v>319</v>
      </c>
    </row>
    <row r="4154" spans="1:21" x14ac:dyDescent="0.25">
      <c r="A4154" s="405" t="s">
        <v>310</v>
      </c>
      <c r="B4154" s="405" t="s">
        <v>14564</v>
      </c>
      <c r="C4154" s="405" t="s">
        <v>327</v>
      </c>
      <c r="D4154" s="405"/>
      <c r="E4154" s="410">
        <v>42196</v>
      </c>
      <c r="F4154" s="410">
        <v>42241</v>
      </c>
      <c r="G4154" s="405" t="s">
        <v>14565</v>
      </c>
      <c r="H4154" s="405">
        <v>706644217</v>
      </c>
      <c r="I4154" s="405"/>
      <c r="J4154" s="405">
        <v>1.15123</v>
      </c>
      <c r="K4154" s="405">
        <v>34.199818</v>
      </c>
      <c r="L4154" s="405" t="s">
        <v>6866</v>
      </c>
      <c r="M4154" s="405" t="s">
        <v>9514</v>
      </c>
      <c r="N4154" s="405" t="s">
        <v>9722</v>
      </c>
      <c r="O4154" s="405" t="s">
        <v>9530</v>
      </c>
      <c r="P4154" s="405" t="s">
        <v>14566</v>
      </c>
      <c r="Q4154" s="411">
        <v>6</v>
      </c>
      <c r="R4154" s="405" t="s">
        <v>7224</v>
      </c>
      <c r="S4154" s="405" t="s">
        <v>27072</v>
      </c>
      <c r="T4154" s="405" t="s">
        <v>884</v>
      </c>
      <c r="U4154" s="405" t="s">
        <v>319</v>
      </c>
    </row>
    <row r="4155" spans="1:21" x14ac:dyDescent="0.25">
      <c r="A4155" s="405" t="s">
        <v>310</v>
      </c>
      <c r="B4155" s="405" t="s">
        <v>28040</v>
      </c>
      <c r="C4155" s="405" t="s">
        <v>327</v>
      </c>
      <c r="D4155" s="405"/>
      <c r="E4155" s="410">
        <v>42196</v>
      </c>
      <c r="F4155" s="410">
        <v>42241</v>
      </c>
      <c r="G4155" s="405" t="s">
        <v>14584</v>
      </c>
      <c r="H4155" s="405">
        <v>772384538</v>
      </c>
      <c r="I4155" s="405"/>
      <c r="J4155" s="405">
        <v>1.1415729999999999</v>
      </c>
      <c r="K4155" s="405">
        <v>34.17353</v>
      </c>
      <c r="L4155" s="405" t="s">
        <v>6866</v>
      </c>
      <c r="M4155" s="405" t="s">
        <v>9514</v>
      </c>
      <c r="N4155" s="405" t="s">
        <v>9607</v>
      </c>
      <c r="O4155" s="405" t="s">
        <v>9608</v>
      </c>
      <c r="P4155" s="405" t="s">
        <v>9608</v>
      </c>
      <c r="Q4155" s="411">
        <v>6</v>
      </c>
      <c r="R4155" s="405" t="s">
        <v>5655</v>
      </c>
      <c r="S4155" s="405" t="s">
        <v>17062</v>
      </c>
      <c r="T4155" s="405" t="s">
        <v>884</v>
      </c>
      <c r="U4155" s="405" t="s">
        <v>319</v>
      </c>
    </row>
    <row r="4156" spans="1:21" x14ac:dyDescent="0.25">
      <c r="A4156" s="405" t="s">
        <v>310</v>
      </c>
      <c r="B4156" s="405" t="s">
        <v>14577</v>
      </c>
      <c r="C4156" s="405" t="s">
        <v>327</v>
      </c>
      <c r="D4156" s="405"/>
      <c r="E4156" s="410">
        <v>42196</v>
      </c>
      <c r="F4156" s="410">
        <v>42241</v>
      </c>
      <c r="G4156" s="405" t="s">
        <v>14578</v>
      </c>
      <c r="H4156" s="405">
        <v>702614786</v>
      </c>
      <c r="I4156" s="405"/>
      <c r="J4156" s="405">
        <v>1.0688500000000001</v>
      </c>
      <c r="K4156" s="405">
        <v>34.170147999999998</v>
      </c>
      <c r="L4156" s="405" t="s">
        <v>6866</v>
      </c>
      <c r="M4156" s="405" t="s">
        <v>9514</v>
      </c>
      <c r="N4156" s="405" t="s">
        <v>11449</v>
      </c>
      <c r="O4156" s="405" t="s">
        <v>14579</v>
      </c>
      <c r="P4156" s="405" t="s">
        <v>14580</v>
      </c>
      <c r="Q4156" s="411">
        <v>6</v>
      </c>
      <c r="R4156" s="405" t="s">
        <v>6871</v>
      </c>
      <c r="S4156" s="405" t="s">
        <v>27306</v>
      </c>
      <c r="T4156" s="405" t="s">
        <v>884</v>
      </c>
      <c r="U4156" s="405" t="s">
        <v>319</v>
      </c>
    </row>
    <row r="4157" spans="1:21" x14ac:dyDescent="0.25">
      <c r="A4157" s="405" t="s">
        <v>310</v>
      </c>
      <c r="B4157" s="405" t="s">
        <v>14554</v>
      </c>
      <c r="C4157" s="405" t="s">
        <v>327</v>
      </c>
      <c r="D4157" s="405"/>
      <c r="E4157" s="410">
        <v>42196</v>
      </c>
      <c r="F4157" s="410">
        <v>42241</v>
      </c>
      <c r="G4157" s="405" t="s">
        <v>14555</v>
      </c>
      <c r="H4157" s="405">
        <v>751180663</v>
      </c>
      <c r="I4157" s="405"/>
      <c r="J4157" s="405">
        <v>0.89526300000000003</v>
      </c>
      <c r="K4157" s="405">
        <v>34.271053999999999</v>
      </c>
      <c r="L4157" s="405" t="s">
        <v>6866</v>
      </c>
      <c r="M4157" s="405" t="s">
        <v>9514</v>
      </c>
      <c r="N4157" s="405" t="s">
        <v>9722</v>
      </c>
      <c r="O4157" s="405" t="s">
        <v>9530</v>
      </c>
      <c r="P4157" s="405" t="s">
        <v>14556</v>
      </c>
      <c r="Q4157" s="411">
        <v>6</v>
      </c>
      <c r="R4157" s="405" t="s">
        <v>7224</v>
      </c>
      <c r="S4157" s="405" t="s">
        <v>27067</v>
      </c>
      <c r="T4157" s="405" t="s">
        <v>884</v>
      </c>
      <c r="U4157" s="405" t="s">
        <v>319</v>
      </c>
    </row>
    <row r="4158" spans="1:21" x14ac:dyDescent="0.25">
      <c r="A4158" s="405" t="s">
        <v>310</v>
      </c>
      <c r="B4158" s="405" t="s">
        <v>14538</v>
      </c>
      <c r="C4158" s="405" t="s">
        <v>327</v>
      </c>
      <c r="D4158" s="405"/>
      <c r="E4158" s="410">
        <v>42196</v>
      </c>
      <c r="F4158" s="410">
        <v>42241</v>
      </c>
      <c r="G4158" s="405" t="s">
        <v>14539</v>
      </c>
      <c r="H4158" s="405">
        <v>788457153</v>
      </c>
      <c r="I4158" s="405"/>
      <c r="J4158" s="405">
        <v>1.1345069999999999</v>
      </c>
      <c r="K4158" s="405">
        <v>34.222495000000002</v>
      </c>
      <c r="L4158" s="405" t="s">
        <v>6866</v>
      </c>
      <c r="M4158" s="405" t="s">
        <v>9514</v>
      </c>
      <c r="N4158" s="405" t="s">
        <v>9722</v>
      </c>
      <c r="O4158" s="405" t="s">
        <v>9530</v>
      </c>
      <c r="P4158" s="405" t="s">
        <v>14540</v>
      </c>
      <c r="Q4158" s="411">
        <v>6</v>
      </c>
      <c r="R4158" s="405" t="s">
        <v>7224</v>
      </c>
      <c r="S4158" s="405" t="s">
        <v>27086</v>
      </c>
      <c r="T4158" s="405" t="s">
        <v>32102</v>
      </c>
      <c r="U4158" s="405" t="s">
        <v>319</v>
      </c>
    </row>
    <row r="4159" spans="1:21" x14ac:dyDescent="0.25">
      <c r="A4159" s="405" t="s">
        <v>310</v>
      </c>
      <c r="B4159" s="406" t="s">
        <v>32207</v>
      </c>
      <c r="C4159" s="405" t="s">
        <v>327</v>
      </c>
      <c r="D4159" s="405"/>
      <c r="E4159" s="416">
        <v>44852</v>
      </c>
      <c r="F4159" s="416">
        <v>44873</v>
      </c>
      <c r="G4159" s="406" t="s">
        <v>32208</v>
      </c>
      <c r="H4159" s="406" t="s">
        <v>32209</v>
      </c>
      <c r="I4159" s="406" t="s">
        <v>2913</v>
      </c>
      <c r="J4159" s="408">
        <v>0.224139</v>
      </c>
      <c r="K4159" s="408">
        <v>31.658788999999999</v>
      </c>
      <c r="L4159" s="406" t="s">
        <v>314</v>
      </c>
      <c r="M4159" s="406" t="s">
        <v>339</v>
      </c>
      <c r="N4159" s="406" t="s">
        <v>339</v>
      </c>
      <c r="O4159" s="406" t="s">
        <v>1662</v>
      </c>
      <c r="P4159" s="406" t="s">
        <v>32210</v>
      </c>
      <c r="Q4159" s="409">
        <v>20</v>
      </c>
      <c r="R4159" s="406" t="s">
        <v>9408</v>
      </c>
      <c r="S4159" s="406" t="s">
        <v>32211</v>
      </c>
      <c r="T4159" s="405" t="s">
        <v>884</v>
      </c>
      <c r="U4159" s="405" t="s">
        <v>319</v>
      </c>
    </row>
    <row r="4160" spans="1:21" x14ac:dyDescent="0.25">
      <c r="A4160" s="405" t="s">
        <v>310</v>
      </c>
      <c r="B4160" s="405" t="s">
        <v>5677</v>
      </c>
      <c r="C4160" s="405" t="s">
        <v>327</v>
      </c>
      <c r="D4160" s="405"/>
      <c r="E4160" s="410">
        <v>42195</v>
      </c>
      <c r="F4160" s="410">
        <v>42240</v>
      </c>
      <c r="G4160" s="405" t="s">
        <v>5678</v>
      </c>
      <c r="H4160" s="405">
        <v>784510269</v>
      </c>
      <c r="I4160" s="405"/>
      <c r="J4160" s="405">
        <v>0.35439799999999999</v>
      </c>
      <c r="K4160" s="405">
        <v>32.767007999999997</v>
      </c>
      <c r="L4160" s="405" t="s">
        <v>314</v>
      </c>
      <c r="M4160" s="405" t="s">
        <v>329</v>
      </c>
      <c r="N4160" s="405" t="s">
        <v>5663</v>
      </c>
      <c r="O4160" s="405" t="s">
        <v>5663</v>
      </c>
      <c r="P4160" s="405" t="s">
        <v>5663</v>
      </c>
      <c r="Q4160" s="411">
        <v>13</v>
      </c>
      <c r="R4160" s="405" t="s">
        <v>5665</v>
      </c>
      <c r="S4160" s="405" t="s">
        <v>27112</v>
      </c>
      <c r="T4160" s="405" t="s">
        <v>884</v>
      </c>
      <c r="U4160" s="405" t="s">
        <v>319</v>
      </c>
    </row>
    <row r="4161" spans="1:21" x14ac:dyDescent="0.25">
      <c r="A4161" s="405" t="s">
        <v>310</v>
      </c>
      <c r="B4161" s="405" t="s">
        <v>14525</v>
      </c>
      <c r="C4161" s="405" t="s">
        <v>327</v>
      </c>
      <c r="D4161" s="405"/>
      <c r="E4161" s="410">
        <v>42195</v>
      </c>
      <c r="F4161" s="410">
        <v>42240</v>
      </c>
      <c r="G4161" s="405" t="s">
        <v>14526</v>
      </c>
      <c r="H4161" s="405">
        <v>783001283</v>
      </c>
      <c r="I4161" s="405"/>
      <c r="J4161" s="405">
        <v>1.97</v>
      </c>
      <c r="K4161" s="405">
        <v>34.125</v>
      </c>
      <c r="L4161" s="405" t="s">
        <v>6866</v>
      </c>
      <c r="M4161" s="405" t="s">
        <v>9514</v>
      </c>
      <c r="N4161" s="405" t="s">
        <v>9722</v>
      </c>
      <c r="O4161" s="405" t="s">
        <v>9530</v>
      </c>
      <c r="P4161" s="405" t="s">
        <v>11882</v>
      </c>
      <c r="Q4161" s="411">
        <v>6</v>
      </c>
      <c r="R4161" s="405" t="s">
        <v>7224</v>
      </c>
      <c r="S4161" s="405" t="s">
        <v>27204</v>
      </c>
      <c r="T4161" s="405" t="s">
        <v>884</v>
      </c>
      <c r="U4161" s="405" t="s">
        <v>319</v>
      </c>
    </row>
    <row r="4162" spans="1:21" x14ac:dyDescent="0.25">
      <c r="A4162" s="405" t="s">
        <v>310</v>
      </c>
      <c r="B4162" s="405" t="s">
        <v>28418</v>
      </c>
      <c r="C4162" s="405" t="s">
        <v>311</v>
      </c>
      <c r="D4162" s="405" t="s">
        <v>5973</v>
      </c>
      <c r="E4162" s="410">
        <v>42194</v>
      </c>
      <c r="F4162" s="410">
        <v>42239</v>
      </c>
      <c r="G4162" s="405" t="s">
        <v>14901</v>
      </c>
      <c r="H4162" s="405">
        <v>782202403</v>
      </c>
      <c r="I4162" s="405"/>
      <c r="J4162" s="405">
        <v>0.915103</v>
      </c>
      <c r="K4162" s="405">
        <v>34.295358</v>
      </c>
      <c r="L4162" s="405" t="s">
        <v>6866</v>
      </c>
      <c r="M4162" s="405" t="s">
        <v>10515</v>
      </c>
      <c r="N4162" s="405" t="s">
        <v>10526</v>
      </c>
      <c r="O4162" s="405" t="s">
        <v>10526</v>
      </c>
      <c r="P4162" s="405" t="s">
        <v>10526</v>
      </c>
      <c r="Q4162" s="411">
        <v>6</v>
      </c>
      <c r="R4162" s="405" t="s">
        <v>6871</v>
      </c>
      <c r="S4162" s="405" t="s">
        <v>17013</v>
      </c>
      <c r="T4162" s="405" t="s">
        <v>32102</v>
      </c>
      <c r="U4162" s="405" t="s">
        <v>319</v>
      </c>
    </row>
    <row r="4163" spans="1:21" x14ac:dyDescent="0.25">
      <c r="A4163" s="405" t="s">
        <v>310</v>
      </c>
      <c r="B4163" s="405" t="s">
        <v>22116</v>
      </c>
      <c r="C4163" s="405" t="s">
        <v>327</v>
      </c>
      <c r="D4163" s="405"/>
      <c r="E4163" s="410">
        <v>42194</v>
      </c>
      <c r="F4163" s="410">
        <v>42239</v>
      </c>
      <c r="G4163" s="405" t="s">
        <v>22117</v>
      </c>
      <c r="H4163" s="405">
        <v>785777171</v>
      </c>
      <c r="I4163" s="405"/>
      <c r="J4163" s="405">
        <v>0.24246999999999999</v>
      </c>
      <c r="K4163" s="405">
        <v>30.639569999999999</v>
      </c>
      <c r="L4163" s="405" t="s">
        <v>590</v>
      </c>
      <c r="M4163" s="405" t="s">
        <v>19720</v>
      </c>
      <c r="N4163" s="405" t="s">
        <v>7352</v>
      </c>
      <c r="O4163" s="405" t="s">
        <v>19722</v>
      </c>
      <c r="P4163" s="405" t="s">
        <v>19797</v>
      </c>
      <c r="Q4163" s="411">
        <v>6</v>
      </c>
      <c r="R4163" s="405" t="s">
        <v>402</v>
      </c>
      <c r="S4163" s="405" t="s">
        <v>27275</v>
      </c>
      <c r="T4163" s="405" t="s">
        <v>884</v>
      </c>
      <c r="U4163" s="405" t="s">
        <v>319</v>
      </c>
    </row>
    <row r="4164" spans="1:21" x14ac:dyDescent="0.25">
      <c r="A4164" s="405" t="s">
        <v>310</v>
      </c>
      <c r="B4164" s="405" t="s">
        <v>14543</v>
      </c>
      <c r="C4164" s="405" t="s">
        <v>327</v>
      </c>
      <c r="D4164" s="405"/>
      <c r="E4164" s="410">
        <v>42194</v>
      </c>
      <c r="F4164" s="410">
        <v>42239</v>
      </c>
      <c r="G4164" s="405" t="s">
        <v>14544</v>
      </c>
      <c r="H4164" s="405">
        <v>750958402</v>
      </c>
      <c r="I4164" s="405"/>
      <c r="J4164" s="405">
        <v>1.114295</v>
      </c>
      <c r="K4164" s="405">
        <v>34.203088000000001</v>
      </c>
      <c r="L4164" s="405" t="s">
        <v>6866</v>
      </c>
      <c r="M4164" s="405" t="s">
        <v>9514</v>
      </c>
      <c r="N4164" s="405" t="s">
        <v>9722</v>
      </c>
      <c r="O4164" s="405" t="s">
        <v>9530</v>
      </c>
      <c r="P4164" s="405" t="s">
        <v>14537</v>
      </c>
      <c r="Q4164" s="411">
        <v>6</v>
      </c>
      <c r="R4164" s="405" t="s">
        <v>7224</v>
      </c>
      <c r="S4164" s="405" t="s">
        <v>27348</v>
      </c>
      <c r="T4164" s="405" t="s">
        <v>884</v>
      </c>
      <c r="U4164" s="405" t="s">
        <v>319</v>
      </c>
    </row>
    <row r="4165" spans="1:21" x14ac:dyDescent="0.25">
      <c r="A4165" s="405" t="s">
        <v>310</v>
      </c>
      <c r="B4165" s="405" t="s">
        <v>29018</v>
      </c>
      <c r="C4165" s="405" t="s">
        <v>327</v>
      </c>
      <c r="D4165" s="405"/>
      <c r="E4165" s="410">
        <v>42194</v>
      </c>
      <c r="F4165" s="410">
        <v>42239</v>
      </c>
      <c r="G4165" s="405" t="s">
        <v>14532</v>
      </c>
      <c r="H4165" s="405">
        <v>782097499</v>
      </c>
      <c r="I4165" s="405"/>
      <c r="J4165" s="405">
        <v>1.1456329999999999</v>
      </c>
      <c r="K4165" s="405">
        <v>34.216102999999997</v>
      </c>
      <c r="L4165" s="405" t="s">
        <v>6866</v>
      </c>
      <c r="M4165" s="405" t="s">
        <v>9514</v>
      </c>
      <c r="N4165" s="405" t="s">
        <v>9722</v>
      </c>
      <c r="O4165" s="405" t="s">
        <v>9530</v>
      </c>
      <c r="P4165" s="405" t="s">
        <v>11507</v>
      </c>
      <c r="Q4165" s="411">
        <v>6</v>
      </c>
      <c r="R4165" s="405" t="s">
        <v>7224</v>
      </c>
      <c r="S4165" s="405" t="s">
        <v>27353</v>
      </c>
      <c r="T4165" s="405" t="s">
        <v>884</v>
      </c>
      <c r="U4165" s="405" t="s">
        <v>319</v>
      </c>
    </row>
    <row r="4166" spans="1:21" x14ac:dyDescent="0.25">
      <c r="A4166" s="405" t="s">
        <v>310</v>
      </c>
      <c r="B4166" s="405" t="s">
        <v>14664</v>
      </c>
      <c r="C4166" s="405" t="s">
        <v>327</v>
      </c>
      <c r="D4166" s="405"/>
      <c r="E4166" s="410">
        <v>42194</v>
      </c>
      <c r="F4166" s="410">
        <v>42239</v>
      </c>
      <c r="G4166" s="405" t="s">
        <v>14665</v>
      </c>
      <c r="H4166" s="405">
        <v>776121258</v>
      </c>
      <c r="I4166" s="405"/>
      <c r="J4166" s="405">
        <v>1.1489400000000001</v>
      </c>
      <c r="K4166" s="405">
        <v>34.218696999999999</v>
      </c>
      <c r="L4166" s="405" t="s">
        <v>6866</v>
      </c>
      <c r="M4166" s="405" t="s">
        <v>9514</v>
      </c>
      <c r="N4166" s="405" t="s">
        <v>9722</v>
      </c>
      <c r="O4166" s="405" t="s">
        <v>9530</v>
      </c>
      <c r="P4166" s="405" t="s">
        <v>11507</v>
      </c>
      <c r="Q4166" s="411">
        <v>6</v>
      </c>
      <c r="R4166" s="405" t="s">
        <v>7224</v>
      </c>
      <c r="S4166" s="405" t="s">
        <v>27310</v>
      </c>
      <c r="T4166" s="405" t="s">
        <v>884</v>
      </c>
      <c r="U4166" s="405" t="s">
        <v>319</v>
      </c>
    </row>
    <row r="4167" spans="1:21" x14ac:dyDescent="0.25">
      <c r="A4167" s="405" t="s">
        <v>310</v>
      </c>
      <c r="B4167" s="405" t="s">
        <v>28285</v>
      </c>
      <c r="C4167" s="405" t="s">
        <v>311</v>
      </c>
      <c r="D4167" s="405" t="s">
        <v>1789</v>
      </c>
      <c r="E4167" s="410">
        <v>42193</v>
      </c>
      <c r="F4167" s="410">
        <v>42238</v>
      </c>
      <c r="G4167" s="405" t="s">
        <v>6236</v>
      </c>
      <c r="H4167" s="405">
        <v>782838128</v>
      </c>
      <c r="I4167" s="405"/>
      <c r="J4167" s="405">
        <v>0.61105699999999996</v>
      </c>
      <c r="K4167" s="405">
        <v>31.390961999999998</v>
      </c>
      <c r="L4167" s="405" t="s">
        <v>314</v>
      </c>
      <c r="M4167" s="405" t="s">
        <v>321</v>
      </c>
      <c r="N4167" s="405" t="s">
        <v>3982</v>
      </c>
      <c r="O4167" s="405" t="s">
        <v>3982</v>
      </c>
      <c r="P4167" s="405" t="s">
        <v>6237</v>
      </c>
      <c r="Q4167" s="411">
        <v>9</v>
      </c>
      <c r="R4167" s="405" t="s">
        <v>5665</v>
      </c>
      <c r="S4167" s="405" t="s">
        <v>27113</v>
      </c>
      <c r="T4167" s="405" t="s">
        <v>884</v>
      </c>
      <c r="U4167" s="405" t="s">
        <v>319</v>
      </c>
    </row>
    <row r="4168" spans="1:21" x14ac:dyDescent="0.25">
      <c r="A4168" s="405" t="s">
        <v>310</v>
      </c>
      <c r="B4168" s="405" t="s">
        <v>28447</v>
      </c>
      <c r="C4168" s="405" t="s">
        <v>327</v>
      </c>
      <c r="D4168" s="405"/>
      <c r="E4168" s="410">
        <v>42193</v>
      </c>
      <c r="F4168" s="410">
        <v>42238</v>
      </c>
      <c r="G4168" s="405" t="s">
        <v>14572</v>
      </c>
      <c r="H4168" s="405">
        <v>774814313</v>
      </c>
      <c r="I4168" s="405"/>
      <c r="J4168" s="405">
        <v>1.0963419999999999</v>
      </c>
      <c r="K4168" s="405">
        <v>34.199751999999997</v>
      </c>
      <c r="L4168" s="405" t="s">
        <v>6866</v>
      </c>
      <c r="M4168" s="405" t="s">
        <v>9514</v>
      </c>
      <c r="N4168" s="405" t="s">
        <v>9722</v>
      </c>
      <c r="O4168" s="405" t="s">
        <v>9530</v>
      </c>
      <c r="P4168" s="405" t="s">
        <v>10195</v>
      </c>
      <c r="Q4168" s="411">
        <v>6</v>
      </c>
      <c r="R4168" s="405" t="s">
        <v>7224</v>
      </c>
      <c r="S4168" s="405" t="s">
        <v>27259</v>
      </c>
      <c r="T4168" s="405" t="s">
        <v>884</v>
      </c>
      <c r="U4168" s="405" t="s">
        <v>319</v>
      </c>
    </row>
    <row r="4169" spans="1:21" x14ac:dyDescent="0.25">
      <c r="A4169" s="405" t="s">
        <v>310</v>
      </c>
      <c r="B4169" s="405" t="s">
        <v>14529</v>
      </c>
      <c r="C4169" s="405" t="s">
        <v>327</v>
      </c>
      <c r="D4169" s="405"/>
      <c r="E4169" s="410">
        <v>42193</v>
      </c>
      <c r="F4169" s="410">
        <v>42238</v>
      </c>
      <c r="G4169" s="405" t="s">
        <v>14530</v>
      </c>
      <c r="H4169" s="405">
        <v>780399541</v>
      </c>
      <c r="I4169" s="405"/>
      <c r="J4169" s="405">
        <v>1.150612</v>
      </c>
      <c r="K4169" s="405">
        <v>34.221215000000001</v>
      </c>
      <c r="L4169" s="405" t="s">
        <v>6866</v>
      </c>
      <c r="M4169" s="405" t="s">
        <v>9514</v>
      </c>
      <c r="N4169" s="405" t="s">
        <v>9722</v>
      </c>
      <c r="O4169" s="405" t="s">
        <v>9530</v>
      </c>
      <c r="P4169" s="405" t="s">
        <v>14531</v>
      </c>
      <c r="Q4169" s="411">
        <v>6</v>
      </c>
      <c r="R4169" s="405" t="s">
        <v>7224</v>
      </c>
      <c r="S4169" s="405" t="s">
        <v>27041</v>
      </c>
      <c r="T4169" s="405" t="s">
        <v>884</v>
      </c>
      <c r="U4169" s="405" t="s">
        <v>319</v>
      </c>
    </row>
    <row r="4170" spans="1:21" x14ac:dyDescent="0.25">
      <c r="A4170" s="405" t="s">
        <v>310</v>
      </c>
      <c r="B4170" s="405" t="s">
        <v>14675</v>
      </c>
      <c r="C4170" s="405" t="s">
        <v>327</v>
      </c>
      <c r="D4170" s="405"/>
      <c r="E4170" s="410">
        <v>42193</v>
      </c>
      <c r="F4170" s="410">
        <v>42238</v>
      </c>
      <c r="G4170" s="405" t="s">
        <v>14676</v>
      </c>
      <c r="H4170" s="405">
        <v>753395864</v>
      </c>
      <c r="I4170" s="405"/>
      <c r="J4170" s="405">
        <v>1.1270070000000001</v>
      </c>
      <c r="K4170" s="405">
        <v>34.213051999999998</v>
      </c>
      <c r="L4170" s="405" t="s">
        <v>6866</v>
      </c>
      <c r="M4170" s="405" t="s">
        <v>9514</v>
      </c>
      <c r="N4170" s="405" t="s">
        <v>9722</v>
      </c>
      <c r="O4170" s="405" t="s">
        <v>9530</v>
      </c>
      <c r="P4170" s="405" t="s">
        <v>14677</v>
      </c>
      <c r="Q4170" s="411">
        <v>6</v>
      </c>
      <c r="R4170" s="405" t="s">
        <v>7224</v>
      </c>
      <c r="S4170" s="405" t="s">
        <v>27337</v>
      </c>
      <c r="T4170" s="405" t="s">
        <v>884</v>
      </c>
      <c r="U4170" s="405" t="s">
        <v>319</v>
      </c>
    </row>
    <row r="4171" spans="1:21" x14ac:dyDescent="0.25">
      <c r="A4171" s="405" t="s">
        <v>310</v>
      </c>
      <c r="B4171" s="405" t="s">
        <v>14547</v>
      </c>
      <c r="C4171" s="405" t="s">
        <v>327</v>
      </c>
      <c r="D4171" s="405"/>
      <c r="E4171" s="410">
        <v>42193</v>
      </c>
      <c r="F4171" s="410">
        <v>42238</v>
      </c>
      <c r="G4171" s="405" t="s">
        <v>14548</v>
      </c>
      <c r="H4171" s="405">
        <v>775791315</v>
      </c>
      <c r="I4171" s="405"/>
      <c r="J4171" s="405">
        <v>1.1310549999999999</v>
      </c>
      <c r="K4171" s="405">
        <v>34.205883</v>
      </c>
      <c r="L4171" s="405" t="s">
        <v>6866</v>
      </c>
      <c r="M4171" s="405" t="s">
        <v>9514</v>
      </c>
      <c r="N4171" s="405" t="s">
        <v>9722</v>
      </c>
      <c r="O4171" s="405" t="s">
        <v>9530</v>
      </c>
      <c r="P4171" s="405" t="s">
        <v>10082</v>
      </c>
      <c r="Q4171" s="411">
        <v>6</v>
      </c>
      <c r="R4171" s="405" t="s">
        <v>7224</v>
      </c>
      <c r="S4171" s="405" t="s">
        <v>27348</v>
      </c>
      <c r="T4171" s="405" t="s">
        <v>884</v>
      </c>
      <c r="U4171" s="405" t="s">
        <v>319</v>
      </c>
    </row>
    <row r="4172" spans="1:21" x14ac:dyDescent="0.25">
      <c r="A4172" s="405" t="s">
        <v>310</v>
      </c>
      <c r="B4172" s="405" t="s">
        <v>14573</v>
      </c>
      <c r="C4172" s="405" t="s">
        <v>327</v>
      </c>
      <c r="D4172" s="405"/>
      <c r="E4172" s="410">
        <v>42193</v>
      </c>
      <c r="F4172" s="410">
        <v>42238</v>
      </c>
      <c r="G4172" s="405" t="s">
        <v>14574</v>
      </c>
      <c r="H4172" s="405">
        <v>773941433</v>
      </c>
      <c r="I4172" s="405"/>
      <c r="J4172" s="405">
        <v>1.148115</v>
      </c>
      <c r="K4172" s="405">
        <v>34.215580000000003</v>
      </c>
      <c r="L4172" s="405" t="s">
        <v>6866</v>
      </c>
      <c r="M4172" s="405" t="s">
        <v>9514</v>
      </c>
      <c r="N4172" s="405" t="s">
        <v>9722</v>
      </c>
      <c r="O4172" s="405" t="s">
        <v>9530</v>
      </c>
      <c r="P4172" s="405" t="s">
        <v>13626</v>
      </c>
      <c r="Q4172" s="411">
        <v>6</v>
      </c>
      <c r="R4172" s="405" t="s">
        <v>7224</v>
      </c>
      <c r="S4172" s="405" t="s">
        <v>27041</v>
      </c>
      <c r="T4172" s="405" t="s">
        <v>884</v>
      </c>
      <c r="U4172" s="405" t="s">
        <v>319</v>
      </c>
    </row>
    <row r="4173" spans="1:21" x14ac:dyDescent="0.25">
      <c r="A4173" s="405" t="s">
        <v>310</v>
      </c>
      <c r="B4173" s="405" t="s">
        <v>14666</v>
      </c>
      <c r="C4173" s="405" t="s">
        <v>327</v>
      </c>
      <c r="D4173" s="405"/>
      <c r="E4173" s="410">
        <v>42192</v>
      </c>
      <c r="F4173" s="410">
        <v>42237</v>
      </c>
      <c r="G4173" s="405" t="s">
        <v>14667</v>
      </c>
      <c r="H4173" s="405">
        <v>772392090</v>
      </c>
      <c r="I4173" s="405"/>
      <c r="J4173" s="405">
        <v>1.098962</v>
      </c>
      <c r="K4173" s="405">
        <v>34.196392000000003</v>
      </c>
      <c r="L4173" s="405" t="s">
        <v>6866</v>
      </c>
      <c r="M4173" s="405" t="s">
        <v>9514</v>
      </c>
      <c r="N4173" s="405" t="s">
        <v>9722</v>
      </c>
      <c r="O4173" s="405" t="s">
        <v>9530</v>
      </c>
      <c r="P4173" s="405" t="s">
        <v>14668</v>
      </c>
      <c r="Q4173" s="411">
        <v>6</v>
      </c>
      <c r="R4173" s="405" t="s">
        <v>7224</v>
      </c>
      <c r="S4173" s="405" t="s">
        <v>27067</v>
      </c>
      <c r="T4173" s="405" t="s">
        <v>884</v>
      </c>
      <c r="U4173" s="405" t="s">
        <v>319</v>
      </c>
    </row>
    <row r="4174" spans="1:21" x14ac:dyDescent="0.25">
      <c r="A4174" s="405" t="s">
        <v>310</v>
      </c>
      <c r="B4174" s="405" t="s">
        <v>14678</v>
      </c>
      <c r="C4174" s="405" t="s">
        <v>327</v>
      </c>
      <c r="D4174" s="405"/>
      <c r="E4174" s="410">
        <v>42192</v>
      </c>
      <c r="F4174" s="410">
        <v>42237</v>
      </c>
      <c r="G4174" s="405" t="s">
        <v>14679</v>
      </c>
      <c r="H4174" s="405">
        <v>785639673</v>
      </c>
      <c r="I4174" s="405"/>
      <c r="J4174" s="405">
        <v>1.1367130000000001</v>
      </c>
      <c r="K4174" s="405">
        <v>34.222985000000001</v>
      </c>
      <c r="L4174" s="405" t="s">
        <v>6866</v>
      </c>
      <c r="M4174" s="405" t="s">
        <v>9514</v>
      </c>
      <c r="N4174" s="405" t="s">
        <v>9722</v>
      </c>
      <c r="O4174" s="405" t="s">
        <v>9530</v>
      </c>
      <c r="P4174" s="405" t="s">
        <v>13608</v>
      </c>
      <c r="Q4174" s="411">
        <v>6</v>
      </c>
      <c r="R4174" s="405" t="s">
        <v>7224</v>
      </c>
      <c r="S4174" s="405" t="s">
        <v>27298</v>
      </c>
      <c r="T4174" s="405" t="s">
        <v>884</v>
      </c>
      <c r="U4174" s="405" t="s">
        <v>319</v>
      </c>
    </row>
    <row r="4175" spans="1:21" x14ac:dyDescent="0.25">
      <c r="A4175" s="405" t="s">
        <v>310</v>
      </c>
      <c r="B4175" s="405" t="s">
        <v>14651</v>
      </c>
      <c r="C4175" s="405" t="s">
        <v>327</v>
      </c>
      <c r="D4175" s="405"/>
      <c r="E4175" s="410">
        <v>42192</v>
      </c>
      <c r="F4175" s="410">
        <v>42237</v>
      </c>
      <c r="G4175" s="405" t="s">
        <v>14652</v>
      </c>
      <c r="H4175" s="405">
        <v>775121495</v>
      </c>
      <c r="I4175" s="405"/>
      <c r="J4175" s="405">
        <v>1.1283780000000001</v>
      </c>
      <c r="K4175" s="405">
        <v>34.220782999999997</v>
      </c>
      <c r="L4175" s="405" t="s">
        <v>6866</v>
      </c>
      <c r="M4175" s="405" t="s">
        <v>9514</v>
      </c>
      <c r="N4175" s="405" t="s">
        <v>9722</v>
      </c>
      <c r="O4175" s="405" t="s">
        <v>9530</v>
      </c>
      <c r="P4175" s="405" t="s">
        <v>13611</v>
      </c>
      <c r="Q4175" s="411">
        <v>6</v>
      </c>
      <c r="R4175" s="405" t="s">
        <v>7224</v>
      </c>
      <c r="S4175" s="405" t="s">
        <v>27072</v>
      </c>
      <c r="T4175" s="405" t="s">
        <v>884</v>
      </c>
      <c r="U4175" s="405" t="s">
        <v>319</v>
      </c>
    </row>
    <row r="4176" spans="1:21" x14ac:dyDescent="0.25">
      <c r="A4176" s="405" t="s">
        <v>310</v>
      </c>
      <c r="B4176" s="405" t="s">
        <v>15018</v>
      </c>
      <c r="C4176" s="405" t="s">
        <v>311</v>
      </c>
      <c r="D4176" s="405" t="s">
        <v>1789</v>
      </c>
      <c r="E4176" s="410">
        <v>42192</v>
      </c>
      <c r="F4176" s="410">
        <v>42237</v>
      </c>
      <c r="G4176" s="405" t="s">
        <v>15019</v>
      </c>
      <c r="H4176" s="405">
        <v>782646671</v>
      </c>
      <c r="I4176" s="405"/>
      <c r="J4176" s="405">
        <v>1.1111770000000001</v>
      </c>
      <c r="K4176" s="405">
        <v>34.215032000000001</v>
      </c>
      <c r="L4176" s="405" t="s">
        <v>6866</v>
      </c>
      <c r="M4176" s="405" t="s">
        <v>9514</v>
      </c>
      <c r="N4176" s="405" t="s">
        <v>9722</v>
      </c>
      <c r="O4176" s="405" t="s">
        <v>9530</v>
      </c>
      <c r="P4176" s="405" t="s">
        <v>10607</v>
      </c>
      <c r="Q4176" s="411">
        <v>6</v>
      </c>
      <c r="R4176" s="405" t="s">
        <v>7224</v>
      </c>
      <c r="S4176" s="405" t="s">
        <v>27259</v>
      </c>
      <c r="T4176" s="405" t="s">
        <v>884</v>
      </c>
      <c r="U4176" s="405" t="s">
        <v>319</v>
      </c>
    </row>
    <row r="4177" spans="1:21" x14ac:dyDescent="0.25">
      <c r="A4177" s="405" t="s">
        <v>310</v>
      </c>
      <c r="B4177" s="405" t="s">
        <v>29115</v>
      </c>
      <c r="C4177" s="405" t="s">
        <v>327</v>
      </c>
      <c r="D4177" s="405"/>
      <c r="E4177" s="410">
        <v>42192</v>
      </c>
      <c r="F4177" s="410">
        <v>42237</v>
      </c>
      <c r="G4177" s="405" t="s">
        <v>14536</v>
      </c>
      <c r="H4177" s="405">
        <v>788720293</v>
      </c>
      <c r="I4177" s="405">
        <v>782818102</v>
      </c>
      <c r="J4177" s="405">
        <v>1.1121099999999999</v>
      </c>
      <c r="K4177" s="405">
        <v>34.20711</v>
      </c>
      <c r="L4177" s="405" t="s">
        <v>6866</v>
      </c>
      <c r="M4177" s="405" t="s">
        <v>9514</v>
      </c>
      <c r="N4177" s="405" t="s">
        <v>9722</v>
      </c>
      <c r="O4177" s="405" t="s">
        <v>9530</v>
      </c>
      <c r="P4177" s="405" t="s">
        <v>14537</v>
      </c>
      <c r="Q4177" s="411">
        <v>6</v>
      </c>
      <c r="R4177" s="405" t="s">
        <v>7224</v>
      </c>
      <c r="S4177" s="405" t="s">
        <v>27306</v>
      </c>
      <c r="T4177" s="405" t="s">
        <v>884</v>
      </c>
      <c r="U4177" s="405" t="s">
        <v>319</v>
      </c>
    </row>
    <row r="4178" spans="1:21" x14ac:dyDescent="0.25">
      <c r="A4178" s="405" t="s">
        <v>310</v>
      </c>
      <c r="B4178" s="405" t="s">
        <v>6252</v>
      </c>
      <c r="C4178" s="405" t="s">
        <v>311</v>
      </c>
      <c r="D4178" s="405" t="s">
        <v>839</v>
      </c>
      <c r="E4178" s="410">
        <v>42191</v>
      </c>
      <c r="F4178" s="410">
        <v>42236</v>
      </c>
      <c r="G4178" s="405" t="s">
        <v>6253</v>
      </c>
      <c r="H4178" s="405">
        <v>772865939</v>
      </c>
      <c r="I4178" s="405"/>
      <c r="J4178" s="405">
        <v>0.90157500000000002</v>
      </c>
      <c r="K4178" s="405">
        <v>31.762422999999998</v>
      </c>
      <c r="L4178" s="405" t="s">
        <v>314</v>
      </c>
      <c r="M4178" s="405" t="s">
        <v>2537</v>
      </c>
      <c r="N4178" s="405" t="s">
        <v>6254</v>
      </c>
      <c r="O4178" s="405" t="s">
        <v>6255</v>
      </c>
      <c r="P4178" s="405" t="s">
        <v>6256</v>
      </c>
      <c r="Q4178" s="411">
        <v>6</v>
      </c>
      <c r="R4178" s="405" t="s">
        <v>525</v>
      </c>
      <c r="S4178" s="405" t="s">
        <v>27225</v>
      </c>
      <c r="T4178" s="405" t="s">
        <v>884</v>
      </c>
      <c r="U4178" s="405" t="s">
        <v>319</v>
      </c>
    </row>
    <row r="4179" spans="1:21" x14ac:dyDescent="0.25">
      <c r="A4179" s="405" t="s">
        <v>310</v>
      </c>
      <c r="B4179" s="405" t="s">
        <v>29112</v>
      </c>
      <c r="C4179" s="405" t="s">
        <v>327</v>
      </c>
      <c r="D4179" s="405"/>
      <c r="E4179" s="410">
        <v>42191</v>
      </c>
      <c r="F4179" s="410">
        <v>42236</v>
      </c>
      <c r="G4179" s="405" t="s">
        <v>14535</v>
      </c>
      <c r="H4179" s="405">
        <v>751830699</v>
      </c>
      <c r="I4179" s="405"/>
      <c r="J4179" s="405">
        <v>1.1130500000000001</v>
      </c>
      <c r="K4179" s="405">
        <v>34.215623000000001</v>
      </c>
      <c r="L4179" s="405" t="s">
        <v>6866</v>
      </c>
      <c r="M4179" s="405" t="s">
        <v>9514</v>
      </c>
      <c r="N4179" s="405" t="s">
        <v>9722</v>
      </c>
      <c r="O4179" s="405" t="s">
        <v>9530</v>
      </c>
      <c r="P4179" s="405" t="s">
        <v>10607</v>
      </c>
      <c r="Q4179" s="411">
        <v>6</v>
      </c>
      <c r="R4179" s="405" t="s">
        <v>7224</v>
      </c>
      <c r="S4179" s="405" t="s">
        <v>27107</v>
      </c>
      <c r="T4179" s="405" t="s">
        <v>884</v>
      </c>
      <c r="U4179" s="405" t="s">
        <v>319</v>
      </c>
    </row>
    <row r="4180" spans="1:21" x14ac:dyDescent="0.25">
      <c r="A4180" s="405" t="s">
        <v>310</v>
      </c>
      <c r="B4180" s="405" t="s">
        <v>22095</v>
      </c>
      <c r="C4180" s="405" t="s">
        <v>327</v>
      </c>
      <c r="D4180" s="405"/>
      <c r="E4180" s="410">
        <v>42190</v>
      </c>
      <c r="F4180" s="410">
        <v>42235</v>
      </c>
      <c r="G4180" s="405" t="s">
        <v>22096</v>
      </c>
      <c r="H4180" s="405">
        <v>701587338</v>
      </c>
      <c r="I4180" s="405"/>
      <c r="J4180" s="405">
        <v>-0.54277399999999998</v>
      </c>
      <c r="K4180" s="405">
        <v>30.234086000000001</v>
      </c>
      <c r="L4180" s="405" t="s">
        <v>590</v>
      </c>
      <c r="M4180" s="405" t="s">
        <v>19625</v>
      </c>
      <c r="N4180" s="405" t="s">
        <v>20086</v>
      </c>
      <c r="O4180" s="405" t="s">
        <v>22097</v>
      </c>
      <c r="P4180" s="405" t="s">
        <v>19865</v>
      </c>
      <c r="Q4180" s="411">
        <v>13</v>
      </c>
      <c r="R4180" s="405" t="s">
        <v>874</v>
      </c>
      <c r="S4180" s="405" t="s">
        <v>27393</v>
      </c>
      <c r="T4180" s="405" t="s">
        <v>884</v>
      </c>
      <c r="U4180" s="405" t="s">
        <v>319</v>
      </c>
    </row>
    <row r="4181" spans="1:21" x14ac:dyDescent="0.25">
      <c r="A4181" s="405" t="s">
        <v>310</v>
      </c>
      <c r="B4181" s="405" t="s">
        <v>14527</v>
      </c>
      <c r="C4181" s="405" t="s">
        <v>327</v>
      </c>
      <c r="D4181" s="405"/>
      <c r="E4181" s="410">
        <v>42190</v>
      </c>
      <c r="F4181" s="410">
        <v>42235</v>
      </c>
      <c r="G4181" s="405" t="s">
        <v>14528</v>
      </c>
      <c r="H4181" s="405">
        <v>776257677</v>
      </c>
      <c r="I4181" s="405"/>
      <c r="J4181" s="405">
        <v>1.1326320000000001</v>
      </c>
      <c r="K4181" s="405">
        <v>34.206502999999998</v>
      </c>
      <c r="L4181" s="405" t="s">
        <v>6866</v>
      </c>
      <c r="M4181" s="405" t="s">
        <v>9514</v>
      </c>
      <c r="N4181" s="405" t="s">
        <v>9722</v>
      </c>
      <c r="O4181" s="405" t="s">
        <v>9530</v>
      </c>
      <c r="P4181" s="405" t="s">
        <v>13526</v>
      </c>
      <c r="Q4181" s="411">
        <v>6</v>
      </c>
      <c r="R4181" s="405" t="s">
        <v>7224</v>
      </c>
      <c r="S4181" s="405" t="s">
        <v>27182</v>
      </c>
      <c r="T4181" s="405" t="s">
        <v>884</v>
      </c>
      <c r="U4181" s="405" t="s">
        <v>319</v>
      </c>
    </row>
    <row r="4182" spans="1:21" x14ac:dyDescent="0.25">
      <c r="A4182" s="405" t="s">
        <v>310</v>
      </c>
      <c r="B4182" s="405" t="s">
        <v>14649</v>
      </c>
      <c r="C4182" s="405" t="s">
        <v>327</v>
      </c>
      <c r="D4182" s="405"/>
      <c r="E4182" s="410">
        <v>42190</v>
      </c>
      <c r="F4182" s="410">
        <v>42235</v>
      </c>
      <c r="G4182" s="405" t="s">
        <v>14650</v>
      </c>
      <c r="H4182" s="405">
        <v>778079082</v>
      </c>
      <c r="I4182" s="405"/>
      <c r="J4182" s="405">
        <v>1.114762</v>
      </c>
      <c r="K4182" s="405">
        <v>34.213545000000003</v>
      </c>
      <c r="L4182" s="405" t="s">
        <v>6866</v>
      </c>
      <c r="M4182" s="405" t="s">
        <v>9514</v>
      </c>
      <c r="N4182" s="405" t="s">
        <v>9722</v>
      </c>
      <c r="O4182" s="405" t="s">
        <v>9530</v>
      </c>
      <c r="P4182" s="405" t="s">
        <v>10607</v>
      </c>
      <c r="Q4182" s="411">
        <v>6</v>
      </c>
      <c r="R4182" s="405" t="s">
        <v>7224</v>
      </c>
      <c r="S4182" s="405" t="s">
        <v>27169</v>
      </c>
      <c r="T4182" s="405" t="s">
        <v>884</v>
      </c>
      <c r="U4182" s="405" t="s">
        <v>319</v>
      </c>
    </row>
    <row r="4183" spans="1:21" x14ac:dyDescent="0.25">
      <c r="A4183" s="405" t="s">
        <v>310</v>
      </c>
      <c r="B4183" s="405" t="s">
        <v>5666</v>
      </c>
      <c r="C4183" s="405" t="s">
        <v>327</v>
      </c>
      <c r="D4183" s="405"/>
      <c r="E4183" s="410">
        <v>42189</v>
      </c>
      <c r="F4183" s="410">
        <v>42234</v>
      </c>
      <c r="G4183" s="405" t="s">
        <v>5667</v>
      </c>
      <c r="H4183" s="405">
        <v>712306823</v>
      </c>
      <c r="I4183" s="405"/>
      <c r="J4183" s="405">
        <v>0.70565199999999995</v>
      </c>
      <c r="K4183" s="405">
        <v>31.611453000000001</v>
      </c>
      <c r="L4183" s="405" t="s">
        <v>314</v>
      </c>
      <c r="M4183" s="405" t="s">
        <v>675</v>
      </c>
      <c r="N4183" s="405" t="s">
        <v>5668</v>
      </c>
      <c r="O4183" s="405" t="s">
        <v>5668</v>
      </c>
      <c r="P4183" s="405" t="s">
        <v>3982</v>
      </c>
      <c r="Q4183" s="411">
        <v>13</v>
      </c>
      <c r="R4183" s="405" t="s">
        <v>5665</v>
      </c>
      <c r="S4183" s="405" t="s">
        <v>27247</v>
      </c>
      <c r="T4183" s="405" t="s">
        <v>32102</v>
      </c>
      <c r="U4183" s="405" t="s">
        <v>319</v>
      </c>
    </row>
    <row r="4184" spans="1:21" x14ac:dyDescent="0.25">
      <c r="A4184" s="405" t="s">
        <v>310</v>
      </c>
      <c r="B4184" s="405" t="s">
        <v>5691</v>
      </c>
      <c r="C4184" s="405" t="s">
        <v>327</v>
      </c>
      <c r="D4184" s="405"/>
      <c r="E4184" s="410">
        <v>42189</v>
      </c>
      <c r="F4184" s="410">
        <v>42230</v>
      </c>
      <c r="G4184" s="405" t="s">
        <v>5692</v>
      </c>
      <c r="H4184" s="405">
        <v>772315383</v>
      </c>
      <c r="I4184" s="405"/>
      <c r="J4184" s="405">
        <v>0.54919700000000005</v>
      </c>
      <c r="K4184" s="405">
        <v>33.080067</v>
      </c>
      <c r="L4184" s="405" t="s">
        <v>314</v>
      </c>
      <c r="M4184" s="405" t="s">
        <v>502</v>
      </c>
      <c r="N4184" s="405" t="s">
        <v>2179</v>
      </c>
      <c r="O4184" s="405" t="s">
        <v>2179</v>
      </c>
      <c r="P4184" s="405" t="s">
        <v>5693</v>
      </c>
      <c r="Q4184" s="411">
        <v>13</v>
      </c>
      <c r="R4184" s="405" t="s">
        <v>525</v>
      </c>
      <c r="S4184" s="405" t="s">
        <v>27232</v>
      </c>
      <c r="T4184" s="405" t="s">
        <v>884</v>
      </c>
      <c r="U4184" s="405" t="s">
        <v>319</v>
      </c>
    </row>
    <row r="4185" spans="1:21" x14ac:dyDescent="0.25">
      <c r="A4185" s="405" t="s">
        <v>310</v>
      </c>
      <c r="B4185" s="405" t="s">
        <v>22082</v>
      </c>
      <c r="C4185" s="405" t="s">
        <v>327</v>
      </c>
      <c r="D4185" s="405"/>
      <c r="E4185" s="410">
        <v>42189</v>
      </c>
      <c r="F4185" s="410">
        <v>42234</v>
      </c>
      <c r="G4185" s="405" t="s">
        <v>22083</v>
      </c>
      <c r="H4185" s="405">
        <v>772990804</v>
      </c>
      <c r="I4185" s="405"/>
      <c r="J4185" s="405">
        <v>-0.67912799999999995</v>
      </c>
      <c r="K4185" s="405">
        <v>29.957339999999999</v>
      </c>
      <c r="L4185" s="405" t="s">
        <v>590</v>
      </c>
      <c r="M4185" s="405" t="s">
        <v>19619</v>
      </c>
      <c r="N4185" s="405" t="s">
        <v>20033</v>
      </c>
      <c r="O4185" s="405" t="s">
        <v>20033</v>
      </c>
      <c r="P4185" s="405" t="s">
        <v>22084</v>
      </c>
      <c r="Q4185" s="411">
        <v>9</v>
      </c>
      <c r="R4185" s="405" t="s">
        <v>6572</v>
      </c>
      <c r="S4185" s="405" t="s">
        <v>27132</v>
      </c>
      <c r="T4185" s="405" t="s">
        <v>884</v>
      </c>
      <c r="U4185" s="405" t="s">
        <v>319</v>
      </c>
    </row>
    <row r="4186" spans="1:21" x14ac:dyDescent="0.25">
      <c r="A4186" s="405" t="s">
        <v>310</v>
      </c>
      <c r="B4186" s="405" t="s">
        <v>14896</v>
      </c>
      <c r="C4186" s="405" t="s">
        <v>311</v>
      </c>
      <c r="D4186" s="405" t="s">
        <v>2127</v>
      </c>
      <c r="E4186" s="410">
        <v>42188</v>
      </c>
      <c r="F4186" s="410">
        <v>42233</v>
      </c>
      <c r="G4186" s="405" t="s">
        <v>14897</v>
      </c>
      <c r="H4186" s="405">
        <v>774327355</v>
      </c>
      <c r="I4186" s="405">
        <v>756196011</v>
      </c>
      <c r="J4186" s="405">
        <v>1.9170849999999999</v>
      </c>
      <c r="K4186" s="405">
        <v>33.669609999999999</v>
      </c>
      <c r="L4186" s="405" t="s">
        <v>6866</v>
      </c>
      <c r="M4186" s="405" t="s">
        <v>10495</v>
      </c>
      <c r="N4186" s="405" t="s">
        <v>10495</v>
      </c>
      <c r="O4186" s="405" t="s">
        <v>11435</v>
      </c>
      <c r="P4186" s="405" t="s">
        <v>14192</v>
      </c>
      <c r="Q4186" s="411">
        <v>6</v>
      </c>
      <c r="R4186" s="405" t="s">
        <v>5655</v>
      </c>
      <c r="S4186" s="405" t="s">
        <v>27351</v>
      </c>
      <c r="T4186" s="405" t="s">
        <v>884</v>
      </c>
      <c r="U4186" s="405" t="s">
        <v>319</v>
      </c>
    </row>
    <row r="4187" spans="1:21" x14ac:dyDescent="0.25">
      <c r="A4187" s="405" t="s">
        <v>310</v>
      </c>
      <c r="B4187" s="405" t="s">
        <v>14655</v>
      </c>
      <c r="C4187" s="405" t="s">
        <v>327</v>
      </c>
      <c r="D4187" s="405"/>
      <c r="E4187" s="410">
        <v>42188</v>
      </c>
      <c r="F4187" s="410">
        <v>42233</v>
      </c>
      <c r="G4187" s="405" t="s">
        <v>14656</v>
      </c>
      <c r="H4187" s="405">
        <v>777265355</v>
      </c>
      <c r="I4187" s="405"/>
      <c r="J4187" s="405">
        <v>1.1269819999999999</v>
      </c>
      <c r="K4187" s="405">
        <v>34.202440000000003</v>
      </c>
      <c r="L4187" s="405" t="s">
        <v>6866</v>
      </c>
      <c r="M4187" s="405" t="s">
        <v>9514</v>
      </c>
      <c r="N4187" s="405" t="s">
        <v>9722</v>
      </c>
      <c r="O4187" s="405" t="s">
        <v>9530</v>
      </c>
      <c r="P4187" s="405" t="s">
        <v>11879</v>
      </c>
      <c r="Q4187" s="411">
        <v>6</v>
      </c>
      <c r="R4187" s="405" t="s">
        <v>7224</v>
      </c>
      <c r="S4187" s="405" t="s">
        <v>27310</v>
      </c>
      <c r="T4187" s="405" t="s">
        <v>884</v>
      </c>
      <c r="U4187" s="405" t="s">
        <v>319</v>
      </c>
    </row>
    <row r="4188" spans="1:21" x14ac:dyDescent="0.25">
      <c r="A4188" s="405" t="s">
        <v>310</v>
      </c>
      <c r="B4188" s="405" t="s">
        <v>14669</v>
      </c>
      <c r="C4188" s="405" t="s">
        <v>327</v>
      </c>
      <c r="D4188" s="405"/>
      <c r="E4188" s="410">
        <v>42188</v>
      </c>
      <c r="F4188" s="410">
        <v>42233</v>
      </c>
      <c r="G4188" s="405" t="s">
        <v>14670</v>
      </c>
      <c r="H4188" s="405">
        <v>702818053</v>
      </c>
      <c r="I4188" s="405"/>
      <c r="J4188" s="405">
        <v>1.1294820000000001</v>
      </c>
      <c r="K4188" s="405">
        <v>34.226396999999999</v>
      </c>
      <c r="L4188" s="405" t="s">
        <v>6866</v>
      </c>
      <c r="M4188" s="405" t="s">
        <v>9514</v>
      </c>
      <c r="N4188" s="405" t="s">
        <v>9722</v>
      </c>
      <c r="O4188" s="405" t="s">
        <v>9530</v>
      </c>
      <c r="P4188" s="405" t="s">
        <v>13611</v>
      </c>
      <c r="Q4188" s="411">
        <v>6</v>
      </c>
      <c r="R4188" s="405" t="s">
        <v>7224</v>
      </c>
      <c r="S4188" s="405" t="s">
        <v>27086</v>
      </c>
      <c r="T4188" s="405" t="s">
        <v>884</v>
      </c>
      <c r="U4188" s="405" t="s">
        <v>319</v>
      </c>
    </row>
    <row r="4189" spans="1:21" x14ac:dyDescent="0.25">
      <c r="A4189" s="405" t="s">
        <v>310</v>
      </c>
      <c r="B4189" s="405" t="s">
        <v>14657</v>
      </c>
      <c r="C4189" s="405" t="s">
        <v>327</v>
      </c>
      <c r="D4189" s="405"/>
      <c r="E4189" s="410">
        <v>42188</v>
      </c>
      <c r="F4189" s="410">
        <v>42233</v>
      </c>
      <c r="G4189" s="405" t="s">
        <v>14658</v>
      </c>
      <c r="H4189" s="405">
        <v>774506844</v>
      </c>
      <c r="I4189" s="405"/>
      <c r="J4189" s="405">
        <v>1.1256569999999999</v>
      </c>
      <c r="K4189" s="405">
        <v>34.203563000000003</v>
      </c>
      <c r="L4189" s="405" t="s">
        <v>6866</v>
      </c>
      <c r="M4189" s="405" t="s">
        <v>9514</v>
      </c>
      <c r="N4189" s="405" t="s">
        <v>9722</v>
      </c>
      <c r="O4189" s="405" t="s">
        <v>9530</v>
      </c>
      <c r="P4189" s="405" t="s">
        <v>11879</v>
      </c>
      <c r="Q4189" s="411">
        <v>6</v>
      </c>
      <c r="R4189" s="405" t="s">
        <v>7224</v>
      </c>
      <c r="S4189" s="405" t="s">
        <v>27204</v>
      </c>
      <c r="T4189" s="405" t="s">
        <v>884</v>
      </c>
      <c r="U4189" s="405" t="s">
        <v>319</v>
      </c>
    </row>
    <row r="4190" spans="1:21" x14ac:dyDescent="0.25">
      <c r="A4190" s="405" t="s">
        <v>310</v>
      </c>
      <c r="B4190" s="405" t="s">
        <v>14644</v>
      </c>
      <c r="C4190" s="405" t="s">
        <v>327</v>
      </c>
      <c r="D4190" s="405"/>
      <c r="E4190" s="410">
        <v>42188</v>
      </c>
      <c r="F4190" s="410">
        <v>42233</v>
      </c>
      <c r="G4190" s="405" t="s">
        <v>14645</v>
      </c>
      <c r="H4190" s="405">
        <v>776831058</v>
      </c>
      <c r="I4190" s="405"/>
      <c r="J4190" s="405">
        <v>1.0940319999999999</v>
      </c>
      <c r="K4190" s="405">
        <v>34.205088000000003</v>
      </c>
      <c r="L4190" s="405" t="s">
        <v>6866</v>
      </c>
      <c r="M4190" s="405" t="s">
        <v>9514</v>
      </c>
      <c r="N4190" s="405" t="s">
        <v>9722</v>
      </c>
      <c r="O4190" s="405" t="s">
        <v>9530</v>
      </c>
      <c r="P4190" s="405" t="s">
        <v>11783</v>
      </c>
      <c r="Q4190" s="411">
        <v>6</v>
      </c>
      <c r="R4190" s="405" t="s">
        <v>7224</v>
      </c>
      <c r="S4190" s="405" t="s">
        <v>27142</v>
      </c>
      <c r="T4190" s="405" t="s">
        <v>884</v>
      </c>
      <c r="U4190" s="405" t="s">
        <v>319</v>
      </c>
    </row>
    <row r="4191" spans="1:21" x14ac:dyDescent="0.25">
      <c r="A4191" s="405" t="s">
        <v>310</v>
      </c>
      <c r="B4191" s="405" t="s">
        <v>5672</v>
      </c>
      <c r="C4191" s="405" t="s">
        <v>327</v>
      </c>
      <c r="D4191" s="405"/>
      <c r="E4191" s="410">
        <v>42187</v>
      </c>
      <c r="F4191" s="410">
        <v>42232</v>
      </c>
      <c r="G4191" s="405" t="s">
        <v>5673</v>
      </c>
      <c r="H4191" s="405">
        <v>751405643</v>
      </c>
      <c r="I4191" s="405"/>
      <c r="J4191" s="405">
        <v>2.7205870000000001</v>
      </c>
      <c r="K4191" s="405">
        <v>32.283208000000002</v>
      </c>
      <c r="L4191" s="405" t="s">
        <v>314</v>
      </c>
      <c r="M4191" s="405" t="s">
        <v>675</v>
      </c>
      <c r="N4191" s="405" t="s">
        <v>5674</v>
      </c>
      <c r="O4191" s="405" t="s">
        <v>5674</v>
      </c>
      <c r="P4191" s="405" t="s">
        <v>5674</v>
      </c>
      <c r="Q4191" s="411">
        <v>13</v>
      </c>
      <c r="R4191" s="405" t="s">
        <v>5665</v>
      </c>
      <c r="S4191" s="405" t="s">
        <v>27051</v>
      </c>
      <c r="T4191" s="405" t="s">
        <v>884</v>
      </c>
      <c r="U4191" s="405" t="s">
        <v>319</v>
      </c>
    </row>
    <row r="4192" spans="1:21" x14ac:dyDescent="0.25">
      <c r="A4192" s="405" t="s">
        <v>310</v>
      </c>
      <c r="B4192" s="405" t="s">
        <v>14575</v>
      </c>
      <c r="C4192" s="405" t="s">
        <v>327</v>
      </c>
      <c r="D4192" s="405"/>
      <c r="E4192" s="410">
        <v>42187</v>
      </c>
      <c r="F4192" s="410">
        <v>42232</v>
      </c>
      <c r="G4192" s="405" t="s">
        <v>14576</v>
      </c>
      <c r="H4192" s="405">
        <v>752819914</v>
      </c>
      <c r="I4192" s="405"/>
      <c r="J4192" s="405">
        <v>1.085332</v>
      </c>
      <c r="K4192" s="405">
        <v>34.190689999999996</v>
      </c>
      <c r="L4192" s="405" t="s">
        <v>6866</v>
      </c>
      <c r="M4192" s="405" t="s">
        <v>9514</v>
      </c>
      <c r="N4192" s="405" t="s">
        <v>9722</v>
      </c>
      <c r="O4192" s="405" t="s">
        <v>9530</v>
      </c>
      <c r="P4192" s="405" t="s">
        <v>11489</v>
      </c>
      <c r="Q4192" s="411">
        <v>6</v>
      </c>
      <c r="R4192" s="405" t="s">
        <v>7224</v>
      </c>
      <c r="S4192" s="405" t="s">
        <v>17062</v>
      </c>
      <c r="T4192" s="405" t="s">
        <v>884</v>
      </c>
      <c r="U4192" s="405" t="s">
        <v>319</v>
      </c>
    </row>
    <row r="4193" spans="1:21" x14ac:dyDescent="0.25">
      <c r="A4193" s="405" t="s">
        <v>310</v>
      </c>
      <c r="B4193" s="405" t="s">
        <v>14662</v>
      </c>
      <c r="C4193" s="405" t="s">
        <v>327</v>
      </c>
      <c r="D4193" s="405"/>
      <c r="E4193" s="410">
        <v>42187</v>
      </c>
      <c r="F4193" s="410">
        <v>42232</v>
      </c>
      <c r="G4193" s="405" t="s">
        <v>14663</v>
      </c>
      <c r="H4193" s="405">
        <v>752883590</v>
      </c>
      <c r="I4193" s="405"/>
      <c r="J4193" s="405">
        <v>1.1114630000000001</v>
      </c>
      <c r="K4193" s="405">
        <v>34.210768000000002</v>
      </c>
      <c r="L4193" s="405" t="s">
        <v>6866</v>
      </c>
      <c r="M4193" s="405" t="s">
        <v>9514</v>
      </c>
      <c r="N4193" s="405" t="s">
        <v>9722</v>
      </c>
      <c r="O4193" s="405" t="s">
        <v>9530</v>
      </c>
      <c r="P4193" s="405" t="s">
        <v>10607</v>
      </c>
      <c r="Q4193" s="411">
        <v>6</v>
      </c>
      <c r="R4193" s="405" t="s">
        <v>7224</v>
      </c>
      <c r="S4193" s="405" t="s">
        <v>27041</v>
      </c>
      <c r="T4193" s="405" t="s">
        <v>884</v>
      </c>
      <c r="U4193" s="405" t="s">
        <v>319</v>
      </c>
    </row>
    <row r="4194" spans="1:21" x14ac:dyDescent="0.25">
      <c r="A4194" s="405" t="s">
        <v>310</v>
      </c>
      <c r="B4194" s="405" t="s">
        <v>14671</v>
      </c>
      <c r="C4194" s="405" t="s">
        <v>327</v>
      </c>
      <c r="D4194" s="405"/>
      <c r="E4194" s="410">
        <v>42187</v>
      </c>
      <c r="F4194" s="410">
        <v>42232</v>
      </c>
      <c r="G4194" s="405" t="s">
        <v>14672</v>
      </c>
      <c r="H4194" s="405">
        <v>779331813</v>
      </c>
      <c r="I4194" s="405"/>
      <c r="J4194" s="405">
        <v>1.12662</v>
      </c>
      <c r="K4194" s="405">
        <v>34.206916999999997</v>
      </c>
      <c r="L4194" s="405" t="s">
        <v>6866</v>
      </c>
      <c r="M4194" s="405" t="s">
        <v>9514</v>
      </c>
      <c r="N4194" s="405" t="s">
        <v>9722</v>
      </c>
      <c r="O4194" s="405" t="s">
        <v>9530</v>
      </c>
      <c r="P4194" s="405" t="s">
        <v>11879</v>
      </c>
      <c r="Q4194" s="411">
        <v>6</v>
      </c>
      <c r="R4194" s="405" t="s">
        <v>7224</v>
      </c>
      <c r="S4194" s="405" t="s">
        <v>27348</v>
      </c>
      <c r="T4194" s="405" t="s">
        <v>884</v>
      </c>
      <c r="U4194" s="405" t="s">
        <v>319</v>
      </c>
    </row>
    <row r="4195" spans="1:21" x14ac:dyDescent="0.25">
      <c r="A4195" s="405" t="s">
        <v>310</v>
      </c>
      <c r="B4195" s="405" t="s">
        <v>15020</v>
      </c>
      <c r="C4195" s="405" t="s">
        <v>327</v>
      </c>
      <c r="D4195" s="405"/>
      <c r="E4195" s="410">
        <v>42186</v>
      </c>
      <c r="F4195" s="410">
        <v>42389</v>
      </c>
      <c r="G4195" s="405" t="s">
        <v>15021</v>
      </c>
      <c r="H4195" s="405">
        <v>775416676</v>
      </c>
      <c r="I4195" s="405"/>
      <c r="J4195" s="405">
        <v>1.097953</v>
      </c>
      <c r="K4195" s="405">
        <v>34.192253000000001</v>
      </c>
      <c r="L4195" s="405" t="s">
        <v>6866</v>
      </c>
      <c r="M4195" s="405" t="s">
        <v>9514</v>
      </c>
      <c r="N4195" s="405" t="s">
        <v>9722</v>
      </c>
      <c r="O4195" s="405" t="s">
        <v>9530</v>
      </c>
      <c r="P4195" s="405" t="s">
        <v>9563</v>
      </c>
      <c r="Q4195" s="411">
        <v>6</v>
      </c>
      <c r="R4195" s="405" t="s">
        <v>7224</v>
      </c>
      <c r="S4195" s="405" t="s">
        <v>27306</v>
      </c>
      <c r="T4195" s="405" t="s">
        <v>884</v>
      </c>
      <c r="U4195" s="405" t="s">
        <v>319</v>
      </c>
    </row>
    <row r="4196" spans="1:21" x14ac:dyDescent="0.25">
      <c r="A4196" s="405" t="s">
        <v>310</v>
      </c>
      <c r="B4196" s="405" t="s">
        <v>14639</v>
      </c>
      <c r="C4196" s="405" t="s">
        <v>327</v>
      </c>
      <c r="D4196" s="405"/>
      <c r="E4196" s="410">
        <v>42186</v>
      </c>
      <c r="F4196" s="410">
        <v>42231</v>
      </c>
      <c r="G4196" s="405" t="s">
        <v>14640</v>
      </c>
      <c r="H4196" s="405">
        <v>753331887</v>
      </c>
      <c r="I4196" s="405"/>
      <c r="J4196" s="405">
        <v>1.1033569999999999</v>
      </c>
      <c r="K4196" s="405">
        <v>34.211190000000002</v>
      </c>
      <c r="L4196" s="405" t="s">
        <v>6866</v>
      </c>
      <c r="M4196" s="405" t="s">
        <v>9514</v>
      </c>
      <c r="N4196" s="405" t="s">
        <v>9722</v>
      </c>
      <c r="O4196" s="405" t="s">
        <v>9530</v>
      </c>
      <c r="P4196" s="405" t="s">
        <v>14638</v>
      </c>
      <c r="Q4196" s="411">
        <v>6</v>
      </c>
      <c r="R4196" s="405" t="s">
        <v>7224</v>
      </c>
      <c r="S4196" s="405" t="s">
        <v>27298</v>
      </c>
      <c r="T4196" s="405" t="s">
        <v>884</v>
      </c>
      <c r="U4196" s="405" t="s">
        <v>319</v>
      </c>
    </row>
    <row r="4197" spans="1:21" x14ac:dyDescent="0.25">
      <c r="A4197" s="405" t="s">
        <v>310</v>
      </c>
      <c r="B4197" s="405" t="s">
        <v>14641</v>
      </c>
      <c r="C4197" s="405" t="s">
        <v>327</v>
      </c>
      <c r="D4197" s="405"/>
      <c r="E4197" s="410">
        <v>42186</v>
      </c>
      <c r="F4197" s="410">
        <v>42231</v>
      </c>
      <c r="G4197" s="405" t="s">
        <v>14642</v>
      </c>
      <c r="H4197" s="405">
        <v>758820821</v>
      </c>
      <c r="I4197" s="405"/>
      <c r="J4197" s="405">
        <v>1.1046419999999999</v>
      </c>
      <c r="K4197" s="405">
        <v>34.211666999999998</v>
      </c>
      <c r="L4197" s="405" t="s">
        <v>6866</v>
      </c>
      <c r="M4197" s="405" t="s">
        <v>9514</v>
      </c>
      <c r="N4197" s="405" t="s">
        <v>9722</v>
      </c>
      <c r="O4197" s="405" t="s">
        <v>9530</v>
      </c>
      <c r="P4197" s="405" t="s">
        <v>14643</v>
      </c>
      <c r="Q4197" s="411">
        <v>6</v>
      </c>
      <c r="R4197" s="405" t="s">
        <v>7224</v>
      </c>
      <c r="S4197" s="405" t="s">
        <v>27298</v>
      </c>
      <c r="T4197" s="405" t="s">
        <v>884</v>
      </c>
      <c r="U4197" s="405" t="s">
        <v>319</v>
      </c>
    </row>
    <row r="4198" spans="1:21" x14ac:dyDescent="0.25">
      <c r="A4198" s="405" t="s">
        <v>310</v>
      </c>
      <c r="B4198" s="405" t="s">
        <v>14636</v>
      </c>
      <c r="C4198" s="405" t="s">
        <v>327</v>
      </c>
      <c r="D4198" s="405"/>
      <c r="E4198" s="410">
        <v>42186</v>
      </c>
      <c r="F4198" s="410">
        <v>42231</v>
      </c>
      <c r="G4198" s="405" t="s">
        <v>14637</v>
      </c>
      <c r="H4198" s="405">
        <v>777000932</v>
      </c>
      <c r="I4198" s="405"/>
      <c r="J4198" s="405">
        <v>1.103853</v>
      </c>
      <c r="K4198" s="405">
        <v>34.211919999999999</v>
      </c>
      <c r="L4198" s="405" t="s">
        <v>6866</v>
      </c>
      <c r="M4198" s="405" t="s">
        <v>9514</v>
      </c>
      <c r="N4198" s="405" t="s">
        <v>9722</v>
      </c>
      <c r="O4198" s="405" t="s">
        <v>9530</v>
      </c>
      <c r="P4198" s="405" t="s">
        <v>14638</v>
      </c>
      <c r="Q4198" s="411">
        <v>6</v>
      </c>
      <c r="R4198" s="405" t="s">
        <v>7224</v>
      </c>
      <c r="S4198" s="405" t="s">
        <v>27072</v>
      </c>
      <c r="T4198" s="405" t="s">
        <v>32102</v>
      </c>
      <c r="U4198" s="405" t="s">
        <v>319</v>
      </c>
    </row>
    <row r="4199" spans="1:21" x14ac:dyDescent="0.25">
      <c r="A4199" s="405" t="s">
        <v>310</v>
      </c>
      <c r="B4199" s="405" t="s">
        <v>14653</v>
      </c>
      <c r="C4199" s="405" t="s">
        <v>327</v>
      </c>
      <c r="D4199" s="405"/>
      <c r="E4199" s="410">
        <v>42186</v>
      </c>
      <c r="F4199" s="410">
        <v>42231</v>
      </c>
      <c r="G4199" s="405" t="s">
        <v>14654</v>
      </c>
      <c r="H4199" s="405">
        <v>777150108</v>
      </c>
      <c r="I4199" s="405"/>
      <c r="J4199" s="405">
        <v>1.0953820000000001</v>
      </c>
      <c r="K4199" s="405">
        <v>34.203797000000002</v>
      </c>
      <c r="L4199" s="405" t="s">
        <v>6866</v>
      </c>
      <c r="M4199" s="405" t="s">
        <v>9514</v>
      </c>
      <c r="N4199" s="405" t="s">
        <v>9722</v>
      </c>
      <c r="O4199" s="405" t="s">
        <v>9530</v>
      </c>
      <c r="P4199" s="405" t="s">
        <v>11783</v>
      </c>
      <c r="Q4199" s="411">
        <v>6</v>
      </c>
      <c r="R4199" s="405" t="s">
        <v>7224</v>
      </c>
      <c r="S4199" s="405" t="s">
        <v>17013</v>
      </c>
      <c r="T4199" s="405" t="s">
        <v>884</v>
      </c>
      <c r="U4199" s="405" t="s">
        <v>319</v>
      </c>
    </row>
    <row r="4200" spans="1:21" x14ac:dyDescent="0.25">
      <c r="A4200" s="405" t="s">
        <v>310</v>
      </c>
      <c r="B4200" s="405" t="s">
        <v>14673</v>
      </c>
      <c r="C4200" s="405" t="s">
        <v>327</v>
      </c>
      <c r="D4200" s="405"/>
      <c r="E4200" s="410">
        <v>42186</v>
      </c>
      <c r="F4200" s="410">
        <v>42231</v>
      </c>
      <c r="G4200" s="405" t="s">
        <v>14674</v>
      </c>
      <c r="H4200" s="405">
        <v>782845048</v>
      </c>
      <c r="I4200" s="405"/>
      <c r="J4200" s="405">
        <v>1.102182</v>
      </c>
      <c r="K4200" s="405">
        <v>34.208154999999998</v>
      </c>
      <c r="L4200" s="405" t="s">
        <v>6866</v>
      </c>
      <c r="M4200" s="405" t="s">
        <v>9514</v>
      </c>
      <c r="N4200" s="405" t="s">
        <v>9722</v>
      </c>
      <c r="O4200" s="405" t="s">
        <v>9530</v>
      </c>
      <c r="P4200" s="405" t="s">
        <v>13529</v>
      </c>
      <c r="Q4200" s="411">
        <v>6</v>
      </c>
      <c r="R4200" s="405" t="s">
        <v>7224</v>
      </c>
      <c r="S4200" s="405" t="s">
        <v>27107</v>
      </c>
      <c r="T4200" s="405" t="s">
        <v>884</v>
      </c>
      <c r="U4200" s="405" t="s">
        <v>319</v>
      </c>
    </row>
    <row r="4201" spans="1:21" x14ac:dyDescent="0.25">
      <c r="A4201" s="405" t="s">
        <v>310</v>
      </c>
      <c r="B4201" s="405" t="s">
        <v>14660</v>
      </c>
      <c r="C4201" s="405" t="s">
        <v>327</v>
      </c>
      <c r="D4201" s="405"/>
      <c r="E4201" s="410">
        <v>42186</v>
      </c>
      <c r="F4201" s="410">
        <v>42231</v>
      </c>
      <c r="G4201" s="405" t="s">
        <v>14661</v>
      </c>
      <c r="H4201" s="405">
        <v>774006479</v>
      </c>
      <c r="I4201" s="405"/>
      <c r="J4201" s="405">
        <v>1.102832</v>
      </c>
      <c r="K4201" s="405">
        <v>34.209198000000001</v>
      </c>
      <c r="L4201" s="405" t="s">
        <v>6866</v>
      </c>
      <c r="M4201" s="405" t="s">
        <v>9514</v>
      </c>
      <c r="N4201" s="405" t="s">
        <v>9722</v>
      </c>
      <c r="O4201" s="405" t="s">
        <v>9530</v>
      </c>
      <c r="P4201" s="405" t="s">
        <v>14643</v>
      </c>
      <c r="Q4201" s="411">
        <v>6</v>
      </c>
      <c r="R4201" s="405" t="s">
        <v>7224</v>
      </c>
      <c r="S4201" s="405" t="s">
        <v>27074</v>
      </c>
      <c r="T4201" s="405" t="s">
        <v>884</v>
      </c>
      <c r="U4201" s="405" t="s">
        <v>319</v>
      </c>
    </row>
    <row r="4202" spans="1:21" x14ac:dyDescent="0.25">
      <c r="A4202" s="405" t="s">
        <v>310</v>
      </c>
      <c r="B4202" s="405" t="s">
        <v>22110</v>
      </c>
      <c r="C4202" s="405" t="s">
        <v>327</v>
      </c>
      <c r="D4202" s="405"/>
      <c r="E4202" s="410">
        <v>42185</v>
      </c>
      <c r="F4202" s="410">
        <v>42230</v>
      </c>
      <c r="G4202" s="405" t="s">
        <v>22111</v>
      </c>
      <c r="H4202" s="405">
        <v>773281788</v>
      </c>
      <c r="I4202" s="405"/>
      <c r="J4202" s="405">
        <v>5.0525000000000002</v>
      </c>
      <c r="K4202" s="405">
        <v>30.163</v>
      </c>
      <c r="L4202" s="405" t="s">
        <v>590</v>
      </c>
      <c r="M4202" s="405" t="s">
        <v>19659</v>
      </c>
      <c r="N4202" s="405" t="s">
        <v>13002</v>
      </c>
      <c r="O4202" s="405" t="s">
        <v>13002</v>
      </c>
      <c r="P4202" s="405" t="s">
        <v>20622</v>
      </c>
      <c r="Q4202" s="411">
        <v>13</v>
      </c>
      <c r="R4202" s="405" t="s">
        <v>32166</v>
      </c>
      <c r="S4202" s="405" t="s">
        <v>27401</v>
      </c>
      <c r="T4202" s="405" t="s">
        <v>884</v>
      </c>
      <c r="U4202" s="405" t="s">
        <v>319</v>
      </c>
    </row>
    <row r="4203" spans="1:21" x14ac:dyDescent="0.25">
      <c r="A4203" s="405" t="s">
        <v>310</v>
      </c>
      <c r="B4203" s="405" t="s">
        <v>18981</v>
      </c>
      <c r="C4203" s="405" t="s">
        <v>327</v>
      </c>
      <c r="D4203" s="405"/>
      <c r="E4203" s="410">
        <v>42182</v>
      </c>
      <c r="F4203" s="410">
        <v>42227</v>
      </c>
      <c r="G4203" s="405" t="s">
        <v>18982</v>
      </c>
      <c r="H4203" s="405">
        <v>782288675</v>
      </c>
      <c r="I4203" s="405"/>
      <c r="J4203" s="405">
        <v>2.3041999999999998</v>
      </c>
      <c r="K4203" s="405">
        <v>32.514000000000003</v>
      </c>
      <c r="L4203" s="405" t="s">
        <v>860</v>
      </c>
      <c r="M4203" s="405" t="s">
        <v>18234</v>
      </c>
      <c r="N4203" s="405" t="s">
        <v>18252</v>
      </c>
      <c r="O4203" s="405" t="s">
        <v>18983</v>
      </c>
      <c r="P4203" s="405" t="s">
        <v>18984</v>
      </c>
      <c r="Q4203" s="411">
        <v>13</v>
      </c>
      <c r="R4203" s="405" t="s">
        <v>18919</v>
      </c>
      <c r="S4203" s="405" t="s">
        <v>27243</v>
      </c>
      <c r="T4203" s="405" t="s">
        <v>884</v>
      </c>
      <c r="U4203" s="405" t="s">
        <v>319</v>
      </c>
    </row>
    <row r="4204" spans="1:21" x14ac:dyDescent="0.25">
      <c r="A4204" s="405" t="s">
        <v>310</v>
      </c>
      <c r="B4204" s="405" t="s">
        <v>22121</v>
      </c>
      <c r="C4204" s="405" t="s">
        <v>327</v>
      </c>
      <c r="D4204" s="405"/>
      <c r="E4204" s="410">
        <v>42182</v>
      </c>
      <c r="F4204" s="410">
        <v>42227</v>
      </c>
      <c r="G4204" s="405" t="s">
        <v>22122</v>
      </c>
      <c r="H4204" s="405">
        <v>755050504</v>
      </c>
      <c r="I4204" s="405"/>
      <c r="J4204" s="405">
        <v>1.6979999999999999E-2</v>
      </c>
      <c r="K4204" s="405">
        <v>30.755936999999999</v>
      </c>
      <c r="L4204" s="405" t="s">
        <v>590</v>
      </c>
      <c r="M4204" s="405" t="s">
        <v>19720</v>
      </c>
      <c r="N4204" s="405" t="s">
        <v>20297</v>
      </c>
      <c r="O4204" s="405" t="s">
        <v>20439</v>
      </c>
      <c r="P4204" s="405" t="s">
        <v>22123</v>
      </c>
      <c r="Q4204" s="411">
        <v>6</v>
      </c>
      <c r="R4204" s="405" t="s">
        <v>6572</v>
      </c>
      <c r="S4204" s="405" t="s">
        <v>27161</v>
      </c>
      <c r="T4204" s="405" t="s">
        <v>884</v>
      </c>
      <c r="U4204" s="405" t="s">
        <v>319</v>
      </c>
    </row>
    <row r="4205" spans="1:21" x14ac:dyDescent="0.25">
      <c r="A4205" s="405" t="s">
        <v>310</v>
      </c>
      <c r="B4205" s="405" t="s">
        <v>14617</v>
      </c>
      <c r="C4205" s="405" t="s">
        <v>327</v>
      </c>
      <c r="D4205" s="405"/>
      <c r="E4205" s="410">
        <v>42182</v>
      </c>
      <c r="F4205" s="410">
        <v>42227</v>
      </c>
      <c r="G4205" s="405" t="s">
        <v>14618</v>
      </c>
      <c r="H4205" s="405">
        <v>777601388</v>
      </c>
      <c r="I4205" s="405"/>
      <c r="J4205" s="405">
        <v>1.1003499999999999</v>
      </c>
      <c r="K4205" s="405">
        <v>34.191028000000003</v>
      </c>
      <c r="L4205" s="405" t="s">
        <v>6866</v>
      </c>
      <c r="M4205" s="405" t="s">
        <v>9514</v>
      </c>
      <c r="N4205" s="405" t="s">
        <v>9722</v>
      </c>
      <c r="O4205" s="405" t="s">
        <v>9530</v>
      </c>
      <c r="P4205" s="405" t="s">
        <v>11967</v>
      </c>
      <c r="Q4205" s="411">
        <v>6</v>
      </c>
      <c r="R4205" s="405" t="s">
        <v>7224</v>
      </c>
      <c r="S4205" s="405" t="s">
        <v>27353</v>
      </c>
      <c r="T4205" s="405" t="s">
        <v>32102</v>
      </c>
      <c r="U4205" s="405" t="s">
        <v>319</v>
      </c>
    </row>
    <row r="4206" spans="1:21" x14ac:dyDescent="0.25">
      <c r="A4206" s="405" t="s">
        <v>310</v>
      </c>
      <c r="B4206" s="405" t="s">
        <v>5684</v>
      </c>
      <c r="C4206" s="405" t="s">
        <v>327</v>
      </c>
      <c r="D4206" s="405"/>
      <c r="E4206" s="410">
        <v>42180</v>
      </c>
      <c r="F4206" s="410">
        <v>42225</v>
      </c>
      <c r="G4206" s="405" t="s">
        <v>5685</v>
      </c>
      <c r="H4206" s="405">
        <v>785182045</v>
      </c>
      <c r="I4206" s="405"/>
      <c r="J4206" s="405">
        <v>0.68799500000000002</v>
      </c>
      <c r="K4206" s="405">
        <v>30.702252999999999</v>
      </c>
      <c r="L4206" s="405" t="s">
        <v>314</v>
      </c>
      <c r="M4206" s="405" t="s">
        <v>2512</v>
      </c>
      <c r="N4206" s="405" t="s">
        <v>2512</v>
      </c>
      <c r="O4206" s="405" t="s">
        <v>2512</v>
      </c>
      <c r="P4206" s="405" t="s">
        <v>5686</v>
      </c>
      <c r="Q4206" s="411">
        <v>13</v>
      </c>
      <c r="R4206" s="405" t="s">
        <v>525</v>
      </c>
      <c r="S4206" s="405" t="s">
        <v>27153</v>
      </c>
      <c r="T4206" s="405" t="s">
        <v>32746</v>
      </c>
      <c r="U4206" s="405" t="s">
        <v>2267</v>
      </c>
    </row>
    <row r="4207" spans="1:21" x14ac:dyDescent="0.25">
      <c r="A4207" s="405" t="s">
        <v>310</v>
      </c>
      <c r="B4207" s="405" t="s">
        <v>14628</v>
      </c>
      <c r="C4207" s="405" t="s">
        <v>327</v>
      </c>
      <c r="D4207" s="405"/>
      <c r="E4207" s="410">
        <v>42180</v>
      </c>
      <c r="F4207" s="410">
        <v>42225</v>
      </c>
      <c r="G4207" s="405" t="s">
        <v>14629</v>
      </c>
      <c r="H4207" s="405">
        <v>776450999</v>
      </c>
      <c r="I4207" s="405"/>
      <c r="J4207" s="405">
        <v>1.1065119999999999</v>
      </c>
      <c r="K4207" s="405">
        <v>34.193019999999997</v>
      </c>
      <c r="L4207" s="405" t="s">
        <v>6866</v>
      </c>
      <c r="M4207" s="405" t="s">
        <v>9514</v>
      </c>
      <c r="N4207" s="405" t="s">
        <v>9722</v>
      </c>
      <c r="O4207" s="405" t="s">
        <v>9530</v>
      </c>
      <c r="P4207" s="405" t="s">
        <v>14621</v>
      </c>
      <c r="Q4207" s="411">
        <v>6</v>
      </c>
      <c r="R4207" s="405" t="s">
        <v>7224</v>
      </c>
      <c r="S4207" s="405" t="s">
        <v>27041</v>
      </c>
      <c r="T4207" s="405" t="s">
        <v>884</v>
      </c>
      <c r="U4207" s="405" t="s">
        <v>319</v>
      </c>
    </row>
    <row r="4208" spans="1:21" x14ac:dyDescent="0.25">
      <c r="A4208" s="405" t="s">
        <v>310</v>
      </c>
      <c r="B4208" s="405" t="s">
        <v>18953</v>
      </c>
      <c r="C4208" s="405" t="s">
        <v>327</v>
      </c>
      <c r="D4208" s="405"/>
      <c r="E4208" s="410">
        <v>42180</v>
      </c>
      <c r="F4208" s="410">
        <v>42225</v>
      </c>
      <c r="G4208" s="405" t="s">
        <v>18954</v>
      </c>
      <c r="H4208" s="405">
        <v>753547257</v>
      </c>
      <c r="I4208" s="405"/>
      <c r="J4208" s="405">
        <v>1.959416</v>
      </c>
      <c r="K4208" s="405">
        <v>33.155957999999998</v>
      </c>
      <c r="L4208" s="405" t="s">
        <v>860</v>
      </c>
      <c r="M4208" s="405" t="s">
        <v>18955</v>
      </c>
      <c r="N4208" s="405" t="s">
        <v>18955</v>
      </c>
      <c r="O4208" s="405" t="s">
        <v>18955</v>
      </c>
      <c r="P4208" s="405" t="s">
        <v>18955</v>
      </c>
      <c r="Q4208" s="411">
        <v>6</v>
      </c>
      <c r="R4208" s="405" t="s">
        <v>525</v>
      </c>
      <c r="S4208" s="405" t="s">
        <v>27162</v>
      </c>
      <c r="T4208" s="405" t="s">
        <v>884</v>
      </c>
      <c r="U4208" s="405" t="s">
        <v>319</v>
      </c>
    </row>
    <row r="4209" spans="1:21" x14ac:dyDescent="0.25">
      <c r="A4209" s="405" t="s">
        <v>310</v>
      </c>
      <c r="B4209" s="405" t="s">
        <v>41</v>
      </c>
      <c r="C4209" s="405" t="s">
        <v>327</v>
      </c>
      <c r="D4209" s="405"/>
      <c r="E4209" s="410">
        <v>42180</v>
      </c>
      <c r="F4209" s="410">
        <v>42225</v>
      </c>
      <c r="G4209" s="405" t="s">
        <v>14625</v>
      </c>
      <c r="H4209" s="405">
        <v>776981088</v>
      </c>
      <c r="I4209" s="405"/>
      <c r="J4209" s="405">
        <v>1.104303</v>
      </c>
      <c r="K4209" s="405">
        <v>34.193027999999998</v>
      </c>
      <c r="L4209" s="405" t="s">
        <v>6866</v>
      </c>
      <c r="M4209" s="405" t="s">
        <v>9514</v>
      </c>
      <c r="N4209" s="405" t="s">
        <v>9529</v>
      </c>
      <c r="O4209" s="405" t="s">
        <v>9530</v>
      </c>
      <c r="P4209" s="405" t="s">
        <v>14621</v>
      </c>
      <c r="Q4209" s="411">
        <v>6</v>
      </c>
      <c r="R4209" s="405" t="s">
        <v>7224</v>
      </c>
      <c r="S4209" s="405" t="s">
        <v>27348</v>
      </c>
      <c r="T4209" s="405" t="s">
        <v>865</v>
      </c>
      <c r="U4209" s="405" t="s">
        <v>866</v>
      </c>
    </row>
    <row r="4210" spans="1:21" x14ac:dyDescent="0.25">
      <c r="A4210" s="405" t="s">
        <v>310</v>
      </c>
      <c r="B4210" s="405" t="s">
        <v>14581</v>
      </c>
      <c r="C4210" s="405" t="s">
        <v>327</v>
      </c>
      <c r="D4210" s="405"/>
      <c r="E4210" s="410">
        <v>42179</v>
      </c>
      <c r="F4210" s="410">
        <v>42224</v>
      </c>
      <c r="G4210" s="405" t="s">
        <v>14582</v>
      </c>
      <c r="H4210" s="405">
        <v>784513489</v>
      </c>
      <c r="I4210" s="405"/>
      <c r="J4210" s="405">
        <v>1.99535</v>
      </c>
      <c r="K4210" s="405">
        <v>33.496926999999999</v>
      </c>
      <c r="L4210" s="405" t="s">
        <v>6866</v>
      </c>
      <c r="M4210" s="405" t="s">
        <v>10495</v>
      </c>
      <c r="N4210" s="405" t="s">
        <v>10525</v>
      </c>
      <c r="O4210" s="405" t="s">
        <v>13074</v>
      </c>
      <c r="P4210" s="405" t="s">
        <v>14583</v>
      </c>
      <c r="Q4210" s="411">
        <v>6</v>
      </c>
      <c r="R4210" s="405" t="s">
        <v>5655</v>
      </c>
      <c r="S4210" s="405" t="s">
        <v>27346</v>
      </c>
      <c r="T4210" s="405" t="s">
        <v>865</v>
      </c>
      <c r="U4210" s="405" t="s">
        <v>866</v>
      </c>
    </row>
    <row r="4211" spans="1:21" x14ac:dyDescent="0.25">
      <c r="A4211" s="405" t="s">
        <v>310</v>
      </c>
      <c r="B4211" s="405" t="s">
        <v>14630</v>
      </c>
      <c r="C4211" s="405" t="s">
        <v>327</v>
      </c>
      <c r="D4211" s="405"/>
      <c r="E4211" s="410">
        <v>42179</v>
      </c>
      <c r="F4211" s="410">
        <v>42224</v>
      </c>
      <c r="G4211" s="405" t="s">
        <v>14631</v>
      </c>
      <c r="H4211" s="405">
        <v>777029352</v>
      </c>
      <c r="I4211" s="405"/>
      <c r="J4211" s="405">
        <v>1.1037600000000001</v>
      </c>
      <c r="K4211" s="405">
        <v>34.193600000000004</v>
      </c>
      <c r="L4211" s="405" t="s">
        <v>6866</v>
      </c>
      <c r="M4211" s="405" t="s">
        <v>9514</v>
      </c>
      <c r="N4211" s="405" t="s">
        <v>9722</v>
      </c>
      <c r="O4211" s="405" t="s">
        <v>9530</v>
      </c>
      <c r="P4211" s="405" t="s">
        <v>11792</v>
      </c>
      <c r="Q4211" s="411">
        <v>6</v>
      </c>
      <c r="R4211" s="405" t="s">
        <v>7224</v>
      </c>
      <c r="S4211" s="405" t="s">
        <v>27259</v>
      </c>
      <c r="T4211" s="405" t="s">
        <v>32102</v>
      </c>
      <c r="U4211" s="405" t="s">
        <v>319</v>
      </c>
    </row>
    <row r="4212" spans="1:21" x14ac:dyDescent="0.25">
      <c r="A4212" s="405" t="s">
        <v>310</v>
      </c>
      <c r="B4212" s="405" t="s">
        <v>14611</v>
      </c>
      <c r="C4212" s="405" t="s">
        <v>327</v>
      </c>
      <c r="D4212" s="405"/>
      <c r="E4212" s="410">
        <v>42179</v>
      </c>
      <c r="F4212" s="410">
        <v>42224</v>
      </c>
      <c r="G4212" s="405" t="s">
        <v>14612</v>
      </c>
      <c r="H4212" s="405">
        <v>779576776</v>
      </c>
      <c r="I4212" s="405"/>
      <c r="J4212" s="405">
        <v>1.11625</v>
      </c>
      <c r="K4212" s="405">
        <v>34.212105000000001</v>
      </c>
      <c r="L4212" s="405" t="s">
        <v>6866</v>
      </c>
      <c r="M4212" s="405" t="s">
        <v>9514</v>
      </c>
      <c r="N4212" s="405" t="s">
        <v>9722</v>
      </c>
      <c r="O4212" s="405" t="s">
        <v>9530</v>
      </c>
      <c r="P4212" s="405" t="s">
        <v>9683</v>
      </c>
      <c r="Q4212" s="411">
        <v>6</v>
      </c>
      <c r="R4212" s="405" t="s">
        <v>7224</v>
      </c>
      <c r="S4212" s="405" t="s">
        <v>27182</v>
      </c>
      <c r="T4212" s="405" t="s">
        <v>884</v>
      </c>
      <c r="U4212" s="405" t="s">
        <v>319</v>
      </c>
    </row>
    <row r="4213" spans="1:21" x14ac:dyDescent="0.25">
      <c r="A4213" s="405" t="s">
        <v>310</v>
      </c>
      <c r="B4213" s="405" t="s">
        <v>14626</v>
      </c>
      <c r="C4213" s="405" t="s">
        <v>327</v>
      </c>
      <c r="D4213" s="405"/>
      <c r="E4213" s="410">
        <v>42179</v>
      </c>
      <c r="F4213" s="410">
        <v>42224</v>
      </c>
      <c r="G4213" s="405" t="s">
        <v>14627</v>
      </c>
      <c r="H4213" s="405">
        <v>777259248</v>
      </c>
      <c r="I4213" s="405"/>
      <c r="J4213" s="405">
        <v>1.1140350000000001</v>
      </c>
      <c r="K4213" s="405">
        <v>34.216436999999999</v>
      </c>
      <c r="L4213" s="405" t="s">
        <v>6866</v>
      </c>
      <c r="M4213" s="405" t="s">
        <v>9514</v>
      </c>
      <c r="N4213" s="405" t="s">
        <v>9722</v>
      </c>
      <c r="O4213" s="405" t="s">
        <v>9530</v>
      </c>
      <c r="P4213" s="405" t="s">
        <v>10607</v>
      </c>
      <c r="Q4213" s="411">
        <v>6</v>
      </c>
      <c r="R4213" s="405" t="s">
        <v>7224</v>
      </c>
      <c r="S4213" s="405" t="s">
        <v>27067</v>
      </c>
      <c r="T4213" s="405" t="s">
        <v>884</v>
      </c>
      <c r="U4213" s="405" t="s">
        <v>319</v>
      </c>
    </row>
    <row r="4214" spans="1:21" x14ac:dyDescent="0.25">
      <c r="A4214" s="405" t="s">
        <v>310</v>
      </c>
      <c r="B4214" s="405" t="s">
        <v>14602</v>
      </c>
      <c r="C4214" s="405" t="s">
        <v>327</v>
      </c>
      <c r="D4214" s="405"/>
      <c r="E4214" s="410">
        <v>42179</v>
      </c>
      <c r="F4214" s="410">
        <v>42224</v>
      </c>
      <c r="G4214" s="405" t="s">
        <v>14603</v>
      </c>
      <c r="H4214" s="405">
        <v>776573337</v>
      </c>
      <c r="I4214" s="405"/>
      <c r="J4214" s="405">
        <v>1.0991949999999999</v>
      </c>
      <c r="K4214" s="405">
        <v>34.190297999999999</v>
      </c>
      <c r="L4214" s="405" t="s">
        <v>6866</v>
      </c>
      <c r="M4214" s="405" t="s">
        <v>9514</v>
      </c>
      <c r="N4214" s="405" t="s">
        <v>9722</v>
      </c>
      <c r="O4214" s="405" t="s">
        <v>9530</v>
      </c>
      <c r="P4214" s="405" t="s">
        <v>14604</v>
      </c>
      <c r="Q4214" s="411">
        <v>6</v>
      </c>
      <c r="R4214" s="405" t="s">
        <v>7224</v>
      </c>
      <c r="S4214" s="405" t="s">
        <v>17062</v>
      </c>
      <c r="T4214" s="405" t="s">
        <v>884</v>
      </c>
      <c r="U4214" s="405" t="s">
        <v>319</v>
      </c>
    </row>
    <row r="4215" spans="1:21" x14ac:dyDescent="0.25">
      <c r="A4215" s="405" t="s">
        <v>310</v>
      </c>
      <c r="B4215" s="405" t="s">
        <v>6737</v>
      </c>
      <c r="C4215" s="405" t="s">
        <v>327</v>
      </c>
      <c r="D4215" s="405"/>
      <c r="E4215" s="410">
        <v>42178</v>
      </c>
      <c r="F4215" s="410">
        <v>43119</v>
      </c>
      <c r="G4215" s="405" t="s">
        <v>6738</v>
      </c>
      <c r="H4215" s="405">
        <v>701438687</v>
      </c>
      <c r="I4215" s="405"/>
      <c r="J4215" s="405">
        <v>0.1221</v>
      </c>
      <c r="K4215" s="405">
        <v>32.341200000000001</v>
      </c>
      <c r="L4215" s="405" t="s">
        <v>314</v>
      </c>
      <c r="M4215" s="405" t="s">
        <v>361</v>
      </c>
      <c r="N4215" s="405" t="s">
        <v>362</v>
      </c>
      <c r="O4215" s="405" t="s">
        <v>618</v>
      </c>
      <c r="P4215" s="405" t="s">
        <v>6739</v>
      </c>
      <c r="Q4215" s="411">
        <v>13</v>
      </c>
      <c r="R4215" s="405" t="s">
        <v>525</v>
      </c>
      <c r="S4215" s="405" t="s">
        <v>27053</v>
      </c>
      <c r="T4215" s="405" t="s">
        <v>32102</v>
      </c>
      <c r="U4215" s="405" t="s">
        <v>319</v>
      </c>
    </row>
    <row r="4216" spans="1:21" x14ac:dyDescent="0.25">
      <c r="A4216" s="405" t="s">
        <v>310</v>
      </c>
      <c r="B4216" s="405" t="s">
        <v>22118</v>
      </c>
      <c r="C4216" s="405" t="s">
        <v>327</v>
      </c>
      <c r="D4216" s="405"/>
      <c r="E4216" s="410">
        <v>42178</v>
      </c>
      <c r="F4216" s="410">
        <v>42223</v>
      </c>
      <c r="G4216" s="405" t="s">
        <v>22119</v>
      </c>
      <c r="H4216" s="405">
        <v>772927255</v>
      </c>
      <c r="I4216" s="405"/>
      <c r="J4216" s="405">
        <v>-0.73434500000000003</v>
      </c>
      <c r="K4216" s="405">
        <v>29.949584999999999</v>
      </c>
      <c r="L4216" s="405" t="s">
        <v>590</v>
      </c>
      <c r="M4216" s="405" t="s">
        <v>19619</v>
      </c>
      <c r="N4216" s="405" t="s">
        <v>20033</v>
      </c>
      <c r="O4216" s="405" t="s">
        <v>20033</v>
      </c>
      <c r="P4216" s="405" t="s">
        <v>22120</v>
      </c>
      <c r="Q4216" s="411">
        <v>6</v>
      </c>
      <c r="R4216" s="405" t="s">
        <v>6572</v>
      </c>
      <c r="S4216" s="405" t="s">
        <v>27166</v>
      </c>
      <c r="T4216" s="405" t="s">
        <v>884</v>
      </c>
      <c r="U4216" s="405" t="s">
        <v>319</v>
      </c>
    </row>
    <row r="4217" spans="1:21" x14ac:dyDescent="0.25">
      <c r="A4217" s="405" t="s">
        <v>310</v>
      </c>
      <c r="B4217" s="405" t="s">
        <v>14632</v>
      </c>
      <c r="C4217" s="405" t="s">
        <v>327</v>
      </c>
      <c r="D4217" s="405"/>
      <c r="E4217" s="410">
        <v>42178</v>
      </c>
      <c r="F4217" s="410">
        <v>42223</v>
      </c>
      <c r="G4217" s="405" t="s">
        <v>14633</v>
      </c>
      <c r="H4217" s="405">
        <v>777199892</v>
      </c>
      <c r="I4217" s="405"/>
      <c r="J4217" s="405">
        <v>1.10538</v>
      </c>
      <c r="K4217" s="405">
        <v>34.193122000000002</v>
      </c>
      <c r="L4217" s="405" t="s">
        <v>6866</v>
      </c>
      <c r="M4217" s="405" t="s">
        <v>9514</v>
      </c>
      <c r="N4217" s="405" t="s">
        <v>9722</v>
      </c>
      <c r="O4217" s="405" t="s">
        <v>9530</v>
      </c>
      <c r="P4217" s="405" t="s">
        <v>14621</v>
      </c>
      <c r="Q4217" s="411">
        <v>6</v>
      </c>
      <c r="R4217" s="405" t="s">
        <v>7224</v>
      </c>
      <c r="S4217" s="405" t="s">
        <v>17062</v>
      </c>
      <c r="T4217" s="405" t="s">
        <v>884</v>
      </c>
      <c r="U4217" s="405" t="s">
        <v>319</v>
      </c>
    </row>
    <row r="4218" spans="1:21" x14ac:dyDescent="0.25">
      <c r="A4218" s="405" t="s">
        <v>310</v>
      </c>
      <c r="B4218" s="405" t="s">
        <v>14622</v>
      </c>
      <c r="C4218" s="405" t="s">
        <v>327</v>
      </c>
      <c r="D4218" s="405"/>
      <c r="E4218" s="410">
        <v>42178</v>
      </c>
      <c r="F4218" s="410">
        <v>42223</v>
      </c>
      <c r="G4218" s="405" t="s">
        <v>14623</v>
      </c>
      <c r="H4218" s="405">
        <v>756221950</v>
      </c>
      <c r="I4218" s="405"/>
      <c r="J4218" s="405">
        <v>1.1042050000000001</v>
      </c>
      <c r="K4218" s="405">
        <v>34.202959999999997</v>
      </c>
      <c r="L4218" s="405" t="s">
        <v>6866</v>
      </c>
      <c r="M4218" s="405" t="s">
        <v>9514</v>
      </c>
      <c r="N4218" s="405" t="s">
        <v>9722</v>
      </c>
      <c r="O4218" s="405" t="s">
        <v>9530</v>
      </c>
      <c r="P4218" s="405" t="s">
        <v>14624</v>
      </c>
      <c r="Q4218" s="411">
        <v>6</v>
      </c>
      <c r="R4218" s="405" t="s">
        <v>7224</v>
      </c>
      <c r="S4218" s="405" t="s">
        <v>27337</v>
      </c>
      <c r="T4218" s="405" t="s">
        <v>884</v>
      </c>
      <c r="U4218" s="405" t="s">
        <v>319</v>
      </c>
    </row>
    <row r="4219" spans="1:21" x14ac:dyDescent="0.25">
      <c r="A4219" s="405" t="s">
        <v>310</v>
      </c>
      <c r="B4219" s="405" t="s">
        <v>28871</v>
      </c>
      <c r="C4219" s="405" t="s">
        <v>327</v>
      </c>
      <c r="D4219" s="405"/>
      <c r="E4219" s="410">
        <v>42177</v>
      </c>
      <c r="F4219" s="410">
        <v>42222</v>
      </c>
      <c r="G4219" s="405" t="s">
        <v>14524</v>
      </c>
      <c r="H4219" s="405">
        <v>783769208</v>
      </c>
      <c r="I4219" s="405"/>
      <c r="J4219" s="405">
        <v>1.112498</v>
      </c>
      <c r="K4219" s="405">
        <v>34.217382999999998</v>
      </c>
      <c r="L4219" s="405" t="s">
        <v>6866</v>
      </c>
      <c r="M4219" s="405" t="s">
        <v>9514</v>
      </c>
      <c r="N4219" s="405" t="s">
        <v>9722</v>
      </c>
      <c r="O4219" s="405" t="s">
        <v>9530</v>
      </c>
      <c r="P4219" s="405" t="s">
        <v>10607</v>
      </c>
      <c r="Q4219" s="411">
        <v>6</v>
      </c>
      <c r="R4219" s="405" t="s">
        <v>7224</v>
      </c>
      <c r="S4219" s="405" t="s">
        <v>27169</v>
      </c>
      <c r="T4219" s="405" t="s">
        <v>32746</v>
      </c>
      <c r="U4219" s="405" t="s">
        <v>2267</v>
      </c>
    </row>
    <row r="4220" spans="1:21" x14ac:dyDescent="0.25">
      <c r="A4220" s="405" t="s">
        <v>310</v>
      </c>
      <c r="B4220" s="405" t="s">
        <v>14613</v>
      </c>
      <c r="C4220" s="405" t="s">
        <v>327</v>
      </c>
      <c r="D4220" s="405"/>
      <c r="E4220" s="410">
        <v>42177</v>
      </c>
      <c r="F4220" s="410">
        <v>42222</v>
      </c>
      <c r="G4220" s="405" t="s">
        <v>14614</v>
      </c>
      <c r="H4220" s="405">
        <v>788199419</v>
      </c>
      <c r="I4220" s="405"/>
      <c r="J4220" s="405">
        <v>1.107623</v>
      </c>
      <c r="K4220" s="405">
        <v>34.215730000000001</v>
      </c>
      <c r="L4220" s="405" t="s">
        <v>6866</v>
      </c>
      <c r="M4220" s="405" t="s">
        <v>9514</v>
      </c>
      <c r="N4220" s="405" t="s">
        <v>9722</v>
      </c>
      <c r="O4220" s="405" t="s">
        <v>9530</v>
      </c>
      <c r="P4220" s="405" t="s">
        <v>13529</v>
      </c>
      <c r="Q4220" s="411">
        <v>6</v>
      </c>
      <c r="R4220" s="405" t="s">
        <v>7224</v>
      </c>
      <c r="S4220" s="405" t="s">
        <v>27074</v>
      </c>
      <c r="T4220" s="405" t="s">
        <v>884</v>
      </c>
      <c r="U4220" s="405" t="s">
        <v>319</v>
      </c>
    </row>
    <row r="4221" spans="1:21" x14ac:dyDescent="0.25">
      <c r="A4221" s="405" t="s">
        <v>310</v>
      </c>
      <c r="B4221" s="405" t="s">
        <v>14521</v>
      </c>
      <c r="C4221" s="405" t="s">
        <v>327</v>
      </c>
      <c r="D4221" s="405"/>
      <c r="E4221" s="410">
        <v>42177</v>
      </c>
      <c r="F4221" s="410">
        <v>42222</v>
      </c>
      <c r="G4221" s="405" t="s">
        <v>14522</v>
      </c>
      <c r="H4221" s="405">
        <v>781927887</v>
      </c>
      <c r="I4221" s="405"/>
      <c r="J4221" s="405">
        <v>1.071161</v>
      </c>
      <c r="K4221" s="405">
        <v>34.194113999999999</v>
      </c>
      <c r="L4221" s="405" t="s">
        <v>6866</v>
      </c>
      <c r="M4221" s="405" t="s">
        <v>9514</v>
      </c>
      <c r="N4221" s="405" t="s">
        <v>11792</v>
      </c>
      <c r="O4221" s="405" t="s">
        <v>9530</v>
      </c>
      <c r="P4221" s="405" t="s">
        <v>14523</v>
      </c>
      <c r="Q4221" s="411">
        <v>6</v>
      </c>
      <c r="R4221" s="405" t="s">
        <v>7224</v>
      </c>
      <c r="S4221" s="405" t="s">
        <v>27107</v>
      </c>
      <c r="T4221" s="405" t="s">
        <v>884</v>
      </c>
      <c r="U4221" s="405" t="s">
        <v>319</v>
      </c>
    </row>
    <row r="4222" spans="1:21" x14ac:dyDescent="0.25">
      <c r="A4222" s="405" t="s">
        <v>310</v>
      </c>
      <c r="B4222" s="405" t="s">
        <v>14619</v>
      </c>
      <c r="C4222" s="405" t="s">
        <v>327</v>
      </c>
      <c r="D4222" s="405"/>
      <c r="E4222" s="410">
        <v>42177</v>
      </c>
      <c r="F4222" s="410">
        <v>42222</v>
      </c>
      <c r="G4222" s="405" t="s">
        <v>14620</v>
      </c>
      <c r="H4222" s="405">
        <v>752303635</v>
      </c>
      <c r="I4222" s="405"/>
      <c r="J4222" s="405">
        <v>1.1041570000000001</v>
      </c>
      <c r="K4222" s="405">
        <v>34.192883000000002</v>
      </c>
      <c r="L4222" s="405" t="s">
        <v>6866</v>
      </c>
      <c r="M4222" s="405" t="s">
        <v>9514</v>
      </c>
      <c r="N4222" s="405" t="s">
        <v>9722</v>
      </c>
      <c r="O4222" s="405" t="s">
        <v>9530</v>
      </c>
      <c r="P4222" s="405" t="s">
        <v>14621</v>
      </c>
      <c r="Q4222" s="411">
        <v>6</v>
      </c>
      <c r="R4222" s="405" t="s">
        <v>7224</v>
      </c>
      <c r="S4222" s="405" t="s">
        <v>27204</v>
      </c>
      <c r="T4222" s="405" t="s">
        <v>884</v>
      </c>
      <c r="U4222" s="405" t="s">
        <v>319</v>
      </c>
    </row>
    <row r="4223" spans="1:21" x14ac:dyDescent="0.25">
      <c r="A4223" s="405" t="s">
        <v>310</v>
      </c>
      <c r="B4223" s="405" t="s">
        <v>14597</v>
      </c>
      <c r="C4223" s="405" t="s">
        <v>327</v>
      </c>
      <c r="D4223" s="405"/>
      <c r="E4223" s="410">
        <v>42177</v>
      </c>
      <c r="F4223" s="410">
        <v>42222</v>
      </c>
      <c r="G4223" s="405" t="s">
        <v>14598</v>
      </c>
      <c r="H4223" s="405">
        <v>789745929</v>
      </c>
      <c r="I4223" s="405"/>
      <c r="J4223" s="405">
        <v>1.521998</v>
      </c>
      <c r="K4223" s="405">
        <v>33.220148999999999</v>
      </c>
      <c r="L4223" s="405" t="s">
        <v>6866</v>
      </c>
      <c r="M4223" s="405" t="s">
        <v>9514</v>
      </c>
      <c r="N4223" s="405" t="s">
        <v>9722</v>
      </c>
      <c r="O4223" s="405" t="s">
        <v>9530</v>
      </c>
      <c r="P4223" s="405" t="s">
        <v>13529</v>
      </c>
      <c r="Q4223" s="411">
        <v>6</v>
      </c>
      <c r="R4223" s="405" t="s">
        <v>7224</v>
      </c>
      <c r="S4223" s="405" t="s">
        <v>27306</v>
      </c>
      <c r="T4223" s="405" t="s">
        <v>884</v>
      </c>
      <c r="U4223" s="405" t="s">
        <v>319</v>
      </c>
    </row>
    <row r="4224" spans="1:21" x14ac:dyDescent="0.25">
      <c r="A4224" s="405" t="s">
        <v>310</v>
      </c>
      <c r="B4224" s="405" t="s">
        <v>14615</v>
      </c>
      <c r="C4224" s="405" t="s">
        <v>327</v>
      </c>
      <c r="D4224" s="405"/>
      <c r="E4224" s="410">
        <v>42177</v>
      </c>
      <c r="F4224" s="410">
        <v>42222</v>
      </c>
      <c r="G4224" s="405" t="s">
        <v>14616</v>
      </c>
      <c r="H4224" s="405">
        <v>775026843</v>
      </c>
      <c r="I4224" s="405"/>
      <c r="J4224" s="405">
        <v>1.1415649999999999</v>
      </c>
      <c r="K4224" s="405">
        <v>34.222625000000001</v>
      </c>
      <c r="L4224" s="405" t="s">
        <v>6866</v>
      </c>
      <c r="M4224" s="405" t="s">
        <v>9514</v>
      </c>
      <c r="N4224" s="405" t="s">
        <v>9530</v>
      </c>
      <c r="O4224" s="405" t="s">
        <v>9530</v>
      </c>
      <c r="P4224" s="405" t="s">
        <v>11507</v>
      </c>
      <c r="Q4224" s="411">
        <v>6</v>
      </c>
      <c r="R4224" s="405" t="s">
        <v>7224</v>
      </c>
      <c r="S4224" s="405" t="s">
        <v>27298</v>
      </c>
      <c r="T4224" s="405" t="s">
        <v>884</v>
      </c>
      <c r="U4224" s="405" t="s">
        <v>319</v>
      </c>
    </row>
    <row r="4225" spans="1:21" x14ac:dyDescent="0.25">
      <c r="A4225" s="405" t="s">
        <v>310</v>
      </c>
      <c r="B4225" s="405" t="s">
        <v>14595</v>
      </c>
      <c r="C4225" s="405" t="s">
        <v>327</v>
      </c>
      <c r="D4225" s="405"/>
      <c r="E4225" s="410">
        <v>42177</v>
      </c>
      <c r="F4225" s="410">
        <v>42222</v>
      </c>
      <c r="G4225" s="405" t="s">
        <v>14596</v>
      </c>
      <c r="H4225" s="405">
        <v>774847666</v>
      </c>
      <c r="I4225" s="405"/>
      <c r="J4225" s="405">
        <v>1.1087103</v>
      </c>
      <c r="K4225" s="405">
        <v>34.215003000000003</v>
      </c>
      <c r="L4225" s="405" t="s">
        <v>6866</v>
      </c>
      <c r="M4225" s="405" t="s">
        <v>9514</v>
      </c>
      <c r="N4225" s="405" t="s">
        <v>9722</v>
      </c>
      <c r="O4225" s="405" t="s">
        <v>9530</v>
      </c>
      <c r="P4225" s="405" t="s">
        <v>13529</v>
      </c>
      <c r="Q4225" s="411">
        <v>6</v>
      </c>
      <c r="R4225" s="405" t="s">
        <v>7224</v>
      </c>
      <c r="S4225" s="405" t="s">
        <v>17013</v>
      </c>
      <c r="T4225" s="405" t="s">
        <v>32102</v>
      </c>
      <c r="U4225" s="405" t="s">
        <v>319</v>
      </c>
    </row>
    <row r="4226" spans="1:21" x14ac:dyDescent="0.25">
      <c r="A4226" s="405" t="s">
        <v>310</v>
      </c>
      <c r="B4226" s="405" t="s">
        <v>5698</v>
      </c>
      <c r="C4226" s="405" t="s">
        <v>327</v>
      </c>
      <c r="D4226" s="405"/>
      <c r="E4226" s="410">
        <v>42176</v>
      </c>
      <c r="F4226" s="410">
        <v>42221</v>
      </c>
      <c r="G4226" s="405" t="s">
        <v>5699</v>
      </c>
      <c r="H4226" s="405">
        <v>759392481</v>
      </c>
      <c r="I4226" s="405"/>
      <c r="J4226" s="405">
        <v>9.8683000000000007E-2</v>
      </c>
      <c r="K4226" s="405">
        <v>32.530456999999998</v>
      </c>
      <c r="L4226" s="405" t="s">
        <v>314</v>
      </c>
      <c r="M4226" s="405" t="s">
        <v>361</v>
      </c>
      <c r="N4226" s="405" t="s">
        <v>374</v>
      </c>
      <c r="O4226" s="405" t="s">
        <v>638</v>
      </c>
      <c r="P4226" s="405" t="s">
        <v>5700</v>
      </c>
      <c r="Q4226" s="411">
        <v>9</v>
      </c>
      <c r="R4226" s="405" t="s">
        <v>4176</v>
      </c>
      <c r="S4226" s="405" t="s">
        <v>27059</v>
      </c>
      <c r="T4226" s="405" t="s">
        <v>884</v>
      </c>
      <c r="U4226" s="405" t="s">
        <v>319</v>
      </c>
    </row>
    <row r="4227" spans="1:21" x14ac:dyDescent="0.25">
      <c r="A4227" s="405" t="s">
        <v>310</v>
      </c>
      <c r="B4227" s="405" t="s">
        <v>14608</v>
      </c>
      <c r="C4227" s="405" t="s">
        <v>327</v>
      </c>
      <c r="D4227" s="405"/>
      <c r="E4227" s="410">
        <v>42176</v>
      </c>
      <c r="F4227" s="410">
        <v>42221</v>
      </c>
      <c r="G4227" s="405" t="s">
        <v>14609</v>
      </c>
      <c r="H4227" s="405">
        <v>782178679</v>
      </c>
      <c r="I4227" s="405"/>
      <c r="J4227" s="405">
        <v>1.131043</v>
      </c>
      <c r="K4227" s="405">
        <v>34.217571999999997</v>
      </c>
      <c r="L4227" s="405" t="s">
        <v>6866</v>
      </c>
      <c r="M4227" s="405" t="s">
        <v>9514</v>
      </c>
      <c r="N4227" s="405" t="s">
        <v>9722</v>
      </c>
      <c r="O4227" s="405" t="s">
        <v>9530</v>
      </c>
      <c r="P4227" s="405" t="s">
        <v>14610</v>
      </c>
      <c r="Q4227" s="411">
        <v>6</v>
      </c>
      <c r="R4227" s="405" t="s">
        <v>7224</v>
      </c>
      <c r="S4227" s="405" t="s">
        <v>27072</v>
      </c>
      <c r="T4227" s="405" t="s">
        <v>32102</v>
      </c>
      <c r="U4227" s="405" t="s">
        <v>319</v>
      </c>
    </row>
    <row r="4228" spans="1:21" x14ac:dyDescent="0.25">
      <c r="A4228" s="405" t="s">
        <v>310</v>
      </c>
      <c r="B4228" s="405" t="s">
        <v>40</v>
      </c>
      <c r="C4228" s="405" t="s">
        <v>327</v>
      </c>
      <c r="D4228" s="405"/>
      <c r="E4228" s="410">
        <v>42176</v>
      </c>
      <c r="F4228" s="410">
        <v>42221</v>
      </c>
      <c r="G4228" s="405" t="s">
        <v>14601</v>
      </c>
      <c r="H4228" s="405">
        <v>772855983</v>
      </c>
      <c r="I4228" s="405"/>
      <c r="J4228" s="405">
        <v>1.1105370000000001</v>
      </c>
      <c r="K4228" s="405">
        <v>34.215496999999999</v>
      </c>
      <c r="L4228" s="405" t="s">
        <v>6866</v>
      </c>
      <c r="M4228" s="405" t="s">
        <v>9514</v>
      </c>
      <c r="N4228" s="405" t="s">
        <v>9722</v>
      </c>
      <c r="O4228" s="405" t="s">
        <v>9530</v>
      </c>
      <c r="P4228" s="405" t="s">
        <v>10607</v>
      </c>
      <c r="Q4228" s="411">
        <v>6</v>
      </c>
      <c r="R4228" s="405" t="s">
        <v>7224</v>
      </c>
      <c r="S4228" s="405" t="s">
        <v>27067</v>
      </c>
      <c r="T4228" s="405" t="s">
        <v>884</v>
      </c>
      <c r="U4228" s="405" t="s">
        <v>319</v>
      </c>
    </row>
    <row r="4229" spans="1:21" x14ac:dyDescent="0.25">
      <c r="A4229" s="405" t="s">
        <v>310</v>
      </c>
      <c r="B4229" s="405" t="s">
        <v>6728</v>
      </c>
      <c r="C4229" s="405" t="s">
        <v>327</v>
      </c>
      <c r="D4229" s="405"/>
      <c r="E4229" s="410">
        <v>42175</v>
      </c>
      <c r="F4229" s="410">
        <v>43113</v>
      </c>
      <c r="G4229" s="405" t="s">
        <v>6729</v>
      </c>
      <c r="H4229" s="405">
        <v>700308804</v>
      </c>
      <c r="I4229" s="405">
        <v>701587835</v>
      </c>
      <c r="J4229" s="405">
        <v>0.31099300000000002</v>
      </c>
      <c r="K4229" s="405">
        <v>31.758839999999999</v>
      </c>
      <c r="L4229" s="405" t="s">
        <v>314</v>
      </c>
      <c r="M4229" s="405" t="s">
        <v>382</v>
      </c>
      <c r="N4229" s="405" t="s">
        <v>2265</v>
      </c>
      <c r="O4229" s="405" t="s">
        <v>1265</v>
      </c>
      <c r="P4229" s="405" t="s">
        <v>1265</v>
      </c>
      <c r="Q4229" s="411">
        <v>13</v>
      </c>
      <c r="R4229" s="405" t="s">
        <v>402</v>
      </c>
      <c r="S4229" s="405" t="s">
        <v>27164</v>
      </c>
      <c r="T4229" s="405" t="s">
        <v>865</v>
      </c>
      <c r="U4229" s="405" t="s">
        <v>866</v>
      </c>
    </row>
    <row r="4230" spans="1:21" x14ac:dyDescent="0.25">
      <c r="A4230" s="405" t="s">
        <v>310</v>
      </c>
      <c r="B4230" s="405" t="s">
        <v>6271</v>
      </c>
      <c r="C4230" s="405" t="s">
        <v>311</v>
      </c>
      <c r="D4230" s="405" t="s">
        <v>839</v>
      </c>
      <c r="E4230" s="410">
        <v>42175</v>
      </c>
      <c r="F4230" s="410">
        <v>42220</v>
      </c>
      <c r="G4230" s="405" t="s">
        <v>6272</v>
      </c>
      <c r="H4230" s="405">
        <v>752658518</v>
      </c>
      <c r="I4230" s="405"/>
      <c r="J4230" s="405">
        <v>0.58177699999999999</v>
      </c>
      <c r="K4230" s="405">
        <v>30.525929999999999</v>
      </c>
      <c r="L4230" s="405" t="s">
        <v>314</v>
      </c>
      <c r="M4230" s="405" t="s">
        <v>361</v>
      </c>
      <c r="N4230" s="405" t="s">
        <v>374</v>
      </c>
      <c r="O4230" s="405" t="s">
        <v>6215</v>
      </c>
      <c r="P4230" s="405" t="s">
        <v>6273</v>
      </c>
      <c r="Q4230" s="411">
        <v>13</v>
      </c>
      <c r="R4230" s="405" t="s">
        <v>525</v>
      </c>
      <c r="S4230" s="405" t="s">
        <v>27139</v>
      </c>
      <c r="T4230" s="405" t="s">
        <v>884</v>
      </c>
      <c r="U4230" s="405" t="s">
        <v>319</v>
      </c>
    </row>
    <row r="4231" spans="1:21" x14ac:dyDescent="0.25">
      <c r="A4231" s="405" t="s">
        <v>310</v>
      </c>
      <c r="B4231" s="405" t="s">
        <v>14634</v>
      </c>
      <c r="C4231" s="405" t="s">
        <v>327</v>
      </c>
      <c r="D4231" s="405"/>
      <c r="E4231" s="410">
        <v>42175</v>
      </c>
      <c r="F4231" s="410">
        <v>42220</v>
      </c>
      <c r="G4231" s="405" t="s">
        <v>14635</v>
      </c>
      <c r="H4231" s="405">
        <v>774052738</v>
      </c>
      <c r="I4231" s="405"/>
      <c r="J4231" s="405">
        <v>1.107062</v>
      </c>
      <c r="K4231" s="405">
        <v>34.192861999999998</v>
      </c>
      <c r="L4231" s="405" t="s">
        <v>6866</v>
      </c>
      <c r="M4231" s="405" t="s">
        <v>9514</v>
      </c>
      <c r="N4231" s="405" t="s">
        <v>9722</v>
      </c>
      <c r="O4231" s="405" t="s">
        <v>9530</v>
      </c>
      <c r="P4231" s="405" t="s">
        <v>13626</v>
      </c>
      <c r="Q4231" s="411">
        <v>6</v>
      </c>
      <c r="R4231" s="405" t="s">
        <v>7224</v>
      </c>
      <c r="S4231" s="405" t="s">
        <v>27337</v>
      </c>
      <c r="T4231" s="405" t="s">
        <v>32102</v>
      </c>
      <c r="U4231" s="405" t="s">
        <v>319</v>
      </c>
    </row>
    <row r="4232" spans="1:21" x14ac:dyDescent="0.25">
      <c r="A4232" s="405" t="s">
        <v>310</v>
      </c>
      <c r="B4232" s="405" t="s">
        <v>27505</v>
      </c>
      <c r="C4232" s="405" t="s">
        <v>327</v>
      </c>
      <c r="D4232" s="405"/>
      <c r="E4232" s="410">
        <v>42174</v>
      </c>
      <c r="F4232" s="410">
        <v>42229</v>
      </c>
      <c r="G4232" s="405" t="s">
        <v>14599</v>
      </c>
      <c r="H4232" s="405">
        <v>772829487</v>
      </c>
      <c r="I4232" s="405"/>
      <c r="J4232" s="405">
        <v>1.111475</v>
      </c>
      <c r="K4232" s="405">
        <v>34.215561999999998</v>
      </c>
      <c r="L4232" s="405" t="s">
        <v>6866</v>
      </c>
      <c r="M4232" s="405" t="s">
        <v>9514</v>
      </c>
      <c r="N4232" s="405" t="s">
        <v>9722</v>
      </c>
      <c r="O4232" s="405" t="s">
        <v>9530</v>
      </c>
      <c r="P4232" s="405" t="s">
        <v>14600</v>
      </c>
      <c r="Q4232" s="411">
        <v>6</v>
      </c>
      <c r="R4232" s="405" t="s">
        <v>7224</v>
      </c>
      <c r="S4232" s="405" t="s">
        <v>27142</v>
      </c>
      <c r="T4232" s="405" t="s">
        <v>884</v>
      </c>
      <c r="U4232" s="405" t="s">
        <v>319</v>
      </c>
    </row>
    <row r="4233" spans="1:21" x14ac:dyDescent="0.25">
      <c r="A4233" s="405" t="s">
        <v>310</v>
      </c>
      <c r="B4233" s="405" t="s">
        <v>14605</v>
      </c>
      <c r="C4233" s="405" t="s">
        <v>327</v>
      </c>
      <c r="D4233" s="405"/>
      <c r="E4233" s="410">
        <v>42174</v>
      </c>
      <c r="F4233" s="410">
        <v>42219</v>
      </c>
      <c r="G4233" s="405" t="s">
        <v>14606</v>
      </c>
      <c r="H4233" s="405">
        <v>704576009</v>
      </c>
      <c r="I4233" s="405"/>
      <c r="J4233" s="405">
        <v>1.116865</v>
      </c>
      <c r="K4233" s="405">
        <v>34.199845000000003</v>
      </c>
      <c r="L4233" s="405" t="s">
        <v>6866</v>
      </c>
      <c r="M4233" s="405" t="s">
        <v>9514</v>
      </c>
      <c r="N4233" s="405" t="s">
        <v>9722</v>
      </c>
      <c r="O4233" s="405" t="s">
        <v>9530</v>
      </c>
      <c r="P4233" s="405" t="s">
        <v>14607</v>
      </c>
      <c r="Q4233" s="411">
        <v>6</v>
      </c>
      <c r="R4233" s="405" t="s">
        <v>7224</v>
      </c>
      <c r="S4233" s="405" t="s">
        <v>27353</v>
      </c>
      <c r="T4233" s="405" t="s">
        <v>884</v>
      </c>
      <c r="U4233" s="405" t="s">
        <v>319</v>
      </c>
    </row>
    <row r="4234" spans="1:21" x14ac:dyDescent="0.25">
      <c r="A4234" s="405" t="s">
        <v>310</v>
      </c>
      <c r="B4234" s="406" t="s">
        <v>32151</v>
      </c>
      <c r="C4234" s="405" t="s">
        <v>327</v>
      </c>
      <c r="D4234" s="405"/>
      <c r="E4234" s="406" t="s">
        <v>32152</v>
      </c>
      <c r="F4234" s="407">
        <v>44875</v>
      </c>
      <c r="G4234" s="406" t="s">
        <v>32153</v>
      </c>
      <c r="H4234" s="406" t="s">
        <v>32154</v>
      </c>
      <c r="I4234" s="406" t="s">
        <v>32155</v>
      </c>
      <c r="J4234" s="408">
        <v>0.43247200000000002</v>
      </c>
      <c r="K4234" s="408">
        <v>32.639800000000001</v>
      </c>
      <c r="L4234" s="406" t="s">
        <v>314</v>
      </c>
      <c r="M4234" s="406" t="s">
        <v>361</v>
      </c>
      <c r="N4234" s="406" t="s">
        <v>32122</v>
      </c>
      <c r="O4234" s="406" t="s">
        <v>363</v>
      </c>
      <c r="P4234" s="406" t="s">
        <v>4885</v>
      </c>
      <c r="Q4234" s="409">
        <v>45</v>
      </c>
      <c r="R4234" s="406" t="s">
        <v>32101</v>
      </c>
      <c r="S4234" s="406" t="s">
        <v>32156</v>
      </c>
      <c r="T4234" s="405" t="s">
        <v>884</v>
      </c>
      <c r="U4234" s="405" t="s">
        <v>319</v>
      </c>
    </row>
    <row r="4235" spans="1:21" x14ac:dyDescent="0.25">
      <c r="A4235" s="405" t="s">
        <v>310</v>
      </c>
      <c r="B4235" s="405" t="s">
        <v>27852</v>
      </c>
      <c r="C4235" s="405" t="s">
        <v>327</v>
      </c>
      <c r="D4235" s="405"/>
      <c r="E4235" s="410">
        <v>42173</v>
      </c>
      <c r="F4235" s="410">
        <v>42218</v>
      </c>
      <c r="G4235" s="405" t="s">
        <v>22089</v>
      </c>
      <c r="H4235" s="405">
        <v>786120075</v>
      </c>
      <c r="I4235" s="405"/>
      <c r="J4235" s="405">
        <v>0.91500499999999996</v>
      </c>
      <c r="K4235" s="405">
        <v>29.612739999999999</v>
      </c>
      <c r="L4235" s="405" t="s">
        <v>590</v>
      </c>
      <c r="M4235" s="405" t="s">
        <v>20808</v>
      </c>
      <c r="N4235" s="405" t="s">
        <v>22090</v>
      </c>
      <c r="O4235" s="405" t="s">
        <v>22090</v>
      </c>
      <c r="P4235" s="405" t="s">
        <v>22091</v>
      </c>
      <c r="Q4235" s="411">
        <v>9</v>
      </c>
      <c r="R4235" s="405" t="s">
        <v>5858</v>
      </c>
      <c r="S4235" s="405" t="s">
        <v>27163</v>
      </c>
      <c r="T4235" s="405" t="s">
        <v>884</v>
      </c>
      <c r="U4235" s="405" t="s">
        <v>319</v>
      </c>
    </row>
    <row r="4236" spans="1:21" x14ac:dyDescent="0.25">
      <c r="A4236" s="405" t="s">
        <v>310</v>
      </c>
      <c r="B4236" s="405" t="s">
        <v>28583</v>
      </c>
      <c r="C4236" s="405" t="s">
        <v>327</v>
      </c>
      <c r="D4236" s="405"/>
      <c r="E4236" s="410">
        <v>42173</v>
      </c>
      <c r="F4236" s="410">
        <v>42218</v>
      </c>
      <c r="G4236" s="405" t="s">
        <v>14592</v>
      </c>
      <c r="H4236" s="405">
        <v>755351881</v>
      </c>
      <c r="I4236" s="405"/>
      <c r="J4236" s="405">
        <v>1.11083</v>
      </c>
      <c r="K4236" s="405">
        <v>34.215535000000003</v>
      </c>
      <c r="L4236" s="405" t="s">
        <v>6866</v>
      </c>
      <c r="M4236" s="405" t="s">
        <v>9514</v>
      </c>
      <c r="N4236" s="405" t="s">
        <v>9722</v>
      </c>
      <c r="O4236" s="405" t="s">
        <v>9530</v>
      </c>
      <c r="P4236" s="405" t="s">
        <v>10607</v>
      </c>
      <c r="Q4236" s="411">
        <v>6</v>
      </c>
      <c r="R4236" s="405" t="s">
        <v>7224</v>
      </c>
      <c r="S4236" s="405" t="s">
        <v>27259</v>
      </c>
      <c r="T4236" s="405" t="s">
        <v>32102</v>
      </c>
      <c r="U4236" s="405" t="s">
        <v>319</v>
      </c>
    </row>
    <row r="4237" spans="1:21" x14ac:dyDescent="0.25">
      <c r="A4237" s="405" t="s">
        <v>310</v>
      </c>
      <c r="B4237" s="405" t="s">
        <v>5682</v>
      </c>
      <c r="C4237" s="405" t="s">
        <v>327</v>
      </c>
      <c r="D4237" s="405"/>
      <c r="E4237" s="410">
        <v>42173</v>
      </c>
      <c r="F4237" s="410">
        <v>42218</v>
      </c>
      <c r="G4237" s="405" t="s">
        <v>5683</v>
      </c>
      <c r="H4237" s="405">
        <v>756022588</v>
      </c>
      <c r="I4237" s="405"/>
      <c r="J4237" s="405">
        <v>0.86331500000000005</v>
      </c>
      <c r="K4237" s="405">
        <v>31.650182999999998</v>
      </c>
      <c r="L4237" s="405" t="s">
        <v>314</v>
      </c>
      <c r="M4237" s="405" t="s">
        <v>1360</v>
      </c>
      <c r="N4237" s="405" t="s">
        <v>5498</v>
      </c>
      <c r="O4237" s="405" t="s">
        <v>5498</v>
      </c>
      <c r="P4237" s="405" t="s">
        <v>1456</v>
      </c>
      <c r="Q4237" s="411">
        <v>6</v>
      </c>
      <c r="R4237" s="405" t="s">
        <v>525</v>
      </c>
      <c r="S4237" s="405" t="s">
        <v>27225</v>
      </c>
      <c r="T4237" s="405" t="s">
        <v>884</v>
      </c>
      <c r="U4237" s="405" t="s">
        <v>319</v>
      </c>
    </row>
    <row r="4238" spans="1:21" x14ac:dyDescent="0.25">
      <c r="A4238" s="405" t="s">
        <v>310</v>
      </c>
      <c r="B4238" s="405" t="s">
        <v>14593</v>
      </c>
      <c r="C4238" s="405" t="s">
        <v>327</v>
      </c>
      <c r="D4238" s="405"/>
      <c r="E4238" s="410">
        <v>42173</v>
      </c>
      <c r="F4238" s="410">
        <v>42218</v>
      </c>
      <c r="G4238" s="405" t="s">
        <v>14594</v>
      </c>
      <c r="H4238" s="405">
        <v>782426671</v>
      </c>
      <c r="I4238" s="405"/>
      <c r="J4238" s="405">
        <v>1.145818</v>
      </c>
      <c r="K4238" s="405">
        <v>34.216855000000002</v>
      </c>
      <c r="L4238" s="405" t="s">
        <v>6866</v>
      </c>
      <c r="M4238" s="405" t="s">
        <v>9514</v>
      </c>
      <c r="N4238" s="405" t="s">
        <v>9722</v>
      </c>
      <c r="O4238" s="405" t="s">
        <v>9530</v>
      </c>
      <c r="P4238" s="405" t="s">
        <v>11507</v>
      </c>
      <c r="Q4238" s="411">
        <v>6</v>
      </c>
      <c r="R4238" s="405" t="s">
        <v>7224</v>
      </c>
      <c r="S4238" s="405" t="s">
        <v>27298</v>
      </c>
      <c r="T4238" s="405" t="s">
        <v>865</v>
      </c>
      <c r="U4238" s="405" t="s">
        <v>866</v>
      </c>
    </row>
    <row r="4239" spans="1:21" x14ac:dyDescent="0.25">
      <c r="A4239" s="405" t="s">
        <v>310</v>
      </c>
      <c r="B4239" s="405" t="s">
        <v>14588</v>
      </c>
      <c r="C4239" s="405" t="s">
        <v>327</v>
      </c>
      <c r="D4239" s="405"/>
      <c r="E4239" s="410">
        <v>42172</v>
      </c>
      <c r="F4239" s="410">
        <v>42217</v>
      </c>
      <c r="G4239" s="405" t="s">
        <v>14589</v>
      </c>
      <c r="H4239" s="405">
        <v>788008838</v>
      </c>
      <c r="I4239" s="405"/>
      <c r="J4239" s="405">
        <v>1.110028</v>
      </c>
      <c r="K4239" s="405">
        <v>34.203198</v>
      </c>
      <c r="L4239" s="405" t="s">
        <v>6866</v>
      </c>
      <c r="M4239" s="405" t="s">
        <v>9514</v>
      </c>
      <c r="N4239" s="405" t="s">
        <v>9722</v>
      </c>
      <c r="O4239" s="405" t="s">
        <v>9530</v>
      </c>
      <c r="P4239" s="405" t="s">
        <v>11385</v>
      </c>
      <c r="Q4239" s="411">
        <v>6</v>
      </c>
      <c r="R4239" s="405" t="s">
        <v>7224</v>
      </c>
      <c r="S4239" s="405" t="s">
        <v>27348</v>
      </c>
      <c r="T4239" s="405" t="s">
        <v>884</v>
      </c>
      <c r="U4239" s="405" t="s">
        <v>319</v>
      </c>
    </row>
    <row r="4240" spans="1:21" x14ac:dyDescent="0.25">
      <c r="A4240" s="405" t="s">
        <v>310</v>
      </c>
      <c r="B4240" s="405" t="s">
        <v>14585</v>
      </c>
      <c r="C4240" s="405" t="s">
        <v>327</v>
      </c>
      <c r="D4240" s="405"/>
      <c r="E4240" s="410">
        <v>42172</v>
      </c>
      <c r="F4240" s="410">
        <v>42217</v>
      </c>
      <c r="G4240" s="405" t="s">
        <v>14586</v>
      </c>
      <c r="H4240" s="405">
        <v>776549487</v>
      </c>
      <c r="I4240" s="405"/>
      <c r="J4240" s="405">
        <v>1.1455329999999999</v>
      </c>
      <c r="K4240" s="405">
        <v>34.217897999999998</v>
      </c>
      <c r="L4240" s="405" t="s">
        <v>6866</v>
      </c>
      <c r="M4240" s="405" t="s">
        <v>9514</v>
      </c>
      <c r="N4240" s="405" t="s">
        <v>9722</v>
      </c>
      <c r="O4240" s="405" t="s">
        <v>9530</v>
      </c>
      <c r="P4240" s="405" t="s">
        <v>14587</v>
      </c>
      <c r="Q4240" s="411">
        <v>6</v>
      </c>
      <c r="R4240" s="405" t="s">
        <v>7224</v>
      </c>
      <c r="S4240" s="405" t="s">
        <v>27337</v>
      </c>
      <c r="T4240" s="405" t="s">
        <v>884</v>
      </c>
      <c r="U4240" s="405" t="s">
        <v>319</v>
      </c>
    </row>
    <row r="4241" spans="1:21" x14ac:dyDescent="0.25">
      <c r="A4241" s="405" t="s">
        <v>310</v>
      </c>
      <c r="B4241" s="405" t="s">
        <v>14590</v>
      </c>
      <c r="C4241" s="405" t="s">
        <v>327</v>
      </c>
      <c r="D4241" s="405"/>
      <c r="E4241" s="410">
        <v>42172</v>
      </c>
      <c r="F4241" s="410">
        <v>42217</v>
      </c>
      <c r="G4241" s="405" t="s">
        <v>14591</v>
      </c>
      <c r="H4241" s="405">
        <v>785277781</v>
      </c>
      <c r="I4241" s="405"/>
      <c r="J4241" s="405">
        <v>1.138803</v>
      </c>
      <c r="K4241" s="405">
        <v>34.220734999999998</v>
      </c>
      <c r="L4241" s="405" t="s">
        <v>6866</v>
      </c>
      <c r="M4241" s="405" t="s">
        <v>9514</v>
      </c>
      <c r="N4241" s="405" t="s">
        <v>9530</v>
      </c>
      <c r="O4241" s="405" t="s">
        <v>9530</v>
      </c>
      <c r="P4241" s="405" t="s">
        <v>14518</v>
      </c>
      <c r="Q4241" s="411">
        <v>6</v>
      </c>
      <c r="R4241" s="405" t="s">
        <v>7224</v>
      </c>
      <c r="S4241" s="405" t="s">
        <v>27298</v>
      </c>
      <c r="T4241" s="405" t="s">
        <v>884</v>
      </c>
      <c r="U4241" s="405" t="s">
        <v>319</v>
      </c>
    </row>
    <row r="4242" spans="1:21" x14ac:dyDescent="0.25">
      <c r="A4242" s="405" t="s">
        <v>310</v>
      </c>
      <c r="B4242" s="405" t="s">
        <v>28943</v>
      </c>
      <c r="C4242" s="405" t="s">
        <v>311</v>
      </c>
      <c r="D4242" s="405" t="s">
        <v>839</v>
      </c>
      <c r="E4242" s="410">
        <v>42170</v>
      </c>
      <c r="F4242" s="410">
        <v>42215</v>
      </c>
      <c r="G4242" s="405" t="s">
        <v>6214</v>
      </c>
      <c r="H4242" s="405">
        <v>752805973</v>
      </c>
      <c r="I4242" s="405"/>
      <c r="J4242" s="405">
        <v>0.19762199999999999</v>
      </c>
      <c r="K4242" s="405">
        <v>30.462187</v>
      </c>
      <c r="L4242" s="405" t="s">
        <v>314</v>
      </c>
      <c r="M4242" s="405" t="s">
        <v>361</v>
      </c>
      <c r="N4242" s="405" t="s">
        <v>362</v>
      </c>
      <c r="O4242" s="405" t="s">
        <v>5703</v>
      </c>
      <c r="P4242" s="405" t="s">
        <v>6215</v>
      </c>
      <c r="Q4242" s="411">
        <v>13</v>
      </c>
      <c r="R4242" s="405" t="s">
        <v>5739</v>
      </c>
      <c r="S4242" s="405" t="s">
        <v>27186</v>
      </c>
      <c r="T4242" s="405" t="s">
        <v>884</v>
      </c>
      <c r="U4242" s="405" t="s">
        <v>319</v>
      </c>
    </row>
    <row r="4243" spans="1:21" x14ac:dyDescent="0.25">
      <c r="A4243" s="405" t="s">
        <v>310</v>
      </c>
      <c r="B4243" s="405" t="s">
        <v>22049</v>
      </c>
      <c r="C4243" s="405" t="s">
        <v>327</v>
      </c>
      <c r="D4243" s="405"/>
      <c r="E4243" s="410">
        <v>42170</v>
      </c>
      <c r="F4243" s="410">
        <v>42215</v>
      </c>
      <c r="G4243" s="405" t="s">
        <v>22050</v>
      </c>
      <c r="H4243" s="405">
        <v>702118399</v>
      </c>
      <c r="I4243" s="405"/>
      <c r="J4243" s="405">
        <v>-0.27373700000000001</v>
      </c>
      <c r="K4243" s="405">
        <v>30.889749999999999</v>
      </c>
      <c r="L4243" s="405" t="s">
        <v>590</v>
      </c>
      <c r="M4243" s="405" t="s">
        <v>19705</v>
      </c>
      <c r="N4243" s="405" t="s">
        <v>19706</v>
      </c>
      <c r="O4243" s="405" t="s">
        <v>21291</v>
      </c>
      <c r="P4243" s="405" t="s">
        <v>19677</v>
      </c>
      <c r="Q4243" s="411">
        <v>9</v>
      </c>
      <c r="R4243" s="405" t="s">
        <v>874</v>
      </c>
      <c r="S4243" s="405" t="s">
        <v>27132</v>
      </c>
      <c r="T4243" s="405" t="s">
        <v>884</v>
      </c>
      <c r="U4243" s="405" t="s">
        <v>319</v>
      </c>
    </row>
    <row r="4244" spans="1:21" x14ac:dyDescent="0.25">
      <c r="A4244" s="405" t="s">
        <v>310</v>
      </c>
      <c r="B4244" s="405" t="s">
        <v>14519</v>
      </c>
      <c r="C4244" s="405" t="s">
        <v>327</v>
      </c>
      <c r="D4244" s="405"/>
      <c r="E4244" s="410">
        <v>42170</v>
      </c>
      <c r="F4244" s="410">
        <v>42215</v>
      </c>
      <c r="G4244" s="405" t="s">
        <v>14520</v>
      </c>
      <c r="H4244" s="405">
        <v>756630460</v>
      </c>
      <c r="I4244" s="405"/>
      <c r="J4244" s="405">
        <v>1.1067100000000001</v>
      </c>
      <c r="K4244" s="405">
        <v>34.199482000000003</v>
      </c>
      <c r="L4244" s="405" t="s">
        <v>6866</v>
      </c>
      <c r="M4244" s="405" t="s">
        <v>9514</v>
      </c>
      <c r="N4244" s="405" t="s">
        <v>9722</v>
      </c>
      <c r="O4244" s="405" t="s">
        <v>9530</v>
      </c>
      <c r="P4244" s="405" t="s">
        <v>11385</v>
      </c>
      <c r="Q4244" s="411">
        <v>6</v>
      </c>
      <c r="R4244" s="405" t="s">
        <v>7224</v>
      </c>
      <c r="S4244" s="405" t="s">
        <v>27310</v>
      </c>
      <c r="T4244" s="405" t="s">
        <v>884</v>
      </c>
      <c r="U4244" s="405" t="s">
        <v>319</v>
      </c>
    </row>
    <row r="4245" spans="1:21" x14ac:dyDescent="0.25">
      <c r="A4245" s="405" t="s">
        <v>310</v>
      </c>
      <c r="B4245" s="405" t="s">
        <v>5649</v>
      </c>
      <c r="C4245" s="405" t="s">
        <v>327</v>
      </c>
      <c r="D4245" s="405"/>
      <c r="E4245" s="410">
        <v>42170</v>
      </c>
      <c r="F4245" s="410">
        <v>42215</v>
      </c>
      <c r="G4245" s="405" t="s">
        <v>5650</v>
      </c>
      <c r="H4245" s="405">
        <v>758650061</v>
      </c>
      <c r="I4245" s="405"/>
      <c r="J4245" s="405">
        <v>0.407198</v>
      </c>
      <c r="K4245" s="405">
        <v>32.511893000000001</v>
      </c>
      <c r="L4245" s="405" t="s">
        <v>314</v>
      </c>
      <c r="M4245" s="405" t="s">
        <v>361</v>
      </c>
      <c r="N4245" s="405" t="s">
        <v>1341</v>
      </c>
      <c r="O4245" s="405" t="s">
        <v>1341</v>
      </c>
      <c r="P4245" s="405" t="s">
        <v>5651</v>
      </c>
      <c r="Q4245" s="411">
        <v>6</v>
      </c>
      <c r="R4245" s="405" t="s">
        <v>525</v>
      </c>
      <c r="S4245" s="405" t="s">
        <v>27235</v>
      </c>
      <c r="T4245" s="405" t="s">
        <v>884</v>
      </c>
      <c r="U4245" s="405" t="s">
        <v>319</v>
      </c>
    </row>
    <row r="4246" spans="1:21" x14ac:dyDescent="0.25">
      <c r="A4246" s="405" t="s">
        <v>310</v>
      </c>
      <c r="B4246" s="405" t="s">
        <v>14495</v>
      </c>
      <c r="C4246" s="405" t="s">
        <v>327</v>
      </c>
      <c r="D4246" s="405"/>
      <c r="E4246" s="410">
        <v>42170</v>
      </c>
      <c r="F4246" s="410">
        <v>42215</v>
      </c>
      <c r="G4246" s="405" t="s">
        <v>14496</v>
      </c>
      <c r="H4246" s="405">
        <v>772960920</v>
      </c>
      <c r="I4246" s="405"/>
      <c r="J4246" s="405">
        <v>1.1097379999999999</v>
      </c>
      <c r="K4246" s="405">
        <v>34.201897000000002</v>
      </c>
      <c r="L4246" s="405" t="s">
        <v>6866</v>
      </c>
      <c r="M4246" s="405" t="s">
        <v>9514</v>
      </c>
      <c r="N4246" s="405" t="s">
        <v>9529</v>
      </c>
      <c r="O4246" s="405" t="s">
        <v>9530</v>
      </c>
      <c r="P4246" s="405" t="s">
        <v>11385</v>
      </c>
      <c r="Q4246" s="411">
        <v>6</v>
      </c>
      <c r="R4246" s="405" t="s">
        <v>7224</v>
      </c>
      <c r="S4246" s="405" t="s">
        <v>17062</v>
      </c>
      <c r="T4246" s="405" t="s">
        <v>6551</v>
      </c>
      <c r="U4246" s="405" t="s">
        <v>2267</v>
      </c>
    </row>
    <row r="4247" spans="1:21" x14ac:dyDescent="0.25">
      <c r="A4247" s="405" t="s">
        <v>310</v>
      </c>
      <c r="B4247" s="405" t="s">
        <v>14504</v>
      </c>
      <c r="C4247" s="405" t="s">
        <v>327</v>
      </c>
      <c r="D4247" s="405"/>
      <c r="E4247" s="410">
        <v>42169</v>
      </c>
      <c r="F4247" s="410">
        <v>42214</v>
      </c>
      <c r="G4247" s="405" t="s">
        <v>14505</v>
      </c>
      <c r="H4247" s="405">
        <v>779961482</v>
      </c>
      <c r="I4247" s="405"/>
      <c r="J4247" s="405">
        <v>1.1155029999999999</v>
      </c>
      <c r="K4247" s="405">
        <v>34.205077000000003</v>
      </c>
      <c r="L4247" s="405" t="s">
        <v>6866</v>
      </c>
      <c r="M4247" s="405" t="s">
        <v>9514</v>
      </c>
      <c r="N4247" s="405" t="s">
        <v>9722</v>
      </c>
      <c r="O4247" s="405" t="s">
        <v>9530</v>
      </c>
      <c r="P4247" s="405" t="s">
        <v>14506</v>
      </c>
      <c r="Q4247" s="411">
        <v>6</v>
      </c>
      <c r="R4247" s="405" t="s">
        <v>7224</v>
      </c>
      <c r="S4247" s="405" t="s">
        <v>27302</v>
      </c>
      <c r="T4247" s="405" t="s">
        <v>865</v>
      </c>
      <c r="U4247" s="405" t="s">
        <v>866</v>
      </c>
    </row>
    <row r="4248" spans="1:21" x14ac:dyDescent="0.25">
      <c r="A4248" s="405" t="s">
        <v>310</v>
      </c>
      <c r="B4248" s="405" t="s">
        <v>14463</v>
      </c>
      <c r="C4248" s="405" t="s">
        <v>327</v>
      </c>
      <c r="D4248" s="405"/>
      <c r="E4248" s="410">
        <v>42169</v>
      </c>
      <c r="F4248" s="410">
        <v>42214</v>
      </c>
      <c r="G4248" s="405" t="s">
        <v>14464</v>
      </c>
      <c r="H4248" s="405">
        <v>782886934</v>
      </c>
      <c r="I4248" s="405">
        <v>778715632</v>
      </c>
      <c r="J4248" s="405">
        <v>1.0007219999999999</v>
      </c>
      <c r="K4248" s="405">
        <v>34.336736999999999</v>
      </c>
      <c r="L4248" s="405" t="s">
        <v>6866</v>
      </c>
      <c r="M4248" s="405" t="s">
        <v>9763</v>
      </c>
      <c r="N4248" s="405" t="s">
        <v>10174</v>
      </c>
      <c r="O4248" s="405" t="s">
        <v>1590</v>
      </c>
      <c r="P4248" s="405" t="s">
        <v>14465</v>
      </c>
      <c r="Q4248" s="411">
        <v>6</v>
      </c>
      <c r="R4248" s="405" t="s">
        <v>7224</v>
      </c>
      <c r="S4248" s="405" t="s">
        <v>27306</v>
      </c>
      <c r="T4248" s="405" t="s">
        <v>884</v>
      </c>
      <c r="U4248" s="405" t="s">
        <v>319</v>
      </c>
    </row>
    <row r="4249" spans="1:21" x14ac:dyDescent="0.25">
      <c r="A4249" s="405" t="s">
        <v>310</v>
      </c>
      <c r="B4249" s="405" t="s">
        <v>14507</v>
      </c>
      <c r="C4249" s="405" t="s">
        <v>327</v>
      </c>
      <c r="D4249" s="405"/>
      <c r="E4249" s="410">
        <v>42169</v>
      </c>
      <c r="F4249" s="410">
        <v>42214</v>
      </c>
      <c r="G4249" s="405" t="s">
        <v>14508</v>
      </c>
      <c r="H4249" s="405">
        <v>772777184</v>
      </c>
      <c r="I4249" s="405"/>
      <c r="J4249" s="405">
        <v>1.11456</v>
      </c>
      <c r="K4249" s="405">
        <v>34.208168000000001</v>
      </c>
      <c r="L4249" s="405" t="s">
        <v>6866</v>
      </c>
      <c r="M4249" s="405" t="s">
        <v>9514</v>
      </c>
      <c r="N4249" s="405" t="s">
        <v>9722</v>
      </c>
      <c r="O4249" s="405" t="s">
        <v>9530</v>
      </c>
      <c r="P4249" s="405" t="s">
        <v>14509</v>
      </c>
      <c r="Q4249" s="411">
        <v>6</v>
      </c>
      <c r="R4249" s="405" t="s">
        <v>7224</v>
      </c>
      <c r="S4249" s="405" t="s">
        <v>27204</v>
      </c>
      <c r="T4249" s="405" t="s">
        <v>884</v>
      </c>
      <c r="U4249" s="405" t="s">
        <v>319</v>
      </c>
    </row>
    <row r="4250" spans="1:21" x14ac:dyDescent="0.25">
      <c r="A4250" s="405" t="s">
        <v>310</v>
      </c>
      <c r="B4250" s="405" t="s">
        <v>14442</v>
      </c>
      <c r="C4250" s="405" t="s">
        <v>327</v>
      </c>
      <c r="D4250" s="405"/>
      <c r="E4250" s="410">
        <v>42169</v>
      </c>
      <c r="F4250" s="410">
        <v>42214</v>
      </c>
      <c r="G4250" s="405" t="s">
        <v>14443</v>
      </c>
      <c r="H4250" s="405">
        <v>785675475</v>
      </c>
      <c r="I4250" s="405"/>
      <c r="J4250" s="405">
        <v>1.105637</v>
      </c>
      <c r="K4250" s="405">
        <v>34.187617000000003</v>
      </c>
      <c r="L4250" s="405" t="s">
        <v>6866</v>
      </c>
      <c r="M4250" s="405" t="s">
        <v>9514</v>
      </c>
      <c r="N4250" s="405" t="s">
        <v>9722</v>
      </c>
      <c r="O4250" s="405" t="s">
        <v>9530</v>
      </c>
      <c r="P4250" s="405" t="s">
        <v>11967</v>
      </c>
      <c r="Q4250" s="411">
        <v>6</v>
      </c>
      <c r="R4250" s="405" t="s">
        <v>7224</v>
      </c>
      <c r="S4250" s="405" t="s">
        <v>27142</v>
      </c>
      <c r="T4250" s="405" t="s">
        <v>884</v>
      </c>
      <c r="U4250" s="405" t="s">
        <v>319</v>
      </c>
    </row>
    <row r="4251" spans="1:21" x14ac:dyDescent="0.25">
      <c r="A4251" s="405" t="s">
        <v>310</v>
      </c>
      <c r="B4251" s="405" t="s">
        <v>14514</v>
      </c>
      <c r="C4251" s="405" t="s">
        <v>327</v>
      </c>
      <c r="D4251" s="405"/>
      <c r="E4251" s="410">
        <v>42169</v>
      </c>
      <c r="F4251" s="410">
        <v>42214</v>
      </c>
      <c r="G4251" s="405" t="s">
        <v>14515</v>
      </c>
      <c r="H4251" s="405">
        <v>786590405</v>
      </c>
      <c r="I4251" s="405"/>
      <c r="J4251" s="405">
        <v>1.1135949999999999</v>
      </c>
      <c r="K4251" s="405">
        <v>34.208112</v>
      </c>
      <c r="L4251" s="405" t="s">
        <v>6866</v>
      </c>
      <c r="M4251" s="405" t="s">
        <v>9514</v>
      </c>
      <c r="N4251" s="405" t="s">
        <v>9722</v>
      </c>
      <c r="O4251" s="405" t="s">
        <v>9530</v>
      </c>
      <c r="P4251" s="405" t="s">
        <v>9530</v>
      </c>
      <c r="Q4251" s="411">
        <v>6</v>
      </c>
      <c r="R4251" s="405" t="s">
        <v>7224</v>
      </c>
      <c r="S4251" s="405" t="s">
        <v>27107</v>
      </c>
      <c r="T4251" s="405" t="s">
        <v>884</v>
      </c>
      <c r="U4251" s="405" t="s">
        <v>319</v>
      </c>
    </row>
    <row r="4252" spans="1:21" x14ac:dyDescent="0.25">
      <c r="A4252" s="405" t="s">
        <v>310</v>
      </c>
      <c r="B4252" s="405" t="s">
        <v>5645</v>
      </c>
      <c r="C4252" s="405" t="s">
        <v>327</v>
      </c>
      <c r="D4252" s="405"/>
      <c r="E4252" s="410">
        <v>42169</v>
      </c>
      <c r="F4252" s="410">
        <v>42214</v>
      </c>
      <c r="G4252" s="405" t="s">
        <v>5646</v>
      </c>
      <c r="H4252" s="405">
        <v>703205985</v>
      </c>
      <c r="I4252" s="405"/>
      <c r="J4252" s="405">
        <v>0.28100000000000003</v>
      </c>
      <c r="K4252" s="405">
        <v>32.311100000000003</v>
      </c>
      <c r="L4252" s="405" t="s">
        <v>314</v>
      </c>
      <c r="M4252" s="405" t="s">
        <v>361</v>
      </c>
      <c r="N4252" s="405" t="s">
        <v>5400</v>
      </c>
      <c r="O4252" s="405" t="s">
        <v>5400</v>
      </c>
      <c r="P4252" s="405" t="s">
        <v>5647</v>
      </c>
      <c r="Q4252" s="411">
        <v>6</v>
      </c>
      <c r="R4252" s="405" t="s">
        <v>525</v>
      </c>
      <c r="S4252" s="405" t="s">
        <v>27162</v>
      </c>
      <c r="T4252" s="405" t="s">
        <v>865</v>
      </c>
      <c r="U4252" s="405" t="s">
        <v>866</v>
      </c>
    </row>
    <row r="4253" spans="1:21" x14ac:dyDescent="0.25">
      <c r="A4253" s="405" t="s">
        <v>310</v>
      </c>
      <c r="B4253" s="405" t="s">
        <v>22078</v>
      </c>
      <c r="C4253" s="405" t="s">
        <v>327</v>
      </c>
      <c r="D4253" s="405"/>
      <c r="E4253" s="410">
        <v>42167</v>
      </c>
      <c r="F4253" s="410">
        <v>42212</v>
      </c>
      <c r="G4253" s="405" t="s">
        <v>22079</v>
      </c>
      <c r="H4253" s="405">
        <v>750471968</v>
      </c>
      <c r="I4253" s="405"/>
      <c r="J4253" s="405">
        <v>0.61355000000000004</v>
      </c>
      <c r="K4253" s="405">
        <v>30.307971999999999</v>
      </c>
      <c r="L4253" s="405" t="s">
        <v>590</v>
      </c>
      <c r="M4253" s="405" t="s">
        <v>19725</v>
      </c>
      <c r="N4253" s="405" t="s">
        <v>22080</v>
      </c>
      <c r="O4253" s="405" t="s">
        <v>22080</v>
      </c>
      <c r="P4253" s="405" t="s">
        <v>22080</v>
      </c>
      <c r="Q4253" s="411">
        <v>13</v>
      </c>
      <c r="R4253" s="405" t="s">
        <v>525</v>
      </c>
      <c r="S4253" s="405" t="s">
        <v>27166</v>
      </c>
      <c r="T4253" s="405" t="s">
        <v>6551</v>
      </c>
      <c r="U4253" s="405" t="s">
        <v>2267</v>
      </c>
    </row>
    <row r="4254" spans="1:21" x14ac:dyDescent="0.25">
      <c r="A4254" s="405" t="s">
        <v>310</v>
      </c>
      <c r="B4254" s="405" t="s">
        <v>14502</v>
      </c>
      <c r="C4254" s="405" t="s">
        <v>327</v>
      </c>
      <c r="D4254" s="405"/>
      <c r="E4254" s="410">
        <v>42167</v>
      </c>
      <c r="F4254" s="410">
        <v>42212</v>
      </c>
      <c r="G4254" s="405" t="s">
        <v>14503</v>
      </c>
      <c r="H4254" s="405">
        <v>786723778</v>
      </c>
      <c r="I4254" s="405"/>
      <c r="J4254" s="405">
        <v>1.1302620000000001</v>
      </c>
      <c r="K4254" s="405">
        <v>34.228847999999999</v>
      </c>
      <c r="L4254" s="405" t="s">
        <v>6866</v>
      </c>
      <c r="M4254" s="405" t="s">
        <v>9514</v>
      </c>
      <c r="N4254" s="405" t="s">
        <v>9722</v>
      </c>
      <c r="O4254" s="405" t="s">
        <v>9530</v>
      </c>
      <c r="P4254" s="405" t="s">
        <v>13611</v>
      </c>
      <c r="Q4254" s="411">
        <v>6</v>
      </c>
      <c r="R4254" s="405" t="s">
        <v>7224</v>
      </c>
      <c r="S4254" s="405" t="s">
        <v>27259</v>
      </c>
      <c r="T4254" s="405" t="s">
        <v>884</v>
      </c>
      <c r="U4254" s="405" t="s">
        <v>319</v>
      </c>
    </row>
    <row r="4255" spans="1:21" x14ac:dyDescent="0.25">
      <c r="A4255" s="405" t="s">
        <v>310</v>
      </c>
      <c r="B4255" s="405" t="s">
        <v>14510</v>
      </c>
      <c r="C4255" s="405" t="s">
        <v>327</v>
      </c>
      <c r="D4255" s="405"/>
      <c r="E4255" s="410">
        <v>42167</v>
      </c>
      <c r="F4255" s="410">
        <v>42212</v>
      </c>
      <c r="G4255" s="405" t="s">
        <v>14511</v>
      </c>
      <c r="H4255" s="405">
        <v>779961482</v>
      </c>
      <c r="I4255" s="405"/>
      <c r="J4255" s="405">
        <v>1.1162430000000001</v>
      </c>
      <c r="K4255" s="405">
        <v>34.203963000000002</v>
      </c>
      <c r="L4255" s="405" t="s">
        <v>6866</v>
      </c>
      <c r="M4255" s="405" t="s">
        <v>9514</v>
      </c>
      <c r="N4255" s="405" t="s">
        <v>9530</v>
      </c>
      <c r="O4255" s="405" t="s">
        <v>9530</v>
      </c>
      <c r="P4255" s="405" t="s">
        <v>13861</v>
      </c>
      <c r="Q4255" s="411">
        <v>6</v>
      </c>
      <c r="R4255" s="405" t="s">
        <v>7224</v>
      </c>
      <c r="S4255" s="405" t="s">
        <v>27074</v>
      </c>
      <c r="T4255" s="405" t="s">
        <v>884</v>
      </c>
      <c r="U4255" s="405" t="s">
        <v>319</v>
      </c>
    </row>
    <row r="4256" spans="1:21" x14ac:dyDescent="0.25">
      <c r="A4256" s="405" t="s">
        <v>310</v>
      </c>
      <c r="B4256" s="405" t="s">
        <v>14484</v>
      </c>
      <c r="C4256" s="405" t="s">
        <v>327</v>
      </c>
      <c r="D4256" s="405"/>
      <c r="E4256" s="410">
        <v>42167</v>
      </c>
      <c r="F4256" s="410">
        <v>42212</v>
      </c>
      <c r="G4256" s="405" t="s">
        <v>14485</v>
      </c>
      <c r="H4256" s="405">
        <v>771460792</v>
      </c>
      <c r="I4256" s="405"/>
      <c r="J4256" s="405">
        <v>1.1549750000000001</v>
      </c>
      <c r="K4256" s="405">
        <v>34.197071999999999</v>
      </c>
      <c r="L4256" s="405" t="s">
        <v>6866</v>
      </c>
      <c r="M4256" s="405" t="s">
        <v>9514</v>
      </c>
      <c r="N4256" s="405" t="s">
        <v>9722</v>
      </c>
      <c r="O4256" s="405" t="s">
        <v>9530</v>
      </c>
      <c r="P4256" s="405" t="s">
        <v>14486</v>
      </c>
      <c r="Q4256" s="411">
        <v>6</v>
      </c>
      <c r="R4256" s="405" t="s">
        <v>7224</v>
      </c>
      <c r="S4256" s="405" t="s">
        <v>27067</v>
      </c>
      <c r="T4256" s="405" t="s">
        <v>865</v>
      </c>
      <c r="U4256" s="405" t="s">
        <v>866</v>
      </c>
    </row>
    <row r="4257" spans="1:21" x14ac:dyDescent="0.25">
      <c r="A4257" s="405" t="s">
        <v>310</v>
      </c>
      <c r="B4257" s="405" t="s">
        <v>22063</v>
      </c>
      <c r="C4257" s="405" t="s">
        <v>327</v>
      </c>
      <c r="D4257" s="405"/>
      <c r="E4257" s="410">
        <v>42167</v>
      </c>
      <c r="F4257" s="410">
        <v>42212</v>
      </c>
      <c r="G4257" s="405" t="s">
        <v>22064</v>
      </c>
      <c r="H4257" s="405">
        <v>778343913</v>
      </c>
      <c r="I4257" s="405"/>
      <c r="J4257" s="405">
        <v>0.22531999999999999</v>
      </c>
      <c r="K4257" s="405">
        <v>30.637772999999999</v>
      </c>
      <c r="L4257" s="405" t="s">
        <v>590</v>
      </c>
      <c r="M4257" s="405" t="s">
        <v>19720</v>
      </c>
      <c r="N4257" s="405" t="s">
        <v>7352</v>
      </c>
      <c r="O4257" s="405" t="s">
        <v>19722</v>
      </c>
      <c r="P4257" s="405" t="s">
        <v>22065</v>
      </c>
      <c r="Q4257" s="411">
        <v>6</v>
      </c>
      <c r="R4257" s="405" t="s">
        <v>402</v>
      </c>
      <c r="S4257" s="405" t="s">
        <v>27181</v>
      </c>
      <c r="T4257" s="405" t="s">
        <v>884</v>
      </c>
      <c r="U4257" s="405" t="s">
        <v>319</v>
      </c>
    </row>
    <row r="4258" spans="1:21" x14ac:dyDescent="0.25">
      <c r="A4258" s="405" t="s">
        <v>310</v>
      </c>
      <c r="B4258" s="405" t="s">
        <v>28628</v>
      </c>
      <c r="C4258" s="405" t="s">
        <v>327</v>
      </c>
      <c r="D4258" s="405"/>
      <c r="E4258" s="410">
        <v>42167</v>
      </c>
      <c r="F4258" s="410">
        <v>42212</v>
      </c>
      <c r="G4258" s="405" t="s">
        <v>22038</v>
      </c>
      <c r="H4258" s="405">
        <v>787433136</v>
      </c>
      <c r="I4258" s="405"/>
      <c r="J4258" s="405">
        <v>0.1336</v>
      </c>
      <c r="K4258" s="405">
        <v>30.374600000000001</v>
      </c>
      <c r="L4258" s="405" t="s">
        <v>590</v>
      </c>
      <c r="M4258" s="405" t="s">
        <v>19720</v>
      </c>
      <c r="N4258" s="405" t="s">
        <v>21711</v>
      </c>
      <c r="O4258" s="405" t="s">
        <v>19722</v>
      </c>
      <c r="P4258" s="405" t="s">
        <v>5876</v>
      </c>
      <c r="Q4258" s="411">
        <v>6</v>
      </c>
      <c r="R4258" s="405" t="s">
        <v>402</v>
      </c>
      <c r="S4258" s="405" t="s">
        <v>27181</v>
      </c>
      <c r="T4258" s="405" t="s">
        <v>884</v>
      </c>
      <c r="U4258" s="405" t="s">
        <v>319</v>
      </c>
    </row>
    <row r="4259" spans="1:21" x14ac:dyDescent="0.25">
      <c r="A4259" s="405" t="s">
        <v>310</v>
      </c>
      <c r="B4259" s="405" t="s">
        <v>14491</v>
      </c>
      <c r="C4259" s="405" t="s">
        <v>327</v>
      </c>
      <c r="D4259" s="405"/>
      <c r="E4259" s="410">
        <v>42167</v>
      </c>
      <c r="F4259" s="410">
        <v>42212</v>
      </c>
      <c r="G4259" s="405" t="s">
        <v>14492</v>
      </c>
      <c r="H4259" s="405">
        <v>782590757</v>
      </c>
      <c r="I4259" s="405"/>
      <c r="J4259" s="405">
        <v>1.129505</v>
      </c>
      <c r="K4259" s="405">
        <v>34.224800000000002</v>
      </c>
      <c r="L4259" s="405" t="s">
        <v>6866</v>
      </c>
      <c r="M4259" s="405" t="s">
        <v>9514</v>
      </c>
      <c r="N4259" s="405" t="s">
        <v>9722</v>
      </c>
      <c r="O4259" s="405" t="s">
        <v>9530</v>
      </c>
      <c r="P4259" s="405" t="s">
        <v>13611</v>
      </c>
      <c r="Q4259" s="411">
        <v>6</v>
      </c>
      <c r="R4259" s="405" t="s">
        <v>7224</v>
      </c>
      <c r="S4259" s="405" t="s">
        <v>27041</v>
      </c>
      <c r="T4259" s="405" t="s">
        <v>32102</v>
      </c>
      <c r="U4259" s="405" t="s">
        <v>319</v>
      </c>
    </row>
    <row r="4260" spans="1:21" x14ac:dyDescent="0.25">
      <c r="A4260" s="405" t="s">
        <v>310</v>
      </c>
      <c r="B4260" s="405" t="s">
        <v>14487</v>
      </c>
      <c r="C4260" s="405" t="s">
        <v>327</v>
      </c>
      <c r="D4260" s="405"/>
      <c r="E4260" s="410">
        <v>42166</v>
      </c>
      <c r="F4260" s="410">
        <v>42211</v>
      </c>
      <c r="G4260" s="405" t="s">
        <v>14488</v>
      </c>
      <c r="H4260" s="405">
        <v>773909630</v>
      </c>
      <c r="I4260" s="405"/>
      <c r="J4260" s="405">
        <v>1.132655</v>
      </c>
      <c r="K4260" s="405">
        <v>34.225814999999997</v>
      </c>
      <c r="L4260" s="405" t="s">
        <v>6866</v>
      </c>
      <c r="M4260" s="405" t="s">
        <v>9514</v>
      </c>
      <c r="N4260" s="405" t="s">
        <v>9722</v>
      </c>
      <c r="O4260" s="405" t="s">
        <v>9530</v>
      </c>
      <c r="P4260" s="405" t="s">
        <v>13611</v>
      </c>
      <c r="Q4260" s="411">
        <v>6</v>
      </c>
      <c r="R4260" s="405" t="s">
        <v>7224</v>
      </c>
      <c r="S4260" s="405" t="s">
        <v>27348</v>
      </c>
      <c r="T4260" s="405" t="s">
        <v>884</v>
      </c>
      <c r="U4260" s="405" t="s">
        <v>319</v>
      </c>
    </row>
    <row r="4261" spans="1:21" x14ac:dyDescent="0.25">
      <c r="A4261" s="405" t="s">
        <v>310</v>
      </c>
      <c r="B4261" s="405" t="s">
        <v>14477</v>
      </c>
      <c r="C4261" s="405" t="s">
        <v>327</v>
      </c>
      <c r="D4261" s="405"/>
      <c r="E4261" s="410">
        <v>42166</v>
      </c>
      <c r="F4261" s="410">
        <v>42211</v>
      </c>
      <c r="G4261" s="405" t="s">
        <v>14478</v>
      </c>
      <c r="H4261" s="405">
        <v>782719241</v>
      </c>
      <c r="I4261" s="405"/>
      <c r="J4261" s="405">
        <v>1.1587529999999999</v>
      </c>
      <c r="K4261" s="405">
        <v>34.220954999999996</v>
      </c>
      <c r="L4261" s="405" t="s">
        <v>6866</v>
      </c>
      <c r="M4261" s="405" t="s">
        <v>9514</v>
      </c>
      <c r="N4261" s="405" t="s">
        <v>9530</v>
      </c>
      <c r="O4261" s="405" t="s">
        <v>9530</v>
      </c>
      <c r="P4261" s="405" t="s">
        <v>14479</v>
      </c>
      <c r="Q4261" s="411">
        <v>6</v>
      </c>
      <c r="R4261" s="405" t="s">
        <v>7224</v>
      </c>
      <c r="S4261" s="405" t="s">
        <v>27142</v>
      </c>
      <c r="T4261" s="405" t="s">
        <v>884</v>
      </c>
      <c r="U4261" s="405" t="s">
        <v>319</v>
      </c>
    </row>
    <row r="4262" spans="1:21" x14ac:dyDescent="0.25">
      <c r="A4262" s="405" t="s">
        <v>310</v>
      </c>
      <c r="B4262" s="405" t="s">
        <v>14500</v>
      </c>
      <c r="C4262" s="405" t="s">
        <v>857</v>
      </c>
      <c r="D4262" s="405" t="s">
        <v>33065</v>
      </c>
      <c r="E4262" s="410">
        <v>42166</v>
      </c>
      <c r="F4262" s="410">
        <v>42211</v>
      </c>
      <c r="G4262" s="405" t="s">
        <v>14501</v>
      </c>
      <c r="H4262" s="405">
        <v>775850408</v>
      </c>
      <c r="I4262" s="405"/>
      <c r="J4262" s="405">
        <v>1.1274500000000001</v>
      </c>
      <c r="K4262" s="405">
        <v>34.228076999999999</v>
      </c>
      <c r="L4262" s="405" t="s">
        <v>6866</v>
      </c>
      <c r="M4262" s="405" t="s">
        <v>9514</v>
      </c>
      <c r="N4262" s="405" t="s">
        <v>9529</v>
      </c>
      <c r="O4262" s="405" t="s">
        <v>9530</v>
      </c>
      <c r="P4262" s="405" t="s">
        <v>13611</v>
      </c>
      <c r="Q4262" s="411">
        <v>6</v>
      </c>
      <c r="R4262" s="405" t="s">
        <v>7224</v>
      </c>
      <c r="S4262" s="405" t="s">
        <v>17013</v>
      </c>
      <c r="T4262" s="405" t="s">
        <v>6551</v>
      </c>
      <c r="U4262" s="405" t="s">
        <v>2267</v>
      </c>
    </row>
    <row r="4263" spans="1:21" x14ac:dyDescent="0.25">
      <c r="A4263" s="405" t="s">
        <v>310</v>
      </c>
      <c r="B4263" s="405" t="s">
        <v>14489</v>
      </c>
      <c r="C4263" s="405" t="s">
        <v>327</v>
      </c>
      <c r="D4263" s="405"/>
      <c r="E4263" s="410">
        <v>42166</v>
      </c>
      <c r="F4263" s="410">
        <v>42211</v>
      </c>
      <c r="G4263" s="405" t="s">
        <v>14490</v>
      </c>
      <c r="H4263" s="405">
        <v>775302821</v>
      </c>
      <c r="I4263" s="405"/>
      <c r="J4263" s="405">
        <v>1.147608</v>
      </c>
      <c r="K4263" s="405">
        <v>34.215935000000002</v>
      </c>
      <c r="L4263" s="405" t="s">
        <v>6866</v>
      </c>
      <c r="M4263" s="405" t="s">
        <v>9514</v>
      </c>
      <c r="N4263" s="405" t="s">
        <v>9722</v>
      </c>
      <c r="O4263" s="405" t="s">
        <v>9530</v>
      </c>
      <c r="P4263" s="405" t="s">
        <v>11507</v>
      </c>
      <c r="Q4263" s="411">
        <v>6</v>
      </c>
      <c r="R4263" s="405" t="s">
        <v>7224</v>
      </c>
      <c r="S4263" s="405" t="s">
        <v>27353</v>
      </c>
      <c r="T4263" s="405" t="s">
        <v>884</v>
      </c>
      <c r="U4263" s="405" t="s">
        <v>319</v>
      </c>
    </row>
    <row r="4264" spans="1:21" x14ac:dyDescent="0.25">
      <c r="A4264" s="405" t="s">
        <v>310</v>
      </c>
      <c r="B4264" s="405" t="s">
        <v>14482</v>
      </c>
      <c r="C4264" s="405" t="s">
        <v>327</v>
      </c>
      <c r="D4264" s="405"/>
      <c r="E4264" s="410">
        <v>42165</v>
      </c>
      <c r="F4264" s="410">
        <v>42210</v>
      </c>
      <c r="G4264" s="405" t="s">
        <v>14483</v>
      </c>
      <c r="H4264" s="405">
        <v>775985827</v>
      </c>
      <c r="I4264" s="405"/>
      <c r="J4264" s="405">
        <v>1.148115</v>
      </c>
      <c r="K4264" s="405">
        <v>34.215580000000003</v>
      </c>
      <c r="L4264" s="405" t="s">
        <v>6866</v>
      </c>
      <c r="M4264" s="405" t="s">
        <v>9514</v>
      </c>
      <c r="N4264" s="405" t="s">
        <v>9529</v>
      </c>
      <c r="O4264" s="405" t="s">
        <v>9530</v>
      </c>
      <c r="P4264" s="405" t="s">
        <v>11507</v>
      </c>
      <c r="Q4264" s="411">
        <v>6</v>
      </c>
      <c r="R4264" s="405" t="s">
        <v>7224</v>
      </c>
      <c r="S4264" s="405" t="s">
        <v>27072</v>
      </c>
      <c r="T4264" s="405" t="s">
        <v>884</v>
      </c>
      <c r="U4264" s="405" t="s">
        <v>319</v>
      </c>
    </row>
    <row r="4265" spans="1:21" x14ac:dyDescent="0.25">
      <c r="A4265" s="405" t="s">
        <v>310</v>
      </c>
      <c r="B4265" s="405" t="s">
        <v>14516</v>
      </c>
      <c r="C4265" s="405" t="s">
        <v>327</v>
      </c>
      <c r="D4265" s="405"/>
      <c r="E4265" s="410">
        <v>42165</v>
      </c>
      <c r="F4265" s="410">
        <v>42210</v>
      </c>
      <c r="G4265" s="405" t="s">
        <v>14517</v>
      </c>
      <c r="H4265" s="405">
        <v>771908253</v>
      </c>
      <c r="I4265" s="405"/>
      <c r="J4265" s="405">
        <v>1.1317269999999999</v>
      </c>
      <c r="K4265" s="405">
        <v>34.217677000000002</v>
      </c>
      <c r="L4265" s="405" t="s">
        <v>6866</v>
      </c>
      <c r="M4265" s="405" t="s">
        <v>9514</v>
      </c>
      <c r="N4265" s="405" t="s">
        <v>9722</v>
      </c>
      <c r="O4265" s="405" t="s">
        <v>9530</v>
      </c>
      <c r="P4265" s="405" t="s">
        <v>14518</v>
      </c>
      <c r="Q4265" s="411">
        <v>6</v>
      </c>
      <c r="R4265" s="405" t="s">
        <v>7224</v>
      </c>
      <c r="S4265" s="405" t="s">
        <v>27072</v>
      </c>
      <c r="T4265" s="405" t="s">
        <v>32102</v>
      </c>
      <c r="U4265" s="405" t="s">
        <v>319</v>
      </c>
    </row>
    <row r="4266" spans="1:21" x14ac:dyDescent="0.25">
      <c r="A4266" s="405" t="s">
        <v>310</v>
      </c>
      <c r="B4266" s="405" t="s">
        <v>14493</v>
      </c>
      <c r="C4266" s="405" t="s">
        <v>327</v>
      </c>
      <c r="D4266" s="405"/>
      <c r="E4266" s="410">
        <v>42165</v>
      </c>
      <c r="F4266" s="410">
        <v>42210</v>
      </c>
      <c r="G4266" s="405" t="s">
        <v>14494</v>
      </c>
      <c r="H4266" s="405">
        <v>782057861</v>
      </c>
      <c r="I4266" s="405"/>
      <c r="J4266" s="405">
        <v>1.158032</v>
      </c>
      <c r="K4266" s="405">
        <v>34.218583000000002</v>
      </c>
      <c r="L4266" s="405" t="s">
        <v>6866</v>
      </c>
      <c r="M4266" s="405" t="s">
        <v>9514</v>
      </c>
      <c r="N4266" s="405" t="s">
        <v>9530</v>
      </c>
      <c r="O4266" s="405" t="s">
        <v>9530</v>
      </c>
      <c r="P4266" s="405" t="s">
        <v>11882</v>
      </c>
      <c r="Q4266" s="411">
        <v>6</v>
      </c>
      <c r="R4266" s="405" t="s">
        <v>7224</v>
      </c>
      <c r="S4266" s="405" t="s">
        <v>27298</v>
      </c>
      <c r="T4266" s="405" t="s">
        <v>6551</v>
      </c>
      <c r="U4266" s="405" t="s">
        <v>2267</v>
      </c>
    </row>
    <row r="4267" spans="1:21" x14ac:dyDescent="0.25">
      <c r="A4267" s="405" t="s">
        <v>310</v>
      </c>
      <c r="B4267" s="405" t="s">
        <v>14475</v>
      </c>
      <c r="C4267" s="405" t="s">
        <v>327</v>
      </c>
      <c r="D4267" s="405"/>
      <c r="E4267" s="410">
        <v>42165</v>
      </c>
      <c r="F4267" s="410">
        <v>42210</v>
      </c>
      <c r="G4267" s="405" t="s">
        <v>14476</v>
      </c>
      <c r="H4267" s="405">
        <v>752633582</v>
      </c>
      <c r="I4267" s="405"/>
      <c r="J4267" s="405">
        <v>1.1514200000000001</v>
      </c>
      <c r="K4267" s="405">
        <v>34.204295000000002</v>
      </c>
      <c r="L4267" s="405" t="s">
        <v>6866</v>
      </c>
      <c r="M4267" s="405" t="s">
        <v>9514</v>
      </c>
      <c r="N4267" s="405" t="s">
        <v>9722</v>
      </c>
      <c r="O4267" s="405" t="s">
        <v>9530</v>
      </c>
      <c r="P4267" s="405" t="s">
        <v>9557</v>
      </c>
      <c r="Q4267" s="411">
        <v>6</v>
      </c>
      <c r="R4267" s="405" t="s">
        <v>7224</v>
      </c>
      <c r="S4267" s="405" t="s">
        <v>27310</v>
      </c>
      <c r="T4267" s="405" t="s">
        <v>884</v>
      </c>
      <c r="U4267" s="405" t="s">
        <v>319</v>
      </c>
    </row>
    <row r="4268" spans="1:21" x14ac:dyDescent="0.25">
      <c r="A4268" s="405" t="s">
        <v>310</v>
      </c>
      <c r="B4268" s="405" t="s">
        <v>33066</v>
      </c>
      <c r="C4268" s="405" t="s">
        <v>327</v>
      </c>
      <c r="D4268" s="405"/>
      <c r="E4268" s="410">
        <v>42164</v>
      </c>
      <c r="F4268" s="410">
        <v>42209</v>
      </c>
      <c r="G4268" s="405" t="s">
        <v>14466</v>
      </c>
      <c r="H4268" s="405">
        <v>773194306</v>
      </c>
      <c r="I4268" s="405"/>
      <c r="J4268" s="405">
        <v>1.1430670000000001</v>
      </c>
      <c r="K4268" s="405">
        <v>34.202275</v>
      </c>
      <c r="L4268" s="405" t="s">
        <v>6866</v>
      </c>
      <c r="M4268" s="405" t="s">
        <v>9514</v>
      </c>
      <c r="N4268" s="405" t="s">
        <v>9530</v>
      </c>
      <c r="O4268" s="405" t="s">
        <v>9530</v>
      </c>
      <c r="P4268" s="405" t="s">
        <v>9557</v>
      </c>
      <c r="Q4268" s="411">
        <v>6</v>
      </c>
      <c r="R4268" s="405" t="s">
        <v>7224</v>
      </c>
      <c r="S4268" s="405" t="s">
        <v>17062</v>
      </c>
      <c r="T4268" s="405" t="s">
        <v>6551</v>
      </c>
      <c r="U4268" s="405" t="s">
        <v>2267</v>
      </c>
    </row>
    <row r="4269" spans="1:21" x14ac:dyDescent="0.25">
      <c r="A4269" s="405" t="s">
        <v>310</v>
      </c>
      <c r="B4269" s="405" t="s">
        <v>14470</v>
      </c>
      <c r="C4269" s="405" t="s">
        <v>327</v>
      </c>
      <c r="D4269" s="405"/>
      <c r="E4269" s="410">
        <v>42164</v>
      </c>
      <c r="F4269" s="410">
        <v>42209</v>
      </c>
      <c r="G4269" s="405" t="s">
        <v>14471</v>
      </c>
      <c r="H4269" s="405">
        <v>772895237</v>
      </c>
      <c r="I4269" s="405">
        <v>702780527</v>
      </c>
      <c r="J4269" s="405">
        <v>1.1477999999999999</v>
      </c>
      <c r="K4269" s="405">
        <v>34.201779999999999</v>
      </c>
      <c r="L4269" s="405" t="s">
        <v>6866</v>
      </c>
      <c r="M4269" s="405" t="s">
        <v>9514</v>
      </c>
      <c r="N4269" s="405" t="s">
        <v>9529</v>
      </c>
      <c r="O4269" s="405" t="s">
        <v>9530</v>
      </c>
      <c r="P4269" s="405" t="s">
        <v>9557</v>
      </c>
      <c r="Q4269" s="411">
        <v>6</v>
      </c>
      <c r="R4269" s="405" t="s">
        <v>7224</v>
      </c>
      <c r="S4269" s="405" t="s">
        <v>27107</v>
      </c>
      <c r="T4269" s="405" t="s">
        <v>884</v>
      </c>
      <c r="U4269" s="405" t="s">
        <v>6890</v>
      </c>
    </row>
    <row r="4270" spans="1:21" x14ac:dyDescent="0.25">
      <c r="A4270" s="405" t="s">
        <v>310</v>
      </c>
      <c r="B4270" s="405" t="s">
        <v>14480</v>
      </c>
      <c r="C4270" s="405" t="s">
        <v>327</v>
      </c>
      <c r="D4270" s="405"/>
      <c r="E4270" s="410">
        <v>42164</v>
      </c>
      <c r="F4270" s="410">
        <v>42209</v>
      </c>
      <c r="G4270" s="405" t="s">
        <v>14481</v>
      </c>
      <c r="H4270" s="405">
        <v>779894886</v>
      </c>
      <c r="I4270" s="405"/>
      <c r="J4270" s="405">
        <v>1.102832</v>
      </c>
      <c r="K4270" s="405">
        <v>34.209198000000001</v>
      </c>
      <c r="L4270" s="405" t="s">
        <v>6866</v>
      </c>
      <c r="M4270" s="405" t="s">
        <v>9514</v>
      </c>
      <c r="N4270" s="405" t="s">
        <v>9530</v>
      </c>
      <c r="O4270" s="405" t="s">
        <v>9530</v>
      </c>
      <c r="P4270" s="405" t="s">
        <v>10665</v>
      </c>
      <c r="Q4270" s="411">
        <v>6</v>
      </c>
      <c r="R4270" s="405" t="s">
        <v>7224</v>
      </c>
      <c r="S4270" s="405" t="s">
        <v>27204</v>
      </c>
      <c r="T4270" s="405" t="s">
        <v>884</v>
      </c>
      <c r="U4270" s="405" t="s">
        <v>319</v>
      </c>
    </row>
    <row r="4271" spans="1:21" x14ac:dyDescent="0.25">
      <c r="A4271" s="405" t="s">
        <v>310</v>
      </c>
      <c r="B4271" s="405" t="s">
        <v>14448</v>
      </c>
      <c r="C4271" s="405" t="s">
        <v>327</v>
      </c>
      <c r="D4271" s="405"/>
      <c r="E4271" s="410">
        <v>42163</v>
      </c>
      <c r="F4271" s="410">
        <v>42208</v>
      </c>
      <c r="G4271" s="405" t="s">
        <v>14449</v>
      </c>
      <c r="H4271" s="405">
        <v>784390894</v>
      </c>
      <c r="I4271" s="405"/>
      <c r="J4271" s="405">
        <v>1.000718</v>
      </c>
      <c r="K4271" s="405">
        <v>34.336754999999997</v>
      </c>
      <c r="L4271" s="405" t="s">
        <v>6866</v>
      </c>
      <c r="M4271" s="405" t="s">
        <v>9763</v>
      </c>
      <c r="N4271" s="405" t="s">
        <v>10174</v>
      </c>
      <c r="O4271" s="405" t="s">
        <v>11926</v>
      </c>
      <c r="P4271" s="405" t="s">
        <v>10225</v>
      </c>
      <c r="Q4271" s="411">
        <v>6</v>
      </c>
      <c r="R4271" s="405" t="s">
        <v>7224</v>
      </c>
      <c r="S4271" s="405" t="s">
        <v>27306</v>
      </c>
      <c r="T4271" s="405" t="s">
        <v>32102</v>
      </c>
      <c r="U4271" s="405" t="s">
        <v>319</v>
      </c>
    </row>
    <row r="4272" spans="1:21" x14ac:dyDescent="0.25">
      <c r="A4272" s="405" t="s">
        <v>310</v>
      </c>
      <c r="B4272" s="405" t="s">
        <v>14468</v>
      </c>
      <c r="C4272" s="405" t="s">
        <v>327</v>
      </c>
      <c r="D4272" s="405"/>
      <c r="E4272" s="410">
        <v>42163</v>
      </c>
      <c r="F4272" s="410">
        <v>42208</v>
      </c>
      <c r="G4272" s="405" t="s">
        <v>14469</v>
      </c>
      <c r="H4272" s="405">
        <v>782228178</v>
      </c>
      <c r="I4272" s="405"/>
      <c r="J4272" s="405">
        <v>1.1499895</v>
      </c>
      <c r="K4272" s="405">
        <v>34.217353000000003</v>
      </c>
      <c r="L4272" s="405" t="s">
        <v>6866</v>
      </c>
      <c r="M4272" s="405" t="s">
        <v>9514</v>
      </c>
      <c r="N4272" s="405" t="s">
        <v>9722</v>
      </c>
      <c r="O4272" s="405" t="s">
        <v>9530</v>
      </c>
      <c r="P4272" s="405" t="s">
        <v>11507</v>
      </c>
      <c r="Q4272" s="411">
        <v>6</v>
      </c>
      <c r="R4272" s="405" t="s">
        <v>7224</v>
      </c>
      <c r="S4272" s="405" t="s">
        <v>27067</v>
      </c>
      <c r="T4272" s="405" t="s">
        <v>884</v>
      </c>
      <c r="U4272" s="405" t="s">
        <v>319</v>
      </c>
    </row>
    <row r="4273" spans="1:21" x14ac:dyDescent="0.25">
      <c r="A4273" s="405" t="s">
        <v>310</v>
      </c>
      <c r="B4273" s="405" t="s">
        <v>14472</v>
      </c>
      <c r="C4273" s="405" t="s">
        <v>327</v>
      </c>
      <c r="D4273" s="405"/>
      <c r="E4273" s="410">
        <v>42162</v>
      </c>
      <c r="F4273" s="410">
        <v>42207</v>
      </c>
      <c r="G4273" s="405" t="s">
        <v>14473</v>
      </c>
      <c r="H4273" s="405">
        <v>785258391</v>
      </c>
      <c r="I4273" s="405"/>
      <c r="J4273" s="405">
        <v>1.1504270000000001</v>
      </c>
      <c r="K4273" s="405">
        <v>34.217353000000003</v>
      </c>
      <c r="L4273" s="405" t="s">
        <v>6866</v>
      </c>
      <c r="M4273" s="405" t="s">
        <v>9514</v>
      </c>
      <c r="N4273" s="405" t="s">
        <v>9722</v>
      </c>
      <c r="O4273" s="405" t="s">
        <v>9530</v>
      </c>
      <c r="P4273" s="405" t="s">
        <v>14474</v>
      </c>
      <c r="Q4273" s="411">
        <v>6</v>
      </c>
      <c r="R4273" s="405" t="s">
        <v>7224</v>
      </c>
      <c r="S4273" s="405" t="s">
        <v>27259</v>
      </c>
      <c r="T4273" s="405" t="s">
        <v>884</v>
      </c>
      <c r="U4273" s="405" t="s">
        <v>319</v>
      </c>
    </row>
    <row r="4274" spans="1:21" x14ac:dyDescent="0.25">
      <c r="A4274" s="405" t="s">
        <v>310</v>
      </c>
      <c r="B4274" s="405" t="s">
        <v>22028</v>
      </c>
      <c r="C4274" s="405" t="s">
        <v>327</v>
      </c>
      <c r="D4274" s="405"/>
      <c r="E4274" s="410">
        <v>42160</v>
      </c>
      <c r="F4274" s="410">
        <v>42205</v>
      </c>
      <c r="G4274" s="405" t="s">
        <v>22029</v>
      </c>
      <c r="H4274" s="405">
        <v>773654201</v>
      </c>
      <c r="I4274" s="405"/>
      <c r="J4274" s="405" t="s">
        <v>22030</v>
      </c>
      <c r="K4274" s="405" t="s">
        <v>22031</v>
      </c>
      <c r="L4274" s="405" t="s">
        <v>590</v>
      </c>
      <c r="M4274" s="405" t="s">
        <v>19720</v>
      </c>
      <c r="N4274" s="405" t="s">
        <v>22032</v>
      </c>
      <c r="O4274" s="405" t="s">
        <v>19722</v>
      </c>
      <c r="P4274" s="405" t="s">
        <v>22033</v>
      </c>
      <c r="Q4274" s="411">
        <v>6</v>
      </c>
      <c r="R4274" s="405" t="s">
        <v>6572</v>
      </c>
      <c r="S4274" s="405" t="s">
        <v>27161</v>
      </c>
      <c r="T4274" s="405" t="s">
        <v>884</v>
      </c>
      <c r="U4274" s="405" t="s">
        <v>319</v>
      </c>
    </row>
    <row r="4275" spans="1:21" x14ac:dyDescent="0.25">
      <c r="A4275" s="405" t="s">
        <v>310</v>
      </c>
      <c r="B4275" s="405" t="s">
        <v>22066</v>
      </c>
      <c r="C4275" s="405" t="s">
        <v>327</v>
      </c>
      <c r="D4275" s="405"/>
      <c r="E4275" s="410">
        <v>42158</v>
      </c>
      <c r="F4275" s="410">
        <v>42203</v>
      </c>
      <c r="G4275" s="405" t="s">
        <v>22067</v>
      </c>
      <c r="H4275" s="405">
        <v>782130198</v>
      </c>
      <c r="I4275" s="405"/>
      <c r="J4275" s="405">
        <v>-0.66185700000000003</v>
      </c>
      <c r="K4275" s="405">
        <v>29.922412000000001</v>
      </c>
      <c r="L4275" s="405" t="s">
        <v>590</v>
      </c>
      <c r="M4275" s="405" t="s">
        <v>19619</v>
      </c>
      <c r="N4275" s="405" t="s">
        <v>19793</v>
      </c>
      <c r="O4275" s="405" t="s">
        <v>20033</v>
      </c>
      <c r="P4275" s="405" t="s">
        <v>22068</v>
      </c>
      <c r="Q4275" s="411">
        <v>6</v>
      </c>
      <c r="R4275" s="405" t="s">
        <v>6572</v>
      </c>
      <c r="S4275" s="405" t="s">
        <v>27240</v>
      </c>
      <c r="T4275" s="405" t="s">
        <v>884</v>
      </c>
      <c r="U4275" s="405" t="s">
        <v>319</v>
      </c>
    </row>
    <row r="4276" spans="1:21" x14ac:dyDescent="0.25">
      <c r="A4276" s="405" t="s">
        <v>310</v>
      </c>
      <c r="B4276" s="405" t="s">
        <v>22058</v>
      </c>
      <c r="C4276" s="405" t="s">
        <v>327</v>
      </c>
      <c r="D4276" s="405"/>
      <c r="E4276" s="410">
        <v>42158</v>
      </c>
      <c r="F4276" s="410">
        <v>42203</v>
      </c>
      <c r="G4276" s="405" t="s">
        <v>22059</v>
      </c>
      <c r="H4276" s="405">
        <v>774100814</v>
      </c>
      <c r="I4276" s="405"/>
      <c r="J4276" s="405">
        <v>9.4746999999999998E-2</v>
      </c>
      <c r="K4276" s="405">
        <v>30.687003000000001</v>
      </c>
      <c r="L4276" s="405" t="s">
        <v>590</v>
      </c>
      <c r="M4276" s="405" t="s">
        <v>19720</v>
      </c>
      <c r="N4276" s="405" t="s">
        <v>7352</v>
      </c>
      <c r="O4276" s="405" t="s">
        <v>11792</v>
      </c>
      <c r="P4276" s="405" t="s">
        <v>22060</v>
      </c>
      <c r="Q4276" s="411">
        <v>6</v>
      </c>
      <c r="R4276" s="405" t="s">
        <v>6572</v>
      </c>
      <c r="S4276" s="405" t="s">
        <v>27275</v>
      </c>
      <c r="T4276" s="405" t="s">
        <v>884</v>
      </c>
      <c r="U4276" s="405" t="s">
        <v>319</v>
      </c>
    </row>
    <row r="4277" spans="1:21" x14ac:dyDescent="0.25">
      <c r="A4277" s="405" t="s">
        <v>310</v>
      </c>
      <c r="B4277" s="405" t="s">
        <v>28457</v>
      </c>
      <c r="C4277" s="405" t="s">
        <v>327</v>
      </c>
      <c r="D4277" s="405"/>
      <c r="E4277" s="410">
        <v>42157</v>
      </c>
      <c r="F4277" s="410">
        <v>42202</v>
      </c>
      <c r="G4277" s="405" t="s">
        <v>5635</v>
      </c>
      <c r="H4277" s="405">
        <v>772575109</v>
      </c>
      <c r="I4277" s="405"/>
      <c r="J4277" s="405">
        <v>0.42910300000000001</v>
      </c>
      <c r="K4277" s="405">
        <v>33.158447000000002</v>
      </c>
      <c r="L4277" s="405" t="s">
        <v>314</v>
      </c>
      <c r="M4277" s="405" t="s">
        <v>349</v>
      </c>
      <c r="N4277" s="405" t="s">
        <v>1113</v>
      </c>
      <c r="O4277" s="405" t="s">
        <v>1113</v>
      </c>
      <c r="P4277" s="405" t="s">
        <v>5636</v>
      </c>
      <c r="Q4277" s="411">
        <v>13</v>
      </c>
      <c r="R4277" s="405" t="s">
        <v>5336</v>
      </c>
      <c r="S4277" s="405" t="s">
        <v>27174</v>
      </c>
      <c r="T4277" s="405" t="s">
        <v>884</v>
      </c>
      <c r="U4277" s="405" t="s">
        <v>319</v>
      </c>
    </row>
    <row r="4278" spans="1:21" x14ac:dyDescent="0.25">
      <c r="A4278" s="405" t="s">
        <v>310</v>
      </c>
      <c r="B4278" s="406" t="s">
        <v>32222</v>
      </c>
      <c r="C4278" s="405" t="s">
        <v>327</v>
      </c>
      <c r="D4278" s="405"/>
      <c r="E4278" s="406" t="s">
        <v>32223</v>
      </c>
      <c r="F4278" s="407">
        <v>44906</v>
      </c>
      <c r="G4278" s="406" t="s">
        <v>32224</v>
      </c>
      <c r="H4278" s="406" t="s">
        <v>8291</v>
      </c>
      <c r="I4278" s="406" t="s">
        <v>32111</v>
      </c>
      <c r="J4278" s="408">
        <v>0.41563499999999998</v>
      </c>
      <c r="K4278" s="408">
        <v>32.648757000000003</v>
      </c>
      <c r="L4278" s="406" t="s">
        <v>314</v>
      </c>
      <c r="M4278" s="406" t="s">
        <v>361</v>
      </c>
      <c r="N4278" s="406" t="s">
        <v>32225</v>
      </c>
      <c r="O4278" s="406" t="s">
        <v>363</v>
      </c>
      <c r="P4278" s="406" t="s">
        <v>2114</v>
      </c>
      <c r="Q4278" s="409">
        <v>16</v>
      </c>
      <c r="R4278" s="406" t="s">
        <v>32101</v>
      </c>
      <c r="S4278" s="406" t="s">
        <v>32226</v>
      </c>
      <c r="T4278" s="405" t="s">
        <v>884</v>
      </c>
      <c r="U4278" s="405" t="s">
        <v>319</v>
      </c>
    </row>
    <row r="4279" spans="1:21" x14ac:dyDescent="0.25">
      <c r="A4279" s="405" t="s">
        <v>310</v>
      </c>
      <c r="B4279" s="405" t="s">
        <v>28957</v>
      </c>
      <c r="C4279" s="405" t="s">
        <v>327</v>
      </c>
      <c r="D4279" s="405"/>
      <c r="E4279" s="410">
        <v>42154</v>
      </c>
      <c r="F4279" s="410">
        <v>42199</v>
      </c>
      <c r="G4279" s="405" t="s">
        <v>22039</v>
      </c>
      <c r="H4279" s="405">
        <v>782904761</v>
      </c>
      <c r="I4279" s="405"/>
      <c r="J4279" s="405">
        <v>0.61607000000000001</v>
      </c>
      <c r="K4279" s="405">
        <v>30.648357000000001</v>
      </c>
      <c r="L4279" s="405" t="s">
        <v>590</v>
      </c>
      <c r="M4279" s="405" t="s">
        <v>1851</v>
      </c>
      <c r="N4279" s="405" t="s">
        <v>22040</v>
      </c>
      <c r="O4279" s="405" t="s">
        <v>22040</v>
      </c>
      <c r="P4279" s="405" t="s">
        <v>22041</v>
      </c>
      <c r="Q4279" s="411">
        <v>13</v>
      </c>
      <c r="R4279" s="405" t="s">
        <v>5336</v>
      </c>
      <c r="S4279" s="405" t="s">
        <v>22880</v>
      </c>
      <c r="T4279" s="405" t="s">
        <v>884</v>
      </c>
      <c r="U4279" s="405" t="s">
        <v>319</v>
      </c>
    </row>
    <row r="4280" spans="1:21" x14ac:dyDescent="0.25">
      <c r="A4280" s="405" t="s">
        <v>310</v>
      </c>
      <c r="B4280" s="405" t="s">
        <v>22069</v>
      </c>
      <c r="C4280" s="405" t="s">
        <v>327</v>
      </c>
      <c r="D4280" s="405"/>
      <c r="E4280" s="410">
        <v>42153</v>
      </c>
      <c r="F4280" s="410">
        <v>42198</v>
      </c>
      <c r="G4280" s="405" t="s">
        <v>22070</v>
      </c>
      <c r="H4280" s="405">
        <v>777403257</v>
      </c>
      <c r="I4280" s="405"/>
      <c r="J4280" s="405">
        <v>-0.65074699999999996</v>
      </c>
      <c r="K4280" s="405">
        <v>29.908255</v>
      </c>
      <c r="L4280" s="405" t="s">
        <v>590</v>
      </c>
      <c r="M4280" s="405" t="s">
        <v>19619</v>
      </c>
      <c r="N4280" s="405" t="s">
        <v>22071</v>
      </c>
      <c r="O4280" s="405" t="s">
        <v>20033</v>
      </c>
      <c r="P4280" s="405" t="s">
        <v>22072</v>
      </c>
      <c r="Q4280" s="411">
        <v>9</v>
      </c>
      <c r="R4280" s="405" t="s">
        <v>6572</v>
      </c>
      <c r="S4280" s="405" t="s">
        <v>27166</v>
      </c>
      <c r="T4280" s="405" t="s">
        <v>884</v>
      </c>
      <c r="U4280" s="405" t="s">
        <v>319</v>
      </c>
    </row>
    <row r="4281" spans="1:21" x14ac:dyDescent="0.25">
      <c r="A4281" s="405" t="s">
        <v>310</v>
      </c>
      <c r="B4281" s="405" t="s">
        <v>22042</v>
      </c>
      <c r="C4281" s="405" t="s">
        <v>327</v>
      </c>
      <c r="D4281" s="405"/>
      <c r="E4281" s="410">
        <v>42151</v>
      </c>
      <c r="F4281" s="410">
        <v>42196</v>
      </c>
      <c r="G4281" s="405" t="s">
        <v>22043</v>
      </c>
      <c r="H4281" s="405">
        <v>703533051</v>
      </c>
      <c r="I4281" s="405"/>
      <c r="J4281" s="405">
        <v>0.46349299999999999</v>
      </c>
      <c r="K4281" s="405">
        <v>30.132722999999999</v>
      </c>
      <c r="L4281" s="405" t="s">
        <v>590</v>
      </c>
      <c r="M4281" s="405" t="s">
        <v>19625</v>
      </c>
      <c r="N4281" s="405" t="s">
        <v>22016</v>
      </c>
      <c r="O4281" s="405" t="s">
        <v>22044</v>
      </c>
      <c r="P4281" s="405" t="s">
        <v>22045</v>
      </c>
      <c r="Q4281" s="411">
        <v>6</v>
      </c>
      <c r="R4281" s="405" t="s">
        <v>874</v>
      </c>
      <c r="S4281" s="405" t="s">
        <v>27172</v>
      </c>
      <c r="T4281" s="405" t="s">
        <v>32102</v>
      </c>
      <c r="U4281" s="405" t="s">
        <v>319</v>
      </c>
    </row>
    <row r="4282" spans="1:21" x14ac:dyDescent="0.25">
      <c r="A4282" s="405" t="s">
        <v>310</v>
      </c>
      <c r="B4282" s="405" t="s">
        <v>5652</v>
      </c>
      <c r="C4282" s="405" t="s">
        <v>327</v>
      </c>
      <c r="D4282" s="405"/>
      <c r="E4282" s="410">
        <v>42151</v>
      </c>
      <c r="F4282" s="410">
        <v>42196</v>
      </c>
      <c r="G4282" s="405" t="s">
        <v>5653</v>
      </c>
      <c r="H4282" s="405">
        <v>772401718</v>
      </c>
      <c r="I4282" s="405"/>
      <c r="J4282" s="405">
        <v>0.39264300000000002</v>
      </c>
      <c r="K4282" s="405">
        <v>32.921132999999998</v>
      </c>
      <c r="L4282" s="405" t="s">
        <v>314</v>
      </c>
      <c r="M4282" s="405" t="s">
        <v>349</v>
      </c>
      <c r="N4282" s="405" t="s">
        <v>5654</v>
      </c>
      <c r="O4282" s="405" t="s">
        <v>5654</v>
      </c>
      <c r="P4282" s="405" t="s">
        <v>3434</v>
      </c>
      <c r="Q4282" s="411">
        <v>6</v>
      </c>
      <c r="R4282" s="405" t="s">
        <v>5655</v>
      </c>
      <c r="S4282" s="405" t="s">
        <v>27072</v>
      </c>
      <c r="T4282" s="405" t="s">
        <v>884</v>
      </c>
      <c r="U4282" s="405" t="s">
        <v>319</v>
      </c>
    </row>
    <row r="4283" spans="1:21" x14ac:dyDescent="0.25">
      <c r="A4283" s="405" t="s">
        <v>310</v>
      </c>
      <c r="B4283" s="405" t="s">
        <v>18950</v>
      </c>
      <c r="C4283" s="405" t="s">
        <v>327</v>
      </c>
      <c r="D4283" s="405"/>
      <c r="E4283" s="410">
        <v>42151</v>
      </c>
      <c r="F4283" s="410">
        <v>42196</v>
      </c>
      <c r="G4283" s="405" t="s">
        <v>18951</v>
      </c>
      <c r="H4283" s="405">
        <v>772587491</v>
      </c>
      <c r="I4283" s="405"/>
      <c r="J4283" s="405">
        <v>2.2193399999999999</v>
      </c>
      <c r="K4283" s="405">
        <v>32.919898000000003</v>
      </c>
      <c r="L4283" s="405" t="s">
        <v>860</v>
      </c>
      <c r="M4283" s="405" t="s">
        <v>18234</v>
      </c>
      <c r="N4283" s="405" t="s">
        <v>18252</v>
      </c>
      <c r="O4283" s="405" t="s">
        <v>18253</v>
      </c>
      <c r="P4283" s="405" t="s">
        <v>18952</v>
      </c>
      <c r="Q4283" s="411">
        <v>6</v>
      </c>
      <c r="R4283" s="405" t="s">
        <v>5336</v>
      </c>
      <c r="S4283" s="405" t="s">
        <v>27243</v>
      </c>
      <c r="T4283" s="405" t="s">
        <v>884</v>
      </c>
      <c r="U4283" s="405" t="s">
        <v>319</v>
      </c>
    </row>
    <row r="4284" spans="1:21" x14ac:dyDescent="0.25">
      <c r="A4284" s="405" t="s">
        <v>310</v>
      </c>
      <c r="B4284" s="405" t="s">
        <v>14444</v>
      </c>
      <c r="C4284" s="405" t="s">
        <v>327</v>
      </c>
      <c r="D4284" s="405"/>
      <c r="E4284" s="410">
        <v>42150</v>
      </c>
      <c r="F4284" s="410">
        <v>42195</v>
      </c>
      <c r="G4284" s="405" t="s">
        <v>14445</v>
      </c>
      <c r="H4284" s="405">
        <v>702999445</v>
      </c>
      <c r="I4284" s="405"/>
      <c r="J4284" s="405">
        <v>1.720893</v>
      </c>
      <c r="K4284" s="405">
        <v>33.623747000000002</v>
      </c>
      <c r="L4284" s="405" t="s">
        <v>6866</v>
      </c>
      <c r="M4284" s="405" t="s">
        <v>10515</v>
      </c>
      <c r="N4284" s="405" t="s">
        <v>10765</v>
      </c>
      <c r="O4284" s="405" t="s">
        <v>14446</v>
      </c>
      <c r="P4284" s="405" t="s">
        <v>14447</v>
      </c>
      <c r="Q4284" s="411">
        <v>6</v>
      </c>
      <c r="R4284" s="405" t="s">
        <v>5655</v>
      </c>
      <c r="S4284" s="405" t="s">
        <v>27056</v>
      </c>
      <c r="T4284" s="405" t="s">
        <v>884</v>
      </c>
      <c r="U4284" s="405" t="s">
        <v>319</v>
      </c>
    </row>
    <row r="4285" spans="1:21" x14ac:dyDescent="0.25">
      <c r="A4285" s="405" t="s">
        <v>310</v>
      </c>
      <c r="B4285" s="405" t="s">
        <v>22034</v>
      </c>
      <c r="C4285" s="405" t="s">
        <v>327</v>
      </c>
      <c r="D4285" s="405"/>
      <c r="E4285" s="410">
        <v>42149</v>
      </c>
      <c r="F4285" s="410">
        <v>42194</v>
      </c>
      <c r="G4285" s="405" t="s">
        <v>22035</v>
      </c>
      <c r="H4285" s="405">
        <v>773655516</v>
      </c>
      <c r="I4285" s="405"/>
      <c r="J4285" s="405">
        <v>0.73608300000000004</v>
      </c>
      <c r="K4285" s="405">
        <v>30.736761999999999</v>
      </c>
      <c r="L4285" s="405" t="s">
        <v>590</v>
      </c>
      <c r="M4285" s="405" t="s">
        <v>879</v>
      </c>
      <c r="N4285" s="405" t="s">
        <v>22036</v>
      </c>
      <c r="O4285" s="405" t="s">
        <v>22036</v>
      </c>
      <c r="P4285" s="405" t="s">
        <v>22037</v>
      </c>
      <c r="Q4285" s="411">
        <v>9</v>
      </c>
      <c r="R4285" s="405" t="s">
        <v>6572</v>
      </c>
      <c r="S4285" s="405" t="s">
        <v>27401</v>
      </c>
      <c r="T4285" s="405" t="s">
        <v>884</v>
      </c>
      <c r="U4285" s="405" t="s">
        <v>319</v>
      </c>
    </row>
    <row r="4286" spans="1:21" x14ac:dyDescent="0.25">
      <c r="A4286" s="405" t="s">
        <v>310</v>
      </c>
      <c r="B4286" s="405" t="s">
        <v>28025</v>
      </c>
      <c r="C4286" s="405" t="s">
        <v>327</v>
      </c>
      <c r="D4286" s="405"/>
      <c r="E4286" s="410">
        <v>42148</v>
      </c>
      <c r="F4286" s="410">
        <v>42193</v>
      </c>
      <c r="G4286" s="405" t="s">
        <v>22061</v>
      </c>
      <c r="H4286" s="405">
        <v>789920869</v>
      </c>
      <c r="I4286" s="405"/>
      <c r="J4286" s="405">
        <v>1.7072E-2</v>
      </c>
      <c r="K4286" s="405">
        <v>30.755870000000002</v>
      </c>
      <c r="L4286" s="405" t="s">
        <v>590</v>
      </c>
      <c r="M4286" s="405" t="s">
        <v>19720</v>
      </c>
      <c r="N4286" s="405" t="s">
        <v>22032</v>
      </c>
      <c r="O4286" s="405" t="s">
        <v>21991</v>
      </c>
      <c r="P4286" s="405" t="s">
        <v>22062</v>
      </c>
      <c r="Q4286" s="411">
        <v>6</v>
      </c>
      <c r="R4286" s="405" t="s">
        <v>6572</v>
      </c>
      <c r="S4286" s="405" t="s">
        <v>27161</v>
      </c>
      <c r="T4286" s="405" t="s">
        <v>884</v>
      </c>
      <c r="U4286" s="405" t="s">
        <v>319</v>
      </c>
    </row>
    <row r="4287" spans="1:21" x14ac:dyDescent="0.25">
      <c r="A4287" s="405" t="s">
        <v>310</v>
      </c>
      <c r="B4287" s="405" t="s">
        <v>14455</v>
      </c>
      <c r="C4287" s="405" t="s">
        <v>327</v>
      </c>
      <c r="D4287" s="405"/>
      <c r="E4287" s="410">
        <v>42147</v>
      </c>
      <c r="F4287" s="410">
        <v>42192</v>
      </c>
      <c r="G4287" s="405" t="s">
        <v>14456</v>
      </c>
      <c r="H4287" s="405">
        <v>777177532</v>
      </c>
      <c r="I4287" s="405"/>
      <c r="J4287" s="405">
        <v>0.90798999999999996</v>
      </c>
      <c r="K4287" s="405">
        <v>34.236674999999998</v>
      </c>
      <c r="L4287" s="405" t="s">
        <v>6866</v>
      </c>
      <c r="M4287" s="405" t="s">
        <v>9763</v>
      </c>
      <c r="N4287" s="405" t="s">
        <v>10631</v>
      </c>
      <c r="O4287" s="405" t="s">
        <v>11680</v>
      </c>
      <c r="P4287" s="405" t="s">
        <v>13845</v>
      </c>
      <c r="Q4287" s="411">
        <v>6</v>
      </c>
      <c r="R4287" s="405" t="s">
        <v>7224</v>
      </c>
      <c r="S4287" s="405" t="s">
        <v>27259</v>
      </c>
      <c r="T4287" s="405" t="s">
        <v>884</v>
      </c>
      <c r="U4287" s="405" t="s">
        <v>319</v>
      </c>
    </row>
    <row r="4288" spans="1:21" x14ac:dyDescent="0.25">
      <c r="A4288" s="405" t="s">
        <v>310</v>
      </c>
      <c r="B4288" s="405" t="s">
        <v>14457</v>
      </c>
      <c r="C4288" s="405" t="s">
        <v>327</v>
      </c>
      <c r="D4288" s="405"/>
      <c r="E4288" s="410">
        <v>42145</v>
      </c>
      <c r="F4288" s="410">
        <v>42190</v>
      </c>
      <c r="G4288" s="405" t="s">
        <v>14458</v>
      </c>
      <c r="H4288" s="405">
        <v>772977449</v>
      </c>
      <c r="I4288" s="405"/>
      <c r="J4288" s="405">
        <v>1.0306919999999999</v>
      </c>
      <c r="K4288" s="405">
        <v>34.372202999999999</v>
      </c>
      <c r="L4288" s="405" t="s">
        <v>6866</v>
      </c>
      <c r="M4288" s="405" t="s">
        <v>6867</v>
      </c>
      <c r="N4288" s="405" t="s">
        <v>6868</v>
      </c>
      <c r="O4288" s="405" t="s">
        <v>12252</v>
      </c>
      <c r="P4288" s="405" t="s">
        <v>14459</v>
      </c>
      <c r="Q4288" s="411">
        <v>6</v>
      </c>
      <c r="R4288" s="405" t="s">
        <v>7224</v>
      </c>
      <c r="S4288" s="405" t="s">
        <v>27306</v>
      </c>
      <c r="T4288" s="405" t="s">
        <v>884</v>
      </c>
      <c r="U4288" s="405" t="s">
        <v>319</v>
      </c>
    </row>
    <row r="4289" spans="1:21" x14ac:dyDescent="0.25">
      <c r="A4289" s="405" t="s">
        <v>310</v>
      </c>
      <c r="B4289" s="405" t="s">
        <v>14453</v>
      </c>
      <c r="C4289" s="405" t="s">
        <v>327</v>
      </c>
      <c r="D4289" s="405"/>
      <c r="E4289" s="410">
        <v>42145</v>
      </c>
      <c r="F4289" s="410">
        <v>42190</v>
      </c>
      <c r="G4289" s="405" t="s">
        <v>14454</v>
      </c>
      <c r="H4289" s="405">
        <v>779438989</v>
      </c>
      <c r="I4289" s="405"/>
      <c r="J4289" s="405">
        <v>0.90503500000000003</v>
      </c>
      <c r="K4289" s="405">
        <v>34.234341999999998</v>
      </c>
      <c r="L4289" s="405" t="s">
        <v>6866</v>
      </c>
      <c r="M4289" s="405" t="s">
        <v>9763</v>
      </c>
      <c r="N4289" s="405" t="s">
        <v>10174</v>
      </c>
      <c r="O4289" s="405" t="s">
        <v>11680</v>
      </c>
      <c r="P4289" s="405" t="s">
        <v>13845</v>
      </c>
      <c r="Q4289" s="411">
        <v>6</v>
      </c>
      <c r="R4289" s="405" t="s">
        <v>7224</v>
      </c>
      <c r="S4289" s="405" t="s">
        <v>27310</v>
      </c>
      <c r="T4289" s="405" t="s">
        <v>884</v>
      </c>
      <c r="U4289" s="405" t="s">
        <v>319</v>
      </c>
    </row>
    <row r="4290" spans="1:21" x14ac:dyDescent="0.25">
      <c r="A4290" s="405" t="s">
        <v>310</v>
      </c>
      <c r="B4290" s="405" t="s">
        <v>14450</v>
      </c>
      <c r="C4290" s="405" t="s">
        <v>327</v>
      </c>
      <c r="D4290" s="405"/>
      <c r="E4290" s="410">
        <v>42144</v>
      </c>
      <c r="F4290" s="410">
        <v>42189</v>
      </c>
      <c r="G4290" s="405" t="s">
        <v>14451</v>
      </c>
      <c r="H4290" s="405">
        <v>772329206</v>
      </c>
      <c r="I4290" s="405"/>
      <c r="J4290" s="405">
        <v>1.0748949999999999</v>
      </c>
      <c r="K4290" s="405">
        <v>34.091987000000003</v>
      </c>
      <c r="L4290" s="405" t="s">
        <v>6866</v>
      </c>
      <c r="M4290" s="405" t="s">
        <v>9676</v>
      </c>
      <c r="N4290" s="405" t="s">
        <v>13520</v>
      </c>
      <c r="O4290" s="405" t="s">
        <v>14452</v>
      </c>
      <c r="P4290" s="405" t="s">
        <v>10380</v>
      </c>
      <c r="Q4290" s="411">
        <v>6</v>
      </c>
      <c r="R4290" s="405" t="s">
        <v>7224</v>
      </c>
      <c r="S4290" s="405" t="s">
        <v>27283</v>
      </c>
      <c r="T4290" s="405" t="s">
        <v>32102</v>
      </c>
      <c r="U4290" s="405" t="s">
        <v>319</v>
      </c>
    </row>
    <row r="4291" spans="1:21" x14ac:dyDescent="0.25">
      <c r="A4291" s="405" t="s">
        <v>310</v>
      </c>
      <c r="B4291" s="405" t="s">
        <v>14460</v>
      </c>
      <c r="C4291" s="405" t="s">
        <v>327</v>
      </c>
      <c r="D4291" s="405"/>
      <c r="E4291" s="410">
        <v>42144</v>
      </c>
      <c r="F4291" s="410">
        <v>42189</v>
      </c>
      <c r="G4291" s="405" t="s">
        <v>14461</v>
      </c>
      <c r="H4291" s="405">
        <v>787983027</v>
      </c>
      <c r="I4291" s="405"/>
      <c r="J4291" s="405">
        <v>1.030125</v>
      </c>
      <c r="K4291" s="405">
        <v>34.370780000000003</v>
      </c>
      <c r="L4291" s="405" t="s">
        <v>6866</v>
      </c>
      <c r="M4291" s="405" t="s">
        <v>6867</v>
      </c>
      <c r="N4291" s="405" t="s">
        <v>12252</v>
      </c>
      <c r="O4291" s="405" t="s">
        <v>14462</v>
      </c>
      <c r="P4291" s="405" t="s">
        <v>14235</v>
      </c>
      <c r="Q4291" s="411">
        <v>6</v>
      </c>
      <c r="R4291" s="405" t="s">
        <v>7224</v>
      </c>
      <c r="S4291" s="405" t="s">
        <v>17062</v>
      </c>
      <c r="T4291" s="405" t="s">
        <v>884</v>
      </c>
      <c r="U4291" s="405" t="s">
        <v>319</v>
      </c>
    </row>
    <row r="4292" spans="1:21" x14ac:dyDescent="0.25">
      <c r="A4292" s="405" t="s">
        <v>310</v>
      </c>
      <c r="B4292" s="405" t="s">
        <v>14497</v>
      </c>
      <c r="C4292" s="405" t="s">
        <v>327</v>
      </c>
      <c r="D4292" s="405"/>
      <c r="E4292" s="410">
        <v>42142</v>
      </c>
      <c r="F4292" s="410">
        <v>42187</v>
      </c>
      <c r="G4292" s="405" t="s">
        <v>14498</v>
      </c>
      <c r="H4292" s="405">
        <v>752840252</v>
      </c>
      <c r="I4292" s="405"/>
      <c r="J4292" s="405">
        <v>1.110242</v>
      </c>
      <c r="K4292" s="405">
        <v>34.201998000000003</v>
      </c>
      <c r="L4292" s="405" t="s">
        <v>6866</v>
      </c>
      <c r="M4292" s="405" t="s">
        <v>9514</v>
      </c>
      <c r="N4292" s="405" t="s">
        <v>9722</v>
      </c>
      <c r="O4292" s="405" t="s">
        <v>9530</v>
      </c>
      <c r="P4292" s="405" t="s">
        <v>14499</v>
      </c>
      <c r="Q4292" s="411">
        <v>6</v>
      </c>
      <c r="R4292" s="405" t="s">
        <v>7224</v>
      </c>
      <c r="S4292" s="405" t="s">
        <v>27041</v>
      </c>
      <c r="T4292" s="405" t="s">
        <v>884</v>
      </c>
      <c r="U4292" s="405" t="s">
        <v>319</v>
      </c>
    </row>
    <row r="4293" spans="1:21" x14ac:dyDescent="0.25">
      <c r="A4293" s="405" t="s">
        <v>310</v>
      </c>
      <c r="B4293" s="405" t="s">
        <v>22054</v>
      </c>
      <c r="C4293" s="405" t="s">
        <v>327</v>
      </c>
      <c r="D4293" s="405"/>
      <c r="E4293" s="410">
        <v>42142</v>
      </c>
      <c r="F4293" s="410">
        <v>42187</v>
      </c>
      <c r="G4293" s="405" t="s">
        <v>22055</v>
      </c>
      <c r="H4293" s="405">
        <v>771887736</v>
      </c>
      <c r="I4293" s="405"/>
      <c r="J4293" s="405">
        <v>0.76138499999999998</v>
      </c>
      <c r="K4293" s="405">
        <v>33.875008000000001</v>
      </c>
      <c r="L4293" s="405" t="s">
        <v>590</v>
      </c>
      <c r="M4293" s="405" t="s">
        <v>19720</v>
      </c>
      <c r="N4293" s="405" t="s">
        <v>22056</v>
      </c>
      <c r="O4293" s="405" t="s">
        <v>22056</v>
      </c>
      <c r="P4293" s="405" t="s">
        <v>22057</v>
      </c>
      <c r="Q4293" s="411">
        <v>6</v>
      </c>
      <c r="R4293" s="405" t="s">
        <v>6572</v>
      </c>
      <c r="S4293" s="405" t="s">
        <v>27301</v>
      </c>
      <c r="T4293" s="405" t="s">
        <v>884</v>
      </c>
      <c r="U4293" s="405" t="s">
        <v>319</v>
      </c>
    </row>
    <row r="4294" spans="1:21" x14ac:dyDescent="0.25">
      <c r="A4294" s="405" t="s">
        <v>310</v>
      </c>
      <c r="B4294" s="405" t="s">
        <v>5639</v>
      </c>
      <c r="C4294" s="405" t="s">
        <v>327</v>
      </c>
      <c r="D4294" s="405"/>
      <c r="E4294" s="410">
        <v>42142</v>
      </c>
      <c r="F4294" s="410">
        <v>42187</v>
      </c>
      <c r="G4294" s="405" t="s">
        <v>5640</v>
      </c>
      <c r="H4294" s="405">
        <v>756469312</v>
      </c>
      <c r="I4294" s="405">
        <v>787330194</v>
      </c>
      <c r="J4294" s="405">
        <v>1.029088</v>
      </c>
      <c r="K4294" s="405">
        <v>31.546025</v>
      </c>
      <c r="L4294" s="405" t="s">
        <v>314</v>
      </c>
      <c r="M4294" s="405" t="s">
        <v>1360</v>
      </c>
      <c r="N4294" s="405" t="s">
        <v>5641</v>
      </c>
      <c r="O4294" s="405" t="s">
        <v>3545</v>
      </c>
      <c r="P4294" s="405" t="s">
        <v>5642</v>
      </c>
      <c r="Q4294" s="411">
        <v>6</v>
      </c>
      <c r="R4294" s="405" t="s">
        <v>525</v>
      </c>
      <c r="S4294" s="405" t="s">
        <v>414</v>
      </c>
      <c r="T4294" s="405" t="s">
        <v>32102</v>
      </c>
      <c r="U4294" s="405" t="s">
        <v>319</v>
      </c>
    </row>
    <row r="4295" spans="1:21" x14ac:dyDescent="0.25">
      <c r="A4295" s="405" t="s">
        <v>310</v>
      </c>
      <c r="B4295" s="405" t="s">
        <v>29109</v>
      </c>
      <c r="C4295" s="405" t="s">
        <v>327</v>
      </c>
      <c r="D4295" s="405"/>
      <c r="E4295" s="410">
        <v>42140</v>
      </c>
      <c r="F4295" s="410">
        <v>42185</v>
      </c>
      <c r="G4295" s="405" t="s">
        <v>5621</v>
      </c>
      <c r="H4295" s="405">
        <v>772879634</v>
      </c>
      <c r="I4295" s="405"/>
      <c r="J4295" s="405">
        <v>0.62795299999999998</v>
      </c>
      <c r="K4295" s="405">
        <v>32.99051</v>
      </c>
      <c r="L4295" s="405" t="s">
        <v>314</v>
      </c>
      <c r="M4295" s="405" t="s">
        <v>502</v>
      </c>
      <c r="N4295" s="405" t="s">
        <v>5469</v>
      </c>
      <c r="O4295" s="405" t="s">
        <v>504</v>
      </c>
      <c r="P4295" s="405" t="s">
        <v>2163</v>
      </c>
      <c r="Q4295" s="411">
        <v>9</v>
      </c>
      <c r="R4295" s="405" t="s">
        <v>5336</v>
      </c>
      <c r="S4295" s="405" t="s">
        <v>27164</v>
      </c>
      <c r="T4295" s="405" t="s">
        <v>6551</v>
      </c>
      <c r="U4295" s="405" t="s">
        <v>2267</v>
      </c>
    </row>
    <row r="4296" spans="1:21" x14ac:dyDescent="0.25">
      <c r="A4296" s="405" t="s">
        <v>310</v>
      </c>
      <c r="B4296" s="405" t="s">
        <v>22002</v>
      </c>
      <c r="C4296" s="405" t="s">
        <v>327</v>
      </c>
      <c r="D4296" s="405"/>
      <c r="E4296" s="410">
        <v>42140</v>
      </c>
      <c r="F4296" s="410">
        <v>42185</v>
      </c>
      <c r="G4296" s="405" t="s">
        <v>22003</v>
      </c>
      <c r="H4296" s="405">
        <v>772859955</v>
      </c>
      <c r="I4296" s="405"/>
      <c r="J4296" s="405">
        <v>0.23469999999999999</v>
      </c>
      <c r="K4296" s="405">
        <v>30.242599999999999</v>
      </c>
      <c r="L4296" s="405" t="s">
        <v>590</v>
      </c>
      <c r="M4296" s="405" t="s">
        <v>19720</v>
      </c>
      <c r="N4296" s="405" t="s">
        <v>21711</v>
      </c>
      <c r="O4296" s="405" t="s">
        <v>21991</v>
      </c>
      <c r="P4296" s="405" t="s">
        <v>21781</v>
      </c>
      <c r="Q4296" s="411">
        <v>6</v>
      </c>
      <c r="R4296" s="405" t="s">
        <v>6572</v>
      </c>
      <c r="S4296" s="405" t="s">
        <v>27161</v>
      </c>
      <c r="T4296" s="405" t="s">
        <v>884</v>
      </c>
      <c r="U4296" s="405" t="s">
        <v>319</v>
      </c>
    </row>
    <row r="4297" spans="1:21" x14ac:dyDescent="0.25">
      <c r="A4297" s="405" t="s">
        <v>310</v>
      </c>
      <c r="B4297" s="405" t="s">
        <v>14435</v>
      </c>
      <c r="C4297" s="405" t="s">
        <v>327</v>
      </c>
      <c r="D4297" s="405"/>
      <c r="E4297" s="410">
        <v>42139</v>
      </c>
      <c r="F4297" s="410">
        <v>42184</v>
      </c>
      <c r="G4297" s="405" t="s">
        <v>14436</v>
      </c>
      <c r="H4297" s="405">
        <v>704394240</v>
      </c>
      <c r="I4297" s="405"/>
      <c r="J4297" s="405">
        <v>1.2856650000000001</v>
      </c>
      <c r="K4297" s="405">
        <v>34.340913</v>
      </c>
      <c r="L4297" s="405" t="s">
        <v>6866</v>
      </c>
      <c r="M4297" s="405" t="s">
        <v>9550</v>
      </c>
      <c r="N4297" s="405" t="s">
        <v>9550</v>
      </c>
      <c r="O4297" s="405" t="s">
        <v>14437</v>
      </c>
      <c r="P4297" s="405" t="s">
        <v>14438</v>
      </c>
      <c r="Q4297" s="411">
        <v>6</v>
      </c>
      <c r="R4297" s="405" t="s">
        <v>7224</v>
      </c>
      <c r="S4297" s="405" t="s">
        <v>27294</v>
      </c>
      <c r="T4297" s="405" t="s">
        <v>884</v>
      </c>
      <c r="U4297" s="405" t="s">
        <v>319</v>
      </c>
    </row>
    <row r="4298" spans="1:21" x14ac:dyDescent="0.25">
      <c r="A4298" s="405" t="s">
        <v>310</v>
      </c>
      <c r="B4298" s="405" t="s">
        <v>14439</v>
      </c>
      <c r="C4298" s="405" t="s">
        <v>327</v>
      </c>
      <c r="D4298" s="405"/>
      <c r="E4298" s="410">
        <v>42139</v>
      </c>
      <c r="F4298" s="410">
        <v>42184</v>
      </c>
      <c r="G4298" s="405" t="s">
        <v>14440</v>
      </c>
      <c r="H4298" s="405">
        <v>782398327</v>
      </c>
      <c r="I4298" s="405"/>
      <c r="J4298" s="405">
        <v>0.68869199999999997</v>
      </c>
      <c r="K4298" s="405">
        <v>34.102763000000003</v>
      </c>
      <c r="L4298" s="405" t="s">
        <v>6866</v>
      </c>
      <c r="M4298" s="405" t="s">
        <v>9534</v>
      </c>
      <c r="N4298" s="405" t="s">
        <v>9927</v>
      </c>
      <c r="O4298" s="405" t="s">
        <v>10992</v>
      </c>
      <c r="P4298" s="405" t="s">
        <v>14441</v>
      </c>
      <c r="Q4298" s="411">
        <v>6</v>
      </c>
      <c r="R4298" s="405" t="s">
        <v>7224</v>
      </c>
      <c r="S4298" s="405" t="s">
        <v>27259</v>
      </c>
      <c r="T4298" s="405" t="s">
        <v>884</v>
      </c>
      <c r="U4298" s="405" t="s">
        <v>319</v>
      </c>
    </row>
    <row r="4299" spans="1:21" ht="25.5" x14ac:dyDescent="0.25">
      <c r="A4299" s="405" t="s">
        <v>310</v>
      </c>
      <c r="B4299" s="413" t="s">
        <v>19317</v>
      </c>
      <c r="C4299" s="413" t="s">
        <v>311</v>
      </c>
      <c r="D4299" s="420" t="s">
        <v>32474</v>
      </c>
      <c r="E4299" s="418">
        <v>42137</v>
      </c>
      <c r="F4299" s="418">
        <v>42182</v>
      </c>
      <c r="G4299" s="413" t="s">
        <v>19318</v>
      </c>
      <c r="H4299" s="405">
        <v>782457101</v>
      </c>
      <c r="I4299" s="405"/>
      <c r="J4299" s="405">
        <v>0.61355000000000004</v>
      </c>
      <c r="K4299" s="405">
        <v>30.307971999999999</v>
      </c>
      <c r="L4299" s="405" t="s">
        <v>860</v>
      </c>
      <c r="M4299" s="405" t="s">
        <v>18368</v>
      </c>
      <c r="N4299" s="405" t="s">
        <v>19319</v>
      </c>
      <c r="O4299" s="405" t="s">
        <v>18370</v>
      </c>
      <c r="P4299" s="405" t="s">
        <v>19320</v>
      </c>
      <c r="Q4299" s="411">
        <v>13</v>
      </c>
      <c r="R4299" s="405" t="s">
        <v>18919</v>
      </c>
      <c r="S4299" s="405" t="s">
        <v>27243</v>
      </c>
      <c r="T4299" s="405" t="s">
        <v>884</v>
      </c>
      <c r="U4299" s="405" t="s">
        <v>319</v>
      </c>
    </row>
    <row r="4300" spans="1:21" x14ac:dyDescent="0.25">
      <c r="A4300" s="405" t="s">
        <v>310</v>
      </c>
      <c r="B4300" s="405" t="s">
        <v>21976</v>
      </c>
      <c r="C4300" s="405" t="s">
        <v>327</v>
      </c>
      <c r="D4300" s="405"/>
      <c r="E4300" s="410">
        <v>42136</v>
      </c>
      <c r="F4300" s="410">
        <v>42181</v>
      </c>
      <c r="G4300" s="405" t="s">
        <v>21977</v>
      </c>
      <c r="H4300" s="405">
        <v>776998517</v>
      </c>
      <c r="I4300" s="405"/>
      <c r="J4300" s="405">
        <v>0.24177499999999999</v>
      </c>
      <c r="K4300" s="405">
        <v>30.634640000000001</v>
      </c>
      <c r="L4300" s="405" t="s">
        <v>590</v>
      </c>
      <c r="M4300" s="405" t="s">
        <v>19720</v>
      </c>
      <c r="N4300" s="405" t="s">
        <v>7352</v>
      </c>
      <c r="O4300" s="405" t="s">
        <v>19722</v>
      </c>
      <c r="P4300" s="405" t="s">
        <v>8778</v>
      </c>
      <c r="Q4300" s="411">
        <v>6</v>
      </c>
      <c r="R4300" s="405" t="s">
        <v>402</v>
      </c>
      <c r="S4300" s="405" t="s">
        <v>27154</v>
      </c>
      <c r="T4300" s="405" t="s">
        <v>884</v>
      </c>
      <c r="U4300" s="405" t="s">
        <v>319</v>
      </c>
    </row>
    <row r="4301" spans="1:21" x14ac:dyDescent="0.25">
      <c r="A4301" s="405" t="s">
        <v>310</v>
      </c>
      <c r="B4301" s="405" t="s">
        <v>5630</v>
      </c>
      <c r="C4301" s="405" t="s">
        <v>327</v>
      </c>
      <c r="D4301" s="405"/>
      <c r="E4301" s="410">
        <v>42134</v>
      </c>
      <c r="F4301" s="410">
        <v>42179</v>
      </c>
      <c r="G4301" s="405" t="s">
        <v>5631</v>
      </c>
      <c r="H4301" s="405">
        <v>702447016</v>
      </c>
      <c r="I4301" s="405"/>
      <c r="J4301" s="405">
        <v>0.38261200000000001</v>
      </c>
      <c r="K4301" s="405">
        <v>32.573650000000001</v>
      </c>
      <c r="L4301" s="405" t="s">
        <v>314</v>
      </c>
      <c r="M4301" s="405" t="s">
        <v>992</v>
      </c>
      <c r="N4301" s="405" t="s">
        <v>3650</v>
      </c>
      <c r="O4301" s="405" t="s">
        <v>3650</v>
      </c>
      <c r="P4301" s="405" t="s">
        <v>5632</v>
      </c>
      <c r="Q4301" s="411">
        <v>9</v>
      </c>
      <c r="R4301" s="405" t="s">
        <v>874</v>
      </c>
      <c r="S4301" s="405" t="s">
        <v>27132</v>
      </c>
      <c r="T4301" s="405" t="s">
        <v>6551</v>
      </c>
      <c r="U4301" s="405" t="s">
        <v>2267</v>
      </c>
    </row>
    <row r="4302" spans="1:21" x14ac:dyDescent="0.25">
      <c r="A4302" s="405" t="s">
        <v>310</v>
      </c>
      <c r="B4302" s="405" t="s">
        <v>5633</v>
      </c>
      <c r="C4302" s="405" t="s">
        <v>327</v>
      </c>
      <c r="D4302" s="405"/>
      <c r="E4302" s="410">
        <v>42133</v>
      </c>
      <c r="F4302" s="410">
        <v>42178</v>
      </c>
      <c r="G4302" s="405" t="s">
        <v>5634</v>
      </c>
      <c r="H4302" s="405">
        <v>772582657</v>
      </c>
      <c r="I4302" s="405"/>
      <c r="J4302" s="405">
        <v>0.26711699999999999</v>
      </c>
      <c r="K4302" s="405">
        <v>32.430787000000002</v>
      </c>
      <c r="L4302" s="405" t="s">
        <v>314</v>
      </c>
      <c r="M4302" s="405" t="s">
        <v>321</v>
      </c>
      <c r="N4302" s="405" t="s">
        <v>3822</v>
      </c>
      <c r="O4302" s="405" t="s">
        <v>3822</v>
      </c>
      <c r="P4302" s="405" t="s">
        <v>3822</v>
      </c>
      <c r="Q4302" s="411">
        <v>9</v>
      </c>
      <c r="R4302" s="405" t="s">
        <v>525</v>
      </c>
      <c r="S4302" s="405" t="s">
        <v>27232</v>
      </c>
      <c r="T4302" s="405" t="s">
        <v>884</v>
      </c>
      <c r="U4302" s="405" t="s">
        <v>319</v>
      </c>
    </row>
    <row r="4303" spans="1:21" x14ac:dyDescent="0.25">
      <c r="A4303" s="405" t="s">
        <v>310</v>
      </c>
      <c r="B4303" s="405" t="s">
        <v>29119</v>
      </c>
      <c r="C4303" s="405" t="s">
        <v>327</v>
      </c>
      <c r="D4303" s="405"/>
      <c r="E4303" s="410">
        <v>42131</v>
      </c>
      <c r="F4303" s="410">
        <v>42176</v>
      </c>
      <c r="G4303" s="405" t="s">
        <v>5618</v>
      </c>
      <c r="H4303" s="405">
        <v>753110097</v>
      </c>
      <c r="I4303" s="405"/>
      <c r="J4303" s="405">
        <v>1.1121099999999999</v>
      </c>
      <c r="K4303" s="405">
        <v>34.20711</v>
      </c>
      <c r="L4303" s="405" t="s">
        <v>314</v>
      </c>
      <c r="M4303" s="405" t="s">
        <v>361</v>
      </c>
      <c r="N4303" s="405" t="s">
        <v>2496</v>
      </c>
      <c r="O4303" s="405" t="s">
        <v>2496</v>
      </c>
      <c r="P4303" s="405" t="s">
        <v>5619</v>
      </c>
      <c r="Q4303" s="411">
        <v>13</v>
      </c>
      <c r="R4303" s="405" t="s">
        <v>5336</v>
      </c>
      <c r="S4303" s="405" t="s">
        <v>27036</v>
      </c>
      <c r="T4303" s="405" t="s">
        <v>884</v>
      </c>
      <c r="U4303" s="405" t="s">
        <v>319</v>
      </c>
    </row>
    <row r="4304" spans="1:21" x14ac:dyDescent="0.25">
      <c r="A4304" s="405" t="s">
        <v>310</v>
      </c>
      <c r="B4304" s="405" t="s">
        <v>22024</v>
      </c>
      <c r="C4304" s="405" t="s">
        <v>327</v>
      </c>
      <c r="D4304" s="405"/>
      <c r="E4304" s="410">
        <v>42130</v>
      </c>
      <c r="F4304" s="410">
        <v>42175</v>
      </c>
      <c r="G4304" s="405" t="s">
        <v>22025</v>
      </c>
      <c r="H4304" s="405">
        <v>256701446632</v>
      </c>
      <c r="I4304" s="405">
        <v>256772446632</v>
      </c>
      <c r="J4304" s="405">
        <v>0.52159999999999995</v>
      </c>
      <c r="K4304" s="405">
        <v>30.155200000000001</v>
      </c>
      <c r="L4304" s="405" t="s">
        <v>590</v>
      </c>
      <c r="M4304" s="405" t="s">
        <v>19659</v>
      </c>
      <c r="N4304" s="405" t="s">
        <v>13002</v>
      </c>
      <c r="O4304" s="405" t="s">
        <v>13002</v>
      </c>
      <c r="P4304" s="405" t="s">
        <v>20622</v>
      </c>
      <c r="Q4304" s="411">
        <v>13</v>
      </c>
      <c r="R4304" s="405" t="s">
        <v>32166</v>
      </c>
      <c r="S4304" s="405" t="s">
        <v>27401</v>
      </c>
      <c r="T4304" s="405" t="s">
        <v>884</v>
      </c>
      <c r="U4304" s="405" t="s">
        <v>319</v>
      </c>
    </row>
    <row r="4305" spans="1:21" x14ac:dyDescent="0.25">
      <c r="A4305" s="405" t="s">
        <v>310</v>
      </c>
      <c r="B4305" s="405" t="s">
        <v>5628</v>
      </c>
      <c r="C4305" s="405" t="s">
        <v>327</v>
      </c>
      <c r="D4305" s="405"/>
      <c r="E4305" s="410">
        <v>42129</v>
      </c>
      <c r="F4305" s="410">
        <v>42174</v>
      </c>
      <c r="G4305" s="405" t="s">
        <v>5629</v>
      </c>
      <c r="H4305" s="405">
        <v>758003813</v>
      </c>
      <c r="I4305" s="405"/>
      <c r="J4305" s="405">
        <v>0.628965</v>
      </c>
      <c r="K4305" s="405">
        <v>32.989764999999998</v>
      </c>
      <c r="L4305" s="405" t="s">
        <v>314</v>
      </c>
      <c r="M4305" s="405" t="s">
        <v>502</v>
      </c>
      <c r="N4305" s="405" t="s">
        <v>5469</v>
      </c>
      <c r="O4305" s="405" t="s">
        <v>504</v>
      </c>
      <c r="P4305" s="405" t="s">
        <v>2163</v>
      </c>
      <c r="Q4305" s="411">
        <v>9</v>
      </c>
      <c r="R4305" s="405" t="s">
        <v>402</v>
      </c>
      <c r="S4305" s="405" t="s">
        <v>27164</v>
      </c>
      <c r="T4305" s="405" t="s">
        <v>865</v>
      </c>
      <c r="U4305" s="405" t="s">
        <v>866</v>
      </c>
    </row>
    <row r="4306" spans="1:21" x14ac:dyDescent="0.25">
      <c r="A4306" s="405" t="s">
        <v>310</v>
      </c>
      <c r="B4306" s="405" t="s">
        <v>22006</v>
      </c>
      <c r="C4306" s="405" t="s">
        <v>327</v>
      </c>
      <c r="D4306" s="405"/>
      <c r="E4306" s="410">
        <v>42126</v>
      </c>
      <c r="F4306" s="410">
        <v>42171</v>
      </c>
      <c r="G4306" s="405" t="s">
        <v>22007</v>
      </c>
      <c r="H4306" s="405">
        <v>771692282</v>
      </c>
      <c r="I4306" s="405"/>
      <c r="J4306" s="405">
        <v>0.641378</v>
      </c>
      <c r="K4306" s="405">
        <v>30.730402999999999</v>
      </c>
      <c r="L4306" s="405" t="s">
        <v>590</v>
      </c>
      <c r="M4306" s="405" t="s">
        <v>879</v>
      </c>
      <c r="N4306" s="405" t="s">
        <v>22008</v>
      </c>
      <c r="O4306" s="405" t="s">
        <v>881</v>
      </c>
      <c r="P4306" s="405" t="s">
        <v>22009</v>
      </c>
      <c r="Q4306" s="411">
        <v>9</v>
      </c>
      <c r="R4306" s="405" t="s">
        <v>6943</v>
      </c>
      <c r="S4306" s="405" t="s">
        <v>27401</v>
      </c>
      <c r="T4306" s="405" t="s">
        <v>884</v>
      </c>
      <c r="U4306" s="405" t="s">
        <v>319</v>
      </c>
    </row>
    <row r="4307" spans="1:21" x14ac:dyDescent="0.25">
      <c r="A4307" s="405" t="s">
        <v>310</v>
      </c>
      <c r="B4307" s="405" t="s">
        <v>22004</v>
      </c>
      <c r="C4307" s="405" t="s">
        <v>327</v>
      </c>
      <c r="D4307" s="405"/>
      <c r="E4307" s="410">
        <v>42125</v>
      </c>
      <c r="F4307" s="410">
        <v>42170</v>
      </c>
      <c r="G4307" s="405" t="s">
        <v>22005</v>
      </c>
      <c r="H4307" s="405">
        <v>775723677</v>
      </c>
      <c r="I4307" s="405"/>
      <c r="J4307" s="405">
        <v>0.38390000000000002</v>
      </c>
      <c r="K4307" s="405">
        <v>30.131399999999999</v>
      </c>
      <c r="L4307" s="405" t="s">
        <v>590</v>
      </c>
      <c r="M4307" s="405" t="s">
        <v>19725</v>
      </c>
      <c r="N4307" s="405" t="s">
        <v>19725</v>
      </c>
      <c r="O4307" s="405" t="s">
        <v>20013</v>
      </c>
      <c r="P4307" s="405" t="s">
        <v>20169</v>
      </c>
      <c r="Q4307" s="411">
        <v>9</v>
      </c>
      <c r="R4307" s="405" t="s">
        <v>6943</v>
      </c>
      <c r="S4307" s="405" t="s">
        <v>27096</v>
      </c>
      <c r="T4307" s="405" t="s">
        <v>884</v>
      </c>
      <c r="U4307" s="405" t="s">
        <v>319</v>
      </c>
    </row>
    <row r="4308" spans="1:21" x14ac:dyDescent="0.25">
      <c r="A4308" s="405" t="s">
        <v>310</v>
      </c>
      <c r="B4308" s="405" t="s">
        <v>5616</v>
      </c>
      <c r="C4308" s="405" t="s">
        <v>327</v>
      </c>
      <c r="D4308" s="405"/>
      <c r="E4308" s="410">
        <v>42124</v>
      </c>
      <c r="F4308" s="410">
        <v>42169</v>
      </c>
      <c r="G4308" s="405" t="s">
        <v>5617</v>
      </c>
      <c r="H4308" s="405">
        <v>772935884</v>
      </c>
      <c r="I4308" s="405"/>
      <c r="J4308" s="405">
        <v>7.5997999999999996E-2</v>
      </c>
      <c r="K4308" s="405">
        <v>32.554901999999998</v>
      </c>
      <c r="L4308" s="405" t="s">
        <v>314</v>
      </c>
      <c r="M4308" s="405" t="s">
        <v>361</v>
      </c>
      <c r="N4308" s="405" t="s">
        <v>638</v>
      </c>
      <c r="O4308" s="405" t="s">
        <v>638</v>
      </c>
      <c r="P4308" s="405" t="s">
        <v>1974</v>
      </c>
      <c r="Q4308" s="411">
        <v>13</v>
      </c>
      <c r="R4308" s="405" t="s">
        <v>5336</v>
      </c>
      <c r="S4308" s="405" t="s">
        <v>27174</v>
      </c>
      <c r="T4308" s="405" t="s">
        <v>884</v>
      </c>
      <c r="U4308" s="405" t="s">
        <v>319</v>
      </c>
    </row>
    <row r="4309" spans="1:21" x14ac:dyDescent="0.25">
      <c r="A4309" s="405" t="s">
        <v>310</v>
      </c>
      <c r="B4309" s="405" t="s">
        <v>19021</v>
      </c>
      <c r="C4309" s="405" t="s">
        <v>327</v>
      </c>
      <c r="D4309" s="405"/>
      <c r="E4309" s="410">
        <v>42124</v>
      </c>
      <c r="F4309" s="410">
        <v>43120</v>
      </c>
      <c r="G4309" s="405" t="s">
        <v>19022</v>
      </c>
      <c r="H4309" s="405">
        <v>701342309</v>
      </c>
      <c r="I4309" s="405">
        <v>779772773</v>
      </c>
      <c r="J4309" s="405">
        <v>0.52761000000000002</v>
      </c>
      <c r="K4309" s="405">
        <v>30.206233000000001</v>
      </c>
      <c r="L4309" s="405" t="s">
        <v>860</v>
      </c>
      <c r="M4309" s="405" t="s">
        <v>18944</v>
      </c>
      <c r="N4309" s="405" t="s">
        <v>18945</v>
      </c>
      <c r="O4309" s="405" t="s">
        <v>18945</v>
      </c>
      <c r="P4309" s="405" t="s">
        <v>18946</v>
      </c>
      <c r="Q4309" s="411">
        <v>6</v>
      </c>
      <c r="R4309" s="405" t="s">
        <v>525</v>
      </c>
      <c r="S4309" s="405" t="s">
        <v>27381</v>
      </c>
      <c r="T4309" s="405" t="s">
        <v>884</v>
      </c>
      <c r="U4309" s="405" t="s">
        <v>319</v>
      </c>
    </row>
    <row r="4310" spans="1:21" x14ac:dyDescent="0.25">
      <c r="A4310" s="405" t="s">
        <v>310</v>
      </c>
      <c r="B4310" s="405" t="s">
        <v>18942</v>
      </c>
      <c r="C4310" s="405" t="s">
        <v>327</v>
      </c>
      <c r="D4310" s="405"/>
      <c r="E4310" s="410">
        <v>42124</v>
      </c>
      <c r="F4310" s="410">
        <v>42169</v>
      </c>
      <c r="G4310" s="405" t="s">
        <v>18943</v>
      </c>
      <c r="H4310" s="405">
        <v>774745227</v>
      </c>
      <c r="I4310" s="405"/>
      <c r="J4310" s="405">
        <v>0.94684900000000005</v>
      </c>
      <c r="K4310" s="405">
        <v>30.62538</v>
      </c>
      <c r="L4310" s="405" t="s">
        <v>860</v>
      </c>
      <c r="M4310" s="405" t="s">
        <v>18944</v>
      </c>
      <c r="N4310" s="405" t="s">
        <v>18945</v>
      </c>
      <c r="O4310" s="405" t="s">
        <v>18945</v>
      </c>
      <c r="P4310" s="405" t="s">
        <v>18946</v>
      </c>
      <c r="Q4310" s="411">
        <v>6</v>
      </c>
      <c r="R4310" s="405" t="s">
        <v>525</v>
      </c>
      <c r="S4310" s="405" t="s">
        <v>27381</v>
      </c>
      <c r="T4310" s="405" t="s">
        <v>884</v>
      </c>
      <c r="U4310" s="405" t="s">
        <v>319</v>
      </c>
    </row>
    <row r="4311" spans="1:21" x14ac:dyDescent="0.25">
      <c r="A4311" s="405" t="s">
        <v>310</v>
      </c>
      <c r="B4311" s="405" t="s">
        <v>22026</v>
      </c>
      <c r="C4311" s="405" t="s">
        <v>327</v>
      </c>
      <c r="D4311" s="405"/>
      <c r="E4311" s="410">
        <v>42123</v>
      </c>
      <c r="F4311" s="410">
        <v>42168</v>
      </c>
      <c r="G4311" s="405" t="s">
        <v>22027</v>
      </c>
      <c r="H4311" s="405">
        <v>773032900</v>
      </c>
      <c r="I4311" s="405"/>
      <c r="J4311" s="405">
        <v>0.98511499999999996</v>
      </c>
      <c r="K4311" s="405">
        <v>30.360856999999999</v>
      </c>
      <c r="L4311" s="405" t="s">
        <v>590</v>
      </c>
      <c r="M4311" s="405" t="s">
        <v>19720</v>
      </c>
      <c r="N4311" s="405" t="s">
        <v>21711</v>
      </c>
      <c r="O4311" s="405" t="s">
        <v>11792</v>
      </c>
      <c r="P4311" s="405" t="s">
        <v>7341</v>
      </c>
      <c r="Q4311" s="411">
        <v>6</v>
      </c>
      <c r="R4311" s="405" t="s">
        <v>6572</v>
      </c>
      <c r="S4311" s="405" t="s">
        <v>27161</v>
      </c>
      <c r="T4311" s="405" t="s">
        <v>884</v>
      </c>
      <c r="U4311" s="405" t="s">
        <v>319</v>
      </c>
    </row>
    <row r="4312" spans="1:21" x14ac:dyDescent="0.25">
      <c r="A4312" s="405" t="s">
        <v>310</v>
      </c>
      <c r="B4312" s="405" t="s">
        <v>22014</v>
      </c>
      <c r="C4312" s="405" t="s">
        <v>327</v>
      </c>
      <c r="D4312" s="405"/>
      <c r="E4312" s="410">
        <v>42121</v>
      </c>
      <c r="F4312" s="410">
        <v>42166</v>
      </c>
      <c r="G4312" s="405" t="s">
        <v>22015</v>
      </c>
      <c r="H4312" s="405">
        <v>773262404</v>
      </c>
      <c r="I4312" s="405"/>
      <c r="J4312" s="405">
        <v>0.27410000000000001</v>
      </c>
      <c r="K4312" s="405">
        <v>30.853000000000002</v>
      </c>
      <c r="L4312" s="405" t="s">
        <v>590</v>
      </c>
      <c r="M4312" s="405" t="s">
        <v>19625</v>
      </c>
      <c r="N4312" s="405" t="s">
        <v>22016</v>
      </c>
      <c r="O4312" s="405" t="s">
        <v>22017</v>
      </c>
      <c r="P4312" s="405" t="s">
        <v>22018</v>
      </c>
      <c r="Q4312" s="411">
        <v>9</v>
      </c>
      <c r="R4312" s="405" t="s">
        <v>874</v>
      </c>
      <c r="S4312" s="405" t="s">
        <v>27172</v>
      </c>
      <c r="T4312" s="405" t="s">
        <v>884</v>
      </c>
      <c r="U4312" s="405" t="s">
        <v>319</v>
      </c>
    </row>
    <row r="4313" spans="1:21" x14ac:dyDescent="0.25">
      <c r="A4313" s="405" t="s">
        <v>310</v>
      </c>
      <c r="B4313" s="405" t="s">
        <v>27755</v>
      </c>
      <c r="C4313" s="405" t="s">
        <v>327</v>
      </c>
      <c r="D4313" s="405"/>
      <c r="E4313" s="410">
        <v>42120</v>
      </c>
      <c r="F4313" s="410">
        <v>42165</v>
      </c>
      <c r="G4313" s="405" t="s">
        <v>5625</v>
      </c>
      <c r="H4313" s="405">
        <v>782935677</v>
      </c>
      <c r="I4313" s="405"/>
      <c r="J4313" s="405">
        <v>0.12758800000000001</v>
      </c>
      <c r="K4313" s="405">
        <v>32.227752000000002</v>
      </c>
      <c r="L4313" s="405" t="s">
        <v>314</v>
      </c>
      <c r="M4313" s="405" t="s">
        <v>321</v>
      </c>
      <c r="N4313" s="405" t="s">
        <v>2472</v>
      </c>
      <c r="O4313" s="405" t="s">
        <v>5626</v>
      </c>
      <c r="P4313" s="405" t="s">
        <v>5627</v>
      </c>
      <c r="Q4313" s="411">
        <v>6</v>
      </c>
      <c r="R4313" s="405" t="s">
        <v>32101</v>
      </c>
      <c r="S4313" s="405" t="s">
        <v>414</v>
      </c>
      <c r="T4313" s="405" t="s">
        <v>884</v>
      </c>
      <c r="U4313" s="405" t="s">
        <v>319</v>
      </c>
    </row>
    <row r="4314" spans="1:21" x14ac:dyDescent="0.25">
      <c r="A4314" s="405" t="s">
        <v>310</v>
      </c>
      <c r="B4314" s="406" t="s">
        <v>32200</v>
      </c>
      <c r="C4314" s="405" t="s">
        <v>327</v>
      </c>
      <c r="D4314" s="405"/>
      <c r="E4314" s="406" t="s">
        <v>32201</v>
      </c>
      <c r="F4314" s="407">
        <v>44908</v>
      </c>
      <c r="G4314" s="406" t="s">
        <v>32202</v>
      </c>
      <c r="H4314" s="406" t="s">
        <v>32203</v>
      </c>
      <c r="I4314" s="406" t="s">
        <v>32204</v>
      </c>
      <c r="J4314" s="408">
        <v>0.43618000000000001</v>
      </c>
      <c r="K4314" s="408">
        <v>32.566848</v>
      </c>
      <c r="L4314" s="406" t="s">
        <v>314</v>
      </c>
      <c r="M4314" s="406" t="s">
        <v>361</v>
      </c>
      <c r="N4314" s="406" t="s">
        <v>7361</v>
      </c>
      <c r="O4314" s="406" t="s">
        <v>523</v>
      </c>
      <c r="P4314" s="406" t="s">
        <v>32205</v>
      </c>
      <c r="Q4314" s="409">
        <v>20</v>
      </c>
      <c r="R4314" s="406" t="s">
        <v>9408</v>
      </c>
      <c r="S4314" s="406" t="s">
        <v>32206</v>
      </c>
      <c r="T4314" s="405" t="s">
        <v>884</v>
      </c>
      <c r="U4314" s="405" t="s">
        <v>319</v>
      </c>
    </row>
    <row r="4315" spans="1:21" x14ac:dyDescent="0.25">
      <c r="A4315" s="405" t="s">
        <v>310</v>
      </c>
      <c r="B4315" s="405" t="s">
        <v>18938</v>
      </c>
      <c r="C4315" s="405" t="s">
        <v>327</v>
      </c>
      <c r="D4315" s="405"/>
      <c r="E4315" s="410">
        <v>42118</v>
      </c>
      <c r="F4315" s="410">
        <v>42163</v>
      </c>
      <c r="G4315" s="405" t="s">
        <v>18939</v>
      </c>
      <c r="H4315" s="405">
        <v>752908874</v>
      </c>
      <c r="I4315" s="405"/>
      <c r="J4315" s="405">
        <v>2.25874</v>
      </c>
      <c r="K4315" s="405">
        <v>32.885447999999997</v>
      </c>
      <c r="L4315" s="405" t="s">
        <v>860</v>
      </c>
      <c r="M4315" s="405" t="s">
        <v>18234</v>
      </c>
      <c r="N4315" s="405" t="s">
        <v>18940</v>
      </c>
      <c r="O4315" s="405" t="s">
        <v>18599</v>
      </c>
      <c r="P4315" s="405" t="s">
        <v>18941</v>
      </c>
      <c r="Q4315" s="411">
        <v>6</v>
      </c>
      <c r="R4315" s="405" t="s">
        <v>5336</v>
      </c>
      <c r="S4315" s="405" t="s">
        <v>27243</v>
      </c>
      <c r="T4315" s="405" t="s">
        <v>32102</v>
      </c>
      <c r="U4315" s="405" t="s">
        <v>319</v>
      </c>
    </row>
    <row r="4316" spans="1:21" x14ac:dyDescent="0.25">
      <c r="A4316" s="405" t="s">
        <v>310</v>
      </c>
      <c r="B4316" s="405" t="s">
        <v>14425</v>
      </c>
      <c r="C4316" s="405" t="s">
        <v>327</v>
      </c>
      <c r="D4316" s="405"/>
      <c r="E4316" s="410">
        <v>42117</v>
      </c>
      <c r="F4316" s="410">
        <v>42162</v>
      </c>
      <c r="G4316" s="405" t="s">
        <v>14426</v>
      </c>
      <c r="H4316" s="405">
        <v>772354664</v>
      </c>
      <c r="I4316" s="405"/>
      <c r="J4316" s="405">
        <v>1.7874403000000001</v>
      </c>
      <c r="K4316" s="405">
        <v>32.013239599999999</v>
      </c>
      <c r="L4316" s="405" t="s">
        <v>6866</v>
      </c>
      <c r="M4316" s="405" t="s">
        <v>9705</v>
      </c>
      <c r="N4316" s="405" t="s">
        <v>9705</v>
      </c>
      <c r="O4316" s="405" t="s">
        <v>14427</v>
      </c>
      <c r="P4316" s="405" t="s">
        <v>14428</v>
      </c>
      <c r="Q4316" s="411">
        <v>6</v>
      </c>
      <c r="R4316" s="405" t="s">
        <v>7224</v>
      </c>
      <c r="S4316" s="405" t="s">
        <v>27107</v>
      </c>
      <c r="T4316" s="405" t="s">
        <v>884</v>
      </c>
      <c r="U4316" s="405" t="s">
        <v>319</v>
      </c>
    </row>
    <row r="4317" spans="1:21" x14ac:dyDescent="0.25">
      <c r="A4317" s="405" t="s">
        <v>310</v>
      </c>
      <c r="B4317" s="405" t="s">
        <v>18930</v>
      </c>
      <c r="C4317" s="405" t="s">
        <v>327</v>
      </c>
      <c r="D4317" s="405"/>
      <c r="E4317" s="410">
        <v>42116</v>
      </c>
      <c r="F4317" s="410">
        <v>42161</v>
      </c>
      <c r="G4317" s="405" t="s">
        <v>18931</v>
      </c>
      <c r="H4317" s="405">
        <v>787070807</v>
      </c>
      <c r="I4317" s="405"/>
      <c r="J4317" s="405">
        <v>1.4013279999999999</v>
      </c>
      <c r="K4317" s="405">
        <v>34.627752999999998</v>
      </c>
      <c r="L4317" s="405" t="s">
        <v>860</v>
      </c>
      <c r="M4317" s="405" t="s">
        <v>853</v>
      </c>
      <c r="N4317" s="405" t="s">
        <v>18932</v>
      </c>
      <c r="O4317" s="405" t="s">
        <v>18933</v>
      </c>
      <c r="P4317" s="405" t="s">
        <v>18934</v>
      </c>
      <c r="Q4317" s="411">
        <v>13</v>
      </c>
      <c r="R4317" s="405" t="s">
        <v>5336</v>
      </c>
      <c r="S4317" s="405" t="s">
        <v>27243</v>
      </c>
      <c r="T4317" s="405" t="s">
        <v>32102</v>
      </c>
      <c r="U4317" s="405" t="s">
        <v>319</v>
      </c>
    </row>
    <row r="4318" spans="1:21" x14ac:dyDescent="0.25">
      <c r="A4318" s="405" t="s">
        <v>310</v>
      </c>
      <c r="B4318" s="405" t="s">
        <v>14432</v>
      </c>
      <c r="C4318" s="405" t="s">
        <v>327</v>
      </c>
      <c r="D4318" s="405"/>
      <c r="E4318" s="410">
        <v>42116</v>
      </c>
      <c r="F4318" s="410">
        <v>42161</v>
      </c>
      <c r="G4318" s="405" t="s">
        <v>14433</v>
      </c>
      <c r="H4318" s="405">
        <v>706762687</v>
      </c>
      <c r="I4318" s="405"/>
      <c r="J4318" s="405">
        <v>1.3611150000000001</v>
      </c>
      <c r="K4318" s="405">
        <v>34.387476999999997</v>
      </c>
      <c r="L4318" s="405" t="s">
        <v>6866</v>
      </c>
      <c r="M4318" s="405" t="s">
        <v>9685</v>
      </c>
      <c r="N4318" s="405" t="s">
        <v>9686</v>
      </c>
      <c r="O4318" s="405" t="s">
        <v>9709</v>
      </c>
      <c r="P4318" s="405" t="s">
        <v>14434</v>
      </c>
      <c r="Q4318" s="411">
        <v>6</v>
      </c>
      <c r="R4318" s="405" t="s">
        <v>7224</v>
      </c>
      <c r="S4318" s="405" t="s">
        <v>27318</v>
      </c>
      <c r="T4318" s="413" t="s">
        <v>865</v>
      </c>
      <c r="U4318" s="413" t="s">
        <v>866</v>
      </c>
    </row>
    <row r="4319" spans="1:21" x14ac:dyDescent="0.25">
      <c r="A4319" s="405" t="s">
        <v>310</v>
      </c>
      <c r="B4319" s="405" t="s">
        <v>14421</v>
      </c>
      <c r="C4319" s="405" t="s">
        <v>327</v>
      </c>
      <c r="D4319" s="405"/>
      <c r="E4319" s="410">
        <v>42115</v>
      </c>
      <c r="F4319" s="410">
        <v>42160</v>
      </c>
      <c r="G4319" s="405" t="s">
        <v>14422</v>
      </c>
      <c r="H4319" s="405">
        <v>782712413</v>
      </c>
      <c r="I4319" s="405"/>
      <c r="J4319" s="405">
        <v>1.4356</v>
      </c>
      <c r="K4319" s="405">
        <v>33.261633000000003</v>
      </c>
      <c r="L4319" s="405" t="s">
        <v>6866</v>
      </c>
      <c r="M4319" s="405" t="s">
        <v>9658</v>
      </c>
      <c r="N4319" s="405" t="s">
        <v>11057</v>
      </c>
      <c r="O4319" s="405" t="s">
        <v>14423</v>
      </c>
      <c r="P4319" s="405" t="s">
        <v>14424</v>
      </c>
      <c r="Q4319" s="411">
        <v>6</v>
      </c>
      <c r="R4319" s="405" t="s">
        <v>5655</v>
      </c>
      <c r="S4319" s="405" t="s">
        <v>27353</v>
      </c>
      <c r="T4319" s="405" t="s">
        <v>884</v>
      </c>
      <c r="U4319" s="405" t="s">
        <v>319</v>
      </c>
    </row>
    <row r="4320" spans="1:21" x14ac:dyDescent="0.25">
      <c r="A4320" s="405" t="s">
        <v>310</v>
      </c>
      <c r="B4320" s="405" t="s">
        <v>14753</v>
      </c>
      <c r="C4320" s="405" t="s">
        <v>311</v>
      </c>
      <c r="D4320" s="405" t="s">
        <v>1789</v>
      </c>
      <c r="E4320" s="410">
        <v>42115</v>
      </c>
      <c r="F4320" s="410">
        <v>42160</v>
      </c>
      <c r="G4320" s="405" t="s">
        <v>14754</v>
      </c>
      <c r="H4320" s="405">
        <v>772438833</v>
      </c>
      <c r="I4320" s="405"/>
      <c r="J4320" s="405">
        <v>1.452088</v>
      </c>
      <c r="K4320" s="405">
        <v>33.599238</v>
      </c>
      <c r="L4320" s="405" t="s">
        <v>6866</v>
      </c>
      <c r="M4320" s="405" t="s">
        <v>9658</v>
      </c>
      <c r="N4320" s="405" t="s">
        <v>9658</v>
      </c>
      <c r="O4320" s="405" t="s">
        <v>11263</v>
      </c>
      <c r="P4320" s="405" t="s">
        <v>14424</v>
      </c>
      <c r="Q4320" s="411">
        <v>6</v>
      </c>
      <c r="R4320" s="405" t="s">
        <v>5655</v>
      </c>
      <c r="S4320" s="405" t="s">
        <v>27318</v>
      </c>
      <c r="T4320" s="405" t="s">
        <v>884</v>
      </c>
      <c r="U4320" s="405" t="s">
        <v>319</v>
      </c>
    </row>
    <row r="4321" spans="1:21" x14ac:dyDescent="0.25">
      <c r="A4321" s="405" t="s">
        <v>310</v>
      </c>
      <c r="B4321" s="405" t="s">
        <v>28284</v>
      </c>
      <c r="C4321" s="405" t="s">
        <v>327</v>
      </c>
      <c r="D4321" s="405"/>
      <c r="E4321" s="410">
        <v>42114</v>
      </c>
      <c r="F4321" s="410">
        <v>42159</v>
      </c>
      <c r="G4321" s="405" t="s">
        <v>22010</v>
      </c>
      <c r="H4321" s="405">
        <v>773447235</v>
      </c>
      <c r="I4321" s="405"/>
      <c r="J4321" s="405">
        <v>0.66166800000000003</v>
      </c>
      <c r="K4321" s="405">
        <v>30.691372000000001</v>
      </c>
      <c r="L4321" s="405" t="s">
        <v>590</v>
      </c>
      <c r="M4321" s="405" t="s">
        <v>879</v>
      </c>
      <c r="N4321" s="405" t="s">
        <v>880</v>
      </c>
      <c r="O4321" s="405" t="s">
        <v>881</v>
      </c>
      <c r="P4321" s="405" t="s">
        <v>22011</v>
      </c>
      <c r="Q4321" s="411">
        <v>9</v>
      </c>
      <c r="R4321" s="405" t="s">
        <v>5858</v>
      </c>
      <c r="S4321" s="405" t="s">
        <v>27098</v>
      </c>
      <c r="T4321" s="405" t="s">
        <v>884</v>
      </c>
      <c r="U4321" s="405" t="s">
        <v>319</v>
      </c>
    </row>
    <row r="4322" spans="1:21" x14ac:dyDescent="0.25">
      <c r="A4322" s="405" t="s">
        <v>310</v>
      </c>
      <c r="B4322" s="405" t="s">
        <v>14418</v>
      </c>
      <c r="C4322" s="405" t="s">
        <v>327</v>
      </c>
      <c r="D4322" s="405"/>
      <c r="E4322" s="410">
        <v>42114</v>
      </c>
      <c r="F4322" s="410">
        <v>42159</v>
      </c>
      <c r="G4322" s="405" t="s">
        <v>14419</v>
      </c>
      <c r="H4322" s="405">
        <v>787723831</v>
      </c>
      <c r="I4322" s="405"/>
      <c r="J4322" s="405">
        <v>1.421592</v>
      </c>
      <c r="K4322" s="405">
        <v>33.216417</v>
      </c>
      <c r="L4322" s="405" t="s">
        <v>6866</v>
      </c>
      <c r="M4322" s="405" t="s">
        <v>9658</v>
      </c>
      <c r="N4322" s="405" t="s">
        <v>14420</v>
      </c>
      <c r="O4322" s="405" t="s">
        <v>13335</v>
      </c>
      <c r="P4322" s="405" t="s">
        <v>14387</v>
      </c>
      <c r="Q4322" s="411">
        <v>6</v>
      </c>
      <c r="R4322" s="405" t="s">
        <v>5655</v>
      </c>
      <c r="S4322" s="405" t="s">
        <v>27056</v>
      </c>
      <c r="T4322" s="405" t="s">
        <v>884</v>
      </c>
      <c r="U4322" s="405" t="s">
        <v>319</v>
      </c>
    </row>
    <row r="4323" spans="1:21" x14ac:dyDescent="0.25">
      <c r="A4323" s="405" t="s">
        <v>310</v>
      </c>
      <c r="B4323" s="405" t="s">
        <v>18947</v>
      </c>
      <c r="C4323" s="405" t="s">
        <v>327</v>
      </c>
      <c r="D4323" s="405"/>
      <c r="E4323" s="410">
        <v>42112</v>
      </c>
      <c r="F4323" s="410">
        <v>42157</v>
      </c>
      <c r="G4323" s="405" t="s">
        <v>18948</v>
      </c>
      <c r="H4323" s="405">
        <v>775886667</v>
      </c>
      <c r="I4323" s="405"/>
      <c r="J4323" s="405">
        <v>1.9934730000000001</v>
      </c>
      <c r="K4323" s="405">
        <v>33.510334999999998</v>
      </c>
      <c r="L4323" s="405" t="s">
        <v>860</v>
      </c>
      <c r="M4323" s="405" t="s">
        <v>18415</v>
      </c>
      <c r="N4323" s="405" t="s">
        <v>18415</v>
      </c>
      <c r="O4323" s="405" t="s">
        <v>18524</v>
      </c>
      <c r="P4323" s="405" t="s">
        <v>18949</v>
      </c>
      <c r="Q4323" s="411">
        <v>13</v>
      </c>
      <c r="R4323" s="405" t="s">
        <v>18919</v>
      </c>
      <c r="S4323" s="405" t="s">
        <v>27193</v>
      </c>
      <c r="T4323" s="405" t="s">
        <v>884</v>
      </c>
      <c r="U4323" s="405" t="s">
        <v>319</v>
      </c>
    </row>
    <row r="4324" spans="1:21" x14ac:dyDescent="0.25">
      <c r="A4324" s="405" t="s">
        <v>310</v>
      </c>
      <c r="B4324" s="413" t="s">
        <v>19298</v>
      </c>
      <c r="C4324" s="413" t="s">
        <v>311</v>
      </c>
      <c r="D4324" s="420" t="s">
        <v>33067</v>
      </c>
      <c r="E4324" s="418">
        <v>42112</v>
      </c>
      <c r="F4324" s="418">
        <v>42157</v>
      </c>
      <c r="G4324" s="413" t="s">
        <v>19299</v>
      </c>
      <c r="H4324" s="405">
        <v>775991047</v>
      </c>
      <c r="I4324" s="405">
        <v>775991047</v>
      </c>
      <c r="J4324" s="405">
        <v>3.4758599999999999</v>
      </c>
      <c r="K4324" s="405">
        <v>31.728549999999998</v>
      </c>
      <c r="L4324" s="405" t="s">
        <v>860</v>
      </c>
      <c r="M4324" s="405" t="s">
        <v>18944</v>
      </c>
      <c r="N4324" s="405" t="s">
        <v>18945</v>
      </c>
      <c r="O4324" s="405" t="s">
        <v>18945</v>
      </c>
      <c r="P4324" s="405" t="s">
        <v>18946</v>
      </c>
      <c r="Q4324" s="411">
        <v>6</v>
      </c>
      <c r="R4324" s="405" t="s">
        <v>525</v>
      </c>
      <c r="S4324" s="405" t="s">
        <v>27381</v>
      </c>
      <c r="T4324" s="405" t="s">
        <v>884</v>
      </c>
      <c r="U4324" s="405" t="s">
        <v>319</v>
      </c>
    </row>
    <row r="4325" spans="1:21" x14ac:dyDescent="0.25">
      <c r="A4325" s="405" t="s">
        <v>310</v>
      </c>
      <c r="B4325" s="405" t="s">
        <v>27908</v>
      </c>
      <c r="C4325" s="405" t="s">
        <v>327</v>
      </c>
      <c r="D4325" s="405"/>
      <c r="E4325" s="410">
        <v>42111</v>
      </c>
      <c r="F4325" s="410">
        <v>42156</v>
      </c>
      <c r="G4325" s="405" t="s">
        <v>5620</v>
      </c>
      <c r="H4325" s="405">
        <v>782157333</v>
      </c>
      <c r="I4325" s="405"/>
      <c r="J4325" s="405">
        <v>0.41525699999999999</v>
      </c>
      <c r="K4325" s="405">
        <v>32.538362999999997</v>
      </c>
      <c r="L4325" s="405" t="s">
        <v>314</v>
      </c>
      <c r="M4325" s="405" t="s">
        <v>361</v>
      </c>
      <c r="N4325" s="405" t="s">
        <v>469</v>
      </c>
      <c r="O4325" s="405" t="s">
        <v>469</v>
      </c>
      <c r="P4325" s="405" t="s">
        <v>513</v>
      </c>
      <c r="Q4325" s="411">
        <v>6</v>
      </c>
      <c r="R4325" s="405" t="s">
        <v>5336</v>
      </c>
      <c r="S4325" s="405" t="s">
        <v>27202</v>
      </c>
      <c r="T4325" s="405" t="s">
        <v>865</v>
      </c>
      <c r="U4325" s="405" t="s">
        <v>866</v>
      </c>
    </row>
    <row r="4326" spans="1:21" x14ac:dyDescent="0.25">
      <c r="A4326" s="405" t="s">
        <v>310</v>
      </c>
      <c r="B4326" s="405" t="s">
        <v>5614</v>
      </c>
      <c r="C4326" s="405" t="s">
        <v>327</v>
      </c>
      <c r="D4326" s="405"/>
      <c r="E4326" s="410">
        <v>42110</v>
      </c>
      <c r="F4326" s="410">
        <v>42155</v>
      </c>
      <c r="G4326" s="405" t="s">
        <v>5615</v>
      </c>
      <c r="H4326" s="405">
        <v>784452520</v>
      </c>
      <c r="I4326" s="405"/>
      <c r="J4326" s="405">
        <v>0.55940100000000004</v>
      </c>
      <c r="K4326" s="405">
        <v>33.74147</v>
      </c>
      <c r="L4326" s="405" t="s">
        <v>314</v>
      </c>
      <c r="M4326" s="405" t="s">
        <v>329</v>
      </c>
      <c r="N4326" s="405" t="s">
        <v>546</v>
      </c>
      <c r="O4326" s="405" t="s">
        <v>546</v>
      </c>
      <c r="P4326" s="405" t="s">
        <v>546</v>
      </c>
      <c r="Q4326" s="411">
        <v>13</v>
      </c>
      <c r="R4326" s="405" t="s">
        <v>525</v>
      </c>
      <c r="S4326" s="405" t="s">
        <v>414</v>
      </c>
      <c r="T4326" s="405" t="s">
        <v>884</v>
      </c>
      <c r="U4326" s="405" t="s">
        <v>319</v>
      </c>
    </row>
    <row r="4327" spans="1:21" x14ac:dyDescent="0.25">
      <c r="A4327" s="405" t="s">
        <v>310</v>
      </c>
      <c r="B4327" s="405" t="s">
        <v>33068</v>
      </c>
      <c r="C4327" s="405" t="s">
        <v>327</v>
      </c>
      <c r="D4327" s="405"/>
      <c r="E4327" s="410">
        <v>42110</v>
      </c>
      <c r="F4327" s="410">
        <v>42155</v>
      </c>
      <c r="G4327" s="405" t="s">
        <v>21998</v>
      </c>
      <c r="H4327" s="405">
        <v>773691500</v>
      </c>
      <c r="I4327" s="405"/>
      <c r="J4327" s="405">
        <v>0.34978799999999999</v>
      </c>
      <c r="K4327" s="405">
        <v>31.729272999999999</v>
      </c>
      <c r="L4327" s="405" t="s">
        <v>590</v>
      </c>
      <c r="M4327" s="405" t="s">
        <v>19720</v>
      </c>
      <c r="N4327" s="405" t="s">
        <v>7352</v>
      </c>
      <c r="O4327" s="405" t="s">
        <v>21999</v>
      </c>
      <c r="P4327" s="405" t="s">
        <v>7341</v>
      </c>
      <c r="Q4327" s="411">
        <v>6</v>
      </c>
      <c r="R4327" s="405" t="s">
        <v>6572</v>
      </c>
      <c r="S4327" s="405" t="s">
        <v>27161</v>
      </c>
      <c r="T4327" s="405" t="s">
        <v>884</v>
      </c>
      <c r="U4327" s="405" t="s">
        <v>319</v>
      </c>
    </row>
    <row r="4328" spans="1:21" x14ac:dyDescent="0.25">
      <c r="A4328" s="405" t="s">
        <v>310</v>
      </c>
      <c r="B4328" s="406" t="s">
        <v>32218</v>
      </c>
      <c r="C4328" s="405" t="s">
        <v>327</v>
      </c>
      <c r="D4328" s="405"/>
      <c r="E4328" s="406" t="s">
        <v>32219</v>
      </c>
      <c r="F4328" s="407">
        <v>44919</v>
      </c>
      <c r="G4328" s="406" t="s">
        <v>32220</v>
      </c>
      <c r="H4328" s="406" t="s">
        <v>8291</v>
      </c>
      <c r="I4328" s="406" t="s">
        <v>32111</v>
      </c>
      <c r="J4328" s="408">
        <v>0.42260300000000001</v>
      </c>
      <c r="K4328" s="408">
        <v>32.644210000000001</v>
      </c>
      <c r="L4328" s="406" t="s">
        <v>314</v>
      </c>
      <c r="M4328" s="406" t="s">
        <v>361</v>
      </c>
      <c r="N4328" s="406" t="s">
        <v>5924</v>
      </c>
      <c r="O4328" s="406" t="s">
        <v>363</v>
      </c>
      <c r="P4328" s="406" t="s">
        <v>4885</v>
      </c>
      <c r="Q4328" s="409">
        <v>16</v>
      </c>
      <c r="R4328" s="406" t="s">
        <v>32101</v>
      </c>
      <c r="S4328" s="406" t="s">
        <v>32221</v>
      </c>
      <c r="T4328" s="405" t="s">
        <v>884</v>
      </c>
      <c r="U4328" s="405" t="s">
        <v>319</v>
      </c>
    </row>
    <row r="4329" spans="1:21" x14ac:dyDescent="0.25">
      <c r="A4329" s="405" t="s">
        <v>310</v>
      </c>
      <c r="B4329" s="405" t="s">
        <v>5600</v>
      </c>
      <c r="C4329" s="405" t="s">
        <v>327</v>
      </c>
      <c r="D4329" s="405"/>
      <c r="E4329" s="410">
        <v>42108</v>
      </c>
      <c r="F4329" s="410">
        <v>42153</v>
      </c>
      <c r="G4329" s="405" t="s">
        <v>5601</v>
      </c>
      <c r="H4329" s="405">
        <v>772464239</v>
      </c>
      <c r="I4329" s="405"/>
      <c r="J4329" s="405">
        <v>0.19301199999999999</v>
      </c>
      <c r="K4329" s="405">
        <v>32.537512999999997</v>
      </c>
      <c r="L4329" s="405" t="s">
        <v>314</v>
      </c>
      <c r="M4329" s="405" t="s">
        <v>361</v>
      </c>
      <c r="N4329" s="405" t="s">
        <v>374</v>
      </c>
      <c r="O4329" s="405" t="s">
        <v>5602</v>
      </c>
      <c r="P4329" s="405" t="s">
        <v>5603</v>
      </c>
      <c r="Q4329" s="411">
        <v>9</v>
      </c>
      <c r="R4329" s="405" t="s">
        <v>32101</v>
      </c>
      <c r="S4329" s="405" t="s">
        <v>414</v>
      </c>
      <c r="T4329" s="405" t="s">
        <v>884</v>
      </c>
      <c r="U4329" s="405" t="s">
        <v>319</v>
      </c>
    </row>
    <row r="4330" spans="1:21" x14ac:dyDescent="0.25">
      <c r="A4330" s="405" t="s">
        <v>310</v>
      </c>
      <c r="B4330" s="405" t="s">
        <v>28427</v>
      </c>
      <c r="C4330" s="405" t="s">
        <v>327</v>
      </c>
      <c r="D4330" s="405"/>
      <c r="E4330" s="410">
        <v>42106</v>
      </c>
      <c r="F4330" s="410">
        <v>42151</v>
      </c>
      <c r="G4330" s="405" t="s">
        <v>21980</v>
      </c>
      <c r="H4330" s="405">
        <v>772610918</v>
      </c>
      <c r="I4330" s="405"/>
      <c r="J4330" s="405">
        <v>1.4084719999999999</v>
      </c>
      <c r="K4330" s="405">
        <v>31.695934000000001</v>
      </c>
      <c r="L4330" s="405" t="s">
        <v>590</v>
      </c>
      <c r="M4330" s="405" t="s">
        <v>19608</v>
      </c>
      <c r="N4330" s="405" t="s">
        <v>19609</v>
      </c>
      <c r="O4330" s="405" t="s">
        <v>20478</v>
      </c>
      <c r="P4330" s="405" t="s">
        <v>21981</v>
      </c>
      <c r="Q4330" s="411">
        <v>6</v>
      </c>
      <c r="R4330" s="405" t="s">
        <v>5665</v>
      </c>
      <c r="S4330" s="405" t="s">
        <v>27126</v>
      </c>
      <c r="T4330" s="405" t="s">
        <v>884</v>
      </c>
      <c r="U4330" s="405" t="s">
        <v>319</v>
      </c>
    </row>
    <row r="4331" spans="1:21" x14ac:dyDescent="0.25">
      <c r="A4331" s="405" t="s">
        <v>310</v>
      </c>
      <c r="B4331" s="406" t="s">
        <v>32231</v>
      </c>
      <c r="C4331" s="405" t="s">
        <v>327</v>
      </c>
      <c r="D4331" s="405"/>
      <c r="E4331" s="406" t="s">
        <v>32232</v>
      </c>
      <c r="F4331" s="407">
        <v>44967</v>
      </c>
      <c r="G4331" s="406" t="s">
        <v>32233</v>
      </c>
      <c r="H4331" s="406" t="s">
        <v>32154</v>
      </c>
      <c r="I4331" s="406" t="s">
        <v>32155</v>
      </c>
      <c r="J4331" s="408">
        <v>0.43673000000000001</v>
      </c>
      <c r="K4331" s="408">
        <v>32.625449000000003</v>
      </c>
      <c r="L4331" s="406" t="s">
        <v>314</v>
      </c>
      <c r="M4331" s="406" t="s">
        <v>361</v>
      </c>
      <c r="N4331" s="406" t="s">
        <v>6588</v>
      </c>
      <c r="O4331" s="406" t="s">
        <v>363</v>
      </c>
      <c r="P4331" s="406" t="s">
        <v>4885</v>
      </c>
      <c r="Q4331" s="409">
        <v>15</v>
      </c>
      <c r="R4331" s="406" t="s">
        <v>26734</v>
      </c>
      <c r="S4331" s="406" t="s">
        <v>32234</v>
      </c>
      <c r="T4331" s="405" t="s">
        <v>32102</v>
      </c>
      <c r="U4331" s="405" t="s">
        <v>319</v>
      </c>
    </row>
    <row r="4332" spans="1:21" x14ac:dyDescent="0.25">
      <c r="A4332" s="405" t="s">
        <v>310</v>
      </c>
      <c r="B4332" s="405" t="s">
        <v>5604</v>
      </c>
      <c r="C4332" s="405" t="s">
        <v>327</v>
      </c>
      <c r="D4332" s="405"/>
      <c r="E4332" s="410">
        <v>42101</v>
      </c>
      <c r="F4332" s="410">
        <v>42146</v>
      </c>
      <c r="G4332" s="405" t="s">
        <v>5605</v>
      </c>
      <c r="H4332" s="405">
        <v>772410197</v>
      </c>
      <c r="I4332" s="405">
        <v>772499782</v>
      </c>
      <c r="J4332" s="405">
        <v>0.40705999999999998</v>
      </c>
      <c r="K4332" s="405">
        <v>32.471397000000003</v>
      </c>
      <c r="L4332" s="405" t="s">
        <v>314</v>
      </c>
      <c r="M4332" s="405" t="s">
        <v>361</v>
      </c>
      <c r="N4332" s="405" t="s">
        <v>5606</v>
      </c>
      <c r="O4332" s="405" t="s">
        <v>5606</v>
      </c>
      <c r="P4332" s="405" t="s">
        <v>5607</v>
      </c>
      <c r="Q4332" s="411">
        <v>13</v>
      </c>
      <c r="R4332" s="405" t="s">
        <v>874</v>
      </c>
      <c r="S4332" s="405" t="s">
        <v>27132</v>
      </c>
      <c r="T4332" s="405" t="s">
        <v>884</v>
      </c>
      <c r="U4332" s="405" t="s">
        <v>319</v>
      </c>
    </row>
    <row r="4333" spans="1:21" x14ac:dyDescent="0.25">
      <c r="A4333" s="405" t="s">
        <v>310</v>
      </c>
      <c r="B4333" s="405" t="s">
        <v>22242</v>
      </c>
      <c r="C4333" s="405" t="s">
        <v>327</v>
      </c>
      <c r="D4333" s="405"/>
      <c r="E4333" s="410">
        <v>42100</v>
      </c>
      <c r="F4333" s="410">
        <v>42145</v>
      </c>
      <c r="G4333" s="405" t="s">
        <v>22243</v>
      </c>
      <c r="H4333" s="405">
        <v>774738844</v>
      </c>
      <c r="I4333" s="405">
        <v>759368787</v>
      </c>
      <c r="J4333" s="405">
        <v>0.32669199999999998</v>
      </c>
      <c r="K4333" s="405">
        <v>30.536999999999999</v>
      </c>
      <c r="L4333" s="405" t="s">
        <v>590</v>
      </c>
      <c r="M4333" s="405" t="s">
        <v>19720</v>
      </c>
      <c r="N4333" s="405" t="s">
        <v>22244</v>
      </c>
      <c r="O4333" s="405" t="s">
        <v>22244</v>
      </c>
      <c r="P4333" s="405" t="s">
        <v>22245</v>
      </c>
      <c r="Q4333" s="411">
        <v>6</v>
      </c>
      <c r="R4333" s="405" t="s">
        <v>402</v>
      </c>
      <c r="S4333" s="405" t="s">
        <v>27139</v>
      </c>
      <c r="T4333" s="405" t="s">
        <v>32102</v>
      </c>
      <c r="U4333" s="405" t="s">
        <v>319</v>
      </c>
    </row>
    <row r="4334" spans="1:21" x14ac:dyDescent="0.25">
      <c r="A4334" s="405" t="s">
        <v>310</v>
      </c>
      <c r="B4334" s="405" t="s">
        <v>14413</v>
      </c>
      <c r="C4334" s="405" t="s">
        <v>327</v>
      </c>
      <c r="D4334" s="405"/>
      <c r="E4334" s="410">
        <v>42096</v>
      </c>
      <c r="F4334" s="410">
        <v>42141</v>
      </c>
      <c r="G4334" s="405" t="s">
        <v>14414</v>
      </c>
      <c r="H4334" s="405">
        <v>789649206</v>
      </c>
      <c r="I4334" s="405"/>
      <c r="J4334" s="405">
        <v>1.420425</v>
      </c>
      <c r="K4334" s="405">
        <v>33.249099999999999</v>
      </c>
      <c r="L4334" s="405" t="s">
        <v>6866</v>
      </c>
      <c r="M4334" s="405" t="s">
        <v>9658</v>
      </c>
      <c r="N4334" s="405" t="s">
        <v>11057</v>
      </c>
      <c r="O4334" s="405" t="s">
        <v>14343</v>
      </c>
      <c r="P4334" s="405" t="s">
        <v>14415</v>
      </c>
      <c r="Q4334" s="411">
        <v>6</v>
      </c>
      <c r="R4334" s="405" t="s">
        <v>5655</v>
      </c>
      <c r="S4334" s="405" t="s">
        <v>27346</v>
      </c>
      <c r="T4334" s="405" t="s">
        <v>884</v>
      </c>
      <c r="U4334" s="405" t="s">
        <v>319</v>
      </c>
    </row>
    <row r="4335" spans="1:21" x14ac:dyDescent="0.25">
      <c r="A4335" s="405" t="s">
        <v>310</v>
      </c>
      <c r="B4335" s="405" t="s">
        <v>27817</v>
      </c>
      <c r="C4335" s="405" t="s">
        <v>327</v>
      </c>
      <c r="D4335" s="405"/>
      <c r="E4335" s="410">
        <v>42095</v>
      </c>
      <c r="F4335" s="410">
        <v>42154</v>
      </c>
      <c r="G4335" s="405" t="s">
        <v>21983</v>
      </c>
      <c r="H4335" s="405">
        <v>772586394</v>
      </c>
      <c r="I4335" s="405"/>
      <c r="J4335" s="405">
        <v>0.41620000000000001</v>
      </c>
      <c r="K4335" s="405">
        <v>30.493475</v>
      </c>
      <c r="L4335" s="405" t="s">
        <v>590</v>
      </c>
      <c r="M4335" s="405" t="s">
        <v>19614</v>
      </c>
      <c r="N4335" s="405" t="s">
        <v>19615</v>
      </c>
      <c r="O4335" s="405" t="s">
        <v>21896</v>
      </c>
      <c r="P4335" s="405" t="s">
        <v>21896</v>
      </c>
      <c r="Q4335" s="411">
        <v>9</v>
      </c>
      <c r="R4335" s="405" t="s">
        <v>874</v>
      </c>
      <c r="S4335" s="405" t="s">
        <v>27160</v>
      </c>
      <c r="T4335" s="405" t="s">
        <v>884</v>
      </c>
      <c r="U4335" s="405" t="s">
        <v>319</v>
      </c>
    </row>
    <row r="4336" spans="1:21" x14ac:dyDescent="0.25">
      <c r="A4336" s="405" t="s">
        <v>310</v>
      </c>
      <c r="B4336" s="405" t="s">
        <v>5612</v>
      </c>
      <c r="C4336" s="405" t="s">
        <v>327</v>
      </c>
      <c r="D4336" s="405"/>
      <c r="E4336" s="410">
        <v>42094</v>
      </c>
      <c r="F4336" s="410">
        <v>42139</v>
      </c>
      <c r="G4336" s="405" t="s">
        <v>5613</v>
      </c>
      <c r="H4336" s="405">
        <v>772368567</v>
      </c>
      <c r="I4336" s="405"/>
      <c r="J4336" s="405">
        <v>0.42161300000000002</v>
      </c>
      <c r="K4336" s="405">
        <v>32.589365000000001</v>
      </c>
      <c r="L4336" s="405" t="s">
        <v>314</v>
      </c>
      <c r="M4336" s="405" t="s">
        <v>361</v>
      </c>
      <c r="N4336" s="405" t="s">
        <v>410</v>
      </c>
      <c r="O4336" s="405" t="s">
        <v>410</v>
      </c>
      <c r="P4336" s="405" t="s">
        <v>411</v>
      </c>
      <c r="Q4336" s="411">
        <v>9</v>
      </c>
      <c r="R4336" s="405" t="s">
        <v>525</v>
      </c>
      <c r="S4336" s="405" t="s">
        <v>27232</v>
      </c>
      <c r="T4336" s="405" t="s">
        <v>884</v>
      </c>
      <c r="U4336" s="405" t="s">
        <v>319</v>
      </c>
    </row>
    <row r="4337" spans="1:21" x14ac:dyDescent="0.25">
      <c r="A4337" s="405" t="s">
        <v>310</v>
      </c>
      <c r="B4337" s="405" t="s">
        <v>14408</v>
      </c>
      <c r="C4337" s="405" t="s">
        <v>327</v>
      </c>
      <c r="D4337" s="405"/>
      <c r="E4337" s="410">
        <v>42094</v>
      </c>
      <c r="F4337" s="410">
        <v>42139</v>
      </c>
      <c r="G4337" s="405" t="s">
        <v>14409</v>
      </c>
      <c r="H4337" s="405">
        <v>774162541</v>
      </c>
      <c r="I4337" s="405">
        <v>783857890</v>
      </c>
      <c r="J4337" s="405">
        <v>0.48624099999999998</v>
      </c>
      <c r="K4337" s="405">
        <v>33.172576999999997</v>
      </c>
      <c r="L4337" s="405" t="s">
        <v>6866</v>
      </c>
      <c r="M4337" s="405" t="s">
        <v>9590</v>
      </c>
      <c r="N4337" s="405" t="s">
        <v>12873</v>
      </c>
      <c r="O4337" s="405" t="s">
        <v>12873</v>
      </c>
      <c r="P4337" s="405" t="s">
        <v>14410</v>
      </c>
      <c r="Q4337" s="411">
        <v>9</v>
      </c>
      <c r="R4337" s="405" t="s">
        <v>525</v>
      </c>
      <c r="S4337" s="405" t="s">
        <v>27034</v>
      </c>
      <c r="T4337" s="405" t="s">
        <v>884</v>
      </c>
      <c r="U4337" s="405" t="s">
        <v>319</v>
      </c>
    </row>
    <row r="4338" spans="1:21" x14ac:dyDescent="0.25">
      <c r="A4338" s="405" t="s">
        <v>310</v>
      </c>
      <c r="B4338" s="405" t="s">
        <v>28178</v>
      </c>
      <c r="C4338" s="405" t="s">
        <v>327</v>
      </c>
      <c r="D4338" s="405"/>
      <c r="E4338" s="410">
        <v>42094</v>
      </c>
      <c r="F4338" s="410">
        <v>42139</v>
      </c>
      <c r="G4338" s="405" t="s">
        <v>21990</v>
      </c>
      <c r="H4338" s="405">
        <v>774059143</v>
      </c>
      <c r="I4338" s="405"/>
      <c r="J4338" s="405">
        <v>0.40576299999999998</v>
      </c>
      <c r="K4338" s="405">
        <v>30.436174999999999</v>
      </c>
      <c r="L4338" s="405" t="s">
        <v>590</v>
      </c>
      <c r="M4338" s="405" t="s">
        <v>19720</v>
      </c>
      <c r="N4338" s="405" t="s">
        <v>21991</v>
      </c>
      <c r="O4338" s="405" t="s">
        <v>21991</v>
      </c>
      <c r="P4338" s="405" t="s">
        <v>949</v>
      </c>
      <c r="Q4338" s="411">
        <v>6</v>
      </c>
      <c r="R4338" s="405" t="s">
        <v>6572</v>
      </c>
      <c r="S4338" s="405" t="s">
        <v>27161</v>
      </c>
      <c r="T4338" s="405" t="s">
        <v>884</v>
      </c>
      <c r="U4338" s="405" t="s">
        <v>319</v>
      </c>
    </row>
    <row r="4339" spans="1:21" x14ac:dyDescent="0.25">
      <c r="A4339" s="405" t="s">
        <v>310</v>
      </c>
      <c r="B4339" s="405" t="s">
        <v>21984</v>
      </c>
      <c r="C4339" s="405" t="s">
        <v>327</v>
      </c>
      <c r="D4339" s="405"/>
      <c r="E4339" s="410">
        <v>42094</v>
      </c>
      <c r="F4339" s="410">
        <v>42139</v>
      </c>
      <c r="G4339" s="405" t="s">
        <v>21985</v>
      </c>
      <c r="H4339" s="405">
        <v>772602144</v>
      </c>
      <c r="I4339" s="405">
        <v>705845737</v>
      </c>
      <c r="J4339" s="405">
        <v>5.4460000000000001E-2</v>
      </c>
      <c r="K4339" s="405">
        <v>30.416315000000001</v>
      </c>
      <c r="L4339" s="405" t="s">
        <v>590</v>
      </c>
      <c r="M4339" s="405" t="s">
        <v>19720</v>
      </c>
      <c r="N4339" s="405" t="s">
        <v>20297</v>
      </c>
      <c r="O4339" s="405" t="s">
        <v>20439</v>
      </c>
      <c r="P4339" s="405" t="s">
        <v>21986</v>
      </c>
      <c r="Q4339" s="411">
        <v>6</v>
      </c>
      <c r="R4339" s="405" t="s">
        <v>6013</v>
      </c>
      <c r="S4339" s="405" t="s">
        <v>27181</v>
      </c>
      <c r="T4339" s="405" t="s">
        <v>32102</v>
      </c>
      <c r="U4339" s="405" t="s">
        <v>319</v>
      </c>
    </row>
    <row r="4340" spans="1:21" x14ac:dyDescent="0.25">
      <c r="A4340" s="405" t="s">
        <v>310</v>
      </c>
      <c r="B4340" s="405" t="s">
        <v>22227</v>
      </c>
      <c r="C4340" s="405" t="s">
        <v>857</v>
      </c>
      <c r="D4340" s="405" t="s">
        <v>33069</v>
      </c>
      <c r="E4340" s="410">
        <v>42094</v>
      </c>
      <c r="F4340" s="410">
        <v>42139</v>
      </c>
      <c r="G4340" s="405" t="s">
        <v>22228</v>
      </c>
      <c r="H4340" s="405">
        <v>773409256</v>
      </c>
      <c r="I4340" s="405">
        <v>779776832</v>
      </c>
      <c r="J4340" s="405">
        <v>6.2184999999999997E-2</v>
      </c>
      <c r="K4340" s="405">
        <v>30.419560000000001</v>
      </c>
      <c r="L4340" s="405" t="s">
        <v>590</v>
      </c>
      <c r="M4340" s="405" t="s">
        <v>19720</v>
      </c>
      <c r="N4340" s="405" t="s">
        <v>19720</v>
      </c>
      <c r="O4340" s="405" t="s">
        <v>20439</v>
      </c>
      <c r="P4340" s="405" t="s">
        <v>20439</v>
      </c>
      <c r="Q4340" s="411">
        <v>6</v>
      </c>
      <c r="R4340" s="405" t="s">
        <v>402</v>
      </c>
      <c r="S4340" s="405" t="s">
        <v>27275</v>
      </c>
      <c r="T4340" s="405" t="s">
        <v>884</v>
      </c>
      <c r="U4340" s="405" t="s">
        <v>319</v>
      </c>
    </row>
    <row r="4341" spans="1:21" x14ac:dyDescent="0.25">
      <c r="A4341" s="405" t="s">
        <v>310</v>
      </c>
      <c r="B4341" s="405" t="s">
        <v>5608</v>
      </c>
      <c r="C4341" s="405" t="s">
        <v>327</v>
      </c>
      <c r="D4341" s="405"/>
      <c r="E4341" s="410">
        <v>42094</v>
      </c>
      <c r="F4341" s="410">
        <v>42139</v>
      </c>
      <c r="G4341" s="405" t="s">
        <v>5609</v>
      </c>
      <c r="H4341" s="405">
        <v>788135150</v>
      </c>
      <c r="I4341" s="405"/>
      <c r="J4341" s="405">
        <v>0.316305</v>
      </c>
      <c r="K4341" s="405">
        <v>32.622591</v>
      </c>
      <c r="L4341" s="405" t="s">
        <v>314</v>
      </c>
      <c r="M4341" s="405" t="s">
        <v>361</v>
      </c>
      <c r="N4341" s="405" t="s">
        <v>5610</v>
      </c>
      <c r="O4341" s="405" t="s">
        <v>638</v>
      </c>
      <c r="P4341" s="405" t="s">
        <v>5611</v>
      </c>
      <c r="Q4341" s="411">
        <v>4</v>
      </c>
      <c r="R4341" s="405" t="s">
        <v>525</v>
      </c>
      <c r="S4341" s="405" t="s">
        <v>27235</v>
      </c>
      <c r="T4341" s="405" t="s">
        <v>884</v>
      </c>
      <c r="U4341" s="405" t="s">
        <v>319</v>
      </c>
    </row>
    <row r="4342" spans="1:21" x14ac:dyDescent="0.25">
      <c r="A4342" s="405" t="s">
        <v>310</v>
      </c>
      <c r="B4342" s="405" t="s">
        <v>21978</v>
      </c>
      <c r="C4342" s="405" t="s">
        <v>327</v>
      </c>
      <c r="D4342" s="405"/>
      <c r="E4342" s="410">
        <v>42093</v>
      </c>
      <c r="F4342" s="410">
        <v>42138</v>
      </c>
      <c r="G4342" s="405" t="s">
        <v>21979</v>
      </c>
      <c r="H4342" s="405">
        <v>772986489</v>
      </c>
      <c r="I4342" s="405"/>
      <c r="J4342" s="405">
        <v>0.317</v>
      </c>
      <c r="K4342" s="405">
        <v>30.244299999999999</v>
      </c>
      <c r="L4342" s="405" t="s">
        <v>590</v>
      </c>
      <c r="M4342" s="405" t="s">
        <v>19720</v>
      </c>
      <c r="N4342" s="405" t="s">
        <v>20439</v>
      </c>
      <c r="O4342" s="405" t="s">
        <v>20439</v>
      </c>
      <c r="P4342" s="405" t="s">
        <v>20439</v>
      </c>
      <c r="Q4342" s="411">
        <v>6</v>
      </c>
      <c r="R4342" s="405" t="s">
        <v>402</v>
      </c>
      <c r="S4342" s="405" t="s">
        <v>27164</v>
      </c>
      <c r="T4342" s="405" t="s">
        <v>884</v>
      </c>
      <c r="U4342" s="405" t="s">
        <v>319</v>
      </c>
    </row>
    <row r="4343" spans="1:21" x14ac:dyDescent="0.25">
      <c r="A4343" s="405" t="s">
        <v>310</v>
      </c>
      <c r="B4343" s="405" t="s">
        <v>14416</v>
      </c>
      <c r="C4343" s="405" t="s">
        <v>327</v>
      </c>
      <c r="D4343" s="405"/>
      <c r="E4343" s="410">
        <v>42092</v>
      </c>
      <c r="F4343" s="410">
        <v>42137</v>
      </c>
      <c r="G4343" s="405" t="s">
        <v>14417</v>
      </c>
      <c r="H4343" s="405">
        <v>774416372</v>
      </c>
      <c r="I4343" s="405"/>
      <c r="J4343" s="405">
        <v>1.4561569999999999</v>
      </c>
      <c r="K4343" s="405">
        <v>33.273437999999999</v>
      </c>
      <c r="L4343" s="405" t="s">
        <v>6866</v>
      </c>
      <c r="M4343" s="405" t="s">
        <v>9658</v>
      </c>
      <c r="N4343" s="405" t="s">
        <v>11057</v>
      </c>
      <c r="O4343" s="405" t="s">
        <v>13335</v>
      </c>
      <c r="P4343" s="405" t="s">
        <v>14344</v>
      </c>
      <c r="Q4343" s="411">
        <v>6</v>
      </c>
      <c r="R4343" s="405" t="s">
        <v>5655</v>
      </c>
      <c r="S4343" s="405" t="s">
        <v>27353</v>
      </c>
      <c r="T4343" s="405" t="s">
        <v>32102</v>
      </c>
      <c r="U4343" s="405" t="s">
        <v>319</v>
      </c>
    </row>
    <row r="4344" spans="1:21" x14ac:dyDescent="0.25">
      <c r="A4344" s="405" t="s">
        <v>310</v>
      </c>
      <c r="B4344" s="406" t="s">
        <v>32195</v>
      </c>
      <c r="C4344" s="405" t="s">
        <v>327</v>
      </c>
      <c r="D4344" s="405"/>
      <c r="E4344" s="406" t="s">
        <v>32196</v>
      </c>
      <c r="F4344" s="407">
        <v>44994</v>
      </c>
      <c r="G4344" s="406" t="s">
        <v>32197</v>
      </c>
      <c r="H4344" s="406" t="s">
        <v>32198</v>
      </c>
      <c r="I4344" s="406" t="s">
        <v>2913</v>
      </c>
      <c r="J4344" s="408">
        <v>0.102593</v>
      </c>
      <c r="K4344" s="408">
        <v>32.165247999999998</v>
      </c>
      <c r="L4344" s="406" t="s">
        <v>314</v>
      </c>
      <c r="M4344" s="406" t="s">
        <v>321</v>
      </c>
      <c r="N4344" s="406" t="s">
        <v>476</v>
      </c>
      <c r="O4344" s="406" t="s">
        <v>3357</v>
      </c>
      <c r="P4344" s="406" t="s">
        <v>32199</v>
      </c>
      <c r="Q4344" s="409">
        <v>20</v>
      </c>
      <c r="R4344" s="406" t="s">
        <v>32101</v>
      </c>
      <c r="S4344" s="406" t="s">
        <v>32123</v>
      </c>
      <c r="T4344" s="405" t="s">
        <v>884</v>
      </c>
      <c r="U4344" s="405" t="s">
        <v>319</v>
      </c>
    </row>
    <row r="4345" spans="1:21" x14ac:dyDescent="0.25">
      <c r="A4345" s="405" t="s">
        <v>310</v>
      </c>
      <c r="B4345" s="405" t="s">
        <v>27685</v>
      </c>
      <c r="C4345" s="405" t="s">
        <v>311</v>
      </c>
      <c r="D4345" s="405" t="s">
        <v>6148</v>
      </c>
      <c r="E4345" s="410">
        <v>42091</v>
      </c>
      <c r="F4345" s="410">
        <v>42136</v>
      </c>
      <c r="G4345" s="405" t="s">
        <v>6149</v>
      </c>
      <c r="H4345" s="405">
        <v>712886476</v>
      </c>
      <c r="I4345" s="405"/>
      <c r="J4345" s="405">
        <v>0.38536500000000001</v>
      </c>
      <c r="K4345" s="405">
        <v>32.567236999999999</v>
      </c>
      <c r="L4345" s="405" t="s">
        <v>314</v>
      </c>
      <c r="M4345" s="405" t="s">
        <v>992</v>
      </c>
      <c r="N4345" s="405" t="s">
        <v>3650</v>
      </c>
      <c r="O4345" s="405" t="s">
        <v>6150</v>
      </c>
      <c r="P4345" s="405" t="s">
        <v>6151</v>
      </c>
      <c r="Q4345" s="411">
        <v>9</v>
      </c>
      <c r="R4345" s="405" t="s">
        <v>5336</v>
      </c>
      <c r="S4345" s="405" t="s">
        <v>27153</v>
      </c>
      <c r="T4345" s="405" t="s">
        <v>884</v>
      </c>
      <c r="U4345" s="405" t="s">
        <v>319</v>
      </c>
    </row>
    <row r="4346" spans="1:21" x14ac:dyDescent="0.25">
      <c r="A4346" s="405" t="s">
        <v>310</v>
      </c>
      <c r="B4346" s="405" t="s">
        <v>27907</v>
      </c>
      <c r="C4346" s="405" t="s">
        <v>327</v>
      </c>
      <c r="D4346" s="405"/>
      <c r="E4346" s="410">
        <v>42091</v>
      </c>
      <c r="F4346" s="410">
        <v>42136</v>
      </c>
      <c r="G4346" s="405" t="s">
        <v>21973</v>
      </c>
      <c r="H4346" s="405">
        <v>781523726</v>
      </c>
      <c r="I4346" s="405"/>
      <c r="J4346" s="405">
        <v>-0.65664999999999996</v>
      </c>
      <c r="K4346" s="405">
        <v>29.980678000000001</v>
      </c>
      <c r="L4346" s="405" t="s">
        <v>590</v>
      </c>
      <c r="M4346" s="405" t="s">
        <v>20032</v>
      </c>
      <c r="N4346" s="405" t="s">
        <v>20033</v>
      </c>
      <c r="O4346" s="405" t="s">
        <v>21974</v>
      </c>
      <c r="P4346" s="405" t="s">
        <v>21975</v>
      </c>
      <c r="Q4346" s="411">
        <v>9</v>
      </c>
      <c r="R4346" s="405" t="s">
        <v>5858</v>
      </c>
      <c r="S4346" s="405" t="s">
        <v>27098</v>
      </c>
      <c r="T4346" s="405" t="s">
        <v>884</v>
      </c>
      <c r="U4346" s="405" t="s">
        <v>319</v>
      </c>
    </row>
    <row r="4347" spans="1:21" x14ac:dyDescent="0.25">
      <c r="A4347" s="405" t="s">
        <v>310</v>
      </c>
      <c r="B4347" s="405" t="s">
        <v>28294</v>
      </c>
      <c r="C4347" s="405" t="s">
        <v>327</v>
      </c>
      <c r="D4347" s="405"/>
      <c r="E4347" s="410">
        <v>42090</v>
      </c>
      <c r="F4347" s="410">
        <v>42135</v>
      </c>
      <c r="G4347" s="405" t="s">
        <v>21982</v>
      </c>
      <c r="H4347" s="405">
        <v>773116768</v>
      </c>
      <c r="I4347" s="405"/>
      <c r="J4347" s="405">
        <v>0.59573699999999996</v>
      </c>
      <c r="K4347" s="405">
        <v>30.210158</v>
      </c>
      <c r="L4347" s="405" t="s">
        <v>590</v>
      </c>
      <c r="M4347" s="405" t="s">
        <v>19625</v>
      </c>
      <c r="N4347" s="405" t="s">
        <v>21955</v>
      </c>
      <c r="O4347" s="405" t="s">
        <v>21955</v>
      </c>
      <c r="P4347" s="405" t="s">
        <v>21955</v>
      </c>
      <c r="Q4347" s="411">
        <v>9</v>
      </c>
      <c r="R4347" s="405" t="s">
        <v>874</v>
      </c>
      <c r="S4347" s="405" t="s">
        <v>27098</v>
      </c>
      <c r="T4347" s="405" t="s">
        <v>884</v>
      </c>
      <c r="U4347" s="405" t="s">
        <v>319</v>
      </c>
    </row>
    <row r="4348" spans="1:21" x14ac:dyDescent="0.25">
      <c r="A4348" s="405" t="s">
        <v>310</v>
      </c>
      <c r="B4348" s="405" t="s">
        <v>28959</v>
      </c>
      <c r="C4348" s="405" t="s">
        <v>327</v>
      </c>
      <c r="D4348" s="405"/>
      <c r="E4348" s="410">
        <v>42090</v>
      </c>
      <c r="F4348" s="410">
        <v>42135</v>
      </c>
      <c r="G4348" s="405" t="s">
        <v>5583</v>
      </c>
      <c r="H4348" s="405">
        <v>755438346</v>
      </c>
      <c r="I4348" s="405"/>
      <c r="J4348" s="405">
        <v>0.4078831</v>
      </c>
      <c r="K4348" s="405">
        <v>33.164847600000002</v>
      </c>
      <c r="L4348" s="405" t="s">
        <v>314</v>
      </c>
      <c r="M4348" s="405" t="s">
        <v>445</v>
      </c>
      <c r="N4348" s="405" t="s">
        <v>5584</v>
      </c>
      <c r="O4348" s="405" t="s">
        <v>4136</v>
      </c>
      <c r="P4348" s="405" t="s">
        <v>2734</v>
      </c>
      <c r="Q4348" s="411">
        <v>9</v>
      </c>
      <c r="R4348" s="405" t="s">
        <v>5336</v>
      </c>
      <c r="S4348" s="405" t="s">
        <v>27106</v>
      </c>
      <c r="T4348" s="405" t="s">
        <v>884</v>
      </c>
      <c r="U4348" s="405" t="s">
        <v>319</v>
      </c>
    </row>
    <row r="4349" spans="1:21" x14ac:dyDescent="0.25">
      <c r="A4349" s="405" t="s">
        <v>310</v>
      </c>
      <c r="B4349" s="405" t="s">
        <v>14745</v>
      </c>
      <c r="C4349" s="405" t="s">
        <v>327</v>
      </c>
      <c r="D4349" s="405"/>
      <c r="E4349" s="410">
        <v>42088</v>
      </c>
      <c r="F4349" s="410">
        <v>42133</v>
      </c>
      <c r="G4349" s="405" t="s">
        <v>14746</v>
      </c>
      <c r="H4349" s="405">
        <v>779069180</v>
      </c>
      <c r="I4349" s="405"/>
      <c r="J4349" s="405">
        <v>1.45472</v>
      </c>
      <c r="K4349" s="405">
        <v>33.263198000000003</v>
      </c>
      <c r="L4349" s="405" t="s">
        <v>6866</v>
      </c>
      <c r="M4349" s="405" t="s">
        <v>9658</v>
      </c>
      <c r="N4349" s="405" t="s">
        <v>11057</v>
      </c>
      <c r="O4349" s="405" t="s">
        <v>14343</v>
      </c>
      <c r="P4349" s="405" t="s">
        <v>14344</v>
      </c>
      <c r="Q4349" s="411">
        <v>6</v>
      </c>
      <c r="R4349" s="405" t="s">
        <v>5655</v>
      </c>
      <c r="S4349" s="405" t="s">
        <v>27056</v>
      </c>
      <c r="T4349" s="405" t="s">
        <v>32102</v>
      </c>
      <c r="U4349" s="405" t="s">
        <v>319</v>
      </c>
    </row>
    <row r="4350" spans="1:21" x14ac:dyDescent="0.25">
      <c r="A4350" s="405" t="s">
        <v>310</v>
      </c>
      <c r="B4350" s="406" t="s">
        <v>32189</v>
      </c>
      <c r="C4350" s="405" t="s">
        <v>327</v>
      </c>
      <c r="D4350" s="405"/>
      <c r="E4350" s="406" t="s">
        <v>32190</v>
      </c>
      <c r="F4350" s="407">
        <v>44995</v>
      </c>
      <c r="G4350" s="406" t="s">
        <v>32191</v>
      </c>
      <c r="H4350" s="406" t="s">
        <v>32192</v>
      </c>
      <c r="I4350" s="406" t="s">
        <v>32193</v>
      </c>
      <c r="J4350" s="408">
        <v>2.6936999999999999E-2</v>
      </c>
      <c r="K4350" s="408">
        <v>31.74635</v>
      </c>
      <c r="L4350" s="406" t="s">
        <v>314</v>
      </c>
      <c r="M4350" s="406" t="s">
        <v>900</v>
      </c>
      <c r="N4350" s="406" t="s">
        <v>900</v>
      </c>
      <c r="O4350" s="406" t="s">
        <v>3520</v>
      </c>
      <c r="P4350" s="406" t="s">
        <v>32194</v>
      </c>
      <c r="Q4350" s="409">
        <v>20</v>
      </c>
      <c r="R4350" s="406" t="s">
        <v>32101</v>
      </c>
      <c r="S4350" s="406" t="s">
        <v>27186</v>
      </c>
      <c r="T4350" s="405" t="s">
        <v>884</v>
      </c>
      <c r="U4350" s="405" t="s">
        <v>319</v>
      </c>
    </row>
    <row r="4351" spans="1:21" x14ac:dyDescent="0.25">
      <c r="A4351" s="405" t="s">
        <v>310</v>
      </c>
      <c r="B4351" s="405" t="s">
        <v>5581</v>
      </c>
      <c r="C4351" s="405" t="s">
        <v>327</v>
      </c>
      <c r="D4351" s="405"/>
      <c r="E4351" s="410">
        <v>42083</v>
      </c>
      <c r="F4351" s="410">
        <v>42128</v>
      </c>
      <c r="G4351" s="405" t="s">
        <v>5582</v>
      </c>
      <c r="H4351" s="405">
        <v>772553127</v>
      </c>
      <c r="I4351" s="405"/>
      <c r="J4351" s="405">
        <v>0.40201700000000001</v>
      </c>
      <c r="K4351" s="405">
        <v>32.598816999999997</v>
      </c>
      <c r="L4351" s="405" t="s">
        <v>314</v>
      </c>
      <c r="M4351" s="405" t="s">
        <v>361</v>
      </c>
      <c r="N4351" s="405" t="s">
        <v>498</v>
      </c>
      <c r="O4351" s="405" t="s">
        <v>498</v>
      </c>
      <c r="P4351" s="405" t="s">
        <v>4001</v>
      </c>
      <c r="Q4351" s="411">
        <v>13</v>
      </c>
      <c r="R4351" s="405" t="s">
        <v>5336</v>
      </c>
      <c r="S4351" s="405" t="s">
        <v>27174</v>
      </c>
      <c r="T4351" s="405" t="s">
        <v>884</v>
      </c>
      <c r="U4351" s="405" t="s">
        <v>319</v>
      </c>
    </row>
    <row r="4352" spans="1:21" x14ac:dyDescent="0.25">
      <c r="A4352" s="405" t="s">
        <v>310</v>
      </c>
      <c r="B4352" s="405" t="s">
        <v>21992</v>
      </c>
      <c r="C4352" s="405" t="s">
        <v>327</v>
      </c>
      <c r="D4352" s="405"/>
      <c r="E4352" s="410">
        <v>42083</v>
      </c>
      <c r="F4352" s="410">
        <v>42128</v>
      </c>
      <c r="G4352" s="405" t="s">
        <v>21993</v>
      </c>
      <c r="H4352" s="405">
        <v>784625971</v>
      </c>
      <c r="I4352" s="405"/>
      <c r="J4352" s="405">
        <v>0.85529100000000002</v>
      </c>
      <c r="K4352" s="405">
        <v>30.001331</v>
      </c>
      <c r="L4352" s="405" t="s">
        <v>590</v>
      </c>
      <c r="M4352" s="405" t="s">
        <v>19720</v>
      </c>
      <c r="N4352" s="405" t="s">
        <v>20439</v>
      </c>
      <c r="O4352" s="405" t="s">
        <v>21994</v>
      </c>
      <c r="P4352" s="405" t="s">
        <v>21995</v>
      </c>
      <c r="Q4352" s="411">
        <v>6</v>
      </c>
      <c r="R4352" s="405" t="s">
        <v>6572</v>
      </c>
      <c r="S4352" s="405" t="s">
        <v>27161</v>
      </c>
      <c r="T4352" s="405" t="s">
        <v>884</v>
      </c>
      <c r="U4352" s="405" t="s">
        <v>319</v>
      </c>
    </row>
    <row r="4353" spans="1:21" x14ac:dyDescent="0.25">
      <c r="A4353" s="405" t="s">
        <v>310</v>
      </c>
      <c r="B4353" s="405" t="s">
        <v>21987</v>
      </c>
      <c r="C4353" s="405" t="s">
        <v>327</v>
      </c>
      <c r="D4353" s="405"/>
      <c r="E4353" s="410">
        <v>42082</v>
      </c>
      <c r="F4353" s="410">
        <v>42127</v>
      </c>
      <c r="G4353" s="405" t="s">
        <v>21988</v>
      </c>
      <c r="H4353" s="405">
        <v>772342686</v>
      </c>
      <c r="I4353" s="405"/>
      <c r="J4353" s="405">
        <v>0.286248</v>
      </c>
      <c r="K4353" s="405">
        <v>30.470468</v>
      </c>
      <c r="L4353" s="405" t="s">
        <v>590</v>
      </c>
      <c r="M4353" s="405" t="s">
        <v>19720</v>
      </c>
      <c r="N4353" s="405" t="s">
        <v>21989</v>
      </c>
      <c r="O4353" s="405" t="s">
        <v>21587</v>
      </c>
      <c r="P4353" s="405" t="s">
        <v>21989</v>
      </c>
      <c r="Q4353" s="411">
        <v>6</v>
      </c>
      <c r="R4353" s="405" t="s">
        <v>402</v>
      </c>
      <c r="S4353" s="405" t="s">
        <v>27139</v>
      </c>
      <c r="T4353" s="405" t="s">
        <v>884</v>
      </c>
      <c r="U4353" s="405" t="s">
        <v>319</v>
      </c>
    </row>
    <row r="4354" spans="1:21" x14ac:dyDescent="0.25">
      <c r="A4354" s="405" t="s">
        <v>310</v>
      </c>
      <c r="B4354" s="405" t="s">
        <v>14411</v>
      </c>
      <c r="C4354" s="405" t="s">
        <v>327</v>
      </c>
      <c r="D4354" s="405"/>
      <c r="E4354" s="410">
        <v>42081</v>
      </c>
      <c r="F4354" s="410">
        <v>42126</v>
      </c>
      <c r="G4354" s="405" t="s">
        <v>14412</v>
      </c>
      <c r="H4354" s="405">
        <v>775716361</v>
      </c>
      <c r="I4354" s="405"/>
      <c r="J4354" s="405">
        <v>1.4435229999999999</v>
      </c>
      <c r="K4354" s="405">
        <v>33.245735000000003</v>
      </c>
      <c r="L4354" s="405" t="s">
        <v>6866</v>
      </c>
      <c r="M4354" s="405" t="s">
        <v>9658</v>
      </c>
      <c r="N4354" s="405" t="s">
        <v>11057</v>
      </c>
      <c r="O4354" s="405" t="s">
        <v>14343</v>
      </c>
      <c r="P4354" s="405" t="s">
        <v>14387</v>
      </c>
      <c r="Q4354" s="411">
        <v>6</v>
      </c>
      <c r="R4354" s="405" t="s">
        <v>5655</v>
      </c>
      <c r="S4354" s="405" t="s">
        <v>27353</v>
      </c>
      <c r="T4354" s="405" t="s">
        <v>884</v>
      </c>
      <c r="U4354" s="405" t="s">
        <v>319</v>
      </c>
    </row>
    <row r="4355" spans="1:21" x14ac:dyDescent="0.25">
      <c r="A4355" s="405" t="s">
        <v>310</v>
      </c>
      <c r="B4355" s="405" t="s">
        <v>21996</v>
      </c>
      <c r="C4355" s="405" t="s">
        <v>327</v>
      </c>
      <c r="D4355" s="405"/>
      <c r="E4355" s="410">
        <v>42081</v>
      </c>
      <c r="F4355" s="410">
        <v>42126</v>
      </c>
      <c r="G4355" s="405" t="s">
        <v>21997</v>
      </c>
      <c r="H4355" s="405">
        <v>772041787</v>
      </c>
      <c r="I4355" s="405"/>
      <c r="J4355" s="405">
        <v>0.18092800000000001</v>
      </c>
      <c r="K4355" s="405">
        <v>30.396483</v>
      </c>
      <c r="L4355" s="405" t="s">
        <v>590</v>
      </c>
      <c r="M4355" s="405" t="s">
        <v>19720</v>
      </c>
      <c r="N4355" s="405" t="s">
        <v>19720</v>
      </c>
      <c r="O4355" s="405" t="s">
        <v>19720</v>
      </c>
      <c r="P4355" s="405" t="s">
        <v>1215</v>
      </c>
      <c r="Q4355" s="411">
        <v>6</v>
      </c>
      <c r="R4355" s="405" t="s">
        <v>402</v>
      </c>
      <c r="S4355" s="405" t="s">
        <v>27275</v>
      </c>
      <c r="T4355" s="405" t="s">
        <v>884</v>
      </c>
      <c r="U4355" s="405" t="s">
        <v>319</v>
      </c>
    </row>
    <row r="4356" spans="1:21" x14ac:dyDescent="0.25">
      <c r="A4356" s="405" t="s">
        <v>310</v>
      </c>
      <c r="B4356" s="405" t="s">
        <v>22238</v>
      </c>
      <c r="C4356" s="405" t="s">
        <v>311</v>
      </c>
      <c r="D4356" s="405" t="s">
        <v>839</v>
      </c>
      <c r="E4356" s="410">
        <v>42080</v>
      </c>
      <c r="F4356" s="410">
        <v>42125</v>
      </c>
      <c r="G4356" s="405" t="s">
        <v>22239</v>
      </c>
      <c r="H4356" s="405">
        <v>782441255</v>
      </c>
      <c r="I4356" s="405"/>
      <c r="J4356" s="405">
        <v>0.15756000000000001</v>
      </c>
      <c r="K4356" s="405">
        <v>30.427268000000002</v>
      </c>
      <c r="L4356" s="405" t="s">
        <v>590</v>
      </c>
      <c r="M4356" s="405" t="s">
        <v>19720</v>
      </c>
      <c r="N4356" s="405" t="s">
        <v>22240</v>
      </c>
      <c r="O4356" s="405" t="s">
        <v>22240</v>
      </c>
      <c r="P4356" s="405" t="s">
        <v>22241</v>
      </c>
      <c r="Q4356" s="411">
        <v>6</v>
      </c>
      <c r="R4356" s="405" t="s">
        <v>402</v>
      </c>
      <c r="S4356" s="405" t="s">
        <v>27181</v>
      </c>
      <c r="T4356" s="405" t="s">
        <v>32102</v>
      </c>
      <c r="U4356" s="405" t="s">
        <v>319</v>
      </c>
    </row>
    <row r="4357" spans="1:21" x14ac:dyDescent="0.25">
      <c r="A4357" s="405" t="s">
        <v>310</v>
      </c>
      <c r="B4357" s="405" t="s">
        <v>14394</v>
      </c>
      <c r="C4357" s="405" t="s">
        <v>327</v>
      </c>
      <c r="D4357" s="405"/>
      <c r="E4357" s="410">
        <v>42078</v>
      </c>
      <c r="F4357" s="410">
        <v>42123</v>
      </c>
      <c r="G4357" s="405" t="s">
        <v>14395</v>
      </c>
      <c r="H4357" s="405">
        <v>784361374</v>
      </c>
      <c r="I4357" s="405"/>
      <c r="J4357" s="405">
        <v>1.42028</v>
      </c>
      <c r="K4357" s="405">
        <v>33.240786999999997</v>
      </c>
      <c r="L4357" s="405" t="s">
        <v>6866</v>
      </c>
      <c r="M4357" s="405" t="s">
        <v>9658</v>
      </c>
      <c r="N4357" s="405" t="s">
        <v>11057</v>
      </c>
      <c r="O4357" s="405" t="s">
        <v>13335</v>
      </c>
      <c r="P4357" s="405" t="s">
        <v>14396</v>
      </c>
      <c r="Q4357" s="411">
        <v>6</v>
      </c>
      <c r="R4357" s="405" t="s">
        <v>5655</v>
      </c>
      <c r="S4357" s="405" t="s">
        <v>27072</v>
      </c>
      <c r="T4357" s="405" t="s">
        <v>884</v>
      </c>
      <c r="U4357" s="405" t="s">
        <v>319</v>
      </c>
    </row>
    <row r="4358" spans="1:21" x14ac:dyDescent="0.25">
      <c r="A4358" s="405" t="s">
        <v>310</v>
      </c>
      <c r="B4358" s="405" t="s">
        <v>22203</v>
      </c>
      <c r="C4358" s="405" t="s">
        <v>311</v>
      </c>
      <c r="D4358" s="405" t="s">
        <v>312</v>
      </c>
      <c r="E4358" s="410">
        <v>42078</v>
      </c>
      <c r="F4358" s="410">
        <v>42123</v>
      </c>
      <c r="G4358" s="405" t="s">
        <v>22204</v>
      </c>
      <c r="H4358" s="405">
        <v>750910878</v>
      </c>
      <c r="I4358" s="405"/>
      <c r="J4358" s="405">
        <v>0.34520499999999998</v>
      </c>
      <c r="K4358" s="405">
        <v>30.534610000000001</v>
      </c>
      <c r="L4358" s="405" t="s">
        <v>590</v>
      </c>
      <c r="M4358" s="405" t="s">
        <v>19720</v>
      </c>
      <c r="N4358" s="405" t="s">
        <v>19720</v>
      </c>
      <c r="O4358" s="405" t="s">
        <v>21940</v>
      </c>
      <c r="P4358" s="405" t="s">
        <v>22205</v>
      </c>
      <c r="Q4358" s="411">
        <v>6</v>
      </c>
      <c r="R4358" s="405" t="s">
        <v>402</v>
      </c>
      <c r="S4358" s="405" t="s">
        <v>27154</v>
      </c>
      <c r="T4358" s="405" t="s">
        <v>884</v>
      </c>
      <c r="U4358" s="405" t="s">
        <v>319</v>
      </c>
    </row>
    <row r="4359" spans="1:21" x14ac:dyDescent="0.25">
      <c r="A4359" s="405" t="s">
        <v>310</v>
      </c>
      <c r="B4359" s="405" t="s">
        <v>6140</v>
      </c>
      <c r="C4359" s="405" t="s">
        <v>311</v>
      </c>
      <c r="D4359" s="405" t="s">
        <v>839</v>
      </c>
      <c r="E4359" s="410">
        <v>42076</v>
      </c>
      <c r="F4359" s="410">
        <v>42121</v>
      </c>
      <c r="G4359" s="405" t="s">
        <v>6141</v>
      </c>
      <c r="H4359" s="405">
        <v>702456538</v>
      </c>
      <c r="I4359" s="405"/>
      <c r="J4359" s="405">
        <v>0.38051299999999999</v>
      </c>
      <c r="K4359" s="405">
        <v>32.548085</v>
      </c>
      <c r="L4359" s="405" t="s">
        <v>314</v>
      </c>
      <c r="M4359" s="405" t="s">
        <v>361</v>
      </c>
      <c r="N4359" s="405" t="s">
        <v>362</v>
      </c>
      <c r="O4359" s="405" t="s">
        <v>469</v>
      </c>
      <c r="P4359" s="405" t="s">
        <v>6142</v>
      </c>
      <c r="Q4359" s="411">
        <v>6</v>
      </c>
      <c r="R4359" s="405" t="s">
        <v>4176</v>
      </c>
      <c r="S4359" s="405" t="s">
        <v>27059</v>
      </c>
      <c r="T4359" s="405" t="s">
        <v>865</v>
      </c>
      <c r="U4359" s="405" t="s">
        <v>866</v>
      </c>
    </row>
    <row r="4360" spans="1:21" x14ac:dyDescent="0.25">
      <c r="A4360" s="405" t="s">
        <v>310</v>
      </c>
      <c r="B4360" s="405" t="s">
        <v>14400</v>
      </c>
      <c r="C4360" s="405" t="s">
        <v>327</v>
      </c>
      <c r="D4360" s="405"/>
      <c r="E4360" s="410">
        <v>42075</v>
      </c>
      <c r="F4360" s="410">
        <v>42120</v>
      </c>
      <c r="G4360" s="405" t="s">
        <v>14401</v>
      </c>
      <c r="H4360" s="405">
        <v>785630275</v>
      </c>
      <c r="I4360" s="405"/>
      <c r="J4360" s="405">
        <v>1.0531330000000001</v>
      </c>
      <c r="K4360" s="405">
        <v>34.362819999999999</v>
      </c>
      <c r="L4360" s="405" t="s">
        <v>6866</v>
      </c>
      <c r="M4360" s="405" t="s">
        <v>6867</v>
      </c>
      <c r="N4360" s="405" t="s">
        <v>14402</v>
      </c>
      <c r="O4360" s="405" t="s">
        <v>14402</v>
      </c>
      <c r="P4360" s="405" t="s">
        <v>14403</v>
      </c>
      <c r="Q4360" s="411">
        <v>13</v>
      </c>
      <c r="R4360" s="405" t="s">
        <v>7224</v>
      </c>
      <c r="S4360" s="405" t="s">
        <v>27294</v>
      </c>
      <c r="T4360" s="405" t="s">
        <v>32102</v>
      </c>
      <c r="U4360" s="405" t="s">
        <v>319</v>
      </c>
    </row>
    <row r="4361" spans="1:21" x14ac:dyDescent="0.25">
      <c r="A4361" s="405" t="s">
        <v>310</v>
      </c>
      <c r="B4361" s="405" t="s">
        <v>14391</v>
      </c>
      <c r="C4361" s="405" t="s">
        <v>327</v>
      </c>
      <c r="D4361" s="405"/>
      <c r="E4361" s="410">
        <v>42075</v>
      </c>
      <c r="F4361" s="410">
        <v>42120</v>
      </c>
      <c r="G4361" s="405" t="s">
        <v>14392</v>
      </c>
      <c r="H4361" s="405">
        <v>779950778</v>
      </c>
      <c r="I4361" s="405"/>
      <c r="J4361" s="405">
        <v>1.4532670000000001</v>
      </c>
      <c r="K4361" s="405">
        <v>33.303938000000002</v>
      </c>
      <c r="L4361" s="405" t="s">
        <v>6866</v>
      </c>
      <c r="M4361" s="405" t="s">
        <v>9658</v>
      </c>
      <c r="N4361" s="405" t="s">
        <v>11057</v>
      </c>
      <c r="O4361" s="405" t="s">
        <v>14343</v>
      </c>
      <c r="P4361" s="405" t="s">
        <v>14393</v>
      </c>
      <c r="Q4361" s="411">
        <v>6</v>
      </c>
      <c r="R4361" s="405" t="s">
        <v>5655</v>
      </c>
      <c r="S4361" s="405" t="s">
        <v>27337</v>
      </c>
      <c r="T4361" s="405" t="s">
        <v>32102</v>
      </c>
      <c r="U4361" s="405" t="s">
        <v>319</v>
      </c>
    </row>
    <row r="4362" spans="1:21" x14ac:dyDescent="0.25">
      <c r="A4362" s="405" t="s">
        <v>310</v>
      </c>
      <c r="B4362" s="405" t="s">
        <v>21957</v>
      </c>
      <c r="C4362" s="405" t="s">
        <v>327</v>
      </c>
      <c r="D4362" s="405"/>
      <c r="E4362" s="410">
        <v>42075</v>
      </c>
      <c r="F4362" s="410">
        <v>42120</v>
      </c>
      <c r="G4362" s="405" t="s">
        <v>21958</v>
      </c>
      <c r="H4362" s="405">
        <v>775972794</v>
      </c>
      <c r="I4362" s="405"/>
      <c r="J4362" s="405">
        <v>5.9360000000000003E-2</v>
      </c>
      <c r="K4362" s="405">
        <v>30.41216</v>
      </c>
      <c r="L4362" s="405" t="s">
        <v>590</v>
      </c>
      <c r="M4362" s="405" t="s">
        <v>19720</v>
      </c>
      <c r="N4362" s="405" t="s">
        <v>20439</v>
      </c>
      <c r="O4362" s="405" t="s">
        <v>20439</v>
      </c>
      <c r="P4362" s="405" t="s">
        <v>21959</v>
      </c>
      <c r="Q4362" s="411">
        <v>6</v>
      </c>
      <c r="R4362" s="405" t="s">
        <v>402</v>
      </c>
      <c r="S4362" s="405" t="s">
        <v>27163</v>
      </c>
      <c r="T4362" s="405" t="s">
        <v>32102</v>
      </c>
      <c r="U4362" s="405" t="s">
        <v>319</v>
      </c>
    </row>
    <row r="4363" spans="1:21" x14ac:dyDescent="0.25">
      <c r="A4363" s="405" t="s">
        <v>310</v>
      </c>
      <c r="B4363" s="405" t="s">
        <v>28292</v>
      </c>
      <c r="C4363" s="405" t="s">
        <v>327</v>
      </c>
      <c r="D4363" s="405"/>
      <c r="E4363" s="410">
        <v>42074</v>
      </c>
      <c r="F4363" s="410">
        <v>42119</v>
      </c>
      <c r="G4363" s="405" t="s">
        <v>21954</v>
      </c>
      <c r="H4363" s="405">
        <v>772551298</v>
      </c>
      <c r="I4363" s="405"/>
      <c r="J4363" s="405">
        <v>0.62923499999999999</v>
      </c>
      <c r="K4363" s="405">
        <v>30.172232999999999</v>
      </c>
      <c r="L4363" s="405" t="s">
        <v>590</v>
      </c>
      <c r="M4363" s="405" t="s">
        <v>19625</v>
      </c>
      <c r="N4363" s="405" t="s">
        <v>21955</v>
      </c>
      <c r="O4363" s="405" t="s">
        <v>21955</v>
      </c>
      <c r="P4363" s="405" t="s">
        <v>21956</v>
      </c>
      <c r="Q4363" s="411">
        <v>13</v>
      </c>
      <c r="R4363" s="405" t="s">
        <v>874</v>
      </c>
      <c r="S4363" s="405" t="s">
        <v>27172</v>
      </c>
      <c r="T4363" s="405" t="s">
        <v>32102</v>
      </c>
      <c r="U4363" s="405" t="s">
        <v>319</v>
      </c>
    </row>
    <row r="4364" spans="1:21" x14ac:dyDescent="0.25">
      <c r="A4364" s="405" t="s">
        <v>310</v>
      </c>
      <c r="B4364" s="405" t="s">
        <v>18927</v>
      </c>
      <c r="C4364" s="405" t="s">
        <v>327</v>
      </c>
      <c r="D4364" s="405"/>
      <c r="E4364" s="410">
        <v>42073</v>
      </c>
      <c r="F4364" s="410">
        <v>42118</v>
      </c>
      <c r="G4364" s="405" t="s">
        <v>18928</v>
      </c>
      <c r="H4364" s="405">
        <v>775134157</v>
      </c>
      <c r="I4364" s="405"/>
      <c r="J4364" s="405">
        <v>2.3879579999999998</v>
      </c>
      <c r="K4364" s="405">
        <v>33.231259999999999</v>
      </c>
      <c r="L4364" s="405" t="s">
        <v>860</v>
      </c>
      <c r="M4364" s="405" t="s">
        <v>18929</v>
      </c>
      <c r="N4364" s="405" t="s">
        <v>18929</v>
      </c>
      <c r="O4364" s="405" t="s">
        <v>18823</v>
      </c>
      <c r="P4364" s="405" t="s">
        <v>18824</v>
      </c>
      <c r="Q4364" s="411">
        <v>6</v>
      </c>
      <c r="R4364" s="405" t="s">
        <v>5336</v>
      </c>
      <c r="S4364" s="405" t="s">
        <v>27243</v>
      </c>
      <c r="T4364" s="405" t="s">
        <v>884</v>
      </c>
      <c r="U4364" s="405" t="s">
        <v>319</v>
      </c>
    </row>
    <row r="4365" spans="1:21" x14ac:dyDescent="0.25">
      <c r="A4365" s="405" t="s">
        <v>310</v>
      </c>
      <c r="B4365" s="405" t="s">
        <v>14388</v>
      </c>
      <c r="C4365" s="405" t="s">
        <v>327</v>
      </c>
      <c r="D4365" s="405"/>
      <c r="E4365" s="410">
        <v>42072</v>
      </c>
      <c r="F4365" s="410">
        <v>42117</v>
      </c>
      <c r="G4365" s="405" t="s">
        <v>14389</v>
      </c>
      <c r="H4365" s="405">
        <v>774517536</v>
      </c>
      <c r="I4365" s="405"/>
      <c r="J4365" s="405">
        <v>1.4497720000000001</v>
      </c>
      <c r="K4365" s="405">
        <v>33.260722000000001</v>
      </c>
      <c r="L4365" s="405" t="s">
        <v>6866</v>
      </c>
      <c r="M4365" s="405" t="s">
        <v>9658</v>
      </c>
      <c r="N4365" s="405" t="s">
        <v>14390</v>
      </c>
      <c r="O4365" s="405" t="s">
        <v>14343</v>
      </c>
      <c r="P4365" s="405" t="s">
        <v>14343</v>
      </c>
      <c r="Q4365" s="411">
        <v>6</v>
      </c>
      <c r="R4365" s="405" t="s">
        <v>5655</v>
      </c>
      <c r="S4365" s="405" t="s">
        <v>27353</v>
      </c>
      <c r="T4365" s="405" t="s">
        <v>884</v>
      </c>
      <c r="U4365" s="405" t="s">
        <v>319</v>
      </c>
    </row>
    <row r="4366" spans="1:21" x14ac:dyDescent="0.25">
      <c r="A4366" s="405" t="s">
        <v>310</v>
      </c>
      <c r="B4366" s="405" t="s">
        <v>21970</v>
      </c>
      <c r="C4366" s="405" t="s">
        <v>327</v>
      </c>
      <c r="D4366" s="405"/>
      <c r="E4366" s="410">
        <v>42072</v>
      </c>
      <c r="F4366" s="410">
        <v>42117</v>
      </c>
      <c r="G4366" s="405" t="s">
        <v>21971</v>
      </c>
      <c r="H4366" s="405">
        <v>777298116</v>
      </c>
      <c r="I4366" s="405"/>
      <c r="J4366" s="405">
        <v>0.25853799999999999</v>
      </c>
      <c r="K4366" s="405">
        <v>30.500997000000002</v>
      </c>
      <c r="L4366" s="405" t="s">
        <v>590</v>
      </c>
      <c r="M4366" s="405" t="s">
        <v>19720</v>
      </c>
      <c r="N4366" s="405" t="s">
        <v>19720</v>
      </c>
      <c r="O4366" s="405" t="s">
        <v>21940</v>
      </c>
      <c r="P4366" s="405" t="s">
        <v>21972</v>
      </c>
      <c r="Q4366" s="411">
        <v>6</v>
      </c>
      <c r="R4366" s="405" t="s">
        <v>402</v>
      </c>
      <c r="S4366" s="405" t="s">
        <v>27275</v>
      </c>
      <c r="T4366" s="405" t="s">
        <v>884</v>
      </c>
      <c r="U4366" s="405" t="s">
        <v>319</v>
      </c>
    </row>
    <row r="4367" spans="1:21" x14ac:dyDescent="0.25">
      <c r="A4367" s="405" t="s">
        <v>310</v>
      </c>
      <c r="B4367" s="405" t="s">
        <v>21951</v>
      </c>
      <c r="C4367" s="405" t="s">
        <v>327</v>
      </c>
      <c r="D4367" s="405"/>
      <c r="E4367" s="410">
        <v>42071</v>
      </c>
      <c r="F4367" s="410">
        <v>42116</v>
      </c>
      <c r="G4367" s="405" t="s">
        <v>21952</v>
      </c>
      <c r="H4367" s="405">
        <v>783423246</v>
      </c>
      <c r="I4367" s="405"/>
      <c r="J4367" s="405">
        <v>0.27780300000000002</v>
      </c>
      <c r="K4367" s="405">
        <v>30.492941999999999</v>
      </c>
      <c r="L4367" s="405" t="s">
        <v>590</v>
      </c>
      <c r="M4367" s="405" t="s">
        <v>19720</v>
      </c>
      <c r="N4367" s="405" t="s">
        <v>21953</v>
      </c>
      <c r="O4367" s="405" t="s">
        <v>19671</v>
      </c>
      <c r="P4367" s="405" t="s">
        <v>19671</v>
      </c>
      <c r="Q4367" s="411">
        <v>6</v>
      </c>
      <c r="R4367" s="405" t="s">
        <v>402</v>
      </c>
      <c r="S4367" s="405" t="s">
        <v>27098</v>
      </c>
      <c r="T4367" s="405" t="s">
        <v>884</v>
      </c>
      <c r="U4367" s="405" t="s">
        <v>319</v>
      </c>
    </row>
    <row r="4368" spans="1:21" x14ac:dyDescent="0.25">
      <c r="A4368" s="405" t="s">
        <v>310</v>
      </c>
      <c r="B4368" s="405" t="s">
        <v>14366</v>
      </c>
      <c r="C4368" s="405" t="s">
        <v>327</v>
      </c>
      <c r="D4368" s="405"/>
      <c r="E4368" s="410">
        <v>42071</v>
      </c>
      <c r="F4368" s="410">
        <v>42116</v>
      </c>
      <c r="G4368" s="405" t="s">
        <v>14367</v>
      </c>
      <c r="H4368" s="405">
        <v>784557062</v>
      </c>
      <c r="I4368" s="405">
        <v>774374175</v>
      </c>
      <c r="J4368" s="405">
        <v>0.26300000000000001</v>
      </c>
      <c r="K4368" s="405">
        <v>33.390999999999998</v>
      </c>
      <c r="L4368" s="405" t="s">
        <v>6866</v>
      </c>
      <c r="M4368" s="405" t="s">
        <v>13470</v>
      </c>
      <c r="N4368" s="405" t="s">
        <v>13471</v>
      </c>
      <c r="O4368" s="405" t="s">
        <v>14368</v>
      </c>
      <c r="P4368" s="405" t="s">
        <v>14369</v>
      </c>
      <c r="Q4368" s="411">
        <v>6</v>
      </c>
      <c r="R4368" s="405" t="s">
        <v>5655</v>
      </c>
      <c r="S4368" s="405" t="s">
        <v>27337</v>
      </c>
      <c r="T4368" s="405" t="s">
        <v>884</v>
      </c>
      <c r="U4368" s="405" t="s">
        <v>319</v>
      </c>
    </row>
    <row r="4369" spans="1:21" x14ac:dyDescent="0.25">
      <c r="A4369" s="405" t="s">
        <v>310</v>
      </c>
      <c r="B4369" s="405" t="s">
        <v>5534</v>
      </c>
      <c r="C4369" s="405" t="s">
        <v>327</v>
      </c>
      <c r="D4369" s="405"/>
      <c r="E4369" s="410">
        <v>42070</v>
      </c>
      <c r="F4369" s="410">
        <v>42115</v>
      </c>
      <c r="G4369" s="405" t="s">
        <v>5535</v>
      </c>
      <c r="H4369" s="405">
        <v>775413044</v>
      </c>
      <c r="I4369" s="405"/>
      <c r="J4369" s="405">
        <v>0.53849000000000002</v>
      </c>
      <c r="K4369" s="405">
        <v>32.627467000000003</v>
      </c>
      <c r="L4369" s="405" t="s">
        <v>314</v>
      </c>
      <c r="M4369" s="405" t="s">
        <v>361</v>
      </c>
      <c r="N4369" s="405" t="s">
        <v>433</v>
      </c>
      <c r="O4369" s="405" t="s">
        <v>433</v>
      </c>
      <c r="P4369" s="405" t="s">
        <v>3606</v>
      </c>
      <c r="Q4369" s="411">
        <v>13</v>
      </c>
      <c r="R4369" s="405" t="s">
        <v>5336</v>
      </c>
      <c r="S4369" s="405" t="s">
        <v>27051</v>
      </c>
      <c r="T4369" s="405" t="s">
        <v>865</v>
      </c>
      <c r="U4369" s="405" t="s">
        <v>866</v>
      </c>
    </row>
    <row r="4370" spans="1:21" x14ac:dyDescent="0.25">
      <c r="A4370" s="405" t="s">
        <v>310</v>
      </c>
      <c r="B4370" s="405" t="s">
        <v>5551</v>
      </c>
      <c r="C4370" s="405" t="s">
        <v>327</v>
      </c>
      <c r="D4370" s="405"/>
      <c r="E4370" s="410">
        <v>42069</v>
      </c>
      <c r="F4370" s="410">
        <v>42114</v>
      </c>
      <c r="G4370" s="405" t="s">
        <v>5552</v>
      </c>
      <c r="H4370" s="405">
        <v>781760906</v>
      </c>
      <c r="I4370" s="405">
        <v>774521722</v>
      </c>
      <c r="J4370" s="405">
        <v>-0.54805300000000001</v>
      </c>
      <c r="K4370" s="405">
        <v>31.646726999999998</v>
      </c>
      <c r="L4370" s="405" t="s">
        <v>314</v>
      </c>
      <c r="M4370" s="405" t="s">
        <v>398</v>
      </c>
      <c r="N4370" s="405" t="s">
        <v>2265</v>
      </c>
      <c r="O4370" s="405" t="s">
        <v>1563</v>
      </c>
      <c r="P4370" s="405" t="s">
        <v>5553</v>
      </c>
      <c r="Q4370" s="411">
        <v>9</v>
      </c>
      <c r="R4370" s="405" t="s">
        <v>402</v>
      </c>
      <c r="S4370" s="405" t="s">
        <v>27164</v>
      </c>
      <c r="T4370" s="405" t="s">
        <v>32102</v>
      </c>
      <c r="U4370" s="405" t="s">
        <v>319</v>
      </c>
    </row>
    <row r="4371" spans="1:21" x14ac:dyDescent="0.25">
      <c r="A4371" s="405" t="s">
        <v>310</v>
      </c>
      <c r="B4371" s="405" t="s">
        <v>21968</v>
      </c>
      <c r="C4371" s="405" t="s">
        <v>327</v>
      </c>
      <c r="D4371" s="405"/>
      <c r="E4371" s="410">
        <v>42066</v>
      </c>
      <c r="F4371" s="410">
        <v>42111</v>
      </c>
      <c r="G4371" s="405" t="s">
        <v>21969</v>
      </c>
      <c r="H4371" s="405">
        <v>704444472</v>
      </c>
      <c r="I4371" s="405"/>
      <c r="J4371" s="405">
        <v>0.300232</v>
      </c>
      <c r="K4371" s="405">
        <v>30.178557999999999</v>
      </c>
      <c r="L4371" s="405" t="s">
        <v>590</v>
      </c>
      <c r="M4371" s="405" t="s">
        <v>21087</v>
      </c>
      <c r="N4371" s="405" t="s">
        <v>10026</v>
      </c>
      <c r="O4371" s="405" t="s">
        <v>21927</v>
      </c>
      <c r="P4371" s="405" t="s">
        <v>21927</v>
      </c>
      <c r="Q4371" s="411">
        <v>6</v>
      </c>
      <c r="R4371" s="405" t="s">
        <v>883</v>
      </c>
      <c r="S4371" s="405" t="s">
        <v>27408</v>
      </c>
      <c r="T4371" s="405" t="s">
        <v>884</v>
      </c>
      <c r="U4371" s="405" t="s">
        <v>319</v>
      </c>
    </row>
    <row r="4372" spans="1:21" x14ac:dyDescent="0.25">
      <c r="A4372" s="405" t="s">
        <v>310</v>
      </c>
      <c r="B4372" s="405" t="s">
        <v>18923</v>
      </c>
      <c r="C4372" s="405" t="s">
        <v>327</v>
      </c>
      <c r="D4372" s="405"/>
      <c r="E4372" s="410">
        <v>42065</v>
      </c>
      <c r="F4372" s="410">
        <v>42110</v>
      </c>
      <c r="G4372" s="405" t="s">
        <v>18924</v>
      </c>
      <c r="H4372" s="405">
        <v>772866779</v>
      </c>
      <c r="I4372" s="405">
        <v>773731050</v>
      </c>
      <c r="J4372" s="405">
        <v>1.8007500000000001</v>
      </c>
      <c r="K4372" s="405">
        <v>32.552577999999997</v>
      </c>
      <c r="L4372" s="405" t="s">
        <v>860</v>
      </c>
      <c r="M4372" s="405" t="s">
        <v>861</v>
      </c>
      <c r="N4372" s="405" t="s">
        <v>18925</v>
      </c>
      <c r="O4372" s="405" t="s">
        <v>18303</v>
      </c>
      <c r="P4372" s="405" t="s">
        <v>18926</v>
      </c>
      <c r="Q4372" s="411">
        <v>13</v>
      </c>
      <c r="R4372" s="405" t="s">
        <v>18919</v>
      </c>
      <c r="S4372" s="405" t="s">
        <v>27193</v>
      </c>
      <c r="T4372" s="405" t="s">
        <v>884</v>
      </c>
      <c r="U4372" s="405" t="s">
        <v>319</v>
      </c>
    </row>
    <row r="4373" spans="1:21" x14ac:dyDescent="0.25">
      <c r="A4373" s="405" t="s">
        <v>310</v>
      </c>
      <c r="B4373" s="405" t="s">
        <v>5542</v>
      </c>
      <c r="C4373" s="405" t="s">
        <v>327</v>
      </c>
      <c r="D4373" s="405"/>
      <c r="E4373" s="410">
        <v>42065</v>
      </c>
      <c r="F4373" s="410">
        <v>42110</v>
      </c>
      <c r="G4373" s="405" t="s">
        <v>5543</v>
      </c>
      <c r="H4373" s="405">
        <v>705164034</v>
      </c>
      <c r="I4373" s="405"/>
      <c r="J4373" s="405">
        <v>0.32977200000000001</v>
      </c>
      <c r="K4373" s="405">
        <v>32.507497000000001</v>
      </c>
      <c r="L4373" s="405" t="s">
        <v>314</v>
      </c>
      <c r="M4373" s="405" t="s">
        <v>361</v>
      </c>
      <c r="N4373" s="405" t="s">
        <v>362</v>
      </c>
      <c r="O4373" s="405" t="s">
        <v>1974</v>
      </c>
      <c r="P4373" s="405" t="s">
        <v>5544</v>
      </c>
      <c r="Q4373" s="411">
        <v>9</v>
      </c>
      <c r="R4373" s="405" t="s">
        <v>5545</v>
      </c>
      <c r="S4373" s="405" t="s">
        <v>27047</v>
      </c>
      <c r="T4373" s="405" t="s">
        <v>32102</v>
      </c>
      <c r="U4373" s="405" t="s">
        <v>319</v>
      </c>
    </row>
    <row r="4374" spans="1:21" x14ac:dyDescent="0.25">
      <c r="A4374" s="405" t="s">
        <v>310</v>
      </c>
      <c r="B4374" s="405" t="s">
        <v>27827</v>
      </c>
      <c r="C4374" s="405" t="s">
        <v>327</v>
      </c>
      <c r="D4374" s="405"/>
      <c r="E4374" s="410">
        <v>42064</v>
      </c>
      <c r="F4374" s="410">
        <v>42109</v>
      </c>
      <c r="G4374" s="405" t="s">
        <v>21963</v>
      </c>
      <c r="H4374" s="405">
        <v>775116804</v>
      </c>
      <c r="I4374" s="405"/>
      <c r="J4374" s="405">
        <v>0.11282623</v>
      </c>
      <c r="K4374" s="405">
        <v>30.363710000000001</v>
      </c>
      <c r="L4374" s="405" t="s">
        <v>590</v>
      </c>
      <c r="M4374" s="405" t="s">
        <v>19720</v>
      </c>
      <c r="N4374" s="405" t="s">
        <v>21962</v>
      </c>
      <c r="O4374" s="405" t="s">
        <v>21962</v>
      </c>
      <c r="P4374" s="405" t="s">
        <v>21964</v>
      </c>
      <c r="Q4374" s="411">
        <v>6</v>
      </c>
      <c r="R4374" s="405" t="s">
        <v>6572</v>
      </c>
      <c r="S4374" s="405" t="s">
        <v>27161</v>
      </c>
      <c r="T4374" s="405" t="s">
        <v>884</v>
      </c>
      <c r="U4374" s="405" t="s">
        <v>319</v>
      </c>
    </row>
    <row r="4375" spans="1:21" x14ac:dyDescent="0.25">
      <c r="A4375" s="405" t="s">
        <v>310</v>
      </c>
      <c r="B4375" s="406" t="s">
        <v>32145</v>
      </c>
      <c r="C4375" s="405" t="s">
        <v>327</v>
      </c>
      <c r="D4375" s="405"/>
      <c r="E4375" s="406" t="s">
        <v>32146</v>
      </c>
      <c r="F4375" s="407">
        <v>45015</v>
      </c>
      <c r="G4375" s="406" t="s">
        <v>32147</v>
      </c>
      <c r="H4375" s="406" t="s">
        <v>32148</v>
      </c>
      <c r="I4375" s="406" t="s">
        <v>32149</v>
      </c>
      <c r="J4375" s="408">
        <v>0.20349200000000001</v>
      </c>
      <c r="K4375" s="408">
        <v>32.443508000000001</v>
      </c>
      <c r="L4375" s="406" t="s">
        <v>314</v>
      </c>
      <c r="M4375" s="406" t="s">
        <v>361</v>
      </c>
      <c r="N4375" s="406" t="s">
        <v>374</v>
      </c>
      <c r="O4375" s="406" t="s">
        <v>2496</v>
      </c>
      <c r="P4375" s="406" t="s">
        <v>32150</v>
      </c>
      <c r="Q4375" s="409">
        <v>45</v>
      </c>
      <c r="R4375" s="406" t="s">
        <v>32101</v>
      </c>
      <c r="S4375" s="406" t="s">
        <v>32123</v>
      </c>
      <c r="T4375" s="405" t="s">
        <v>884</v>
      </c>
      <c r="U4375" s="405" t="s">
        <v>319</v>
      </c>
    </row>
    <row r="4376" spans="1:21" x14ac:dyDescent="0.25">
      <c r="A4376" s="405" t="s">
        <v>310</v>
      </c>
      <c r="B4376" s="405" t="s">
        <v>5539</v>
      </c>
      <c r="C4376" s="405" t="s">
        <v>327</v>
      </c>
      <c r="D4376" s="405"/>
      <c r="E4376" s="410">
        <v>42063</v>
      </c>
      <c r="F4376" s="410">
        <v>42108</v>
      </c>
      <c r="G4376" s="405" t="s">
        <v>5540</v>
      </c>
      <c r="H4376" s="405">
        <v>772979268</v>
      </c>
      <c r="I4376" s="405">
        <v>753461655</v>
      </c>
      <c r="J4376" s="405">
        <v>0.29721199999999998</v>
      </c>
      <c r="K4376" s="405">
        <v>32.478377999999999</v>
      </c>
      <c r="L4376" s="405" t="s">
        <v>314</v>
      </c>
      <c r="M4376" s="405" t="s">
        <v>361</v>
      </c>
      <c r="N4376" s="405" t="s">
        <v>374</v>
      </c>
      <c r="O4376" s="405" t="s">
        <v>375</v>
      </c>
      <c r="P4376" s="405" t="s">
        <v>5541</v>
      </c>
      <c r="Q4376" s="411">
        <v>9</v>
      </c>
      <c r="R4376" s="405" t="s">
        <v>5336</v>
      </c>
      <c r="S4376" s="405" t="s">
        <v>27036</v>
      </c>
      <c r="T4376" s="405" t="s">
        <v>32102</v>
      </c>
      <c r="U4376" s="405" t="s">
        <v>319</v>
      </c>
    </row>
    <row r="4377" spans="1:21" x14ac:dyDescent="0.25">
      <c r="A4377" s="405" t="s">
        <v>310</v>
      </c>
      <c r="B4377" s="405" t="s">
        <v>6135</v>
      </c>
      <c r="C4377" s="405" t="s">
        <v>311</v>
      </c>
      <c r="D4377" s="405" t="s">
        <v>312</v>
      </c>
      <c r="E4377" s="410">
        <v>42063</v>
      </c>
      <c r="F4377" s="410">
        <v>42108</v>
      </c>
      <c r="G4377" s="405" t="s">
        <v>6136</v>
      </c>
      <c r="H4377" s="405">
        <v>772411501</v>
      </c>
      <c r="I4377" s="405"/>
      <c r="J4377" s="405">
        <v>0.374643</v>
      </c>
      <c r="K4377" s="405">
        <v>32.520387999999997</v>
      </c>
      <c r="L4377" s="405" t="s">
        <v>314</v>
      </c>
      <c r="M4377" s="405" t="s">
        <v>361</v>
      </c>
      <c r="N4377" s="405" t="s">
        <v>469</v>
      </c>
      <c r="O4377" s="405" t="s">
        <v>469</v>
      </c>
      <c r="P4377" s="405" t="s">
        <v>1290</v>
      </c>
      <c r="Q4377" s="411">
        <v>9</v>
      </c>
      <c r="R4377" s="405" t="s">
        <v>525</v>
      </c>
      <c r="S4377" s="405" t="s">
        <v>27235</v>
      </c>
      <c r="T4377" s="405" t="s">
        <v>884</v>
      </c>
      <c r="U4377" s="405" t="s">
        <v>319</v>
      </c>
    </row>
    <row r="4378" spans="1:21" x14ac:dyDescent="0.25">
      <c r="A4378" s="405" t="s">
        <v>310</v>
      </c>
      <c r="B4378" s="405" t="s">
        <v>6096</v>
      </c>
      <c r="C4378" s="405" t="s">
        <v>311</v>
      </c>
      <c r="D4378" s="405" t="s">
        <v>839</v>
      </c>
      <c r="E4378" s="410">
        <v>42063</v>
      </c>
      <c r="F4378" s="410">
        <v>42108</v>
      </c>
      <c r="G4378" s="405" t="s">
        <v>6097</v>
      </c>
      <c r="H4378" s="405">
        <v>772501046</v>
      </c>
      <c r="I4378" s="405"/>
      <c r="J4378" s="405">
        <v>0.165267</v>
      </c>
      <c r="K4378" s="405">
        <v>32.508916999999997</v>
      </c>
      <c r="L4378" s="405" t="s">
        <v>314</v>
      </c>
      <c r="M4378" s="405" t="s">
        <v>361</v>
      </c>
      <c r="N4378" s="405" t="s">
        <v>1682</v>
      </c>
      <c r="O4378" s="405" t="s">
        <v>2496</v>
      </c>
      <c r="P4378" s="405" t="s">
        <v>6098</v>
      </c>
      <c r="Q4378" s="411">
        <v>6</v>
      </c>
      <c r="R4378" s="405" t="s">
        <v>5336</v>
      </c>
      <c r="S4378" s="405" t="s">
        <v>27153</v>
      </c>
      <c r="T4378" s="405" t="s">
        <v>32102</v>
      </c>
      <c r="U4378" s="405" t="s">
        <v>319</v>
      </c>
    </row>
    <row r="4379" spans="1:21" x14ac:dyDescent="0.25">
      <c r="A4379" s="405" t="s">
        <v>310</v>
      </c>
      <c r="B4379" s="405" t="s">
        <v>14385</v>
      </c>
      <c r="C4379" s="405" t="s">
        <v>327</v>
      </c>
      <c r="D4379" s="405"/>
      <c r="E4379" s="410">
        <v>42063</v>
      </c>
      <c r="F4379" s="410">
        <v>42108</v>
      </c>
      <c r="G4379" s="405" t="s">
        <v>14386</v>
      </c>
      <c r="H4379" s="405">
        <v>779062317</v>
      </c>
      <c r="I4379" s="405"/>
      <c r="J4379" s="405">
        <v>1.430075</v>
      </c>
      <c r="K4379" s="405">
        <v>33.249375000000001</v>
      </c>
      <c r="L4379" s="405" t="s">
        <v>6866</v>
      </c>
      <c r="M4379" s="405" t="s">
        <v>9658</v>
      </c>
      <c r="N4379" s="405" t="s">
        <v>11057</v>
      </c>
      <c r="O4379" s="405" t="s">
        <v>14343</v>
      </c>
      <c r="P4379" s="405" t="s">
        <v>14387</v>
      </c>
      <c r="Q4379" s="411">
        <v>6</v>
      </c>
      <c r="R4379" s="405" t="s">
        <v>5655</v>
      </c>
      <c r="S4379" s="405" t="s">
        <v>27337</v>
      </c>
      <c r="T4379" s="405" t="s">
        <v>32102</v>
      </c>
      <c r="U4379" s="405" t="s">
        <v>319</v>
      </c>
    </row>
    <row r="4380" spans="1:21" x14ac:dyDescent="0.25">
      <c r="A4380" s="405" t="s">
        <v>310</v>
      </c>
      <c r="B4380" s="405" t="s">
        <v>14397</v>
      </c>
      <c r="C4380" s="405" t="s">
        <v>327</v>
      </c>
      <c r="D4380" s="405"/>
      <c r="E4380" s="410">
        <v>42063</v>
      </c>
      <c r="F4380" s="410">
        <v>42108</v>
      </c>
      <c r="G4380" s="405" t="s">
        <v>14398</v>
      </c>
      <c r="H4380" s="405">
        <v>774975489</v>
      </c>
      <c r="I4380" s="405"/>
      <c r="J4380" s="405">
        <v>1.2001291599999999</v>
      </c>
      <c r="K4380" s="405">
        <v>34.320095000000002</v>
      </c>
      <c r="L4380" s="405" t="s">
        <v>6866</v>
      </c>
      <c r="M4380" s="405" t="s">
        <v>9575</v>
      </c>
      <c r="N4380" s="405" t="s">
        <v>14364</v>
      </c>
      <c r="O4380" s="405" t="s">
        <v>9630</v>
      </c>
      <c r="P4380" s="405" t="s">
        <v>14399</v>
      </c>
      <c r="Q4380" s="411">
        <v>6</v>
      </c>
      <c r="R4380" s="405" t="s">
        <v>7224</v>
      </c>
      <c r="S4380" s="405" t="s">
        <v>27086</v>
      </c>
      <c r="T4380" s="405" t="s">
        <v>884</v>
      </c>
      <c r="U4380" s="405" t="s">
        <v>319</v>
      </c>
    </row>
    <row r="4381" spans="1:21" x14ac:dyDescent="0.25">
      <c r="A4381" s="405" t="s">
        <v>310</v>
      </c>
      <c r="B4381" s="406" t="s">
        <v>32140</v>
      </c>
      <c r="C4381" s="405" t="s">
        <v>327</v>
      </c>
      <c r="D4381" s="405"/>
      <c r="E4381" s="406" t="s">
        <v>32141</v>
      </c>
      <c r="F4381" s="407">
        <v>45043</v>
      </c>
      <c r="G4381" s="406" t="s">
        <v>32142</v>
      </c>
      <c r="H4381" s="406" t="s">
        <v>32143</v>
      </c>
      <c r="I4381" s="406" t="s">
        <v>2913</v>
      </c>
      <c r="J4381" s="408">
        <v>-0.35724800000000001</v>
      </c>
      <c r="K4381" s="408">
        <v>31.607488</v>
      </c>
      <c r="L4381" s="406" t="s">
        <v>314</v>
      </c>
      <c r="M4381" s="406" t="s">
        <v>1189</v>
      </c>
      <c r="N4381" s="406" t="s">
        <v>1189</v>
      </c>
      <c r="O4381" s="406" t="s">
        <v>8281</v>
      </c>
      <c r="P4381" s="406" t="s">
        <v>32144</v>
      </c>
      <c r="Q4381" s="409">
        <v>45</v>
      </c>
      <c r="R4381" s="406" t="s">
        <v>32101</v>
      </c>
      <c r="S4381" s="406" t="s">
        <v>32123</v>
      </c>
      <c r="T4381" s="405" t="s">
        <v>884</v>
      </c>
      <c r="U4381" s="405" t="s">
        <v>319</v>
      </c>
    </row>
    <row r="4382" spans="1:21" x14ac:dyDescent="0.25">
      <c r="A4382" s="405" t="s">
        <v>310</v>
      </c>
      <c r="B4382" s="405" t="s">
        <v>21960</v>
      </c>
      <c r="C4382" s="405" t="s">
        <v>327</v>
      </c>
      <c r="D4382" s="405"/>
      <c r="E4382" s="410">
        <v>42062</v>
      </c>
      <c r="F4382" s="410">
        <v>42107</v>
      </c>
      <c r="G4382" s="405" t="s">
        <v>21961</v>
      </c>
      <c r="H4382" s="405">
        <v>784707170</v>
      </c>
      <c r="I4382" s="405">
        <v>782312133</v>
      </c>
      <c r="J4382" s="405">
        <v>0.14107500000000001</v>
      </c>
      <c r="K4382" s="405">
        <v>30.367678000000002</v>
      </c>
      <c r="L4382" s="405" t="s">
        <v>590</v>
      </c>
      <c r="M4382" s="405" t="s">
        <v>19720</v>
      </c>
      <c r="N4382" s="405" t="s">
        <v>21962</v>
      </c>
      <c r="O4382" s="405" t="s">
        <v>21962</v>
      </c>
      <c r="P4382" s="405" t="s">
        <v>21962</v>
      </c>
      <c r="Q4382" s="411">
        <v>6</v>
      </c>
      <c r="R4382" s="405" t="s">
        <v>6572</v>
      </c>
      <c r="S4382" s="405" t="s">
        <v>27161</v>
      </c>
      <c r="T4382" s="405" t="s">
        <v>884</v>
      </c>
      <c r="U4382" s="405" t="s">
        <v>319</v>
      </c>
    </row>
    <row r="4383" spans="1:21" x14ac:dyDescent="0.25">
      <c r="A4383" s="405" t="s">
        <v>310</v>
      </c>
      <c r="B4383" s="405" t="s">
        <v>21965</v>
      </c>
      <c r="C4383" s="405" t="s">
        <v>327</v>
      </c>
      <c r="D4383" s="405"/>
      <c r="E4383" s="410">
        <v>42062</v>
      </c>
      <c r="F4383" s="410">
        <v>42107</v>
      </c>
      <c r="G4383" s="405" t="s">
        <v>21966</v>
      </c>
      <c r="H4383" s="405">
        <v>782774136</v>
      </c>
      <c r="I4383" s="405"/>
      <c r="J4383" s="405">
        <v>0.35017799999999999</v>
      </c>
      <c r="K4383" s="405">
        <v>30.216702999999999</v>
      </c>
      <c r="L4383" s="405" t="s">
        <v>590</v>
      </c>
      <c r="M4383" s="405" t="s">
        <v>21087</v>
      </c>
      <c r="N4383" s="405" t="s">
        <v>10026</v>
      </c>
      <c r="O4383" s="405" t="s">
        <v>21926</v>
      </c>
      <c r="P4383" s="405" t="s">
        <v>21967</v>
      </c>
      <c r="Q4383" s="411">
        <v>6</v>
      </c>
      <c r="R4383" s="405" t="s">
        <v>883</v>
      </c>
      <c r="S4383" s="405" t="s">
        <v>27183</v>
      </c>
      <c r="T4383" s="405" t="s">
        <v>884</v>
      </c>
      <c r="U4383" s="405" t="s">
        <v>319</v>
      </c>
    </row>
    <row r="4384" spans="1:21" x14ac:dyDescent="0.25">
      <c r="A4384" s="405" t="s">
        <v>310</v>
      </c>
      <c r="B4384" s="405" t="s">
        <v>5536</v>
      </c>
      <c r="C4384" s="405" t="s">
        <v>327</v>
      </c>
      <c r="D4384" s="405"/>
      <c r="E4384" s="410">
        <v>42061</v>
      </c>
      <c r="F4384" s="410">
        <v>42106</v>
      </c>
      <c r="G4384" s="405" t="s">
        <v>5537</v>
      </c>
      <c r="H4384" s="405">
        <v>706579796</v>
      </c>
      <c r="I4384" s="405"/>
      <c r="J4384" s="405">
        <v>0.40464299999999997</v>
      </c>
      <c r="K4384" s="405">
        <v>32.438957000000002</v>
      </c>
      <c r="L4384" s="405" t="s">
        <v>314</v>
      </c>
      <c r="M4384" s="405" t="s">
        <v>361</v>
      </c>
      <c r="N4384" s="405" t="s">
        <v>5538</v>
      </c>
      <c r="O4384" s="405" t="s">
        <v>5538</v>
      </c>
      <c r="P4384" s="405" t="s">
        <v>411</v>
      </c>
      <c r="Q4384" s="411">
        <v>13</v>
      </c>
      <c r="R4384" s="405" t="s">
        <v>5336</v>
      </c>
      <c r="S4384" s="405" t="s">
        <v>27051</v>
      </c>
      <c r="T4384" s="405" t="s">
        <v>884</v>
      </c>
      <c r="U4384" s="405" t="s">
        <v>319</v>
      </c>
    </row>
    <row r="4385" spans="1:21" x14ac:dyDescent="0.25">
      <c r="A4385" s="405" t="s">
        <v>310</v>
      </c>
      <c r="B4385" s="405" t="s">
        <v>6116</v>
      </c>
      <c r="C4385" s="405" t="s">
        <v>311</v>
      </c>
      <c r="D4385" s="405" t="s">
        <v>839</v>
      </c>
      <c r="E4385" s="410">
        <v>42061</v>
      </c>
      <c r="F4385" s="410">
        <v>42106</v>
      </c>
      <c r="G4385" s="405" t="s">
        <v>6117</v>
      </c>
      <c r="H4385" s="405">
        <v>775904842</v>
      </c>
      <c r="I4385" s="405"/>
      <c r="J4385" s="405">
        <v>-0.54064800000000002</v>
      </c>
      <c r="K4385" s="405">
        <v>31.643405000000001</v>
      </c>
      <c r="L4385" s="405" t="s">
        <v>314</v>
      </c>
      <c r="M4385" s="405" t="s">
        <v>398</v>
      </c>
      <c r="N4385" s="405" t="s">
        <v>2265</v>
      </c>
      <c r="O4385" s="405" t="s">
        <v>1563</v>
      </c>
      <c r="P4385" s="405" t="s">
        <v>5553</v>
      </c>
      <c r="Q4385" s="411">
        <v>6</v>
      </c>
      <c r="R4385" s="405" t="s">
        <v>402</v>
      </c>
      <c r="S4385" s="405" t="s">
        <v>27052</v>
      </c>
      <c r="T4385" s="405" t="s">
        <v>884</v>
      </c>
      <c r="U4385" s="405" t="s">
        <v>319</v>
      </c>
    </row>
    <row r="4386" spans="1:21" x14ac:dyDescent="0.25">
      <c r="A4386" s="405" t="s">
        <v>310</v>
      </c>
      <c r="B4386" s="405" t="s">
        <v>5557</v>
      </c>
      <c r="C4386" s="405" t="s">
        <v>327</v>
      </c>
      <c r="D4386" s="405"/>
      <c r="E4386" s="410">
        <v>42061</v>
      </c>
      <c r="F4386" s="410">
        <v>42106</v>
      </c>
      <c r="G4386" s="405" t="s">
        <v>5558</v>
      </c>
      <c r="H4386" s="405">
        <v>752114938</v>
      </c>
      <c r="I4386" s="405"/>
      <c r="J4386" s="405">
        <v>3.8616999999999999E-2</v>
      </c>
      <c r="K4386" s="405">
        <v>30.395947</v>
      </c>
      <c r="L4386" s="405" t="s">
        <v>314</v>
      </c>
      <c r="M4386" s="405" t="s">
        <v>398</v>
      </c>
      <c r="N4386" s="405" t="s">
        <v>2265</v>
      </c>
      <c r="O4386" s="405" t="s">
        <v>1563</v>
      </c>
      <c r="P4386" s="405" t="s">
        <v>5559</v>
      </c>
      <c r="Q4386" s="411">
        <v>6</v>
      </c>
      <c r="R4386" s="405" t="s">
        <v>402</v>
      </c>
      <c r="S4386" s="405" t="s">
        <v>27181</v>
      </c>
      <c r="T4386" s="405" t="s">
        <v>884</v>
      </c>
      <c r="U4386" s="405" t="s">
        <v>319</v>
      </c>
    </row>
    <row r="4387" spans="1:21" x14ac:dyDescent="0.25">
      <c r="A4387" s="405" t="s">
        <v>310</v>
      </c>
      <c r="B4387" s="405" t="s">
        <v>14382</v>
      </c>
      <c r="C4387" s="405" t="s">
        <v>327</v>
      </c>
      <c r="D4387" s="405"/>
      <c r="E4387" s="410">
        <v>42060</v>
      </c>
      <c r="F4387" s="410">
        <v>42105</v>
      </c>
      <c r="G4387" s="405" t="s">
        <v>14383</v>
      </c>
      <c r="H4387" s="405">
        <v>773538238</v>
      </c>
      <c r="I4387" s="405"/>
      <c r="J4387" s="405">
        <v>0.1432185</v>
      </c>
      <c r="K4387" s="405">
        <v>33.242804999999997</v>
      </c>
      <c r="L4387" s="405" t="s">
        <v>6866</v>
      </c>
      <c r="M4387" s="405" t="s">
        <v>9658</v>
      </c>
      <c r="N4387" s="405" t="s">
        <v>11057</v>
      </c>
      <c r="O4387" s="405" t="s">
        <v>14343</v>
      </c>
      <c r="P4387" s="405" t="s">
        <v>14384</v>
      </c>
      <c r="Q4387" s="411">
        <v>6</v>
      </c>
      <c r="R4387" s="405" t="s">
        <v>5655</v>
      </c>
      <c r="S4387" s="405" t="s">
        <v>27353</v>
      </c>
      <c r="T4387" s="405" t="s">
        <v>884</v>
      </c>
      <c r="U4387" s="405" t="s">
        <v>319</v>
      </c>
    </row>
    <row r="4388" spans="1:21" x14ac:dyDescent="0.25">
      <c r="A4388" s="405" t="s">
        <v>310</v>
      </c>
      <c r="B4388" s="405" t="s">
        <v>6132</v>
      </c>
      <c r="C4388" s="405" t="s">
        <v>327</v>
      </c>
      <c r="D4388" s="405"/>
      <c r="E4388" s="410">
        <v>42060</v>
      </c>
      <c r="F4388" s="410">
        <v>42105</v>
      </c>
      <c r="G4388" s="405" t="s">
        <v>6133</v>
      </c>
      <c r="H4388" s="405">
        <v>774610192</v>
      </c>
      <c r="I4388" s="405"/>
      <c r="J4388" s="405">
        <v>0.91689299999999996</v>
      </c>
      <c r="K4388" s="405">
        <v>31.611018000000001</v>
      </c>
      <c r="L4388" s="405" t="s">
        <v>314</v>
      </c>
      <c r="M4388" s="405" t="s">
        <v>1360</v>
      </c>
      <c r="N4388" s="405" t="s">
        <v>5564</v>
      </c>
      <c r="O4388" s="405" t="s">
        <v>5498</v>
      </c>
      <c r="P4388" s="405" t="s">
        <v>6134</v>
      </c>
      <c r="Q4388" s="411">
        <v>6</v>
      </c>
      <c r="R4388" s="405" t="s">
        <v>525</v>
      </c>
      <c r="S4388" s="405" t="s">
        <v>414</v>
      </c>
      <c r="T4388" s="405" t="s">
        <v>884</v>
      </c>
      <c r="U4388" s="405" t="s">
        <v>319</v>
      </c>
    </row>
    <row r="4389" spans="1:21" x14ac:dyDescent="0.25">
      <c r="A4389" s="405" t="s">
        <v>310</v>
      </c>
      <c r="B4389" s="405" t="s">
        <v>14379</v>
      </c>
      <c r="C4389" s="405" t="s">
        <v>857</v>
      </c>
      <c r="D4389" s="405" t="s">
        <v>33070</v>
      </c>
      <c r="E4389" s="410">
        <v>42059</v>
      </c>
      <c r="F4389" s="410">
        <v>42104</v>
      </c>
      <c r="G4389" s="405" t="s">
        <v>14380</v>
      </c>
      <c r="H4389" s="405">
        <v>778579892</v>
      </c>
      <c r="I4389" s="405">
        <v>788128167</v>
      </c>
      <c r="J4389" s="405">
        <v>1.4603550000000001</v>
      </c>
      <c r="K4389" s="405">
        <v>33.24474</v>
      </c>
      <c r="L4389" s="405" t="s">
        <v>6866</v>
      </c>
      <c r="M4389" s="405" t="s">
        <v>9658</v>
      </c>
      <c r="N4389" s="405" t="s">
        <v>11057</v>
      </c>
      <c r="O4389" s="405" t="s">
        <v>14377</v>
      </c>
      <c r="P4389" s="405" t="s">
        <v>14381</v>
      </c>
      <c r="Q4389" s="411">
        <v>6</v>
      </c>
      <c r="R4389" s="405" t="s">
        <v>5655</v>
      </c>
      <c r="S4389" s="405" t="s">
        <v>27351</v>
      </c>
      <c r="T4389" s="405" t="s">
        <v>884</v>
      </c>
      <c r="U4389" s="405" t="s">
        <v>319</v>
      </c>
    </row>
    <row r="4390" spans="1:21" x14ac:dyDescent="0.25">
      <c r="A4390" s="405" t="s">
        <v>310</v>
      </c>
      <c r="B4390" s="405" t="s">
        <v>5548</v>
      </c>
      <c r="C4390" s="405" t="s">
        <v>327</v>
      </c>
      <c r="D4390" s="405"/>
      <c r="E4390" s="410">
        <v>42059</v>
      </c>
      <c r="F4390" s="410">
        <v>42104</v>
      </c>
      <c r="G4390" s="405" t="s">
        <v>5549</v>
      </c>
      <c r="H4390" s="405">
        <v>751088915</v>
      </c>
      <c r="I4390" s="405"/>
      <c r="J4390" s="405">
        <v>-0.343727</v>
      </c>
      <c r="K4390" s="405">
        <v>31.769957999999999</v>
      </c>
      <c r="L4390" s="405" t="s">
        <v>314</v>
      </c>
      <c r="M4390" s="405" t="s">
        <v>382</v>
      </c>
      <c r="N4390" s="405" t="s">
        <v>2265</v>
      </c>
      <c r="O4390" s="405" t="s">
        <v>1265</v>
      </c>
      <c r="P4390" s="405" t="s">
        <v>5550</v>
      </c>
      <c r="Q4390" s="411">
        <v>6</v>
      </c>
      <c r="R4390" s="405" t="s">
        <v>402</v>
      </c>
      <c r="S4390" s="405" t="s">
        <v>27139</v>
      </c>
      <c r="T4390" s="405" t="s">
        <v>884</v>
      </c>
      <c r="U4390" s="405" t="s">
        <v>319</v>
      </c>
    </row>
    <row r="4391" spans="1:21" x14ac:dyDescent="0.25">
      <c r="A4391" s="405" t="s">
        <v>310</v>
      </c>
      <c r="B4391" s="405" t="s">
        <v>5567</v>
      </c>
      <c r="C4391" s="405" t="s">
        <v>327</v>
      </c>
      <c r="D4391" s="405"/>
      <c r="E4391" s="410">
        <v>42058</v>
      </c>
      <c r="F4391" s="410">
        <v>42103</v>
      </c>
      <c r="G4391" s="405" t="s">
        <v>5568</v>
      </c>
      <c r="H4391" s="405">
        <v>701716457</v>
      </c>
      <c r="I4391" s="405"/>
      <c r="J4391" s="405">
        <v>0.23838699999999999</v>
      </c>
      <c r="K4391" s="405">
        <v>32.923931000000003</v>
      </c>
      <c r="L4391" s="405" t="s">
        <v>314</v>
      </c>
      <c r="M4391" s="405" t="s">
        <v>329</v>
      </c>
      <c r="N4391" s="405" t="s">
        <v>2583</v>
      </c>
      <c r="O4391" s="405" t="s">
        <v>2583</v>
      </c>
      <c r="P4391" s="405" t="s">
        <v>5569</v>
      </c>
      <c r="Q4391" s="411">
        <v>9</v>
      </c>
      <c r="R4391" s="405" t="s">
        <v>525</v>
      </c>
      <c r="S4391" s="405" t="s">
        <v>27245</v>
      </c>
      <c r="T4391" s="405" t="s">
        <v>884</v>
      </c>
      <c r="U4391" s="405" t="s">
        <v>319</v>
      </c>
    </row>
    <row r="4392" spans="1:21" x14ac:dyDescent="0.25">
      <c r="A4392" s="405" t="s">
        <v>310</v>
      </c>
      <c r="B4392" s="405" t="s">
        <v>23710</v>
      </c>
      <c r="C4392" s="405" t="s">
        <v>327</v>
      </c>
      <c r="D4392" s="405"/>
      <c r="E4392" s="410">
        <v>42057</v>
      </c>
      <c r="F4392" s="410">
        <v>43097</v>
      </c>
      <c r="G4392" s="405" t="s">
        <v>23711</v>
      </c>
      <c r="H4392" s="405">
        <v>701021031</v>
      </c>
      <c r="I4392" s="405"/>
      <c r="J4392" s="405">
        <v>0.548759</v>
      </c>
      <c r="K4392" s="405">
        <v>33.748105000000002</v>
      </c>
      <c r="L4392" s="405" t="s">
        <v>590</v>
      </c>
      <c r="M4392" s="405" t="s">
        <v>19625</v>
      </c>
      <c r="N4392" s="405" t="s">
        <v>19978</v>
      </c>
      <c r="O4392" s="405" t="s">
        <v>6241</v>
      </c>
      <c r="P4392" s="405" t="s">
        <v>21076</v>
      </c>
      <c r="Q4392" s="411">
        <v>6</v>
      </c>
      <c r="R4392" s="405" t="s">
        <v>883</v>
      </c>
      <c r="S4392" s="405" t="s">
        <v>27096</v>
      </c>
      <c r="T4392" s="405" t="s">
        <v>884</v>
      </c>
      <c r="U4392" s="405" t="s">
        <v>319</v>
      </c>
    </row>
    <row r="4393" spans="1:21" x14ac:dyDescent="0.25">
      <c r="A4393" s="405" t="s">
        <v>310</v>
      </c>
      <c r="B4393" s="405" t="s">
        <v>14733</v>
      </c>
      <c r="C4393" s="405" t="s">
        <v>311</v>
      </c>
      <c r="D4393" s="405" t="s">
        <v>1789</v>
      </c>
      <c r="E4393" s="410">
        <v>42057</v>
      </c>
      <c r="F4393" s="410">
        <v>42102</v>
      </c>
      <c r="G4393" s="405" t="s">
        <v>14734</v>
      </c>
      <c r="H4393" s="405">
        <v>702305927</v>
      </c>
      <c r="I4393" s="405"/>
      <c r="J4393" s="405">
        <v>1.0871029999999999</v>
      </c>
      <c r="K4393" s="405">
        <v>34.186568000000001</v>
      </c>
      <c r="L4393" s="405" t="s">
        <v>6866</v>
      </c>
      <c r="M4393" s="405" t="s">
        <v>9514</v>
      </c>
      <c r="N4393" s="405" t="s">
        <v>10236</v>
      </c>
      <c r="O4393" s="405" t="s">
        <v>12948</v>
      </c>
      <c r="P4393" s="405" t="s">
        <v>14735</v>
      </c>
      <c r="Q4393" s="411">
        <v>6</v>
      </c>
      <c r="R4393" s="405" t="s">
        <v>7224</v>
      </c>
      <c r="S4393" s="405" t="s">
        <v>17062</v>
      </c>
      <c r="T4393" s="405" t="s">
        <v>884</v>
      </c>
      <c r="U4393" s="405" t="s">
        <v>319</v>
      </c>
    </row>
    <row r="4394" spans="1:21" x14ac:dyDescent="0.25">
      <c r="A4394" s="405" t="s">
        <v>310</v>
      </c>
      <c r="B4394" s="405" t="s">
        <v>14372</v>
      </c>
      <c r="C4394" s="405" t="s">
        <v>327</v>
      </c>
      <c r="D4394" s="405"/>
      <c r="E4394" s="410">
        <v>42057</v>
      </c>
      <c r="F4394" s="410">
        <v>42102</v>
      </c>
      <c r="G4394" s="405" t="s">
        <v>14373</v>
      </c>
      <c r="H4394" s="405">
        <v>777332914</v>
      </c>
      <c r="I4394" s="405"/>
      <c r="J4394" s="405">
        <v>1.421592</v>
      </c>
      <c r="K4394" s="405">
        <v>33.251035000000002</v>
      </c>
      <c r="L4394" s="405" t="s">
        <v>6866</v>
      </c>
      <c r="M4394" s="405" t="s">
        <v>9658</v>
      </c>
      <c r="N4394" s="405" t="s">
        <v>11057</v>
      </c>
      <c r="O4394" s="405" t="s">
        <v>13335</v>
      </c>
      <c r="P4394" s="405" t="s">
        <v>14374</v>
      </c>
      <c r="Q4394" s="411">
        <v>6</v>
      </c>
      <c r="R4394" s="405" t="s">
        <v>5655</v>
      </c>
      <c r="S4394" s="405" t="s">
        <v>27072</v>
      </c>
      <c r="T4394" s="405" t="s">
        <v>32102</v>
      </c>
      <c r="U4394" s="405" t="s">
        <v>319</v>
      </c>
    </row>
    <row r="4395" spans="1:21" x14ac:dyDescent="0.25">
      <c r="A4395" s="405" t="s">
        <v>310</v>
      </c>
      <c r="B4395" s="405" t="s">
        <v>14375</v>
      </c>
      <c r="C4395" s="405" t="s">
        <v>327</v>
      </c>
      <c r="D4395" s="405"/>
      <c r="E4395" s="410">
        <v>42056</v>
      </c>
      <c r="F4395" s="410">
        <v>42101</v>
      </c>
      <c r="G4395" s="405" t="s">
        <v>14376</v>
      </c>
      <c r="H4395" s="405">
        <v>776466834</v>
      </c>
      <c r="I4395" s="405"/>
      <c r="J4395" s="405">
        <v>1.423265</v>
      </c>
      <c r="K4395" s="405">
        <v>33.219209999999997</v>
      </c>
      <c r="L4395" s="405" t="s">
        <v>6866</v>
      </c>
      <c r="M4395" s="405" t="s">
        <v>9658</v>
      </c>
      <c r="N4395" s="405" t="s">
        <v>11057</v>
      </c>
      <c r="O4395" s="405" t="s">
        <v>14377</v>
      </c>
      <c r="P4395" s="405" t="s">
        <v>14378</v>
      </c>
      <c r="Q4395" s="411">
        <v>6</v>
      </c>
      <c r="R4395" s="405" t="s">
        <v>5655</v>
      </c>
      <c r="S4395" s="405" t="s">
        <v>27056</v>
      </c>
      <c r="T4395" s="405" t="s">
        <v>884</v>
      </c>
      <c r="U4395" s="405" t="s">
        <v>319</v>
      </c>
    </row>
    <row r="4396" spans="1:21" x14ac:dyDescent="0.25">
      <c r="A4396" s="405" t="s">
        <v>310</v>
      </c>
      <c r="B4396" s="405" t="s">
        <v>5562</v>
      </c>
      <c r="C4396" s="405" t="s">
        <v>327</v>
      </c>
      <c r="D4396" s="405"/>
      <c r="E4396" s="410">
        <v>42054</v>
      </c>
      <c r="F4396" s="410">
        <v>42099</v>
      </c>
      <c r="G4396" s="405" t="s">
        <v>5563</v>
      </c>
      <c r="H4396" s="405">
        <v>777343805</v>
      </c>
      <c r="I4396" s="405"/>
      <c r="J4396" s="405">
        <v>0.924763</v>
      </c>
      <c r="K4396" s="405">
        <v>31.595051999999999</v>
      </c>
      <c r="L4396" s="405" t="s">
        <v>314</v>
      </c>
      <c r="M4396" s="405" t="s">
        <v>1360</v>
      </c>
      <c r="N4396" s="405" t="s">
        <v>5564</v>
      </c>
      <c r="O4396" s="405" t="s">
        <v>5565</v>
      </c>
      <c r="P4396" s="405" t="s">
        <v>5566</v>
      </c>
      <c r="Q4396" s="411">
        <v>6</v>
      </c>
      <c r="R4396" s="405" t="s">
        <v>525</v>
      </c>
      <c r="S4396" s="405" t="s">
        <v>414</v>
      </c>
      <c r="T4396" s="405" t="s">
        <v>32746</v>
      </c>
      <c r="U4396" s="405" t="s">
        <v>2267</v>
      </c>
    </row>
    <row r="4397" spans="1:21" x14ac:dyDescent="0.25">
      <c r="A4397" s="405" t="s">
        <v>310</v>
      </c>
      <c r="B4397" s="405" t="s">
        <v>5560</v>
      </c>
      <c r="C4397" s="405" t="s">
        <v>327</v>
      </c>
      <c r="D4397" s="405"/>
      <c r="E4397" s="410">
        <v>42052</v>
      </c>
      <c r="F4397" s="410">
        <v>42097</v>
      </c>
      <c r="G4397" s="405" t="s">
        <v>5561</v>
      </c>
      <c r="H4397" s="405">
        <v>772489117</v>
      </c>
      <c r="I4397" s="405">
        <v>788775656</v>
      </c>
      <c r="J4397" s="405">
        <v>0.49775000000000003</v>
      </c>
      <c r="K4397" s="405">
        <v>30.270783000000002</v>
      </c>
      <c r="L4397" s="405" t="s">
        <v>314</v>
      </c>
      <c r="M4397" s="405" t="s">
        <v>361</v>
      </c>
      <c r="N4397" s="405" t="s">
        <v>362</v>
      </c>
      <c r="O4397" s="405" t="s">
        <v>410</v>
      </c>
      <c r="P4397" s="405" t="s">
        <v>3150</v>
      </c>
      <c r="Q4397" s="411">
        <v>13</v>
      </c>
      <c r="R4397" s="405" t="s">
        <v>32166</v>
      </c>
      <c r="S4397" s="405" t="s">
        <v>27132</v>
      </c>
      <c r="T4397" s="405" t="s">
        <v>884</v>
      </c>
      <c r="U4397" s="405" t="s">
        <v>319</v>
      </c>
    </row>
    <row r="4398" spans="1:21" x14ac:dyDescent="0.25">
      <c r="A4398" s="405" t="s">
        <v>310</v>
      </c>
      <c r="B4398" s="405" t="s">
        <v>14347</v>
      </c>
      <c r="C4398" s="405" t="s">
        <v>327</v>
      </c>
      <c r="D4398" s="405"/>
      <c r="E4398" s="410">
        <v>42052</v>
      </c>
      <c r="F4398" s="410">
        <v>42091</v>
      </c>
      <c r="G4398" s="405" t="s">
        <v>14348</v>
      </c>
      <c r="H4398" s="405">
        <v>782639106</v>
      </c>
      <c r="I4398" s="405"/>
      <c r="J4398" s="405">
        <v>1.5313829999999999</v>
      </c>
      <c r="K4398" s="405">
        <v>33.18526</v>
      </c>
      <c r="L4398" s="405" t="s">
        <v>6866</v>
      </c>
      <c r="M4398" s="405" t="s">
        <v>9658</v>
      </c>
      <c r="N4398" s="405" t="s">
        <v>11057</v>
      </c>
      <c r="O4398" s="405" t="s">
        <v>14099</v>
      </c>
      <c r="P4398" s="405" t="s">
        <v>14349</v>
      </c>
      <c r="Q4398" s="411">
        <v>6</v>
      </c>
      <c r="R4398" s="405" t="s">
        <v>5655</v>
      </c>
      <c r="S4398" s="405" t="s">
        <v>27353</v>
      </c>
      <c r="T4398" s="405" t="s">
        <v>884</v>
      </c>
      <c r="U4398" s="405" t="s">
        <v>319</v>
      </c>
    </row>
    <row r="4399" spans="1:21" x14ac:dyDescent="0.25">
      <c r="A4399" s="405" t="s">
        <v>310</v>
      </c>
      <c r="B4399" s="405" t="s">
        <v>6552</v>
      </c>
      <c r="C4399" s="405" t="s">
        <v>327</v>
      </c>
      <c r="D4399" s="405"/>
      <c r="E4399" s="410">
        <v>42051</v>
      </c>
      <c r="F4399" s="410">
        <v>43062</v>
      </c>
      <c r="G4399" s="405" t="s">
        <v>6553</v>
      </c>
      <c r="H4399" s="405">
        <v>701503243</v>
      </c>
      <c r="I4399" s="405"/>
      <c r="J4399" s="405">
        <v>0.25338300000000002</v>
      </c>
      <c r="K4399" s="405">
        <v>32.546187000000003</v>
      </c>
      <c r="L4399" s="405" t="s">
        <v>314</v>
      </c>
      <c r="M4399" s="405" t="s">
        <v>992</v>
      </c>
      <c r="N4399" s="405" t="s">
        <v>374</v>
      </c>
      <c r="O4399" s="405" t="s">
        <v>6554</v>
      </c>
      <c r="P4399" s="405" t="s">
        <v>1341</v>
      </c>
      <c r="Q4399" s="411">
        <v>9</v>
      </c>
      <c r="R4399" s="405" t="s">
        <v>5336</v>
      </c>
      <c r="S4399" s="405" t="s">
        <v>27154</v>
      </c>
      <c r="T4399" s="405" t="s">
        <v>32102</v>
      </c>
      <c r="U4399" s="405" t="s">
        <v>319</v>
      </c>
    </row>
    <row r="4400" spans="1:21" x14ac:dyDescent="0.25">
      <c r="A4400" s="405" t="s">
        <v>310</v>
      </c>
      <c r="B4400" s="406" t="s">
        <v>32183</v>
      </c>
      <c r="C4400" s="405" t="s">
        <v>327</v>
      </c>
      <c r="D4400" s="405"/>
      <c r="E4400" s="406" t="s">
        <v>32184</v>
      </c>
      <c r="F4400" s="407">
        <v>45093</v>
      </c>
      <c r="G4400" s="406" t="s">
        <v>32185</v>
      </c>
      <c r="H4400" s="406" t="s">
        <v>32186</v>
      </c>
      <c r="I4400" s="406" t="s">
        <v>32187</v>
      </c>
      <c r="J4400" s="408">
        <v>-0.59098300000000004</v>
      </c>
      <c r="K4400" s="408">
        <v>31.587765000000001</v>
      </c>
      <c r="L4400" s="406" t="s">
        <v>314</v>
      </c>
      <c r="M4400" s="406" t="s">
        <v>399</v>
      </c>
      <c r="N4400" s="406" t="s">
        <v>399</v>
      </c>
      <c r="O4400" s="406" t="s">
        <v>399</v>
      </c>
      <c r="P4400" s="406" t="s">
        <v>7877</v>
      </c>
      <c r="Q4400" s="409">
        <v>20</v>
      </c>
      <c r="R4400" s="406" t="s">
        <v>32101</v>
      </c>
      <c r="S4400" s="406" t="s">
        <v>32188</v>
      </c>
      <c r="T4400" s="405" t="s">
        <v>884</v>
      </c>
      <c r="U4400" s="405" t="s">
        <v>319</v>
      </c>
    </row>
    <row r="4401" spans="1:21" x14ac:dyDescent="0.25">
      <c r="A4401" s="405" t="s">
        <v>310</v>
      </c>
      <c r="B4401" s="405" t="s">
        <v>6643</v>
      </c>
      <c r="C4401" s="405" t="s">
        <v>327</v>
      </c>
      <c r="D4401" s="405"/>
      <c r="E4401" s="410">
        <v>42048</v>
      </c>
      <c r="F4401" s="410">
        <v>43100</v>
      </c>
      <c r="G4401" s="405" t="s">
        <v>6644</v>
      </c>
      <c r="H4401" s="405">
        <v>701284289</v>
      </c>
      <c r="I4401" s="405"/>
      <c r="J4401" s="405">
        <v>3.1344999999999998E-2</v>
      </c>
      <c r="K4401" s="405">
        <v>31.613892</v>
      </c>
      <c r="L4401" s="405" t="s">
        <v>314</v>
      </c>
      <c r="M4401" s="405" t="s">
        <v>1080</v>
      </c>
      <c r="N4401" s="405" t="s">
        <v>1080</v>
      </c>
      <c r="O4401" s="405" t="s">
        <v>1080</v>
      </c>
      <c r="P4401" s="405" t="s">
        <v>6645</v>
      </c>
      <c r="Q4401" s="411">
        <v>13</v>
      </c>
      <c r="R4401" s="405" t="s">
        <v>402</v>
      </c>
      <c r="S4401" s="405" t="s">
        <v>27181</v>
      </c>
      <c r="T4401" s="405" t="s">
        <v>884</v>
      </c>
      <c r="U4401" s="405" t="s">
        <v>319</v>
      </c>
    </row>
    <row r="4402" spans="1:21" x14ac:dyDescent="0.25">
      <c r="A4402" s="405" t="s">
        <v>310</v>
      </c>
      <c r="B4402" s="405" t="s">
        <v>6077</v>
      </c>
      <c r="C4402" s="405" t="s">
        <v>311</v>
      </c>
      <c r="D4402" s="405" t="s">
        <v>839</v>
      </c>
      <c r="E4402" s="410">
        <v>42048</v>
      </c>
      <c r="F4402" s="410">
        <v>42093</v>
      </c>
      <c r="G4402" s="405" t="s">
        <v>6078</v>
      </c>
      <c r="H4402" s="405">
        <v>777101604</v>
      </c>
      <c r="I4402" s="405"/>
      <c r="J4402" s="405">
        <v>0.92609200000000003</v>
      </c>
      <c r="K4402" s="405">
        <v>31.594615000000001</v>
      </c>
      <c r="L4402" s="405" t="s">
        <v>314</v>
      </c>
      <c r="M4402" s="405" t="s">
        <v>1360</v>
      </c>
      <c r="N4402" s="405" t="s">
        <v>6079</v>
      </c>
      <c r="O4402" s="405" t="s">
        <v>1361</v>
      </c>
      <c r="P4402" s="405" t="s">
        <v>5566</v>
      </c>
      <c r="Q4402" s="411">
        <v>6</v>
      </c>
      <c r="R4402" s="405" t="s">
        <v>525</v>
      </c>
      <c r="S4402" s="405" t="s">
        <v>414</v>
      </c>
      <c r="T4402" s="405" t="s">
        <v>32102</v>
      </c>
      <c r="U4402" s="405" t="s">
        <v>319</v>
      </c>
    </row>
    <row r="4403" spans="1:21" x14ac:dyDescent="0.25">
      <c r="A4403" s="405" t="s">
        <v>310</v>
      </c>
      <c r="B4403" s="405" t="s">
        <v>21915</v>
      </c>
      <c r="C4403" s="405" t="s">
        <v>327</v>
      </c>
      <c r="D4403" s="405"/>
      <c r="E4403" s="410">
        <v>42048</v>
      </c>
      <c r="F4403" s="410">
        <v>42093</v>
      </c>
      <c r="G4403" s="405" t="s">
        <v>21916</v>
      </c>
      <c r="H4403" s="405">
        <v>705139956</v>
      </c>
      <c r="I4403" s="405"/>
      <c r="J4403" s="405">
        <v>0.61085</v>
      </c>
      <c r="K4403" s="405">
        <v>30.210813999999999</v>
      </c>
      <c r="L4403" s="405" t="s">
        <v>590</v>
      </c>
      <c r="M4403" s="405" t="s">
        <v>21917</v>
      </c>
      <c r="N4403" s="405" t="s">
        <v>21918</v>
      </c>
      <c r="O4403" s="405" t="s">
        <v>21918</v>
      </c>
      <c r="P4403" s="405" t="s">
        <v>6527</v>
      </c>
      <c r="Q4403" s="411">
        <v>6</v>
      </c>
      <c r="R4403" s="405" t="s">
        <v>402</v>
      </c>
      <c r="S4403" s="405" t="s">
        <v>27164</v>
      </c>
      <c r="T4403" s="405" t="s">
        <v>884</v>
      </c>
      <c r="U4403" s="405" t="s">
        <v>319</v>
      </c>
    </row>
    <row r="4404" spans="1:21" x14ac:dyDescent="0.25">
      <c r="A4404" s="405" t="s">
        <v>310</v>
      </c>
      <c r="B4404" s="405" t="s">
        <v>21919</v>
      </c>
      <c r="C4404" s="405" t="s">
        <v>327</v>
      </c>
      <c r="D4404" s="405"/>
      <c r="E4404" s="410">
        <v>42047</v>
      </c>
      <c r="F4404" s="410">
        <v>42092</v>
      </c>
      <c r="G4404" s="405" t="s">
        <v>21920</v>
      </c>
      <c r="H4404" s="405">
        <v>752277495</v>
      </c>
      <c r="I4404" s="405"/>
      <c r="J4404" s="405">
        <v>0.65114499999999997</v>
      </c>
      <c r="K4404" s="405">
        <v>30.111384999999999</v>
      </c>
      <c r="L4404" s="405" t="s">
        <v>590</v>
      </c>
      <c r="M4404" s="405" t="s">
        <v>19625</v>
      </c>
      <c r="N4404" s="405" t="s">
        <v>19625</v>
      </c>
      <c r="O4404" s="405" t="s">
        <v>19625</v>
      </c>
      <c r="P4404" s="405" t="s">
        <v>21921</v>
      </c>
      <c r="Q4404" s="411">
        <v>6</v>
      </c>
      <c r="R4404" s="405" t="s">
        <v>402</v>
      </c>
      <c r="S4404" s="405" t="s">
        <v>27052</v>
      </c>
      <c r="T4404" s="405" t="s">
        <v>884</v>
      </c>
      <c r="U4404" s="405" t="s">
        <v>319</v>
      </c>
    </row>
    <row r="4405" spans="1:21" x14ac:dyDescent="0.25">
      <c r="A4405" s="405" t="s">
        <v>310</v>
      </c>
      <c r="B4405" s="405" t="s">
        <v>6080</v>
      </c>
      <c r="C4405" s="405" t="s">
        <v>311</v>
      </c>
      <c r="D4405" s="405" t="s">
        <v>839</v>
      </c>
      <c r="E4405" s="410">
        <v>42047</v>
      </c>
      <c r="F4405" s="410">
        <v>42092</v>
      </c>
      <c r="G4405" s="405" t="s">
        <v>6081</v>
      </c>
      <c r="H4405" s="405">
        <v>702521245</v>
      </c>
      <c r="I4405" s="405"/>
      <c r="J4405" s="405">
        <v>0.37412499999999999</v>
      </c>
      <c r="K4405" s="405">
        <v>32.775497000000001</v>
      </c>
      <c r="L4405" s="405" t="s">
        <v>314</v>
      </c>
      <c r="M4405" s="405" t="s">
        <v>329</v>
      </c>
      <c r="N4405" s="405" t="s">
        <v>4840</v>
      </c>
      <c r="O4405" s="405" t="s">
        <v>4840</v>
      </c>
      <c r="P4405" s="405" t="s">
        <v>1427</v>
      </c>
      <c r="Q4405" s="411">
        <v>6</v>
      </c>
      <c r="R4405" s="405" t="s">
        <v>525</v>
      </c>
      <c r="S4405" s="405" t="s">
        <v>27245</v>
      </c>
      <c r="T4405" s="405" t="s">
        <v>884</v>
      </c>
      <c r="U4405" s="405" t="s">
        <v>319</v>
      </c>
    </row>
    <row r="4406" spans="1:21" x14ac:dyDescent="0.25">
      <c r="A4406" s="405" t="s">
        <v>310</v>
      </c>
      <c r="B4406" s="405" t="s">
        <v>14341</v>
      </c>
      <c r="C4406" s="405" t="s">
        <v>327</v>
      </c>
      <c r="D4406" s="405"/>
      <c r="E4406" s="410">
        <v>42047</v>
      </c>
      <c r="F4406" s="410">
        <v>42092</v>
      </c>
      <c r="G4406" s="405" t="s">
        <v>14342</v>
      </c>
      <c r="H4406" s="405">
        <v>774670019</v>
      </c>
      <c r="I4406" s="405">
        <v>759562220</v>
      </c>
      <c r="J4406" s="405">
        <v>1.4506600000000001</v>
      </c>
      <c r="K4406" s="405">
        <v>33.281320000000001</v>
      </c>
      <c r="L4406" s="405" t="s">
        <v>6866</v>
      </c>
      <c r="M4406" s="405" t="s">
        <v>9658</v>
      </c>
      <c r="N4406" s="405" t="s">
        <v>11057</v>
      </c>
      <c r="O4406" s="405" t="s">
        <v>14343</v>
      </c>
      <c r="P4406" s="405" t="s">
        <v>14344</v>
      </c>
      <c r="Q4406" s="411">
        <v>6</v>
      </c>
      <c r="R4406" s="405" t="s">
        <v>5655</v>
      </c>
      <c r="S4406" s="405" t="s">
        <v>27337</v>
      </c>
      <c r="T4406" s="405" t="s">
        <v>884</v>
      </c>
      <c r="U4406" s="405" t="s">
        <v>319</v>
      </c>
    </row>
    <row r="4407" spans="1:21" x14ac:dyDescent="0.25">
      <c r="A4407" s="405" t="s">
        <v>310</v>
      </c>
      <c r="B4407" s="405" t="s">
        <v>14337</v>
      </c>
      <c r="C4407" s="405" t="s">
        <v>327</v>
      </c>
      <c r="D4407" s="405"/>
      <c r="E4407" s="410">
        <v>42044</v>
      </c>
      <c r="F4407" s="410">
        <v>42089</v>
      </c>
      <c r="G4407" s="405" t="s">
        <v>14338</v>
      </c>
      <c r="H4407" s="405">
        <v>771617398</v>
      </c>
      <c r="I4407" s="405"/>
      <c r="J4407" s="405">
        <v>1.5028330000000001</v>
      </c>
      <c r="K4407" s="405">
        <v>33.159466999999999</v>
      </c>
      <c r="L4407" s="405" t="s">
        <v>6866</v>
      </c>
      <c r="M4407" s="405" t="s">
        <v>9658</v>
      </c>
      <c r="N4407" s="405" t="s">
        <v>11057</v>
      </c>
      <c r="O4407" s="405" t="s">
        <v>14099</v>
      </c>
      <c r="P4407" s="405" t="s">
        <v>12728</v>
      </c>
      <c r="Q4407" s="411">
        <v>6</v>
      </c>
      <c r="R4407" s="405" t="s">
        <v>5655</v>
      </c>
      <c r="S4407" s="405" t="s">
        <v>27072</v>
      </c>
      <c r="T4407" s="405" t="s">
        <v>884</v>
      </c>
      <c r="U4407" s="405" t="s">
        <v>319</v>
      </c>
    </row>
    <row r="4408" spans="1:21" x14ac:dyDescent="0.25">
      <c r="A4408" s="405" t="s">
        <v>310</v>
      </c>
      <c r="B4408" s="405" t="s">
        <v>5507</v>
      </c>
      <c r="C4408" s="405" t="s">
        <v>327</v>
      </c>
      <c r="D4408" s="405"/>
      <c r="E4408" s="410">
        <v>42043</v>
      </c>
      <c r="F4408" s="410">
        <v>42088</v>
      </c>
      <c r="G4408" s="405" t="s">
        <v>5508</v>
      </c>
      <c r="H4408" s="405">
        <v>772856557</v>
      </c>
      <c r="I4408" s="405"/>
      <c r="J4408" s="405">
        <v>0.31864500000000001</v>
      </c>
      <c r="K4408" s="405">
        <v>32.313020000000002</v>
      </c>
      <c r="L4408" s="405" t="s">
        <v>314</v>
      </c>
      <c r="M4408" s="405" t="s">
        <v>321</v>
      </c>
      <c r="N4408" s="405" t="s">
        <v>5509</v>
      </c>
      <c r="O4408" s="405" t="s">
        <v>5509</v>
      </c>
      <c r="P4408" s="405" t="s">
        <v>5510</v>
      </c>
      <c r="Q4408" s="411">
        <v>6</v>
      </c>
      <c r="R4408" s="405" t="s">
        <v>525</v>
      </c>
      <c r="S4408" s="405" t="s">
        <v>27225</v>
      </c>
      <c r="T4408" s="405" t="s">
        <v>884</v>
      </c>
      <c r="U4408" s="405" t="s">
        <v>319</v>
      </c>
    </row>
    <row r="4409" spans="1:21" x14ac:dyDescent="0.25">
      <c r="A4409" s="405" t="s">
        <v>310</v>
      </c>
      <c r="B4409" s="405" t="s">
        <v>14359</v>
      </c>
      <c r="C4409" s="405" t="s">
        <v>327</v>
      </c>
      <c r="D4409" s="405"/>
      <c r="E4409" s="410">
        <v>42042</v>
      </c>
      <c r="F4409" s="410">
        <v>42087</v>
      </c>
      <c r="G4409" s="405" t="s">
        <v>14360</v>
      </c>
      <c r="H4409" s="405">
        <v>771456408</v>
      </c>
      <c r="I4409" s="405"/>
      <c r="J4409" s="405">
        <v>1.414892</v>
      </c>
      <c r="K4409" s="405">
        <v>33.219161999999997</v>
      </c>
      <c r="L4409" s="405" t="s">
        <v>6866</v>
      </c>
      <c r="M4409" s="405" t="s">
        <v>9658</v>
      </c>
      <c r="N4409" s="405" t="s">
        <v>11057</v>
      </c>
      <c r="O4409" s="405" t="s">
        <v>13335</v>
      </c>
      <c r="P4409" s="405" t="s">
        <v>14361</v>
      </c>
      <c r="Q4409" s="411">
        <v>6</v>
      </c>
      <c r="R4409" s="405" t="s">
        <v>5655</v>
      </c>
      <c r="S4409" s="405" t="s">
        <v>27056</v>
      </c>
      <c r="T4409" s="405" t="s">
        <v>884</v>
      </c>
      <c r="U4409" s="405" t="s">
        <v>319</v>
      </c>
    </row>
    <row r="4410" spans="1:21" x14ac:dyDescent="0.25">
      <c r="A4410" s="405" t="s">
        <v>310</v>
      </c>
      <c r="B4410" s="405" t="s">
        <v>5504</v>
      </c>
      <c r="C4410" s="405" t="s">
        <v>327</v>
      </c>
      <c r="D4410" s="405"/>
      <c r="E4410" s="410">
        <v>42042</v>
      </c>
      <c r="F4410" s="410">
        <v>42087</v>
      </c>
      <c r="G4410" s="405" t="s">
        <v>5505</v>
      </c>
      <c r="H4410" s="405">
        <v>773954262</v>
      </c>
      <c r="I4410" s="405"/>
      <c r="J4410" s="405">
        <v>0.96126</v>
      </c>
      <c r="K4410" s="405">
        <v>31.616672999999999</v>
      </c>
      <c r="L4410" s="405" t="s">
        <v>314</v>
      </c>
      <c r="M4410" s="405" t="s">
        <v>1360</v>
      </c>
      <c r="N4410" s="405" t="s">
        <v>2537</v>
      </c>
      <c r="O4410" s="405" t="s">
        <v>3965</v>
      </c>
      <c r="P4410" s="405" t="s">
        <v>5506</v>
      </c>
      <c r="Q4410" s="411">
        <v>6</v>
      </c>
      <c r="R4410" s="405" t="s">
        <v>525</v>
      </c>
      <c r="S4410" s="405" t="s">
        <v>414</v>
      </c>
      <c r="T4410" s="405" t="s">
        <v>884</v>
      </c>
      <c r="U4410" s="405" t="s">
        <v>319</v>
      </c>
    </row>
    <row r="4411" spans="1:21" x14ac:dyDescent="0.25">
      <c r="A4411" s="405" t="s">
        <v>310</v>
      </c>
      <c r="B4411" s="405" t="s">
        <v>21922</v>
      </c>
      <c r="C4411" s="405" t="s">
        <v>327</v>
      </c>
      <c r="D4411" s="405"/>
      <c r="E4411" s="410">
        <v>42040</v>
      </c>
      <c r="F4411" s="410">
        <v>42085</v>
      </c>
      <c r="G4411" s="405" t="s">
        <v>21923</v>
      </c>
      <c r="H4411" s="405">
        <v>789838392</v>
      </c>
      <c r="I4411" s="405"/>
      <c r="J4411" s="405">
        <v>0.78853200000000001</v>
      </c>
      <c r="K4411" s="405">
        <v>33.833483000000001</v>
      </c>
      <c r="L4411" s="405" t="s">
        <v>590</v>
      </c>
      <c r="M4411" s="405" t="s">
        <v>19619</v>
      </c>
      <c r="N4411" s="405" t="s">
        <v>19620</v>
      </c>
      <c r="O4411" s="405" t="s">
        <v>2430</v>
      </c>
      <c r="P4411" s="405" t="s">
        <v>19726</v>
      </c>
      <c r="Q4411" s="411">
        <v>9</v>
      </c>
      <c r="R4411" s="405" t="s">
        <v>5858</v>
      </c>
      <c r="S4411" s="405" t="s">
        <v>27414</v>
      </c>
      <c r="T4411" s="405" t="s">
        <v>884</v>
      </c>
      <c r="U4411" s="405" t="s">
        <v>319</v>
      </c>
    </row>
    <row r="4412" spans="1:21" x14ac:dyDescent="0.25">
      <c r="A4412" s="405" t="s">
        <v>310</v>
      </c>
      <c r="B4412" s="405" t="s">
        <v>22161</v>
      </c>
      <c r="C4412" s="405" t="s">
        <v>311</v>
      </c>
      <c r="D4412" s="405" t="s">
        <v>312</v>
      </c>
      <c r="E4412" s="410">
        <v>42039</v>
      </c>
      <c r="F4412" s="410">
        <v>42084</v>
      </c>
      <c r="G4412" s="405" t="s">
        <v>22162</v>
      </c>
      <c r="H4412" s="405">
        <v>704611717</v>
      </c>
      <c r="I4412" s="405"/>
      <c r="J4412" s="405">
        <v>0.62657799999999997</v>
      </c>
      <c r="K4412" s="405">
        <v>30.299448000000002</v>
      </c>
      <c r="L4412" s="405" t="s">
        <v>590</v>
      </c>
      <c r="M4412" s="405" t="s">
        <v>21917</v>
      </c>
      <c r="N4412" s="405" t="s">
        <v>21918</v>
      </c>
      <c r="O4412" s="405" t="s">
        <v>21918</v>
      </c>
      <c r="P4412" s="405" t="s">
        <v>7352</v>
      </c>
      <c r="Q4412" s="411">
        <v>6</v>
      </c>
      <c r="R4412" s="405" t="s">
        <v>402</v>
      </c>
      <c r="S4412" s="405" t="s">
        <v>27164</v>
      </c>
      <c r="T4412" s="405" t="s">
        <v>884</v>
      </c>
      <c r="U4412" s="405" t="s">
        <v>319</v>
      </c>
    </row>
    <row r="4413" spans="1:21" x14ac:dyDescent="0.25">
      <c r="A4413" s="405" t="s">
        <v>310</v>
      </c>
      <c r="B4413" s="405" t="s">
        <v>5492</v>
      </c>
      <c r="C4413" s="405" t="s">
        <v>327</v>
      </c>
      <c r="D4413" s="405"/>
      <c r="E4413" s="410">
        <v>42039</v>
      </c>
      <c r="F4413" s="410">
        <v>42084</v>
      </c>
      <c r="G4413" s="405" t="s">
        <v>5493</v>
      </c>
      <c r="H4413" s="405">
        <v>752569207</v>
      </c>
      <c r="I4413" s="405"/>
      <c r="J4413" s="405">
        <v>-0.40348000000000001</v>
      </c>
      <c r="K4413" s="405">
        <v>31.648382999999999</v>
      </c>
      <c r="L4413" s="405" t="s">
        <v>314</v>
      </c>
      <c r="M4413" s="405" t="s">
        <v>382</v>
      </c>
      <c r="N4413" s="405" t="s">
        <v>2265</v>
      </c>
      <c r="O4413" s="405" t="s">
        <v>894</v>
      </c>
      <c r="P4413" s="405" t="s">
        <v>5486</v>
      </c>
      <c r="Q4413" s="411">
        <v>6</v>
      </c>
      <c r="R4413" s="405" t="s">
        <v>402</v>
      </c>
      <c r="S4413" s="405" t="s">
        <v>27139</v>
      </c>
      <c r="T4413" s="405" t="s">
        <v>884</v>
      </c>
      <c r="U4413" s="405" t="s">
        <v>319</v>
      </c>
    </row>
    <row r="4414" spans="1:21" x14ac:dyDescent="0.25">
      <c r="A4414" s="405" t="s">
        <v>310</v>
      </c>
      <c r="B4414" s="405" t="s">
        <v>14313</v>
      </c>
      <c r="C4414" s="405" t="s">
        <v>327</v>
      </c>
      <c r="D4414" s="405"/>
      <c r="E4414" s="410">
        <v>42039</v>
      </c>
      <c r="F4414" s="410">
        <v>42084</v>
      </c>
      <c r="G4414" s="405" t="s">
        <v>14314</v>
      </c>
      <c r="H4414" s="405">
        <v>753293980</v>
      </c>
      <c r="I4414" s="405"/>
      <c r="J4414" s="405">
        <v>0.56862999999999997</v>
      </c>
      <c r="K4414" s="405">
        <v>33.750078000000002</v>
      </c>
      <c r="L4414" s="405" t="s">
        <v>6866</v>
      </c>
      <c r="M4414" s="405" t="s">
        <v>13470</v>
      </c>
      <c r="N4414" s="405" t="s">
        <v>14315</v>
      </c>
      <c r="O4414" s="405" t="s">
        <v>14315</v>
      </c>
      <c r="P4414" s="405" t="s">
        <v>14316</v>
      </c>
      <c r="Q4414" s="411">
        <v>6</v>
      </c>
      <c r="R4414" s="405" t="s">
        <v>5655</v>
      </c>
      <c r="S4414" s="405" t="s">
        <v>27346</v>
      </c>
      <c r="T4414" s="405" t="s">
        <v>884</v>
      </c>
      <c r="U4414" s="405" t="s">
        <v>319</v>
      </c>
    </row>
    <row r="4415" spans="1:21" x14ac:dyDescent="0.25">
      <c r="A4415" s="405" t="s">
        <v>310</v>
      </c>
      <c r="B4415" s="405" t="s">
        <v>21945</v>
      </c>
      <c r="C4415" s="405" t="s">
        <v>327</v>
      </c>
      <c r="D4415" s="405"/>
      <c r="E4415" s="410">
        <v>42038</v>
      </c>
      <c r="F4415" s="410">
        <v>42083</v>
      </c>
      <c r="G4415" s="405" t="s">
        <v>21946</v>
      </c>
      <c r="H4415" s="405">
        <v>787303401</v>
      </c>
      <c r="I4415" s="405"/>
      <c r="J4415" s="405">
        <v>1.255233</v>
      </c>
      <c r="K4415" s="405">
        <v>29.726538000000001</v>
      </c>
      <c r="L4415" s="405" t="s">
        <v>590</v>
      </c>
      <c r="M4415" s="405" t="s">
        <v>20070</v>
      </c>
      <c r="N4415" s="405" t="s">
        <v>20072</v>
      </c>
      <c r="O4415" s="405" t="s">
        <v>20073</v>
      </c>
      <c r="P4415" s="405" t="s">
        <v>21947</v>
      </c>
      <c r="Q4415" s="411">
        <v>9</v>
      </c>
      <c r="R4415" s="405" t="s">
        <v>32166</v>
      </c>
      <c r="S4415" s="405" t="s">
        <v>27402</v>
      </c>
      <c r="T4415" s="405" t="s">
        <v>884</v>
      </c>
      <c r="U4415" s="405" t="s">
        <v>319</v>
      </c>
    </row>
    <row r="4416" spans="1:21" x14ac:dyDescent="0.25">
      <c r="A4416" s="405" t="s">
        <v>310</v>
      </c>
      <c r="B4416" s="405" t="s">
        <v>6067</v>
      </c>
      <c r="C4416" s="405" t="s">
        <v>311</v>
      </c>
      <c r="D4416" s="405" t="s">
        <v>839</v>
      </c>
      <c r="E4416" s="410">
        <v>42037</v>
      </c>
      <c r="F4416" s="410">
        <v>42082</v>
      </c>
      <c r="G4416" s="405" t="s">
        <v>6068</v>
      </c>
      <c r="H4416" s="405">
        <v>777339932</v>
      </c>
      <c r="I4416" s="405"/>
      <c r="J4416" s="405">
        <v>0.84909299999999999</v>
      </c>
      <c r="K4416" s="405">
        <v>31.639226300000001</v>
      </c>
      <c r="L4416" s="405" t="s">
        <v>314</v>
      </c>
      <c r="M4416" s="405" t="s">
        <v>1360</v>
      </c>
      <c r="N4416" s="405" t="s">
        <v>5498</v>
      </c>
      <c r="O4416" s="405" t="s">
        <v>5498</v>
      </c>
      <c r="P4416" s="405" t="s">
        <v>6069</v>
      </c>
      <c r="Q4416" s="411">
        <v>9</v>
      </c>
      <c r="R4416" s="405" t="s">
        <v>525</v>
      </c>
      <c r="S4416" s="405" t="s">
        <v>414</v>
      </c>
      <c r="T4416" s="405" t="s">
        <v>884</v>
      </c>
      <c r="U4416" s="405" t="s">
        <v>319</v>
      </c>
    </row>
    <row r="4417" spans="1:21" x14ac:dyDescent="0.25">
      <c r="A4417" s="405" t="s">
        <v>310</v>
      </c>
      <c r="B4417" s="405" t="s">
        <v>14357</v>
      </c>
      <c r="C4417" s="405" t="s">
        <v>327</v>
      </c>
      <c r="D4417" s="405"/>
      <c r="E4417" s="410">
        <v>42037</v>
      </c>
      <c r="F4417" s="410">
        <v>42082</v>
      </c>
      <c r="G4417" s="405" t="s">
        <v>14358</v>
      </c>
      <c r="H4417" s="405">
        <v>774524478</v>
      </c>
      <c r="I4417" s="405"/>
      <c r="J4417" s="405">
        <v>1.4521170000000001</v>
      </c>
      <c r="K4417" s="405">
        <v>33.279477</v>
      </c>
      <c r="L4417" s="405" t="s">
        <v>6866</v>
      </c>
      <c r="M4417" s="405" t="s">
        <v>9658</v>
      </c>
      <c r="N4417" s="405" t="s">
        <v>11057</v>
      </c>
      <c r="O4417" s="405" t="s">
        <v>13335</v>
      </c>
      <c r="P4417" s="405" t="s">
        <v>14344</v>
      </c>
      <c r="Q4417" s="411">
        <v>6</v>
      </c>
      <c r="R4417" s="405" t="s">
        <v>5655</v>
      </c>
      <c r="S4417" s="405" t="s">
        <v>27351</v>
      </c>
      <c r="T4417" s="405" t="s">
        <v>884</v>
      </c>
      <c r="U4417" s="405" t="s">
        <v>319</v>
      </c>
    </row>
    <row r="4418" spans="1:21" x14ac:dyDescent="0.25">
      <c r="A4418" s="405" t="s">
        <v>310</v>
      </c>
      <c r="B4418" s="405" t="s">
        <v>14362</v>
      </c>
      <c r="C4418" s="405" t="s">
        <v>327</v>
      </c>
      <c r="D4418" s="405"/>
      <c r="E4418" s="410">
        <v>42037</v>
      </c>
      <c r="F4418" s="410">
        <v>42082</v>
      </c>
      <c r="G4418" s="405" t="s">
        <v>14363</v>
      </c>
      <c r="H4418" s="405">
        <v>776532458</v>
      </c>
      <c r="I4418" s="405"/>
      <c r="J4418" s="405">
        <v>1.204782</v>
      </c>
      <c r="K4418" s="405">
        <v>34.319431999999999</v>
      </c>
      <c r="L4418" s="405" t="s">
        <v>6866</v>
      </c>
      <c r="M4418" s="405" t="s">
        <v>9575</v>
      </c>
      <c r="N4418" s="405" t="s">
        <v>14364</v>
      </c>
      <c r="O4418" s="405" t="s">
        <v>9630</v>
      </c>
      <c r="P4418" s="405" t="s">
        <v>14365</v>
      </c>
      <c r="Q4418" s="411">
        <v>6</v>
      </c>
      <c r="R4418" s="405" t="s">
        <v>7224</v>
      </c>
      <c r="S4418" s="405" t="s">
        <v>27086</v>
      </c>
      <c r="T4418" s="405" t="s">
        <v>884</v>
      </c>
      <c r="U4418" s="405" t="s">
        <v>319</v>
      </c>
    </row>
    <row r="4419" spans="1:21" x14ac:dyDescent="0.25">
      <c r="A4419" s="405" t="s">
        <v>310</v>
      </c>
      <c r="B4419" s="405" t="s">
        <v>21924</v>
      </c>
      <c r="C4419" s="405" t="s">
        <v>327</v>
      </c>
      <c r="D4419" s="405"/>
      <c r="E4419" s="410">
        <v>42036</v>
      </c>
      <c r="F4419" s="410">
        <v>42081</v>
      </c>
      <c r="G4419" s="405" t="s">
        <v>21925</v>
      </c>
      <c r="H4419" s="405">
        <v>772988202</v>
      </c>
      <c r="I4419" s="405"/>
      <c r="J4419" s="405">
        <v>0.30085000000000001</v>
      </c>
      <c r="K4419" s="405">
        <v>30.179677000000002</v>
      </c>
      <c r="L4419" s="405" t="s">
        <v>590</v>
      </c>
      <c r="M4419" s="405" t="s">
        <v>21087</v>
      </c>
      <c r="N4419" s="405" t="s">
        <v>21088</v>
      </c>
      <c r="O4419" s="405" t="s">
        <v>21926</v>
      </c>
      <c r="P4419" s="405" t="s">
        <v>21927</v>
      </c>
      <c r="Q4419" s="411">
        <v>6</v>
      </c>
      <c r="R4419" s="405" t="s">
        <v>883</v>
      </c>
      <c r="S4419" s="405" t="s">
        <v>27065</v>
      </c>
      <c r="T4419" s="405" t="s">
        <v>32102</v>
      </c>
      <c r="U4419" s="405" t="s">
        <v>319</v>
      </c>
    </row>
    <row r="4420" spans="1:21" x14ac:dyDescent="0.25">
      <c r="A4420" s="405" t="s">
        <v>310</v>
      </c>
      <c r="B4420" s="405" t="s">
        <v>61</v>
      </c>
      <c r="C4420" s="405" t="s">
        <v>327</v>
      </c>
      <c r="D4420" s="405"/>
      <c r="E4420" s="410">
        <v>42035</v>
      </c>
      <c r="F4420" s="410">
        <v>42080</v>
      </c>
      <c r="G4420" s="405" t="s">
        <v>5517</v>
      </c>
      <c r="H4420" s="405">
        <v>752743210</v>
      </c>
      <c r="I4420" s="405"/>
      <c r="J4420" s="405">
        <v>0.341252</v>
      </c>
      <c r="K4420" s="405">
        <v>32.645401999999997</v>
      </c>
      <c r="L4420" s="405" t="s">
        <v>314</v>
      </c>
      <c r="M4420" s="405" t="s">
        <v>361</v>
      </c>
      <c r="N4420" s="405" t="s">
        <v>363</v>
      </c>
      <c r="O4420" s="405" t="s">
        <v>363</v>
      </c>
      <c r="P4420" s="405" t="s">
        <v>5518</v>
      </c>
      <c r="Q4420" s="411">
        <v>13</v>
      </c>
      <c r="R4420" s="405" t="s">
        <v>525</v>
      </c>
      <c r="S4420" s="405" t="s">
        <v>27225</v>
      </c>
      <c r="T4420" s="405" t="s">
        <v>32102</v>
      </c>
      <c r="U4420" s="405" t="s">
        <v>319</v>
      </c>
    </row>
    <row r="4421" spans="1:21" x14ac:dyDescent="0.25">
      <c r="A4421" s="405" t="s">
        <v>310</v>
      </c>
      <c r="B4421" s="405" t="s">
        <v>18920</v>
      </c>
      <c r="C4421" s="405" t="s">
        <v>327</v>
      </c>
      <c r="D4421" s="405"/>
      <c r="E4421" s="410">
        <v>42035</v>
      </c>
      <c r="F4421" s="410">
        <v>42080</v>
      </c>
      <c r="G4421" s="405" t="s">
        <v>18921</v>
      </c>
      <c r="H4421" s="405">
        <v>782357152</v>
      </c>
      <c r="I4421" s="405"/>
      <c r="J4421" s="405">
        <v>2.201327</v>
      </c>
      <c r="K4421" s="405">
        <v>32.907727999999999</v>
      </c>
      <c r="L4421" s="405" t="s">
        <v>860</v>
      </c>
      <c r="M4421" s="405" t="s">
        <v>18234</v>
      </c>
      <c r="N4421" s="405" t="s">
        <v>18252</v>
      </c>
      <c r="O4421" s="405" t="s">
        <v>18253</v>
      </c>
      <c r="P4421" s="405" t="s">
        <v>18922</v>
      </c>
      <c r="Q4421" s="411">
        <v>6</v>
      </c>
      <c r="R4421" s="405" t="s">
        <v>5336</v>
      </c>
      <c r="S4421" s="405" t="s">
        <v>27243</v>
      </c>
      <c r="T4421" s="405" t="s">
        <v>884</v>
      </c>
      <c r="U4421" s="405" t="s">
        <v>319</v>
      </c>
    </row>
    <row r="4422" spans="1:21" x14ac:dyDescent="0.25">
      <c r="A4422" s="405" t="s">
        <v>310</v>
      </c>
      <c r="B4422" s="406" t="s">
        <v>32158</v>
      </c>
      <c r="C4422" s="405" t="s">
        <v>327</v>
      </c>
      <c r="D4422" s="405"/>
      <c r="E4422" s="406" t="s">
        <v>32159</v>
      </c>
      <c r="F4422" s="407">
        <v>45184</v>
      </c>
      <c r="G4422" s="406" t="s">
        <v>32160</v>
      </c>
      <c r="H4422" s="415" t="s">
        <v>32161</v>
      </c>
      <c r="I4422" s="406" t="s">
        <v>32162</v>
      </c>
      <c r="J4422" s="408">
        <v>0.57655900000000004</v>
      </c>
      <c r="K4422" s="408">
        <v>33.382762999999997</v>
      </c>
      <c r="L4422" s="406" t="s">
        <v>6866</v>
      </c>
      <c r="M4422" s="406" t="s">
        <v>5411</v>
      </c>
      <c r="N4422" s="406" t="s">
        <v>13715</v>
      </c>
      <c r="O4422" s="406" t="s">
        <v>5412</v>
      </c>
      <c r="P4422" s="406" t="s">
        <v>32163</v>
      </c>
      <c r="Q4422" s="409">
        <v>30</v>
      </c>
      <c r="R4422" s="406" t="s">
        <v>32164</v>
      </c>
      <c r="S4422" s="406" t="s">
        <v>32165</v>
      </c>
      <c r="T4422" s="405" t="s">
        <v>884</v>
      </c>
      <c r="U4422" s="405" t="s">
        <v>319</v>
      </c>
    </row>
    <row r="4423" spans="1:21" x14ac:dyDescent="0.25">
      <c r="A4423" s="405" t="s">
        <v>310</v>
      </c>
      <c r="B4423" s="405" t="s">
        <v>6082</v>
      </c>
      <c r="C4423" s="405" t="s">
        <v>311</v>
      </c>
      <c r="D4423" s="405" t="s">
        <v>312</v>
      </c>
      <c r="E4423" s="410">
        <v>42033</v>
      </c>
      <c r="F4423" s="410">
        <v>42078</v>
      </c>
      <c r="G4423" s="405" t="s">
        <v>6083</v>
      </c>
      <c r="H4423" s="405">
        <v>752643097</v>
      </c>
      <c r="I4423" s="405"/>
      <c r="J4423" s="405">
        <v>0.21124200000000001</v>
      </c>
      <c r="K4423" s="405">
        <v>32.549627000000001</v>
      </c>
      <c r="L4423" s="405" t="s">
        <v>314</v>
      </c>
      <c r="M4423" s="405" t="s">
        <v>361</v>
      </c>
      <c r="N4423" s="405" t="s">
        <v>2496</v>
      </c>
      <c r="O4423" s="405" t="s">
        <v>2496</v>
      </c>
      <c r="P4423" s="405" t="s">
        <v>6084</v>
      </c>
      <c r="Q4423" s="411">
        <v>6</v>
      </c>
      <c r="R4423" s="405" t="s">
        <v>525</v>
      </c>
      <c r="S4423" s="405" t="s">
        <v>27225</v>
      </c>
      <c r="T4423" s="405" t="s">
        <v>884</v>
      </c>
      <c r="U4423" s="405" t="s">
        <v>319</v>
      </c>
    </row>
    <row r="4424" spans="1:21" x14ac:dyDescent="0.25">
      <c r="A4424" s="405" t="s">
        <v>310</v>
      </c>
      <c r="B4424" s="405" t="s">
        <v>28514</v>
      </c>
      <c r="C4424" s="405" t="s">
        <v>327</v>
      </c>
      <c r="D4424" s="405"/>
      <c r="E4424" s="410">
        <v>42033</v>
      </c>
      <c r="F4424" s="410">
        <v>42078</v>
      </c>
      <c r="G4424" s="405" t="s">
        <v>5485</v>
      </c>
      <c r="H4424" s="405">
        <v>706531230</v>
      </c>
      <c r="I4424" s="405"/>
      <c r="J4424" s="405">
        <v>-0.405227</v>
      </c>
      <c r="K4424" s="405">
        <v>31.650537</v>
      </c>
      <c r="L4424" s="405" t="s">
        <v>314</v>
      </c>
      <c r="M4424" s="405" t="s">
        <v>382</v>
      </c>
      <c r="N4424" s="405" t="s">
        <v>2265</v>
      </c>
      <c r="O4424" s="405" t="s">
        <v>894</v>
      </c>
      <c r="P4424" s="405" t="s">
        <v>5486</v>
      </c>
      <c r="Q4424" s="411">
        <v>6</v>
      </c>
      <c r="R4424" s="405" t="s">
        <v>402</v>
      </c>
      <c r="S4424" s="405" t="s">
        <v>27181</v>
      </c>
      <c r="T4424" s="405" t="s">
        <v>6551</v>
      </c>
      <c r="U4424" s="405" t="s">
        <v>2267</v>
      </c>
    </row>
    <row r="4425" spans="1:21" x14ac:dyDescent="0.25">
      <c r="A4425" s="405" t="s">
        <v>310</v>
      </c>
      <c r="B4425" s="405" t="s">
        <v>21942</v>
      </c>
      <c r="C4425" s="405" t="s">
        <v>327</v>
      </c>
      <c r="D4425" s="405"/>
      <c r="E4425" s="410">
        <v>42032</v>
      </c>
      <c r="F4425" s="410">
        <v>42077</v>
      </c>
      <c r="G4425" s="405" t="s">
        <v>21943</v>
      </c>
      <c r="H4425" s="405">
        <v>772564064</v>
      </c>
      <c r="I4425" s="405"/>
      <c r="J4425" s="405">
        <v>-0.20885000000000001</v>
      </c>
      <c r="K4425" s="405">
        <v>30.972873</v>
      </c>
      <c r="L4425" s="405" t="s">
        <v>590</v>
      </c>
      <c r="M4425" s="405" t="s">
        <v>19705</v>
      </c>
      <c r="N4425" s="405" t="s">
        <v>19706</v>
      </c>
      <c r="O4425" s="405" t="s">
        <v>19707</v>
      </c>
      <c r="P4425" s="405" t="s">
        <v>21944</v>
      </c>
      <c r="Q4425" s="411">
        <v>9</v>
      </c>
      <c r="R4425" s="405" t="s">
        <v>883</v>
      </c>
      <c r="S4425" s="405" t="s">
        <v>27160</v>
      </c>
      <c r="T4425" s="405" t="s">
        <v>884</v>
      </c>
      <c r="U4425" s="405" t="s">
        <v>319</v>
      </c>
    </row>
    <row r="4426" spans="1:21" x14ac:dyDescent="0.25">
      <c r="A4426" s="405" t="s">
        <v>310</v>
      </c>
      <c r="B4426" s="405" t="s">
        <v>21930</v>
      </c>
      <c r="C4426" s="405" t="s">
        <v>327</v>
      </c>
      <c r="D4426" s="405"/>
      <c r="E4426" s="410">
        <v>42032</v>
      </c>
      <c r="F4426" s="410">
        <v>42077</v>
      </c>
      <c r="G4426" s="405" t="s">
        <v>21931</v>
      </c>
      <c r="H4426" s="405">
        <v>776988001</v>
      </c>
      <c r="I4426" s="405"/>
      <c r="J4426" s="405">
        <v>4.5839999999999999E-2</v>
      </c>
      <c r="K4426" s="405">
        <v>29.929645000000001</v>
      </c>
      <c r="L4426" s="405" t="s">
        <v>590</v>
      </c>
      <c r="M4426" s="405" t="s">
        <v>21087</v>
      </c>
      <c r="N4426" s="405" t="s">
        <v>21088</v>
      </c>
      <c r="O4426" s="405" t="s">
        <v>21932</v>
      </c>
      <c r="P4426" s="405" t="s">
        <v>21933</v>
      </c>
      <c r="Q4426" s="411">
        <v>9</v>
      </c>
      <c r="R4426" s="405" t="s">
        <v>883</v>
      </c>
      <c r="S4426" s="405" t="s">
        <v>27183</v>
      </c>
      <c r="T4426" s="405" t="s">
        <v>884</v>
      </c>
      <c r="U4426" s="405" t="s">
        <v>319</v>
      </c>
    </row>
    <row r="4427" spans="1:21" x14ac:dyDescent="0.25">
      <c r="A4427" s="405" t="s">
        <v>310</v>
      </c>
      <c r="B4427" s="405" t="s">
        <v>14317</v>
      </c>
      <c r="C4427" s="405" t="s">
        <v>327</v>
      </c>
      <c r="D4427" s="405"/>
      <c r="E4427" s="410">
        <v>42031</v>
      </c>
      <c r="F4427" s="410">
        <v>42076</v>
      </c>
      <c r="G4427" s="405" t="s">
        <v>14318</v>
      </c>
      <c r="H4427" s="405">
        <v>772345346</v>
      </c>
      <c r="I4427" s="405"/>
      <c r="J4427" s="405">
        <v>0.61761699999999997</v>
      </c>
      <c r="K4427" s="405">
        <v>33.187683999999997</v>
      </c>
      <c r="L4427" s="405" t="s">
        <v>6866</v>
      </c>
      <c r="M4427" s="405" t="s">
        <v>9590</v>
      </c>
      <c r="N4427" s="405" t="s">
        <v>542</v>
      </c>
      <c r="O4427" s="405" t="s">
        <v>10061</v>
      </c>
      <c r="P4427" s="405" t="s">
        <v>14319</v>
      </c>
      <c r="Q4427" s="411">
        <v>13</v>
      </c>
      <c r="R4427" s="405" t="s">
        <v>5336</v>
      </c>
      <c r="S4427" s="405" t="s">
        <v>6822</v>
      </c>
      <c r="T4427" s="405" t="s">
        <v>6551</v>
      </c>
      <c r="U4427" s="405" t="s">
        <v>2267</v>
      </c>
    </row>
    <row r="4428" spans="1:21" x14ac:dyDescent="0.25">
      <c r="A4428" s="405" t="s">
        <v>310</v>
      </c>
      <c r="B4428" s="405" t="s">
        <v>22190</v>
      </c>
      <c r="C4428" s="405" t="s">
        <v>311</v>
      </c>
      <c r="D4428" s="405" t="s">
        <v>1789</v>
      </c>
      <c r="E4428" s="410">
        <v>42031</v>
      </c>
      <c r="F4428" s="410">
        <v>42076</v>
      </c>
      <c r="G4428" s="405" t="s">
        <v>22191</v>
      </c>
      <c r="H4428" s="405">
        <v>772605293</v>
      </c>
      <c r="I4428" s="405"/>
      <c r="J4428" s="405">
        <v>0.22060199999999999</v>
      </c>
      <c r="K4428" s="405">
        <v>29.997167999999999</v>
      </c>
      <c r="L4428" s="405" t="s">
        <v>590</v>
      </c>
      <c r="M4428" s="405" t="s">
        <v>21087</v>
      </c>
      <c r="N4428" s="405" t="s">
        <v>21087</v>
      </c>
      <c r="O4428" s="405" t="s">
        <v>22192</v>
      </c>
      <c r="P4428" s="405" t="s">
        <v>22193</v>
      </c>
      <c r="Q4428" s="411">
        <v>9</v>
      </c>
      <c r="R4428" s="405" t="s">
        <v>1263</v>
      </c>
      <c r="S4428" s="405" t="s">
        <v>27053</v>
      </c>
      <c r="T4428" s="405" t="s">
        <v>884</v>
      </c>
      <c r="U4428" s="405" t="s">
        <v>319</v>
      </c>
    </row>
    <row r="4429" spans="1:21" x14ac:dyDescent="0.25">
      <c r="A4429" s="405" t="s">
        <v>310</v>
      </c>
      <c r="B4429" s="405" t="s">
        <v>22158</v>
      </c>
      <c r="C4429" s="405" t="s">
        <v>311</v>
      </c>
      <c r="D4429" s="405" t="s">
        <v>932</v>
      </c>
      <c r="E4429" s="410">
        <v>42030</v>
      </c>
      <c r="F4429" s="410">
        <v>42075</v>
      </c>
      <c r="G4429" s="405" t="s">
        <v>22159</v>
      </c>
      <c r="H4429" s="405">
        <v>772680083</v>
      </c>
      <c r="I4429" s="405"/>
      <c r="J4429" s="405">
        <v>1.117718</v>
      </c>
      <c r="K4429" s="405">
        <v>34.198616999999999</v>
      </c>
      <c r="L4429" s="405" t="s">
        <v>590</v>
      </c>
      <c r="M4429" s="405" t="s">
        <v>879</v>
      </c>
      <c r="N4429" s="405" t="s">
        <v>20023</v>
      </c>
      <c r="O4429" s="405" t="s">
        <v>20024</v>
      </c>
      <c r="P4429" s="405" t="s">
        <v>22160</v>
      </c>
      <c r="Q4429" s="411">
        <v>13</v>
      </c>
      <c r="R4429" s="405" t="s">
        <v>883</v>
      </c>
      <c r="S4429" s="405" t="s">
        <v>27413</v>
      </c>
      <c r="T4429" s="405" t="s">
        <v>884</v>
      </c>
      <c r="U4429" s="405" t="s">
        <v>319</v>
      </c>
    </row>
    <row r="4430" spans="1:21" x14ac:dyDescent="0.25">
      <c r="A4430" s="405" t="s">
        <v>310</v>
      </c>
      <c r="B4430" s="405" t="s">
        <v>5496</v>
      </c>
      <c r="C4430" s="405" t="s">
        <v>327</v>
      </c>
      <c r="D4430" s="405"/>
      <c r="E4430" s="410">
        <v>42029</v>
      </c>
      <c r="F4430" s="410">
        <v>42078</v>
      </c>
      <c r="G4430" s="405" t="s">
        <v>5497</v>
      </c>
      <c r="H4430" s="405">
        <v>773594597</v>
      </c>
      <c r="I4430" s="405"/>
      <c r="J4430" s="405">
        <v>0.87709700000000002</v>
      </c>
      <c r="K4430" s="405">
        <v>31.646827999999999</v>
      </c>
      <c r="L4430" s="405" t="s">
        <v>314</v>
      </c>
      <c r="M4430" s="405" t="s">
        <v>1360</v>
      </c>
      <c r="N4430" s="405" t="s">
        <v>5498</v>
      </c>
      <c r="O4430" s="405" t="s">
        <v>1361</v>
      </c>
      <c r="P4430" s="405" t="s">
        <v>5499</v>
      </c>
      <c r="Q4430" s="411">
        <v>6</v>
      </c>
      <c r="R4430" s="405" t="s">
        <v>525</v>
      </c>
      <c r="S4430" s="405" t="s">
        <v>414</v>
      </c>
      <c r="T4430" s="405" t="s">
        <v>884</v>
      </c>
      <c r="U4430" s="405" t="s">
        <v>319</v>
      </c>
    </row>
    <row r="4431" spans="1:21" x14ac:dyDescent="0.25">
      <c r="A4431" s="405" t="s">
        <v>310</v>
      </c>
      <c r="B4431" s="405" t="s">
        <v>14339</v>
      </c>
      <c r="C4431" s="405" t="s">
        <v>327</v>
      </c>
      <c r="D4431" s="405"/>
      <c r="E4431" s="410">
        <v>42029</v>
      </c>
      <c r="F4431" s="410">
        <v>42074</v>
      </c>
      <c r="G4431" s="405" t="s">
        <v>14340</v>
      </c>
      <c r="H4431" s="405">
        <v>785665889</v>
      </c>
      <c r="I4431" s="405"/>
      <c r="J4431" s="405">
        <v>1.49095</v>
      </c>
      <c r="K4431" s="405">
        <v>33.134210000000003</v>
      </c>
      <c r="L4431" s="405" t="s">
        <v>6866</v>
      </c>
      <c r="M4431" s="405" t="s">
        <v>9658</v>
      </c>
      <c r="N4431" s="405" t="s">
        <v>11057</v>
      </c>
      <c r="O4431" s="405" t="s">
        <v>14099</v>
      </c>
      <c r="P4431" s="405" t="s">
        <v>14329</v>
      </c>
      <c r="Q4431" s="411">
        <v>6</v>
      </c>
      <c r="R4431" s="405" t="s">
        <v>5655</v>
      </c>
      <c r="S4431" s="405" t="s">
        <v>27072</v>
      </c>
      <c r="T4431" s="405" t="s">
        <v>32102</v>
      </c>
      <c r="U4431" s="405" t="s">
        <v>319</v>
      </c>
    </row>
    <row r="4432" spans="1:21" x14ac:dyDescent="0.25">
      <c r="A4432" s="405" t="s">
        <v>310</v>
      </c>
      <c r="B4432" s="405" t="s">
        <v>14327</v>
      </c>
      <c r="C4432" s="405" t="s">
        <v>327</v>
      </c>
      <c r="D4432" s="405"/>
      <c r="E4432" s="410">
        <v>42028</v>
      </c>
      <c r="F4432" s="410">
        <v>42073</v>
      </c>
      <c r="G4432" s="405" t="s">
        <v>14328</v>
      </c>
      <c r="H4432" s="405">
        <v>751908425</v>
      </c>
      <c r="I4432" s="405">
        <v>772039534</v>
      </c>
      <c r="J4432" s="405">
        <v>1.4904500000000001</v>
      </c>
      <c r="K4432" s="405">
        <v>33.138930000000002</v>
      </c>
      <c r="L4432" s="405" t="s">
        <v>6866</v>
      </c>
      <c r="M4432" s="405" t="s">
        <v>9658</v>
      </c>
      <c r="N4432" s="405" t="s">
        <v>11057</v>
      </c>
      <c r="O4432" s="405" t="s">
        <v>14099</v>
      </c>
      <c r="P4432" s="405" t="s">
        <v>14329</v>
      </c>
      <c r="Q4432" s="411">
        <v>6</v>
      </c>
      <c r="R4432" s="405" t="s">
        <v>5655</v>
      </c>
      <c r="S4432" s="405" t="s">
        <v>27353</v>
      </c>
      <c r="T4432" s="405" t="s">
        <v>884</v>
      </c>
      <c r="U4432" s="405" t="s">
        <v>319</v>
      </c>
    </row>
    <row r="4433" spans="1:21" x14ac:dyDescent="0.25">
      <c r="A4433" s="405" t="s">
        <v>310</v>
      </c>
      <c r="B4433" s="405" t="s">
        <v>5529</v>
      </c>
      <c r="C4433" s="405" t="s">
        <v>327</v>
      </c>
      <c r="D4433" s="405"/>
      <c r="E4433" s="410">
        <v>42027</v>
      </c>
      <c r="F4433" s="410">
        <v>42108</v>
      </c>
      <c r="G4433" s="405" t="s">
        <v>5530</v>
      </c>
      <c r="H4433" s="405">
        <v>772480638</v>
      </c>
      <c r="I4433" s="405"/>
      <c r="J4433" s="405">
        <v>0.36645</v>
      </c>
      <c r="K4433" s="405">
        <v>32.465933</v>
      </c>
      <c r="L4433" s="405" t="s">
        <v>314</v>
      </c>
      <c r="M4433" s="405" t="s">
        <v>361</v>
      </c>
      <c r="N4433" s="405" t="s">
        <v>361</v>
      </c>
      <c r="O4433" s="405" t="s">
        <v>361</v>
      </c>
      <c r="P4433" s="405" t="s">
        <v>5531</v>
      </c>
      <c r="Q4433" s="411">
        <v>13</v>
      </c>
      <c r="R4433" s="405" t="s">
        <v>5336</v>
      </c>
      <c r="S4433" s="405" t="s">
        <v>27153</v>
      </c>
      <c r="T4433" s="405" t="s">
        <v>884</v>
      </c>
      <c r="U4433" s="405" t="s">
        <v>319</v>
      </c>
    </row>
    <row r="4434" spans="1:21" x14ac:dyDescent="0.25">
      <c r="A4434" s="405" t="s">
        <v>310</v>
      </c>
      <c r="B4434" s="405" t="s">
        <v>14354</v>
      </c>
      <c r="C4434" s="405" t="s">
        <v>327</v>
      </c>
      <c r="D4434" s="405"/>
      <c r="E4434" s="410">
        <v>42027</v>
      </c>
      <c r="F4434" s="410">
        <v>42072</v>
      </c>
      <c r="G4434" s="405" t="s">
        <v>14355</v>
      </c>
      <c r="H4434" s="405">
        <v>772331212</v>
      </c>
      <c r="I4434" s="405"/>
      <c r="J4434" s="405">
        <v>1.50292</v>
      </c>
      <c r="K4434" s="405">
        <v>33.24147</v>
      </c>
      <c r="L4434" s="405" t="s">
        <v>6866</v>
      </c>
      <c r="M4434" s="405" t="s">
        <v>9658</v>
      </c>
      <c r="N4434" s="405" t="s">
        <v>11057</v>
      </c>
      <c r="O4434" s="405" t="s">
        <v>14099</v>
      </c>
      <c r="P4434" s="405" t="s">
        <v>14356</v>
      </c>
      <c r="Q4434" s="411">
        <v>6</v>
      </c>
      <c r="R4434" s="405" t="s">
        <v>5655</v>
      </c>
      <c r="S4434" s="405" t="s">
        <v>27347</v>
      </c>
      <c r="T4434" s="405" t="s">
        <v>884</v>
      </c>
      <c r="U4434" s="405" t="s">
        <v>319</v>
      </c>
    </row>
    <row r="4435" spans="1:21" x14ac:dyDescent="0.25">
      <c r="A4435" s="405" t="s">
        <v>310</v>
      </c>
      <c r="B4435" s="405" t="s">
        <v>5500</v>
      </c>
      <c r="C4435" s="405" t="s">
        <v>327</v>
      </c>
      <c r="D4435" s="405"/>
      <c r="E4435" s="410">
        <v>42027</v>
      </c>
      <c r="F4435" s="410">
        <v>42072</v>
      </c>
      <c r="G4435" s="405" t="s">
        <v>5501</v>
      </c>
      <c r="H4435" s="405">
        <v>751904934</v>
      </c>
      <c r="I4435" s="405"/>
      <c r="J4435" s="405">
        <v>9.5753000000000005E-2</v>
      </c>
      <c r="K4435" s="405">
        <v>32.542319999999997</v>
      </c>
      <c r="L4435" s="405" t="s">
        <v>314</v>
      </c>
      <c r="M4435" s="405" t="s">
        <v>361</v>
      </c>
      <c r="N4435" s="405" t="s">
        <v>374</v>
      </c>
      <c r="O4435" s="405" t="s">
        <v>638</v>
      </c>
      <c r="P4435" s="405" t="s">
        <v>2702</v>
      </c>
      <c r="Q4435" s="411">
        <v>6</v>
      </c>
      <c r="R4435" s="405" t="s">
        <v>525</v>
      </c>
      <c r="S4435" s="405" t="s">
        <v>27225</v>
      </c>
      <c r="T4435" s="405" t="s">
        <v>884</v>
      </c>
      <c r="U4435" s="405" t="s">
        <v>319</v>
      </c>
    </row>
    <row r="4436" spans="1:21" x14ac:dyDescent="0.25">
      <c r="A4436" s="405" t="s">
        <v>310</v>
      </c>
      <c r="B4436" s="405" t="s">
        <v>5490</v>
      </c>
      <c r="C4436" s="405" t="s">
        <v>327</v>
      </c>
      <c r="D4436" s="405"/>
      <c r="E4436" s="410">
        <v>42027</v>
      </c>
      <c r="F4436" s="410">
        <v>42072</v>
      </c>
      <c r="G4436" s="405" t="s">
        <v>5491</v>
      </c>
      <c r="H4436" s="405">
        <v>757884381</v>
      </c>
      <c r="I4436" s="405"/>
      <c r="J4436" s="405">
        <v>0.78562299999999996</v>
      </c>
      <c r="K4436" s="405">
        <v>32.034385</v>
      </c>
      <c r="L4436" s="405" t="s">
        <v>314</v>
      </c>
      <c r="M4436" s="405" t="s">
        <v>361</v>
      </c>
      <c r="N4436" s="405" t="s">
        <v>362</v>
      </c>
      <c r="O4436" s="405" t="s">
        <v>4156</v>
      </c>
      <c r="P4436" s="405" t="s">
        <v>1206</v>
      </c>
      <c r="Q4436" s="411">
        <v>6</v>
      </c>
      <c r="R4436" s="405" t="s">
        <v>402</v>
      </c>
      <c r="S4436" s="405" t="s">
        <v>27164</v>
      </c>
      <c r="T4436" s="405" t="s">
        <v>884</v>
      </c>
      <c r="U4436" s="405" t="s">
        <v>319</v>
      </c>
    </row>
    <row r="4437" spans="1:21" x14ac:dyDescent="0.25">
      <c r="A4437" s="405" t="s">
        <v>310</v>
      </c>
      <c r="B4437" s="405" t="s">
        <v>5488</v>
      </c>
      <c r="C4437" s="405" t="s">
        <v>327</v>
      </c>
      <c r="D4437" s="405"/>
      <c r="E4437" s="410">
        <v>42026</v>
      </c>
      <c r="F4437" s="410">
        <v>42071</v>
      </c>
      <c r="G4437" s="405" t="s">
        <v>5489</v>
      </c>
      <c r="H4437" s="405">
        <v>783145016</v>
      </c>
      <c r="I4437" s="405">
        <v>753086671</v>
      </c>
      <c r="J4437" s="405">
        <v>-0.40168199999999998</v>
      </c>
      <c r="K4437" s="405">
        <v>31.157143000000001</v>
      </c>
      <c r="L4437" s="405" t="s">
        <v>314</v>
      </c>
      <c r="M4437" s="405" t="s">
        <v>382</v>
      </c>
      <c r="N4437" s="405" t="s">
        <v>2265</v>
      </c>
      <c r="O4437" s="405" t="s">
        <v>894</v>
      </c>
      <c r="P4437" s="405" t="s">
        <v>5486</v>
      </c>
      <c r="Q4437" s="411">
        <v>6</v>
      </c>
      <c r="R4437" s="405" t="s">
        <v>402</v>
      </c>
      <c r="S4437" s="405" t="s">
        <v>27052</v>
      </c>
      <c r="T4437" s="405" t="s">
        <v>884</v>
      </c>
      <c r="U4437" s="405" t="s">
        <v>319</v>
      </c>
    </row>
    <row r="4438" spans="1:21" x14ac:dyDescent="0.25">
      <c r="A4438" s="405" t="s">
        <v>310</v>
      </c>
      <c r="B4438" s="405" t="s">
        <v>5480</v>
      </c>
      <c r="C4438" s="405" t="s">
        <v>327</v>
      </c>
      <c r="D4438" s="405"/>
      <c r="E4438" s="410">
        <v>42026</v>
      </c>
      <c r="F4438" s="410">
        <v>42071</v>
      </c>
      <c r="G4438" s="405" t="s">
        <v>5481</v>
      </c>
      <c r="H4438" s="405">
        <v>784344797</v>
      </c>
      <c r="I4438" s="405"/>
      <c r="J4438" s="405">
        <v>0.32958500000000002</v>
      </c>
      <c r="K4438" s="405">
        <v>32.561138</v>
      </c>
      <c r="L4438" s="405" t="s">
        <v>314</v>
      </c>
      <c r="M4438" s="405" t="s">
        <v>382</v>
      </c>
      <c r="N4438" s="405" t="s">
        <v>2265</v>
      </c>
      <c r="O4438" s="405" t="s">
        <v>1260</v>
      </c>
      <c r="P4438" s="405" t="s">
        <v>5449</v>
      </c>
      <c r="Q4438" s="411">
        <v>6</v>
      </c>
      <c r="R4438" s="405" t="s">
        <v>402</v>
      </c>
      <c r="S4438" s="405" t="s">
        <v>27139</v>
      </c>
      <c r="T4438" s="405" t="s">
        <v>865</v>
      </c>
      <c r="U4438" s="405" t="s">
        <v>866</v>
      </c>
    </row>
    <row r="4439" spans="1:21" x14ac:dyDescent="0.25">
      <c r="A4439" s="405" t="s">
        <v>310</v>
      </c>
      <c r="B4439" s="405" t="s">
        <v>14334</v>
      </c>
      <c r="C4439" s="405" t="s">
        <v>327</v>
      </c>
      <c r="D4439" s="405"/>
      <c r="E4439" s="410">
        <v>42026</v>
      </c>
      <c r="F4439" s="410">
        <v>42071</v>
      </c>
      <c r="G4439" s="405" t="s">
        <v>14335</v>
      </c>
      <c r="H4439" s="405">
        <v>779971991</v>
      </c>
      <c r="I4439" s="405"/>
      <c r="J4439" s="405">
        <v>1.496372</v>
      </c>
      <c r="K4439" s="405">
        <v>33.092602999999997</v>
      </c>
      <c r="L4439" s="405" t="s">
        <v>6866</v>
      </c>
      <c r="M4439" s="405" t="s">
        <v>9658</v>
      </c>
      <c r="N4439" s="405" t="s">
        <v>11057</v>
      </c>
      <c r="O4439" s="405" t="s">
        <v>14099</v>
      </c>
      <c r="P4439" s="405" t="s">
        <v>14336</v>
      </c>
      <c r="Q4439" s="411">
        <v>6</v>
      </c>
      <c r="R4439" s="405" t="s">
        <v>5655</v>
      </c>
      <c r="S4439" s="405" t="s">
        <v>27337</v>
      </c>
      <c r="T4439" s="405" t="s">
        <v>884</v>
      </c>
      <c r="U4439" s="405" t="s">
        <v>319</v>
      </c>
    </row>
    <row r="4440" spans="1:21" x14ac:dyDescent="0.25">
      <c r="A4440" s="405" t="s">
        <v>310</v>
      </c>
      <c r="B4440" s="405" t="s">
        <v>14345</v>
      </c>
      <c r="C4440" s="405" t="s">
        <v>327</v>
      </c>
      <c r="D4440" s="405"/>
      <c r="E4440" s="410">
        <v>42025</v>
      </c>
      <c r="F4440" s="410">
        <v>42070</v>
      </c>
      <c r="G4440" s="405" t="s">
        <v>14346</v>
      </c>
      <c r="H4440" s="405">
        <v>752692711</v>
      </c>
      <c r="I4440" s="405"/>
      <c r="J4440" s="405">
        <v>1.539595</v>
      </c>
      <c r="K4440" s="405">
        <v>33.246830000000003</v>
      </c>
      <c r="L4440" s="405" t="s">
        <v>6866</v>
      </c>
      <c r="M4440" s="405" t="s">
        <v>9658</v>
      </c>
      <c r="N4440" s="405" t="s">
        <v>11057</v>
      </c>
      <c r="O4440" s="405" t="s">
        <v>14099</v>
      </c>
      <c r="P4440" s="405" t="s">
        <v>11536</v>
      </c>
      <c r="Q4440" s="411">
        <v>6</v>
      </c>
      <c r="R4440" s="405" t="s">
        <v>5655</v>
      </c>
      <c r="S4440" s="405" t="s">
        <v>27346</v>
      </c>
      <c r="T4440" s="405" t="s">
        <v>884</v>
      </c>
      <c r="U4440" s="405" t="s">
        <v>319</v>
      </c>
    </row>
    <row r="4441" spans="1:21" x14ac:dyDescent="0.25">
      <c r="A4441" s="405" t="s">
        <v>310</v>
      </c>
      <c r="B4441" s="405" t="s">
        <v>14351</v>
      </c>
      <c r="C4441" s="405" t="s">
        <v>327</v>
      </c>
      <c r="D4441" s="405"/>
      <c r="E4441" s="410">
        <v>42025</v>
      </c>
      <c r="F4441" s="410">
        <v>42070</v>
      </c>
      <c r="G4441" s="405" t="s">
        <v>14352</v>
      </c>
      <c r="H4441" s="405">
        <v>775944591</v>
      </c>
      <c r="I4441" s="405"/>
      <c r="J4441" s="405">
        <v>1.4843470000000001</v>
      </c>
      <c r="K4441" s="405">
        <v>33.264384999999997</v>
      </c>
      <c r="L4441" s="405" t="s">
        <v>6866</v>
      </c>
      <c r="M4441" s="405" t="s">
        <v>9658</v>
      </c>
      <c r="N4441" s="405" t="s">
        <v>11057</v>
      </c>
      <c r="O4441" s="405" t="s">
        <v>14099</v>
      </c>
      <c r="P4441" s="405" t="s">
        <v>14353</v>
      </c>
      <c r="Q4441" s="411">
        <v>6</v>
      </c>
      <c r="R4441" s="405" t="s">
        <v>5655</v>
      </c>
      <c r="S4441" s="405" t="s">
        <v>27351</v>
      </c>
      <c r="T4441" s="405" t="s">
        <v>884</v>
      </c>
      <c r="U4441" s="405" t="s">
        <v>319</v>
      </c>
    </row>
    <row r="4442" spans="1:21" x14ac:dyDescent="0.25">
      <c r="A4442" s="405" t="s">
        <v>310</v>
      </c>
      <c r="B4442" s="405" t="s">
        <v>21928</v>
      </c>
      <c r="C4442" s="405" t="s">
        <v>327</v>
      </c>
      <c r="D4442" s="405"/>
      <c r="E4442" s="410">
        <v>42024</v>
      </c>
      <c r="F4442" s="410">
        <v>42069</v>
      </c>
      <c r="G4442" s="405" t="s">
        <v>21929</v>
      </c>
      <c r="H4442" s="405">
        <v>771895129</v>
      </c>
      <c r="I4442" s="405"/>
      <c r="J4442" s="405">
        <v>0.29543799999999998</v>
      </c>
      <c r="K4442" s="405">
        <v>30.176597999999998</v>
      </c>
      <c r="L4442" s="405" t="s">
        <v>590</v>
      </c>
      <c r="M4442" s="405" t="s">
        <v>21087</v>
      </c>
      <c r="N4442" s="405" t="s">
        <v>21088</v>
      </c>
      <c r="O4442" s="405" t="s">
        <v>21926</v>
      </c>
      <c r="P4442" s="405" t="s">
        <v>21927</v>
      </c>
      <c r="Q4442" s="411">
        <v>9</v>
      </c>
      <c r="R4442" s="405" t="s">
        <v>883</v>
      </c>
      <c r="S4442" s="405" t="s">
        <v>27065</v>
      </c>
      <c r="T4442" s="405" t="s">
        <v>865</v>
      </c>
      <c r="U4442" s="405" t="s">
        <v>866</v>
      </c>
    </row>
    <row r="4443" spans="1:21" x14ac:dyDescent="0.25">
      <c r="A4443" s="405" t="s">
        <v>310</v>
      </c>
      <c r="B4443" s="405" t="s">
        <v>14330</v>
      </c>
      <c r="C4443" s="405" t="s">
        <v>327</v>
      </c>
      <c r="D4443" s="405"/>
      <c r="E4443" s="410">
        <v>42024</v>
      </c>
      <c r="F4443" s="410">
        <v>42069</v>
      </c>
      <c r="G4443" s="405" t="s">
        <v>14331</v>
      </c>
      <c r="H4443" s="405">
        <v>771864029</v>
      </c>
      <c r="I4443" s="405"/>
      <c r="J4443" s="405">
        <v>1.49268</v>
      </c>
      <c r="K4443" s="405">
        <v>33.142972999999998</v>
      </c>
      <c r="L4443" s="405" t="s">
        <v>6866</v>
      </c>
      <c r="M4443" s="405" t="s">
        <v>9658</v>
      </c>
      <c r="N4443" s="405" t="s">
        <v>11057</v>
      </c>
      <c r="O4443" s="405" t="s">
        <v>14099</v>
      </c>
      <c r="P4443" s="405" t="s">
        <v>14329</v>
      </c>
      <c r="Q4443" s="411">
        <v>6</v>
      </c>
      <c r="R4443" s="405" t="s">
        <v>5655</v>
      </c>
      <c r="S4443" s="405" t="s">
        <v>27347</v>
      </c>
      <c r="T4443" s="405" t="s">
        <v>884</v>
      </c>
      <c r="U4443" s="405" t="s">
        <v>319</v>
      </c>
    </row>
    <row r="4444" spans="1:21" x14ac:dyDescent="0.25">
      <c r="A4444" s="405" t="s">
        <v>310</v>
      </c>
      <c r="B4444" s="413" t="s">
        <v>22186</v>
      </c>
      <c r="C4444" s="413" t="s">
        <v>311</v>
      </c>
      <c r="D4444" s="413" t="s">
        <v>32762</v>
      </c>
      <c r="E4444" s="418">
        <v>42023</v>
      </c>
      <c r="F4444" s="418">
        <v>42068</v>
      </c>
      <c r="G4444" s="413" t="s">
        <v>22187</v>
      </c>
      <c r="H4444" s="405">
        <v>782024466</v>
      </c>
      <c r="I4444" s="405"/>
      <c r="J4444" s="405">
        <v>0.23985300000000001</v>
      </c>
      <c r="K4444" s="405">
        <v>30.116541999999999</v>
      </c>
      <c r="L4444" s="405" t="s">
        <v>590</v>
      </c>
      <c r="M4444" s="405" t="s">
        <v>21087</v>
      </c>
      <c r="N4444" s="405" t="s">
        <v>21087</v>
      </c>
      <c r="O4444" s="405" t="s">
        <v>22188</v>
      </c>
      <c r="P4444" s="405" t="s">
        <v>22189</v>
      </c>
      <c r="Q4444" s="411">
        <v>9</v>
      </c>
      <c r="R4444" s="405" t="s">
        <v>1263</v>
      </c>
      <c r="S4444" s="405" t="s">
        <v>27053</v>
      </c>
      <c r="T4444" s="405" t="s">
        <v>884</v>
      </c>
      <c r="U4444" s="405" t="s">
        <v>319</v>
      </c>
    </row>
    <row r="4445" spans="1:21" x14ac:dyDescent="0.25">
      <c r="A4445" s="405" t="s">
        <v>310</v>
      </c>
      <c r="B4445" s="405" t="s">
        <v>21948</v>
      </c>
      <c r="C4445" s="405" t="s">
        <v>327</v>
      </c>
      <c r="D4445" s="405"/>
      <c r="E4445" s="410">
        <v>42022</v>
      </c>
      <c r="F4445" s="410">
        <v>42067</v>
      </c>
      <c r="G4445" s="405" t="s">
        <v>21949</v>
      </c>
      <c r="H4445" s="405">
        <v>772887942</v>
      </c>
      <c r="I4445" s="405"/>
      <c r="J4445" s="405">
        <v>0.23627300000000001</v>
      </c>
      <c r="K4445" s="405">
        <v>30.190255000000001</v>
      </c>
      <c r="L4445" s="405" t="s">
        <v>590</v>
      </c>
      <c r="M4445" s="405" t="s">
        <v>21087</v>
      </c>
      <c r="N4445" s="405" t="s">
        <v>21087</v>
      </c>
      <c r="O4445" s="405" t="s">
        <v>21950</v>
      </c>
      <c r="P4445" s="405" t="s">
        <v>913</v>
      </c>
      <c r="Q4445" s="411">
        <v>13</v>
      </c>
      <c r="R4445" s="405" t="s">
        <v>1263</v>
      </c>
      <c r="S4445" s="405" t="s">
        <v>27034</v>
      </c>
      <c r="T4445" s="405" t="s">
        <v>884</v>
      </c>
      <c r="U4445" s="405" t="s">
        <v>319</v>
      </c>
    </row>
    <row r="4446" spans="1:21" x14ac:dyDescent="0.25">
      <c r="A4446" s="405" t="s">
        <v>310</v>
      </c>
      <c r="B4446" s="405" t="s">
        <v>14332</v>
      </c>
      <c r="C4446" s="405" t="s">
        <v>327</v>
      </c>
      <c r="D4446" s="405"/>
      <c r="E4446" s="410">
        <v>42021</v>
      </c>
      <c r="F4446" s="410">
        <v>42066</v>
      </c>
      <c r="G4446" s="405" t="s">
        <v>14333</v>
      </c>
      <c r="H4446" s="405">
        <v>774193387</v>
      </c>
      <c r="I4446" s="405"/>
      <c r="J4446" s="405">
        <v>1.507935</v>
      </c>
      <c r="K4446" s="405">
        <v>33.156686999999998</v>
      </c>
      <c r="L4446" s="405" t="s">
        <v>6866</v>
      </c>
      <c r="M4446" s="405" t="s">
        <v>9658</v>
      </c>
      <c r="N4446" s="405" t="s">
        <v>11057</v>
      </c>
      <c r="O4446" s="405" t="s">
        <v>14099</v>
      </c>
      <c r="P4446" s="405" t="s">
        <v>12728</v>
      </c>
      <c r="Q4446" s="411">
        <v>6</v>
      </c>
      <c r="R4446" s="405" t="s">
        <v>5655</v>
      </c>
      <c r="S4446" s="405" t="s">
        <v>27072</v>
      </c>
      <c r="T4446" s="405" t="s">
        <v>32102</v>
      </c>
      <c r="U4446" s="405" t="s">
        <v>319</v>
      </c>
    </row>
    <row r="4447" spans="1:21" x14ac:dyDescent="0.25">
      <c r="A4447" s="405" t="s">
        <v>310</v>
      </c>
      <c r="B4447" s="405" t="s">
        <v>22182</v>
      </c>
      <c r="C4447" s="405" t="s">
        <v>311</v>
      </c>
      <c r="D4447" s="405" t="s">
        <v>1007</v>
      </c>
      <c r="E4447" s="410">
        <v>42019</v>
      </c>
      <c r="F4447" s="410">
        <v>42064</v>
      </c>
      <c r="G4447" s="405" t="s">
        <v>22183</v>
      </c>
      <c r="H4447" s="405">
        <v>758669311</v>
      </c>
      <c r="I4447" s="405"/>
      <c r="J4447" s="405">
        <v>0.27030799999999999</v>
      </c>
      <c r="K4447" s="405">
        <v>30.110544999999998</v>
      </c>
      <c r="L4447" s="405" t="s">
        <v>590</v>
      </c>
      <c r="M4447" s="405" t="s">
        <v>21087</v>
      </c>
      <c r="N4447" s="405" t="s">
        <v>21087</v>
      </c>
      <c r="O4447" s="405" t="s">
        <v>2761</v>
      </c>
      <c r="P4447" s="405" t="s">
        <v>21090</v>
      </c>
      <c r="Q4447" s="411">
        <v>6</v>
      </c>
      <c r="R4447" s="405" t="s">
        <v>1263</v>
      </c>
      <c r="S4447" s="405" t="s">
        <v>27041</v>
      </c>
      <c r="T4447" s="405" t="s">
        <v>884</v>
      </c>
      <c r="U4447" s="405" t="s">
        <v>319</v>
      </c>
    </row>
    <row r="4448" spans="1:21" x14ac:dyDescent="0.25">
      <c r="A4448" s="405" t="s">
        <v>310</v>
      </c>
      <c r="B4448" s="405" t="s">
        <v>5482</v>
      </c>
      <c r="C4448" s="405" t="s">
        <v>327</v>
      </c>
      <c r="D4448" s="405"/>
      <c r="E4448" s="410">
        <v>42019</v>
      </c>
      <c r="F4448" s="410">
        <v>42064</v>
      </c>
      <c r="G4448" s="405" t="s">
        <v>5483</v>
      </c>
      <c r="H4448" s="405">
        <v>703789850</v>
      </c>
      <c r="I4448" s="405"/>
      <c r="J4448" s="405">
        <v>0.60627799999999998</v>
      </c>
      <c r="K4448" s="405">
        <v>31.802105000000001</v>
      </c>
      <c r="L4448" s="405" t="s">
        <v>314</v>
      </c>
      <c r="M4448" s="405" t="s">
        <v>445</v>
      </c>
      <c r="N4448" s="405" t="s">
        <v>2925</v>
      </c>
      <c r="O4448" s="405" t="s">
        <v>2925</v>
      </c>
      <c r="P4448" s="405" t="s">
        <v>5484</v>
      </c>
      <c r="Q4448" s="411">
        <v>6</v>
      </c>
      <c r="R4448" s="405" t="s">
        <v>5336</v>
      </c>
      <c r="S4448" s="405" t="s">
        <v>27141</v>
      </c>
      <c r="T4448" s="405" t="s">
        <v>32102</v>
      </c>
      <c r="U4448" s="405" t="s">
        <v>319</v>
      </c>
    </row>
    <row r="4449" spans="1:21" x14ac:dyDescent="0.25">
      <c r="A4449" s="405" t="s">
        <v>310</v>
      </c>
      <c r="B4449" s="405" t="s">
        <v>6063</v>
      </c>
      <c r="C4449" s="405" t="s">
        <v>857</v>
      </c>
      <c r="D4449" s="405" t="s">
        <v>1037</v>
      </c>
      <c r="E4449" s="410">
        <v>42019</v>
      </c>
      <c r="F4449" s="410">
        <v>42064</v>
      </c>
      <c r="G4449" s="405" t="s">
        <v>6064</v>
      </c>
      <c r="H4449" s="405">
        <v>773689127</v>
      </c>
      <c r="I4449" s="405"/>
      <c r="J4449" s="405">
        <v>0.937662</v>
      </c>
      <c r="K4449" s="405">
        <v>31.597572</v>
      </c>
      <c r="L4449" s="405" t="s">
        <v>314</v>
      </c>
      <c r="M4449" s="405" t="s">
        <v>1360</v>
      </c>
      <c r="N4449" s="405" t="s">
        <v>1065</v>
      </c>
      <c r="O4449" s="405" t="s">
        <v>1361</v>
      </c>
      <c r="P4449" s="405" t="s">
        <v>5566</v>
      </c>
      <c r="Q4449" s="411">
        <v>6</v>
      </c>
      <c r="R4449" s="405" t="s">
        <v>525</v>
      </c>
      <c r="S4449" s="405" t="s">
        <v>414</v>
      </c>
      <c r="T4449" s="405" t="s">
        <v>884</v>
      </c>
      <c r="U4449" s="405" t="s">
        <v>319</v>
      </c>
    </row>
    <row r="4450" spans="1:21" x14ac:dyDescent="0.25">
      <c r="A4450" s="405" t="s">
        <v>310</v>
      </c>
      <c r="B4450" s="405" t="s">
        <v>14324</v>
      </c>
      <c r="C4450" s="405" t="s">
        <v>327</v>
      </c>
      <c r="D4450" s="405"/>
      <c r="E4450" s="410">
        <v>42019</v>
      </c>
      <c r="F4450" s="410">
        <v>42064</v>
      </c>
      <c r="G4450" s="405" t="s">
        <v>14325</v>
      </c>
      <c r="H4450" s="405">
        <v>759648656</v>
      </c>
      <c r="I4450" s="405"/>
      <c r="J4450" s="405">
        <v>1.4623470000000001</v>
      </c>
      <c r="K4450" s="405">
        <v>33.640452000000003</v>
      </c>
      <c r="L4450" s="405" t="s">
        <v>6866</v>
      </c>
      <c r="M4450" s="405" t="s">
        <v>9658</v>
      </c>
      <c r="N4450" s="405" t="s">
        <v>9658</v>
      </c>
      <c r="O4450" s="405" t="s">
        <v>11263</v>
      </c>
      <c r="P4450" s="405" t="s">
        <v>14326</v>
      </c>
      <c r="Q4450" s="411">
        <v>4</v>
      </c>
      <c r="R4450" s="405" t="s">
        <v>5655</v>
      </c>
      <c r="S4450" s="405" t="s">
        <v>27056</v>
      </c>
      <c r="T4450" s="405" t="s">
        <v>884</v>
      </c>
      <c r="U4450" s="405" t="s">
        <v>319</v>
      </c>
    </row>
    <row r="4451" spans="1:21" x14ac:dyDescent="0.25">
      <c r="A4451" s="405" t="s">
        <v>310</v>
      </c>
      <c r="B4451" s="405" t="s">
        <v>22151</v>
      </c>
      <c r="C4451" s="405" t="s">
        <v>311</v>
      </c>
      <c r="D4451" s="405" t="s">
        <v>1789</v>
      </c>
      <c r="E4451" s="410">
        <v>42018</v>
      </c>
      <c r="F4451" s="410">
        <v>42063</v>
      </c>
      <c r="G4451" s="405" t="s">
        <v>22152</v>
      </c>
      <c r="H4451" s="405">
        <v>783887555</v>
      </c>
      <c r="I4451" s="405"/>
      <c r="J4451" s="405">
        <v>0.26993</v>
      </c>
      <c r="K4451" s="405">
        <v>30.110641999999999</v>
      </c>
      <c r="L4451" s="405" t="s">
        <v>590</v>
      </c>
      <c r="M4451" s="405" t="s">
        <v>21087</v>
      </c>
      <c r="N4451" s="405" t="s">
        <v>2761</v>
      </c>
      <c r="O4451" s="405" t="s">
        <v>2761</v>
      </c>
      <c r="P4451" s="405" t="s">
        <v>21090</v>
      </c>
      <c r="Q4451" s="411">
        <v>9</v>
      </c>
      <c r="R4451" s="405" t="s">
        <v>1263</v>
      </c>
      <c r="S4451" s="405" t="s">
        <v>27041</v>
      </c>
      <c r="T4451" s="405" t="s">
        <v>884</v>
      </c>
      <c r="U4451" s="405" t="s">
        <v>319</v>
      </c>
    </row>
    <row r="4452" spans="1:21" x14ac:dyDescent="0.25">
      <c r="A4452" s="405" t="s">
        <v>310</v>
      </c>
      <c r="B4452" s="405" t="s">
        <v>6640</v>
      </c>
      <c r="C4452" s="405" t="s">
        <v>327</v>
      </c>
      <c r="D4452" s="405"/>
      <c r="E4452" s="410">
        <v>42018</v>
      </c>
      <c r="F4452" s="410">
        <v>43100</v>
      </c>
      <c r="G4452" s="405" t="s">
        <v>6641</v>
      </c>
      <c r="H4452" s="405">
        <v>701163717</v>
      </c>
      <c r="I4452" s="405"/>
      <c r="J4452" s="405">
        <v>7.4191999999999994E-2</v>
      </c>
      <c r="K4452" s="405">
        <v>32.225977</v>
      </c>
      <c r="L4452" s="405" t="s">
        <v>314</v>
      </c>
      <c r="M4452" s="405" t="s">
        <v>321</v>
      </c>
      <c r="N4452" s="405" t="s">
        <v>476</v>
      </c>
      <c r="O4452" s="405" t="s">
        <v>476</v>
      </c>
      <c r="P4452" s="405" t="s">
        <v>6642</v>
      </c>
      <c r="Q4452" s="411">
        <v>6</v>
      </c>
      <c r="R4452" s="405" t="s">
        <v>5336</v>
      </c>
      <c r="S4452" s="405" t="s">
        <v>414</v>
      </c>
      <c r="T4452" s="405" t="s">
        <v>884</v>
      </c>
      <c r="U4452" s="405" t="s">
        <v>319</v>
      </c>
    </row>
    <row r="4453" spans="1:21" x14ac:dyDescent="0.25">
      <c r="A4453" s="405" t="s">
        <v>310</v>
      </c>
      <c r="B4453" s="405" t="s">
        <v>5461</v>
      </c>
      <c r="C4453" s="405" t="s">
        <v>327</v>
      </c>
      <c r="D4453" s="405"/>
      <c r="E4453" s="410">
        <v>42018</v>
      </c>
      <c r="F4453" s="410">
        <v>42063</v>
      </c>
      <c r="G4453" s="405" t="s">
        <v>5462</v>
      </c>
      <c r="H4453" s="405">
        <v>782105609</v>
      </c>
      <c r="I4453" s="405">
        <v>750105609</v>
      </c>
      <c r="J4453" s="405">
        <v>0.41209800000000002</v>
      </c>
      <c r="K4453" s="405">
        <v>31.730685000000001</v>
      </c>
      <c r="L4453" s="405" t="s">
        <v>314</v>
      </c>
      <c r="M4453" s="405" t="s">
        <v>382</v>
      </c>
      <c r="N4453" s="405" t="s">
        <v>2265</v>
      </c>
      <c r="O4453" s="405" t="s">
        <v>1260</v>
      </c>
      <c r="P4453" s="405" t="s">
        <v>5463</v>
      </c>
      <c r="Q4453" s="411">
        <v>6</v>
      </c>
      <c r="R4453" s="405" t="s">
        <v>402</v>
      </c>
      <c r="S4453" s="405" t="s">
        <v>27205</v>
      </c>
      <c r="T4453" s="405" t="s">
        <v>884</v>
      </c>
      <c r="U4453" s="405" t="s">
        <v>319</v>
      </c>
    </row>
    <row r="4454" spans="1:21" x14ac:dyDescent="0.25">
      <c r="A4454" s="405" t="s">
        <v>310</v>
      </c>
      <c r="B4454" s="405" t="s">
        <v>21885</v>
      </c>
      <c r="C4454" s="405" t="s">
        <v>327</v>
      </c>
      <c r="D4454" s="405"/>
      <c r="E4454" s="410">
        <v>42017</v>
      </c>
      <c r="F4454" s="410">
        <v>42062</v>
      </c>
      <c r="G4454" s="405" t="s">
        <v>21886</v>
      </c>
      <c r="H4454" s="405">
        <v>782604333</v>
      </c>
      <c r="I4454" s="405"/>
      <c r="J4454" s="405">
        <v>0.476775</v>
      </c>
      <c r="K4454" s="405">
        <v>30.369240000000001</v>
      </c>
      <c r="L4454" s="405" t="s">
        <v>590</v>
      </c>
      <c r="M4454" s="405" t="s">
        <v>19725</v>
      </c>
      <c r="N4454" s="405" t="s">
        <v>21887</v>
      </c>
      <c r="O4454" s="405" t="s">
        <v>20792</v>
      </c>
      <c r="P4454" s="405" t="s">
        <v>21888</v>
      </c>
      <c r="Q4454" s="411">
        <v>9</v>
      </c>
      <c r="R4454" s="405" t="s">
        <v>883</v>
      </c>
      <c r="S4454" s="405" t="s">
        <v>27096</v>
      </c>
      <c r="T4454" s="405" t="s">
        <v>884</v>
      </c>
      <c r="U4454" s="405" t="s">
        <v>319</v>
      </c>
    </row>
    <row r="4455" spans="1:21" x14ac:dyDescent="0.25">
      <c r="A4455" s="405" t="s">
        <v>310</v>
      </c>
      <c r="B4455" s="405" t="s">
        <v>21889</v>
      </c>
      <c r="C4455" s="405" t="s">
        <v>327</v>
      </c>
      <c r="D4455" s="405"/>
      <c r="E4455" s="410">
        <v>42017</v>
      </c>
      <c r="F4455" s="410">
        <v>42062</v>
      </c>
      <c r="G4455" s="405" t="s">
        <v>21890</v>
      </c>
      <c r="H4455" s="405">
        <v>782446265</v>
      </c>
      <c r="I4455" s="405"/>
      <c r="J4455" s="405">
        <v>0.22716800000000001</v>
      </c>
      <c r="K4455" s="405">
        <v>30.197140000000001</v>
      </c>
      <c r="L4455" s="405" t="s">
        <v>590</v>
      </c>
      <c r="M4455" s="405" t="s">
        <v>21087</v>
      </c>
      <c r="N4455" s="405" t="s">
        <v>21088</v>
      </c>
      <c r="O4455" s="405" t="s">
        <v>21891</v>
      </c>
      <c r="P4455" s="405" t="s">
        <v>4666</v>
      </c>
      <c r="Q4455" s="411">
        <v>9</v>
      </c>
      <c r="R4455" s="405" t="s">
        <v>883</v>
      </c>
      <c r="S4455" s="405" t="s">
        <v>27183</v>
      </c>
      <c r="T4455" s="405" t="s">
        <v>884</v>
      </c>
      <c r="U4455" s="405" t="s">
        <v>319</v>
      </c>
    </row>
    <row r="4456" spans="1:21" x14ac:dyDescent="0.25">
      <c r="A4456" s="405" t="s">
        <v>310</v>
      </c>
      <c r="B4456" s="405" t="s">
        <v>5447</v>
      </c>
      <c r="C4456" s="405" t="s">
        <v>327</v>
      </c>
      <c r="D4456" s="405"/>
      <c r="E4456" s="410">
        <v>42015</v>
      </c>
      <c r="F4456" s="410">
        <v>42060</v>
      </c>
      <c r="G4456" s="405" t="s">
        <v>5448</v>
      </c>
      <c r="H4456" s="405">
        <v>784503882</v>
      </c>
      <c r="I4456" s="405">
        <v>774497968</v>
      </c>
      <c r="J4456" s="405">
        <v>-0.40674700000000003</v>
      </c>
      <c r="K4456" s="405">
        <v>31.713298000000002</v>
      </c>
      <c r="L4456" s="405" t="s">
        <v>314</v>
      </c>
      <c r="M4456" s="405" t="s">
        <v>382</v>
      </c>
      <c r="N4456" s="405" t="s">
        <v>2265</v>
      </c>
      <c r="O4456" s="405" t="s">
        <v>1260</v>
      </c>
      <c r="P4456" s="405" t="s">
        <v>5449</v>
      </c>
      <c r="Q4456" s="411">
        <v>6</v>
      </c>
      <c r="R4456" s="405" t="s">
        <v>402</v>
      </c>
      <c r="S4456" s="405" t="s">
        <v>27170</v>
      </c>
      <c r="T4456" s="405" t="s">
        <v>865</v>
      </c>
      <c r="U4456" s="405" t="s">
        <v>866</v>
      </c>
    </row>
    <row r="4457" spans="1:21" x14ac:dyDescent="0.25">
      <c r="A4457" s="405" t="s">
        <v>310</v>
      </c>
      <c r="B4457" s="405" t="s">
        <v>21894</v>
      </c>
      <c r="C4457" s="405" t="s">
        <v>327</v>
      </c>
      <c r="D4457" s="405"/>
      <c r="E4457" s="410">
        <v>42014</v>
      </c>
      <c r="F4457" s="410">
        <v>42059</v>
      </c>
      <c r="G4457" s="405" t="s">
        <v>21895</v>
      </c>
      <c r="H4457" s="405">
        <v>772603725</v>
      </c>
      <c r="I4457" s="405"/>
      <c r="J4457" s="405">
        <v>-0.4004259</v>
      </c>
      <c r="K4457" s="405">
        <v>30.563442890000001</v>
      </c>
      <c r="L4457" s="405" t="s">
        <v>590</v>
      </c>
      <c r="M4457" s="405" t="s">
        <v>19614</v>
      </c>
      <c r="N4457" s="405" t="s">
        <v>19615</v>
      </c>
      <c r="O4457" s="405" t="s">
        <v>21896</v>
      </c>
      <c r="P4457" s="405" t="s">
        <v>21897</v>
      </c>
      <c r="Q4457" s="411">
        <v>13</v>
      </c>
      <c r="R4457" s="405" t="s">
        <v>883</v>
      </c>
      <c r="S4457" s="405" t="s">
        <v>27160</v>
      </c>
      <c r="T4457" s="405" t="s">
        <v>32102</v>
      </c>
      <c r="U4457" s="405" t="s">
        <v>319</v>
      </c>
    </row>
    <row r="4458" spans="1:21" x14ac:dyDescent="0.25">
      <c r="A4458" s="405" t="s">
        <v>310</v>
      </c>
      <c r="B4458" s="405" t="s">
        <v>5477</v>
      </c>
      <c r="C4458" s="405" t="s">
        <v>327</v>
      </c>
      <c r="D4458" s="405"/>
      <c r="E4458" s="410">
        <v>42013</v>
      </c>
      <c r="F4458" s="410">
        <v>42058</v>
      </c>
      <c r="G4458" s="405" t="s">
        <v>5478</v>
      </c>
      <c r="H4458" s="405">
        <v>752462284</v>
      </c>
      <c r="I4458" s="405"/>
      <c r="J4458" s="405">
        <v>0.68251700000000004</v>
      </c>
      <c r="K4458" s="405">
        <v>30.376602999999999</v>
      </c>
      <c r="L4458" s="405" t="s">
        <v>314</v>
      </c>
      <c r="M4458" s="405" t="s">
        <v>2297</v>
      </c>
      <c r="N4458" s="405" t="s">
        <v>2297</v>
      </c>
      <c r="O4458" s="405" t="s">
        <v>5479</v>
      </c>
      <c r="P4458" s="405" t="s">
        <v>1310</v>
      </c>
      <c r="Q4458" s="411">
        <v>9</v>
      </c>
      <c r="R4458" s="405" t="s">
        <v>4176</v>
      </c>
      <c r="S4458" s="405" t="s">
        <v>27244</v>
      </c>
      <c r="T4458" s="405" t="s">
        <v>884</v>
      </c>
      <c r="U4458" s="405" t="s">
        <v>319</v>
      </c>
    </row>
    <row r="4459" spans="1:21" x14ac:dyDescent="0.25">
      <c r="A4459" s="405" t="s">
        <v>310</v>
      </c>
      <c r="B4459" s="405" t="s">
        <v>14286</v>
      </c>
      <c r="C4459" s="405" t="s">
        <v>327</v>
      </c>
      <c r="D4459" s="405"/>
      <c r="E4459" s="410">
        <v>42012</v>
      </c>
      <c r="F4459" s="410">
        <v>42057</v>
      </c>
      <c r="G4459" s="405" t="s">
        <v>14287</v>
      </c>
      <c r="H4459" s="405">
        <v>752345554</v>
      </c>
      <c r="I4459" s="405"/>
      <c r="J4459" s="405">
        <v>0.44627899999999998</v>
      </c>
      <c r="K4459" s="405">
        <v>33.657730000000001</v>
      </c>
      <c r="L4459" s="405" t="s">
        <v>6866</v>
      </c>
      <c r="M4459" s="405" t="s">
        <v>10853</v>
      </c>
      <c r="N4459" s="405" t="s">
        <v>14288</v>
      </c>
      <c r="O4459" s="405" t="s">
        <v>14289</v>
      </c>
      <c r="P4459" s="405" t="s">
        <v>14290</v>
      </c>
      <c r="Q4459" s="411">
        <v>6</v>
      </c>
      <c r="R4459" s="405" t="s">
        <v>5336</v>
      </c>
      <c r="S4459" s="405" t="s">
        <v>27054</v>
      </c>
      <c r="T4459" s="405" t="s">
        <v>884</v>
      </c>
      <c r="U4459" s="405" t="s">
        <v>319</v>
      </c>
    </row>
    <row r="4460" spans="1:21" x14ac:dyDescent="0.25">
      <c r="A4460" s="405" t="s">
        <v>310</v>
      </c>
      <c r="B4460" s="405" t="s">
        <v>5452</v>
      </c>
      <c r="C4460" s="405" t="s">
        <v>327</v>
      </c>
      <c r="D4460" s="405"/>
      <c r="E4460" s="410">
        <v>42012</v>
      </c>
      <c r="F4460" s="410">
        <v>42057</v>
      </c>
      <c r="G4460" s="405" t="s">
        <v>5453</v>
      </c>
      <c r="H4460" s="405">
        <v>778784728</v>
      </c>
      <c r="I4460" s="405">
        <v>789506637</v>
      </c>
      <c r="J4460" s="405">
        <v>-0.382685</v>
      </c>
      <c r="K4460" s="405">
        <v>31.768954999999998</v>
      </c>
      <c r="L4460" s="405" t="s">
        <v>314</v>
      </c>
      <c r="M4460" s="405" t="s">
        <v>382</v>
      </c>
      <c r="N4460" s="405" t="s">
        <v>2265</v>
      </c>
      <c r="O4460" s="405" t="s">
        <v>1260</v>
      </c>
      <c r="P4460" s="405" t="s">
        <v>2266</v>
      </c>
      <c r="Q4460" s="411">
        <v>6</v>
      </c>
      <c r="R4460" s="405" t="s">
        <v>402</v>
      </c>
      <c r="S4460" s="405" t="s">
        <v>27139</v>
      </c>
      <c r="T4460" s="405" t="s">
        <v>884</v>
      </c>
      <c r="U4460" s="405" t="s">
        <v>319</v>
      </c>
    </row>
    <row r="4461" spans="1:21" x14ac:dyDescent="0.25">
      <c r="A4461" s="405" t="s">
        <v>310</v>
      </c>
      <c r="B4461" s="405" t="s">
        <v>21892</v>
      </c>
      <c r="C4461" s="405" t="s">
        <v>327</v>
      </c>
      <c r="D4461" s="405"/>
      <c r="E4461" s="410">
        <v>42010</v>
      </c>
      <c r="F4461" s="410">
        <v>42055</v>
      </c>
      <c r="G4461" s="405" t="s">
        <v>21893</v>
      </c>
      <c r="H4461" s="405">
        <v>772497122</v>
      </c>
      <c r="I4461" s="405"/>
      <c r="J4461" s="405">
        <v>0.24154</v>
      </c>
      <c r="K4461" s="405">
        <v>30.169584</v>
      </c>
      <c r="L4461" s="405" t="s">
        <v>590</v>
      </c>
      <c r="M4461" s="405" t="s">
        <v>21087</v>
      </c>
      <c r="N4461" s="405" t="s">
        <v>21088</v>
      </c>
      <c r="O4461" s="405" t="s">
        <v>21891</v>
      </c>
      <c r="P4461" s="405" t="s">
        <v>4666</v>
      </c>
      <c r="Q4461" s="411">
        <v>9</v>
      </c>
      <c r="R4461" s="405" t="s">
        <v>883</v>
      </c>
      <c r="S4461" s="405" t="s">
        <v>27183</v>
      </c>
      <c r="T4461" s="405" t="s">
        <v>884</v>
      </c>
      <c r="U4461" s="405" t="s">
        <v>319</v>
      </c>
    </row>
    <row r="4462" spans="1:21" x14ac:dyDescent="0.25">
      <c r="A4462" s="405" t="s">
        <v>310</v>
      </c>
      <c r="B4462" s="405" t="s">
        <v>21855</v>
      </c>
      <c r="C4462" s="405" t="s">
        <v>327</v>
      </c>
      <c r="D4462" s="405"/>
      <c r="E4462" s="410">
        <v>42010</v>
      </c>
      <c r="F4462" s="410">
        <v>42055</v>
      </c>
      <c r="G4462" s="405" t="s">
        <v>21856</v>
      </c>
      <c r="H4462" s="405">
        <v>771056600</v>
      </c>
      <c r="I4462" s="405"/>
      <c r="J4462" s="405">
        <v>0.51065499999999997</v>
      </c>
      <c r="K4462" s="405">
        <v>30.436640000000001</v>
      </c>
      <c r="L4462" s="405" t="s">
        <v>590</v>
      </c>
      <c r="M4462" s="405" t="s">
        <v>19659</v>
      </c>
      <c r="N4462" s="405" t="s">
        <v>19681</v>
      </c>
      <c r="O4462" s="405" t="s">
        <v>13002</v>
      </c>
      <c r="P4462" s="405" t="s">
        <v>21857</v>
      </c>
      <c r="Q4462" s="411">
        <v>6</v>
      </c>
      <c r="R4462" s="405" t="s">
        <v>6572</v>
      </c>
      <c r="S4462" s="405" t="s">
        <v>27394</v>
      </c>
      <c r="T4462" s="405" t="s">
        <v>884</v>
      </c>
      <c r="U4462" s="405" t="s">
        <v>319</v>
      </c>
    </row>
    <row r="4463" spans="1:21" x14ac:dyDescent="0.25">
      <c r="A4463" s="405" t="s">
        <v>310</v>
      </c>
      <c r="B4463" s="405" t="s">
        <v>28473</v>
      </c>
      <c r="C4463" s="405" t="s">
        <v>327</v>
      </c>
      <c r="D4463" s="405"/>
      <c r="E4463" s="410">
        <v>42010</v>
      </c>
      <c r="F4463" s="410">
        <v>42055</v>
      </c>
      <c r="G4463" s="405" t="s">
        <v>5450</v>
      </c>
      <c r="H4463" s="405">
        <v>775257194</v>
      </c>
      <c r="I4463" s="405"/>
      <c r="J4463" s="405">
        <v>-0.38175700000000001</v>
      </c>
      <c r="K4463" s="405">
        <v>31.702252000000001</v>
      </c>
      <c r="L4463" s="405" t="s">
        <v>314</v>
      </c>
      <c r="M4463" s="405" t="s">
        <v>382</v>
      </c>
      <c r="N4463" s="405" t="s">
        <v>2265</v>
      </c>
      <c r="O4463" s="405" t="s">
        <v>894</v>
      </c>
      <c r="P4463" s="405" t="s">
        <v>5451</v>
      </c>
      <c r="Q4463" s="411">
        <v>6</v>
      </c>
      <c r="R4463" s="405" t="s">
        <v>402</v>
      </c>
      <c r="S4463" s="405" t="s">
        <v>27181</v>
      </c>
      <c r="T4463" s="405" t="s">
        <v>884</v>
      </c>
      <c r="U4463" s="405" t="s">
        <v>319</v>
      </c>
    </row>
    <row r="4464" spans="1:21" x14ac:dyDescent="0.25">
      <c r="A4464" s="405" t="s">
        <v>310</v>
      </c>
      <c r="B4464" s="405" t="s">
        <v>5475</v>
      </c>
      <c r="C4464" s="405" t="s">
        <v>327</v>
      </c>
      <c r="D4464" s="405"/>
      <c r="E4464" s="410">
        <v>42009</v>
      </c>
      <c r="F4464" s="410">
        <v>42054</v>
      </c>
      <c r="G4464" s="405" t="s">
        <v>5476</v>
      </c>
      <c r="H4464" s="405">
        <v>712224464</v>
      </c>
      <c r="I4464" s="405"/>
      <c r="J4464" s="405">
        <v>0.37656200000000001</v>
      </c>
      <c r="K4464" s="405">
        <v>32.630029999999998</v>
      </c>
      <c r="L4464" s="405" t="s">
        <v>314</v>
      </c>
      <c r="M4464" s="405" t="s">
        <v>992</v>
      </c>
      <c r="N4464" s="405" t="s">
        <v>362</v>
      </c>
      <c r="O4464" s="405" t="s">
        <v>987</v>
      </c>
      <c r="P4464" s="405" t="s">
        <v>1881</v>
      </c>
      <c r="Q4464" s="411">
        <v>13</v>
      </c>
      <c r="R4464" s="405" t="s">
        <v>4176</v>
      </c>
      <c r="S4464" s="405" t="s">
        <v>27120</v>
      </c>
      <c r="T4464" s="405" t="s">
        <v>32102</v>
      </c>
      <c r="U4464" s="405" t="s">
        <v>319</v>
      </c>
    </row>
    <row r="4465" spans="1:21" x14ac:dyDescent="0.25">
      <c r="A4465" s="405" t="s">
        <v>310</v>
      </c>
      <c r="B4465" s="405" t="s">
        <v>21910</v>
      </c>
      <c r="C4465" s="405" t="s">
        <v>327</v>
      </c>
      <c r="D4465" s="405"/>
      <c r="E4465" s="410">
        <v>42009</v>
      </c>
      <c r="F4465" s="410">
        <v>42054</v>
      </c>
      <c r="G4465" s="405" t="s">
        <v>21911</v>
      </c>
      <c r="H4465" s="405">
        <v>701591227</v>
      </c>
      <c r="I4465" s="405"/>
      <c r="J4465" s="405">
        <v>0.271227</v>
      </c>
      <c r="K4465" s="405">
        <v>30.109756999999998</v>
      </c>
      <c r="L4465" s="405" t="s">
        <v>590</v>
      </c>
      <c r="M4465" s="405" t="s">
        <v>21087</v>
      </c>
      <c r="N4465" s="405" t="s">
        <v>2761</v>
      </c>
      <c r="O4465" s="405" t="s">
        <v>2761</v>
      </c>
      <c r="P4465" s="405" t="s">
        <v>21090</v>
      </c>
      <c r="Q4465" s="411">
        <v>9</v>
      </c>
      <c r="R4465" s="405" t="s">
        <v>1263</v>
      </c>
      <c r="S4465" s="405" t="s">
        <v>27041</v>
      </c>
      <c r="T4465" s="405" t="s">
        <v>884</v>
      </c>
      <c r="U4465" s="405" t="s">
        <v>319</v>
      </c>
    </row>
    <row r="4466" spans="1:21" x14ac:dyDescent="0.25">
      <c r="A4466" s="405" t="s">
        <v>310</v>
      </c>
      <c r="B4466" s="405" t="s">
        <v>18916</v>
      </c>
      <c r="C4466" s="405" t="s">
        <v>327</v>
      </c>
      <c r="D4466" s="405"/>
      <c r="E4466" s="410">
        <v>42009</v>
      </c>
      <c r="F4466" s="410">
        <v>42080</v>
      </c>
      <c r="G4466" s="405" t="s">
        <v>18917</v>
      </c>
      <c r="H4466" s="405">
        <v>772360948</v>
      </c>
      <c r="I4466" s="405"/>
      <c r="J4466" s="405">
        <v>2.262559</v>
      </c>
      <c r="K4466" s="405">
        <v>32.890971999999998</v>
      </c>
      <c r="L4466" s="405" t="s">
        <v>860</v>
      </c>
      <c r="M4466" s="405" t="s">
        <v>18288</v>
      </c>
      <c r="N4466" s="405" t="s">
        <v>18452</v>
      </c>
      <c r="O4466" s="405" t="s">
        <v>18452</v>
      </c>
      <c r="P4466" s="405" t="s">
        <v>18918</v>
      </c>
      <c r="Q4466" s="411">
        <v>6</v>
      </c>
      <c r="R4466" s="405" t="s">
        <v>18919</v>
      </c>
      <c r="S4466" s="405" t="s">
        <v>27380</v>
      </c>
      <c r="T4466" s="405" t="s">
        <v>865</v>
      </c>
      <c r="U4466" s="405" t="s">
        <v>866</v>
      </c>
    </row>
    <row r="4467" spans="1:21" x14ac:dyDescent="0.25">
      <c r="A4467" s="405" t="s">
        <v>310</v>
      </c>
      <c r="B4467" s="405" t="s">
        <v>5443</v>
      </c>
      <c r="C4467" s="405" t="s">
        <v>327</v>
      </c>
      <c r="D4467" s="405"/>
      <c r="E4467" s="410">
        <v>42009</v>
      </c>
      <c r="F4467" s="410">
        <v>42054</v>
      </c>
      <c r="G4467" s="405" t="s">
        <v>5444</v>
      </c>
      <c r="H4467" s="405">
        <v>704124133</v>
      </c>
      <c r="I4467" s="405">
        <v>392967219</v>
      </c>
      <c r="J4467" s="405">
        <v>0.38200000000000001</v>
      </c>
      <c r="K4467" s="405">
        <v>32.570456999999998</v>
      </c>
      <c r="L4467" s="405" t="s">
        <v>314</v>
      </c>
      <c r="M4467" s="405" t="s">
        <v>992</v>
      </c>
      <c r="N4467" s="405" t="s">
        <v>362</v>
      </c>
      <c r="O4467" s="405" t="s">
        <v>5445</v>
      </c>
      <c r="P4467" s="405" t="s">
        <v>5446</v>
      </c>
      <c r="Q4467" s="411">
        <v>6</v>
      </c>
      <c r="R4467" s="405" t="s">
        <v>5336</v>
      </c>
      <c r="S4467" s="405" t="s">
        <v>27049</v>
      </c>
      <c r="T4467" s="405" t="s">
        <v>884</v>
      </c>
      <c r="U4467" s="405" t="s">
        <v>319</v>
      </c>
    </row>
    <row r="4468" spans="1:21" x14ac:dyDescent="0.25">
      <c r="A4468" s="405" t="s">
        <v>310</v>
      </c>
      <c r="B4468" s="405" t="s">
        <v>21858</v>
      </c>
      <c r="C4468" s="405" t="s">
        <v>327</v>
      </c>
      <c r="D4468" s="405"/>
      <c r="E4468" s="410">
        <v>42007</v>
      </c>
      <c r="F4468" s="410">
        <v>42052</v>
      </c>
      <c r="G4468" s="405" t="s">
        <v>21859</v>
      </c>
      <c r="H4468" s="405">
        <v>787883195</v>
      </c>
      <c r="I4468" s="405"/>
      <c r="J4468" s="405">
        <v>1.558433</v>
      </c>
      <c r="K4468" s="405">
        <v>31.329307</v>
      </c>
      <c r="L4468" s="405" t="s">
        <v>590</v>
      </c>
      <c r="M4468" s="405" t="s">
        <v>7300</v>
      </c>
      <c r="N4468" s="405" t="s">
        <v>19880</v>
      </c>
      <c r="O4468" s="405" t="s">
        <v>20508</v>
      </c>
      <c r="P4468" s="405" t="s">
        <v>21860</v>
      </c>
      <c r="Q4468" s="411">
        <v>6</v>
      </c>
      <c r="R4468" s="405" t="s">
        <v>5336</v>
      </c>
      <c r="S4468" s="405" t="s">
        <v>22481</v>
      </c>
      <c r="T4468" s="405" t="s">
        <v>884</v>
      </c>
      <c r="U4468" s="405" t="s">
        <v>319</v>
      </c>
    </row>
    <row r="4469" spans="1:21" x14ac:dyDescent="0.25">
      <c r="A4469" s="405" t="s">
        <v>310</v>
      </c>
      <c r="B4469" s="405" t="s">
        <v>5472</v>
      </c>
      <c r="C4469" s="405" t="s">
        <v>327</v>
      </c>
      <c r="D4469" s="405"/>
      <c r="E4469" s="410">
        <v>42007</v>
      </c>
      <c r="F4469" s="410">
        <v>42052</v>
      </c>
      <c r="G4469" s="405" t="s">
        <v>5473</v>
      </c>
      <c r="H4469" s="405">
        <v>772687163</v>
      </c>
      <c r="I4469" s="405"/>
      <c r="J4469" s="405">
        <v>0.59253999999999996</v>
      </c>
      <c r="K4469" s="405">
        <v>32.623223000000003</v>
      </c>
      <c r="L4469" s="405" t="s">
        <v>314</v>
      </c>
      <c r="M4469" s="405" t="s">
        <v>959</v>
      </c>
      <c r="N4469" s="405" t="s">
        <v>961</v>
      </c>
      <c r="O4469" s="405" t="s">
        <v>961</v>
      </c>
      <c r="P4469" s="405" t="s">
        <v>5474</v>
      </c>
      <c r="Q4469" s="411">
        <v>6</v>
      </c>
      <c r="R4469" s="405" t="s">
        <v>525</v>
      </c>
      <c r="S4469" s="405" t="s">
        <v>27228</v>
      </c>
      <c r="T4469" s="405" t="s">
        <v>884</v>
      </c>
      <c r="U4469" s="405" t="s">
        <v>319</v>
      </c>
    </row>
    <row r="4470" spans="1:21" x14ac:dyDescent="0.25">
      <c r="A4470" s="405" t="s">
        <v>310</v>
      </c>
      <c r="B4470" s="405" t="s">
        <v>27486</v>
      </c>
      <c r="C4470" s="405" t="s">
        <v>327</v>
      </c>
      <c r="D4470" s="405"/>
      <c r="E4470" s="410">
        <v>42006</v>
      </c>
      <c r="F4470" s="410">
        <v>42051</v>
      </c>
      <c r="G4470" s="405" t="s">
        <v>21861</v>
      </c>
      <c r="H4470" s="405">
        <v>772602233</v>
      </c>
      <c r="I4470" s="405"/>
      <c r="J4470" s="405">
        <v>0.76867799999999997</v>
      </c>
      <c r="K4470" s="405">
        <v>29.916612000000001</v>
      </c>
      <c r="L4470" s="405" t="s">
        <v>590</v>
      </c>
      <c r="M4470" s="405" t="s">
        <v>19619</v>
      </c>
      <c r="N4470" s="405" t="s">
        <v>19765</v>
      </c>
      <c r="O4470" s="405" t="s">
        <v>9881</v>
      </c>
      <c r="P4470" s="405" t="s">
        <v>21862</v>
      </c>
      <c r="Q4470" s="411">
        <v>9</v>
      </c>
      <c r="R4470" s="405" t="s">
        <v>5858</v>
      </c>
      <c r="S4470" s="405" t="s">
        <v>27098</v>
      </c>
      <c r="T4470" s="405" t="s">
        <v>32102</v>
      </c>
      <c r="U4470" s="405" t="s">
        <v>319</v>
      </c>
    </row>
    <row r="4471" spans="1:21" x14ac:dyDescent="0.25">
      <c r="A4471" s="405" t="s">
        <v>310</v>
      </c>
      <c r="B4471" s="405" t="s">
        <v>14302</v>
      </c>
      <c r="C4471" s="405" t="s">
        <v>327</v>
      </c>
      <c r="D4471" s="405"/>
      <c r="E4471" s="410">
        <v>42004</v>
      </c>
      <c r="F4471" s="410">
        <v>42049</v>
      </c>
      <c r="G4471" s="405" t="s">
        <v>14303</v>
      </c>
      <c r="H4471" s="405">
        <v>704024392</v>
      </c>
      <c r="I4471" s="405"/>
      <c r="J4471" s="405">
        <v>0.59805799999999998</v>
      </c>
      <c r="K4471" s="405">
        <v>33.460884999999998</v>
      </c>
      <c r="L4471" s="405" t="s">
        <v>6866</v>
      </c>
      <c r="M4471" s="405" t="s">
        <v>1120</v>
      </c>
      <c r="N4471" s="405" t="s">
        <v>11134</v>
      </c>
      <c r="O4471" s="405" t="s">
        <v>11135</v>
      </c>
      <c r="P4471" s="405" t="s">
        <v>14304</v>
      </c>
      <c r="Q4471" s="411">
        <v>13</v>
      </c>
      <c r="R4471" s="405" t="s">
        <v>333</v>
      </c>
      <c r="S4471" s="405" t="s">
        <v>27259</v>
      </c>
      <c r="T4471" s="405" t="s">
        <v>865</v>
      </c>
      <c r="U4471" s="405" t="s">
        <v>866</v>
      </c>
    </row>
    <row r="4472" spans="1:21" x14ac:dyDescent="0.25">
      <c r="A4472" s="405" t="s">
        <v>310</v>
      </c>
      <c r="B4472" s="405" t="s">
        <v>21882</v>
      </c>
      <c r="C4472" s="405" t="s">
        <v>327</v>
      </c>
      <c r="D4472" s="405"/>
      <c r="E4472" s="410">
        <v>42004</v>
      </c>
      <c r="F4472" s="410">
        <v>42049</v>
      </c>
      <c r="G4472" s="405" t="s">
        <v>21883</v>
      </c>
      <c r="H4472" s="405">
        <v>782663364</v>
      </c>
      <c r="I4472" s="405">
        <v>774949200</v>
      </c>
      <c r="J4472" s="405">
        <v>-0.14474699999999999</v>
      </c>
      <c r="K4472" s="405">
        <v>30.613030999999999</v>
      </c>
      <c r="L4472" s="405" t="s">
        <v>590</v>
      </c>
      <c r="M4472" s="405" t="s">
        <v>19705</v>
      </c>
      <c r="N4472" s="405" t="s">
        <v>21675</v>
      </c>
      <c r="O4472" s="405" t="s">
        <v>7898</v>
      </c>
      <c r="P4472" s="405" t="s">
        <v>21884</v>
      </c>
      <c r="Q4472" s="411">
        <v>9</v>
      </c>
      <c r="R4472" s="405" t="s">
        <v>874</v>
      </c>
      <c r="S4472" s="405" t="s">
        <v>27063</v>
      </c>
      <c r="T4472" s="405" t="s">
        <v>884</v>
      </c>
      <c r="U4472" s="405" t="s">
        <v>319</v>
      </c>
    </row>
    <row r="4473" spans="1:21" x14ac:dyDescent="0.25">
      <c r="A4473" s="405" t="s">
        <v>310</v>
      </c>
      <c r="B4473" s="405" t="s">
        <v>14300</v>
      </c>
      <c r="C4473" s="405" t="s">
        <v>327</v>
      </c>
      <c r="D4473" s="405"/>
      <c r="E4473" s="410">
        <v>42004</v>
      </c>
      <c r="F4473" s="410">
        <v>42049</v>
      </c>
      <c r="G4473" s="405" t="s">
        <v>14301</v>
      </c>
      <c r="H4473" s="405">
        <v>756255756</v>
      </c>
      <c r="I4473" s="405"/>
      <c r="J4473" s="405">
        <v>0.58494500000000005</v>
      </c>
      <c r="K4473" s="405">
        <v>33.452562999999998</v>
      </c>
      <c r="L4473" s="405" t="s">
        <v>6866</v>
      </c>
      <c r="M4473" s="405" t="s">
        <v>10853</v>
      </c>
      <c r="N4473" s="405" t="s">
        <v>11650</v>
      </c>
      <c r="O4473" s="405" t="s">
        <v>12669</v>
      </c>
      <c r="P4473" s="405" t="s">
        <v>13795</v>
      </c>
      <c r="Q4473" s="411">
        <v>9</v>
      </c>
      <c r="R4473" s="405" t="s">
        <v>318</v>
      </c>
      <c r="S4473" s="405" t="s">
        <v>27054</v>
      </c>
      <c r="T4473" s="405" t="s">
        <v>884</v>
      </c>
      <c r="U4473" s="405" t="s">
        <v>319</v>
      </c>
    </row>
    <row r="4474" spans="1:21" x14ac:dyDescent="0.25">
      <c r="A4474" s="405" t="s">
        <v>310</v>
      </c>
      <c r="B4474" s="405" t="s">
        <v>21912</v>
      </c>
      <c r="C4474" s="405" t="s">
        <v>327</v>
      </c>
      <c r="D4474" s="405"/>
      <c r="E4474" s="410">
        <v>42004</v>
      </c>
      <c r="F4474" s="410">
        <v>42049</v>
      </c>
      <c r="G4474" s="405" t="s">
        <v>21913</v>
      </c>
      <c r="H4474" s="405">
        <v>772966002</v>
      </c>
      <c r="I4474" s="405">
        <v>776583355</v>
      </c>
      <c r="J4474" s="405">
        <v>1.6836209</v>
      </c>
      <c r="K4474" s="405">
        <v>31.709392399999999</v>
      </c>
      <c r="L4474" s="405" t="s">
        <v>590</v>
      </c>
      <c r="M4474" s="405" t="s">
        <v>19608</v>
      </c>
      <c r="N4474" s="405" t="s">
        <v>19762</v>
      </c>
      <c r="O4474" s="405" t="s">
        <v>19780</v>
      </c>
      <c r="P4474" s="405" t="s">
        <v>21914</v>
      </c>
      <c r="Q4474" s="411">
        <v>9</v>
      </c>
      <c r="R4474" s="405" t="s">
        <v>318</v>
      </c>
      <c r="S4474" s="405" t="s">
        <v>22880</v>
      </c>
      <c r="T4474" s="405" t="s">
        <v>884</v>
      </c>
      <c r="U4474" s="405" t="s">
        <v>319</v>
      </c>
    </row>
    <row r="4475" spans="1:21" x14ac:dyDescent="0.25">
      <c r="A4475" s="405" t="s">
        <v>310</v>
      </c>
      <c r="B4475" s="405" t="s">
        <v>6021</v>
      </c>
      <c r="C4475" s="405" t="s">
        <v>311</v>
      </c>
      <c r="D4475" s="405" t="s">
        <v>839</v>
      </c>
      <c r="E4475" s="410">
        <v>42004</v>
      </c>
      <c r="F4475" s="410">
        <v>42049</v>
      </c>
      <c r="G4475" s="405" t="s">
        <v>6022</v>
      </c>
      <c r="H4475" s="405">
        <v>704793162</v>
      </c>
      <c r="I4475" s="405">
        <v>772488444</v>
      </c>
      <c r="J4475" s="405">
        <v>0.352968</v>
      </c>
      <c r="K4475" s="405">
        <v>32.818845000000003</v>
      </c>
      <c r="L4475" s="405" t="s">
        <v>314</v>
      </c>
      <c r="M4475" s="405" t="s">
        <v>329</v>
      </c>
      <c r="N4475" s="405" t="s">
        <v>545</v>
      </c>
      <c r="O4475" s="405" t="s">
        <v>546</v>
      </c>
      <c r="P4475" s="405" t="s">
        <v>6023</v>
      </c>
      <c r="Q4475" s="411">
        <v>9</v>
      </c>
      <c r="R4475" s="405" t="s">
        <v>525</v>
      </c>
      <c r="S4475" s="405" t="s">
        <v>27113</v>
      </c>
      <c r="T4475" s="405" t="s">
        <v>884</v>
      </c>
      <c r="U4475" s="405" t="s">
        <v>319</v>
      </c>
    </row>
    <row r="4476" spans="1:21" x14ac:dyDescent="0.25">
      <c r="A4476" s="405" t="s">
        <v>310</v>
      </c>
      <c r="B4476" s="405" t="s">
        <v>27724</v>
      </c>
      <c r="C4476" s="405" t="s">
        <v>311</v>
      </c>
      <c r="D4476" s="405" t="s">
        <v>6019</v>
      </c>
      <c r="E4476" s="410">
        <v>42004</v>
      </c>
      <c r="F4476" s="410">
        <v>42049</v>
      </c>
      <c r="G4476" s="405" t="s">
        <v>6020</v>
      </c>
      <c r="H4476" s="405">
        <v>782704494</v>
      </c>
      <c r="I4476" s="405">
        <v>775584576</v>
      </c>
      <c r="J4476" s="405">
        <v>0.37233699999999997</v>
      </c>
      <c r="K4476" s="405">
        <v>32.874617000000001</v>
      </c>
      <c r="L4476" s="405" t="s">
        <v>314</v>
      </c>
      <c r="M4476" s="405" t="s">
        <v>329</v>
      </c>
      <c r="N4476" s="405" t="s">
        <v>528</v>
      </c>
      <c r="O4476" s="405" t="s">
        <v>529</v>
      </c>
      <c r="P4476" s="405" t="s">
        <v>1456</v>
      </c>
      <c r="Q4476" s="411">
        <v>6</v>
      </c>
      <c r="R4476" s="405" t="s">
        <v>1263</v>
      </c>
      <c r="S4476" s="405" t="s">
        <v>27120</v>
      </c>
      <c r="T4476" s="405" t="s">
        <v>32102</v>
      </c>
      <c r="U4476" s="405" t="s">
        <v>319</v>
      </c>
    </row>
    <row r="4477" spans="1:21" x14ac:dyDescent="0.25">
      <c r="A4477" s="405" t="s">
        <v>310</v>
      </c>
      <c r="B4477" s="405" t="s">
        <v>28380</v>
      </c>
      <c r="C4477" s="405" t="s">
        <v>311</v>
      </c>
      <c r="D4477" s="405" t="s">
        <v>312</v>
      </c>
      <c r="E4477" s="410">
        <v>42004</v>
      </c>
      <c r="F4477" s="410">
        <v>42049</v>
      </c>
      <c r="G4477" s="405" t="s">
        <v>14659</v>
      </c>
      <c r="H4477" s="405">
        <v>784969200</v>
      </c>
      <c r="I4477" s="405"/>
      <c r="J4477" s="405">
        <v>1.1105449999999999</v>
      </c>
      <c r="K4477" s="405">
        <v>34.179986999999997</v>
      </c>
      <c r="L4477" s="405" t="s">
        <v>6866</v>
      </c>
      <c r="M4477" s="405" t="s">
        <v>9514</v>
      </c>
      <c r="N4477" s="405" t="s">
        <v>9529</v>
      </c>
      <c r="O4477" s="405" t="s">
        <v>9530</v>
      </c>
      <c r="P4477" s="405" t="s">
        <v>11874</v>
      </c>
      <c r="Q4477" s="411">
        <v>6</v>
      </c>
      <c r="R4477" s="405" t="s">
        <v>7224</v>
      </c>
      <c r="S4477" s="405" t="s">
        <v>27306</v>
      </c>
      <c r="T4477" s="405" t="s">
        <v>32102</v>
      </c>
      <c r="U4477" s="405" t="s">
        <v>319</v>
      </c>
    </row>
    <row r="4478" spans="1:21" x14ac:dyDescent="0.25">
      <c r="A4478" s="405" t="s">
        <v>310</v>
      </c>
      <c r="B4478" s="405" t="s">
        <v>28910</v>
      </c>
      <c r="C4478" s="405" t="s">
        <v>327</v>
      </c>
      <c r="D4478" s="405"/>
      <c r="E4478" s="410">
        <v>42004</v>
      </c>
      <c r="F4478" s="410">
        <v>42049</v>
      </c>
      <c r="G4478" s="405" t="s">
        <v>14291</v>
      </c>
      <c r="H4478" s="405">
        <v>774103384</v>
      </c>
      <c r="I4478" s="405"/>
      <c r="J4478" s="405">
        <v>1.173297</v>
      </c>
      <c r="K4478" s="405">
        <v>34.240772999999997</v>
      </c>
      <c r="L4478" s="405" t="s">
        <v>6866</v>
      </c>
      <c r="M4478" s="405" t="s">
        <v>9575</v>
      </c>
      <c r="N4478" s="405" t="s">
        <v>9852</v>
      </c>
      <c r="O4478" s="405" t="s">
        <v>9577</v>
      </c>
      <c r="P4478" s="405" t="s">
        <v>14292</v>
      </c>
      <c r="Q4478" s="411">
        <v>6</v>
      </c>
      <c r="R4478" s="405" t="s">
        <v>7224</v>
      </c>
      <c r="S4478" s="405" t="s">
        <v>27294</v>
      </c>
      <c r="T4478" s="405" t="s">
        <v>32102</v>
      </c>
      <c r="U4478" s="405" t="s">
        <v>319</v>
      </c>
    </row>
    <row r="4479" spans="1:21" x14ac:dyDescent="0.25">
      <c r="A4479" s="405" t="s">
        <v>310</v>
      </c>
      <c r="B4479" s="405" t="s">
        <v>21875</v>
      </c>
      <c r="C4479" s="405" t="s">
        <v>327</v>
      </c>
      <c r="D4479" s="405"/>
      <c r="E4479" s="410">
        <v>42004</v>
      </c>
      <c r="F4479" s="410">
        <v>42049</v>
      </c>
      <c r="G4479" s="405" t="s">
        <v>21876</v>
      </c>
      <c r="H4479" s="405">
        <v>777383065</v>
      </c>
      <c r="I4479" s="405"/>
      <c r="J4479" s="405">
        <v>3.8048999999999999E-2</v>
      </c>
      <c r="K4479" s="405">
        <v>29.898622</v>
      </c>
      <c r="L4479" s="405" t="s">
        <v>590</v>
      </c>
      <c r="M4479" s="405" t="s">
        <v>21087</v>
      </c>
      <c r="N4479" s="405" t="s">
        <v>21873</v>
      </c>
      <c r="O4479" s="405" t="s">
        <v>21877</v>
      </c>
      <c r="P4479" s="405" t="s">
        <v>21878</v>
      </c>
      <c r="Q4479" s="411">
        <v>6</v>
      </c>
      <c r="R4479" s="405" t="s">
        <v>883</v>
      </c>
      <c r="S4479" s="405" t="s">
        <v>27205</v>
      </c>
      <c r="T4479" s="405" t="s">
        <v>884</v>
      </c>
      <c r="U4479" s="405" t="s">
        <v>319</v>
      </c>
    </row>
    <row r="4480" spans="1:21" x14ac:dyDescent="0.25">
      <c r="A4480" s="405" t="s">
        <v>310</v>
      </c>
      <c r="B4480" s="405" t="s">
        <v>5464</v>
      </c>
      <c r="C4480" s="405" t="s">
        <v>327</v>
      </c>
      <c r="D4480" s="405"/>
      <c r="E4480" s="410">
        <v>42004</v>
      </c>
      <c r="F4480" s="410">
        <v>42049</v>
      </c>
      <c r="G4480" s="405" t="s">
        <v>5465</v>
      </c>
      <c r="H4480" s="405">
        <v>752973969</v>
      </c>
      <c r="I4480" s="405"/>
      <c r="J4480" s="405">
        <v>0.35796600000000001</v>
      </c>
      <c r="K4480" s="405">
        <v>32.751131999999998</v>
      </c>
      <c r="L4480" s="405" t="s">
        <v>314</v>
      </c>
      <c r="M4480" s="405" t="s">
        <v>329</v>
      </c>
      <c r="N4480" s="405" t="s">
        <v>330</v>
      </c>
      <c r="O4480" s="405" t="s">
        <v>331</v>
      </c>
      <c r="P4480" s="405" t="s">
        <v>5466</v>
      </c>
      <c r="Q4480" s="411">
        <v>6</v>
      </c>
      <c r="R4480" s="405" t="s">
        <v>318</v>
      </c>
      <c r="S4480" s="405" t="s">
        <v>414</v>
      </c>
      <c r="T4480" s="405" t="s">
        <v>884</v>
      </c>
      <c r="U4480" s="405" t="s">
        <v>319</v>
      </c>
    </row>
    <row r="4481" spans="1:21" x14ac:dyDescent="0.25">
      <c r="A4481" s="405" t="s">
        <v>310</v>
      </c>
      <c r="B4481" s="405" t="s">
        <v>14295</v>
      </c>
      <c r="C4481" s="405" t="s">
        <v>327</v>
      </c>
      <c r="D4481" s="405"/>
      <c r="E4481" s="410">
        <v>42004</v>
      </c>
      <c r="F4481" s="410">
        <v>42049</v>
      </c>
      <c r="G4481" s="405" t="s">
        <v>14296</v>
      </c>
      <c r="H4481" s="405">
        <v>753447030</v>
      </c>
      <c r="I4481" s="405"/>
      <c r="J4481" s="405">
        <v>1.966772</v>
      </c>
      <c r="K4481" s="405">
        <v>33.532209999999999</v>
      </c>
      <c r="L4481" s="405" t="s">
        <v>6866</v>
      </c>
      <c r="M4481" s="405" t="s">
        <v>10515</v>
      </c>
      <c r="N4481" s="405" t="s">
        <v>10525</v>
      </c>
      <c r="O4481" s="405" t="s">
        <v>13074</v>
      </c>
      <c r="P4481" s="405" t="s">
        <v>13074</v>
      </c>
      <c r="Q4481" s="411">
        <v>6</v>
      </c>
      <c r="R4481" s="405" t="s">
        <v>7224</v>
      </c>
      <c r="S4481" s="405" t="s">
        <v>27283</v>
      </c>
      <c r="T4481" s="405" t="s">
        <v>865</v>
      </c>
      <c r="U4481" s="405" t="s">
        <v>866</v>
      </c>
    </row>
    <row r="4482" spans="1:21" x14ac:dyDescent="0.25">
      <c r="A4482" s="405" t="s">
        <v>310</v>
      </c>
      <c r="B4482" s="405" t="s">
        <v>14293</v>
      </c>
      <c r="C4482" s="405" t="s">
        <v>327</v>
      </c>
      <c r="D4482" s="405"/>
      <c r="E4482" s="410">
        <v>42004</v>
      </c>
      <c r="F4482" s="410">
        <v>42049</v>
      </c>
      <c r="G4482" s="405" t="s">
        <v>14294</v>
      </c>
      <c r="H4482" s="405">
        <v>758682866</v>
      </c>
      <c r="I4482" s="405"/>
      <c r="J4482" s="405">
        <v>0.83831800000000001</v>
      </c>
      <c r="K4482" s="405">
        <v>33.804563999999999</v>
      </c>
      <c r="L4482" s="405" t="s">
        <v>6866</v>
      </c>
      <c r="M4482" s="405" t="s">
        <v>9566</v>
      </c>
      <c r="N4482" s="405" t="s">
        <v>9787</v>
      </c>
      <c r="O4482" s="405" t="s">
        <v>13884</v>
      </c>
      <c r="P4482" s="405" t="s">
        <v>13889</v>
      </c>
      <c r="Q4482" s="411">
        <v>6</v>
      </c>
      <c r="R4482" s="405" t="s">
        <v>5655</v>
      </c>
      <c r="S4482" s="405" t="s">
        <v>27184</v>
      </c>
      <c r="T4482" s="405" t="s">
        <v>884</v>
      </c>
      <c r="U4482" s="405" t="s">
        <v>319</v>
      </c>
    </row>
    <row r="4483" spans="1:21" x14ac:dyDescent="0.25">
      <c r="A4483" s="405" t="s">
        <v>310</v>
      </c>
      <c r="B4483" s="405" t="s">
        <v>21867</v>
      </c>
      <c r="C4483" s="405" t="s">
        <v>327</v>
      </c>
      <c r="D4483" s="405"/>
      <c r="E4483" s="410">
        <v>42004</v>
      </c>
      <c r="F4483" s="410">
        <v>42049</v>
      </c>
      <c r="G4483" s="405" t="s">
        <v>21868</v>
      </c>
      <c r="H4483" s="405">
        <v>772314419</v>
      </c>
      <c r="I4483" s="405"/>
      <c r="J4483" s="405">
        <v>6.4809999999999998E-3</v>
      </c>
      <c r="K4483" s="405">
        <v>29.903929999999999</v>
      </c>
      <c r="L4483" s="405" t="s">
        <v>590</v>
      </c>
      <c r="M4483" s="405" t="s">
        <v>21087</v>
      </c>
      <c r="N4483" s="405" t="s">
        <v>21515</v>
      </c>
      <c r="O4483" s="405" t="s">
        <v>21869</v>
      </c>
      <c r="P4483" s="405" t="s">
        <v>21870</v>
      </c>
      <c r="Q4483" s="411">
        <v>6</v>
      </c>
      <c r="R4483" s="405" t="s">
        <v>883</v>
      </c>
      <c r="S4483" s="405" t="s">
        <v>27183</v>
      </c>
      <c r="T4483" s="405" t="s">
        <v>865</v>
      </c>
      <c r="U4483" s="405" t="s">
        <v>866</v>
      </c>
    </row>
    <row r="4484" spans="1:21" x14ac:dyDescent="0.25">
      <c r="A4484" s="405" t="s">
        <v>310</v>
      </c>
      <c r="B4484" s="405" t="s">
        <v>21898</v>
      </c>
      <c r="C4484" s="405" t="s">
        <v>327</v>
      </c>
      <c r="D4484" s="405"/>
      <c r="E4484" s="410">
        <v>42004</v>
      </c>
      <c r="F4484" s="410">
        <v>42049</v>
      </c>
      <c r="G4484" s="405" t="s">
        <v>21899</v>
      </c>
      <c r="H4484" s="405">
        <v>782461399</v>
      </c>
      <c r="I4484" s="405"/>
      <c r="J4484" s="405">
        <v>-0.86529699999999998</v>
      </c>
      <c r="K4484" s="405">
        <v>30.264582000000001</v>
      </c>
      <c r="L4484" s="405" t="s">
        <v>590</v>
      </c>
      <c r="M4484" s="405" t="s">
        <v>19659</v>
      </c>
      <c r="N4484" s="405" t="s">
        <v>19681</v>
      </c>
      <c r="O4484" s="405" t="s">
        <v>9881</v>
      </c>
      <c r="P4484" s="405" t="s">
        <v>20294</v>
      </c>
      <c r="Q4484" s="411">
        <v>6</v>
      </c>
      <c r="R4484" s="405" t="s">
        <v>1527</v>
      </c>
      <c r="S4484" s="405" t="s">
        <v>27394</v>
      </c>
      <c r="T4484" s="405" t="s">
        <v>32102</v>
      </c>
      <c r="U4484" s="405" t="s">
        <v>319</v>
      </c>
    </row>
    <row r="4485" spans="1:21" x14ac:dyDescent="0.25">
      <c r="A4485" s="405" t="s">
        <v>310</v>
      </c>
      <c r="B4485" s="405" t="s">
        <v>6029</v>
      </c>
      <c r="C4485" s="405" t="s">
        <v>311</v>
      </c>
      <c r="D4485" s="405" t="s">
        <v>312</v>
      </c>
      <c r="E4485" s="410">
        <v>42004</v>
      </c>
      <c r="F4485" s="410">
        <v>42049</v>
      </c>
      <c r="G4485" s="405" t="s">
        <v>6030</v>
      </c>
      <c r="H4485" s="405">
        <v>772464344</v>
      </c>
      <c r="I4485" s="405"/>
      <c r="J4485" s="405">
        <v>0.37152499999999999</v>
      </c>
      <c r="K4485" s="405">
        <v>32.586086999999999</v>
      </c>
      <c r="L4485" s="405" t="s">
        <v>314</v>
      </c>
      <c r="M4485" s="405" t="s">
        <v>992</v>
      </c>
      <c r="N4485" s="405" t="s">
        <v>362</v>
      </c>
      <c r="O4485" s="405" t="s">
        <v>936</v>
      </c>
      <c r="P4485" s="405" t="s">
        <v>6031</v>
      </c>
      <c r="Q4485" s="411">
        <v>6</v>
      </c>
      <c r="R4485" s="405" t="s">
        <v>525</v>
      </c>
      <c r="S4485" s="405" t="s">
        <v>27153</v>
      </c>
      <c r="T4485" s="405" t="s">
        <v>884</v>
      </c>
      <c r="U4485" s="405" t="s">
        <v>319</v>
      </c>
    </row>
    <row r="4486" spans="1:21" x14ac:dyDescent="0.25">
      <c r="A4486" s="405" t="s">
        <v>310</v>
      </c>
      <c r="B4486" s="405" t="s">
        <v>21871</v>
      </c>
      <c r="C4486" s="405" t="s">
        <v>327</v>
      </c>
      <c r="D4486" s="405"/>
      <c r="E4486" s="410">
        <v>42004</v>
      </c>
      <c r="F4486" s="410">
        <v>42049</v>
      </c>
      <c r="G4486" s="405" t="s">
        <v>21872</v>
      </c>
      <c r="H4486" s="405">
        <v>758989661</v>
      </c>
      <c r="I4486" s="405"/>
      <c r="J4486" s="405">
        <v>9.3456999999999998E-2</v>
      </c>
      <c r="K4486" s="405">
        <v>29.924868</v>
      </c>
      <c r="L4486" s="405" t="s">
        <v>590</v>
      </c>
      <c r="M4486" s="405" t="s">
        <v>21087</v>
      </c>
      <c r="N4486" s="405" t="s">
        <v>21873</v>
      </c>
      <c r="O4486" s="405" t="s">
        <v>4036</v>
      </c>
      <c r="P4486" s="405" t="s">
        <v>21874</v>
      </c>
      <c r="Q4486" s="411">
        <v>6</v>
      </c>
      <c r="R4486" s="405" t="s">
        <v>883</v>
      </c>
      <c r="S4486" s="405" t="s">
        <v>27205</v>
      </c>
      <c r="T4486" s="405" t="s">
        <v>32102</v>
      </c>
      <c r="U4486" s="405" t="s">
        <v>319</v>
      </c>
    </row>
    <row r="4487" spans="1:21" x14ac:dyDescent="0.25">
      <c r="A4487" s="405" t="s">
        <v>310</v>
      </c>
      <c r="B4487" s="405" t="s">
        <v>21863</v>
      </c>
      <c r="C4487" s="405" t="s">
        <v>327</v>
      </c>
      <c r="D4487" s="405"/>
      <c r="E4487" s="410">
        <v>42004</v>
      </c>
      <c r="F4487" s="410">
        <v>42049</v>
      </c>
      <c r="G4487" s="405" t="s">
        <v>21864</v>
      </c>
      <c r="H4487" s="405">
        <v>772603483</v>
      </c>
      <c r="I4487" s="405"/>
      <c r="J4487" s="405">
        <v>0.29924000000000001</v>
      </c>
      <c r="K4487" s="405">
        <v>30.178259000000001</v>
      </c>
      <c r="L4487" s="405" t="s">
        <v>590</v>
      </c>
      <c r="M4487" s="405" t="s">
        <v>21087</v>
      </c>
      <c r="N4487" s="405" t="s">
        <v>21088</v>
      </c>
      <c r="O4487" s="405" t="s">
        <v>21865</v>
      </c>
      <c r="P4487" s="405" t="s">
        <v>21866</v>
      </c>
      <c r="Q4487" s="411">
        <v>6</v>
      </c>
      <c r="R4487" s="405" t="s">
        <v>883</v>
      </c>
      <c r="S4487" s="405" t="s">
        <v>27183</v>
      </c>
      <c r="T4487" s="405" t="s">
        <v>884</v>
      </c>
      <c r="U4487" s="405" t="s">
        <v>319</v>
      </c>
    </row>
    <row r="4488" spans="1:21" x14ac:dyDescent="0.25">
      <c r="A4488" s="405" t="s">
        <v>310</v>
      </c>
      <c r="B4488" s="405" t="s">
        <v>14297</v>
      </c>
      <c r="C4488" s="405" t="s">
        <v>327</v>
      </c>
      <c r="D4488" s="405"/>
      <c r="E4488" s="410">
        <v>42004</v>
      </c>
      <c r="F4488" s="410">
        <v>42049</v>
      </c>
      <c r="G4488" s="405" t="s">
        <v>14298</v>
      </c>
      <c r="H4488" s="405">
        <v>774646093</v>
      </c>
      <c r="I4488" s="405"/>
      <c r="J4488" s="405">
        <v>0.61866900000000002</v>
      </c>
      <c r="K4488" s="405">
        <v>34.143236000000002</v>
      </c>
      <c r="L4488" s="405" t="s">
        <v>6866</v>
      </c>
      <c r="M4488" s="405" t="s">
        <v>9534</v>
      </c>
      <c r="N4488" s="405" t="s">
        <v>10201</v>
      </c>
      <c r="O4488" s="405" t="s">
        <v>10202</v>
      </c>
      <c r="P4488" s="405" t="s">
        <v>14299</v>
      </c>
      <c r="Q4488" s="411">
        <v>6</v>
      </c>
      <c r="R4488" s="405" t="s">
        <v>7224</v>
      </c>
      <c r="S4488" s="405" t="s">
        <v>27259</v>
      </c>
      <c r="T4488" s="405" t="s">
        <v>884</v>
      </c>
      <c r="U4488" s="405" t="s">
        <v>319</v>
      </c>
    </row>
    <row r="4489" spans="1:21" x14ac:dyDescent="0.25">
      <c r="A4489" s="405" t="s">
        <v>310</v>
      </c>
      <c r="B4489" s="405" t="s">
        <v>5456</v>
      </c>
      <c r="C4489" s="405" t="s">
        <v>327</v>
      </c>
      <c r="D4489" s="405"/>
      <c r="E4489" s="410">
        <v>42004</v>
      </c>
      <c r="F4489" s="410">
        <v>42049</v>
      </c>
      <c r="G4489" s="405" t="s">
        <v>5457</v>
      </c>
      <c r="H4489" s="405">
        <v>751972584</v>
      </c>
      <c r="I4489" s="405"/>
      <c r="J4489" s="405">
        <v>-0.22476599999999999</v>
      </c>
      <c r="K4489" s="405">
        <v>31.391753000000001</v>
      </c>
      <c r="L4489" s="405" t="s">
        <v>314</v>
      </c>
      <c r="M4489" s="405" t="s">
        <v>343</v>
      </c>
      <c r="N4489" s="405" t="s">
        <v>344</v>
      </c>
      <c r="O4489" s="405" t="s">
        <v>727</v>
      </c>
      <c r="P4489" s="405" t="s">
        <v>5458</v>
      </c>
      <c r="Q4489" s="411">
        <v>6</v>
      </c>
      <c r="R4489" s="405" t="s">
        <v>1263</v>
      </c>
      <c r="S4489" s="405" t="s">
        <v>27200</v>
      </c>
      <c r="T4489" s="405" t="s">
        <v>865</v>
      </c>
      <c r="U4489" s="405" t="s">
        <v>866</v>
      </c>
    </row>
    <row r="4490" spans="1:21" x14ac:dyDescent="0.25">
      <c r="A4490" s="405" t="s">
        <v>310</v>
      </c>
      <c r="B4490" s="405" t="s">
        <v>14305</v>
      </c>
      <c r="C4490" s="405" t="s">
        <v>327</v>
      </c>
      <c r="D4490" s="405"/>
      <c r="E4490" s="410">
        <v>42003</v>
      </c>
      <c r="F4490" s="410">
        <v>42048</v>
      </c>
      <c r="G4490" s="405" t="s">
        <v>14306</v>
      </c>
      <c r="H4490" s="405">
        <v>772537916</v>
      </c>
      <c r="I4490" s="405"/>
      <c r="J4490" s="405">
        <v>1.518543</v>
      </c>
      <c r="K4490" s="405">
        <v>33.468024999999997</v>
      </c>
      <c r="L4490" s="405" t="s">
        <v>6866</v>
      </c>
      <c r="M4490" s="405" t="s">
        <v>9658</v>
      </c>
      <c r="N4490" s="405" t="s">
        <v>9658</v>
      </c>
      <c r="O4490" s="405" t="s">
        <v>14307</v>
      </c>
      <c r="P4490" s="405" t="s">
        <v>14308</v>
      </c>
      <c r="Q4490" s="411">
        <v>4</v>
      </c>
      <c r="R4490" s="405" t="s">
        <v>5655</v>
      </c>
      <c r="S4490" s="405" t="s">
        <v>27072</v>
      </c>
      <c r="T4490" s="405" t="s">
        <v>32102</v>
      </c>
      <c r="U4490" s="405" t="s">
        <v>319</v>
      </c>
    </row>
    <row r="4491" spans="1:21" x14ac:dyDescent="0.25">
      <c r="A4491" s="405" t="s">
        <v>310</v>
      </c>
      <c r="B4491" s="405" t="s">
        <v>5467</v>
      </c>
      <c r="C4491" s="405" t="s">
        <v>327</v>
      </c>
      <c r="D4491" s="405"/>
      <c r="E4491" s="410">
        <v>41995</v>
      </c>
      <c r="F4491" s="410">
        <v>42040</v>
      </c>
      <c r="G4491" s="405" t="s">
        <v>5468</v>
      </c>
      <c r="H4491" s="405">
        <v>704902876</v>
      </c>
      <c r="I4491" s="405"/>
      <c r="J4491" s="405">
        <v>0.790358</v>
      </c>
      <c r="K4491" s="405">
        <v>33.831957000000003</v>
      </c>
      <c r="L4491" s="405" t="s">
        <v>314</v>
      </c>
      <c r="M4491" s="405" t="s">
        <v>502</v>
      </c>
      <c r="N4491" s="405" t="s">
        <v>5469</v>
      </c>
      <c r="O4491" s="405" t="s">
        <v>5470</v>
      </c>
      <c r="P4491" s="405" t="s">
        <v>5471</v>
      </c>
      <c r="Q4491" s="411">
        <v>13</v>
      </c>
      <c r="R4491" s="405" t="s">
        <v>1263</v>
      </c>
      <c r="S4491" s="405" t="s">
        <v>27110</v>
      </c>
      <c r="T4491" s="405" t="s">
        <v>884</v>
      </c>
      <c r="U4491" s="405" t="s">
        <v>319</v>
      </c>
    </row>
    <row r="4492" spans="1:21" x14ac:dyDescent="0.25">
      <c r="A4492" s="405" t="s">
        <v>310</v>
      </c>
      <c r="B4492" s="405" t="s">
        <v>21907</v>
      </c>
      <c r="C4492" s="405" t="s">
        <v>327</v>
      </c>
      <c r="D4492" s="405"/>
      <c r="E4492" s="410">
        <v>41993</v>
      </c>
      <c r="F4492" s="410">
        <v>42038</v>
      </c>
      <c r="G4492" s="405" t="s">
        <v>21908</v>
      </c>
      <c r="H4492" s="405">
        <v>772574436</v>
      </c>
      <c r="I4492" s="405"/>
      <c r="J4492" s="405">
        <v>0.187726</v>
      </c>
      <c r="K4492" s="405">
        <v>30.042973</v>
      </c>
      <c r="L4492" s="405" t="s">
        <v>590</v>
      </c>
      <c r="M4492" s="405" t="s">
        <v>21087</v>
      </c>
      <c r="N4492" s="405" t="s">
        <v>21837</v>
      </c>
      <c r="O4492" s="405" t="s">
        <v>21837</v>
      </c>
      <c r="P4492" s="405" t="s">
        <v>21909</v>
      </c>
      <c r="Q4492" s="411">
        <v>9</v>
      </c>
      <c r="R4492" s="405" t="s">
        <v>1263</v>
      </c>
      <c r="S4492" s="405" t="s">
        <v>27041</v>
      </c>
      <c r="T4492" s="405" t="s">
        <v>884</v>
      </c>
      <c r="U4492" s="405" t="s">
        <v>319</v>
      </c>
    </row>
    <row r="4493" spans="1:21" x14ac:dyDescent="0.25">
      <c r="A4493" s="405" t="s">
        <v>310</v>
      </c>
      <c r="B4493" s="405" t="s">
        <v>14309</v>
      </c>
      <c r="C4493" s="405" t="s">
        <v>327</v>
      </c>
      <c r="D4493" s="405"/>
      <c r="E4493" s="410">
        <v>41993</v>
      </c>
      <c r="F4493" s="410">
        <v>42038</v>
      </c>
      <c r="G4493" s="405" t="s">
        <v>14310</v>
      </c>
      <c r="H4493" s="405">
        <v>772458388</v>
      </c>
      <c r="I4493" s="405"/>
      <c r="J4493" s="405">
        <v>1.1587829999999999</v>
      </c>
      <c r="K4493" s="405">
        <v>33.765687999999997</v>
      </c>
      <c r="L4493" s="405" t="s">
        <v>6866</v>
      </c>
      <c r="M4493" s="405" t="s">
        <v>9509</v>
      </c>
      <c r="N4493" s="405" t="s">
        <v>14311</v>
      </c>
      <c r="O4493" s="405" t="s">
        <v>14311</v>
      </c>
      <c r="P4493" s="405" t="s">
        <v>14312</v>
      </c>
      <c r="Q4493" s="411">
        <v>9</v>
      </c>
      <c r="R4493" s="405" t="s">
        <v>7224</v>
      </c>
      <c r="S4493" s="405" t="s">
        <v>27259</v>
      </c>
      <c r="T4493" s="405" t="s">
        <v>884</v>
      </c>
      <c r="U4493" s="405" t="s">
        <v>319</v>
      </c>
    </row>
    <row r="4494" spans="1:21" x14ac:dyDescent="0.25">
      <c r="A4494" s="405" t="s">
        <v>310</v>
      </c>
      <c r="B4494" s="405" t="s">
        <v>21900</v>
      </c>
      <c r="C4494" s="405" t="s">
        <v>327</v>
      </c>
      <c r="D4494" s="405"/>
      <c r="E4494" s="410">
        <v>41992</v>
      </c>
      <c r="F4494" s="410">
        <v>42037</v>
      </c>
      <c r="G4494" s="405" t="s">
        <v>21901</v>
      </c>
      <c r="H4494" s="405">
        <v>782775173</v>
      </c>
      <c r="I4494" s="405"/>
      <c r="J4494" s="405">
        <v>0.214112</v>
      </c>
      <c r="K4494" s="405">
        <v>30.148755000000001</v>
      </c>
      <c r="L4494" s="405" t="s">
        <v>590</v>
      </c>
      <c r="M4494" s="405" t="s">
        <v>21087</v>
      </c>
      <c r="N4494" s="405" t="s">
        <v>21902</v>
      </c>
      <c r="O4494" s="405" t="s">
        <v>21902</v>
      </c>
      <c r="P4494" s="405" t="s">
        <v>21903</v>
      </c>
      <c r="Q4494" s="411">
        <v>9</v>
      </c>
      <c r="R4494" s="405" t="s">
        <v>1263</v>
      </c>
      <c r="S4494" s="405" t="s">
        <v>27181</v>
      </c>
      <c r="T4494" s="405" t="s">
        <v>32102</v>
      </c>
      <c r="U4494" s="405" t="s">
        <v>319</v>
      </c>
    </row>
    <row r="4495" spans="1:21" x14ac:dyDescent="0.25">
      <c r="A4495" s="405" t="s">
        <v>310</v>
      </c>
      <c r="B4495" s="405" t="s">
        <v>18913</v>
      </c>
      <c r="C4495" s="405" t="s">
        <v>327</v>
      </c>
      <c r="D4495" s="405"/>
      <c r="E4495" s="410">
        <v>41992</v>
      </c>
      <c r="F4495" s="410">
        <v>42037</v>
      </c>
      <c r="G4495" s="405" t="s">
        <v>18914</v>
      </c>
      <c r="H4495" s="405">
        <v>784415511</v>
      </c>
      <c r="I4495" s="405"/>
      <c r="J4495" s="405">
        <v>2.2736329999999998</v>
      </c>
      <c r="K4495" s="405">
        <v>32.874898000000002</v>
      </c>
      <c r="L4495" s="405" t="s">
        <v>860</v>
      </c>
      <c r="M4495" s="405" t="s">
        <v>18234</v>
      </c>
      <c r="N4495" s="405" t="s">
        <v>18252</v>
      </c>
      <c r="O4495" s="405" t="s">
        <v>18908</v>
      </c>
      <c r="P4495" s="405" t="s">
        <v>18915</v>
      </c>
      <c r="Q4495" s="411">
        <v>6</v>
      </c>
      <c r="R4495" s="405" t="s">
        <v>5336</v>
      </c>
      <c r="S4495" s="405" t="s">
        <v>27243</v>
      </c>
      <c r="T4495" s="405" t="s">
        <v>884</v>
      </c>
      <c r="U4495" s="405" t="s">
        <v>319</v>
      </c>
    </row>
    <row r="4496" spans="1:21" x14ac:dyDescent="0.25">
      <c r="A4496" s="405" t="s">
        <v>310</v>
      </c>
      <c r="B4496" s="405" t="s">
        <v>14283</v>
      </c>
      <c r="C4496" s="405" t="s">
        <v>327</v>
      </c>
      <c r="D4496" s="405"/>
      <c r="E4496" s="410">
        <v>41990</v>
      </c>
      <c r="F4496" s="410">
        <v>42035</v>
      </c>
      <c r="G4496" s="405" t="s">
        <v>14284</v>
      </c>
      <c r="H4496" s="405">
        <v>772514966</v>
      </c>
      <c r="I4496" s="405"/>
      <c r="J4496" s="405">
        <v>1.219978</v>
      </c>
      <c r="K4496" s="405">
        <v>33.799720000000001</v>
      </c>
      <c r="L4496" s="405" t="s">
        <v>6866</v>
      </c>
      <c r="M4496" s="405" t="s">
        <v>9509</v>
      </c>
      <c r="N4496" s="405" t="s">
        <v>7352</v>
      </c>
      <c r="O4496" s="405" t="s">
        <v>7352</v>
      </c>
      <c r="P4496" s="405" t="s">
        <v>14285</v>
      </c>
      <c r="Q4496" s="411">
        <v>6</v>
      </c>
      <c r="R4496" s="405" t="s">
        <v>7224</v>
      </c>
      <c r="S4496" s="405" t="s">
        <v>17062</v>
      </c>
      <c r="T4496" s="405" t="s">
        <v>884</v>
      </c>
      <c r="U4496" s="405" t="s">
        <v>319</v>
      </c>
    </row>
    <row r="4497" spans="1:21" x14ac:dyDescent="0.25">
      <c r="A4497" s="405" t="s">
        <v>310</v>
      </c>
      <c r="B4497" s="405" t="s">
        <v>22098</v>
      </c>
      <c r="C4497" s="405" t="s">
        <v>311</v>
      </c>
      <c r="D4497" s="405" t="s">
        <v>312</v>
      </c>
      <c r="E4497" s="410">
        <v>41989</v>
      </c>
      <c r="F4497" s="410">
        <v>42034</v>
      </c>
      <c r="G4497" s="405" t="s">
        <v>22099</v>
      </c>
      <c r="H4497" s="405">
        <v>772624683</v>
      </c>
      <c r="I4497" s="405"/>
      <c r="J4497" s="405">
        <v>0.139075</v>
      </c>
      <c r="K4497" s="405">
        <v>30.046768</v>
      </c>
      <c r="L4497" s="405" t="s">
        <v>590</v>
      </c>
      <c r="M4497" s="405" t="s">
        <v>21087</v>
      </c>
      <c r="N4497" s="405" t="s">
        <v>22100</v>
      </c>
      <c r="O4497" s="405" t="s">
        <v>22100</v>
      </c>
      <c r="P4497" s="405" t="s">
        <v>22101</v>
      </c>
      <c r="Q4497" s="411">
        <v>9</v>
      </c>
      <c r="R4497" s="405" t="s">
        <v>1263</v>
      </c>
      <c r="S4497" s="405" t="s">
        <v>27053</v>
      </c>
      <c r="T4497" s="405" t="s">
        <v>884</v>
      </c>
      <c r="U4497" s="405" t="s">
        <v>319</v>
      </c>
    </row>
    <row r="4498" spans="1:21" x14ac:dyDescent="0.25">
      <c r="A4498" s="405" t="s">
        <v>310</v>
      </c>
      <c r="B4498" s="405" t="s">
        <v>27964</v>
      </c>
      <c r="C4498" s="405" t="s">
        <v>327</v>
      </c>
      <c r="D4498" s="405"/>
      <c r="E4498" s="410">
        <v>41989</v>
      </c>
      <c r="F4498" s="410">
        <v>42034</v>
      </c>
      <c r="G4498" s="405" t="s">
        <v>21849</v>
      </c>
      <c r="H4498" s="405">
        <v>771449982</v>
      </c>
      <c r="I4498" s="405"/>
      <c r="J4498" s="405">
        <v>0.22366800000000001</v>
      </c>
      <c r="K4498" s="405">
        <v>30.114833000000001</v>
      </c>
      <c r="L4498" s="405" t="s">
        <v>590</v>
      </c>
      <c r="M4498" s="405" t="s">
        <v>21087</v>
      </c>
      <c r="N4498" s="405" t="s">
        <v>21850</v>
      </c>
      <c r="O4498" s="405" t="s">
        <v>21850</v>
      </c>
      <c r="P4498" s="405" t="s">
        <v>21851</v>
      </c>
      <c r="Q4498" s="411">
        <v>9</v>
      </c>
      <c r="R4498" s="405" t="s">
        <v>1263</v>
      </c>
      <c r="S4498" s="405" t="s">
        <v>27154</v>
      </c>
      <c r="T4498" s="405" t="s">
        <v>884</v>
      </c>
      <c r="U4498" s="405" t="s">
        <v>319</v>
      </c>
    </row>
    <row r="4499" spans="1:21" x14ac:dyDescent="0.25">
      <c r="A4499" s="405" t="s">
        <v>310</v>
      </c>
      <c r="B4499" s="405" t="s">
        <v>21828</v>
      </c>
      <c r="C4499" s="405" t="s">
        <v>327</v>
      </c>
      <c r="D4499" s="405"/>
      <c r="E4499" s="410">
        <v>41989</v>
      </c>
      <c r="F4499" s="410">
        <v>42034</v>
      </c>
      <c r="G4499" s="405" t="s">
        <v>21829</v>
      </c>
      <c r="H4499" s="405">
        <v>777221732</v>
      </c>
      <c r="I4499" s="405"/>
      <c r="J4499" s="405">
        <v>0.27471899999999999</v>
      </c>
      <c r="K4499" s="405">
        <v>34.097476999999998</v>
      </c>
      <c r="L4499" s="405" t="s">
        <v>590</v>
      </c>
      <c r="M4499" s="405" t="s">
        <v>7300</v>
      </c>
      <c r="N4499" s="405" t="s">
        <v>20931</v>
      </c>
      <c r="O4499" s="405" t="s">
        <v>20931</v>
      </c>
      <c r="P4499" s="405" t="s">
        <v>21800</v>
      </c>
      <c r="Q4499" s="411">
        <v>9</v>
      </c>
      <c r="R4499" s="405" t="s">
        <v>5336</v>
      </c>
      <c r="S4499" s="405" t="s">
        <v>22481</v>
      </c>
      <c r="T4499" s="405" t="s">
        <v>32102</v>
      </c>
      <c r="U4499" s="405" t="s">
        <v>319</v>
      </c>
    </row>
    <row r="4500" spans="1:21" x14ac:dyDescent="0.25">
      <c r="A4500" s="405" t="s">
        <v>310</v>
      </c>
      <c r="B4500" s="405" t="s">
        <v>28644</v>
      </c>
      <c r="C4500" s="405" t="s">
        <v>327</v>
      </c>
      <c r="D4500" s="405"/>
      <c r="E4500" s="410">
        <v>41988</v>
      </c>
      <c r="F4500" s="410">
        <v>42033</v>
      </c>
      <c r="G4500" s="405" t="s">
        <v>21830</v>
      </c>
      <c r="H4500" s="405">
        <v>784729392</v>
      </c>
      <c r="I4500" s="405"/>
      <c r="J4500" s="405">
        <v>0.11605500000000001</v>
      </c>
      <c r="K4500" s="405">
        <v>30.794832</v>
      </c>
      <c r="L4500" s="405" t="s">
        <v>590</v>
      </c>
      <c r="M4500" s="405" t="s">
        <v>19705</v>
      </c>
      <c r="N4500" s="405" t="s">
        <v>2250</v>
      </c>
      <c r="O4500" s="405" t="s">
        <v>21831</v>
      </c>
      <c r="P4500" s="405" t="s">
        <v>21831</v>
      </c>
      <c r="Q4500" s="411">
        <v>13</v>
      </c>
      <c r="R4500" s="405" t="s">
        <v>874</v>
      </c>
      <c r="S4500" s="405" t="s">
        <v>27063</v>
      </c>
      <c r="T4500" s="405" t="s">
        <v>32102</v>
      </c>
      <c r="U4500" s="405" t="s">
        <v>319</v>
      </c>
    </row>
    <row r="4501" spans="1:21" x14ac:dyDescent="0.25">
      <c r="A4501" s="405" t="s">
        <v>310</v>
      </c>
      <c r="B4501" s="405" t="s">
        <v>21846</v>
      </c>
      <c r="C4501" s="405" t="s">
        <v>327</v>
      </c>
      <c r="D4501" s="405"/>
      <c r="E4501" s="410">
        <v>41986</v>
      </c>
      <c r="F4501" s="410">
        <v>42031</v>
      </c>
      <c r="G4501" s="405" t="s">
        <v>21847</v>
      </c>
      <c r="H4501" s="405">
        <v>772884402</v>
      </c>
      <c r="I4501" s="405"/>
      <c r="J4501" s="405">
        <v>0.187477</v>
      </c>
      <c r="K4501" s="405">
        <v>30.045687999999998</v>
      </c>
      <c r="L4501" s="405" t="s">
        <v>590</v>
      </c>
      <c r="M4501" s="405" t="s">
        <v>21087</v>
      </c>
      <c r="N4501" s="405" t="s">
        <v>21837</v>
      </c>
      <c r="O4501" s="405" t="s">
        <v>21837</v>
      </c>
      <c r="P4501" s="405" t="s">
        <v>21848</v>
      </c>
      <c r="Q4501" s="411">
        <v>9</v>
      </c>
      <c r="R4501" s="405" t="s">
        <v>1263</v>
      </c>
      <c r="S4501" s="405" t="s">
        <v>27041</v>
      </c>
      <c r="T4501" s="405" t="s">
        <v>32102</v>
      </c>
      <c r="U4501" s="405" t="s">
        <v>319</v>
      </c>
    </row>
    <row r="4502" spans="1:21" x14ac:dyDescent="0.25">
      <c r="A4502" s="405" t="s">
        <v>310</v>
      </c>
      <c r="B4502" s="405" t="s">
        <v>27682</v>
      </c>
      <c r="C4502" s="405" t="s">
        <v>311</v>
      </c>
      <c r="D4502" s="405" t="s">
        <v>312</v>
      </c>
      <c r="E4502" s="410">
        <v>41985</v>
      </c>
      <c r="F4502" s="410">
        <v>42030</v>
      </c>
      <c r="G4502" s="405" t="s">
        <v>5976</v>
      </c>
      <c r="H4502" s="405">
        <v>776763330</v>
      </c>
      <c r="I4502" s="405"/>
      <c r="J4502" s="405">
        <v>0.60834699999999997</v>
      </c>
      <c r="K4502" s="405">
        <v>32.637588000000001</v>
      </c>
      <c r="L4502" s="405" t="s">
        <v>314</v>
      </c>
      <c r="M4502" s="405" t="s">
        <v>992</v>
      </c>
      <c r="N4502" s="405" t="s">
        <v>2514</v>
      </c>
      <c r="O4502" s="405" t="s">
        <v>2514</v>
      </c>
      <c r="P4502" s="405" t="s">
        <v>703</v>
      </c>
      <c r="Q4502" s="411">
        <v>13</v>
      </c>
      <c r="R4502" s="405" t="s">
        <v>5336</v>
      </c>
      <c r="S4502" s="405" t="s">
        <v>27153</v>
      </c>
      <c r="T4502" s="405" t="s">
        <v>884</v>
      </c>
      <c r="U4502" s="405" t="s">
        <v>319</v>
      </c>
    </row>
    <row r="4503" spans="1:21" x14ac:dyDescent="0.25">
      <c r="A4503" s="405" t="s">
        <v>310</v>
      </c>
      <c r="B4503" s="405" t="s">
        <v>28421</v>
      </c>
      <c r="C4503" s="405" t="s">
        <v>327</v>
      </c>
      <c r="D4503" s="405"/>
      <c r="E4503" s="410">
        <v>41983</v>
      </c>
      <c r="F4503" s="410">
        <v>42028</v>
      </c>
      <c r="G4503" s="405" t="s">
        <v>5441</v>
      </c>
      <c r="H4503" s="405">
        <v>772460327</v>
      </c>
      <c r="I4503" s="405"/>
      <c r="J4503" s="405">
        <v>0.38669700000000001</v>
      </c>
      <c r="K4503" s="405">
        <v>32.707566999999997</v>
      </c>
      <c r="L4503" s="405" t="s">
        <v>314</v>
      </c>
      <c r="M4503" s="405" t="s">
        <v>329</v>
      </c>
      <c r="N4503" s="405" t="s">
        <v>5442</v>
      </c>
      <c r="O4503" s="405" t="s">
        <v>787</v>
      </c>
      <c r="P4503" s="405" t="s">
        <v>1443</v>
      </c>
      <c r="Q4503" s="411">
        <v>9</v>
      </c>
      <c r="R4503" s="405" t="s">
        <v>5336</v>
      </c>
      <c r="S4503" s="405" t="s">
        <v>27049</v>
      </c>
      <c r="T4503" s="405" t="s">
        <v>32102</v>
      </c>
      <c r="U4503" s="405" t="s">
        <v>319</v>
      </c>
    </row>
    <row r="4504" spans="1:21" x14ac:dyDescent="0.25">
      <c r="A4504" s="405" t="s">
        <v>310</v>
      </c>
      <c r="B4504" s="405" t="s">
        <v>5398</v>
      </c>
      <c r="C4504" s="405" t="s">
        <v>327</v>
      </c>
      <c r="D4504" s="405"/>
      <c r="E4504" s="410">
        <v>41981</v>
      </c>
      <c r="F4504" s="410">
        <v>42026</v>
      </c>
      <c r="G4504" s="405" t="s">
        <v>5399</v>
      </c>
      <c r="H4504" s="405">
        <v>706395722</v>
      </c>
      <c r="I4504" s="405"/>
      <c r="J4504" s="405">
        <v>0.455347</v>
      </c>
      <c r="K4504" s="405">
        <v>32.538156999999998</v>
      </c>
      <c r="L4504" s="405" t="s">
        <v>314</v>
      </c>
      <c r="M4504" s="405" t="s">
        <v>361</v>
      </c>
      <c r="N4504" s="405" t="s">
        <v>5400</v>
      </c>
      <c r="O4504" s="405" t="s">
        <v>5401</v>
      </c>
      <c r="P4504" s="405" t="s">
        <v>5402</v>
      </c>
      <c r="Q4504" s="411">
        <v>13</v>
      </c>
      <c r="R4504" s="405" t="s">
        <v>5336</v>
      </c>
      <c r="S4504" s="405" t="s">
        <v>27243</v>
      </c>
      <c r="T4504" s="405" t="s">
        <v>865</v>
      </c>
      <c r="U4504" s="405" t="s">
        <v>866</v>
      </c>
    </row>
    <row r="4505" spans="1:21" x14ac:dyDescent="0.25">
      <c r="A4505" s="405" t="s">
        <v>310</v>
      </c>
      <c r="B4505" s="405" t="s">
        <v>28218</v>
      </c>
      <c r="C4505" s="405" t="s">
        <v>311</v>
      </c>
      <c r="D4505" s="405" t="s">
        <v>932</v>
      </c>
      <c r="E4505" s="410">
        <v>41981</v>
      </c>
      <c r="F4505" s="410">
        <v>42026</v>
      </c>
      <c r="G4505" s="405" t="s">
        <v>22081</v>
      </c>
      <c r="H4505" s="405">
        <v>782544198</v>
      </c>
      <c r="I4505" s="405"/>
      <c r="J4505" s="405">
        <v>0.397758</v>
      </c>
      <c r="K4505" s="405">
        <v>30.513110000000001</v>
      </c>
      <c r="L4505" s="405" t="s">
        <v>590</v>
      </c>
      <c r="M4505" s="405" t="s">
        <v>19720</v>
      </c>
      <c r="N4505" s="405" t="s">
        <v>19671</v>
      </c>
      <c r="O4505" s="405" t="s">
        <v>19671</v>
      </c>
      <c r="P4505" s="405" t="s">
        <v>19671</v>
      </c>
      <c r="Q4505" s="411">
        <v>6</v>
      </c>
      <c r="R4505" s="405" t="s">
        <v>6572</v>
      </c>
      <c r="S4505" s="405" t="s">
        <v>27161</v>
      </c>
      <c r="T4505" s="405" t="s">
        <v>32102</v>
      </c>
      <c r="U4505" s="405" t="s">
        <v>319</v>
      </c>
    </row>
    <row r="4506" spans="1:21" x14ac:dyDescent="0.25">
      <c r="A4506" s="405" t="s">
        <v>310</v>
      </c>
      <c r="B4506" s="405" t="s">
        <v>27828</v>
      </c>
      <c r="C4506" s="405" t="s">
        <v>327</v>
      </c>
      <c r="D4506" s="405"/>
      <c r="E4506" s="410">
        <v>41979</v>
      </c>
      <c r="F4506" s="410">
        <v>42024</v>
      </c>
      <c r="G4506" s="405" t="s">
        <v>21841</v>
      </c>
      <c r="H4506" s="405">
        <v>782028003</v>
      </c>
      <c r="I4506" s="405"/>
      <c r="J4506" s="405">
        <v>0.187998</v>
      </c>
      <c r="K4506" s="405">
        <v>30.066151999999999</v>
      </c>
      <c r="L4506" s="405" t="s">
        <v>590</v>
      </c>
      <c r="M4506" s="405" t="s">
        <v>21087</v>
      </c>
      <c r="N4506" s="405" t="s">
        <v>21837</v>
      </c>
      <c r="O4506" s="405" t="s">
        <v>21837</v>
      </c>
      <c r="P4506" s="405" t="s">
        <v>21834</v>
      </c>
      <c r="Q4506" s="411">
        <v>9</v>
      </c>
      <c r="R4506" s="405" t="s">
        <v>1263</v>
      </c>
      <c r="S4506" s="405" t="s">
        <v>27181</v>
      </c>
      <c r="T4506" s="405" t="s">
        <v>32102</v>
      </c>
      <c r="U4506" s="405" t="s">
        <v>319</v>
      </c>
    </row>
    <row r="4507" spans="1:21" x14ac:dyDescent="0.25">
      <c r="A4507" s="405" t="s">
        <v>310</v>
      </c>
      <c r="B4507" s="405" t="s">
        <v>21832</v>
      </c>
      <c r="C4507" s="405" t="s">
        <v>327</v>
      </c>
      <c r="D4507" s="405"/>
      <c r="E4507" s="410">
        <v>41979</v>
      </c>
      <c r="F4507" s="410">
        <v>42024</v>
      </c>
      <c r="G4507" s="405" t="s">
        <v>21833</v>
      </c>
      <c r="H4507" s="405">
        <v>772368840</v>
      </c>
      <c r="I4507" s="405"/>
      <c r="J4507" s="405">
        <v>0.188053</v>
      </c>
      <c r="K4507" s="405">
        <v>30.066697000000001</v>
      </c>
      <c r="L4507" s="405" t="s">
        <v>590</v>
      </c>
      <c r="M4507" s="405" t="s">
        <v>21087</v>
      </c>
      <c r="N4507" s="405" t="s">
        <v>4147</v>
      </c>
      <c r="O4507" s="405" t="s">
        <v>4147</v>
      </c>
      <c r="P4507" s="405" t="s">
        <v>21834</v>
      </c>
      <c r="Q4507" s="411">
        <v>9</v>
      </c>
      <c r="R4507" s="405" t="s">
        <v>1263</v>
      </c>
      <c r="S4507" s="405" t="s">
        <v>27154</v>
      </c>
      <c r="T4507" s="405" t="s">
        <v>32102</v>
      </c>
      <c r="U4507" s="405" t="s">
        <v>319</v>
      </c>
    </row>
    <row r="4508" spans="1:21" x14ac:dyDescent="0.25">
      <c r="A4508" s="405" t="s">
        <v>310</v>
      </c>
      <c r="B4508" s="405" t="s">
        <v>21842</v>
      </c>
      <c r="C4508" s="405" t="s">
        <v>327</v>
      </c>
      <c r="D4508" s="405"/>
      <c r="E4508" s="410">
        <v>41979</v>
      </c>
      <c r="F4508" s="410">
        <v>42024</v>
      </c>
      <c r="G4508" s="405" t="s">
        <v>21843</v>
      </c>
      <c r="H4508" s="405">
        <v>772373531</v>
      </c>
      <c r="I4508" s="405"/>
      <c r="J4508" s="405">
        <v>0.18498200000000001</v>
      </c>
      <c r="K4508" s="405">
        <v>30.045157</v>
      </c>
      <c r="L4508" s="405" t="s">
        <v>590</v>
      </c>
      <c r="M4508" s="405" t="s">
        <v>21087</v>
      </c>
      <c r="N4508" s="405" t="s">
        <v>21837</v>
      </c>
      <c r="O4508" s="405" t="s">
        <v>21837</v>
      </c>
      <c r="P4508" s="405" t="s">
        <v>21844</v>
      </c>
      <c r="Q4508" s="411">
        <v>9</v>
      </c>
      <c r="R4508" s="405" t="s">
        <v>1263</v>
      </c>
      <c r="S4508" s="405" t="s">
        <v>27041</v>
      </c>
      <c r="T4508" s="405" t="s">
        <v>884</v>
      </c>
      <c r="U4508" s="405" t="s">
        <v>319</v>
      </c>
    </row>
    <row r="4509" spans="1:21" x14ac:dyDescent="0.25">
      <c r="A4509" s="405" t="s">
        <v>310</v>
      </c>
      <c r="B4509" s="405" t="s">
        <v>21835</v>
      </c>
      <c r="C4509" s="405" t="s">
        <v>327</v>
      </c>
      <c r="D4509" s="405"/>
      <c r="E4509" s="410">
        <v>41979</v>
      </c>
      <c r="F4509" s="410">
        <v>42024</v>
      </c>
      <c r="G4509" s="405" t="s">
        <v>21836</v>
      </c>
      <c r="H4509" s="405">
        <v>772554918</v>
      </c>
      <c r="I4509" s="405"/>
      <c r="J4509" s="405">
        <v>0.18781700000000001</v>
      </c>
      <c r="K4509" s="405">
        <v>30.053152999999998</v>
      </c>
      <c r="L4509" s="405" t="s">
        <v>590</v>
      </c>
      <c r="M4509" s="405" t="s">
        <v>21087</v>
      </c>
      <c r="N4509" s="405" t="s">
        <v>21837</v>
      </c>
      <c r="O4509" s="405" t="s">
        <v>21837</v>
      </c>
      <c r="P4509" s="405" t="s">
        <v>21838</v>
      </c>
      <c r="Q4509" s="411">
        <v>9</v>
      </c>
      <c r="R4509" s="405" t="s">
        <v>1263</v>
      </c>
      <c r="S4509" s="405" t="s">
        <v>27178</v>
      </c>
      <c r="T4509" s="405" t="s">
        <v>32102</v>
      </c>
      <c r="U4509" s="405" t="s">
        <v>319</v>
      </c>
    </row>
    <row r="4510" spans="1:21" x14ac:dyDescent="0.25">
      <c r="A4510" s="405" t="s">
        <v>310</v>
      </c>
      <c r="B4510" s="405" t="s">
        <v>21839</v>
      </c>
      <c r="C4510" s="405" t="s">
        <v>327</v>
      </c>
      <c r="D4510" s="405"/>
      <c r="E4510" s="410">
        <v>41979</v>
      </c>
      <c r="F4510" s="410">
        <v>42024</v>
      </c>
      <c r="G4510" s="405" t="s">
        <v>21840</v>
      </c>
      <c r="H4510" s="405">
        <v>779483237</v>
      </c>
      <c r="I4510" s="405"/>
      <c r="J4510" s="405">
        <v>0.188333</v>
      </c>
      <c r="K4510" s="405">
        <v>30.051680000000001</v>
      </c>
      <c r="L4510" s="405" t="s">
        <v>590</v>
      </c>
      <c r="M4510" s="405" t="s">
        <v>21087</v>
      </c>
      <c r="N4510" s="405" t="s">
        <v>21837</v>
      </c>
      <c r="O4510" s="405" t="s">
        <v>21837</v>
      </c>
      <c r="P4510" s="405" t="s">
        <v>21838</v>
      </c>
      <c r="Q4510" s="411">
        <v>9</v>
      </c>
      <c r="R4510" s="405" t="s">
        <v>1263</v>
      </c>
      <c r="S4510" s="405" t="s">
        <v>27053</v>
      </c>
      <c r="T4510" s="405" t="s">
        <v>865</v>
      </c>
      <c r="U4510" s="405" t="s">
        <v>866</v>
      </c>
    </row>
    <row r="4511" spans="1:21" x14ac:dyDescent="0.25">
      <c r="A4511" s="405" t="s">
        <v>310</v>
      </c>
      <c r="B4511" s="405" t="s">
        <v>22073</v>
      </c>
      <c r="C4511" s="405" t="s">
        <v>311</v>
      </c>
      <c r="D4511" s="405" t="s">
        <v>839</v>
      </c>
      <c r="E4511" s="410">
        <v>41977</v>
      </c>
      <c r="F4511" s="410">
        <v>42022</v>
      </c>
      <c r="G4511" s="405" t="s">
        <v>22074</v>
      </c>
      <c r="H4511" s="405">
        <v>775193962</v>
      </c>
      <c r="I4511" s="405"/>
      <c r="J4511" s="405">
        <v>1.4236648000000001</v>
      </c>
      <c r="K4511" s="405">
        <v>31.340337999999999</v>
      </c>
      <c r="L4511" s="405" t="s">
        <v>590</v>
      </c>
      <c r="M4511" s="405" t="s">
        <v>7300</v>
      </c>
      <c r="N4511" s="405" t="s">
        <v>20931</v>
      </c>
      <c r="O4511" s="405" t="s">
        <v>20931</v>
      </c>
      <c r="P4511" s="405" t="s">
        <v>13712</v>
      </c>
      <c r="Q4511" s="411">
        <v>9</v>
      </c>
      <c r="R4511" s="405" t="s">
        <v>5336</v>
      </c>
      <c r="S4511" s="405" t="s">
        <v>22481</v>
      </c>
      <c r="T4511" s="405" t="s">
        <v>32102</v>
      </c>
      <c r="U4511" s="405" t="s">
        <v>319</v>
      </c>
    </row>
    <row r="4512" spans="1:21" x14ac:dyDescent="0.25">
      <c r="A4512" s="405" t="s">
        <v>310</v>
      </c>
      <c r="B4512" s="405" t="s">
        <v>5409</v>
      </c>
      <c r="C4512" s="405" t="s">
        <v>327</v>
      </c>
      <c r="D4512" s="405"/>
      <c r="E4512" s="410">
        <v>41976</v>
      </c>
      <c r="F4512" s="410">
        <v>42021</v>
      </c>
      <c r="G4512" s="405" t="s">
        <v>5410</v>
      </c>
      <c r="H4512" s="405">
        <v>753598999</v>
      </c>
      <c r="I4512" s="405"/>
      <c r="J4512" s="405">
        <v>0.59496499999999997</v>
      </c>
      <c r="K4512" s="405">
        <v>33.459161999999999</v>
      </c>
      <c r="L4512" s="405" t="s">
        <v>314</v>
      </c>
      <c r="M4512" s="405" t="s">
        <v>5411</v>
      </c>
      <c r="N4512" s="405" t="s">
        <v>5412</v>
      </c>
      <c r="O4512" s="405" t="s">
        <v>5412</v>
      </c>
      <c r="P4512" s="405" t="s">
        <v>5413</v>
      </c>
      <c r="Q4512" s="411">
        <v>9</v>
      </c>
      <c r="R4512" s="405" t="s">
        <v>5336</v>
      </c>
      <c r="S4512" s="405" t="s">
        <v>27054</v>
      </c>
      <c r="T4512" s="405" t="s">
        <v>32102</v>
      </c>
      <c r="U4512" s="405" t="s">
        <v>319</v>
      </c>
    </row>
    <row r="4513" spans="1:21" x14ac:dyDescent="0.25">
      <c r="A4513" s="405" t="s">
        <v>310</v>
      </c>
      <c r="B4513" s="405" t="s">
        <v>22075</v>
      </c>
      <c r="C4513" s="405" t="s">
        <v>311</v>
      </c>
      <c r="D4513" s="405" t="s">
        <v>1789</v>
      </c>
      <c r="E4513" s="410">
        <v>41975</v>
      </c>
      <c r="F4513" s="410">
        <v>42020</v>
      </c>
      <c r="G4513" s="405" t="s">
        <v>22076</v>
      </c>
      <c r="H4513" s="405">
        <v>776927997</v>
      </c>
      <c r="I4513" s="405"/>
      <c r="J4513" s="405">
        <v>-0.51283199999999995</v>
      </c>
      <c r="K4513" s="405">
        <v>30.342843999999999</v>
      </c>
      <c r="L4513" s="405" t="s">
        <v>590</v>
      </c>
      <c r="M4513" s="405" t="s">
        <v>19725</v>
      </c>
      <c r="N4513" s="405" t="s">
        <v>21554</v>
      </c>
      <c r="O4513" s="405" t="s">
        <v>20792</v>
      </c>
      <c r="P4513" s="405" t="s">
        <v>22077</v>
      </c>
      <c r="Q4513" s="411">
        <v>6</v>
      </c>
      <c r="R4513" s="405" t="s">
        <v>333</v>
      </c>
      <c r="S4513" s="405" t="s">
        <v>27161</v>
      </c>
      <c r="T4513" s="405" t="s">
        <v>884</v>
      </c>
      <c r="U4513" s="405" t="s">
        <v>319</v>
      </c>
    </row>
    <row r="4514" spans="1:21" x14ac:dyDescent="0.25">
      <c r="A4514" s="405" t="s">
        <v>310</v>
      </c>
      <c r="B4514" s="405" t="s">
        <v>5414</v>
      </c>
      <c r="C4514" s="405" t="s">
        <v>327</v>
      </c>
      <c r="D4514" s="405"/>
      <c r="E4514" s="410">
        <v>41974</v>
      </c>
      <c r="F4514" s="410">
        <v>42019</v>
      </c>
      <c r="G4514" s="405" t="s">
        <v>5415</v>
      </c>
      <c r="H4514" s="405">
        <v>782601803</v>
      </c>
      <c r="I4514" s="405">
        <v>779427373</v>
      </c>
      <c r="J4514" s="405">
        <v>-0.36369699999999999</v>
      </c>
      <c r="K4514" s="405">
        <v>31.740393000000001</v>
      </c>
      <c r="L4514" s="405" t="s">
        <v>314</v>
      </c>
      <c r="M4514" s="405" t="s">
        <v>382</v>
      </c>
      <c r="N4514" s="405" t="s">
        <v>383</v>
      </c>
      <c r="O4514" s="405" t="s">
        <v>5416</v>
      </c>
      <c r="P4514" s="405" t="s">
        <v>5417</v>
      </c>
      <c r="Q4514" s="411">
        <v>6</v>
      </c>
      <c r="R4514" s="405" t="s">
        <v>402</v>
      </c>
      <c r="S4514" s="405" t="s">
        <v>27181</v>
      </c>
      <c r="T4514" s="405" t="s">
        <v>884</v>
      </c>
      <c r="U4514" s="405" t="s">
        <v>319</v>
      </c>
    </row>
    <row r="4515" spans="1:21" x14ac:dyDescent="0.25">
      <c r="A4515" s="405" t="s">
        <v>310</v>
      </c>
      <c r="B4515" s="405" t="s">
        <v>14264</v>
      </c>
      <c r="C4515" s="405" t="s">
        <v>327</v>
      </c>
      <c r="D4515" s="405"/>
      <c r="E4515" s="410">
        <v>41973</v>
      </c>
      <c r="F4515" s="410">
        <v>42018</v>
      </c>
      <c r="G4515" s="405" t="s">
        <v>14265</v>
      </c>
      <c r="H4515" s="405">
        <v>782406919</v>
      </c>
      <c r="I4515" s="405">
        <v>785253794</v>
      </c>
      <c r="J4515" s="405">
        <v>1.7375769999999999</v>
      </c>
      <c r="K4515" s="405">
        <v>33.633315000000003</v>
      </c>
      <c r="L4515" s="405" t="s">
        <v>6866</v>
      </c>
      <c r="M4515" s="405" t="s">
        <v>10515</v>
      </c>
      <c r="N4515" s="405" t="s">
        <v>10765</v>
      </c>
      <c r="O4515" s="405" t="s">
        <v>12948</v>
      </c>
      <c r="P4515" s="405" t="s">
        <v>14266</v>
      </c>
      <c r="Q4515" s="411">
        <v>9</v>
      </c>
      <c r="R4515" s="405" t="s">
        <v>333</v>
      </c>
      <c r="S4515" s="405" t="s">
        <v>27352</v>
      </c>
      <c r="T4515" s="405" t="s">
        <v>865</v>
      </c>
      <c r="U4515" s="405" t="s">
        <v>866</v>
      </c>
    </row>
    <row r="4516" spans="1:21" x14ac:dyDescent="0.25">
      <c r="A4516" s="405" t="s">
        <v>310</v>
      </c>
      <c r="B4516" s="405" t="s">
        <v>6001</v>
      </c>
      <c r="C4516" s="405" t="s">
        <v>311</v>
      </c>
      <c r="D4516" s="405" t="s">
        <v>932</v>
      </c>
      <c r="E4516" s="410">
        <v>41973</v>
      </c>
      <c r="F4516" s="410">
        <v>42018</v>
      </c>
      <c r="G4516" s="405" t="s">
        <v>6002</v>
      </c>
      <c r="H4516" s="405">
        <v>703983097</v>
      </c>
      <c r="I4516" s="405"/>
      <c r="J4516" s="405">
        <v>1.2055610000000001</v>
      </c>
      <c r="K4516" s="405">
        <v>34.202492999999997</v>
      </c>
      <c r="L4516" s="405" t="s">
        <v>590</v>
      </c>
      <c r="M4516" s="405" t="s">
        <v>591</v>
      </c>
      <c r="N4516" s="405" t="s">
        <v>6003</v>
      </c>
      <c r="O4516" s="405" t="s">
        <v>3012</v>
      </c>
      <c r="P4516" s="405" t="s">
        <v>6004</v>
      </c>
      <c r="Q4516" s="411">
        <v>9</v>
      </c>
      <c r="R4516" s="405" t="s">
        <v>525</v>
      </c>
      <c r="S4516" s="405" t="s">
        <v>27229</v>
      </c>
      <c r="T4516" s="405" t="s">
        <v>884</v>
      </c>
      <c r="U4516" s="405" t="s">
        <v>319</v>
      </c>
    </row>
    <row r="4517" spans="1:21" x14ac:dyDescent="0.25">
      <c r="A4517" s="405" t="s">
        <v>310</v>
      </c>
      <c r="B4517" s="405" t="s">
        <v>14262</v>
      </c>
      <c r="C4517" s="405" t="s">
        <v>327</v>
      </c>
      <c r="D4517" s="405"/>
      <c r="E4517" s="410">
        <v>41973</v>
      </c>
      <c r="F4517" s="410">
        <v>42018</v>
      </c>
      <c r="G4517" s="405" t="s">
        <v>14263</v>
      </c>
      <c r="H4517" s="405">
        <v>783258695</v>
      </c>
      <c r="I4517" s="405"/>
      <c r="J4517" s="405">
        <v>0.74251999999999996</v>
      </c>
      <c r="K4517" s="405">
        <v>34.299959999999999</v>
      </c>
      <c r="L4517" s="405" t="s">
        <v>6866</v>
      </c>
      <c r="M4517" s="405" t="s">
        <v>9534</v>
      </c>
      <c r="N4517" s="405" t="s">
        <v>10201</v>
      </c>
      <c r="O4517" s="405" t="s">
        <v>12571</v>
      </c>
      <c r="P4517" s="405" t="s">
        <v>11777</v>
      </c>
      <c r="Q4517" s="411">
        <v>6</v>
      </c>
      <c r="R4517" s="405" t="s">
        <v>7224</v>
      </c>
      <c r="S4517" s="405" t="s">
        <v>27203</v>
      </c>
      <c r="T4517" s="405" t="s">
        <v>884</v>
      </c>
      <c r="U4517" s="405" t="s">
        <v>319</v>
      </c>
    </row>
    <row r="4518" spans="1:21" x14ac:dyDescent="0.25">
      <c r="A4518" s="405" t="s">
        <v>310</v>
      </c>
      <c r="B4518" s="405" t="s">
        <v>27886</v>
      </c>
      <c r="C4518" s="405" t="s">
        <v>327</v>
      </c>
      <c r="D4518" s="405"/>
      <c r="E4518" s="410">
        <v>41973</v>
      </c>
      <c r="F4518" s="410">
        <v>42018</v>
      </c>
      <c r="G4518" s="405" t="s">
        <v>5427</v>
      </c>
      <c r="H4518" s="405">
        <v>772581183</v>
      </c>
      <c r="I4518" s="405"/>
      <c r="J4518" s="405">
        <v>0.31505699999999998</v>
      </c>
      <c r="K4518" s="405">
        <v>32.544722700000001</v>
      </c>
      <c r="L4518" s="405" t="s">
        <v>314</v>
      </c>
      <c r="M4518" s="405" t="s">
        <v>992</v>
      </c>
      <c r="N4518" s="405" t="s">
        <v>5428</v>
      </c>
      <c r="O4518" s="405" t="s">
        <v>5428</v>
      </c>
      <c r="P4518" s="405" t="s">
        <v>5429</v>
      </c>
      <c r="Q4518" s="411">
        <v>6</v>
      </c>
      <c r="R4518" s="405" t="s">
        <v>5336</v>
      </c>
      <c r="S4518" s="405" t="s">
        <v>27153</v>
      </c>
      <c r="T4518" s="405" t="s">
        <v>884</v>
      </c>
      <c r="U4518" s="405" t="s">
        <v>319</v>
      </c>
    </row>
    <row r="4519" spans="1:21" x14ac:dyDescent="0.25">
      <c r="A4519" s="405" t="s">
        <v>310</v>
      </c>
      <c r="B4519" s="405" t="s">
        <v>14278</v>
      </c>
      <c r="C4519" s="405" t="s">
        <v>327</v>
      </c>
      <c r="D4519" s="405"/>
      <c r="E4519" s="410">
        <v>41973</v>
      </c>
      <c r="F4519" s="410">
        <v>42018</v>
      </c>
      <c r="G4519" s="405" t="s">
        <v>14279</v>
      </c>
      <c r="H4519" s="405">
        <v>773464623</v>
      </c>
      <c r="I4519" s="405"/>
      <c r="J4519" s="405">
        <v>0.86740799999999996</v>
      </c>
      <c r="K4519" s="405">
        <v>34.371656999999999</v>
      </c>
      <c r="L4519" s="405" t="s">
        <v>6866</v>
      </c>
      <c r="M4519" s="405" t="s">
        <v>9763</v>
      </c>
      <c r="N4519" s="405" t="s">
        <v>9763</v>
      </c>
      <c r="O4519" s="405" t="s">
        <v>9763</v>
      </c>
      <c r="P4519" s="405" t="s">
        <v>12016</v>
      </c>
      <c r="Q4519" s="411">
        <v>4</v>
      </c>
      <c r="R4519" s="405" t="s">
        <v>7224</v>
      </c>
      <c r="S4519" s="405" t="s">
        <v>17062</v>
      </c>
      <c r="T4519" s="405" t="s">
        <v>884</v>
      </c>
      <c r="U4519" s="405" t="s">
        <v>319</v>
      </c>
    </row>
    <row r="4520" spans="1:21" x14ac:dyDescent="0.25">
      <c r="A4520" s="405" t="s">
        <v>310</v>
      </c>
      <c r="B4520" s="405" t="s">
        <v>5439</v>
      </c>
      <c r="C4520" s="405" t="s">
        <v>327</v>
      </c>
      <c r="D4520" s="405"/>
      <c r="E4520" s="410">
        <v>41972</v>
      </c>
      <c r="F4520" s="410">
        <v>42017</v>
      </c>
      <c r="G4520" s="405" t="s">
        <v>5440</v>
      </c>
      <c r="H4520" s="405">
        <v>704908105</v>
      </c>
      <c r="I4520" s="405">
        <v>782457181</v>
      </c>
      <c r="J4520" s="405">
        <v>-0.3415512</v>
      </c>
      <c r="K4520" s="405">
        <v>31.724121700000001</v>
      </c>
      <c r="L4520" s="405" t="s">
        <v>314</v>
      </c>
      <c r="M4520" s="405" t="s">
        <v>382</v>
      </c>
      <c r="N4520" s="405" t="s">
        <v>2265</v>
      </c>
      <c r="O4520" s="405" t="s">
        <v>1032</v>
      </c>
      <c r="P4520" s="405" t="s">
        <v>5229</v>
      </c>
      <c r="Q4520" s="411">
        <v>6</v>
      </c>
      <c r="R4520" s="405" t="s">
        <v>402</v>
      </c>
      <c r="S4520" s="405" t="s">
        <v>27164</v>
      </c>
      <c r="T4520" s="405" t="s">
        <v>884</v>
      </c>
      <c r="U4520" s="405" t="s">
        <v>319</v>
      </c>
    </row>
    <row r="4521" spans="1:21" x14ac:dyDescent="0.25">
      <c r="A4521" s="405" t="s">
        <v>310</v>
      </c>
      <c r="B4521" s="405" t="s">
        <v>14280</v>
      </c>
      <c r="C4521" s="405" t="s">
        <v>327</v>
      </c>
      <c r="D4521" s="405"/>
      <c r="E4521" s="410">
        <v>41969</v>
      </c>
      <c r="F4521" s="410">
        <v>42014</v>
      </c>
      <c r="G4521" s="405" t="s">
        <v>14281</v>
      </c>
      <c r="H4521" s="405">
        <v>786190699</v>
      </c>
      <c r="I4521" s="405"/>
      <c r="J4521" s="405">
        <v>0.62157200000000001</v>
      </c>
      <c r="K4521" s="405">
        <v>34.165959999999998</v>
      </c>
      <c r="L4521" s="405" t="s">
        <v>6866</v>
      </c>
      <c r="M4521" s="405" t="s">
        <v>9534</v>
      </c>
      <c r="N4521" s="405" t="s">
        <v>14050</v>
      </c>
      <c r="O4521" s="405" t="s">
        <v>14050</v>
      </c>
      <c r="P4521" s="405" t="s">
        <v>14282</v>
      </c>
      <c r="Q4521" s="411">
        <v>6</v>
      </c>
      <c r="R4521" s="405" t="s">
        <v>7224</v>
      </c>
      <c r="S4521" s="405" t="s">
        <v>27259</v>
      </c>
      <c r="T4521" s="405" t="s">
        <v>884</v>
      </c>
      <c r="U4521" s="405" t="s">
        <v>319</v>
      </c>
    </row>
    <row r="4522" spans="1:21" x14ac:dyDescent="0.25">
      <c r="A4522" s="405" t="s">
        <v>310</v>
      </c>
      <c r="B4522" s="405" t="s">
        <v>5396</v>
      </c>
      <c r="C4522" s="405" t="s">
        <v>327</v>
      </c>
      <c r="D4522" s="405"/>
      <c r="E4522" s="410">
        <v>41968</v>
      </c>
      <c r="F4522" s="410">
        <v>42013</v>
      </c>
      <c r="G4522" s="405" t="s">
        <v>5397</v>
      </c>
      <c r="H4522" s="405">
        <v>779300226</v>
      </c>
      <c r="I4522" s="405"/>
      <c r="J4522" s="405">
        <v>0.485018</v>
      </c>
      <c r="K4522" s="405">
        <v>33.631259999999997</v>
      </c>
      <c r="L4522" s="405" t="s">
        <v>314</v>
      </c>
      <c r="M4522" s="405" t="s">
        <v>382</v>
      </c>
      <c r="N4522" s="405" t="s">
        <v>411</v>
      </c>
      <c r="O4522" s="405" t="s">
        <v>411</v>
      </c>
      <c r="P4522" s="405" t="s">
        <v>411</v>
      </c>
      <c r="Q4522" s="411">
        <v>13</v>
      </c>
      <c r="R4522" s="405" t="s">
        <v>5336</v>
      </c>
      <c r="S4522" s="405" t="s">
        <v>27223</v>
      </c>
      <c r="T4522" s="405" t="s">
        <v>32102</v>
      </c>
      <c r="U4522" s="405" t="s">
        <v>319</v>
      </c>
    </row>
    <row r="4523" spans="1:21" x14ac:dyDescent="0.25">
      <c r="A4523" s="405" t="s">
        <v>310</v>
      </c>
      <c r="B4523" s="405" t="s">
        <v>5435</v>
      </c>
      <c r="C4523" s="405" t="s">
        <v>327</v>
      </c>
      <c r="D4523" s="405"/>
      <c r="E4523" s="410">
        <v>41967</v>
      </c>
      <c r="F4523" s="410">
        <v>42012</v>
      </c>
      <c r="G4523" s="405" t="s">
        <v>5436</v>
      </c>
      <c r="H4523" s="405">
        <v>772615165</v>
      </c>
      <c r="I4523" s="405"/>
      <c r="J4523" s="405">
        <v>1.33643</v>
      </c>
      <c r="K4523" s="405">
        <v>34.648601999999997</v>
      </c>
      <c r="L4523" s="405" t="s">
        <v>314</v>
      </c>
      <c r="M4523" s="405" t="s">
        <v>5437</v>
      </c>
      <c r="N4523" s="405" t="s">
        <v>5438</v>
      </c>
      <c r="O4523" s="405" t="s">
        <v>5438</v>
      </c>
      <c r="P4523" s="405" t="s">
        <v>5438</v>
      </c>
      <c r="Q4523" s="411">
        <v>6</v>
      </c>
      <c r="R4523" s="405" t="s">
        <v>5336</v>
      </c>
      <c r="S4523" s="405" t="s">
        <v>27120</v>
      </c>
      <c r="T4523" s="405" t="s">
        <v>865</v>
      </c>
      <c r="U4523" s="405" t="s">
        <v>866</v>
      </c>
    </row>
    <row r="4524" spans="1:21" x14ac:dyDescent="0.25">
      <c r="A4524" s="405" t="s">
        <v>310</v>
      </c>
      <c r="B4524" s="405" t="s">
        <v>5406</v>
      </c>
      <c r="C4524" s="405" t="s">
        <v>327</v>
      </c>
      <c r="D4524" s="405"/>
      <c r="E4524" s="410">
        <v>41966</v>
      </c>
      <c r="F4524" s="410">
        <v>42011</v>
      </c>
      <c r="G4524" s="405" t="s">
        <v>5407</v>
      </c>
      <c r="H4524" s="405">
        <v>705005844</v>
      </c>
      <c r="I4524" s="405"/>
      <c r="J4524" s="405">
        <v>0.34242499999999998</v>
      </c>
      <c r="K4524" s="405">
        <v>32.116731999999999</v>
      </c>
      <c r="L4524" s="405" t="s">
        <v>314</v>
      </c>
      <c r="M4524" s="405" t="s">
        <v>675</v>
      </c>
      <c r="N4524" s="405" t="s">
        <v>3251</v>
      </c>
      <c r="O4524" s="405" t="s">
        <v>5408</v>
      </c>
      <c r="P4524" s="405" t="s">
        <v>2411</v>
      </c>
      <c r="Q4524" s="411">
        <v>13</v>
      </c>
      <c r="R4524" s="405" t="s">
        <v>5336</v>
      </c>
      <c r="S4524" s="405" t="s">
        <v>27051</v>
      </c>
      <c r="T4524" s="405" t="s">
        <v>865</v>
      </c>
      <c r="U4524" s="405" t="s">
        <v>866</v>
      </c>
    </row>
    <row r="4525" spans="1:21" x14ac:dyDescent="0.25">
      <c r="A4525" s="405" t="s">
        <v>310</v>
      </c>
      <c r="B4525" s="413" t="s">
        <v>5968</v>
      </c>
      <c r="C4525" s="413" t="s">
        <v>311</v>
      </c>
      <c r="D4525" s="413" t="s">
        <v>33071</v>
      </c>
      <c r="E4525" s="418">
        <v>41966</v>
      </c>
      <c r="F4525" s="418">
        <v>42011</v>
      </c>
      <c r="G4525" s="413" t="s">
        <v>5969</v>
      </c>
      <c r="H4525" s="405">
        <v>752863286</v>
      </c>
      <c r="I4525" s="405"/>
      <c r="J4525" s="405">
        <v>1.023153</v>
      </c>
      <c r="K4525" s="405">
        <v>34.085732</v>
      </c>
      <c r="L4525" s="405" t="s">
        <v>314</v>
      </c>
      <c r="M4525" s="405" t="s">
        <v>382</v>
      </c>
      <c r="N4525" s="405" t="s">
        <v>2265</v>
      </c>
      <c r="O4525" s="405" t="s">
        <v>894</v>
      </c>
      <c r="P4525" s="405" t="s">
        <v>601</v>
      </c>
      <c r="Q4525" s="411">
        <v>6</v>
      </c>
      <c r="R4525" s="405" t="s">
        <v>402</v>
      </c>
      <c r="S4525" s="405" t="s">
        <v>27205</v>
      </c>
      <c r="T4525" s="405" t="s">
        <v>884</v>
      </c>
      <c r="U4525" s="405" t="s">
        <v>319</v>
      </c>
    </row>
    <row r="4526" spans="1:21" x14ac:dyDescent="0.25">
      <c r="A4526" s="405" t="s">
        <v>310</v>
      </c>
      <c r="B4526" s="405" t="s">
        <v>14646</v>
      </c>
      <c r="C4526" s="405" t="s">
        <v>311</v>
      </c>
      <c r="D4526" s="405" t="s">
        <v>3381</v>
      </c>
      <c r="E4526" s="410">
        <v>41966</v>
      </c>
      <c r="F4526" s="410">
        <v>42011</v>
      </c>
      <c r="G4526" s="405" t="s">
        <v>14647</v>
      </c>
      <c r="H4526" s="405">
        <v>772982865</v>
      </c>
      <c r="I4526" s="405"/>
      <c r="J4526" s="405">
        <v>0.59585999999999995</v>
      </c>
      <c r="K4526" s="405">
        <v>33.995654999999999</v>
      </c>
      <c r="L4526" s="405" t="s">
        <v>6866</v>
      </c>
      <c r="M4526" s="405" t="s">
        <v>9534</v>
      </c>
      <c r="N4526" s="405" t="s">
        <v>10248</v>
      </c>
      <c r="O4526" s="405" t="s">
        <v>10248</v>
      </c>
      <c r="P4526" s="405" t="s">
        <v>14648</v>
      </c>
      <c r="Q4526" s="411">
        <v>6</v>
      </c>
      <c r="R4526" s="405" t="s">
        <v>7224</v>
      </c>
      <c r="S4526" s="405" t="s">
        <v>27107</v>
      </c>
      <c r="T4526" s="405" t="s">
        <v>32102</v>
      </c>
      <c r="U4526" s="405" t="s">
        <v>319</v>
      </c>
    </row>
    <row r="4527" spans="1:21" x14ac:dyDescent="0.25">
      <c r="A4527" s="405" t="s">
        <v>310</v>
      </c>
      <c r="B4527" s="405" t="s">
        <v>5430</v>
      </c>
      <c r="C4527" s="405" t="s">
        <v>327</v>
      </c>
      <c r="D4527" s="405"/>
      <c r="E4527" s="410">
        <v>41965</v>
      </c>
      <c r="F4527" s="410">
        <v>42010</v>
      </c>
      <c r="G4527" s="405" t="s">
        <v>5431</v>
      </c>
      <c r="H4527" s="405">
        <v>772477127</v>
      </c>
      <c r="I4527" s="405"/>
      <c r="J4527" s="405">
        <v>1.0155320000000001</v>
      </c>
      <c r="K4527" s="405">
        <v>31.645713000000001</v>
      </c>
      <c r="L4527" s="405" t="s">
        <v>314</v>
      </c>
      <c r="M4527" s="405" t="s">
        <v>1360</v>
      </c>
      <c r="N4527" s="405" t="s">
        <v>1361</v>
      </c>
      <c r="O4527" s="405" t="s">
        <v>3565</v>
      </c>
      <c r="P4527" s="405" t="s">
        <v>5432</v>
      </c>
      <c r="Q4527" s="411">
        <v>6</v>
      </c>
      <c r="R4527" s="405" t="s">
        <v>1263</v>
      </c>
      <c r="S4527" s="405" t="s">
        <v>27185</v>
      </c>
      <c r="T4527" s="405" t="s">
        <v>32102</v>
      </c>
      <c r="U4527" s="405" t="s">
        <v>319</v>
      </c>
    </row>
    <row r="4528" spans="1:21" x14ac:dyDescent="0.25">
      <c r="A4528" s="405" t="s">
        <v>310</v>
      </c>
      <c r="B4528" s="405" t="s">
        <v>14270</v>
      </c>
      <c r="C4528" s="405" t="s">
        <v>327</v>
      </c>
      <c r="D4528" s="405"/>
      <c r="E4528" s="410">
        <v>41965</v>
      </c>
      <c r="F4528" s="410">
        <v>42010</v>
      </c>
      <c r="G4528" s="405" t="s">
        <v>14271</v>
      </c>
      <c r="H4528" s="405">
        <v>772195935</v>
      </c>
      <c r="I4528" s="405"/>
      <c r="J4528" s="405">
        <v>0.62157200000000001</v>
      </c>
      <c r="K4528" s="405">
        <v>34.029046999999998</v>
      </c>
      <c r="L4528" s="405" t="s">
        <v>6866</v>
      </c>
      <c r="M4528" s="405" t="s">
        <v>9534</v>
      </c>
      <c r="N4528" s="405" t="s">
        <v>14272</v>
      </c>
      <c r="O4528" s="405" t="s">
        <v>14273</v>
      </c>
      <c r="P4528" s="405" t="s">
        <v>14274</v>
      </c>
      <c r="Q4528" s="411">
        <v>6</v>
      </c>
      <c r="R4528" s="405" t="s">
        <v>5655</v>
      </c>
      <c r="S4528" s="405" t="s">
        <v>27351</v>
      </c>
      <c r="T4528" s="405" t="s">
        <v>884</v>
      </c>
      <c r="U4528" s="405" t="s">
        <v>319</v>
      </c>
    </row>
    <row r="4529" spans="1:21" x14ac:dyDescent="0.25">
      <c r="A4529" s="405" t="s">
        <v>310</v>
      </c>
      <c r="B4529" s="405" t="s">
        <v>5433</v>
      </c>
      <c r="C4529" s="405" t="s">
        <v>327</v>
      </c>
      <c r="D4529" s="405"/>
      <c r="E4529" s="410">
        <v>41965</v>
      </c>
      <c r="F4529" s="410">
        <v>42010</v>
      </c>
      <c r="G4529" s="405" t="s">
        <v>5434</v>
      </c>
      <c r="H4529" s="405">
        <v>704342217</v>
      </c>
      <c r="I4529" s="405"/>
      <c r="J4529" s="405">
        <v>-0.36567769999999999</v>
      </c>
      <c r="K4529" s="405">
        <v>31.7539184</v>
      </c>
      <c r="L4529" s="405" t="s">
        <v>314</v>
      </c>
      <c r="M4529" s="405" t="s">
        <v>382</v>
      </c>
      <c r="N4529" s="405" t="s">
        <v>2265</v>
      </c>
      <c r="O4529" s="405" t="s">
        <v>3690</v>
      </c>
      <c r="P4529" s="405" t="s">
        <v>601</v>
      </c>
      <c r="Q4529" s="411">
        <v>6</v>
      </c>
      <c r="R4529" s="405" t="s">
        <v>402</v>
      </c>
      <c r="S4529" s="405" t="s">
        <v>27205</v>
      </c>
      <c r="T4529" s="405" t="s">
        <v>884</v>
      </c>
      <c r="U4529" s="405" t="s">
        <v>319</v>
      </c>
    </row>
    <row r="4530" spans="1:21" x14ac:dyDescent="0.25">
      <c r="A4530" s="405" t="s">
        <v>310</v>
      </c>
      <c r="B4530" s="405" t="s">
        <v>14275</v>
      </c>
      <c r="C4530" s="405" t="s">
        <v>327</v>
      </c>
      <c r="D4530" s="405"/>
      <c r="E4530" s="410">
        <v>41964</v>
      </c>
      <c r="F4530" s="410">
        <v>42009</v>
      </c>
      <c r="G4530" s="405" t="s">
        <v>14276</v>
      </c>
      <c r="H4530" s="405">
        <v>786875630</v>
      </c>
      <c r="I4530" s="405"/>
      <c r="J4530" s="405">
        <v>0.60065199999999996</v>
      </c>
      <c r="K4530" s="405">
        <v>33.941543000000003</v>
      </c>
      <c r="L4530" s="405" t="s">
        <v>6866</v>
      </c>
      <c r="M4530" s="405" t="s">
        <v>9534</v>
      </c>
      <c r="N4530" s="405" t="s">
        <v>14273</v>
      </c>
      <c r="O4530" s="405" t="s">
        <v>14273</v>
      </c>
      <c r="P4530" s="405" t="s">
        <v>14277</v>
      </c>
      <c r="Q4530" s="411">
        <v>6</v>
      </c>
      <c r="R4530" s="405" t="s">
        <v>5655</v>
      </c>
      <c r="S4530" s="405" t="s">
        <v>27337</v>
      </c>
      <c r="T4530" s="405" t="s">
        <v>884</v>
      </c>
      <c r="U4530" s="405" t="s">
        <v>319</v>
      </c>
    </row>
    <row r="4531" spans="1:21" x14ac:dyDescent="0.25">
      <c r="A4531" s="405" t="s">
        <v>310</v>
      </c>
      <c r="B4531" s="405" t="s">
        <v>5996</v>
      </c>
      <c r="C4531" s="405" t="s">
        <v>311</v>
      </c>
      <c r="D4531" s="405" t="s">
        <v>312</v>
      </c>
      <c r="E4531" s="410">
        <v>41964</v>
      </c>
      <c r="F4531" s="410">
        <v>42009</v>
      </c>
      <c r="G4531" s="405" t="s">
        <v>5997</v>
      </c>
      <c r="H4531" s="405">
        <v>751654466</v>
      </c>
      <c r="I4531" s="405">
        <v>772945362</v>
      </c>
      <c r="J4531" s="405">
        <v>-0.35471639999999999</v>
      </c>
      <c r="K4531" s="405">
        <v>31.713612900000001</v>
      </c>
      <c r="L4531" s="405" t="s">
        <v>314</v>
      </c>
      <c r="M4531" s="405" t="s">
        <v>382</v>
      </c>
      <c r="N4531" s="405" t="s">
        <v>2265</v>
      </c>
      <c r="O4531" s="405" t="s">
        <v>894</v>
      </c>
      <c r="P4531" s="405" t="s">
        <v>5229</v>
      </c>
      <c r="Q4531" s="411">
        <v>6</v>
      </c>
      <c r="R4531" s="405" t="s">
        <v>402</v>
      </c>
      <c r="S4531" s="405" t="s">
        <v>27170</v>
      </c>
      <c r="T4531" s="405" t="s">
        <v>32102</v>
      </c>
      <c r="U4531" s="405" t="s">
        <v>319</v>
      </c>
    </row>
    <row r="4532" spans="1:21" x14ac:dyDescent="0.25">
      <c r="A4532" s="405" t="s">
        <v>310</v>
      </c>
      <c r="B4532" s="405" t="s">
        <v>14267</v>
      </c>
      <c r="C4532" s="405" t="s">
        <v>327</v>
      </c>
      <c r="D4532" s="405"/>
      <c r="E4532" s="410">
        <v>41962</v>
      </c>
      <c r="F4532" s="410">
        <v>42007</v>
      </c>
      <c r="G4532" s="405" t="s">
        <v>14268</v>
      </c>
      <c r="H4532" s="405">
        <v>773774848</v>
      </c>
      <c r="I4532" s="405"/>
      <c r="J4532" s="405">
        <v>0.47172399999999998</v>
      </c>
      <c r="K4532" s="405">
        <v>33.248086000000001</v>
      </c>
      <c r="L4532" s="405" t="s">
        <v>6866</v>
      </c>
      <c r="M4532" s="405" t="s">
        <v>9590</v>
      </c>
      <c r="N4532" s="405" t="s">
        <v>9590</v>
      </c>
      <c r="O4532" s="405" t="s">
        <v>9590</v>
      </c>
      <c r="P4532" s="405" t="s">
        <v>14269</v>
      </c>
      <c r="Q4532" s="411">
        <v>6</v>
      </c>
      <c r="R4532" s="405" t="s">
        <v>5336</v>
      </c>
      <c r="S4532" s="405" t="s">
        <v>6822</v>
      </c>
      <c r="T4532" s="405" t="s">
        <v>32102</v>
      </c>
      <c r="U4532" s="405" t="s">
        <v>319</v>
      </c>
    </row>
    <row r="4533" spans="1:21" x14ac:dyDescent="0.25">
      <c r="A4533" s="405" t="s">
        <v>310</v>
      </c>
      <c r="B4533" s="405" t="s">
        <v>5972</v>
      </c>
      <c r="C4533" s="405" t="s">
        <v>311</v>
      </c>
      <c r="D4533" s="405" t="s">
        <v>5973</v>
      </c>
      <c r="E4533" s="410">
        <v>41960</v>
      </c>
      <c r="F4533" s="410">
        <v>42005</v>
      </c>
      <c r="G4533" s="405" t="s">
        <v>5974</v>
      </c>
      <c r="H4533" s="405">
        <v>783679616</v>
      </c>
      <c r="I4533" s="405"/>
      <c r="J4533" s="405">
        <v>0.13483500000000001</v>
      </c>
      <c r="K4533" s="405">
        <v>31.577967999999998</v>
      </c>
      <c r="L4533" s="405" t="s">
        <v>314</v>
      </c>
      <c r="M4533" s="405" t="s">
        <v>361</v>
      </c>
      <c r="N4533" s="405" t="s">
        <v>375</v>
      </c>
      <c r="O4533" s="405" t="s">
        <v>375</v>
      </c>
      <c r="P4533" s="405" t="s">
        <v>5975</v>
      </c>
      <c r="Q4533" s="411">
        <v>13</v>
      </c>
      <c r="R4533" s="405" t="s">
        <v>1263</v>
      </c>
      <c r="S4533" s="405" t="s">
        <v>27178</v>
      </c>
      <c r="T4533" s="405" t="s">
        <v>32102</v>
      </c>
      <c r="U4533" s="405" t="s">
        <v>319</v>
      </c>
    </row>
    <row r="4534" spans="1:21" x14ac:dyDescent="0.25">
      <c r="A4534" s="405" t="s">
        <v>310</v>
      </c>
      <c r="B4534" s="405" t="s">
        <v>5383</v>
      </c>
      <c r="C4534" s="405" t="s">
        <v>327</v>
      </c>
      <c r="D4534" s="405"/>
      <c r="E4534" s="410">
        <v>41959</v>
      </c>
      <c r="F4534" s="410">
        <v>42004</v>
      </c>
      <c r="G4534" s="405" t="s">
        <v>5384</v>
      </c>
      <c r="H4534" s="405">
        <v>776625728</v>
      </c>
      <c r="I4534" s="405"/>
      <c r="J4534" s="405">
        <v>0.52164699999999997</v>
      </c>
      <c r="K4534" s="405">
        <v>32.434477000000001</v>
      </c>
      <c r="L4534" s="405" t="s">
        <v>314</v>
      </c>
      <c r="M4534" s="405" t="s">
        <v>361</v>
      </c>
      <c r="N4534" s="405" t="s">
        <v>427</v>
      </c>
      <c r="O4534" s="405" t="s">
        <v>427</v>
      </c>
      <c r="P4534" s="405" t="s">
        <v>5385</v>
      </c>
      <c r="Q4534" s="411">
        <v>9</v>
      </c>
      <c r="R4534" s="405" t="s">
        <v>5336</v>
      </c>
      <c r="S4534" s="405" t="s">
        <v>27036</v>
      </c>
      <c r="T4534" s="405" t="s">
        <v>32102</v>
      </c>
      <c r="U4534" s="405" t="s">
        <v>319</v>
      </c>
    </row>
    <row r="4535" spans="1:21" x14ac:dyDescent="0.25">
      <c r="A4535" s="405" t="s">
        <v>310</v>
      </c>
      <c r="B4535" s="405" t="s">
        <v>5391</v>
      </c>
      <c r="C4535" s="405" t="s">
        <v>327</v>
      </c>
      <c r="D4535" s="405"/>
      <c r="E4535" s="410">
        <v>41958</v>
      </c>
      <c r="F4535" s="410">
        <v>42003</v>
      </c>
      <c r="G4535" s="405" t="s">
        <v>5392</v>
      </c>
      <c r="H4535" s="405">
        <v>772405906</v>
      </c>
      <c r="I4535" s="405"/>
      <c r="J4535" s="405">
        <v>0.51756999999999997</v>
      </c>
      <c r="K4535" s="405">
        <v>32.207095000000002</v>
      </c>
      <c r="L4535" s="405" t="s">
        <v>314</v>
      </c>
      <c r="M4535" s="405" t="s">
        <v>675</v>
      </c>
      <c r="N4535" s="405" t="s">
        <v>1065</v>
      </c>
      <c r="O4535" s="405" t="s">
        <v>1734</v>
      </c>
      <c r="P4535" s="405" t="s">
        <v>5393</v>
      </c>
      <c r="Q4535" s="411">
        <v>13</v>
      </c>
      <c r="R4535" s="405" t="s">
        <v>525</v>
      </c>
      <c r="S4535" s="405" t="s">
        <v>27229</v>
      </c>
      <c r="T4535" s="405" t="s">
        <v>32102</v>
      </c>
      <c r="U4535" s="405" t="s">
        <v>319</v>
      </c>
    </row>
    <row r="4536" spans="1:21" x14ac:dyDescent="0.25">
      <c r="A4536" s="405" t="s">
        <v>310</v>
      </c>
      <c r="B4536" s="405" t="s">
        <v>5388</v>
      </c>
      <c r="C4536" s="405" t="s">
        <v>327</v>
      </c>
      <c r="D4536" s="405"/>
      <c r="E4536" s="410">
        <v>41958</v>
      </c>
      <c r="F4536" s="410">
        <v>42003</v>
      </c>
      <c r="G4536" s="405" t="s">
        <v>5389</v>
      </c>
      <c r="H4536" s="405">
        <v>753865798</v>
      </c>
      <c r="I4536" s="405"/>
      <c r="J4536" s="405">
        <v>0.28982200000000002</v>
      </c>
      <c r="K4536" s="405">
        <v>32.456592000000001</v>
      </c>
      <c r="L4536" s="405" t="s">
        <v>314</v>
      </c>
      <c r="M4536" s="405" t="s">
        <v>361</v>
      </c>
      <c r="N4536" s="405" t="s">
        <v>374</v>
      </c>
      <c r="O4536" s="405" t="s">
        <v>375</v>
      </c>
      <c r="P4536" s="405" t="s">
        <v>5390</v>
      </c>
      <c r="Q4536" s="411">
        <v>9</v>
      </c>
      <c r="R4536" s="405" t="s">
        <v>525</v>
      </c>
      <c r="S4536" s="405" t="s">
        <v>414</v>
      </c>
      <c r="T4536" s="405" t="s">
        <v>865</v>
      </c>
      <c r="U4536" s="405" t="s">
        <v>866</v>
      </c>
    </row>
    <row r="4537" spans="1:21" x14ac:dyDescent="0.25">
      <c r="A4537" s="405" t="s">
        <v>310</v>
      </c>
      <c r="B4537" s="405" t="s">
        <v>14219</v>
      </c>
      <c r="C4537" s="405" t="s">
        <v>327</v>
      </c>
      <c r="D4537" s="405"/>
      <c r="E4537" s="410">
        <v>41958</v>
      </c>
      <c r="F4537" s="410">
        <v>42003</v>
      </c>
      <c r="G4537" s="405" t="s">
        <v>14220</v>
      </c>
      <c r="H4537" s="405">
        <v>779737223</v>
      </c>
      <c r="I4537" s="405"/>
      <c r="J4537" s="405">
        <v>0.59917699999999996</v>
      </c>
      <c r="K4537" s="405">
        <v>34.028438000000001</v>
      </c>
      <c r="L4537" s="405" t="s">
        <v>6866</v>
      </c>
      <c r="M4537" s="405" t="s">
        <v>9534</v>
      </c>
      <c r="N4537" s="405" t="s">
        <v>9997</v>
      </c>
      <c r="O4537" s="405" t="s">
        <v>10248</v>
      </c>
      <c r="P4537" s="405" t="s">
        <v>14221</v>
      </c>
      <c r="Q4537" s="411">
        <v>6</v>
      </c>
      <c r="R4537" s="405" t="s">
        <v>5655</v>
      </c>
      <c r="S4537" s="405" t="s">
        <v>27337</v>
      </c>
      <c r="T4537" s="405" t="s">
        <v>884</v>
      </c>
      <c r="U4537" s="405" t="s">
        <v>319</v>
      </c>
    </row>
    <row r="4538" spans="1:21" x14ac:dyDescent="0.25">
      <c r="A4538" s="405" t="s">
        <v>310</v>
      </c>
      <c r="B4538" s="405" t="s">
        <v>5366</v>
      </c>
      <c r="C4538" s="405" t="s">
        <v>327</v>
      </c>
      <c r="D4538" s="405"/>
      <c r="E4538" s="410">
        <v>41952</v>
      </c>
      <c r="F4538" s="410">
        <v>41997</v>
      </c>
      <c r="G4538" s="405" t="s">
        <v>5367</v>
      </c>
      <c r="H4538" s="405">
        <v>717333330</v>
      </c>
      <c r="I4538" s="405"/>
      <c r="J4538" s="405">
        <v>0.52164699999999997</v>
      </c>
      <c r="K4538" s="405">
        <v>32.287242999999997</v>
      </c>
      <c r="L4538" s="405" t="s">
        <v>314</v>
      </c>
      <c r="M4538" s="405" t="s">
        <v>361</v>
      </c>
      <c r="N4538" s="405" t="s">
        <v>662</v>
      </c>
      <c r="O4538" s="405" t="s">
        <v>662</v>
      </c>
      <c r="P4538" s="405" t="s">
        <v>5368</v>
      </c>
      <c r="Q4538" s="411">
        <v>9</v>
      </c>
      <c r="R4538" s="405" t="s">
        <v>5336</v>
      </c>
      <c r="S4538" s="405" t="s">
        <v>27049</v>
      </c>
      <c r="T4538" s="405" t="s">
        <v>32102</v>
      </c>
      <c r="U4538" s="405" t="s">
        <v>319</v>
      </c>
    </row>
    <row r="4539" spans="1:21" x14ac:dyDescent="0.25">
      <c r="A4539" s="405" t="s">
        <v>310</v>
      </c>
      <c r="B4539" s="405" t="s">
        <v>14259</v>
      </c>
      <c r="C4539" s="405" t="s">
        <v>327</v>
      </c>
      <c r="D4539" s="405"/>
      <c r="E4539" s="410">
        <v>41951</v>
      </c>
      <c r="F4539" s="410">
        <v>41996</v>
      </c>
      <c r="G4539" s="405" t="s">
        <v>14260</v>
      </c>
      <c r="H4539" s="405">
        <v>754799148</v>
      </c>
      <c r="I4539" s="405"/>
      <c r="J4539" s="405">
        <v>0.69833999999999996</v>
      </c>
      <c r="K4539" s="405">
        <v>34.009680000000003</v>
      </c>
      <c r="L4539" s="405" t="s">
        <v>6866</v>
      </c>
      <c r="M4539" s="405" t="s">
        <v>9534</v>
      </c>
      <c r="N4539" s="405" t="s">
        <v>10248</v>
      </c>
      <c r="O4539" s="405" t="s">
        <v>10248</v>
      </c>
      <c r="P4539" s="405" t="s">
        <v>14261</v>
      </c>
      <c r="Q4539" s="411">
        <v>6</v>
      </c>
      <c r="R4539" s="405" t="s">
        <v>7224</v>
      </c>
      <c r="S4539" s="405" t="s">
        <v>27259</v>
      </c>
      <c r="T4539" s="405" t="s">
        <v>865</v>
      </c>
      <c r="U4539" s="405" t="s">
        <v>866</v>
      </c>
    </row>
    <row r="4540" spans="1:21" x14ac:dyDescent="0.25">
      <c r="A4540" s="405" t="s">
        <v>310</v>
      </c>
      <c r="B4540" s="405" t="s">
        <v>14257</v>
      </c>
      <c r="C4540" s="405" t="s">
        <v>327</v>
      </c>
      <c r="D4540" s="405"/>
      <c r="E4540" s="410">
        <v>41951</v>
      </c>
      <c r="F4540" s="410">
        <v>41996</v>
      </c>
      <c r="G4540" s="405" t="s">
        <v>14258</v>
      </c>
      <c r="H4540" s="405">
        <v>777420906</v>
      </c>
      <c r="I4540" s="405"/>
      <c r="J4540" s="405">
        <v>0.59964300000000004</v>
      </c>
      <c r="K4540" s="405">
        <v>33.940126999999997</v>
      </c>
      <c r="L4540" s="405" t="s">
        <v>6866</v>
      </c>
      <c r="M4540" s="405" t="s">
        <v>9534</v>
      </c>
      <c r="N4540" s="405" t="s">
        <v>10248</v>
      </c>
      <c r="O4540" s="405" t="s">
        <v>10248</v>
      </c>
      <c r="P4540" s="405" t="s">
        <v>14201</v>
      </c>
      <c r="Q4540" s="411">
        <v>6</v>
      </c>
      <c r="R4540" s="405" t="s">
        <v>7224</v>
      </c>
      <c r="S4540" s="405" t="s">
        <v>27337</v>
      </c>
      <c r="T4540" s="405" t="s">
        <v>884</v>
      </c>
      <c r="U4540" s="405" t="s">
        <v>319</v>
      </c>
    </row>
    <row r="4541" spans="1:21" x14ac:dyDescent="0.25">
      <c r="A4541" s="405" t="s">
        <v>310</v>
      </c>
      <c r="B4541" s="405" t="s">
        <v>5369</v>
      </c>
      <c r="C4541" s="405" t="s">
        <v>327</v>
      </c>
      <c r="D4541" s="405"/>
      <c r="E4541" s="410">
        <v>41950</v>
      </c>
      <c r="F4541" s="410">
        <v>41995</v>
      </c>
      <c r="G4541" s="405" t="s">
        <v>5370</v>
      </c>
      <c r="H4541" s="405">
        <v>775536717</v>
      </c>
      <c r="I4541" s="405"/>
      <c r="J4541" s="405">
        <v>-0.38420199999999999</v>
      </c>
      <c r="K4541" s="405">
        <v>31.718347000000001</v>
      </c>
      <c r="L4541" s="405" t="s">
        <v>314</v>
      </c>
      <c r="M4541" s="405" t="s">
        <v>382</v>
      </c>
      <c r="N4541" s="405" t="s">
        <v>2265</v>
      </c>
      <c r="O4541" s="405" t="s">
        <v>894</v>
      </c>
      <c r="P4541" s="405" t="s">
        <v>5371</v>
      </c>
      <c r="Q4541" s="411">
        <v>9</v>
      </c>
      <c r="R4541" s="405" t="s">
        <v>402</v>
      </c>
      <c r="S4541" s="405" t="s">
        <v>27170</v>
      </c>
      <c r="T4541" s="405" t="s">
        <v>884</v>
      </c>
      <c r="U4541" s="405" t="s">
        <v>319</v>
      </c>
    </row>
    <row r="4542" spans="1:21" x14ac:dyDescent="0.25">
      <c r="A4542" s="405" t="s">
        <v>310</v>
      </c>
      <c r="B4542" s="405" t="s">
        <v>14251</v>
      </c>
      <c r="C4542" s="405" t="s">
        <v>327</v>
      </c>
      <c r="D4542" s="405"/>
      <c r="E4542" s="410">
        <v>41948</v>
      </c>
      <c r="F4542" s="410">
        <v>41993</v>
      </c>
      <c r="G4542" s="405" t="s">
        <v>14252</v>
      </c>
      <c r="H4542" s="405">
        <v>756590155</v>
      </c>
      <c r="I4542" s="405"/>
      <c r="J4542" s="405">
        <v>0.25140800000000002</v>
      </c>
      <c r="K4542" s="405">
        <v>31.892067000000001</v>
      </c>
      <c r="L4542" s="405" t="s">
        <v>6866</v>
      </c>
      <c r="M4542" s="405" t="s">
        <v>9590</v>
      </c>
      <c r="N4542" s="405" t="s">
        <v>542</v>
      </c>
      <c r="O4542" s="405" t="s">
        <v>542</v>
      </c>
      <c r="P4542" s="405" t="s">
        <v>14253</v>
      </c>
      <c r="Q4542" s="411">
        <v>9</v>
      </c>
      <c r="R4542" s="405" t="s">
        <v>525</v>
      </c>
      <c r="S4542" s="405" t="s">
        <v>27225</v>
      </c>
      <c r="T4542" s="405" t="s">
        <v>32102</v>
      </c>
      <c r="U4542" s="405" t="s">
        <v>319</v>
      </c>
    </row>
    <row r="4543" spans="1:21" x14ac:dyDescent="0.25">
      <c r="A4543" s="405" t="s">
        <v>310</v>
      </c>
      <c r="B4543" s="405" t="s">
        <v>5374</v>
      </c>
      <c r="C4543" s="405" t="s">
        <v>327</v>
      </c>
      <c r="D4543" s="405"/>
      <c r="E4543" s="410">
        <v>41948</v>
      </c>
      <c r="F4543" s="410">
        <v>41993</v>
      </c>
      <c r="G4543" s="405" t="s">
        <v>5375</v>
      </c>
      <c r="H4543" s="405">
        <v>712843546</v>
      </c>
      <c r="I4543" s="405"/>
      <c r="J4543" s="405">
        <v>0.10907</v>
      </c>
      <c r="K4543" s="405">
        <v>31.988427999999999</v>
      </c>
      <c r="L4543" s="405" t="s">
        <v>314</v>
      </c>
      <c r="M4543" s="405" t="s">
        <v>361</v>
      </c>
      <c r="N4543" s="405" t="s">
        <v>410</v>
      </c>
      <c r="O4543" s="405" t="s">
        <v>410</v>
      </c>
      <c r="P4543" s="405" t="s">
        <v>5376</v>
      </c>
      <c r="Q4543" s="411">
        <v>6</v>
      </c>
      <c r="R4543" s="405" t="s">
        <v>1263</v>
      </c>
      <c r="S4543" s="405" t="s">
        <v>27034</v>
      </c>
      <c r="T4543" s="405" t="s">
        <v>32102</v>
      </c>
      <c r="U4543" s="405" t="s">
        <v>319</v>
      </c>
    </row>
    <row r="4544" spans="1:21" x14ac:dyDescent="0.25">
      <c r="A4544" s="405" t="s">
        <v>310</v>
      </c>
      <c r="B4544" s="405" t="s">
        <v>14207</v>
      </c>
      <c r="C4544" s="405" t="s">
        <v>327</v>
      </c>
      <c r="D4544" s="405"/>
      <c r="E4544" s="410">
        <v>41944</v>
      </c>
      <c r="F4544" s="410">
        <v>41989</v>
      </c>
      <c r="G4544" s="405" t="s">
        <v>14208</v>
      </c>
      <c r="H4544" s="405">
        <v>783832012</v>
      </c>
      <c r="I4544" s="405"/>
      <c r="J4544" s="405">
        <v>0.74248499999999995</v>
      </c>
      <c r="K4544" s="405">
        <v>34.299976999999998</v>
      </c>
      <c r="L4544" s="405" t="s">
        <v>6866</v>
      </c>
      <c r="M4544" s="405" t="s">
        <v>9534</v>
      </c>
      <c r="N4544" s="405" t="s">
        <v>12571</v>
      </c>
      <c r="O4544" s="405" t="s">
        <v>12571</v>
      </c>
      <c r="P4544" s="405" t="s">
        <v>14209</v>
      </c>
      <c r="Q4544" s="411">
        <v>6</v>
      </c>
      <c r="R4544" s="405" t="s">
        <v>7224</v>
      </c>
      <c r="S4544" s="405" t="s">
        <v>27203</v>
      </c>
      <c r="T4544" s="405" t="s">
        <v>32102</v>
      </c>
      <c r="U4544" s="405" t="s">
        <v>319</v>
      </c>
    </row>
    <row r="4545" spans="1:21" x14ac:dyDescent="0.25">
      <c r="A4545" s="405" t="s">
        <v>310</v>
      </c>
      <c r="B4545" s="405" t="s">
        <v>5386</v>
      </c>
      <c r="C4545" s="405" t="s">
        <v>327</v>
      </c>
      <c r="D4545" s="405"/>
      <c r="E4545" s="410">
        <v>41943</v>
      </c>
      <c r="F4545" s="410">
        <v>41988</v>
      </c>
      <c r="G4545" s="405" t="s">
        <v>5387</v>
      </c>
      <c r="H4545" s="405">
        <v>752315097</v>
      </c>
      <c r="I4545" s="405"/>
      <c r="J4545" s="405">
        <v>0.51064166666666666</v>
      </c>
      <c r="K4545" s="405">
        <v>32.477821666666664</v>
      </c>
      <c r="L4545" s="405" t="s">
        <v>314</v>
      </c>
      <c r="M4545" s="405" t="s">
        <v>361</v>
      </c>
      <c r="N4545" s="405" t="s">
        <v>362</v>
      </c>
      <c r="O4545" s="405" t="s">
        <v>523</v>
      </c>
      <c r="P4545" s="405" t="s">
        <v>2488</v>
      </c>
      <c r="Q4545" s="411">
        <v>9</v>
      </c>
      <c r="R4545" s="405" t="s">
        <v>1263</v>
      </c>
      <c r="S4545" s="405" t="s">
        <v>27053</v>
      </c>
      <c r="T4545" s="405" t="s">
        <v>884</v>
      </c>
      <c r="U4545" s="405" t="s">
        <v>319</v>
      </c>
    </row>
    <row r="4546" spans="1:21" x14ac:dyDescent="0.25">
      <c r="A4546" s="405" t="s">
        <v>310</v>
      </c>
      <c r="B4546" s="405" t="s">
        <v>28696</v>
      </c>
      <c r="C4546" s="405" t="s">
        <v>327</v>
      </c>
      <c r="D4546" s="405"/>
      <c r="E4546" s="410">
        <v>41943</v>
      </c>
      <c r="F4546" s="410">
        <v>41988</v>
      </c>
      <c r="G4546" s="405" t="s">
        <v>14216</v>
      </c>
      <c r="H4546" s="405">
        <v>700481804</v>
      </c>
      <c r="I4546" s="405"/>
      <c r="J4546" s="405">
        <v>0.60994499999999996</v>
      </c>
      <c r="K4546" s="405">
        <v>34.050961000000001</v>
      </c>
      <c r="L4546" s="405" t="s">
        <v>6866</v>
      </c>
      <c r="M4546" s="405" t="s">
        <v>9534</v>
      </c>
      <c r="N4546" s="405" t="s">
        <v>9997</v>
      </c>
      <c r="O4546" s="405" t="s">
        <v>11478</v>
      </c>
      <c r="P4546" s="405" t="s">
        <v>14102</v>
      </c>
      <c r="Q4546" s="411">
        <v>6</v>
      </c>
      <c r="R4546" s="405" t="s">
        <v>5655</v>
      </c>
      <c r="S4546" s="405" t="s">
        <v>27337</v>
      </c>
      <c r="T4546" s="405" t="s">
        <v>884</v>
      </c>
      <c r="U4546" s="405" t="s">
        <v>319</v>
      </c>
    </row>
    <row r="4547" spans="1:21" x14ac:dyDescent="0.25">
      <c r="A4547" s="405" t="s">
        <v>310</v>
      </c>
      <c r="B4547" s="405" t="s">
        <v>14227</v>
      </c>
      <c r="C4547" s="405" t="s">
        <v>327</v>
      </c>
      <c r="D4547" s="405"/>
      <c r="E4547" s="410">
        <v>41943</v>
      </c>
      <c r="F4547" s="410">
        <v>41988</v>
      </c>
      <c r="G4547" s="405" t="s">
        <v>14228</v>
      </c>
      <c r="H4547" s="405">
        <v>783428814</v>
      </c>
      <c r="I4547" s="405"/>
      <c r="J4547" s="405">
        <v>1.688688</v>
      </c>
      <c r="K4547" s="405">
        <v>33.515132999999999</v>
      </c>
      <c r="L4547" s="405" t="s">
        <v>6866</v>
      </c>
      <c r="M4547" s="405" t="s">
        <v>10515</v>
      </c>
      <c r="N4547" s="405" t="s">
        <v>10515</v>
      </c>
      <c r="O4547" s="405" t="s">
        <v>11068</v>
      </c>
      <c r="P4547" s="405" t="s">
        <v>13772</v>
      </c>
      <c r="Q4547" s="411">
        <v>6</v>
      </c>
      <c r="R4547" s="405" t="s">
        <v>5655</v>
      </c>
      <c r="S4547" s="405" t="s">
        <v>27041</v>
      </c>
      <c r="T4547" s="405" t="s">
        <v>865</v>
      </c>
      <c r="U4547" s="405" t="s">
        <v>866</v>
      </c>
    </row>
    <row r="4548" spans="1:21" x14ac:dyDescent="0.25">
      <c r="A4548" s="405" t="s">
        <v>310</v>
      </c>
      <c r="B4548" s="405" t="s">
        <v>28540</v>
      </c>
      <c r="C4548" s="405" t="s">
        <v>327</v>
      </c>
      <c r="D4548" s="405"/>
      <c r="E4548" s="410">
        <v>41943</v>
      </c>
      <c r="F4548" s="410">
        <v>41988</v>
      </c>
      <c r="G4548" s="405" t="s">
        <v>5394</v>
      </c>
      <c r="H4548" s="405">
        <v>782453990</v>
      </c>
      <c r="I4548" s="405"/>
      <c r="J4548" s="405">
        <v>0.56328999999999996</v>
      </c>
      <c r="K4548" s="405">
        <v>32.247382000000002</v>
      </c>
      <c r="L4548" s="405" t="s">
        <v>314</v>
      </c>
      <c r="M4548" s="405" t="s">
        <v>361</v>
      </c>
      <c r="N4548" s="405" t="s">
        <v>676</v>
      </c>
      <c r="O4548" s="405" t="s">
        <v>1734</v>
      </c>
      <c r="P4548" s="405" t="s">
        <v>5395</v>
      </c>
      <c r="Q4548" s="411">
        <v>6</v>
      </c>
      <c r="R4548" s="405" t="s">
        <v>5336</v>
      </c>
      <c r="S4548" s="405" t="s">
        <v>27153</v>
      </c>
      <c r="T4548" s="405" t="s">
        <v>865</v>
      </c>
      <c r="U4548" s="405" t="s">
        <v>866</v>
      </c>
    </row>
    <row r="4549" spans="1:21" x14ac:dyDescent="0.25">
      <c r="A4549" s="405" t="s">
        <v>310</v>
      </c>
      <c r="B4549" s="405" t="s">
        <v>14229</v>
      </c>
      <c r="C4549" s="405" t="s">
        <v>327</v>
      </c>
      <c r="D4549" s="405"/>
      <c r="E4549" s="410">
        <v>41943</v>
      </c>
      <c r="F4549" s="410">
        <v>41988</v>
      </c>
      <c r="G4549" s="405" t="s">
        <v>14230</v>
      </c>
      <c r="H4549" s="405">
        <v>779960706</v>
      </c>
      <c r="I4549" s="405"/>
      <c r="J4549" s="405">
        <v>1.9268419999999999</v>
      </c>
      <c r="K4549" s="405">
        <v>33.725316999999997</v>
      </c>
      <c r="L4549" s="405" t="s">
        <v>6866</v>
      </c>
      <c r="M4549" s="405" t="s">
        <v>10495</v>
      </c>
      <c r="N4549" s="405" t="s">
        <v>10495</v>
      </c>
      <c r="O4549" s="405" t="s">
        <v>11435</v>
      </c>
      <c r="P4549" s="405" t="s">
        <v>11436</v>
      </c>
      <c r="Q4549" s="411">
        <v>6</v>
      </c>
      <c r="R4549" s="405" t="s">
        <v>5655</v>
      </c>
      <c r="S4549" s="405" t="s">
        <v>27056</v>
      </c>
      <c r="T4549" s="405" t="s">
        <v>32102</v>
      </c>
      <c r="U4549" s="405" t="s">
        <v>319</v>
      </c>
    </row>
    <row r="4550" spans="1:21" x14ac:dyDescent="0.25">
      <c r="A4550" s="405" t="s">
        <v>310</v>
      </c>
      <c r="B4550" s="405" t="s">
        <v>14210</v>
      </c>
      <c r="C4550" s="405" t="s">
        <v>327</v>
      </c>
      <c r="D4550" s="405"/>
      <c r="E4550" s="410">
        <v>41943</v>
      </c>
      <c r="F4550" s="410">
        <v>41988</v>
      </c>
      <c r="G4550" s="405" t="s">
        <v>14211</v>
      </c>
      <c r="H4550" s="405">
        <v>772886395</v>
      </c>
      <c r="I4550" s="405">
        <v>702886395</v>
      </c>
      <c r="J4550" s="405">
        <v>0.73969700000000005</v>
      </c>
      <c r="K4550" s="405">
        <v>34.243198999999997</v>
      </c>
      <c r="L4550" s="405" t="s">
        <v>6866</v>
      </c>
      <c r="M4550" s="405" t="s">
        <v>9534</v>
      </c>
      <c r="N4550" s="405" t="s">
        <v>10201</v>
      </c>
      <c r="O4550" s="405" t="s">
        <v>12571</v>
      </c>
      <c r="P4550" s="405" t="s">
        <v>14212</v>
      </c>
      <c r="Q4550" s="411">
        <v>6</v>
      </c>
      <c r="R4550" s="405" t="s">
        <v>5655</v>
      </c>
      <c r="S4550" s="405" t="s">
        <v>27337</v>
      </c>
      <c r="T4550" s="405" t="s">
        <v>884</v>
      </c>
      <c r="U4550" s="405" t="s">
        <v>319</v>
      </c>
    </row>
    <row r="4551" spans="1:21" x14ac:dyDescent="0.25">
      <c r="A4551" s="405" t="s">
        <v>310</v>
      </c>
      <c r="B4551" s="405" t="s">
        <v>5381</v>
      </c>
      <c r="C4551" s="405" t="s">
        <v>327</v>
      </c>
      <c r="D4551" s="405"/>
      <c r="E4551" s="410">
        <v>41942</v>
      </c>
      <c r="F4551" s="410">
        <v>41987</v>
      </c>
      <c r="G4551" s="405" t="s">
        <v>5382</v>
      </c>
      <c r="H4551" s="405">
        <v>782472523</v>
      </c>
      <c r="I4551" s="405"/>
      <c r="J4551" s="405">
        <v>0.30164800000000003</v>
      </c>
      <c r="K4551" s="405">
        <v>32.553812999999998</v>
      </c>
      <c r="L4551" s="405" t="s">
        <v>314</v>
      </c>
      <c r="M4551" s="405" t="s">
        <v>992</v>
      </c>
      <c r="N4551" s="405" t="s">
        <v>362</v>
      </c>
      <c r="O4551" s="405" t="s">
        <v>2327</v>
      </c>
      <c r="P4551" s="405" t="s">
        <v>2327</v>
      </c>
      <c r="Q4551" s="411">
        <v>9</v>
      </c>
      <c r="R4551" s="405" t="s">
        <v>1263</v>
      </c>
      <c r="S4551" s="405" t="s">
        <v>27121</v>
      </c>
      <c r="T4551" s="405" t="s">
        <v>865</v>
      </c>
      <c r="U4551" s="405" t="s">
        <v>866</v>
      </c>
    </row>
    <row r="4552" spans="1:21" x14ac:dyDescent="0.25">
      <c r="A4552" s="405" t="s">
        <v>310</v>
      </c>
      <c r="B4552" s="405" t="s">
        <v>22046</v>
      </c>
      <c r="C4552" s="405" t="s">
        <v>311</v>
      </c>
      <c r="D4552" s="405" t="s">
        <v>839</v>
      </c>
      <c r="E4552" s="410">
        <v>41942</v>
      </c>
      <c r="F4552" s="410">
        <v>41987</v>
      </c>
      <c r="G4552" s="405" t="s">
        <v>22047</v>
      </c>
      <c r="H4552" s="405">
        <v>754120264</v>
      </c>
      <c r="I4552" s="405"/>
      <c r="J4552" s="405">
        <v>0.605267</v>
      </c>
      <c r="K4552" s="405">
        <v>30.455698000000002</v>
      </c>
      <c r="L4552" s="405" t="s">
        <v>590</v>
      </c>
      <c r="M4552" s="405" t="s">
        <v>19614</v>
      </c>
      <c r="N4552" s="405" t="s">
        <v>20063</v>
      </c>
      <c r="O4552" s="405" t="s">
        <v>20063</v>
      </c>
      <c r="P4552" s="405" t="s">
        <v>22048</v>
      </c>
      <c r="Q4552" s="411">
        <v>6</v>
      </c>
      <c r="R4552" s="405" t="s">
        <v>6572</v>
      </c>
      <c r="S4552" s="405" t="s">
        <v>27394</v>
      </c>
      <c r="T4552" s="405" t="s">
        <v>32102</v>
      </c>
      <c r="U4552" s="405" t="s">
        <v>319</v>
      </c>
    </row>
    <row r="4553" spans="1:21" x14ac:dyDescent="0.25">
      <c r="A4553" s="405" t="s">
        <v>310</v>
      </c>
      <c r="B4553" s="405" t="s">
        <v>21818</v>
      </c>
      <c r="C4553" s="405" t="s">
        <v>327</v>
      </c>
      <c r="D4553" s="405"/>
      <c r="E4553" s="410">
        <v>41941</v>
      </c>
      <c r="F4553" s="410">
        <v>41986</v>
      </c>
      <c r="G4553" s="405" t="s">
        <v>21819</v>
      </c>
      <c r="H4553" s="405">
        <v>701298203</v>
      </c>
      <c r="I4553" s="405"/>
      <c r="J4553" s="405">
        <v>0.57491199999999998</v>
      </c>
      <c r="K4553" s="405">
        <v>30.385413</v>
      </c>
      <c r="L4553" s="405" t="s">
        <v>590</v>
      </c>
      <c r="M4553" s="405" t="s">
        <v>19725</v>
      </c>
      <c r="N4553" s="405" t="s">
        <v>19798</v>
      </c>
      <c r="O4553" s="405" t="s">
        <v>19798</v>
      </c>
      <c r="P4553" s="405" t="s">
        <v>19797</v>
      </c>
      <c r="Q4553" s="411">
        <v>13</v>
      </c>
      <c r="R4553" s="405" t="s">
        <v>883</v>
      </c>
      <c r="S4553" s="405" t="s">
        <v>27173</v>
      </c>
      <c r="T4553" s="405" t="s">
        <v>32102</v>
      </c>
      <c r="U4553" s="405" t="s">
        <v>319</v>
      </c>
    </row>
    <row r="4554" spans="1:21" x14ac:dyDescent="0.25">
      <c r="A4554" s="405" t="s">
        <v>310</v>
      </c>
      <c r="B4554" s="405" t="s">
        <v>22051</v>
      </c>
      <c r="C4554" s="405" t="s">
        <v>311</v>
      </c>
      <c r="D4554" s="405" t="s">
        <v>839</v>
      </c>
      <c r="E4554" s="410">
        <v>41939</v>
      </c>
      <c r="F4554" s="410">
        <v>41984</v>
      </c>
      <c r="G4554" s="405" t="s">
        <v>22052</v>
      </c>
      <c r="H4554" s="405">
        <v>772552171</v>
      </c>
      <c r="I4554" s="405"/>
      <c r="J4554" s="405">
        <v>-0.76947200000000004</v>
      </c>
      <c r="K4554" s="405">
        <v>30.80097</v>
      </c>
      <c r="L4554" s="405" t="s">
        <v>590</v>
      </c>
      <c r="M4554" s="405" t="s">
        <v>879</v>
      </c>
      <c r="N4554" s="405" t="s">
        <v>22053</v>
      </c>
      <c r="O4554" s="405" t="s">
        <v>22053</v>
      </c>
      <c r="P4554" s="405" t="s">
        <v>21327</v>
      </c>
      <c r="Q4554" s="411">
        <v>9</v>
      </c>
      <c r="R4554" s="405" t="s">
        <v>883</v>
      </c>
      <c r="S4554" s="405" t="s">
        <v>27183</v>
      </c>
      <c r="T4554" s="405" t="s">
        <v>884</v>
      </c>
      <c r="U4554" s="405" t="s">
        <v>319</v>
      </c>
    </row>
    <row r="4555" spans="1:21" x14ac:dyDescent="0.25">
      <c r="A4555" s="405" t="s">
        <v>310</v>
      </c>
      <c r="B4555" s="405" t="s">
        <v>21803</v>
      </c>
      <c r="C4555" s="405" t="s">
        <v>327</v>
      </c>
      <c r="D4555" s="405"/>
      <c r="E4555" s="410">
        <v>41939</v>
      </c>
      <c r="F4555" s="410">
        <v>41984</v>
      </c>
      <c r="G4555" s="405" t="s">
        <v>21804</v>
      </c>
      <c r="H4555" s="405">
        <v>776300565</v>
      </c>
      <c r="I4555" s="405"/>
      <c r="J4555" s="405">
        <v>0.51631700000000003</v>
      </c>
      <c r="K4555" s="405">
        <v>30.255417999999999</v>
      </c>
      <c r="L4555" s="405" t="s">
        <v>590</v>
      </c>
      <c r="M4555" s="405" t="s">
        <v>19625</v>
      </c>
      <c r="N4555" s="405" t="s">
        <v>20937</v>
      </c>
      <c r="O4555" s="405" t="s">
        <v>20937</v>
      </c>
      <c r="P4555" s="405" t="s">
        <v>19923</v>
      </c>
      <c r="Q4555" s="411">
        <v>6</v>
      </c>
      <c r="R4555" s="405" t="s">
        <v>883</v>
      </c>
      <c r="S4555" s="405" t="s">
        <v>27104</v>
      </c>
      <c r="T4555" s="405" t="s">
        <v>32102</v>
      </c>
      <c r="U4555" s="405" t="s">
        <v>319</v>
      </c>
    </row>
    <row r="4556" spans="1:21" x14ac:dyDescent="0.25">
      <c r="A4556" s="405" t="s">
        <v>310</v>
      </c>
      <c r="B4556" s="405" t="s">
        <v>5379</v>
      </c>
      <c r="C4556" s="405" t="s">
        <v>327</v>
      </c>
      <c r="D4556" s="405"/>
      <c r="E4556" s="410">
        <v>41938</v>
      </c>
      <c r="F4556" s="410">
        <v>41983</v>
      </c>
      <c r="G4556" s="405" t="s">
        <v>5380</v>
      </c>
      <c r="H4556" s="405">
        <v>774972524</v>
      </c>
      <c r="I4556" s="405"/>
      <c r="J4556" s="405">
        <v>0.45679999999999998</v>
      </c>
      <c r="K4556" s="405">
        <v>32.499119999999998</v>
      </c>
      <c r="L4556" s="405" t="s">
        <v>314</v>
      </c>
      <c r="M4556" s="405" t="s">
        <v>361</v>
      </c>
      <c r="N4556" s="405" t="s">
        <v>339</v>
      </c>
      <c r="O4556" s="405" t="s">
        <v>523</v>
      </c>
      <c r="P4556" s="405" t="s">
        <v>4156</v>
      </c>
      <c r="Q4556" s="411">
        <v>9</v>
      </c>
      <c r="R4556" s="405" t="s">
        <v>1263</v>
      </c>
      <c r="S4556" s="405" t="s">
        <v>27178</v>
      </c>
      <c r="T4556" s="405" t="s">
        <v>865</v>
      </c>
      <c r="U4556" s="405" t="s">
        <v>866</v>
      </c>
    </row>
    <row r="4557" spans="1:21" x14ac:dyDescent="0.25">
      <c r="A4557" s="405" t="s">
        <v>310</v>
      </c>
      <c r="B4557" s="405" t="s">
        <v>14213</v>
      </c>
      <c r="C4557" s="405" t="s">
        <v>327</v>
      </c>
      <c r="D4557" s="405"/>
      <c r="E4557" s="410">
        <v>41938</v>
      </c>
      <c r="F4557" s="410">
        <v>41983</v>
      </c>
      <c r="G4557" s="405" t="s">
        <v>14214</v>
      </c>
      <c r="H4557" s="405">
        <v>785246150</v>
      </c>
      <c r="I4557" s="405"/>
      <c r="J4557" s="405">
        <v>0.70318499999999995</v>
      </c>
      <c r="K4557" s="405">
        <v>34.216613000000002</v>
      </c>
      <c r="L4557" s="405" t="s">
        <v>6866</v>
      </c>
      <c r="M4557" s="405" t="s">
        <v>9534</v>
      </c>
      <c r="N4557" s="405" t="s">
        <v>10201</v>
      </c>
      <c r="O4557" s="405" t="s">
        <v>10202</v>
      </c>
      <c r="P4557" s="405" t="s">
        <v>14215</v>
      </c>
      <c r="Q4557" s="411">
        <v>6</v>
      </c>
      <c r="R4557" s="405" t="s">
        <v>5655</v>
      </c>
      <c r="S4557" s="405" t="s">
        <v>27041</v>
      </c>
      <c r="T4557" s="405" t="s">
        <v>884</v>
      </c>
      <c r="U4557" s="405" t="s">
        <v>319</v>
      </c>
    </row>
    <row r="4558" spans="1:21" x14ac:dyDescent="0.25">
      <c r="A4558" s="405" t="s">
        <v>310</v>
      </c>
      <c r="B4558" s="405" t="s">
        <v>21805</v>
      </c>
      <c r="C4558" s="405" t="s">
        <v>327</v>
      </c>
      <c r="D4558" s="405"/>
      <c r="E4558" s="410">
        <v>41938</v>
      </c>
      <c r="F4558" s="410">
        <v>41983</v>
      </c>
      <c r="G4558" s="405" t="s">
        <v>21806</v>
      </c>
      <c r="H4558" s="405">
        <v>784922372</v>
      </c>
      <c r="I4558" s="405"/>
      <c r="J4558" s="405">
        <v>0.51676</v>
      </c>
      <c r="K4558" s="405">
        <v>30.255694999999999</v>
      </c>
      <c r="L4558" s="405" t="s">
        <v>590</v>
      </c>
      <c r="M4558" s="405" t="s">
        <v>19625</v>
      </c>
      <c r="N4558" s="405" t="s">
        <v>20937</v>
      </c>
      <c r="O4558" s="405" t="s">
        <v>20937</v>
      </c>
      <c r="P4558" s="405" t="s">
        <v>21622</v>
      </c>
      <c r="Q4558" s="411">
        <v>6</v>
      </c>
      <c r="R4558" s="405" t="s">
        <v>883</v>
      </c>
      <c r="S4558" s="405" t="s">
        <v>27096</v>
      </c>
      <c r="T4558" s="405" t="s">
        <v>32102</v>
      </c>
      <c r="U4558" s="405" t="s">
        <v>319</v>
      </c>
    </row>
    <row r="4559" spans="1:21" x14ac:dyDescent="0.25">
      <c r="A4559" s="405" t="s">
        <v>310</v>
      </c>
      <c r="B4559" s="405" t="s">
        <v>14240</v>
      </c>
      <c r="C4559" s="405" t="s">
        <v>327</v>
      </c>
      <c r="D4559" s="405"/>
      <c r="E4559" s="410">
        <v>41938</v>
      </c>
      <c r="F4559" s="410">
        <v>41983</v>
      </c>
      <c r="G4559" s="405" t="s">
        <v>14241</v>
      </c>
      <c r="H4559" s="405">
        <v>774144516</v>
      </c>
      <c r="I4559" s="405"/>
      <c r="J4559" s="405">
        <v>1.023385</v>
      </c>
      <c r="K4559" s="405">
        <v>34.384836999999997</v>
      </c>
      <c r="L4559" s="405" t="s">
        <v>6866</v>
      </c>
      <c r="M4559" s="405" t="s">
        <v>6867</v>
      </c>
      <c r="N4559" s="405" t="s">
        <v>6868</v>
      </c>
      <c r="O4559" s="405" t="s">
        <v>14242</v>
      </c>
      <c r="P4559" s="405" t="s">
        <v>14243</v>
      </c>
      <c r="Q4559" s="411">
        <v>6</v>
      </c>
      <c r="R4559" s="405" t="s">
        <v>7224</v>
      </c>
      <c r="S4559" s="405" t="s">
        <v>27283</v>
      </c>
      <c r="T4559" s="405" t="s">
        <v>32102</v>
      </c>
      <c r="U4559" s="405" t="s">
        <v>319</v>
      </c>
    </row>
    <row r="4560" spans="1:21" x14ac:dyDescent="0.25">
      <c r="A4560" s="405" t="s">
        <v>310</v>
      </c>
      <c r="B4560" s="405" t="s">
        <v>14244</v>
      </c>
      <c r="C4560" s="405" t="s">
        <v>327</v>
      </c>
      <c r="D4560" s="405"/>
      <c r="E4560" s="410">
        <v>41938</v>
      </c>
      <c r="F4560" s="410">
        <v>41983</v>
      </c>
      <c r="G4560" s="405" t="s">
        <v>14245</v>
      </c>
      <c r="H4560" s="405">
        <v>773335772</v>
      </c>
      <c r="I4560" s="405">
        <v>774492719</v>
      </c>
      <c r="J4560" s="405">
        <v>1.02542</v>
      </c>
      <c r="K4560" s="405">
        <v>34.377291999999997</v>
      </c>
      <c r="L4560" s="405" t="s">
        <v>6866</v>
      </c>
      <c r="M4560" s="405" t="s">
        <v>6867</v>
      </c>
      <c r="N4560" s="405" t="s">
        <v>13210</v>
      </c>
      <c r="O4560" s="405" t="s">
        <v>13210</v>
      </c>
      <c r="P4560" s="405" t="s">
        <v>12227</v>
      </c>
      <c r="Q4560" s="411">
        <v>6</v>
      </c>
      <c r="R4560" s="405" t="s">
        <v>7224</v>
      </c>
      <c r="S4560" s="405" t="s">
        <v>27107</v>
      </c>
      <c r="T4560" s="405" t="s">
        <v>884</v>
      </c>
      <c r="U4560" s="405" t="s">
        <v>319</v>
      </c>
    </row>
    <row r="4561" spans="1:21" x14ac:dyDescent="0.25">
      <c r="A4561" s="405" t="s">
        <v>310</v>
      </c>
      <c r="B4561" s="405" t="s">
        <v>21822</v>
      </c>
      <c r="C4561" s="405" t="s">
        <v>327</v>
      </c>
      <c r="D4561" s="405"/>
      <c r="E4561" s="410">
        <v>41937</v>
      </c>
      <c r="F4561" s="410">
        <v>41982</v>
      </c>
      <c r="G4561" s="405" t="s">
        <v>21823</v>
      </c>
      <c r="H4561" s="405">
        <v>702395861</v>
      </c>
      <c r="I4561" s="405"/>
      <c r="J4561" s="405">
        <v>0.54208999999999996</v>
      </c>
      <c r="K4561" s="405">
        <v>30.280037</v>
      </c>
      <c r="L4561" s="405" t="s">
        <v>590</v>
      </c>
      <c r="M4561" s="405" t="s">
        <v>19625</v>
      </c>
      <c r="N4561" s="405" t="s">
        <v>20275</v>
      </c>
      <c r="O4561" s="405" t="s">
        <v>20275</v>
      </c>
      <c r="P4561" s="405" t="s">
        <v>21824</v>
      </c>
      <c r="Q4561" s="411">
        <v>9</v>
      </c>
      <c r="R4561" s="405" t="s">
        <v>883</v>
      </c>
      <c r="S4561" s="405" t="s">
        <v>27065</v>
      </c>
      <c r="T4561" s="405" t="s">
        <v>884</v>
      </c>
      <c r="U4561" s="405" t="s">
        <v>319</v>
      </c>
    </row>
    <row r="4562" spans="1:21" x14ac:dyDescent="0.25">
      <c r="A4562" s="405" t="s">
        <v>310</v>
      </c>
      <c r="B4562" s="405" t="s">
        <v>14246</v>
      </c>
      <c r="C4562" s="405" t="s">
        <v>327</v>
      </c>
      <c r="D4562" s="405"/>
      <c r="E4562" s="410">
        <v>41937</v>
      </c>
      <c r="F4562" s="410">
        <v>41982</v>
      </c>
      <c r="G4562" s="405" t="s">
        <v>14247</v>
      </c>
      <c r="H4562" s="405">
        <v>774237912</v>
      </c>
      <c r="I4562" s="405"/>
      <c r="J4562" s="405">
        <v>1.1049850000000001</v>
      </c>
      <c r="K4562" s="405">
        <v>34.211905000000002</v>
      </c>
      <c r="L4562" s="405" t="s">
        <v>6866</v>
      </c>
      <c r="M4562" s="405" t="s">
        <v>9514</v>
      </c>
      <c r="N4562" s="405" t="s">
        <v>9530</v>
      </c>
      <c r="O4562" s="405" t="s">
        <v>9530</v>
      </c>
      <c r="P4562" s="405" t="s">
        <v>13529</v>
      </c>
      <c r="Q4562" s="411">
        <v>6</v>
      </c>
      <c r="R4562" s="405" t="s">
        <v>7224</v>
      </c>
      <c r="S4562" s="405" t="s">
        <v>27067</v>
      </c>
      <c r="T4562" s="405" t="s">
        <v>32102</v>
      </c>
      <c r="U4562" s="405" t="s">
        <v>319</v>
      </c>
    </row>
    <row r="4563" spans="1:21" x14ac:dyDescent="0.25">
      <c r="A4563" s="405" t="s">
        <v>310</v>
      </c>
      <c r="B4563" s="405" t="s">
        <v>14254</v>
      </c>
      <c r="C4563" s="405" t="s">
        <v>327</v>
      </c>
      <c r="D4563" s="405"/>
      <c r="E4563" s="410">
        <v>41935</v>
      </c>
      <c r="F4563" s="410">
        <v>41980</v>
      </c>
      <c r="G4563" s="405" t="s">
        <v>14255</v>
      </c>
      <c r="H4563" s="405">
        <v>775908904</v>
      </c>
      <c r="I4563" s="405"/>
      <c r="J4563" s="405">
        <v>0.59941</v>
      </c>
      <c r="K4563" s="405">
        <v>33.942349999999998</v>
      </c>
      <c r="L4563" s="405" t="s">
        <v>6866</v>
      </c>
      <c r="M4563" s="405" t="s">
        <v>9534</v>
      </c>
      <c r="N4563" s="405" t="s">
        <v>9927</v>
      </c>
      <c r="O4563" s="405" t="s">
        <v>14256</v>
      </c>
      <c r="P4563" s="405" t="s">
        <v>11374</v>
      </c>
      <c r="Q4563" s="411">
        <v>6</v>
      </c>
      <c r="R4563" s="405" t="s">
        <v>5655</v>
      </c>
      <c r="S4563" s="405" t="s">
        <v>27351</v>
      </c>
      <c r="T4563" s="405" t="s">
        <v>884</v>
      </c>
      <c r="U4563" s="405" t="s">
        <v>319</v>
      </c>
    </row>
    <row r="4564" spans="1:21" x14ac:dyDescent="0.25">
      <c r="A4564" s="405" t="s">
        <v>310</v>
      </c>
      <c r="B4564" s="405" t="s">
        <v>28611</v>
      </c>
      <c r="C4564" s="405" t="s">
        <v>327</v>
      </c>
      <c r="D4564" s="405"/>
      <c r="E4564" s="410">
        <v>41934</v>
      </c>
      <c r="F4564" s="410">
        <v>41979</v>
      </c>
      <c r="G4564" s="405" t="s">
        <v>14239</v>
      </c>
      <c r="H4564" s="405">
        <v>777022481</v>
      </c>
      <c r="I4564" s="405"/>
      <c r="J4564" s="405">
        <v>1.124198</v>
      </c>
      <c r="K4564" s="405">
        <v>34.194249999999997</v>
      </c>
      <c r="L4564" s="405" t="s">
        <v>6866</v>
      </c>
      <c r="M4564" s="405" t="s">
        <v>9514</v>
      </c>
      <c r="N4564" s="405" t="s">
        <v>9529</v>
      </c>
      <c r="O4564" s="405" t="s">
        <v>9530</v>
      </c>
      <c r="P4564" s="405" t="s">
        <v>11492</v>
      </c>
      <c r="Q4564" s="411">
        <v>6</v>
      </c>
      <c r="R4564" s="405" t="s">
        <v>7224</v>
      </c>
      <c r="S4564" s="405" t="s">
        <v>27316</v>
      </c>
      <c r="T4564" s="405" t="s">
        <v>884</v>
      </c>
      <c r="U4564" s="405" t="s">
        <v>319</v>
      </c>
    </row>
    <row r="4565" spans="1:21" x14ac:dyDescent="0.25">
      <c r="A4565" s="405" t="s">
        <v>310</v>
      </c>
      <c r="B4565" s="405" t="s">
        <v>14205</v>
      </c>
      <c r="C4565" s="405" t="s">
        <v>327</v>
      </c>
      <c r="D4565" s="405"/>
      <c r="E4565" s="410">
        <v>41934</v>
      </c>
      <c r="F4565" s="410">
        <v>41979</v>
      </c>
      <c r="G4565" s="405" t="s">
        <v>14206</v>
      </c>
      <c r="H4565" s="405">
        <v>777466200</v>
      </c>
      <c r="I4565" s="405"/>
      <c r="J4565" s="405">
        <v>0.73573999999999995</v>
      </c>
      <c r="K4565" s="405">
        <v>34.241196000000002</v>
      </c>
      <c r="L4565" s="405" t="s">
        <v>6866</v>
      </c>
      <c r="M4565" s="405" t="s">
        <v>9534</v>
      </c>
      <c r="N4565" s="405" t="s">
        <v>10201</v>
      </c>
      <c r="O4565" s="405" t="s">
        <v>12571</v>
      </c>
      <c r="P4565" s="405" t="s">
        <v>13982</v>
      </c>
      <c r="Q4565" s="411">
        <v>6</v>
      </c>
      <c r="R4565" s="405" t="s">
        <v>5655</v>
      </c>
      <c r="S4565" s="405" t="s">
        <v>27337</v>
      </c>
      <c r="T4565" s="405" t="s">
        <v>865</v>
      </c>
      <c r="U4565" s="405" t="s">
        <v>866</v>
      </c>
    </row>
    <row r="4566" spans="1:21" x14ac:dyDescent="0.25">
      <c r="A4566" s="405" t="s">
        <v>310</v>
      </c>
      <c r="B4566" s="405" t="s">
        <v>21810</v>
      </c>
      <c r="C4566" s="405" t="s">
        <v>327</v>
      </c>
      <c r="D4566" s="405"/>
      <c r="E4566" s="410">
        <v>41933</v>
      </c>
      <c r="F4566" s="410">
        <v>41978</v>
      </c>
      <c r="G4566" s="405" t="s">
        <v>21811</v>
      </c>
      <c r="H4566" s="405">
        <v>772595236</v>
      </c>
      <c r="I4566" s="405"/>
      <c r="J4566" s="405">
        <v>-0.69397799999999998</v>
      </c>
      <c r="K4566" s="405">
        <v>30.737290000000002</v>
      </c>
      <c r="L4566" s="405" t="s">
        <v>590</v>
      </c>
      <c r="M4566" s="405" t="s">
        <v>879</v>
      </c>
      <c r="N4566" s="405" t="s">
        <v>881</v>
      </c>
      <c r="O4566" s="405" t="s">
        <v>881</v>
      </c>
      <c r="P4566" s="405" t="s">
        <v>881</v>
      </c>
      <c r="Q4566" s="411">
        <v>9</v>
      </c>
      <c r="R4566" s="405" t="s">
        <v>883</v>
      </c>
      <c r="S4566" s="405" t="s">
        <v>27097</v>
      </c>
      <c r="T4566" s="405" t="s">
        <v>884</v>
      </c>
      <c r="U4566" s="405" t="s">
        <v>319</v>
      </c>
    </row>
    <row r="4567" spans="1:21" x14ac:dyDescent="0.25">
      <c r="A4567" s="405" t="s">
        <v>310</v>
      </c>
      <c r="B4567" s="405" t="s">
        <v>14224</v>
      </c>
      <c r="C4567" s="405" t="s">
        <v>327</v>
      </c>
      <c r="D4567" s="405"/>
      <c r="E4567" s="410">
        <v>41933</v>
      </c>
      <c r="F4567" s="410">
        <v>41978</v>
      </c>
      <c r="G4567" s="405" t="s">
        <v>14225</v>
      </c>
      <c r="H4567" s="405">
        <v>771399359</v>
      </c>
      <c r="I4567" s="405"/>
      <c r="J4567" s="405">
        <v>1.6790719999999999</v>
      </c>
      <c r="K4567" s="405">
        <v>33.502676999999998</v>
      </c>
      <c r="L4567" s="405" t="s">
        <v>6866</v>
      </c>
      <c r="M4567" s="405" t="s">
        <v>10515</v>
      </c>
      <c r="N4567" s="405" t="s">
        <v>10515</v>
      </c>
      <c r="O4567" s="405" t="s">
        <v>11068</v>
      </c>
      <c r="P4567" s="405" t="s">
        <v>14226</v>
      </c>
      <c r="Q4567" s="411">
        <v>6</v>
      </c>
      <c r="R4567" s="405" t="s">
        <v>5655</v>
      </c>
      <c r="S4567" s="405" t="s">
        <v>27072</v>
      </c>
      <c r="T4567" s="405" t="s">
        <v>884</v>
      </c>
      <c r="U4567" s="405" t="s">
        <v>319</v>
      </c>
    </row>
    <row r="4568" spans="1:21" x14ac:dyDescent="0.25">
      <c r="A4568" s="405" t="s">
        <v>310</v>
      </c>
      <c r="B4568" s="405" t="s">
        <v>28634</v>
      </c>
      <c r="C4568" s="405" t="s">
        <v>327</v>
      </c>
      <c r="D4568" s="405"/>
      <c r="E4568" s="410">
        <v>41932</v>
      </c>
      <c r="F4568" s="410">
        <v>41977</v>
      </c>
      <c r="G4568" s="405" t="s">
        <v>14236</v>
      </c>
      <c r="H4568" s="405">
        <v>783750442</v>
      </c>
      <c r="I4568" s="405"/>
      <c r="J4568" s="405">
        <v>1.0244180000000001</v>
      </c>
      <c r="K4568" s="405">
        <v>34.377102000000001</v>
      </c>
      <c r="L4568" s="405" t="s">
        <v>6866</v>
      </c>
      <c r="M4568" s="405" t="s">
        <v>6867</v>
      </c>
      <c r="N4568" s="405" t="s">
        <v>10297</v>
      </c>
      <c r="O4568" s="405" t="s">
        <v>13210</v>
      </c>
      <c r="P4568" s="405" t="s">
        <v>12227</v>
      </c>
      <c r="Q4568" s="411">
        <v>6</v>
      </c>
      <c r="R4568" s="405" t="s">
        <v>7224</v>
      </c>
      <c r="S4568" s="405" t="s">
        <v>27107</v>
      </c>
      <c r="T4568" s="405" t="s">
        <v>32102</v>
      </c>
      <c r="U4568" s="405" t="s">
        <v>319</v>
      </c>
    </row>
    <row r="4569" spans="1:21" x14ac:dyDescent="0.25">
      <c r="A4569" s="405" t="s">
        <v>310</v>
      </c>
      <c r="B4569" s="405" t="s">
        <v>5372</v>
      </c>
      <c r="C4569" s="405" t="s">
        <v>327</v>
      </c>
      <c r="D4569" s="405"/>
      <c r="E4569" s="410">
        <v>41932</v>
      </c>
      <c r="F4569" s="410">
        <v>41977</v>
      </c>
      <c r="G4569" s="405" t="s">
        <v>5373</v>
      </c>
      <c r="H4569" s="405">
        <v>758828772</v>
      </c>
      <c r="I4569" s="405"/>
      <c r="J4569" s="405">
        <v>0.45777699999999999</v>
      </c>
      <c r="K4569" s="405">
        <v>32.499026999999998</v>
      </c>
      <c r="L4569" s="405" t="s">
        <v>314</v>
      </c>
      <c r="M4569" s="405" t="s">
        <v>361</v>
      </c>
      <c r="N4569" s="405" t="s">
        <v>339</v>
      </c>
      <c r="O4569" s="405" t="s">
        <v>523</v>
      </c>
      <c r="P4569" s="405" t="s">
        <v>5355</v>
      </c>
      <c r="Q4569" s="411">
        <v>6</v>
      </c>
      <c r="R4569" s="405" t="s">
        <v>1263</v>
      </c>
      <c r="S4569" s="405" t="s">
        <v>27034</v>
      </c>
      <c r="T4569" s="405" t="s">
        <v>884</v>
      </c>
      <c r="U4569" s="405" t="s">
        <v>319</v>
      </c>
    </row>
    <row r="4570" spans="1:21" x14ac:dyDescent="0.25">
      <c r="A4570" s="405" t="s">
        <v>310</v>
      </c>
      <c r="B4570" s="405" t="s">
        <v>14217</v>
      </c>
      <c r="C4570" s="405" t="s">
        <v>327</v>
      </c>
      <c r="D4570" s="405"/>
      <c r="E4570" s="410">
        <v>41932</v>
      </c>
      <c r="F4570" s="410">
        <v>41977</v>
      </c>
      <c r="G4570" s="405" t="s">
        <v>14218</v>
      </c>
      <c r="H4570" s="405">
        <v>753195956</v>
      </c>
      <c r="I4570" s="405"/>
      <c r="J4570" s="405">
        <v>1.1006149999999999</v>
      </c>
      <c r="K4570" s="405">
        <v>34.190593</v>
      </c>
      <c r="L4570" s="405" t="s">
        <v>6866</v>
      </c>
      <c r="M4570" s="405" t="s">
        <v>9514</v>
      </c>
      <c r="N4570" s="405" t="s">
        <v>9529</v>
      </c>
      <c r="O4570" s="405" t="s">
        <v>9530</v>
      </c>
      <c r="P4570" s="405" t="s">
        <v>11967</v>
      </c>
      <c r="Q4570" s="411">
        <v>6</v>
      </c>
      <c r="R4570" s="405" t="s">
        <v>7224</v>
      </c>
      <c r="S4570" s="405" t="s">
        <v>17062</v>
      </c>
      <c r="T4570" s="405" t="s">
        <v>865</v>
      </c>
      <c r="U4570" s="405" t="s">
        <v>866</v>
      </c>
    </row>
    <row r="4571" spans="1:21" x14ac:dyDescent="0.25">
      <c r="A4571" s="405" t="s">
        <v>310</v>
      </c>
      <c r="B4571" s="405" t="s">
        <v>21812</v>
      </c>
      <c r="C4571" s="405" t="s">
        <v>327</v>
      </c>
      <c r="D4571" s="405"/>
      <c r="E4571" s="410">
        <v>41931</v>
      </c>
      <c r="F4571" s="410">
        <v>41976</v>
      </c>
      <c r="G4571" s="405" t="s">
        <v>21813</v>
      </c>
      <c r="H4571" s="405">
        <v>702694316</v>
      </c>
      <c r="I4571" s="405"/>
      <c r="J4571" s="405">
        <v>0.60234100000000002</v>
      </c>
      <c r="K4571" s="405">
        <v>30.656393000000001</v>
      </c>
      <c r="L4571" s="405" t="s">
        <v>590</v>
      </c>
      <c r="M4571" s="405" t="s">
        <v>879</v>
      </c>
      <c r="N4571" s="405" t="s">
        <v>881</v>
      </c>
      <c r="O4571" s="405" t="s">
        <v>881</v>
      </c>
      <c r="P4571" s="405" t="s">
        <v>21814</v>
      </c>
      <c r="Q4571" s="411">
        <v>6</v>
      </c>
      <c r="R4571" s="405" t="s">
        <v>883</v>
      </c>
      <c r="S4571" s="405" t="s">
        <v>27097</v>
      </c>
      <c r="T4571" s="405" t="s">
        <v>32102</v>
      </c>
      <c r="U4571" s="405" t="s">
        <v>319</v>
      </c>
    </row>
    <row r="4572" spans="1:21" x14ac:dyDescent="0.25">
      <c r="A4572" s="405" t="s">
        <v>310</v>
      </c>
      <c r="B4572" s="405" t="s">
        <v>21807</v>
      </c>
      <c r="C4572" s="405" t="s">
        <v>327</v>
      </c>
      <c r="D4572" s="405"/>
      <c r="E4572" s="410">
        <v>41931</v>
      </c>
      <c r="F4572" s="410">
        <v>41976</v>
      </c>
      <c r="G4572" s="405" t="s">
        <v>21808</v>
      </c>
      <c r="H4572" s="405">
        <v>782373359</v>
      </c>
      <c r="I4572" s="405"/>
      <c r="J4572" s="405">
        <v>0.59904299999999999</v>
      </c>
      <c r="K4572" s="405">
        <v>30.107968</v>
      </c>
      <c r="L4572" s="405" t="s">
        <v>590</v>
      </c>
      <c r="M4572" s="405" t="s">
        <v>20032</v>
      </c>
      <c r="N4572" s="405" t="s">
        <v>1049</v>
      </c>
      <c r="O4572" s="405" t="s">
        <v>1049</v>
      </c>
      <c r="P4572" s="405" t="s">
        <v>21809</v>
      </c>
      <c r="Q4572" s="411">
        <v>6</v>
      </c>
      <c r="R4572" s="405" t="s">
        <v>883</v>
      </c>
      <c r="S4572" s="405" t="s">
        <v>27183</v>
      </c>
      <c r="T4572" s="405" t="s">
        <v>884</v>
      </c>
      <c r="U4572" s="405" t="s">
        <v>319</v>
      </c>
    </row>
    <row r="4573" spans="1:21" x14ac:dyDescent="0.25">
      <c r="A4573" s="405" t="s">
        <v>310</v>
      </c>
      <c r="B4573" s="405" t="s">
        <v>29052</v>
      </c>
      <c r="C4573" s="405" t="s">
        <v>327</v>
      </c>
      <c r="D4573" s="405"/>
      <c r="E4573" s="410">
        <v>41930</v>
      </c>
      <c r="F4573" s="410">
        <v>41975</v>
      </c>
      <c r="G4573" s="405" t="s">
        <v>14237</v>
      </c>
      <c r="H4573" s="405">
        <v>774492719</v>
      </c>
      <c r="I4573" s="405"/>
      <c r="J4573" s="405">
        <v>1.025412</v>
      </c>
      <c r="K4573" s="405">
        <v>34.377248000000002</v>
      </c>
      <c r="L4573" s="405" t="s">
        <v>6866</v>
      </c>
      <c r="M4573" s="405" t="s">
        <v>6867</v>
      </c>
      <c r="N4573" s="405" t="s">
        <v>10297</v>
      </c>
      <c r="O4573" s="405" t="s">
        <v>14238</v>
      </c>
      <c r="P4573" s="405" t="s">
        <v>12820</v>
      </c>
      <c r="Q4573" s="411">
        <v>6</v>
      </c>
      <c r="R4573" s="405" t="s">
        <v>7224</v>
      </c>
      <c r="S4573" s="405" t="s">
        <v>27107</v>
      </c>
      <c r="T4573" s="405" t="s">
        <v>884</v>
      </c>
      <c r="U4573" s="405" t="s">
        <v>319</v>
      </c>
    </row>
    <row r="4574" spans="1:21" x14ac:dyDescent="0.25">
      <c r="A4574" s="405" t="s">
        <v>310</v>
      </c>
      <c r="B4574" s="405" t="s">
        <v>14233</v>
      </c>
      <c r="C4574" s="405" t="s">
        <v>327</v>
      </c>
      <c r="D4574" s="405"/>
      <c r="E4574" s="410">
        <v>41929</v>
      </c>
      <c r="F4574" s="410">
        <v>41974</v>
      </c>
      <c r="G4574" s="405" t="s">
        <v>14234</v>
      </c>
      <c r="H4574" s="405">
        <v>782437824</v>
      </c>
      <c r="I4574" s="405"/>
      <c r="J4574" s="405">
        <v>1.02135</v>
      </c>
      <c r="K4574" s="405">
        <v>34.376635</v>
      </c>
      <c r="L4574" s="405" t="s">
        <v>6866</v>
      </c>
      <c r="M4574" s="405" t="s">
        <v>6867</v>
      </c>
      <c r="N4574" s="405" t="s">
        <v>13210</v>
      </c>
      <c r="O4574" s="405" t="s">
        <v>13210</v>
      </c>
      <c r="P4574" s="405" t="s">
        <v>14235</v>
      </c>
      <c r="Q4574" s="411">
        <v>6</v>
      </c>
      <c r="R4574" s="405" t="s">
        <v>7224</v>
      </c>
      <c r="S4574" s="405" t="s">
        <v>17013</v>
      </c>
      <c r="T4574" s="405" t="s">
        <v>884</v>
      </c>
      <c r="U4574" s="405" t="s">
        <v>319</v>
      </c>
    </row>
    <row r="4575" spans="1:21" x14ac:dyDescent="0.25">
      <c r="A4575" s="405" t="s">
        <v>310</v>
      </c>
      <c r="B4575" s="405" t="s">
        <v>14231</v>
      </c>
      <c r="C4575" s="405" t="s">
        <v>327</v>
      </c>
      <c r="D4575" s="405"/>
      <c r="E4575" s="410">
        <v>41929</v>
      </c>
      <c r="F4575" s="410">
        <v>41974</v>
      </c>
      <c r="G4575" s="405" t="s">
        <v>14232</v>
      </c>
      <c r="H4575" s="405">
        <v>782346135</v>
      </c>
      <c r="I4575" s="405"/>
      <c r="J4575" s="405">
        <v>1.0213350000000001</v>
      </c>
      <c r="K4575" s="405">
        <v>34.378776999999999</v>
      </c>
      <c r="L4575" s="405" t="s">
        <v>6866</v>
      </c>
      <c r="M4575" s="405" t="s">
        <v>6867</v>
      </c>
      <c r="N4575" s="405" t="s">
        <v>6868</v>
      </c>
      <c r="O4575" s="405" t="s">
        <v>5339</v>
      </c>
      <c r="P4575" s="405" t="s">
        <v>12903</v>
      </c>
      <c r="Q4575" s="411">
        <v>6</v>
      </c>
      <c r="R4575" s="405" t="s">
        <v>7224</v>
      </c>
      <c r="S4575" s="405" t="s">
        <v>17013</v>
      </c>
      <c r="T4575" s="405" t="s">
        <v>884</v>
      </c>
      <c r="U4575" s="405" t="s">
        <v>319</v>
      </c>
    </row>
    <row r="4576" spans="1:21" x14ac:dyDescent="0.25">
      <c r="A4576" s="405" t="s">
        <v>310</v>
      </c>
      <c r="B4576" s="405" t="s">
        <v>14248</v>
      </c>
      <c r="C4576" s="405" t="s">
        <v>327</v>
      </c>
      <c r="D4576" s="405"/>
      <c r="E4576" s="410">
        <v>41929</v>
      </c>
      <c r="F4576" s="410">
        <v>41974</v>
      </c>
      <c r="G4576" s="405" t="s">
        <v>14249</v>
      </c>
      <c r="H4576" s="405">
        <v>776817028</v>
      </c>
      <c r="I4576" s="405"/>
      <c r="J4576" s="405">
        <v>1.13356565</v>
      </c>
      <c r="K4576" s="405">
        <v>34.225709999999999</v>
      </c>
      <c r="L4576" s="405" t="s">
        <v>6866</v>
      </c>
      <c r="M4576" s="405" t="s">
        <v>9514</v>
      </c>
      <c r="N4576" s="405" t="s">
        <v>9530</v>
      </c>
      <c r="O4576" s="405" t="s">
        <v>9530</v>
      </c>
      <c r="P4576" s="405" t="s">
        <v>14250</v>
      </c>
      <c r="Q4576" s="411">
        <v>6</v>
      </c>
      <c r="R4576" s="405" t="s">
        <v>7224</v>
      </c>
      <c r="S4576" s="405" t="s">
        <v>27074</v>
      </c>
      <c r="T4576" s="405" t="s">
        <v>865</v>
      </c>
      <c r="U4576" s="405" t="s">
        <v>866</v>
      </c>
    </row>
    <row r="4577" spans="1:21" x14ac:dyDescent="0.25">
      <c r="A4577" s="405" t="s">
        <v>310</v>
      </c>
      <c r="B4577" s="405" t="s">
        <v>14545</v>
      </c>
      <c r="C4577" s="405" t="s">
        <v>311</v>
      </c>
      <c r="D4577" s="405" t="s">
        <v>890</v>
      </c>
      <c r="E4577" s="410">
        <v>41928</v>
      </c>
      <c r="F4577" s="410">
        <v>41973</v>
      </c>
      <c r="G4577" s="405" t="s">
        <v>14546</v>
      </c>
      <c r="H4577" s="405">
        <v>772875770</v>
      </c>
      <c r="I4577" s="405"/>
      <c r="J4577" s="405">
        <v>1.129537</v>
      </c>
      <c r="K4577" s="405">
        <v>34.228414999999998</v>
      </c>
      <c r="L4577" s="405" t="s">
        <v>6866</v>
      </c>
      <c r="M4577" s="405" t="s">
        <v>9514</v>
      </c>
      <c r="N4577" s="405" t="s">
        <v>9530</v>
      </c>
      <c r="O4577" s="405" t="s">
        <v>9530</v>
      </c>
      <c r="P4577" s="405" t="s">
        <v>13611</v>
      </c>
      <c r="Q4577" s="411">
        <v>6</v>
      </c>
      <c r="R4577" s="405" t="s">
        <v>7224</v>
      </c>
      <c r="S4577" s="405" t="s">
        <v>17013</v>
      </c>
      <c r="T4577" s="405" t="s">
        <v>884</v>
      </c>
      <c r="U4577" s="405" t="s">
        <v>319</v>
      </c>
    </row>
    <row r="4578" spans="1:21" x14ac:dyDescent="0.25">
      <c r="A4578" s="405" t="s">
        <v>310</v>
      </c>
      <c r="B4578" s="405" t="s">
        <v>28690</v>
      </c>
      <c r="C4578" s="405" t="s">
        <v>311</v>
      </c>
      <c r="D4578" s="405" t="s">
        <v>1789</v>
      </c>
      <c r="E4578" s="410">
        <v>41927</v>
      </c>
      <c r="F4578" s="410">
        <v>41972</v>
      </c>
      <c r="G4578" s="405" t="s">
        <v>14512</v>
      </c>
      <c r="H4578" s="405">
        <v>712416560</v>
      </c>
      <c r="I4578" s="405">
        <v>785332490</v>
      </c>
      <c r="J4578" s="405">
        <v>1.920272</v>
      </c>
      <c r="K4578" s="405">
        <v>33.564397999999997</v>
      </c>
      <c r="L4578" s="405" t="s">
        <v>6866</v>
      </c>
      <c r="M4578" s="405" t="s">
        <v>10515</v>
      </c>
      <c r="N4578" s="405" t="s">
        <v>10525</v>
      </c>
      <c r="O4578" s="405" t="s">
        <v>13074</v>
      </c>
      <c r="P4578" s="405" t="s">
        <v>14513</v>
      </c>
      <c r="Q4578" s="411">
        <v>6</v>
      </c>
      <c r="R4578" s="405" t="s">
        <v>7224</v>
      </c>
      <c r="S4578" s="405" t="s">
        <v>27298</v>
      </c>
      <c r="T4578" s="405" t="s">
        <v>884</v>
      </c>
      <c r="U4578" s="405" t="s">
        <v>319</v>
      </c>
    </row>
    <row r="4579" spans="1:21" x14ac:dyDescent="0.25">
      <c r="A4579" s="405" t="s">
        <v>310</v>
      </c>
      <c r="B4579" s="405" t="s">
        <v>14159</v>
      </c>
      <c r="C4579" s="405" t="s">
        <v>327</v>
      </c>
      <c r="D4579" s="405"/>
      <c r="E4579" s="410">
        <v>41927</v>
      </c>
      <c r="F4579" s="410">
        <v>41972</v>
      </c>
      <c r="G4579" s="405" t="s">
        <v>14160</v>
      </c>
      <c r="H4579" s="405">
        <v>773331680</v>
      </c>
      <c r="I4579" s="405"/>
      <c r="J4579" s="405">
        <v>1.0226550000000001</v>
      </c>
      <c r="K4579" s="405">
        <v>34.369096999999996</v>
      </c>
      <c r="L4579" s="405" t="s">
        <v>6866</v>
      </c>
      <c r="M4579" s="405" t="s">
        <v>9514</v>
      </c>
      <c r="N4579" s="405" t="s">
        <v>9530</v>
      </c>
      <c r="O4579" s="405" t="s">
        <v>9530</v>
      </c>
      <c r="P4579" s="405" t="s">
        <v>13611</v>
      </c>
      <c r="Q4579" s="411">
        <v>6</v>
      </c>
      <c r="R4579" s="405" t="s">
        <v>7224</v>
      </c>
      <c r="S4579" s="405" t="s">
        <v>27067</v>
      </c>
      <c r="T4579" s="405" t="s">
        <v>32102</v>
      </c>
      <c r="U4579" s="405" t="s">
        <v>319</v>
      </c>
    </row>
    <row r="4580" spans="1:21" x14ac:dyDescent="0.25">
      <c r="A4580" s="405" t="s">
        <v>310</v>
      </c>
      <c r="B4580" s="405" t="s">
        <v>14193</v>
      </c>
      <c r="C4580" s="405" t="s">
        <v>327</v>
      </c>
      <c r="D4580" s="405"/>
      <c r="E4580" s="410">
        <v>41927</v>
      </c>
      <c r="F4580" s="410">
        <v>41972</v>
      </c>
      <c r="G4580" s="405" t="s">
        <v>14194</v>
      </c>
      <c r="H4580" s="405">
        <v>775047767</v>
      </c>
      <c r="I4580" s="405"/>
      <c r="J4580" s="405">
        <v>1.931082</v>
      </c>
      <c r="K4580" s="405">
        <v>33.685442999999999</v>
      </c>
      <c r="L4580" s="405" t="s">
        <v>6866</v>
      </c>
      <c r="M4580" s="405" t="s">
        <v>10495</v>
      </c>
      <c r="N4580" s="405" t="s">
        <v>11435</v>
      </c>
      <c r="O4580" s="405" t="s">
        <v>11435</v>
      </c>
      <c r="P4580" s="405" t="s">
        <v>14195</v>
      </c>
      <c r="Q4580" s="411">
        <v>6</v>
      </c>
      <c r="R4580" s="405" t="s">
        <v>5655</v>
      </c>
      <c r="S4580" s="405" t="s">
        <v>27345</v>
      </c>
      <c r="T4580" s="405" t="s">
        <v>884</v>
      </c>
      <c r="U4580" s="405" t="s">
        <v>319</v>
      </c>
    </row>
    <row r="4581" spans="1:21" x14ac:dyDescent="0.25">
      <c r="A4581" s="405" t="s">
        <v>310</v>
      </c>
      <c r="B4581" s="405" t="s">
        <v>5356</v>
      </c>
      <c r="C4581" s="405" t="s">
        <v>327</v>
      </c>
      <c r="D4581" s="405"/>
      <c r="E4581" s="410">
        <v>41927</v>
      </c>
      <c r="F4581" s="410">
        <v>41972</v>
      </c>
      <c r="G4581" s="405" t="s">
        <v>5357</v>
      </c>
      <c r="H4581" s="405">
        <v>752114938</v>
      </c>
      <c r="I4581" s="405"/>
      <c r="J4581" s="405">
        <v>-0.48989700000000003</v>
      </c>
      <c r="K4581" s="405">
        <v>31.599128</v>
      </c>
      <c r="L4581" s="405" t="s">
        <v>314</v>
      </c>
      <c r="M4581" s="405" t="s">
        <v>398</v>
      </c>
      <c r="N4581" s="405" t="s">
        <v>5358</v>
      </c>
      <c r="O4581" s="405" t="s">
        <v>5358</v>
      </c>
      <c r="P4581" s="405" t="s">
        <v>5359</v>
      </c>
      <c r="Q4581" s="411">
        <v>6</v>
      </c>
      <c r="R4581" s="405" t="s">
        <v>1263</v>
      </c>
      <c r="S4581" s="405" t="s">
        <v>27154</v>
      </c>
      <c r="T4581" s="405" t="s">
        <v>884</v>
      </c>
      <c r="U4581" s="405" t="s">
        <v>319</v>
      </c>
    </row>
    <row r="4582" spans="1:21" x14ac:dyDescent="0.25">
      <c r="A4582" s="405" t="s">
        <v>310</v>
      </c>
      <c r="B4582" s="405" t="s">
        <v>5909</v>
      </c>
      <c r="C4582" s="405" t="s">
        <v>311</v>
      </c>
      <c r="D4582" s="405" t="s">
        <v>32475</v>
      </c>
      <c r="E4582" s="410">
        <v>41926</v>
      </c>
      <c r="F4582" s="410">
        <v>41971</v>
      </c>
      <c r="G4582" s="405" t="s">
        <v>5910</v>
      </c>
      <c r="H4582" s="405">
        <v>701601351</v>
      </c>
      <c r="I4582" s="405"/>
      <c r="J4582" s="405">
        <v>-0.29060000000000002</v>
      </c>
      <c r="K4582" s="405">
        <v>31.737438000000001</v>
      </c>
      <c r="L4582" s="405" t="s">
        <v>314</v>
      </c>
      <c r="M4582" s="405" t="s">
        <v>382</v>
      </c>
      <c r="N4582" s="405" t="s">
        <v>2265</v>
      </c>
      <c r="O4582" s="405" t="s">
        <v>894</v>
      </c>
      <c r="P4582" s="405" t="s">
        <v>5911</v>
      </c>
      <c r="Q4582" s="411">
        <v>13</v>
      </c>
      <c r="R4582" s="405" t="s">
        <v>402</v>
      </c>
      <c r="S4582" s="405" t="s">
        <v>27139</v>
      </c>
      <c r="T4582" s="405" t="s">
        <v>865</v>
      </c>
      <c r="U4582" s="405" t="s">
        <v>866</v>
      </c>
    </row>
    <row r="4583" spans="1:21" x14ac:dyDescent="0.25">
      <c r="A4583" s="405" t="s">
        <v>310</v>
      </c>
      <c r="B4583" s="405" t="s">
        <v>29044</v>
      </c>
      <c r="C4583" s="405" t="s">
        <v>327</v>
      </c>
      <c r="D4583" s="405"/>
      <c r="E4583" s="410">
        <v>41926</v>
      </c>
      <c r="F4583" s="410">
        <v>41971</v>
      </c>
      <c r="G4583" s="405" t="s">
        <v>14153</v>
      </c>
      <c r="H4583" s="405">
        <v>775137057</v>
      </c>
      <c r="I4583" s="405"/>
      <c r="J4583" s="405">
        <v>1.026238</v>
      </c>
      <c r="K4583" s="405">
        <v>34.372750000000003</v>
      </c>
      <c r="L4583" s="405" t="s">
        <v>6866</v>
      </c>
      <c r="M4583" s="405" t="s">
        <v>6867</v>
      </c>
      <c r="N4583" s="405" t="s">
        <v>12252</v>
      </c>
      <c r="O4583" s="405" t="s">
        <v>12974</v>
      </c>
      <c r="P4583" s="405" t="s">
        <v>12820</v>
      </c>
      <c r="Q4583" s="411">
        <v>6</v>
      </c>
      <c r="R4583" s="405" t="s">
        <v>7224</v>
      </c>
      <c r="S4583" s="405" t="s">
        <v>27306</v>
      </c>
      <c r="T4583" s="405" t="s">
        <v>884</v>
      </c>
      <c r="U4583" s="405" t="s">
        <v>319</v>
      </c>
    </row>
    <row r="4584" spans="1:21" x14ac:dyDescent="0.25">
      <c r="A4584" s="405" t="s">
        <v>310</v>
      </c>
      <c r="B4584" s="405" t="s">
        <v>28508</v>
      </c>
      <c r="C4584" s="405" t="s">
        <v>327</v>
      </c>
      <c r="D4584" s="405"/>
      <c r="E4584" s="410">
        <v>41925</v>
      </c>
      <c r="F4584" s="410">
        <v>41970</v>
      </c>
      <c r="G4584" s="405" t="s">
        <v>14093</v>
      </c>
      <c r="H4584" s="405">
        <v>789205441</v>
      </c>
      <c r="I4584" s="405"/>
      <c r="J4584" s="405">
        <v>1.023555</v>
      </c>
      <c r="K4584" s="405">
        <v>34.378613000000001</v>
      </c>
      <c r="L4584" s="405" t="s">
        <v>6866</v>
      </c>
      <c r="M4584" s="405" t="s">
        <v>6867</v>
      </c>
      <c r="N4584" s="405" t="s">
        <v>6868</v>
      </c>
      <c r="O4584" s="405" t="s">
        <v>12252</v>
      </c>
      <c r="P4584" s="405" t="s">
        <v>12227</v>
      </c>
      <c r="Q4584" s="411">
        <v>6</v>
      </c>
      <c r="R4584" s="405" t="s">
        <v>7224</v>
      </c>
      <c r="S4584" s="405" t="s">
        <v>17062</v>
      </c>
      <c r="T4584" s="405" t="s">
        <v>884</v>
      </c>
      <c r="U4584" s="405" t="s">
        <v>319</v>
      </c>
    </row>
    <row r="4585" spans="1:21" x14ac:dyDescent="0.25">
      <c r="A4585" s="405" t="s">
        <v>310</v>
      </c>
      <c r="B4585" s="405" t="s">
        <v>14165</v>
      </c>
      <c r="C4585" s="405" t="s">
        <v>327</v>
      </c>
      <c r="D4585" s="405"/>
      <c r="E4585" s="410">
        <v>41925</v>
      </c>
      <c r="F4585" s="410">
        <v>41970</v>
      </c>
      <c r="G4585" s="405" t="s">
        <v>14166</v>
      </c>
      <c r="H4585" s="405">
        <v>752339635</v>
      </c>
      <c r="I4585" s="405"/>
      <c r="J4585" s="405">
        <v>1.1241719999999999</v>
      </c>
      <c r="K4585" s="405">
        <v>34.194248000000002</v>
      </c>
      <c r="L4585" s="405" t="s">
        <v>6866</v>
      </c>
      <c r="M4585" s="405" t="s">
        <v>9514</v>
      </c>
      <c r="N4585" s="405" t="s">
        <v>9530</v>
      </c>
      <c r="O4585" s="405" t="s">
        <v>9530</v>
      </c>
      <c r="P4585" s="405" t="s">
        <v>9951</v>
      </c>
      <c r="Q4585" s="411">
        <v>6</v>
      </c>
      <c r="R4585" s="405" t="s">
        <v>7224</v>
      </c>
      <c r="S4585" s="405" t="s">
        <v>27316</v>
      </c>
      <c r="T4585" s="405" t="s">
        <v>865</v>
      </c>
      <c r="U4585" s="405" t="s">
        <v>866</v>
      </c>
    </row>
    <row r="4586" spans="1:21" x14ac:dyDescent="0.25">
      <c r="A4586" s="405" t="s">
        <v>310</v>
      </c>
      <c r="B4586" s="405" t="s">
        <v>14161</v>
      </c>
      <c r="C4586" s="405" t="s">
        <v>327</v>
      </c>
      <c r="D4586" s="405"/>
      <c r="E4586" s="410">
        <v>41924</v>
      </c>
      <c r="F4586" s="410">
        <v>41969</v>
      </c>
      <c r="G4586" s="405" t="s">
        <v>14162</v>
      </c>
      <c r="H4586" s="405">
        <v>788062120</v>
      </c>
      <c r="I4586" s="405"/>
      <c r="J4586" s="405">
        <v>0.62966699999999998</v>
      </c>
      <c r="K4586" s="405">
        <v>34.066822000000002</v>
      </c>
      <c r="L4586" s="405" t="s">
        <v>6866</v>
      </c>
      <c r="M4586" s="405" t="s">
        <v>9534</v>
      </c>
      <c r="N4586" s="405" t="s">
        <v>7765</v>
      </c>
      <c r="O4586" s="405" t="s">
        <v>7765</v>
      </c>
      <c r="P4586" s="405" t="s">
        <v>505</v>
      </c>
      <c r="Q4586" s="411">
        <v>6</v>
      </c>
      <c r="R4586" s="405" t="s">
        <v>7224</v>
      </c>
      <c r="S4586" s="405" t="s">
        <v>27204</v>
      </c>
      <c r="T4586" s="405" t="s">
        <v>32102</v>
      </c>
      <c r="U4586" s="405" t="s">
        <v>319</v>
      </c>
    </row>
    <row r="4587" spans="1:21" x14ac:dyDescent="0.25">
      <c r="A4587" s="405" t="s">
        <v>310</v>
      </c>
      <c r="B4587" s="405" t="s">
        <v>14202</v>
      </c>
      <c r="C4587" s="405" t="s">
        <v>327</v>
      </c>
      <c r="D4587" s="405"/>
      <c r="E4587" s="410">
        <v>41923</v>
      </c>
      <c r="F4587" s="410">
        <v>41968</v>
      </c>
      <c r="G4587" s="405" t="s">
        <v>14203</v>
      </c>
      <c r="H4587" s="405">
        <v>779975899</v>
      </c>
      <c r="I4587" s="405"/>
      <c r="J4587" s="405">
        <v>0.63871299999999998</v>
      </c>
      <c r="K4587" s="405">
        <v>33.925313000000003</v>
      </c>
      <c r="L4587" s="405" t="s">
        <v>6866</v>
      </c>
      <c r="M4587" s="405" t="s">
        <v>9534</v>
      </c>
      <c r="N4587" s="405" t="s">
        <v>10248</v>
      </c>
      <c r="O4587" s="405" t="s">
        <v>10248</v>
      </c>
      <c r="P4587" s="405" t="s">
        <v>14204</v>
      </c>
      <c r="Q4587" s="411">
        <v>6</v>
      </c>
      <c r="R4587" s="405" t="s">
        <v>7224</v>
      </c>
      <c r="S4587" s="405" t="s">
        <v>27203</v>
      </c>
      <c r="T4587" s="405" t="s">
        <v>32102</v>
      </c>
      <c r="U4587" s="405" t="s">
        <v>319</v>
      </c>
    </row>
    <row r="4588" spans="1:21" x14ac:dyDescent="0.25">
      <c r="A4588" s="405" t="s">
        <v>310</v>
      </c>
      <c r="B4588" s="405" t="s">
        <v>14199</v>
      </c>
      <c r="C4588" s="405" t="s">
        <v>327</v>
      </c>
      <c r="D4588" s="405"/>
      <c r="E4588" s="410">
        <v>41923</v>
      </c>
      <c r="F4588" s="410">
        <v>41968</v>
      </c>
      <c r="G4588" s="405" t="s">
        <v>14200</v>
      </c>
      <c r="H4588" s="405">
        <v>777263442</v>
      </c>
      <c r="I4588" s="405"/>
      <c r="J4588" s="405">
        <v>0.60606800000000005</v>
      </c>
      <c r="K4588" s="405">
        <v>33.940407999999998</v>
      </c>
      <c r="L4588" s="405" t="s">
        <v>6866</v>
      </c>
      <c r="M4588" s="405" t="s">
        <v>9534</v>
      </c>
      <c r="N4588" s="405" t="s">
        <v>10248</v>
      </c>
      <c r="O4588" s="405" t="s">
        <v>10248</v>
      </c>
      <c r="P4588" s="405" t="s">
        <v>14201</v>
      </c>
      <c r="Q4588" s="411">
        <v>6</v>
      </c>
      <c r="R4588" s="405" t="s">
        <v>7224</v>
      </c>
      <c r="S4588" s="405" t="s">
        <v>27067</v>
      </c>
      <c r="T4588" s="405" t="s">
        <v>32102</v>
      </c>
      <c r="U4588" s="405" t="s">
        <v>319</v>
      </c>
    </row>
    <row r="4589" spans="1:21" x14ac:dyDescent="0.25">
      <c r="A4589" s="405" t="s">
        <v>310</v>
      </c>
      <c r="B4589" s="405" t="s">
        <v>14154</v>
      </c>
      <c r="C4589" s="405" t="s">
        <v>327</v>
      </c>
      <c r="D4589" s="405"/>
      <c r="E4589" s="410">
        <v>41923</v>
      </c>
      <c r="F4589" s="410">
        <v>41968</v>
      </c>
      <c r="G4589" s="405" t="s">
        <v>14155</v>
      </c>
      <c r="H4589" s="405">
        <v>782495358</v>
      </c>
      <c r="I4589" s="405"/>
      <c r="J4589" s="405">
        <v>1.143845</v>
      </c>
      <c r="K4589" s="405">
        <v>34.220261999999998</v>
      </c>
      <c r="L4589" s="405" t="s">
        <v>6866</v>
      </c>
      <c r="M4589" s="405" t="s">
        <v>9514</v>
      </c>
      <c r="N4589" s="405" t="s">
        <v>9529</v>
      </c>
      <c r="O4589" s="405" t="s">
        <v>9530</v>
      </c>
      <c r="P4589" s="405" t="s">
        <v>11507</v>
      </c>
      <c r="Q4589" s="411">
        <v>6</v>
      </c>
      <c r="R4589" s="405" t="s">
        <v>5655</v>
      </c>
      <c r="S4589" s="405" t="s">
        <v>27072</v>
      </c>
      <c r="T4589" s="405" t="s">
        <v>884</v>
      </c>
      <c r="U4589" s="405" t="s">
        <v>319</v>
      </c>
    </row>
    <row r="4590" spans="1:21" x14ac:dyDescent="0.25">
      <c r="A4590" s="405" t="s">
        <v>310</v>
      </c>
      <c r="B4590" s="405" t="s">
        <v>5353</v>
      </c>
      <c r="C4590" s="405" t="s">
        <v>327</v>
      </c>
      <c r="D4590" s="405"/>
      <c r="E4590" s="410">
        <v>41922</v>
      </c>
      <c r="F4590" s="410">
        <v>41967</v>
      </c>
      <c r="G4590" s="405" t="s">
        <v>5354</v>
      </c>
      <c r="H4590" s="405">
        <v>773660774</v>
      </c>
      <c r="I4590" s="405"/>
      <c r="J4590" s="405">
        <v>0.455872</v>
      </c>
      <c r="K4590" s="405">
        <v>32.499760000000002</v>
      </c>
      <c r="L4590" s="405" t="s">
        <v>314</v>
      </c>
      <c r="M4590" s="405" t="s">
        <v>361</v>
      </c>
      <c r="N4590" s="405" t="s">
        <v>339</v>
      </c>
      <c r="O4590" s="405" t="s">
        <v>523</v>
      </c>
      <c r="P4590" s="405" t="s">
        <v>5355</v>
      </c>
      <c r="Q4590" s="411">
        <v>6</v>
      </c>
      <c r="R4590" s="405" t="s">
        <v>1263</v>
      </c>
      <c r="S4590" s="405" t="s">
        <v>27034</v>
      </c>
      <c r="T4590" s="405" t="s">
        <v>32102</v>
      </c>
      <c r="U4590" s="405" t="s">
        <v>319</v>
      </c>
    </row>
    <row r="4591" spans="1:21" x14ac:dyDescent="0.25">
      <c r="A4591" s="405" t="s">
        <v>310</v>
      </c>
      <c r="B4591" s="405" t="s">
        <v>28808</v>
      </c>
      <c r="C4591" s="405" t="s">
        <v>327</v>
      </c>
      <c r="D4591" s="405"/>
      <c r="E4591" s="410">
        <v>41921</v>
      </c>
      <c r="F4591" s="410">
        <v>41966</v>
      </c>
      <c r="G4591" s="405" t="s">
        <v>14095</v>
      </c>
      <c r="H4591" s="405">
        <v>774935128</v>
      </c>
      <c r="I4591" s="405">
        <v>759432573</v>
      </c>
      <c r="J4591" s="405">
        <v>0.60187299999999999</v>
      </c>
      <c r="K4591" s="405">
        <v>34.083953000000001</v>
      </c>
      <c r="L4591" s="405" t="s">
        <v>6866</v>
      </c>
      <c r="M4591" s="405" t="s">
        <v>9534</v>
      </c>
      <c r="N4591" s="405" t="s">
        <v>9927</v>
      </c>
      <c r="O4591" s="405" t="s">
        <v>11478</v>
      </c>
      <c r="P4591" s="405" t="s">
        <v>14096</v>
      </c>
      <c r="Q4591" s="411">
        <v>6</v>
      </c>
      <c r="R4591" s="405" t="s">
        <v>5655</v>
      </c>
      <c r="S4591" s="405" t="s">
        <v>27346</v>
      </c>
      <c r="T4591" s="405" t="s">
        <v>884</v>
      </c>
      <c r="U4591" s="405" t="s">
        <v>319</v>
      </c>
    </row>
    <row r="4592" spans="1:21" x14ac:dyDescent="0.25">
      <c r="A4592" s="405" t="s">
        <v>310</v>
      </c>
      <c r="B4592" s="405" t="s">
        <v>14143</v>
      </c>
      <c r="C4592" s="405" t="s">
        <v>327</v>
      </c>
      <c r="D4592" s="405"/>
      <c r="E4592" s="410">
        <v>41921</v>
      </c>
      <c r="F4592" s="410">
        <v>41966</v>
      </c>
      <c r="G4592" s="405" t="s">
        <v>14144</v>
      </c>
      <c r="H4592" s="405">
        <v>773066326</v>
      </c>
      <c r="I4592" s="405"/>
      <c r="J4592" s="405">
        <v>0.64065300000000003</v>
      </c>
      <c r="K4592" s="405">
        <v>34.213718</v>
      </c>
      <c r="L4592" s="405" t="s">
        <v>6866</v>
      </c>
      <c r="M4592" s="405" t="s">
        <v>9534</v>
      </c>
      <c r="N4592" s="405" t="s">
        <v>14050</v>
      </c>
      <c r="O4592" s="405" t="s">
        <v>14050</v>
      </c>
      <c r="P4592" s="405" t="s">
        <v>14145</v>
      </c>
      <c r="Q4592" s="411">
        <v>6</v>
      </c>
      <c r="R4592" s="405" t="s">
        <v>7224</v>
      </c>
      <c r="S4592" s="405" t="s">
        <v>27302</v>
      </c>
      <c r="T4592" s="405" t="s">
        <v>32102</v>
      </c>
      <c r="U4592" s="405" t="s">
        <v>319</v>
      </c>
    </row>
    <row r="4593" spans="1:21" x14ac:dyDescent="0.25">
      <c r="A4593" s="405" t="s">
        <v>310</v>
      </c>
      <c r="B4593" s="405" t="s">
        <v>27949</v>
      </c>
      <c r="C4593" s="405" t="s">
        <v>327</v>
      </c>
      <c r="D4593" s="405"/>
      <c r="E4593" s="410">
        <v>41920</v>
      </c>
      <c r="F4593" s="410">
        <v>41965</v>
      </c>
      <c r="G4593" s="405" t="s">
        <v>14094</v>
      </c>
      <c r="H4593" s="405">
        <v>782579362</v>
      </c>
      <c r="I4593" s="405"/>
      <c r="J4593" s="405">
        <v>1.0214570000000001</v>
      </c>
      <c r="K4593" s="405">
        <v>34.376550000000002</v>
      </c>
      <c r="L4593" s="405" t="s">
        <v>6866</v>
      </c>
      <c r="M4593" s="405" t="s">
        <v>6867</v>
      </c>
      <c r="N4593" s="405" t="s">
        <v>6868</v>
      </c>
      <c r="O4593" s="405" t="s">
        <v>12226</v>
      </c>
      <c r="P4593" s="405" t="s">
        <v>12227</v>
      </c>
      <c r="Q4593" s="411">
        <v>6</v>
      </c>
      <c r="R4593" s="405" t="s">
        <v>7224</v>
      </c>
      <c r="S4593" s="405" t="s">
        <v>17013</v>
      </c>
      <c r="T4593" s="405" t="s">
        <v>32102</v>
      </c>
      <c r="U4593" s="405" t="s">
        <v>319</v>
      </c>
    </row>
    <row r="4594" spans="1:21" x14ac:dyDescent="0.25">
      <c r="A4594" s="405" t="s">
        <v>310</v>
      </c>
      <c r="B4594" s="405" t="s">
        <v>27861</v>
      </c>
      <c r="C4594" s="405" t="s">
        <v>327</v>
      </c>
      <c r="D4594" s="405"/>
      <c r="E4594" s="410">
        <v>41919</v>
      </c>
      <c r="F4594" s="410">
        <v>41964</v>
      </c>
      <c r="G4594" s="405" t="s">
        <v>5352</v>
      </c>
      <c r="H4594" s="405">
        <v>701922516</v>
      </c>
      <c r="I4594" s="405">
        <v>782922516</v>
      </c>
      <c r="J4594" s="405">
        <v>-0.22885800000000001</v>
      </c>
      <c r="K4594" s="405">
        <v>31.834409999999998</v>
      </c>
      <c r="L4594" s="405" t="s">
        <v>314</v>
      </c>
      <c r="M4594" s="405" t="s">
        <v>900</v>
      </c>
      <c r="N4594" s="405" t="s">
        <v>1119</v>
      </c>
      <c r="O4594" s="405" t="s">
        <v>1302</v>
      </c>
      <c r="P4594" s="405" t="s">
        <v>5312</v>
      </c>
      <c r="Q4594" s="411">
        <v>9</v>
      </c>
      <c r="R4594" s="405" t="s">
        <v>1263</v>
      </c>
      <c r="S4594" s="405" t="s">
        <v>27236</v>
      </c>
      <c r="T4594" s="405" t="s">
        <v>884</v>
      </c>
      <c r="U4594" s="405" t="s">
        <v>319</v>
      </c>
    </row>
    <row r="4595" spans="1:21" x14ac:dyDescent="0.25">
      <c r="A4595" s="405" t="s">
        <v>310</v>
      </c>
      <c r="B4595" s="405" t="s">
        <v>14146</v>
      </c>
      <c r="C4595" s="405" t="s">
        <v>327</v>
      </c>
      <c r="D4595" s="405"/>
      <c r="E4595" s="410">
        <v>41919</v>
      </c>
      <c r="F4595" s="410">
        <v>41964</v>
      </c>
      <c r="G4595" s="405" t="s">
        <v>14147</v>
      </c>
      <c r="H4595" s="405">
        <v>784317585</v>
      </c>
      <c r="I4595" s="405"/>
      <c r="J4595" s="405">
        <v>1.918757</v>
      </c>
      <c r="K4595" s="405">
        <v>33.728487000000001</v>
      </c>
      <c r="L4595" s="405" t="s">
        <v>6866</v>
      </c>
      <c r="M4595" s="405" t="s">
        <v>10495</v>
      </c>
      <c r="N4595" s="405" t="s">
        <v>10495</v>
      </c>
      <c r="O4595" s="405" t="s">
        <v>14148</v>
      </c>
      <c r="P4595" s="405" t="s">
        <v>14149</v>
      </c>
      <c r="Q4595" s="411">
        <v>6</v>
      </c>
      <c r="R4595" s="405" t="s">
        <v>5655</v>
      </c>
      <c r="S4595" s="405" t="s">
        <v>27324</v>
      </c>
      <c r="T4595" s="405" t="s">
        <v>865</v>
      </c>
      <c r="U4595" s="405" t="s">
        <v>866</v>
      </c>
    </row>
    <row r="4596" spans="1:21" x14ac:dyDescent="0.25">
      <c r="A4596" s="405" t="s">
        <v>310</v>
      </c>
      <c r="B4596" s="405" t="s">
        <v>5360</v>
      </c>
      <c r="C4596" s="405" t="s">
        <v>327</v>
      </c>
      <c r="D4596" s="405"/>
      <c r="E4596" s="410">
        <v>41916</v>
      </c>
      <c r="F4596" s="410">
        <v>41961</v>
      </c>
      <c r="G4596" s="405" t="s">
        <v>5361</v>
      </c>
      <c r="H4596" s="405">
        <v>772702309</v>
      </c>
      <c r="I4596" s="405"/>
      <c r="J4596" s="405">
        <v>4.0489999999999998E-2</v>
      </c>
      <c r="K4596" s="405">
        <v>31.245222699999999</v>
      </c>
      <c r="L4596" s="405" t="s">
        <v>314</v>
      </c>
      <c r="M4596" s="405" t="s">
        <v>343</v>
      </c>
      <c r="N4596" s="405" t="s">
        <v>5362</v>
      </c>
      <c r="O4596" s="405" t="s">
        <v>5362</v>
      </c>
      <c r="P4596" s="405" t="s">
        <v>5362</v>
      </c>
      <c r="Q4596" s="411">
        <v>13</v>
      </c>
      <c r="R4596" s="405" t="s">
        <v>5336</v>
      </c>
      <c r="S4596" s="405" t="s">
        <v>6822</v>
      </c>
      <c r="T4596" s="405" t="s">
        <v>865</v>
      </c>
      <c r="U4596" s="405" t="s">
        <v>866</v>
      </c>
    </row>
    <row r="4597" spans="1:21" x14ac:dyDescent="0.25">
      <c r="A4597" s="405" t="s">
        <v>310</v>
      </c>
      <c r="B4597" s="405" t="s">
        <v>14131</v>
      </c>
      <c r="C4597" s="405" t="s">
        <v>327</v>
      </c>
      <c r="D4597" s="405"/>
      <c r="E4597" s="410">
        <v>41916</v>
      </c>
      <c r="F4597" s="410">
        <v>41961</v>
      </c>
      <c r="G4597" s="405" t="s">
        <v>14132</v>
      </c>
      <c r="H4597" s="405">
        <v>772539574</v>
      </c>
      <c r="I4597" s="405"/>
      <c r="J4597" s="405">
        <v>1.9159379999999999</v>
      </c>
      <c r="K4597" s="405">
        <v>33.687573</v>
      </c>
      <c r="L4597" s="405" t="s">
        <v>6866</v>
      </c>
      <c r="M4597" s="405" t="s">
        <v>10495</v>
      </c>
      <c r="N4597" s="405" t="s">
        <v>10495</v>
      </c>
      <c r="O4597" s="405" t="s">
        <v>11435</v>
      </c>
      <c r="P4597" s="405" t="s">
        <v>13929</v>
      </c>
      <c r="Q4597" s="411">
        <v>6</v>
      </c>
      <c r="R4597" s="405" t="s">
        <v>5655</v>
      </c>
      <c r="S4597" s="405" t="s">
        <v>27072</v>
      </c>
      <c r="T4597" s="405" t="s">
        <v>884</v>
      </c>
      <c r="U4597" s="405" t="s">
        <v>319</v>
      </c>
    </row>
    <row r="4598" spans="1:21" x14ac:dyDescent="0.25">
      <c r="A4598" s="405" t="s">
        <v>310</v>
      </c>
      <c r="B4598" s="405" t="s">
        <v>14103</v>
      </c>
      <c r="C4598" s="405" t="s">
        <v>327</v>
      </c>
      <c r="D4598" s="405"/>
      <c r="E4598" s="410">
        <v>41916</v>
      </c>
      <c r="F4598" s="410">
        <v>41961</v>
      </c>
      <c r="G4598" s="405" t="s">
        <v>14104</v>
      </c>
      <c r="H4598" s="405">
        <v>788062120</v>
      </c>
      <c r="I4598" s="405"/>
      <c r="J4598" s="405">
        <v>0.62962399999999996</v>
      </c>
      <c r="K4598" s="405">
        <v>34.066643999999997</v>
      </c>
      <c r="L4598" s="405" t="s">
        <v>6866</v>
      </c>
      <c r="M4598" s="405" t="s">
        <v>9534</v>
      </c>
      <c r="N4598" s="405" t="s">
        <v>9997</v>
      </c>
      <c r="O4598" s="405" t="s">
        <v>11478</v>
      </c>
      <c r="P4598" s="405" t="s">
        <v>14105</v>
      </c>
      <c r="Q4598" s="411">
        <v>6</v>
      </c>
      <c r="R4598" s="405" t="s">
        <v>7224</v>
      </c>
      <c r="S4598" s="405" t="s">
        <v>27204</v>
      </c>
      <c r="T4598" s="405" t="s">
        <v>32102</v>
      </c>
      <c r="U4598" s="405" t="s">
        <v>319</v>
      </c>
    </row>
    <row r="4599" spans="1:21" x14ac:dyDescent="0.25">
      <c r="A4599" s="405" t="s">
        <v>310</v>
      </c>
      <c r="B4599" s="405" t="s">
        <v>5363</v>
      </c>
      <c r="C4599" s="405" t="s">
        <v>327</v>
      </c>
      <c r="D4599" s="405"/>
      <c r="E4599" s="410">
        <v>41914</v>
      </c>
      <c r="F4599" s="410">
        <v>41959</v>
      </c>
      <c r="G4599" s="405" t="s">
        <v>5364</v>
      </c>
      <c r="H4599" s="405">
        <v>751085001</v>
      </c>
      <c r="I4599" s="405"/>
      <c r="J4599" s="405">
        <v>0.28855199999999998</v>
      </c>
      <c r="K4599" s="405">
        <v>32.526578000000001</v>
      </c>
      <c r="L4599" s="405" t="s">
        <v>314</v>
      </c>
      <c r="M4599" s="405" t="s">
        <v>361</v>
      </c>
      <c r="N4599" s="405" t="s">
        <v>374</v>
      </c>
      <c r="O4599" s="405" t="s">
        <v>374</v>
      </c>
      <c r="P4599" s="405" t="s">
        <v>5365</v>
      </c>
      <c r="Q4599" s="411">
        <v>9</v>
      </c>
      <c r="R4599" s="405" t="s">
        <v>5336</v>
      </c>
      <c r="S4599" s="405" t="s">
        <v>27036</v>
      </c>
      <c r="T4599" s="405" t="s">
        <v>884</v>
      </c>
      <c r="U4599" s="405" t="s">
        <v>319</v>
      </c>
    </row>
    <row r="4600" spans="1:21" x14ac:dyDescent="0.25">
      <c r="A4600" s="405" t="s">
        <v>310</v>
      </c>
      <c r="B4600" s="405" t="s">
        <v>28730</v>
      </c>
      <c r="C4600" s="405" t="s">
        <v>327</v>
      </c>
      <c r="D4600" s="405"/>
      <c r="E4600" s="410">
        <v>41914</v>
      </c>
      <c r="F4600" s="410">
        <v>41959</v>
      </c>
      <c r="G4600" s="405" t="s">
        <v>14091</v>
      </c>
      <c r="H4600" s="405">
        <v>781631070</v>
      </c>
      <c r="I4600" s="405"/>
      <c r="J4600" s="405">
        <v>0.68501900000000004</v>
      </c>
      <c r="K4600" s="405">
        <v>34.192939000000003</v>
      </c>
      <c r="L4600" s="405" t="s">
        <v>6866</v>
      </c>
      <c r="M4600" s="405" t="s">
        <v>9534</v>
      </c>
      <c r="N4600" s="405" t="s">
        <v>10201</v>
      </c>
      <c r="O4600" s="405" t="s">
        <v>10202</v>
      </c>
      <c r="P4600" s="405" t="s">
        <v>14092</v>
      </c>
      <c r="Q4600" s="411">
        <v>6</v>
      </c>
      <c r="R4600" s="405" t="s">
        <v>7224</v>
      </c>
      <c r="S4600" s="405" t="s">
        <v>27067</v>
      </c>
      <c r="T4600" s="405" t="s">
        <v>884</v>
      </c>
      <c r="U4600" s="405" t="s">
        <v>319</v>
      </c>
    </row>
    <row r="4601" spans="1:21" x14ac:dyDescent="0.25">
      <c r="A4601" s="405" t="s">
        <v>310</v>
      </c>
      <c r="B4601" s="405" t="s">
        <v>14167</v>
      </c>
      <c r="C4601" s="405" t="s">
        <v>327</v>
      </c>
      <c r="D4601" s="405"/>
      <c r="E4601" s="410">
        <v>41914</v>
      </c>
      <c r="F4601" s="410">
        <v>41959</v>
      </c>
      <c r="G4601" s="405" t="s">
        <v>14168</v>
      </c>
      <c r="H4601" s="405">
        <v>754557210</v>
      </c>
      <c r="I4601" s="405"/>
      <c r="J4601" s="405">
        <v>0.69698300000000002</v>
      </c>
      <c r="K4601" s="405">
        <v>34.212156999999998</v>
      </c>
      <c r="L4601" s="405" t="s">
        <v>6866</v>
      </c>
      <c r="M4601" s="405" t="s">
        <v>9534</v>
      </c>
      <c r="N4601" s="405" t="s">
        <v>14050</v>
      </c>
      <c r="O4601" s="405" t="s">
        <v>14050</v>
      </c>
      <c r="P4601" s="405" t="s">
        <v>14092</v>
      </c>
      <c r="Q4601" s="411">
        <v>6</v>
      </c>
      <c r="R4601" s="405" t="s">
        <v>7224</v>
      </c>
      <c r="S4601" s="405" t="s">
        <v>27067</v>
      </c>
      <c r="T4601" s="405" t="s">
        <v>32102</v>
      </c>
      <c r="U4601" s="405" t="s">
        <v>319</v>
      </c>
    </row>
    <row r="4602" spans="1:21" x14ac:dyDescent="0.25">
      <c r="A4602" s="405" t="s">
        <v>310</v>
      </c>
      <c r="B4602" s="405" t="s">
        <v>14075</v>
      </c>
      <c r="C4602" s="405" t="s">
        <v>327</v>
      </c>
      <c r="D4602" s="405"/>
      <c r="E4602" s="410">
        <v>41914</v>
      </c>
      <c r="F4602" s="410">
        <v>41959</v>
      </c>
      <c r="G4602" s="405" t="s">
        <v>14076</v>
      </c>
      <c r="H4602" s="405">
        <v>783844415</v>
      </c>
      <c r="I4602" s="405"/>
      <c r="J4602" s="405">
        <v>0.64138600000000001</v>
      </c>
      <c r="K4602" s="405">
        <v>34.197501000000003</v>
      </c>
      <c r="L4602" s="405" t="s">
        <v>6866</v>
      </c>
      <c r="M4602" s="405" t="s">
        <v>9534</v>
      </c>
      <c r="N4602" s="405" t="s">
        <v>10201</v>
      </c>
      <c r="O4602" s="405" t="s">
        <v>10202</v>
      </c>
      <c r="P4602" s="405" t="s">
        <v>14077</v>
      </c>
      <c r="Q4602" s="411">
        <v>6</v>
      </c>
      <c r="R4602" s="405" t="s">
        <v>7224</v>
      </c>
      <c r="S4602" s="405" t="s">
        <v>27190</v>
      </c>
      <c r="T4602" s="405" t="s">
        <v>865</v>
      </c>
      <c r="U4602" s="405" t="s">
        <v>866</v>
      </c>
    </row>
    <row r="4603" spans="1:21" x14ac:dyDescent="0.25">
      <c r="A4603" s="405" t="s">
        <v>310</v>
      </c>
      <c r="B4603" s="405" t="s">
        <v>14128</v>
      </c>
      <c r="C4603" s="405" t="s">
        <v>327</v>
      </c>
      <c r="D4603" s="405"/>
      <c r="E4603" s="410">
        <v>41914</v>
      </c>
      <c r="F4603" s="410">
        <v>41959</v>
      </c>
      <c r="G4603" s="405" t="s">
        <v>14129</v>
      </c>
      <c r="H4603" s="405">
        <v>785582764</v>
      </c>
      <c r="I4603" s="405"/>
      <c r="J4603" s="405">
        <v>1.6985600000000001</v>
      </c>
      <c r="K4603" s="405">
        <v>33.513587000000001</v>
      </c>
      <c r="L4603" s="405" t="s">
        <v>6866</v>
      </c>
      <c r="M4603" s="405" t="s">
        <v>10515</v>
      </c>
      <c r="N4603" s="405" t="s">
        <v>10515</v>
      </c>
      <c r="O4603" s="405" t="s">
        <v>11068</v>
      </c>
      <c r="P4603" s="405" t="s">
        <v>14130</v>
      </c>
      <c r="Q4603" s="411">
        <v>6</v>
      </c>
      <c r="R4603" s="405" t="s">
        <v>5655</v>
      </c>
      <c r="S4603" s="405" t="s">
        <v>27041</v>
      </c>
      <c r="T4603" s="405" t="s">
        <v>884</v>
      </c>
      <c r="U4603" s="405" t="s">
        <v>319</v>
      </c>
    </row>
    <row r="4604" spans="1:21" x14ac:dyDescent="0.25">
      <c r="A4604" s="405" t="s">
        <v>310</v>
      </c>
      <c r="B4604" s="405" t="s">
        <v>28680</v>
      </c>
      <c r="C4604" s="405" t="s">
        <v>327</v>
      </c>
      <c r="D4604" s="405"/>
      <c r="E4604" s="410">
        <v>41913</v>
      </c>
      <c r="F4604" s="410">
        <v>41958</v>
      </c>
      <c r="G4604" s="405" t="s">
        <v>14108</v>
      </c>
      <c r="H4604" s="405">
        <v>778196386</v>
      </c>
      <c r="I4604" s="405"/>
      <c r="J4604" s="405">
        <v>0.56706199999999995</v>
      </c>
      <c r="K4604" s="405">
        <v>34.035075999999997</v>
      </c>
      <c r="L4604" s="405" t="s">
        <v>6866</v>
      </c>
      <c r="M4604" s="405" t="s">
        <v>9534</v>
      </c>
      <c r="N4604" s="405" t="s">
        <v>9997</v>
      </c>
      <c r="O4604" s="405" t="s">
        <v>11478</v>
      </c>
      <c r="P4604" s="405" t="s">
        <v>14105</v>
      </c>
      <c r="Q4604" s="411">
        <v>6</v>
      </c>
      <c r="R4604" s="405" t="s">
        <v>5655</v>
      </c>
      <c r="S4604" s="405" t="s">
        <v>27337</v>
      </c>
      <c r="T4604" s="405" t="s">
        <v>884</v>
      </c>
      <c r="U4604" s="405" t="s">
        <v>319</v>
      </c>
    </row>
    <row r="4605" spans="1:21" x14ac:dyDescent="0.25">
      <c r="A4605" s="405" t="s">
        <v>310</v>
      </c>
      <c r="B4605" s="405" t="s">
        <v>14188</v>
      </c>
      <c r="C4605" s="405" t="s">
        <v>327</v>
      </c>
      <c r="D4605" s="405"/>
      <c r="E4605" s="410">
        <v>41913</v>
      </c>
      <c r="F4605" s="410">
        <v>41958</v>
      </c>
      <c r="G4605" s="405" t="s">
        <v>14189</v>
      </c>
      <c r="H4605" s="405">
        <v>774182895</v>
      </c>
      <c r="I4605" s="405"/>
      <c r="J4605" s="405">
        <v>0.71152700000000002</v>
      </c>
      <c r="K4605" s="405">
        <v>34.213664999999999</v>
      </c>
      <c r="L4605" s="405" t="s">
        <v>6866</v>
      </c>
      <c r="M4605" s="405" t="s">
        <v>9534</v>
      </c>
      <c r="N4605" s="405" t="s">
        <v>14050</v>
      </c>
      <c r="O4605" s="405" t="s">
        <v>14050</v>
      </c>
      <c r="P4605" s="405" t="s">
        <v>14190</v>
      </c>
      <c r="Q4605" s="411">
        <v>6</v>
      </c>
      <c r="R4605" s="405" t="s">
        <v>7224</v>
      </c>
      <c r="S4605" s="405" t="s">
        <v>27310</v>
      </c>
      <c r="T4605" s="405" t="s">
        <v>884</v>
      </c>
      <c r="U4605" s="405" t="s">
        <v>319</v>
      </c>
    </row>
    <row r="4606" spans="1:21" x14ac:dyDescent="0.25">
      <c r="A4606" s="405" t="s">
        <v>310</v>
      </c>
      <c r="B4606" s="405" t="s">
        <v>28701</v>
      </c>
      <c r="C4606" s="405" t="s">
        <v>327</v>
      </c>
      <c r="D4606" s="405"/>
      <c r="E4606" s="410">
        <v>41912</v>
      </c>
      <c r="F4606" s="410">
        <v>41957</v>
      </c>
      <c r="G4606" s="405" t="s">
        <v>14101</v>
      </c>
      <c r="H4606" s="405">
        <v>787749390</v>
      </c>
      <c r="I4606" s="405"/>
      <c r="J4606" s="405">
        <v>0.606738</v>
      </c>
      <c r="K4606" s="405">
        <v>34.053432999999998</v>
      </c>
      <c r="L4606" s="405" t="s">
        <v>6866</v>
      </c>
      <c r="M4606" s="405" t="s">
        <v>9534</v>
      </c>
      <c r="N4606" s="405" t="s">
        <v>9927</v>
      </c>
      <c r="O4606" s="405" t="s">
        <v>11478</v>
      </c>
      <c r="P4606" s="405" t="s">
        <v>14102</v>
      </c>
      <c r="Q4606" s="411">
        <v>6</v>
      </c>
      <c r="R4606" s="405" t="s">
        <v>5655</v>
      </c>
      <c r="S4606" s="405" t="s">
        <v>27209</v>
      </c>
      <c r="T4606" s="405" t="s">
        <v>32102</v>
      </c>
      <c r="U4606" s="405" t="s">
        <v>319</v>
      </c>
    </row>
    <row r="4607" spans="1:21" x14ac:dyDescent="0.25">
      <c r="A4607" s="405" t="s">
        <v>310</v>
      </c>
      <c r="B4607" s="405" t="s">
        <v>27476</v>
      </c>
      <c r="C4607" s="405" t="s">
        <v>327</v>
      </c>
      <c r="D4607" s="405"/>
      <c r="E4607" s="410">
        <v>41912</v>
      </c>
      <c r="F4607" s="410">
        <v>41957</v>
      </c>
      <c r="G4607" s="405" t="s">
        <v>14137</v>
      </c>
      <c r="H4607" s="405">
        <v>774772592</v>
      </c>
      <c r="I4607" s="405">
        <v>781485640</v>
      </c>
      <c r="J4607" s="405">
        <v>1.4786680000000001</v>
      </c>
      <c r="K4607" s="405">
        <v>33.418225</v>
      </c>
      <c r="L4607" s="405" t="s">
        <v>6866</v>
      </c>
      <c r="M4607" s="405" t="s">
        <v>9658</v>
      </c>
      <c r="N4607" s="405" t="s">
        <v>11057</v>
      </c>
      <c r="O4607" s="405" t="s">
        <v>14138</v>
      </c>
      <c r="P4607" s="405" t="s">
        <v>14139</v>
      </c>
      <c r="Q4607" s="411">
        <v>6</v>
      </c>
      <c r="R4607" s="405" t="s">
        <v>5655</v>
      </c>
      <c r="S4607" s="405" t="s">
        <v>27072</v>
      </c>
      <c r="T4607" s="405" t="s">
        <v>884</v>
      </c>
      <c r="U4607" s="405" t="s">
        <v>319</v>
      </c>
    </row>
    <row r="4608" spans="1:21" x14ac:dyDescent="0.25">
      <c r="A4608" s="405" t="s">
        <v>310</v>
      </c>
      <c r="B4608" s="405" t="s">
        <v>14122</v>
      </c>
      <c r="C4608" s="405" t="s">
        <v>327</v>
      </c>
      <c r="D4608" s="405"/>
      <c r="E4608" s="410">
        <v>41912</v>
      </c>
      <c r="F4608" s="410">
        <v>41957</v>
      </c>
      <c r="G4608" s="405" t="s">
        <v>14123</v>
      </c>
      <c r="H4608" s="405">
        <v>783712904</v>
      </c>
      <c r="I4608" s="405"/>
      <c r="J4608" s="405">
        <v>1.9861420000000001</v>
      </c>
      <c r="K4608" s="405">
        <v>33.500230000000002</v>
      </c>
      <c r="L4608" s="405" t="s">
        <v>6866</v>
      </c>
      <c r="M4608" s="405" t="s">
        <v>10515</v>
      </c>
      <c r="N4608" s="405" t="s">
        <v>10525</v>
      </c>
      <c r="O4608" s="405" t="s">
        <v>13074</v>
      </c>
      <c r="P4608" s="405" t="s">
        <v>14124</v>
      </c>
      <c r="Q4608" s="411">
        <v>6</v>
      </c>
      <c r="R4608" s="405" t="s">
        <v>7224</v>
      </c>
      <c r="S4608" s="405" t="s">
        <v>27067</v>
      </c>
      <c r="T4608" s="405" t="s">
        <v>884</v>
      </c>
      <c r="U4608" s="405" t="s">
        <v>319</v>
      </c>
    </row>
    <row r="4609" spans="1:21" x14ac:dyDescent="0.25">
      <c r="A4609" s="405" t="s">
        <v>310</v>
      </c>
      <c r="B4609" s="405" t="s">
        <v>5350</v>
      </c>
      <c r="C4609" s="405" t="s">
        <v>327</v>
      </c>
      <c r="D4609" s="405"/>
      <c r="E4609" s="410">
        <v>41912</v>
      </c>
      <c r="F4609" s="410">
        <v>41957</v>
      </c>
      <c r="G4609" s="405" t="s">
        <v>5351</v>
      </c>
      <c r="H4609" s="405">
        <v>782800276</v>
      </c>
      <c r="I4609" s="405"/>
      <c r="J4609" s="405">
        <v>0.377336</v>
      </c>
      <c r="K4609" s="405">
        <v>32.742663999999998</v>
      </c>
      <c r="L4609" s="405" t="s">
        <v>314</v>
      </c>
      <c r="M4609" s="405" t="s">
        <v>329</v>
      </c>
      <c r="N4609" s="405" t="s">
        <v>330</v>
      </c>
      <c r="O4609" s="405" t="s">
        <v>331</v>
      </c>
      <c r="P4609" s="405" t="s">
        <v>1505</v>
      </c>
      <c r="Q4609" s="411">
        <v>6</v>
      </c>
      <c r="R4609" s="405" t="s">
        <v>318</v>
      </c>
      <c r="S4609" s="405" t="s">
        <v>27141</v>
      </c>
      <c r="T4609" s="405" t="s">
        <v>884</v>
      </c>
      <c r="U4609" s="405" t="s">
        <v>319</v>
      </c>
    </row>
    <row r="4610" spans="1:21" x14ac:dyDescent="0.25">
      <c r="A4610" s="405" t="s">
        <v>310</v>
      </c>
      <c r="B4610" s="405" t="s">
        <v>27699</v>
      </c>
      <c r="C4610" s="405" t="s">
        <v>327</v>
      </c>
      <c r="D4610" s="405"/>
      <c r="E4610" s="410">
        <v>41912</v>
      </c>
      <c r="F4610" s="410">
        <v>41957</v>
      </c>
      <c r="G4610" s="405" t="s">
        <v>14136</v>
      </c>
      <c r="H4610" s="405">
        <v>757495098</v>
      </c>
      <c r="I4610" s="405"/>
      <c r="J4610" s="405">
        <v>1.979668</v>
      </c>
      <c r="K4610" s="405">
        <v>33.463836999999998</v>
      </c>
      <c r="L4610" s="405" t="s">
        <v>6866</v>
      </c>
      <c r="M4610" s="405" t="s">
        <v>10515</v>
      </c>
      <c r="N4610" s="405" t="s">
        <v>10525</v>
      </c>
      <c r="O4610" s="405" t="s">
        <v>13074</v>
      </c>
      <c r="P4610" s="405" t="s">
        <v>13933</v>
      </c>
      <c r="Q4610" s="411">
        <v>6</v>
      </c>
      <c r="R4610" s="405" t="s">
        <v>7224</v>
      </c>
      <c r="S4610" s="405" t="s">
        <v>27283</v>
      </c>
      <c r="T4610" s="405" t="s">
        <v>884</v>
      </c>
      <c r="U4610" s="405" t="s">
        <v>319</v>
      </c>
    </row>
    <row r="4611" spans="1:21" x14ac:dyDescent="0.25">
      <c r="A4611" s="405" t="s">
        <v>310</v>
      </c>
      <c r="B4611" s="405" t="s">
        <v>14088</v>
      </c>
      <c r="C4611" s="405" t="s">
        <v>327</v>
      </c>
      <c r="D4611" s="405"/>
      <c r="E4611" s="410">
        <v>41912</v>
      </c>
      <c r="F4611" s="410">
        <v>41957</v>
      </c>
      <c r="G4611" s="405" t="s">
        <v>14089</v>
      </c>
      <c r="H4611" s="405">
        <v>779375498</v>
      </c>
      <c r="I4611" s="405"/>
      <c r="J4611" s="405">
        <v>0.74901300000000004</v>
      </c>
      <c r="K4611" s="405">
        <v>34.291865000000001</v>
      </c>
      <c r="L4611" s="405" t="s">
        <v>6866</v>
      </c>
      <c r="M4611" s="405" t="s">
        <v>9534</v>
      </c>
      <c r="N4611" s="405" t="s">
        <v>10201</v>
      </c>
      <c r="O4611" s="405" t="s">
        <v>12571</v>
      </c>
      <c r="P4611" s="405" t="s">
        <v>14090</v>
      </c>
      <c r="Q4611" s="411">
        <v>6</v>
      </c>
      <c r="R4611" s="405" t="s">
        <v>7224</v>
      </c>
      <c r="S4611" s="405" t="s">
        <v>27348</v>
      </c>
      <c r="T4611" s="405" t="s">
        <v>884</v>
      </c>
      <c r="U4611" s="405" t="s">
        <v>319</v>
      </c>
    </row>
    <row r="4612" spans="1:21" x14ac:dyDescent="0.25">
      <c r="A4612" s="405" t="s">
        <v>310</v>
      </c>
      <c r="B4612" s="405" t="s">
        <v>14116</v>
      </c>
      <c r="C4612" s="405" t="s">
        <v>327</v>
      </c>
      <c r="D4612" s="405"/>
      <c r="E4612" s="410">
        <v>41912</v>
      </c>
      <c r="F4612" s="410">
        <v>41957</v>
      </c>
      <c r="G4612" s="405" t="s">
        <v>14117</v>
      </c>
      <c r="H4612" s="405">
        <v>700354922</v>
      </c>
      <c r="I4612" s="405">
        <v>776420054</v>
      </c>
      <c r="J4612" s="405">
        <v>0.62413099999999999</v>
      </c>
      <c r="K4612" s="405">
        <v>34.118822999999999</v>
      </c>
      <c r="L4612" s="405" t="s">
        <v>6866</v>
      </c>
      <c r="M4612" s="405" t="s">
        <v>9534</v>
      </c>
      <c r="N4612" s="405" t="s">
        <v>10201</v>
      </c>
      <c r="O4612" s="405" t="s">
        <v>10202</v>
      </c>
      <c r="P4612" s="405" t="s">
        <v>14118</v>
      </c>
      <c r="Q4612" s="411">
        <v>6</v>
      </c>
      <c r="R4612" s="405" t="s">
        <v>7224</v>
      </c>
      <c r="S4612" s="405" t="s">
        <v>27203</v>
      </c>
      <c r="T4612" s="405" t="s">
        <v>884</v>
      </c>
      <c r="U4612" s="405" t="s">
        <v>319</v>
      </c>
    </row>
    <row r="4613" spans="1:21" x14ac:dyDescent="0.25">
      <c r="A4613" s="405" t="s">
        <v>310</v>
      </c>
      <c r="B4613" s="405" t="s">
        <v>14125</v>
      </c>
      <c r="C4613" s="405" t="s">
        <v>327</v>
      </c>
      <c r="D4613" s="405"/>
      <c r="E4613" s="410">
        <v>41912</v>
      </c>
      <c r="F4613" s="410">
        <v>41957</v>
      </c>
      <c r="G4613" s="405" t="s">
        <v>14126</v>
      </c>
      <c r="H4613" s="405">
        <v>783619599</v>
      </c>
      <c r="I4613" s="405"/>
      <c r="J4613" s="405">
        <v>1.953255</v>
      </c>
      <c r="K4613" s="405">
        <v>33.553412999999999</v>
      </c>
      <c r="L4613" s="405" t="s">
        <v>6866</v>
      </c>
      <c r="M4613" s="405" t="s">
        <v>10515</v>
      </c>
      <c r="N4613" s="405" t="s">
        <v>10525</v>
      </c>
      <c r="O4613" s="405" t="s">
        <v>13074</v>
      </c>
      <c r="P4613" s="405" t="s">
        <v>14127</v>
      </c>
      <c r="Q4613" s="411">
        <v>6</v>
      </c>
      <c r="R4613" s="405" t="s">
        <v>7224</v>
      </c>
      <c r="S4613" s="405" t="s">
        <v>27074</v>
      </c>
      <c r="T4613" s="405" t="s">
        <v>865</v>
      </c>
      <c r="U4613" s="405" t="s">
        <v>866</v>
      </c>
    </row>
    <row r="4614" spans="1:21" x14ac:dyDescent="0.25">
      <c r="A4614" s="405" t="s">
        <v>310</v>
      </c>
      <c r="B4614" s="405" t="s">
        <v>28256</v>
      </c>
      <c r="C4614" s="405" t="s">
        <v>327</v>
      </c>
      <c r="D4614" s="405"/>
      <c r="E4614" s="410">
        <v>41912</v>
      </c>
      <c r="F4614" s="410">
        <v>41957</v>
      </c>
      <c r="G4614" s="405" t="s">
        <v>14174</v>
      </c>
      <c r="H4614" s="405">
        <v>785713593</v>
      </c>
      <c r="I4614" s="405"/>
      <c r="J4614" s="405">
        <v>0.98046199999999994</v>
      </c>
      <c r="K4614" s="405">
        <v>34.338031000000001</v>
      </c>
      <c r="L4614" s="405" t="s">
        <v>6866</v>
      </c>
      <c r="M4614" s="405" t="s">
        <v>9763</v>
      </c>
      <c r="N4614" s="405" t="s">
        <v>9764</v>
      </c>
      <c r="O4614" s="405" t="s">
        <v>13721</v>
      </c>
      <c r="P4614" s="405" t="s">
        <v>14175</v>
      </c>
      <c r="Q4614" s="411">
        <v>6</v>
      </c>
      <c r="R4614" s="405" t="s">
        <v>7224</v>
      </c>
      <c r="S4614" s="405" t="s">
        <v>27074</v>
      </c>
      <c r="T4614" s="405" t="s">
        <v>884</v>
      </c>
      <c r="U4614" s="405" t="s">
        <v>319</v>
      </c>
    </row>
    <row r="4615" spans="1:21" x14ac:dyDescent="0.25">
      <c r="A4615" s="405" t="s">
        <v>310</v>
      </c>
      <c r="B4615" s="405" t="s">
        <v>14551</v>
      </c>
      <c r="C4615" s="405" t="s">
        <v>311</v>
      </c>
      <c r="D4615" s="405" t="s">
        <v>312</v>
      </c>
      <c r="E4615" s="410">
        <v>41912</v>
      </c>
      <c r="F4615" s="410">
        <v>41957</v>
      </c>
      <c r="G4615" s="405" t="s">
        <v>14552</v>
      </c>
      <c r="H4615" s="405" t="s">
        <v>33072</v>
      </c>
      <c r="I4615" s="405">
        <v>705483830</v>
      </c>
      <c r="J4615" s="405">
        <v>0.98626199999999997</v>
      </c>
      <c r="K4615" s="405">
        <v>34.336222999999997</v>
      </c>
      <c r="L4615" s="405" t="s">
        <v>6866</v>
      </c>
      <c r="M4615" s="405" t="s">
        <v>9763</v>
      </c>
      <c r="N4615" s="405" t="s">
        <v>9764</v>
      </c>
      <c r="O4615" s="405" t="s">
        <v>13721</v>
      </c>
      <c r="P4615" s="405" t="s">
        <v>14553</v>
      </c>
      <c r="Q4615" s="411">
        <v>6</v>
      </c>
      <c r="R4615" s="405" t="s">
        <v>7224</v>
      </c>
      <c r="S4615" s="405" t="s">
        <v>27074</v>
      </c>
      <c r="T4615" s="405" t="s">
        <v>884</v>
      </c>
      <c r="U4615" s="405" t="s">
        <v>319</v>
      </c>
    </row>
    <row r="4616" spans="1:21" x14ac:dyDescent="0.25">
      <c r="A4616" s="405" t="s">
        <v>310</v>
      </c>
      <c r="B4616" s="405" t="s">
        <v>28481</v>
      </c>
      <c r="C4616" s="405" t="s">
        <v>327</v>
      </c>
      <c r="D4616" s="405"/>
      <c r="E4616" s="410">
        <v>41912</v>
      </c>
      <c r="F4616" s="410">
        <v>41957</v>
      </c>
      <c r="G4616" s="405" t="s">
        <v>14084</v>
      </c>
      <c r="H4616" s="405">
        <v>752181729</v>
      </c>
      <c r="I4616" s="405"/>
      <c r="J4616" s="405">
        <v>1.133418</v>
      </c>
      <c r="K4616" s="405">
        <v>34.225566999999998</v>
      </c>
      <c r="L4616" s="405" t="s">
        <v>6866</v>
      </c>
      <c r="M4616" s="405" t="s">
        <v>9514</v>
      </c>
      <c r="N4616" s="405" t="s">
        <v>9529</v>
      </c>
      <c r="O4616" s="405" t="s">
        <v>9530</v>
      </c>
      <c r="P4616" s="405" t="s">
        <v>14085</v>
      </c>
      <c r="Q4616" s="411">
        <v>6</v>
      </c>
      <c r="R4616" s="405" t="s">
        <v>7224</v>
      </c>
      <c r="S4616" s="405" t="s">
        <v>27074</v>
      </c>
      <c r="T4616" s="405" t="s">
        <v>884</v>
      </c>
      <c r="U4616" s="405" t="s">
        <v>319</v>
      </c>
    </row>
    <row r="4617" spans="1:21" x14ac:dyDescent="0.25">
      <c r="A4617" s="405" t="s">
        <v>310</v>
      </c>
      <c r="B4617" s="405" t="s">
        <v>14140</v>
      </c>
      <c r="C4617" s="405" t="s">
        <v>327</v>
      </c>
      <c r="D4617" s="405"/>
      <c r="E4617" s="410">
        <v>41912</v>
      </c>
      <c r="F4617" s="410">
        <v>41957</v>
      </c>
      <c r="G4617" s="405" t="s">
        <v>14141</v>
      </c>
      <c r="H4617" s="405">
        <v>788321124</v>
      </c>
      <c r="I4617" s="405"/>
      <c r="J4617" s="405">
        <v>0.64120200000000005</v>
      </c>
      <c r="K4617" s="405">
        <v>34.084133999999999</v>
      </c>
      <c r="L4617" s="405" t="s">
        <v>6866</v>
      </c>
      <c r="M4617" s="405" t="s">
        <v>9534</v>
      </c>
      <c r="N4617" s="405" t="s">
        <v>9997</v>
      </c>
      <c r="O4617" s="405" t="s">
        <v>11478</v>
      </c>
      <c r="P4617" s="405" t="s">
        <v>14142</v>
      </c>
      <c r="Q4617" s="411">
        <v>6</v>
      </c>
      <c r="R4617" s="405" t="s">
        <v>5655</v>
      </c>
      <c r="S4617" s="405" t="s">
        <v>27347</v>
      </c>
      <c r="T4617" s="405" t="s">
        <v>884</v>
      </c>
      <c r="U4617" s="405" t="s">
        <v>319</v>
      </c>
    </row>
    <row r="4618" spans="1:21" x14ac:dyDescent="0.25">
      <c r="A4618" s="405" t="s">
        <v>310</v>
      </c>
      <c r="B4618" s="405" t="s">
        <v>14134</v>
      </c>
      <c r="C4618" s="405" t="s">
        <v>327</v>
      </c>
      <c r="D4618" s="405"/>
      <c r="E4618" s="410">
        <v>41912</v>
      </c>
      <c r="F4618" s="410">
        <v>41957</v>
      </c>
      <c r="G4618" s="405" t="s">
        <v>14135</v>
      </c>
      <c r="H4618" s="405">
        <v>756471033</v>
      </c>
      <c r="I4618" s="405"/>
      <c r="J4618" s="405">
        <v>1.9731669999999999</v>
      </c>
      <c r="K4618" s="405">
        <v>33.462342</v>
      </c>
      <c r="L4618" s="405" t="s">
        <v>6866</v>
      </c>
      <c r="M4618" s="405" t="s">
        <v>10515</v>
      </c>
      <c r="N4618" s="405" t="s">
        <v>10525</v>
      </c>
      <c r="O4618" s="405" t="s">
        <v>13074</v>
      </c>
      <c r="P4618" s="405" t="s">
        <v>13933</v>
      </c>
      <c r="Q4618" s="411">
        <v>6</v>
      </c>
      <c r="R4618" s="405" t="s">
        <v>7224</v>
      </c>
      <c r="S4618" s="405" t="s">
        <v>27348</v>
      </c>
      <c r="T4618" s="405" t="s">
        <v>32102</v>
      </c>
      <c r="U4618" s="405" t="s">
        <v>319</v>
      </c>
    </row>
    <row r="4619" spans="1:21" x14ac:dyDescent="0.25">
      <c r="A4619" s="405" t="s">
        <v>310</v>
      </c>
      <c r="B4619" s="405" t="s">
        <v>14106</v>
      </c>
      <c r="C4619" s="405" t="s">
        <v>327</v>
      </c>
      <c r="D4619" s="405"/>
      <c r="E4619" s="410">
        <v>41912</v>
      </c>
      <c r="F4619" s="410">
        <v>41957</v>
      </c>
      <c r="G4619" s="405" t="s">
        <v>14107</v>
      </c>
      <c r="H4619" s="405">
        <v>753921865</v>
      </c>
      <c r="I4619" s="405"/>
      <c r="J4619" s="405">
        <v>0.62593799999999999</v>
      </c>
      <c r="K4619" s="405">
        <v>34.066840999999997</v>
      </c>
      <c r="L4619" s="405" t="s">
        <v>6866</v>
      </c>
      <c r="M4619" s="405" t="s">
        <v>9534</v>
      </c>
      <c r="N4619" s="405" t="s">
        <v>9997</v>
      </c>
      <c r="O4619" s="405" t="s">
        <v>11478</v>
      </c>
      <c r="P4619" s="405" t="s">
        <v>14105</v>
      </c>
      <c r="Q4619" s="411">
        <v>6</v>
      </c>
      <c r="R4619" s="405" t="s">
        <v>5655</v>
      </c>
      <c r="S4619" s="405" t="s">
        <v>27346</v>
      </c>
      <c r="T4619" s="405" t="s">
        <v>884</v>
      </c>
      <c r="U4619" s="405" t="s">
        <v>319</v>
      </c>
    </row>
    <row r="4620" spans="1:21" x14ac:dyDescent="0.25">
      <c r="A4620" s="405" t="s">
        <v>310</v>
      </c>
      <c r="B4620" s="405" t="s">
        <v>14182</v>
      </c>
      <c r="C4620" s="405" t="s">
        <v>327</v>
      </c>
      <c r="D4620" s="405"/>
      <c r="E4620" s="410">
        <v>41912</v>
      </c>
      <c r="F4620" s="410">
        <v>41957</v>
      </c>
      <c r="G4620" s="405" t="s">
        <v>14183</v>
      </c>
      <c r="H4620" s="405">
        <v>774927466</v>
      </c>
      <c r="I4620" s="405"/>
      <c r="J4620" s="405">
        <v>0.588368</v>
      </c>
      <c r="K4620" s="405">
        <v>34.022587000000001</v>
      </c>
      <c r="L4620" s="405" t="s">
        <v>6866</v>
      </c>
      <c r="M4620" s="405" t="s">
        <v>9534</v>
      </c>
      <c r="N4620" s="405" t="s">
        <v>10113</v>
      </c>
      <c r="O4620" s="405" t="s">
        <v>10248</v>
      </c>
      <c r="P4620" s="405" t="s">
        <v>14184</v>
      </c>
      <c r="Q4620" s="411">
        <v>6</v>
      </c>
      <c r="R4620" s="405" t="s">
        <v>7224</v>
      </c>
      <c r="S4620" s="405" t="s">
        <v>27259</v>
      </c>
      <c r="T4620" s="405" t="s">
        <v>884</v>
      </c>
      <c r="U4620" s="405" t="s">
        <v>319</v>
      </c>
    </row>
    <row r="4621" spans="1:21" x14ac:dyDescent="0.25">
      <c r="A4621" s="405" t="s">
        <v>310</v>
      </c>
      <c r="B4621" s="405" t="s">
        <v>28188</v>
      </c>
      <c r="C4621" s="405" t="s">
        <v>327</v>
      </c>
      <c r="D4621" s="405"/>
      <c r="E4621" s="410">
        <v>41911</v>
      </c>
      <c r="F4621" s="410">
        <v>41956</v>
      </c>
      <c r="G4621" s="405" t="s">
        <v>14187</v>
      </c>
      <c r="H4621" s="405">
        <v>754969598</v>
      </c>
      <c r="I4621" s="405"/>
      <c r="J4621" s="405">
        <v>1.12798</v>
      </c>
      <c r="K4621" s="405">
        <v>34.219520000000003</v>
      </c>
      <c r="L4621" s="405" t="s">
        <v>6866</v>
      </c>
      <c r="M4621" s="405" t="s">
        <v>9514</v>
      </c>
      <c r="N4621" s="405" t="s">
        <v>9529</v>
      </c>
      <c r="O4621" s="405" t="s">
        <v>9530</v>
      </c>
      <c r="P4621" s="405" t="s">
        <v>14085</v>
      </c>
      <c r="Q4621" s="411">
        <v>6</v>
      </c>
      <c r="R4621" s="405" t="s">
        <v>7224</v>
      </c>
      <c r="S4621" s="405" t="s">
        <v>27107</v>
      </c>
      <c r="T4621" s="405" t="s">
        <v>32102</v>
      </c>
      <c r="U4621" s="405" t="s">
        <v>319</v>
      </c>
    </row>
    <row r="4622" spans="1:21" x14ac:dyDescent="0.25">
      <c r="A4622" s="405" t="s">
        <v>310</v>
      </c>
      <c r="B4622" s="405" t="s">
        <v>14081</v>
      </c>
      <c r="C4622" s="405" t="s">
        <v>327</v>
      </c>
      <c r="D4622" s="405"/>
      <c r="E4622" s="410">
        <v>41911</v>
      </c>
      <c r="F4622" s="410">
        <v>41956</v>
      </c>
      <c r="G4622" s="405" t="s">
        <v>14082</v>
      </c>
      <c r="H4622" s="405">
        <v>772728801</v>
      </c>
      <c r="I4622" s="405"/>
      <c r="J4622" s="405">
        <v>0.59954600000000002</v>
      </c>
      <c r="K4622" s="405">
        <v>34.088607000000003</v>
      </c>
      <c r="L4622" s="405" t="s">
        <v>6866</v>
      </c>
      <c r="M4622" s="405" t="s">
        <v>9534</v>
      </c>
      <c r="N4622" s="405" t="s">
        <v>9927</v>
      </c>
      <c r="O4622" s="405" t="s">
        <v>11478</v>
      </c>
      <c r="P4622" s="405" t="s">
        <v>11362</v>
      </c>
      <c r="Q4622" s="411">
        <v>6</v>
      </c>
      <c r="R4622" s="405" t="s">
        <v>7224</v>
      </c>
      <c r="S4622" s="405" t="s">
        <v>27203</v>
      </c>
      <c r="T4622" s="405" t="s">
        <v>884</v>
      </c>
      <c r="U4622" s="405" t="s">
        <v>319</v>
      </c>
    </row>
    <row r="4623" spans="1:21" x14ac:dyDescent="0.25">
      <c r="A4623" s="405" t="s">
        <v>310</v>
      </c>
      <c r="B4623" s="405" t="s">
        <v>18909</v>
      </c>
      <c r="C4623" s="405" t="s">
        <v>327</v>
      </c>
      <c r="D4623" s="405"/>
      <c r="E4623" s="410">
        <v>41910</v>
      </c>
      <c r="F4623" s="410">
        <v>41955</v>
      </c>
      <c r="G4623" s="405" t="s">
        <v>18910</v>
      </c>
      <c r="H4623" s="405">
        <v>772614354</v>
      </c>
      <c r="I4623" s="405"/>
      <c r="J4623" s="405">
        <v>2.1954829999999999</v>
      </c>
      <c r="K4623" s="405">
        <v>32.619390000000003</v>
      </c>
      <c r="L4623" s="405" t="s">
        <v>860</v>
      </c>
      <c r="M4623" s="405" t="s">
        <v>18288</v>
      </c>
      <c r="N4623" s="405" t="s">
        <v>18288</v>
      </c>
      <c r="O4623" s="405" t="s">
        <v>18288</v>
      </c>
      <c r="P4623" s="405" t="s">
        <v>18288</v>
      </c>
      <c r="Q4623" s="411">
        <v>9</v>
      </c>
      <c r="R4623" s="405" t="s">
        <v>5336</v>
      </c>
      <c r="S4623" s="405" t="s">
        <v>27243</v>
      </c>
      <c r="T4623" s="405" t="s">
        <v>884</v>
      </c>
      <c r="U4623" s="405" t="s">
        <v>319</v>
      </c>
    </row>
    <row r="4624" spans="1:21" x14ac:dyDescent="0.25">
      <c r="A4624" s="405" t="s">
        <v>310</v>
      </c>
      <c r="B4624" s="405" t="s">
        <v>28145</v>
      </c>
      <c r="C4624" s="405" t="s">
        <v>327</v>
      </c>
      <c r="D4624" s="405"/>
      <c r="E4624" s="410">
        <v>41910</v>
      </c>
      <c r="F4624" s="410">
        <v>41955</v>
      </c>
      <c r="G4624" s="405" t="s">
        <v>14083</v>
      </c>
      <c r="H4624" s="405">
        <v>777421337</v>
      </c>
      <c r="I4624" s="405"/>
      <c r="J4624" s="405">
        <v>1.1293629999999999</v>
      </c>
      <c r="K4624" s="405">
        <v>34.228088</v>
      </c>
      <c r="L4624" s="405" t="s">
        <v>6866</v>
      </c>
      <c r="M4624" s="405" t="s">
        <v>9514</v>
      </c>
      <c r="N4624" s="405" t="s">
        <v>9529</v>
      </c>
      <c r="O4624" s="405" t="s">
        <v>9530</v>
      </c>
      <c r="P4624" s="405" t="s">
        <v>13611</v>
      </c>
      <c r="Q4624" s="411">
        <v>6</v>
      </c>
      <c r="R4624" s="405" t="s">
        <v>7224</v>
      </c>
      <c r="S4624" s="405" t="s">
        <v>27348</v>
      </c>
      <c r="T4624" s="405" t="s">
        <v>865</v>
      </c>
      <c r="U4624" s="405" t="s">
        <v>866</v>
      </c>
    </row>
    <row r="4625" spans="1:21" x14ac:dyDescent="0.25">
      <c r="A4625" s="405" t="s">
        <v>310</v>
      </c>
      <c r="B4625" s="405" t="s">
        <v>14196</v>
      </c>
      <c r="C4625" s="405" t="s">
        <v>327</v>
      </c>
      <c r="D4625" s="405"/>
      <c r="E4625" s="410">
        <v>41910</v>
      </c>
      <c r="F4625" s="410">
        <v>41955</v>
      </c>
      <c r="G4625" s="405" t="s">
        <v>14197</v>
      </c>
      <c r="H4625" s="405">
        <v>753995372</v>
      </c>
      <c r="I4625" s="405"/>
      <c r="J4625" s="405">
        <v>1.6792879999999999</v>
      </c>
      <c r="K4625" s="405">
        <v>33.502538000000001</v>
      </c>
      <c r="L4625" s="405" t="s">
        <v>6866</v>
      </c>
      <c r="M4625" s="405" t="s">
        <v>10515</v>
      </c>
      <c r="N4625" s="405" t="s">
        <v>11068</v>
      </c>
      <c r="O4625" s="405" t="s">
        <v>11068</v>
      </c>
      <c r="P4625" s="405" t="s">
        <v>14198</v>
      </c>
      <c r="Q4625" s="411">
        <v>6</v>
      </c>
      <c r="R4625" s="405" t="s">
        <v>5655</v>
      </c>
      <c r="S4625" s="405" t="s">
        <v>27072</v>
      </c>
      <c r="T4625" s="405" t="s">
        <v>884</v>
      </c>
      <c r="U4625" s="405" t="s">
        <v>319</v>
      </c>
    </row>
    <row r="4626" spans="1:21" x14ac:dyDescent="0.25">
      <c r="A4626" s="405" t="s">
        <v>310</v>
      </c>
      <c r="B4626" s="405" t="s">
        <v>14109</v>
      </c>
      <c r="C4626" s="405" t="s">
        <v>327</v>
      </c>
      <c r="D4626" s="405"/>
      <c r="E4626" s="410">
        <v>41908</v>
      </c>
      <c r="F4626" s="410">
        <v>41953</v>
      </c>
      <c r="G4626" s="405" t="s">
        <v>14110</v>
      </c>
      <c r="H4626" s="405">
        <v>758952670</v>
      </c>
      <c r="I4626" s="405"/>
      <c r="J4626" s="405">
        <v>0.62490000000000001</v>
      </c>
      <c r="K4626" s="405">
        <v>34.087246</v>
      </c>
      <c r="L4626" s="405" t="s">
        <v>6866</v>
      </c>
      <c r="M4626" s="405" t="s">
        <v>9534</v>
      </c>
      <c r="N4626" s="405" t="s">
        <v>9997</v>
      </c>
      <c r="O4626" s="405" t="s">
        <v>11478</v>
      </c>
      <c r="P4626" s="405" t="s">
        <v>14111</v>
      </c>
      <c r="Q4626" s="411">
        <v>6</v>
      </c>
      <c r="R4626" s="405" t="s">
        <v>5655</v>
      </c>
      <c r="S4626" s="405" t="s">
        <v>27203</v>
      </c>
      <c r="T4626" s="405" t="s">
        <v>884</v>
      </c>
      <c r="U4626" s="405" t="s">
        <v>319</v>
      </c>
    </row>
    <row r="4627" spans="1:21" x14ac:dyDescent="0.25">
      <c r="A4627" s="405" t="s">
        <v>310</v>
      </c>
      <c r="B4627" s="405" t="s">
        <v>27509</v>
      </c>
      <c r="C4627" s="405" t="s">
        <v>327</v>
      </c>
      <c r="D4627" s="405"/>
      <c r="E4627" s="410">
        <v>41907</v>
      </c>
      <c r="F4627" s="410">
        <v>41952</v>
      </c>
      <c r="G4627" s="405" t="s">
        <v>14115</v>
      </c>
      <c r="H4627" s="405">
        <v>789542964</v>
      </c>
      <c r="I4627" s="405"/>
      <c r="J4627" s="405">
        <v>0.624892</v>
      </c>
      <c r="K4627" s="405">
        <v>34.181541000000003</v>
      </c>
      <c r="L4627" s="405" t="s">
        <v>6866</v>
      </c>
      <c r="M4627" s="405" t="s">
        <v>9534</v>
      </c>
      <c r="N4627" s="405" t="s">
        <v>10201</v>
      </c>
      <c r="O4627" s="405" t="s">
        <v>10202</v>
      </c>
      <c r="P4627" s="405" t="s">
        <v>13987</v>
      </c>
      <c r="Q4627" s="411">
        <v>6</v>
      </c>
      <c r="R4627" s="405" t="s">
        <v>7224</v>
      </c>
      <c r="S4627" s="405" t="s">
        <v>27203</v>
      </c>
      <c r="T4627" s="405" t="s">
        <v>884</v>
      </c>
      <c r="U4627" s="405" t="s">
        <v>319</v>
      </c>
    </row>
    <row r="4628" spans="1:21" x14ac:dyDescent="0.25">
      <c r="A4628" s="405" t="s">
        <v>310</v>
      </c>
      <c r="B4628" s="405" t="s">
        <v>14163</v>
      </c>
      <c r="C4628" s="405" t="s">
        <v>327</v>
      </c>
      <c r="D4628" s="405"/>
      <c r="E4628" s="410">
        <v>41907</v>
      </c>
      <c r="F4628" s="410">
        <v>41952</v>
      </c>
      <c r="G4628" s="405" t="s">
        <v>14164</v>
      </c>
      <c r="H4628" s="405">
        <v>758297386</v>
      </c>
      <c r="I4628" s="405">
        <v>781857923</v>
      </c>
      <c r="J4628" s="405">
        <v>0.79299299999999995</v>
      </c>
      <c r="K4628" s="405">
        <v>33.880285999999998</v>
      </c>
      <c r="L4628" s="405" t="s">
        <v>6866</v>
      </c>
      <c r="M4628" s="405" t="s">
        <v>9566</v>
      </c>
      <c r="N4628" s="405" t="s">
        <v>9787</v>
      </c>
      <c r="O4628" s="405" t="s">
        <v>9788</v>
      </c>
      <c r="P4628" s="405" t="s">
        <v>13870</v>
      </c>
      <c r="Q4628" s="411">
        <v>6</v>
      </c>
      <c r="R4628" s="405" t="s">
        <v>5655</v>
      </c>
      <c r="S4628" s="405" t="s">
        <v>27335</v>
      </c>
      <c r="T4628" s="405" t="s">
        <v>884</v>
      </c>
      <c r="U4628" s="405" t="s">
        <v>319</v>
      </c>
    </row>
    <row r="4629" spans="1:21" x14ac:dyDescent="0.25">
      <c r="A4629" s="405" t="s">
        <v>310</v>
      </c>
      <c r="B4629" s="405" t="s">
        <v>14150</v>
      </c>
      <c r="C4629" s="405" t="s">
        <v>327</v>
      </c>
      <c r="D4629" s="405"/>
      <c r="E4629" s="410">
        <v>41907</v>
      </c>
      <c r="F4629" s="410">
        <v>41952</v>
      </c>
      <c r="G4629" s="405" t="s">
        <v>14151</v>
      </c>
      <c r="H4629" s="405">
        <v>788759556</v>
      </c>
      <c r="I4629" s="405">
        <v>788759556</v>
      </c>
      <c r="J4629" s="405">
        <v>1.931495</v>
      </c>
      <c r="K4629" s="405">
        <v>33.736665000000002</v>
      </c>
      <c r="L4629" s="405" t="s">
        <v>6866</v>
      </c>
      <c r="M4629" s="405" t="s">
        <v>10495</v>
      </c>
      <c r="N4629" s="405" t="s">
        <v>10495</v>
      </c>
      <c r="O4629" s="405" t="s">
        <v>11435</v>
      </c>
      <c r="P4629" s="405" t="s">
        <v>14152</v>
      </c>
      <c r="Q4629" s="411">
        <v>6</v>
      </c>
      <c r="R4629" s="405" t="s">
        <v>5655</v>
      </c>
      <c r="S4629" s="405" t="s">
        <v>27041</v>
      </c>
      <c r="T4629" s="405" t="s">
        <v>884</v>
      </c>
      <c r="U4629" s="405" t="s">
        <v>319</v>
      </c>
    </row>
    <row r="4630" spans="1:21" x14ac:dyDescent="0.25">
      <c r="A4630" s="405" t="s">
        <v>310</v>
      </c>
      <c r="B4630" s="405" t="s">
        <v>28798</v>
      </c>
      <c r="C4630" s="405" t="s">
        <v>311</v>
      </c>
      <c r="D4630" s="405" t="s">
        <v>1789</v>
      </c>
      <c r="E4630" s="410">
        <v>41906</v>
      </c>
      <c r="F4630" s="410">
        <v>41951</v>
      </c>
      <c r="G4630" s="405" t="s">
        <v>14467</v>
      </c>
      <c r="H4630" s="405">
        <v>778911915</v>
      </c>
      <c r="I4630" s="405"/>
      <c r="J4630" s="405">
        <v>0.63196099999999999</v>
      </c>
      <c r="K4630" s="405">
        <v>34.203919999999997</v>
      </c>
      <c r="L4630" s="405" t="s">
        <v>6866</v>
      </c>
      <c r="M4630" s="405" t="s">
        <v>9534</v>
      </c>
      <c r="N4630" s="405" t="s">
        <v>10201</v>
      </c>
      <c r="O4630" s="405" t="s">
        <v>10202</v>
      </c>
      <c r="P4630" s="405" t="s">
        <v>14145</v>
      </c>
      <c r="Q4630" s="411">
        <v>6</v>
      </c>
      <c r="R4630" s="405" t="s">
        <v>7224</v>
      </c>
      <c r="S4630" s="405" t="s">
        <v>27302</v>
      </c>
      <c r="T4630" s="405" t="s">
        <v>884</v>
      </c>
      <c r="U4630" s="405" t="s">
        <v>319</v>
      </c>
    </row>
    <row r="4631" spans="1:21" x14ac:dyDescent="0.25">
      <c r="A4631" s="405" t="s">
        <v>310</v>
      </c>
      <c r="B4631" s="405" t="s">
        <v>14071</v>
      </c>
      <c r="C4631" s="405" t="s">
        <v>327</v>
      </c>
      <c r="D4631" s="405"/>
      <c r="E4631" s="410">
        <v>41906</v>
      </c>
      <c r="F4631" s="410">
        <v>41951</v>
      </c>
      <c r="G4631" s="405" t="s">
        <v>14072</v>
      </c>
      <c r="H4631" s="405">
        <v>772483786</v>
      </c>
      <c r="I4631" s="405"/>
      <c r="J4631" s="405">
        <v>0.65923299999999996</v>
      </c>
      <c r="K4631" s="405">
        <v>34.176661000000003</v>
      </c>
      <c r="L4631" s="405" t="s">
        <v>6866</v>
      </c>
      <c r="M4631" s="405" t="s">
        <v>9534</v>
      </c>
      <c r="N4631" s="405" t="s">
        <v>10201</v>
      </c>
      <c r="O4631" s="405" t="s">
        <v>10202</v>
      </c>
      <c r="P4631" s="405" t="s">
        <v>13969</v>
      </c>
      <c r="Q4631" s="411">
        <v>6</v>
      </c>
      <c r="R4631" s="405" t="s">
        <v>7224</v>
      </c>
      <c r="S4631" s="405" t="s">
        <v>27204</v>
      </c>
      <c r="T4631" s="405" t="s">
        <v>884</v>
      </c>
      <c r="U4631" s="405" t="s">
        <v>319</v>
      </c>
    </row>
    <row r="4632" spans="1:21" x14ac:dyDescent="0.25">
      <c r="A4632" s="405" t="s">
        <v>310</v>
      </c>
      <c r="B4632" s="405" t="s">
        <v>14169</v>
      </c>
      <c r="C4632" s="405" t="s">
        <v>327</v>
      </c>
      <c r="D4632" s="405"/>
      <c r="E4632" s="410">
        <v>41906</v>
      </c>
      <c r="F4632" s="410">
        <v>41951</v>
      </c>
      <c r="G4632" s="405" t="s">
        <v>14170</v>
      </c>
      <c r="H4632" s="405">
        <v>784832735</v>
      </c>
      <c r="I4632" s="405"/>
      <c r="J4632" s="405">
        <v>0.631992</v>
      </c>
      <c r="K4632" s="405">
        <v>34.204165000000003</v>
      </c>
      <c r="L4632" s="405" t="s">
        <v>6866</v>
      </c>
      <c r="M4632" s="405" t="s">
        <v>9534</v>
      </c>
      <c r="N4632" s="405" t="s">
        <v>14050</v>
      </c>
      <c r="O4632" s="405" t="s">
        <v>14050</v>
      </c>
      <c r="P4632" s="405" t="s">
        <v>14145</v>
      </c>
      <c r="Q4632" s="411">
        <v>6</v>
      </c>
      <c r="R4632" s="405" t="s">
        <v>7224</v>
      </c>
      <c r="S4632" s="405" t="s">
        <v>27302</v>
      </c>
      <c r="T4632" s="405" t="s">
        <v>884</v>
      </c>
      <c r="U4632" s="405" t="s">
        <v>319</v>
      </c>
    </row>
    <row r="4633" spans="1:21" x14ac:dyDescent="0.25">
      <c r="A4633" s="405" t="s">
        <v>310</v>
      </c>
      <c r="B4633" s="405" t="s">
        <v>14112</v>
      </c>
      <c r="C4633" s="405" t="s">
        <v>327</v>
      </c>
      <c r="D4633" s="405"/>
      <c r="E4633" s="410">
        <v>41905</v>
      </c>
      <c r="F4633" s="410">
        <v>41950</v>
      </c>
      <c r="G4633" s="405" t="s">
        <v>14113</v>
      </c>
      <c r="H4633" s="405">
        <v>772898505</v>
      </c>
      <c r="I4633" s="405"/>
      <c r="J4633" s="405">
        <v>0.63285000000000002</v>
      </c>
      <c r="K4633" s="405">
        <v>34.187226000000003</v>
      </c>
      <c r="L4633" s="405" t="s">
        <v>6866</v>
      </c>
      <c r="M4633" s="405" t="s">
        <v>9534</v>
      </c>
      <c r="N4633" s="405" t="s">
        <v>10201</v>
      </c>
      <c r="O4633" s="405" t="s">
        <v>10202</v>
      </c>
      <c r="P4633" s="405" t="s">
        <v>14114</v>
      </c>
      <c r="Q4633" s="411">
        <v>6</v>
      </c>
      <c r="R4633" s="405" t="s">
        <v>7224</v>
      </c>
      <c r="S4633" s="405" t="s">
        <v>27310</v>
      </c>
      <c r="T4633" s="405" t="s">
        <v>884</v>
      </c>
      <c r="U4633" s="405" t="s">
        <v>319</v>
      </c>
    </row>
    <row r="4634" spans="1:21" x14ac:dyDescent="0.25">
      <c r="A4634" s="405" t="s">
        <v>310</v>
      </c>
      <c r="B4634" s="405" t="s">
        <v>14533</v>
      </c>
      <c r="C4634" s="405" t="s">
        <v>311</v>
      </c>
      <c r="D4634" s="405" t="s">
        <v>1789</v>
      </c>
      <c r="E4634" s="410">
        <v>41905</v>
      </c>
      <c r="F4634" s="410">
        <v>41950</v>
      </c>
      <c r="G4634" s="405" t="s">
        <v>14534</v>
      </c>
      <c r="H4634" s="405">
        <v>772449803</v>
      </c>
      <c r="I4634" s="405"/>
      <c r="J4634" s="405">
        <v>0.63288500000000003</v>
      </c>
      <c r="K4634" s="405">
        <v>34.187216999999997</v>
      </c>
      <c r="L4634" s="405" t="s">
        <v>6866</v>
      </c>
      <c r="M4634" s="405" t="s">
        <v>9534</v>
      </c>
      <c r="N4634" s="405" t="s">
        <v>14050</v>
      </c>
      <c r="O4634" s="405" t="s">
        <v>14050</v>
      </c>
      <c r="P4634" s="405" t="s">
        <v>14111</v>
      </c>
      <c r="Q4634" s="411">
        <v>6</v>
      </c>
      <c r="R4634" s="405" t="s">
        <v>7224</v>
      </c>
      <c r="S4634" s="405" t="s">
        <v>27310</v>
      </c>
      <c r="T4634" s="405" t="s">
        <v>884</v>
      </c>
      <c r="U4634" s="405" t="s">
        <v>319</v>
      </c>
    </row>
    <row r="4635" spans="1:21" x14ac:dyDescent="0.25">
      <c r="A4635" s="405" t="s">
        <v>310</v>
      </c>
      <c r="B4635" s="405" t="s">
        <v>14078</v>
      </c>
      <c r="C4635" s="405" t="s">
        <v>327</v>
      </c>
      <c r="D4635" s="405"/>
      <c r="E4635" s="410">
        <v>41905</v>
      </c>
      <c r="F4635" s="410">
        <v>41950</v>
      </c>
      <c r="G4635" s="405" t="s">
        <v>14079</v>
      </c>
      <c r="H4635" s="405">
        <v>752667551</v>
      </c>
      <c r="I4635" s="405"/>
      <c r="J4635" s="405">
        <v>0.76964699999999997</v>
      </c>
      <c r="K4635" s="405">
        <v>33.849792999999998</v>
      </c>
      <c r="L4635" s="405" t="s">
        <v>6866</v>
      </c>
      <c r="M4635" s="405" t="s">
        <v>9566</v>
      </c>
      <c r="N4635" s="405" t="s">
        <v>13884</v>
      </c>
      <c r="O4635" s="405" t="s">
        <v>13884</v>
      </c>
      <c r="P4635" s="405" t="s">
        <v>14080</v>
      </c>
      <c r="Q4635" s="411">
        <v>6</v>
      </c>
      <c r="R4635" s="405" t="s">
        <v>5655</v>
      </c>
      <c r="S4635" s="405" t="s">
        <v>27072</v>
      </c>
      <c r="T4635" s="405" t="s">
        <v>884</v>
      </c>
      <c r="U4635" s="405" t="s">
        <v>319</v>
      </c>
    </row>
    <row r="4636" spans="1:21" x14ac:dyDescent="0.25">
      <c r="A4636" s="405" t="s">
        <v>310</v>
      </c>
      <c r="B4636" s="405" t="s">
        <v>14179</v>
      </c>
      <c r="C4636" s="405" t="s">
        <v>327</v>
      </c>
      <c r="D4636" s="405"/>
      <c r="E4636" s="410">
        <v>41905</v>
      </c>
      <c r="F4636" s="410">
        <v>41950</v>
      </c>
      <c r="G4636" s="405" t="s">
        <v>14180</v>
      </c>
      <c r="H4636" s="405">
        <v>787162428</v>
      </c>
      <c r="I4636" s="405"/>
      <c r="J4636" s="405">
        <v>0.59050499999999995</v>
      </c>
      <c r="K4636" s="405">
        <v>34.025525000000002</v>
      </c>
      <c r="L4636" s="405" t="s">
        <v>6866</v>
      </c>
      <c r="M4636" s="405" t="s">
        <v>9534</v>
      </c>
      <c r="N4636" s="405" t="s">
        <v>10113</v>
      </c>
      <c r="O4636" s="405" t="s">
        <v>10248</v>
      </c>
      <c r="P4636" s="405" t="s">
        <v>14181</v>
      </c>
      <c r="Q4636" s="411">
        <v>6</v>
      </c>
      <c r="R4636" s="405" t="s">
        <v>7224</v>
      </c>
      <c r="S4636" s="405" t="s">
        <v>27259</v>
      </c>
      <c r="T4636" s="405" t="s">
        <v>865</v>
      </c>
      <c r="U4636" s="405" t="s">
        <v>866</v>
      </c>
    </row>
    <row r="4637" spans="1:21" x14ac:dyDescent="0.25">
      <c r="A4637" s="405" t="s">
        <v>310</v>
      </c>
      <c r="B4637" s="405" t="s">
        <v>14073</v>
      </c>
      <c r="C4637" s="405" t="s">
        <v>327</v>
      </c>
      <c r="D4637" s="405"/>
      <c r="E4637" s="410">
        <v>41905</v>
      </c>
      <c r="F4637" s="410">
        <v>41950</v>
      </c>
      <c r="G4637" s="405" t="s">
        <v>14074</v>
      </c>
      <c r="H4637" s="405">
        <v>706198747</v>
      </c>
      <c r="I4637" s="405">
        <v>783258695</v>
      </c>
      <c r="J4637" s="405">
        <v>0.742977</v>
      </c>
      <c r="K4637" s="405">
        <v>34.292428000000001</v>
      </c>
      <c r="L4637" s="405" t="s">
        <v>6866</v>
      </c>
      <c r="M4637" s="405" t="s">
        <v>9534</v>
      </c>
      <c r="N4637" s="405" t="s">
        <v>10201</v>
      </c>
      <c r="O4637" s="405" t="s">
        <v>12571</v>
      </c>
      <c r="P4637" s="405" t="s">
        <v>11777</v>
      </c>
      <c r="Q4637" s="411">
        <v>6</v>
      </c>
      <c r="R4637" s="405" t="s">
        <v>5655</v>
      </c>
      <c r="S4637" s="405" t="s">
        <v>27351</v>
      </c>
      <c r="T4637" s="405" t="s">
        <v>884</v>
      </c>
      <c r="U4637" s="405" t="s">
        <v>319</v>
      </c>
    </row>
    <row r="4638" spans="1:21" x14ac:dyDescent="0.25">
      <c r="A4638" s="405" t="s">
        <v>310</v>
      </c>
      <c r="B4638" s="405" t="s">
        <v>27542</v>
      </c>
      <c r="C4638" s="405" t="s">
        <v>327</v>
      </c>
      <c r="D4638" s="405"/>
      <c r="E4638" s="410">
        <v>41904</v>
      </c>
      <c r="F4638" s="410">
        <v>41949</v>
      </c>
      <c r="G4638" s="405" t="s">
        <v>14191</v>
      </c>
      <c r="H4638" s="405">
        <v>774327355</v>
      </c>
      <c r="I4638" s="405"/>
      <c r="J4638" s="405">
        <v>0.17330000000000001</v>
      </c>
      <c r="K4638" s="405">
        <v>32.275199999999998</v>
      </c>
      <c r="L4638" s="405" t="s">
        <v>6866</v>
      </c>
      <c r="M4638" s="405" t="s">
        <v>10495</v>
      </c>
      <c r="N4638" s="405" t="s">
        <v>11435</v>
      </c>
      <c r="O4638" s="405" t="s">
        <v>11435</v>
      </c>
      <c r="P4638" s="405" t="s">
        <v>14192</v>
      </c>
      <c r="Q4638" s="411">
        <v>6</v>
      </c>
      <c r="R4638" s="405" t="s">
        <v>5655</v>
      </c>
      <c r="S4638" s="405" t="s">
        <v>27345</v>
      </c>
      <c r="T4638" s="405" t="s">
        <v>865</v>
      </c>
      <c r="U4638" s="405" t="s">
        <v>866</v>
      </c>
    </row>
    <row r="4639" spans="1:21" x14ac:dyDescent="0.25">
      <c r="A4639" s="405" t="s">
        <v>310</v>
      </c>
      <c r="B4639" s="405" t="s">
        <v>14156</v>
      </c>
      <c r="C4639" s="405" t="s">
        <v>327</v>
      </c>
      <c r="D4639" s="405"/>
      <c r="E4639" s="410">
        <v>41904</v>
      </c>
      <c r="F4639" s="410">
        <v>41949</v>
      </c>
      <c r="G4639" s="405" t="s">
        <v>14157</v>
      </c>
      <c r="H4639" s="405">
        <v>782877755</v>
      </c>
      <c r="I4639" s="405"/>
      <c r="J4639" s="405">
        <v>0.729155</v>
      </c>
      <c r="K4639" s="405">
        <v>34.230381000000001</v>
      </c>
      <c r="L4639" s="405" t="s">
        <v>6866</v>
      </c>
      <c r="M4639" s="405" t="s">
        <v>9534</v>
      </c>
      <c r="N4639" s="405" t="s">
        <v>10201</v>
      </c>
      <c r="O4639" s="405" t="s">
        <v>12571</v>
      </c>
      <c r="P4639" s="405" t="s">
        <v>14158</v>
      </c>
      <c r="Q4639" s="411">
        <v>6</v>
      </c>
      <c r="R4639" s="405" t="s">
        <v>7224</v>
      </c>
      <c r="S4639" s="405" t="s">
        <v>27310</v>
      </c>
      <c r="T4639" s="405" t="s">
        <v>884</v>
      </c>
      <c r="U4639" s="405" t="s">
        <v>319</v>
      </c>
    </row>
    <row r="4640" spans="1:21" x14ac:dyDescent="0.25">
      <c r="A4640" s="405" t="s">
        <v>310</v>
      </c>
      <c r="B4640" s="405" t="s">
        <v>28779</v>
      </c>
      <c r="C4640" s="405" t="s">
        <v>857</v>
      </c>
      <c r="D4640" s="405" t="s">
        <v>33073</v>
      </c>
      <c r="E4640" s="410">
        <v>41904</v>
      </c>
      <c r="F4640" s="410">
        <v>41949</v>
      </c>
      <c r="G4640" s="405" t="s">
        <v>18911</v>
      </c>
      <c r="H4640" s="405">
        <v>755445530</v>
      </c>
      <c r="I4640" s="405"/>
      <c r="J4640" s="405">
        <v>2.2429600000000001</v>
      </c>
      <c r="K4640" s="405">
        <v>32.436858000000001</v>
      </c>
      <c r="L4640" s="405" t="s">
        <v>860</v>
      </c>
      <c r="M4640" s="405" t="s">
        <v>18368</v>
      </c>
      <c r="N4640" s="405" t="s">
        <v>18368</v>
      </c>
      <c r="O4640" s="405" t="s">
        <v>18368</v>
      </c>
      <c r="P4640" s="405" t="s">
        <v>18912</v>
      </c>
      <c r="Q4640" s="411">
        <v>6</v>
      </c>
      <c r="R4640" s="405" t="s">
        <v>5336</v>
      </c>
      <c r="S4640" s="405" t="s">
        <v>27243</v>
      </c>
      <c r="T4640" s="405" t="s">
        <v>865</v>
      </c>
      <c r="U4640" s="405" t="s">
        <v>866</v>
      </c>
    </row>
    <row r="4641" spans="1:21" x14ac:dyDescent="0.25">
      <c r="A4641" s="405" t="s">
        <v>310</v>
      </c>
      <c r="B4641" s="405" t="s">
        <v>14171</v>
      </c>
      <c r="C4641" s="405" t="s">
        <v>327</v>
      </c>
      <c r="D4641" s="405"/>
      <c r="E4641" s="410">
        <v>41902</v>
      </c>
      <c r="F4641" s="410">
        <v>41947</v>
      </c>
      <c r="G4641" s="405" t="s">
        <v>14172</v>
      </c>
      <c r="H4641" s="405">
        <v>775116046</v>
      </c>
      <c r="I4641" s="405"/>
      <c r="J4641" s="405">
        <v>0.98089300000000001</v>
      </c>
      <c r="K4641" s="405">
        <v>34.343691</v>
      </c>
      <c r="L4641" s="405" t="s">
        <v>6866</v>
      </c>
      <c r="M4641" s="405" t="s">
        <v>9763</v>
      </c>
      <c r="N4641" s="405" t="s">
        <v>9764</v>
      </c>
      <c r="O4641" s="405" t="s">
        <v>13721</v>
      </c>
      <c r="P4641" s="405" t="s">
        <v>14173</v>
      </c>
      <c r="Q4641" s="411">
        <v>6</v>
      </c>
      <c r="R4641" s="405" t="s">
        <v>7224</v>
      </c>
      <c r="S4641" s="405" t="s">
        <v>17013</v>
      </c>
      <c r="T4641" s="405" t="s">
        <v>865</v>
      </c>
      <c r="U4641" s="405" t="s">
        <v>866</v>
      </c>
    </row>
    <row r="4642" spans="1:21" x14ac:dyDescent="0.25">
      <c r="A4642" s="405" t="s">
        <v>310</v>
      </c>
      <c r="B4642" s="405" t="s">
        <v>14086</v>
      </c>
      <c r="C4642" s="405" t="s">
        <v>327</v>
      </c>
      <c r="D4642" s="405"/>
      <c r="E4642" s="410">
        <v>41902</v>
      </c>
      <c r="F4642" s="410">
        <v>41947</v>
      </c>
      <c r="G4642" s="405" t="s">
        <v>14087</v>
      </c>
      <c r="H4642" s="405">
        <v>787384989</v>
      </c>
      <c r="I4642" s="405"/>
      <c r="J4642" s="405">
        <v>1.147837</v>
      </c>
      <c r="K4642" s="405">
        <v>34.216014999999999</v>
      </c>
      <c r="L4642" s="405" t="s">
        <v>6866</v>
      </c>
      <c r="M4642" s="405" t="s">
        <v>9514</v>
      </c>
      <c r="N4642" s="405" t="s">
        <v>9529</v>
      </c>
      <c r="O4642" s="405" t="s">
        <v>9530</v>
      </c>
      <c r="P4642" s="405" t="s">
        <v>11507</v>
      </c>
      <c r="Q4642" s="411">
        <v>6</v>
      </c>
      <c r="R4642" s="405" t="s">
        <v>5655</v>
      </c>
      <c r="S4642" s="405" t="s">
        <v>27324</v>
      </c>
      <c r="T4642" s="405" t="s">
        <v>884</v>
      </c>
      <c r="U4642" s="405" t="s">
        <v>319</v>
      </c>
    </row>
    <row r="4643" spans="1:21" x14ac:dyDescent="0.25">
      <c r="A4643" s="405" t="s">
        <v>310</v>
      </c>
      <c r="B4643" s="405" t="s">
        <v>14185</v>
      </c>
      <c r="C4643" s="405" t="s">
        <v>327</v>
      </c>
      <c r="D4643" s="405"/>
      <c r="E4643" s="410">
        <v>41902</v>
      </c>
      <c r="F4643" s="410">
        <v>41947</v>
      </c>
      <c r="G4643" s="405" t="s">
        <v>14186</v>
      </c>
      <c r="H4643" s="405">
        <v>751511433</v>
      </c>
      <c r="I4643" s="405"/>
      <c r="J4643" s="405">
        <v>0.75168500000000005</v>
      </c>
      <c r="K4643" s="405">
        <v>33.898983999999999</v>
      </c>
      <c r="L4643" s="405" t="s">
        <v>6866</v>
      </c>
      <c r="M4643" s="405" t="s">
        <v>9566</v>
      </c>
      <c r="N4643" s="405" t="s">
        <v>9787</v>
      </c>
      <c r="O4643" s="405" t="s">
        <v>9788</v>
      </c>
      <c r="P4643" s="405" t="s">
        <v>13882</v>
      </c>
      <c r="Q4643" s="411">
        <v>6</v>
      </c>
      <c r="R4643" s="405" t="s">
        <v>5655</v>
      </c>
      <c r="S4643" s="405" t="s">
        <v>27318</v>
      </c>
      <c r="T4643" s="405" t="s">
        <v>884</v>
      </c>
      <c r="U4643" s="405" t="s">
        <v>319</v>
      </c>
    </row>
    <row r="4644" spans="1:21" x14ac:dyDescent="0.25">
      <c r="A4644" s="405" t="s">
        <v>310</v>
      </c>
      <c r="B4644" s="405" t="s">
        <v>28027</v>
      </c>
      <c r="C4644" s="405" t="s">
        <v>327</v>
      </c>
      <c r="D4644" s="405"/>
      <c r="E4644" s="410">
        <v>41901</v>
      </c>
      <c r="F4644" s="410">
        <v>41946</v>
      </c>
      <c r="G4644" s="405" t="s">
        <v>21802</v>
      </c>
      <c r="H4644" s="405">
        <v>772395861</v>
      </c>
      <c r="I4644" s="405"/>
      <c r="J4644" s="405">
        <v>-0.54200599999999999</v>
      </c>
      <c r="K4644" s="405">
        <v>30.280024999999998</v>
      </c>
      <c r="L4644" s="405" t="s">
        <v>590</v>
      </c>
      <c r="M4644" s="405" t="s">
        <v>19625</v>
      </c>
      <c r="N4644" s="405" t="s">
        <v>19642</v>
      </c>
      <c r="O4644" s="405" t="s">
        <v>20275</v>
      </c>
      <c r="P4644" s="405" t="s">
        <v>19926</v>
      </c>
      <c r="Q4644" s="411">
        <v>9</v>
      </c>
      <c r="R4644" s="405" t="s">
        <v>883</v>
      </c>
      <c r="S4644" s="405" t="s">
        <v>27096</v>
      </c>
      <c r="T4644" s="405" t="s">
        <v>32102</v>
      </c>
      <c r="U4644" s="405" t="s">
        <v>319</v>
      </c>
    </row>
    <row r="4645" spans="1:21" x14ac:dyDescent="0.25">
      <c r="A4645" s="405" t="s">
        <v>310</v>
      </c>
      <c r="B4645" s="405" t="s">
        <v>27725</v>
      </c>
      <c r="C4645" s="405" t="s">
        <v>327</v>
      </c>
      <c r="D4645" s="405"/>
      <c r="E4645" s="410">
        <v>41900</v>
      </c>
      <c r="F4645" s="410">
        <v>41945</v>
      </c>
      <c r="G4645" s="405" t="s">
        <v>14177</v>
      </c>
      <c r="H4645" s="405">
        <v>779374660</v>
      </c>
      <c r="I4645" s="405">
        <v>752485603</v>
      </c>
      <c r="J4645" s="405">
        <v>0.63821700000000003</v>
      </c>
      <c r="K4645" s="405">
        <v>34.105842000000003</v>
      </c>
      <c r="L4645" s="405" t="s">
        <v>6866</v>
      </c>
      <c r="M4645" s="405" t="s">
        <v>9534</v>
      </c>
      <c r="N4645" s="405" t="s">
        <v>10201</v>
      </c>
      <c r="O4645" s="405" t="s">
        <v>10202</v>
      </c>
      <c r="P4645" s="405" t="s">
        <v>14178</v>
      </c>
      <c r="Q4645" s="411">
        <v>6</v>
      </c>
      <c r="R4645" s="405" t="s">
        <v>7224</v>
      </c>
      <c r="S4645" s="405" t="s">
        <v>27259</v>
      </c>
      <c r="T4645" s="405" t="s">
        <v>884</v>
      </c>
      <c r="U4645" s="405" t="s">
        <v>319</v>
      </c>
    </row>
    <row r="4646" spans="1:21" x14ac:dyDescent="0.25">
      <c r="A4646" s="405" t="s">
        <v>310</v>
      </c>
      <c r="B4646" s="405" t="s">
        <v>14120</v>
      </c>
      <c r="C4646" s="405" t="s">
        <v>327</v>
      </c>
      <c r="D4646" s="405"/>
      <c r="E4646" s="410">
        <v>41900</v>
      </c>
      <c r="F4646" s="410">
        <v>41945</v>
      </c>
      <c r="G4646" s="405" t="s">
        <v>14121</v>
      </c>
      <c r="H4646" s="405">
        <v>753107099</v>
      </c>
      <c r="I4646" s="405"/>
      <c r="J4646" s="405">
        <v>0.76953000000000005</v>
      </c>
      <c r="K4646" s="405">
        <v>33.849744999999999</v>
      </c>
      <c r="L4646" s="405" t="s">
        <v>6866</v>
      </c>
      <c r="M4646" s="405" t="s">
        <v>9566</v>
      </c>
      <c r="N4646" s="405" t="s">
        <v>9787</v>
      </c>
      <c r="O4646" s="405" t="s">
        <v>13884</v>
      </c>
      <c r="P4646" s="405" t="s">
        <v>14080</v>
      </c>
      <c r="Q4646" s="411">
        <v>6</v>
      </c>
      <c r="R4646" s="405" t="s">
        <v>5655</v>
      </c>
      <c r="S4646" s="405" t="s">
        <v>27072</v>
      </c>
      <c r="T4646" s="405" t="s">
        <v>32102</v>
      </c>
      <c r="U4646" s="405" t="s">
        <v>319</v>
      </c>
    </row>
    <row r="4647" spans="1:21" x14ac:dyDescent="0.25">
      <c r="A4647" s="405" t="s">
        <v>310</v>
      </c>
      <c r="B4647" s="405" t="s">
        <v>28883</v>
      </c>
      <c r="C4647" s="405" t="s">
        <v>327</v>
      </c>
      <c r="D4647" s="405"/>
      <c r="E4647" s="410">
        <v>41898</v>
      </c>
      <c r="F4647" s="410">
        <v>41943</v>
      </c>
      <c r="G4647" s="405" t="s">
        <v>13980</v>
      </c>
      <c r="H4647" s="405">
        <v>782109240</v>
      </c>
      <c r="I4647" s="405"/>
      <c r="J4647" s="405">
        <v>1.1049150000000001</v>
      </c>
      <c r="K4647" s="405">
        <v>34.211778000000002</v>
      </c>
      <c r="L4647" s="405" t="s">
        <v>6866</v>
      </c>
      <c r="M4647" s="405" t="s">
        <v>9514</v>
      </c>
      <c r="N4647" s="405" t="s">
        <v>9529</v>
      </c>
      <c r="O4647" s="405" t="s">
        <v>9530</v>
      </c>
      <c r="P4647" s="405" t="s">
        <v>13529</v>
      </c>
      <c r="Q4647" s="411">
        <v>6</v>
      </c>
      <c r="R4647" s="405" t="s">
        <v>7224</v>
      </c>
      <c r="S4647" s="405" t="s">
        <v>27067</v>
      </c>
      <c r="T4647" s="405" t="s">
        <v>32102</v>
      </c>
      <c r="U4647" s="405" t="s">
        <v>319</v>
      </c>
    </row>
    <row r="4648" spans="1:21" x14ac:dyDescent="0.25">
      <c r="A4648" s="405" t="s">
        <v>310</v>
      </c>
      <c r="B4648" s="405" t="s">
        <v>27829</v>
      </c>
      <c r="C4648" s="405" t="s">
        <v>327</v>
      </c>
      <c r="D4648" s="405"/>
      <c r="E4648" s="410">
        <v>41898</v>
      </c>
      <c r="F4648" s="410">
        <v>41943</v>
      </c>
      <c r="G4648" s="405" t="s">
        <v>14066</v>
      </c>
      <c r="H4648" s="405">
        <v>785185603</v>
      </c>
      <c r="I4648" s="405"/>
      <c r="J4648" s="405">
        <v>0.78208999999999995</v>
      </c>
      <c r="K4648" s="405">
        <v>33.833415000000002</v>
      </c>
      <c r="L4648" s="405" t="s">
        <v>6866</v>
      </c>
      <c r="M4648" s="405" t="s">
        <v>9566</v>
      </c>
      <c r="N4648" s="405" t="s">
        <v>13884</v>
      </c>
      <c r="O4648" s="405" t="s">
        <v>13884</v>
      </c>
      <c r="P4648" s="405" t="s">
        <v>14004</v>
      </c>
      <c r="Q4648" s="411">
        <v>6</v>
      </c>
      <c r="R4648" s="405" t="s">
        <v>5655</v>
      </c>
      <c r="S4648" s="405" t="s">
        <v>27056</v>
      </c>
      <c r="T4648" s="405" t="s">
        <v>884</v>
      </c>
      <c r="U4648" s="405" t="s">
        <v>319</v>
      </c>
    </row>
    <row r="4649" spans="1:21" x14ac:dyDescent="0.25">
      <c r="A4649" s="405" t="s">
        <v>310</v>
      </c>
      <c r="B4649" s="405" t="s">
        <v>13997</v>
      </c>
      <c r="C4649" s="405" t="s">
        <v>327</v>
      </c>
      <c r="D4649" s="405"/>
      <c r="E4649" s="410">
        <v>41898</v>
      </c>
      <c r="F4649" s="410">
        <v>41943</v>
      </c>
      <c r="G4649" s="405" t="s">
        <v>13998</v>
      </c>
      <c r="H4649" s="405">
        <v>754311123</v>
      </c>
      <c r="I4649" s="405"/>
      <c r="J4649" s="405">
        <v>0.75665099999999996</v>
      </c>
      <c r="K4649" s="405">
        <v>33.879438999999998</v>
      </c>
      <c r="L4649" s="405" t="s">
        <v>6866</v>
      </c>
      <c r="M4649" s="405" t="s">
        <v>9566</v>
      </c>
      <c r="N4649" s="405" t="s">
        <v>9787</v>
      </c>
      <c r="O4649" s="405" t="s">
        <v>9788</v>
      </c>
      <c r="P4649" s="405" t="s">
        <v>13999</v>
      </c>
      <c r="Q4649" s="411">
        <v>6</v>
      </c>
      <c r="R4649" s="405" t="s">
        <v>5655</v>
      </c>
      <c r="S4649" s="405" t="s">
        <v>27335</v>
      </c>
      <c r="T4649" s="405" t="s">
        <v>32102</v>
      </c>
      <c r="U4649" s="405" t="s">
        <v>319</v>
      </c>
    </row>
    <row r="4650" spans="1:21" x14ac:dyDescent="0.25">
      <c r="A4650" s="405" t="s">
        <v>310</v>
      </c>
      <c r="B4650" s="405" t="s">
        <v>5347</v>
      </c>
      <c r="C4650" s="405" t="s">
        <v>327</v>
      </c>
      <c r="D4650" s="405"/>
      <c r="E4650" s="410">
        <v>41898</v>
      </c>
      <c r="F4650" s="410">
        <v>41943</v>
      </c>
      <c r="G4650" s="405" t="s">
        <v>5348</v>
      </c>
      <c r="H4650" s="405">
        <v>751974834</v>
      </c>
      <c r="I4650" s="405">
        <v>751965061</v>
      </c>
      <c r="J4650" s="405">
        <v>-0.35399720000000001</v>
      </c>
      <c r="K4650" s="405">
        <v>31.729342200000001</v>
      </c>
      <c r="L4650" s="405" t="s">
        <v>314</v>
      </c>
      <c r="M4650" s="405" t="s">
        <v>382</v>
      </c>
      <c r="N4650" s="405" t="s">
        <v>988</v>
      </c>
      <c r="O4650" s="405" t="s">
        <v>3690</v>
      </c>
      <c r="P4650" s="405" t="s">
        <v>5349</v>
      </c>
      <c r="Q4650" s="411">
        <v>6</v>
      </c>
      <c r="R4650" s="405" t="s">
        <v>402</v>
      </c>
      <c r="S4650" s="405" t="s">
        <v>27186</v>
      </c>
      <c r="T4650" s="405" t="s">
        <v>865</v>
      </c>
      <c r="U4650" s="405" t="s">
        <v>866</v>
      </c>
    </row>
    <row r="4651" spans="1:21" x14ac:dyDescent="0.25">
      <c r="A4651" s="405" t="s">
        <v>310</v>
      </c>
      <c r="B4651" s="405" t="s">
        <v>14048</v>
      </c>
      <c r="C4651" s="405" t="s">
        <v>327</v>
      </c>
      <c r="D4651" s="405"/>
      <c r="E4651" s="410">
        <v>41898</v>
      </c>
      <c r="F4651" s="410">
        <v>41943</v>
      </c>
      <c r="G4651" s="405" t="s">
        <v>14049</v>
      </c>
      <c r="H4651" s="405">
        <v>785799417</v>
      </c>
      <c r="I4651" s="405"/>
      <c r="J4651" s="405">
        <v>0.63830799999999999</v>
      </c>
      <c r="K4651" s="405">
        <v>34.179932000000001</v>
      </c>
      <c r="L4651" s="405" t="s">
        <v>6866</v>
      </c>
      <c r="M4651" s="405" t="s">
        <v>9534</v>
      </c>
      <c r="N4651" s="405" t="s">
        <v>14050</v>
      </c>
      <c r="O4651" s="405" t="s">
        <v>14050</v>
      </c>
      <c r="P4651" s="405" t="s">
        <v>13984</v>
      </c>
      <c r="Q4651" s="411">
        <v>6</v>
      </c>
      <c r="R4651" s="405" t="s">
        <v>7224</v>
      </c>
      <c r="S4651" s="405" t="s">
        <v>27310</v>
      </c>
      <c r="T4651" s="405" t="s">
        <v>884</v>
      </c>
      <c r="U4651" s="405" t="s">
        <v>319</v>
      </c>
    </row>
    <row r="4652" spans="1:21" x14ac:dyDescent="0.25">
      <c r="A4652" s="405" t="s">
        <v>310</v>
      </c>
      <c r="B4652" s="405" t="s">
        <v>27740</v>
      </c>
      <c r="C4652" s="405" t="s">
        <v>327</v>
      </c>
      <c r="D4652" s="405"/>
      <c r="E4652" s="410">
        <v>41897</v>
      </c>
      <c r="F4652" s="410">
        <v>41942</v>
      </c>
      <c r="G4652" s="405" t="s">
        <v>13983</v>
      </c>
      <c r="H4652" s="405">
        <v>772624130</v>
      </c>
      <c r="I4652" s="405">
        <v>752033052</v>
      </c>
      <c r="J4652" s="405">
        <v>0.63829800000000003</v>
      </c>
      <c r="K4652" s="405">
        <v>34.179991000000001</v>
      </c>
      <c r="L4652" s="405" t="s">
        <v>6866</v>
      </c>
      <c r="M4652" s="405" t="s">
        <v>9534</v>
      </c>
      <c r="N4652" s="405" t="s">
        <v>10201</v>
      </c>
      <c r="O4652" s="405" t="s">
        <v>10202</v>
      </c>
      <c r="P4652" s="405" t="s">
        <v>13984</v>
      </c>
      <c r="Q4652" s="411">
        <v>6</v>
      </c>
      <c r="R4652" s="405" t="s">
        <v>7224</v>
      </c>
      <c r="S4652" s="405" t="s">
        <v>27310</v>
      </c>
      <c r="T4652" s="405" t="s">
        <v>865</v>
      </c>
      <c r="U4652" s="405" t="s">
        <v>866</v>
      </c>
    </row>
    <row r="4653" spans="1:21" x14ac:dyDescent="0.25">
      <c r="A4653" s="405" t="s">
        <v>310</v>
      </c>
      <c r="B4653" s="405" t="s">
        <v>14061</v>
      </c>
      <c r="C4653" s="405" t="s">
        <v>327</v>
      </c>
      <c r="D4653" s="405"/>
      <c r="E4653" s="410">
        <v>41897</v>
      </c>
      <c r="F4653" s="410">
        <v>41942</v>
      </c>
      <c r="G4653" s="405" t="s">
        <v>14062</v>
      </c>
      <c r="H4653" s="405">
        <v>751849126</v>
      </c>
      <c r="I4653" s="405"/>
      <c r="J4653" s="405">
        <v>0.77432800000000002</v>
      </c>
      <c r="K4653" s="405">
        <v>33.877929999999999</v>
      </c>
      <c r="L4653" s="405" t="s">
        <v>6866</v>
      </c>
      <c r="M4653" s="405" t="s">
        <v>9566</v>
      </c>
      <c r="N4653" s="405" t="s">
        <v>9787</v>
      </c>
      <c r="O4653" s="405" t="s">
        <v>9788</v>
      </c>
      <c r="P4653" s="405" t="s">
        <v>14063</v>
      </c>
      <c r="Q4653" s="411">
        <v>6</v>
      </c>
      <c r="R4653" s="405" t="s">
        <v>5655</v>
      </c>
      <c r="S4653" s="405" t="s">
        <v>27190</v>
      </c>
      <c r="T4653" s="405" t="s">
        <v>865</v>
      </c>
      <c r="U4653" s="405" t="s">
        <v>866</v>
      </c>
    </row>
    <row r="4654" spans="1:21" x14ac:dyDescent="0.25">
      <c r="A4654" s="405" t="s">
        <v>310</v>
      </c>
      <c r="B4654" s="405" t="s">
        <v>28355</v>
      </c>
      <c r="C4654" s="405" t="s">
        <v>327</v>
      </c>
      <c r="D4654" s="405"/>
      <c r="E4654" s="410">
        <v>41897</v>
      </c>
      <c r="F4654" s="410">
        <v>41942</v>
      </c>
      <c r="G4654" s="405" t="s">
        <v>14068</v>
      </c>
      <c r="H4654" s="405">
        <v>774416372</v>
      </c>
      <c r="I4654" s="405"/>
      <c r="J4654" s="405">
        <v>0.77432800000000002</v>
      </c>
      <c r="K4654" s="405">
        <v>33.877929999999999</v>
      </c>
      <c r="L4654" s="405" t="s">
        <v>6866</v>
      </c>
      <c r="M4654" s="405" t="s">
        <v>9566</v>
      </c>
      <c r="N4654" s="405" t="s">
        <v>9788</v>
      </c>
      <c r="O4654" s="405" t="s">
        <v>9788</v>
      </c>
      <c r="P4654" s="405" t="s">
        <v>14069</v>
      </c>
      <c r="Q4654" s="411">
        <v>6</v>
      </c>
      <c r="R4654" s="405" t="s">
        <v>5655</v>
      </c>
      <c r="S4654" s="405" t="s">
        <v>27190</v>
      </c>
      <c r="T4654" s="405" t="s">
        <v>884</v>
      </c>
      <c r="U4654" s="405" t="s">
        <v>319</v>
      </c>
    </row>
    <row r="4655" spans="1:21" x14ac:dyDescent="0.25">
      <c r="A4655" s="405" t="s">
        <v>310</v>
      </c>
      <c r="B4655" s="405" t="s">
        <v>13985</v>
      </c>
      <c r="C4655" s="405" t="s">
        <v>327</v>
      </c>
      <c r="D4655" s="405"/>
      <c r="E4655" s="410">
        <v>41897</v>
      </c>
      <c r="F4655" s="410">
        <v>41942</v>
      </c>
      <c r="G4655" s="405" t="s">
        <v>13986</v>
      </c>
      <c r="H4655" s="405">
        <v>773306584</v>
      </c>
      <c r="I4655" s="405"/>
      <c r="J4655" s="405">
        <v>0.62382499999999996</v>
      </c>
      <c r="K4655" s="405">
        <v>34.178856000000003</v>
      </c>
      <c r="L4655" s="405" t="s">
        <v>6866</v>
      </c>
      <c r="M4655" s="405" t="s">
        <v>9534</v>
      </c>
      <c r="N4655" s="405" t="s">
        <v>10201</v>
      </c>
      <c r="O4655" s="405" t="s">
        <v>10202</v>
      </c>
      <c r="P4655" s="405" t="s">
        <v>13987</v>
      </c>
      <c r="Q4655" s="411">
        <v>6</v>
      </c>
      <c r="R4655" s="405" t="s">
        <v>7224</v>
      </c>
      <c r="S4655" s="405" t="s">
        <v>27302</v>
      </c>
      <c r="T4655" s="405" t="s">
        <v>865</v>
      </c>
      <c r="U4655" s="405" t="s">
        <v>866</v>
      </c>
    </row>
    <row r="4656" spans="1:21" x14ac:dyDescent="0.25">
      <c r="A4656" s="405" t="s">
        <v>310</v>
      </c>
      <c r="B4656" s="405" t="s">
        <v>13967</v>
      </c>
      <c r="C4656" s="405" t="s">
        <v>327</v>
      </c>
      <c r="D4656" s="405"/>
      <c r="E4656" s="410">
        <v>41897</v>
      </c>
      <c r="F4656" s="410">
        <v>41942</v>
      </c>
      <c r="G4656" s="405" t="s">
        <v>13968</v>
      </c>
      <c r="H4656" s="405">
        <v>779396486</v>
      </c>
      <c r="I4656" s="405"/>
      <c r="J4656" s="405">
        <v>0.65923299999999996</v>
      </c>
      <c r="K4656" s="405">
        <v>34.176661000000003</v>
      </c>
      <c r="L4656" s="405" t="s">
        <v>6866</v>
      </c>
      <c r="M4656" s="405" t="s">
        <v>9534</v>
      </c>
      <c r="N4656" s="405" t="s">
        <v>10201</v>
      </c>
      <c r="O4656" s="405" t="s">
        <v>10202</v>
      </c>
      <c r="P4656" s="405" t="s">
        <v>13969</v>
      </c>
      <c r="Q4656" s="411">
        <v>6</v>
      </c>
      <c r="R4656" s="405" t="s">
        <v>7224</v>
      </c>
      <c r="S4656" s="405" t="s">
        <v>27204</v>
      </c>
      <c r="T4656" s="405" t="s">
        <v>884</v>
      </c>
      <c r="U4656" s="405" t="s">
        <v>319</v>
      </c>
    </row>
    <row r="4657" spans="1:21" x14ac:dyDescent="0.25">
      <c r="A4657" s="405" t="s">
        <v>310</v>
      </c>
      <c r="B4657" s="405" t="s">
        <v>14040</v>
      </c>
      <c r="C4657" s="405" t="s">
        <v>327</v>
      </c>
      <c r="D4657" s="405"/>
      <c r="E4657" s="410">
        <v>41897</v>
      </c>
      <c r="F4657" s="410">
        <v>41942</v>
      </c>
      <c r="G4657" s="405" t="s">
        <v>14041</v>
      </c>
      <c r="H4657" s="405">
        <v>752631361</v>
      </c>
      <c r="I4657" s="405">
        <v>781597016</v>
      </c>
      <c r="J4657" s="405">
        <v>0.76099499999999998</v>
      </c>
      <c r="K4657" s="405">
        <v>33.827922000000001</v>
      </c>
      <c r="L4657" s="405" t="s">
        <v>6866</v>
      </c>
      <c r="M4657" s="405" t="s">
        <v>9566</v>
      </c>
      <c r="N4657" s="405" t="s">
        <v>9787</v>
      </c>
      <c r="O4657" s="405" t="s">
        <v>13884</v>
      </c>
      <c r="P4657" s="405" t="s">
        <v>14004</v>
      </c>
      <c r="Q4657" s="411">
        <v>6</v>
      </c>
      <c r="R4657" s="405" t="s">
        <v>5655</v>
      </c>
      <c r="S4657" s="405" t="s">
        <v>27056</v>
      </c>
      <c r="T4657" s="405" t="s">
        <v>865</v>
      </c>
      <c r="U4657" s="405" t="s">
        <v>866</v>
      </c>
    </row>
    <row r="4658" spans="1:21" x14ac:dyDescent="0.25">
      <c r="A4658" s="405" t="s">
        <v>310</v>
      </c>
      <c r="B4658" s="405" t="s">
        <v>27844</v>
      </c>
      <c r="C4658" s="405" t="s">
        <v>327</v>
      </c>
      <c r="D4658" s="405"/>
      <c r="E4658" s="410">
        <v>41896</v>
      </c>
      <c r="F4658" s="410">
        <v>41941</v>
      </c>
      <c r="G4658" s="405" t="s">
        <v>14067</v>
      </c>
      <c r="H4658" s="405">
        <v>752564552</v>
      </c>
      <c r="I4658" s="405"/>
      <c r="J4658" s="405">
        <v>0.75802000000000003</v>
      </c>
      <c r="K4658" s="405">
        <v>33.844363000000001</v>
      </c>
      <c r="L4658" s="405" t="s">
        <v>6866</v>
      </c>
      <c r="M4658" s="405" t="s">
        <v>9566</v>
      </c>
      <c r="N4658" s="405" t="s">
        <v>13884</v>
      </c>
      <c r="O4658" s="405" t="s">
        <v>13884</v>
      </c>
      <c r="P4658" s="405" t="s">
        <v>523</v>
      </c>
      <c r="Q4658" s="411">
        <v>6</v>
      </c>
      <c r="R4658" s="405" t="s">
        <v>5655</v>
      </c>
      <c r="S4658" s="405" t="s">
        <v>27072</v>
      </c>
      <c r="T4658" s="405" t="s">
        <v>865</v>
      </c>
      <c r="U4658" s="405" t="s">
        <v>866</v>
      </c>
    </row>
    <row r="4659" spans="1:21" x14ac:dyDescent="0.25">
      <c r="A4659" s="405" t="s">
        <v>310</v>
      </c>
      <c r="B4659" s="405" t="s">
        <v>21792</v>
      </c>
      <c r="C4659" s="405" t="s">
        <v>327</v>
      </c>
      <c r="D4659" s="405"/>
      <c r="E4659" s="410">
        <v>41896</v>
      </c>
      <c r="F4659" s="410">
        <v>41941</v>
      </c>
      <c r="G4659" s="405" t="s">
        <v>21793</v>
      </c>
      <c r="H4659" s="405">
        <v>782441382</v>
      </c>
      <c r="I4659" s="405"/>
      <c r="J4659" s="405">
        <v>-0.80594500000000002</v>
      </c>
      <c r="K4659" s="405">
        <v>30.139627000000001</v>
      </c>
      <c r="L4659" s="405" t="s">
        <v>590</v>
      </c>
      <c r="M4659" s="405" t="s">
        <v>19659</v>
      </c>
      <c r="N4659" s="405" t="s">
        <v>19826</v>
      </c>
      <c r="O4659" s="405" t="s">
        <v>19826</v>
      </c>
      <c r="P4659" s="405" t="s">
        <v>1067</v>
      </c>
      <c r="Q4659" s="411">
        <v>6</v>
      </c>
      <c r="R4659" s="405" t="s">
        <v>6572</v>
      </c>
      <c r="S4659" s="405" t="s">
        <v>27394</v>
      </c>
      <c r="T4659" s="405" t="s">
        <v>884</v>
      </c>
      <c r="U4659" s="405" t="s">
        <v>319</v>
      </c>
    </row>
    <row r="4660" spans="1:21" x14ac:dyDescent="0.25">
      <c r="A4660" s="405" t="s">
        <v>310</v>
      </c>
      <c r="B4660" s="405" t="s">
        <v>14042</v>
      </c>
      <c r="C4660" s="405" t="s">
        <v>327</v>
      </c>
      <c r="D4660" s="405"/>
      <c r="E4660" s="410">
        <v>41896</v>
      </c>
      <c r="F4660" s="410">
        <v>41941</v>
      </c>
      <c r="G4660" s="405" t="s">
        <v>14043</v>
      </c>
      <c r="H4660" s="405">
        <v>753624803</v>
      </c>
      <c r="I4660" s="405"/>
      <c r="J4660" s="405">
        <v>1.0504599999999999</v>
      </c>
      <c r="K4660" s="405">
        <v>34.153312999999997</v>
      </c>
      <c r="L4660" s="405" t="s">
        <v>6866</v>
      </c>
      <c r="M4660" s="405" t="s">
        <v>9514</v>
      </c>
      <c r="N4660" s="405" t="s">
        <v>9616</v>
      </c>
      <c r="O4660" s="405" t="s">
        <v>9780</v>
      </c>
      <c r="P4660" s="405" t="s">
        <v>14044</v>
      </c>
      <c r="Q4660" s="411">
        <v>6</v>
      </c>
      <c r="R4660" s="405" t="s">
        <v>6871</v>
      </c>
      <c r="S4660" s="405" t="s">
        <v>27306</v>
      </c>
      <c r="T4660" s="405" t="s">
        <v>32102</v>
      </c>
      <c r="U4660" s="405" t="s">
        <v>319</v>
      </c>
    </row>
    <row r="4661" spans="1:21" x14ac:dyDescent="0.25">
      <c r="A4661" s="405" t="s">
        <v>310</v>
      </c>
      <c r="B4661" s="405" t="s">
        <v>14051</v>
      </c>
      <c r="C4661" s="405" t="s">
        <v>327</v>
      </c>
      <c r="D4661" s="405"/>
      <c r="E4661" s="410">
        <v>41895</v>
      </c>
      <c r="F4661" s="410">
        <v>41940</v>
      </c>
      <c r="G4661" s="405" t="s">
        <v>14052</v>
      </c>
      <c r="H4661" s="405">
        <v>777184654</v>
      </c>
      <c r="I4661" s="405"/>
      <c r="J4661" s="405">
        <v>0.98120799999999997</v>
      </c>
      <c r="K4661" s="405">
        <v>34.341855000000002</v>
      </c>
      <c r="L4661" s="405" t="s">
        <v>6866</v>
      </c>
      <c r="M4661" s="405" t="s">
        <v>9763</v>
      </c>
      <c r="N4661" s="405" t="s">
        <v>9764</v>
      </c>
      <c r="O4661" s="405" t="s">
        <v>13721</v>
      </c>
      <c r="P4661" s="405" t="s">
        <v>14053</v>
      </c>
      <c r="Q4661" s="411">
        <v>6</v>
      </c>
      <c r="R4661" s="405" t="s">
        <v>7224</v>
      </c>
      <c r="S4661" s="405" t="s">
        <v>17013</v>
      </c>
      <c r="T4661" s="405" t="s">
        <v>865</v>
      </c>
      <c r="U4661" s="405" t="s">
        <v>866</v>
      </c>
    </row>
    <row r="4662" spans="1:21" x14ac:dyDescent="0.25">
      <c r="A4662" s="405" t="s">
        <v>310</v>
      </c>
      <c r="B4662" s="405" t="s">
        <v>27899</v>
      </c>
      <c r="C4662" s="405" t="s">
        <v>327</v>
      </c>
      <c r="D4662" s="405"/>
      <c r="E4662" s="410">
        <v>41893</v>
      </c>
      <c r="F4662" s="410">
        <v>41938</v>
      </c>
      <c r="G4662" s="405" t="s">
        <v>21801</v>
      </c>
      <c r="H4662" s="405">
        <v>783999899</v>
      </c>
      <c r="I4662" s="405"/>
      <c r="J4662" s="405">
        <v>0.50613300000000006</v>
      </c>
      <c r="K4662" s="405">
        <v>30.576833000000001</v>
      </c>
      <c r="L4662" s="405" t="s">
        <v>590</v>
      </c>
      <c r="M4662" s="405" t="s">
        <v>19614</v>
      </c>
      <c r="N4662" s="405" t="s">
        <v>20063</v>
      </c>
      <c r="O4662" s="405" t="s">
        <v>20063</v>
      </c>
      <c r="P4662" s="405" t="s">
        <v>21105</v>
      </c>
      <c r="Q4662" s="411">
        <v>13</v>
      </c>
      <c r="R4662" s="405" t="s">
        <v>883</v>
      </c>
      <c r="S4662" s="405" t="s">
        <v>27096</v>
      </c>
      <c r="T4662" s="405" t="s">
        <v>884</v>
      </c>
      <c r="U4662" s="405" t="s">
        <v>319</v>
      </c>
    </row>
    <row r="4663" spans="1:21" x14ac:dyDescent="0.25">
      <c r="A4663" s="405" t="s">
        <v>310</v>
      </c>
      <c r="B4663" s="405" t="s">
        <v>13995</v>
      </c>
      <c r="C4663" s="405" t="s">
        <v>327</v>
      </c>
      <c r="D4663" s="405"/>
      <c r="E4663" s="410">
        <v>41893</v>
      </c>
      <c r="F4663" s="410">
        <v>41938</v>
      </c>
      <c r="G4663" s="405" t="s">
        <v>13996</v>
      </c>
      <c r="H4663" s="405">
        <v>787774100</v>
      </c>
      <c r="I4663" s="405">
        <v>758018316</v>
      </c>
      <c r="J4663" s="405">
        <v>0.74981200000000003</v>
      </c>
      <c r="K4663" s="405">
        <v>33.896580999999998</v>
      </c>
      <c r="L4663" s="405" t="s">
        <v>6866</v>
      </c>
      <c r="M4663" s="405" t="s">
        <v>9566</v>
      </c>
      <c r="N4663" s="405" t="s">
        <v>9787</v>
      </c>
      <c r="O4663" s="405" t="s">
        <v>9788</v>
      </c>
      <c r="P4663" s="405" t="s">
        <v>13882</v>
      </c>
      <c r="Q4663" s="411">
        <v>6</v>
      </c>
      <c r="R4663" s="405" t="s">
        <v>5655</v>
      </c>
      <c r="S4663" s="405" t="s">
        <v>27335</v>
      </c>
      <c r="T4663" s="405" t="s">
        <v>884</v>
      </c>
      <c r="U4663" s="405" t="s">
        <v>319</v>
      </c>
    </row>
    <row r="4664" spans="1:21" x14ac:dyDescent="0.25">
      <c r="A4664" s="405" t="s">
        <v>310</v>
      </c>
      <c r="B4664" s="405" t="s">
        <v>27738</v>
      </c>
      <c r="C4664" s="405" t="s">
        <v>311</v>
      </c>
      <c r="D4664" s="405" t="s">
        <v>14429</v>
      </c>
      <c r="E4664" s="410">
        <v>41893</v>
      </c>
      <c r="F4664" s="410">
        <v>41938</v>
      </c>
      <c r="G4664" s="405" t="s">
        <v>14430</v>
      </c>
      <c r="H4664" s="405">
        <v>775045933</v>
      </c>
      <c r="I4664" s="405"/>
      <c r="J4664" s="405">
        <v>0.2321</v>
      </c>
      <c r="K4664" s="405">
        <v>32.356000000000002</v>
      </c>
      <c r="L4664" s="405" t="s">
        <v>6866</v>
      </c>
      <c r="M4664" s="405" t="s">
        <v>10495</v>
      </c>
      <c r="N4664" s="405" t="s">
        <v>11435</v>
      </c>
      <c r="O4664" s="405" t="s">
        <v>11435</v>
      </c>
      <c r="P4664" s="405" t="s">
        <v>14431</v>
      </c>
      <c r="Q4664" s="411">
        <v>6</v>
      </c>
      <c r="R4664" s="405" t="s">
        <v>5655</v>
      </c>
      <c r="S4664" s="405" t="s">
        <v>27345</v>
      </c>
      <c r="T4664" s="405" t="s">
        <v>884</v>
      </c>
      <c r="U4664" s="405" t="s">
        <v>319</v>
      </c>
    </row>
    <row r="4665" spans="1:21" x14ac:dyDescent="0.25">
      <c r="A4665" s="405" t="s">
        <v>310</v>
      </c>
      <c r="B4665" s="405" t="s">
        <v>14027</v>
      </c>
      <c r="C4665" s="405" t="s">
        <v>857</v>
      </c>
      <c r="D4665" s="405" t="s">
        <v>32761</v>
      </c>
      <c r="E4665" s="410">
        <v>41892</v>
      </c>
      <c r="F4665" s="410">
        <v>41937</v>
      </c>
      <c r="G4665" s="405" t="s">
        <v>14028</v>
      </c>
      <c r="H4665" s="405">
        <v>781536488</v>
      </c>
      <c r="I4665" s="405"/>
      <c r="J4665" s="405">
        <v>1.940798</v>
      </c>
      <c r="K4665" s="405">
        <v>33.704999999999998</v>
      </c>
      <c r="L4665" s="405" t="s">
        <v>6866</v>
      </c>
      <c r="M4665" s="405" t="s">
        <v>10495</v>
      </c>
      <c r="N4665" s="405" t="s">
        <v>10495</v>
      </c>
      <c r="O4665" s="405" t="s">
        <v>11435</v>
      </c>
      <c r="P4665" s="405" t="s">
        <v>14026</v>
      </c>
      <c r="Q4665" s="411">
        <v>6</v>
      </c>
      <c r="R4665" s="405" t="s">
        <v>5655</v>
      </c>
      <c r="S4665" s="405" t="s">
        <v>27345</v>
      </c>
      <c r="T4665" s="405" t="s">
        <v>884</v>
      </c>
      <c r="U4665" s="405" t="s">
        <v>319</v>
      </c>
    </row>
    <row r="4666" spans="1:21" x14ac:dyDescent="0.25">
      <c r="A4666" s="405" t="s">
        <v>310</v>
      </c>
      <c r="B4666" s="405" t="s">
        <v>14055</v>
      </c>
      <c r="C4666" s="405" t="s">
        <v>327</v>
      </c>
      <c r="D4666" s="405"/>
      <c r="E4666" s="410">
        <v>41892</v>
      </c>
      <c r="F4666" s="410">
        <v>41937</v>
      </c>
      <c r="G4666" s="405" t="s">
        <v>14056</v>
      </c>
      <c r="H4666" s="405">
        <v>753312560</v>
      </c>
      <c r="I4666" s="405"/>
      <c r="J4666" s="405">
        <v>0.78109799999999996</v>
      </c>
      <c r="K4666" s="405">
        <v>33.902121000000001</v>
      </c>
      <c r="L4666" s="405" t="s">
        <v>6866</v>
      </c>
      <c r="M4666" s="405" t="s">
        <v>9566</v>
      </c>
      <c r="N4666" s="405" t="s">
        <v>9787</v>
      </c>
      <c r="O4666" s="405" t="s">
        <v>9788</v>
      </c>
      <c r="P4666" s="405" t="s">
        <v>14057</v>
      </c>
      <c r="Q4666" s="411">
        <v>6</v>
      </c>
      <c r="R4666" s="405" t="s">
        <v>5655</v>
      </c>
      <c r="S4666" s="405" t="s">
        <v>27318</v>
      </c>
      <c r="T4666" s="405" t="s">
        <v>884</v>
      </c>
      <c r="U4666" s="405" t="s">
        <v>319</v>
      </c>
    </row>
    <row r="4667" spans="1:21" x14ac:dyDescent="0.25">
      <c r="A4667" s="405" t="s">
        <v>310</v>
      </c>
      <c r="B4667" s="405" t="s">
        <v>28745</v>
      </c>
      <c r="C4667" s="405" t="s">
        <v>327</v>
      </c>
      <c r="D4667" s="405"/>
      <c r="E4667" s="410">
        <v>41892</v>
      </c>
      <c r="F4667" s="410">
        <v>41937</v>
      </c>
      <c r="G4667" s="405" t="s">
        <v>13973</v>
      </c>
      <c r="H4667" s="405">
        <v>779971507</v>
      </c>
      <c r="I4667" s="405"/>
      <c r="J4667" s="405">
        <v>1.13008</v>
      </c>
      <c r="K4667" s="405">
        <v>34.227697999999997</v>
      </c>
      <c r="L4667" s="405" t="s">
        <v>6866</v>
      </c>
      <c r="M4667" s="405" t="s">
        <v>9514</v>
      </c>
      <c r="N4667" s="405" t="s">
        <v>9529</v>
      </c>
      <c r="O4667" s="405" t="s">
        <v>9530</v>
      </c>
      <c r="P4667" s="405" t="s">
        <v>13611</v>
      </c>
      <c r="Q4667" s="411">
        <v>6</v>
      </c>
      <c r="R4667" s="405" t="s">
        <v>7224</v>
      </c>
      <c r="S4667" s="405" t="s">
        <v>27142</v>
      </c>
      <c r="T4667" s="405" t="s">
        <v>884</v>
      </c>
      <c r="U4667" s="405" t="s">
        <v>319</v>
      </c>
    </row>
    <row r="4668" spans="1:21" x14ac:dyDescent="0.25">
      <c r="A4668" s="405" t="s">
        <v>310</v>
      </c>
      <c r="B4668" s="405" t="s">
        <v>28582</v>
      </c>
      <c r="C4668" s="405" t="s">
        <v>327</v>
      </c>
      <c r="D4668" s="405"/>
      <c r="E4668" s="410">
        <v>41891</v>
      </c>
      <c r="F4668" s="410">
        <v>41936</v>
      </c>
      <c r="G4668" s="405" t="s">
        <v>14000</v>
      </c>
      <c r="H4668" s="405">
        <v>779404329</v>
      </c>
      <c r="I4668" s="405"/>
      <c r="J4668" s="405">
        <v>0.81704600000000005</v>
      </c>
      <c r="K4668" s="405">
        <v>33.806241</v>
      </c>
      <c r="L4668" s="405" t="s">
        <v>6866</v>
      </c>
      <c r="M4668" s="405" t="s">
        <v>9566</v>
      </c>
      <c r="N4668" s="405" t="s">
        <v>9787</v>
      </c>
      <c r="O4668" s="405" t="s">
        <v>13884</v>
      </c>
      <c r="P4668" s="405" t="s">
        <v>14001</v>
      </c>
      <c r="Q4668" s="411">
        <v>6</v>
      </c>
      <c r="R4668" s="405" t="s">
        <v>5655</v>
      </c>
      <c r="S4668" s="405" t="s">
        <v>27346</v>
      </c>
      <c r="T4668" s="405" t="s">
        <v>884</v>
      </c>
      <c r="U4668" s="405" t="s">
        <v>319</v>
      </c>
    </row>
    <row r="4669" spans="1:21" x14ac:dyDescent="0.25">
      <c r="A4669" s="405" t="s">
        <v>310</v>
      </c>
      <c r="B4669" s="405" t="s">
        <v>13988</v>
      </c>
      <c r="C4669" s="405" t="s">
        <v>327</v>
      </c>
      <c r="D4669" s="405"/>
      <c r="E4669" s="410">
        <v>41891</v>
      </c>
      <c r="F4669" s="410">
        <v>41936</v>
      </c>
      <c r="G4669" s="405" t="s">
        <v>13989</v>
      </c>
      <c r="H4669" s="405">
        <v>786909508</v>
      </c>
      <c r="I4669" s="405">
        <v>773066326</v>
      </c>
      <c r="J4669" s="405">
        <v>0.64061000000000001</v>
      </c>
      <c r="K4669" s="405">
        <v>34.213515999999998</v>
      </c>
      <c r="L4669" s="405" t="s">
        <v>6866</v>
      </c>
      <c r="M4669" s="405" t="s">
        <v>9534</v>
      </c>
      <c r="N4669" s="405" t="s">
        <v>10201</v>
      </c>
      <c r="O4669" s="405" t="s">
        <v>10202</v>
      </c>
      <c r="P4669" s="405" t="s">
        <v>13990</v>
      </c>
      <c r="Q4669" s="411">
        <v>6</v>
      </c>
      <c r="R4669" s="405" t="s">
        <v>7224</v>
      </c>
      <c r="S4669" s="405" t="s">
        <v>27302</v>
      </c>
      <c r="T4669" s="405" t="s">
        <v>865</v>
      </c>
      <c r="U4669" s="405" t="s">
        <v>866</v>
      </c>
    </row>
    <row r="4670" spans="1:21" x14ac:dyDescent="0.25">
      <c r="A4670" s="405" t="s">
        <v>310</v>
      </c>
      <c r="B4670" s="405" t="s">
        <v>14002</v>
      </c>
      <c r="C4670" s="405" t="s">
        <v>327</v>
      </c>
      <c r="D4670" s="405"/>
      <c r="E4670" s="410">
        <v>41891</v>
      </c>
      <c r="F4670" s="410">
        <v>41936</v>
      </c>
      <c r="G4670" s="405" t="s">
        <v>14003</v>
      </c>
      <c r="H4670" s="405">
        <v>755185603</v>
      </c>
      <c r="I4670" s="405"/>
      <c r="J4670" s="405">
        <v>0.78204399999999996</v>
      </c>
      <c r="K4670" s="405">
        <v>33.833505000000002</v>
      </c>
      <c r="L4670" s="405" t="s">
        <v>6866</v>
      </c>
      <c r="M4670" s="405" t="s">
        <v>9566</v>
      </c>
      <c r="N4670" s="405" t="s">
        <v>9787</v>
      </c>
      <c r="O4670" s="405" t="s">
        <v>13884</v>
      </c>
      <c r="P4670" s="405" t="s">
        <v>14004</v>
      </c>
      <c r="Q4670" s="411">
        <v>6</v>
      </c>
      <c r="R4670" s="405" t="s">
        <v>5655</v>
      </c>
      <c r="S4670" s="405" t="s">
        <v>27056</v>
      </c>
      <c r="T4670" s="405" t="s">
        <v>884</v>
      </c>
      <c r="U4670" s="405" t="s">
        <v>319</v>
      </c>
    </row>
    <row r="4671" spans="1:21" x14ac:dyDescent="0.25">
      <c r="A4671" s="405" t="s">
        <v>310</v>
      </c>
      <c r="B4671" s="405" t="s">
        <v>13993</v>
      </c>
      <c r="C4671" s="405" t="s">
        <v>327</v>
      </c>
      <c r="D4671" s="405"/>
      <c r="E4671" s="410">
        <v>41891</v>
      </c>
      <c r="F4671" s="410">
        <v>41936</v>
      </c>
      <c r="G4671" s="405" t="s">
        <v>13994</v>
      </c>
      <c r="H4671" s="405">
        <v>785215069</v>
      </c>
      <c r="I4671" s="405"/>
      <c r="J4671" s="405">
        <v>0.75802000000000003</v>
      </c>
      <c r="K4671" s="405">
        <v>33.844363000000001</v>
      </c>
      <c r="L4671" s="405" t="s">
        <v>6866</v>
      </c>
      <c r="M4671" s="405" t="s">
        <v>9566</v>
      </c>
      <c r="N4671" s="405" t="s">
        <v>9787</v>
      </c>
      <c r="O4671" s="405" t="s">
        <v>13884</v>
      </c>
      <c r="P4671" s="405" t="s">
        <v>10450</v>
      </c>
      <c r="Q4671" s="411">
        <v>6</v>
      </c>
      <c r="R4671" s="405" t="s">
        <v>5655</v>
      </c>
      <c r="S4671" s="405" t="s">
        <v>27072</v>
      </c>
      <c r="T4671" s="405" t="s">
        <v>884</v>
      </c>
      <c r="U4671" s="405" t="s">
        <v>319</v>
      </c>
    </row>
    <row r="4672" spans="1:21" x14ac:dyDescent="0.25">
      <c r="A4672" s="405" t="s">
        <v>310</v>
      </c>
      <c r="B4672" s="405" t="s">
        <v>28726</v>
      </c>
      <c r="C4672" s="405" t="s">
        <v>327</v>
      </c>
      <c r="D4672" s="405"/>
      <c r="E4672" s="410">
        <v>41891</v>
      </c>
      <c r="F4672" s="410">
        <v>41936</v>
      </c>
      <c r="G4672" s="405" t="s">
        <v>18907</v>
      </c>
      <c r="H4672" s="405">
        <v>756535951</v>
      </c>
      <c r="I4672" s="405"/>
      <c r="J4672" s="405">
        <v>2.2732100000000002</v>
      </c>
      <c r="K4672" s="405">
        <v>32.877763000000002</v>
      </c>
      <c r="L4672" s="405" t="s">
        <v>860</v>
      </c>
      <c r="M4672" s="405" t="s">
        <v>18234</v>
      </c>
      <c r="N4672" s="405" t="s">
        <v>18234</v>
      </c>
      <c r="O4672" s="405" t="s">
        <v>18234</v>
      </c>
      <c r="P4672" s="405" t="s">
        <v>18908</v>
      </c>
      <c r="Q4672" s="411">
        <v>6</v>
      </c>
      <c r="R4672" s="405" t="s">
        <v>5336</v>
      </c>
      <c r="S4672" s="405" t="s">
        <v>27171</v>
      </c>
      <c r="T4672" s="405" t="s">
        <v>884</v>
      </c>
      <c r="U4672" s="405" t="s">
        <v>319</v>
      </c>
    </row>
    <row r="4673" spans="1:21" x14ac:dyDescent="0.25">
      <c r="A4673" s="405" t="s">
        <v>310</v>
      </c>
      <c r="B4673" s="405" t="s">
        <v>28920</v>
      </c>
      <c r="C4673" s="405" t="s">
        <v>327</v>
      </c>
      <c r="D4673" s="405"/>
      <c r="E4673" s="410">
        <v>41889</v>
      </c>
      <c r="F4673" s="410">
        <v>41934</v>
      </c>
      <c r="G4673" s="405" t="s">
        <v>13981</v>
      </c>
      <c r="H4673" s="405">
        <v>772655657</v>
      </c>
      <c r="I4673" s="405"/>
      <c r="J4673" s="405">
        <v>0.64729000000000003</v>
      </c>
      <c r="K4673" s="405">
        <v>34.173808000000001</v>
      </c>
      <c r="L4673" s="405" t="s">
        <v>6866</v>
      </c>
      <c r="M4673" s="405" t="s">
        <v>9534</v>
      </c>
      <c r="N4673" s="405" t="s">
        <v>10201</v>
      </c>
      <c r="O4673" s="405" t="s">
        <v>10202</v>
      </c>
      <c r="P4673" s="405" t="s">
        <v>13982</v>
      </c>
      <c r="Q4673" s="411">
        <v>6</v>
      </c>
      <c r="R4673" s="405" t="s">
        <v>7224</v>
      </c>
      <c r="S4673" s="405" t="s">
        <v>27259</v>
      </c>
      <c r="T4673" s="405" t="s">
        <v>32102</v>
      </c>
      <c r="U4673" s="405" t="s">
        <v>319</v>
      </c>
    </row>
    <row r="4674" spans="1:21" x14ac:dyDescent="0.25">
      <c r="A4674" s="405" t="s">
        <v>310</v>
      </c>
      <c r="B4674" s="405" t="s">
        <v>39</v>
      </c>
      <c r="C4674" s="405" t="s">
        <v>327</v>
      </c>
      <c r="D4674" s="405"/>
      <c r="E4674" s="410">
        <v>41886</v>
      </c>
      <c r="F4674" s="410">
        <v>41931</v>
      </c>
      <c r="G4674" s="405" t="s">
        <v>14054</v>
      </c>
      <c r="H4674" s="405">
        <v>774655532</v>
      </c>
      <c r="I4674" s="405">
        <v>775773113</v>
      </c>
      <c r="J4674" s="405">
        <v>0.66647199999999995</v>
      </c>
      <c r="K4674" s="405">
        <v>34.225375</v>
      </c>
      <c r="L4674" s="405" t="s">
        <v>6866</v>
      </c>
      <c r="M4674" s="405" t="s">
        <v>9534</v>
      </c>
      <c r="N4674" s="405" t="s">
        <v>10201</v>
      </c>
      <c r="O4674" s="405" t="s">
        <v>10202</v>
      </c>
      <c r="P4674" s="405" t="s">
        <v>12449</v>
      </c>
      <c r="Q4674" s="411">
        <v>6</v>
      </c>
      <c r="R4674" s="405" t="s">
        <v>7224</v>
      </c>
      <c r="S4674" s="405" t="s">
        <v>27259</v>
      </c>
      <c r="T4674" s="405" t="s">
        <v>884</v>
      </c>
      <c r="U4674" s="405" t="s">
        <v>319</v>
      </c>
    </row>
    <row r="4675" spans="1:21" x14ac:dyDescent="0.25">
      <c r="A4675" s="405" t="s">
        <v>310</v>
      </c>
      <c r="B4675" s="405" t="s">
        <v>13970</v>
      </c>
      <c r="C4675" s="405" t="s">
        <v>327</v>
      </c>
      <c r="D4675" s="405"/>
      <c r="E4675" s="410">
        <v>41885</v>
      </c>
      <c r="F4675" s="410">
        <v>41930</v>
      </c>
      <c r="G4675" s="405" t="s">
        <v>13971</v>
      </c>
      <c r="H4675" s="405">
        <v>784895656</v>
      </c>
      <c r="I4675" s="405"/>
      <c r="J4675" s="405">
        <v>0.76339400000000002</v>
      </c>
      <c r="K4675" s="405">
        <v>34.258277999999997</v>
      </c>
      <c r="L4675" s="405" t="s">
        <v>6866</v>
      </c>
      <c r="M4675" s="405" t="s">
        <v>9534</v>
      </c>
      <c r="N4675" s="405" t="s">
        <v>10201</v>
      </c>
      <c r="O4675" s="405" t="s">
        <v>12571</v>
      </c>
      <c r="P4675" s="405" t="s">
        <v>13972</v>
      </c>
      <c r="Q4675" s="411">
        <v>6</v>
      </c>
      <c r="R4675" s="405" t="s">
        <v>7224</v>
      </c>
      <c r="S4675" s="405" t="s">
        <v>27067</v>
      </c>
      <c r="T4675" s="405" t="s">
        <v>32102</v>
      </c>
      <c r="U4675" s="405" t="s">
        <v>319</v>
      </c>
    </row>
    <row r="4676" spans="1:21" x14ac:dyDescent="0.25">
      <c r="A4676" s="405" t="s">
        <v>310</v>
      </c>
      <c r="B4676" s="405" t="s">
        <v>27697</v>
      </c>
      <c r="C4676" s="405" t="s">
        <v>327</v>
      </c>
      <c r="D4676" s="405"/>
      <c r="E4676" s="410">
        <v>41884</v>
      </c>
      <c r="F4676" s="410">
        <v>41929</v>
      </c>
      <c r="G4676" s="405" t="s">
        <v>14031</v>
      </c>
      <c r="H4676" s="405">
        <v>773712264</v>
      </c>
      <c r="I4676" s="405"/>
      <c r="J4676" s="405">
        <v>1.9207700000000001</v>
      </c>
      <c r="K4676" s="405">
        <v>33.666322000000001</v>
      </c>
      <c r="L4676" s="405" t="s">
        <v>6866</v>
      </c>
      <c r="M4676" s="405" t="s">
        <v>10495</v>
      </c>
      <c r="N4676" s="405" t="s">
        <v>10495</v>
      </c>
      <c r="O4676" s="405" t="s">
        <v>11435</v>
      </c>
      <c r="P4676" s="405" t="s">
        <v>13924</v>
      </c>
      <c r="Q4676" s="411">
        <v>6</v>
      </c>
      <c r="R4676" s="405" t="s">
        <v>5655</v>
      </c>
      <c r="S4676" s="405" t="s">
        <v>27056</v>
      </c>
      <c r="T4676" s="405" t="s">
        <v>884</v>
      </c>
      <c r="U4676" s="405" t="s">
        <v>319</v>
      </c>
    </row>
    <row r="4677" spans="1:21" x14ac:dyDescent="0.25">
      <c r="A4677" s="405" t="s">
        <v>310</v>
      </c>
      <c r="B4677" s="405" t="s">
        <v>21779</v>
      </c>
      <c r="C4677" s="405" t="s">
        <v>327</v>
      </c>
      <c r="D4677" s="405"/>
      <c r="E4677" s="410">
        <v>41884</v>
      </c>
      <c r="F4677" s="410">
        <v>41929</v>
      </c>
      <c r="G4677" s="405" t="s">
        <v>21780</v>
      </c>
      <c r="H4677" s="405">
        <v>772886865</v>
      </c>
      <c r="I4677" s="405"/>
      <c r="J4677" s="405">
        <v>0.407578</v>
      </c>
      <c r="K4677" s="405">
        <v>30.424873000000002</v>
      </c>
      <c r="L4677" s="405" t="s">
        <v>590</v>
      </c>
      <c r="M4677" s="405" t="s">
        <v>19720</v>
      </c>
      <c r="N4677" s="405" t="s">
        <v>7352</v>
      </c>
      <c r="O4677" s="405" t="s">
        <v>21781</v>
      </c>
      <c r="P4677" s="405" t="s">
        <v>21712</v>
      </c>
      <c r="Q4677" s="411">
        <v>6</v>
      </c>
      <c r="R4677" s="405" t="s">
        <v>874</v>
      </c>
      <c r="S4677" s="405" t="s">
        <v>27163</v>
      </c>
      <c r="T4677" s="405" t="s">
        <v>884</v>
      </c>
      <c r="U4677" s="405" t="s">
        <v>319</v>
      </c>
    </row>
    <row r="4678" spans="1:21" x14ac:dyDescent="0.25">
      <c r="A4678" s="405" t="s">
        <v>310</v>
      </c>
      <c r="B4678" s="405" t="s">
        <v>5343</v>
      </c>
      <c r="C4678" s="405" t="s">
        <v>327</v>
      </c>
      <c r="D4678" s="405"/>
      <c r="E4678" s="410">
        <v>41883</v>
      </c>
      <c r="F4678" s="410">
        <v>41928</v>
      </c>
      <c r="G4678" s="405" t="s">
        <v>5344</v>
      </c>
      <c r="H4678" s="405">
        <v>754186264</v>
      </c>
      <c r="I4678" s="405"/>
      <c r="J4678" s="405">
        <v>0.85117200000000004</v>
      </c>
      <c r="K4678" s="405">
        <v>33.697378999999998</v>
      </c>
      <c r="L4678" s="405" t="s">
        <v>314</v>
      </c>
      <c r="M4678" s="405" t="s">
        <v>5345</v>
      </c>
      <c r="N4678" s="405" t="s">
        <v>5345</v>
      </c>
      <c r="O4678" s="405" t="s">
        <v>5345</v>
      </c>
      <c r="P4678" s="405" t="s">
        <v>5346</v>
      </c>
      <c r="Q4678" s="411">
        <v>13</v>
      </c>
      <c r="R4678" s="405" t="s">
        <v>5336</v>
      </c>
      <c r="S4678" s="405" t="s">
        <v>27054</v>
      </c>
      <c r="T4678" s="405" t="s">
        <v>884</v>
      </c>
      <c r="U4678" s="405" t="s">
        <v>319</v>
      </c>
    </row>
    <row r="4679" spans="1:21" x14ac:dyDescent="0.25">
      <c r="A4679" s="405" t="s">
        <v>310</v>
      </c>
      <c r="B4679" s="405" t="s">
        <v>14016</v>
      </c>
      <c r="C4679" s="405" t="s">
        <v>327</v>
      </c>
      <c r="D4679" s="405"/>
      <c r="E4679" s="410">
        <v>41883</v>
      </c>
      <c r="F4679" s="410">
        <v>41928</v>
      </c>
      <c r="G4679" s="405" t="s">
        <v>14017</v>
      </c>
      <c r="H4679" s="405">
        <v>750426588</v>
      </c>
      <c r="I4679" s="405"/>
      <c r="J4679" s="405">
        <v>1.9550730000000001</v>
      </c>
      <c r="K4679" s="405">
        <v>33.691932000000001</v>
      </c>
      <c r="L4679" s="405" t="s">
        <v>6866</v>
      </c>
      <c r="M4679" s="405" t="s">
        <v>10495</v>
      </c>
      <c r="N4679" s="405" t="s">
        <v>10495</v>
      </c>
      <c r="O4679" s="405" t="s">
        <v>11435</v>
      </c>
      <c r="P4679" s="405" t="s">
        <v>14018</v>
      </c>
      <c r="Q4679" s="411">
        <v>6</v>
      </c>
      <c r="R4679" s="405" t="s">
        <v>5655</v>
      </c>
      <c r="S4679" s="405" t="s">
        <v>27072</v>
      </c>
      <c r="T4679" s="405" t="s">
        <v>884</v>
      </c>
      <c r="U4679" s="405" t="s">
        <v>319</v>
      </c>
    </row>
    <row r="4680" spans="1:21" x14ac:dyDescent="0.25">
      <c r="A4680" s="405" t="s">
        <v>310</v>
      </c>
      <c r="B4680" s="405" t="s">
        <v>21785</v>
      </c>
      <c r="C4680" s="405" t="s">
        <v>327</v>
      </c>
      <c r="D4680" s="405"/>
      <c r="E4680" s="410">
        <v>41883</v>
      </c>
      <c r="F4680" s="410">
        <v>41928</v>
      </c>
      <c r="G4680" s="405" t="s">
        <v>21786</v>
      </c>
      <c r="H4680" s="405">
        <v>774974974</v>
      </c>
      <c r="I4680" s="405">
        <v>755002173</v>
      </c>
      <c r="J4680" s="405">
        <v>-1.1859580000000001</v>
      </c>
      <c r="K4680" s="405">
        <v>29.958121999999999</v>
      </c>
      <c r="L4680" s="405" t="s">
        <v>590</v>
      </c>
      <c r="M4680" s="405" t="s">
        <v>5312</v>
      </c>
      <c r="N4680" s="405" t="s">
        <v>20499</v>
      </c>
      <c r="O4680" s="405" t="s">
        <v>21787</v>
      </c>
      <c r="P4680" s="405" t="s">
        <v>21788</v>
      </c>
      <c r="Q4680" s="411">
        <v>6</v>
      </c>
      <c r="R4680" s="405" t="s">
        <v>1527</v>
      </c>
      <c r="S4680" s="405" t="s">
        <v>27161</v>
      </c>
      <c r="T4680" s="405" t="s">
        <v>884</v>
      </c>
      <c r="U4680" s="405" t="s">
        <v>319</v>
      </c>
    </row>
    <row r="4681" spans="1:21" x14ac:dyDescent="0.25">
      <c r="A4681" s="405" t="s">
        <v>310</v>
      </c>
      <c r="B4681" s="405" t="s">
        <v>5337</v>
      </c>
      <c r="C4681" s="405" t="s">
        <v>327</v>
      </c>
      <c r="D4681" s="405"/>
      <c r="E4681" s="410">
        <v>41882</v>
      </c>
      <c r="F4681" s="410">
        <v>41927</v>
      </c>
      <c r="G4681" s="405" t="s">
        <v>5338</v>
      </c>
      <c r="H4681" s="405">
        <v>758337414</v>
      </c>
      <c r="I4681" s="405"/>
      <c r="J4681" s="405">
        <v>0.27874700000000002</v>
      </c>
      <c r="K4681" s="405">
        <v>32.447225000000003</v>
      </c>
      <c r="L4681" s="405" t="s">
        <v>314</v>
      </c>
      <c r="M4681" s="405" t="s">
        <v>361</v>
      </c>
      <c r="N4681" s="405" t="s">
        <v>374</v>
      </c>
      <c r="O4681" s="405" t="s">
        <v>375</v>
      </c>
      <c r="P4681" s="405" t="s">
        <v>5339</v>
      </c>
      <c r="Q4681" s="411">
        <v>9</v>
      </c>
      <c r="R4681" s="405" t="s">
        <v>525</v>
      </c>
      <c r="S4681" s="405" t="s">
        <v>27153</v>
      </c>
      <c r="T4681" s="405" t="s">
        <v>884</v>
      </c>
      <c r="U4681" s="405" t="s">
        <v>319</v>
      </c>
    </row>
    <row r="4682" spans="1:21" x14ac:dyDescent="0.25">
      <c r="A4682" s="405" t="s">
        <v>310</v>
      </c>
      <c r="B4682" s="405" t="s">
        <v>28688</v>
      </c>
      <c r="C4682" s="405" t="s">
        <v>327</v>
      </c>
      <c r="D4682" s="405"/>
      <c r="E4682" s="410">
        <v>41882</v>
      </c>
      <c r="F4682" s="410">
        <v>41927</v>
      </c>
      <c r="G4682" s="405" t="s">
        <v>14036</v>
      </c>
      <c r="H4682" s="405">
        <v>755818526</v>
      </c>
      <c r="I4682" s="405">
        <v>755818526</v>
      </c>
      <c r="J4682" s="405">
        <v>1.897532</v>
      </c>
      <c r="K4682" s="405">
        <v>33.526499999999999</v>
      </c>
      <c r="L4682" s="405" t="s">
        <v>6866</v>
      </c>
      <c r="M4682" s="405" t="s">
        <v>10515</v>
      </c>
      <c r="N4682" s="405" t="s">
        <v>10525</v>
      </c>
      <c r="O4682" s="405" t="s">
        <v>13074</v>
      </c>
      <c r="P4682" s="405" t="s">
        <v>14037</v>
      </c>
      <c r="Q4682" s="411">
        <v>6</v>
      </c>
      <c r="R4682" s="405" t="s">
        <v>7224</v>
      </c>
      <c r="S4682" s="405" t="s">
        <v>27107</v>
      </c>
      <c r="T4682" s="405" t="s">
        <v>32102</v>
      </c>
      <c r="U4682" s="405" t="s">
        <v>319</v>
      </c>
    </row>
    <row r="4683" spans="1:21" x14ac:dyDescent="0.25">
      <c r="A4683" s="405" t="s">
        <v>310</v>
      </c>
      <c r="B4683" s="405" t="s">
        <v>28733</v>
      </c>
      <c r="C4683" s="405" t="s">
        <v>327</v>
      </c>
      <c r="D4683" s="405"/>
      <c r="E4683" s="410">
        <v>41882</v>
      </c>
      <c r="F4683" s="410">
        <v>41927</v>
      </c>
      <c r="G4683" s="405" t="s">
        <v>14034</v>
      </c>
      <c r="H4683" s="405">
        <v>781546013</v>
      </c>
      <c r="I4683" s="405"/>
      <c r="J4683" s="405">
        <v>2.0066099999999998</v>
      </c>
      <c r="K4683" s="405">
        <v>33.480428000000003</v>
      </c>
      <c r="L4683" s="405" t="s">
        <v>6866</v>
      </c>
      <c r="M4683" s="405" t="s">
        <v>10515</v>
      </c>
      <c r="N4683" s="405" t="s">
        <v>10525</v>
      </c>
      <c r="O4683" s="405" t="s">
        <v>13074</v>
      </c>
      <c r="P4683" s="405" t="s">
        <v>14035</v>
      </c>
      <c r="Q4683" s="411">
        <v>6</v>
      </c>
      <c r="R4683" s="405" t="s">
        <v>7224</v>
      </c>
      <c r="S4683" s="405" t="s">
        <v>27074</v>
      </c>
      <c r="T4683" s="405" t="s">
        <v>884</v>
      </c>
      <c r="U4683" s="405" t="s">
        <v>319</v>
      </c>
    </row>
    <row r="4684" spans="1:21" x14ac:dyDescent="0.25">
      <c r="A4684" s="405" t="s">
        <v>310</v>
      </c>
      <c r="B4684" s="405" t="s">
        <v>14032</v>
      </c>
      <c r="C4684" s="405" t="s">
        <v>327</v>
      </c>
      <c r="D4684" s="405"/>
      <c r="E4684" s="410">
        <v>41882</v>
      </c>
      <c r="F4684" s="410">
        <v>41927</v>
      </c>
      <c r="G4684" s="405" t="s">
        <v>14033</v>
      </c>
      <c r="H4684" s="405">
        <v>781339862</v>
      </c>
      <c r="I4684" s="405">
        <v>781339862</v>
      </c>
      <c r="J4684" s="405">
        <v>1.9384049999999999</v>
      </c>
      <c r="K4684" s="405">
        <v>33.500526999999998</v>
      </c>
      <c r="L4684" s="405" t="s">
        <v>6866</v>
      </c>
      <c r="M4684" s="405" t="s">
        <v>10515</v>
      </c>
      <c r="N4684" s="405" t="s">
        <v>10525</v>
      </c>
      <c r="O4684" s="405" t="s">
        <v>13074</v>
      </c>
      <c r="P4684" s="405" t="s">
        <v>13786</v>
      </c>
      <c r="Q4684" s="411">
        <v>6</v>
      </c>
      <c r="R4684" s="405" t="s">
        <v>7224</v>
      </c>
      <c r="S4684" s="405" t="s">
        <v>27349</v>
      </c>
      <c r="T4684" s="405" t="s">
        <v>884</v>
      </c>
      <c r="U4684" s="405" t="s">
        <v>319</v>
      </c>
    </row>
    <row r="4685" spans="1:21" x14ac:dyDescent="0.25">
      <c r="A4685" s="405" t="s">
        <v>310</v>
      </c>
      <c r="B4685" s="405" t="s">
        <v>14008</v>
      </c>
      <c r="C4685" s="405" t="s">
        <v>327</v>
      </c>
      <c r="D4685" s="405"/>
      <c r="E4685" s="410">
        <v>41882</v>
      </c>
      <c r="F4685" s="410">
        <v>41927</v>
      </c>
      <c r="G4685" s="405" t="s">
        <v>14009</v>
      </c>
      <c r="H4685" s="405">
        <v>785243554</v>
      </c>
      <c r="I4685" s="405"/>
      <c r="J4685" s="405">
        <v>1.934569</v>
      </c>
      <c r="K4685" s="405">
        <v>33.511209999999998</v>
      </c>
      <c r="L4685" s="405" t="s">
        <v>6866</v>
      </c>
      <c r="M4685" s="405" t="s">
        <v>10495</v>
      </c>
      <c r="N4685" s="405" t="s">
        <v>10495</v>
      </c>
      <c r="O4685" s="405" t="s">
        <v>11435</v>
      </c>
      <c r="P4685" s="405" t="s">
        <v>14010</v>
      </c>
      <c r="Q4685" s="411">
        <v>6</v>
      </c>
      <c r="R4685" s="405" t="s">
        <v>5655</v>
      </c>
      <c r="S4685" s="405" t="s">
        <v>27324</v>
      </c>
      <c r="T4685" s="405" t="s">
        <v>884</v>
      </c>
      <c r="U4685" s="405" t="s">
        <v>319</v>
      </c>
    </row>
    <row r="4686" spans="1:21" x14ac:dyDescent="0.25">
      <c r="A4686" s="405" t="s">
        <v>310</v>
      </c>
      <c r="B4686" s="405" t="s">
        <v>14024</v>
      </c>
      <c r="C4686" s="405" t="s">
        <v>327</v>
      </c>
      <c r="D4686" s="405"/>
      <c r="E4686" s="410">
        <v>41882</v>
      </c>
      <c r="F4686" s="410">
        <v>41927</v>
      </c>
      <c r="G4686" s="405" t="s">
        <v>14025</v>
      </c>
      <c r="H4686" s="405">
        <v>774328055</v>
      </c>
      <c r="I4686" s="405"/>
      <c r="J4686" s="405">
        <v>1.9403999999999999</v>
      </c>
      <c r="K4686" s="405">
        <v>33.701360000000001</v>
      </c>
      <c r="L4686" s="405" t="s">
        <v>6866</v>
      </c>
      <c r="M4686" s="405" t="s">
        <v>10495</v>
      </c>
      <c r="N4686" s="405" t="s">
        <v>10495</v>
      </c>
      <c r="O4686" s="405" t="s">
        <v>11435</v>
      </c>
      <c r="P4686" s="405" t="s">
        <v>14026</v>
      </c>
      <c r="Q4686" s="411">
        <v>6</v>
      </c>
      <c r="R4686" s="405" t="s">
        <v>5655</v>
      </c>
      <c r="S4686" s="405" t="s">
        <v>27041</v>
      </c>
      <c r="T4686" s="405" t="s">
        <v>884</v>
      </c>
      <c r="U4686" s="405" t="s">
        <v>319</v>
      </c>
    </row>
    <row r="4687" spans="1:21" x14ac:dyDescent="0.25">
      <c r="A4687" s="405" t="s">
        <v>310</v>
      </c>
      <c r="B4687" s="405" t="s">
        <v>14011</v>
      </c>
      <c r="C4687" s="405" t="s">
        <v>327</v>
      </c>
      <c r="D4687" s="405"/>
      <c r="E4687" s="410">
        <v>41881</v>
      </c>
      <c r="F4687" s="410">
        <v>41926</v>
      </c>
      <c r="G4687" s="405" t="s">
        <v>14012</v>
      </c>
      <c r="H4687" s="405">
        <v>784985889</v>
      </c>
      <c r="I4687" s="405"/>
      <c r="J4687" s="405">
        <v>1.931063</v>
      </c>
      <c r="K4687" s="405">
        <v>33.685315000000003</v>
      </c>
      <c r="L4687" s="405" t="s">
        <v>6866</v>
      </c>
      <c r="M4687" s="405" t="s">
        <v>10495</v>
      </c>
      <c r="N4687" s="405" t="s">
        <v>10495</v>
      </c>
      <c r="O4687" s="405" t="s">
        <v>11435</v>
      </c>
      <c r="P4687" s="405" t="s">
        <v>13247</v>
      </c>
      <c r="Q4687" s="411">
        <v>6</v>
      </c>
      <c r="R4687" s="405" t="s">
        <v>5655</v>
      </c>
      <c r="S4687" s="405" t="s">
        <v>27345</v>
      </c>
      <c r="T4687" s="405" t="s">
        <v>32102</v>
      </c>
      <c r="U4687" s="405" t="s">
        <v>319</v>
      </c>
    </row>
    <row r="4688" spans="1:21" x14ac:dyDescent="0.25">
      <c r="A4688" s="405" t="s">
        <v>310</v>
      </c>
      <c r="B4688" s="405" t="s">
        <v>14029</v>
      </c>
      <c r="C4688" s="405" t="s">
        <v>327</v>
      </c>
      <c r="D4688" s="405"/>
      <c r="E4688" s="410">
        <v>41880</v>
      </c>
      <c r="F4688" s="410">
        <v>41925</v>
      </c>
      <c r="G4688" s="405" t="s">
        <v>14030</v>
      </c>
      <c r="H4688" s="405">
        <v>773739531</v>
      </c>
      <c r="I4688" s="405"/>
      <c r="J4688" s="405">
        <v>1.926938</v>
      </c>
      <c r="K4688" s="405">
        <v>33.690705000000001</v>
      </c>
      <c r="L4688" s="405" t="s">
        <v>6866</v>
      </c>
      <c r="M4688" s="405" t="s">
        <v>10495</v>
      </c>
      <c r="N4688" s="405" t="s">
        <v>10495</v>
      </c>
      <c r="O4688" s="405" t="s">
        <v>11435</v>
      </c>
      <c r="P4688" s="405" t="s">
        <v>13064</v>
      </c>
      <c r="Q4688" s="411">
        <v>6</v>
      </c>
      <c r="R4688" s="405" t="s">
        <v>5655</v>
      </c>
      <c r="S4688" s="405" t="s">
        <v>27345</v>
      </c>
      <c r="T4688" s="405" t="s">
        <v>884</v>
      </c>
      <c r="U4688" s="405" t="s">
        <v>319</v>
      </c>
    </row>
    <row r="4689" spans="1:21" x14ac:dyDescent="0.25">
      <c r="A4689" s="405" t="s">
        <v>310</v>
      </c>
      <c r="B4689" s="405" t="s">
        <v>14045</v>
      </c>
      <c r="C4689" s="405" t="s">
        <v>327</v>
      </c>
      <c r="D4689" s="405"/>
      <c r="E4689" s="410">
        <v>41880</v>
      </c>
      <c r="F4689" s="410">
        <v>41925</v>
      </c>
      <c r="G4689" s="405" t="s">
        <v>14046</v>
      </c>
      <c r="H4689" s="405">
        <v>785611299</v>
      </c>
      <c r="I4689" s="405"/>
      <c r="J4689" s="405">
        <v>1.569102</v>
      </c>
      <c r="K4689" s="405">
        <v>34.040807000000001</v>
      </c>
      <c r="L4689" s="405" t="s">
        <v>6866</v>
      </c>
      <c r="M4689" s="405" t="s">
        <v>10029</v>
      </c>
      <c r="N4689" s="405" t="s">
        <v>10029</v>
      </c>
      <c r="O4689" s="405" t="s">
        <v>10435</v>
      </c>
      <c r="P4689" s="405" t="s">
        <v>14047</v>
      </c>
      <c r="Q4689" s="411">
        <v>4</v>
      </c>
      <c r="R4689" s="405" t="s">
        <v>9541</v>
      </c>
      <c r="S4689" s="405" t="s">
        <v>27338</v>
      </c>
      <c r="T4689" s="405" t="s">
        <v>884</v>
      </c>
      <c r="U4689" s="405" t="s">
        <v>319</v>
      </c>
    </row>
    <row r="4690" spans="1:21" x14ac:dyDescent="0.25">
      <c r="A4690" s="405" t="s">
        <v>310</v>
      </c>
      <c r="B4690" s="405" t="s">
        <v>5340</v>
      </c>
      <c r="C4690" s="405" t="s">
        <v>311</v>
      </c>
      <c r="D4690" s="405" t="s">
        <v>312</v>
      </c>
      <c r="E4690" s="410">
        <v>41878</v>
      </c>
      <c r="F4690" s="410">
        <v>41923</v>
      </c>
      <c r="G4690" s="405" t="s">
        <v>5341</v>
      </c>
      <c r="H4690" s="405">
        <v>712419585</v>
      </c>
      <c r="I4690" s="405">
        <v>756419585</v>
      </c>
      <c r="J4690" s="405">
        <v>0.38551800000000003</v>
      </c>
      <c r="K4690" s="405">
        <v>32.857629000000003</v>
      </c>
      <c r="L4690" s="405" t="s">
        <v>314</v>
      </c>
      <c r="M4690" s="405" t="s">
        <v>329</v>
      </c>
      <c r="N4690" s="405" t="s">
        <v>545</v>
      </c>
      <c r="O4690" s="405" t="s">
        <v>546</v>
      </c>
      <c r="P4690" s="405" t="s">
        <v>5342</v>
      </c>
      <c r="Q4690" s="411">
        <v>13</v>
      </c>
      <c r="R4690" s="405" t="s">
        <v>525</v>
      </c>
      <c r="S4690" s="405" t="s">
        <v>27034</v>
      </c>
      <c r="T4690" s="405" t="s">
        <v>884</v>
      </c>
      <c r="U4690" s="405" t="s">
        <v>319</v>
      </c>
    </row>
    <row r="4691" spans="1:21" x14ac:dyDescent="0.25">
      <c r="A4691" s="405" t="s">
        <v>310</v>
      </c>
      <c r="B4691" s="405" t="s">
        <v>21775</v>
      </c>
      <c r="C4691" s="405" t="s">
        <v>327</v>
      </c>
      <c r="D4691" s="405"/>
      <c r="E4691" s="410">
        <v>41878</v>
      </c>
      <c r="F4691" s="410">
        <v>41923</v>
      </c>
      <c r="G4691" s="405" t="s">
        <v>21776</v>
      </c>
      <c r="H4691" s="405">
        <v>703545761</v>
      </c>
      <c r="I4691" s="405"/>
      <c r="J4691" s="405">
        <v>-0.65679100000000001</v>
      </c>
      <c r="K4691" s="405">
        <v>30.69143</v>
      </c>
      <c r="L4691" s="405" t="s">
        <v>590</v>
      </c>
      <c r="M4691" s="405" t="s">
        <v>879</v>
      </c>
      <c r="N4691" s="405" t="s">
        <v>879</v>
      </c>
      <c r="O4691" s="405" t="s">
        <v>881</v>
      </c>
      <c r="P4691" s="405" t="s">
        <v>21600</v>
      </c>
      <c r="Q4691" s="411">
        <v>9</v>
      </c>
      <c r="R4691" s="405" t="s">
        <v>333</v>
      </c>
      <c r="S4691" s="405" t="s">
        <v>27051</v>
      </c>
      <c r="T4691" s="405" t="s">
        <v>884</v>
      </c>
      <c r="U4691" s="405" t="s">
        <v>319</v>
      </c>
    </row>
    <row r="4692" spans="1:21" x14ac:dyDescent="0.25">
      <c r="A4692" s="405" t="s">
        <v>310</v>
      </c>
      <c r="B4692" s="405" t="s">
        <v>21789</v>
      </c>
      <c r="C4692" s="405" t="s">
        <v>327</v>
      </c>
      <c r="D4692" s="405"/>
      <c r="E4692" s="410">
        <v>41878</v>
      </c>
      <c r="F4692" s="410">
        <v>41923</v>
      </c>
      <c r="G4692" s="405" t="s">
        <v>21790</v>
      </c>
      <c r="H4692" s="405">
        <v>772452697</v>
      </c>
      <c r="I4692" s="405">
        <v>782458111</v>
      </c>
      <c r="J4692" s="405">
        <v>-0.58392900000000003</v>
      </c>
      <c r="K4692" s="405">
        <v>30.425249000000001</v>
      </c>
      <c r="L4692" s="405" t="s">
        <v>590</v>
      </c>
      <c r="M4692" s="405" t="s">
        <v>19725</v>
      </c>
      <c r="N4692" s="405" t="s">
        <v>19725</v>
      </c>
      <c r="O4692" s="405" t="s">
        <v>20611</v>
      </c>
      <c r="P4692" s="405" t="s">
        <v>21791</v>
      </c>
      <c r="Q4692" s="411">
        <v>9</v>
      </c>
      <c r="R4692" s="405" t="s">
        <v>874</v>
      </c>
      <c r="S4692" s="405" t="s">
        <v>27063</v>
      </c>
      <c r="T4692" s="405" t="s">
        <v>884</v>
      </c>
      <c r="U4692" s="405" t="s">
        <v>319</v>
      </c>
    </row>
    <row r="4693" spans="1:21" x14ac:dyDescent="0.25">
      <c r="A4693" s="405" t="s">
        <v>310</v>
      </c>
      <c r="B4693" s="405" t="s">
        <v>14019</v>
      </c>
      <c r="C4693" s="405" t="s">
        <v>327</v>
      </c>
      <c r="D4693" s="405"/>
      <c r="E4693" s="410">
        <v>41878</v>
      </c>
      <c r="F4693" s="410">
        <v>41923</v>
      </c>
      <c r="G4693" s="405" t="s">
        <v>14020</v>
      </c>
      <c r="H4693" s="405">
        <v>782093153</v>
      </c>
      <c r="I4693" s="405"/>
      <c r="J4693" s="405">
        <v>1.9654</v>
      </c>
      <c r="K4693" s="405">
        <v>33.676847000000002</v>
      </c>
      <c r="L4693" s="405" t="s">
        <v>6866</v>
      </c>
      <c r="M4693" s="405" t="s">
        <v>10495</v>
      </c>
      <c r="N4693" s="405" t="s">
        <v>10495</v>
      </c>
      <c r="O4693" s="405" t="s">
        <v>11435</v>
      </c>
      <c r="P4693" s="405" t="s">
        <v>14021</v>
      </c>
      <c r="Q4693" s="411">
        <v>6</v>
      </c>
      <c r="R4693" s="405" t="s">
        <v>5655</v>
      </c>
      <c r="S4693" s="405" t="s">
        <v>27041</v>
      </c>
      <c r="T4693" s="405" t="s">
        <v>884</v>
      </c>
      <c r="U4693" s="405" t="s">
        <v>319</v>
      </c>
    </row>
    <row r="4694" spans="1:21" x14ac:dyDescent="0.25">
      <c r="A4694" s="405" t="s">
        <v>310</v>
      </c>
      <c r="B4694" s="405" t="s">
        <v>28787</v>
      </c>
      <c r="C4694" s="405" t="s">
        <v>327</v>
      </c>
      <c r="D4694" s="405"/>
      <c r="E4694" s="410">
        <v>41877</v>
      </c>
      <c r="F4694" s="410">
        <v>41922</v>
      </c>
      <c r="G4694" s="405" t="s">
        <v>14015</v>
      </c>
      <c r="H4694" s="405">
        <v>774775683</v>
      </c>
      <c r="I4694" s="405"/>
      <c r="J4694" s="405">
        <v>1.944123</v>
      </c>
      <c r="K4694" s="405">
        <v>33.687013</v>
      </c>
      <c r="L4694" s="405" t="s">
        <v>6866</v>
      </c>
      <c r="M4694" s="405" t="s">
        <v>10495</v>
      </c>
      <c r="N4694" s="405" t="s">
        <v>10495</v>
      </c>
      <c r="O4694" s="405" t="s">
        <v>11435</v>
      </c>
      <c r="P4694" s="405" t="s">
        <v>11079</v>
      </c>
      <c r="Q4694" s="411">
        <v>6</v>
      </c>
      <c r="R4694" s="405" t="s">
        <v>5655</v>
      </c>
      <c r="S4694" s="405" t="s">
        <v>27056</v>
      </c>
      <c r="T4694" s="405" t="s">
        <v>884</v>
      </c>
      <c r="U4694" s="405" t="s">
        <v>319</v>
      </c>
    </row>
    <row r="4695" spans="1:21" x14ac:dyDescent="0.25">
      <c r="A4695" s="405" t="s">
        <v>310</v>
      </c>
      <c r="B4695" s="405" t="s">
        <v>28788</v>
      </c>
      <c r="C4695" s="405" t="s">
        <v>327</v>
      </c>
      <c r="D4695" s="405"/>
      <c r="E4695" s="410">
        <v>41877</v>
      </c>
      <c r="F4695" s="410">
        <v>41922</v>
      </c>
      <c r="G4695" s="405" t="s">
        <v>14070</v>
      </c>
      <c r="H4695" s="405">
        <v>756273123</v>
      </c>
      <c r="I4695" s="405"/>
      <c r="J4695" s="405">
        <v>1.944148</v>
      </c>
      <c r="K4695" s="405">
        <v>33.687064999999997</v>
      </c>
      <c r="L4695" s="405" t="s">
        <v>6866</v>
      </c>
      <c r="M4695" s="405" t="s">
        <v>10495</v>
      </c>
      <c r="N4695" s="405" t="s">
        <v>11435</v>
      </c>
      <c r="O4695" s="405" t="s">
        <v>11435</v>
      </c>
      <c r="P4695" s="405" t="s">
        <v>11079</v>
      </c>
      <c r="Q4695" s="411">
        <v>6</v>
      </c>
      <c r="R4695" s="405" t="s">
        <v>5655</v>
      </c>
      <c r="S4695" s="405" t="s">
        <v>27056</v>
      </c>
      <c r="T4695" s="405" t="s">
        <v>32102</v>
      </c>
      <c r="U4695" s="405" t="s">
        <v>319</v>
      </c>
    </row>
    <row r="4696" spans="1:21" x14ac:dyDescent="0.25">
      <c r="A4696" s="405" t="s">
        <v>310</v>
      </c>
      <c r="B4696" s="405" t="s">
        <v>14022</v>
      </c>
      <c r="C4696" s="405" t="s">
        <v>327</v>
      </c>
      <c r="D4696" s="405"/>
      <c r="E4696" s="410">
        <v>41876</v>
      </c>
      <c r="F4696" s="410">
        <v>41921</v>
      </c>
      <c r="G4696" s="405" t="s">
        <v>14023</v>
      </c>
      <c r="H4696" s="405">
        <v>774919160</v>
      </c>
      <c r="I4696" s="405"/>
      <c r="J4696" s="405">
        <v>1.9675929999999999</v>
      </c>
      <c r="K4696" s="405">
        <v>33.685366999999999</v>
      </c>
      <c r="L4696" s="405" t="s">
        <v>6866</v>
      </c>
      <c r="M4696" s="405" t="s">
        <v>10495</v>
      </c>
      <c r="N4696" s="405" t="s">
        <v>10495</v>
      </c>
      <c r="O4696" s="405" t="s">
        <v>11435</v>
      </c>
      <c r="P4696" s="405" t="s">
        <v>12897</v>
      </c>
      <c r="Q4696" s="411">
        <v>6</v>
      </c>
      <c r="R4696" s="405" t="s">
        <v>5655</v>
      </c>
      <c r="S4696" s="405" t="s">
        <v>27072</v>
      </c>
      <c r="T4696" s="405" t="s">
        <v>884</v>
      </c>
      <c r="U4696" s="405" t="s">
        <v>319</v>
      </c>
    </row>
    <row r="4697" spans="1:21" x14ac:dyDescent="0.25">
      <c r="A4697" s="405" t="s">
        <v>310</v>
      </c>
      <c r="B4697" s="405" t="s">
        <v>22021</v>
      </c>
      <c r="C4697" s="405" t="s">
        <v>311</v>
      </c>
      <c r="D4697" s="405" t="s">
        <v>1789</v>
      </c>
      <c r="E4697" s="410">
        <v>41874</v>
      </c>
      <c r="F4697" s="410">
        <v>41919</v>
      </c>
      <c r="G4697" s="405" t="s">
        <v>22022</v>
      </c>
      <c r="H4697" s="405">
        <v>772459758</v>
      </c>
      <c r="I4697" s="405"/>
      <c r="J4697" s="405">
        <v>-0.70523800000000003</v>
      </c>
      <c r="K4697" s="405">
        <v>30.395005000000001</v>
      </c>
      <c r="L4697" s="405" t="s">
        <v>590</v>
      </c>
      <c r="M4697" s="405" t="s">
        <v>19614</v>
      </c>
      <c r="N4697" s="405" t="s">
        <v>19654</v>
      </c>
      <c r="O4697" s="405" t="s">
        <v>19655</v>
      </c>
      <c r="P4697" s="405" t="s">
        <v>22023</v>
      </c>
      <c r="Q4697" s="411">
        <v>6</v>
      </c>
      <c r="R4697" s="405" t="s">
        <v>1527</v>
      </c>
      <c r="S4697" s="405" t="s">
        <v>27161</v>
      </c>
      <c r="T4697" s="405" t="s">
        <v>32102</v>
      </c>
      <c r="U4697" s="405" t="s">
        <v>319</v>
      </c>
    </row>
    <row r="4698" spans="1:21" x14ac:dyDescent="0.25">
      <c r="A4698" s="405" t="s">
        <v>310</v>
      </c>
      <c r="B4698" s="405" t="s">
        <v>13975</v>
      </c>
      <c r="C4698" s="405" t="s">
        <v>327</v>
      </c>
      <c r="D4698" s="405"/>
      <c r="E4698" s="410">
        <v>41874</v>
      </c>
      <c r="F4698" s="410">
        <v>41919</v>
      </c>
      <c r="G4698" s="405" t="s">
        <v>13976</v>
      </c>
      <c r="H4698" s="405">
        <v>779559222</v>
      </c>
      <c r="I4698" s="405"/>
      <c r="J4698" s="405">
        <v>1.0181480000000001</v>
      </c>
      <c r="K4698" s="405">
        <v>34.327798000000001</v>
      </c>
      <c r="L4698" s="405" t="s">
        <v>6866</v>
      </c>
      <c r="M4698" s="405" t="s">
        <v>6867</v>
      </c>
      <c r="N4698" s="405" t="s">
        <v>6868</v>
      </c>
      <c r="O4698" s="405" t="s">
        <v>11995</v>
      </c>
      <c r="P4698" s="405" t="s">
        <v>13977</v>
      </c>
      <c r="Q4698" s="411">
        <v>6</v>
      </c>
      <c r="R4698" s="405" t="s">
        <v>7224</v>
      </c>
      <c r="S4698" s="405" t="s">
        <v>27197</v>
      </c>
      <c r="T4698" s="405" t="s">
        <v>32102</v>
      </c>
      <c r="U4698" s="405" t="s">
        <v>319</v>
      </c>
    </row>
    <row r="4699" spans="1:21" x14ac:dyDescent="0.25">
      <c r="A4699" s="405" t="s">
        <v>310</v>
      </c>
      <c r="B4699" s="405" t="s">
        <v>29084</v>
      </c>
      <c r="C4699" s="405" t="s">
        <v>327</v>
      </c>
      <c r="D4699" s="405"/>
      <c r="E4699" s="410">
        <v>41872</v>
      </c>
      <c r="F4699" s="410">
        <v>41917</v>
      </c>
      <c r="G4699" s="405" t="s">
        <v>13974</v>
      </c>
      <c r="H4699" s="405">
        <v>774353618</v>
      </c>
      <c r="I4699" s="405"/>
      <c r="J4699" s="405">
        <v>1.0448029999999999</v>
      </c>
      <c r="K4699" s="405">
        <v>34.181702000000001</v>
      </c>
      <c r="L4699" s="405" t="s">
        <v>6866</v>
      </c>
      <c r="M4699" s="405" t="s">
        <v>9514</v>
      </c>
      <c r="N4699" s="405" t="s">
        <v>9529</v>
      </c>
      <c r="O4699" s="405" t="s">
        <v>12168</v>
      </c>
      <c r="P4699" s="405" t="s">
        <v>12231</v>
      </c>
      <c r="Q4699" s="411">
        <v>6</v>
      </c>
      <c r="R4699" s="405" t="s">
        <v>7224</v>
      </c>
      <c r="S4699" s="405" t="s">
        <v>27298</v>
      </c>
      <c r="T4699" s="405" t="s">
        <v>32102</v>
      </c>
      <c r="U4699" s="405" t="s">
        <v>319</v>
      </c>
    </row>
    <row r="4700" spans="1:21" x14ac:dyDescent="0.25">
      <c r="A4700" s="405" t="s">
        <v>310</v>
      </c>
      <c r="B4700" s="405" t="s">
        <v>27741</v>
      </c>
      <c r="C4700" s="405" t="s">
        <v>311</v>
      </c>
      <c r="D4700" s="405" t="s">
        <v>1789</v>
      </c>
      <c r="E4700" s="410">
        <v>41872</v>
      </c>
      <c r="F4700" s="410">
        <v>41917</v>
      </c>
      <c r="G4700" s="405" t="s">
        <v>14350</v>
      </c>
      <c r="H4700" s="405">
        <v>759651110</v>
      </c>
      <c r="I4700" s="405"/>
      <c r="J4700" s="405">
        <v>1.953867</v>
      </c>
      <c r="K4700" s="405">
        <v>33.463673</v>
      </c>
      <c r="L4700" s="405" t="s">
        <v>6866</v>
      </c>
      <c r="M4700" s="405" t="s">
        <v>10515</v>
      </c>
      <c r="N4700" s="405" t="s">
        <v>10525</v>
      </c>
      <c r="O4700" s="405" t="s">
        <v>13074</v>
      </c>
      <c r="P4700" s="405" t="s">
        <v>13492</v>
      </c>
      <c r="Q4700" s="411">
        <v>6</v>
      </c>
      <c r="R4700" s="405" t="s">
        <v>7224</v>
      </c>
      <c r="S4700" s="405" t="s">
        <v>27298</v>
      </c>
      <c r="T4700" s="405" t="s">
        <v>884</v>
      </c>
      <c r="U4700" s="405" t="s">
        <v>319</v>
      </c>
    </row>
    <row r="4701" spans="1:21" x14ac:dyDescent="0.25">
      <c r="A4701" s="405" t="s">
        <v>310</v>
      </c>
      <c r="B4701" s="405" t="s">
        <v>22012</v>
      </c>
      <c r="C4701" s="405" t="s">
        <v>857</v>
      </c>
      <c r="D4701" s="405" t="s">
        <v>921</v>
      </c>
      <c r="E4701" s="410">
        <v>41871</v>
      </c>
      <c r="F4701" s="410">
        <v>41916</v>
      </c>
      <c r="G4701" s="405" t="s">
        <v>22013</v>
      </c>
      <c r="H4701" s="405">
        <v>780832081</v>
      </c>
      <c r="I4701" s="405"/>
      <c r="J4701" s="405">
        <v>-0.117309</v>
      </c>
      <c r="K4701" s="405">
        <v>30.786902000000001</v>
      </c>
      <c r="L4701" s="405" t="s">
        <v>590</v>
      </c>
      <c r="M4701" s="405" t="s">
        <v>19705</v>
      </c>
      <c r="N4701" s="405" t="s">
        <v>2250</v>
      </c>
      <c r="O4701" s="405" t="s">
        <v>2250</v>
      </c>
      <c r="P4701" s="405" t="s">
        <v>21142</v>
      </c>
      <c r="Q4701" s="411">
        <v>9</v>
      </c>
      <c r="R4701" s="405" t="s">
        <v>874</v>
      </c>
      <c r="S4701" s="405" t="s">
        <v>27249</v>
      </c>
      <c r="T4701" s="405" t="s">
        <v>32102</v>
      </c>
      <c r="U4701" s="405" t="s">
        <v>319</v>
      </c>
    </row>
    <row r="4702" spans="1:21" x14ac:dyDescent="0.25">
      <c r="A4702" s="405" t="s">
        <v>310</v>
      </c>
      <c r="B4702" s="405" t="s">
        <v>29038</v>
      </c>
      <c r="C4702" s="405" t="s">
        <v>311</v>
      </c>
      <c r="D4702" s="405" t="s">
        <v>3381</v>
      </c>
      <c r="E4702" s="410">
        <v>41871</v>
      </c>
      <c r="F4702" s="410">
        <v>41916</v>
      </c>
      <c r="G4702" s="405" t="s">
        <v>14406</v>
      </c>
      <c r="H4702" s="405">
        <v>782330796</v>
      </c>
      <c r="I4702" s="405"/>
      <c r="J4702" s="405">
        <v>1.021485</v>
      </c>
      <c r="K4702" s="405">
        <v>34.324587999999999</v>
      </c>
      <c r="L4702" s="405" t="s">
        <v>6866</v>
      </c>
      <c r="M4702" s="405" t="s">
        <v>6867</v>
      </c>
      <c r="N4702" s="405" t="s">
        <v>6867</v>
      </c>
      <c r="O4702" s="405" t="s">
        <v>6867</v>
      </c>
      <c r="P4702" s="405" t="s">
        <v>14407</v>
      </c>
      <c r="Q4702" s="411">
        <v>6</v>
      </c>
      <c r="R4702" s="405" t="s">
        <v>7224</v>
      </c>
      <c r="S4702" s="405" t="s">
        <v>27197</v>
      </c>
      <c r="T4702" s="405" t="s">
        <v>884</v>
      </c>
      <c r="U4702" s="405" t="s">
        <v>319</v>
      </c>
    </row>
    <row r="4703" spans="1:21" x14ac:dyDescent="0.25">
      <c r="A4703" s="405" t="s">
        <v>310</v>
      </c>
      <c r="B4703" s="405" t="s">
        <v>14005</v>
      </c>
      <c r="C4703" s="405" t="s">
        <v>857</v>
      </c>
      <c r="D4703" s="405" t="s">
        <v>33074</v>
      </c>
      <c r="E4703" s="410">
        <v>41871</v>
      </c>
      <c r="F4703" s="410">
        <v>41916</v>
      </c>
      <c r="G4703" s="405" t="s">
        <v>14006</v>
      </c>
      <c r="H4703" s="405">
        <v>779466949</v>
      </c>
      <c r="I4703" s="405"/>
      <c r="J4703" s="405">
        <v>1.9571000000000001</v>
      </c>
      <c r="K4703" s="405">
        <v>33.521250000000002</v>
      </c>
      <c r="L4703" s="405" t="s">
        <v>6866</v>
      </c>
      <c r="M4703" s="405" t="s">
        <v>10515</v>
      </c>
      <c r="N4703" s="405" t="s">
        <v>10525</v>
      </c>
      <c r="O4703" s="405" t="s">
        <v>13074</v>
      </c>
      <c r="P4703" s="405" t="s">
        <v>14007</v>
      </c>
      <c r="Q4703" s="411">
        <v>6</v>
      </c>
      <c r="R4703" s="405" t="s">
        <v>7224</v>
      </c>
      <c r="S4703" s="405" t="s">
        <v>27204</v>
      </c>
      <c r="T4703" s="405" t="s">
        <v>32102</v>
      </c>
      <c r="U4703" s="405" t="s">
        <v>319</v>
      </c>
    </row>
    <row r="4704" spans="1:21" x14ac:dyDescent="0.25">
      <c r="A4704" s="405" t="s">
        <v>310</v>
      </c>
      <c r="B4704" s="405" t="s">
        <v>21797</v>
      </c>
      <c r="C4704" s="405" t="s">
        <v>327</v>
      </c>
      <c r="D4704" s="405"/>
      <c r="E4704" s="410">
        <v>41871</v>
      </c>
      <c r="F4704" s="410">
        <v>41916</v>
      </c>
      <c r="G4704" s="405" t="s">
        <v>21798</v>
      </c>
      <c r="H4704" s="405">
        <v>782616603</v>
      </c>
      <c r="I4704" s="405">
        <v>777221734</v>
      </c>
      <c r="J4704" s="405">
        <v>1.355353</v>
      </c>
      <c r="K4704" s="405">
        <v>31.319658100000002</v>
      </c>
      <c r="L4704" s="405" t="s">
        <v>590</v>
      </c>
      <c r="M4704" s="405" t="s">
        <v>7300</v>
      </c>
      <c r="N4704" s="405" t="s">
        <v>20450</v>
      </c>
      <c r="O4704" s="405" t="s">
        <v>21799</v>
      </c>
      <c r="P4704" s="405" t="s">
        <v>21800</v>
      </c>
      <c r="Q4704" s="411">
        <v>6</v>
      </c>
      <c r="R4704" s="405" t="s">
        <v>6397</v>
      </c>
      <c r="S4704" s="405" t="s">
        <v>22481</v>
      </c>
      <c r="T4704" s="405" t="s">
        <v>32102</v>
      </c>
      <c r="U4704" s="405" t="s">
        <v>319</v>
      </c>
    </row>
    <row r="4705" spans="1:21" x14ac:dyDescent="0.25">
      <c r="A4705" s="405" t="s">
        <v>310</v>
      </c>
      <c r="B4705" s="405" t="s">
        <v>13978</v>
      </c>
      <c r="C4705" s="405" t="s">
        <v>327</v>
      </c>
      <c r="D4705" s="405"/>
      <c r="E4705" s="410">
        <v>41871</v>
      </c>
      <c r="F4705" s="410">
        <v>41916</v>
      </c>
      <c r="G4705" s="405" t="s">
        <v>13979</v>
      </c>
      <c r="H4705" s="405">
        <v>778487997</v>
      </c>
      <c r="I4705" s="405"/>
      <c r="J4705" s="405">
        <v>1.1314599999999999</v>
      </c>
      <c r="K4705" s="405">
        <v>34.224567999999998</v>
      </c>
      <c r="L4705" s="405" t="s">
        <v>6866</v>
      </c>
      <c r="M4705" s="405" t="s">
        <v>9514</v>
      </c>
      <c r="N4705" s="405" t="s">
        <v>9616</v>
      </c>
      <c r="O4705" s="405" t="s">
        <v>9530</v>
      </c>
      <c r="P4705" s="405" t="s">
        <v>13608</v>
      </c>
      <c r="Q4705" s="411">
        <v>6</v>
      </c>
      <c r="R4705" s="405" t="s">
        <v>7224</v>
      </c>
      <c r="S4705" s="405" t="s">
        <v>27348</v>
      </c>
      <c r="T4705" s="405" t="s">
        <v>884</v>
      </c>
      <c r="U4705" s="405" t="s">
        <v>319</v>
      </c>
    </row>
    <row r="4706" spans="1:21" x14ac:dyDescent="0.25">
      <c r="A4706" s="405" t="s">
        <v>310</v>
      </c>
      <c r="B4706" s="405" t="s">
        <v>27790</v>
      </c>
      <c r="C4706" s="405" t="s">
        <v>327</v>
      </c>
      <c r="D4706" s="405"/>
      <c r="E4706" s="410">
        <v>41870</v>
      </c>
      <c r="F4706" s="410">
        <v>41915</v>
      </c>
      <c r="G4706" s="405" t="s">
        <v>21777</v>
      </c>
      <c r="H4706" s="405">
        <v>782974978</v>
      </c>
      <c r="I4706" s="405"/>
      <c r="J4706" s="405">
        <v>0.25545200000000001</v>
      </c>
      <c r="K4706" s="405">
        <v>30.150414000000001</v>
      </c>
      <c r="L4706" s="405" t="s">
        <v>590</v>
      </c>
      <c r="M4706" s="405" t="s">
        <v>21087</v>
      </c>
      <c r="N4706" s="405" t="s">
        <v>21088</v>
      </c>
      <c r="O4706" s="405" t="s">
        <v>21778</v>
      </c>
      <c r="P4706" s="405" t="s">
        <v>4263</v>
      </c>
      <c r="Q4706" s="411">
        <v>9</v>
      </c>
      <c r="R4706" s="405" t="s">
        <v>883</v>
      </c>
      <c r="S4706" s="405" t="s">
        <v>27097</v>
      </c>
      <c r="T4706" s="405" t="s">
        <v>884</v>
      </c>
      <c r="U4706" s="405" t="s">
        <v>319</v>
      </c>
    </row>
    <row r="4707" spans="1:21" x14ac:dyDescent="0.25">
      <c r="A4707" s="405" t="s">
        <v>310</v>
      </c>
      <c r="B4707" s="405" t="s">
        <v>27718</v>
      </c>
      <c r="C4707" s="405" t="s">
        <v>327</v>
      </c>
      <c r="D4707" s="405"/>
      <c r="E4707" s="410">
        <v>41870</v>
      </c>
      <c r="F4707" s="410">
        <v>41915</v>
      </c>
      <c r="G4707" s="405" t="s">
        <v>14038</v>
      </c>
      <c r="H4707" s="405">
        <v>704351151</v>
      </c>
      <c r="I4707" s="405"/>
      <c r="J4707" s="405">
        <v>1.97522</v>
      </c>
      <c r="K4707" s="405">
        <v>33.511515000000003</v>
      </c>
      <c r="L4707" s="405" t="s">
        <v>6866</v>
      </c>
      <c r="M4707" s="405" t="s">
        <v>10515</v>
      </c>
      <c r="N4707" s="405" t="s">
        <v>10525</v>
      </c>
      <c r="O4707" s="405" t="s">
        <v>13074</v>
      </c>
      <c r="P4707" s="405" t="s">
        <v>14039</v>
      </c>
      <c r="Q4707" s="411">
        <v>6</v>
      </c>
      <c r="R4707" s="405" t="s">
        <v>7224</v>
      </c>
      <c r="S4707" s="405" t="s">
        <v>17013</v>
      </c>
      <c r="T4707" s="405" t="s">
        <v>32102</v>
      </c>
      <c r="U4707" s="405" t="s">
        <v>319</v>
      </c>
    </row>
    <row r="4708" spans="1:21" x14ac:dyDescent="0.25">
      <c r="A4708" s="405" t="s">
        <v>310</v>
      </c>
      <c r="B4708" s="405" t="s">
        <v>14058</v>
      </c>
      <c r="C4708" s="405" t="s">
        <v>327</v>
      </c>
      <c r="D4708" s="405"/>
      <c r="E4708" s="410">
        <v>41870</v>
      </c>
      <c r="F4708" s="410">
        <v>41915</v>
      </c>
      <c r="G4708" s="405" t="s">
        <v>14059</v>
      </c>
      <c r="H4708" s="405">
        <v>753181985</v>
      </c>
      <c r="I4708" s="405"/>
      <c r="J4708" s="405">
        <v>0.75476900000000002</v>
      </c>
      <c r="K4708" s="405">
        <v>33.868158000000001</v>
      </c>
      <c r="L4708" s="405" t="s">
        <v>6866</v>
      </c>
      <c r="M4708" s="405" t="s">
        <v>9566</v>
      </c>
      <c r="N4708" s="405" t="s">
        <v>9787</v>
      </c>
      <c r="O4708" s="405" t="s">
        <v>9788</v>
      </c>
      <c r="P4708" s="405" t="s">
        <v>14060</v>
      </c>
      <c r="Q4708" s="411">
        <v>6</v>
      </c>
      <c r="R4708" s="405" t="s">
        <v>5655</v>
      </c>
      <c r="S4708" s="405" t="s">
        <v>27335</v>
      </c>
      <c r="T4708" s="405" t="s">
        <v>32102</v>
      </c>
      <c r="U4708" s="405" t="s">
        <v>319</v>
      </c>
    </row>
    <row r="4709" spans="1:21" x14ac:dyDescent="0.25">
      <c r="A4709" s="405" t="s">
        <v>310</v>
      </c>
      <c r="B4709" s="405" t="s">
        <v>14013</v>
      </c>
      <c r="C4709" s="405" t="s">
        <v>327</v>
      </c>
      <c r="D4709" s="405"/>
      <c r="E4709" s="410">
        <v>41870</v>
      </c>
      <c r="F4709" s="410">
        <v>41915</v>
      </c>
      <c r="G4709" s="405" t="s">
        <v>14014</v>
      </c>
      <c r="H4709" s="405">
        <v>778683918</v>
      </c>
      <c r="I4709" s="405"/>
      <c r="J4709" s="405">
        <v>1.9267719999999999</v>
      </c>
      <c r="K4709" s="405">
        <v>33.691946999999999</v>
      </c>
      <c r="L4709" s="405" t="s">
        <v>6866</v>
      </c>
      <c r="M4709" s="405" t="s">
        <v>10495</v>
      </c>
      <c r="N4709" s="405" t="s">
        <v>10495</v>
      </c>
      <c r="O4709" s="405" t="s">
        <v>11435</v>
      </c>
      <c r="P4709" s="405" t="s">
        <v>13064</v>
      </c>
      <c r="Q4709" s="411">
        <v>6</v>
      </c>
      <c r="R4709" s="405" t="s">
        <v>5655</v>
      </c>
      <c r="S4709" s="405" t="s">
        <v>27072</v>
      </c>
      <c r="T4709" s="405" t="s">
        <v>32102</v>
      </c>
      <c r="U4709" s="405" t="s">
        <v>319</v>
      </c>
    </row>
    <row r="4710" spans="1:21" x14ac:dyDescent="0.25">
      <c r="A4710" s="405" t="s">
        <v>310</v>
      </c>
      <c r="B4710" s="405" t="s">
        <v>13991</v>
      </c>
      <c r="C4710" s="405" t="s">
        <v>327</v>
      </c>
      <c r="D4710" s="405"/>
      <c r="E4710" s="410">
        <v>41869</v>
      </c>
      <c r="F4710" s="410">
        <v>41914</v>
      </c>
      <c r="G4710" s="405" t="s">
        <v>13992</v>
      </c>
      <c r="H4710" s="405">
        <v>753728727</v>
      </c>
      <c r="I4710" s="405"/>
      <c r="J4710" s="405">
        <v>0.78574500000000003</v>
      </c>
      <c r="K4710" s="405">
        <v>33.882449000000001</v>
      </c>
      <c r="L4710" s="405" t="s">
        <v>6866</v>
      </c>
      <c r="M4710" s="405" t="s">
        <v>9566</v>
      </c>
      <c r="N4710" s="405" t="s">
        <v>9787</v>
      </c>
      <c r="O4710" s="405" t="s">
        <v>9788</v>
      </c>
      <c r="P4710" s="405" t="s">
        <v>13870</v>
      </c>
      <c r="Q4710" s="411">
        <v>6</v>
      </c>
      <c r="R4710" s="405" t="s">
        <v>5655</v>
      </c>
      <c r="S4710" s="405" t="s">
        <v>27346</v>
      </c>
      <c r="T4710" s="405" t="s">
        <v>32102</v>
      </c>
      <c r="U4710" s="405" t="s">
        <v>319</v>
      </c>
    </row>
    <row r="4711" spans="1:21" x14ac:dyDescent="0.25">
      <c r="A4711" s="405" t="s">
        <v>310</v>
      </c>
      <c r="B4711" s="405" t="s">
        <v>21782</v>
      </c>
      <c r="C4711" s="405" t="s">
        <v>327</v>
      </c>
      <c r="D4711" s="405"/>
      <c r="E4711" s="410">
        <v>41868</v>
      </c>
      <c r="F4711" s="410">
        <v>41913</v>
      </c>
      <c r="G4711" s="405" t="s">
        <v>21783</v>
      </c>
      <c r="H4711" s="405">
        <v>777436238</v>
      </c>
      <c r="I4711" s="405"/>
      <c r="J4711" s="405">
        <v>0.44900000000000001</v>
      </c>
      <c r="K4711" s="405">
        <v>30.244399999999999</v>
      </c>
      <c r="L4711" s="405" t="s">
        <v>590</v>
      </c>
      <c r="M4711" s="405" t="s">
        <v>19720</v>
      </c>
      <c r="N4711" s="405" t="s">
        <v>20297</v>
      </c>
      <c r="O4711" s="405" t="s">
        <v>20439</v>
      </c>
      <c r="P4711" s="405" t="s">
        <v>21784</v>
      </c>
      <c r="Q4711" s="411">
        <v>6</v>
      </c>
      <c r="R4711" s="405" t="s">
        <v>874</v>
      </c>
      <c r="S4711" s="405" t="s">
        <v>27275</v>
      </c>
      <c r="T4711" s="405" t="s">
        <v>32102</v>
      </c>
      <c r="U4711" s="405" t="s">
        <v>319</v>
      </c>
    </row>
    <row r="4712" spans="1:21" x14ac:dyDescent="0.25">
      <c r="A4712" s="405" t="s">
        <v>310</v>
      </c>
      <c r="B4712" s="405" t="s">
        <v>21794</v>
      </c>
      <c r="C4712" s="405" t="s">
        <v>327</v>
      </c>
      <c r="D4712" s="405"/>
      <c r="E4712" s="410">
        <v>41868</v>
      </c>
      <c r="F4712" s="410">
        <v>41913</v>
      </c>
      <c r="G4712" s="405" t="s">
        <v>21795</v>
      </c>
      <c r="H4712" s="405">
        <v>771436238</v>
      </c>
      <c r="I4712" s="405"/>
      <c r="J4712" s="405">
        <v>8.0503000000000005E-2</v>
      </c>
      <c r="K4712" s="405">
        <v>30.412272999999999</v>
      </c>
      <c r="L4712" s="405" t="s">
        <v>590</v>
      </c>
      <c r="M4712" s="405" t="s">
        <v>19720</v>
      </c>
      <c r="N4712" s="405" t="s">
        <v>20297</v>
      </c>
      <c r="O4712" s="405" t="s">
        <v>20439</v>
      </c>
      <c r="P4712" s="405" t="s">
        <v>21796</v>
      </c>
      <c r="Q4712" s="411">
        <v>6</v>
      </c>
      <c r="R4712" s="405" t="s">
        <v>874</v>
      </c>
      <c r="S4712" s="405" t="s">
        <v>27275</v>
      </c>
      <c r="T4712" s="405" t="s">
        <v>32102</v>
      </c>
      <c r="U4712" s="405" t="s">
        <v>319</v>
      </c>
    </row>
    <row r="4713" spans="1:21" x14ac:dyDescent="0.25">
      <c r="A4713" s="405" t="s">
        <v>310</v>
      </c>
      <c r="B4713" s="405" t="s">
        <v>13922</v>
      </c>
      <c r="C4713" s="405" t="s">
        <v>327</v>
      </c>
      <c r="D4713" s="405"/>
      <c r="E4713" s="410">
        <v>41867</v>
      </c>
      <c r="F4713" s="410">
        <v>41912</v>
      </c>
      <c r="G4713" s="405" t="s">
        <v>13923</v>
      </c>
      <c r="H4713" s="405">
        <v>756196011</v>
      </c>
      <c r="I4713" s="405"/>
      <c r="J4713" s="405">
        <v>1.924963</v>
      </c>
      <c r="K4713" s="405">
        <v>33.679737000000003</v>
      </c>
      <c r="L4713" s="405" t="s">
        <v>6866</v>
      </c>
      <c r="M4713" s="405" t="s">
        <v>10515</v>
      </c>
      <c r="N4713" s="405" t="s">
        <v>10495</v>
      </c>
      <c r="O4713" s="405" t="s">
        <v>11435</v>
      </c>
      <c r="P4713" s="405" t="s">
        <v>13924</v>
      </c>
      <c r="Q4713" s="411">
        <v>6</v>
      </c>
      <c r="R4713" s="405" t="s">
        <v>5655</v>
      </c>
      <c r="S4713" s="405" t="s">
        <v>27056</v>
      </c>
      <c r="T4713" s="405" t="s">
        <v>32102</v>
      </c>
      <c r="U4713" s="405" t="s">
        <v>319</v>
      </c>
    </row>
    <row r="4714" spans="1:21" x14ac:dyDescent="0.25">
      <c r="A4714" s="405" t="s">
        <v>310</v>
      </c>
      <c r="B4714" s="405" t="s">
        <v>13899</v>
      </c>
      <c r="C4714" s="405" t="s">
        <v>327</v>
      </c>
      <c r="D4714" s="405"/>
      <c r="E4714" s="410">
        <v>41867</v>
      </c>
      <c r="F4714" s="410">
        <v>41912</v>
      </c>
      <c r="G4714" s="405" t="s">
        <v>13900</v>
      </c>
      <c r="H4714" s="405">
        <v>788867209</v>
      </c>
      <c r="I4714" s="405"/>
      <c r="J4714" s="405">
        <v>0.82788300000000004</v>
      </c>
      <c r="K4714" s="405">
        <v>33.813848</v>
      </c>
      <c r="L4714" s="405" t="s">
        <v>6866</v>
      </c>
      <c r="M4714" s="405" t="s">
        <v>9566</v>
      </c>
      <c r="N4714" s="405" t="s">
        <v>9787</v>
      </c>
      <c r="O4714" s="405" t="s">
        <v>13884</v>
      </c>
      <c r="P4714" s="405" t="s">
        <v>13901</v>
      </c>
      <c r="Q4714" s="411">
        <v>6</v>
      </c>
      <c r="R4714" s="405" t="s">
        <v>5655</v>
      </c>
      <c r="S4714" s="405" t="s">
        <v>27184</v>
      </c>
      <c r="T4714" s="405" t="s">
        <v>884</v>
      </c>
      <c r="U4714" s="405" t="s">
        <v>319</v>
      </c>
    </row>
    <row r="4715" spans="1:21" x14ac:dyDescent="0.25">
      <c r="A4715" s="405" t="s">
        <v>310</v>
      </c>
      <c r="B4715" s="405" t="s">
        <v>13927</v>
      </c>
      <c r="C4715" s="405" t="s">
        <v>327</v>
      </c>
      <c r="D4715" s="405"/>
      <c r="E4715" s="410">
        <v>41867</v>
      </c>
      <c r="F4715" s="410">
        <v>41912</v>
      </c>
      <c r="G4715" s="405" t="s">
        <v>13928</v>
      </c>
      <c r="H4715" s="405">
        <v>788324332</v>
      </c>
      <c r="I4715" s="405"/>
      <c r="J4715" s="405">
        <v>1.919413</v>
      </c>
      <c r="K4715" s="405">
        <v>33.690018000000002</v>
      </c>
      <c r="L4715" s="405" t="s">
        <v>6866</v>
      </c>
      <c r="M4715" s="405" t="s">
        <v>10495</v>
      </c>
      <c r="N4715" s="405" t="s">
        <v>10495</v>
      </c>
      <c r="O4715" s="405" t="s">
        <v>11435</v>
      </c>
      <c r="P4715" s="405" t="s">
        <v>13929</v>
      </c>
      <c r="Q4715" s="411">
        <v>6</v>
      </c>
      <c r="R4715" s="405" t="s">
        <v>5655</v>
      </c>
      <c r="S4715" s="405" t="s">
        <v>27345</v>
      </c>
      <c r="T4715" s="405" t="s">
        <v>32102</v>
      </c>
      <c r="U4715" s="405" t="s">
        <v>319</v>
      </c>
    </row>
    <row r="4716" spans="1:21" x14ac:dyDescent="0.25">
      <c r="A4716" s="405" t="s">
        <v>310</v>
      </c>
      <c r="B4716" s="405" t="s">
        <v>13877</v>
      </c>
      <c r="C4716" s="405" t="s">
        <v>327</v>
      </c>
      <c r="D4716" s="405"/>
      <c r="E4716" s="410">
        <v>41866</v>
      </c>
      <c r="F4716" s="410">
        <v>41911</v>
      </c>
      <c r="G4716" s="405" t="s">
        <v>13878</v>
      </c>
      <c r="H4716" s="405">
        <v>754740964</v>
      </c>
      <c r="I4716" s="405"/>
      <c r="J4716" s="405">
        <v>0.76930200000000004</v>
      </c>
      <c r="K4716" s="405">
        <v>33.895811999999999</v>
      </c>
      <c r="L4716" s="405" t="s">
        <v>6866</v>
      </c>
      <c r="M4716" s="405" t="s">
        <v>9566</v>
      </c>
      <c r="N4716" s="405" t="s">
        <v>9787</v>
      </c>
      <c r="O4716" s="405" t="s">
        <v>9788</v>
      </c>
      <c r="P4716" s="405" t="s">
        <v>13879</v>
      </c>
      <c r="Q4716" s="411">
        <v>6</v>
      </c>
      <c r="R4716" s="405" t="s">
        <v>5655</v>
      </c>
      <c r="S4716" s="405" t="s">
        <v>27335</v>
      </c>
      <c r="T4716" s="405" t="s">
        <v>32102</v>
      </c>
      <c r="U4716" s="405" t="s">
        <v>319</v>
      </c>
    </row>
    <row r="4717" spans="1:21" x14ac:dyDescent="0.25">
      <c r="A4717" s="405" t="s">
        <v>310</v>
      </c>
      <c r="B4717" s="405" t="s">
        <v>28477</v>
      </c>
      <c r="C4717" s="405" t="s">
        <v>857</v>
      </c>
      <c r="D4717" s="405" t="s">
        <v>2515</v>
      </c>
      <c r="E4717" s="410">
        <v>41865</v>
      </c>
      <c r="F4717" s="410">
        <v>41910</v>
      </c>
      <c r="G4717" s="405" t="s">
        <v>14222</v>
      </c>
      <c r="H4717" s="405">
        <v>771486000</v>
      </c>
      <c r="I4717" s="405"/>
      <c r="J4717" s="405">
        <v>0.81101400000000001</v>
      </c>
      <c r="K4717" s="405">
        <v>33.823421000000003</v>
      </c>
      <c r="L4717" s="405" t="s">
        <v>6866</v>
      </c>
      <c r="M4717" s="405" t="s">
        <v>9566</v>
      </c>
      <c r="N4717" s="405" t="s">
        <v>9787</v>
      </c>
      <c r="O4717" s="405" t="s">
        <v>13884</v>
      </c>
      <c r="P4717" s="405" t="s">
        <v>14223</v>
      </c>
      <c r="Q4717" s="411">
        <v>6</v>
      </c>
      <c r="R4717" s="405" t="s">
        <v>5655</v>
      </c>
      <c r="S4717" s="405" t="s">
        <v>27347</v>
      </c>
      <c r="T4717" s="405" t="s">
        <v>32102</v>
      </c>
      <c r="U4717" s="405" t="s">
        <v>319</v>
      </c>
    </row>
    <row r="4718" spans="1:21" x14ac:dyDescent="0.25">
      <c r="A4718" s="405" t="s">
        <v>310</v>
      </c>
      <c r="B4718" s="405" t="s">
        <v>13874</v>
      </c>
      <c r="C4718" s="405" t="s">
        <v>327</v>
      </c>
      <c r="D4718" s="405"/>
      <c r="E4718" s="410">
        <v>41865</v>
      </c>
      <c r="F4718" s="410">
        <v>41910</v>
      </c>
      <c r="G4718" s="405" t="s">
        <v>13875</v>
      </c>
      <c r="H4718" s="405">
        <v>754494206</v>
      </c>
      <c r="I4718" s="405"/>
      <c r="J4718" s="405">
        <v>0.774837</v>
      </c>
      <c r="K4718" s="405">
        <v>33.909430999999998</v>
      </c>
      <c r="L4718" s="405" t="s">
        <v>6866</v>
      </c>
      <c r="M4718" s="405" t="s">
        <v>9566</v>
      </c>
      <c r="N4718" s="405" t="s">
        <v>9787</v>
      </c>
      <c r="O4718" s="405" t="s">
        <v>9788</v>
      </c>
      <c r="P4718" s="405" t="s">
        <v>13876</v>
      </c>
      <c r="Q4718" s="411">
        <v>6</v>
      </c>
      <c r="R4718" s="405" t="s">
        <v>5655</v>
      </c>
      <c r="S4718" s="405" t="s">
        <v>27169</v>
      </c>
      <c r="T4718" s="405" t="s">
        <v>32102</v>
      </c>
      <c r="U4718" s="405" t="s">
        <v>319</v>
      </c>
    </row>
    <row r="4719" spans="1:21" x14ac:dyDescent="0.25">
      <c r="A4719" s="405" t="s">
        <v>310</v>
      </c>
      <c r="B4719" s="405" t="s">
        <v>13917</v>
      </c>
      <c r="C4719" s="405" t="s">
        <v>327</v>
      </c>
      <c r="D4719" s="405"/>
      <c r="E4719" s="410">
        <v>41865</v>
      </c>
      <c r="F4719" s="410">
        <v>41910</v>
      </c>
      <c r="G4719" s="405" t="s">
        <v>13918</v>
      </c>
      <c r="H4719" s="405">
        <v>757452768</v>
      </c>
      <c r="I4719" s="405"/>
      <c r="J4719" s="405">
        <v>1.94153</v>
      </c>
      <c r="K4719" s="405">
        <v>33.528022</v>
      </c>
      <c r="L4719" s="405" t="s">
        <v>6866</v>
      </c>
      <c r="M4719" s="405" t="s">
        <v>10515</v>
      </c>
      <c r="N4719" s="405" t="s">
        <v>10525</v>
      </c>
      <c r="O4719" s="405" t="s">
        <v>13074</v>
      </c>
      <c r="P4719" s="405" t="s">
        <v>10953</v>
      </c>
      <c r="Q4719" s="411">
        <v>6</v>
      </c>
      <c r="R4719" s="405" t="s">
        <v>7224</v>
      </c>
      <c r="S4719" s="405" t="s">
        <v>27298</v>
      </c>
      <c r="T4719" s="405" t="s">
        <v>32102</v>
      </c>
      <c r="U4719" s="405" t="s">
        <v>319</v>
      </c>
    </row>
    <row r="4720" spans="1:21" x14ac:dyDescent="0.25">
      <c r="A4720" s="405" t="s">
        <v>310</v>
      </c>
      <c r="B4720" s="405" t="s">
        <v>13931</v>
      </c>
      <c r="C4720" s="405" t="s">
        <v>327</v>
      </c>
      <c r="D4720" s="405"/>
      <c r="E4720" s="410">
        <v>41864</v>
      </c>
      <c r="F4720" s="410">
        <v>41909</v>
      </c>
      <c r="G4720" s="405" t="s">
        <v>13932</v>
      </c>
      <c r="H4720" s="405">
        <v>786460793</v>
      </c>
      <c r="I4720" s="405">
        <v>786460793</v>
      </c>
      <c r="J4720" s="405">
        <v>1.9753080000000001</v>
      </c>
      <c r="K4720" s="405">
        <v>33.468451999999999</v>
      </c>
      <c r="L4720" s="405" t="s">
        <v>6866</v>
      </c>
      <c r="M4720" s="405" t="s">
        <v>10515</v>
      </c>
      <c r="N4720" s="405" t="s">
        <v>10525</v>
      </c>
      <c r="O4720" s="405" t="s">
        <v>13074</v>
      </c>
      <c r="P4720" s="405" t="s">
        <v>13933</v>
      </c>
      <c r="Q4720" s="411">
        <v>6</v>
      </c>
      <c r="R4720" s="405" t="s">
        <v>7224</v>
      </c>
      <c r="S4720" s="405" t="s">
        <v>27306</v>
      </c>
      <c r="T4720" s="405" t="s">
        <v>884</v>
      </c>
      <c r="U4720" s="405" t="s">
        <v>319</v>
      </c>
    </row>
    <row r="4721" spans="1:21" x14ac:dyDescent="0.25">
      <c r="A4721" s="405" t="s">
        <v>310</v>
      </c>
      <c r="B4721" s="405" t="s">
        <v>28226</v>
      </c>
      <c r="C4721" s="405" t="s">
        <v>327</v>
      </c>
      <c r="D4721" s="405"/>
      <c r="E4721" s="410">
        <v>41864</v>
      </c>
      <c r="F4721" s="410">
        <v>41909</v>
      </c>
      <c r="G4721" s="405" t="s">
        <v>13825</v>
      </c>
      <c r="H4721" s="405">
        <v>777042520</v>
      </c>
      <c r="I4721" s="405"/>
      <c r="J4721" s="405">
        <v>1.10389</v>
      </c>
      <c r="K4721" s="405">
        <v>34.213771999999999</v>
      </c>
      <c r="L4721" s="405" t="s">
        <v>6866</v>
      </c>
      <c r="M4721" s="405" t="s">
        <v>9514</v>
      </c>
      <c r="N4721" s="405" t="s">
        <v>9529</v>
      </c>
      <c r="O4721" s="405" t="s">
        <v>9530</v>
      </c>
      <c r="P4721" s="405" t="s">
        <v>12561</v>
      </c>
      <c r="Q4721" s="411">
        <v>6</v>
      </c>
      <c r="R4721" s="405" t="s">
        <v>5655</v>
      </c>
      <c r="S4721" s="405" t="s">
        <v>27337</v>
      </c>
      <c r="T4721" s="405" t="s">
        <v>884</v>
      </c>
      <c r="U4721" s="405" t="s">
        <v>319</v>
      </c>
    </row>
    <row r="4722" spans="1:21" x14ac:dyDescent="0.25">
      <c r="A4722" s="405" t="s">
        <v>310</v>
      </c>
      <c r="B4722" s="405" t="s">
        <v>13902</v>
      </c>
      <c r="C4722" s="405" t="s">
        <v>327</v>
      </c>
      <c r="D4722" s="405"/>
      <c r="E4722" s="410">
        <v>41864</v>
      </c>
      <c r="F4722" s="410">
        <v>41909</v>
      </c>
      <c r="G4722" s="405" t="s">
        <v>13903</v>
      </c>
      <c r="H4722" s="405">
        <v>754845416</v>
      </c>
      <c r="I4722" s="405"/>
      <c r="J4722" s="405">
        <v>0.82394800000000001</v>
      </c>
      <c r="K4722" s="405">
        <v>33.814003999999997</v>
      </c>
      <c r="L4722" s="405" t="s">
        <v>6866</v>
      </c>
      <c r="M4722" s="405" t="s">
        <v>9566</v>
      </c>
      <c r="N4722" s="405" t="s">
        <v>9787</v>
      </c>
      <c r="O4722" s="405" t="s">
        <v>13884</v>
      </c>
      <c r="P4722" s="405" t="s">
        <v>13901</v>
      </c>
      <c r="Q4722" s="411">
        <v>6</v>
      </c>
      <c r="R4722" s="405" t="s">
        <v>5655</v>
      </c>
      <c r="S4722" s="405" t="s">
        <v>27337</v>
      </c>
      <c r="T4722" s="405" t="s">
        <v>32102</v>
      </c>
      <c r="U4722" s="405" t="s">
        <v>319</v>
      </c>
    </row>
    <row r="4723" spans="1:21" x14ac:dyDescent="0.25">
      <c r="A4723" s="405" t="s">
        <v>310</v>
      </c>
      <c r="B4723" s="405" t="s">
        <v>13942</v>
      </c>
      <c r="C4723" s="405" t="s">
        <v>327</v>
      </c>
      <c r="D4723" s="405"/>
      <c r="E4723" s="410">
        <v>41863</v>
      </c>
      <c r="F4723" s="410">
        <v>41908</v>
      </c>
      <c r="G4723" s="405" t="s">
        <v>13943</v>
      </c>
      <c r="H4723" s="405">
        <v>775436522</v>
      </c>
      <c r="I4723" s="405"/>
      <c r="J4723" s="405">
        <v>1.9206829999999999</v>
      </c>
      <c r="K4723" s="405">
        <v>33.712766999999999</v>
      </c>
      <c r="L4723" s="405" t="s">
        <v>6866</v>
      </c>
      <c r="M4723" s="405" t="s">
        <v>10495</v>
      </c>
      <c r="N4723" s="405" t="s">
        <v>10495</v>
      </c>
      <c r="O4723" s="405" t="s">
        <v>11435</v>
      </c>
      <c r="P4723" s="405" t="s">
        <v>13944</v>
      </c>
      <c r="Q4723" s="411">
        <v>6</v>
      </c>
      <c r="R4723" s="405" t="s">
        <v>5655</v>
      </c>
      <c r="S4723" s="405" t="s">
        <v>27072</v>
      </c>
      <c r="T4723" s="405" t="s">
        <v>32102</v>
      </c>
      <c r="U4723" s="405" t="s">
        <v>319</v>
      </c>
    </row>
    <row r="4724" spans="1:21" x14ac:dyDescent="0.25">
      <c r="A4724" s="405" t="s">
        <v>310</v>
      </c>
      <c r="B4724" s="405" t="s">
        <v>13945</v>
      </c>
      <c r="C4724" s="405" t="s">
        <v>327</v>
      </c>
      <c r="D4724" s="405"/>
      <c r="E4724" s="410">
        <v>41862</v>
      </c>
      <c r="F4724" s="410">
        <v>41907</v>
      </c>
      <c r="G4724" s="405" t="s">
        <v>13946</v>
      </c>
      <c r="H4724" s="405">
        <v>771462370</v>
      </c>
      <c r="I4724" s="405"/>
      <c r="J4724" s="405">
        <v>1.914933</v>
      </c>
      <c r="K4724" s="405">
        <v>33.713025000000002</v>
      </c>
      <c r="L4724" s="405" t="s">
        <v>6866</v>
      </c>
      <c r="M4724" s="405" t="s">
        <v>10495</v>
      </c>
      <c r="N4724" s="405" t="s">
        <v>10495</v>
      </c>
      <c r="O4724" s="405" t="s">
        <v>11435</v>
      </c>
      <c r="P4724" s="405" t="s">
        <v>13944</v>
      </c>
      <c r="Q4724" s="411">
        <v>6</v>
      </c>
      <c r="R4724" s="405" t="s">
        <v>5655</v>
      </c>
      <c r="S4724" s="405" t="s">
        <v>27041</v>
      </c>
      <c r="T4724" s="405" t="s">
        <v>884</v>
      </c>
      <c r="U4724" s="405" t="s">
        <v>319</v>
      </c>
    </row>
    <row r="4725" spans="1:21" x14ac:dyDescent="0.25">
      <c r="A4725" s="405" t="s">
        <v>310</v>
      </c>
      <c r="B4725" s="405" t="s">
        <v>13880</v>
      </c>
      <c r="C4725" s="405" t="s">
        <v>327</v>
      </c>
      <c r="D4725" s="405"/>
      <c r="E4725" s="410">
        <v>41862</v>
      </c>
      <c r="F4725" s="410">
        <v>41907</v>
      </c>
      <c r="G4725" s="405" t="s">
        <v>13881</v>
      </c>
      <c r="H4725" s="405">
        <v>783073129</v>
      </c>
      <c r="I4725" s="405">
        <v>779522179</v>
      </c>
      <c r="J4725" s="405">
        <v>0.76299700000000004</v>
      </c>
      <c r="K4725" s="405">
        <v>33.902912999999998</v>
      </c>
      <c r="L4725" s="405" t="s">
        <v>6866</v>
      </c>
      <c r="M4725" s="405" t="s">
        <v>9566</v>
      </c>
      <c r="N4725" s="405" t="s">
        <v>9787</v>
      </c>
      <c r="O4725" s="405" t="s">
        <v>9788</v>
      </c>
      <c r="P4725" s="405" t="s">
        <v>13882</v>
      </c>
      <c r="Q4725" s="411">
        <v>6</v>
      </c>
      <c r="R4725" s="405" t="s">
        <v>5655</v>
      </c>
      <c r="S4725" s="405" t="s">
        <v>27318</v>
      </c>
      <c r="T4725" s="405" t="s">
        <v>884</v>
      </c>
      <c r="U4725" s="405" t="s">
        <v>319</v>
      </c>
    </row>
    <row r="4726" spans="1:21" x14ac:dyDescent="0.25">
      <c r="A4726" s="405" t="s">
        <v>310</v>
      </c>
      <c r="B4726" s="405" t="s">
        <v>13834</v>
      </c>
      <c r="C4726" s="405" t="s">
        <v>327</v>
      </c>
      <c r="D4726" s="405"/>
      <c r="E4726" s="410">
        <v>41862</v>
      </c>
      <c r="F4726" s="410">
        <v>41907</v>
      </c>
      <c r="G4726" s="405" t="s">
        <v>13835</v>
      </c>
      <c r="H4726" s="405">
        <v>771895085</v>
      </c>
      <c r="I4726" s="405">
        <v>705979292</v>
      </c>
      <c r="J4726" s="405">
        <v>1.142082</v>
      </c>
      <c r="K4726" s="405">
        <v>34.202556999999999</v>
      </c>
      <c r="L4726" s="405" t="s">
        <v>6866</v>
      </c>
      <c r="M4726" s="405" t="s">
        <v>9514</v>
      </c>
      <c r="N4726" s="405" t="s">
        <v>9529</v>
      </c>
      <c r="O4726" s="405" t="s">
        <v>9530</v>
      </c>
      <c r="P4726" s="405" t="s">
        <v>13538</v>
      </c>
      <c r="Q4726" s="411">
        <v>6</v>
      </c>
      <c r="R4726" s="405" t="s">
        <v>7224</v>
      </c>
      <c r="S4726" s="405" t="s">
        <v>27086</v>
      </c>
      <c r="T4726" s="405" t="s">
        <v>884</v>
      </c>
      <c r="U4726" s="405" t="s">
        <v>319</v>
      </c>
    </row>
    <row r="4727" spans="1:21" x14ac:dyDescent="0.25">
      <c r="A4727" s="405" t="s">
        <v>310</v>
      </c>
      <c r="B4727" s="405" t="s">
        <v>13886</v>
      </c>
      <c r="C4727" s="405" t="s">
        <v>327</v>
      </c>
      <c r="D4727" s="405"/>
      <c r="E4727" s="410">
        <v>41861</v>
      </c>
      <c r="F4727" s="410">
        <v>41906</v>
      </c>
      <c r="G4727" s="405" t="s">
        <v>13887</v>
      </c>
      <c r="H4727" s="405">
        <v>758195933</v>
      </c>
      <c r="I4727" s="405"/>
      <c r="J4727" s="405">
        <v>0.82139099999999998</v>
      </c>
      <c r="K4727" s="405">
        <v>33.807186999999999</v>
      </c>
      <c r="L4727" s="405" t="s">
        <v>6866</v>
      </c>
      <c r="M4727" s="405" t="s">
        <v>9566</v>
      </c>
      <c r="N4727" s="405" t="s">
        <v>9787</v>
      </c>
      <c r="O4727" s="405" t="s">
        <v>13884</v>
      </c>
      <c r="P4727" s="405" t="s">
        <v>13885</v>
      </c>
      <c r="Q4727" s="411">
        <v>6</v>
      </c>
      <c r="R4727" s="405" t="s">
        <v>5655</v>
      </c>
      <c r="S4727" s="405" t="s">
        <v>27347</v>
      </c>
      <c r="T4727" s="405" t="s">
        <v>32102</v>
      </c>
      <c r="U4727" s="405" t="s">
        <v>319</v>
      </c>
    </row>
    <row r="4728" spans="1:21" x14ac:dyDescent="0.25">
      <c r="A4728" s="405" t="s">
        <v>310</v>
      </c>
      <c r="B4728" s="405" t="s">
        <v>21754</v>
      </c>
      <c r="C4728" s="405" t="s">
        <v>327</v>
      </c>
      <c r="D4728" s="405"/>
      <c r="E4728" s="410">
        <v>41860</v>
      </c>
      <c r="F4728" s="410">
        <v>41905</v>
      </c>
      <c r="G4728" s="405" t="s">
        <v>21755</v>
      </c>
      <c r="H4728" s="405">
        <v>772465594</v>
      </c>
      <c r="I4728" s="405"/>
      <c r="J4728" s="405">
        <v>0.321378</v>
      </c>
      <c r="K4728" s="405">
        <v>30.460923999999999</v>
      </c>
      <c r="L4728" s="405" t="s">
        <v>590</v>
      </c>
      <c r="M4728" s="405" t="s">
        <v>19720</v>
      </c>
      <c r="N4728" s="405" t="s">
        <v>7352</v>
      </c>
      <c r="O4728" s="405" t="s">
        <v>21587</v>
      </c>
      <c r="P4728" s="405" t="s">
        <v>7374</v>
      </c>
      <c r="Q4728" s="411">
        <v>9</v>
      </c>
      <c r="R4728" s="405" t="s">
        <v>402</v>
      </c>
      <c r="S4728" s="405" t="s">
        <v>27154</v>
      </c>
      <c r="T4728" s="405" t="s">
        <v>32102</v>
      </c>
      <c r="U4728" s="405" t="s">
        <v>319</v>
      </c>
    </row>
    <row r="4729" spans="1:21" x14ac:dyDescent="0.25">
      <c r="A4729" s="405" t="s">
        <v>310</v>
      </c>
      <c r="B4729" s="405" t="s">
        <v>13890</v>
      </c>
      <c r="C4729" s="405" t="s">
        <v>327</v>
      </c>
      <c r="D4729" s="405"/>
      <c r="E4729" s="410">
        <v>41860</v>
      </c>
      <c r="F4729" s="410">
        <v>41905</v>
      </c>
      <c r="G4729" s="405" t="s">
        <v>13891</v>
      </c>
      <c r="H4729" s="405">
        <v>774131212</v>
      </c>
      <c r="I4729" s="405"/>
      <c r="J4729" s="405">
        <v>0.83925499999999997</v>
      </c>
      <c r="K4729" s="405">
        <v>33.807262999999999</v>
      </c>
      <c r="L4729" s="405" t="s">
        <v>6866</v>
      </c>
      <c r="M4729" s="405" t="s">
        <v>9566</v>
      </c>
      <c r="N4729" s="405" t="s">
        <v>9787</v>
      </c>
      <c r="O4729" s="405" t="s">
        <v>13884</v>
      </c>
      <c r="P4729" s="405" t="s">
        <v>13889</v>
      </c>
      <c r="Q4729" s="411">
        <v>6</v>
      </c>
      <c r="R4729" s="405" t="s">
        <v>5655</v>
      </c>
      <c r="S4729" s="405" t="s">
        <v>27346</v>
      </c>
      <c r="T4729" s="405" t="s">
        <v>32102</v>
      </c>
      <c r="U4729" s="405" t="s">
        <v>319</v>
      </c>
    </row>
    <row r="4730" spans="1:21" x14ac:dyDescent="0.25">
      <c r="A4730" s="405" t="s">
        <v>310</v>
      </c>
      <c r="B4730" s="405" t="s">
        <v>28378</v>
      </c>
      <c r="C4730" s="405" t="s">
        <v>327</v>
      </c>
      <c r="D4730" s="405"/>
      <c r="E4730" s="410">
        <v>41859</v>
      </c>
      <c r="F4730" s="410">
        <v>41904</v>
      </c>
      <c r="G4730" s="405" t="s">
        <v>13955</v>
      </c>
      <c r="H4730" s="405">
        <v>773920832</v>
      </c>
      <c r="I4730" s="405"/>
      <c r="J4730" s="405">
        <v>1.0290820000000001</v>
      </c>
      <c r="K4730" s="405">
        <v>34.373359999999998</v>
      </c>
      <c r="L4730" s="405" t="s">
        <v>6866</v>
      </c>
      <c r="M4730" s="405" t="s">
        <v>6867</v>
      </c>
      <c r="N4730" s="405" t="s">
        <v>12252</v>
      </c>
      <c r="O4730" s="405" t="s">
        <v>12252</v>
      </c>
      <c r="P4730" s="405" t="s">
        <v>13956</v>
      </c>
      <c r="Q4730" s="411">
        <v>6</v>
      </c>
      <c r="R4730" s="405" t="s">
        <v>7224</v>
      </c>
      <c r="S4730" s="405" t="s">
        <v>27298</v>
      </c>
      <c r="T4730" s="405" t="s">
        <v>884</v>
      </c>
      <c r="U4730" s="405" t="s">
        <v>319</v>
      </c>
    </row>
    <row r="4731" spans="1:21" x14ac:dyDescent="0.25">
      <c r="A4731" s="405" t="s">
        <v>310</v>
      </c>
      <c r="B4731" s="405" t="s">
        <v>29108</v>
      </c>
      <c r="C4731" s="405" t="s">
        <v>327</v>
      </c>
      <c r="D4731" s="405"/>
      <c r="E4731" s="410">
        <v>41858</v>
      </c>
      <c r="F4731" s="410">
        <v>41903</v>
      </c>
      <c r="G4731" s="405" t="s">
        <v>13954</v>
      </c>
      <c r="H4731" s="405">
        <v>783123712</v>
      </c>
      <c r="I4731" s="405"/>
      <c r="J4731" s="405">
        <v>1.0275650000000001</v>
      </c>
      <c r="K4731" s="405">
        <v>34.373576999999997</v>
      </c>
      <c r="L4731" s="405" t="s">
        <v>6866</v>
      </c>
      <c r="M4731" s="405" t="s">
        <v>6867</v>
      </c>
      <c r="N4731" s="405" t="s">
        <v>12252</v>
      </c>
      <c r="O4731" s="405" t="s">
        <v>12252</v>
      </c>
      <c r="P4731" s="405" t="s">
        <v>12820</v>
      </c>
      <c r="Q4731" s="411">
        <v>6</v>
      </c>
      <c r="R4731" s="405" t="s">
        <v>7224</v>
      </c>
      <c r="S4731" s="405" t="s">
        <v>27306</v>
      </c>
      <c r="T4731" s="405" t="s">
        <v>32102</v>
      </c>
      <c r="U4731" s="405" t="s">
        <v>319</v>
      </c>
    </row>
    <row r="4732" spans="1:21" x14ac:dyDescent="0.25">
      <c r="A4732" s="405" t="s">
        <v>310</v>
      </c>
      <c r="B4732" s="405" t="s">
        <v>5332</v>
      </c>
      <c r="C4732" s="405" t="s">
        <v>327</v>
      </c>
      <c r="D4732" s="405"/>
      <c r="E4732" s="410">
        <v>41857</v>
      </c>
      <c r="F4732" s="410">
        <v>41902</v>
      </c>
      <c r="G4732" s="405" t="s">
        <v>5333</v>
      </c>
      <c r="H4732" s="405">
        <v>702331360</v>
      </c>
      <c r="I4732" s="405">
        <v>782041102</v>
      </c>
      <c r="J4732" s="405">
        <v>-0.35399720000000001</v>
      </c>
      <c r="K4732" s="405">
        <v>31.729342200000001</v>
      </c>
      <c r="L4732" s="405" t="s">
        <v>314</v>
      </c>
      <c r="M4732" s="405" t="s">
        <v>382</v>
      </c>
      <c r="N4732" s="405" t="s">
        <v>5061</v>
      </c>
      <c r="O4732" s="405" t="s">
        <v>894</v>
      </c>
      <c r="P4732" s="405" t="s">
        <v>5334</v>
      </c>
      <c r="Q4732" s="411">
        <v>6</v>
      </c>
      <c r="R4732" s="405" t="s">
        <v>402</v>
      </c>
      <c r="S4732" s="405" t="s">
        <v>27164</v>
      </c>
      <c r="T4732" s="405" t="s">
        <v>884</v>
      </c>
      <c r="U4732" s="405" t="s">
        <v>319</v>
      </c>
    </row>
    <row r="4733" spans="1:21" x14ac:dyDescent="0.25">
      <c r="A4733" s="405" t="s">
        <v>310</v>
      </c>
      <c r="B4733" s="405" t="s">
        <v>13907</v>
      </c>
      <c r="C4733" s="405" t="s">
        <v>327</v>
      </c>
      <c r="D4733" s="405"/>
      <c r="E4733" s="410">
        <v>41856</v>
      </c>
      <c r="F4733" s="410">
        <v>41901</v>
      </c>
      <c r="G4733" s="405" t="s">
        <v>13908</v>
      </c>
      <c r="H4733" s="405">
        <v>777175060</v>
      </c>
      <c r="I4733" s="405"/>
      <c r="J4733" s="405">
        <v>1.991868</v>
      </c>
      <c r="K4733" s="405">
        <v>33.466970000000003</v>
      </c>
      <c r="L4733" s="405" t="s">
        <v>6866</v>
      </c>
      <c r="M4733" s="405" t="s">
        <v>10515</v>
      </c>
      <c r="N4733" s="405" t="s">
        <v>10525</v>
      </c>
      <c r="O4733" s="405" t="s">
        <v>13074</v>
      </c>
      <c r="P4733" s="405" t="s">
        <v>13909</v>
      </c>
      <c r="Q4733" s="411">
        <v>6</v>
      </c>
      <c r="R4733" s="405" t="s">
        <v>7224</v>
      </c>
      <c r="S4733" s="405" t="s">
        <v>27067</v>
      </c>
      <c r="T4733" s="405" t="s">
        <v>32102</v>
      </c>
      <c r="U4733" s="405" t="s">
        <v>319</v>
      </c>
    </row>
    <row r="4734" spans="1:21" x14ac:dyDescent="0.25">
      <c r="A4734" s="405" t="s">
        <v>310</v>
      </c>
      <c r="B4734" s="405" t="s">
        <v>13938</v>
      </c>
      <c r="C4734" s="405" t="s">
        <v>327</v>
      </c>
      <c r="D4734" s="405"/>
      <c r="E4734" s="410">
        <v>41856</v>
      </c>
      <c r="F4734" s="410">
        <v>41901</v>
      </c>
      <c r="G4734" s="405" t="s">
        <v>13939</v>
      </c>
      <c r="H4734" s="405">
        <v>754056582</v>
      </c>
      <c r="I4734" s="405"/>
      <c r="J4734" s="405">
        <v>1.9934730000000001</v>
      </c>
      <c r="K4734" s="405">
        <v>33.510334999999998</v>
      </c>
      <c r="L4734" s="405" t="s">
        <v>6866</v>
      </c>
      <c r="M4734" s="405" t="s">
        <v>10515</v>
      </c>
      <c r="N4734" s="405" t="s">
        <v>10525</v>
      </c>
      <c r="O4734" s="405" t="s">
        <v>13074</v>
      </c>
      <c r="P4734" s="405" t="s">
        <v>13940</v>
      </c>
      <c r="Q4734" s="411">
        <v>6</v>
      </c>
      <c r="R4734" s="405" t="s">
        <v>7224</v>
      </c>
      <c r="S4734" s="405" t="s">
        <v>27204</v>
      </c>
      <c r="T4734" s="405" t="s">
        <v>32102</v>
      </c>
      <c r="U4734" s="405" t="s">
        <v>319</v>
      </c>
    </row>
    <row r="4735" spans="1:21" x14ac:dyDescent="0.25">
      <c r="A4735" s="405" t="s">
        <v>310</v>
      </c>
      <c r="B4735" s="405" t="s">
        <v>13904</v>
      </c>
      <c r="C4735" s="405" t="s">
        <v>327</v>
      </c>
      <c r="D4735" s="405"/>
      <c r="E4735" s="410">
        <v>41855</v>
      </c>
      <c r="F4735" s="410">
        <v>41900</v>
      </c>
      <c r="G4735" s="405" t="s">
        <v>13905</v>
      </c>
      <c r="H4735" s="405">
        <v>789419781</v>
      </c>
      <c r="I4735" s="405"/>
      <c r="J4735" s="405">
        <v>1.9886820000000001</v>
      </c>
      <c r="K4735" s="405">
        <v>33.474744999999999</v>
      </c>
      <c r="L4735" s="405" t="s">
        <v>6866</v>
      </c>
      <c r="M4735" s="405" t="s">
        <v>10515</v>
      </c>
      <c r="N4735" s="405" t="s">
        <v>10525</v>
      </c>
      <c r="O4735" s="405" t="s">
        <v>13074</v>
      </c>
      <c r="P4735" s="405" t="s">
        <v>13906</v>
      </c>
      <c r="Q4735" s="411">
        <v>6</v>
      </c>
      <c r="R4735" s="405" t="s">
        <v>7224</v>
      </c>
      <c r="S4735" s="405" t="s">
        <v>27298</v>
      </c>
      <c r="T4735" s="405" t="s">
        <v>32102</v>
      </c>
      <c r="U4735" s="405" t="s">
        <v>319</v>
      </c>
    </row>
    <row r="4736" spans="1:21" x14ac:dyDescent="0.25">
      <c r="A4736" s="405" t="s">
        <v>310</v>
      </c>
      <c r="B4736" s="405" t="s">
        <v>13897</v>
      </c>
      <c r="C4736" s="405" t="s">
        <v>327</v>
      </c>
      <c r="D4736" s="405"/>
      <c r="E4736" s="410">
        <v>41854</v>
      </c>
      <c r="F4736" s="410">
        <v>41899</v>
      </c>
      <c r="G4736" s="405" t="s">
        <v>13898</v>
      </c>
      <c r="H4736" s="405">
        <v>753882595</v>
      </c>
      <c r="I4736" s="405"/>
      <c r="J4736" s="405">
        <v>0.83618199999999998</v>
      </c>
      <c r="K4736" s="405">
        <v>33.803224</v>
      </c>
      <c r="L4736" s="405" t="s">
        <v>6866</v>
      </c>
      <c r="M4736" s="405" t="s">
        <v>9566</v>
      </c>
      <c r="N4736" s="405" t="s">
        <v>9787</v>
      </c>
      <c r="O4736" s="405" t="s">
        <v>13884</v>
      </c>
      <c r="P4736" s="405" t="s">
        <v>13889</v>
      </c>
      <c r="Q4736" s="411">
        <v>6</v>
      </c>
      <c r="R4736" s="405" t="s">
        <v>5655</v>
      </c>
      <c r="S4736" s="405" t="s">
        <v>27337</v>
      </c>
      <c r="T4736" s="405" t="s">
        <v>32102</v>
      </c>
      <c r="U4736" s="405" t="s">
        <v>319</v>
      </c>
    </row>
    <row r="4737" spans="1:21" x14ac:dyDescent="0.25">
      <c r="A4737" s="405" t="s">
        <v>310</v>
      </c>
      <c r="B4737" s="405" t="s">
        <v>13866</v>
      </c>
      <c r="C4737" s="405" t="s">
        <v>327</v>
      </c>
      <c r="D4737" s="405"/>
      <c r="E4737" s="410">
        <v>41854</v>
      </c>
      <c r="F4737" s="410">
        <v>41899</v>
      </c>
      <c r="G4737" s="405" t="s">
        <v>13867</v>
      </c>
      <c r="H4737" s="405">
        <v>752852824</v>
      </c>
      <c r="I4737" s="405"/>
      <c r="J4737" s="405">
        <v>0.841862</v>
      </c>
      <c r="K4737" s="405">
        <v>33.989741000000002</v>
      </c>
      <c r="L4737" s="405" t="s">
        <v>6866</v>
      </c>
      <c r="M4737" s="405" t="s">
        <v>9534</v>
      </c>
      <c r="N4737" s="405" t="s">
        <v>10085</v>
      </c>
      <c r="O4737" s="405" t="s">
        <v>10817</v>
      </c>
      <c r="P4737" s="405" t="s">
        <v>11900</v>
      </c>
      <c r="Q4737" s="411">
        <v>6</v>
      </c>
      <c r="R4737" s="405" t="s">
        <v>7224</v>
      </c>
      <c r="S4737" s="405" t="s">
        <v>27283</v>
      </c>
      <c r="T4737" s="405" t="s">
        <v>884</v>
      </c>
      <c r="U4737" s="405" t="s">
        <v>319</v>
      </c>
    </row>
    <row r="4738" spans="1:21" x14ac:dyDescent="0.25">
      <c r="A4738" s="405" t="s">
        <v>310</v>
      </c>
      <c r="B4738" s="405" t="s">
        <v>20</v>
      </c>
      <c r="C4738" s="405" t="s">
        <v>327</v>
      </c>
      <c r="D4738" s="405"/>
      <c r="E4738" s="410">
        <v>41853</v>
      </c>
      <c r="F4738" s="410">
        <v>41898</v>
      </c>
      <c r="G4738" s="405" t="s">
        <v>13930</v>
      </c>
      <c r="H4738" s="405">
        <v>756245031</v>
      </c>
      <c r="I4738" s="405"/>
      <c r="J4738" s="405">
        <v>1.9441200000000001</v>
      </c>
      <c r="K4738" s="405">
        <v>33.512360000000001</v>
      </c>
      <c r="L4738" s="405" t="s">
        <v>6866</v>
      </c>
      <c r="M4738" s="405" t="s">
        <v>10515</v>
      </c>
      <c r="N4738" s="405" t="s">
        <v>10525</v>
      </c>
      <c r="O4738" s="405" t="s">
        <v>13074</v>
      </c>
      <c r="P4738" s="405" t="s">
        <v>13770</v>
      </c>
      <c r="Q4738" s="411">
        <v>6</v>
      </c>
      <c r="R4738" s="405" t="s">
        <v>7224</v>
      </c>
      <c r="S4738" s="405" t="s">
        <v>27302</v>
      </c>
      <c r="T4738" s="405" t="s">
        <v>884</v>
      </c>
      <c r="U4738" s="405" t="s">
        <v>319</v>
      </c>
    </row>
    <row r="4739" spans="1:21" x14ac:dyDescent="0.25">
      <c r="A4739" s="405" t="s">
        <v>310</v>
      </c>
      <c r="B4739" s="405" t="s">
        <v>13871</v>
      </c>
      <c r="C4739" s="405" t="s">
        <v>327</v>
      </c>
      <c r="D4739" s="405"/>
      <c r="E4739" s="410">
        <v>41853</v>
      </c>
      <c r="F4739" s="410">
        <v>41898</v>
      </c>
      <c r="G4739" s="405" t="s">
        <v>13872</v>
      </c>
      <c r="H4739" s="405">
        <v>701601370</v>
      </c>
      <c r="I4739" s="405"/>
      <c r="J4739" s="405">
        <v>0.79668300000000003</v>
      </c>
      <c r="K4739" s="405">
        <v>33.882935000000003</v>
      </c>
      <c r="L4739" s="405" t="s">
        <v>6866</v>
      </c>
      <c r="M4739" s="405" t="s">
        <v>9566</v>
      </c>
      <c r="N4739" s="405" t="s">
        <v>9787</v>
      </c>
      <c r="O4739" s="405" t="s">
        <v>9788</v>
      </c>
      <c r="P4739" s="405" t="s">
        <v>13873</v>
      </c>
      <c r="Q4739" s="411">
        <v>6</v>
      </c>
      <c r="R4739" s="405" t="s">
        <v>5655</v>
      </c>
      <c r="S4739" s="405" t="s">
        <v>27169</v>
      </c>
      <c r="T4739" s="405" t="s">
        <v>884</v>
      </c>
      <c r="U4739" s="405" t="s">
        <v>319</v>
      </c>
    </row>
    <row r="4740" spans="1:21" x14ac:dyDescent="0.25">
      <c r="A4740" s="405" t="s">
        <v>310</v>
      </c>
      <c r="B4740" s="405" t="s">
        <v>28689</v>
      </c>
      <c r="C4740" s="405" t="s">
        <v>327</v>
      </c>
      <c r="D4740" s="405"/>
      <c r="E4740" s="410">
        <v>41852</v>
      </c>
      <c r="F4740" s="410">
        <v>41897</v>
      </c>
      <c r="G4740" s="405" t="s">
        <v>13851</v>
      </c>
      <c r="H4740" s="405">
        <v>785036878</v>
      </c>
      <c r="I4740" s="405"/>
      <c r="J4740" s="405">
        <v>0.86201000000000005</v>
      </c>
      <c r="K4740" s="405">
        <v>33.997284999999998</v>
      </c>
      <c r="L4740" s="405" t="s">
        <v>6866</v>
      </c>
      <c r="M4740" s="405" t="s">
        <v>9534</v>
      </c>
      <c r="N4740" s="405" t="s">
        <v>10085</v>
      </c>
      <c r="O4740" s="405" t="s">
        <v>10817</v>
      </c>
      <c r="P4740" s="405" t="s">
        <v>10823</v>
      </c>
      <c r="Q4740" s="411">
        <v>6</v>
      </c>
      <c r="R4740" s="405" t="s">
        <v>7224</v>
      </c>
      <c r="S4740" s="405" t="s">
        <v>27259</v>
      </c>
      <c r="T4740" s="405" t="s">
        <v>32102</v>
      </c>
      <c r="U4740" s="405" t="s">
        <v>319</v>
      </c>
    </row>
    <row r="4741" spans="1:21" x14ac:dyDescent="0.25">
      <c r="A4741" s="405" t="s">
        <v>310</v>
      </c>
      <c r="B4741" s="405" t="s">
        <v>13947</v>
      </c>
      <c r="C4741" s="405" t="s">
        <v>327</v>
      </c>
      <c r="D4741" s="405"/>
      <c r="E4741" s="410">
        <v>41852</v>
      </c>
      <c r="F4741" s="410">
        <v>41897</v>
      </c>
      <c r="G4741" s="405" t="s">
        <v>13948</v>
      </c>
      <c r="H4741" s="405">
        <v>782727728</v>
      </c>
      <c r="I4741" s="405"/>
      <c r="J4741" s="405">
        <v>1.9128780000000001</v>
      </c>
      <c r="K4741" s="405">
        <v>33.710507</v>
      </c>
      <c r="L4741" s="405" t="s">
        <v>6866</v>
      </c>
      <c r="M4741" s="405" t="s">
        <v>10495</v>
      </c>
      <c r="N4741" s="405" t="s">
        <v>10495</v>
      </c>
      <c r="O4741" s="405" t="s">
        <v>11435</v>
      </c>
      <c r="P4741" s="405" t="s">
        <v>13944</v>
      </c>
      <c r="Q4741" s="411">
        <v>6</v>
      </c>
      <c r="R4741" s="405" t="s">
        <v>5655</v>
      </c>
      <c r="S4741" s="405" t="s">
        <v>27041</v>
      </c>
      <c r="T4741" s="405" t="s">
        <v>865</v>
      </c>
      <c r="U4741" s="405" t="s">
        <v>866</v>
      </c>
    </row>
    <row r="4742" spans="1:21" x14ac:dyDescent="0.25">
      <c r="A4742" s="405" t="s">
        <v>310</v>
      </c>
      <c r="B4742" s="406" t="s">
        <v>32135</v>
      </c>
      <c r="C4742" s="405" t="s">
        <v>327</v>
      </c>
      <c r="D4742" s="405"/>
      <c r="E4742" s="406" t="s">
        <v>32136</v>
      </c>
      <c r="F4742" s="407">
        <v>45196</v>
      </c>
      <c r="G4742" s="406" t="s">
        <v>32137</v>
      </c>
      <c r="H4742" s="406" t="s">
        <v>32138</v>
      </c>
      <c r="I4742" s="406" t="s">
        <v>2913</v>
      </c>
      <c r="J4742" s="408">
        <v>0.33774100000000001</v>
      </c>
      <c r="K4742" s="408">
        <v>32.530732999999998</v>
      </c>
      <c r="L4742" s="406" t="s">
        <v>314</v>
      </c>
      <c r="M4742" s="406" t="s">
        <v>361</v>
      </c>
      <c r="N4742" s="406" t="s">
        <v>374</v>
      </c>
      <c r="O4742" s="406" t="s">
        <v>1974</v>
      </c>
      <c r="P4742" s="406" t="s">
        <v>32139</v>
      </c>
      <c r="Q4742" s="409">
        <v>45</v>
      </c>
      <c r="R4742" s="406" t="s">
        <v>9408</v>
      </c>
      <c r="S4742" s="406" t="s">
        <v>27035</v>
      </c>
      <c r="T4742" s="405" t="s">
        <v>884</v>
      </c>
      <c r="U4742" s="405" t="s">
        <v>319</v>
      </c>
    </row>
    <row r="4743" spans="1:21" x14ac:dyDescent="0.25">
      <c r="A4743" s="405" t="s">
        <v>310</v>
      </c>
      <c r="B4743" s="405" t="s">
        <v>5330</v>
      </c>
      <c r="C4743" s="405" t="s">
        <v>327</v>
      </c>
      <c r="D4743" s="405"/>
      <c r="E4743" s="410">
        <v>41851</v>
      </c>
      <c r="F4743" s="410">
        <v>41896</v>
      </c>
      <c r="G4743" s="405" t="s">
        <v>5331</v>
      </c>
      <c r="H4743" s="405">
        <v>701509524</v>
      </c>
      <c r="I4743" s="405"/>
      <c r="J4743" s="405">
        <v>0.280167</v>
      </c>
      <c r="K4743" s="405">
        <v>32.545543000000002</v>
      </c>
      <c r="L4743" s="405" t="s">
        <v>314</v>
      </c>
      <c r="M4743" s="405" t="s">
        <v>992</v>
      </c>
      <c r="N4743" s="405" t="s">
        <v>2327</v>
      </c>
      <c r="O4743" s="405" t="s">
        <v>618</v>
      </c>
      <c r="P4743" s="405" t="s">
        <v>1342</v>
      </c>
      <c r="Q4743" s="411">
        <v>9</v>
      </c>
      <c r="R4743" s="405" t="s">
        <v>525</v>
      </c>
      <c r="S4743" s="405" t="s">
        <v>27053</v>
      </c>
      <c r="T4743" s="405" t="s">
        <v>884</v>
      </c>
      <c r="U4743" s="405" t="s">
        <v>319</v>
      </c>
    </row>
    <row r="4744" spans="1:21" x14ac:dyDescent="0.25">
      <c r="A4744" s="405" t="s">
        <v>310</v>
      </c>
      <c r="B4744" s="405" t="s">
        <v>28702</v>
      </c>
      <c r="C4744" s="405" t="s">
        <v>327</v>
      </c>
      <c r="D4744" s="405"/>
      <c r="E4744" s="410">
        <v>41851</v>
      </c>
      <c r="F4744" s="410">
        <v>41896</v>
      </c>
      <c r="G4744" s="405" t="s">
        <v>13842</v>
      </c>
      <c r="H4744" s="405">
        <v>787054890</v>
      </c>
      <c r="I4744" s="405"/>
      <c r="J4744" s="405">
        <v>0.667404</v>
      </c>
      <c r="K4744" s="405">
        <v>33.936793000000002</v>
      </c>
      <c r="L4744" s="405" t="s">
        <v>6866</v>
      </c>
      <c r="M4744" s="405" t="s">
        <v>9534</v>
      </c>
      <c r="N4744" s="405" t="s">
        <v>9997</v>
      </c>
      <c r="O4744" s="405" t="s">
        <v>10918</v>
      </c>
      <c r="P4744" s="405" t="s">
        <v>12774</v>
      </c>
      <c r="Q4744" s="411">
        <v>6</v>
      </c>
      <c r="R4744" s="405" t="s">
        <v>7224</v>
      </c>
      <c r="S4744" s="405" t="s">
        <v>27041</v>
      </c>
      <c r="T4744" s="405" t="s">
        <v>32102</v>
      </c>
      <c r="U4744" s="405" t="s">
        <v>319</v>
      </c>
    </row>
    <row r="4745" spans="1:21" x14ac:dyDescent="0.25">
      <c r="A4745" s="405" t="s">
        <v>310</v>
      </c>
      <c r="B4745" s="405" t="s">
        <v>28710</v>
      </c>
      <c r="C4745" s="405" t="s">
        <v>311</v>
      </c>
      <c r="D4745" s="405" t="s">
        <v>1789</v>
      </c>
      <c r="E4745" s="410">
        <v>41851</v>
      </c>
      <c r="F4745" s="410">
        <v>41896</v>
      </c>
      <c r="G4745" s="405" t="s">
        <v>14176</v>
      </c>
      <c r="H4745" s="405">
        <v>777910670</v>
      </c>
      <c r="I4745" s="405"/>
      <c r="J4745" s="405">
        <v>0.86808399999999997</v>
      </c>
      <c r="K4745" s="405">
        <v>33.997850999999997</v>
      </c>
      <c r="L4745" s="405" t="s">
        <v>6866</v>
      </c>
      <c r="M4745" s="405" t="s">
        <v>9534</v>
      </c>
      <c r="N4745" s="405" t="s">
        <v>10085</v>
      </c>
      <c r="O4745" s="405" t="s">
        <v>10817</v>
      </c>
      <c r="P4745" s="405" t="s">
        <v>10823</v>
      </c>
      <c r="Q4745" s="411">
        <v>6</v>
      </c>
      <c r="R4745" s="405" t="s">
        <v>7224</v>
      </c>
      <c r="S4745" s="405" t="s">
        <v>27074</v>
      </c>
      <c r="T4745" s="405" t="s">
        <v>884</v>
      </c>
      <c r="U4745" s="405" t="s">
        <v>319</v>
      </c>
    </row>
    <row r="4746" spans="1:21" x14ac:dyDescent="0.25">
      <c r="A4746" s="405" t="s">
        <v>310</v>
      </c>
      <c r="B4746" s="405" t="s">
        <v>28757</v>
      </c>
      <c r="C4746" s="405" t="s">
        <v>327</v>
      </c>
      <c r="D4746" s="405"/>
      <c r="E4746" s="410">
        <v>41851</v>
      </c>
      <c r="F4746" s="410">
        <v>41896</v>
      </c>
      <c r="G4746" s="405" t="s">
        <v>13841</v>
      </c>
      <c r="H4746" s="405">
        <v>786208199</v>
      </c>
      <c r="I4746" s="405"/>
      <c r="J4746" s="405">
        <v>0.66703999999999997</v>
      </c>
      <c r="K4746" s="405">
        <v>33.939745000000002</v>
      </c>
      <c r="L4746" s="405" t="s">
        <v>6866</v>
      </c>
      <c r="M4746" s="405" t="s">
        <v>9534</v>
      </c>
      <c r="N4746" s="405" t="s">
        <v>9997</v>
      </c>
      <c r="O4746" s="405" t="s">
        <v>10918</v>
      </c>
      <c r="P4746" s="405" t="s">
        <v>12774</v>
      </c>
      <c r="Q4746" s="411">
        <v>6</v>
      </c>
      <c r="R4746" s="405" t="s">
        <v>7224</v>
      </c>
      <c r="S4746" s="405" t="s">
        <v>27203</v>
      </c>
      <c r="T4746" s="405" t="s">
        <v>32102</v>
      </c>
      <c r="U4746" s="405" t="s">
        <v>319</v>
      </c>
    </row>
    <row r="4747" spans="1:21" x14ac:dyDescent="0.25">
      <c r="A4747" s="405" t="s">
        <v>310</v>
      </c>
      <c r="B4747" s="405" t="s">
        <v>28384</v>
      </c>
      <c r="C4747" s="405" t="s">
        <v>327</v>
      </c>
      <c r="D4747" s="405"/>
      <c r="E4747" s="410">
        <v>41851</v>
      </c>
      <c r="F4747" s="410">
        <v>41896</v>
      </c>
      <c r="G4747" s="405" t="s">
        <v>13888</v>
      </c>
      <c r="H4747" s="405">
        <v>787105581</v>
      </c>
      <c r="I4747" s="405">
        <v>758093125</v>
      </c>
      <c r="J4747" s="405">
        <v>0.83376899999999998</v>
      </c>
      <c r="K4747" s="405">
        <v>33.804693</v>
      </c>
      <c r="L4747" s="405" t="s">
        <v>6866</v>
      </c>
      <c r="M4747" s="405" t="s">
        <v>9566</v>
      </c>
      <c r="N4747" s="405" t="s">
        <v>9787</v>
      </c>
      <c r="O4747" s="405" t="s">
        <v>13884</v>
      </c>
      <c r="P4747" s="405" t="s">
        <v>13889</v>
      </c>
      <c r="Q4747" s="411">
        <v>6</v>
      </c>
      <c r="R4747" s="405" t="s">
        <v>5655</v>
      </c>
      <c r="S4747" s="405" t="s">
        <v>27347</v>
      </c>
      <c r="T4747" s="405" t="s">
        <v>884</v>
      </c>
      <c r="U4747" s="405" t="s">
        <v>319</v>
      </c>
    </row>
    <row r="4748" spans="1:21" x14ac:dyDescent="0.25">
      <c r="A4748" s="405" t="s">
        <v>310</v>
      </c>
      <c r="B4748" s="405" t="s">
        <v>28518</v>
      </c>
      <c r="C4748" s="405" t="s">
        <v>327</v>
      </c>
      <c r="D4748" s="405"/>
      <c r="E4748" s="410">
        <v>41851</v>
      </c>
      <c r="F4748" s="410">
        <v>41896</v>
      </c>
      <c r="G4748" s="405" t="s">
        <v>13936</v>
      </c>
      <c r="H4748" s="405">
        <v>771462451</v>
      </c>
      <c r="I4748" s="405"/>
      <c r="J4748" s="405">
        <v>1.987795</v>
      </c>
      <c r="K4748" s="405">
        <v>33.524543000000001</v>
      </c>
      <c r="L4748" s="405" t="s">
        <v>6866</v>
      </c>
      <c r="M4748" s="405" t="s">
        <v>10515</v>
      </c>
      <c r="N4748" s="405" t="s">
        <v>10525</v>
      </c>
      <c r="O4748" s="405" t="s">
        <v>13074</v>
      </c>
      <c r="P4748" s="405" t="s">
        <v>13937</v>
      </c>
      <c r="Q4748" s="411">
        <v>6</v>
      </c>
      <c r="R4748" s="405" t="s">
        <v>7224</v>
      </c>
      <c r="S4748" s="405" t="s">
        <v>27067</v>
      </c>
      <c r="T4748" s="405" t="s">
        <v>32102</v>
      </c>
      <c r="U4748" s="405" t="s">
        <v>319</v>
      </c>
    </row>
    <row r="4749" spans="1:21" x14ac:dyDescent="0.25">
      <c r="A4749" s="405" t="s">
        <v>310</v>
      </c>
      <c r="B4749" s="405" t="s">
        <v>28789</v>
      </c>
      <c r="C4749" s="405" t="s">
        <v>327</v>
      </c>
      <c r="D4749" s="405"/>
      <c r="E4749" s="410">
        <v>41851</v>
      </c>
      <c r="F4749" s="410">
        <v>41896</v>
      </c>
      <c r="G4749" s="405" t="s">
        <v>13921</v>
      </c>
      <c r="H4749" s="405">
        <v>777766270</v>
      </c>
      <c r="I4749" s="405"/>
      <c r="J4749" s="405">
        <v>1.9053819999999999</v>
      </c>
      <c r="K4749" s="405">
        <v>33.558622999999997</v>
      </c>
      <c r="L4749" s="405" t="s">
        <v>6866</v>
      </c>
      <c r="M4749" s="405" t="s">
        <v>10515</v>
      </c>
      <c r="N4749" s="405" t="s">
        <v>10525</v>
      </c>
      <c r="O4749" s="405" t="s">
        <v>13074</v>
      </c>
      <c r="P4749" s="405" t="s">
        <v>11740</v>
      </c>
      <c r="Q4749" s="411">
        <v>6</v>
      </c>
      <c r="R4749" s="405" t="s">
        <v>7224</v>
      </c>
      <c r="S4749" s="405" t="s">
        <v>27107</v>
      </c>
      <c r="T4749" s="405" t="s">
        <v>32102</v>
      </c>
      <c r="U4749" s="405" t="s">
        <v>319</v>
      </c>
    </row>
    <row r="4750" spans="1:21" x14ac:dyDescent="0.25">
      <c r="A4750" s="405" t="s">
        <v>310</v>
      </c>
      <c r="B4750" s="405" t="s">
        <v>5328</v>
      </c>
      <c r="C4750" s="405" t="s">
        <v>327</v>
      </c>
      <c r="D4750" s="405"/>
      <c r="E4750" s="410">
        <v>41851</v>
      </c>
      <c r="F4750" s="410">
        <v>41896</v>
      </c>
      <c r="G4750" s="405" t="s">
        <v>5329</v>
      </c>
      <c r="H4750" s="405">
        <v>751654660</v>
      </c>
      <c r="I4750" s="405">
        <v>754326184</v>
      </c>
      <c r="J4750" s="405">
        <v>0.331293</v>
      </c>
      <c r="K4750" s="405">
        <v>32.832605000000001</v>
      </c>
      <c r="L4750" s="405" t="s">
        <v>314</v>
      </c>
      <c r="M4750" s="405" t="s">
        <v>329</v>
      </c>
      <c r="N4750" s="405" t="s">
        <v>803</v>
      </c>
      <c r="O4750" s="405" t="s">
        <v>653</v>
      </c>
      <c r="P4750" s="405" t="s">
        <v>3536</v>
      </c>
      <c r="Q4750" s="411">
        <v>6</v>
      </c>
      <c r="R4750" s="405" t="s">
        <v>353</v>
      </c>
      <c r="S4750" s="405" t="s">
        <v>27106</v>
      </c>
      <c r="T4750" s="405" t="s">
        <v>32102</v>
      </c>
      <c r="U4750" s="405" t="s">
        <v>319</v>
      </c>
    </row>
    <row r="4751" spans="1:21" x14ac:dyDescent="0.25">
      <c r="A4751" s="405" t="s">
        <v>310</v>
      </c>
      <c r="B4751" s="405" t="s">
        <v>13925</v>
      </c>
      <c r="C4751" s="405" t="s">
        <v>327</v>
      </c>
      <c r="D4751" s="405"/>
      <c r="E4751" s="410">
        <v>41851</v>
      </c>
      <c r="F4751" s="410">
        <v>41896</v>
      </c>
      <c r="G4751" s="405" t="s">
        <v>13926</v>
      </c>
      <c r="H4751" s="405">
        <v>777766187</v>
      </c>
      <c r="I4751" s="405"/>
      <c r="J4751" s="405">
        <v>1.1363430000000001</v>
      </c>
      <c r="K4751" s="405">
        <v>34.205097000000002</v>
      </c>
      <c r="L4751" s="405" t="s">
        <v>6866</v>
      </c>
      <c r="M4751" s="405" t="s">
        <v>9514</v>
      </c>
      <c r="N4751" s="405" t="s">
        <v>9722</v>
      </c>
      <c r="O4751" s="405" t="s">
        <v>9530</v>
      </c>
      <c r="P4751" s="405" t="s">
        <v>10082</v>
      </c>
      <c r="Q4751" s="411">
        <v>6</v>
      </c>
      <c r="R4751" s="405" t="s">
        <v>5655</v>
      </c>
      <c r="S4751" s="405" t="s">
        <v>27324</v>
      </c>
      <c r="T4751" s="405" t="s">
        <v>32102</v>
      </c>
      <c r="U4751" s="405" t="s">
        <v>319</v>
      </c>
    </row>
    <row r="4752" spans="1:21" x14ac:dyDescent="0.25">
      <c r="A4752" s="405" t="s">
        <v>310</v>
      </c>
      <c r="B4752" s="405" t="s">
        <v>13963</v>
      </c>
      <c r="C4752" s="405" t="s">
        <v>327</v>
      </c>
      <c r="D4752" s="405"/>
      <c r="E4752" s="410">
        <v>41851</v>
      </c>
      <c r="F4752" s="410">
        <v>41896</v>
      </c>
      <c r="G4752" s="405" t="s">
        <v>13964</v>
      </c>
      <c r="H4752" s="405">
        <v>782629200</v>
      </c>
      <c r="I4752" s="405"/>
      <c r="J4752" s="405">
        <v>1.14276</v>
      </c>
      <c r="K4752" s="405">
        <v>34.215330000000002</v>
      </c>
      <c r="L4752" s="405" t="s">
        <v>6866</v>
      </c>
      <c r="M4752" s="405" t="s">
        <v>9514</v>
      </c>
      <c r="N4752" s="405" t="s">
        <v>9529</v>
      </c>
      <c r="O4752" s="405" t="s">
        <v>9530</v>
      </c>
      <c r="P4752" s="405" t="s">
        <v>11507</v>
      </c>
      <c r="Q4752" s="411">
        <v>6</v>
      </c>
      <c r="R4752" s="405" t="s">
        <v>5655</v>
      </c>
      <c r="S4752" s="405" t="s">
        <v>27041</v>
      </c>
      <c r="T4752" s="405" t="s">
        <v>32102</v>
      </c>
      <c r="U4752" s="405" t="s">
        <v>319</v>
      </c>
    </row>
    <row r="4753" spans="1:21" x14ac:dyDescent="0.25">
      <c r="A4753" s="405" t="s">
        <v>310</v>
      </c>
      <c r="B4753" s="405" t="s">
        <v>13839</v>
      </c>
      <c r="C4753" s="405" t="s">
        <v>327</v>
      </c>
      <c r="D4753" s="405"/>
      <c r="E4753" s="410">
        <v>41851</v>
      </c>
      <c r="F4753" s="410">
        <v>41896</v>
      </c>
      <c r="G4753" s="405" t="s">
        <v>13840</v>
      </c>
      <c r="H4753" s="405">
        <v>780854717</v>
      </c>
      <c r="I4753" s="405"/>
      <c r="J4753" s="405">
        <v>0.509351</v>
      </c>
      <c r="K4753" s="405">
        <v>33.995379</v>
      </c>
      <c r="L4753" s="405" t="s">
        <v>6866</v>
      </c>
      <c r="M4753" s="405" t="s">
        <v>9534</v>
      </c>
      <c r="N4753" s="405" t="s">
        <v>9997</v>
      </c>
      <c r="O4753" s="405" t="s">
        <v>10918</v>
      </c>
      <c r="P4753" s="405" t="s">
        <v>10919</v>
      </c>
      <c r="Q4753" s="411">
        <v>6</v>
      </c>
      <c r="R4753" s="405" t="s">
        <v>7224</v>
      </c>
      <c r="S4753" s="405" t="s">
        <v>27107</v>
      </c>
      <c r="T4753" s="405" t="s">
        <v>884</v>
      </c>
      <c r="U4753" s="405" t="s">
        <v>319</v>
      </c>
    </row>
    <row r="4754" spans="1:21" x14ac:dyDescent="0.25">
      <c r="A4754" s="405" t="s">
        <v>310</v>
      </c>
      <c r="B4754" s="405" t="s">
        <v>13836</v>
      </c>
      <c r="C4754" s="405" t="s">
        <v>327</v>
      </c>
      <c r="D4754" s="405"/>
      <c r="E4754" s="410">
        <v>41851</v>
      </c>
      <c r="F4754" s="410">
        <v>41896</v>
      </c>
      <c r="G4754" s="405" t="s">
        <v>13837</v>
      </c>
      <c r="H4754" s="405">
        <v>757779419</v>
      </c>
      <c r="I4754" s="405"/>
      <c r="J4754" s="405">
        <v>0.66993499999999995</v>
      </c>
      <c r="K4754" s="405">
        <v>33.926485</v>
      </c>
      <c r="L4754" s="405" t="s">
        <v>6866</v>
      </c>
      <c r="M4754" s="405" t="s">
        <v>9534</v>
      </c>
      <c r="N4754" s="405" t="s">
        <v>9997</v>
      </c>
      <c r="O4754" s="405" t="s">
        <v>10918</v>
      </c>
      <c r="P4754" s="405" t="s">
        <v>13838</v>
      </c>
      <c r="Q4754" s="411">
        <v>6</v>
      </c>
      <c r="R4754" s="405" t="s">
        <v>7224</v>
      </c>
      <c r="S4754" s="405" t="s">
        <v>27259</v>
      </c>
      <c r="T4754" s="405" t="s">
        <v>32102</v>
      </c>
      <c r="U4754" s="405" t="s">
        <v>319</v>
      </c>
    </row>
    <row r="4755" spans="1:21" x14ac:dyDescent="0.25">
      <c r="A4755" s="405" t="s">
        <v>310</v>
      </c>
      <c r="B4755" s="405" t="s">
        <v>13829</v>
      </c>
      <c r="C4755" s="405" t="s">
        <v>327</v>
      </c>
      <c r="D4755" s="405"/>
      <c r="E4755" s="410">
        <v>41851</v>
      </c>
      <c r="F4755" s="410">
        <v>41896</v>
      </c>
      <c r="G4755" s="405" t="s">
        <v>13830</v>
      </c>
      <c r="H4755" s="405">
        <v>779769708</v>
      </c>
      <c r="I4755" s="405"/>
      <c r="J4755" s="405">
        <v>0.68433699999999997</v>
      </c>
      <c r="K4755" s="405">
        <v>33.956941</v>
      </c>
      <c r="L4755" s="405" t="s">
        <v>6866</v>
      </c>
      <c r="M4755" s="405" t="s">
        <v>9534</v>
      </c>
      <c r="N4755" s="405" t="s">
        <v>9997</v>
      </c>
      <c r="O4755" s="405" t="s">
        <v>10918</v>
      </c>
      <c r="P4755" s="405" t="s">
        <v>13831</v>
      </c>
      <c r="Q4755" s="411">
        <v>6</v>
      </c>
      <c r="R4755" s="405" t="s">
        <v>7224</v>
      </c>
      <c r="S4755" s="405" t="s">
        <v>27283</v>
      </c>
      <c r="T4755" s="405" t="s">
        <v>884</v>
      </c>
      <c r="U4755" s="405" t="s">
        <v>319</v>
      </c>
    </row>
    <row r="4756" spans="1:21" x14ac:dyDescent="0.25">
      <c r="A4756" s="405" t="s">
        <v>310</v>
      </c>
      <c r="B4756" s="405" t="s">
        <v>13864</v>
      </c>
      <c r="C4756" s="405" t="s">
        <v>327</v>
      </c>
      <c r="D4756" s="405"/>
      <c r="E4756" s="410">
        <v>41851</v>
      </c>
      <c r="F4756" s="410">
        <v>41896</v>
      </c>
      <c r="G4756" s="405" t="s">
        <v>13865</v>
      </c>
      <c r="H4756" s="405">
        <v>756635171</v>
      </c>
      <c r="I4756" s="405">
        <v>781863160</v>
      </c>
      <c r="J4756" s="405">
        <v>0.86533000000000004</v>
      </c>
      <c r="K4756" s="405">
        <v>34.007429000000002</v>
      </c>
      <c r="L4756" s="405" t="s">
        <v>6866</v>
      </c>
      <c r="M4756" s="405" t="s">
        <v>9534</v>
      </c>
      <c r="N4756" s="405" t="s">
        <v>10085</v>
      </c>
      <c r="O4756" s="405" t="s">
        <v>10817</v>
      </c>
      <c r="P4756" s="405" t="s">
        <v>10828</v>
      </c>
      <c r="Q4756" s="411">
        <v>6</v>
      </c>
      <c r="R4756" s="405" t="s">
        <v>7224</v>
      </c>
      <c r="S4756" s="405" t="s">
        <v>27310</v>
      </c>
      <c r="T4756" s="405" t="s">
        <v>32102</v>
      </c>
      <c r="U4756" s="405" t="s">
        <v>319</v>
      </c>
    </row>
    <row r="4757" spans="1:21" x14ac:dyDescent="0.25">
      <c r="A4757" s="405" t="s">
        <v>310</v>
      </c>
      <c r="B4757" s="405" t="s">
        <v>13849</v>
      </c>
      <c r="C4757" s="405" t="s">
        <v>327</v>
      </c>
      <c r="D4757" s="405"/>
      <c r="E4757" s="410">
        <v>41851</v>
      </c>
      <c r="F4757" s="410">
        <v>41896</v>
      </c>
      <c r="G4757" s="405" t="s">
        <v>13850</v>
      </c>
      <c r="H4757" s="405">
        <v>773251858</v>
      </c>
      <c r="I4757" s="405"/>
      <c r="J4757" s="405">
        <v>0.66909600000000002</v>
      </c>
      <c r="K4757" s="405">
        <v>33.969025999999999</v>
      </c>
      <c r="L4757" s="405" t="s">
        <v>6866</v>
      </c>
      <c r="M4757" s="405" t="s">
        <v>9534</v>
      </c>
      <c r="N4757" s="405" t="s">
        <v>9997</v>
      </c>
      <c r="O4757" s="405" t="s">
        <v>10918</v>
      </c>
      <c r="P4757" s="405" t="s">
        <v>11034</v>
      </c>
      <c r="Q4757" s="411">
        <v>6</v>
      </c>
      <c r="R4757" s="405" t="s">
        <v>7224</v>
      </c>
      <c r="S4757" s="405" t="s">
        <v>27348</v>
      </c>
      <c r="T4757" s="405" t="s">
        <v>884</v>
      </c>
      <c r="U4757" s="405" t="s">
        <v>319</v>
      </c>
    </row>
    <row r="4758" spans="1:21" x14ac:dyDescent="0.25">
      <c r="A4758" s="405" t="s">
        <v>310</v>
      </c>
      <c r="B4758" s="405" t="s">
        <v>13857</v>
      </c>
      <c r="C4758" s="405" t="s">
        <v>327</v>
      </c>
      <c r="D4758" s="405"/>
      <c r="E4758" s="410">
        <v>41849</v>
      </c>
      <c r="F4758" s="410">
        <v>41894</v>
      </c>
      <c r="G4758" s="405" t="s">
        <v>13858</v>
      </c>
      <c r="H4758" s="405">
        <v>754684255</v>
      </c>
      <c r="I4758" s="405"/>
      <c r="J4758" s="405">
        <v>0.83528999999999998</v>
      </c>
      <c r="K4758" s="405">
        <v>34.033304000000001</v>
      </c>
      <c r="L4758" s="405" t="s">
        <v>6866</v>
      </c>
      <c r="M4758" s="405" t="s">
        <v>9534</v>
      </c>
      <c r="N4758" s="405" t="s">
        <v>10085</v>
      </c>
      <c r="O4758" s="405" t="s">
        <v>10817</v>
      </c>
      <c r="P4758" s="405" t="s">
        <v>13859</v>
      </c>
      <c r="Q4758" s="411">
        <v>6</v>
      </c>
      <c r="R4758" s="405" t="s">
        <v>7224</v>
      </c>
      <c r="S4758" s="405" t="s">
        <v>27310</v>
      </c>
      <c r="T4758" s="405" t="s">
        <v>32102</v>
      </c>
      <c r="U4758" s="405" t="s">
        <v>319</v>
      </c>
    </row>
    <row r="4759" spans="1:21" x14ac:dyDescent="0.25">
      <c r="A4759" s="405" t="s">
        <v>310</v>
      </c>
      <c r="B4759" s="405" t="s">
        <v>13952</v>
      </c>
      <c r="C4759" s="405" t="s">
        <v>327</v>
      </c>
      <c r="D4759" s="405"/>
      <c r="E4759" s="410">
        <v>41848</v>
      </c>
      <c r="F4759" s="410">
        <v>41893</v>
      </c>
      <c r="G4759" s="405" t="s">
        <v>13953</v>
      </c>
      <c r="H4759" s="405">
        <v>775078003</v>
      </c>
      <c r="I4759" s="405"/>
      <c r="J4759" s="405">
        <v>1.1496150000000001</v>
      </c>
      <c r="K4759" s="405">
        <v>34.217047000000001</v>
      </c>
      <c r="L4759" s="405" t="s">
        <v>6866</v>
      </c>
      <c r="M4759" s="405" t="s">
        <v>9514</v>
      </c>
      <c r="N4759" s="405" t="s">
        <v>9529</v>
      </c>
      <c r="O4759" s="405" t="s">
        <v>9530</v>
      </c>
      <c r="P4759" s="405" t="s">
        <v>9723</v>
      </c>
      <c r="Q4759" s="411">
        <v>6</v>
      </c>
      <c r="R4759" s="405" t="s">
        <v>7224</v>
      </c>
      <c r="S4759" s="405" t="s">
        <v>27298</v>
      </c>
      <c r="T4759" s="405" t="s">
        <v>32102</v>
      </c>
      <c r="U4759" s="405" t="s">
        <v>319</v>
      </c>
    </row>
    <row r="4760" spans="1:21" x14ac:dyDescent="0.25">
      <c r="A4760" s="405" t="s">
        <v>310</v>
      </c>
      <c r="B4760" s="405" t="s">
        <v>13827</v>
      </c>
      <c r="C4760" s="405" t="s">
        <v>327</v>
      </c>
      <c r="D4760" s="405"/>
      <c r="E4760" s="410">
        <v>41848</v>
      </c>
      <c r="F4760" s="410">
        <v>41893</v>
      </c>
      <c r="G4760" s="405" t="s">
        <v>13828</v>
      </c>
      <c r="H4760" s="405">
        <v>785892498</v>
      </c>
      <c r="I4760" s="405"/>
      <c r="J4760" s="405">
        <v>1.145278</v>
      </c>
      <c r="K4760" s="405">
        <v>34.215682000000001</v>
      </c>
      <c r="L4760" s="405" t="s">
        <v>6866</v>
      </c>
      <c r="M4760" s="405" t="s">
        <v>9514</v>
      </c>
      <c r="N4760" s="405" t="s">
        <v>9529</v>
      </c>
      <c r="O4760" s="405" t="s">
        <v>9530</v>
      </c>
      <c r="P4760" s="405" t="s">
        <v>11507</v>
      </c>
      <c r="Q4760" s="411">
        <v>6</v>
      </c>
      <c r="R4760" s="405" t="s">
        <v>5655</v>
      </c>
      <c r="S4760" s="405" t="s">
        <v>27324</v>
      </c>
      <c r="T4760" s="405" t="s">
        <v>32102</v>
      </c>
      <c r="U4760" s="405" t="s">
        <v>319</v>
      </c>
    </row>
    <row r="4761" spans="1:21" x14ac:dyDescent="0.25">
      <c r="A4761" s="405" t="s">
        <v>310</v>
      </c>
      <c r="B4761" s="405" t="s">
        <v>21758</v>
      </c>
      <c r="C4761" s="405" t="s">
        <v>327</v>
      </c>
      <c r="D4761" s="405"/>
      <c r="E4761" s="410">
        <v>41847</v>
      </c>
      <c r="F4761" s="410">
        <v>41892</v>
      </c>
      <c r="G4761" s="405" t="s">
        <v>21759</v>
      </c>
      <c r="H4761" s="405">
        <v>752509004</v>
      </c>
      <c r="I4761" s="405"/>
      <c r="J4761" s="405">
        <v>-0.66117499999999996</v>
      </c>
      <c r="K4761" s="405">
        <v>30.696016</v>
      </c>
      <c r="L4761" s="405" t="s">
        <v>590</v>
      </c>
      <c r="M4761" s="405" t="s">
        <v>879</v>
      </c>
      <c r="N4761" s="405" t="s">
        <v>879</v>
      </c>
      <c r="O4761" s="405" t="s">
        <v>881</v>
      </c>
      <c r="P4761" s="405" t="s">
        <v>21600</v>
      </c>
      <c r="Q4761" s="411">
        <v>9</v>
      </c>
      <c r="R4761" s="405" t="s">
        <v>333</v>
      </c>
      <c r="S4761" s="405" t="s">
        <v>27229</v>
      </c>
      <c r="T4761" s="405" t="s">
        <v>32102</v>
      </c>
      <c r="U4761" s="405" t="s">
        <v>319</v>
      </c>
    </row>
    <row r="4762" spans="1:21" x14ac:dyDescent="0.25">
      <c r="A4762" s="405" t="s">
        <v>310</v>
      </c>
      <c r="B4762" s="405" t="s">
        <v>13959</v>
      </c>
      <c r="C4762" s="405" t="s">
        <v>327</v>
      </c>
      <c r="D4762" s="405"/>
      <c r="E4762" s="410">
        <v>41847</v>
      </c>
      <c r="F4762" s="410">
        <v>41892</v>
      </c>
      <c r="G4762" s="405" t="s">
        <v>13960</v>
      </c>
      <c r="H4762" s="405">
        <v>777383149</v>
      </c>
      <c r="I4762" s="405"/>
      <c r="J4762" s="405">
        <v>1.1396379999999999</v>
      </c>
      <c r="K4762" s="405">
        <v>34.219786999999997</v>
      </c>
      <c r="L4762" s="405" t="s">
        <v>6866</v>
      </c>
      <c r="M4762" s="405" t="s">
        <v>9514</v>
      </c>
      <c r="N4762" s="405" t="s">
        <v>9529</v>
      </c>
      <c r="O4762" s="405" t="s">
        <v>9530</v>
      </c>
      <c r="P4762" s="405" t="s">
        <v>13961</v>
      </c>
      <c r="Q4762" s="411">
        <v>6</v>
      </c>
      <c r="R4762" s="405" t="s">
        <v>5655</v>
      </c>
      <c r="S4762" s="405" t="s">
        <v>27335</v>
      </c>
      <c r="T4762" s="405" t="s">
        <v>32102</v>
      </c>
      <c r="U4762" s="405" t="s">
        <v>319</v>
      </c>
    </row>
    <row r="4763" spans="1:21" x14ac:dyDescent="0.25">
      <c r="A4763" s="405" t="s">
        <v>310</v>
      </c>
      <c r="B4763" s="405" t="s">
        <v>28308</v>
      </c>
      <c r="C4763" s="405" t="s">
        <v>327</v>
      </c>
      <c r="D4763" s="405"/>
      <c r="E4763" s="410">
        <v>41845</v>
      </c>
      <c r="F4763" s="410">
        <v>41890</v>
      </c>
      <c r="G4763" s="405" t="s">
        <v>13883</v>
      </c>
      <c r="H4763" s="405">
        <v>784951622</v>
      </c>
      <c r="I4763" s="405"/>
      <c r="J4763" s="405">
        <v>0.82336500000000001</v>
      </c>
      <c r="K4763" s="405">
        <v>33.801310999999998</v>
      </c>
      <c r="L4763" s="405" t="s">
        <v>6866</v>
      </c>
      <c r="M4763" s="405" t="s">
        <v>9566</v>
      </c>
      <c r="N4763" s="405" t="s">
        <v>9787</v>
      </c>
      <c r="O4763" s="405" t="s">
        <v>13884</v>
      </c>
      <c r="P4763" s="405" t="s">
        <v>13885</v>
      </c>
      <c r="Q4763" s="411">
        <v>6</v>
      </c>
      <c r="R4763" s="405" t="s">
        <v>5655</v>
      </c>
      <c r="S4763" s="405" t="s">
        <v>27337</v>
      </c>
      <c r="T4763" s="405" t="s">
        <v>884</v>
      </c>
      <c r="U4763" s="405" t="s">
        <v>319</v>
      </c>
    </row>
    <row r="4764" spans="1:21" x14ac:dyDescent="0.25">
      <c r="A4764" s="405" t="s">
        <v>310</v>
      </c>
      <c r="B4764" s="405" t="s">
        <v>28177</v>
      </c>
      <c r="C4764" s="405" t="s">
        <v>327</v>
      </c>
      <c r="D4764" s="405"/>
      <c r="E4764" s="410">
        <v>41844</v>
      </c>
      <c r="F4764" s="410">
        <v>41889</v>
      </c>
      <c r="G4764" s="405" t="s">
        <v>13951</v>
      </c>
      <c r="H4764" s="405">
        <v>783883795</v>
      </c>
      <c r="I4764" s="405"/>
      <c r="J4764" s="405">
        <v>1.11137</v>
      </c>
      <c r="K4764" s="405">
        <v>34.184618</v>
      </c>
      <c r="L4764" s="405" t="s">
        <v>6866</v>
      </c>
      <c r="M4764" s="405" t="s">
        <v>9514</v>
      </c>
      <c r="N4764" s="405" t="s">
        <v>9529</v>
      </c>
      <c r="O4764" s="405" t="s">
        <v>9530</v>
      </c>
      <c r="P4764" s="405" t="s">
        <v>11707</v>
      </c>
      <c r="Q4764" s="411">
        <v>6</v>
      </c>
      <c r="R4764" s="405" t="s">
        <v>5655</v>
      </c>
      <c r="S4764" s="405" t="s">
        <v>27072</v>
      </c>
      <c r="T4764" s="405" t="s">
        <v>32102</v>
      </c>
      <c r="U4764" s="405" t="s">
        <v>319</v>
      </c>
    </row>
    <row r="4765" spans="1:21" x14ac:dyDescent="0.25">
      <c r="A4765" s="405" t="s">
        <v>310</v>
      </c>
      <c r="B4765" s="405" t="s">
        <v>27739</v>
      </c>
      <c r="C4765" s="405" t="s">
        <v>857</v>
      </c>
      <c r="D4765" s="405" t="s">
        <v>33075</v>
      </c>
      <c r="E4765" s="410">
        <v>41844</v>
      </c>
      <c r="F4765" s="410">
        <v>41889</v>
      </c>
      <c r="G4765" s="405" t="s">
        <v>13913</v>
      </c>
      <c r="H4765" s="405">
        <v>750990827</v>
      </c>
      <c r="I4765" s="405"/>
      <c r="J4765" s="405">
        <v>1.9541269999999999</v>
      </c>
      <c r="K4765" s="405">
        <v>33.51943</v>
      </c>
      <c r="L4765" s="405" t="s">
        <v>6866</v>
      </c>
      <c r="M4765" s="405" t="s">
        <v>10515</v>
      </c>
      <c r="N4765" s="405" t="s">
        <v>10525</v>
      </c>
      <c r="O4765" s="405" t="s">
        <v>13074</v>
      </c>
      <c r="P4765" s="405" t="s">
        <v>13914</v>
      </c>
      <c r="Q4765" s="411">
        <v>6</v>
      </c>
      <c r="R4765" s="405" t="s">
        <v>7224</v>
      </c>
      <c r="S4765" s="405" t="s">
        <v>27067</v>
      </c>
      <c r="T4765" s="405" t="s">
        <v>32102</v>
      </c>
      <c r="U4765" s="405" t="s">
        <v>319</v>
      </c>
    </row>
    <row r="4766" spans="1:21" x14ac:dyDescent="0.25">
      <c r="A4766" s="405" t="s">
        <v>310</v>
      </c>
      <c r="B4766" s="405" t="s">
        <v>13868</v>
      </c>
      <c r="C4766" s="405" t="s">
        <v>327</v>
      </c>
      <c r="D4766" s="405"/>
      <c r="E4766" s="410">
        <v>41844</v>
      </c>
      <c r="F4766" s="410">
        <v>41889</v>
      </c>
      <c r="G4766" s="405" t="s">
        <v>13869</v>
      </c>
      <c r="H4766" s="405">
        <v>752315210</v>
      </c>
      <c r="I4766" s="405"/>
      <c r="J4766" s="405">
        <v>0.78043499999999999</v>
      </c>
      <c r="K4766" s="405">
        <v>33.876387000000001</v>
      </c>
      <c r="L4766" s="405" t="s">
        <v>6866</v>
      </c>
      <c r="M4766" s="405" t="s">
        <v>9566</v>
      </c>
      <c r="N4766" s="405" t="s">
        <v>9787</v>
      </c>
      <c r="O4766" s="405" t="s">
        <v>9788</v>
      </c>
      <c r="P4766" s="405" t="s">
        <v>13870</v>
      </c>
      <c r="Q4766" s="411">
        <v>6</v>
      </c>
      <c r="R4766" s="405" t="s">
        <v>5655</v>
      </c>
      <c r="S4766" s="405" t="s">
        <v>27169</v>
      </c>
      <c r="T4766" s="405" t="s">
        <v>32102</v>
      </c>
      <c r="U4766" s="405" t="s">
        <v>319</v>
      </c>
    </row>
    <row r="4767" spans="1:21" x14ac:dyDescent="0.25">
      <c r="A4767" s="405" t="s">
        <v>310</v>
      </c>
      <c r="B4767" s="405" t="s">
        <v>13855</v>
      </c>
      <c r="C4767" s="405" t="s">
        <v>327</v>
      </c>
      <c r="D4767" s="405"/>
      <c r="E4767" s="410">
        <v>41844</v>
      </c>
      <c r="F4767" s="410">
        <v>41889</v>
      </c>
      <c r="G4767" s="405" t="s">
        <v>13856</v>
      </c>
      <c r="H4767" s="405">
        <v>754294582</v>
      </c>
      <c r="I4767" s="405"/>
      <c r="J4767" s="405">
        <v>0.84100799999999998</v>
      </c>
      <c r="K4767" s="405">
        <v>34.044656000000003</v>
      </c>
      <c r="L4767" s="405" t="s">
        <v>6866</v>
      </c>
      <c r="M4767" s="405" t="s">
        <v>9534</v>
      </c>
      <c r="N4767" s="405" t="s">
        <v>10085</v>
      </c>
      <c r="O4767" s="405" t="s">
        <v>10817</v>
      </c>
      <c r="P4767" s="405" t="s">
        <v>10936</v>
      </c>
      <c r="Q4767" s="411">
        <v>6</v>
      </c>
      <c r="R4767" s="405" t="s">
        <v>7224</v>
      </c>
      <c r="S4767" s="405" t="s">
        <v>27348</v>
      </c>
      <c r="T4767" s="405" t="s">
        <v>32102</v>
      </c>
      <c r="U4767" s="405" t="s">
        <v>319</v>
      </c>
    </row>
    <row r="4768" spans="1:21" x14ac:dyDescent="0.25">
      <c r="A4768" s="405" t="s">
        <v>310</v>
      </c>
      <c r="B4768" s="405" t="s">
        <v>13915</v>
      </c>
      <c r="C4768" s="405" t="s">
        <v>327</v>
      </c>
      <c r="D4768" s="405"/>
      <c r="E4768" s="410">
        <v>41843</v>
      </c>
      <c r="F4768" s="410">
        <v>41888</v>
      </c>
      <c r="G4768" s="405" t="s">
        <v>13916</v>
      </c>
      <c r="H4768" s="405">
        <v>774660733</v>
      </c>
      <c r="I4768" s="405"/>
      <c r="J4768" s="405">
        <v>1.942923</v>
      </c>
      <c r="K4768" s="405">
        <v>33.516128000000002</v>
      </c>
      <c r="L4768" s="405" t="s">
        <v>6866</v>
      </c>
      <c r="M4768" s="405" t="s">
        <v>10515</v>
      </c>
      <c r="N4768" s="405" t="s">
        <v>10525</v>
      </c>
      <c r="O4768" s="405" t="s">
        <v>13074</v>
      </c>
      <c r="P4768" s="405" t="s">
        <v>13770</v>
      </c>
      <c r="Q4768" s="411">
        <v>6</v>
      </c>
      <c r="R4768" s="405" t="s">
        <v>7224</v>
      </c>
      <c r="S4768" s="405" t="s">
        <v>27349</v>
      </c>
      <c r="T4768" s="405" t="s">
        <v>32102</v>
      </c>
      <c r="U4768" s="405" t="s">
        <v>319</v>
      </c>
    </row>
    <row r="4769" spans="1:21" x14ac:dyDescent="0.25">
      <c r="A4769" s="405" t="s">
        <v>310</v>
      </c>
      <c r="B4769" s="405" t="s">
        <v>13965</v>
      </c>
      <c r="C4769" s="405" t="s">
        <v>327</v>
      </c>
      <c r="D4769" s="405"/>
      <c r="E4769" s="410">
        <v>41843</v>
      </c>
      <c r="F4769" s="410">
        <v>41888</v>
      </c>
      <c r="G4769" s="405" t="s">
        <v>13966</v>
      </c>
      <c r="H4769" s="405">
        <v>772097776</v>
      </c>
      <c r="I4769" s="405"/>
      <c r="J4769" s="405">
        <v>1.1452869999999999</v>
      </c>
      <c r="K4769" s="405">
        <v>34.215282000000002</v>
      </c>
      <c r="L4769" s="405" t="s">
        <v>6866</v>
      </c>
      <c r="M4769" s="405" t="s">
        <v>9514</v>
      </c>
      <c r="N4769" s="405" t="s">
        <v>9529</v>
      </c>
      <c r="O4769" s="405" t="s">
        <v>9530</v>
      </c>
      <c r="P4769" s="405" t="s">
        <v>11507</v>
      </c>
      <c r="Q4769" s="411">
        <v>6</v>
      </c>
      <c r="R4769" s="405" t="s">
        <v>5655</v>
      </c>
      <c r="S4769" s="405" t="s">
        <v>27086</v>
      </c>
      <c r="T4769" s="405" t="s">
        <v>32102</v>
      </c>
      <c r="U4769" s="405" t="s">
        <v>319</v>
      </c>
    </row>
    <row r="4770" spans="1:21" x14ac:dyDescent="0.25">
      <c r="A4770" s="405" t="s">
        <v>310</v>
      </c>
      <c r="B4770" s="405" t="s">
        <v>28722</v>
      </c>
      <c r="C4770" s="405" t="s">
        <v>327</v>
      </c>
      <c r="D4770" s="405"/>
      <c r="E4770" s="410">
        <v>41843</v>
      </c>
      <c r="F4770" s="410">
        <v>41888</v>
      </c>
      <c r="G4770" s="405" t="s">
        <v>18905</v>
      </c>
      <c r="H4770" s="405">
        <v>787158548</v>
      </c>
      <c r="I4770" s="405"/>
      <c r="J4770" s="405">
        <v>2.273279</v>
      </c>
      <c r="K4770" s="405">
        <v>32.878014</v>
      </c>
      <c r="L4770" s="405" t="s">
        <v>860</v>
      </c>
      <c r="M4770" s="405" t="s">
        <v>18234</v>
      </c>
      <c r="N4770" s="405" t="s">
        <v>18252</v>
      </c>
      <c r="O4770" s="405" t="s">
        <v>18234</v>
      </c>
      <c r="P4770" s="405" t="s">
        <v>18906</v>
      </c>
      <c r="Q4770" s="411">
        <v>6</v>
      </c>
      <c r="R4770" s="405" t="s">
        <v>525</v>
      </c>
      <c r="S4770" s="405" t="s">
        <v>27171</v>
      </c>
      <c r="T4770" s="405" t="s">
        <v>32102</v>
      </c>
      <c r="U4770" s="405" t="s">
        <v>319</v>
      </c>
    </row>
    <row r="4771" spans="1:21" x14ac:dyDescent="0.25">
      <c r="A4771" s="405" t="s">
        <v>310</v>
      </c>
      <c r="B4771" s="405" t="s">
        <v>13852</v>
      </c>
      <c r="C4771" s="405" t="s">
        <v>327</v>
      </c>
      <c r="D4771" s="405"/>
      <c r="E4771" s="410">
        <v>41843</v>
      </c>
      <c r="F4771" s="410">
        <v>41888</v>
      </c>
      <c r="G4771" s="405" t="s">
        <v>13853</v>
      </c>
      <c r="H4771" s="405">
        <v>752999943</v>
      </c>
      <c r="I4771" s="405"/>
      <c r="J4771" s="405">
        <v>0.85340499999999997</v>
      </c>
      <c r="K4771" s="405">
        <v>34.012669000000002</v>
      </c>
      <c r="L4771" s="405" t="s">
        <v>6866</v>
      </c>
      <c r="M4771" s="405" t="s">
        <v>9534</v>
      </c>
      <c r="N4771" s="405" t="s">
        <v>10085</v>
      </c>
      <c r="O4771" s="405" t="s">
        <v>10817</v>
      </c>
      <c r="P4771" s="405" t="s">
        <v>13854</v>
      </c>
      <c r="Q4771" s="411">
        <v>6</v>
      </c>
      <c r="R4771" s="405" t="s">
        <v>7224</v>
      </c>
      <c r="S4771" s="405" t="s">
        <v>27259</v>
      </c>
      <c r="T4771" s="405" t="s">
        <v>32102</v>
      </c>
      <c r="U4771" s="405" t="s">
        <v>319</v>
      </c>
    </row>
    <row r="4772" spans="1:21" x14ac:dyDescent="0.25">
      <c r="A4772" s="405" t="s">
        <v>310</v>
      </c>
      <c r="B4772" s="405" t="s">
        <v>21764</v>
      </c>
      <c r="C4772" s="405" t="s">
        <v>327</v>
      </c>
      <c r="D4772" s="405"/>
      <c r="E4772" s="410">
        <v>41842</v>
      </c>
      <c r="F4772" s="410">
        <v>41887</v>
      </c>
      <c r="G4772" s="405" t="s">
        <v>21765</v>
      </c>
      <c r="H4772" s="405">
        <v>772894965</v>
      </c>
      <c r="I4772" s="405"/>
      <c r="J4772" s="405">
        <v>-0.64324199999999998</v>
      </c>
      <c r="K4772" s="405">
        <v>30.066365000000001</v>
      </c>
      <c r="L4772" s="405" t="s">
        <v>590</v>
      </c>
      <c r="M4772" s="405" t="s">
        <v>20032</v>
      </c>
      <c r="N4772" s="405" t="s">
        <v>20033</v>
      </c>
      <c r="O4772" s="405" t="s">
        <v>20034</v>
      </c>
      <c r="P4772" s="405" t="s">
        <v>21766</v>
      </c>
      <c r="Q4772" s="411">
        <v>9</v>
      </c>
      <c r="R4772" s="405" t="s">
        <v>883</v>
      </c>
      <c r="S4772" s="405" t="s">
        <v>27183</v>
      </c>
      <c r="T4772" s="405" t="s">
        <v>32102</v>
      </c>
      <c r="U4772" s="405" t="s">
        <v>319</v>
      </c>
    </row>
    <row r="4773" spans="1:21" x14ac:dyDescent="0.25">
      <c r="A4773" s="405" t="s">
        <v>310</v>
      </c>
      <c r="B4773" s="405" t="s">
        <v>5326</v>
      </c>
      <c r="C4773" s="405" t="s">
        <v>327</v>
      </c>
      <c r="D4773" s="405"/>
      <c r="E4773" s="410">
        <v>41842</v>
      </c>
      <c r="F4773" s="410">
        <v>41887</v>
      </c>
      <c r="G4773" s="405" t="s">
        <v>5327</v>
      </c>
      <c r="H4773" s="405">
        <v>703260752</v>
      </c>
      <c r="I4773" s="405"/>
      <c r="J4773" s="405">
        <v>1.009112</v>
      </c>
      <c r="K4773" s="405">
        <v>34.359532999999999</v>
      </c>
      <c r="L4773" s="405" t="s">
        <v>314</v>
      </c>
      <c r="M4773" s="405" t="s">
        <v>382</v>
      </c>
      <c r="N4773" s="405" t="s">
        <v>2265</v>
      </c>
      <c r="O4773" s="405" t="s">
        <v>894</v>
      </c>
      <c r="P4773" s="405" t="s">
        <v>5229</v>
      </c>
      <c r="Q4773" s="411">
        <v>9</v>
      </c>
      <c r="R4773" s="405" t="s">
        <v>402</v>
      </c>
      <c r="S4773" s="405" t="s">
        <v>27164</v>
      </c>
      <c r="T4773" s="405" t="s">
        <v>865</v>
      </c>
      <c r="U4773" s="405" t="s">
        <v>866</v>
      </c>
    </row>
    <row r="4774" spans="1:21" x14ac:dyDescent="0.25">
      <c r="A4774" s="405" t="s">
        <v>310</v>
      </c>
      <c r="B4774" s="405" t="s">
        <v>28620</v>
      </c>
      <c r="C4774" s="405" t="s">
        <v>327</v>
      </c>
      <c r="D4774" s="405"/>
      <c r="E4774" s="410">
        <v>41842</v>
      </c>
      <c r="F4774" s="410">
        <v>41887</v>
      </c>
      <c r="G4774" s="405" t="s">
        <v>13826</v>
      </c>
      <c r="H4774" s="405">
        <v>702157877</v>
      </c>
      <c r="I4774" s="405"/>
      <c r="J4774" s="405">
        <v>1.1505749999999999</v>
      </c>
      <c r="K4774" s="405">
        <v>34.212487000000003</v>
      </c>
      <c r="L4774" s="405" t="s">
        <v>6866</v>
      </c>
      <c r="M4774" s="405" t="s">
        <v>9514</v>
      </c>
      <c r="N4774" s="405" t="s">
        <v>9529</v>
      </c>
      <c r="O4774" s="405" t="s">
        <v>9530</v>
      </c>
      <c r="P4774" s="405" t="s">
        <v>10665</v>
      </c>
      <c r="Q4774" s="411">
        <v>6</v>
      </c>
      <c r="R4774" s="405" t="s">
        <v>5655</v>
      </c>
      <c r="S4774" s="405" t="s">
        <v>27056</v>
      </c>
      <c r="T4774" s="405" t="s">
        <v>32102</v>
      </c>
      <c r="U4774" s="405" t="s">
        <v>319</v>
      </c>
    </row>
    <row r="4775" spans="1:21" x14ac:dyDescent="0.25">
      <c r="A4775" s="405" t="s">
        <v>310</v>
      </c>
      <c r="B4775" s="405" t="s">
        <v>21760</v>
      </c>
      <c r="C4775" s="405" t="s">
        <v>327</v>
      </c>
      <c r="D4775" s="405"/>
      <c r="E4775" s="410">
        <v>41842</v>
      </c>
      <c r="F4775" s="410">
        <v>41887</v>
      </c>
      <c r="G4775" s="405" t="s">
        <v>21761</v>
      </c>
      <c r="H4775" s="405">
        <v>783940411</v>
      </c>
      <c r="I4775" s="405"/>
      <c r="J4775" s="405">
        <v>-0.63590599999999997</v>
      </c>
      <c r="K4775" s="405">
        <v>30.107796</v>
      </c>
      <c r="L4775" s="405" t="s">
        <v>590</v>
      </c>
      <c r="M4775" s="405" t="s">
        <v>20032</v>
      </c>
      <c r="N4775" s="405" t="s">
        <v>21762</v>
      </c>
      <c r="O4775" s="405" t="s">
        <v>20034</v>
      </c>
      <c r="P4775" s="405" t="s">
        <v>21763</v>
      </c>
      <c r="Q4775" s="411">
        <v>6</v>
      </c>
      <c r="R4775" s="405" t="s">
        <v>874</v>
      </c>
      <c r="S4775" s="405" t="s">
        <v>27098</v>
      </c>
      <c r="T4775" s="405" t="s">
        <v>32102</v>
      </c>
      <c r="U4775" s="405" t="s">
        <v>319</v>
      </c>
    </row>
    <row r="4776" spans="1:21" x14ac:dyDescent="0.25">
      <c r="A4776" s="405" t="s">
        <v>310</v>
      </c>
      <c r="B4776" s="405" t="s">
        <v>13832</v>
      </c>
      <c r="C4776" s="405" t="s">
        <v>327</v>
      </c>
      <c r="D4776" s="405"/>
      <c r="E4776" s="410">
        <v>41842</v>
      </c>
      <c r="F4776" s="410">
        <v>41887</v>
      </c>
      <c r="G4776" s="405" t="s">
        <v>13833</v>
      </c>
      <c r="H4776" s="405">
        <v>750197580</v>
      </c>
      <c r="I4776" s="405"/>
      <c r="J4776" s="405">
        <v>1.1001380000000001</v>
      </c>
      <c r="K4776" s="405">
        <v>34.187865000000002</v>
      </c>
      <c r="L4776" s="405" t="s">
        <v>6866</v>
      </c>
      <c r="M4776" s="405" t="s">
        <v>9514</v>
      </c>
      <c r="N4776" s="405" t="s">
        <v>9529</v>
      </c>
      <c r="O4776" s="405" t="s">
        <v>9530</v>
      </c>
      <c r="P4776" s="405" t="s">
        <v>11967</v>
      </c>
      <c r="Q4776" s="411">
        <v>6</v>
      </c>
      <c r="R4776" s="405" t="s">
        <v>7224</v>
      </c>
      <c r="S4776" s="405" t="s">
        <v>17062</v>
      </c>
      <c r="T4776" s="405" t="s">
        <v>865</v>
      </c>
      <c r="U4776" s="405" t="s">
        <v>866</v>
      </c>
    </row>
    <row r="4777" spans="1:21" x14ac:dyDescent="0.25">
      <c r="A4777" s="405" t="s">
        <v>310</v>
      </c>
      <c r="B4777" s="405" t="s">
        <v>13919</v>
      </c>
      <c r="C4777" s="405" t="s">
        <v>327</v>
      </c>
      <c r="D4777" s="405"/>
      <c r="E4777" s="410">
        <v>41840</v>
      </c>
      <c r="F4777" s="410">
        <v>41885</v>
      </c>
      <c r="G4777" s="405" t="s">
        <v>13920</v>
      </c>
      <c r="H4777" s="405">
        <v>788926208</v>
      </c>
      <c r="I4777" s="405"/>
      <c r="J4777" s="405">
        <v>1.9086879999999999</v>
      </c>
      <c r="K4777" s="405">
        <v>33.555146999999998</v>
      </c>
      <c r="L4777" s="405" t="s">
        <v>6866</v>
      </c>
      <c r="M4777" s="405" t="s">
        <v>10515</v>
      </c>
      <c r="N4777" s="405" t="s">
        <v>10525</v>
      </c>
      <c r="O4777" s="405" t="s">
        <v>13074</v>
      </c>
      <c r="P4777" s="405" t="s">
        <v>11740</v>
      </c>
      <c r="Q4777" s="411">
        <v>6</v>
      </c>
      <c r="R4777" s="405" t="s">
        <v>7224</v>
      </c>
      <c r="S4777" s="405" t="s">
        <v>27298</v>
      </c>
      <c r="T4777" s="405" t="s">
        <v>32102</v>
      </c>
      <c r="U4777" s="405" t="s">
        <v>319</v>
      </c>
    </row>
    <row r="4778" spans="1:21" x14ac:dyDescent="0.25">
      <c r="A4778" s="405" t="s">
        <v>310</v>
      </c>
      <c r="B4778" s="405" t="s">
        <v>13949</v>
      </c>
      <c r="C4778" s="405" t="s">
        <v>327</v>
      </c>
      <c r="D4778" s="405"/>
      <c r="E4778" s="410">
        <v>41840</v>
      </c>
      <c r="F4778" s="410">
        <v>41885</v>
      </c>
      <c r="G4778" s="405" t="s">
        <v>13950</v>
      </c>
      <c r="H4778" s="405">
        <v>782605215</v>
      </c>
      <c r="I4778" s="405"/>
      <c r="J4778" s="405">
        <v>1.1088830000000001</v>
      </c>
      <c r="K4778" s="405">
        <v>34.178607999999997</v>
      </c>
      <c r="L4778" s="405" t="s">
        <v>6866</v>
      </c>
      <c r="M4778" s="405" t="s">
        <v>9514</v>
      </c>
      <c r="N4778" s="405" t="s">
        <v>9529</v>
      </c>
      <c r="O4778" s="405" t="s">
        <v>9530</v>
      </c>
      <c r="P4778" s="405" t="s">
        <v>11707</v>
      </c>
      <c r="Q4778" s="411">
        <v>6</v>
      </c>
      <c r="R4778" s="405" t="s">
        <v>7224</v>
      </c>
      <c r="S4778" s="405" t="s">
        <v>27350</v>
      </c>
      <c r="T4778" s="405" t="s">
        <v>32102</v>
      </c>
      <c r="U4778" s="405" t="s">
        <v>319</v>
      </c>
    </row>
    <row r="4779" spans="1:21" x14ac:dyDescent="0.25">
      <c r="A4779" s="405" t="s">
        <v>310</v>
      </c>
      <c r="B4779" s="405" t="s">
        <v>28778</v>
      </c>
      <c r="C4779" s="405" t="s">
        <v>327</v>
      </c>
      <c r="D4779" s="405"/>
      <c r="E4779" s="410">
        <v>41839</v>
      </c>
      <c r="F4779" s="410">
        <v>41884</v>
      </c>
      <c r="G4779" s="405" t="s">
        <v>13941</v>
      </c>
      <c r="H4779" s="405">
        <v>754056582</v>
      </c>
      <c r="I4779" s="405"/>
      <c r="J4779" s="405">
        <v>2.0059900000000002</v>
      </c>
      <c r="K4779" s="405">
        <v>33.504387999999999</v>
      </c>
      <c r="L4779" s="405" t="s">
        <v>6866</v>
      </c>
      <c r="M4779" s="405" t="s">
        <v>10515</v>
      </c>
      <c r="N4779" s="405" t="s">
        <v>10525</v>
      </c>
      <c r="O4779" s="405" t="s">
        <v>13074</v>
      </c>
      <c r="P4779" s="405" t="s">
        <v>13940</v>
      </c>
      <c r="Q4779" s="411">
        <v>6</v>
      </c>
      <c r="R4779" s="405" t="s">
        <v>7224</v>
      </c>
      <c r="S4779" s="405" t="s">
        <v>27298</v>
      </c>
      <c r="T4779" s="405" t="s">
        <v>32102</v>
      </c>
      <c r="U4779" s="405" t="s">
        <v>319</v>
      </c>
    </row>
    <row r="4780" spans="1:21" x14ac:dyDescent="0.25">
      <c r="A4780" s="405" t="s">
        <v>310</v>
      </c>
      <c r="B4780" s="405" t="s">
        <v>13910</v>
      </c>
      <c r="C4780" s="405" t="s">
        <v>327</v>
      </c>
      <c r="D4780" s="405"/>
      <c r="E4780" s="410">
        <v>41839</v>
      </c>
      <c r="F4780" s="410">
        <v>41884</v>
      </c>
      <c r="G4780" s="405" t="s">
        <v>13911</v>
      </c>
      <c r="H4780" s="405">
        <v>778178627</v>
      </c>
      <c r="I4780" s="405"/>
      <c r="J4780" s="405">
        <v>1.4246570000000001</v>
      </c>
      <c r="K4780" s="405">
        <v>33.562612000000001</v>
      </c>
      <c r="L4780" s="405" t="s">
        <v>6866</v>
      </c>
      <c r="M4780" s="405" t="s">
        <v>9658</v>
      </c>
      <c r="N4780" s="405" t="s">
        <v>9658</v>
      </c>
      <c r="O4780" s="405" t="s">
        <v>11062</v>
      </c>
      <c r="P4780" s="405" t="s">
        <v>13912</v>
      </c>
      <c r="Q4780" s="411">
        <v>6</v>
      </c>
      <c r="R4780" s="405" t="s">
        <v>5655</v>
      </c>
      <c r="S4780" s="405" t="s">
        <v>27346</v>
      </c>
      <c r="T4780" s="405" t="s">
        <v>32102</v>
      </c>
      <c r="U4780" s="405" t="s">
        <v>319</v>
      </c>
    </row>
    <row r="4781" spans="1:21" x14ac:dyDescent="0.25">
      <c r="A4781" s="405" t="s">
        <v>310</v>
      </c>
      <c r="B4781" s="405" t="s">
        <v>27925</v>
      </c>
      <c r="C4781" s="405" t="s">
        <v>311</v>
      </c>
      <c r="D4781" s="405" t="s">
        <v>839</v>
      </c>
      <c r="E4781" s="410">
        <v>41838</v>
      </c>
      <c r="F4781" s="410">
        <v>41883</v>
      </c>
      <c r="G4781" s="405" t="s">
        <v>22000</v>
      </c>
      <c r="H4781" s="405">
        <v>784212039</v>
      </c>
      <c r="I4781" s="405"/>
      <c r="J4781" s="405">
        <v>0.21687200000000001</v>
      </c>
      <c r="K4781" s="405">
        <v>30.202345999999999</v>
      </c>
      <c r="L4781" s="405" t="s">
        <v>590</v>
      </c>
      <c r="M4781" s="405" t="s">
        <v>21087</v>
      </c>
      <c r="N4781" s="405" t="s">
        <v>21515</v>
      </c>
      <c r="O4781" s="405" t="s">
        <v>21950</v>
      </c>
      <c r="P4781" s="405" t="s">
        <v>22001</v>
      </c>
      <c r="Q4781" s="411">
        <v>9</v>
      </c>
      <c r="R4781" s="405" t="s">
        <v>883</v>
      </c>
      <c r="S4781" s="405" t="s">
        <v>27097</v>
      </c>
      <c r="T4781" s="405" t="s">
        <v>884</v>
      </c>
      <c r="U4781" s="405" t="s">
        <v>319</v>
      </c>
    </row>
    <row r="4782" spans="1:21" x14ac:dyDescent="0.25">
      <c r="A4782" s="405" t="s">
        <v>310</v>
      </c>
      <c r="B4782" s="405" t="s">
        <v>27549</v>
      </c>
      <c r="C4782" s="405" t="s">
        <v>327</v>
      </c>
      <c r="D4782" s="405"/>
      <c r="E4782" s="410">
        <v>41838</v>
      </c>
      <c r="F4782" s="410">
        <v>41883</v>
      </c>
      <c r="G4782" s="405" t="s">
        <v>13934</v>
      </c>
      <c r="H4782" s="405">
        <v>777582003</v>
      </c>
      <c r="I4782" s="405"/>
      <c r="J4782" s="405">
        <v>2.003333</v>
      </c>
      <c r="K4782" s="405">
        <v>33.481478000000003</v>
      </c>
      <c r="L4782" s="405" t="s">
        <v>6866</v>
      </c>
      <c r="M4782" s="405" t="s">
        <v>10515</v>
      </c>
      <c r="N4782" s="405" t="s">
        <v>10525</v>
      </c>
      <c r="O4782" s="405" t="s">
        <v>13074</v>
      </c>
      <c r="P4782" s="405" t="s">
        <v>13935</v>
      </c>
      <c r="Q4782" s="411">
        <v>6</v>
      </c>
      <c r="R4782" s="405" t="s">
        <v>7224</v>
      </c>
      <c r="S4782" s="405" t="s">
        <v>27348</v>
      </c>
      <c r="T4782" s="405" t="s">
        <v>884</v>
      </c>
      <c r="U4782" s="405" t="s">
        <v>319</v>
      </c>
    </row>
    <row r="4783" spans="1:21" x14ac:dyDescent="0.25">
      <c r="A4783" s="405" t="s">
        <v>310</v>
      </c>
      <c r="B4783" s="405" t="s">
        <v>13823</v>
      </c>
      <c r="C4783" s="405" t="s">
        <v>327</v>
      </c>
      <c r="D4783" s="405"/>
      <c r="E4783" s="410">
        <v>41838</v>
      </c>
      <c r="F4783" s="410">
        <v>41883</v>
      </c>
      <c r="G4783" s="405" t="s">
        <v>13824</v>
      </c>
      <c r="H4783" s="405">
        <v>777257033</v>
      </c>
      <c r="I4783" s="405"/>
      <c r="J4783" s="405">
        <v>1.108387</v>
      </c>
      <c r="K4783" s="405">
        <v>34.17924</v>
      </c>
      <c r="L4783" s="405" t="s">
        <v>6866</v>
      </c>
      <c r="M4783" s="405" t="s">
        <v>9514</v>
      </c>
      <c r="N4783" s="405" t="s">
        <v>9529</v>
      </c>
      <c r="O4783" s="405" t="s">
        <v>9530</v>
      </c>
      <c r="P4783" s="405" t="s">
        <v>11707</v>
      </c>
      <c r="Q4783" s="411">
        <v>6</v>
      </c>
      <c r="R4783" s="405" t="s">
        <v>5655</v>
      </c>
      <c r="S4783" s="405" t="s">
        <v>27347</v>
      </c>
      <c r="T4783" s="405" t="s">
        <v>32102</v>
      </c>
      <c r="U4783" s="405" t="s">
        <v>319</v>
      </c>
    </row>
    <row r="4784" spans="1:21" x14ac:dyDescent="0.25">
      <c r="A4784" s="405" t="s">
        <v>310</v>
      </c>
      <c r="B4784" s="405" t="s">
        <v>21770</v>
      </c>
      <c r="C4784" s="405" t="s">
        <v>327</v>
      </c>
      <c r="D4784" s="405"/>
      <c r="E4784" s="410">
        <v>41838</v>
      </c>
      <c r="F4784" s="410">
        <v>41883</v>
      </c>
      <c r="G4784" s="405" t="s">
        <v>21771</v>
      </c>
      <c r="H4784" s="405">
        <v>778056034</v>
      </c>
      <c r="I4784" s="405"/>
      <c r="J4784" s="405">
        <v>0.14790800000000001</v>
      </c>
      <c r="K4784" s="405">
        <v>30.432424999999999</v>
      </c>
      <c r="L4784" s="405" t="s">
        <v>590</v>
      </c>
      <c r="M4784" s="405" t="s">
        <v>19720</v>
      </c>
      <c r="N4784" s="405" t="s">
        <v>20297</v>
      </c>
      <c r="O4784" s="405" t="s">
        <v>20439</v>
      </c>
      <c r="P4784" s="405" t="s">
        <v>21772</v>
      </c>
      <c r="Q4784" s="411">
        <v>6</v>
      </c>
      <c r="R4784" s="405" t="s">
        <v>402</v>
      </c>
      <c r="S4784" s="405" t="s">
        <v>27181</v>
      </c>
      <c r="T4784" s="405" t="s">
        <v>32102</v>
      </c>
      <c r="U4784" s="405" t="s">
        <v>319</v>
      </c>
    </row>
    <row r="4785" spans="1:21" x14ac:dyDescent="0.25">
      <c r="A4785" s="405" t="s">
        <v>310</v>
      </c>
      <c r="B4785" s="405" t="s">
        <v>28769</v>
      </c>
      <c r="C4785" s="405" t="s">
        <v>327</v>
      </c>
      <c r="D4785" s="405"/>
      <c r="E4785" s="410">
        <v>41836</v>
      </c>
      <c r="F4785" s="410">
        <v>41881</v>
      </c>
      <c r="G4785" s="405" t="s">
        <v>13760</v>
      </c>
      <c r="H4785" s="405">
        <v>785339136</v>
      </c>
      <c r="I4785" s="405"/>
      <c r="J4785" s="405">
        <v>0.83396400000000004</v>
      </c>
      <c r="K4785" s="405">
        <v>34.001044999999998</v>
      </c>
      <c r="L4785" s="405" t="s">
        <v>6866</v>
      </c>
      <c r="M4785" s="405" t="s">
        <v>9534</v>
      </c>
      <c r="N4785" s="405" t="s">
        <v>10085</v>
      </c>
      <c r="O4785" s="405" t="s">
        <v>10817</v>
      </c>
      <c r="P4785" s="405" t="s">
        <v>11891</v>
      </c>
      <c r="Q4785" s="411">
        <v>6</v>
      </c>
      <c r="R4785" s="405" t="s">
        <v>7224</v>
      </c>
      <c r="S4785" s="405" t="s">
        <v>17013</v>
      </c>
      <c r="T4785" s="405" t="s">
        <v>32102</v>
      </c>
      <c r="U4785" s="405" t="s">
        <v>319</v>
      </c>
    </row>
    <row r="4786" spans="1:21" x14ac:dyDescent="0.25">
      <c r="A4786" s="405" t="s">
        <v>310</v>
      </c>
      <c r="B4786" s="405" t="s">
        <v>28501</v>
      </c>
      <c r="C4786" s="405" t="s">
        <v>311</v>
      </c>
      <c r="D4786" s="405" t="s">
        <v>1789</v>
      </c>
      <c r="E4786" s="410">
        <v>41836</v>
      </c>
      <c r="F4786" s="410">
        <v>41881</v>
      </c>
      <c r="G4786" s="405" t="s">
        <v>14119</v>
      </c>
      <c r="H4786" s="405">
        <v>787763948</v>
      </c>
      <c r="I4786" s="405"/>
      <c r="J4786" s="405">
        <v>1.079569</v>
      </c>
      <c r="K4786" s="405">
        <v>34.174267</v>
      </c>
      <c r="L4786" s="405" t="s">
        <v>6866</v>
      </c>
      <c r="M4786" s="405" t="s">
        <v>9514</v>
      </c>
      <c r="N4786" s="405" t="s">
        <v>9722</v>
      </c>
      <c r="O4786" s="405" t="s">
        <v>9530</v>
      </c>
      <c r="P4786" s="405" t="s">
        <v>11489</v>
      </c>
      <c r="Q4786" s="411">
        <v>6</v>
      </c>
      <c r="R4786" s="405" t="s">
        <v>5655</v>
      </c>
      <c r="S4786" s="405" t="s">
        <v>27072</v>
      </c>
      <c r="T4786" s="405" t="s">
        <v>32102</v>
      </c>
      <c r="U4786" s="405" t="s">
        <v>319</v>
      </c>
    </row>
    <row r="4787" spans="1:21" x14ac:dyDescent="0.25">
      <c r="A4787" s="405" t="s">
        <v>310</v>
      </c>
      <c r="B4787" s="405" t="s">
        <v>5303</v>
      </c>
      <c r="C4787" s="405" t="s">
        <v>327</v>
      </c>
      <c r="D4787" s="405"/>
      <c r="E4787" s="410">
        <v>41835</v>
      </c>
      <c r="F4787" s="410">
        <v>41880</v>
      </c>
      <c r="G4787" s="405" t="s">
        <v>5304</v>
      </c>
      <c r="H4787" s="405">
        <v>782682220</v>
      </c>
      <c r="I4787" s="405">
        <v>701539598</v>
      </c>
      <c r="J4787" s="405">
        <v>-0.36503799999999997</v>
      </c>
      <c r="K4787" s="405">
        <v>31.779807000000002</v>
      </c>
      <c r="L4787" s="405" t="s">
        <v>314</v>
      </c>
      <c r="M4787" s="405" t="s">
        <v>382</v>
      </c>
      <c r="N4787" s="405" t="s">
        <v>941</v>
      </c>
      <c r="O4787" s="405" t="s">
        <v>1260</v>
      </c>
      <c r="P4787" s="405" t="s">
        <v>5305</v>
      </c>
      <c r="Q4787" s="411">
        <v>13</v>
      </c>
      <c r="R4787" s="405" t="s">
        <v>333</v>
      </c>
      <c r="S4787" s="405" t="s">
        <v>27153</v>
      </c>
      <c r="T4787" s="405" t="s">
        <v>32102</v>
      </c>
      <c r="U4787" s="405" t="s">
        <v>319</v>
      </c>
    </row>
    <row r="4788" spans="1:21" x14ac:dyDescent="0.25">
      <c r="A4788" s="405" t="s">
        <v>310</v>
      </c>
      <c r="B4788" s="405" t="s">
        <v>5317</v>
      </c>
      <c r="C4788" s="405" t="s">
        <v>327</v>
      </c>
      <c r="D4788" s="405"/>
      <c r="E4788" s="410">
        <v>41835</v>
      </c>
      <c r="F4788" s="410">
        <v>41880</v>
      </c>
      <c r="G4788" s="405" t="s">
        <v>5318</v>
      </c>
      <c r="H4788" s="405">
        <v>703050990</v>
      </c>
      <c r="I4788" s="405"/>
      <c r="J4788" s="405">
        <v>-0.35471639999999999</v>
      </c>
      <c r="K4788" s="405">
        <v>31.713612900000001</v>
      </c>
      <c r="L4788" s="405" t="s">
        <v>314</v>
      </c>
      <c r="M4788" s="405" t="s">
        <v>382</v>
      </c>
      <c r="N4788" s="405" t="s">
        <v>988</v>
      </c>
      <c r="O4788" s="405" t="s">
        <v>1032</v>
      </c>
      <c r="P4788" s="405" t="s">
        <v>1901</v>
      </c>
      <c r="Q4788" s="411">
        <v>6</v>
      </c>
      <c r="R4788" s="405" t="s">
        <v>1263</v>
      </c>
      <c r="S4788" s="405" t="s">
        <v>27236</v>
      </c>
      <c r="T4788" s="405" t="s">
        <v>32102</v>
      </c>
      <c r="U4788" s="405" t="s">
        <v>319</v>
      </c>
    </row>
    <row r="4789" spans="1:21" x14ac:dyDescent="0.25">
      <c r="A4789" s="405" t="s">
        <v>310</v>
      </c>
      <c r="B4789" s="405" t="s">
        <v>27719</v>
      </c>
      <c r="C4789" s="405" t="s">
        <v>327</v>
      </c>
      <c r="D4789" s="405"/>
      <c r="E4789" s="410">
        <v>41834</v>
      </c>
      <c r="F4789" s="410">
        <v>41879</v>
      </c>
      <c r="G4789" s="405" t="s">
        <v>13787</v>
      </c>
      <c r="H4789" s="405">
        <v>751945119</v>
      </c>
      <c r="I4789" s="405"/>
      <c r="J4789" s="405">
        <v>1.9937800000000001</v>
      </c>
      <c r="K4789" s="405">
        <v>33.482875</v>
      </c>
      <c r="L4789" s="405" t="s">
        <v>6866</v>
      </c>
      <c r="M4789" s="405" t="s">
        <v>10515</v>
      </c>
      <c r="N4789" s="405" t="s">
        <v>10525</v>
      </c>
      <c r="O4789" s="405" t="s">
        <v>13074</v>
      </c>
      <c r="P4789" s="405" t="s">
        <v>13788</v>
      </c>
      <c r="Q4789" s="411">
        <v>6</v>
      </c>
      <c r="R4789" s="405" t="s">
        <v>7224</v>
      </c>
      <c r="S4789" s="405" t="s">
        <v>27298</v>
      </c>
      <c r="T4789" s="405" t="s">
        <v>32102</v>
      </c>
      <c r="U4789" s="405" t="s">
        <v>319</v>
      </c>
    </row>
    <row r="4790" spans="1:21" x14ac:dyDescent="0.25">
      <c r="A4790" s="405" t="s">
        <v>310</v>
      </c>
      <c r="B4790" s="405" t="s">
        <v>28090</v>
      </c>
      <c r="C4790" s="405" t="s">
        <v>327</v>
      </c>
      <c r="D4790" s="405"/>
      <c r="E4790" s="410">
        <v>41834</v>
      </c>
      <c r="F4790" s="410">
        <v>41879</v>
      </c>
      <c r="G4790" s="405" t="s">
        <v>13735</v>
      </c>
      <c r="H4790" s="405">
        <v>706152333</v>
      </c>
      <c r="I4790" s="405"/>
      <c r="J4790" s="405">
        <v>1.1141529999999999</v>
      </c>
      <c r="K4790" s="405">
        <v>34.215890000000002</v>
      </c>
      <c r="L4790" s="405" t="s">
        <v>6866</v>
      </c>
      <c r="M4790" s="405" t="s">
        <v>9514</v>
      </c>
      <c r="N4790" s="405" t="s">
        <v>9529</v>
      </c>
      <c r="O4790" s="405" t="s">
        <v>9530</v>
      </c>
      <c r="P4790" s="405" t="s">
        <v>10607</v>
      </c>
      <c r="Q4790" s="411">
        <v>6</v>
      </c>
      <c r="R4790" s="405" t="s">
        <v>5655</v>
      </c>
      <c r="S4790" s="405" t="s">
        <v>27335</v>
      </c>
      <c r="T4790" s="405" t="s">
        <v>32102</v>
      </c>
      <c r="U4790" s="405" t="s">
        <v>319</v>
      </c>
    </row>
    <row r="4791" spans="1:21" x14ac:dyDescent="0.25">
      <c r="A4791" s="405" t="s">
        <v>310</v>
      </c>
      <c r="B4791" s="405" t="s">
        <v>27496</v>
      </c>
      <c r="C4791" s="405" t="s">
        <v>327</v>
      </c>
      <c r="D4791" s="405"/>
      <c r="E4791" s="410">
        <v>41833</v>
      </c>
      <c r="F4791" s="410">
        <v>41878</v>
      </c>
      <c r="G4791" s="405" t="s">
        <v>13765</v>
      </c>
      <c r="H4791" s="405">
        <v>784012076</v>
      </c>
      <c r="I4791" s="405"/>
      <c r="J4791" s="405">
        <v>0.82404599999999995</v>
      </c>
      <c r="K4791" s="405">
        <v>34.022589000000004</v>
      </c>
      <c r="L4791" s="405" t="s">
        <v>6866</v>
      </c>
      <c r="M4791" s="405" t="s">
        <v>9534</v>
      </c>
      <c r="N4791" s="405" t="s">
        <v>10085</v>
      </c>
      <c r="O4791" s="405" t="s">
        <v>10817</v>
      </c>
      <c r="P4791" s="405" t="s">
        <v>13766</v>
      </c>
      <c r="Q4791" s="411">
        <v>6</v>
      </c>
      <c r="R4791" s="405" t="s">
        <v>7224</v>
      </c>
      <c r="S4791" s="405" t="s">
        <v>27074</v>
      </c>
      <c r="T4791" s="405" t="s">
        <v>32102</v>
      </c>
      <c r="U4791" s="405" t="s">
        <v>319</v>
      </c>
    </row>
    <row r="4792" spans="1:21" x14ac:dyDescent="0.25">
      <c r="A4792" s="405" t="s">
        <v>310</v>
      </c>
      <c r="B4792" s="405" t="s">
        <v>28703</v>
      </c>
      <c r="C4792" s="405" t="s">
        <v>327</v>
      </c>
      <c r="D4792" s="405"/>
      <c r="E4792" s="410">
        <v>41832</v>
      </c>
      <c r="F4792" s="410">
        <v>41877</v>
      </c>
      <c r="G4792" s="405" t="s">
        <v>13723</v>
      </c>
      <c r="H4792" s="405">
        <v>789776671</v>
      </c>
      <c r="I4792" s="405"/>
      <c r="J4792" s="405">
        <v>0.83369700000000002</v>
      </c>
      <c r="K4792" s="405">
        <v>34.002229</v>
      </c>
      <c r="L4792" s="405" t="s">
        <v>6866</v>
      </c>
      <c r="M4792" s="405" t="s">
        <v>9534</v>
      </c>
      <c r="N4792" s="405" t="s">
        <v>10085</v>
      </c>
      <c r="O4792" s="405" t="s">
        <v>10817</v>
      </c>
      <c r="P4792" s="405" t="s">
        <v>11891</v>
      </c>
      <c r="Q4792" s="411">
        <v>6</v>
      </c>
      <c r="R4792" s="405" t="s">
        <v>7224</v>
      </c>
      <c r="S4792" s="405" t="s">
        <v>27306</v>
      </c>
      <c r="T4792" s="405" t="s">
        <v>884</v>
      </c>
      <c r="U4792" s="405" t="s">
        <v>319</v>
      </c>
    </row>
    <row r="4793" spans="1:21" x14ac:dyDescent="0.25">
      <c r="A4793" s="405" t="s">
        <v>310</v>
      </c>
      <c r="B4793" s="405" t="s">
        <v>5313</v>
      </c>
      <c r="C4793" s="405" t="s">
        <v>327</v>
      </c>
      <c r="D4793" s="405"/>
      <c r="E4793" s="410">
        <v>41832</v>
      </c>
      <c r="F4793" s="410">
        <v>41877</v>
      </c>
      <c r="G4793" s="405" t="s">
        <v>5314</v>
      </c>
      <c r="H4793" s="405">
        <v>756858328</v>
      </c>
      <c r="I4793" s="405"/>
      <c r="J4793" s="405">
        <v>-0.49851800000000002</v>
      </c>
      <c r="K4793" s="405">
        <v>31.682974999999999</v>
      </c>
      <c r="L4793" s="405" t="s">
        <v>314</v>
      </c>
      <c r="M4793" s="405" t="s">
        <v>382</v>
      </c>
      <c r="N4793" s="405" t="s">
        <v>5061</v>
      </c>
      <c r="O4793" s="405" t="s">
        <v>5315</v>
      </c>
      <c r="P4793" s="405" t="s">
        <v>5316</v>
      </c>
      <c r="Q4793" s="411">
        <v>6</v>
      </c>
      <c r="R4793" s="405" t="s">
        <v>402</v>
      </c>
      <c r="S4793" s="405" t="s">
        <v>27139</v>
      </c>
      <c r="T4793" s="405" t="s">
        <v>32102</v>
      </c>
      <c r="U4793" s="405" t="s">
        <v>319</v>
      </c>
    </row>
    <row r="4794" spans="1:21" x14ac:dyDescent="0.25">
      <c r="A4794" s="405" t="s">
        <v>310</v>
      </c>
      <c r="B4794" s="405" t="s">
        <v>13779</v>
      </c>
      <c r="C4794" s="405" t="s">
        <v>327</v>
      </c>
      <c r="D4794" s="405"/>
      <c r="E4794" s="410">
        <v>41831</v>
      </c>
      <c r="F4794" s="410">
        <v>41876</v>
      </c>
      <c r="G4794" s="405" t="s">
        <v>13780</v>
      </c>
      <c r="H4794" s="405">
        <v>779463989</v>
      </c>
      <c r="I4794" s="405"/>
      <c r="J4794" s="405">
        <v>1.727943</v>
      </c>
      <c r="K4794" s="405">
        <v>33.545921999999997</v>
      </c>
      <c r="L4794" s="405" t="s">
        <v>6866</v>
      </c>
      <c r="M4794" s="405" t="s">
        <v>10515</v>
      </c>
      <c r="N4794" s="405" t="s">
        <v>10515</v>
      </c>
      <c r="O4794" s="405" t="s">
        <v>11068</v>
      </c>
      <c r="P4794" s="405" t="s">
        <v>13781</v>
      </c>
      <c r="Q4794" s="411">
        <v>6</v>
      </c>
      <c r="R4794" s="405" t="s">
        <v>5655</v>
      </c>
      <c r="S4794" s="405" t="s">
        <v>27346</v>
      </c>
      <c r="T4794" s="405" t="s">
        <v>884</v>
      </c>
      <c r="U4794" s="405" t="s">
        <v>319</v>
      </c>
    </row>
    <row r="4795" spans="1:21" x14ac:dyDescent="0.25">
      <c r="A4795" s="405" t="s">
        <v>310</v>
      </c>
      <c r="B4795" s="405" t="s">
        <v>13763</v>
      </c>
      <c r="C4795" s="405" t="s">
        <v>327</v>
      </c>
      <c r="D4795" s="405"/>
      <c r="E4795" s="410">
        <v>41830</v>
      </c>
      <c r="F4795" s="410">
        <v>41875</v>
      </c>
      <c r="G4795" s="405" t="s">
        <v>13764</v>
      </c>
      <c r="H4795" s="405">
        <v>772479804</v>
      </c>
      <c r="I4795" s="405"/>
      <c r="J4795" s="405">
        <v>1.094255</v>
      </c>
      <c r="K4795" s="405">
        <v>34.194992999999997</v>
      </c>
      <c r="L4795" s="405" t="s">
        <v>6866</v>
      </c>
      <c r="M4795" s="405" t="s">
        <v>9514</v>
      </c>
      <c r="N4795" s="405" t="s">
        <v>9529</v>
      </c>
      <c r="O4795" s="405" t="s">
        <v>9530</v>
      </c>
      <c r="P4795" s="405" t="s">
        <v>9563</v>
      </c>
      <c r="Q4795" s="411">
        <v>6</v>
      </c>
      <c r="R4795" s="405" t="s">
        <v>5655</v>
      </c>
      <c r="S4795" s="405" t="s">
        <v>27056</v>
      </c>
      <c r="T4795" s="405" t="s">
        <v>884</v>
      </c>
      <c r="U4795" s="405" t="s">
        <v>319</v>
      </c>
    </row>
    <row r="4796" spans="1:21" x14ac:dyDescent="0.25">
      <c r="A4796" s="405" t="s">
        <v>310</v>
      </c>
      <c r="B4796" s="405" t="s">
        <v>21739</v>
      </c>
      <c r="C4796" s="405" t="s">
        <v>327</v>
      </c>
      <c r="D4796" s="405"/>
      <c r="E4796" s="410">
        <v>41829</v>
      </c>
      <c r="F4796" s="410">
        <v>41874</v>
      </c>
      <c r="G4796" s="405" t="s">
        <v>21740</v>
      </c>
      <c r="H4796" s="405">
        <v>782325883</v>
      </c>
      <c r="I4796" s="405"/>
      <c r="J4796" s="405">
        <v>0.40378500000000001</v>
      </c>
      <c r="K4796" s="405">
        <v>30.396163000000001</v>
      </c>
      <c r="L4796" s="405" t="s">
        <v>590</v>
      </c>
      <c r="M4796" s="405" t="s">
        <v>19720</v>
      </c>
      <c r="N4796" s="405" t="s">
        <v>7352</v>
      </c>
      <c r="O4796" s="405" t="s">
        <v>21712</v>
      </c>
      <c r="P4796" s="405" t="s">
        <v>21713</v>
      </c>
      <c r="Q4796" s="411">
        <v>6</v>
      </c>
      <c r="R4796" s="405" t="s">
        <v>874</v>
      </c>
      <c r="S4796" s="405" t="s">
        <v>27205</v>
      </c>
      <c r="T4796" s="405" t="s">
        <v>32102</v>
      </c>
      <c r="U4796" s="405" t="s">
        <v>319</v>
      </c>
    </row>
    <row r="4797" spans="1:21" x14ac:dyDescent="0.25">
      <c r="A4797" s="405" t="s">
        <v>310</v>
      </c>
      <c r="B4797" s="405" t="s">
        <v>28174</v>
      </c>
      <c r="C4797" s="405" t="s">
        <v>311</v>
      </c>
      <c r="D4797" s="405" t="s">
        <v>3381</v>
      </c>
      <c r="E4797" s="410">
        <v>41828</v>
      </c>
      <c r="F4797" s="410">
        <v>41873</v>
      </c>
      <c r="G4797" s="405" t="s">
        <v>14133</v>
      </c>
      <c r="H4797" s="405">
        <v>779467727</v>
      </c>
      <c r="I4797" s="405"/>
      <c r="J4797" s="405">
        <v>1.1083799999999999</v>
      </c>
      <c r="K4797" s="405">
        <v>34.173202000000003</v>
      </c>
      <c r="L4797" s="405" t="s">
        <v>6866</v>
      </c>
      <c r="M4797" s="405" t="s">
        <v>9514</v>
      </c>
      <c r="N4797" s="405" t="s">
        <v>9529</v>
      </c>
      <c r="O4797" s="405" t="s">
        <v>9530</v>
      </c>
      <c r="P4797" s="405" t="s">
        <v>11707</v>
      </c>
      <c r="Q4797" s="411">
        <v>6</v>
      </c>
      <c r="R4797" s="405" t="s">
        <v>7224</v>
      </c>
      <c r="S4797" s="405" t="s">
        <v>27306</v>
      </c>
      <c r="T4797" s="405" t="s">
        <v>884</v>
      </c>
      <c r="U4797" s="405" t="s">
        <v>319</v>
      </c>
    </row>
    <row r="4798" spans="1:21" x14ac:dyDescent="0.25">
      <c r="A4798" s="405" t="s">
        <v>310</v>
      </c>
      <c r="B4798" s="405" t="s">
        <v>13767</v>
      </c>
      <c r="C4798" s="405" t="s">
        <v>327</v>
      </c>
      <c r="D4798" s="405"/>
      <c r="E4798" s="410">
        <v>41828</v>
      </c>
      <c r="F4798" s="410">
        <v>41873</v>
      </c>
      <c r="G4798" s="405" t="s">
        <v>13768</v>
      </c>
      <c r="H4798" s="405">
        <v>773904282</v>
      </c>
      <c r="I4798" s="405"/>
      <c r="J4798" s="405">
        <v>1.9641329999999999</v>
      </c>
      <c r="K4798" s="405">
        <v>33.527805000000001</v>
      </c>
      <c r="L4798" s="405" t="s">
        <v>6866</v>
      </c>
      <c r="M4798" s="405" t="s">
        <v>10515</v>
      </c>
      <c r="N4798" s="405" t="s">
        <v>10525</v>
      </c>
      <c r="O4798" s="405" t="s">
        <v>13074</v>
      </c>
      <c r="P4798" s="405" t="s">
        <v>13074</v>
      </c>
      <c r="Q4798" s="411">
        <v>6</v>
      </c>
      <c r="R4798" s="405" t="s">
        <v>7224</v>
      </c>
      <c r="S4798" s="405" t="s">
        <v>27298</v>
      </c>
      <c r="T4798" s="405" t="s">
        <v>884</v>
      </c>
      <c r="U4798" s="405" t="s">
        <v>319</v>
      </c>
    </row>
    <row r="4799" spans="1:21" x14ac:dyDescent="0.25">
      <c r="A4799" s="405" t="s">
        <v>310</v>
      </c>
      <c r="B4799" s="405" t="s">
        <v>13784</v>
      </c>
      <c r="C4799" s="405" t="s">
        <v>327</v>
      </c>
      <c r="D4799" s="405"/>
      <c r="E4799" s="410">
        <v>41828</v>
      </c>
      <c r="F4799" s="410">
        <v>41873</v>
      </c>
      <c r="G4799" s="405" t="s">
        <v>13785</v>
      </c>
      <c r="H4799" s="405">
        <v>782644739</v>
      </c>
      <c r="I4799" s="405"/>
      <c r="J4799" s="405">
        <v>1.9351499999999999</v>
      </c>
      <c r="K4799" s="405">
        <v>33.493208000000003</v>
      </c>
      <c r="L4799" s="405" t="s">
        <v>6866</v>
      </c>
      <c r="M4799" s="405" t="s">
        <v>10515</v>
      </c>
      <c r="N4799" s="405" t="s">
        <v>10525</v>
      </c>
      <c r="O4799" s="405" t="s">
        <v>13074</v>
      </c>
      <c r="P4799" s="405" t="s">
        <v>13786</v>
      </c>
      <c r="Q4799" s="411">
        <v>6</v>
      </c>
      <c r="R4799" s="405" t="s">
        <v>7224</v>
      </c>
      <c r="S4799" s="405" t="s">
        <v>27298</v>
      </c>
      <c r="T4799" s="405" t="s">
        <v>884</v>
      </c>
      <c r="U4799" s="405" t="s">
        <v>319</v>
      </c>
    </row>
    <row r="4800" spans="1:21" x14ac:dyDescent="0.25">
      <c r="A4800" s="405" t="s">
        <v>310</v>
      </c>
      <c r="B4800" s="405" t="s">
        <v>28128</v>
      </c>
      <c r="C4800" s="405" t="s">
        <v>327</v>
      </c>
      <c r="D4800" s="405"/>
      <c r="E4800" s="410">
        <v>41827</v>
      </c>
      <c r="F4800" s="410">
        <v>41872</v>
      </c>
      <c r="G4800" s="405" t="s">
        <v>21749</v>
      </c>
      <c r="H4800" s="405">
        <v>701589338</v>
      </c>
      <c r="I4800" s="405"/>
      <c r="J4800" s="405">
        <v>-0.54277399999999998</v>
      </c>
      <c r="K4800" s="405">
        <v>30.234086000000001</v>
      </c>
      <c r="L4800" s="405" t="s">
        <v>590</v>
      </c>
      <c r="M4800" s="405" t="s">
        <v>19625</v>
      </c>
      <c r="N4800" s="405" t="s">
        <v>19642</v>
      </c>
      <c r="O4800" s="405" t="s">
        <v>20275</v>
      </c>
      <c r="P4800" s="405" t="s">
        <v>21750</v>
      </c>
      <c r="Q4800" s="411">
        <v>9</v>
      </c>
      <c r="R4800" s="405" t="s">
        <v>333</v>
      </c>
      <c r="S4800" s="405" t="s">
        <v>27393</v>
      </c>
      <c r="T4800" s="405" t="s">
        <v>884</v>
      </c>
      <c r="U4800" s="405" t="s">
        <v>319</v>
      </c>
    </row>
    <row r="4801" spans="1:21" x14ac:dyDescent="0.25">
      <c r="A4801" s="405" t="s">
        <v>310</v>
      </c>
      <c r="B4801" s="405" t="s">
        <v>21751</v>
      </c>
      <c r="C4801" s="405" t="s">
        <v>327</v>
      </c>
      <c r="D4801" s="405"/>
      <c r="E4801" s="410">
        <v>41827</v>
      </c>
      <c r="F4801" s="410">
        <v>41872</v>
      </c>
      <c r="G4801" s="405" t="s">
        <v>21752</v>
      </c>
      <c r="H4801" s="405">
        <v>788993573</v>
      </c>
      <c r="I4801" s="405"/>
      <c r="J4801" s="405">
        <v>0.22164800000000001</v>
      </c>
      <c r="K4801" s="405">
        <v>30.635517</v>
      </c>
      <c r="L4801" s="405" t="s">
        <v>590</v>
      </c>
      <c r="M4801" s="405" t="s">
        <v>19720</v>
      </c>
      <c r="N4801" s="405" t="s">
        <v>7352</v>
      </c>
      <c r="O4801" s="405" t="s">
        <v>19722</v>
      </c>
      <c r="P4801" s="405" t="s">
        <v>21753</v>
      </c>
      <c r="Q4801" s="411">
        <v>6</v>
      </c>
      <c r="R4801" s="405" t="s">
        <v>402</v>
      </c>
      <c r="S4801" s="405" t="s">
        <v>27154</v>
      </c>
      <c r="T4801" s="405" t="s">
        <v>884</v>
      </c>
      <c r="U4801" s="405" t="s">
        <v>319</v>
      </c>
    </row>
    <row r="4802" spans="1:21" x14ac:dyDescent="0.25">
      <c r="A4802" s="405" t="s">
        <v>310</v>
      </c>
      <c r="B4802" s="405" t="s">
        <v>13789</v>
      </c>
      <c r="C4802" s="405" t="s">
        <v>327</v>
      </c>
      <c r="D4802" s="405"/>
      <c r="E4802" s="410">
        <v>41827</v>
      </c>
      <c r="F4802" s="410">
        <v>41872</v>
      </c>
      <c r="G4802" s="405" t="s">
        <v>13790</v>
      </c>
      <c r="H4802" s="405">
        <v>782003653</v>
      </c>
      <c r="I4802" s="405"/>
      <c r="J4802" s="405">
        <v>1.111583</v>
      </c>
      <c r="K4802" s="405">
        <v>34.177962000000001</v>
      </c>
      <c r="L4802" s="405" t="s">
        <v>6866</v>
      </c>
      <c r="M4802" s="405" t="s">
        <v>9514</v>
      </c>
      <c r="N4802" s="405" t="s">
        <v>9529</v>
      </c>
      <c r="O4802" s="405" t="s">
        <v>9530</v>
      </c>
      <c r="P4802" s="405" t="s">
        <v>11707</v>
      </c>
      <c r="Q4802" s="411">
        <v>6</v>
      </c>
      <c r="R4802" s="405" t="s">
        <v>7224</v>
      </c>
      <c r="S4802" s="405" t="s">
        <v>27302</v>
      </c>
      <c r="T4802" s="405" t="s">
        <v>884</v>
      </c>
      <c r="U4802" s="405" t="s">
        <v>319</v>
      </c>
    </row>
    <row r="4803" spans="1:21" x14ac:dyDescent="0.25">
      <c r="A4803" s="405" t="s">
        <v>310</v>
      </c>
      <c r="B4803" s="405" t="s">
        <v>13809</v>
      </c>
      <c r="C4803" s="405" t="s">
        <v>327</v>
      </c>
      <c r="D4803" s="405"/>
      <c r="E4803" s="410">
        <v>41826</v>
      </c>
      <c r="F4803" s="410">
        <v>41871</v>
      </c>
      <c r="G4803" s="405" t="s">
        <v>13810</v>
      </c>
      <c r="H4803" s="405">
        <v>751733186</v>
      </c>
      <c r="I4803" s="405"/>
      <c r="J4803" s="405">
        <v>0.24571299999999999</v>
      </c>
      <c r="K4803" s="405">
        <v>33.885793999999997</v>
      </c>
      <c r="L4803" s="405" t="s">
        <v>6866</v>
      </c>
      <c r="M4803" s="405" t="s">
        <v>5437</v>
      </c>
      <c r="N4803" s="405" t="s">
        <v>11071</v>
      </c>
      <c r="O4803" s="405" t="s">
        <v>975</v>
      </c>
      <c r="P4803" s="405" t="s">
        <v>13811</v>
      </c>
      <c r="Q4803" s="411">
        <v>6</v>
      </c>
      <c r="R4803" s="405" t="s">
        <v>7224</v>
      </c>
      <c r="S4803" s="405" t="s">
        <v>17013</v>
      </c>
      <c r="T4803" s="405" t="s">
        <v>884</v>
      </c>
      <c r="U4803" s="405" t="s">
        <v>319</v>
      </c>
    </row>
    <row r="4804" spans="1:21" x14ac:dyDescent="0.25">
      <c r="A4804" s="405" t="s">
        <v>310</v>
      </c>
      <c r="B4804" s="405" t="s">
        <v>5310</v>
      </c>
      <c r="C4804" s="405" t="s">
        <v>327</v>
      </c>
      <c r="D4804" s="405"/>
      <c r="E4804" s="410">
        <v>41826</v>
      </c>
      <c r="F4804" s="410">
        <v>41871</v>
      </c>
      <c r="G4804" s="405" t="s">
        <v>5311</v>
      </c>
      <c r="H4804" s="405">
        <v>772572233</v>
      </c>
      <c r="I4804" s="405"/>
      <c r="J4804" s="405">
        <v>1.0378099999999999</v>
      </c>
      <c r="K4804" s="405">
        <v>32.478385000000003</v>
      </c>
      <c r="L4804" s="405" t="s">
        <v>314</v>
      </c>
      <c r="M4804" s="405" t="s">
        <v>2512</v>
      </c>
      <c r="N4804" s="405" t="s">
        <v>2513</v>
      </c>
      <c r="O4804" s="405" t="s">
        <v>2513</v>
      </c>
      <c r="P4804" s="405" t="s">
        <v>5312</v>
      </c>
      <c r="Q4804" s="411">
        <v>6</v>
      </c>
      <c r="R4804" s="405" t="s">
        <v>32476</v>
      </c>
      <c r="S4804" s="405" t="s">
        <v>27154</v>
      </c>
      <c r="T4804" s="405" t="s">
        <v>32102</v>
      </c>
      <c r="U4804" s="405" t="s">
        <v>319</v>
      </c>
    </row>
    <row r="4805" spans="1:21" x14ac:dyDescent="0.25">
      <c r="A4805" s="405" t="s">
        <v>310</v>
      </c>
      <c r="B4805" s="405" t="s">
        <v>13820</v>
      </c>
      <c r="C4805" s="405" t="s">
        <v>327</v>
      </c>
      <c r="D4805" s="405"/>
      <c r="E4805" s="410">
        <v>41824</v>
      </c>
      <c r="F4805" s="410">
        <v>41869</v>
      </c>
      <c r="G4805" s="405" t="s">
        <v>13821</v>
      </c>
      <c r="H4805" s="405">
        <v>774453591</v>
      </c>
      <c r="I4805" s="405"/>
      <c r="J4805" s="405">
        <v>1.41</v>
      </c>
      <c r="K4805" s="405">
        <v>34.122199999999999</v>
      </c>
      <c r="L4805" s="405" t="s">
        <v>6866</v>
      </c>
      <c r="M4805" s="405" t="s">
        <v>9514</v>
      </c>
      <c r="N4805" s="405" t="s">
        <v>9515</v>
      </c>
      <c r="O4805" s="405" t="s">
        <v>9681</v>
      </c>
      <c r="P4805" s="405" t="s">
        <v>13822</v>
      </c>
      <c r="Q4805" s="411">
        <v>6</v>
      </c>
      <c r="R4805" s="405" t="s">
        <v>5655</v>
      </c>
      <c r="S4805" s="405" t="s">
        <v>17062</v>
      </c>
      <c r="T4805" s="405" t="s">
        <v>32102</v>
      </c>
      <c r="U4805" s="405" t="s">
        <v>319</v>
      </c>
    </row>
    <row r="4806" spans="1:21" x14ac:dyDescent="0.25">
      <c r="A4806" s="405" t="s">
        <v>310</v>
      </c>
      <c r="B4806" s="405" t="s">
        <v>13776</v>
      </c>
      <c r="C4806" s="405" t="s">
        <v>327</v>
      </c>
      <c r="D4806" s="405"/>
      <c r="E4806" s="410">
        <v>41822</v>
      </c>
      <c r="F4806" s="410">
        <v>41867</v>
      </c>
      <c r="G4806" s="405" t="s">
        <v>13777</v>
      </c>
      <c r="H4806" s="405">
        <v>712082505</v>
      </c>
      <c r="I4806" s="405"/>
      <c r="J4806" s="405">
        <v>1.737045</v>
      </c>
      <c r="K4806" s="405">
        <v>33.494725000000003</v>
      </c>
      <c r="L4806" s="405" t="s">
        <v>6866</v>
      </c>
      <c r="M4806" s="405" t="s">
        <v>10515</v>
      </c>
      <c r="N4806" s="405" t="s">
        <v>10515</v>
      </c>
      <c r="O4806" s="405" t="s">
        <v>11068</v>
      </c>
      <c r="P4806" s="405" t="s">
        <v>13778</v>
      </c>
      <c r="Q4806" s="411">
        <v>6</v>
      </c>
      <c r="R4806" s="405" t="s">
        <v>5655</v>
      </c>
      <c r="S4806" s="405" t="s">
        <v>27346</v>
      </c>
      <c r="T4806" s="405" t="s">
        <v>884</v>
      </c>
      <c r="U4806" s="405" t="s">
        <v>319</v>
      </c>
    </row>
    <row r="4807" spans="1:21" x14ac:dyDescent="0.25">
      <c r="A4807" s="405" t="s">
        <v>310</v>
      </c>
      <c r="B4807" s="405" t="s">
        <v>17</v>
      </c>
      <c r="C4807" s="405" t="s">
        <v>327</v>
      </c>
      <c r="D4807" s="405"/>
      <c r="E4807" s="410">
        <v>41822</v>
      </c>
      <c r="F4807" s="410">
        <v>41867</v>
      </c>
      <c r="G4807" s="405" t="s">
        <v>13769</v>
      </c>
      <c r="H4807" s="405">
        <v>778126858</v>
      </c>
      <c r="I4807" s="405"/>
      <c r="J4807" s="405">
        <v>1.94957</v>
      </c>
      <c r="K4807" s="405">
        <v>33.517867000000003</v>
      </c>
      <c r="L4807" s="405" t="s">
        <v>6866</v>
      </c>
      <c r="M4807" s="405" t="s">
        <v>10515</v>
      </c>
      <c r="N4807" s="405" t="s">
        <v>10525</v>
      </c>
      <c r="O4807" s="405" t="s">
        <v>13074</v>
      </c>
      <c r="P4807" s="405" t="s">
        <v>13770</v>
      </c>
      <c r="Q4807" s="411">
        <v>6</v>
      </c>
      <c r="R4807" s="405" t="s">
        <v>7224</v>
      </c>
      <c r="S4807" s="405" t="s">
        <v>27298</v>
      </c>
      <c r="T4807" s="405" t="s">
        <v>884</v>
      </c>
      <c r="U4807" s="405" t="s">
        <v>319</v>
      </c>
    </row>
    <row r="4808" spans="1:21" x14ac:dyDescent="0.25">
      <c r="A4808" s="405" t="s">
        <v>310</v>
      </c>
      <c r="B4808" s="405" t="s">
        <v>14097</v>
      </c>
      <c r="C4808" s="405" t="s">
        <v>311</v>
      </c>
      <c r="D4808" s="405" t="s">
        <v>1111</v>
      </c>
      <c r="E4808" s="410">
        <v>41822</v>
      </c>
      <c r="F4808" s="410">
        <v>41867</v>
      </c>
      <c r="G4808" s="405" t="s">
        <v>14098</v>
      </c>
      <c r="H4808" s="405">
        <v>777157426</v>
      </c>
      <c r="I4808" s="405"/>
      <c r="J4808" s="405">
        <v>1.496518</v>
      </c>
      <c r="K4808" s="405">
        <v>33.153092999999998</v>
      </c>
      <c r="L4808" s="405" t="s">
        <v>6866</v>
      </c>
      <c r="M4808" s="405" t="s">
        <v>9658</v>
      </c>
      <c r="N4808" s="405" t="s">
        <v>11057</v>
      </c>
      <c r="O4808" s="405" t="s">
        <v>14099</v>
      </c>
      <c r="P4808" s="405" t="s">
        <v>14100</v>
      </c>
      <c r="Q4808" s="411">
        <v>6</v>
      </c>
      <c r="R4808" s="405" t="s">
        <v>5655</v>
      </c>
      <c r="S4808" s="405" t="s">
        <v>27072</v>
      </c>
      <c r="T4808" s="405" t="s">
        <v>884</v>
      </c>
      <c r="U4808" s="405" t="s">
        <v>319</v>
      </c>
    </row>
    <row r="4809" spans="1:21" x14ac:dyDescent="0.25">
      <c r="A4809" s="405" t="s">
        <v>310</v>
      </c>
      <c r="B4809" s="405" t="s">
        <v>27691</v>
      </c>
      <c r="C4809" s="405" t="s">
        <v>327</v>
      </c>
      <c r="D4809" s="405"/>
      <c r="E4809" s="410">
        <v>41821</v>
      </c>
      <c r="F4809" s="410">
        <v>41866</v>
      </c>
      <c r="G4809" s="405" t="s">
        <v>13771</v>
      </c>
      <c r="H4809" s="405">
        <v>779892048</v>
      </c>
      <c r="I4809" s="405"/>
      <c r="J4809" s="405">
        <v>1.6911</v>
      </c>
      <c r="K4809" s="405">
        <v>33.510491999999999</v>
      </c>
      <c r="L4809" s="405" t="s">
        <v>6866</v>
      </c>
      <c r="M4809" s="405" t="s">
        <v>10515</v>
      </c>
      <c r="N4809" s="405" t="s">
        <v>10515</v>
      </c>
      <c r="O4809" s="405" t="s">
        <v>11068</v>
      </c>
      <c r="P4809" s="405" t="s">
        <v>13772</v>
      </c>
      <c r="Q4809" s="411">
        <v>6</v>
      </c>
      <c r="R4809" s="405" t="s">
        <v>5655</v>
      </c>
      <c r="S4809" s="405" t="s">
        <v>27345</v>
      </c>
      <c r="T4809" s="405" t="s">
        <v>32102</v>
      </c>
      <c r="U4809" s="405" t="s">
        <v>319</v>
      </c>
    </row>
    <row r="4810" spans="1:21" x14ac:dyDescent="0.25">
      <c r="A4810" s="405" t="s">
        <v>310</v>
      </c>
      <c r="B4810" s="405" t="s">
        <v>18902</v>
      </c>
      <c r="C4810" s="405" t="s">
        <v>327</v>
      </c>
      <c r="D4810" s="405"/>
      <c r="E4810" s="410">
        <v>41820</v>
      </c>
      <c r="F4810" s="410">
        <v>41865</v>
      </c>
      <c r="G4810" s="405" t="s">
        <v>18903</v>
      </c>
      <c r="H4810" s="405">
        <v>774695628</v>
      </c>
      <c r="I4810" s="405"/>
      <c r="J4810" s="405">
        <v>2.7130329999999998</v>
      </c>
      <c r="K4810" s="405">
        <v>32.223412000000003</v>
      </c>
      <c r="L4810" s="405" t="s">
        <v>860</v>
      </c>
      <c r="M4810" s="405" t="s">
        <v>853</v>
      </c>
      <c r="N4810" s="405" t="s">
        <v>18311</v>
      </c>
      <c r="O4810" s="405" t="s">
        <v>18242</v>
      </c>
      <c r="P4810" s="405" t="s">
        <v>18904</v>
      </c>
      <c r="Q4810" s="411">
        <v>13</v>
      </c>
      <c r="R4810" s="405" t="s">
        <v>5336</v>
      </c>
      <c r="S4810" s="405" t="s">
        <v>27243</v>
      </c>
      <c r="T4810" s="405" t="s">
        <v>32102</v>
      </c>
      <c r="U4810" s="405" t="s">
        <v>319</v>
      </c>
    </row>
    <row r="4811" spans="1:21" x14ac:dyDescent="0.25">
      <c r="A4811" s="405" t="s">
        <v>310</v>
      </c>
      <c r="B4811" s="405" t="s">
        <v>13782</v>
      </c>
      <c r="C4811" s="405" t="s">
        <v>327</v>
      </c>
      <c r="D4811" s="405"/>
      <c r="E4811" s="410">
        <v>41820</v>
      </c>
      <c r="F4811" s="410">
        <v>41865</v>
      </c>
      <c r="G4811" s="405" t="s">
        <v>13783</v>
      </c>
      <c r="H4811" s="405">
        <v>773938629</v>
      </c>
      <c r="I4811" s="405"/>
      <c r="J4811" s="405">
        <v>1.1304080000000001</v>
      </c>
      <c r="K4811" s="405">
        <v>34.204931999999999</v>
      </c>
      <c r="L4811" s="405" t="s">
        <v>6866</v>
      </c>
      <c r="M4811" s="405" t="s">
        <v>9514</v>
      </c>
      <c r="N4811" s="405" t="s">
        <v>9722</v>
      </c>
      <c r="O4811" s="405" t="s">
        <v>9530</v>
      </c>
      <c r="P4811" s="405" t="s">
        <v>11507</v>
      </c>
      <c r="Q4811" s="411">
        <v>6</v>
      </c>
      <c r="R4811" s="405" t="s">
        <v>7224</v>
      </c>
      <c r="S4811" s="405" t="s">
        <v>27074</v>
      </c>
      <c r="T4811" s="405" t="s">
        <v>32102</v>
      </c>
      <c r="U4811" s="405" t="s">
        <v>319</v>
      </c>
    </row>
    <row r="4812" spans="1:21" x14ac:dyDescent="0.25">
      <c r="A4812" s="405" t="s">
        <v>310</v>
      </c>
      <c r="B4812" s="405" t="s">
        <v>13731</v>
      </c>
      <c r="C4812" s="405" t="s">
        <v>327</v>
      </c>
      <c r="D4812" s="405"/>
      <c r="E4812" s="410">
        <v>41820</v>
      </c>
      <c r="F4812" s="410">
        <v>41865</v>
      </c>
      <c r="G4812" s="405" t="s">
        <v>13732</v>
      </c>
      <c r="H4812" s="405">
        <v>754212922</v>
      </c>
      <c r="I4812" s="405"/>
      <c r="J4812" s="405">
        <v>1.108573</v>
      </c>
      <c r="K4812" s="405">
        <v>34.201467000000001</v>
      </c>
      <c r="L4812" s="405" t="s">
        <v>6866</v>
      </c>
      <c r="M4812" s="405" t="s">
        <v>9514</v>
      </c>
      <c r="N4812" s="405" t="s">
        <v>9529</v>
      </c>
      <c r="O4812" s="405" t="s">
        <v>9530</v>
      </c>
      <c r="P4812" s="405" t="s">
        <v>11385</v>
      </c>
      <c r="Q4812" s="411">
        <v>6</v>
      </c>
      <c r="R4812" s="405" t="s">
        <v>7224</v>
      </c>
      <c r="S4812" s="405" t="s">
        <v>27337</v>
      </c>
      <c r="T4812" s="405" t="s">
        <v>865</v>
      </c>
      <c r="U4812" s="405" t="s">
        <v>866</v>
      </c>
    </row>
    <row r="4813" spans="1:21" x14ac:dyDescent="0.25">
      <c r="A4813" s="405" t="s">
        <v>310</v>
      </c>
      <c r="B4813" s="405" t="s">
        <v>13752</v>
      </c>
      <c r="C4813" s="405" t="s">
        <v>327</v>
      </c>
      <c r="D4813" s="405"/>
      <c r="E4813" s="410">
        <v>41820</v>
      </c>
      <c r="F4813" s="410">
        <v>41865</v>
      </c>
      <c r="G4813" s="405" t="s">
        <v>13753</v>
      </c>
      <c r="H4813" s="405">
        <v>758380270</v>
      </c>
      <c r="I4813" s="405">
        <v>785238754</v>
      </c>
      <c r="J4813" s="405">
        <v>0.68315700000000001</v>
      </c>
      <c r="K4813" s="405">
        <v>33.952468000000003</v>
      </c>
      <c r="L4813" s="405" t="s">
        <v>6866</v>
      </c>
      <c r="M4813" s="405" t="s">
        <v>9534</v>
      </c>
      <c r="N4813" s="405" t="s">
        <v>9997</v>
      </c>
      <c r="O4813" s="405" t="s">
        <v>10918</v>
      </c>
      <c r="P4813" s="405" t="s">
        <v>13754</v>
      </c>
      <c r="Q4813" s="411">
        <v>6</v>
      </c>
      <c r="R4813" s="405" t="s">
        <v>7224</v>
      </c>
      <c r="S4813" s="405" t="s">
        <v>27041</v>
      </c>
      <c r="T4813" s="405" t="s">
        <v>884</v>
      </c>
      <c r="U4813" s="405" t="s">
        <v>319</v>
      </c>
    </row>
    <row r="4814" spans="1:21" x14ac:dyDescent="0.25">
      <c r="A4814" s="405" t="s">
        <v>310</v>
      </c>
      <c r="B4814" s="405" t="s">
        <v>13745</v>
      </c>
      <c r="C4814" s="405" t="s">
        <v>327</v>
      </c>
      <c r="D4814" s="405"/>
      <c r="E4814" s="410">
        <v>41819</v>
      </c>
      <c r="F4814" s="410">
        <v>41864</v>
      </c>
      <c r="G4814" s="405" t="s">
        <v>13746</v>
      </c>
      <c r="H4814" s="405">
        <v>773183138</v>
      </c>
      <c r="I4814" s="405"/>
      <c r="J4814" s="405">
        <v>1.160622</v>
      </c>
      <c r="K4814" s="405">
        <v>34.200066999999997</v>
      </c>
      <c r="L4814" s="405" t="s">
        <v>6866</v>
      </c>
      <c r="M4814" s="405" t="s">
        <v>9514</v>
      </c>
      <c r="N4814" s="405" t="s">
        <v>9529</v>
      </c>
      <c r="O4814" s="405" t="s">
        <v>9530</v>
      </c>
      <c r="P4814" s="405" t="s">
        <v>9895</v>
      </c>
      <c r="Q4814" s="411">
        <v>6</v>
      </c>
      <c r="R4814" s="405" t="s">
        <v>5655</v>
      </c>
      <c r="S4814" s="405" t="s">
        <v>27318</v>
      </c>
      <c r="T4814" s="405" t="s">
        <v>884</v>
      </c>
      <c r="U4814" s="405" t="s">
        <v>319</v>
      </c>
    </row>
    <row r="4815" spans="1:21" x14ac:dyDescent="0.25">
      <c r="A4815" s="405" t="s">
        <v>310</v>
      </c>
      <c r="B4815" s="405" t="s">
        <v>28695</v>
      </c>
      <c r="C4815" s="405" t="s">
        <v>327</v>
      </c>
      <c r="D4815" s="405"/>
      <c r="E4815" s="410">
        <v>41818</v>
      </c>
      <c r="F4815" s="410">
        <v>41863</v>
      </c>
      <c r="G4815" s="405" t="s">
        <v>13755</v>
      </c>
      <c r="H4815" s="405">
        <v>775087930</v>
      </c>
      <c r="I4815" s="405"/>
      <c r="J4815" s="405">
        <v>0.68243900000000002</v>
      </c>
      <c r="K4815" s="405">
        <v>33.965477999999997</v>
      </c>
      <c r="L4815" s="405" t="s">
        <v>6866</v>
      </c>
      <c r="M4815" s="405" t="s">
        <v>9534</v>
      </c>
      <c r="N4815" s="405" t="s">
        <v>9997</v>
      </c>
      <c r="O4815" s="405" t="s">
        <v>10918</v>
      </c>
      <c r="P4815" s="405" t="s">
        <v>12771</v>
      </c>
      <c r="Q4815" s="411">
        <v>6</v>
      </c>
      <c r="R4815" s="405" t="s">
        <v>7224</v>
      </c>
      <c r="S4815" s="405" t="s">
        <v>27310</v>
      </c>
      <c r="T4815" s="405" t="s">
        <v>32102</v>
      </c>
      <c r="U4815" s="405" t="s">
        <v>319</v>
      </c>
    </row>
    <row r="4816" spans="1:21" x14ac:dyDescent="0.25">
      <c r="A4816" s="405" t="s">
        <v>310</v>
      </c>
      <c r="B4816" s="405" t="s">
        <v>29034</v>
      </c>
      <c r="C4816" s="405" t="s">
        <v>327</v>
      </c>
      <c r="D4816" s="405"/>
      <c r="E4816" s="410">
        <v>41818</v>
      </c>
      <c r="F4816" s="410">
        <v>41863</v>
      </c>
      <c r="G4816" s="405" t="s">
        <v>13747</v>
      </c>
      <c r="H4816" s="405">
        <v>789784648</v>
      </c>
      <c r="I4816" s="405"/>
      <c r="J4816" s="405">
        <v>1.0978650000000001</v>
      </c>
      <c r="K4816" s="405">
        <v>34.211584999999999</v>
      </c>
      <c r="L4816" s="405" t="s">
        <v>6866</v>
      </c>
      <c r="M4816" s="405" t="s">
        <v>9514</v>
      </c>
      <c r="N4816" s="405" t="s">
        <v>9529</v>
      </c>
      <c r="O4816" s="405" t="s">
        <v>9530</v>
      </c>
      <c r="P4816" s="405" t="s">
        <v>13748</v>
      </c>
      <c r="Q4816" s="411">
        <v>6</v>
      </c>
      <c r="R4816" s="405" t="s">
        <v>7224</v>
      </c>
      <c r="S4816" s="405" t="s">
        <v>27086</v>
      </c>
      <c r="T4816" s="405" t="s">
        <v>32102</v>
      </c>
      <c r="U4816" s="405" t="s">
        <v>319</v>
      </c>
    </row>
    <row r="4817" spans="1:21" x14ac:dyDescent="0.25">
      <c r="A4817" s="405" t="s">
        <v>310</v>
      </c>
      <c r="B4817" s="405" t="s">
        <v>13749</v>
      </c>
      <c r="C4817" s="405" t="s">
        <v>327</v>
      </c>
      <c r="D4817" s="405"/>
      <c r="E4817" s="410">
        <v>41818</v>
      </c>
      <c r="F4817" s="410">
        <v>41863</v>
      </c>
      <c r="G4817" s="405" t="s">
        <v>13750</v>
      </c>
      <c r="H4817" s="405">
        <v>754798145</v>
      </c>
      <c r="I4817" s="405"/>
      <c r="J4817" s="405">
        <v>0.69008199999999997</v>
      </c>
      <c r="K4817" s="405">
        <v>33.953688999999997</v>
      </c>
      <c r="L4817" s="405" t="s">
        <v>6866</v>
      </c>
      <c r="M4817" s="405" t="s">
        <v>9534</v>
      </c>
      <c r="N4817" s="405" t="s">
        <v>9997</v>
      </c>
      <c r="O4817" s="405" t="s">
        <v>10918</v>
      </c>
      <c r="P4817" s="405" t="s">
        <v>13751</v>
      </c>
      <c r="Q4817" s="411">
        <v>6</v>
      </c>
      <c r="R4817" s="405" t="s">
        <v>7224</v>
      </c>
      <c r="S4817" s="405" t="s">
        <v>27204</v>
      </c>
      <c r="T4817" s="405" t="s">
        <v>32102</v>
      </c>
      <c r="U4817" s="405" t="s">
        <v>319</v>
      </c>
    </row>
    <row r="4818" spans="1:21" x14ac:dyDescent="0.25">
      <c r="A4818" s="405" t="s">
        <v>310</v>
      </c>
      <c r="B4818" s="405" t="s">
        <v>29058</v>
      </c>
      <c r="C4818" s="405" t="s">
        <v>311</v>
      </c>
      <c r="D4818" s="405" t="s">
        <v>14064</v>
      </c>
      <c r="E4818" s="410">
        <v>41818</v>
      </c>
      <c r="F4818" s="410">
        <v>41863</v>
      </c>
      <c r="G4818" s="405" t="s">
        <v>14065</v>
      </c>
      <c r="H4818" s="405">
        <v>753546494</v>
      </c>
      <c r="I4818" s="405"/>
      <c r="J4818" s="405">
        <v>1.103037</v>
      </c>
      <c r="K4818" s="405">
        <v>34.190437000000003</v>
      </c>
      <c r="L4818" s="405" t="s">
        <v>6866</v>
      </c>
      <c r="M4818" s="405" t="s">
        <v>9514</v>
      </c>
      <c r="N4818" s="405" t="s">
        <v>9530</v>
      </c>
      <c r="O4818" s="405" t="s">
        <v>9530</v>
      </c>
      <c r="P4818" s="405" t="s">
        <v>11967</v>
      </c>
      <c r="Q4818" s="411">
        <v>6</v>
      </c>
      <c r="R4818" s="405" t="s">
        <v>7224</v>
      </c>
      <c r="S4818" s="405" t="s">
        <v>27309</v>
      </c>
      <c r="T4818" s="405" t="s">
        <v>32102</v>
      </c>
      <c r="U4818" s="405" t="s">
        <v>319</v>
      </c>
    </row>
    <row r="4819" spans="1:21" x14ac:dyDescent="0.25">
      <c r="A4819" s="405" t="s">
        <v>310</v>
      </c>
      <c r="B4819" s="405" t="s">
        <v>27750</v>
      </c>
      <c r="C4819" s="405" t="s">
        <v>327</v>
      </c>
      <c r="D4819" s="405"/>
      <c r="E4819" s="410">
        <v>41817</v>
      </c>
      <c r="F4819" s="410">
        <v>41862</v>
      </c>
      <c r="G4819" s="405" t="s">
        <v>21730</v>
      </c>
      <c r="H4819" s="405">
        <v>702407938</v>
      </c>
      <c r="I4819" s="405"/>
      <c r="J4819" s="405">
        <v>-0.661497</v>
      </c>
      <c r="K4819" s="405">
        <v>30.694396000000001</v>
      </c>
      <c r="L4819" s="405" t="s">
        <v>590</v>
      </c>
      <c r="M4819" s="405" t="s">
        <v>879</v>
      </c>
      <c r="N4819" s="405" t="s">
        <v>879</v>
      </c>
      <c r="O4819" s="405" t="s">
        <v>881</v>
      </c>
      <c r="P4819" s="405" t="s">
        <v>21281</v>
      </c>
      <c r="Q4819" s="411">
        <v>9</v>
      </c>
      <c r="R4819" s="405" t="s">
        <v>333</v>
      </c>
      <c r="S4819" s="405" t="s">
        <v>27229</v>
      </c>
      <c r="T4819" s="405" t="s">
        <v>884</v>
      </c>
      <c r="U4819" s="405" t="s">
        <v>319</v>
      </c>
    </row>
    <row r="4820" spans="1:21" x14ac:dyDescent="0.25">
      <c r="A4820" s="405" t="s">
        <v>310</v>
      </c>
      <c r="B4820" s="405" t="s">
        <v>27547</v>
      </c>
      <c r="C4820" s="405" t="s">
        <v>327</v>
      </c>
      <c r="D4820" s="405"/>
      <c r="E4820" s="410">
        <v>41817</v>
      </c>
      <c r="F4820" s="410">
        <v>41862</v>
      </c>
      <c r="G4820" s="405" t="s">
        <v>13759</v>
      </c>
      <c r="H4820" s="405">
        <v>758946148</v>
      </c>
      <c r="I4820" s="405"/>
      <c r="J4820" s="405">
        <v>0.67669800000000002</v>
      </c>
      <c r="K4820" s="405">
        <v>33.959378999999998</v>
      </c>
      <c r="L4820" s="405" t="s">
        <v>6866</v>
      </c>
      <c r="M4820" s="405" t="s">
        <v>9534</v>
      </c>
      <c r="N4820" s="405" t="s">
        <v>9997</v>
      </c>
      <c r="O4820" s="405" t="s">
        <v>10918</v>
      </c>
      <c r="P4820" s="405" t="s">
        <v>12771</v>
      </c>
      <c r="Q4820" s="411">
        <v>6</v>
      </c>
      <c r="R4820" s="405" t="s">
        <v>7224</v>
      </c>
      <c r="S4820" s="405" t="s">
        <v>27259</v>
      </c>
      <c r="T4820" s="405" t="s">
        <v>32102</v>
      </c>
      <c r="U4820" s="405" t="s">
        <v>319</v>
      </c>
    </row>
    <row r="4821" spans="1:21" x14ac:dyDescent="0.25">
      <c r="A4821" s="405" t="s">
        <v>310</v>
      </c>
      <c r="B4821" s="405" t="s">
        <v>13801</v>
      </c>
      <c r="C4821" s="405" t="s">
        <v>327</v>
      </c>
      <c r="D4821" s="405"/>
      <c r="E4821" s="410">
        <v>41817</v>
      </c>
      <c r="F4821" s="410">
        <v>41862</v>
      </c>
      <c r="G4821" s="405" t="s">
        <v>13802</v>
      </c>
      <c r="H4821" s="405">
        <v>753217727</v>
      </c>
      <c r="I4821" s="405"/>
      <c r="J4821" s="405">
        <v>1.1497649999999999</v>
      </c>
      <c r="K4821" s="405">
        <v>34.216760000000001</v>
      </c>
      <c r="L4821" s="405" t="s">
        <v>6866</v>
      </c>
      <c r="M4821" s="405" t="s">
        <v>9514</v>
      </c>
      <c r="N4821" s="405" t="s">
        <v>9722</v>
      </c>
      <c r="O4821" s="405" t="s">
        <v>9530</v>
      </c>
      <c r="P4821" s="405" t="s">
        <v>13803</v>
      </c>
      <c r="Q4821" s="411">
        <v>6</v>
      </c>
      <c r="R4821" s="405" t="s">
        <v>5655</v>
      </c>
      <c r="S4821" s="405" t="s">
        <v>27107</v>
      </c>
      <c r="T4821" s="405" t="s">
        <v>32102</v>
      </c>
      <c r="U4821" s="405" t="s">
        <v>319</v>
      </c>
    </row>
    <row r="4822" spans="1:21" x14ac:dyDescent="0.25">
      <c r="A4822" s="405" t="s">
        <v>310</v>
      </c>
      <c r="B4822" s="405" t="s">
        <v>5299</v>
      </c>
      <c r="C4822" s="405" t="s">
        <v>327</v>
      </c>
      <c r="D4822" s="405"/>
      <c r="E4822" s="410">
        <v>41816</v>
      </c>
      <c r="F4822" s="410">
        <v>41861</v>
      </c>
      <c r="G4822" s="405" t="s">
        <v>5300</v>
      </c>
      <c r="H4822" s="405">
        <v>782175926</v>
      </c>
      <c r="I4822" s="405">
        <v>783715448</v>
      </c>
      <c r="J4822" s="405">
        <v>0.16269500000000001</v>
      </c>
      <c r="K4822" s="405">
        <v>32.165038000000003</v>
      </c>
      <c r="L4822" s="405" t="s">
        <v>314</v>
      </c>
      <c r="M4822" s="405" t="s">
        <v>315</v>
      </c>
      <c r="N4822" s="405" t="s">
        <v>315</v>
      </c>
      <c r="O4822" s="405" t="s">
        <v>2063</v>
      </c>
      <c r="P4822" s="405" t="s">
        <v>5301</v>
      </c>
      <c r="Q4822" s="411">
        <v>6</v>
      </c>
      <c r="R4822" s="405" t="s">
        <v>5302</v>
      </c>
      <c r="S4822" s="405" t="s">
        <v>27064</v>
      </c>
      <c r="T4822" s="405" t="s">
        <v>32102</v>
      </c>
      <c r="U4822" s="405" t="s">
        <v>319</v>
      </c>
    </row>
    <row r="4823" spans="1:21" x14ac:dyDescent="0.25">
      <c r="A4823" s="405" t="s">
        <v>310</v>
      </c>
      <c r="B4823" s="405" t="s">
        <v>13729</v>
      </c>
      <c r="C4823" s="405" t="s">
        <v>327</v>
      </c>
      <c r="D4823" s="405"/>
      <c r="E4823" s="410">
        <v>41815</v>
      </c>
      <c r="F4823" s="410">
        <v>41860</v>
      </c>
      <c r="G4823" s="405" t="s">
        <v>13730</v>
      </c>
      <c r="H4823" s="405">
        <v>774661532</v>
      </c>
      <c r="I4823" s="405"/>
      <c r="J4823" s="405">
        <v>1.1094329999999999</v>
      </c>
      <c r="K4823" s="405">
        <v>34.181089999999998</v>
      </c>
      <c r="L4823" s="405" t="s">
        <v>6866</v>
      </c>
      <c r="M4823" s="405" t="s">
        <v>9514</v>
      </c>
      <c r="N4823" s="405" t="s">
        <v>9529</v>
      </c>
      <c r="O4823" s="405" t="s">
        <v>9530</v>
      </c>
      <c r="P4823" s="405" t="s">
        <v>11707</v>
      </c>
      <c r="Q4823" s="411">
        <v>6</v>
      </c>
      <c r="R4823" s="405" t="s">
        <v>7224</v>
      </c>
      <c r="S4823" s="405" t="s">
        <v>17013</v>
      </c>
      <c r="T4823" s="405" t="s">
        <v>32102</v>
      </c>
      <c r="U4823" s="405" t="s">
        <v>319</v>
      </c>
    </row>
    <row r="4824" spans="1:21" x14ac:dyDescent="0.25">
      <c r="A4824" s="405" t="s">
        <v>310</v>
      </c>
      <c r="B4824" s="405" t="s">
        <v>28670</v>
      </c>
      <c r="C4824" s="405" t="s">
        <v>327</v>
      </c>
      <c r="D4824" s="405"/>
      <c r="E4824" s="410">
        <v>41814</v>
      </c>
      <c r="F4824" s="410">
        <v>41859</v>
      </c>
      <c r="G4824" s="405" t="s">
        <v>21734</v>
      </c>
      <c r="H4824" s="405">
        <v>788636418</v>
      </c>
      <c r="I4824" s="405"/>
      <c r="J4824" s="405">
        <v>0.27093099999999998</v>
      </c>
      <c r="K4824" s="405">
        <v>30.181802000000001</v>
      </c>
      <c r="L4824" s="405" t="s">
        <v>590</v>
      </c>
      <c r="M4824" s="405" t="s">
        <v>21087</v>
      </c>
      <c r="N4824" s="405" t="s">
        <v>21088</v>
      </c>
      <c r="O4824" s="405" t="s">
        <v>21735</v>
      </c>
      <c r="P4824" s="405" t="s">
        <v>4263</v>
      </c>
      <c r="Q4824" s="411">
        <v>6</v>
      </c>
      <c r="R4824" s="405" t="s">
        <v>883</v>
      </c>
      <c r="S4824" s="405" t="s">
        <v>27065</v>
      </c>
      <c r="T4824" s="405" t="s">
        <v>32102</v>
      </c>
      <c r="U4824" s="405" t="s">
        <v>319</v>
      </c>
    </row>
    <row r="4825" spans="1:21" x14ac:dyDescent="0.25">
      <c r="A4825" s="405" t="s">
        <v>310</v>
      </c>
      <c r="B4825" s="405" t="s">
        <v>13804</v>
      </c>
      <c r="C4825" s="405" t="s">
        <v>327</v>
      </c>
      <c r="D4825" s="405"/>
      <c r="E4825" s="410">
        <v>41813</v>
      </c>
      <c r="F4825" s="410">
        <v>41858</v>
      </c>
      <c r="G4825" s="405" t="s">
        <v>13805</v>
      </c>
      <c r="H4825" s="405">
        <v>788263039</v>
      </c>
      <c r="I4825" s="405"/>
      <c r="J4825" s="405">
        <v>1.0225379999999999</v>
      </c>
      <c r="K4825" s="405">
        <v>34.380752999999999</v>
      </c>
      <c r="L4825" s="405" t="s">
        <v>6866</v>
      </c>
      <c r="M4825" s="405" t="s">
        <v>6867</v>
      </c>
      <c r="N4825" s="405" t="s">
        <v>6867</v>
      </c>
      <c r="O4825" s="405" t="s">
        <v>13210</v>
      </c>
      <c r="P4825" s="405" t="s">
        <v>12227</v>
      </c>
      <c r="Q4825" s="411">
        <v>6</v>
      </c>
      <c r="R4825" s="405" t="s">
        <v>7224</v>
      </c>
      <c r="S4825" s="405" t="s">
        <v>27074</v>
      </c>
      <c r="T4825" s="405" t="s">
        <v>884</v>
      </c>
      <c r="U4825" s="405" t="s">
        <v>319</v>
      </c>
    </row>
    <row r="4826" spans="1:21" x14ac:dyDescent="0.25">
      <c r="A4826" s="405" t="s">
        <v>310</v>
      </c>
      <c r="B4826" s="405" t="s">
        <v>21741</v>
      </c>
      <c r="C4826" s="405" t="s">
        <v>327</v>
      </c>
      <c r="D4826" s="405"/>
      <c r="E4826" s="410">
        <v>41812</v>
      </c>
      <c r="F4826" s="410">
        <v>41857</v>
      </c>
      <c r="G4826" s="405" t="s">
        <v>21742</v>
      </c>
      <c r="H4826" s="405">
        <v>776202116</v>
      </c>
      <c r="I4826" s="405"/>
      <c r="J4826" s="405">
        <v>-0.58075900000000003</v>
      </c>
      <c r="K4826" s="405">
        <v>30.439544000000001</v>
      </c>
      <c r="L4826" s="405" t="s">
        <v>590</v>
      </c>
      <c r="M4826" s="405" t="s">
        <v>19614</v>
      </c>
      <c r="N4826" s="405" t="s">
        <v>19615</v>
      </c>
      <c r="O4826" s="405" t="s">
        <v>20154</v>
      </c>
      <c r="P4826" s="405" t="s">
        <v>21743</v>
      </c>
      <c r="Q4826" s="411">
        <v>13</v>
      </c>
      <c r="R4826" s="405" t="s">
        <v>333</v>
      </c>
      <c r="S4826" s="405" t="s">
        <v>27275</v>
      </c>
      <c r="T4826" s="405" t="s">
        <v>884</v>
      </c>
      <c r="U4826" s="405" t="s">
        <v>319</v>
      </c>
    </row>
    <row r="4827" spans="1:21" x14ac:dyDescent="0.25">
      <c r="A4827" s="405" t="s">
        <v>310</v>
      </c>
      <c r="B4827" s="405" t="s">
        <v>21731</v>
      </c>
      <c r="C4827" s="405" t="s">
        <v>327</v>
      </c>
      <c r="D4827" s="405"/>
      <c r="E4827" s="410">
        <v>41812</v>
      </c>
      <c r="F4827" s="410">
        <v>41857</v>
      </c>
      <c r="G4827" s="405" t="s">
        <v>21732</v>
      </c>
      <c r="H4827" s="405">
        <v>775979149</v>
      </c>
      <c r="I4827" s="405">
        <v>703325034</v>
      </c>
      <c r="J4827" s="405">
        <v>-0.63337200000000005</v>
      </c>
      <c r="K4827" s="405">
        <v>30.694476999999999</v>
      </c>
      <c r="L4827" s="405" t="s">
        <v>590</v>
      </c>
      <c r="M4827" s="405" t="s">
        <v>879</v>
      </c>
      <c r="N4827" s="405" t="s">
        <v>879</v>
      </c>
      <c r="O4827" s="405" t="s">
        <v>881</v>
      </c>
      <c r="P4827" s="405" t="s">
        <v>21733</v>
      </c>
      <c r="Q4827" s="411">
        <v>6</v>
      </c>
      <c r="R4827" s="405" t="s">
        <v>883</v>
      </c>
      <c r="S4827" s="405" t="s">
        <v>27183</v>
      </c>
      <c r="T4827" s="405" t="s">
        <v>32102</v>
      </c>
      <c r="U4827" s="405" t="s">
        <v>319</v>
      </c>
    </row>
    <row r="4828" spans="1:21" x14ac:dyDescent="0.25">
      <c r="A4828" s="405" t="s">
        <v>310</v>
      </c>
      <c r="B4828" s="405" t="s">
        <v>21744</v>
      </c>
      <c r="C4828" s="405" t="s">
        <v>327</v>
      </c>
      <c r="D4828" s="405"/>
      <c r="E4828" s="410">
        <v>41810</v>
      </c>
      <c r="F4828" s="410">
        <v>41855</v>
      </c>
      <c r="G4828" s="405" t="s">
        <v>21745</v>
      </c>
      <c r="H4828" s="405">
        <v>782458111</v>
      </c>
      <c r="I4828" s="405"/>
      <c r="J4828" s="405">
        <v>-0.58343699999999998</v>
      </c>
      <c r="K4828" s="405">
        <v>30.426151999999998</v>
      </c>
      <c r="L4828" s="405" t="s">
        <v>590</v>
      </c>
      <c r="M4828" s="405" t="s">
        <v>19725</v>
      </c>
      <c r="N4828" s="405" t="s">
        <v>19725</v>
      </c>
      <c r="O4828" s="405" t="s">
        <v>20611</v>
      </c>
      <c r="P4828" s="405" t="s">
        <v>21746</v>
      </c>
      <c r="Q4828" s="411">
        <v>9</v>
      </c>
      <c r="R4828" s="405" t="s">
        <v>874</v>
      </c>
      <c r="S4828" s="405" t="s">
        <v>27063</v>
      </c>
      <c r="T4828" s="405" t="s">
        <v>32102</v>
      </c>
      <c r="U4828" s="405" t="s">
        <v>319</v>
      </c>
    </row>
    <row r="4829" spans="1:21" x14ac:dyDescent="0.25">
      <c r="A4829" s="405" t="s">
        <v>310</v>
      </c>
      <c r="B4829" s="405" t="s">
        <v>13724</v>
      </c>
      <c r="C4829" s="405" t="s">
        <v>327</v>
      </c>
      <c r="D4829" s="405"/>
      <c r="E4829" s="410">
        <v>41810</v>
      </c>
      <c r="F4829" s="410">
        <v>41855</v>
      </c>
      <c r="G4829" s="405" t="s">
        <v>13725</v>
      </c>
      <c r="H4829" s="405">
        <v>777575030</v>
      </c>
      <c r="I4829" s="405"/>
      <c r="J4829" s="405">
        <v>1.087127</v>
      </c>
      <c r="K4829" s="405">
        <v>34.191769000000001</v>
      </c>
      <c r="L4829" s="405" t="s">
        <v>6866</v>
      </c>
      <c r="M4829" s="405" t="s">
        <v>9514</v>
      </c>
      <c r="N4829" s="405" t="s">
        <v>9529</v>
      </c>
      <c r="O4829" s="405" t="s">
        <v>13726</v>
      </c>
      <c r="P4829" s="405" t="s">
        <v>13727</v>
      </c>
      <c r="Q4829" s="411">
        <v>6</v>
      </c>
      <c r="R4829" s="405" t="s">
        <v>11412</v>
      </c>
      <c r="S4829" s="405" t="s">
        <v>27072</v>
      </c>
      <c r="T4829" s="405" t="s">
        <v>884</v>
      </c>
      <c r="U4829" s="405" t="s">
        <v>319</v>
      </c>
    </row>
    <row r="4830" spans="1:21" x14ac:dyDescent="0.25">
      <c r="A4830" s="405" t="s">
        <v>310</v>
      </c>
      <c r="B4830" s="405" t="s">
        <v>27612</v>
      </c>
      <c r="C4830" s="405" t="s">
        <v>327</v>
      </c>
      <c r="D4830" s="405"/>
      <c r="E4830" s="410">
        <v>41810</v>
      </c>
      <c r="F4830" s="410">
        <v>41855</v>
      </c>
      <c r="G4830" s="405" t="s">
        <v>13722</v>
      </c>
      <c r="H4830" s="405">
        <v>775078003</v>
      </c>
      <c r="I4830" s="405"/>
      <c r="J4830" s="405">
        <v>1.1507449999999999</v>
      </c>
      <c r="K4830" s="405">
        <v>34.211337999999998</v>
      </c>
      <c r="L4830" s="405" t="s">
        <v>6866</v>
      </c>
      <c r="M4830" s="405" t="s">
        <v>9514</v>
      </c>
      <c r="N4830" s="405" t="s">
        <v>9529</v>
      </c>
      <c r="O4830" s="405" t="s">
        <v>9530</v>
      </c>
      <c r="P4830" s="405" t="s">
        <v>11489</v>
      </c>
      <c r="Q4830" s="411">
        <v>6</v>
      </c>
      <c r="R4830" s="405" t="s">
        <v>7224</v>
      </c>
      <c r="S4830" s="405" t="s">
        <v>27190</v>
      </c>
      <c r="T4830" s="405" t="s">
        <v>884</v>
      </c>
      <c r="U4830" s="405" t="s">
        <v>319</v>
      </c>
    </row>
    <row r="4831" spans="1:21" x14ac:dyDescent="0.25">
      <c r="A4831" s="405" t="s">
        <v>310</v>
      </c>
      <c r="B4831" s="405" t="s">
        <v>13741</v>
      </c>
      <c r="C4831" s="405" t="s">
        <v>327</v>
      </c>
      <c r="D4831" s="405"/>
      <c r="E4831" s="410">
        <v>41810</v>
      </c>
      <c r="F4831" s="410">
        <v>41855</v>
      </c>
      <c r="G4831" s="405" t="s">
        <v>13742</v>
      </c>
      <c r="H4831" s="405">
        <v>782065925</v>
      </c>
      <c r="I4831" s="405"/>
      <c r="J4831" s="405">
        <v>1.157208</v>
      </c>
      <c r="K4831" s="405">
        <v>34.199396999999998</v>
      </c>
      <c r="L4831" s="405" t="s">
        <v>6866</v>
      </c>
      <c r="M4831" s="405" t="s">
        <v>9514</v>
      </c>
      <c r="N4831" s="405" t="s">
        <v>9529</v>
      </c>
      <c r="O4831" s="405" t="s">
        <v>9530</v>
      </c>
      <c r="P4831" s="405" t="s">
        <v>9895</v>
      </c>
      <c r="Q4831" s="411">
        <v>6</v>
      </c>
      <c r="R4831" s="405" t="s">
        <v>5655</v>
      </c>
      <c r="S4831" s="405" t="s">
        <v>27335</v>
      </c>
      <c r="T4831" s="405" t="s">
        <v>884</v>
      </c>
      <c r="U4831" s="405" t="s">
        <v>319</v>
      </c>
    </row>
    <row r="4832" spans="1:21" x14ac:dyDescent="0.25">
      <c r="A4832" s="405" t="s">
        <v>310</v>
      </c>
      <c r="B4832" s="405" t="s">
        <v>13816</v>
      </c>
      <c r="C4832" s="405" t="s">
        <v>327</v>
      </c>
      <c r="D4832" s="405"/>
      <c r="E4832" s="410">
        <v>41810</v>
      </c>
      <c r="F4832" s="410">
        <v>41855</v>
      </c>
      <c r="G4832" s="405" t="s">
        <v>13817</v>
      </c>
      <c r="H4832" s="405">
        <v>773917188</v>
      </c>
      <c r="I4832" s="405">
        <v>712981690</v>
      </c>
      <c r="J4832" s="405">
        <v>1.087242</v>
      </c>
      <c r="K4832" s="405">
        <v>34.191651999999998</v>
      </c>
      <c r="L4832" s="405" t="s">
        <v>6866</v>
      </c>
      <c r="M4832" s="405" t="s">
        <v>9514</v>
      </c>
      <c r="N4832" s="405" t="s">
        <v>9722</v>
      </c>
      <c r="O4832" s="405" t="s">
        <v>9530</v>
      </c>
      <c r="P4832" s="405" t="s">
        <v>10242</v>
      </c>
      <c r="Q4832" s="411">
        <v>6</v>
      </c>
      <c r="R4832" s="405" t="s">
        <v>7224</v>
      </c>
      <c r="S4832" s="405" t="s">
        <v>27072</v>
      </c>
      <c r="T4832" s="405" t="s">
        <v>884</v>
      </c>
      <c r="U4832" s="405" t="s">
        <v>319</v>
      </c>
    </row>
    <row r="4833" spans="1:21" x14ac:dyDescent="0.25">
      <c r="A4833" s="405" t="s">
        <v>310</v>
      </c>
      <c r="B4833" s="405" t="s">
        <v>13806</v>
      </c>
      <c r="C4833" s="405" t="s">
        <v>327</v>
      </c>
      <c r="D4833" s="405"/>
      <c r="E4833" s="410">
        <v>41810</v>
      </c>
      <c r="F4833" s="410">
        <v>41855</v>
      </c>
      <c r="G4833" s="405" t="s">
        <v>13807</v>
      </c>
      <c r="H4833" s="405">
        <v>774933111</v>
      </c>
      <c r="I4833" s="405"/>
      <c r="J4833" s="405">
        <v>1.1421429999999999</v>
      </c>
      <c r="K4833" s="405">
        <v>34.221425000000004</v>
      </c>
      <c r="L4833" s="405" t="s">
        <v>6866</v>
      </c>
      <c r="M4833" s="405" t="s">
        <v>9514</v>
      </c>
      <c r="N4833" s="405" t="s">
        <v>9529</v>
      </c>
      <c r="O4833" s="405" t="s">
        <v>9530</v>
      </c>
      <c r="P4833" s="405" t="s">
        <v>13808</v>
      </c>
      <c r="Q4833" s="411">
        <v>6</v>
      </c>
      <c r="R4833" s="405" t="s">
        <v>5655</v>
      </c>
      <c r="S4833" s="405" t="s">
        <v>27072</v>
      </c>
      <c r="T4833" s="405" t="s">
        <v>865</v>
      </c>
      <c r="U4833" s="405" t="s">
        <v>866</v>
      </c>
    </row>
    <row r="4834" spans="1:21" x14ac:dyDescent="0.25">
      <c r="A4834" s="405" t="s">
        <v>310</v>
      </c>
      <c r="B4834" s="405" t="s">
        <v>13799</v>
      </c>
      <c r="C4834" s="405" t="s">
        <v>327</v>
      </c>
      <c r="D4834" s="405"/>
      <c r="E4834" s="410">
        <v>41810</v>
      </c>
      <c r="F4834" s="410">
        <v>41855</v>
      </c>
      <c r="G4834" s="405" t="s">
        <v>13800</v>
      </c>
      <c r="H4834" s="405">
        <v>782361469</v>
      </c>
      <c r="I4834" s="405"/>
      <c r="J4834" s="405">
        <v>1.1513500000000001</v>
      </c>
      <c r="K4834" s="405">
        <v>34.210383</v>
      </c>
      <c r="L4834" s="405" t="s">
        <v>6866</v>
      </c>
      <c r="M4834" s="405" t="s">
        <v>9514</v>
      </c>
      <c r="N4834" s="405" t="s">
        <v>9529</v>
      </c>
      <c r="O4834" s="405" t="s">
        <v>9530</v>
      </c>
      <c r="P4834" s="405" t="s">
        <v>10665</v>
      </c>
      <c r="Q4834" s="411">
        <v>6</v>
      </c>
      <c r="R4834" s="405" t="s">
        <v>5655</v>
      </c>
      <c r="S4834" s="405" t="s">
        <v>27325</v>
      </c>
      <c r="T4834" s="405" t="s">
        <v>884</v>
      </c>
      <c r="U4834" s="405" t="s">
        <v>319</v>
      </c>
    </row>
    <row r="4835" spans="1:21" x14ac:dyDescent="0.25">
      <c r="A4835" s="405" t="s">
        <v>310</v>
      </c>
      <c r="B4835" s="405" t="s">
        <v>13737</v>
      </c>
      <c r="C4835" s="405" t="s">
        <v>327</v>
      </c>
      <c r="D4835" s="405"/>
      <c r="E4835" s="410">
        <v>41810</v>
      </c>
      <c r="F4835" s="410">
        <v>41855</v>
      </c>
      <c r="G4835" s="405" t="s">
        <v>13738</v>
      </c>
      <c r="H4835" s="405">
        <v>774968295</v>
      </c>
      <c r="I4835" s="405"/>
      <c r="J4835" s="405">
        <v>1.104112</v>
      </c>
      <c r="K4835" s="405">
        <v>34.203946999999999</v>
      </c>
      <c r="L4835" s="405" t="s">
        <v>6866</v>
      </c>
      <c r="M4835" s="405" t="s">
        <v>9514</v>
      </c>
      <c r="N4835" s="405" t="s">
        <v>9529</v>
      </c>
      <c r="O4835" s="405" t="s">
        <v>9530</v>
      </c>
      <c r="P4835" s="405" t="s">
        <v>13617</v>
      </c>
      <c r="Q4835" s="411">
        <v>6</v>
      </c>
      <c r="R4835" s="405" t="s">
        <v>5655</v>
      </c>
      <c r="S4835" s="405" t="s">
        <v>27169</v>
      </c>
      <c r="T4835" s="405" t="s">
        <v>32102</v>
      </c>
      <c r="U4835" s="405" t="s">
        <v>319</v>
      </c>
    </row>
    <row r="4836" spans="1:21" x14ac:dyDescent="0.25">
      <c r="A4836" s="405" t="s">
        <v>310</v>
      </c>
      <c r="B4836" s="405" t="s">
        <v>28496</v>
      </c>
      <c r="C4836" s="405" t="s">
        <v>327</v>
      </c>
      <c r="D4836" s="405"/>
      <c r="E4836" s="410">
        <v>41810</v>
      </c>
      <c r="F4836" s="410">
        <v>41855</v>
      </c>
      <c r="G4836" s="405" t="s">
        <v>13736</v>
      </c>
      <c r="H4836" s="405">
        <v>771460855</v>
      </c>
      <c r="I4836" s="405"/>
      <c r="J4836" s="405">
        <v>1.088732</v>
      </c>
      <c r="K4836" s="405">
        <v>34.194904999999999</v>
      </c>
      <c r="L4836" s="405" t="s">
        <v>6866</v>
      </c>
      <c r="M4836" s="405" t="s">
        <v>9514</v>
      </c>
      <c r="N4836" s="405" t="s">
        <v>9529</v>
      </c>
      <c r="O4836" s="405" t="s">
        <v>9530</v>
      </c>
      <c r="P4836" s="405" t="s">
        <v>9890</v>
      </c>
      <c r="Q4836" s="411">
        <v>6</v>
      </c>
      <c r="R4836" s="405" t="s">
        <v>7224</v>
      </c>
      <c r="S4836" s="405" t="s">
        <v>27324</v>
      </c>
      <c r="T4836" s="405" t="s">
        <v>884</v>
      </c>
      <c r="U4836" s="405" t="s">
        <v>319</v>
      </c>
    </row>
    <row r="4837" spans="1:21" x14ac:dyDescent="0.25">
      <c r="A4837" s="405" t="s">
        <v>310</v>
      </c>
      <c r="B4837" s="405" t="s">
        <v>13791</v>
      </c>
      <c r="C4837" s="405" t="s">
        <v>327</v>
      </c>
      <c r="D4837" s="405"/>
      <c r="E4837" s="410">
        <v>41810</v>
      </c>
      <c r="F4837" s="410">
        <v>41855</v>
      </c>
      <c r="G4837" s="405" t="s">
        <v>13792</v>
      </c>
      <c r="H4837" s="405">
        <v>775166502</v>
      </c>
      <c r="I4837" s="405"/>
      <c r="J4837" s="405">
        <v>1.1120950000000001</v>
      </c>
      <c r="K4837" s="405">
        <v>34.188299999999998</v>
      </c>
      <c r="L4837" s="405" t="s">
        <v>6866</v>
      </c>
      <c r="M4837" s="405" t="s">
        <v>9514</v>
      </c>
      <c r="N4837" s="405" t="s">
        <v>9529</v>
      </c>
      <c r="O4837" s="405" t="s">
        <v>9530</v>
      </c>
      <c r="P4837" s="405" t="s">
        <v>11707</v>
      </c>
      <c r="Q4837" s="411">
        <v>6</v>
      </c>
      <c r="R4837" s="405" t="s">
        <v>7224</v>
      </c>
      <c r="S4837" s="405" t="s">
        <v>27142</v>
      </c>
      <c r="T4837" s="405" t="s">
        <v>884</v>
      </c>
      <c r="U4837" s="405" t="s">
        <v>319</v>
      </c>
    </row>
    <row r="4838" spans="1:21" x14ac:dyDescent="0.25">
      <c r="A4838" s="405" t="s">
        <v>310</v>
      </c>
      <c r="B4838" s="405" t="s">
        <v>5306</v>
      </c>
      <c r="C4838" s="405" t="s">
        <v>327</v>
      </c>
      <c r="D4838" s="405"/>
      <c r="E4838" s="410">
        <v>41809</v>
      </c>
      <c r="F4838" s="410">
        <v>41854</v>
      </c>
      <c r="G4838" s="405" t="s">
        <v>5307</v>
      </c>
      <c r="H4838" s="405">
        <v>786308334</v>
      </c>
      <c r="I4838" s="405"/>
      <c r="J4838" s="405">
        <v>-0.37948799999999999</v>
      </c>
      <c r="K4838" s="405">
        <v>31.601285000000001</v>
      </c>
      <c r="L4838" s="405" t="s">
        <v>314</v>
      </c>
      <c r="M4838" s="405" t="s">
        <v>382</v>
      </c>
      <c r="N4838" s="405" t="s">
        <v>5061</v>
      </c>
      <c r="O4838" s="405" t="s">
        <v>5308</v>
      </c>
      <c r="P4838" s="405" t="s">
        <v>5309</v>
      </c>
      <c r="Q4838" s="411">
        <v>9</v>
      </c>
      <c r="R4838" s="405" t="s">
        <v>1263</v>
      </c>
      <c r="S4838" s="405" t="s">
        <v>27210</v>
      </c>
      <c r="T4838" s="405" t="s">
        <v>32102</v>
      </c>
      <c r="U4838" s="405" t="s">
        <v>319</v>
      </c>
    </row>
    <row r="4839" spans="1:21" x14ac:dyDescent="0.25">
      <c r="A4839" s="405" t="s">
        <v>310</v>
      </c>
      <c r="B4839" s="405" t="s">
        <v>13796</v>
      </c>
      <c r="C4839" s="405" t="s">
        <v>327</v>
      </c>
      <c r="D4839" s="405"/>
      <c r="E4839" s="410">
        <v>41809</v>
      </c>
      <c r="F4839" s="410">
        <v>41854</v>
      </c>
      <c r="G4839" s="405" t="s">
        <v>13797</v>
      </c>
      <c r="H4839" s="405">
        <v>772686250</v>
      </c>
      <c r="I4839" s="405"/>
      <c r="J4839" s="405">
        <v>1.152015</v>
      </c>
      <c r="K4839" s="405">
        <v>34.209994999999999</v>
      </c>
      <c r="L4839" s="405" t="s">
        <v>6866</v>
      </c>
      <c r="M4839" s="405" t="s">
        <v>9514</v>
      </c>
      <c r="N4839" s="405" t="s">
        <v>9529</v>
      </c>
      <c r="O4839" s="405" t="s">
        <v>13726</v>
      </c>
      <c r="P4839" s="405" t="s">
        <v>13798</v>
      </c>
      <c r="Q4839" s="411">
        <v>6</v>
      </c>
      <c r="R4839" s="405" t="s">
        <v>5655</v>
      </c>
      <c r="S4839" s="405" t="s">
        <v>27072</v>
      </c>
      <c r="T4839" s="405" t="s">
        <v>32102</v>
      </c>
      <c r="U4839" s="405" t="s">
        <v>319</v>
      </c>
    </row>
    <row r="4840" spans="1:21" x14ac:dyDescent="0.25">
      <c r="A4840" s="405" t="s">
        <v>310</v>
      </c>
      <c r="B4840" s="405" t="s">
        <v>28493</v>
      </c>
      <c r="C4840" s="405" t="s">
        <v>327</v>
      </c>
      <c r="D4840" s="405"/>
      <c r="E4840" s="410">
        <v>41808</v>
      </c>
      <c r="F4840" s="410">
        <v>41853</v>
      </c>
      <c r="G4840" s="405" t="s">
        <v>13740</v>
      </c>
      <c r="H4840" s="405">
        <v>752665157</v>
      </c>
      <c r="I4840" s="405">
        <v>776665157</v>
      </c>
      <c r="J4840" s="405">
        <v>1.10233</v>
      </c>
      <c r="K4840" s="405">
        <v>34.184534999999997</v>
      </c>
      <c r="L4840" s="405" t="s">
        <v>6866</v>
      </c>
      <c r="M4840" s="405" t="s">
        <v>9514</v>
      </c>
      <c r="N4840" s="405" t="s">
        <v>9529</v>
      </c>
      <c r="O4840" s="405" t="s">
        <v>9530</v>
      </c>
      <c r="P4840" s="405" t="s">
        <v>11967</v>
      </c>
      <c r="Q4840" s="411">
        <v>9</v>
      </c>
      <c r="R4840" s="405" t="s">
        <v>5655</v>
      </c>
      <c r="S4840" s="405" t="s">
        <v>27056</v>
      </c>
      <c r="T4840" s="405" t="s">
        <v>884</v>
      </c>
      <c r="U4840" s="405" t="s">
        <v>319</v>
      </c>
    </row>
    <row r="4841" spans="1:21" x14ac:dyDescent="0.25">
      <c r="A4841" s="405" t="s">
        <v>310</v>
      </c>
      <c r="B4841" s="405" t="s">
        <v>5321</v>
      </c>
      <c r="C4841" s="405" t="s">
        <v>327</v>
      </c>
      <c r="D4841" s="405"/>
      <c r="E4841" s="410">
        <v>41808</v>
      </c>
      <c r="F4841" s="410">
        <v>41853</v>
      </c>
      <c r="G4841" s="405" t="s">
        <v>5322</v>
      </c>
      <c r="H4841" s="405">
        <v>782562951</v>
      </c>
      <c r="I4841" s="405">
        <v>701562951</v>
      </c>
      <c r="J4841" s="405">
        <v>0.4173867</v>
      </c>
      <c r="K4841" s="405">
        <v>32.700307600000002</v>
      </c>
      <c r="L4841" s="405" t="s">
        <v>314</v>
      </c>
      <c r="M4841" s="405" t="s">
        <v>329</v>
      </c>
      <c r="N4841" s="405" t="s">
        <v>5323</v>
      </c>
      <c r="O4841" s="405" t="s">
        <v>5324</v>
      </c>
      <c r="P4841" s="405" t="s">
        <v>5325</v>
      </c>
      <c r="Q4841" s="411">
        <v>9</v>
      </c>
      <c r="R4841" s="405" t="s">
        <v>525</v>
      </c>
      <c r="S4841" s="405" t="s">
        <v>27179</v>
      </c>
      <c r="T4841" s="405" t="s">
        <v>884</v>
      </c>
      <c r="U4841" s="405" t="s">
        <v>319</v>
      </c>
    </row>
    <row r="4842" spans="1:21" x14ac:dyDescent="0.25">
      <c r="A4842" s="405" t="s">
        <v>310</v>
      </c>
      <c r="B4842" s="405" t="s">
        <v>28316</v>
      </c>
      <c r="C4842" s="405" t="s">
        <v>327</v>
      </c>
      <c r="D4842" s="405"/>
      <c r="E4842" s="410">
        <v>41808</v>
      </c>
      <c r="F4842" s="410">
        <v>41853</v>
      </c>
      <c r="G4842" s="405" t="s">
        <v>13739</v>
      </c>
      <c r="H4842" s="405">
        <v>772375477</v>
      </c>
      <c r="I4842" s="405">
        <v>772630738</v>
      </c>
      <c r="J4842" s="405">
        <v>1.1032230000000001</v>
      </c>
      <c r="K4842" s="405">
        <v>34.184350000000002</v>
      </c>
      <c r="L4842" s="405" t="s">
        <v>6866</v>
      </c>
      <c r="M4842" s="405" t="s">
        <v>9514</v>
      </c>
      <c r="N4842" s="405" t="s">
        <v>9529</v>
      </c>
      <c r="O4842" s="405" t="s">
        <v>11792</v>
      </c>
      <c r="P4842" s="405" t="s">
        <v>11967</v>
      </c>
      <c r="Q4842" s="411">
        <v>6</v>
      </c>
      <c r="R4842" s="405" t="s">
        <v>5655</v>
      </c>
      <c r="S4842" s="405" t="s">
        <v>27041</v>
      </c>
      <c r="T4842" s="405" t="s">
        <v>884</v>
      </c>
      <c r="U4842" s="405" t="s">
        <v>319</v>
      </c>
    </row>
    <row r="4843" spans="1:21" x14ac:dyDescent="0.25">
      <c r="A4843" s="405" t="s">
        <v>310</v>
      </c>
      <c r="B4843" s="405" t="s">
        <v>13818</v>
      </c>
      <c r="C4843" s="405" t="s">
        <v>327</v>
      </c>
      <c r="D4843" s="405"/>
      <c r="E4843" s="410">
        <v>41808</v>
      </c>
      <c r="F4843" s="410">
        <v>41853</v>
      </c>
      <c r="G4843" s="405" t="s">
        <v>13819</v>
      </c>
      <c r="H4843" s="405">
        <v>782308690</v>
      </c>
      <c r="I4843" s="405"/>
      <c r="J4843" s="405">
        <v>0.98397500000000004</v>
      </c>
      <c r="K4843" s="405">
        <v>34.341447000000002</v>
      </c>
      <c r="L4843" s="405" t="s">
        <v>6866</v>
      </c>
      <c r="M4843" s="405" t="s">
        <v>9763</v>
      </c>
      <c r="N4843" s="405" t="s">
        <v>9764</v>
      </c>
      <c r="O4843" s="405" t="s">
        <v>11926</v>
      </c>
      <c r="P4843" s="405" t="s">
        <v>12016</v>
      </c>
      <c r="Q4843" s="411">
        <v>6</v>
      </c>
      <c r="R4843" s="405" t="s">
        <v>7224</v>
      </c>
      <c r="S4843" s="405" t="s">
        <v>27306</v>
      </c>
      <c r="T4843" s="405" t="s">
        <v>32102</v>
      </c>
      <c r="U4843" s="405" t="s">
        <v>319</v>
      </c>
    </row>
    <row r="4844" spans="1:21" x14ac:dyDescent="0.25">
      <c r="A4844" s="405" t="s">
        <v>310</v>
      </c>
      <c r="B4844" s="405" t="s">
        <v>28265</v>
      </c>
      <c r="C4844" s="405" t="s">
        <v>327</v>
      </c>
      <c r="D4844" s="405"/>
      <c r="E4844" s="410">
        <v>41806</v>
      </c>
      <c r="F4844" s="410">
        <v>41851</v>
      </c>
      <c r="G4844" s="405" t="s">
        <v>21689</v>
      </c>
      <c r="H4844" s="405">
        <v>706997953</v>
      </c>
      <c r="I4844" s="405"/>
      <c r="J4844" s="405">
        <v>-0.66262799999999999</v>
      </c>
      <c r="K4844" s="405">
        <v>30.694728999999999</v>
      </c>
      <c r="L4844" s="405" t="s">
        <v>590</v>
      </c>
      <c r="M4844" s="405" t="s">
        <v>879</v>
      </c>
      <c r="N4844" s="405" t="s">
        <v>879</v>
      </c>
      <c r="O4844" s="405" t="s">
        <v>881</v>
      </c>
      <c r="P4844" s="405" t="s">
        <v>21600</v>
      </c>
      <c r="Q4844" s="411">
        <v>9</v>
      </c>
      <c r="R4844" s="405" t="s">
        <v>333</v>
      </c>
      <c r="S4844" s="405" t="s">
        <v>27051</v>
      </c>
      <c r="T4844" s="405" t="s">
        <v>32102</v>
      </c>
      <c r="U4844" s="405" t="s">
        <v>319</v>
      </c>
    </row>
    <row r="4845" spans="1:21" x14ac:dyDescent="0.25">
      <c r="A4845" s="405" t="s">
        <v>310</v>
      </c>
      <c r="B4845" s="405" t="s">
        <v>21728</v>
      </c>
      <c r="C4845" s="405" t="s">
        <v>327</v>
      </c>
      <c r="D4845" s="405"/>
      <c r="E4845" s="410">
        <v>41806</v>
      </c>
      <c r="F4845" s="410">
        <v>41851</v>
      </c>
      <c r="G4845" s="405" t="s">
        <v>21729</v>
      </c>
      <c r="H4845" s="405">
        <v>755905701</v>
      </c>
      <c r="I4845" s="405"/>
      <c r="J4845" s="405">
        <v>0.242315</v>
      </c>
      <c r="K4845" s="405">
        <v>30.644082000000001</v>
      </c>
      <c r="L4845" s="405" t="s">
        <v>590</v>
      </c>
      <c r="M4845" s="405" t="s">
        <v>19720</v>
      </c>
      <c r="N4845" s="405" t="s">
        <v>19721</v>
      </c>
      <c r="O4845" s="405" t="s">
        <v>19722</v>
      </c>
      <c r="P4845" s="405" t="s">
        <v>19797</v>
      </c>
      <c r="Q4845" s="411">
        <v>6</v>
      </c>
      <c r="R4845" s="405" t="s">
        <v>402</v>
      </c>
      <c r="S4845" s="405" t="s">
        <v>27154</v>
      </c>
      <c r="T4845" s="405" t="s">
        <v>32102</v>
      </c>
      <c r="U4845" s="405" t="s">
        <v>319</v>
      </c>
    </row>
    <row r="4846" spans="1:21" x14ac:dyDescent="0.25">
      <c r="A4846" s="405" t="s">
        <v>310</v>
      </c>
      <c r="B4846" s="405" t="s">
        <v>13639</v>
      </c>
      <c r="C4846" s="405" t="s">
        <v>327</v>
      </c>
      <c r="D4846" s="405"/>
      <c r="E4846" s="410">
        <v>41806</v>
      </c>
      <c r="F4846" s="410">
        <v>41851</v>
      </c>
      <c r="G4846" s="405" t="s">
        <v>13640</v>
      </c>
      <c r="H4846" s="405">
        <v>782236924</v>
      </c>
      <c r="I4846" s="405">
        <v>774453591</v>
      </c>
      <c r="J4846" s="405">
        <v>1.11687</v>
      </c>
      <c r="K4846" s="405">
        <v>34.200564999999997</v>
      </c>
      <c r="L4846" s="405" t="s">
        <v>6866</v>
      </c>
      <c r="M4846" s="405" t="s">
        <v>9514</v>
      </c>
      <c r="N4846" s="405" t="s">
        <v>9529</v>
      </c>
      <c r="O4846" s="405" t="s">
        <v>9530</v>
      </c>
      <c r="P4846" s="405" t="s">
        <v>13641</v>
      </c>
      <c r="Q4846" s="411">
        <v>6</v>
      </c>
      <c r="R4846" s="405" t="s">
        <v>7224</v>
      </c>
      <c r="S4846" s="405" t="s">
        <v>27298</v>
      </c>
      <c r="T4846" s="405" t="s">
        <v>884</v>
      </c>
      <c r="U4846" s="405" t="s">
        <v>319</v>
      </c>
    </row>
    <row r="4847" spans="1:21" x14ac:dyDescent="0.25">
      <c r="A4847" s="405" t="s">
        <v>310</v>
      </c>
      <c r="B4847" s="405" t="s">
        <v>13656</v>
      </c>
      <c r="C4847" s="405" t="s">
        <v>327</v>
      </c>
      <c r="D4847" s="405"/>
      <c r="E4847" s="410">
        <v>41804</v>
      </c>
      <c r="F4847" s="410">
        <v>41849</v>
      </c>
      <c r="G4847" s="405" t="s">
        <v>13657</v>
      </c>
      <c r="H4847" s="405">
        <v>774206434</v>
      </c>
      <c r="I4847" s="405"/>
      <c r="J4847" s="405">
        <v>1.1556329999999999</v>
      </c>
      <c r="K4847" s="405">
        <v>34.198925000000003</v>
      </c>
      <c r="L4847" s="405" t="s">
        <v>6866</v>
      </c>
      <c r="M4847" s="405" t="s">
        <v>9514</v>
      </c>
      <c r="N4847" s="405" t="s">
        <v>9529</v>
      </c>
      <c r="O4847" s="405" t="s">
        <v>9530</v>
      </c>
      <c r="P4847" s="405" t="s">
        <v>9895</v>
      </c>
      <c r="Q4847" s="411">
        <v>6</v>
      </c>
      <c r="R4847" s="405" t="s">
        <v>5655</v>
      </c>
      <c r="S4847" s="405" t="s">
        <v>27337</v>
      </c>
      <c r="T4847" s="405" t="s">
        <v>884</v>
      </c>
      <c r="U4847" s="405" t="s">
        <v>319</v>
      </c>
    </row>
    <row r="4848" spans="1:21" x14ac:dyDescent="0.25">
      <c r="A4848" s="405" t="s">
        <v>310</v>
      </c>
      <c r="B4848" s="405" t="s">
        <v>21695</v>
      </c>
      <c r="C4848" s="405" t="s">
        <v>327</v>
      </c>
      <c r="D4848" s="405"/>
      <c r="E4848" s="410">
        <v>41804</v>
      </c>
      <c r="F4848" s="410">
        <v>41849</v>
      </c>
      <c r="G4848" s="405" t="s">
        <v>21696</v>
      </c>
      <c r="H4848" s="405">
        <v>777643162</v>
      </c>
      <c r="I4848" s="405"/>
      <c r="J4848" s="405">
        <v>0.34630300000000003</v>
      </c>
      <c r="K4848" s="405">
        <v>30.532710000000002</v>
      </c>
      <c r="L4848" s="405" t="s">
        <v>590</v>
      </c>
      <c r="M4848" s="405" t="s">
        <v>19720</v>
      </c>
      <c r="N4848" s="405" t="s">
        <v>19721</v>
      </c>
      <c r="O4848" s="405" t="s">
        <v>21697</v>
      </c>
      <c r="P4848" s="405" t="s">
        <v>21698</v>
      </c>
      <c r="Q4848" s="411">
        <v>6</v>
      </c>
      <c r="R4848" s="405" t="s">
        <v>874</v>
      </c>
      <c r="S4848" s="405" t="s">
        <v>27161</v>
      </c>
      <c r="T4848" s="405" t="s">
        <v>32102</v>
      </c>
      <c r="U4848" s="405" t="s">
        <v>319</v>
      </c>
    </row>
    <row r="4849" spans="1:21" x14ac:dyDescent="0.25">
      <c r="A4849" s="405" t="s">
        <v>310</v>
      </c>
      <c r="B4849" s="405" t="s">
        <v>21934</v>
      </c>
      <c r="C4849" s="405" t="s">
        <v>311</v>
      </c>
      <c r="D4849" s="405" t="s">
        <v>312</v>
      </c>
      <c r="E4849" s="410">
        <v>41804</v>
      </c>
      <c r="F4849" s="410">
        <v>41849</v>
      </c>
      <c r="G4849" s="405" t="s">
        <v>21935</v>
      </c>
      <c r="H4849" s="405">
        <v>782567700</v>
      </c>
      <c r="I4849" s="405"/>
      <c r="J4849" s="405">
        <v>0.18931500000000001</v>
      </c>
      <c r="K4849" s="405">
        <v>30.480967</v>
      </c>
      <c r="L4849" s="405" t="s">
        <v>590</v>
      </c>
      <c r="M4849" s="405" t="s">
        <v>19720</v>
      </c>
      <c r="N4849" s="405" t="s">
        <v>21936</v>
      </c>
      <c r="O4849" s="405" t="s">
        <v>19720</v>
      </c>
      <c r="P4849" s="405" t="s">
        <v>21937</v>
      </c>
      <c r="Q4849" s="411">
        <v>6</v>
      </c>
      <c r="R4849" s="405" t="s">
        <v>402</v>
      </c>
      <c r="S4849" s="405" t="s">
        <v>27163</v>
      </c>
      <c r="T4849" s="405" t="s">
        <v>884</v>
      </c>
      <c r="U4849" s="405" t="s">
        <v>319</v>
      </c>
    </row>
    <row r="4850" spans="1:21" x14ac:dyDescent="0.25">
      <c r="A4850" s="405" t="s">
        <v>310</v>
      </c>
      <c r="B4850" s="405" t="s">
        <v>28237</v>
      </c>
      <c r="C4850" s="405" t="s">
        <v>327</v>
      </c>
      <c r="D4850" s="405"/>
      <c r="E4850" s="410">
        <v>41803</v>
      </c>
      <c r="F4850" s="410">
        <v>41848</v>
      </c>
      <c r="G4850" s="405" t="s">
        <v>13659</v>
      </c>
      <c r="H4850" s="405">
        <v>751673461</v>
      </c>
      <c r="I4850" s="405"/>
      <c r="J4850" s="405">
        <v>1.154355</v>
      </c>
      <c r="K4850" s="405">
        <v>34.198832000000003</v>
      </c>
      <c r="L4850" s="405" t="s">
        <v>6866</v>
      </c>
      <c r="M4850" s="405" t="s">
        <v>9514</v>
      </c>
      <c r="N4850" s="405" t="s">
        <v>9529</v>
      </c>
      <c r="O4850" s="405" t="s">
        <v>9530</v>
      </c>
      <c r="P4850" s="405" t="s">
        <v>9895</v>
      </c>
      <c r="Q4850" s="411">
        <v>6</v>
      </c>
      <c r="R4850" s="405" t="s">
        <v>5655</v>
      </c>
      <c r="S4850" s="405" t="s">
        <v>27345</v>
      </c>
      <c r="T4850" s="405" t="s">
        <v>884</v>
      </c>
      <c r="U4850" s="405" t="s">
        <v>319</v>
      </c>
    </row>
    <row r="4851" spans="1:21" x14ac:dyDescent="0.25">
      <c r="A4851" s="405" t="s">
        <v>310</v>
      </c>
      <c r="B4851" s="405" t="s">
        <v>21714</v>
      </c>
      <c r="C4851" s="405" t="s">
        <v>327</v>
      </c>
      <c r="D4851" s="405"/>
      <c r="E4851" s="410">
        <v>41803</v>
      </c>
      <c r="F4851" s="410">
        <v>41848</v>
      </c>
      <c r="G4851" s="405" t="s">
        <v>21715</v>
      </c>
      <c r="H4851" s="405">
        <v>772853036</v>
      </c>
      <c r="I4851" s="405"/>
      <c r="J4851" s="405">
        <v>0.40308699999999997</v>
      </c>
      <c r="K4851" s="405">
        <v>30.391832000000001</v>
      </c>
      <c r="L4851" s="405" t="s">
        <v>590</v>
      </c>
      <c r="M4851" s="405" t="s">
        <v>19720</v>
      </c>
      <c r="N4851" s="405" t="s">
        <v>7352</v>
      </c>
      <c r="O4851" s="405" t="s">
        <v>21712</v>
      </c>
      <c r="P4851" s="405" t="s">
        <v>21713</v>
      </c>
      <c r="Q4851" s="411">
        <v>6</v>
      </c>
      <c r="R4851" s="405" t="s">
        <v>402</v>
      </c>
      <c r="S4851" s="405" t="s">
        <v>27154</v>
      </c>
      <c r="T4851" s="405" t="s">
        <v>884</v>
      </c>
      <c r="U4851" s="405" t="s">
        <v>319</v>
      </c>
    </row>
    <row r="4852" spans="1:21" x14ac:dyDescent="0.25">
      <c r="A4852" s="405" t="s">
        <v>310</v>
      </c>
      <c r="B4852" s="405" t="s">
        <v>5297</v>
      </c>
      <c r="C4852" s="405" t="s">
        <v>327</v>
      </c>
      <c r="D4852" s="405"/>
      <c r="E4852" s="410">
        <v>41802</v>
      </c>
      <c r="F4852" s="410">
        <v>41847</v>
      </c>
      <c r="G4852" s="405" t="s">
        <v>5298</v>
      </c>
      <c r="H4852" s="405">
        <v>772483316</v>
      </c>
      <c r="I4852" s="405"/>
      <c r="J4852" s="405">
        <v>6.7319299999999999E-2</v>
      </c>
      <c r="K4852" s="405">
        <v>32.109687399999999</v>
      </c>
      <c r="L4852" s="405" t="s">
        <v>314</v>
      </c>
      <c r="M4852" s="405" t="s">
        <v>321</v>
      </c>
      <c r="N4852" s="405" t="s">
        <v>322</v>
      </c>
      <c r="O4852" s="405" t="s">
        <v>476</v>
      </c>
      <c r="P4852" s="405" t="s">
        <v>2810</v>
      </c>
      <c r="Q4852" s="411">
        <v>9</v>
      </c>
      <c r="R4852" s="405" t="s">
        <v>1263</v>
      </c>
      <c r="S4852" s="405" t="s">
        <v>27053</v>
      </c>
      <c r="T4852" s="405" t="s">
        <v>32102</v>
      </c>
      <c r="U4852" s="405" t="s">
        <v>319</v>
      </c>
    </row>
    <row r="4853" spans="1:21" x14ac:dyDescent="0.25">
      <c r="A4853" s="405" t="s">
        <v>310</v>
      </c>
      <c r="B4853" s="405" t="s">
        <v>21716</v>
      </c>
      <c r="C4853" s="405" t="s">
        <v>327</v>
      </c>
      <c r="D4853" s="405"/>
      <c r="E4853" s="410">
        <v>41802</v>
      </c>
      <c r="F4853" s="410">
        <v>41847</v>
      </c>
      <c r="G4853" s="405" t="s">
        <v>21717</v>
      </c>
      <c r="H4853" s="405">
        <v>772490891</v>
      </c>
      <c r="I4853" s="405"/>
      <c r="J4853" s="405">
        <v>0.36423800000000001</v>
      </c>
      <c r="K4853" s="405">
        <v>30.404776999999999</v>
      </c>
      <c r="L4853" s="405" t="s">
        <v>590</v>
      </c>
      <c r="M4853" s="405" t="s">
        <v>19720</v>
      </c>
      <c r="N4853" s="405" t="s">
        <v>7352</v>
      </c>
      <c r="O4853" s="405" t="s">
        <v>21712</v>
      </c>
      <c r="P4853" s="405" t="s">
        <v>21718</v>
      </c>
      <c r="Q4853" s="411">
        <v>6</v>
      </c>
      <c r="R4853" s="405" t="s">
        <v>402</v>
      </c>
      <c r="S4853" s="405" t="s">
        <v>27154</v>
      </c>
      <c r="T4853" s="405" t="s">
        <v>884</v>
      </c>
      <c r="U4853" s="405" t="s">
        <v>319</v>
      </c>
    </row>
    <row r="4854" spans="1:21" x14ac:dyDescent="0.25">
      <c r="A4854" s="405" t="s">
        <v>310</v>
      </c>
      <c r="B4854" s="405" t="s">
        <v>13573</v>
      </c>
      <c r="C4854" s="405" t="s">
        <v>327</v>
      </c>
      <c r="D4854" s="405"/>
      <c r="E4854" s="410">
        <v>41802</v>
      </c>
      <c r="F4854" s="410">
        <v>41847</v>
      </c>
      <c r="G4854" s="405" t="s">
        <v>13574</v>
      </c>
      <c r="H4854" s="405">
        <v>792673761</v>
      </c>
      <c r="I4854" s="405">
        <v>772608358</v>
      </c>
      <c r="J4854" s="405">
        <v>1.0930979999999999</v>
      </c>
      <c r="K4854" s="405">
        <v>34.196829999999999</v>
      </c>
      <c r="L4854" s="405" t="s">
        <v>6866</v>
      </c>
      <c r="M4854" s="405" t="s">
        <v>9514</v>
      </c>
      <c r="N4854" s="405" t="s">
        <v>9530</v>
      </c>
      <c r="O4854" s="405" t="s">
        <v>9530</v>
      </c>
      <c r="P4854" s="405" t="s">
        <v>11243</v>
      </c>
      <c r="Q4854" s="411">
        <v>6</v>
      </c>
      <c r="R4854" s="405" t="s">
        <v>7224</v>
      </c>
      <c r="S4854" s="405" t="s">
        <v>27072</v>
      </c>
      <c r="T4854" s="405" t="s">
        <v>32102</v>
      </c>
      <c r="U4854" s="405" t="s">
        <v>319</v>
      </c>
    </row>
    <row r="4855" spans="1:21" x14ac:dyDescent="0.25">
      <c r="A4855" s="405" t="s">
        <v>310</v>
      </c>
      <c r="B4855" s="405" t="s">
        <v>21678</v>
      </c>
      <c r="C4855" s="405" t="s">
        <v>327</v>
      </c>
      <c r="D4855" s="405"/>
      <c r="E4855" s="410">
        <v>41802</v>
      </c>
      <c r="F4855" s="410">
        <v>41847</v>
      </c>
      <c r="G4855" s="405" t="s">
        <v>21679</v>
      </c>
      <c r="H4855" s="405">
        <v>772622832</v>
      </c>
      <c r="I4855" s="405"/>
      <c r="J4855" s="405">
        <v>0.13942499999999999</v>
      </c>
      <c r="K4855" s="405">
        <v>30.428618</v>
      </c>
      <c r="L4855" s="405" t="s">
        <v>590</v>
      </c>
      <c r="M4855" s="405" t="s">
        <v>19720</v>
      </c>
      <c r="N4855" s="405" t="s">
        <v>20297</v>
      </c>
      <c r="O4855" s="405" t="s">
        <v>20439</v>
      </c>
      <c r="P4855" s="405" t="s">
        <v>21680</v>
      </c>
      <c r="Q4855" s="411">
        <v>6</v>
      </c>
      <c r="R4855" s="405" t="s">
        <v>874</v>
      </c>
      <c r="S4855" s="405" t="s">
        <v>27163</v>
      </c>
      <c r="T4855" s="405" t="s">
        <v>884</v>
      </c>
      <c r="U4855" s="405" t="s">
        <v>319</v>
      </c>
    </row>
    <row r="4856" spans="1:21" x14ac:dyDescent="0.25">
      <c r="A4856" s="405" t="s">
        <v>310</v>
      </c>
      <c r="B4856" s="405" t="s">
        <v>28898</v>
      </c>
      <c r="C4856" s="405" t="s">
        <v>327</v>
      </c>
      <c r="D4856" s="405"/>
      <c r="E4856" s="410">
        <v>41801</v>
      </c>
      <c r="F4856" s="410">
        <v>41846</v>
      </c>
      <c r="G4856" s="405" t="s">
        <v>13634</v>
      </c>
      <c r="H4856" s="405">
        <v>777177880</v>
      </c>
      <c r="I4856" s="405"/>
      <c r="J4856" s="405">
        <v>1.110498</v>
      </c>
      <c r="K4856" s="405">
        <v>34.20438</v>
      </c>
      <c r="L4856" s="405" t="s">
        <v>6866</v>
      </c>
      <c r="M4856" s="405" t="s">
        <v>9514</v>
      </c>
      <c r="N4856" s="405" t="s">
        <v>9529</v>
      </c>
      <c r="O4856" s="405" t="s">
        <v>9530</v>
      </c>
      <c r="P4856" s="405" t="s">
        <v>11385</v>
      </c>
      <c r="Q4856" s="411">
        <v>6</v>
      </c>
      <c r="R4856" s="405" t="s">
        <v>5655</v>
      </c>
      <c r="S4856" s="405" t="s">
        <v>27041</v>
      </c>
      <c r="T4856" s="405" t="s">
        <v>884</v>
      </c>
      <c r="U4856" s="405" t="s">
        <v>319</v>
      </c>
    </row>
    <row r="4857" spans="1:21" x14ac:dyDescent="0.25">
      <c r="A4857" s="405" t="s">
        <v>310</v>
      </c>
      <c r="B4857" s="405" t="s">
        <v>13559</v>
      </c>
      <c r="C4857" s="405" t="s">
        <v>327</v>
      </c>
      <c r="D4857" s="405"/>
      <c r="E4857" s="410">
        <v>41801</v>
      </c>
      <c r="F4857" s="410">
        <v>41846</v>
      </c>
      <c r="G4857" s="405" t="s">
        <v>13560</v>
      </c>
      <c r="H4857" s="405">
        <v>712416646</v>
      </c>
      <c r="I4857" s="405"/>
      <c r="J4857" s="405">
        <v>1.092983</v>
      </c>
      <c r="K4857" s="405">
        <v>34.191139999999997</v>
      </c>
      <c r="L4857" s="405" t="s">
        <v>6866</v>
      </c>
      <c r="M4857" s="405" t="s">
        <v>9514</v>
      </c>
      <c r="N4857" s="405" t="s">
        <v>9530</v>
      </c>
      <c r="O4857" s="405" t="s">
        <v>9530</v>
      </c>
      <c r="P4857" s="405" t="s">
        <v>9563</v>
      </c>
      <c r="Q4857" s="411">
        <v>6</v>
      </c>
      <c r="R4857" s="405" t="s">
        <v>7224</v>
      </c>
      <c r="S4857" s="405" t="s">
        <v>27169</v>
      </c>
      <c r="T4857" s="405" t="s">
        <v>32102</v>
      </c>
      <c r="U4857" s="405" t="s">
        <v>319</v>
      </c>
    </row>
    <row r="4858" spans="1:21" x14ac:dyDescent="0.25">
      <c r="A4858" s="405" t="s">
        <v>310</v>
      </c>
      <c r="B4858" s="405" t="s">
        <v>13692</v>
      </c>
      <c r="C4858" s="405" t="s">
        <v>327</v>
      </c>
      <c r="D4858" s="405"/>
      <c r="E4858" s="410">
        <v>41801</v>
      </c>
      <c r="F4858" s="410">
        <v>41846</v>
      </c>
      <c r="G4858" s="405" t="s">
        <v>13693</v>
      </c>
      <c r="H4858" s="405">
        <v>784964675</v>
      </c>
      <c r="I4858" s="405"/>
      <c r="J4858" s="405">
        <v>1.145413</v>
      </c>
      <c r="K4858" s="405">
        <v>34.220570000000002</v>
      </c>
      <c r="L4858" s="405" t="s">
        <v>6866</v>
      </c>
      <c r="M4858" s="405" t="s">
        <v>9514</v>
      </c>
      <c r="N4858" s="405" t="s">
        <v>9529</v>
      </c>
      <c r="O4858" s="405" t="s">
        <v>9530</v>
      </c>
      <c r="P4858" s="405" t="s">
        <v>11507</v>
      </c>
      <c r="Q4858" s="411">
        <v>6</v>
      </c>
      <c r="R4858" s="405" t="s">
        <v>7224</v>
      </c>
      <c r="S4858" s="405" t="s">
        <v>27318</v>
      </c>
      <c r="T4858" s="405" t="s">
        <v>32102</v>
      </c>
      <c r="U4858" s="405" t="s">
        <v>319</v>
      </c>
    </row>
    <row r="4859" spans="1:21" x14ac:dyDescent="0.25">
      <c r="A4859" s="405" t="s">
        <v>310</v>
      </c>
      <c r="B4859" s="405" t="s">
        <v>13599</v>
      </c>
      <c r="C4859" s="405" t="s">
        <v>327</v>
      </c>
      <c r="D4859" s="405"/>
      <c r="E4859" s="410">
        <v>41801</v>
      </c>
      <c r="F4859" s="410">
        <v>41846</v>
      </c>
      <c r="G4859" s="405" t="s">
        <v>13600</v>
      </c>
      <c r="H4859" s="405">
        <v>784580464</v>
      </c>
      <c r="I4859" s="405"/>
      <c r="J4859" s="405">
        <v>1.115632</v>
      </c>
      <c r="K4859" s="405">
        <v>34.205663000000001</v>
      </c>
      <c r="L4859" s="405" t="s">
        <v>6866</v>
      </c>
      <c r="M4859" s="405" t="s">
        <v>9514</v>
      </c>
      <c r="N4859" s="405" t="s">
        <v>9529</v>
      </c>
      <c r="O4859" s="405" t="s">
        <v>9530</v>
      </c>
      <c r="P4859" s="405" t="s">
        <v>13601</v>
      </c>
      <c r="Q4859" s="411">
        <v>6</v>
      </c>
      <c r="R4859" s="405" t="s">
        <v>5655</v>
      </c>
      <c r="S4859" s="405" t="s">
        <v>27056</v>
      </c>
      <c r="T4859" s="405" t="s">
        <v>32102</v>
      </c>
      <c r="U4859" s="405" t="s">
        <v>319</v>
      </c>
    </row>
    <row r="4860" spans="1:21" x14ac:dyDescent="0.25">
      <c r="A4860" s="405" t="s">
        <v>310</v>
      </c>
      <c r="B4860" s="405" t="s">
        <v>29096</v>
      </c>
      <c r="C4860" s="405" t="s">
        <v>327</v>
      </c>
      <c r="D4860" s="405"/>
      <c r="E4860" s="410">
        <v>41801</v>
      </c>
      <c r="F4860" s="410">
        <v>41846</v>
      </c>
      <c r="G4860" s="405" t="s">
        <v>13598</v>
      </c>
      <c r="H4860" s="405">
        <v>755771664</v>
      </c>
      <c r="I4860" s="405"/>
      <c r="J4860" s="405">
        <v>1.110457</v>
      </c>
      <c r="K4860" s="405">
        <v>34.202598000000002</v>
      </c>
      <c r="L4860" s="405" t="s">
        <v>6866</v>
      </c>
      <c r="M4860" s="405" t="s">
        <v>9514</v>
      </c>
      <c r="N4860" s="405" t="s">
        <v>9529</v>
      </c>
      <c r="O4860" s="405" t="s">
        <v>9530</v>
      </c>
      <c r="P4860" s="405" t="s">
        <v>11385</v>
      </c>
      <c r="Q4860" s="411">
        <v>6</v>
      </c>
      <c r="R4860" s="405" t="s">
        <v>5655</v>
      </c>
      <c r="S4860" s="405" t="s">
        <v>27345</v>
      </c>
      <c r="T4860" s="405" t="s">
        <v>884</v>
      </c>
      <c r="U4860" s="405" t="s">
        <v>319</v>
      </c>
    </row>
    <row r="4861" spans="1:21" x14ac:dyDescent="0.25">
      <c r="A4861" s="405" t="s">
        <v>310</v>
      </c>
      <c r="B4861" s="405" t="s">
        <v>28382</v>
      </c>
      <c r="C4861" s="405" t="s">
        <v>327</v>
      </c>
      <c r="D4861" s="405"/>
      <c r="E4861" s="410">
        <v>41800</v>
      </c>
      <c r="F4861" s="410">
        <v>41845</v>
      </c>
      <c r="G4861" s="405" t="s">
        <v>13625</v>
      </c>
      <c r="H4861" s="405">
        <v>704143390</v>
      </c>
      <c r="I4861" s="405"/>
      <c r="J4861" s="405">
        <v>1.1079779999999999</v>
      </c>
      <c r="K4861" s="405">
        <v>34.192138</v>
      </c>
      <c r="L4861" s="405" t="s">
        <v>6866</v>
      </c>
      <c r="M4861" s="405" t="s">
        <v>9514</v>
      </c>
      <c r="N4861" s="405" t="s">
        <v>9529</v>
      </c>
      <c r="O4861" s="405" t="s">
        <v>9530</v>
      </c>
      <c r="P4861" s="405" t="s">
        <v>13626</v>
      </c>
      <c r="Q4861" s="411">
        <v>6</v>
      </c>
      <c r="R4861" s="405" t="s">
        <v>5655</v>
      </c>
      <c r="S4861" s="405" t="s">
        <v>27041</v>
      </c>
      <c r="T4861" s="405" t="s">
        <v>884</v>
      </c>
      <c r="U4861" s="405" t="s">
        <v>319</v>
      </c>
    </row>
    <row r="4862" spans="1:21" x14ac:dyDescent="0.25">
      <c r="A4862" s="405" t="s">
        <v>310</v>
      </c>
      <c r="B4862" s="405" t="s">
        <v>28561</v>
      </c>
      <c r="C4862" s="405" t="s">
        <v>327</v>
      </c>
      <c r="D4862" s="405"/>
      <c r="E4862" s="410">
        <v>41800</v>
      </c>
      <c r="F4862" s="410">
        <v>41845</v>
      </c>
      <c r="G4862" s="405" t="s">
        <v>13633</v>
      </c>
      <c r="H4862" s="405">
        <v>774284856</v>
      </c>
      <c r="I4862" s="405"/>
      <c r="J4862" s="405">
        <v>1.1112420000000001</v>
      </c>
      <c r="K4862" s="405">
        <v>34.214792000000003</v>
      </c>
      <c r="L4862" s="405" t="s">
        <v>6866</v>
      </c>
      <c r="M4862" s="405" t="s">
        <v>9514</v>
      </c>
      <c r="N4862" s="405" t="s">
        <v>9529</v>
      </c>
      <c r="O4862" s="405" t="s">
        <v>9530</v>
      </c>
      <c r="P4862" s="405" t="s">
        <v>10607</v>
      </c>
      <c r="Q4862" s="411">
        <v>6</v>
      </c>
      <c r="R4862" s="405" t="s">
        <v>7224</v>
      </c>
      <c r="S4862" s="405" t="s">
        <v>27107</v>
      </c>
      <c r="T4862" s="405" t="s">
        <v>32102</v>
      </c>
      <c r="U4862" s="405" t="s">
        <v>319</v>
      </c>
    </row>
    <row r="4863" spans="1:21" x14ac:dyDescent="0.25">
      <c r="A4863" s="405" t="s">
        <v>310</v>
      </c>
      <c r="B4863" s="405" t="s">
        <v>29137</v>
      </c>
      <c r="C4863" s="405" t="s">
        <v>327</v>
      </c>
      <c r="D4863" s="405"/>
      <c r="E4863" s="410">
        <v>41800</v>
      </c>
      <c r="F4863" s="410">
        <v>41845</v>
      </c>
      <c r="G4863" s="405" t="s">
        <v>13636</v>
      </c>
      <c r="H4863" s="405">
        <v>773276924</v>
      </c>
      <c r="I4863" s="405"/>
      <c r="J4863" s="405">
        <v>1.114177</v>
      </c>
      <c r="K4863" s="405">
        <v>34.203026999999999</v>
      </c>
      <c r="L4863" s="405" t="s">
        <v>6866</v>
      </c>
      <c r="M4863" s="405" t="s">
        <v>9514</v>
      </c>
      <c r="N4863" s="405" t="s">
        <v>9529</v>
      </c>
      <c r="O4863" s="405" t="s">
        <v>9530</v>
      </c>
      <c r="P4863" s="405" t="s">
        <v>12564</v>
      </c>
      <c r="Q4863" s="411">
        <v>6</v>
      </c>
      <c r="R4863" s="405" t="s">
        <v>5655</v>
      </c>
      <c r="S4863" s="405" t="s">
        <v>17013</v>
      </c>
      <c r="T4863" s="405" t="s">
        <v>884</v>
      </c>
      <c r="U4863" s="405" t="s">
        <v>319</v>
      </c>
    </row>
    <row r="4864" spans="1:21" x14ac:dyDescent="0.25">
      <c r="A4864" s="405" t="s">
        <v>310</v>
      </c>
      <c r="B4864" s="405" t="s">
        <v>21709</v>
      </c>
      <c r="C4864" s="405" t="s">
        <v>327</v>
      </c>
      <c r="D4864" s="405"/>
      <c r="E4864" s="410">
        <v>41800</v>
      </c>
      <c r="F4864" s="410">
        <v>41845</v>
      </c>
      <c r="G4864" s="405" t="s">
        <v>21710</v>
      </c>
      <c r="H4864" s="405">
        <v>772887203</v>
      </c>
      <c r="I4864" s="405"/>
      <c r="J4864" s="405">
        <v>0.40354499999999999</v>
      </c>
      <c r="K4864" s="405">
        <v>30.390215000000001</v>
      </c>
      <c r="L4864" s="405" t="s">
        <v>590</v>
      </c>
      <c r="M4864" s="405" t="s">
        <v>19720</v>
      </c>
      <c r="N4864" s="405" t="s">
        <v>21711</v>
      </c>
      <c r="O4864" s="405" t="s">
        <v>21712</v>
      </c>
      <c r="P4864" s="405" t="s">
        <v>21713</v>
      </c>
      <c r="Q4864" s="411">
        <v>6</v>
      </c>
      <c r="R4864" s="405" t="s">
        <v>402</v>
      </c>
      <c r="S4864" s="405" t="s">
        <v>27181</v>
      </c>
      <c r="T4864" s="405" t="s">
        <v>32102</v>
      </c>
      <c r="U4864" s="405" t="s">
        <v>319</v>
      </c>
    </row>
    <row r="4865" spans="1:21" x14ac:dyDescent="0.25">
      <c r="A4865" s="405" t="s">
        <v>310</v>
      </c>
      <c r="B4865" s="405" t="s">
        <v>13671</v>
      </c>
      <c r="C4865" s="405" t="s">
        <v>327</v>
      </c>
      <c r="D4865" s="405"/>
      <c r="E4865" s="410">
        <v>41800</v>
      </c>
      <c r="F4865" s="410">
        <v>41845</v>
      </c>
      <c r="G4865" s="405" t="s">
        <v>13672</v>
      </c>
      <c r="H4865" s="405">
        <v>778478723</v>
      </c>
      <c r="I4865" s="405"/>
      <c r="J4865" s="405">
        <v>1.112935</v>
      </c>
      <c r="K4865" s="405">
        <v>34.187114999999999</v>
      </c>
      <c r="L4865" s="405" t="s">
        <v>6866</v>
      </c>
      <c r="M4865" s="405" t="s">
        <v>9514</v>
      </c>
      <c r="N4865" s="405" t="s">
        <v>9722</v>
      </c>
      <c r="O4865" s="405" t="s">
        <v>9530</v>
      </c>
      <c r="P4865" s="405" t="s">
        <v>13673</v>
      </c>
      <c r="Q4865" s="411">
        <v>6</v>
      </c>
      <c r="R4865" s="405" t="s">
        <v>5655</v>
      </c>
      <c r="S4865" s="405" t="s">
        <v>27310</v>
      </c>
      <c r="T4865" s="405" t="s">
        <v>32102</v>
      </c>
      <c r="U4865" s="405" t="s">
        <v>319</v>
      </c>
    </row>
    <row r="4866" spans="1:21" x14ac:dyDescent="0.25">
      <c r="A4866" s="405" t="s">
        <v>310</v>
      </c>
      <c r="B4866" s="405" t="s">
        <v>13592</v>
      </c>
      <c r="C4866" s="405" t="s">
        <v>327</v>
      </c>
      <c r="D4866" s="405"/>
      <c r="E4866" s="410">
        <v>41800</v>
      </c>
      <c r="F4866" s="410">
        <v>41845</v>
      </c>
      <c r="G4866" s="405" t="s">
        <v>13593</v>
      </c>
      <c r="H4866" s="405">
        <v>753121147</v>
      </c>
      <c r="I4866" s="405"/>
      <c r="J4866" s="405">
        <v>1.100177</v>
      </c>
      <c r="K4866" s="405">
        <v>34.212117999999997</v>
      </c>
      <c r="L4866" s="405" t="s">
        <v>6866</v>
      </c>
      <c r="M4866" s="405" t="s">
        <v>9514</v>
      </c>
      <c r="N4866" s="405" t="s">
        <v>9529</v>
      </c>
      <c r="O4866" s="405" t="s">
        <v>9530</v>
      </c>
      <c r="P4866" s="405" t="s">
        <v>11783</v>
      </c>
      <c r="Q4866" s="411">
        <v>6</v>
      </c>
      <c r="R4866" s="405" t="s">
        <v>7224</v>
      </c>
      <c r="S4866" s="405" t="s">
        <v>27086</v>
      </c>
      <c r="T4866" s="405" t="s">
        <v>32102</v>
      </c>
      <c r="U4866" s="405" t="s">
        <v>319</v>
      </c>
    </row>
    <row r="4867" spans="1:21" x14ac:dyDescent="0.25">
      <c r="A4867" s="405" t="s">
        <v>310</v>
      </c>
      <c r="B4867" s="405" t="s">
        <v>28907</v>
      </c>
      <c r="C4867" s="405" t="s">
        <v>327</v>
      </c>
      <c r="D4867" s="405"/>
      <c r="E4867" s="410">
        <v>41800</v>
      </c>
      <c r="F4867" s="410">
        <v>41845</v>
      </c>
      <c r="G4867" s="405" t="s">
        <v>13575</v>
      </c>
      <c r="H4867" s="405">
        <v>787306738</v>
      </c>
      <c r="I4867" s="405">
        <v>777252519</v>
      </c>
      <c r="J4867" s="405">
        <v>1.0950820000000001</v>
      </c>
      <c r="K4867" s="405">
        <v>34.204917999999999</v>
      </c>
      <c r="L4867" s="405" t="s">
        <v>6866</v>
      </c>
      <c r="M4867" s="405" t="s">
        <v>9514</v>
      </c>
      <c r="N4867" s="405" t="s">
        <v>9530</v>
      </c>
      <c r="O4867" s="405" t="s">
        <v>9530</v>
      </c>
      <c r="P4867" s="405" t="s">
        <v>3322</v>
      </c>
      <c r="Q4867" s="411">
        <v>6</v>
      </c>
      <c r="R4867" s="405" t="s">
        <v>7224</v>
      </c>
      <c r="S4867" s="405" t="s">
        <v>27086</v>
      </c>
      <c r="T4867" s="405" t="s">
        <v>32102</v>
      </c>
      <c r="U4867" s="405" t="s">
        <v>319</v>
      </c>
    </row>
    <row r="4868" spans="1:21" x14ac:dyDescent="0.25">
      <c r="A4868" s="405" t="s">
        <v>310</v>
      </c>
      <c r="B4868" s="405" t="s">
        <v>21693</v>
      </c>
      <c r="C4868" s="405" t="s">
        <v>327</v>
      </c>
      <c r="D4868" s="405"/>
      <c r="E4868" s="410">
        <v>41800</v>
      </c>
      <c r="F4868" s="410">
        <v>41845</v>
      </c>
      <c r="G4868" s="405" t="s">
        <v>21694</v>
      </c>
      <c r="H4868" s="405">
        <v>789678267</v>
      </c>
      <c r="I4868" s="405">
        <v>779776832</v>
      </c>
      <c r="J4868" s="405">
        <v>6.2218000000000002E-2</v>
      </c>
      <c r="K4868" s="405">
        <v>30.419972000000001</v>
      </c>
      <c r="L4868" s="405" t="s">
        <v>590</v>
      </c>
      <c r="M4868" s="405" t="s">
        <v>19720</v>
      </c>
      <c r="N4868" s="405" t="s">
        <v>20297</v>
      </c>
      <c r="O4868" s="405" t="s">
        <v>20439</v>
      </c>
      <c r="P4868" s="405" t="s">
        <v>21640</v>
      </c>
      <c r="Q4868" s="411">
        <v>6</v>
      </c>
      <c r="R4868" s="405" t="s">
        <v>402</v>
      </c>
      <c r="S4868" s="405" t="s">
        <v>27275</v>
      </c>
      <c r="T4868" s="405" t="s">
        <v>32102</v>
      </c>
      <c r="U4868" s="405" t="s">
        <v>319</v>
      </c>
    </row>
    <row r="4869" spans="1:21" x14ac:dyDescent="0.25">
      <c r="A4869" s="405" t="s">
        <v>310</v>
      </c>
      <c r="B4869" s="405" t="s">
        <v>21705</v>
      </c>
      <c r="C4869" s="405" t="s">
        <v>327</v>
      </c>
      <c r="D4869" s="405"/>
      <c r="E4869" s="410">
        <v>41799</v>
      </c>
      <c r="F4869" s="410">
        <v>41844</v>
      </c>
      <c r="G4869" s="405" t="s">
        <v>21706</v>
      </c>
      <c r="H4869" s="405">
        <v>772033351</v>
      </c>
      <c r="I4869" s="405"/>
      <c r="J4869" s="405">
        <v>0.34387800000000002</v>
      </c>
      <c r="K4869" s="405">
        <v>30.426355000000001</v>
      </c>
      <c r="L4869" s="405" t="s">
        <v>590</v>
      </c>
      <c r="M4869" s="405" t="s">
        <v>19720</v>
      </c>
      <c r="N4869" s="405" t="s">
        <v>19721</v>
      </c>
      <c r="O4869" s="405" t="s">
        <v>21707</v>
      </c>
      <c r="P4869" s="405" t="s">
        <v>21708</v>
      </c>
      <c r="Q4869" s="411">
        <v>6</v>
      </c>
      <c r="R4869" s="405" t="s">
        <v>874</v>
      </c>
      <c r="S4869" s="405" t="s">
        <v>27163</v>
      </c>
      <c r="T4869" s="405" t="s">
        <v>884</v>
      </c>
      <c r="U4869" s="405" t="s">
        <v>319</v>
      </c>
    </row>
    <row r="4870" spans="1:21" x14ac:dyDescent="0.25">
      <c r="A4870" s="405" t="s">
        <v>310</v>
      </c>
      <c r="B4870" s="405" t="s">
        <v>13594</v>
      </c>
      <c r="C4870" s="405" t="s">
        <v>327</v>
      </c>
      <c r="D4870" s="405"/>
      <c r="E4870" s="410">
        <v>41799</v>
      </c>
      <c r="F4870" s="410">
        <v>41844</v>
      </c>
      <c r="G4870" s="405" t="s">
        <v>13595</v>
      </c>
      <c r="H4870" s="405">
        <v>779971870</v>
      </c>
      <c r="I4870" s="405"/>
      <c r="J4870" s="405">
        <v>1.1003179999999999</v>
      </c>
      <c r="K4870" s="405">
        <v>34.211799999999997</v>
      </c>
      <c r="L4870" s="405" t="s">
        <v>6866</v>
      </c>
      <c r="M4870" s="405" t="s">
        <v>9514</v>
      </c>
      <c r="N4870" s="405" t="s">
        <v>9529</v>
      </c>
      <c r="O4870" s="405" t="s">
        <v>9530</v>
      </c>
      <c r="P4870" s="405" t="s">
        <v>11783</v>
      </c>
      <c r="Q4870" s="411">
        <v>6</v>
      </c>
      <c r="R4870" s="405" t="s">
        <v>7224</v>
      </c>
      <c r="S4870" s="405" t="s">
        <v>27294</v>
      </c>
      <c r="T4870" s="405" t="s">
        <v>884</v>
      </c>
      <c r="U4870" s="405" t="s">
        <v>319</v>
      </c>
    </row>
    <row r="4871" spans="1:21" x14ac:dyDescent="0.25">
      <c r="A4871" s="405" t="s">
        <v>310</v>
      </c>
      <c r="B4871" s="405" t="s">
        <v>13602</v>
      </c>
      <c r="C4871" s="405" t="s">
        <v>857</v>
      </c>
      <c r="D4871" s="405" t="s">
        <v>21355</v>
      </c>
      <c r="E4871" s="410">
        <v>41798</v>
      </c>
      <c r="F4871" s="410">
        <v>41843</v>
      </c>
      <c r="G4871" s="405" t="s">
        <v>13603</v>
      </c>
      <c r="H4871" s="405">
        <v>772017489</v>
      </c>
      <c r="I4871" s="405"/>
      <c r="J4871" s="405">
        <v>1.1149929999999999</v>
      </c>
      <c r="K4871" s="405">
        <v>34.206077000000001</v>
      </c>
      <c r="L4871" s="405" t="s">
        <v>6866</v>
      </c>
      <c r="M4871" s="405" t="s">
        <v>9514</v>
      </c>
      <c r="N4871" s="405" t="s">
        <v>9529</v>
      </c>
      <c r="O4871" s="405" t="s">
        <v>9530</v>
      </c>
      <c r="P4871" s="405" t="s">
        <v>13601</v>
      </c>
      <c r="Q4871" s="411">
        <v>6</v>
      </c>
      <c r="R4871" s="405" t="s">
        <v>5655</v>
      </c>
      <c r="S4871" s="405" t="s">
        <v>27041</v>
      </c>
      <c r="T4871" s="405" t="s">
        <v>32102</v>
      </c>
      <c r="U4871" s="405" t="s">
        <v>319</v>
      </c>
    </row>
    <row r="4872" spans="1:21" x14ac:dyDescent="0.25">
      <c r="A4872" s="405" t="s">
        <v>310</v>
      </c>
      <c r="B4872" s="405" t="s">
        <v>13596</v>
      </c>
      <c r="C4872" s="405" t="s">
        <v>327</v>
      </c>
      <c r="D4872" s="405"/>
      <c r="E4872" s="410">
        <v>41798</v>
      </c>
      <c r="F4872" s="410">
        <v>41843</v>
      </c>
      <c r="G4872" s="405" t="s">
        <v>13597</v>
      </c>
      <c r="H4872" s="405">
        <v>777196065</v>
      </c>
      <c r="I4872" s="405"/>
      <c r="J4872" s="405">
        <v>1.087315</v>
      </c>
      <c r="K4872" s="405">
        <v>34.194037000000002</v>
      </c>
      <c r="L4872" s="405" t="s">
        <v>6866</v>
      </c>
      <c r="M4872" s="405" t="s">
        <v>9514</v>
      </c>
      <c r="N4872" s="405" t="s">
        <v>9529</v>
      </c>
      <c r="O4872" s="405" t="s">
        <v>9530</v>
      </c>
      <c r="P4872" s="405" t="s">
        <v>11489</v>
      </c>
      <c r="Q4872" s="411">
        <v>6</v>
      </c>
      <c r="R4872" s="405" t="s">
        <v>7224</v>
      </c>
      <c r="S4872" s="405" t="s">
        <v>27074</v>
      </c>
      <c r="T4872" s="405" t="s">
        <v>32102</v>
      </c>
      <c r="U4872" s="405" t="s">
        <v>319</v>
      </c>
    </row>
    <row r="4873" spans="1:21" x14ac:dyDescent="0.25">
      <c r="A4873" s="405" t="s">
        <v>310</v>
      </c>
      <c r="B4873" s="405" t="s">
        <v>13571</v>
      </c>
      <c r="C4873" s="405" t="s">
        <v>327</v>
      </c>
      <c r="D4873" s="405"/>
      <c r="E4873" s="410">
        <v>41797</v>
      </c>
      <c r="F4873" s="410">
        <v>41842</v>
      </c>
      <c r="G4873" s="405" t="s">
        <v>13572</v>
      </c>
      <c r="H4873" s="405">
        <v>779349292</v>
      </c>
      <c r="I4873" s="405"/>
      <c r="J4873" s="405">
        <v>1.094155</v>
      </c>
      <c r="K4873" s="405">
        <v>34.195397</v>
      </c>
      <c r="L4873" s="405" t="s">
        <v>6866</v>
      </c>
      <c r="M4873" s="405" t="s">
        <v>9514</v>
      </c>
      <c r="N4873" s="405" t="s">
        <v>9530</v>
      </c>
      <c r="O4873" s="405" t="s">
        <v>9530</v>
      </c>
      <c r="P4873" s="405" t="s">
        <v>11243</v>
      </c>
      <c r="Q4873" s="411">
        <v>6</v>
      </c>
      <c r="R4873" s="405" t="s">
        <v>7224</v>
      </c>
      <c r="S4873" s="405" t="s">
        <v>27318</v>
      </c>
      <c r="T4873" s="405" t="s">
        <v>32102</v>
      </c>
      <c r="U4873" s="405" t="s">
        <v>319</v>
      </c>
    </row>
    <row r="4874" spans="1:21" x14ac:dyDescent="0.25">
      <c r="A4874" s="405" t="s">
        <v>310</v>
      </c>
      <c r="B4874" s="405" t="s">
        <v>29030</v>
      </c>
      <c r="C4874" s="405" t="s">
        <v>327</v>
      </c>
      <c r="D4874" s="405"/>
      <c r="E4874" s="410">
        <v>41796</v>
      </c>
      <c r="F4874" s="410">
        <v>41841</v>
      </c>
      <c r="G4874" s="405" t="s">
        <v>13660</v>
      </c>
      <c r="H4874" s="405">
        <v>782410283</v>
      </c>
      <c r="I4874" s="405"/>
      <c r="J4874" s="405">
        <v>1.150668</v>
      </c>
      <c r="K4874" s="405">
        <v>34.202683</v>
      </c>
      <c r="L4874" s="405" t="s">
        <v>6866</v>
      </c>
      <c r="M4874" s="405" t="s">
        <v>9514</v>
      </c>
      <c r="N4874" s="405" t="s">
        <v>9529</v>
      </c>
      <c r="O4874" s="405" t="s">
        <v>9530</v>
      </c>
      <c r="P4874" s="405" t="s">
        <v>11882</v>
      </c>
      <c r="Q4874" s="411">
        <v>6</v>
      </c>
      <c r="R4874" s="405" t="s">
        <v>5655</v>
      </c>
      <c r="S4874" s="405" t="s">
        <v>27204</v>
      </c>
      <c r="T4874" s="405" t="s">
        <v>32102</v>
      </c>
      <c r="U4874" s="405" t="s">
        <v>319</v>
      </c>
    </row>
    <row r="4875" spans="1:21" x14ac:dyDescent="0.25">
      <c r="A4875" s="405" t="s">
        <v>310</v>
      </c>
      <c r="B4875" s="405" t="s">
        <v>28476</v>
      </c>
      <c r="C4875" s="405" t="s">
        <v>327</v>
      </c>
      <c r="D4875" s="405"/>
      <c r="E4875" s="410">
        <v>41795</v>
      </c>
      <c r="F4875" s="410">
        <v>41840</v>
      </c>
      <c r="G4875" s="405" t="s">
        <v>13632</v>
      </c>
      <c r="H4875" s="405">
        <v>781681548</v>
      </c>
      <c r="I4875" s="405"/>
      <c r="J4875" s="405">
        <v>1.107718</v>
      </c>
      <c r="K4875" s="405">
        <v>34.215007</v>
      </c>
      <c r="L4875" s="405" t="s">
        <v>6866</v>
      </c>
      <c r="M4875" s="405" t="s">
        <v>9514</v>
      </c>
      <c r="N4875" s="405" t="s">
        <v>9529</v>
      </c>
      <c r="O4875" s="405" t="s">
        <v>9530</v>
      </c>
      <c r="P4875" s="405" t="s">
        <v>13529</v>
      </c>
      <c r="Q4875" s="411">
        <v>6</v>
      </c>
      <c r="R4875" s="405" t="s">
        <v>5655</v>
      </c>
      <c r="S4875" s="405" t="s">
        <v>27324</v>
      </c>
      <c r="T4875" s="405" t="s">
        <v>32102</v>
      </c>
      <c r="U4875" s="405" t="s">
        <v>319</v>
      </c>
    </row>
    <row r="4876" spans="1:21" x14ac:dyDescent="0.25">
      <c r="A4876" s="405" t="s">
        <v>310</v>
      </c>
      <c r="B4876" s="405" t="s">
        <v>13583</v>
      </c>
      <c r="C4876" s="405" t="s">
        <v>327</v>
      </c>
      <c r="D4876" s="405"/>
      <c r="E4876" s="410">
        <v>41795</v>
      </c>
      <c r="F4876" s="410">
        <v>41840</v>
      </c>
      <c r="G4876" s="405" t="s">
        <v>13584</v>
      </c>
      <c r="H4876" s="405">
        <v>788265969</v>
      </c>
      <c r="I4876" s="405"/>
      <c r="J4876" s="405">
        <v>1.0954200000000001</v>
      </c>
      <c r="K4876" s="405">
        <v>34.205410000000001</v>
      </c>
      <c r="L4876" s="405" t="s">
        <v>6866</v>
      </c>
      <c r="M4876" s="405" t="s">
        <v>9514</v>
      </c>
      <c r="N4876" s="405" t="s">
        <v>9529</v>
      </c>
      <c r="O4876" s="405" t="s">
        <v>9530</v>
      </c>
      <c r="P4876" s="405" t="s">
        <v>9893</v>
      </c>
      <c r="Q4876" s="411">
        <v>6</v>
      </c>
      <c r="R4876" s="405" t="s">
        <v>5655</v>
      </c>
      <c r="S4876" s="405" t="s">
        <v>27310</v>
      </c>
      <c r="T4876" s="405" t="s">
        <v>32102</v>
      </c>
      <c r="U4876" s="405" t="s">
        <v>319</v>
      </c>
    </row>
    <row r="4877" spans="1:21" x14ac:dyDescent="0.25">
      <c r="A4877" s="405" t="s">
        <v>310</v>
      </c>
      <c r="B4877" s="405" t="s">
        <v>21719</v>
      </c>
      <c r="C4877" s="405" t="s">
        <v>327</v>
      </c>
      <c r="D4877" s="405"/>
      <c r="E4877" s="410">
        <v>41795</v>
      </c>
      <c r="F4877" s="410">
        <v>41840</v>
      </c>
      <c r="G4877" s="405" t="s">
        <v>21720</v>
      </c>
      <c r="H4877" s="405">
        <v>702979121</v>
      </c>
      <c r="I4877" s="405">
        <v>770939138</v>
      </c>
      <c r="J4877" s="405">
        <v>7.9847000000000001E-2</v>
      </c>
      <c r="K4877" s="405">
        <v>30.98413</v>
      </c>
      <c r="L4877" s="405" t="s">
        <v>590</v>
      </c>
      <c r="M4877" s="405" t="s">
        <v>19705</v>
      </c>
      <c r="N4877" s="405" t="s">
        <v>21721</v>
      </c>
      <c r="O4877" s="405" t="s">
        <v>21722</v>
      </c>
      <c r="P4877" s="405" t="s">
        <v>21723</v>
      </c>
      <c r="Q4877" s="411">
        <v>6</v>
      </c>
      <c r="R4877" s="405" t="s">
        <v>874</v>
      </c>
      <c r="S4877" s="405" t="s">
        <v>27098</v>
      </c>
      <c r="T4877" s="405" t="s">
        <v>32102</v>
      </c>
      <c r="U4877" s="405" t="s">
        <v>319</v>
      </c>
    </row>
    <row r="4878" spans="1:21" x14ac:dyDescent="0.25">
      <c r="A4878" s="405" t="s">
        <v>310</v>
      </c>
      <c r="B4878" s="405" t="s">
        <v>29103</v>
      </c>
      <c r="C4878" s="405" t="s">
        <v>327</v>
      </c>
      <c r="D4878" s="405"/>
      <c r="E4878" s="410">
        <v>41794</v>
      </c>
      <c r="F4878" s="410">
        <v>41839</v>
      </c>
      <c r="G4878" s="405" t="s">
        <v>13667</v>
      </c>
      <c r="H4878" s="405">
        <v>779763235</v>
      </c>
      <c r="I4878" s="405"/>
      <c r="J4878" s="405">
        <v>1.051763</v>
      </c>
      <c r="K4878" s="405">
        <v>34.164188000000003</v>
      </c>
      <c r="L4878" s="405" t="s">
        <v>6866</v>
      </c>
      <c r="M4878" s="405" t="s">
        <v>9514</v>
      </c>
      <c r="N4878" s="405" t="s">
        <v>9529</v>
      </c>
      <c r="O4878" s="405" t="s">
        <v>9780</v>
      </c>
      <c r="P4878" s="405" t="s">
        <v>4672</v>
      </c>
      <c r="Q4878" s="411">
        <v>6</v>
      </c>
      <c r="R4878" s="405" t="s">
        <v>7224</v>
      </c>
      <c r="S4878" s="405" t="s">
        <v>17013</v>
      </c>
      <c r="T4878" s="405" t="s">
        <v>32212</v>
      </c>
      <c r="U4878" s="405" t="s">
        <v>2267</v>
      </c>
    </row>
    <row r="4879" spans="1:21" x14ac:dyDescent="0.25">
      <c r="A4879" s="405" t="s">
        <v>310</v>
      </c>
      <c r="B4879" s="405" t="s">
        <v>21690</v>
      </c>
      <c r="C4879" s="405" t="s">
        <v>327</v>
      </c>
      <c r="D4879" s="405"/>
      <c r="E4879" s="410">
        <v>41794</v>
      </c>
      <c r="F4879" s="410">
        <v>41839</v>
      </c>
      <c r="G4879" s="405" t="s">
        <v>21691</v>
      </c>
      <c r="H4879" s="405">
        <v>772565628</v>
      </c>
      <c r="I4879" s="405"/>
      <c r="J4879" s="405">
        <v>-0.63861599999999996</v>
      </c>
      <c r="K4879" s="405">
        <v>30.118649000000001</v>
      </c>
      <c r="L4879" s="405" t="s">
        <v>590</v>
      </c>
      <c r="M4879" s="405" t="s">
        <v>20032</v>
      </c>
      <c r="N4879" s="405" t="s">
        <v>20033</v>
      </c>
      <c r="O4879" s="405" t="s">
        <v>20034</v>
      </c>
      <c r="P4879" s="405" t="s">
        <v>21692</v>
      </c>
      <c r="Q4879" s="411">
        <v>6</v>
      </c>
      <c r="R4879" s="405" t="s">
        <v>402</v>
      </c>
      <c r="S4879" s="405" t="s">
        <v>27045</v>
      </c>
      <c r="T4879" s="405" t="s">
        <v>32102</v>
      </c>
      <c r="U4879" s="405" t="s">
        <v>319</v>
      </c>
    </row>
    <row r="4880" spans="1:21" x14ac:dyDescent="0.25">
      <c r="A4880" s="405" t="s">
        <v>310</v>
      </c>
      <c r="B4880" s="405" t="s">
        <v>21681</v>
      </c>
      <c r="C4880" s="405" t="s">
        <v>327</v>
      </c>
      <c r="D4880" s="405"/>
      <c r="E4880" s="410">
        <v>41794</v>
      </c>
      <c r="F4880" s="410">
        <v>41839</v>
      </c>
      <c r="G4880" s="405" t="s">
        <v>21682</v>
      </c>
      <c r="H4880" s="405">
        <v>782870602</v>
      </c>
      <c r="I4880" s="405"/>
      <c r="J4880" s="405">
        <v>0.33170300000000003</v>
      </c>
      <c r="K4880" s="405">
        <v>30.547263000000001</v>
      </c>
      <c r="L4880" s="405" t="s">
        <v>590</v>
      </c>
      <c r="M4880" s="405" t="s">
        <v>19720</v>
      </c>
      <c r="N4880" s="405" t="s">
        <v>19721</v>
      </c>
      <c r="O4880" s="405" t="s">
        <v>21587</v>
      </c>
      <c r="P4880" s="405" t="s">
        <v>21683</v>
      </c>
      <c r="Q4880" s="411">
        <v>6</v>
      </c>
      <c r="R4880" s="405" t="s">
        <v>874</v>
      </c>
      <c r="S4880" s="405" t="s">
        <v>27275</v>
      </c>
      <c r="T4880" s="405" t="s">
        <v>865</v>
      </c>
      <c r="U4880" s="405" t="s">
        <v>866</v>
      </c>
    </row>
    <row r="4881" spans="1:21" x14ac:dyDescent="0.25">
      <c r="A4881" s="405" t="s">
        <v>310</v>
      </c>
      <c r="B4881" s="405" t="s">
        <v>29071</v>
      </c>
      <c r="C4881" s="405" t="s">
        <v>327</v>
      </c>
      <c r="D4881" s="405"/>
      <c r="E4881" s="410">
        <v>41794</v>
      </c>
      <c r="F4881" s="410">
        <v>41839</v>
      </c>
      <c r="G4881" s="405" t="s">
        <v>13616</v>
      </c>
      <c r="H4881" s="405">
        <v>758975288</v>
      </c>
      <c r="I4881" s="405"/>
      <c r="J4881" s="405">
        <v>1.1061620000000001</v>
      </c>
      <c r="K4881" s="405">
        <v>34.206408000000003</v>
      </c>
      <c r="L4881" s="405" t="s">
        <v>6866</v>
      </c>
      <c r="M4881" s="405" t="s">
        <v>9514</v>
      </c>
      <c r="N4881" s="405" t="s">
        <v>9529</v>
      </c>
      <c r="O4881" s="405" t="s">
        <v>9530</v>
      </c>
      <c r="P4881" s="405" t="s">
        <v>13617</v>
      </c>
      <c r="Q4881" s="411">
        <v>6</v>
      </c>
      <c r="R4881" s="405" t="s">
        <v>5655</v>
      </c>
      <c r="S4881" s="405" t="s">
        <v>27086</v>
      </c>
      <c r="T4881" s="405" t="s">
        <v>32102</v>
      </c>
      <c r="U4881" s="405" t="s">
        <v>319</v>
      </c>
    </row>
    <row r="4882" spans="1:21" x14ac:dyDescent="0.25">
      <c r="A4882" s="405" t="s">
        <v>310</v>
      </c>
      <c r="B4882" s="405" t="s">
        <v>27753</v>
      </c>
      <c r="C4882" s="405" t="s">
        <v>327</v>
      </c>
      <c r="D4882" s="405"/>
      <c r="E4882" s="410">
        <v>41793</v>
      </c>
      <c r="F4882" s="410">
        <v>41838</v>
      </c>
      <c r="G4882" s="405" t="s">
        <v>13614</v>
      </c>
      <c r="H4882" s="405">
        <v>700275917</v>
      </c>
      <c r="I4882" s="405"/>
      <c r="J4882" s="405">
        <v>1.105002</v>
      </c>
      <c r="K4882" s="405">
        <v>34.208331999999999</v>
      </c>
      <c r="L4882" s="405" t="s">
        <v>6866</v>
      </c>
      <c r="M4882" s="405" t="s">
        <v>9514</v>
      </c>
      <c r="N4882" s="405" t="s">
        <v>9722</v>
      </c>
      <c r="O4882" s="405" t="s">
        <v>9530</v>
      </c>
      <c r="P4882" s="405" t="s">
        <v>12561</v>
      </c>
      <c r="Q4882" s="411">
        <v>6</v>
      </c>
      <c r="R4882" s="405" t="s">
        <v>7224</v>
      </c>
      <c r="S4882" s="405" t="s">
        <v>17013</v>
      </c>
      <c r="T4882" s="405" t="s">
        <v>32102</v>
      </c>
      <c r="U4882" s="405" t="s">
        <v>319</v>
      </c>
    </row>
    <row r="4883" spans="1:21" x14ac:dyDescent="0.25">
      <c r="A4883" s="405" t="s">
        <v>310</v>
      </c>
      <c r="B4883" s="405" t="s">
        <v>21699</v>
      </c>
      <c r="C4883" s="405" t="s">
        <v>327</v>
      </c>
      <c r="D4883" s="405"/>
      <c r="E4883" s="410">
        <v>41793</v>
      </c>
      <c r="F4883" s="410">
        <v>41838</v>
      </c>
      <c r="G4883" s="405" t="s">
        <v>21700</v>
      </c>
      <c r="H4883" s="405">
        <v>783495005</v>
      </c>
      <c r="I4883" s="405"/>
      <c r="J4883" s="405">
        <v>0.27780300000000002</v>
      </c>
      <c r="K4883" s="405">
        <v>30.492941999999999</v>
      </c>
      <c r="L4883" s="405" t="s">
        <v>590</v>
      </c>
      <c r="M4883" s="405" t="s">
        <v>19720</v>
      </c>
      <c r="N4883" s="405" t="s">
        <v>19721</v>
      </c>
      <c r="O4883" s="405" t="s">
        <v>21587</v>
      </c>
      <c r="P4883" s="405" t="s">
        <v>21701</v>
      </c>
      <c r="Q4883" s="411">
        <v>6</v>
      </c>
      <c r="R4883" s="405" t="s">
        <v>402</v>
      </c>
      <c r="S4883" s="405" t="s">
        <v>27098</v>
      </c>
      <c r="T4883" s="405" t="s">
        <v>32102</v>
      </c>
      <c r="U4883" s="405" t="s">
        <v>319</v>
      </c>
    </row>
    <row r="4884" spans="1:21" x14ac:dyDescent="0.25">
      <c r="A4884" s="405" t="s">
        <v>310</v>
      </c>
      <c r="B4884" s="405" t="s">
        <v>13627</v>
      </c>
      <c r="C4884" s="405" t="s">
        <v>327</v>
      </c>
      <c r="D4884" s="405"/>
      <c r="E4884" s="410">
        <v>41793</v>
      </c>
      <c r="F4884" s="410">
        <v>41838</v>
      </c>
      <c r="G4884" s="405" t="s">
        <v>13628</v>
      </c>
      <c r="H4884" s="405">
        <v>778863946</v>
      </c>
      <c r="I4884" s="405">
        <v>774242907</v>
      </c>
      <c r="J4884" s="405">
        <v>1.102312</v>
      </c>
      <c r="K4884" s="405">
        <v>34.207476999999997</v>
      </c>
      <c r="L4884" s="405" t="s">
        <v>6866</v>
      </c>
      <c r="M4884" s="405" t="s">
        <v>9514</v>
      </c>
      <c r="N4884" s="405" t="s">
        <v>9529</v>
      </c>
      <c r="O4884" s="405" t="s">
        <v>9530</v>
      </c>
      <c r="P4884" s="405" t="s">
        <v>11924</v>
      </c>
      <c r="Q4884" s="411">
        <v>6</v>
      </c>
      <c r="R4884" s="405" t="s">
        <v>5655</v>
      </c>
      <c r="S4884" s="405" t="s">
        <v>27072</v>
      </c>
      <c r="T4884" s="405" t="s">
        <v>32102</v>
      </c>
      <c r="U4884" s="405" t="s">
        <v>319</v>
      </c>
    </row>
    <row r="4885" spans="1:21" x14ac:dyDescent="0.25">
      <c r="A4885" s="405" t="s">
        <v>310</v>
      </c>
      <c r="B4885" s="405" t="s">
        <v>27785</v>
      </c>
      <c r="C4885" s="405" t="s">
        <v>327</v>
      </c>
      <c r="D4885" s="405"/>
      <c r="E4885" s="410">
        <v>41792</v>
      </c>
      <c r="F4885" s="410">
        <v>41837</v>
      </c>
      <c r="G4885" s="405" t="s">
        <v>13576</v>
      </c>
      <c r="H4885" s="405">
        <v>789731074</v>
      </c>
      <c r="I4885" s="405"/>
      <c r="J4885" s="405">
        <v>1.0952820000000001</v>
      </c>
      <c r="K4885" s="405">
        <v>34.206176999999997</v>
      </c>
      <c r="L4885" s="405" t="s">
        <v>6866</v>
      </c>
      <c r="M4885" s="405" t="s">
        <v>9514</v>
      </c>
      <c r="N4885" s="405" t="s">
        <v>9529</v>
      </c>
      <c r="O4885" s="405" t="s">
        <v>9530</v>
      </c>
      <c r="P4885" s="405" t="s">
        <v>13577</v>
      </c>
      <c r="Q4885" s="411">
        <v>6</v>
      </c>
      <c r="R4885" s="405" t="s">
        <v>5655</v>
      </c>
      <c r="S4885" s="405" t="s">
        <v>27204</v>
      </c>
      <c r="T4885" s="405" t="s">
        <v>32102</v>
      </c>
      <c r="U4885" s="405" t="s">
        <v>319</v>
      </c>
    </row>
    <row r="4886" spans="1:21" x14ac:dyDescent="0.25">
      <c r="A4886" s="405" t="s">
        <v>310</v>
      </c>
      <c r="B4886" s="405" t="s">
        <v>28315</v>
      </c>
      <c r="C4886" s="405" t="s">
        <v>327</v>
      </c>
      <c r="D4886" s="405"/>
      <c r="E4886" s="410">
        <v>41792</v>
      </c>
      <c r="F4886" s="410">
        <v>41837</v>
      </c>
      <c r="G4886" s="405" t="s">
        <v>13578</v>
      </c>
      <c r="H4886" s="405">
        <v>778009891</v>
      </c>
      <c r="I4886" s="405"/>
      <c r="J4886" s="405">
        <v>1.0957969999999999</v>
      </c>
      <c r="K4886" s="405">
        <v>34.205838</v>
      </c>
      <c r="L4886" s="405" t="s">
        <v>6866</v>
      </c>
      <c r="M4886" s="405" t="s">
        <v>9514</v>
      </c>
      <c r="N4886" s="405" t="s">
        <v>9530</v>
      </c>
      <c r="O4886" s="405" t="s">
        <v>9530</v>
      </c>
      <c r="P4886" s="405" t="s">
        <v>9893</v>
      </c>
      <c r="Q4886" s="411">
        <v>6</v>
      </c>
      <c r="R4886" s="405" t="s">
        <v>5655</v>
      </c>
      <c r="S4886" s="405" t="s">
        <v>27310</v>
      </c>
      <c r="T4886" s="405" t="s">
        <v>32102</v>
      </c>
      <c r="U4886" s="405" t="s">
        <v>319</v>
      </c>
    </row>
    <row r="4887" spans="1:21" x14ac:dyDescent="0.25">
      <c r="A4887" s="405" t="s">
        <v>310</v>
      </c>
      <c r="B4887" s="405" t="s">
        <v>29062</v>
      </c>
      <c r="C4887" s="405" t="s">
        <v>327</v>
      </c>
      <c r="D4887" s="405"/>
      <c r="E4887" s="410">
        <v>41792</v>
      </c>
      <c r="F4887" s="410">
        <v>41837</v>
      </c>
      <c r="G4887" s="405" t="s">
        <v>13618</v>
      </c>
      <c r="H4887" s="405">
        <v>782474448</v>
      </c>
      <c r="I4887" s="405"/>
      <c r="J4887" s="405">
        <v>1.1073120000000001</v>
      </c>
      <c r="K4887" s="405">
        <v>34.205480000000001</v>
      </c>
      <c r="L4887" s="405" t="s">
        <v>6866</v>
      </c>
      <c r="M4887" s="405" t="s">
        <v>9514</v>
      </c>
      <c r="N4887" s="405" t="s">
        <v>9529</v>
      </c>
      <c r="O4887" s="405" t="s">
        <v>9530</v>
      </c>
      <c r="P4887" s="405" t="s">
        <v>12561</v>
      </c>
      <c r="Q4887" s="411">
        <v>6</v>
      </c>
      <c r="R4887" s="405" t="s">
        <v>7224</v>
      </c>
      <c r="S4887" s="405" t="s">
        <v>27169</v>
      </c>
      <c r="T4887" s="405" t="s">
        <v>32102</v>
      </c>
      <c r="U4887" s="405" t="s">
        <v>319</v>
      </c>
    </row>
    <row r="4888" spans="1:21" x14ac:dyDescent="0.25">
      <c r="A4888" s="405" t="s">
        <v>310</v>
      </c>
      <c r="B4888" s="405" t="s">
        <v>13668</v>
      </c>
      <c r="C4888" s="405" t="s">
        <v>327</v>
      </c>
      <c r="D4888" s="405"/>
      <c r="E4888" s="410">
        <v>41790</v>
      </c>
      <c r="F4888" s="410">
        <v>41835</v>
      </c>
      <c r="G4888" s="405" t="s">
        <v>13669</v>
      </c>
      <c r="H4888" s="405">
        <v>788592605</v>
      </c>
      <c r="I4888" s="405"/>
      <c r="J4888" s="405">
        <v>1.932733</v>
      </c>
      <c r="K4888" s="405">
        <v>33.615203000000001</v>
      </c>
      <c r="L4888" s="405" t="s">
        <v>6866</v>
      </c>
      <c r="M4888" s="405" t="s">
        <v>10515</v>
      </c>
      <c r="N4888" s="405" t="s">
        <v>10525</v>
      </c>
      <c r="O4888" s="405" t="s">
        <v>10526</v>
      </c>
      <c r="P4888" s="405" t="s">
        <v>13670</v>
      </c>
      <c r="Q4888" s="411">
        <v>6</v>
      </c>
      <c r="R4888" s="405" t="s">
        <v>5655</v>
      </c>
      <c r="S4888" s="405" t="s">
        <v>27346</v>
      </c>
      <c r="T4888" s="405" t="s">
        <v>32102</v>
      </c>
      <c r="U4888" s="405" t="s">
        <v>319</v>
      </c>
    </row>
    <row r="4889" spans="1:21" x14ac:dyDescent="0.25">
      <c r="A4889" s="405" t="s">
        <v>310</v>
      </c>
      <c r="B4889" s="405" t="s">
        <v>13674</v>
      </c>
      <c r="C4889" s="405" t="s">
        <v>327</v>
      </c>
      <c r="D4889" s="405"/>
      <c r="E4889" s="410">
        <v>41790</v>
      </c>
      <c r="F4889" s="410">
        <v>41835</v>
      </c>
      <c r="G4889" s="405" t="s">
        <v>13675</v>
      </c>
      <c r="H4889" s="405">
        <v>777041153</v>
      </c>
      <c r="I4889" s="405"/>
      <c r="J4889" s="405">
        <v>1.114975</v>
      </c>
      <c r="K4889" s="405">
        <v>34.202663000000001</v>
      </c>
      <c r="L4889" s="405" t="s">
        <v>6866</v>
      </c>
      <c r="M4889" s="405" t="s">
        <v>9514</v>
      </c>
      <c r="N4889" s="405" t="s">
        <v>9722</v>
      </c>
      <c r="O4889" s="405" t="s">
        <v>9530</v>
      </c>
      <c r="P4889" s="405" t="s">
        <v>9530</v>
      </c>
      <c r="Q4889" s="411">
        <v>6</v>
      </c>
      <c r="R4889" s="405" t="s">
        <v>5655</v>
      </c>
      <c r="S4889" s="405" t="s">
        <v>27324</v>
      </c>
      <c r="T4889" s="405" t="s">
        <v>32102</v>
      </c>
      <c r="U4889" s="405" t="s">
        <v>319</v>
      </c>
    </row>
    <row r="4890" spans="1:21" x14ac:dyDescent="0.25">
      <c r="A4890" s="405" t="s">
        <v>310</v>
      </c>
      <c r="B4890" s="405" t="s">
        <v>27952</v>
      </c>
      <c r="C4890" s="405" t="s">
        <v>327</v>
      </c>
      <c r="D4890" s="405"/>
      <c r="E4890" s="410">
        <v>41789</v>
      </c>
      <c r="F4890" s="410">
        <v>41834</v>
      </c>
      <c r="G4890" s="405" t="s">
        <v>13613</v>
      </c>
      <c r="H4890" s="405">
        <v>777080267</v>
      </c>
      <c r="I4890" s="405">
        <v>782228119</v>
      </c>
      <c r="J4890" s="405">
        <v>1.1065849999999999</v>
      </c>
      <c r="K4890" s="405">
        <v>34.211942000000001</v>
      </c>
      <c r="L4890" s="405" t="s">
        <v>6866</v>
      </c>
      <c r="M4890" s="405" t="s">
        <v>9514</v>
      </c>
      <c r="N4890" s="405" t="s">
        <v>9529</v>
      </c>
      <c r="O4890" s="405" t="s">
        <v>9530</v>
      </c>
      <c r="P4890" s="405" t="s">
        <v>13529</v>
      </c>
      <c r="Q4890" s="411">
        <v>6</v>
      </c>
      <c r="R4890" s="405" t="s">
        <v>5655</v>
      </c>
      <c r="S4890" s="405" t="s">
        <v>27337</v>
      </c>
      <c r="T4890" s="405" t="s">
        <v>32102</v>
      </c>
      <c r="U4890" s="405" t="s">
        <v>319</v>
      </c>
    </row>
    <row r="4891" spans="1:21" x14ac:dyDescent="0.25">
      <c r="A4891" s="405" t="s">
        <v>310</v>
      </c>
      <c r="B4891" s="405" t="s">
        <v>13697</v>
      </c>
      <c r="C4891" s="405" t="s">
        <v>327</v>
      </c>
      <c r="D4891" s="405"/>
      <c r="E4891" s="410">
        <v>41789</v>
      </c>
      <c r="F4891" s="410">
        <v>41834</v>
      </c>
      <c r="G4891" s="405" t="s">
        <v>13698</v>
      </c>
      <c r="H4891" s="405">
        <v>775065951</v>
      </c>
      <c r="I4891" s="405"/>
      <c r="J4891" s="405">
        <v>1.14967</v>
      </c>
      <c r="K4891" s="405">
        <v>34.222025000000002</v>
      </c>
      <c r="L4891" s="405" t="s">
        <v>6866</v>
      </c>
      <c r="M4891" s="405" t="s">
        <v>9514</v>
      </c>
      <c r="N4891" s="405" t="s">
        <v>9529</v>
      </c>
      <c r="O4891" s="405" t="s">
        <v>9530</v>
      </c>
      <c r="P4891" s="405" t="s">
        <v>13699</v>
      </c>
      <c r="Q4891" s="411">
        <v>6</v>
      </c>
      <c r="R4891" s="405" t="s">
        <v>5655</v>
      </c>
      <c r="S4891" s="405" t="s">
        <v>27190</v>
      </c>
      <c r="T4891" s="405" t="s">
        <v>32102</v>
      </c>
      <c r="U4891" s="405" t="s">
        <v>319</v>
      </c>
    </row>
    <row r="4892" spans="1:21" x14ac:dyDescent="0.25">
      <c r="A4892" s="405" t="s">
        <v>310</v>
      </c>
      <c r="B4892" s="405" t="s">
        <v>13590</v>
      </c>
      <c r="C4892" s="405" t="s">
        <v>327</v>
      </c>
      <c r="D4892" s="405"/>
      <c r="E4892" s="410">
        <v>41789</v>
      </c>
      <c r="F4892" s="410">
        <v>41834</v>
      </c>
      <c r="G4892" s="405" t="s">
        <v>13591</v>
      </c>
      <c r="H4892" s="405">
        <v>779763218</v>
      </c>
      <c r="I4892" s="405"/>
      <c r="J4892" s="405">
        <v>1.09582</v>
      </c>
      <c r="K4892" s="405">
        <v>34.207076999999998</v>
      </c>
      <c r="L4892" s="405" t="s">
        <v>6866</v>
      </c>
      <c r="M4892" s="405" t="s">
        <v>9514</v>
      </c>
      <c r="N4892" s="405" t="s">
        <v>9529</v>
      </c>
      <c r="O4892" s="405" t="s">
        <v>9530</v>
      </c>
      <c r="P4892" s="405" t="s">
        <v>9893</v>
      </c>
      <c r="Q4892" s="411">
        <v>6</v>
      </c>
      <c r="R4892" s="405" t="s">
        <v>5655</v>
      </c>
      <c r="S4892" s="405" t="s">
        <v>27310</v>
      </c>
      <c r="T4892" s="405" t="s">
        <v>32102</v>
      </c>
      <c r="U4892" s="405" t="s">
        <v>319</v>
      </c>
    </row>
    <row r="4893" spans="1:21" x14ac:dyDescent="0.25">
      <c r="A4893" s="405" t="s">
        <v>310</v>
      </c>
      <c r="B4893" s="405" t="s">
        <v>21938</v>
      </c>
      <c r="C4893" s="405" t="s">
        <v>311</v>
      </c>
      <c r="D4893" s="405" t="s">
        <v>932</v>
      </c>
      <c r="E4893" s="410">
        <v>41789</v>
      </c>
      <c r="F4893" s="410">
        <v>41834</v>
      </c>
      <c r="G4893" s="405" t="s">
        <v>21939</v>
      </c>
      <c r="H4893" s="405">
        <v>779019800</v>
      </c>
      <c r="I4893" s="405">
        <v>787754794</v>
      </c>
      <c r="J4893" s="405">
        <v>0.348935</v>
      </c>
      <c r="K4893" s="405">
        <v>30.543227000000002</v>
      </c>
      <c r="L4893" s="405" t="s">
        <v>590</v>
      </c>
      <c r="M4893" s="405" t="s">
        <v>19720</v>
      </c>
      <c r="N4893" s="405" t="s">
        <v>19721</v>
      </c>
      <c r="O4893" s="405" t="s">
        <v>21940</v>
      </c>
      <c r="P4893" s="405" t="s">
        <v>21941</v>
      </c>
      <c r="Q4893" s="411">
        <v>6</v>
      </c>
      <c r="R4893" s="405" t="s">
        <v>874</v>
      </c>
      <c r="S4893" s="405" t="s">
        <v>27161</v>
      </c>
      <c r="T4893" s="405" t="s">
        <v>32102</v>
      </c>
      <c r="U4893" s="405" t="s">
        <v>319</v>
      </c>
    </row>
    <row r="4894" spans="1:21" x14ac:dyDescent="0.25">
      <c r="A4894" s="405" t="s">
        <v>310</v>
      </c>
      <c r="B4894" s="405" t="s">
        <v>28499</v>
      </c>
      <c r="C4894" s="405" t="s">
        <v>327</v>
      </c>
      <c r="D4894" s="405"/>
      <c r="E4894" s="410">
        <v>41788</v>
      </c>
      <c r="F4894" s="410">
        <v>41833</v>
      </c>
      <c r="G4894" s="405" t="s">
        <v>13629</v>
      </c>
      <c r="H4894" s="405">
        <v>778096818</v>
      </c>
      <c r="I4894" s="405">
        <v>783830990</v>
      </c>
      <c r="J4894" s="405">
        <v>1.1065449999999999</v>
      </c>
      <c r="K4894" s="405">
        <v>34.214910000000003</v>
      </c>
      <c r="L4894" s="405" t="s">
        <v>6866</v>
      </c>
      <c r="M4894" s="405" t="s">
        <v>9514</v>
      </c>
      <c r="N4894" s="405" t="s">
        <v>9529</v>
      </c>
      <c r="O4894" s="405" t="s">
        <v>9530</v>
      </c>
      <c r="P4894" s="405" t="s">
        <v>13529</v>
      </c>
      <c r="Q4894" s="411">
        <v>6</v>
      </c>
      <c r="R4894" s="405" t="s">
        <v>5655</v>
      </c>
      <c r="S4894" s="405" t="s">
        <v>27072</v>
      </c>
      <c r="T4894" s="405" t="s">
        <v>32102</v>
      </c>
      <c r="U4894" s="405" t="s">
        <v>319</v>
      </c>
    </row>
    <row r="4895" spans="1:21" x14ac:dyDescent="0.25">
      <c r="A4895" s="405" t="s">
        <v>310</v>
      </c>
      <c r="B4895" s="405" t="s">
        <v>13664</v>
      </c>
      <c r="C4895" s="405" t="s">
        <v>327</v>
      </c>
      <c r="D4895" s="405"/>
      <c r="E4895" s="410">
        <v>41787</v>
      </c>
      <c r="F4895" s="410">
        <v>41832</v>
      </c>
      <c r="G4895" s="405" t="s">
        <v>13665</v>
      </c>
      <c r="H4895" s="405">
        <v>785829436</v>
      </c>
      <c r="I4895" s="405"/>
      <c r="J4895" s="405">
        <v>1.133483</v>
      </c>
      <c r="K4895" s="405">
        <v>34.210493</v>
      </c>
      <c r="L4895" s="405" t="s">
        <v>6866</v>
      </c>
      <c r="M4895" s="405" t="s">
        <v>9514</v>
      </c>
      <c r="N4895" s="405" t="s">
        <v>9722</v>
      </c>
      <c r="O4895" s="405" t="s">
        <v>9530</v>
      </c>
      <c r="P4895" s="405" t="s">
        <v>13666</v>
      </c>
      <c r="Q4895" s="411">
        <v>6</v>
      </c>
      <c r="R4895" s="405" t="s">
        <v>7224</v>
      </c>
      <c r="S4895" s="405" t="s">
        <v>27306</v>
      </c>
      <c r="T4895" s="405" t="s">
        <v>884</v>
      </c>
      <c r="U4895" s="405" t="s">
        <v>319</v>
      </c>
    </row>
    <row r="4896" spans="1:21" x14ac:dyDescent="0.25">
      <c r="A4896" s="405" t="s">
        <v>310</v>
      </c>
      <c r="B4896" s="405" t="s">
        <v>28586</v>
      </c>
      <c r="C4896" s="405" t="s">
        <v>327</v>
      </c>
      <c r="D4896" s="405"/>
      <c r="E4896" s="410">
        <v>41787</v>
      </c>
      <c r="F4896" s="410">
        <v>41832</v>
      </c>
      <c r="G4896" s="405" t="s">
        <v>13615</v>
      </c>
      <c r="H4896" s="405">
        <v>788957559</v>
      </c>
      <c r="I4896" s="405"/>
      <c r="J4896" s="405">
        <v>1.103953</v>
      </c>
      <c r="K4896" s="405">
        <v>34.208927000000003</v>
      </c>
      <c r="L4896" s="405" t="s">
        <v>6866</v>
      </c>
      <c r="M4896" s="405" t="s">
        <v>9514</v>
      </c>
      <c r="N4896" s="405" t="s">
        <v>9529</v>
      </c>
      <c r="O4896" s="405" t="s">
        <v>9530</v>
      </c>
      <c r="P4896" s="405" t="s">
        <v>12561</v>
      </c>
      <c r="Q4896" s="411">
        <v>6</v>
      </c>
      <c r="R4896" s="405" t="s">
        <v>5655</v>
      </c>
      <c r="S4896" s="405" t="s">
        <v>27306</v>
      </c>
      <c r="T4896" s="405" t="s">
        <v>32102</v>
      </c>
      <c r="U4896" s="405" t="s">
        <v>319</v>
      </c>
    </row>
    <row r="4897" spans="1:21" x14ac:dyDescent="0.25">
      <c r="A4897" s="405" t="s">
        <v>310</v>
      </c>
      <c r="B4897" s="405" t="s">
        <v>13566</v>
      </c>
      <c r="C4897" s="405" t="s">
        <v>327</v>
      </c>
      <c r="D4897" s="405"/>
      <c r="E4897" s="410">
        <v>41787</v>
      </c>
      <c r="F4897" s="410">
        <v>41832</v>
      </c>
      <c r="G4897" s="405" t="s">
        <v>13567</v>
      </c>
      <c r="H4897" s="405">
        <v>789388415</v>
      </c>
      <c r="I4897" s="405"/>
      <c r="J4897" s="405">
        <v>1.1049469999999999</v>
      </c>
      <c r="K4897" s="405">
        <v>34.193558000000003</v>
      </c>
      <c r="L4897" s="405" t="s">
        <v>6866</v>
      </c>
      <c r="M4897" s="405" t="s">
        <v>9514</v>
      </c>
      <c r="N4897" s="405" t="s">
        <v>9530</v>
      </c>
      <c r="O4897" s="405" t="s">
        <v>9530</v>
      </c>
      <c r="P4897" s="405" t="s">
        <v>13568</v>
      </c>
      <c r="Q4897" s="411">
        <v>6</v>
      </c>
      <c r="R4897" s="405" t="s">
        <v>5655</v>
      </c>
      <c r="S4897" s="405" t="s">
        <v>27072</v>
      </c>
      <c r="T4897" s="405" t="s">
        <v>32102</v>
      </c>
      <c r="U4897" s="405" t="s">
        <v>319</v>
      </c>
    </row>
    <row r="4898" spans="1:21" x14ac:dyDescent="0.25">
      <c r="A4898" s="405" t="s">
        <v>310</v>
      </c>
      <c r="B4898" s="405" t="s">
        <v>13676</v>
      </c>
      <c r="C4898" s="405" t="s">
        <v>327</v>
      </c>
      <c r="D4898" s="405"/>
      <c r="E4898" s="410">
        <v>41786</v>
      </c>
      <c r="F4898" s="410">
        <v>41831</v>
      </c>
      <c r="G4898" s="405" t="s">
        <v>13677</v>
      </c>
      <c r="H4898" s="405">
        <v>782552144</v>
      </c>
      <c r="I4898" s="405"/>
      <c r="J4898" s="405">
        <v>1.128182</v>
      </c>
      <c r="K4898" s="405">
        <v>34.194871999999997</v>
      </c>
      <c r="L4898" s="405" t="s">
        <v>6866</v>
      </c>
      <c r="M4898" s="405" t="s">
        <v>9514</v>
      </c>
      <c r="N4898" s="405" t="s">
        <v>9529</v>
      </c>
      <c r="O4898" s="405" t="s">
        <v>9530</v>
      </c>
      <c r="P4898" s="405" t="s">
        <v>9951</v>
      </c>
      <c r="Q4898" s="411">
        <v>6</v>
      </c>
      <c r="R4898" s="405" t="s">
        <v>7224</v>
      </c>
      <c r="S4898" s="405" t="s">
        <v>27298</v>
      </c>
      <c r="T4898" s="405" t="s">
        <v>32102</v>
      </c>
      <c r="U4898" s="405" t="s">
        <v>319</v>
      </c>
    </row>
    <row r="4899" spans="1:21" x14ac:dyDescent="0.25">
      <c r="A4899" s="405" t="s">
        <v>310</v>
      </c>
      <c r="B4899" s="405" t="s">
        <v>13678</v>
      </c>
      <c r="C4899" s="405" t="s">
        <v>327</v>
      </c>
      <c r="D4899" s="405"/>
      <c r="E4899" s="410">
        <v>41786</v>
      </c>
      <c r="F4899" s="410">
        <v>41831</v>
      </c>
      <c r="G4899" s="405" t="s">
        <v>13679</v>
      </c>
      <c r="H4899" s="405">
        <v>778097189</v>
      </c>
      <c r="I4899" s="405"/>
      <c r="J4899" s="405">
        <v>1.1161080000000001</v>
      </c>
      <c r="K4899" s="405">
        <v>34.194271999999998</v>
      </c>
      <c r="L4899" s="405" t="s">
        <v>6866</v>
      </c>
      <c r="M4899" s="405" t="s">
        <v>9514</v>
      </c>
      <c r="N4899" s="405" t="s">
        <v>9529</v>
      </c>
      <c r="O4899" s="405" t="s">
        <v>9530</v>
      </c>
      <c r="P4899" s="405" t="s">
        <v>11792</v>
      </c>
      <c r="Q4899" s="411">
        <v>6</v>
      </c>
      <c r="R4899" s="405" t="s">
        <v>333</v>
      </c>
      <c r="S4899" s="405" t="s">
        <v>27182</v>
      </c>
      <c r="T4899" s="405" t="s">
        <v>884</v>
      </c>
      <c r="U4899" s="405" t="s">
        <v>319</v>
      </c>
    </row>
    <row r="4900" spans="1:21" x14ac:dyDescent="0.25">
      <c r="A4900" s="405" t="s">
        <v>310</v>
      </c>
      <c r="B4900" s="405" t="s">
        <v>13680</v>
      </c>
      <c r="C4900" s="405" t="s">
        <v>327</v>
      </c>
      <c r="D4900" s="405"/>
      <c r="E4900" s="410">
        <v>41786</v>
      </c>
      <c r="F4900" s="410">
        <v>41831</v>
      </c>
      <c r="G4900" s="405" t="s">
        <v>13681</v>
      </c>
      <c r="H4900" s="405">
        <v>758955774</v>
      </c>
      <c r="I4900" s="405"/>
      <c r="J4900" s="405">
        <v>1.1519950000000001</v>
      </c>
      <c r="K4900" s="405">
        <v>34.210811999999997</v>
      </c>
      <c r="L4900" s="405" t="s">
        <v>6866</v>
      </c>
      <c r="M4900" s="405" t="s">
        <v>9514</v>
      </c>
      <c r="N4900" s="405" t="s">
        <v>9529</v>
      </c>
      <c r="O4900" s="405" t="s">
        <v>9530</v>
      </c>
      <c r="P4900" s="405" t="s">
        <v>13682</v>
      </c>
      <c r="Q4900" s="411">
        <v>6</v>
      </c>
      <c r="R4900" s="405" t="s">
        <v>7224</v>
      </c>
      <c r="S4900" s="405" t="s">
        <v>27294</v>
      </c>
      <c r="T4900" s="405" t="s">
        <v>32102</v>
      </c>
      <c r="U4900" s="405" t="s">
        <v>319</v>
      </c>
    </row>
    <row r="4901" spans="1:21" x14ac:dyDescent="0.25">
      <c r="A4901" s="405" t="s">
        <v>310</v>
      </c>
      <c r="B4901" s="405" t="s">
        <v>28878</v>
      </c>
      <c r="C4901" s="405" t="s">
        <v>327</v>
      </c>
      <c r="D4901" s="405"/>
      <c r="E4901" s="410">
        <v>41785</v>
      </c>
      <c r="F4901" s="410">
        <v>41830</v>
      </c>
      <c r="G4901" s="405" t="s">
        <v>21687</v>
      </c>
      <c r="H4901" s="405">
        <v>702353422</v>
      </c>
      <c r="I4901" s="405"/>
      <c r="J4901" s="405">
        <v>-0.65963499999999997</v>
      </c>
      <c r="K4901" s="405">
        <v>30.695363</v>
      </c>
      <c r="L4901" s="405" t="s">
        <v>590</v>
      </c>
      <c r="M4901" s="405" t="s">
        <v>879</v>
      </c>
      <c r="N4901" s="405" t="s">
        <v>879</v>
      </c>
      <c r="O4901" s="405" t="s">
        <v>881</v>
      </c>
      <c r="P4901" s="405" t="s">
        <v>21600</v>
      </c>
      <c r="Q4901" s="411">
        <v>9</v>
      </c>
      <c r="R4901" s="405" t="s">
        <v>333</v>
      </c>
      <c r="S4901" s="405" t="s">
        <v>27051</v>
      </c>
      <c r="T4901" s="405" t="s">
        <v>32102</v>
      </c>
      <c r="U4901" s="405" t="s">
        <v>319</v>
      </c>
    </row>
    <row r="4902" spans="1:21" x14ac:dyDescent="0.25">
      <c r="A4902" s="405" t="s">
        <v>310</v>
      </c>
      <c r="B4902" s="405" t="s">
        <v>13557</v>
      </c>
      <c r="C4902" s="405" t="s">
        <v>327</v>
      </c>
      <c r="D4902" s="405"/>
      <c r="E4902" s="410">
        <v>41785</v>
      </c>
      <c r="F4902" s="410">
        <v>41830</v>
      </c>
      <c r="G4902" s="405" t="s">
        <v>13558</v>
      </c>
      <c r="H4902" s="405">
        <v>706277481</v>
      </c>
      <c r="I4902" s="405"/>
      <c r="J4902" s="405">
        <v>1.092203</v>
      </c>
      <c r="K4902" s="405">
        <v>34.191068000000001</v>
      </c>
      <c r="L4902" s="405" t="s">
        <v>6866</v>
      </c>
      <c r="M4902" s="405" t="s">
        <v>9514</v>
      </c>
      <c r="N4902" s="405" t="s">
        <v>9530</v>
      </c>
      <c r="O4902" s="405" t="s">
        <v>9530</v>
      </c>
      <c r="P4902" s="405" t="s">
        <v>9563</v>
      </c>
      <c r="Q4902" s="411">
        <v>6</v>
      </c>
      <c r="R4902" s="405" t="s">
        <v>7224</v>
      </c>
      <c r="S4902" s="405" t="s">
        <v>17013</v>
      </c>
      <c r="T4902" s="405" t="s">
        <v>32102</v>
      </c>
      <c r="U4902" s="405" t="s">
        <v>319</v>
      </c>
    </row>
    <row r="4903" spans="1:21" x14ac:dyDescent="0.25">
      <c r="A4903" s="405" t="s">
        <v>310</v>
      </c>
      <c r="B4903" s="405" t="s">
        <v>27800</v>
      </c>
      <c r="C4903" s="405" t="s">
        <v>327</v>
      </c>
      <c r="D4903" s="405"/>
      <c r="E4903" s="410">
        <v>41785</v>
      </c>
      <c r="F4903" s="410">
        <v>41830</v>
      </c>
      <c r="G4903" s="405" t="s">
        <v>13686</v>
      </c>
      <c r="H4903" s="405">
        <v>782546235</v>
      </c>
      <c r="I4903" s="405"/>
      <c r="J4903" s="405">
        <v>1.1471229999999999</v>
      </c>
      <c r="K4903" s="405">
        <v>34.215072999999997</v>
      </c>
      <c r="L4903" s="405" t="s">
        <v>6866</v>
      </c>
      <c r="M4903" s="405" t="s">
        <v>9514</v>
      </c>
      <c r="N4903" s="405" t="s">
        <v>9529</v>
      </c>
      <c r="O4903" s="405" t="s">
        <v>9530</v>
      </c>
      <c r="P4903" s="405" t="s">
        <v>13687</v>
      </c>
      <c r="Q4903" s="411">
        <v>6</v>
      </c>
      <c r="R4903" s="405" t="s">
        <v>7224</v>
      </c>
      <c r="S4903" s="405" t="s">
        <v>27204</v>
      </c>
      <c r="T4903" s="405" t="s">
        <v>32102</v>
      </c>
      <c r="U4903" s="405" t="s">
        <v>319</v>
      </c>
    </row>
    <row r="4904" spans="1:21" x14ac:dyDescent="0.25">
      <c r="A4904" s="405" t="s">
        <v>310</v>
      </c>
      <c r="B4904" s="405" t="s">
        <v>13569</v>
      </c>
      <c r="C4904" s="405" t="s">
        <v>327</v>
      </c>
      <c r="D4904" s="405"/>
      <c r="E4904" s="410">
        <v>41785</v>
      </c>
      <c r="F4904" s="410">
        <v>41830</v>
      </c>
      <c r="G4904" s="405" t="s">
        <v>13570</v>
      </c>
      <c r="H4904" s="405">
        <v>78710726</v>
      </c>
      <c r="I4904" s="405"/>
      <c r="J4904" s="405">
        <v>1.092327</v>
      </c>
      <c r="K4904" s="405">
        <v>34.191322</v>
      </c>
      <c r="L4904" s="405" t="s">
        <v>6866</v>
      </c>
      <c r="M4904" s="405" t="s">
        <v>9514</v>
      </c>
      <c r="N4904" s="405" t="s">
        <v>9530</v>
      </c>
      <c r="O4904" s="405" t="s">
        <v>9530</v>
      </c>
      <c r="P4904" s="405" t="s">
        <v>9563</v>
      </c>
      <c r="Q4904" s="411">
        <v>6</v>
      </c>
      <c r="R4904" s="405" t="s">
        <v>7224</v>
      </c>
      <c r="S4904" s="405" t="s">
        <v>27306</v>
      </c>
      <c r="T4904" s="405" t="s">
        <v>32102</v>
      </c>
      <c r="U4904" s="405" t="s">
        <v>319</v>
      </c>
    </row>
    <row r="4905" spans="1:21" x14ac:dyDescent="0.25">
      <c r="A4905" s="405" t="s">
        <v>310</v>
      </c>
      <c r="B4905" s="405" t="s">
        <v>13637</v>
      </c>
      <c r="C4905" s="405" t="s">
        <v>327</v>
      </c>
      <c r="D4905" s="405"/>
      <c r="E4905" s="410">
        <v>41785</v>
      </c>
      <c r="F4905" s="410">
        <v>41830</v>
      </c>
      <c r="G4905" s="405" t="s">
        <v>13638</v>
      </c>
      <c r="H4905" s="405">
        <v>785649556</v>
      </c>
      <c r="I4905" s="405"/>
      <c r="J4905" s="405">
        <v>1.1158699999999999</v>
      </c>
      <c r="K4905" s="405">
        <v>34.201852000000002</v>
      </c>
      <c r="L4905" s="405" t="s">
        <v>6866</v>
      </c>
      <c r="M4905" s="405" t="s">
        <v>9514</v>
      </c>
      <c r="N4905" s="405" t="s">
        <v>9529</v>
      </c>
      <c r="O4905" s="405" t="s">
        <v>9530</v>
      </c>
      <c r="P4905" s="405" t="s">
        <v>10660</v>
      </c>
      <c r="Q4905" s="411">
        <v>6</v>
      </c>
      <c r="R4905" s="405" t="s">
        <v>7224</v>
      </c>
      <c r="S4905" s="405" t="s">
        <v>27316</v>
      </c>
      <c r="T4905" s="405" t="s">
        <v>32102</v>
      </c>
      <c r="U4905" s="405" t="s">
        <v>319</v>
      </c>
    </row>
    <row r="4906" spans="1:21" x14ac:dyDescent="0.25">
      <c r="A4906" s="405" t="s">
        <v>310</v>
      </c>
      <c r="B4906" s="405" t="s">
        <v>28559</v>
      </c>
      <c r="C4906" s="405" t="s">
        <v>327</v>
      </c>
      <c r="D4906" s="405"/>
      <c r="E4906" s="410">
        <v>41785</v>
      </c>
      <c r="F4906" s="410">
        <v>41830</v>
      </c>
      <c r="G4906" s="405" t="s">
        <v>13605</v>
      </c>
      <c r="H4906" s="405">
        <v>758843391</v>
      </c>
      <c r="I4906" s="405"/>
      <c r="J4906" s="405">
        <v>1.1124229999999999</v>
      </c>
      <c r="K4906" s="405">
        <v>34.215668000000001</v>
      </c>
      <c r="L4906" s="405" t="s">
        <v>6866</v>
      </c>
      <c r="M4906" s="405" t="s">
        <v>9514</v>
      </c>
      <c r="N4906" s="405" t="s">
        <v>9529</v>
      </c>
      <c r="O4906" s="405" t="s">
        <v>9530</v>
      </c>
      <c r="P4906" s="405" t="s">
        <v>13606</v>
      </c>
      <c r="Q4906" s="411">
        <v>6</v>
      </c>
      <c r="R4906" s="405" t="s">
        <v>7224</v>
      </c>
      <c r="S4906" s="405" t="s">
        <v>27074</v>
      </c>
      <c r="T4906" s="405" t="s">
        <v>865</v>
      </c>
      <c r="U4906" s="405" t="s">
        <v>866</v>
      </c>
    </row>
    <row r="4907" spans="1:21" x14ac:dyDescent="0.25">
      <c r="A4907" s="405" t="s">
        <v>310</v>
      </c>
      <c r="B4907" s="405" t="s">
        <v>28547</v>
      </c>
      <c r="C4907" s="405" t="s">
        <v>327</v>
      </c>
      <c r="D4907" s="405"/>
      <c r="E4907" s="410">
        <v>41784</v>
      </c>
      <c r="F4907" s="410">
        <v>41829</v>
      </c>
      <c r="G4907" s="405" t="s">
        <v>13607</v>
      </c>
      <c r="H4907" s="405">
        <v>783375051</v>
      </c>
      <c r="I4907" s="405"/>
      <c r="J4907" s="405">
        <v>1.1325449999999999</v>
      </c>
      <c r="K4907" s="405">
        <v>34.225313</v>
      </c>
      <c r="L4907" s="405" t="s">
        <v>6866</v>
      </c>
      <c r="M4907" s="405" t="s">
        <v>9514</v>
      </c>
      <c r="N4907" s="405" t="s">
        <v>9529</v>
      </c>
      <c r="O4907" s="405" t="s">
        <v>9530</v>
      </c>
      <c r="P4907" s="405" t="s">
        <v>13608</v>
      </c>
      <c r="Q4907" s="411">
        <v>6</v>
      </c>
      <c r="R4907" s="405" t="s">
        <v>5655</v>
      </c>
      <c r="S4907" s="405" t="s">
        <v>27346</v>
      </c>
      <c r="T4907" s="405" t="s">
        <v>32102</v>
      </c>
      <c r="U4907" s="405" t="s">
        <v>319</v>
      </c>
    </row>
    <row r="4908" spans="1:21" x14ac:dyDescent="0.25">
      <c r="A4908" s="405" t="s">
        <v>310</v>
      </c>
      <c r="B4908" s="405" t="s">
        <v>28239</v>
      </c>
      <c r="C4908" s="405" t="s">
        <v>327</v>
      </c>
      <c r="D4908" s="405"/>
      <c r="E4908" s="410">
        <v>41783</v>
      </c>
      <c r="F4908" s="410">
        <v>41828</v>
      </c>
      <c r="G4908" s="405" t="s">
        <v>13623</v>
      </c>
      <c r="H4908" s="405">
        <v>775252766</v>
      </c>
      <c r="I4908" s="405"/>
      <c r="J4908" s="405">
        <v>1.1034649999999999</v>
      </c>
      <c r="K4908" s="405">
        <v>34.204419999999999</v>
      </c>
      <c r="L4908" s="405" t="s">
        <v>6866</v>
      </c>
      <c r="M4908" s="405" t="s">
        <v>9514</v>
      </c>
      <c r="N4908" s="405" t="s">
        <v>9529</v>
      </c>
      <c r="O4908" s="405" t="s">
        <v>9530</v>
      </c>
      <c r="P4908" s="405" t="s">
        <v>13624</v>
      </c>
      <c r="Q4908" s="411">
        <v>6</v>
      </c>
      <c r="R4908" s="405" t="s">
        <v>5655</v>
      </c>
      <c r="S4908" s="405" t="s">
        <v>27294</v>
      </c>
      <c r="T4908" s="405" t="s">
        <v>32102</v>
      </c>
      <c r="U4908" s="405" t="s">
        <v>319</v>
      </c>
    </row>
    <row r="4909" spans="1:21" x14ac:dyDescent="0.25">
      <c r="A4909" s="405" t="s">
        <v>310</v>
      </c>
      <c r="B4909" s="405" t="s">
        <v>13652</v>
      </c>
      <c r="C4909" s="405" t="s">
        <v>327</v>
      </c>
      <c r="D4909" s="405"/>
      <c r="E4909" s="410">
        <v>41783</v>
      </c>
      <c r="F4909" s="410">
        <v>41828</v>
      </c>
      <c r="G4909" s="405" t="s">
        <v>13653</v>
      </c>
      <c r="H4909" s="405">
        <v>771895064</v>
      </c>
      <c r="I4909" s="405"/>
      <c r="J4909" s="405">
        <v>1.160393</v>
      </c>
      <c r="K4909" s="405">
        <v>34.200620000000001</v>
      </c>
      <c r="L4909" s="405" t="s">
        <v>6866</v>
      </c>
      <c r="M4909" s="405" t="s">
        <v>9514</v>
      </c>
      <c r="N4909" s="405" t="s">
        <v>9529</v>
      </c>
      <c r="O4909" s="405" t="s">
        <v>9530</v>
      </c>
      <c r="P4909" s="405" t="s">
        <v>9895</v>
      </c>
      <c r="Q4909" s="411">
        <v>6</v>
      </c>
      <c r="R4909" s="405" t="s">
        <v>5655</v>
      </c>
      <c r="S4909" s="405" t="s">
        <v>27107</v>
      </c>
      <c r="T4909" s="405" t="s">
        <v>32102</v>
      </c>
      <c r="U4909" s="405" t="s">
        <v>319</v>
      </c>
    </row>
    <row r="4910" spans="1:21" x14ac:dyDescent="0.25">
      <c r="A4910" s="405" t="s">
        <v>310</v>
      </c>
      <c r="B4910" s="405" t="s">
        <v>27793</v>
      </c>
      <c r="C4910" s="405" t="s">
        <v>327</v>
      </c>
      <c r="D4910" s="405"/>
      <c r="E4910" s="410">
        <v>41782</v>
      </c>
      <c r="F4910" s="410">
        <v>41827</v>
      </c>
      <c r="G4910" s="405" t="s">
        <v>13610</v>
      </c>
      <c r="H4910" s="405">
        <v>779467720</v>
      </c>
      <c r="I4910" s="405"/>
      <c r="J4910" s="405">
        <v>1.128695</v>
      </c>
      <c r="K4910" s="405">
        <v>34.226512</v>
      </c>
      <c r="L4910" s="405" t="s">
        <v>6866</v>
      </c>
      <c r="M4910" s="405" t="s">
        <v>9514</v>
      </c>
      <c r="N4910" s="405" t="s">
        <v>9529</v>
      </c>
      <c r="O4910" s="405" t="s">
        <v>9530</v>
      </c>
      <c r="P4910" s="405" t="s">
        <v>13611</v>
      </c>
      <c r="Q4910" s="411">
        <v>6</v>
      </c>
      <c r="R4910" s="405" t="s">
        <v>5655</v>
      </c>
      <c r="S4910" s="405" t="s">
        <v>27056</v>
      </c>
      <c r="T4910" s="405" t="s">
        <v>32102</v>
      </c>
      <c r="U4910" s="405" t="s">
        <v>319</v>
      </c>
    </row>
    <row r="4911" spans="1:21" x14ac:dyDescent="0.25">
      <c r="A4911" s="405" t="s">
        <v>310</v>
      </c>
      <c r="B4911" s="405" t="s">
        <v>28092</v>
      </c>
      <c r="C4911" s="405" t="s">
        <v>311</v>
      </c>
      <c r="D4911" s="405" t="s">
        <v>932</v>
      </c>
      <c r="E4911" s="410">
        <v>41782</v>
      </c>
      <c r="F4911" s="410">
        <v>41827</v>
      </c>
      <c r="G4911" s="405" t="s">
        <v>13962</v>
      </c>
      <c r="H4911" s="405">
        <v>788003162</v>
      </c>
      <c r="I4911" s="405">
        <v>788003162</v>
      </c>
      <c r="J4911" s="405">
        <v>1.130295</v>
      </c>
      <c r="K4911" s="405">
        <v>34.224299999999999</v>
      </c>
      <c r="L4911" s="405" t="s">
        <v>6866</v>
      </c>
      <c r="M4911" s="405" t="s">
        <v>9514</v>
      </c>
      <c r="N4911" s="405" t="s">
        <v>9529</v>
      </c>
      <c r="O4911" s="405" t="s">
        <v>9530</v>
      </c>
      <c r="P4911" s="405" t="s">
        <v>13611</v>
      </c>
      <c r="Q4911" s="411">
        <v>6</v>
      </c>
      <c r="R4911" s="405" t="s">
        <v>5655</v>
      </c>
      <c r="S4911" s="405" t="s">
        <v>27337</v>
      </c>
      <c r="T4911" s="405" t="s">
        <v>32102</v>
      </c>
      <c r="U4911" s="405" t="s">
        <v>319</v>
      </c>
    </row>
    <row r="4912" spans="1:21" x14ac:dyDescent="0.25">
      <c r="A4912" s="405" t="s">
        <v>310</v>
      </c>
      <c r="B4912" s="405" t="s">
        <v>13646</v>
      </c>
      <c r="C4912" s="405" t="s">
        <v>327</v>
      </c>
      <c r="D4912" s="405"/>
      <c r="E4912" s="410">
        <v>41782</v>
      </c>
      <c r="F4912" s="410">
        <v>41827</v>
      </c>
      <c r="G4912" s="405" t="s">
        <v>13647</v>
      </c>
      <c r="H4912" s="405">
        <v>752956423</v>
      </c>
      <c r="I4912" s="405"/>
      <c r="J4912" s="405">
        <v>1.1599349999999999</v>
      </c>
      <c r="K4912" s="405">
        <v>34.200505</v>
      </c>
      <c r="L4912" s="405" t="s">
        <v>6866</v>
      </c>
      <c r="M4912" s="405" t="s">
        <v>9514</v>
      </c>
      <c r="N4912" s="405" t="s">
        <v>9529</v>
      </c>
      <c r="O4912" s="405" t="s">
        <v>9530</v>
      </c>
      <c r="P4912" s="405" t="s">
        <v>9895</v>
      </c>
      <c r="Q4912" s="411">
        <v>6</v>
      </c>
      <c r="R4912" s="405" t="s">
        <v>5655</v>
      </c>
      <c r="S4912" s="405" t="s">
        <v>27190</v>
      </c>
      <c r="T4912" s="405" t="s">
        <v>32102</v>
      </c>
      <c r="U4912" s="405" t="s">
        <v>319</v>
      </c>
    </row>
    <row r="4913" spans="1:21" x14ac:dyDescent="0.25">
      <c r="A4913" s="405" t="s">
        <v>310</v>
      </c>
      <c r="B4913" s="405" t="s">
        <v>28627</v>
      </c>
      <c r="C4913" s="405" t="s">
        <v>327</v>
      </c>
      <c r="D4913" s="405"/>
      <c r="E4913" s="410">
        <v>41782</v>
      </c>
      <c r="F4913" s="410">
        <v>41827</v>
      </c>
      <c r="G4913" s="405" t="s">
        <v>13612</v>
      </c>
      <c r="H4913" s="405">
        <v>783753475</v>
      </c>
      <c r="I4913" s="405"/>
      <c r="J4913" s="405">
        <v>1.1296569999999999</v>
      </c>
      <c r="K4913" s="405">
        <v>34.222805000000001</v>
      </c>
      <c r="L4913" s="405" t="s">
        <v>6866</v>
      </c>
      <c r="M4913" s="405" t="s">
        <v>9514</v>
      </c>
      <c r="N4913" s="405" t="s">
        <v>9529</v>
      </c>
      <c r="O4913" s="405" t="s">
        <v>9530</v>
      </c>
      <c r="P4913" s="405" t="s">
        <v>13611</v>
      </c>
      <c r="Q4913" s="411">
        <v>6</v>
      </c>
      <c r="R4913" s="405" t="s">
        <v>5655</v>
      </c>
      <c r="S4913" s="405" t="s">
        <v>27335</v>
      </c>
      <c r="T4913" s="405" t="s">
        <v>32102</v>
      </c>
      <c r="U4913" s="405" t="s">
        <v>319</v>
      </c>
    </row>
    <row r="4914" spans="1:21" x14ac:dyDescent="0.25">
      <c r="A4914" s="405" t="s">
        <v>310</v>
      </c>
      <c r="B4914" s="405" t="s">
        <v>27733</v>
      </c>
      <c r="C4914" s="405" t="s">
        <v>327</v>
      </c>
      <c r="D4914" s="405"/>
      <c r="E4914" s="410">
        <v>41781</v>
      </c>
      <c r="F4914" s="410">
        <v>41826</v>
      </c>
      <c r="G4914" s="405" t="s">
        <v>21684</v>
      </c>
      <c r="H4914" s="405">
        <v>772774876</v>
      </c>
      <c r="I4914" s="405"/>
      <c r="J4914" s="405">
        <v>-0.64362399999999997</v>
      </c>
      <c r="K4914" s="405">
        <v>30.336538999999998</v>
      </c>
      <c r="L4914" s="405" t="s">
        <v>590</v>
      </c>
      <c r="M4914" s="405" t="s">
        <v>19725</v>
      </c>
      <c r="N4914" s="405" t="s">
        <v>19725</v>
      </c>
      <c r="O4914" s="405" t="s">
        <v>21685</v>
      </c>
      <c r="P4914" s="405" t="s">
        <v>21686</v>
      </c>
      <c r="Q4914" s="411">
        <v>13</v>
      </c>
      <c r="R4914" s="405" t="s">
        <v>333</v>
      </c>
      <c r="S4914" s="405" t="s">
        <v>27140</v>
      </c>
      <c r="T4914" s="405" t="s">
        <v>32102</v>
      </c>
      <c r="U4914" s="405" t="s">
        <v>319</v>
      </c>
    </row>
    <row r="4915" spans="1:21" x14ac:dyDescent="0.25">
      <c r="A4915" s="405" t="s">
        <v>310</v>
      </c>
      <c r="B4915" s="405" t="s">
        <v>28405</v>
      </c>
      <c r="C4915" s="405" t="s">
        <v>327</v>
      </c>
      <c r="D4915" s="405"/>
      <c r="E4915" s="410">
        <v>41781</v>
      </c>
      <c r="F4915" s="410">
        <v>41826</v>
      </c>
      <c r="G4915" s="405" t="s">
        <v>21726</v>
      </c>
      <c r="H4915" s="405">
        <v>786899348</v>
      </c>
      <c r="I4915" s="405"/>
      <c r="J4915" s="405">
        <v>0.62837799999999999</v>
      </c>
      <c r="K4915" s="405">
        <v>30.626987</v>
      </c>
      <c r="L4915" s="405" t="s">
        <v>590</v>
      </c>
      <c r="M4915" s="405" t="s">
        <v>20426</v>
      </c>
      <c r="N4915" s="405" t="s">
        <v>21033</v>
      </c>
      <c r="O4915" s="405" t="s">
        <v>20605</v>
      </c>
      <c r="P4915" s="405" t="s">
        <v>21727</v>
      </c>
      <c r="Q4915" s="411">
        <v>9</v>
      </c>
      <c r="R4915" s="405" t="s">
        <v>333</v>
      </c>
      <c r="S4915" s="405" t="s">
        <v>27183</v>
      </c>
      <c r="T4915" s="405" t="s">
        <v>32102</v>
      </c>
      <c r="U4915" s="405" t="s">
        <v>319</v>
      </c>
    </row>
    <row r="4916" spans="1:21" x14ac:dyDescent="0.25">
      <c r="A4916" s="405" t="s">
        <v>310</v>
      </c>
      <c r="B4916" s="405" t="s">
        <v>27947</v>
      </c>
      <c r="C4916" s="405" t="s">
        <v>327</v>
      </c>
      <c r="D4916" s="405"/>
      <c r="E4916" s="410">
        <v>41781</v>
      </c>
      <c r="F4916" s="410">
        <v>41826</v>
      </c>
      <c r="G4916" s="405" t="s">
        <v>21724</v>
      </c>
      <c r="H4916" s="405">
        <v>706670478</v>
      </c>
      <c r="I4916" s="405">
        <v>700235932</v>
      </c>
      <c r="J4916" s="405">
        <v>-0.55746600000000002</v>
      </c>
      <c r="K4916" s="405">
        <v>30.900855</v>
      </c>
      <c r="L4916" s="405" t="s">
        <v>590</v>
      </c>
      <c r="M4916" s="405" t="s">
        <v>19705</v>
      </c>
      <c r="N4916" s="405" t="s">
        <v>19706</v>
      </c>
      <c r="O4916" s="405" t="s">
        <v>4156</v>
      </c>
      <c r="P4916" s="405" t="s">
        <v>21725</v>
      </c>
      <c r="Q4916" s="411">
        <v>9</v>
      </c>
      <c r="R4916" s="405" t="s">
        <v>333</v>
      </c>
      <c r="S4916" s="405" t="s">
        <v>27036</v>
      </c>
      <c r="T4916" s="405" t="s">
        <v>32102</v>
      </c>
      <c r="U4916" s="405" t="s">
        <v>319</v>
      </c>
    </row>
    <row r="4917" spans="1:21" x14ac:dyDescent="0.25">
      <c r="A4917" s="405" t="s">
        <v>310</v>
      </c>
      <c r="B4917" s="405" t="s">
        <v>13564</v>
      </c>
      <c r="C4917" s="405" t="s">
        <v>327</v>
      </c>
      <c r="D4917" s="405"/>
      <c r="E4917" s="410">
        <v>41781</v>
      </c>
      <c r="F4917" s="410">
        <v>41826</v>
      </c>
      <c r="G4917" s="405" t="s">
        <v>13565</v>
      </c>
      <c r="H4917" s="405">
        <v>752297695</v>
      </c>
      <c r="I4917" s="405"/>
      <c r="J4917" s="405">
        <v>1.094347</v>
      </c>
      <c r="K4917" s="405">
        <v>34.190928</v>
      </c>
      <c r="L4917" s="405" t="s">
        <v>6866</v>
      </c>
      <c r="M4917" s="405" t="s">
        <v>9514</v>
      </c>
      <c r="N4917" s="405" t="s">
        <v>9530</v>
      </c>
      <c r="O4917" s="405" t="s">
        <v>9530</v>
      </c>
      <c r="P4917" s="405" t="s">
        <v>9563</v>
      </c>
      <c r="Q4917" s="411">
        <v>6</v>
      </c>
      <c r="R4917" s="405" t="s">
        <v>7224</v>
      </c>
      <c r="S4917" s="405" t="s">
        <v>27310</v>
      </c>
      <c r="T4917" s="405" t="s">
        <v>32102</v>
      </c>
      <c r="U4917" s="405" t="s">
        <v>319</v>
      </c>
    </row>
    <row r="4918" spans="1:21" x14ac:dyDescent="0.25">
      <c r="A4918" s="405" t="s">
        <v>310</v>
      </c>
      <c r="B4918" s="405" t="s">
        <v>28862</v>
      </c>
      <c r="C4918" s="405" t="s">
        <v>327</v>
      </c>
      <c r="D4918" s="405"/>
      <c r="E4918" s="410">
        <v>41780</v>
      </c>
      <c r="F4918" s="410">
        <v>41825</v>
      </c>
      <c r="G4918" s="405" t="s">
        <v>21688</v>
      </c>
      <c r="H4918" s="405">
        <v>702032591</v>
      </c>
      <c r="I4918" s="405"/>
      <c r="J4918" s="405">
        <v>-0.65944199999999997</v>
      </c>
      <c r="K4918" s="405">
        <v>30.694061999999999</v>
      </c>
      <c r="L4918" s="405" t="s">
        <v>590</v>
      </c>
      <c r="M4918" s="405" t="s">
        <v>879</v>
      </c>
      <c r="N4918" s="405" t="s">
        <v>879</v>
      </c>
      <c r="O4918" s="405" t="s">
        <v>881</v>
      </c>
      <c r="P4918" s="405" t="s">
        <v>21281</v>
      </c>
      <c r="Q4918" s="411">
        <v>9</v>
      </c>
      <c r="R4918" s="405" t="s">
        <v>333</v>
      </c>
      <c r="S4918" s="405" t="s">
        <v>27051</v>
      </c>
      <c r="T4918" s="405" t="s">
        <v>32102</v>
      </c>
      <c r="U4918" s="405" t="s">
        <v>319</v>
      </c>
    </row>
    <row r="4919" spans="1:21" x14ac:dyDescent="0.25">
      <c r="A4919" s="405" t="s">
        <v>310</v>
      </c>
      <c r="B4919" s="405" t="s">
        <v>13661</v>
      </c>
      <c r="C4919" s="405" t="s">
        <v>327</v>
      </c>
      <c r="D4919" s="405"/>
      <c r="E4919" s="410">
        <v>41780</v>
      </c>
      <c r="F4919" s="410">
        <v>41825</v>
      </c>
      <c r="G4919" s="405" t="s">
        <v>13662</v>
      </c>
      <c r="H4919" s="405">
        <v>773222116</v>
      </c>
      <c r="I4919" s="405"/>
      <c r="J4919" s="405">
        <v>1.127615</v>
      </c>
      <c r="K4919" s="405">
        <v>34.220353000000003</v>
      </c>
      <c r="L4919" s="405" t="s">
        <v>6866</v>
      </c>
      <c r="M4919" s="405" t="s">
        <v>9514</v>
      </c>
      <c r="N4919" s="405" t="s">
        <v>9722</v>
      </c>
      <c r="O4919" s="405" t="s">
        <v>9530</v>
      </c>
      <c r="P4919" s="405" t="s">
        <v>13663</v>
      </c>
      <c r="Q4919" s="411">
        <v>6</v>
      </c>
      <c r="R4919" s="405" t="s">
        <v>7224</v>
      </c>
      <c r="S4919" s="405" t="s">
        <v>27142</v>
      </c>
      <c r="T4919" s="405" t="s">
        <v>32102</v>
      </c>
      <c r="U4919" s="405" t="s">
        <v>319</v>
      </c>
    </row>
    <row r="4920" spans="1:21" x14ac:dyDescent="0.25">
      <c r="A4920" s="405" t="s">
        <v>310</v>
      </c>
      <c r="B4920" s="405" t="s">
        <v>13654</v>
      </c>
      <c r="C4920" s="405" t="s">
        <v>327</v>
      </c>
      <c r="D4920" s="405"/>
      <c r="E4920" s="410">
        <v>41780</v>
      </c>
      <c r="F4920" s="410">
        <v>41825</v>
      </c>
      <c r="G4920" s="405" t="s">
        <v>13655</v>
      </c>
      <c r="H4920" s="405">
        <v>702424453</v>
      </c>
      <c r="I4920" s="405"/>
      <c r="J4920" s="405">
        <v>1.16083</v>
      </c>
      <c r="K4920" s="405">
        <v>34.201230000000002</v>
      </c>
      <c r="L4920" s="405" t="s">
        <v>6866</v>
      </c>
      <c r="M4920" s="405" t="s">
        <v>9514</v>
      </c>
      <c r="N4920" s="405" t="s">
        <v>9529</v>
      </c>
      <c r="O4920" s="405" t="s">
        <v>9530</v>
      </c>
      <c r="P4920" s="405" t="s">
        <v>9895</v>
      </c>
      <c r="Q4920" s="411">
        <v>6</v>
      </c>
      <c r="R4920" s="405" t="s">
        <v>5655</v>
      </c>
      <c r="S4920" s="405" t="s">
        <v>27107</v>
      </c>
      <c r="T4920" s="405" t="s">
        <v>32102</v>
      </c>
      <c r="U4920" s="405" t="s">
        <v>319</v>
      </c>
    </row>
    <row r="4921" spans="1:21" x14ac:dyDescent="0.25">
      <c r="A4921" s="405" t="s">
        <v>310</v>
      </c>
      <c r="B4921" s="405" t="s">
        <v>13706</v>
      </c>
      <c r="C4921" s="405" t="s">
        <v>327</v>
      </c>
      <c r="D4921" s="405"/>
      <c r="E4921" s="410">
        <v>41779</v>
      </c>
      <c r="F4921" s="410">
        <v>41824</v>
      </c>
      <c r="G4921" s="405" t="s">
        <v>13707</v>
      </c>
      <c r="H4921" s="405">
        <v>783196393</v>
      </c>
      <c r="I4921" s="405">
        <v>783169363</v>
      </c>
      <c r="J4921" s="405">
        <v>0.99271399999999999</v>
      </c>
      <c r="K4921" s="405">
        <v>34.330145999999999</v>
      </c>
      <c r="L4921" s="405" t="s">
        <v>6866</v>
      </c>
      <c r="M4921" s="405" t="s">
        <v>9763</v>
      </c>
      <c r="N4921" s="405" t="s">
        <v>9764</v>
      </c>
      <c r="O4921" s="405" t="s">
        <v>13708</v>
      </c>
      <c r="P4921" s="405" t="s">
        <v>13709</v>
      </c>
      <c r="Q4921" s="411">
        <v>6</v>
      </c>
      <c r="R4921" s="405" t="s">
        <v>7224</v>
      </c>
      <c r="S4921" s="405" t="s">
        <v>27107</v>
      </c>
      <c r="T4921" s="405" t="s">
        <v>884</v>
      </c>
      <c r="U4921" s="405" t="s">
        <v>319</v>
      </c>
    </row>
    <row r="4922" spans="1:21" x14ac:dyDescent="0.25">
      <c r="A4922" s="405" t="s">
        <v>310</v>
      </c>
      <c r="B4922" s="405" t="s">
        <v>28173</v>
      </c>
      <c r="C4922" s="405" t="s">
        <v>327</v>
      </c>
      <c r="D4922" s="405"/>
      <c r="E4922" s="410">
        <v>41779</v>
      </c>
      <c r="F4922" s="410">
        <v>41824</v>
      </c>
      <c r="G4922" s="405" t="s">
        <v>13604</v>
      </c>
      <c r="H4922" s="405">
        <v>753703349</v>
      </c>
      <c r="I4922" s="405"/>
      <c r="J4922" s="405">
        <v>1.112225</v>
      </c>
      <c r="K4922" s="405">
        <v>34.215733</v>
      </c>
      <c r="L4922" s="405" t="s">
        <v>6866</v>
      </c>
      <c r="M4922" s="405" t="s">
        <v>9514</v>
      </c>
      <c r="N4922" s="405" t="s">
        <v>9529</v>
      </c>
      <c r="O4922" s="405" t="s">
        <v>9530</v>
      </c>
      <c r="P4922" s="405" t="s">
        <v>10607</v>
      </c>
      <c r="Q4922" s="411">
        <v>6</v>
      </c>
      <c r="R4922" s="405" t="s">
        <v>7224</v>
      </c>
      <c r="S4922" s="405" t="s">
        <v>27074</v>
      </c>
      <c r="T4922" s="405" t="s">
        <v>32102</v>
      </c>
      <c r="U4922" s="405" t="s">
        <v>319</v>
      </c>
    </row>
    <row r="4923" spans="1:21" x14ac:dyDescent="0.25">
      <c r="A4923" s="405" t="s">
        <v>310</v>
      </c>
      <c r="B4923" s="405" t="s">
        <v>27926</v>
      </c>
      <c r="C4923" s="405" t="s">
        <v>327</v>
      </c>
      <c r="D4923" s="405"/>
      <c r="E4923" s="410">
        <v>41778</v>
      </c>
      <c r="F4923" s="410">
        <v>41823</v>
      </c>
      <c r="G4923" s="405" t="s">
        <v>13658</v>
      </c>
      <c r="H4923" s="405">
        <v>784968485</v>
      </c>
      <c r="I4923" s="405"/>
      <c r="J4923" s="405">
        <v>1.1588000000000001</v>
      </c>
      <c r="K4923" s="405">
        <v>34.202212000000003</v>
      </c>
      <c r="L4923" s="405" t="s">
        <v>6866</v>
      </c>
      <c r="M4923" s="405" t="s">
        <v>9514</v>
      </c>
      <c r="N4923" s="405" t="s">
        <v>9529</v>
      </c>
      <c r="O4923" s="405" t="s">
        <v>9557</v>
      </c>
      <c r="P4923" s="405" t="s">
        <v>9895</v>
      </c>
      <c r="Q4923" s="411">
        <v>6</v>
      </c>
      <c r="R4923" s="405" t="s">
        <v>9541</v>
      </c>
      <c r="S4923" s="405" t="s">
        <v>27294</v>
      </c>
      <c r="T4923" s="405" t="s">
        <v>32102</v>
      </c>
      <c r="U4923" s="405" t="s">
        <v>319</v>
      </c>
    </row>
    <row r="4924" spans="1:21" x14ac:dyDescent="0.25">
      <c r="A4924" s="405" t="s">
        <v>310</v>
      </c>
      <c r="B4924" s="405" t="s">
        <v>21702</v>
      </c>
      <c r="C4924" s="405" t="s">
        <v>327</v>
      </c>
      <c r="D4924" s="405"/>
      <c r="E4924" s="410">
        <v>41777</v>
      </c>
      <c r="F4924" s="410">
        <v>41822</v>
      </c>
      <c r="G4924" s="405" t="s">
        <v>21703</v>
      </c>
      <c r="H4924" s="405">
        <v>782431881</v>
      </c>
      <c r="I4924" s="405"/>
      <c r="J4924" s="405">
        <v>0.26298300000000002</v>
      </c>
      <c r="K4924" s="405">
        <v>30.445703000000002</v>
      </c>
      <c r="L4924" s="405" t="s">
        <v>590</v>
      </c>
      <c r="M4924" s="405" t="s">
        <v>19720</v>
      </c>
      <c r="N4924" s="405" t="s">
        <v>19721</v>
      </c>
      <c r="O4924" s="405" t="s">
        <v>21587</v>
      </c>
      <c r="P4924" s="405" t="s">
        <v>21704</v>
      </c>
      <c r="Q4924" s="411">
        <v>6</v>
      </c>
      <c r="R4924" s="405" t="s">
        <v>874</v>
      </c>
      <c r="S4924" s="405" t="s">
        <v>27163</v>
      </c>
      <c r="T4924" s="405" t="s">
        <v>32102</v>
      </c>
      <c r="U4924" s="405" t="s">
        <v>319</v>
      </c>
    </row>
    <row r="4925" spans="1:21" x14ac:dyDescent="0.25">
      <c r="A4925" s="405" t="s">
        <v>310</v>
      </c>
      <c r="B4925" s="405" t="s">
        <v>28197</v>
      </c>
      <c r="C4925" s="405" t="s">
        <v>327</v>
      </c>
      <c r="D4925" s="405"/>
      <c r="E4925" s="410">
        <v>41777</v>
      </c>
      <c r="F4925" s="410">
        <v>41822</v>
      </c>
      <c r="G4925" s="405" t="s">
        <v>13720</v>
      </c>
      <c r="H4925" s="405">
        <v>781336003</v>
      </c>
      <c r="I4925" s="405"/>
      <c r="J4925" s="405">
        <v>0.98405399999999998</v>
      </c>
      <c r="K4925" s="405">
        <v>34.3416</v>
      </c>
      <c r="L4925" s="405" t="s">
        <v>6866</v>
      </c>
      <c r="M4925" s="405" t="s">
        <v>9763</v>
      </c>
      <c r="N4925" s="405" t="s">
        <v>9764</v>
      </c>
      <c r="O4925" s="405" t="s">
        <v>13721</v>
      </c>
      <c r="P4925" s="405" t="s">
        <v>12016</v>
      </c>
      <c r="Q4925" s="411">
        <v>6</v>
      </c>
      <c r="R4925" s="405" t="s">
        <v>7224</v>
      </c>
      <c r="S4925" s="405" t="s">
        <v>27306</v>
      </c>
      <c r="T4925" s="405" t="s">
        <v>32102</v>
      </c>
      <c r="U4925" s="405" t="s">
        <v>319</v>
      </c>
    </row>
    <row r="4926" spans="1:21" x14ac:dyDescent="0.25">
      <c r="A4926" s="405" t="s">
        <v>310</v>
      </c>
      <c r="B4926" s="405" t="s">
        <v>13700</v>
      </c>
      <c r="C4926" s="405" t="s">
        <v>327</v>
      </c>
      <c r="D4926" s="405"/>
      <c r="E4926" s="410">
        <v>41777</v>
      </c>
      <c r="F4926" s="410">
        <v>41822</v>
      </c>
      <c r="G4926" s="405" t="s">
        <v>13701</v>
      </c>
      <c r="H4926" s="405">
        <v>777093732</v>
      </c>
      <c r="I4926" s="405"/>
      <c r="J4926" s="405">
        <v>1.0770230000000001</v>
      </c>
      <c r="K4926" s="405">
        <v>34.413873000000002</v>
      </c>
      <c r="L4926" s="405" t="s">
        <v>6866</v>
      </c>
      <c r="M4926" s="405" t="s">
        <v>6867</v>
      </c>
      <c r="N4926" s="405" t="s">
        <v>12252</v>
      </c>
      <c r="O4926" s="405" t="s">
        <v>13702</v>
      </c>
      <c r="P4926" s="405" t="s">
        <v>13703</v>
      </c>
      <c r="Q4926" s="411">
        <v>6</v>
      </c>
      <c r="R4926" s="405" t="s">
        <v>7224</v>
      </c>
      <c r="S4926" s="405" t="s">
        <v>27259</v>
      </c>
      <c r="T4926" s="405" t="s">
        <v>32102</v>
      </c>
      <c r="U4926" s="405" t="s">
        <v>319</v>
      </c>
    </row>
    <row r="4927" spans="1:21" x14ac:dyDescent="0.25">
      <c r="A4927" s="405" t="s">
        <v>310</v>
      </c>
      <c r="B4927" s="405" t="s">
        <v>27914</v>
      </c>
      <c r="C4927" s="405" t="s">
        <v>327</v>
      </c>
      <c r="D4927" s="405"/>
      <c r="E4927" s="410">
        <v>41776</v>
      </c>
      <c r="F4927" s="410">
        <v>41821</v>
      </c>
      <c r="G4927" s="405" t="s">
        <v>13635</v>
      </c>
      <c r="H4927" s="405">
        <v>778832163</v>
      </c>
      <c r="I4927" s="405">
        <v>77308980</v>
      </c>
      <c r="J4927" s="405">
        <v>1.1122780000000001</v>
      </c>
      <c r="K4927" s="405">
        <v>34.206715000000003</v>
      </c>
      <c r="L4927" s="405" t="s">
        <v>6866</v>
      </c>
      <c r="M4927" s="405" t="s">
        <v>9514</v>
      </c>
      <c r="N4927" s="405" t="s">
        <v>9529</v>
      </c>
      <c r="O4927" s="405" t="s">
        <v>9530</v>
      </c>
      <c r="P4927" s="405" t="s">
        <v>12564</v>
      </c>
      <c r="Q4927" s="411">
        <v>6</v>
      </c>
      <c r="R4927" s="405" t="s">
        <v>5655</v>
      </c>
      <c r="S4927" s="405" t="s">
        <v>27041</v>
      </c>
      <c r="T4927" s="405" t="s">
        <v>32102</v>
      </c>
      <c r="U4927" s="405" t="s">
        <v>319</v>
      </c>
    </row>
    <row r="4928" spans="1:21" x14ac:dyDescent="0.25">
      <c r="A4928" s="405" t="s">
        <v>310</v>
      </c>
      <c r="B4928" s="405" t="s">
        <v>13511</v>
      </c>
      <c r="C4928" s="405" t="s">
        <v>327</v>
      </c>
      <c r="D4928" s="405"/>
      <c r="E4928" s="410">
        <v>41775</v>
      </c>
      <c r="F4928" s="410">
        <v>41820</v>
      </c>
      <c r="G4928" s="405" t="s">
        <v>13512</v>
      </c>
      <c r="H4928" s="405">
        <v>772642431</v>
      </c>
      <c r="I4928" s="405"/>
      <c r="J4928" s="405">
        <v>1.0920069999999999</v>
      </c>
      <c r="K4928" s="405">
        <v>34.173682999999997</v>
      </c>
      <c r="L4928" s="405" t="s">
        <v>6866</v>
      </c>
      <c r="M4928" s="405" t="s">
        <v>9514</v>
      </c>
      <c r="N4928" s="405" t="s">
        <v>13513</v>
      </c>
      <c r="O4928" s="405" t="s">
        <v>13513</v>
      </c>
      <c r="P4928" s="405" t="s">
        <v>13514</v>
      </c>
      <c r="Q4928" s="411">
        <v>6</v>
      </c>
      <c r="R4928" s="405" t="s">
        <v>7224</v>
      </c>
      <c r="S4928" s="405" t="s">
        <v>17013</v>
      </c>
      <c r="T4928" s="405" t="s">
        <v>32102</v>
      </c>
      <c r="U4928" s="405" t="s">
        <v>319</v>
      </c>
    </row>
    <row r="4929" spans="1:21" x14ac:dyDescent="0.25">
      <c r="A4929" s="405" t="s">
        <v>310</v>
      </c>
      <c r="B4929" s="405" t="s">
        <v>13893</v>
      </c>
      <c r="C4929" s="405" t="s">
        <v>857</v>
      </c>
      <c r="D4929" s="405" t="s">
        <v>33076</v>
      </c>
      <c r="E4929" s="410">
        <v>41775</v>
      </c>
      <c r="F4929" s="410">
        <v>41820</v>
      </c>
      <c r="G4929" s="405" t="s">
        <v>13894</v>
      </c>
      <c r="H4929" s="405">
        <v>759764189</v>
      </c>
      <c r="I4929" s="405"/>
      <c r="J4929" s="405">
        <v>1.15116</v>
      </c>
      <c r="K4929" s="405">
        <v>34.204925000000003</v>
      </c>
      <c r="L4929" s="405" t="s">
        <v>6866</v>
      </c>
      <c r="M4929" s="405" t="s">
        <v>9514</v>
      </c>
      <c r="N4929" s="405" t="s">
        <v>9529</v>
      </c>
      <c r="O4929" s="405" t="s">
        <v>9530</v>
      </c>
      <c r="P4929" s="405" t="s">
        <v>11882</v>
      </c>
      <c r="Q4929" s="411">
        <v>6</v>
      </c>
      <c r="R4929" s="405" t="s">
        <v>5655</v>
      </c>
      <c r="S4929" s="405" t="s">
        <v>27169</v>
      </c>
      <c r="T4929" s="405" t="s">
        <v>32102</v>
      </c>
      <c r="U4929" s="405" t="s">
        <v>319</v>
      </c>
    </row>
    <row r="4930" spans="1:21" x14ac:dyDescent="0.25">
      <c r="A4930" s="405" t="s">
        <v>310</v>
      </c>
      <c r="B4930" s="405" t="s">
        <v>28577</v>
      </c>
      <c r="C4930" s="405" t="s">
        <v>327</v>
      </c>
      <c r="D4930" s="405"/>
      <c r="E4930" s="410">
        <v>41774</v>
      </c>
      <c r="F4930" s="410">
        <v>41819</v>
      </c>
      <c r="G4930" s="405" t="s">
        <v>13550</v>
      </c>
      <c r="H4930" s="405">
        <v>775614137</v>
      </c>
      <c r="I4930" s="405"/>
      <c r="J4930" s="405">
        <v>1.131907</v>
      </c>
      <c r="K4930" s="405">
        <v>34.195036999999999</v>
      </c>
      <c r="L4930" s="405" t="s">
        <v>6866</v>
      </c>
      <c r="M4930" s="405" t="s">
        <v>9514</v>
      </c>
      <c r="N4930" s="405" t="s">
        <v>9529</v>
      </c>
      <c r="O4930" s="405" t="s">
        <v>9530</v>
      </c>
      <c r="P4930" s="405" t="s">
        <v>13551</v>
      </c>
      <c r="Q4930" s="411">
        <v>6</v>
      </c>
      <c r="R4930" s="405" t="s">
        <v>7224</v>
      </c>
      <c r="S4930" s="405" t="s">
        <v>27298</v>
      </c>
      <c r="T4930" s="405" t="s">
        <v>32102</v>
      </c>
      <c r="U4930" s="405" t="s">
        <v>319</v>
      </c>
    </row>
    <row r="4931" spans="1:21" x14ac:dyDescent="0.25">
      <c r="A4931" s="405" t="s">
        <v>310</v>
      </c>
      <c r="B4931" s="405" t="s">
        <v>27938</v>
      </c>
      <c r="C4931" s="405" t="s">
        <v>327</v>
      </c>
      <c r="D4931" s="405"/>
      <c r="E4931" s="410">
        <v>41773</v>
      </c>
      <c r="F4931" s="410">
        <v>41818</v>
      </c>
      <c r="G4931" s="405" t="s">
        <v>13539</v>
      </c>
      <c r="H4931" s="405">
        <v>772385755</v>
      </c>
      <c r="I4931" s="405"/>
      <c r="J4931" s="405">
        <v>1.140533</v>
      </c>
      <c r="K4931" s="405">
        <v>34.192641999999999</v>
      </c>
      <c r="L4931" s="405" t="s">
        <v>6866</v>
      </c>
      <c r="M4931" s="405" t="s">
        <v>9514</v>
      </c>
      <c r="N4931" s="405" t="s">
        <v>9529</v>
      </c>
      <c r="O4931" s="405" t="s">
        <v>9530</v>
      </c>
      <c r="P4931" s="405" t="s">
        <v>13540</v>
      </c>
      <c r="Q4931" s="411">
        <v>6</v>
      </c>
      <c r="R4931" s="405" t="s">
        <v>7224</v>
      </c>
      <c r="S4931" s="405" t="s">
        <v>27298</v>
      </c>
      <c r="T4931" s="405" t="s">
        <v>32102</v>
      </c>
      <c r="U4931" s="405" t="s">
        <v>319</v>
      </c>
    </row>
    <row r="4932" spans="1:21" x14ac:dyDescent="0.25">
      <c r="A4932" s="405" t="s">
        <v>310</v>
      </c>
      <c r="B4932" s="405" t="s">
        <v>28372</v>
      </c>
      <c r="C4932" s="405" t="s">
        <v>311</v>
      </c>
      <c r="D4932" s="405" t="s">
        <v>312</v>
      </c>
      <c r="E4932" s="410">
        <v>41773</v>
      </c>
      <c r="F4932" s="410">
        <v>41818</v>
      </c>
      <c r="G4932" s="405" t="s">
        <v>13892</v>
      </c>
      <c r="H4932" s="405">
        <v>772856075</v>
      </c>
      <c r="I4932" s="405"/>
      <c r="J4932" s="405">
        <v>1.1514279999999999</v>
      </c>
      <c r="K4932" s="405">
        <v>34.205620000000003</v>
      </c>
      <c r="L4932" s="405" t="s">
        <v>6866</v>
      </c>
      <c r="M4932" s="405" t="s">
        <v>9514</v>
      </c>
      <c r="N4932" s="405" t="s">
        <v>9529</v>
      </c>
      <c r="O4932" s="405" t="s">
        <v>9530</v>
      </c>
      <c r="P4932" s="405" t="s">
        <v>11882</v>
      </c>
      <c r="Q4932" s="411">
        <v>6</v>
      </c>
      <c r="R4932" s="405" t="s">
        <v>5655</v>
      </c>
      <c r="S4932" s="405" t="s">
        <v>27346</v>
      </c>
      <c r="T4932" s="405" t="s">
        <v>32102</v>
      </c>
      <c r="U4932" s="405" t="s">
        <v>319</v>
      </c>
    </row>
    <row r="4933" spans="1:21" x14ac:dyDescent="0.25">
      <c r="A4933" s="405" t="s">
        <v>310</v>
      </c>
      <c r="B4933" s="405" t="s">
        <v>13534</v>
      </c>
      <c r="C4933" s="405" t="s">
        <v>327</v>
      </c>
      <c r="D4933" s="405"/>
      <c r="E4933" s="410">
        <v>41773</v>
      </c>
      <c r="F4933" s="410">
        <v>41818</v>
      </c>
      <c r="G4933" s="405" t="s">
        <v>13535</v>
      </c>
      <c r="H4933" s="405">
        <v>702424453</v>
      </c>
      <c r="I4933" s="405"/>
      <c r="J4933" s="405">
        <v>1.1529180000000001</v>
      </c>
      <c r="K4933" s="405">
        <v>34.204312999999999</v>
      </c>
      <c r="L4933" s="405" t="s">
        <v>6866</v>
      </c>
      <c r="M4933" s="405" t="s">
        <v>9514</v>
      </c>
      <c r="N4933" s="405" t="s">
        <v>9529</v>
      </c>
      <c r="O4933" s="405" t="s">
        <v>9530</v>
      </c>
      <c r="P4933" s="405" t="s">
        <v>11882</v>
      </c>
      <c r="Q4933" s="411">
        <v>6</v>
      </c>
      <c r="R4933" s="405" t="s">
        <v>5655</v>
      </c>
      <c r="S4933" s="405" t="s">
        <v>27056</v>
      </c>
      <c r="T4933" s="405" t="s">
        <v>865</v>
      </c>
      <c r="U4933" s="405" t="s">
        <v>866</v>
      </c>
    </row>
    <row r="4934" spans="1:21" x14ac:dyDescent="0.25">
      <c r="A4934" s="405" t="s">
        <v>310</v>
      </c>
      <c r="B4934" s="405" t="s">
        <v>21653</v>
      </c>
      <c r="C4934" s="405" t="s">
        <v>327</v>
      </c>
      <c r="D4934" s="405"/>
      <c r="E4934" s="410">
        <v>41773</v>
      </c>
      <c r="F4934" s="410">
        <v>41818</v>
      </c>
      <c r="G4934" s="405" t="s">
        <v>21654</v>
      </c>
      <c r="H4934" s="405">
        <v>782365360</v>
      </c>
      <c r="I4934" s="405"/>
      <c r="J4934" s="405">
        <v>0.21237300000000001</v>
      </c>
      <c r="K4934" s="405">
        <v>30.474442</v>
      </c>
      <c r="L4934" s="405" t="s">
        <v>590</v>
      </c>
      <c r="M4934" s="405" t="s">
        <v>19720</v>
      </c>
      <c r="N4934" s="405" t="s">
        <v>19721</v>
      </c>
      <c r="O4934" s="405" t="s">
        <v>21655</v>
      </c>
      <c r="P4934" s="405" t="s">
        <v>21656</v>
      </c>
      <c r="Q4934" s="411">
        <v>6</v>
      </c>
      <c r="R4934" s="405" t="s">
        <v>402</v>
      </c>
      <c r="S4934" s="405" t="s">
        <v>27275</v>
      </c>
      <c r="T4934" s="405" t="s">
        <v>32102</v>
      </c>
      <c r="U4934" s="405" t="s">
        <v>319</v>
      </c>
    </row>
    <row r="4935" spans="1:21" x14ac:dyDescent="0.25">
      <c r="A4935" s="405" t="s">
        <v>310</v>
      </c>
      <c r="B4935" s="405" t="s">
        <v>27838</v>
      </c>
      <c r="C4935" s="405" t="s">
        <v>327</v>
      </c>
      <c r="D4935" s="405"/>
      <c r="E4935" s="410">
        <v>41772</v>
      </c>
      <c r="F4935" s="410">
        <v>41817</v>
      </c>
      <c r="G4935" s="405" t="s">
        <v>13528</v>
      </c>
      <c r="H4935" s="405">
        <v>789618105</v>
      </c>
      <c r="I4935" s="405"/>
      <c r="J4935" s="405">
        <v>1.10484</v>
      </c>
      <c r="K4935" s="405">
        <v>34.213160000000002</v>
      </c>
      <c r="L4935" s="405" t="s">
        <v>6866</v>
      </c>
      <c r="M4935" s="405" t="s">
        <v>9514</v>
      </c>
      <c r="N4935" s="405" t="s">
        <v>9529</v>
      </c>
      <c r="O4935" s="405" t="s">
        <v>9530</v>
      </c>
      <c r="P4935" s="405" t="s">
        <v>13529</v>
      </c>
      <c r="Q4935" s="411">
        <v>6</v>
      </c>
      <c r="R4935" s="405" t="s">
        <v>7224</v>
      </c>
      <c r="S4935" s="405" t="s">
        <v>27169</v>
      </c>
      <c r="T4935" s="405" t="s">
        <v>32102</v>
      </c>
      <c r="U4935" s="405" t="s">
        <v>319</v>
      </c>
    </row>
    <row r="4936" spans="1:21" x14ac:dyDescent="0.25">
      <c r="A4936" s="405" t="s">
        <v>310</v>
      </c>
      <c r="B4936" s="405" t="s">
        <v>28531</v>
      </c>
      <c r="C4936" s="405" t="s">
        <v>327</v>
      </c>
      <c r="D4936" s="405"/>
      <c r="E4936" s="410">
        <v>41772</v>
      </c>
      <c r="F4936" s="410">
        <v>41817</v>
      </c>
      <c r="G4936" s="405" t="s">
        <v>13516</v>
      </c>
      <c r="H4936" s="405">
        <v>783039192</v>
      </c>
      <c r="I4936" s="405"/>
      <c r="J4936" s="405">
        <v>1.1172869999999999</v>
      </c>
      <c r="K4936" s="405">
        <v>34.214694999999999</v>
      </c>
      <c r="L4936" s="405" t="s">
        <v>6866</v>
      </c>
      <c r="M4936" s="405" t="s">
        <v>9514</v>
      </c>
      <c r="N4936" s="405" t="s">
        <v>9529</v>
      </c>
      <c r="O4936" s="405" t="s">
        <v>9530</v>
      </c>
      <c r="P4936" s="405" t="s">
        <v>11707</v>
      </c>
      <c r="Q4936" s="411">
        <v>6</v>
      </c>
      <c r="R4936" s="405" t="s">
        <v>7224</v>
      </c>
      <c r="S4936" s="405" t="s">
        <v>27310</v>
      </c>
      <c r="T4936" s="405" t="s">
        <v>32102</v>
      </c>
      <c r="U4936" s="405" t="s">
        <v>319</v>
      </c>
    </row>
    <row r="4937" spans="1:21" x14ac:dyDescent="0.25">
      <c r="A4937" s="405" t="s">
        <v>310</v>
      </c>
      <c r="B4937" s="405" t="s">
        <v>21633</v>
      </c>
      <c r="C4937" s="405" t="s">
        <v>327</v>
      </c>
      <c r="D4937" s="405"/>
      <c r="E4937" s="410">
        <v>41771</v>
      </c>
      <c r="F4937" s="410">
        <v>41816</v>
      </c>
      <c r="G4937" s="405" t="s">
        <v>21634</v>
      </c>
      <c r="H4937" s="405">
        <v>776874448</v>
      </c>
      <c r="I4937" s="405">
        <v>704656658</v>
      </c>
      <c r="J4937" s="405">
        <v>-0.62012500000000004</v>
      </c>
      <c r="K4937" s="405">
        <v>30.104057999999998</v>
      </c>
      <c r="L4937" s="405" t="s">
        <v>590</v>
      </c>
      <c r="M4937" s="405" t="s">
        <v>20032</v>
      </c>
      <c r="N4937" s="405" t="s">
        <v>20033</v>
      </c>
      <c r="O4937" s="405" t="s">
        <v>20034</v>
      </c>
      <c r="P4937" s="405" t="s">
        <v>21635</v>
      </c>
      <c r="Q4937" s="411">
        <v>9</v>
      </c>
      <c r="R4937" s="405" t="s">
        <v>874</v>
      </c>
      <c r="S4937" s="405" t="s">
        <v>27098</v>
      </c>
      <c r="T4937" s="405" t="s">
        <v>32102</v>
      </c>
      <c r="U4937" s="405" t="s">
        <v>319</v>
      </c>
    </row>
    <row r="4938" spans="1:21" x14ac:dyDescent="0.25">
      <c r="A4938" s="405" t="s">
        <v>310</v>
      </c>
      <c r="B4938" s="405" t="s">
        <v>21879</v>
      </c>
      <c r="C4938" s="405" t="s">
        <v>311</v>
      </c>
      <c r="D4938" s="405" t="s">
        <v>21880</v>
      </c>
      <c r="E4938" s="410">
        <v>41771</v>
      </c>
      <c r="F4938" s="410">
        <v>41816</v>
      </c>
      <c r="G4938" s="405" t="s">
        <v>21881</v>
      </c>
      <c r="H4938" s="405">
        <v>782949106</v>
      </c>
      <c r="I4938" s="405"/>
      <c r="J4938" s="405">
        <v>0.16005</v>
      </c>
      <c r="K4938" s="405">
        <v>30.427477</v>
      </c>
      <c r="L4938" s="405" t="s">
        <v>590</v>
      </c>
      <c r="M4938" s="405" t="s">
        <v>19720</v>
      </c>
      <c r="N4938" s="405" t="s">
        <v>20297</v>
      </c>
      <c r="O4938" s="405" t="s">
        <v>20439</v>
      </c>
      <c r="P4938" s="405" t="s">
        <v>21772</v>
      </c>
      <c r="Q4938" s="411">
        <v>9</v>
      </c>
      <c r="R4938" s="405" t="s">
        <v>402</v>
      </c>
      <c r="S4938" s="405" t="s">
        <v>27163</v>
      </c>
      <c r="T4938" s="405" t="s">
        <v>32102</v>
      </c>
      <c r="U4938" s="405" t="s">
        <v>319</v>
      </c>
    </row>
    <row r="4939" spans="1:21" x14ac:dyDescent="0.25">
      <c r="A4939" s="405" t="s">
        <v>310</v>
      </c>
      <c r="B4939" s="405" t="s">
        <v>21638</v>
      </c>
      <c r="C4939" s="405" t="s">
        <v>327</v>
      </c>
      <c r="D4939" s="405"/>
      <c r="E4939" s="410">
        <v>41771</v>
      </c>
      <c r="F4939" s="410">
        <v>41816</v>
      </c>
      <c r="G4939" s="405" t="s">
        <v>21639</v>
      </c>
      <c r="H4939" s="405">
        <v>772606683</v>
      </c>
      <c r="I4939" s="405">
        <v>779945177</v>
      </c>
      <c r="J4939" s="405">
        <v>6.2081999999999998E-2</v>
      </c>
      <c r="K4939" s="405">
        <v>30.419574999999998</v>
      </c>
      <c r="L4939" s="405" t="s">
        <v>590</v>
      </c>
      <c r="M4939" s="405" t="s">
        <v>19720</v>
      </c>
      <c r="N4939" s="405" t="s">
        <v>20297</v>
      </c>
      <c r="O4939" s="405" t="s">
        <v>20439</v>
      </c>
      <c r="P4939" s="405" t="s">
        <v>21640</v>
      </c>
      <c r="Q4939" s="411">
        <v>6</v>
      </c>
      <c r="R4939" s="405" t="s">
        <v>402</v>
      </c>
      <c r="S4939" s="405" t="s">
        <v>27181</v>
      </c>
      <c r="T4939" s="405" t="s">
        <v>884</v>
      </c>
      <c r="U4939" s="405" t="s">
        <v>319</v>
      </c>
    </row>
    <row r="4940" spans="1:21" x14ac:dyDescent="0.25">
      <c r="A4940" s="405" t="s">
        <v>310</v>
      </c>
      <c r="B4940" s="405" t="s">
        <v>28472</v>
      </c>
      <c r="C4940" s="405" t="s">
        <v>327</v>
      </c>
      <c r="D4940" s="405"/>
      <c r="E4940" s="410">
        <v>41771</v>
      </c>
      <c r="F4940" s="410">
        <v>41816</v>
      </c>
      <c r="G4940" s="405" t="s">
        <v>13517</v>
      </c>
      <c r="H4940" s="405">
        <v>702388970</v>
      </c>
      <c r="I4940" s="405"/>
      <c r="J4940" s="405">
        <v>1.1136820000000001</v>
      </c>
      <c r="K4940" s="405">
        <v>34.215859999999999</v>
      </c>
      <c r="L4940" s="405" t="s">
        <v>6866</v>
      </c>
      <c r="M4940" s="405" t="s">
        <v>9514</v>
      </c>
      <c r="N4940" s="405" t="s">
        <v>9529</v>
      </c>
      <c r="O4940" s="405" t="s">
        <v>9530</v>
      </c>
      <c r="P4940" s="405" t="s">
        <v>10607</v>
      </c>
      <c r="Q4940" s="411">
        <v>6</v>
      </c>
      <c r="R4940" s="405" t="s">
        <v>7224</v>
      </c>
      <c r="S4940" s="405" t="s">
        <v>27204</v>
      </c>
      <c r="T4940" s="405" t="s">
        <v>884</v>
      </c>
      <c r="U4940" s="405" t="s">
        <v>319</v>
      </c>
    </row>
    <row r="4941" spans="1:21" x14ac:dyDescent="0.25">
      <c r="A4941" s="405" t="s">
        <v>310</v>
      </c>
      <c r="B4941" s="405" t="s">
        <v>13531</v>
      </c>
      <c r="C4941" s="405" t="s">
        <v>327</v>
      </c>
      <c r="D4941" s="405"/>
      <c r="E4941" s="410">
        <v>41771</v>
      </c>
      <c r="F4941" s="410">
        <v>41816</v>
      </c>
      <c r="G4941" s="405" t="s">
        <v>13532</v>
      </c>
      <c r="H4941" s="405">
        <v>775322019</v>
      </c>
      <c r="I4941" s="405"/>
      <c r="J4941" s="405">
        <v>1.1169530000000001</v>
      </c>
      <c r="K4941" s="405">
        <v>34.200972</v>
      </c>
      <c r="L4941" s="405" t="s">
        <v>6866</v>
      </c>
      <c r="M4941" s="405" t="s">
        <v>9514</v>
      </c>
      <c r="N4941" s="405" t="s">
        <v>9529</v>
      </c>
      <c r="O4941" s="405" t="s">
        <v>9530</v>
      </c>
      <c r="P4941" s="405" t="s">
        <v>13533</v>
      </c>
      <c r="Q4941" s="411">
        <v>6</v>
      </c>
      <c r="R4941" s="405" t="s">
        <v>7224</v>
      </c>
      <c r="S4941" s="405" t="s">
        <v>17013</v>
      </c>
      <c r="T4941" s="405" t="s">
        <v>32102</v>
      </c>
      <c r="U4941" s="405" t="s">
        <v>319</v>
      </c>
    </row>
    <row r="4942" spans="1:21" x14ac:dyDescent="0.25">
      <c r="A4942" s="405" t="s">
        <v>310</v>
      </c>
      <c r="B4942" s="405" t="s">
        <v>21636</v>
      </c>
      <c r="C4942" s="405" t="s">
        <v>327</v>
      </c>
      <c r="D4942" s="405"/>
      <c r="E4942" s="410">
        <v>41770</v>
      </c>
      <c r="F4942" s="410">
        <v>41815</v>
      </c>
      <c r="G4942" s="405" t="s">
        <v>21637</v>
      </c>
      <c r="H4942" s="405">
        <v>756337743</v>
      </c>
      <c r="I4942" s="405"/>
      <c r="J4942" s="405">
        <v>4.2963000000000001E-2</v>
      </c>
      <c r="K4942" s="405">
        <v>30.424171999999999</v>
      </c>
      <c r="L4942" s="405" t="s">
        <v>590</v>
      </c>
      <c r="M4942" s="405" t="s">
        <v>19720</v>
      </c>
      <c r="N4942" s="405" t="s">
        <v>20297</v>
      </c>
      <c r="O4942" s="405" t="s">
        <v>20439</v>
      </c>
      <c r="P4942" s="405" t="s">
        <v>20447</v>
      </c>
      <c r="Q4942" s="411">
        <v>6</v>
      </c>
      <c r="R4942" s="405" t="s">
        <v>874</v>
      </c>
      <c r="S4942" s="405" t="s">
        <v>27160</v>
      </c>
      <c r="T4942" s="405" t="s">
        <v>884</v>
      </c>
      <c r="U4942" s="405" t="s">
        <v>319</v>
      </c>
    </row>
    <row r="4943" spans="1:21" x14ac:dyDescent="0.25">
      <c r="A4943" s="405" t="s">
        <v>310</v>
      </c>
      <c r="B4943" s="405" t="s">
        <v>13895</v>
      </c>
      <c r="C4943" s="405" t="s">
        <v>857</v>
      </c>
      <c r="D4943" s="405" t="s">
        <v>1037</v>
      </c>
      <c r="E4943" s="410">
        <v>41770</v>
      </c>
      <c r="F4943" s="410">
        <v>41815</v>
      </c>
      <c r="G4943" s="405" t="s">
        <v>13896</v>
      </c>
      <c r="H4943" s="405">
        <v>704141710</v>
      </c>
      <c r="I4943" s="405"/>
      <c r="J4943" s="405">
        <v>1.149613</v>
      </c>
      <c r="K4943" s="405">
        <v>34.211053</v>
      </c>
      <c r="L4943" s="405" t="s">
        <v>6866</v>
      </c>
      <c r="M4943" s="405" t="s">
        <v>9514</v>
      </c>
      <c r="N4943" s="405" t="s">
        <v>9529</v>
      </c>
      <c r="O4943" s="405" t="s">
        <v>9530</v>
      </c>
      <c r="P4943" s="405" t="s">
        <v>10665</v>
      </c>
      <c r="Q4943" s="411">
        <v>6</v>
      </c>
      <c r="R4943" s="405" t="s">
        <v>5655</v>
      </c>
      <c r="S4943" s="405" t="s">
        <v>27072</v>
      </c>
      <c r="T4943" s="405" t="s">
        <v>884</v>
      </c>
      <c r="U4943" s="405" t="s">
        <v>319</v>
      </c>
    </row>
    <row r="4944" spans="1:21" x14ac:dyDescent="0.25">
      <c r="A4944" s="405" t="s">
        <v>310</v>
      </c>
      <c r="B4944" s="405" t="s">
        <v>13862</v>
      </c>
      <c r="C4944" s="405" t="s">
        <v>311</v>
      </c>
      <c r="D4944" s="405" t="s">
        <v>1789</v>
      </c>
      <c r="E4944" s="410">
        <v>41770</v>
      </c>
      <c r="F4944" s="410">
        <v>41815</v>
      </c>
      <c r="G4944" s="405" t="s">
        <v>13863</v>
      </c>
      <c r="H4944" s="405">
        <v>703843011</v>
      </c>
      <c r="I4944" s="405"/>
      <c r="J4944" s="405">
        <v>1.1159399999999999</v>
      </c>
      <c r="K4944" s="405">
        <v>34.208623000000003</v>
      </c>
      <c r="L4944" s="405" t="s">
        <v>6866</v>
      </c>
      <c r="M4944" s="405" t="s">
        <v>9514</v>
      </c>
      <c r="N4944" s="405" t="s">
        <v>9529</v>
      </c>
      <c r="O4944" s="405" t="s">
        <v>9530</v>
      </c>
      <c r="P4944" s="405" t="s">
        <v>13861</v>
      </c>
      <c r="Q4944" s="411">
        <v>6</v>
      </c>
      <c r="R4944" s="405" t="s">
        <v>5655</v>
      </c>
      <c r="S4944" s="405" t="s">
        <v>27041</v>
      </c>
      <c r="T4944" s="405" t="s">
        <v>32102</v>
      </c>
      <c r="U4944" s="405" t="s">
        <v>319</v>
      </c>
    </row>
    <row r="4945" spans="1:21" x14ac:dyDescent="0.25">
      <c r="A4945" s="405" t="s">
        <v>310</v>
      </c>
      <c r="B4945" s="405" t="s">
        <v>28560</v>
      </c>
      <c r="C4945" s="405" t="s">
        <v>327</v>
      </c>
      <c r="D4945" s="405"/>
      <c r="E4945" s="410">
        <v>41770</v>
      </c>
      <c r="F4945" s="410">
        <v>41815</v>
      </c>
      <c r="G4945" s="405" t="s">
        <v>13521</v>
      </c>
      <c r="H4945" s="405">
        <v>772348017</v>
      </c>
      <c r="I4945" s="405"/>
      <c r="J4945" s="405">
        <v>1.113183</v>
      </c>
      <c r="K4945" s="405">
        <v>34.216389999999997</v>
      </c>
      <c r="L4945" s="405" t="s">
        <v>6866</v>
      </c>
      <c r="M4945" s="405" t="s">
        <v>9514</v>
      </c>
      <c r="N4945" s="405" t="s">
        <v>9529</v>
      </c>
      <c r="O4945" s="405" t="s">
        <v>9530</v>
      </c>
      <c r="P4945" s="405" t="s">
        <v>10607</v>
      </c>
      <c r="Q4945" s="411">
        <v>6</v>
      </c>
      <c r="R4945" s="405" t="s">
        <v>7224</v>
      </c>
      <c r="S4945" s="405" t="s">
        <v>27298</v>
      </c>
      <c r="T4945" s="405" t="s">
        <v>32102</v>
      </c>
      <c r="U4945" s="405" t="s">
        <v>319</v>
      </c>
    </row>
    <row r="4946" spans="1:21" x14ac:dyDescent="0.25">
      <c r="A4946" s="405" t="s">
        <v>310</v>
      </c>
      <c r="B4946" s="405" t="s">
        <v>28323</v>
      </c>
      <c r="C4946" s="405" t="s">
        <v>311</v>
      </c>
      <c r="D4946" s="405" t="s">
        <v>3381</v>
      </c>
      <c r="E4946" s="410">
        <v>41768</v>
      </c>
      <c r="F4946" s="410">
        <v>41813</v>
      </c>
      <c r="G4946" s="405" t="s">
        <v>13860</v>
      </c>
      <c r="H4946" s="405">
        <v>775140483</v>
      </c>
      <c r="I4946" s="405"/>
      <c r="J4946" s="405">
        <v>1.1153649999999999</v>
      </c>
      <c r="K4946" s="405">
        <v>34.207647000000001</v>
      </c>
      <c r="L4946" s="405" t="s">
        <v>6866</v>
      </c>
      <c r="M4946" s="405" t="s">
        <v>9514</v>
      </c>
      <c r="N4946" s="405" t="s">
        <v>9529</v>
      </c>
      <c r="O4946" s="405" t="s">
        <v>9530</v>
      </c>
      <c r="P4946" s="405" t="s">
        <v>13861</v>
      </c>
      <c r="Q4946" s="411">
        <v>6</v>
      </c>
      <c r="R4946" s="405" t="s">
        <v>7224</v>
      </c>
      <c r="S4946" s="405" t="s">
        <v>27306</v>
      </c>
      <c r="T4946" s="405" t="s">
        <v>32102</v>
      </c>
      <c r="U4946" s="405" t="s">
        <v>319</v>
      </c>
    </row>
    <row r="4947" spans="1:21" x14ac:dyDescent="0.25">
      <c r="A4947" s="405" t="s">
        <v>310</v>
      </c>
      <c r="B4947" s="405" t="s">
        <v>28307</v>
      </c>
      <c r="C4947" s="405" t="s">
        <v>327</v>
      </c>
      <c r="D4947" s="405"/>
      <c r="E4947" s="410">
        <v>41767</v>
      </c>
      <c r="F4947" s="410">
        <v>41812</v>
      </c>
      <c r="G4947" s="405" t="s">
        <v>13522</v>
      </c>
      <c r="H4947" s="405">
        <v>703511116</v>
      </c>
      <c r="I4947" s="405"/>
      <c r="J4947" s="405">
        <v>1.1273470000000001</v>
      </c>
      <c r="K4947" s="405">
        <v>34.220556999999999</v>
      </c>
      <c r="L4947" s="405" t="s">
        <v>6866</v>
      </c>
      <c r="M4947" s="405" t="s">
        <v>9514</v>
      </c>
      <c r="N4947" s="405" t="s">
        <v>9529</v>
      </c>
      <c r="O4947" s="405" t="s">
        <v>9530</v>
      </c>
      <c r="P4947" s="405" t="s">
        <v>11340</v>
      </c>
      <c r="Q4947" s="411">
        <v>6</v>
      </c>
      <c r="R4947" s="405" t="s">
        <v>5655</v>
      </c>
      <c r="S4947" s="405" t="s">
        <v>27318</v>
      </c>
      <c r="T4947" s="405" t="s">
        <v>32102</v>
      </c>
      <c r="U4947" s="405" t="s">
        <v>319</v>
      </c>
    </row>
    <row r="4948" spans="1:21" x14ac:dyDescent="0.25">
      <c r="A4948" s="405" t="s">
        <v>310</v>
      </c>
      <c r="B4948" s="405" t="s">
        <v>29017</v>
      </c>
      <c r="C4948" s="405" t="s">
        <v>327</v>
      </c>
      <c r="D4948" s="405"/>
      <c r="E4948" s="410">
        <v>41766</v>
      </c>
      <c r="F4948" s="410">
        <v>41811</v>
      </c>
      <c r="G4948" s="405" t="s">
        <v>13530</v>
      </c>
      <c r="H4948" s="405">
        <v>774257160</v>
      </c>
      <c r="I4948" s="405"/>
      <c r="J4948" s="405">
        <v>1.1040399999999999</v>
      </c>
      <c r="K4948" s="405">
        <v>34.183933000000003</v>
      </c>
      <c r="L4948" s="405" t="s">
        <v>6866</v>
      </c>
      <c r="M4948" s="405" t="s">
        <v>9514</v>
      </c>
      <c r="N4948" s="405" t="s">
        <v>9529</v>
      </c>
      <c r="O4948" s="405" t="s">
        <v>9530</v>
      </c>
      <c r="P4948" s="405" t="s">
        <v>11967</v>
      </c>
      <c r="Q4948" s="411">
        <v>6</v>
      </c>
      <c r="R4948" s="405" t="s">
        <v>7224</v>
      </c>
      <c r="S4948" s="405" t="s">
        <v>27302</v>
      </c>
      <c r="T4948" s="405" t="s">
        <v>32102</v>
      </c>
      <c r="U4948" s="405" t="s">
        <v>319</v>
      </c>
    </row>
    <row r="4949" spans="1:21" x14ac:dyDescent="0.25">
      <c r="A4949" s="405" t="s">
        <v>310</v>
      </c>
      <c r="B4949" s="405" t="s">
        <v>28320</v>
      </c>
      <c r="C4949" s="405" t="s">
        <v>327</v>
      </c>
      <c r="D4949" s="405"/>
      <c r="E4949" s="410">
        <v>41766</v>
      </c>
      <c r="F4949" s="410">
        <v>41811</v>
      </c>
      <c r="G4949" s="405" t="s">
        <v>13546</v>
      </c>
      <c r="H4949" s="405">
        <v>772036533</v>
      </c>
      <c r="I4949" s="405"/>
      <c r="J4949" s="405">
        <v>1.1420669999999999</v>
      </c>
      <c r="K4949" s="405">
        <v>34.194065000000002</v>
      </c>
      <c r="L4949" s="405" t="s">
        <v>6866</v>
      </c>
      <c r="M4949" s="405" t="s">
        <v>9514</v>
      </c>
      <c r="N4949" s="405" t="s">
        <v>9722</v>
      </c>
      <c r="O4949" s="405" t="s">
        <v>9530</v>
      </c>
      <c r="P4949" s="405" t="s">
        <v>13547</v>
      </c>
      <c r="Q4949" s="411">
        <v>6</v>
      </c>
      <c r="R4949" s="405" t="s">
        <v>7224</v>
      </c>
      <c r="S4949" s="405" t="s">
        <v>27259</v>
      </c>
      <c r="T4949" s="405" t="s">
        <v>32102</v>
      </c>
      <c r="U4949" s="405" t="s">
        <v>319</v>
      </c>
    </row>
    <row r="4950" spans="1:21" x14ac:dyDescent="0.25">
      <c r="A4950" s="405" t="s">
        <v>310</v>
      </c>
      <c r="B4950" s="405" t="s">
        <v>21666</v>
      </c>
      <c r="C4950" s="405" t="s">
        <v>327</v>
      </c>
      <c r="D4950" s="405"/>
      <c r="E4950" s="410">
        <v>41764</v>
      </c>
      <c r="F4950" s="410">
        <v>41809</v>
      </c>
      <c r="G4950" s="405" t="s">
        <v>21667</v>
      </c>
      <c r="H4950" s="405">
        <v>773256488</v>
      </c>
      <c r="I4950" s="405"/>
      <c r="J4950" s="405">
        <v>-0.98971600000000004</v>
      </c>
      <c r="K4950" s="405">
        <v>30.126493</v>
      </c>
      <c r="L4950" s="405" t="s">
        <v>590</v>
      </c>
      <c r="M4950" s="405" t="s">
        <v>19659</v>
      </c>
      <c r="N4950" s="405" t="s">
        <v>19677</v>
      </c>
      <c r="O4950" s="405" t="s">
        <v>20548</v>
      </c>
      <c r="P4950" s="405" t="s">
        <v>21668</v>
      </c>
      <c r="Q4950" s="411">
        <v>9</v>
      </c>
      <c r="R4950" s="405" t="s">
        <v>1527</v>
      </c>
      <c r="S4950" s="405" t="s">
        <v>27240</v>
      </c>
      <c r="T4950" s="405" t="s">
        <v>32102</v>
      </c>
      <c r="U4950" s="405" t="s">
        <v>319</v>
      </c>
    </row>
    <row r="4951" spans="1:21" x14ac:dyDescent="0.25">
      <c r="A4951" s="405" t="s">
        <v>310</v>
      </c>
      <c r="B4951" s="405" t="s">
        <v>21641</v>
      </c>
      <c r="C4951" s="405" t="s">
        <v>327</v>
      </c>
      <c r="D4951" s="405"/>
      <c r="E4951" s="410">
        <v>41764</v>
      </c>
      <c r="F4951" s="410">
        <v>41809</v>
      </c>
      <c r="G4951" s="405" t="s">
        <v>21642</v>
      </c>
      <c r="H4951" s="405">
        <v>751637660</v>
      </c>
      <c r="I4951" s="405"/>
      <c r="J4951" s="405">
        <v>6.6253000000000006E-2</v>
      </c>
      <c r="K4951" s="405">
        <v>30.407696999999999</v>
      </c>
      <c r="L4951" s="405" t="s">
        <v>590</v>
      </c>
      <c r="M4951" s="405" t="s">
        <v>19720</v>
      </c>
      <c r="N4951" s="405" t="s">
        <v>20297</v>
      </c>
      <c r="O4951" s="405" t="s">
        <v>20439</v>
      </c>
      <c r="P4951" s="405" t="s">
        <v>21643</v>
      </c>
      <c r="Q4951" s="411">
        <v>6</v>
      </c>
      <c r="R4951" s="405" t="s">
        <v>874</v>
      </c>
      <c r="S4951" s="405" t="s">
        <v>27275</v>
      </c>
      <c r="T4951" s="405" t="s">
        <v>32102</v>
      </c>
      <c r="U4951" s="405" t="s">
        <v>319</v>
      </c>
    </row>
    <row r="4952" spans="1:21" x14ac:dyDescent="0.25">
      <c r="A4952" s="405" t="s">
        <v>310</v>
      </c>
      <c r="B4952" s="405" t="s">
        <v>21669</v>
      </c>
      <c r="C4952" s="405" t="s">
        <v>327</v>
      </c>
      <c r="D4952" s="405"/>
      <c r="E4952" s="410">
        <v>41764</v>
      </c>
      <c r="F4952" s="410">
        <v>41809</v>
      </c>
      <c r="G4952" s="405" t="s">
        <v>21670</v>
      </c>
      <c r="H4952" s="405">
        <v>782712904</v>
      </c>
      <c r="I4952" s="405"/>
      <c r="J4952" s="405">
        <v>-1.0180450000000001</v>
      </c>
      <c r="K4952" s="405">
        <v>30.172691</v>
      </c>
      <c r="L4952" s="405" t="s">
        <v>590</v>
      </c>
      <c r="M4952" s="405" t="s">
        <v>19659</v>
      </c>
      <c r="N4952" s="405" t="s">
        <v>19677</v>
      </c>
      <c r="O4952" s="405" t="s">
        <v>21671</v>
      </c>
      <c r="P4952" s="405" t="s">
        <v>21672</v>
      </c>
      <c r="Q4952" s="411">
        <v>6</v>
      </c>
      <c r="R4952" s="405" t="s">
        <v>1527</v>
      </c>
      <c r="S4952" s="405" t="s">
        <v>27166</v>
      </c>
      <c r="T4952" s="405" t="s">
        <v>32102</v>
      </c>
      <c r="U4952" s="405" t="s">
        <v>319</v>
      </c>
    </row>
    <row r="4953" spans="1:21" x14ac:dyDescent="0.25">
      <c r="A4953" s="405" t="s">
        <v>310</v>
      </c>
      <c r="B4953" s="405" t="s">
        <v>13543</v>
      </c>
      <c r="C4953" s="405" t="s">
        <v>327</v>
      </c>
      <c r="D4953" s="405"/>
      <c r="E4953" s="410">
        <v>41763</v>
      </c>
      <c r="F4953" s="410">
        <v>41808</v>
      </c>
      <c r="G4953" s="405" t="s">
        <v>13544</v>
      </c>
      <c r="H4953" s="405">
        <v>783077121</v>
      </c>
      <c r="I4953" s="405"/>
      <c r="J4953" s="405">
        <v>1.133057</v>
      </c>
      <c r="K4953" s="405">
        <v>34.204827000000002</v>
      </c>
      <c r="L4953" s="405" t="s">
        <v>6866</v>
      </c>
      <c r="M4953" s="405" t="s">
        <v>9514</v>
      </c>
      <c r="N4953" s="405" t="s">
        <v>9722</v>
      </c>
      <c r="O4953" s="405" t="s">
        <v>9530</v>
      </c>
      <c r="P4953" s="405" t="s">
        <v>13545</v>
      </c>
      <c r="Q4953" s="411">
        <v>6</v>
      </c>
      <c r="R4953" s="405" t="s">
        <v>5655</v>
      </c>
      <c r="S4953" s="405" t="s">
        <v>27346</v>
      </c>
      <c r="T4953" s="405" t="s">
        <v>32102</v>
      </c>
      <c r="U4953" s="405" t="s">
        <v>319</v>
      </c>
    </row>
    <row r="4954" spans="1:21" x14ac:dyDescent="0.25">
      <c r="A4954" s="405" t="s">
        <v>310</v>
      </c>
      <c r="B4954" s="405" t="s">
        <v>29061</v>
      </c>
      <c r="C4954" s="405" t="s">
        <v>327</v>
      </c>
      <c r="D4954" s="405"/>
      <c r="E4954" s="410">
        <v>41763</v>
      </c>
      <c r="F4954" s="410">
        <v>41808</v>
      </c>
      <c r="G4954" s="405" t="s">
        <v>13515</v>
      </c>
      <c r="H4954" s="405">
        <v>754065750</v>
      </c>
      <c r="I4954" s="405"/>
      <c r="J4954" s="405">
        <v>1.110155</v>
      </c>
      <c r="K4954" s="405">
        <v>34.202637000000003</v>
      </c>
      <c r="L4954" s="405" t="s">
        <v>6866</v>
      </c>
      <c r="M4954" s="405" t="s">
        <v>9514</v>
      </c>
      <c r="N4954" s="405" t="s">
        <v>9529</v>
      </c>
      <c r="O4954" s="405" t="s">
        <v>9530</v>
      </c>
      <c r="P4954" s="405" t="s">
        <v>11385</v>
      </c>
      <c r="Q4954" s="411">
        <v>6</v>
      </c>
      <c r="R4954" s="405" t="s">
        <v>5655</v>
      </c>
      <c r="S4954" s="405" t="s">
        <v>27345</v>
      </c>
      <c r="T4954" s="405" t="s">
        <v>32102</v>
      </c>
      <c r="U4954" s="405" t="s">
        <v>319</v>
      </c>
    </row>
    <row r="4955" spans="1:21" x14ac:dyDescent="0.25">
      <c r="A4955" s="405" t="s">
        <v>310</v>
      </c>
      <c r="B4955" s="405" t="s">
        <v>21644</v>
      </c>
      <c r="C4955" s="405" t="s">
        <v>327</v>
      </c>
      <c r="D4955" s="405"/>
      <c r="E4955" s="410">
        <v>41762</v>
      </c>
      <c r="F4955" s="410">
        <v>41807</v>
      </c>
      <c r="G4955" s="405" t="s">
        <v>21645</v>
      </c>
      <c r="H4955" s="405">
        <v>773265751</v>
      </c>
      <c r="I4955" s="405"/>
      <c r="J4955" s="405">
        <v>0.26281700000000002</v>
      </c>
      <c r="K4955" s="405">
        <v>30.520363</v>
      </c>
      <c r="L4955" s="405" t="s">
        <v>590</v>
      </c>
      <c r="M4955" s="405" t="s">
        <v>19720</v>
      </c>
      <c r="N4955" s="405" t="s">
        <v>19721</v>
      </c>
      <c r="O4955" s="405" t="s">
        <v>21587</v>
      </c>
      <c r="P4955" s="405" t="s">
        <v>21646</v>
      </c>
      <c r="Q4955" s="411">
        <v>6</v>
      </c>
      <c r="R4955" s="405" t="s">
        <v>402</v>
      </c>
      <c r="S4955" s="405" t="s">
        <v>27098</v>
      </c>
      <c r="T4955" s="405" t="s">
        <v>32102</v>
      </c>
      <c r="U4955" s="405" t="s">
        <v>319</v>
      </c>
    </row>
    <row r="4956" spans="1:21" x14ac:dyDescent="0.25">
      <c r="A4956" s="405" t="s">
        <v>310</v>
      </c>
      <c r="B4956" s="405" t="s">
        <v>21647</v>
      </c>
      <c r="C4956" s="405" t="s">
        <v>327</v>
      </c>
      <c r="D4956" s="405"/>
      <c r="E4956" s="410">
        <v>41762</v>
      </c>
      <c r="F4956" s="410">
        <v>41807</v>
      </c>
      <c r="G4956" s="405" t="s">
        <v>21648</v>
      </c>
      <c r="H4956" s="405">
        <v>704093478</v>
      </c>
      <c r="I4956" s="405"/>
      <c r="J4956" s="405">
        <v>0.27549299999999999</v>
      </c>
      <c r="K4956" s="405">
        <v>30.506606999999999</v>
      </c>
      <c r="L4956" s="405" t="s">
        <v>590</v>
      </c>
      <c r="M4956" s="405" t="s">
        <v>19720</v>
      </c>
      <c r="N4956" s="405" t="s">
        <v>19721</v>
      </c>
      <c r="O4956" s="405" t="s">
        <v>21587</v>
      </c>
      <c r="P4956" s="405" t="s">
        <v>21649</v>
      </c>
      <c r="Q4956" s="411">
        <v>6</v>
      </c>
      <c r="R4956" s="405" t="s">
        <v>402</v>
      </c>
      <c r="S4956" s="405" t="s">
        <v>27154</v>
      </c>
      <c r="T4956" s="405" t="s">
        <v>32102</v>
      </c>
      <c r="U4956" s="405" t="s">
        <v>319</v>
      </c>
    </row>
    <row r="4957" spans="1:21" x14ac:dyDescent="0.25">
      <c r="A4957" s="405" t="s">
        <v>310</v>
      </c>
      <c r="B4957" s="405" t="s">
        <v>13509</v>
      </c>
      <c r="C4957" s="405" t="s">
        <v>327</v>
      </c>
      <c r="D4957" s="405"/>
      <c r="E4957" s="410">
        <v>41762</v>
      </c>
      <c r="F4957" s="410">
        <v>41807</v>
      </c>
      <c r="G4957" s="405" t="s">
        <v>13510</v>
      </c>
      <c r="H4957" s="405">
        <v>782605231</v>
      </c>
      <c r="I4957" s="405"/>
      <c r="J4957" s="405">
        <v>1.107353</v>
      </c>
      <c r="K4957" s="405">
        <v>34.179720000000003</v>
      </c>
      <c r="L4957" s="405" t="s">
        <v>6866</v>
      </c>
      <c r="M4957" s="405" t="s">
        <v>9514</v>
      </c>
      <c r="N4957" s="405" t="s">
        <v>9529</v>
      </c>
      <c r="O4957" s="405" t="s">
        <v>9530</v>
      </c>
      <c r="P4957" s="405" t="s">
        <v>11707</v>
      </c>
      <c r="Q4957" s="411">
        <v>6</v>
      </c>
      <c r="R4957" s="405" t="s">
        <v>7224</v>
      </c>
      <c r="S4957" s="405" t="s">
        <v>27107</v>
      </c>
      <c r="T4957" s="405" t="s">
        <v>32102</v>
      </c>
      <c r="U4957" s="405" t="s">
        <v>319</v>
      </c>
    </row>
    <row r="4958" spans="1:21" x14ac:dyDescent="0.25">
      <c r="A4958" s="405" t="s">
        <v>310</v>
      </c>
      <c r="B4958" s="405" t="s">
        <v>21662</v>
      </c>
      <c r="C4958" s="405" t="s">
        <v>327</v>
      </c>
      <c r="D4958" s="405"/>
      <c r="E4958" s="410">
        <v>41761</v>
      </c>
      <c r="F4958" s="410">
        <v>41806</v>
      </c>
      <c r="G4958" s="405" t="s">
        <v>21663</v>
      </c>
      <c r="H4958" s="405">
        <v>782555150</v>
      </c>
      <c r="I4958" s="405"/>
      <c r="J4958" s="405">
        <v>-0.786408</v>
      </c>
      <c r="K4958" s="405">
        <v>30.318033</v>
      </c>
      <c r="L4958" s="405" t="s">
        <v>590</v>
      </c>
      <c r="M4958" s="405" t="s">
        <v>19659</v>
      </c>
      <c r="N4958" s="405" t="s">
        <v>19664</v>
      </c>
      <c r="O4958" s="405" t="s">
        <v>19969</v>
      </c>
      <c r="P4958" s="405" t="s">
        <v>21664</v>
      </c>
      <c r="Q4958" s="411">
        <v>6</v>
      </c>
      <c r="R4958" s="405" t="s">
        <v>967</v>
      </c>
      <c r="S4958" s="405" t="s">
        <v>27401</v>
      </c>
      <c r="T4958" s="405" t="s">
        <v>32102</v>
      </c>
      <c r="U4958" s="405" t="s">
        <v>319</v>
      </c>
    </row>
    <row r="4959" spans="1:21" x14ac:dyDescent="0.25">
      <c r="A4959" s="405" t="s">
        <v>310</v>
      </c>
      <c r="B4959" s="405" t="s">
        <v>28448</v>
      </c>
      <c r="C4959" s="405" t="s">
        <v>327</v>
      </c>
      <c r="D4959" s="405"/>
      <c r="E4959" s="410">
        <v>41761</v>
      </c>
      <c r="F4959" s="410">
        <v>41806</v>
      </c>
      <c r="G4959" s="405" t="s">
        <v>13525</v>
      </c>
      <c r="H4959" s="405">
        <v>772562950</v>
      </c>
      <c r="I4959" s="405"/>
      <c r="J4959" s="405">
        <v>1.1273550000000001</v>
      </c>
      <c r="K4959" s="405">
        <v>34.211145000000002</v>
      </c>
      <c r="L4959" s="405" t="s">
        <v>6866</v>
      </c>
      <c r="M4959" s="405" t="s">
        <v>9514</v>
      </c>
      <c r="N4959" s="405" t="s">
        <v>9529</v>
      </c>
      <c r="O4959" s="405" t="s">
        <v>9530</v>
      </c>
      <c r="P4959" s="405" t="s">
        <v>13526</v>
      </c>
      <c r="Q4959" s="411">
        <v>6</v>
      </c>
      <c r="R4959" s="405" t="s">
        <v>7224</v>
      </c>
      <c r="S4959" s="405" t="s">
        <v>27310</v>
      </c>
      <c r="T4959" s="405" t="s">
        <v>32102</v>
      </c>
      <c r="U4959" s="405" t="s">
        <v>319</v>
      </c>
    </row>
    <row r="4960" spans="1:21" x14ac:dyDescent="0.25">
      <c r="A4960" s="405" t="s">
        <v>310</v>
      </c>
      <c r="B4960" s="405" t="s">
        <v>13548</v>
      </c>
      <c r="C4960" s="405" t="s">
        <v>327</v>
      </c>
      <c r="D4960" s="405"/>
      <c r="E4960" s="410">
        <v>41761</v>
      </c>
      <c r="F4960" s="410">
        <v>41806</v>
      </c>
      <c r="G4960" s="405" t="s">
        <v>13549</v>
      </c>
      <c r="H4960" s="405">
        <v>773437243</v>
      </c>
      <c r="I4960" s="405"/>
      <c r="J4960" s="405">
        <v>1.110805</v>
      </c>
      <c r="K4960" s="405">
        <v>34.202086999999999</v>
      </c>
      <c r="L4960" s="405" t="s">
        <v>6866</v>
      </c>
      <c r="M4960" s="405" t="s">
        <v>9514</v>
      </c>
      <c r="N4960" s="405" t="s">
        <v>9529</v>
      </c>
      <c r="O4960" s="405" t="s">
        <v>9530</v>
      </c>
      <c r="P4960" s="405" t="s">
        <v>11385</v>
      </c>
      <c r="Q4960" s="411">
        <v>6</v>
      </c>
      <c r="R4960" s="405" t="s">
        <v>5655</v>
      </c>
      <c r="S4960" s="405" t="s">
        <v>27337</v>
      </c>
      <c r="T4960" s="405" t="s">
        <v>32102</v>
      </c>
      <c r="U4960" s="405" t="s">
        <v>319</v>
      </c>
    </row>
    <row r="4961" spans="1:21" x14ac:dyDescent="0.25">
      <c r="A4961" s="405" t="s">
        <v>310</v>
      </c>
      <c r="B4961" s="405" t="s">
        <v>21657</v>
      </c>
      <c r="C4961" s="405" t="s">
        <v>327</v>
      </c>
      <c r="D4961" s="405"/>
      <c r="E4961" s="410">
        <v>41760</v>
      </c>
      <c r="F4961" s="410">
        <v>41805</v>
      </c>
      <c r="G4961" s="405" t="s">
        <v>21658</v>
      </c>
      <c r="H4961" s="405">
        <v>772578931</v>
      </c>
      <c r="I4961" s="405"/>
      <c r="J4961" s="405">
        <v>0.78403699999999998</v>
      </c>
      <c r="K4961" s="405">
        <v>30.410374999999998</v>
      </c>
      <c r="L4961" s="405" t="s">
        <v>590</v>
      </c>
      <c r="M4961" s="405" t="s">
        <v>20426</v>
      </c>
      <c r="N4961" s="405" t="s">
        <v>20692</v>
      </c>
      <c r="O4961" s="405" t="s">
        <v>20748</v>
      </c>
      <c r="P4961" s="405" t="s">
        <v>21659</v>
      </c>
      <c r="Q4961" s="411">
        <v>6</v>
      </c>
      <c r="R4961" s="405" t="s">
        <v>333</v>
      </c>
      <c r="S4961" s="405" t="s">
        <v>27400</v>
      </c>
      <c r="T4961" s="405" t="s">
        <v>32102</v>
      </c>
      <c r="U4961" s="405" t="s">
        <v>319</v>
      </c>
    </row>
    <row r="4962" spans="1:21" x14ac:dyDescent="0.25">
      <c r="A4962" s="405" t="s">
        <v>310</v>
      </c>
      <c r="B4962" s="405" t="s">
        <v>5862</v>
      </c>
      <c r="C4962" s="405" t="s">
        <v>311</v>
      </c>
      <c r="D4962" s="405" t="s">
        <v>312</v>
      </c>
      <c r="E4962" s="410">
        <v>41759</v>
      </c>
      <c r="F4962" s="410">
        <v>41804</v>
      </c>
      <c r="G4962" s="405" t="s">
        <v>5863</v>
      </c>
      <c r="H4962" s="405">
        <v>772405588</v>
      </c>
      <c r="I4962" s="405"/>
      <c r="J4962" s="405">
        <v>9.5180000000000001E-2</v>
      </c>
      <c r="K4962" s="405">
        <v>32.504111999999999</v>
      </c>
      <c r="L4962" s="405" t="s">
        <v>314</v>
      </c>
      <c r="M4962" s="405" t="s">
        <v>361</v>
      </c>
      <c r="N4962" s="405" t="s">
        <v>374</v>
      </c>
      <c r="O4962" s="405" t="s">
        <v>638</v>
      </c>
      <c r="P4962" s="405" t="s">
        <v>5864</v>
      </c>
      <c r="Q4962" s="411">
        <v>9</v>
      </c>
      <c r="R4962" s="405" t="s">
        <v>525</v>
      </c>
      <c r="S4962" s="405" t="s">
        <v>27225</v>
      </c>
      <c r="T4962" s="405" t="s">
        <v>32102</v>
      </c>
      <c r="U4962" s="405" t="s">
        <v>319</v>
      </c>
    </row>
    <row r="4963" spans="1:21" x14ac:dyDescent="0.25">
      <c r="A4963" s="405" t="s">
        <v>310</v>
      </c>
      <c r="B4963" s="405" t="s">
        <v>28127</v>
      </c>
      <c r="C4963" s="405" t="s">
        <v>327</v>
      </c>
      <c r="D4963" s="405"/>
      <c r="E4963" s="410">
        <v>41759</v>
      </c>
      <c r="F4963" s="410">
        <v>41804</v>
      </c>
      <c r="G4963" s="405" t="s">
        <v>21677</v>
      </c>
      <c r="H4963" s="405">
        <v>703798792</v>
      </c>
      <c r="I4963" s="405"/>
      <c r="J4963" s="405">
        <v>-0.51227900000000004</v>
      </c>
      <c r="K4963" s="405">
        <v>30.250761000000001</v>
      </c>
      <c r="L4963" s="405" t="s">
        <v>590</v>
      </c>
      <c r="M4963" s="405" t="s">
        <v>19625</v>
      </c>
      <c r="N4963" s="405" t="s">
        <v>19638</v>
      </c>
      <c r="O4963" s="405" t="s">
        <v>20937</v>
      </c>
      <c r="P4963" s="405" t="s">
        <v>19923</v>
      </c>
      <c r="Q4963" s="411">
        <v>6</v>
      </c>
      <c r="R4963" s="405" t="s">
        <v>883</v>
      </c>
      <c r="S4963" s="405" t="s">
        <v>27096</v>
      </c>
      <c r="T4963" s="405" t="s">
        <v>32102</v>
      </c>
      <c r="U4963" s="405" t="s">
        <v>319</v>
      </c>
    </row>
    <row r="4964" spans="1:21" x14ac:dyDescent="0.25">
      <c r="A4964" s="405" t="s">
        <v>310</v>
      </c>
      <c r="B4964" s="405" t="s">
        <v>28169</v>
      </c>
      <c r="C4964" s="405" t="s">
        <v>327</v>
      </c>
      <c r="D4964" s="405"/>
      <c r="E4964" s="410">
        <v>41759</v>
      </c>
      <c r="F4964" s="410">
        <v>41804</v>
      </c>
      <c r="G4964" s="405" t="s">
        <v>13556</v>
      </c>
      <c r="H4964" s="405">
        <v>702632891</v>
      </c>
      <c r="I4964" s="405"/>
      <c r="J4964" s="405">
        <v>1.105593</v>
      </c>
      <c r="K4964" s="405">
        <v>34.211998000000001</v>
      </c>
      <c r="L4964" s="405" t="s">
        <v>6866</v>
      </c>
      <c r="M4964" s="405" t="s">
        <v>9514</v>
      </c>
      <c r="N4964" s="405" t="s">
        <v>9529</v>
      </c>
      <c r="O4964" s="405" t="s">
        <v>9530</v>
      </c>
      <c r="P4964" s="405" t="s">
        <v>13529</v>
      </c>
      <c r="Q4964" s="411">
        <v>6</v>
      </c>
      <c r="R4964" s="405" t="s">
        <v>7224</v>
      </c>
      <c r="S4964" s="405" t="s">
        <v>27190</v>
      </c>
      <c r="T4964" s="405" t="s">
        <v>32102</v>
      </c>
      <c r="U4964" s="405" t="s">
        <v>319</v>
      </c>
    </row>
    <row r="4965" spans="1:21" x14ac:dyDescent="0.25">
      <c r="A4965" s="405" t="s">
        <v>310</v>
      </c>
      <c r="B4965" s="405" t="s">
        <v>13541</v>
      </c>
      <c r="C4965" s="405" t="s">
        <v>327</v>
      </c>
      <c r="D4965" s="405"/>
      <c r="E4965" s="410">
        <v>41759</v>
      </c>
      <c r="F4965" s="410">
        <v>41804</v>
      </c>
      <c r="G4965" s="405" t="s">
        <v>13542</v>
      </c>
      <c r="H4965" s="405">
        <v>775119289</v>
      </c>
      <c r="I4965" s="405"/>
      <c r="J4965" s="405">
        <v>1.12283</v>
      </c>
      <c r="K4965" s="405">
        <v>34.214382000000001</v>
      </c>
      <c r="L4965" s="405" t="s">
        <v>6866</v>
      </c>
      <c r="M4965" s="405" t="s">
        <v>9514</v>
      </c>
      <c r="N4965" s="405" t="s">
        <v>9529</v>
      </c>
      <c r="O4965" s="405" t="s">
        <v>9530</v>
      </c>
      <c r="P4965" s="405" t="s">
        <v>11340</v>
      </c>
      <c r="Q4965" s="411">
        <v>6</v>
      </c>
      <c r="R4965" s="405" t="s">
        <v>7224</v>
      </c>
      <c r="S4965" s="405" t="s">
        <v>27316</v>
      </c>
      <c r="T4965" s="405" t="s">
        <v>32102</v>
      </c>
      <c r="U4965" s="405" t="s">
        <v>319</v>
      </c>
    </row>
    <row r="4966" spans="1:21" x14ac:dyDescent="0.25">
      <c r="A4966" s="405" t="s">
        <v>310</v>
      </c>
      <c r="B4966" s="405" t="s">
        <v>2494</v>
      </c>
      <c r="C4966" s="405" t="s">
        <v>327</v>
      </c>
      <c r="D4966" s="405"/>
      <c r="E4966" s="410">
        <v>41759</v>
      </c>
      <c r="F4966" s="410">
        <v>41804</v>
      </c>
      <c r="G4966" s="405" t="s">
        <v>2495</v>
      </c>
      <c r="H4966" s="405">
        <v>702581773</v>
      </c>
      <c r="I4966" s="405"/>
      <c r="J4966" s="405">
        <v>0.216533</v>
      </c>
      <c r="K4966" s="405">
        <v>32.488832000000002</v>
      </c>
      <c r="L4966" s="405" t="s">
        <v>314</v>
      </c>
      <c r="M4966" s="405" t="s">
        <v>361</v>
      </c>
      <c r="N4966" s="405" t="s">
        <v>374</v>
      </c>
      <c r="O4966" s="405" t="s">
        <v>2496</v>
      </c>
      <c r="P4966" s="405" t="s">
        <v>2497</v>
      </c>
      <c r="Q4966" s="411">
        <v>6</v>
      </c>
      <c r="R4966" s="405" t="s">
        <v>353</v>
      </c>
      <c r="S4966" s="405" t="s">
        <v>27120</v>
      </c>
      <c r="T4966" s="405" t="s">
        <v>32102</v>
      </c>
      <c r="U4966" s="405" t="s">
        <v>319</v>
      </c>
    </row>
    <row r="4967" spans="1:21" x14ac:dyDescent="0.25">
      <c r="A4967" s="405" t="s">
        <v>310</v>
      </c>
      <c r="B4967" s="405" t="s">
        <v>13507</v>
      </c>
      <c r="C4967" s="405" t="s">
        <v>327</v>
      </c>
      <c r="D4967" s="405"/>
      <c r="E4967" s="410">
        <v>41759</v>
      </c>
      <c r="F4967" s="410">
        <v>41804</v>
      </c>
      <c r="G4967" s="405" t="s">
        <v>13508</v>
      </c>
      <c r="H4967" s="405">
        <v>782255449</v>
      </c>
      <c r="I4967" s="405"/>
      <c r="J4967" s="405">
        <v>1.108082</v>
      </c>
      <c r="K4967" s="405">
        <v>34.177692999999998</v>
      </c>
      <c r="L4967" s="405" t="s">
        <v>6866</v>
      </c>
      <c r="M4967" s="405" t="s">
        <v>9514</v>
      </c>
      <c r="N4967" s="405" t="s">
        <v>9529</v>
      </c>
      <c r="O4967" s="405" t="s">
        <v>9530</v>
      </c>
      <c r="P4967" s="405" t="s">
        <v>11707</v>
      </c>
      <c r="Q4967" s="411">
        <v>6</v>
      </c>
      <c r="R4967" s="405" t="s">
        <v>7224</v>
      </c>
      <c r="S4967" s="405" t="s">
        <v>17013</v>
      </c>
      <c r="T4967" s="405" t="s">
        <v>32102</v>
      </c>
      <c r="U4967" s="405" t="s">
        <v>319</v>
      </c>
    </row>
    <row r="4968" spans="1:21" x14ac:dyDescent="0.25">
      <c r="A4968" s="405" t="s">
        <v>310</v>
      </c>
      <c r="B4968" s="405" t="s">
        <v>13523</v>
      </c>
      <c r="C4968" s="405" t="s">
        <v>327</v>
      </c>
      <c r="D4968" s="405"/>
      <c r="E4968" s="410">
        <v>41758</v>
      </c>
      <c r="F4968" s="410">
        <v>41803</v>
      </c>
      <c r="G4968" s="405" t="s">
        <v>13524</v>
      </c>
      <c r="H4968" s="405">
        <v>785034111</v>
      </c>
      <c r="I4968" s="405"/>
      <c r="J4968" s="405">
        <v>1.1276280000000001</v>
      </c>
      <c r="K4968" s="405">
        <v>34.212757000000003</v>
      </c>
      <c r="L4968" s="405" t="s">
        <v>6866</v>
      </c>
      <c r="M4968" s="405" t="s">
        <v>9514</v>
      </c>
      <c r="N4968" s="405" t="s">
        <v>9529</v>
      </c>
      <c r="O4968" s="405" t="s">
        <v>9530</v>
      </c>
      <c r="P4968" s="405" t="s">
        <v>10082</v>
      </c>
      <c r="Q4968" s="411">
        <v>6</v>
      </c>
      <c r="R4968" s="405" t="s">
        <v>7224</v>
      </c>
      <c r="S4968" s="405" t="s">
        <v>27298</v>
      </c>
      <c r="T4968" s="405" t="s">
        <v>32102</v>
      </c>
      <c r="U4968" s="405" t="s">
        <v>319</v>
      </c>
    </row>
    <row r="4969" spans="1:21" x14ac:dyDescent="0.25">
      <c r="A4969" s="405" t="s">
        <v>310</v>
      </c>
      <c r="B4969" s="405" t="s">
        <v>29033</v>
      </c>
      <c r="C4969" s="405" t="s">
        <v>327</v>
      </c>
      <c r="D4969" s="405"/>
      <c r="E4969" s="410">
        <v>41758</v>
      </c>
      <c r="F4969" s="410">
        <v>41803</v>
      </c>
      <c r="G4969" s="405" t="s">
        <v>13527</v>
      </c>
      <c r="H4969" s="405">
        <v>752820805</v>
      </c>
      <c r="I4969" s="405"/>
      <c r="J4969" s="405">
        <v>1.127775</v>
      </c>
      <c r="K4969" s="405">
        <v>34.211154999999998</v>
      </c>
      <c r="L4969" s="405" t="s">
        <v>6866</v>
      </c>
      <c r="M4969" s="405" t="s">
        <v>9514</v>
      </c>
      <c r="N4969" s="405" t="s">
        <v>9529</v>
      </c>
      <c r="O4969" s="405" t="s">
        <v>9530</v>
      </c>
      <c r="P4969" s="405" t="s">
        <v>10082</v>
      </c>
      <c r="Q4969" s="411">
        <v>6</v>
      </c>
      <c r="R4969" s="405" t="s">
        <v>7224</v>
      </c>
      <c r="S4969" s="405" t="s">
        <v>27306</v>
      </c>
      <c r="T4969" s="405" t="s">
        <v>32102</v>
      </c>
      <c r="U4969" s="405" t="s">
        <v>319</v>
      </c>
    </row>
    <row r="4970" spans="1:21" x14ac:dyDescent="0.25">
      <c r="A4970" s="405" t="s">
        <v>310</v>
      </c>
      <c r="B4970" s="405" t="s">
        <v>5294</v>
      </c>
      <c r="C4970" s="405" t="s">
        <v>327</v>
      </c>
      <c r="D4970" s="405"/>
      <c r="E4970" s="410">
        <v>41757</v>
      </c>
      <c r="F4970" s="410">
        <v>41802</v>
      </c>
      <c r="G4970" s="405" t="s">
        <v>5295</v>
      </c>
      <c r="H4970" s="405">
        <v>777151095</v>
      </c>
      <c r="I4970" s="405"/>
      <c r="J4970" s="405">
        <v>0.29617700000000002</v>
      </c>
      <c r="K4970" s="405">
        <v>32.776719999999997</v>
      </c>
      <c r="L4970" s="405" t="s">
        <v>314</v>
      </c>
      <c r="M4970" s="405" t="s">
        <v>329</v>
      </c>
      <c r="N4970" s="405" t="s">
        <v>803</v>
      </c>
      <c r="O4970" s="405" t="s">
        <v>653</v>
      </c>
      <c r="P4970" s="405" t="s">
        <v>5296</v>
      </c>
      <c r="Q4970" s="411">
        <v>13</v>
      </c>
      <c r="R4970" s="405" t="s">
        <v>525</v>
      </c>
      <c r="S4970" s="405" t="s">
        <v>27138</v>
      </c>
      <c r="T4970" s="405" t="s">
        <v>32102</v>
      </c>
      <c r="U4970" s="405" t="s">
        <v>319</v>
      </c>
    </row>
    <row r="4971" spans="1:21" x14ac:dyDescent="0.25">
      <c r="A4971" s="405" t="s">
        <v>310</v>
      </c>
      <c r="B4971" s="405" t="s">
        <v>13552</v>
      </c>
      <c r="C4971" s="405" t="s">
        <v>327</v>
      </c>
      <c r="D4971" s="405"/>
      <c r="E4971" s="410">
        <v>41757</v>
      </c>
      <c r="F4971" s="410">
        <v>41802</v>
      </c>
      <c r="G4971" s="405" t="s">
        <v>13553</v>
      </c>
      <c r="H4971" s="405">
        <v>785530326</v>
      </c>
      <c r="I4971" s="405"/>
      <c r="J4971" s="405">
        <v>1.67726</v>
      </c>
      <c r="K4971" s="405">
        <v>33.007375000000003</v>
      </c>
      <c r="L4971" s="405" t="s">
        <v>6866</v>
      </c>
      <c r="M4971" s="405" t="s">
        <v>12153</v>
      </c>
      <c r="N4971" s="405" t="s">
        <v>12153</v>
      </c>
      <c r="O4971" s="405" t="s">
        <v>12154</v>
      </c>
      <c r="P4971" s="405" t="s">
        <v>12939</v>
      </c>
      <c r="Q4971" s="411">
        <v>9</v>
      </c>
      <c r="R4971" s="405" t="s">
        <v>525</v>
      </c>
      <c r="S4971" s="405" t="s">
        <v>27243</v>
      </c>
      <c r="T4971" s="405" t="s">
        <v>865</v>
      </c>
      <c r="U4971" s="405" t="s">
        <v>866</v>
      </c>
    </row>
    <row r="4972" spans="1:21" x14ac:dyDescent="0.25">
      <c r="A4972" s="405" t="s">
        <v>310</v>
      </c>
      <c r="B4972" s="405" t="s">
        <v>13536</v>
      </c>
      <c r="C4972" s="405" t="s">
        <v>327</v>
      </c>
      <c r="D4972" s="405"/>
      <c r="E4972" s="410">
        <v>41757</v>
      </c>
      <c r="F4972" s="410">
        <v>41802</v>
      </c>
      <c r="G4972" s="405" t="s">
        <v>13537</v>
      </c>
      <c r="H4972" s="405">
        <v>782495393</v>
      </c>
      <c r="I4972" s="405"/>
      <c r="J4972" s="405">
        <v>1.1440920000000001</v>
      </c>
      <c r="K4972" s="405">
        <v>34.195872000000001</v>
      </c>
      <c r="L4972" s="405" t="s">
        <v>6866</v>
      </c>
      <c r="M4972" s="405" t="s">
        <v>9514</v>
      </c>
      <c r="N4972" s="405" t="s">
        <v>9529</v>
      </c>
      <c r="O4972" s="405" t="s">
        <v>9530</v>
      </c>
      <c r="P4972" s="405" t="s">
        <v>13538</v>
      </c>
      <c r="Q4972" s="411">
        <v>6</v>
      </c>
      <c r="R4972" s="405" t="s">
        <v>7224</v>
      </c>
      <c r="S4972" s="405" t="s">
        <v>27259</v>
      </c>
      <c r="T4972" s="405" t="s">
        <v>32102</v>
      </c>
      <c r="U4972" s="405" t="s">
        <v>319</v>
      </c>
    </row>
    <row r="4973" spans="1:21" x14ac:dyDescent="0.25">
      <c r="A4973" s="405" t="s">
        <v>310</v>
      </c>
      <c r="B4973" s="405" t="s">
        <v>28968</v>
      </c>
      <c r="C4973" s="405" t="s">
        <v>327</v>
      </c>
      <c r="D4973" s="405"/>
      <c r="E4973" s="410">
        <v>41755</v>
      </c>
      <c r="F4973" s="410">
        <v>41800</v>
      </c>
      <c r="G4973" s="405" t="s">
        <v>21627</v>
      </c>
      <c r="H4973" s="405">
        <v>785836915</v>
      </c>
      <c r="I4973" s="405"/>
      <c r="J4973" s="405">
        <v>-0.504938</v>
      </c>
      <c r="K4973" s="405">
        <v>30.340170000000001</v>
      </c>
      <c r="L4973" s="405" t="s">
        <v>590</v>
      </c>
      <c r="M4973" s="405" t="s">
        <v>19725</v>
      </c>
      <c r="N4973" s="405" t="s">
        <v>19725</v>
      </c>
      <c r="O4973" s="405" t="s">
        <v>20792</v>
      </c>
      <c r="P4973" s="405" t="s">
        <v>21628</v>
      </c>
      <c r="Q4973" s="411">
        <v>6</v>
      </c>
      <c r="R4973" s="405" t="s">
        <v>333</v>
      </c>
      <c r="S4973" s="405" t="s">
        <v>27161</v>
      </c>
      <c r="T4973" s="405" t="s">
        <v>32102</v>
      </c>
      <c r="U4973" s="405" t="s">
        <v>319</v>
      </c>
    </row>
    <row r="4974" spans="1:21" x14ac:dyDescent="0.25">
      <c r="A4974" s="405" t="s">
        <v>310</v>
      </c>
      <c r="B4974" s="405" t="s">
        <v>13554</v>
      </c>
      <c r="C4974" s="405" t="s">
        <v>327</v>
      </c>
      <c r="D4974" s="405"/>
      <c r="E4974" s="410">
        <v>41753</v>
      </c>
      <c r="F4974" s="410">
        <v>41798</v>
      </c>
      <c r="G4974" s="405" t="s">
        <v>13555</v>
      </c>
      <c r="H4974" s="405">
        <v>782496072</v>
      </c>
      <c r="I4974" s="405"/>
      <c r="J4974" s="405">
        <v>0.92388300000000001</v>
      </c>
      <c r="K4974" s="405">
        <v>34.227770999999997</v>
      </c>
      <c r="L4974" s="405" t="s">
        <v>6866</v>
      </c>
      <c r="M4974" s="405" t="s">
        <v>9514</v>
      </c>
      <c r="N4974" s="405" t="s">
        <v>9529</v>
      </c>
      <c r="O4974" s="405" t="s">
        <v>9581</v>
      </c>
      <c r="P4974" s="405" t="s">
        <v>13125</v>
      </c>
      <c r="Q4974" s="411">
        <v>6</v>
      </c>
      <c r="R4974" s="405" t="s">
        <v>7224</v>
      </c>
      <c r="S4974" s="405" t="s">
        <v>27283</v>
      </c>
      <c r="T4974" s="405" t="s">
        <v>865</v>
      </c>
      <c r="U4974" s="405" t="s">
        <v>866</v>
      </c>
    </row>
    <row r="4975" spans="1:21" x14ac:dyDescent="0.25">
      <c r="A4975" s="405" t="s">
        <v>310</v>
      </c>
      <c r="B4975" s="405" t="s">
        <v>28831</v>
      </c>
      <c r="C4975" s="405" t="s">
        <v>311</v>
      </c>
      <c r="D4975" s="405" t="s">
        <v>21904</v>
      </c>
      <c r="E4975" s="410">
        <v>41751</v>
      </c>
      <c r="F4975" s="410">
        <v>41796</v>
      </c>
      <c r="G4975" s="405" t="s">
        <v>21905</v>
      </c>
      <c r="H4975" s="405">
        <v>788888598</v>
      </c>
      <c r="I4975" s="405"/>
      <c r="J4975" s="405">
        <v>-0.57984599999999997</v>
      </c>
      <c r="K4975" s="405">
        <v>30.434757999999999</v>
      </c>
      <c r="L4975" s="405" t="s">
        <v>590</v>
      </c>
      <c r="M4975" s="405" t="s">
        <v>19725</v>
      </c>
      <c r="N4975" s="405" t="s">
        <v>19725</v>
      </c>
      <c r="O4975" s="405" t="s">
        <v>20611</v>
      </c>
      <c r="P4975" s="405" t="s">
        <v>21906</v>
      </c>
      <c r="Q4975" s="411">
        <v>9</v>
      </c>
      <c r="R4975" s="405" t="s">
        <v>874</v>
      </c>
      <c r="S4975" s="405" t="s">
        <v>27205</v>
      </c>
      <c r="T4975" s="405" t="s">
        <v>32102</v>
      </c>
      <c r="U4975" s="405" t="s">
        <v>319</v>
      </c>
    </row>
    <row r="4976" spans="1:21" x14ac:dyDescent="0.25">
      <c r="A4976" s="405" t="s">
        <v>310</v>
      </c>
      <c r="B4976" s="405" t="s">
        <v>21629</v>
      </c>
      <c r="C4976" s="405" t="s">
        <v>327</v>
      </c>
      <c r="D4976" s="405"/>
      <c r="E4976" s="410">
        <v>41751</v>
      </c>
      <c r="F4976" s="410">
        <v>41796</v>
      </c>
      <c r="G4976" s="405" t="s">
        <v>21630</v>
      </c>
      <c r="H4976" s="405">
        <v>772859909</v>
      </c>
      <c r="I4976" s="405"/>
      <c r="J4976" s="405">
        <v>-0.64851999999999999</v>
      </c>
      <c r="K4976" s="405">
        <v>30.657385999999999</v>
      </c>
      <c r="L4976" s="405" t="s">
        <v>590</v>
      </c>
      <c r="M4976" s="405" t="s">
        <v>19614</v>
      </c>
      <c r="N4976" s="405" t="s">
        <v>19873</v>
      </c>
      <c r="O4976" s="405" t="s">
        <v>20338</v>
      </c>
      <c r="P4976" s="405" t="s">
        <v>1524</v>
      </c>
      <c r="Q4976" s="411">
        <v>9</v>
      </c>
      <c r="R4976" s="405" t="s">
        <v>883</v>
      </c>
      <c r="S4976" s="405" t="s">
        <v>27183</v>
      </c>
      <c r="T4976" s="405" t="s">
        <v>32102</v>
      </c>
      <c r="U4976" s="405" t="s">
        <v>319</v>
      </c>
    </row>
    <row r="4977" spans="1:21" x14ac:dyDescent="0.25">
      <c r="A4977" s="405" t="s">
        <v>310</v>
      </c>
      <c r="B4977" s="405" t="s">
        <v>21631</v>
      </c>
      <c r="C4977" s="405" t="s">
        <v>327</v>
      </c>
      <c r="D4977" s="405"/>
      <c r="E4977" s="410">
        <v>41751</v>
      </c>
      <c r="F4977" s="410">
        <v>41796</v>
      </c>
      <c r="G4977" s="405" t="s">
        <v>21632</v>
      </c>
      <c r="H4977" s="405">
        <v>754085240</v>
      </c>
      <c r="I4977" s="405">
        <v>756211220</v>
      </c>
      <c r="J4977" s="405">
        <v>-0.76994499999999999</v>
      </c>
      <c r="K4977" s="405">
        <v>30.672003</v>
      </c>
      <c r="L4977" s="405" t="s">
        <v>590</v>
      </c>
      <c r="M4977" s="405" t="s">
        <v>879</v>
      </c>
      <c r="N4977" s="405" t="s">
        <v>879</v>
      </c>
      <c r="O4977" s="405" t="s">
        <v>20020</v>
      </c>
      <c r="P4977" s="405" t="s">
        <v>19726</v>
      </c>
      <c r="Q4977" s="411">
        <v>6</v>
      </c>
      <c r="R4977" s="405" t="s">
        <v>883</v>
      </c>
      <c r="S4977" s="405" t="s">
        <v>27183</v>
      </c>
      <c r="T4977" s="405" t="s">
        <v>32102</v>
      </c>
      <c r="U4977" s="405" t="s">
        <v>319</v>
      </c>
    </row>
    <row r="4978" spans="1:21" x14ac:dyDescent="0.25">
      <c r="A4978" s="405" t="s">
        <v>310</v>
      </c>
      <c r="B4978" s="405" t="s">
        <v>21852</v>
      </c>
      <c r="C4978" s="405" t="s">
        <v>311</v>
      </c>
      <c r="D4978" s="405" t="s">
        <v>839</v>
      </c>
      <c r="E4978" s="410">
        <v>41751</v>
      </c>
      <c r="F4978" s="410">
        <v>41796</v>
      </c>
      <c r="G4978" s="405" t="s">
        <v>21853</v>
      </c>
      <c r="H4978" s="405">
        <v>773490539</v>
      </c>
      <c r="I4978" s="405"/>
      <c r="J4978" s="405">
        <v>-0.52481100000000003</v>
      </c>
      <c r="K4978" s="405">
        <v>30.352881</v>
      </c>
      <c r="L4978" s="405" t="s">
        <v>590</v>
      </c>
      <c r="M4978" s="405" t="s">
        <v>19725</v>
      </c>
      <c r="N4978" s="405" t="s">
        <v>19725</v>
      </c>
      <c r="O4978" s="405" t="s">
        <v>20792</v>
      </c>
      <c r="P4978" s="405" t="s">
        <v>21854</v>
      </c>
      <c r="Q4978" s="411">
        <v>6</v>
      </c>
      <c r="R4978" s="405" t="s">
        <v>333</v>
      </c>
      <c r="S4978" s="405" t="s">
        <v>27161</v>
      </c>
      <c r="T4978" s="405" t="s">
        <v>32102</v>
      </c>
      <c r="U4978" s="405" t="s">
        <v>319</v>
      </c>
    </row>
    <row r="4979" spans="1:21" x14ac:dyDescent="0.25">
      <c r="A4979" s="405" t="s">
        <v>310</v>
      </c>
      <c r="B4979" s="405" t="s">
        <v>21623</v>
      </c>
      <c r="C4979" s="405" t="s">
        <v>327</v>
      </c>
      <c r="D4979" s="405"/>
      <c r="E4979" s="410">
        <v>41749</v>
      </c>
      <c r="F4979" s="410">
        <v>41794</v>
      </c>
      <c r="G4979" s="405" t="s">
        <v>21624</v>
      </c>
      <c r="H4979" s="405">
        <v>773354100</v>
      </c>
      <c r="I4979" s="405"/>
      <c r="J4979" s="405">
        <v>0.324683</v>
      </c>
      <c r="K4979" s="405">
        <v>30.528407000000001</v>
      </c>
      <c r="L4979" s="405" t="s">
        <v>590</v>
      </c>
      <c r="M4979" s="405" t="s">
        <v>19720</v>
      </c>
      <c r="N4979" s="405" t="s">
        <v>19721</v>
      </c>
      <c r="O4979" s="405" t="s">
        <v>21625</v>
      </c>
      <c r="P4979" s="405" t="s">
        <v>21626</v>
      </c>
      <c r="Q4979" s="411">
        <v>6</v>
      </c>
      <c r="R4979" s="405" t="s">
        <v>402</v>
      </c>
      <c r="S4979" s="405" t="s">
        <v>27181</v>
      </c>
      <c r="T4979" s="405" t="s">
        <v>32102</v>
      </c>
      <c r="U4979" s="405" t="s">
        <v>319</v>
      </c>
    </row>
    <row r="4980" spans="1:21" x14ac:dyDescent="0.25">
      <c r="A4980" s="405" t="s">
        <v>310</v>
      </c>
      <c r="B4980" s="405" t="s">
        <v>21601</v>
      </c>
      <c r="C4980" s="405" t="s">
        <v>327</v>
      </c>
      <c r="D4980" s="405"/>
      <c r="E4980" s="410">
        <v>41742</v>
      </c>
      <c r="F4980" s="410">
        <v>41787</v>
      </c>
      <c r="G4980" s="405" t="s">
        <v>21602</v>
      </c>
      <c r="H4980" s="405">
        <v>785644437</v>
      </c>
      <c r="I4980" s="405">
        <v>784510231</v>
      </c>
      <c r="J4980" s="405">
        <v>31.7067379</v>
      </c>
      <c r="K4980" s="405">
        <v>1.6884779000000001</v>
      </c>
      <c r="L4980" s="405" t="s">
        <v>590</v>
      </c>
      <c r="M4980" s="405" t="s">
        <v>19608</v>
      </c>
      <c r="N4980" s="405" t="s">
        <v>19762</v>
      </c>
      <c r="O4980" s="405" t="s">
        <v>19807</v>
      </c>
      <c r="P4980" s="405" t="s">
        <v>19808</v>
      </c>
      <c r="Q4980" s="411">
        <v>6</v>
      </c>
      <c r="R4980" s="405" t="s">
        <v>333</v>
      </c>
      <c r="S4980" s="405" t="s">
        <v>27126</v>
      </c>
      <c r="T4980" s="405" t="s">
        <v>32102</v>
      </c>
      <c r="U4980" s="405" t="s">
        <v>319</v>
      </c>
    </row>
    <row r="4981" spans="1:21" x14ac:dyDescent="0.25">
      <c r="A4981" s="405" t="s">
        <v>310</v>
      </c>
      <c r="B4981" s="405" t="s">
        <v>13502</v>
      </c>
      <c r="C4981" s="405" t="s">
        <v>327</v>
      </c>
      <c r="D4981" s="405"/>
      <c r="E4981" s="410">
        <v>41742</v>
      </c>
      <c r="F4981" s="410">
        <v>41787</v>
      </c>
      <c r="G4981" s="405" t="s">
        <v>13503</v>
      </c>
      <c r="H4981" s="405">
        <v>712946148</v>
      </c>
      <c r="I4981" s="405"/>
      <c r="J4981" s="405">
        <v>1.1080350000000001</v>
      </c>
      <c r="K4981" s="405">
        <v>34.179158000000001</v>
      </c>
      <c r="L4981" s="405" t="s">
        <v>6866</v>
      </c>
      <c r="M4981" s="405" t="s">
        <v>9514</v>
      </c>
      <c r="N4981" s="405" t="s">
        <v>9529</v>
      </c>
      <c r="O4981" s="405" t="s">
        <v>9530</v>
      </c>
      <c r="P4981" s="405" t="s">
        <v>11707</v>
      </c>
      <c r="Q4981" s="411">
        <v>6</v>
      </c>
      <c r="R4981" s="405" t="s">
        <v>7224</v>
      </c>
      <c r="S4981" s="405" t="s">
        <v>27306</v>
      </c>
      <c r="T4981" s="405" t="s">
        <v>32102</v>
      </c>
      <c r="U4981" s="405" t="s">
        <v>319</v>
      </c>
    </row>
    <row r="4982" spans="1:21" x14ac:dyDescent="0.25">
      <c r="A4982" s="405" t="s">
        <v>310</v>
      </c>
      <c r="B4982" s="405" t="s">
        <v>21603</v>
      </c>
      <c r="C4982" s="405" t="s">
        <v>327</v>
      </c>
      <c r="D4982" s="405"/>
      <c r="E4982" s="410">
        <v>41741</v>
      </c>
      <c r="F4982" s="410">
        <v>41786</v>
      </c>
      <c r="G4982" s="405" t="s">
        <v>21604</v>
      </c>
      <c r="H4982" s="405">
        <v>772986487</v>
      </c>
      <c r="I4982" s="405"/>
      <c r="J4982" s="405">
        <v>5.4682000000000001E-2</v>
      </c>
      <c r="K4982" s="405">
        <v>30.411992999999999</v>
      </c>
      <c r="L4982" s="405" t="s">
        <v>590</v>
      </c>
      <c r="M4982" s="405" t="s">
        <v>19720</v>
      </c>
      <c r="N4982" s="405" t="s">
        <v>20297</v>
      </c>
      <c r="O4982" s="405" t="s">
        <v>20439</v>
      </c>
      <c r="P4982" s="405" t="s">
        <v>21605</v>
      </c>
      <c r="Q4982" s="411">
        <v>6</v>
      </c>
      <c r="R4982" s="405" t="s">
        <v>402</v>
      </c>
      <c r="S4982" s="405" t="s">
        <v>27154</v>
      </c>
      <c r="T4982" s="405" t="s">
        <v>32102</v>
      </c>
      <c r="U4982" s="405" t="s">
        <v>319</v>
      </c>
    </row>
    <row r="4983" spans="1:21" x14ac:dyDescent="0.25">
      <c r="A4983" s="405" t="s">
        <v>310</v>
      </c>
      <c r="B4983" s="405" t="s">
        <v>21617</v>
      </c>
      <c r="C4983" s="405" t="s">
        <v>327</v>
      </c>
      <c r="D4983" s="405"/>
      <c r="E4983" s="410">
        <v>41734</v>
      </c>
      <c r="F4983" s="410">
        <v>41779</v>
      </c>
      <c r="G4983" s="405" t="s">
        <v>21618</v>
      </c>
      <c r="H4983" s="405">
        <v>782307252</v>
      </c>
      <c r="I4983" s="405"/>
      <c r="J4983" s="405">
        <v>-0.83095799999999997</v>
      </c>
      <c r="K4983" s="405">
        <v>29.970181</v>
      </c>
      <c r="L4983" s="405" t="s">
        <v>590</v>
      </c>
      <c r="M4983" s="405" t="s">
        <v>19619</v>
      </c>
      <c r="N4983" s="405" t="s">
        <v>19620</v>
      </c>
      <c r="O4983" s="405" t="s">
        <v>2430</v>
      </c>
      <c r="P4983" s="405" t="s">
        <v>19926</v>
      </c>
      <c r="Q4983" s="411">
        <v>6</v>
      </c>
      <c r="R4983" s="405" t="s">
        <v>883</v>
      </c>
      <c r="S4983" s="405" t="s">
        <v>27160</v>
      </c>
      <c r="T4983" s="405" t="s">
        <v>32102</v>
      </c>
      <c r="U4983" s="405" t="s">
        <v>319</v>
      </c>
    </row>
    <row r="4984" spans="1:21" x14ac:dyDescent="0.25">
      <c r="A4984" s="405" t="s">
        <v>310</v>
      </c>
      <c r="B4984" s="405" t="s">
        <v>21825</v>
      </c>
      <c r="C4984" s="405" t="s">
        <v>311</v>
      </c>
      <c r="D4984" s="405" t="s">
        <v>839</v>
      </c>
      <c r="E4984" s="410">
        <v>41733</v>
      </c>
      <c r="F4984" s="410">
        <v>41778</v>
      </c>
      <c r="G4984" s="405" t="s">
        <v>21826</v>
      </c>
      <c r="H4984" s="405">
        <v>774945617</v>
      </c>
      <c r="I4984" s="405"/>
      <c r="J4984" s="405">
        <v>-0.61659699999999995</v>
      </c>
      <c r="K4984" s="405">
        <v>30.074797</v>
      </c>
      <c r="L4984" s="405" t="s">
        <v>590</v>
      </c>
      <c r="M4984" s="405" t="s">
        <v>19625</v>
      </c>
      <c r="N4984" s="405" t="s">
        <v>20033</v>
      </c>
      <c r="O4984" s="405" t="s">
        <v>20034</v>
      </c>
      <c r="P4984" s="405" t="s">
        <v>21827</v>
      </c>
      <c r="Q4984" s="411">
        <v>6</v>
      </c>
      <c r="R4984" s="405" t="s">
        <v>883</v>
      </c>
      <c r="S4984" s="405" t="s">
        <v>27183</v>
      </c>
      <c r="T4984" s="405" t="s">
        <v>32102</v>
      </c>
      <c r="U4984" s="405" t="s">
        <v>319</v>
      </c>
    </row>
    <row r="4985" spans="1:21" x14ac:dyDescent="0.25">
      <c r="A4985" s="405" t="s">
        <v>310</v>
      </c>
      <c r="B4985" s="405" t="s">
        <v>13843</v>
      </c>
      <c r="C4985" s="405" t="s">
        <v>311</v>
      </c>
      <c r="D4985" s="405" t="s">
        <v>1111</v>
      </c>
      <c r="E4985" s="410">
        <v>41733</v>
      </c>
      <c r="F4985" s="410">
        <v>41778</v>
      </c>
      <c r="G4985" s="405" t="s">
        <v>13844</v>
      </c>
      <c r="H4985" s="405">
        <v>782058292</v>
      </c>
      <c r="I4985" s="405"/>
      <c r="J4985" s="405">
        <v>0.91407400000000005</v>
      </c>
      <c r="K4985" s="405">
        <v>34.236578999999999</v>
      </c>
      <c r="L4985" s="405" t="s">
        <v>6866</v>
      </c>
      <c r="M4985" s="405" t="s">
        <v>9763</v>
      </c>
      <c r="N4985" s="405" t="s">
        <v>9764</v>
      </c>
      <c r="O4985" s="405" t="s">
        <v>11680</v>
      </c>
      <c r="P4985" s="405" t="s">
        <v>13845</v>
      </c>
      <c r="Q4985" s="411">
        <v>4</v>
      </c>
      <c r="R4985" s="405" t="s">
        <v>7224</v>
      </c>
      <c r="S4985" s="405" t="s">
        <v>27306</v>
      </c>
      <c r="T4985" s="405" t="s">
        <v>865</v>
      </c>
      <c r="U4985" s="405" t="s">
        <v>866</v>
      </c>
    </row>
    <row r="4986" spans="1:21" x14ac:dyDescent="0.25">
      <c r="A4986" s="405" t="s">
        <v>310</v>
      </c>
      <c r="B4986" s="405" t="s">
        <v>33077</v>
      </c>
      <c r="C4986" s="405" t="s">
        <v>327</v>
      </c>
      <c r="D4986" s="405"/>
      <c r="E4986" s="410">
        <v>41732</v>
      </c>
      <c r="F4986" s="410">
        <v>41777</v>
      </c>
      <c r="G4986" s="405" t="s">
        <v>21621</v>
      </c>
      <c r="H4986" s="405">
        <v>706825523</v>
      </c>
      <c r="I4986" s="405"/>
      <c r="J4986" s="405">
        <v>-0.51670199999999999</v>
      </c>
      <c r="K4986" s="405">
        <v>30.255745999999998</v>
      </c>
      <c r="L4986" s="405" t="s">
        <v>590</v>
      </c>
      <c r="M4986" s="405" t="s">
        <v>19625</v>
      </c>
      <c r="N4986" s="405" t="s">
        <v>19642</v>
      </c>
      <c r="O4986" s="405" t="s">
        <v>20937</v>
      </c>
      <c r="P4986" s="405" t="s">
        <v>21622</v>
      </c>
      <c r="Q4986" s="411">
        <v>6</v>
      </c>
      <c r="R4986" s="405" t="s">
        <v>883</v>
      </c>
      <c r="S4986" s="405" t="s">
        <v>27096</v>
      </c>
      <c r="T4986" s="405" t="s">
        <v>32102</v>
      </c>
      <c r="U4986" s="405" t="s">
        <v>319</v>
      </c>
    </row>
    <row r="4987" spans="1:21" x14ac:dyDescent="0.25">
      <c r="A4987" s="405" t="s">
        <v>310</v>
      </c>
      <c r="B4987" s="405" t="s">
        <v>21609</v>
      </c>
      <c r="C4987" s="405" t="s">
        <v>327</v>
      </c>
      <c r="D4987" s="405"/>
      <c r="E4987" s="410">
        <v>41732</v>
      </c>
      <c r="F4987" s="410">
        <v>41777</v>
      </c>
      <c r="G4987" s="405" t="s">
        <v>21610</v>
      </c>
      <c r="H4987" s="405">
        <v>784040515</v>
      </c>
      <c r="I4987" s="405"/>
      <c r="J4987" s="405">
        <v>5.9577999999999999E-2</v>
      </c>
      <c r="K4987" s="405">
        <v>30.409859999999998</v>
      </c>
      <c r="L4987" s="405" t="s">
        <v>590</v>
      </c>
      <c r="M4987" s="405" t="s">
        <v>19720</v>
      </c>
      <c r="N4987" s="405" t="s">
        <v>20297</v>
      </c>
      <c r="O4987" s="405" t="s">
        <v>20439</v>
      </c>
      <c r="P4987" s="405" t="s">
        <v>21605</v>
      </c>
      <c r="Q4987" s="411">
        <v>6</v>
      </c>
      <c r="R4987" s="405" t="s">
        <v>402</v>
      </c>
      <c r="S4987" s="405" t="s">
        <v>27154</v>
      </c>
      <c r="T4987" s="405" t="s">
        <v>865</v>
      </c>
      <c r="U4987" s="405" t="s">
        <v>866</v>
      </c>
    </row>
    <row r="4988" spans="1:21" x14ac:dyDescent="0.25">
      <c r="A4988" s="405" t="s">
        <v>310</v>
      </c>
      <c r="B4988" s="405" t="s">
        <v>13846</v>
      </c>
      <c r="C4988" s="405" t="s">
        <v>311</v>
      </c>
      <c r="D4988" s="405" t="s">
        <v>312</v>
      </c>
      <c r="E4988" s="410">
        <v>41732</v>
      </c>
      <c r="F4988" s="410">
        <v>41777</v>
      </c>
      <c r="G4988" s="405" t="s">
        <v>13847</v>
      </c>
      <c r="H4988" s="405">
        <v>752999450</v>
      </c>
      <c r="I4988" s="405"/>
      <c r="J4988" s="405">
        <v>1.6536169999999999</v>
      </c>
      <c r="K4988" s="405">
        <v>33.601582999999998</v>
      </c>
      <c r="L4988" s="405" t="s">
        <v>6866</v>
      </c>
      <c r="M4988" s="405" t="s">
        <v>10515</v>
      </c>
      <c r="N4988" s="405" t="s">
        <v>10515</v>
      </c>
      <c r="O4988" s="405" t="s">
        <v>10516</v>
      </c>
      <c r="P4988" s="405" t="s">
        <v>13848</v>
      </c>
      <c r="Q4988" s="411">
        <v>6</v>
      </c>
      <c r="R4988" s="405" t="s">
        <v>5655</v>
      </c>
      <c r="S4988" s="405" t="s">
        <v>27056</v>
      </c>
      <c r="T4988" s="405" t="s">
        <v>32102</v>
      </c>
      <c r="U4988" s="405" t="s">
        <v>319</v>
      </c>
    </row>
    <row r="4989" spans="1:21" x14ac:dyDescent="0.25">
      <c r="A4989" s="405" t="s">
        <v>310</v>
      </c>
      <c r="B4989" s="405" t="s">
        <v>27673</v>
      </c>
      <c r="C4989" s="405" t="s">
        <v>311</v>
      </c>
      <c r="D4989" s="405" t="s">
        <v>839</v>
      </c>
      <c r="E4989" s="410">
        <v>41731</v>
      </c>
      <c r="F4989" s="410">
        <v>41776</v>
      </c>
      <c r="G4989" s="405" t="s">
        <v>21845</v>
      </c>
      <c r="H4989" s="405">
        <v>772852643</v>
      </c>
      <c r="I4989" s="405"/>
      <c r="J4989" s="405">
        <v>-0.48068899999999998</v>
      </c>
      <c r="K4989" s="405">
        <v>30.405397000000001</v>
      </c>
      <c r="L4989" s="405" t="s">
        <v>590</v>
      </c>
      <c r="M4989" s="405" t="s">
        <v>19725</v>
      </c>
      <c r="N4989" s="405" t="s">
        <v>19725</v>
      </c>
      <c r="O4989" s="405" t="s">
        <v>19938</v>
      </c>
      <c r="P4989" s="405" t="s">
        <v>20712</v>
      </c>
      <c r="Q4989" s="411">
        <v>9</v>
      </c>
      <c r="R4989" s="405" t="s">
        <v>333</v>
      </c>
      <c r="S4989" s="405" t="s">
        <v>27397</v>
      </c>
      <c r="T4989" s="405" t="s">
        <v>32102</v>
      </c>
      <c r="U4989" s="405" t="s">
        <v>319</v>
      </c>
    </row>
    <row r="4990" spans="1:21" x14ac:dyDescent="0.25">
      <c r="A4990" s="405" t="s">
        <v>310</v>
      </c>
      <c r="B4990" s="405" t="s">
        <v>13504</v>
      </c>
      <c r="C4990" s="405" t="s">
        <v>327</v>
      </c>
      <c r="D4990" s="405"/>
      <c r="E4990" s="410">
        <v>41729</v>
      </c>
      <c r="F4990" s="410">
        <v>41774</v>
      </c>
      <c r="G4990" s="405" t="s">
        <v>13505</v>
      </c>
      <c r="H4990" s="405">
        <v>788817124</v>
      </c>
      <c r="I4990" s="405"/>
      <c r="J4990" s="405">
        <v>0.98146599999999995</v>
      </c>
      <c r="K4990" s="405">
        <v>34.329825</v>
      </c>
      <c r="L4990" s="405" t="s">
        <v>6866</v>
      </c>
      <c r="M4990" s="405" t="s">
        <v>9763</v>
      </c>
      <c r="N4990" s="405" t="s">
        <v>9764</v>
      </c>
      <c r="O4990" s="405" t="s">
        <v>11926</v>
      </c>
      <c r="P4990" s="405" t="s">
        <v>13506</v>
      </c>
      <c r="Q4990" s="411">
        <v>6</v>
      </c>
      <c r="R4990" s="405" t="s">
        <v>7224</v>
      </c>
      <c r="S4990" s="405" t="s">
        <v>27259</v>
      </c>
      <c r="T4990" s="405" t="s">
        <v>884</v>
      </c>
      <c r="U4990" s="405" t="s">
        <v>319</v>
      </c>
    </row>
    <row r="4991" spans="1:21" x14ac:dyDescent="0.25">
      <c r="A4991" s="405" t="s">
        <v>310</v>
      </c>
      <c r="B4991" s="405" t="s">
        <v>21615</v>
      </c>
      <c r="C4991" s="405" t="s">
        <v>327</v>
      </c>
      <c r="D4991" s="405"/>
      <c r="E4991" s="410">
        <v>41720</v>
      </c>
      <c r="F4991" s="410">
        <v>41765</v>
      </c>
      <c r="G4991" s="405" t="s">
        <v>21616</v>
      </c>
      <c r="H4991" s="405">
        <v>701901204</v>
      </c>
      <c r="I4991" s="405"/>
      <c r="J4991" s="405">
        <v>-0.13656199999999999</v>
      </c>
      <c r="K4991" s="405">
        <v>30.507763000000001</v>
      </c>
      <c r="L4991" s="405" t="s">
        <v>590</v>
      </c>
      <c r="M4991" s="405" t="s">
        <v>870</v>
      </c>
      <c r="N4991" s="405" t="s">
        <v>19755</v>
      </c>
      <c r="O4991" s="405" t="s">
        <v>19756</v>
      </c>
      <c r="P4991" s="405" t="s">
        <v>19743</v>
      </c>
      <c r="Q4991" s="411">
        <v>6</v>
      </c>
      <c r="R4991" s="405" t="s">
        <v>333</v>
      </c>
      <c r="S4991" s="405" t="s">
        <v>27098</v>
      </c>
      <c r="T4991" s="405" t="s">
        <v>32102</v>
      </c>
      <c r="U4991" s="405" t="s">
        <v>319</v>
      </c>
    </row>
    <row r="4992" spans="1:21" x14ac:dyDescent="0.25">
      <c r="A4992" s="405" t="s">
        <v>310</v>
      </c>
      <c r="B4992" s="405" t="s">
        <v>27822</v>
      </c>
      <c r="C4992" s="405" t="s">
        <v>311</v>
      </c>
      <c r="D4992" s="405" t="s">
        <v>312</v>
      </c>
      <c r="E4992" s="410">
        <v>41720</v>
      </c>
      <c r="F4992" s="410">
        <v>41765</v>
      </c>
      <c r="G4992" s="405" t="s">
        <v>21820</v>
      </c>
      <c r="H4992" s="405">
        <v>776587758</v>
      </c>
      <c r="I4992" s="405"/>
      <c r="J4992" s="405">
        <v>-0.51879900000000001</v>
      </c>
      <c r="K4992" s="405">
        <v>30.359605999999999</v>
      </c>
      <c r="L4992" s="405" t="s">
        <v>590</v>
      </c>
      <c r="M4992" s="405" t="s">
        <v>19725</v>
      </c>
      <c r="N4992" s="405" t="s">
        <v>19725</v>
      </c>
      <c r="O4992" s="405" t="s">
        <v>20792</v>
      </c>
      <c r="P4992" s="405" t="s">
        <v>21821</v>
      </c>
      <c r="Q4992" s="411">
        <v>6</v>
      </c>
      <c r="R4992" s="405" t="s">
        <v>333</v>
      </c>
      <c r="S4992" s="405" t="s">
        <v>27161</v>
      </c>
      <c r="T4992" s="405" t="s">
        <v>865</v>
      </c>
      <c r="U4992" s="405" t="s">
        <v>866</v>
      </c>
    </row>
    <row r="4993" spans="1:21" x14ac:dyDescent="0.25">
      <c r="A4993" s="405" t="s">
        <v>310</v>
      </c>
      <c r="B4993" s="405" t="s">
        <v>28097</v>
      </c>
      <c r="C4993" s="405" t="s">
        <v>327</v>
      </c>
      <c r="D4993" s="405"/>
      <c r="E4993" s="410">
        <v>41718</v>
      </c>
      <c r="F4993" s="410">
        <v>41763</v>
      </c>
      <c r="G4993" s="405" t="s">
        <v>21598</v>
      </c>
      <c r="H4993" s="405">
        <v>773446374</v>
      </c>
      <c r="I4993" s="405"/>
      <c r="J4993" s="405">
        <v>-0.65907499999999997</v>
      </c>
      <c r="K4993" s="405">
        <v>30.694676000000001</v>
      </c>
      <c r="L4993" s="405" t="s">
        <v>590</v>
      </c>
      <c r="M4993" s="405" t="s">
        <v>879</v>
      </c>
      <c r="N4993" s="405" t="s">
        <v>21599</v>
      </c>
      <c r="O4993" s="405" t="s">
        <v>881</v>
      </c>
      <c r="P4993" s="405" t="s">
        <v>21600</v>
      </c>
      <c r="Q4993" s="411">
        <v>13</v>
      </c>
      <c r="R4993" s="405" t="s">
        <v>333</v>
      </c>
      <c r="S4993" s="405" t="s">
        <v>27051</v>
      </c>
      <c r="T4993" s="405" t="s">
        <v>32102</v>
      </c>
      <c r="U4993" s="405" t="s">
        <v>319</v>
      </c>
    </row>
    <row r="4994" spans="1:21" x14ac:dyDescent="0.25">
      <c r="A4994" s="405" t="s">
        <v>310</v>
      </c>
      <c r="B4994" s="405" t="s">
        <v>21611</v>
      </c>
      <c r="C4994" s="405" t="s">
        <v>327</v>
      </c>
      <c r="D4994" s="405"/>
      <c r="E4994" s="410">
        <v>41716</v>
      </c>
      <c r="F4994" s="410">
        <v>41761</v>
      </c>
      <c r="G4994" s="405" t="s">
        <v>21612</v>
      </c>
      <c r="H4994" s="405">
        <v>774860020</v>
      </c>
      <c r="I4994" s="405">
        <v>777298116</v>
      </c>
      <c r="J4994" s="405">
        <v>0.25853799999999999</v>
      </c>
      <c r="K4994" s="405">
        <v>30.500997000000002</v>
      </c>
      <c r="L4994" s="405" t="s">
        <v>590</v>
      </c>
      <c r="M4994" s="405" t="s">
        <v>19720</v>
      </c>
      <c r="N4994" s="405" t="s">
        <v>19721</v>
      </c>
      <c r="O4994" s="405" t="s">
        <v>21613</v>
      </c>
      <c r="P4994" s="405" t="s">
        <v>21614</v>
      </c>
      <c r="Q4994" s="411">
        <v>6</v>
      </c>
      <c r="R4994" s="405" t="s">
        <v>402</v>
      </c>
      <c r="S4994" s="405" t="s">
        <v>27275</v>
      </c>
      <c r="T4994" s="405" t="s">
        <v>32102</v>
      </c>
      <c r="U4994" s="405" t="s">
        <v>319</v>
      </c>
    </row>
    <row r="4995" spans="1:21" x14ac:dyDescent="0.25">
      <c r="A4995" s="405" t="s">
        <v>310</v>
      </c>
      <c r="B4995" s="405" t="s">
        <v>5289</v>
      </c>
      <c r="C4995" s="405" t="s">
        <v>327</v>
      </c>
      <c r="D4995" s="405"/>
      <c r="E4995" s="410">
        <v>41715</v>
      </c>
      <c r="F4995" s="410">
        <v>41760</v>
      </c>
      <c r="G4995" s="405" t="s">
        <v>5290</v>
      </c>
      <c r="H4995" s="405">
        <v>703452131</v>
      </c>
      <c r="I4995" s="405"/>
      <c r="J4995" s="405">
        <v>0.888598</v>
      </c>
      <c r="K4995" s="405">
        <v>31.697277</v>
      </c>
      <c r="L4995" s="405" t="s">
        <v>314</v>
      </c>
      <c r="M4995" s="405" t="s">
        <v>1360</v>
      </c>
      <c r="N4995" s="405" t="s">
        <v>1361</v>
      </c>
      <c r="O4995" s="405" t="s">
        <v>4476</v>
      </c>
      <c r="P4995" s="405" t="s">
        <v>5291</v>
      </c>
      <c r="Q4995" s="411">
        <v>13</v>
      </c>
      <c r="R4995" s="405" t="s">
        <v>32476</v>
      </c>
      <c r="S4995" s="405" t="s">
        <v>27047</v>
      </c>
      <c r="T4995" s="405" t="s">
        <v>32102</v>
      </c>
      <c r="U4995" s="405" t="s">
        <v>319</v>
      </c>
    </row>
    <row r="4996" spans="1:21" x14ac:dyDescent="0.25">
      <c r="A4996" s="405" t="s">
        <v>310</v>
      </c>
      <c r="B4996" s="405" t="s">
        <v>27470</v>
      </c>
      <c r="C4996" s="405" t="s">
        <v>327</v>
      </c>
      <c r="D4996" s="405"/>
      <c r="E4996" s="410">
        <v>41714</v>
      </c>
      <c r="F4996" s="410">
        <v>41759</v>
      </c>
      <c r="G4996" s="405" t="s">
        <v>21559</v>
      </c>
      <c r="H4996" s="405">
        <v>772686708</v>
      </c>
      <c r="I4996" s="405"/>
      <c r="J4996" s="405">
        <v>-0.64590999999999998</v>
      </c>
      <c r="K4996" s="405">
        <v>30.324642000000001</v>
      </c>
      <c r="L4996" s="405" t="s">
        <v>590</v>
      </c>
      <c r="M4996" s="405" t="s">
        <v>19725</v>
      </c>
      <c r="N4996" s="405" t="s">
        <v>19725</v>
      </c>
      <c r="O4996" s="405" t="s">
        <v>19797</v>
      </c>
      <c r="P4996" s="405" t="s">
        <v>21560</v>
      </c>
      <c r="Q4996" s="411">
        <v>13</v>
      </c>
      <c r="R4996" s="405" t="s">
        <v>333</v>
      </c>
      <c r="S4996" s="405" t="s">
        <v>27153</v>
      </c>
      <c r="T4996" s="405" t="s">
        <v>32102</v>
      </c>
      <c r="U4996" s="405" t="s">
        <v>319</v>
      </c>
    </row>
    <row r="4997" spans="1:21" x14ac:dyDescent="0.25">
      <c r="A4997" s="405" t="s">
        <v>310</v>
      </c>
      <c r="B4997" s="405" t="s">
        <v>28322</v>
      </c>
      <c r="C4997" s="405" t="s">
        <v>327</v>
      </c>
      <c r="D4997" s="405"/>
      <c r="E4997" s="410">
        <v>41712</v>
      </c>
      <c r="F4997" s="410">
        <v>41757</v>
      </c>
      <c r="G4997" s="405" t="s">
        <v>13490</v>
      </c>
      <c r="H4997" s="405">
        <v>782538960</v>
      </c>
      <c r="I4997" s="405"/>
      <c r="J4997" s="405">
        <v>1.089197</v>
      </c>
      <c r="K4997" s="405">
        <v>34.199202</v>
      </c>
      <c r="L4997" s="405" t="s">
        <v>6866</v>
      </c>
      <c r="M4997" s="405" t="s">
        <v>9514</v>
      </c>
      <c r="N4997" s="405" t="s">
        <v>9529</v>
      </c>
      <c r="O4997" s="405" t="s">
        <v>9530</v>
      </c>
      <c r="P4997" s="405" t="s">
        <v>11014</v>
      </c>
      <c r="Q4997" s="411">
        <v>6</v>
      </c>
      <c r="R4997" s="405" t="s">
        <v>5655</v>
      </c>
      <c r="S4997" s="405" t="s">
        <v>27169</v>
      </c>
      <c r="T4997" s="405" t="s">
        <v>32102</v>
      </c>
      <c r="U4997" s="405" t="s">
        <v>319</v>
      </c>
    </row>
    <row r="4998" spans="1:21" x14ac:dyDescent="0.25">
      <c r="A4998" s="405" t="s">
        <v>310</v>
      </c>
      <c r="B4998" s="405" t="s">
        <v>13487</v>
      </c>
      <c r="C4998" s="405" t="s">
        <v>327</v>
      </c>
      <c r="D4998" s="405"/>
      <c r="E4998" s="410">
        <v>41711</v>
      </c>
      <c r="F4998" s="410">
        <v>41756</v>
      </c>
      <c r="G4998" s="405" t="s">
        <v>13488</v>
      </c>
      <c r="H4998" s="405">
        <v>772624668</v>
      </c>
      <c r="I4998" s="405">
        <v>775645155</v>
      </c>
      <c r="J4998" s="405">
        <v>1.7012700000000001</v>
      </c>
      <c r="K4998" s="405">
        <v>33.608659000000003</v>
      </c>
      <c r="L4998" s="405" t="s">
        <v>6866</v>
      </c>
      <c r="M4998" s="405" t="s">
        <v>10515</v>
      </c>
      <c r="N4998" s="405" t="s">
        <v>10765</v>
      </c>
      <c r="O4998" s="405" t="s">
        <v>6748</v>
      </c>
      <c r="P4998" s="405" t="s">
        <v>13489</v>
      </c>
      <c r="Q4998" s="411">
        <v>6</v>
      </c>
      <c r="R4998" s="405" t="s">
        <v>5655</v>
      </c>
      <c r="S4998" s="405" t="s">
        <v>27324</v>
      </c>
      <c r="T4998" s="405" t="s">
        <v>865</v>
      </c>
      <c r="U4998" s="405" t="s">
        <v>866</v>
      </c>
    </row>
    <row r="4999" spans="1:21" x14ac:dyDescent="0.25">
      <c r="A4999" s="405" t="s">
        <v>310</v>
      </c>
      <c r="B4999" s="405" t="s">
        <v>21582</v>
      </c>
      <c r="C4999" s="405" t="s">
        <v>327</v>
      </c>
      <c r="D4999" s="405"/>
      <c r="E4999" s="410">
        <v>41710</v>
      </c>
      <c r="F4999" s="410">
        <v>41755</v>
      </c>
      <c r="G4999" s="405" t="s">
        <v>21583</v>
      </c>
      <c r="H4999" s="405">
        <v>773265893</v>
      </c>
      <c r="I4999" s="405"/>
      <c r="J4999" s="405">
        <v>0.27626299999999998</v>
      </c>
      <c r="K4999" s="405">
        <v>30.517126999999999</v>
      </c>
      <c r="L4999" s="405" t="s">
        <v>590</v>
      </c>
      <c r="M4999" s="405" t="s">
        <v>19720</v>
      </c>
      <c r="N4999" s="405" t="s">
        <v>672</v>
      </c>
      <c r="O4999" s="405" t="s">
        <v>672</v>
      </c>
      <c r="P4999" s="405" t="s">
        <v>21584</v>
      </c>
      <c r="Q4999" s="411">
        <v>6</v>
      </c>
      <c r="R4999" s="405" t="s">
        <v>402</v>
      </c>
      <c r="S4999" s="405" t="s">
        <v>27154</v>
      </c>
      <c r="T4999" s="405" t="s">
        <v>32102</v>
      </c>
      <c r="U4999" s="405" t="s">
        <v>319</v>
      </c>
    </row>
    <row r="5000" spans="1:21" x14ac:dyDescent="0.25">
      <c r="A5000" s="405" t="s">
        <v>310</v>
      </c>
      <c r="B5000" s="405" t="s">
        <v>13493</v>
      </c>
      <c r="C5000" s="405" t="s">
        <v>327</v>
      </c>
      <c r="D5000" s="405"/>
      <c r="E5000" s="410">
        <v>41708</v>
      </c>
      <c r="F5000" s="410">
        <v>41753</v>
      </c>
      <c r="G5000" s="405" t="s">
        <v>13494</v>
      </c>
      <c r="H5000" s="405">
        <v>785506002</v>
      </c>
      <c r="I5000" s="405"/>
      <c r="J5000" s="405">
        <v>1.889953</v>
      </c>
      <c r="K5000" s="405">
        <v>33.641098</v>
      </c>
      <c r="L5000" s="405" t="s">
        <v>6866</v>
      </c>
      <c r="M5000" s="405" t="s">
        <v>10515</v>
      </c>
      <c r="N5000" s="405" t="s">
        <v>10525</v>
      </c>
      <c r="O5000" s="405" t="s">
        <v>10526</v>
      </c>
      <c r="P5000" s="405" t="s">
        <v>13495</v>
      </c>
      <c r="Q5000" s="411">
        <v>4</v>
      </c>
      <c r="R5000" s="405" t="s">
        <v>5655</v>
      </c>
      <c r="S5000" s="405" t="s">
        <v>27056</v>
      </c>
      <c r="T5000" s="405" t="s">
        <v>865</v>
      </c>
      <c r="U5000" s="405" t="s">
        <v>866</v>
      </c>
    </row>
    <row r="5001" spans="1:21" x14ac:dyDescent="0.25">
      <c r="A5001" s="405" t="s">
        <v>310</v>
      </c>
      <c r="B5001" s="405" t="s">
        <v>13496</v>
      </c>
      <c r="C5001" s="405" t="s">
        <v>327</v>
      </c>
      <c r="D5001" s="405"/>
      <c r="E5001" s="410">
        <v>41706</v>
      </c>
      <c r="F5001" s="410">
        <v>41751</v>
      </c>
      <c r="G5001" s="405" t="s">
        <v>13497</v>
      </c>
      <c r="H5001" s="405">
        <v>783994162</v>
      </c>
      <c r="I5001" s="405"/>
      <c r="J5001" s="405">
        <v>1.8887119999999999</v>
      </c>
      <c r="K5001" s="405">
        <v>33.644807999999998</v>
      </c>
      <c r="L5001" s="405" t="s">
        <v>6866</v>
      </c>
      <c r="M5001" s="405" t="s">
        <v>10515</v>
      </c>
      <c r="N5001" s="405" t="s">
        <v>10525</v>
      </c>
      <c r="O5001" s="405" t="s">
        <v>10526</v>
      </c>
      <c r="P5001" s="405" t="s">
        <v>13495</v>
      </c>
      <c r="Q5001" s="411">
        <v>6</v>
      </c>
      <c r="R5001" s="405" t="s">
        <v>5655</v>
      </c>
      <c r="S5001" s="405" t="s">
        <v>27346</v>
      </c>
      <c r="T5001" s="405" t="s">
        <v>32102</v>
      </c>
      <c r="U5001" s="405" t="s">
        <v>319</v>
      </c>
    </row>
    <row r="5002" spans="1:21" x14ac:dyDescent="0.25">
      <c r="A5002" s="405" t="s">
        <v>310</v>
      </c>
      <c r="B5002" s="405" t="s">
        <v>21575</v>
      </c>
      <c r="C5002" s="405" t="s">
        <v>327</v>
      </c>
      <c r="D5002" s="405"/>
      <c r="E5002" s="410">
        <v>41705</v>
      </c>
      <c r="F5002" s="410">
        <v>41750</v>
      </c>
      <c r="G5002" s="405" t="s">
        <v>21576</v>
      </c>
      <c r="H5002" s="405">
        <v>772880635</v>
      </c>
      <c r="I5002" s="405"/>
      <c r="J5002" s="405">
        <v>1.2371270000000001</v>
      </c>
      <c r="K5002" s="405">
        <v>31.104747</v>
      </c>
      <c r="L5002" s="405" t="s">
        <v>590</v>
      </c>
      <c r="M5002" s="405" t="s">
        <v>7300</v>
      </c>
      <c r="N5002" s="405" t="s">
        <v>20450</v>
      </c>
      <c r="O5002" s="405" t="s">
        <v>21577</v>
      </c>
      <c r="P5002" s="405" t="s">
        <v>21578</v>
      </c>
      <c r="Q5002" s="411">
        <v>9</v>
      </c>
      <c r="R5002" s="405" t="s">
        <v>318</v>
      </c>
      <c r="S5002" s="405" t="s">
        <v>27174</v>
      </c>
      <c r="T5002" s="405" t="s">
        <v>865</v>
      </c>
      <c r="U5002" s="405" t="s">
        <v>866</v>
      </c>
    </row>
    <row r="5003" spans="1:21" x14ac:dyDescent="0.25">
      <c r="A5003" s="405" t="s">
        <v>310</v>
      </c>
      <c r="B5003" s="405" t="s">
        <v>21585</v>
      </c>
      <c r="C5003" s="405" t="s">
        <v>327</v>
      </c>
      <c r="D5003" s="405"/>
      <c r="E5003" s="410">
        <v>41704</v>
      </c>
      <c r="F5003" s="410">
        <v>41749</v>
      </c>
      <c r="G5003" s="405" t="s">
        <v>21586</v>
      </c>
      <c r="H5003" s="405">
        <v>771404076</v>
      </c>
      <c r="I5003" s="405"/>
      <c r="J5003" s="405">
        <v>0.27002300000000001</v>
      </c>
      <c r="K5003" s="405">
        <v>30.513902000000002</v>
      </c>
      <c r="L5003" s="405" t="s">
        <v>590</v>
      </c>
      <c r="M5003" s="405" t="s">
        <v>19720</v>
      </c>
      <c r="N5003" s="405" t="s">
        <v>19721</v>
      </c>
      <c r="O5003" s="405" t="s">
        <v>21587</v>
      </c>
      <c r="P5003" s="405" t="s">
        <v>672</v>
      </c>
      <c r="Q5003" s="411">
        <v>6</v>
      </c>
      <c r="R5003" s="405" t="s">
        <v>402</v>
      </c>
      <c r="S5003" s="405" t="s">
        <v>27163</v>
      </c>
      <c r="T5003" s="405" t="s">
        <v>32102</v>
      </c>
      <c r="U5003" s="405" t="s">
        <v>319</v>
      </c>
    </row>
    <row r="5004" spans="1:21" x14ac:dyDescent="0.25">
      <c r="A5004" s="405" t="s">
        <v>310</v>
      </c>
      <c r="B5004" s="405" t="s">
        <v>21579</v>
      </c>
      <c r="C5004" s="405" t="s">
        <v>327</v>
      </c>
      <c r="D5004" s="405"/>
      <c r="E5004" s="410">
        <v>41702</v>
      </c>
      <c r="F5004" s="410">
        <v>41747</v>
      </c>
      <c r="G5004" s="405" t="s">
        <v>21580</v>
      </c>
      <c r="H5004" s="405">
        <v>774559089</v>
      </c>
      <c r="I5004" s="405"/>
      <c r="J5004" s="405">
        <v>0.158328</v>
      </c>
      <c r="K5004" s="405">
        <v>30.429556999999999</v>
      </c>
      <c r="L5004" s="405" t="s">
        <v>590</v>
      </c>
      <c r="M5004" s="405" t="s">
        <v>19720</v>
      </c>
      <c r="N5004" s="405" t="s">
        <v>20297</v>
      </c>
      <c r="O5004" s="405" t="s">
        <v>20439</v>
      </c>
      <c r="P5004" s="405" t="s">
        <v>21581</v>
      </c>
      <c r="Q5004" s="411">
        <v>6</v>
      </c>
      <c r="R5004" s="405" t="s">
        <v>402</v>
      </c>
      <c r="S5004" s="405" t="s">
        <v>27181</v>
      </c>
      <c r="T5004" s="405" t="s">
        <v>32102</v>
      </c>
      <c r="U5004" s="405" t="s">
        <v>319</v>
      </c>
    </row>
    <row r="5005" spans="1:21" x14ac:dyDescent="0.25">
      <c r="A5005" s="405" t="s">
        <v>310</v>
      </c>
      <c r="B5005" s="405" t="s">
        <v>18899</v>
      </c>
      <c r="C5005" s="405" t="s">
        <v>327</v>
      </c>
      <c r="D5005" s="405"/>
      <c r="E5005" s="410">
        <v>41699</v>
      </c>
      <c r="F5005" s="410">
        <v>41744</v>
      </c>
      <c r="G5005" s="405" t="s">
        <v>18900</v>
      </c>
      <c r="H5005" s="405">
        <v>772303215</v>
      </c>
      <c r="I5005" s="405"/>
      <c r="J5005" s="405">
        <v>1.881588</v>
      </c>
      <c r="K5005" s="405">
        <v>33.071092999999998</v>
      </c>
      <c r="L5005" s="405" t="s">
        <v>860</v>
      </c>
      <c r="M5005" s="405" t="s">
        <v>12189</v>
      </c>
      <c r="N5005" s="405" t="s">
        <v>18298</v>
      </c>
      <c r="O5005" s="405" t="s">
        <v>18362</v>
      </c>
      <c r="P5005" s="405" t="s">
        <v>18901</v>
      </c>
      <c r="Q5005" s="411">
        <v>6</v>
      </c>
      <c r="R5005" s="405" t="s">
        <v>318</v>
      </c>
      <c r="S5005" s="405" t="s">
        <v>27343</v>
      </c>
      <c r="T5005" s="405" t="s">
        <v>32102</v>
      </c>
      <c r="U5005" s="405" t="s">
        <v>319</v>
      </c>
    </row>
    <row r="5006" spans="1:21" x14ac:dyDescent="0.25">
      <c r="A5006" s="405" t="s">
        <v>310</v>
      </c>
      <c r="B5006" s="405" t="s">
        <v>28215</v>
      </c>
      <c r="C5006" s="405" t="s">
        <v>327</v>
      </c>
      <c r="D5006" s="405"/>
      <c r="E5006" s="410">
        <v>41698</v>
      </c>
      <c r="F5006" s="410">
        <v>41743</v>
      </c>
      <c r="G5006" s="405" t="s">
        <v>21561</v>
      </c>
      <c r="H5006" s="405">
        <v>701526687</v>
      </c>
      <c r="I5006" s="405"/>
      <c r="J5006" s="405">
        <v>-0.654505</v>
      </c>
      <c r="K5006" s="405">
        <v>30.695198999999999</v>
      </c>
      <c r="L5006" s="405" t="s">
        <v>590</v>
      </c>
      <c r="M5006" s="405" t="s">
        <v>879</v>
      </c>
      <c r="N5006" s="405" t="s">
        <v>21562</v>
      </c>
      <c r="O5006" s="405" t="s">
        <v>881</v>
      </c>
      <c r="P5006" s="405" t="s">
        <v>21563</v>
      </c>
      <c r="Q5006" s="411">
        <v>13</v>
      </c>
      <c r="R5006" s="405" t="s">
        <v>333</v>
      </c>
      <c r="S5006" s="405" t="s">
        <v>27051</v>
      </c>
      <c r="T5006" s="405" t="s">
        <v>32102</v>
      </c>
      <c r="U5006" s="405" t="s">
        <v>319</v>
      </c>
    </row>
    <row r="5007" spans="1:21" x14ac:dyDescent="0.25">
      <c r="A5007" s="405" t="s">
        <v>310</v>
      </c>
      <c r="B5007" s="405" t="s">
        <v>28755</v>
      </c>
      <c r="C5007" s="405" t="s">
        <v>327</v>
      </c>
      <c r="D5007" s="405"/>
      <c r="E5007" s="410">
        <v>41698</v>
      </c>
      <c r="F5007" s="410">
        <v>41743</v>
      </c>
      <c r="G5007" s="405" t="s">
        <v>13491</v>
      </c>
      <c r="H5007" s="405">
        <v>757471943</v>
      </c>
      <c r="I5007" s="405"/>
      <c r="J5007" s="405">
        <v>1.9606619999999999</v>
      </c>
      <c r="K5007" s="405">
        <v>33.475712999999999</v>
      </c>
      <c r="L5007" s="405" t="s">
        <v>6866</v>
      </c>
      <c r="M5007" s="405" t="s">
        <v>10515</v>
      </c>
      <c r="N5007" s="405" t="s">
        <v>10525</v>
      </c>
      <c r="O5007" s="405" t="s">
        <v>13074</v>
      </c>
      <c r="P5007" s="405" t="s">
        <v>13492</v>
      </c>
      <c r="Q5007" s="411">
        <v>6</v>
      </c>
      <c r="R5007" s="405" t="s">
        <v>5655</v>
      </c>
      <c r="S5007" s="405" t="s">
        <v>27072</v>
      </c>
      <c r="T5007" s="405" t="s">
        <v>32102</v>
      </c>
      <c r="U5007" s="405" t="s">
        <v>319</v>
      </c>
    </row>
    <row r="5008" spans="1:21" x14ac:dyDescent="0.25">
      <c r="A5008" s="405" t="s">
        <v>310</v>
      </c>
      <c r="B5008" s="405" t="s">
        <v>5285</v>
      </c>
      <c r="C5008" s="405" t="s">
        <v>327</v>
      </c>
      <c r="D5008" s="405"/>
      <c r="E5008" s="410">
        <v>41698</v>
      </c>
      <c r="F5008" s="410">
        <v>41743</v>
      </c>
      <c r="G5008" s="405" t="s">
        <v>5286</v>
      </c>
      <c r="H5008" s="405">
        <v>774146742</v>
      </c>
      <c r="I5008" s="405"/>
      <c r="J5008" s="405">
        <v>0.24282500000000001</v>
      </c>
      <c r="K5008" s="405">
        <v>32.890718</v>
      </c>
      <c r="L5008" s="405" t="s">
        <v>314</v>
      </c>
      <c r="M5008" s="405" t="s">
        <v>329</v>
      </c>
      <c r="N5008" s="405" t="s">
        <v>803</v>
      </c>
      <c r="O5008" s="405" t="s">
        <v>653</v>
      </c>
      <c r="P5008" s="405" t="s">
        <v>4086</v>
      </c>
      <c r="Q5008" s="411">
        <v>6</v>
      </c>
      <c r="R5008" s="405" t="s">
        <v>318</v>
      </c>
      <c r="S5008" s="405" t="s">
        <v>27174</v>
      </c>
      <c r="T5008" s="405" t="s">
        <v>865</v>
      </c>
      <c r="U5008" s="405" t="s">
        <v>866</v>
      </c>
    </row>
    <row r="5009" spans="1:21" x14ac:dyDescent="0.25">
      <c r="A5009" s="405" t="s">
        <v>310</v>
      </c>
      <c r="B5009" s="405" t="s">
        <v>27684</v>
      </c>
      <c r="C5009" s="405" t="s">
        <v>327</v>
      </c>
      <c r="D5009" s="405"/>
      <c r="E5009" s="410">
        <v>41693</v>
      </c>
      <c r="F5009" s="410">
        <v>41738</v>
      </c>
      <c r="G5009" s="405" t="s">
        <v>5287</v>
      </c>
      <c r="H5009" s="405">
        <v>752770283</v>
      </c>
      <c r="I5009" s="405"/>
      <c r="J5009" s="405">
        <v>1.12121</v>
      </c>
      <c r="K5009" s="405">
        <v>32.461117999999999</v>
      </c>
      <c r="L5009" s="405" t="s">
        <v>314</v>
      </c>
      <c r="M5009" s="405" t="s">
        <v>2512</v>
      </c>
      <c r="N5009" s="405" t="s">
        <v>2512</v>
      </c>
      <c r="O5009" s="405" t="s">
        <v>2513</v>
      </c>
      <c r="P5009" s="405" t="s">
        <v>5288</v>
      </c>
      <c r="Q5009" s="411">
        <v>13</v>
      </c>
      <c r="R5009" s="405" t="s">
        <v>402</v>
      </c>
      <c r="S5009" s="405" t="s">
        <v>27242</v>
      </c>
      <c r="T5009" s="405" t="s">
        <v>865</v>
      </c>
      <c r="U5009" s="405" t="s">
        <v>866</v>
      </c>
    </row>
    <row r="5010" spans="1:21" x14ac:dyDescent="0.25">
      <c r="A5010" s="405" t="s">
        <v>310</v>
      </c>
      <c r="B5010" s="405" t="s">
        <v>21588</v>
      </c>
      <c r="C5010" s="405" t="s">
        <v>327</v>
      </c>
      <c r="D5010" s="405"/>
      <c r="E5010" s="410">
        <v>41691</v>
      </c>
      <c r="F5010" s="410">
        <v>41736</v>
      </c>
      <c r="G5010" s="405" t="s">
        <v>21589</v>
      </c>
      <c r="H5010" s="405">
        <v>776610247</v>
      </c>
      <c r="I5010" s="405"/>
      <c r="J5010" s="405">
        <v>-0.891706</v>
      </c>
      <c r="K5010" s="405">
        <v>30.261865</v>
      </c>
      <c r="L5010" s="405" t="s">
        <v>590</v>
      </c>
      <c r="M5010" s="405" t="s">
        <v>19659</v>
      </c>
      <c r="N5010" s="405" t="s">
        <v>19681</v>
      </c>
      <c r="O5010" s="405" t="s">
        <v>13002</v>
      </c>
      <c r="P5010" s="405" t="s">
        <v>21590</v>
      </c>
      <c r="Q5010" s="411">
        <v>6</v>
      </c>
      <c r="R5010" s="405" t="s">
        <v>1527</v>
      </c>
      <c r="S5010" s="405" t="s">
        <v>27166</v>
      </c>
      <c r="T5010" s="405" t="s">
        <v>32102</v>
      </c>
      <c r="U5010" s="405" t="s">
        <v>319</v>
      </c>
    </row>
    <row r="5011" spans="1:21" x14ac:dyDescent="0.25">
      <c r="A5011" s="405" t="s">
        <v>310</v>
      </c>
      <c r="B5011" s="405" t="s">
        <v>21567</v>
      </c>
      <c r="C5011" s="405" t="s">
        <v>327</v>
      </c>
      <c r="D5011" s="405"/>
      <c r="E5011" s="410">
        <v>41689</v>
      </c>
      <c r="F5011" s="410">
        <v>41734</v>
      </c>
      <c r="G5011" s="405" t="s">
        <v>21568</v>
      </c>
      <c r="H5011" s="405">
        <v>789478468</v>
      </c>
      <c r="I5011" s="405"/>
      <c r="J5011" s="405">
        <v>-0.64404099999999997</v>
      </c>
      <c r="K5011" s="405">
        <v>30.110768</v>
      </c>
      <c r="L5011" s="405" t="s">
        <v>590</v>
      </c>
      <c r="M5011" s="405" t="s">
        <v>20032</v>
      </c>
      <c r="N5011" s="405" t="s">
        <v>20033</v>
      </c>
      <c r="O5011" s="405" t="s">
        <v>21569</v>
      </c>
      <c r="P5011" s="405" t="s">
        <v>21570</v>
      </c>
      <c r="Q5011" s="411">
        <v>6</v>
      </c>
      <c r="R5011" s="405" t="s">
        <v>874</v>
      </c>
      <c r="S5011" s="405" t="s">
        <v>27098</v>
      </c>
      <c r="T5011" s="405" t="s">
        <v>32102</v>
      </c>
      <c r="U5011" s="405" t="s">
        <v>319</v>
      </c>
    </row>
    <row r="5012" spans="1:21" x14ac:dyDescent="0.25">
      <c r="A5012" s="405" t="s">
        <v>310</v>
      </c>
      <c r="B5012" s="405" t="s">
        <v>27779</v>
      </c>
      <c r="C5012" s="405" t="s">
        <v>327</v>
      </c>
      <c r="D5012" s="405"/>
      <c r="E5012" s="410">
        <v>41689</v>
      </c>
      <c r="F5012" s="410">
        <v>41734</v>
      </c>
      <c r="G5012" s="405" t="s">
        <v>21564</v>
      </c>
      <c r="H5012" s="405">
        <v>773215811</v>
      </c>
      <c r="I5012" s="405">
        <v>782373359</v>
      </c>
      <c r="J5012" s="405">
        <v>-0.59654300000000005</v>
      </c>
      <c r="K5012" s="405">
        <v>30.107841000000001</v>
      </c>
      <c r="L5012" s="405" t="s">
        <v>590</v>
      </c>
      <c r="M5012" s="405" t="s">
        <v>19625</v>
      </c>
      <c r="N5012" s="405" t="s">
        <v>21565</v>
      </c>
      <c r="O5012" s="405" t="s">
        <v>20034</v>
      </c>
      <c r="P5012" s="405" t="s">
        <v>21566</v>
      </c>
      <c r="Q5012" s="411">
        <v>6</v>
      </c>
      <c r="R5012" s="405" t="s">
        <v>883</v>
      </c>
      <c r="S5012" s="405" t="s">
        <v>27183</v>
      </c>
      <c r="T5012" s="405" t="s">
        <v>32102</v>
      </c>
      <c r="U5012" s="405" t="s">
        <v>319</v>
      </c>
    </row>
    <row r="5013" spans="1:21" x14ac:dyDescent="0.25">
      <c r="A5013" s="405" t="s">
        <v>310</v>
      </c>
      <c r="B5013" s="405" t="s">
        <v>13498</v>
      </c>
      <c r="C5013" s="405" t="s">
        <v>327</v>
      </c>
      <c r="D5013" s="405"/>
      <c r="E5013" s="410">
        <v>41688</v>
      </c>
      <c r="F5013" s="410">
        <v>41733</v>
      </c>
      <c r="G5013" s="405" t="s">
        <v>13499</v>
      </c>
      <c r="H5013" s="405">
        <v>781779600</v>
      </c>
      <c r="I5013" s="405">
        <v>788330639</v>
      </c>
      <c r="J5013" s="405">
        <v>0.90968800000000005</v>
      </c>
      <c r="K5013" s="405">
        <v>33.252867000000002</v>
      </c>
      <c r="L5013" s="405" t="s">
        <v>6866</v>
      </c>
      <c r="M5013" s="405" t="s">
        <v>3009</v>
      </c>
      <c r="N5013" s="405" t="s">
        <v>9662</v>
      </c>
      <c r="O5013" s="405" t="s">
        <v>13500</v>
      </c>
      <c r="P5013" s="405" t="s">
        <v>13501</v>
      </c>
      <c r="Q5013" s="411">
        <v>6</v>
      </c>
      <c r="R5013" s="405" t="s">
        <v>32478</v>
      </c>
      <c r="S5013" s="405" t="s">
        <v>27209</v>
      </c>
      <c r="T5013" s="405" t="s">
        <v>884</v>
      </c>
      <c r="U5013" s="405" t="s">
        <v>319</v>
      </c>
    </row>
    <row r="5014" spans="1:21" x14ac:dyDescent="0.25">
      <c r="A5014" s="405" t="s">
        <v>310</v>
      </c>
      <c r="B5014" s="405" t="s">
        <v>21591</v>
      </c>
      <c r="C5014" s="405" t="s">
        <v>327</v>
      </c>
      <c r="D5014" s="405"/>
      <c r="E5014" s="410">
        <v>41685</v>
      </c>
      <c r="F5014" s="410">
        <v>41730</v>
      </c>
      <c r="G5014" s="405" t="s">
        <v>21592</v>
      </c>
      <c r="H5014" s="405">
        <v>772398751</v>
      </c>
      <c r="I5014" s="405"/>
      <c r="J5014" s="405">
        <v>-0.84183300000000005</v>
      </c>
      <c r="K5014" s="405">
        <v>29.962413000000002</v>
      </c>
      <c r="L5014" s="405" t="s">
        <v>590</v>
      </c>
      <c r="M5014" s="405" t="s">
        <v>19619</v>
      </c>
      <c r="N5014" s="405" t="s">
        <v>19620</v>
      </c>
      <c r="O5014" s="405" t="s">
        <v>2430</v>
      </c>
      <c r="P5014" s="405" t="s">
        <v>21470</v>
      </c>
      <c r="Q5014" s="411">
        <v>6</v>
      </c>
      <c r="R5014" s="405" t="s">
        <v>883</v>
      </c>
      <c r="S5014" s="405" t="s">
        <v>27160</v>
      </c>
      <c r="T5014" s="405" t="s">
        <v>32102</v>
      </c>
      <c r="U5014" s="405" t="s">
        <v>319</v>
      </c>
    </row>
    <row r="5015" spans="1:21" x14ac:dyDescent="0.25">
      <c r="A5015" s="405" t="s">
        <v>310</v>
      </c>
      <c r="B5015" s="405" t="s">
        <v>21815</v>
      </c>
      <c r="C5015" s="405" t="s">
        <v>327</v>
      </c>
      <c r="D5015" s="405"/>
      <c r="E5015" s="410">
        <v>41685</v>
      </c>
      <c r="F5015" s="410">
        <v>41730</v>
      </c>
      <c r="G5015" s="405" t="s">
        <v>21817</v>
      </c>
      <c r="H5015" s="405">
        <v>701055330</v>
      </c>
      <c r="I5015" s="405"/>
      <c r="J5015" s="405">
        <v>-0.82845999999999997</v>
      </c>
      <c r="K5015" s="405">
        <v>30.267513999999998</v>
      </c>
      <c r="L5015" s="405" t="s">
        <v>590</v>
      </c>
      <c r="M5015" s="405" t="s">
        <v>19659</v>
      </c>
      <c r="N5015" s="405" t="s">
        <v>19664</v>
      </c>
      <c r="O5015" s="405" t="s">
        <v>19659</v>
      </c>
      <c r="P5015" s="405" t="s">
        <v>20171</v>
      </c>
      <c r="Q5015" s="411">
        <v>6</v>
      </c>
      <c r="R5015" s="405" t="s">
        <v>1527</v>
      </c>
      <c r="S5015" s="405" t="s">
        <v>27161</v>
      </c>
      <c r="T5015" s="405" t="s">
        <v>32102</v>
      </c>
      <c r="U5015" s="405" t="s">
        <v>319</v>
      </c>
    </row>
    <row r="5016" spans="1:21" x14ac:dyDescent="0.25">
      <c r="A5016" s="405" t="s">
        <v>310</v>
      </c>
      <c r="B5016" s="405" t="s">
        <v>21593</v>
      </c>
      <c r="C5016" s="405" t="s">
        <v>327</v>
      </c>
      <c r="D5016" s="405"/>
      <c r="E5016" s="410">
        <v>41685</v>
      </c>
      <c r="F5016" s="410">
        <v>41730</v>
      </c>
      <c r="G5016" s="405" t="s">
        <v>21594</v>
      </c>
      <c r="H5016" s="405">
        <v>702342591</v>
      </c>
      <c r="I5016" s="405"/>
      <c r="J5016" s="405">
        <v>-0.83227399999999996</v>
      </c>
      <c r="K5016" s="405">
        <v>30.279157000000001</v>
      </c>
      <c r="L5016" s="405" t="s">
        <v>590</v>
      </c>
      <c r="M5016" s="405" t="s">
        <v>19659</v>
      </c>
      <c r="N5016" s="405" t="s">
        <v>19968</v>
      </c>
      <c r="O5016" s="405" t="s">
        <v>19659</v>
      </c>
      <c r="P5016" s="405" t="s">
        <v>20545</v>
      </c>
      <c r="Q5016" s="411">
        <v>6</v>
      </c>
      <c r="R5016" s="405" t="s">
        <v>1527</v>
      </c>
      <c r="S5016" s="405" t="s">
        <v>27166</v>
      </c>
      <c r="T5016" s="405" t="s">
        <v>32102</v>
      </c>
      <c r="U5016" s="405" t="s">
        <v>319</v>
      </c>
    </row>
    <row r="5017" spans="1:21" x14ac:dyDescent="0.25">
      <c r="A5017" s="405" t="s">
        <v>310</v>
      </c>
      <c r="B5017" s="405" t="s">
        <v>21595</v>
      </c>
      <c r="C5017" s="405" t="s">
        <v>327</v>
      </c>
      <c r="D5017" s="405"/>
      <c r="E5017" s="410">
        <v>41685</v>
      </c>
      <c r="F5017" s="410">
        <v>41730</v>
      </c>
      <c r="G5017" s="405" t="s">
        <v>21596</v>
      </c>
      <c r="H5017" s="405">
        <v>782762261</v>
      </c>
      <c r="I5017" s="405"/>
      <c r="J5017" s="405">
        <v>-0.80910599999999999</v>
      </c>
      <c r="K5017" s="405">
        <v>30.242207000000001</v>
      </c>
      <c r="L5017" s="405" t="s">
        <v>590</v>
      </c>
      <c r="M5017" s="405" t="s">
        <v>19659</v>
      </c>
      <c r="N5017" s="405" t="s">
        <v>19664</v>
      </c>
      <c r="O5017" s="405" t="s">
        <v>19659</v>
      </c>
      <c r="P5017" s="405" t="s">
        <v>21597</v>
      </c>
      <c r="Q5017" s="411">
        <v>6</v>
      </c>
      <c r="R5017" s="405" t="s">
        <v>1527</v>
      </c>
      <c r="S5017" s="405" t="s">
        <v>27132</v>
      </c>
      <c r="T5017" s="405" t="s">
        <v>32102</v>
      </c>
      <c r="U5017" s="405" t="s">
        <v>319</v>
      </c>
    </row>
    <row r="5018" spans="1:21" x14ac:dyDescent="0.25">
      <c r="A5018" s="405" t="s">
        <v>310</v>
      </c>
      <c r="B5018" s="405" t="s">
        <v>21552</v>
      </c>
      <c r="C5018" s="405" t="s">
        <v>327</v>
      </c>
      <c r="D5018" s="405"/>
      <c r="E5018" s="410">
        <v>41680</v>
      </c>
      <c r="F5018" s="410">
        <v>41725</v>
      </c>
      <c r="G5018" s="405" t="s">
        <v>21553</v>
      </c>
      <c r="H5018" s="405">
        <v>782766572</v>
      </c>
      <c r="I5018" s="405"/>
      <c r="J5018" s="405">
        <v>-0.64920299999999997</v>
      </c>
      <c r="K5018" s="405">
        <v>30.216951000000002</v>
      </c>
      <c r="L5018" s="405" t="s">
        <v>590</v>
      </c>
      <c r="M5018" s="405" t="s">
        <v>19725</v>
      </c>
      <c r="N5018" s="405" t="s">
        <v>21554</v>
      </c>
      <c r="O5018" s="405" t="s">
        <v>20013</v>
      </c>
      <c r="P5018" s="405" t="s">
        <v>20169</v>
      </c>
      <c r="Q5018" s="411">
        <v>9</v>
      </c>
      <c r="R5018" s="405" t="s">
        <v>333</v>
      </c>
      <c r="S5018" s="405" t="s">
        <v>27096</v>
      </c>
      <c r="T5018" s="405" t="s">
        <v>865</v>
      </c>
      <c r="U5018" s="405" t="s">
        <v>866</v>
      </c>
    </row>
    <row r="5019" spans="1:21" x14ac:dyDescent="0.25">
      <c r="A5019" s="405" t="s">
        <v>310</v>
      </c>
      <c r="B5019" s="405" t="s">
        <v>5266</v>
      </c>
      <c r="C5019" s="405" t="s">
        <v>327</v>
      </c>
      <c r="D5019" s="405"/>
      <c r="E5019" s="410">
        <v>41675</v>
      </c>
      <c r="F5019" s="410">
        <v>41720</v>
      </c>
      <c r="G5019" s="405" t="s">
        <v>5267</v>
      </c>
      <c r="H5019" s="405">
        <v>771815540</v>
      </c>
      <c r="I5019" s="405"/>
      <c r="J5019" s="405">
        <v>-0.24643999999999999</v>
      </c>
      <c r="K5019" s="405">
        <v>31.747633</v>
      </c>
      <c r="L5019" s="405" t="s">
        <v>314</v>
      </c>
      <c r="M5019" s="405" t="s">
        <v>900</v>
      </c>
      <c r="N5019" s="405" t="s">
        <v>1119</v>
      </c>
      <c r="O5019" s="405" t="s">
        <v>1120</v>
      </c>
      <c r="P5019" s="405" t="s">
        <v>5268</v>
      </c>
      <c r="Q5019" s="411">
        <v>6</v>
      </c>
      <c r="R5019" s="405" t="s">
        <v>1263</v>
      </c>
      <c r="S5019" s="405" t="s">
        <v>27045</v>
      </c>
      <c r="T5019" s="405" t="s">
        <v>32102</v>
      </c>
      <c r="U5019" s="405" t="s">
        <v>319</v>
      </c>
    </row>
    <row r="5020" spans="1:21" x14ac:dyDescent="0.25">
      <c r="A5020" s="405" t="s">
        <v>310</v>
      </c>
      <c r="B5020" s="405" t="s">
        <v>5833</v>
      </c>
      <c r="C5020" s="405" t="s">
        <v>311</v>
      </c>
      <c r="D5020" s="405" t="s">
        <v>312</v>
      </c>
      <c r="E5020" s="410">
        <v>41672</v>
      </c>
      <c r="F5020" s="410">
        <v>41717</v>
      </c>
      <c r="G5020" s="405" t="s">
        <v>5834</v>
      </c>
      <c r="H5020" s="405">
        <v>775331364</v>
      </c>
      <c r="I5020" s="405">
        <v>757967742</v>
      </c>
      <c r="J5020" s="405">
        <v>0.248867</v>
      </c>
      <c r="K5020" s="405">
        <v>32.919915000000003</v>
      </c>
      <c r="L5020" s="405" t="s">
        <v>314</v>
      </c>
      <c r="M5020" s="405" t="s">
        <v>329</v>
      </c>
      <c r="N5020" s="405" t="s">
        <v>803</v>
      </c>
      <c r="O5020" s="405" t="s">
        <v>2583</v>
      </c>
      <c r="P5020" s="405" t="s">
        <v>5835</v>
      </c>
      <c r="Q5020" s="411">
        <v>6</v>
      </c>
      <c r="R5020" s="405" t="s">
        <v>318</v>
      </c>
      <c r="S5020" s="405" t="s">
        <v>27174</v>
      </c>
      <c r="T5020" s="405" t="s">
        <v>32102</v>
      </c>
      <c r="U5020" s="405" t="s">
        <v>319</v>
      </c>
    </row>
    <row r="5021" spans="1:21" x14ac:dyDescent="0.25">
      <c r="A5021" s="405" t="s">
        <v>310</v>
      </c>
      <c r="B5021" s="405" t="s">
        <v>5839</v>
      </c>
      <c r="C5021" s="405" t="s">
        <v>311</v>
      </c>
      <c r="D5021" s="405" t="s">
        <v>5840</v>
      </c>
      <c r="E5021" s="410">
        <v>41670</v>
      </c>
      <c r="F5021" s="410">
        <v>41715</v>
      </c>
      <c r="G5021" s="405" t="s">
        <v>5841</v>
      </c>
      <c r="H5021" s="405">
        <v>772674193</v>
      </c>
      <c r="I5021" s="405"/>
      <c r="J5021" s="405">
        <v>0.47872300000000001</v>
      </c>
      <c r="K5021" s="405">
        <v>32.446910000000003</v>
      </c>
      <c r="L5021" s="405" t="s">
        <v>314</v>
      </c>
      <c r="M5021" s="405" t="s">
        <v>361</v>
      </c>
      <c r="N5021" s="405" t="s">
        <v>374</v>
      </c>
      <c r="O5021" s="405" t="s">
        <v>361</v>
      </c>
      <c r="P5021" s="405" t="s">
        <v>535</v>
      </c>
      <c r="Q5021" s="411">
        <v>13</v>
      </c>
      <c r="R5021" s="405" t="s">
        <v>525</v>
      </c>
      <c r="S5021" s="405" t="s">
        <v>27153</v>
      </c>
      <c r="T5021" s="405" t="s">
        <v>32102</v>
      </c>
      <c r="U5021" s="405" t="s">
        <v>319</v>
      </c>
    </row>
    <row r="5022" spans="1:21" x14ac:dyDescent="0.25">
      <c r="A5022" s="405" t="s">
        <v>310</v>
      </c>
      <c r="B5022" s="405" t="s">
        <v>5274</v>
      </c>
      <c r="C5022" s="405" t="s">
        <v>327</v>
      </c>
      <c r="D5022" s="405"/>
      <c r="E5022" s="410">
        <v>41670</v>
      </c>
      <c r="F5022" s="410">
        <v>41715</v>
      </c>
      <c r="G5022" s="405" t="s">
        <v>5275</v>
      </c>
      <c r="H5022" s="405">
        <v>682188212</v>
      </c>
      <c r="I5022" s="405">
        <v>782182511</v>
      </c>
      <c r="J5022" s="405">
        <v>0.330262</v>
      </c>
      <c r="K5022" s="405">
        <v>32.53349</v>
      </c>
      <c r="L5022" s="405" t="s">
        <v>314</v>
      </c>
      <c r="M5022" s="405" t="s">
        <v>992</v>
      </c>
      <c r="N5022" s="405" t="s">
        <v>362</v>
      </c>
      <c r="O5022" s="405" t="s">
        <v>5276</v>
      </c>
      <c r="P5022" s="405" t="s">
        <v>1450</v>
      </c>
      <c r="Q5022" s="411">
        <v>9</v>
      </c>
      <c r="R5022" s="405" t="s">
        <v>525</v>
      </c>
      <c r="S5022" s="405" t="s">
        <v>27059</v>
      </c>
      <c r="T5022" s="405" t="s">
        <v>865</v>
      </c>
      <c r="U5022" s="405" t="s">
        <v>866</v>
      </c>
    </row>
    <row r="5023" spans="1:21" x14ac:dyDescent="0.25">
      <c r="A5023" s="405" t="s">
        <v>310</v>
      </c>
      <c r="B5023" s="405" t="s">
        <v>5818</v>
      </c>
      <c r="C5023" s="405" t="s">
        <v>311</v>
      </c>
      <c r="D5023" s="405" t="s">
        <v>5819</v>
      </c>
      <c r="E5023" s="410">
        <v>41670</v>
      </c>
      <c r="F5023" s="410">
        <v>41715</v>
      </c>
      <c r="G5023" s="405" t="s">
        <v>5820</v>
      </c>
      <c r="H5023" s="405">
        <v>772856977</v>
      </c>
      <c r="I5023" s="405"/>
      <c r="J5023" s="405">
        <v>0.46214300000000003</v>
      </c>
      <c r="K5023" s="405">
        <v>32.624209999999998</v>
      </c>
      <c r="L5023" s="405" t="s">
        <v>314</v>
      </c>
      <c r="M5023" s="405" t="s">
        <v>361</v>
      </c>
      <c r="N5023" s="405" t="s">
        <v>362</v>
      </c>
      <c r="O5023" s="405" t="s">
        <v>410</v>
      </c>
      <c r="P5023" s="405" t="s">
        <v>413</v>
      </c>
      <c r="Q5023" s="411">
        <v>9</v>
      </c>
      <c r="R5023" s="405" t="s">
        <v>525</v>
      </c>
      <c r="S5023" s="405" t="s">
        <v>27034</v>
      </c>
      <c r="T5023" s="405" t="s">
        <v>32102</v>
      </c>
      <c r="U5023" s="405" t="s">
        <v>319</v>
      </c>
    </row>
    <row r="5024" spans="1:21" x14ac:dyDescent="0.25">
      <c r="A5024" s="405" t="s">
        <v>310</v>
      </c>
      <c r="B5024" s="405" t="s">
        <v>27694</v>
      </c>
      <c r="C5024" s="405" t="s">
        <v>327</v>
      </c>
      <c r="D5024" s="405"/>
      <c r="E5024" s="410">
        <v>41670</v>
      </c>
      <c r="F5024" s="410">
        <v>41715</v>
      </c>
      <c r="G5024" s="405" t="s">
        <v>13479</v>
      </c>
      <c r="H5024" s="405">
        <v>779533013</v>
      </c>
      <c r="I5024" s="405"/>
      <c r="J5024" s="405">
        <v>1.44123</v>
      </c>
      <c r="K5024" s="405">
        <v>33.243963000000001</v>
      </c>
      <c r="L5024" s="405" t="s">
        <v>6866</v>
      </c>
      <c r="M5024" s="405" t="s">
        <v>9658</v>
      </c>
      <c r="N5024" s="405" t="s">
        <v>11057</v>
      </c>
      <c r="O5024" s="405" t="s">
        <v>13335</v>
      </c>
      <c r="P5024" s="405" t="s">
        <v>13480</v>
      </c>
      <c r="Q5024" s="411">
        <v>6</v>
      </c>
      <c r="R5024" s="405" t="s">
        <v>5655</v>
      </c>
      <c r="S5024" s="405" t="s">
        <v>27056</v>
      </c>
      <c r="T5024" s="405" t="s">
        <v>32102</v>
      </c>
      <c r="U5024" s="405" t="s">
        <v>319</v>
      </c>
    </row>
    <row r="5025" spans="1:21" x14ac:dyDescent="0.25">
      <c r="A5025" s="405" t="s">
        <v>310</v>
      </c>
      <c r="B5025" s="405" t="s">
        <v>13476</v>
      </c>
      <c r="C5025" s="405" t="s">
        <v>327</v>
      </c>
      <c r="D5025" s="405"/>
      <c r="E5025" s="410">
        <v>41670</v>
      </c>
      <c r="F5025" s="410">
        <v>41715</v>
      </c>
      <c r="G5025" s="405" t="s">
        <v>13477</v>
      </c>
      <c r="H5025" s="405">
        <v>757880768</v>
      </c>
      <c r="I5025" s="405">
        <v>781924080</v>
      </c>
      <c r="J5025" s="405">
        <v>1.3948769999999999</v>
      </c>
      <c r="K5025" s="405">
        <v>33.220598000000003</v>
      </c>
      <c r="L5025" s="405" t="s">
        <v>6866</v>
      </c>
      <c r="M5025" s="405" t="s">
        <v>9658</v>
      </c>
      <c r="N5025" s="405" t="s">
        <v>11057</v>
      </c>
      <c r="O5025" s="405" t="s">
        <v>13335</v>
      </c>
      <c r="P5025" s="405" t="s">
        <v>13478</v>
      </c>
      <c r="Q5025" s="411">
        <v>6</v>
      </c>
      <c r="R5025" s="405" t="s">
        <v>5655</v>
      </c>
      <c r="S5025" s="405" t="s">
        <v>27072</v>
      </c>
      <c r="T5025" s="405" t="s">
        <v>865</v>
      </c>
      <c r="U5025" s="405" t="s">
        <v>866</v>
      </c>
    </row>
    <row r="5026" spans="1:21" x14ac:dyDescent="0.25">
      <c r="A5026" s="405" t="s">
        <v>310</v>
      </c>
      <c r="B5026" s="405" t="s">
        <v>5263</v>
      </c>
      <c r="C5026" s="405" t="s">
        <v>327</v>
      </c>
      <c r="D5026" s="405"/>
      <c r="E5026" s="410">
        <v>41670</v>
      </c>
      <c r="F5026" s="410">
        <v>41715</v>
      </c>
      <c r="G5026" s="405" t="s">
        <v>5264</v>
      </c>
      <c r="H5026" s="405">
        <v>772982459</v>
      </c>
      <c r="I5026" s="405"/>
      <c r="J5026" s="405">
        <v>0.33101199999999997</v>
      </c>
      <c r="K5026" s="405">
        <v>32.451647000000001</v>
      </c>
      <c r="L5026" s="405" t="s">
        <v>314</v>
      </c>
      <c r="M5026" s="405" t="s">
        <v>361</v>
      </c>
      <c r="N5026" s="405" t="s">
        <v>374</v>
      </c>
      <c r="O5026" s="405" t="s">
        <v>361</v>
      </c>
      <c r="P5026" s="405" t="s">
        <v>5265</v>
      </c>
      <c r="Q5026" s="411">
        <v>6</v>
      </c>
      <c r="R5026" s="405" t="s">
        <v>1263</v>
      </c>
      <c r="S5026" s="405" t="s">
        <v>27202</v>
      </c>
      <c r="T5026" s="405" t="s">
        <v>32102</v>
      </c>
      <c r="U5026" s="405" t="s">
        <v>319</v>
      </c>
    </row>
    <row r="5027" spans="1:21" x14ac:dyDescent="0.25">
      <c r="A5027" s="405" t="s">
        <v>310</v>
      </c>
      <c r="B5027" s="405" t="s">
        <v>5269</v>
      </c>
      <c r="C5027" s="405" t="s">
        <v>327</v>
      </c>
      <c r="D5027" s="405"/>
      <c r="E5027" s="410">
        <v>41669</v>
      </c>
      <c r="F5027" s="410">
        <v>41714</v>
      </c>
      <c r="G5027" s="405" t="s">
        <v>5270</v>
      </c>
      <c r="H5027" s="405">
        <v>785603534</v>
      </c>
      <c r="I5027" s="405"/>
      <c r="J5027" s="405">
        <v>0.32720300000000002</v>
      </c>
      <c r="K5027" s="405">
        <v>32.854585</v>
      </c>
      <c r="L5027" s="405" t="s">
        <v>314</v>
      </c>
      <c r="M5027" s="405" t="s">
        <v>329</v>
      </c>
      <c r="N5027" s="405" t="s">
        <v>803</v>
      </c>
      <c r="O5027" s="405" t="s">
        <v>653</v>
      </c>
      <c r="P5027" s="405" t="s">
        <v>5271</v>
      </c>
      <c r="Q5027" s="411">
        <v>6</v>
      </c>
      <c r="R5027" s="405" t="s">
        <v>318</v>
      </c>
      <c r="S5027" s="405" t="s">
        <v>27106</v>
      </c>
      <c r="T5027" s="405" t="s">
        <v>32102</v>
      </c>
      <c r="U5027" s="405" t="s">
        <v>319</v>
      </c>
    </row>
    <row r="5028" spans="1:21" x14ac:dyDescent="0.25">
      <c r="A5028" s="405" t="s">
        <v>310</v>
      </c>
      <c r="B5028" s="405" t="s">
        <v>5283</v>
      </c>
      <c r="C5028" s="405" t="s">
        <v>327</v>
      </c>
      <c r="D5028" s="405"/>
      <c r="E5028" s="410">
        <v>41668</v>
      </c>
      <c r="F5028" s="410">
        <v>41713</v>
      </c>
      <c r="G5028" s="405" t="s">
        <v>5284</v>
      </c>
      <c r="H5028" s="405">
        <v>772820838</v>
      </c>
      <c r="I5028" s="405"/>
      <c r="J5028" s="405">
        <v>0.44749060000000002</v>
      </c>
      <c r="K5028" s="405">
        <v>32.6127313</v>
      </c>
      <c r="L5028" s="405" t="s">
        <v>314</v>
      </c>
      <c r="M5028" s="405" t="s">
        <v>361</v>
      </c>
      <c r="N5028" s="405" t="s">
        <v>362</v>
      </c>
      <c r="O5028" s="405" t="s">
        <v>370</v>
      </c>
      <c r="P5028" s="405" t="s">
        <v>453</v>
      </c>
      <c r="Q5028" s="411">
        <v>6</v>
      </c>
      <c r="R5028" s="405" t="s">
        <v>318</v>
      </c>
      <c r="S5028" s="405" t="s">
        <v>414</v>
      </c>
      <c r="T5028" s="405" t="s">
        <v>32102</v>
      </c>
      <c r="U5028" s="405" t="s">
        <v>319</v>
      </c>
    </row>
    <row r="5029" spans="1:21" x14ac:dyDescent="0.25">
      <c r="A5029" s="405" t="s">
        <v>310</v>
      </c>
      <c r="B5029" s="405" t="s">
        <v>27841</v>
      </c>
      <c r="C5029" s="405" t="s">
        <v>327</v>
      </c>
      <c r="D5029" s="405"/>
      <c r="E5029" s="410">
        <v>41666</v>
      </c>
      <c r="F5029" s="410">
        <v>41711</v>
      </c>
      <c r="G5029" s="405" t="s">
        <v>21556</v>
      </c>
      <c r="H5029" s="405">
        <v>701112926</v>
      </c>
      <c r="I5029" s="405"/>
      <c r="J5029" s="405">
        <v>-0.62956999999999996</v>
      </c>
      <c r="K5029" s="405">
        <v>30.504618000000001</v>
      </c>
      <c r="L5029" s="405" t="s">
        <v>590</v>
      </c>
      <c r="M5029" s="405" t="s">
        <v>19614</v>
      </c>
      <c r="N5029" s="405" t="s">
        <v>19654</v>
      </c>
      <c r="O5029" s="405" t="s">
        <v>20015</v>
      </c>
      <c r="P5029" s="405" t="s">
        <v>21557</v>
      </c>
      <c r="Q5029" s="411">
        <v>9</v>
      </c>
      <c r="R5029" s="405" t="s">
        <v>883</v>
      </c>
      <c r="S5029" s="405" t="s">
        <v>27413</v>
      </c>
      <c r="T5029" s="405" t="s">
        <v>865</v>
      </c>
      <c r="U5029" s="405" t="s">
        <v>866</v>
      </c>
    </row>
    <row r="5030" spans="1:21" x14ac:dyDescent="0.25">
      <c r="A5030" s="405" t="s">
        <v>310</v>
      </c>
      <c r="B5030" s="405" t="s">
        <v>27957</v>
      </c>
      <c r="C5030" s="405" t="s">
        <v>327</v>
      </c>
      <c r="D5030" s="405"/>
      <c r="E5030" s="410">
        <v>41666</v>
      </c>
      <c r="F5030" s="410">
        <v>41711</v>
      </c>
      <c r="G5030" s="405" t="s">
        <v>21558</v>
      </c>
      <c r="H5030" s="405">
        <v>704466904</v>
      </c>
      <c r="I5030" s="405"/>
      <c r="J5030" s="405">
        <v>-0.54226799999999997</v>
      </c>
      <c r="K5030" s="405">
        <v>30.122845999999999</v>
      </c>
      <c r="L5030" s="405" t="s">
        <v>590</v>
      </c>
      <c r="M5030" s="405" t="s">
        <v>19625</v>
      </c>
      <c r="N5030" s="405" t="s">
        <v>19638</v>
      </c>
      <c r="O5030" s="405" t="s">
        <v>19639</v>
      </c>
      <c r="P5030" s="405" t="s">
        <v>19640</v>
      </c>
      <c r="Q5030" s="411">
        <v>6</v>
      </c>
      <c r="R5030" s="405" t="s">
        <v>883</v>
      </c>
      <c r="S5030" s="405" t="s">
        <v>27173</v>
      </c>
      <c r="T5030" s="405" t="s">
        <v>32102</v>
      </c>
      <c r="U5030" s="405" t="s">
        <v>319</v>
      </c>
    </row>
    <row r="5031" spans="1:21" x14ac:dyDescent="0.25">
      <c r="A5031" s="405" t="s">
        <v>310</v>
      </c>
      <c r="B5031" s="405" t="s">
        <v>5277</v>
      </c>
      <c r="C5031" s="405" t="s">
        <v>327</v>
      </c>
      <c r="D5031" s="405"/>
      <c r="E5031" s="410">
        <v>41664</v>
      </c>
      <c r="F5031" s="410">
        <v>41709</v>
      </c>
      <c r="G5031" s="405" t="s">
        <v>5278</v>
      </c>
      <c r="H5031" s="405">
        <v>782656819</v>
      </c>
      <c r="I5031" s="405">
        <v>787984431</v>
      </c>
      <c r="J5031" s="405">
        <v>0.27317799999999998</v>
      </c>
      <c r="K5031" s="405">
        <v>31.895987999999999</v>
      </c>
      <c r="L5031" s="405" t="s">
        <v>314</v>
      </c>
      <c r="M5031" s="405" t="s">
        <v>675</v>
      </c>
      <c r="N5031" s="405" t="s">
        <v>676</v>
      </c>
      <c r="O5031" s="405" t="s">
        <v>5279</v>
      </c>
      <c r="P5031" s="405" t="s">
        <v>5280</v>
      </c>
      <c r="Q5031" s="411">
        <v>9</v>
      </c>
      <c r="R5031" s="405" t="s">
        <v>1263</v>
      </c>
      <c r="S5031" s="405" t="s">
        <v>27117</v>
      </c>
      <c r="T5031" s="405" t="s">
        <v>32102</v>
      </c>
      <c r="U5031" s="405" t="s">
        <v>319</v>
      </c>
    </row>
    <row r="5032" spans="1:21" x14ac:dyDescent="0.25">
      <c r="A5032" s="405" t="s">
        <v>310</v>
      </c>
      <c r="B5032" s="405" t="s">
        <v>5261</v>
      </c>
      <c r="C5032" s="405" t="s">
        <v>327</v>
      </c>
      <c r="D5032" s="405"/>
      <c r="E5032" s="410">
        <v>41662</v>
      </c>
      <c r="F5032" s="410">
        <v>41707</v>
      </c>
      <c r="G5032" s="405" t="s">
        <v>5262</v>
      </c>
      <c r="H5032" s="405">
        <v>752654630</v>
      </c>
      <c r="I5032" s="405"/>
      <c r="J5032" s="405">
        <v>0.26016333333333336</v>
      </c>
      <c r="K5032" s="405">
        <v>32.272251666666662</v>
      </c>
      <c r="L5032" s="405" t="s">
        <v>314</v>
      </c>
      <c r="M5032" s="405" t="s">
        <v>321</v>
      </c>
      <c r="N5032" s="405" t="s">
        <v>322</v>
      </c>
      <c r="O5032" s="405" t="s">
        <v>996</v>
      </c>
      <c r="P5032" s="405" t="s">
        <v>1726</v>
      </c>
      <c r="Q5032" s="411">
        <v>13</v>
      </c>
      <c r="R5032" s="405" t="s">
        <v>353</v>
      </c>
      <c r="S5032" s="405" t="s">
        <v>27051</v>
      </c>
      <c r="T5032" s="405" t="s">
        <v>32102</v>
      </c>
      <c r="U5032" s="405" t="s">
        <v>319</v>
      </c>
    </row>
    <row r="5033" spans="1:21" x14ac:dyDescent="0.25">
      <c r="A5033" s="405" t="s">
        <v>310</v>
      </c>
      <c r="B5033" s="405" t="s">
        <v>5259</v>
      </c>
      <c r="C5033" s="405" t="s">
        <v>327</v>
      </c>
      <c r="D5033" s="405"/>
      <c r="E5033" s="410">
        <v>41656</v>
      </c>
      <c r="F5033" s="410">
        <v>41701</v>
      </c>
      <c r="G5033" s="405" t="s">
        <v>5260</v>
      </c>
      <c r="H5033" s="405">
        <v>772458037</v>
      </c>
      <c r="I5033" s="405">
        <v>752458037</v>
      </c>
      <c r="J5033" s="405">
        <v>0.21708999999999998</v>
      </c>
      <c r="K5033" s="405">
        <v>32.335245</v>
      </c>
      <c r="L5033" s="405" t="s">
        <v>314</v>
      </c>
      <c r="M5033" s="405" t="s">
        <v>321</v>
      </c>
      <c r="N5033" s="405" t="s">
        <v>322</v>
      </c>
      <c r="O5033" s="405" t="s">
        <v>996</v>
      </c>
      <c r="P5033" s="405" t="s">
        <v>997</v>
      </c>
      <c r="Q5033" s="411">
        <v>6</v>
      </c>
      <c r="R5033" s="405" t="s">
        <v>318</v>
      </c>
      <c r="S5033" s="405" t="s">
        <v>27064</v>
      </c>
      <c r="T5033" s="405" t="s">
        <v>32102</v>
      </c>
      <c r="U5033" s="405" t="s">
        <v>319</v>
      </c>
    </row>
    <row r="5034" spans="1:21" x14ac:dyDescent="0.25">
      <c r="A5034" s="405" t="s">
        <v>310</v>
      </c>
      <c r="B5034" s="405" t="s">
        <v>27862</v>
      </c>
      <c r="C5034" s="405" t="s">
        <v>327</v>
      </c>
      <c r="D5034" s="405"/>
      <c r="E5034" s="410">
        <v>41655</v>
      </c>
      <c r="F5034" s="410">
        <v>41700</v>
      </c>
      <c r="G5034" s="405" t="s">
        <v>21555</v>
      </c>
      <c r="H5034" s="405">
        <v>777007802</v>
      </c>
      <c r="I5034" s="405">
        <v>7724526970</v>
      </c>
      <c r="J5034" s="405">
        <v>-0.64704700000000004</v>
      </c>
      <c r="K5034" s="405">
        <v>30.218814999999999</v>
      </c>
      <c r="L5034" s="405" t="s">
        <v>590</v>
      </c>
      <c r="M5034" s="405" t="s">
        <v>19725</v>
      </c>
      <c r="N5034" s="405" t="s">
        <v>19725</v>
      </c>
      <c r="O5034" s="405" t="s">
        <v>20013</v>
      </c>
      <c r="P5034" s="405" t="s">
        <v>20169</v>
      </c>
      <c r="Q5034" s="411">
        <v>9</v>
      </c>
      <c r="R5034" s="405" t="s">
        <v>333</v>
      </c>
      <c r="S5034" s="405" t="s">
        <v>27173</v>
      </c>
      <c r="T5034" s="405" t="s">
        <v>32102</v>
      </c>
      <c r="U5034" s="405" t="s">
        <v>319</v>
      </c>
    </row>
    <row r="5035" spans="1:21" x14ac:dyDescent="0.25">
      <c r="A5035" s="405" t="s">
        <v>310</v>
      </c>
      <c r="B5035" s="405" t="s">
        <v>13481</v>
      </c>
      <c r="C5035" s="405" t="s">
        <v>327</v>
      </c>
      <c r="D5035" s="405"/>
      <c r="E5035" s="410">
        <v>41655</v>
      </c>
      <c r="F5035" s="410">
        <v>41700</v>
      </c>
      <c r="G5035" s="405" t="s">
        <v>13482</v>
      </c>
      <c r="H5035" s="405">
        <v>782709801</v>
      </c>
      <c r="I5035" s="405"/>
      <c r="J5035" s="405">
        <v>1.0975729999999999</v>
      </c>
      <c r="K5035" s="405">
        <v>34.171618000000002</v>
      </c>
      <c r="L5035" s="405" t="s">
        <v>6866</v>
      </c>
      <c r="M5035" s="405" t="s">
        <v>9514</v>
      </c>
      <c r="N5035" s="405" t="s">
        <v>10236</v>
      </c>
      <c r="O5035" s="405" t="s">
        <v>11728</v>
      </c>
      <c r="P5035" s="405" t="s">
        <v>13483</v>
      </c>
      <c r="Q5035" s="411">
        <v>6</v>
      </c>
      <c r="R5035" s="405" t="s">
        <v>7224</v>
      </c>
      <c r="S5035" s="405" t="s">
        <v>27259</v>
      </c>
      <c r="T5035" s="405" t="s">
        <v>32102</v>
      </c>
      <c r="U5035" s="405" t="s">
        <v>319</v>
      </c>
    </row>
    <row r="5036" spans="1:21" x14ac:dyDescent="0.25">
      <c r="A5036" s="405" t="s">
        <v>310</v>
      </c>
      <c r="B5036" s="405" t="s">
        <v>28131</v>
      </c>
      <c r="C5036" s="405" t="s">
        <v>327</v>
      </c>
      <c r="D5036" s="405"/>
      <c r="E5036" s="410">
        <v>41655</v>
      </c>
      <c r="F5036" s="410">
        <v>41700</v>
      </c>
      <c r="G5036" s="405" t="s">
        <v>13484</v>
      </c>
      <c r="H5036" s="405">
        <v>782285584</v>
      </c>
      <c r="I5036" s="405"/>
      <c r="J5036" s="405">
        <v>0.453708</v>
      </c>
      <c r="K5036" s="405">
        <v>34.069296000000001</v>
      </c>
      <c r="L5036" s="405" t="s">
        <v>6866</v>
      </c>
      <c r="M5036" s="405" t="s">
        <v>10390</v>
      </c>
      <c r="N5036" s="405" t="s">
        <v>12174</v>
      </c>
      <c r="O5036" s="405" t="s">
        <v>13485</v>
      </c>
      <c r="P5036" s="405" t="s">
        <v>13486</v>
      </c>
      <c r="Q5036" s="411">
        <v>6</v>
      </c>
      <c r="R5036" s="405" t="s">
        <v>7224</v>
      </c>
      <c r="S5036" s="405" t="s">
        <v>27344</v>
      </c>
      <c r="T5036" s="405" t="s">
        <v>32102</v>
      </c>
      <c r="U5036" s="405" t="s">
        <v>319</v>
      </c>
    </row>
    <row r="5037" spans="1:21" x14ac:dyDescent="0.25">
      <c r="A5037" s="405" t="s">
        <v>310</v>
      </c>
      <c r="B5037" s="405" t="s">
        <v>5281</v>
      </c>
      <c r="C5037" s="405" t="s">
        <v>327</v>
      </c>
      <c r="D5037" s="405"/>
      <c r="E5037" s="410">
        <v>41655</v>
      </c>
      <c r="F5037" s="410">
        <v>41700</v>
      </c>
      <c r="G5037" s="405" t="s">
        <v>5282</v>
      </c>
      <c r="H5037" s="405">
        <v>786581969</v>
      </c>
      <c r="I5037" s="405">
        <v>776884652</v>
      </c>
      <c r="J5037" s="405">
        <v>0.934365</v>
      </c>
      <c r="K5037" s="405">
        <v>31.475519999999999</v>
      </c>
      <c r="L5037" s="405" t="s">
        <v>314</v>
      </c>
      <c r="M5037" s="405" t="s">
        <v>1360</v>
      </c>
      <c r="N5037" s="405" t="s">
        <v>1361</v>
      </c>
      <c r="O5037" s="405" t="s">
        <v>411</v>
      </c>
      <c r="P5037" s="405" t="s">
        <v>1362</v>
      </c>
      <c r="Q5037" s="411">
        <v>6</v>
      </c>
      <c r="R5037" s="405" t="s">
        <v>1263</v>
      </c>
      <c r="S5037" s="405" t="s">
        <v>27196</v>
      </c>
      <c r="T5037" s="405" t="s">
        <v>32102</v>
      </c>
      <c r="U5037" s="405" t="s">
        <v>319</v>
      </c>
    </row>
    <row r="5038" spans="1:21" x14ac:dyDescent="0.25">
      <c r="A5038" s="405" t="s">
        <v>310</v>
      </c>
      <c r="B5038" s="405" t="s">
        <v>5272</v>
      </c>
      <c r="C5038" s="405" t="s">
        <v>327</v>
      </c>
      <c r="D5038" s="405"/>
      <c r="E5038" s="410">
        <v>41654</v>
      </c>
      <c r="F5038" s="410">
        <v>41699</v>
      </c>
      <c r="G5038" s="405" t="s">
        <v>5273</v>
      </c>
      <c r="H5038" s="405">
        <v>701657957</v>
      </c>
      <c r="I5038" s="405">
        <v>775963098</v>
      </c>
      <c r="J5038" s="405">
        <v>-0.35399720000000001</v>
      </c>
      <c r="K5038" s="405">
        <v>31.729342200000001</v>
      </c>
      <c r="L5038" s="405" t="s">
        <v>314</v>
      </c>
      <c r="M5038" s="405" t="s">
        <v>382</v>
      </c>
      <c r="N5038" s="405" t="s">
        <v>988</v>
      </c>
      <c r="O5038" s="405" t="s">
        <v>1032</v>
      </c>
      <c r="P5038" s="405" t="s">
        <v>1901</v>
      </c>
      <c r="Q5038" s="411">
        <v>9</v>
      </c>
      <c r="R5038" s="405" t="s">
        <v>1263</v>
      </c>
      <c r="S5038" s="405" t="s">
        <v>27212</v>
      </c>
      <c r="T5038" s="405" t="s">
        <v>32102</v>
      </c>
      <c r="U5038" s="405" t="s">
        <v>319</v>
      </c>
    </row>
    <row r="5039" spans="1:21" x14ac:dyDescent="0.25">
      <c r="A5039" s="405" t="s">
        <v>310</v>
      </c>
      <c r="B5039" s="405" t="s">
        <v>5117</v>
      </c>
      <c r="C5039" s="405" t="s">
        <v>327</v>
      </c>
      <c r="D5039" s="405"/>
      <c r="E5039" s="410">
        <v>41653</v>
      </c>
      <c r="F5039" s="410">
        <v>41698</v>
      </c>
      <c r="G5039" s="405" t="s">
        <v>5118</v>
      </c>
      <c r="H5039" s="405">
        <v>772880247</v>
      </c>
      <c r="I5039" s="405"/>
      <c r="J5039" s="405">
        <v>0.26641199999999998</v>
      </c>
      <c r="K5039" s="405">
        <v>32.431899999999999</v>
      </c>
      <c r="L5039" s="405" t="s">
        <v>314</v>
      </c>
      <c r="M5039" s="405" t="s">
        <v>361</v>
      </c>
      <c r="N5039" s="405" t="s">
        <v>374</v>
      </c>
      <c r="O5039" s="405" t="s">
        <v>375</v>
      </c>
      <c r="P5039" s="405" t="s">
        <v>3822</v>
      </c>
      <c r="Q5039" s="411">
        <v>9</v>
      </c>
      <c r="R5039" s="405" t="s">
        <v>1263</v>
      </c>
      <c r="S5039" s="405" t="s">
        <v>27036</v>
      </c>
      <c r="T5039" s="405" t="s">
        <v>32102</v>
      </c>
      <c r="U5039" s="405" t="s">
        <v>319</v>
      </c>
    </row>
    <row r="5040" spans="1:21" x14ac:dyDescent="0.25">
      <c r="A5040" s="405" t="s">
        <v>310</v>
      </c>
      <c r="B5040" s="405" t="s">
        <v>29102</v>
      </c>
      <c r="C5040" s="405" t="s">
        <v>327</v>
      </c>
      <c r="D5040" s="405"/>
      <c r="E5040" s="410">
        <v>41653</v>
      </c>
      <c r="F5040" s="410">
        <v>41698</v>
      </c>
      <c r="G5040" s="405" t="s">
        <v>5228</v>
      </c>
      <c r="H5040" s="405">
        <v>751955939</v>
      </c>
      <c r="I5040" s="405">
        <v>789565841</v>
      </c>
      <c r="J5040" s="405">
        <v>-0.35471639999999999</v>
      </c>
      <c r="K5040" s="405">
        <v>31.713612900000001</v>
      </c>
      <c r="L5040" s="405" t="s">
        <v>314</v>
      </c>
      <c r="M5040" s="405" t="s">
        <v>382</v>
      </c>
      <c r="N5040" s="405" t="s">
        <v>988</v>
      </c>
      <c r="O5040" s="405" t="s">
        <v>894</v>
      </c>
      <c r="P5040" s="405" t="s">
        <v>5229</v>
      </c>
      <c r="Q5040" s="411">
        <v>6</v>
      </c>
      <c r="R5040" s="405" t="s">
        <v>1263</v>
      </c>
      <c r="S5040" s="405" t="s">
        <v>27234</v>
      </c>
      <c r="T5040" s="405" t="s">
        <v>32102</v>
      </c>
      <c r="U5040" s="405" t="s">
        <v>319</v>
      </c>
    </row>
    <row r="5041" spans="1:21" x14ac:dyDescent="0.25">
      <c r="A5041" s="405" t="s">
        <v>310</v>
      </c>
      <c r="B5041" s="405" t="s">
        <v>5801</v>
      </c>
      <c r="C5041" s="405" t="s">
        <v>311</v>
      </c>
      <c r="D5041" s="405" t="s">
        <v>32763</v>
      </c>
      <c r="E5041" s="410">
        <v>41652</v>
      </c>
      <c r="F5041" s="410">
        <v>41697</v>
      </c>
      <c r="G5041" s="405" t="s">
        <v>5802</v>
      </c>
      <c r="H5041" s="405">
        <v>774053492</v>
      </c>
      <c r="I5041" s="405"/>
      <c r="J5041" s="405">
        <v>1.0539069999999999</v>
      </c>
      <c r="K5041" s="405">
        <v>31.571528000000001</v>
      </c>
      <c r="L5041" s="405" t="s">
        <v>314</v>
      </c>
      <c r="M5041" s="405" t="s">
        <v>1360</v>
      </c>
      <c r="N5041" s="405" t="s">
        <v>1361</v>
      </c>
      <c r="O5041" s="405" t="s">
        <v>3545</v>
      </c>
      <c r="P5041" s="405" t="s">
        <v>5803</v>
      </c>
      <c r="Q5041" s="411">
        <v>9</v>
      </c>
      <c r="R5041" s="405" t="s">
        <v>1263</v>
      </c>
      <c r="S5041" s="405" t="s">
        <v>27185</v>
      </c>
      <c r="T5041" s="405" t="s">
        <v>32102</v>
      </c>
      <c r="U5041" s="405" t="s">
        <v>319</v>
      </c>
    </row>
    <row r="5042" spans="1:21" x14ac:dyDescent="0.25">
      <c r="A5042" s="405" t="s">
        <v>310</v>
      </c>
      <c r="B5042" s="405" t="s">
        <v>5182</v>
      </c>
      <c r="C5042" s="405" t="s">
        <v>327</v>
      </c>
      <c r="D5042" s="405"/>
      <c r="E5042" s="410">
        <v>41650</v>
      </c>
      <c r="F5042" s="410">
        <v>41695</v>
      </c>
      <c r="G5042" s="405" t="s">
        <v>5183</v>
      </c>
      <c r="H5042" s="405">
        <v>752615016</v>
      </c>
      <c r="I5042" s="405">
        <v>771615016</v>
      </c>
      <c r="J5042" s="405">
        <v>0.41211300000000001</v>
      </c>
      <c r="K5042" s="405">
        <v>32.793641999999998</v>
      </c>
      <c r="L5042" s="405" t="s">
        <v>314</v>
      </c>
      <c r="M5042" s="405" t="s">
        <v>329</v>
      </c>
      <c r="N5042" s="405" t="s">
        <v>545</v>
      </c>
      <c r="O5042" s="405" t="s">
        <v>546</v>
      </c>
      <c r="P5042" s="405" t="s">
        <v>791</v>
      </c>
      <c r="Q5042" s="411">
        <v>6</v>
      </c>
      <c r="R5042" s="405" t="s">
        <v>1263</v>
      </c>
      <c r="S5042" s="405" t="s">
        <v>27208</v>
      </c>
      <c r="T5042" s="405" t="s">
        <v>32102</v>
      </c>
      <c r="U5042" s="405" t="s">
        <v>319</v>
      </c>
    </row>
    <row r="5043" spans="1:21" x14ac:dyDescent="0.25">
      <c r="A5043" s="405" t="s">
        <v>310</v>
      </c>
      <c r="B5043" s="405" t="s">
        <v>21536</v>
      </c>
      <c r="C5043" s="405" t="s">
        <v>327</v>
      </c>
      <c r="D5043" s="405"/>
      <c r="E5043" s="410">
        <v>41648</v>
      </c>
      <c r="F5043" s="410">
        <v>41693</v>
      </c>
      <c r="G5043" s="405" t="s">
        <v>21537</v>
      </c>
      <c r="H5043" s="405">
        <v>783110519</v>
      </c>
      <c r="I5043" s="405">
        <v>758824411</v>
      </c>
      <c r="J5043" s="405">
        <v>1.4813E-2</v>
      </c>
      <c r="K5043" s="405">
        <v>30.607253</v>
      </c>
      <c r="L5043" s="405" t="s">
        <v>590</v>
      </c>
      <c r="M5043" s="405" t="s">
        <v>19705</v>
      </c>
      <c r="N5043" s="405" t="s">
        <v>2250</v>
      </c>
      <c r="O5043" s="405" t="s">
        <v>21436</v>
      </c>
      <c r="P5043" s="405" t="s">
        <v>21538</v>
      </c>
      <c r="Q5043" s="411">
        <v>9</v>
      </c>
      <c r="R5043" s="405" t="s">
        <v>874</v>
      </c>
      <c r="S5043" s="405" t="s">
        <v>27063</v>
      </c>
      <c r="T5043" s="405" t="s">
        <v>32102</v>
      </c>
      <c r="U5043" s="405" t="s">
        <v>319</v>
      </c>
    </row>
    <row r="5044" spans="1:21" x14ac:dyDescent="0.25">
      <c r="A5044" s="405" t="s">
        <v>310</v>
      </c>
      <c r="B5044" s="405" t="s">
        <v>27757</v>
      </c>
      <c r="C5044" s="405" t="s">
        <v>327</v>
      </c>
      <c r="D5044" s="405"/>
      <c r="E5044" s="410">
        <v>41648</v>
      </c>
      <c r="F5044" s="410">
        <v>41693</v>
      </c>
      <c r="G5044" s="405" t="s">
        <v>13439</v>
      </c>
      <c r="H5044" s="405">
        <v>706691629</v>
      </c>
      <c r="I5044" s="405">
        <v>782624872</v>
      </c>
      <c r="J5044" s="405">
        <v>0.87628899999999998</v>
      </c>
      <c r="K5044" s="405">
        <v>34.366585999999998</v>
      </c>
      <c r="L5044" s="405" t="s">
        <v>6866</v>
      </c>
      <c r="M5044" s="405" t="s">
        <v>9763</v>
      </c>
      <c r="N5044" s="405" t="s">
        <v>9848</v>
      </c>
      <c r="O5044" s="405" t="s">
        <v>10122</v>
      </c>
      <c r="P5044" s="405" t="s">
        <v>10909</v>
      </c>
      <c r="Q5044" s="411">
        <v>6</v>
      </c>
      <c r="R5044" s="405" t="s">
        <v>7224</v>
      </c>
      <c r="S5044" s="405" t="s">
        <v>17013</v>
      </c>
      <c r="T5044" s="405" t="s">
        <v>32102</v>
      </c>
      <c r="U5044" s="405" t="s">
        <v>319</v>
      </c>
    </row>
    <row r="5045" spans="1:21" x14ac:dyDescent="0.25">
      <c r="A5045" s="405" t="s">
        <v>310</v>
      </c>
      <c r="B5045" s="405" t="s">
        <v>5126</v>
      </c>
      <c r="C5045" s="405" t="s">
        <v>327</v>
      </c>
      <c r="D5045" s="405"/>
      <c r="E5045" s="410">
        <v>41648</v>
      </c>
      <c r="F5045" s="410">
        <v>41693</v>
      </c>
      <c r="G5045" s="405" t="s">
        <v>5127</v>
      </c>
      <c r="H5045" s="405">
        <v>751927944</v>
      </c>
      <c r="I5045" s="405"/>
      <c r="J5045" s="405">
        <v>-0.19979420000000001</v>
      </c>
      <c r="K5045" s="405">
        <v>31.7002454</v>
      </c>
      <c r="L5045" s="405" t="s">
        <v>314</v>
      </c>
      <c r="M5045" s="405" t="s">
        <v>900</v>
      </c>
      <c r="N5045" s="405" t="s">
        <v>900</v>
      </c>
      <c r="O5045" s="405" t="s">
        <v>900</v>
      </c>
      <c r="P5045" s="405" t="s">
        <v>4435</v>
      </c>
      <c r="Q5045" s="411">
        <v>6</v>
      </c>
      <c r="R5045" s="405" t="s">
        <v>1263</v>
      </c>
      <c r="S5045" s="405" t="s">
        <v>27217</v>
      </c>
      <c r="T5045" s="405" t="s">
        <v>32102</v>
      </c>
      <c r="U5045" s="405" t="s">
        <v>319</v>
      </c>
    </row>
    <row r="5046" spans="1:21" x14ac:dyDescent="0.25">
      <c r="A5046" s="405" t="s">
        <v>310</v>
      </c>
      <c r="B5046" s="405" t="s">
        <v>5794</v>
      </c>
      <c r="C5046" s="405" t="s">
        <v>311</v>
      </c>
      <c r="D5046" s="405" t="s">
        <v>3381</v>
      </c>
      <c r="E5046" s="410">
        <v>41648</v>
      </c>
      <c r="F5046" s="410">
        <v>41693</v>
      </c>
      <c r="G5046" s="405" t="s">
        <v>5795</v>
      </c>
      <c r="H5046" s="405">
        <v>787254478</v>
      </c>
      <c r="I5046" s="405"/>
      <c r="J5046" s="405">
        <v>0.92043699999999995</v>
      </c>
      <c r="K5046" s="405">
        <v>31.504135000000002</v>
      </c>
      <c r="L5046" s="405" t="s">
        <v>314</v>
      </c>
      <c r="M5046" s="405" t="s">
        <v>1360</v>
      </c>
      <c r="N5046" s="405" t="s">
        <v>1361</v>
      </c>
      <c r="O5046" s="405" t="s">
        <v>411</v>
      </c>
      <c r="P5046" s="405" t="s">
        <v>5796</v>
      </c>
      <c r="Q5046" s="411">
        <v>6</v>
      </c>
      <c r="R5046" s="405" t="s">
        <v>32476</v>
      </c>
      <c r="S5046" s="405" t="s">
        <v>27196</v>
      </c>
      <c r="T5046" s="405" t="s">
        <v>32102</v>
      </c>
      <c r="U5046" s="405" t="s">
        <v>319</v>
      </c>
    </row>
    <row r="5047" spans="1:21" x14ac:dyDescent="0.25">
      <c r="A5047" s="405" t="s">
        <v>310</v>
      </c>
      <c r="B5047" s="405" t="s">
        <v>29092</v>
      </c>
      <c r="C5047" s="405" t="s">
        <v>327</v>
      </c>
      <c r="D5047" s="405"/>
      <c r="E5047" s="410">
        <v>41648</v>
      </c>
      <c r="F5047" s="410">
        <v>41693</v>
      </c>
      <c r="G5047" s="405" t="s">
        <v>13430</v>
      </c>
      <c r="H5047" s="405">
        <v>759521112</v>
      </c>
      <c r="I5047" s="405"/>
      <c r="J5047" s="405">
        <v>0.29036899999999999</v>
      </c>
      <c r="K5047" s="405">
        <v>34.020265000000002</v>
      </c>
      <c r="L5047" s="405" t="s">
        <v>6866</v>
      </c>
      <c r="M5047" s="405" t="s">
        <v>10390</v>
      </c>
      <c r="N5047" s="405" t="s">
        <v>10391</v>
      </c>
      <c r="O5047" s="405" t="s">
        <v>10392</v>
      </c>
      <c r="P5047" s="405" t="s">
        <v>13431</v>
      </c>
      <c r="Q5047" s="411">
        <v>6</v>
      </c>
      <c r="R5047" s="405" t="s">
        <v>7224</v>
      </c>
      <c r="S5047" s="405" t="s">
        <v>27259</v>
      </c>
      <c r="T5047" s="405" t="s">
        <v>32102</v>
      </c>
      <c r="U5047" s="405" t="s">
        <v>319</v>
      </c>
    </row>
    <row r="5048" spans="1:21" x14ac:dyDescent="0.25">
      <c r="A5048" s="405" t="s">
        <v>310</v>
      </c>
      <c r="B5048" s="405" t="s">
        <v>21549</v>
      </c>
      <c r="C5048" s="405" t="s">
        <v>327</v>
      </c>
      <c r="D5048" s="405"/>
      <c r="E5048" s="410">
        <v>41647</v>
      </c>
      <c r="F5048" s="410">
        <v>41692</v>
      </c>
      <c r="G5048" s="405" t="s">
        <v>21550</v>
      </c>
      <c r="H5048" s="405">
        <v>782867526</v>
      </c>
      <c r="I5048" s="405"/>
      <c r="J5048" s="405">
        <v>-0.46903899999999998</v>
      </c>
      <c r="K5048" s="405">
        <v>30.435599</v>
      </c>
      <c r="L5048" s="405" t="s">
        <v>590</v>
      </c>
      <c r="M5048" s="405" t="s">
        <v>19725</v>
      </c>
      <c r="N5048" s="405" t="s">
        <v>19725</v>
      </c>
      <c r="O5048" s="405" t="s">
        <v>19943</v>
      </c>
      <c r="P5048" s="405" t="s">
        <v>21551</v>
      </c>
      <c r="Q5048" s="411">
        <v>9</v>
      </c>
      <c r="R5048" s="405" t="s">
        <v>883</v>
      </c>
      <c r="S5048" s="405" t="s">
        <v>27160</v>
      </c>
      <c r="T5048" s="405" t="s">
        <v>32102</v>
      </c>
      <c r="U5048" s="405" t="s">
        <v>319</v>
      </c>
    </row>
    <row r="5049" spans="1:21" x14ac:dyDescent="0.25">
      <c r="A5049" s="405" t="s">
        <v>310</v>
      </c>
      <c r="B5049" s="405" t="s">
        <v>5193</v>
      </c>
      <c r="C5049" s="405" t="s">
        <v>327</v>
      </c>
      <c r="D5049" s="405"/>
      <c r="E5049" s="410">
        <v>41645</v>
      </c>
      <c r="F5049" s="410">
        <v>41690</v>
      </c>
      <c r="G5049" s="405" t="s">
        <v>5194</v>
      </c>
      <c r="H5049" s="405">
        <v>702824910</v>
      </c>
      <c r="I5049" s="405"/>
      <c r="J5049" s="405">
        <v>-0.35471639999999999</v>
      </c>
      <c r="K5049" s="405">
        <v>31.713612900000001</v>
      </c>
      <c r="L5049" s="405" t="s">
        <v>314</v>
      </c>
      <c r="M5049" s="405" t="s">
        <v>382</v>
      </c>
      <c r="N5049" s="405" t="s">
        <v>988</v>
      </c>
      <c r="O5049" s="405" t="s">
        <v>1032</v>
      </c>
      <c r="P5049" s="405" t="s">
        <v>1400</v>
      </c>
      <c r="Q5049" s="411">
        <v>9</v>
      </c>
      <c r="R5049" s="405" t="s">
        <v>1263</v>
      </c>
      <c r="S5049" s="405" t="s">
        <v>27212</v>
      </c>
      <c r="T5049" s="405" t="s">
        <v>32102</v>
      </c>
      <c r="U5049" s="405" t="s">
        <v>319</v>
      </c>
    </row>
    <row r="5050" spans="1:21" x14ac:dyDescent="0.25">
      <c r="A5050" s="405" t="s">
        <v>310</v>
      </c>
      <c r="B5050" s="405" t="s">
        <v>13330</v>
      </c>
      <c r="C5050" s="405" t="s">
        <v>327</v>
      </c>
      <c r="D5050" s="405"/>
      <c r="E5050" s="410">
        <v>41645</v>
      </c>
      <c r="F5050" s="410">
        <v>41690</v>
      </c>
      <c r="G5050" s="405" t="s">
        <v>13331</v>
      </c>
      <c r="H5050" s="405">
        <v>779331844</v>
      </c>
      <c r="I5050" s="405">
        <v>755221318</v>
      </c>
      <c r="J5050" s="405">
        <v>1.8664480000000001</v>
      </c>
      <c r="K5050" s="405">
        <v>33.837494999999997</v>
      </c>
      <c r="L5050" s="405" t="s">
        <v>6866</v>
      </c>
      <c r="M5050" s="405" t="s">
        <v>10495</v>
      </c>
      <c r="N5050" s="405" t="s">
        <v>10495</v>
      </c>
      <c r="O5050" s="405" t="s">
        <v>11255</v>
      </c>
      <c r="P5050" s="405" t="s">
        <v>13332</v>
      </c>
      <c r="Q5050" s="411">
        <v>6</v>
      </c>
      <c r="R5050" s="405" t="s">
        <v>5655</v>
      </c>
      <c r="S5050" s="405" t="s">
        <v>27072</v>
      </c>
      <c r="T5050" s="405" t="s">
        <v>32102</v>
      </c>
      <c r="U5050" s="405" t="s">
        <v>319</v>
      </c>
    </row>
    <row r="5051" spans="1:21" x14ac:dyDescent="0.25">
      <c r="A5051" s="405" t="s">
        <v>310</v>
      </c>
      <c r="B5051" s="405" t="s">
        <v>28618</v>
      </c>
      <c r="C5051" s="405" t="s">
        <v>327</v>
      </c>
      <c r="D5051" s="405"/>
      <c r="E5051" s="410">
        <v>41644</v>
      </c>
      <c r="F5051" s="410">
        <v>41689</v>
      </c>
      <c r="G5051" s="405" t="s">
        <v>5204</v>
      </c>
      <c r="H5051" s="405">
        <v>702127779</v>
      </c>
      <c r="I5051" s="405">
        <v>752127779</v>
      </c>
      <c r="J5051" s="405">
        <v>-0.35399720000000001</v>
      </c>
      <c r="K5051" s="405">
        <v>31.729342200000001</v>
      </c>
      <c r="L5051" s="405" t="s">
        <v>314</v>
      </c>
      <c r="M5051" s="405" t="s">
        <v>382</v>
      </c>
      <c r="N5051" s="405" t="s">
        <v>988</v>
      </c>
      <c r="O5051" s="405" t="s">
        <v>1032</v>
      </c>
      <c r="P5051" s="405" t="s">
        <v>1901</v>
      </c>
      <c r="Q5051" s="411">
        <v>9</v>
      </c>
      <c r="R5051" s="405" t="s">
        <v>1263</v>
      </c>
      <c r="S5051" s="405" t="s">
        <v>27234</v>
      </c>
      <c r="T5051" s="405" t="s">
        <v>32102</v>
      </c>
      <c r="U5051" s="405" t="s">
        <v>319</v>
      </c>
    </row>
    <row r="5052" spans="1:21" x14ac:dyDescent="0.25">
      <c r="A5052" s="405" t="s">
        <v>310</v>
      </c>
      <c r="B5052" s="405" t="s">
        <v>5164</v>
      </c>
      <c r="C5052" s="405" t="s">
        <v>327</v>
      </c>
      <c r="D5052" s="405"/>
      <c r="E5052" s="410">
        <v>41644</v>
      </c>
      <c r="F5052" s="410">
        <v>41689</v>
      </c>
      <c r="G5052" s="405" t="s">
        <v>5165</v>
      </c>
      <c r="H5052" s="405">
        <v>752348229</v>
      </c>
      <c r="I5052" s="405"/>
      <c r="J5052" s="405">
        <v>-0.34036539999999998</v>
      </c>
      <c r="K5052" s="405">
        <v>31.719447500000001</v>
      </c>
      <c r="L5052" s="405" t="s">
        <v>314</v>
      </c>
      <c r="M5052" s="405" t="s">
        <v>382</v>
      </c>
      <c r="N5052" s="405" t="s">
        <v>383</v>
      </c>
      <c r="O5052" s="405" t="s">
        <v>5166</v>
      </c>
      <c r="P5052" s="405" t="s">
        <v>5167</v>
      </c>
      <c r="Q5052" s="411">
        <v>9</v>
      </c>
      <c r="R5052" s="405" t="s">
        <v>1263</v>
      </c>
      <c r="S5052" s="405" t="s">
        <v>27206</v>
      </c>
      <c r="T5052" s="405" t="s">
        <v>32102</v>
      </c>
      <c r="U5052" s="405" t="s">
        <v>319</v>
      </c>
    </row>
    <row r="5053" spans="1:21" x14ac:dyDescent="0.25">
      <c r="A5053" s="405" t="s">
        <v>310</v>
      </c>
      <c r="B5053" s="405" t="s">
        <v>13434</v>
      </c>
      <c r="C5053" s="405" t="s">
        <v>327</v>
      </c>
      <c r="D5053" s="405"/>
      <c r="E5053" s="410">
        <v>41644</v>
      </c>
      <c r="F5053" s="410">
        <v>41689</v>
      </c>
      <c r="G5053" s="405" t="s">
        <v>13435</v>
      </c>
      <c r="H5053" s="405">
        <v>783854411</v>
      </c>
      <c r="I5053" s="405"/>
      <c r="J5053" s="405">
        <v>0.30426799999999998</v>
      </c>
      <c r="K5053" s="405">
        <v>33.98536</v>
      </c>
      <c r="L5053" s="405" t="s">
        <v>6866</v>
      </c>
      <c r="M5053" s="405" t="s">
        <v>10390</v>
      </c>
      <c r="N5053" s="405" t="s">
        <v>10391</v>
      </c>
      <c r="O5053" s="405" t="s">
        <v>10392</v>
      </c>
      <c r="P5053" s="405" t="s">
        <v>13436</v>
      </c>
      <c r="Q5053" s="411">
        <v>6</v>
      </c>
      <c r="R5053" s="405" t="s">
        <v>7224</v>
      </c>
      <c r="S5053" s="405" t="s">
        <v>27298</v>
      </c>
      <c r="T5053" s="405" t="s">
        <v>32102</v>
      </c>
      <c r="U5053" s="405" t="s">
        <v>319</v>
      </c>
    </row>
    <row r="5054" spans="1:21" x14ac:dyDescent="0.25">
      <c r="A5054" s="405" t="s">
        <v>310</v>
      </c>
      <c r="B5054" s="405" t="s">
        <v>13393</v>
      </c>
      <c r="C5054" s="405" t="s">
        <v>327</v>
      </c>
      <c r="D5054" s="405"/>
      <c r="E5054" s="410">
        <v>41643</v>
      </c>
      <c r="F5054" s="410">
        <v>41688</v>
      </c>
      <c r="G5054" s="405" t="s">
        <v>13394</v>
      </c>
      <c r="H5054" s="405">
        <v>773145953</v>
      </c>
      <c r="I5054" s="405"/>
      <c r="J5054" s="405">
        <v>1.0407550000000001</v>
      </c>
      <c r="K5054" s="405">
        <v>33.734678000000002</v>
      </c>
      <c r="L5054" s="405" t="s">
        <v>6866</v>
      </c>
      <c r="M5054" s="405" t="s">
        <v>10152</v>
      </c>
      <c r="N5054" s="405" t="s">
        <v>10152</v>
      </c>
      <c r="O5054" s="405" t="s">
        <v>11455</v>
      </c>
      <c r="P5054" s="405" t="s">
        <v>13395</v>
      </c>
      <c r="Q5054" s="411">
        <v>9</v>
      </c>
      <c r="R5054" s="405" t="s">
        <v>9541</v>
      </c>
      <c r="S5054" s="405" t="s">
        <v>27294</v>
      </c>
      <c r="T5054" s="405" t="s">
        <v>32102</v>
      </c>
      <c r="U5054" s="405" t="s">
        <v>319</v>
      </c>
    </row>
    <row r="5055" spans="1:21" x14ac:dyDescent="0.25">
      <c r="A5055" s="405" t="s">
        <v>310</v>
      </c>
      <c r="B5055" s="405" t="s">
        <v>5643</v>
      </c>
      <c r="C5055" s="405" t="s">
        <v>327</v>
      </c>
      <c r="D5055" s="405"/>
      <c r="E5055" s="410">
        <v>41643</v>
      </c>
      <c r="F5055" s="410">
        <v>41688</v>
      </c>
      <c r="G5055" s="405" t="s">
        <v>5644</v>
      </c>
      <c r="H5055" s="405">
        <v>756017789</v>
      </c>
      <c r="I5055" s="405">
        <v>701826221</v>
      </c>
      <c r="J5055" s="405">
        <v>-0.426068</v>
      </c>
      <c r="K5055" s="405">
        <v>31.785608</v>
      </c>
      <c r="L5055" s="405" t="s">
        <v>314</v>
      </c>
      <c r="M5055" s="405" t="s">
        <v>382</v>
      </c>
      <c r="N5055" s="405" t="s">
        <v>941</v>
      </c>
      <c r="O5055" s="405" t="s">
        <v>1260</v>
      </c>
      <c r="P5055" s="405" t="s">
        <v>3812</v>
      </c>
      <c r="Q5055" s="411">
        <v>9</v>
      </c>
      <c r="R5055" s="405" t="s">
        <v>1263</v>
      </c>
      <c r="S5055" s="405" t="s">
        <v>5986</v>
      </c>
      <c r="T5055" s="405" t="s">
        <v>32102</v>
      </c>
      <c r="U5055" s="405" t="s">
        <v>319</v>
      </c>
    </row>
    <row r="5056" spans="1:21" x14ac:dyDescent="0.25">
      <c r="A5056" s="405" t="s">
        <v>310</v>
      </c>
      <c r="B5056" s="405" t="s">
        <v>13432</v>
      </c>
      <c r="C5056" s="405" t="s">
        <v>327</v>
      </c>
      <c r="D5056" s="405"/>
      <c r="E5056" s="410">
        <v>41643</v>
      </c>
      <c r="F5056" s="410">
        <v>41688</v>
      </c>
      <c r="G5056" s="405" t="s">
        <v>13433</v>
      </c>
      <c r="H5056" s="405">
        <v>772573693</v>
      </c>
      <c r="I5056" s="405"/>
      <c r="J5056" s="405">
        <v>0.30693500000000001</v>
      </c>
      <c r="K5056" s="405">
        <v>33.970275000000001</v>
      </c>
      <c r="L5056" s="405" t="s">
        <v>6866</v>
      </c>
      <c r="M5056" s="405" t="s">
        <v>10390</v>
      </c>
      <c r="N5056" s="405" t="s">
        <v>10391</v>
      </c>
      <c r="O5056" s="405" t="s">
        <v>10392</v>
      </c>
      <c r="P5056" s="405" t="s">
        <v>13012</v>
      </c>
      <c r="Q5056" s="411">
        <v>6</v>
      </c>
      <c r="R5056" s="405" t="s">
        <v>7224</v>
      </c>
      <c r="S5056" s="405" t="s">
        <v>27259</v>
      </c>
      <c r="T5056" s="405" t="s">
        <v>32102</v>
      </c>
      <c r="U5056" s="405" t="s">
        <v>319</v>
      </c>
    </row>
    <row r="5057" spans="1:21" x14ac:dyDescent="0.25">
      <c r="A5057" s="405" t="s">
        <v>310</v>
      </c>
      <c r="B5057" s="405" t="s">
        <v>28524</v>
      </c>
      <c r="C5057" s="405" t="s">
        <v>327</v>
      </c>
      <c r="D5057" s="405"/>
      <c r="E5057" s="410">
        <v>41642</v>
      </c>
      <c r="F5057" s="410">
        <v>41687</v>
      </c>
      <c r="G5057" s="405" t="s">
        <v>5192</v>
      </c>
      <c r="H5057" s="405">
        <v>756535630</v>
      </c>
      <c r="I5057" s="405">
        <v>758187819</v>
      </c>
      <c r="J5057" s="405">
        <v>-0.34227289999999999</v>
      </c>
      <c r="K5057" s="405">
        <v>31.7245773</v>
      </c>
      <c r="L5057" s="405" t="s">
        <v>314</v>
      </c>
      <c r="M5057" s="405" t="s">
        <v>382</v>
      </c>
      <c r="N5057" s="405" t="s">
        <v>988</v>
      </c>
      <c r="O5057" s="405" t="s">
        <v>1032</v>
      </c>
      <c r="P5057" s="405" t="s">
        <v>1400</v>
      </c>
      <c r="Q5057" s="411">
        <v>6</v>
      </c>
      <c r="R5057" s="405" t="s">
        <v>1263</v>
      </c>
      <c r="S5057" s="405" t="s">
        <v>27236</v>
      </c>
      <c r="T5057" s="405" t="s">
        <v>32102</v>
      </c>
      <c r="U5057" s="405" t="s">
        <v>319</v>
      </c>
    </row>
    <row r="5058" spans="1:21" x14ac:dyDescent="0.25">
      <c r="A5058" s="405" t="s">
        <v>310</v>
      </c>
      <c r="B5058" s="405" t="s">
        <v>13304</v>
      </c>
      <c r="C5058" s="405" t="s">
        <v>327</v>
      </c>
      <c r="D5058" s="405"/>
      <c r="E5058" s="410">
        <v>41641</v>
      </c>
      <c r="F5058" s="410">
        <v>41686</v>
      </c>
      <c r="G5058" s="405" t="s">
        <v>13305</v>
      </c>
      <c r="H5058" s="405">
        <v>702835628</v>
      </c>
      <c r="I5058" s="405"/>
      <c r="J5058" s="405">
        <v>1.3492170000000001</v>
      </c>
      <c r="K5058" s="405">
        <v>33.874127999999999</v>
      </c>
      <c r="L5058" s="405" t="s">
        <v>6866</v>
      </c>
      <c r="M5058" s="405" t="s">
        <v>10029</v>
      </c>
      <c r="N5058" s="405" t="s">
        <v>10260</v>
      </c>
      <c r="O5058" s="405" t="s">
        <v>10260</v>
      </c>
      <c r="P5058" s="405" t="s">
        <v>13306</v>
      </c>
      <c r="Q5058" s="411">
        <v>9</v>
      </c>
      <c r="R5058" s="405" t="s">
        <v>7224</v>
      </c>
      <c r="S5058" s="405" t="s">
        <v>27306</v>
      </c>
      <c r="T5058" s="405" t="s">
        <v>865</v>
      </c>
      <c r="U5058" s="405" t="s">
        <v>866</v>
      </c>
    </row>
    <row r="5059" spans="1:21" x14ac:dyDescent="0.25">
      <c r="A5059" s="405" t="s">
        <v>310</v>
      </c>
      <c r="B5059" s="405" t="s">
        <v>5238</v>
      </c>
      <c r="C5059" s="405" t="s">
        <v>327</v>
      </c>
      <c r="D5059" s="405"/>
      <c r="E5059" s="410">
        <v>41641</v>
      </c>
      <c r="F5059" s="410">
        <v>41686</v>
      </c>
      <c r="G5059" s="405" t="s">
        <v>5239</v>
      </c>
      <c r="H5059" s="405">
        <v>777553618</v>
      </c>
      <c r="I5059" s="405"/>
      <c r="J5059" s="405">
        <v>1.003987</v>
      </c>
      <c r="K5059" s="405">
        <v>31.562560000000001</v>
      </c>
      <c r="L5059" s="405" t="s">
        <v>314</v>
      </c>
      <c r="M5059" s="405" t="s">
        <v>1360</v>
      </c>
      <c r="N5059" s="405" t="s">
        <v>1361</v>
      </c>
      <c r="O5059" s="405" t="s">
        <v>3545</v>
      </c>
      <c r="P5059" s="405" t="s">
        <v>5240</v>
      </c>
      <c r="Q5059" s="411">
        <v>9</v>
      </c>
      <c r="R5059" s="405" t="s">
        <v>1263</v>
      </c>
      <c r="S5059" s="405" t="s">
        <v>27185</v>
      </c>
      <c r="T5059" s="405" t="s">
        <v>32102</v>
      </c>
      <c r="U5059" s="405" t="s">
        <v>319</v>
      </c>
    </row>
    <row r="5060" spans="1:21" x14ac:dyDescent="0.25">
      <c r="A5060" s="405" t="s">
        <v>310</v>
      </c>
      <c r="B5060" s="405" t="s">
        <v>5241</v>
      </c>
      <c r="C5060" s="405" t="s">
        <v>327</v>
      </c>
      <c r="D5060" s="405"/>
      <c r="E5060" s="410">
        <v>41641</v>
      </c>
      <c r="F5060" s="410">
        <v>41686</v>
      </c>
      <c r="G5060" s="405" t="s">
        <v>5242</v>
      </c>
      <c r="H5060" s="405">
        <v>706201430</v>
      </c>
      <c r="I5060" s="405"/>
      <c r="J5060" s="405">
        <v>0.98264200000000002</v>
      </c>
      <c r="K5060" s="405">
        <v>31.712588</v>
      </c>
      <c r="L5060" s="405" t="s">
        <v>314</v>
      </c>
      <c r="M5060" s="405" t="s">
        <v>1360</v>
      </c>
      <c r="N5060" s="405" t="s">
        <v>1361</v>
      </c>
      <c r="O5060" s="405" t="s">
        <v>3565</v>
      </c>
      <c r="P5060" s="405" t="s">
        <v>5243</v>
      </c>
      <c r="Q5060" s="411">
        <v>6</v>
      </c>
      <c r="R5060" s="405" t="s">
        <v>1263</v>
      </c>
      <c r="S5060" s="405" t="s">
        <v>27120</v>
      </c>
      <c r="T5060" s="405" t="s">
        <v>32102</v>
      </c>
      <c r="U5060" s="405" t="s">
        <v>319</v>
      </c>
    </row>
    <row r="5061" spans="1:21" x14ac:dyDescent="0.25">
      <c r="A5061" s="405" t="s">
        <v>310</v>
      </c>
      <c r="B5061" s="405" t="s">
        <v>5020</v>
      </c>
      <c r="C5061" s="405" t="s">
        <v>327</v>
      </c>
      <c r="D5061" s="405"/>
      <c r="E5061" s="410">
        <v>41640</v>
      </c>
      <c r="F5061" s="410">
        <v>41685</v>
      </c>
      <c r="G5061" s="405" t="s">
        <v>5021</v>
      </c>
      <c r="H5061" s="405">
        <v>752050835</v>
      </c>
      <c r="I5061" s="405">
        <v>712668468</v>
      </c>
      <c r="J5061" s="405">
        <v>0.42290299999999997</v>
      </c>
      <c r="K5061" s="405">
        <v>32.761716</v>
      </c>
      <c r="L5061" s="405" t="s">
        <v>314</v>
      </c>
      <c r="M5061" s="405" t="s">
        <v>329</v>
      </c>
      <c r="N5061" s="405" t="s">
        <v>545</v>
      </c>
      <c r="O5061" s="405" t="s">
        <v>546</v>
      </c>
      <c r="P5061" s="405" t="s">
        <v>5022</v>
      </c>
      <c r="Q5061" s="411">
        <v>6</v>
      </c>
      <c r="R5061" s="405" t="s">
        <v>1263</v>
      </c>
      <c r="S5061" s="405" t="s">
        <v>27209</v>
      </c>
      <c r="T5061" s="405" t="s">
        <v>32102</v>
      </c>
      <c r="U5061" s="405" t="s">
        <v>319</v>
      </c>
    </row>
    <row r="5062" spans="1:21" x14ac:dyDescent="0.25">
      <c r="A5062" s="405" t="s">
        <v>310</v>
      </c>
      <c r="B5062" s="405" t="s">
        <v>13391</v>
      </c>
      <c r="C5062" s="405" t="s">
        <v>327</v>
      </c>
      <c r="D5062" s="405"/>
      <c r="E5062" s="410">
        <v>41640</v>
      </c>
      <c r="F5062" s="410">
        <v>41685</v>
      </c>
      <c r="G5062" s="405" t="s">
        <v>13392</v>
      </c>
      <c r="H5062" s="405">
        <v>782031976</v>
      </c>
      <c r="I5062" s="405"/>
      <c r="J5062" s="405">
        <v>1.199857</v>
      </c>
      <c r="K5062" s="405">
        <v>33.791756999999997</v>
      </c>
      <c r="L5062" s="405" t="s">
        <v>6866</v>
      </c>
      <c r="M5062" s="405" t="s">
        <v>9509</v>
      </c>
      <c r="N5062" s="405" t="s">
        <v>7352</v>
      </c>
      <c r="O5062" s="405" t="s">
        <v>7352</v>
      </c>
      <c r="P5062" s="405" t="s">
        <v>12471</v>
      </c>
      <c r="Q5062" s="411">
        <v>4</v>
      </c>
      <c r="R5062" s="405" t="s">
        <v>7224</v>
      </c>
      <c r="S5062" s="405" t="s">
        <v>27107</v>
      </c>
      <c r="T5062" s="405" t="s">
        <v>32102</v>
      </c>
      <c r="U5062" s="405" t="s">
        <v>319</v>
      </c>
    </row>
    <row r="5063" spans="1:21" x14ac:dyDescent="0.25">
      <c r="A5063" s="405" t="s">
        <v>310</v>
      </c>
      <c r="B5063" s="405" t="s">
        <v>27653</v>
      </c>
      <c r="C5063" s="405" t="s">
        <v>311</v>
      </c>
      <c r="D5063" s="405" t="s">
        <v>3381</v>
      </c>
      <c r="E5063" s="410">
        <v>41639</v>
      </c>
      <c r="F5063" s="410">
        <v>41684</v>
      </c>
      <c r="G5063" s="405" t="s">
        <v>13728</v>
      </c>
      <c r="H5063" s="405">
        <v>782303654</v>
      </c>
      <c r="I5063" s="405"/>
      <c r="J5063" s="405">
        <v>0.85493929999999996</v>
      </c>
      <c r="K5063" s="405">
        <v>33.493394199999997</v>
      </c>
      <c r="L5063" s="405" t="s">
        <v>6866</v>
      </c>
      <c r="M5063" s="405" t="s">
        <v>9590</v>
      </c>
      <c r="N5063" s="405" t="s">
        <v>9591</v>
      </c>
      <c r="O5063" s="405" t="s">
        <v>9592</v>
      </c>
      <c r="P5063" s="405" t="s">
        <v>11513</v>
      </c>
      <c r="Q5063" s="411">
        <v>13</v>
      </c>
      <c r="R5063" s="405" t="s">
        <v>318</v>
      </c>
      <c r="S5063" s="405" t="s">
        <v>6822</v>
      </c>
      <c r="T5063" s="405" t="s">
        <v>32102</v>
      </c>
      <c r="U5063" s="405" t="s">
        <v>319</v>
      </c>
    </row>
    <row r="5064" spans="1:21" x14ac:dyDescent="0.25">
      <c r="A5064" s="405" t="s">
        <v>310</v>
      </c>
      <c r="B5064" s="405" t="s">
        <v>28072</v>
      </c>
      <c r="C5064" s="405" t="s">
        <v>311</v>
      </c>
      <c r="D5064" s="405" t="s">
        <v>32477</v>
      </c>
      <c r="E5064" s="410">
        <v>41639</v>
      </c>
      <c r="F5064" s="410">
        <v>41684</v>
      </c>
      <c r="G5064" s="405" t="s">
        <v>13743</v>
      </c>
      <c r="H5064" s="405">
        <v>772500451</v>
      </c>
      <c r="I5064" s="405"/>
      <c r="J5064" s="405">
        <v>0.4513373</v>
      </c>
      <c r="K5064" s="405">
        <v>33.222805899999997</v>
      </c>
      <c r="L5064" s="405" t="s">
        <v>6866</v>
      </c>
      <c r="M5064" s="405" t="s">
        <v>9590</v>
      </c>
      <c r="N5064" s="405" t="s">
        <v>13744</v>
      </c>
      <c r="O5064" s="405" t="s">
        <v>3796</v>
      </c>
      <c r="P5064" s="405" t="s">
        <v>12468</v>
      </c>
      <c r="Q5064" s="411">
        <v>13</v>
      </c>
      <c r="R5064" s="405" t="s">
        <v>353</v>
      </c>
      <c r="S5064" s="405" t="s">
        <v>27145</v>
      </c>
      <c r="T5064" s="405" t="s">
        <v>32102</v>
      </c>
      <c r="U5064" s="405" t="s">
        <v>319</v>
      </c>
    </row>
    <row r="5065" spans="1:21" x14ac:dyDescent="0.25">
      <c r="A5065" s="405" t="s">
        <v>310</v>
      </c>
      <c r="B5065" s="405" t="s">
        <v>28150</v>
      </c>
      <c r="C5065" s="405" t="s">
        <v>311</v>
      </c>
      <c r="D5065" s="405" t="s">
        <v>839</v>
      </c>
      <c r="E5065" s="410">
        <v>41639</v>
      </c>
      <c r="F5065" s="410">
        <v>41684</v>
      </c>
      <c r="G5065" s="405" t="s">
        <v>5697</v>
      </c>
      <c r="H5065" s="405">
        <v>752999752</v>
      </c>
      <c r="I5065" s="405"/>
      <c r="J5065" s="405">
        <v>0.51610500000000004</v>
      </c>
      <c r="K5065" s="405">
        <v>32.516919999999999</v>
      </c>
      <c r="L5065" s="405" t="s">
        <v>314</v>
      </c>
      <c r="M5065" s="405" t="s">
        <v>361</v>
      </c>
      <c r="N5065" s="405" t="s">
        <v>596</v>
      </c>
      <c r="O5065" s="405" t="s">
        <v>523</v>
      </c>
      <c r="P5065" s="405" t="s">
        <v>524</v>
      </c>
      <c r="Q5065" s="411">
        <v>13</v>
      </c>
      <c r="R5065" s="405" t="s">
        <v>353</v>
      </c>
      <c r="S5065" s="405" t="s">
        <v>27158</v>
      </c>
      <c r="T5065" s="405" t="s">
        <v>32102</v>
      </c>
      <c r="U5065" s="405" t="s">
        <v>319</v>
      </c>
    </row>
    <row r="5066" spans="1:21" x14ac:dyDescent="0.25">
      <c r="A5066" s="405" t="s">
        <v>310</v>
      </c>
      <c r="B5066" s="405" t="s">
        <v>29123</v>
      </c>
      <c r="C5066" s="405" t="s">
        <v>327</v>
      </c>
      <c r="D5066" s="405"/>
      <c r="E5066" s="410">
        <v>41639</v>
      </c>
      <c r="F5066" s="410">
        <v>41684</v>
      </c>
      <c r="G5066" s="405" t="s">
        <v>5190</v>
      </c>
      <c r="H5066" s="405">
        <v>772442542</v>
      </c>
      <c r="I5066" s="405">
        <v>702442548</v>
      </c>
      <c r="J5066" s="405">
        <v>0.36482500000000001</v>
      </c>
      <c r="K5066" s="405">
        <v>32.742134999999998</v>
      </c>
      <c r="L5066" s="405" t="s">
        <v>314</v>
      </c>
      <c r="M5066" s="405" t="s">
        <v>329</v>
      </c>
      <c r="N5066" s="405" t="s">
        <v>330</v>
      </c>
      <c r="O5066" s="405" t="s">
        <v>331</v>
      </c>
      <c r="P5066" s="405" t="s">
        <v>5191</v>
      </c>
      <c r="Q5066" s="411">
        <v>13</v>
      </c>
      <c r="R5066" s="405" t="s">
        <v>318</v>
      </c>
      <c r="S5066" s="405" t="s">
        <v>27141</v>
      </c>
      <c r="T5066" s="405" t="s">
        <v>32102</v>
      </c>
      <c r="U5066" s="405" t="s">
        <v>319</v>
      </c>
    </row>
    <row r="5067" spans="1:21" x14ac:dyDescent="0.25">
      <c r="A5067" s="405" t="s">
        <v>310</v>
      </c>
      <c r="B5067" s="405" t="s">
        <v>5236</v>
      </c>
      <c r="C5067" s="405" t="s">
        <v>327</v>
      </c>
      <c r="D5067" s="405"/>
      <c r="E5067" s="410">
        <v>41639</v>
      </c>
      <c r="F5067" s="410">
        <v>41684</v>
      </c>
      <c r="G5067" s="405" t="s">
        <v>5237</v>
      </c>
      <c r="H5067" s="405">
        <v>782893454</v>
      </c>
      <c r="I5067" s="405"/>
      <c r="J5067" s="405">
        <v>0.70787</v>
      </c>
      <c r="K5067" s="405">
        <v>32.514490000000002</v>
      </c>
      <c r="L5067" s="405" t="s">
        <v>314</v>
      </c>
      <c r="M5067" s="405" t="s">
        <v>959</v>
      </c>
      <c r="N5067" s="405" t="s">
        <v>1308</v>
      </c>
      <c r="O5067" s="405" t="s">
        <v>1094</v>
      </c>
      <c r="P5067" s="405" t="s">
        <v>1184</v>
      </c>
      <c r="Q5067" s="411">
        <v>13</v>
      </c>
      <c r="R5067" s="405" t="s">
        <v>1263</v>
      </c>
      <c r="S5067" s="405" t="s">
        <v>27162</v>
      </c>
      <c r="T5067" s="405" t="s">
        <v>884</v>
      </c>
      <c r="U5067" s="405" t="s">
        <v>319</v>
      </c>
    </row>
    <row r="5068" spans="1:21" x14ac:dyDescent="0.25">
      <c r="A5068" s="405" t="s">
        <v>310</v>
      </c>
      <c r="B5068" s="405" t="s">
        <v>5175</v>
      </c>
      <c r="C5068" s="405" t="s">
        <v>327</v>
      </c>
      <c r="D5068" s="405"/>
      <c r="E5068" s="410">
        <v>41639</v>
      </c>
      <c r="F5068" s="410">
        <v>41684</v>
      </c>
      <c r="G5068" s="405" t="s">
        <v>5176</v>
      </c>
      <c r="H5068" s="405">
        <v>776497979</v>
      </c>
      <c r="I5068" s="405"/>
      <c r="J5068" s="405">
        <v>0.42760700000000001</v>
      </c>
      <c r="K5068" s="405">
        <v>32.764538000000002</v>
      </c>
      <c r="L5068" s="405" t="s">
        <v>314</v>
      </c>
      <c r="M5068" s="405" t="s">
        <v>329</v>
      </c>
      <c r="N5068" s="405" t="s">
        <v>545</v>
      </c>
      <c r="O5068" s="405" t="s">
        <v>336</v>
      </c>
      <c r="P5068" s="405" t="s">
        <v>5177</v>
      </c>
      <c r="Q5068" s="411">
        <v>13</v>
      </c>
      <c r="R5068" s="405" t="s">
        <v>1263</v>
      </c>
      <c r="S5068" s="405" t="s">
        <v>27164</v>
      </c>
      <c r="T5068" s="405" t="s">
        <v>865</v>
      </c>
      <c r="U5068" s="405" t="s">
        <v>866</v>
      </c>
    </row>
    <row r="5069" spans="1:21" x14ac:dyDescent="0.25">
      <c r="A5069" s="405" t="s">
        <v>310</v>
      </c>
      <c r="B5069" s="405" t="s">
        <v>13440</v>
      </c>
      <c r="C5069" s="405" t="s">
        <v>327</v>
      </c>
      <c r="D5069" s="405"/>
      <c r="E5069" s="410">
        <v>41639</v>
      </c>
      <c r="F5069" s="410">
        <v>41684</v>
      </c>
      <c r="G5069" s="405" t="s">
        <v>13441</v>
      </c>
      <c r="H5069" s="405">
        <v>772971107</v>
      </c>
      <c r="I5069" s="405"/>
      <c r="J5069" s="405">
        <v>0.59833800000000004</v>
      </c>
      <c r="K5069" s="405">
        <v>33.459850000000003</v>
      </c>
      <c r="L5069" s="405" t="s">
        <v>6866</v>
      </c>
      <c r="M5069" s="405" t="s">
        <v>11128</v>
      </c>
      <c r="N5069" s="405" t="s">
        <v>11128</v>
      </c>
      <c r="O5069" s="405" t="s">
        <v>11941</v>
      </c>
      <c r="P5069" s="405" t="s">
        <v>13442</v>
      </c>
      <c r="Q5069" s="411">
        <v>13</v>
      </c>
      <c r="R5069" s="405" t="s">
        <v>525</v>
      </c>
      <c r="S5069" s="405" t="s">
        <v>27079</v>
      </c>
      <c r="T5069" s="405" t="s">
        <v>32102</v>
      </c>
      <c r="U5069" s="405" t="s">
        <v>319</v>
      </c>
    </row>
    <row r="5070" spans="1:21" x14ac:dyDescent="0.25">
      <c r="A5070" s="405" t="s">
        <v>310</v>
      </c>
      <c r="B5070" s="405" t="s">
        <v>5790</v>
      </c>
      <c r="C5070" s="405" t="s">
        <v>311</v>
      </c>
      <c r="D5070" s="405" t="s">
        <v>921</v>
      </c>
      <c r="E5070" s="410">
        <v>41639</v>
      </c>
      <c r="F5070" s="410">
        <v>41684</v>
      </c>
      <c r="G5070" s="405" t="s">
        <v>5791</v>
      </c>
      <c r="H5070" s="405">
        <v>752646208</v>
      </c>
      <c r="I5070" s="405"/>
      <c r="J5070" s="405">
        <v>0.61438999999999999</v>
      </c>
      <c r="K5070" s="405">
        <v>32.331425000000003</v>
      </c>
      <c r="L5070" s="405" t="s">
        <v>314</v>
      </c>
      <c r="M5070" s="405" t="s">
        <v>2297</v>
      </c>
      <c r="N5070" s="405" t="s">
        <v>1308</v>
      </c>
      <c r="O5070" s="405" t="s">
        <v>5792</v>
      </c>
      <c r="P5070" s="405" t="s">
        <v>5793</v>
      </c>
      <c r="Q5070" s="411">
        <v>13</v>
      </c>
      <c r="R5070" s="405" t="s">
        <v>1263</v>
      </c>
      <c r="S5070" s="405" t="s">
        <v>27053</v>
      </c>
      <c r="T5070" s="405" t="s">
        <v>32102</v>
      </c>
      <c r="U5070" s="405" t="s">
        <v>319</v>
      </c>
    </row>
    <row r="5071" spans="1:21" x14ac:dyDescent="0.25">
      <c r="A5071" s="405" t="s">
        <v>310</v>
      </c>
      <c r="B5071" s="405" t="s">
        <v>3273</v>
      </c>
      <c r="C5071" s="405" t="s">
        <v>327</v>
      </c>
      <c r="D5071" s="405"/>
      <c r="E5071" s="410">
        <v>41639</v>
      </c>
      <c r="F5071" s="410">
        <v>41684</v>
      </c>
      <c r="G5071" s="405" t="s">
        <v>3274</v>
      </c>
      <c r="H5071" s="405">
        <v>752699805</v>
      </c>
      <c r="I5071" s="405"/>
      <c r="J5071" s="405">
        <v>-0.19226799999999999</v>
      </c>
      <c r="K5071" s="405">
        <v>31.336659000000001</v>
      </c>
      <c r="L5071" s="405" t="s">
        <v>314</v>
      </c>
      <c r="M5071" s="405" t="s">
        <v>343</v>
      </c>
      <c r="N5071" s="405" t="s">
        <v>344</v>
      </c>
      <c r="O5071" s="405" t="s">
        <v>727</v>
      </c>
      <c r="P5071" s="405" t="s">
        <v>3275</v>
      </c>
      <c r="Q5071" s="411">
        <v>13</v>
      </c>
      <c r="R5071" s="405" t="s">
        <v>525</v>
      </c>
      <c r="S5071" s="405" t="s">
        <v>27035</v>
      </c>
      <c r="T5071" s="405" t="s">
        <v>32102</v>
      </c>
      <c r="U5071" s="405" t="s">
        <v>319</v>
      </c>
    </row>
    <row r="5072" spans="1:21" x14ac:dyDescent="0.25">
      <c r="A5072" s="405" t="s">
        <v>310</v>
      </c>
      <c r="B5072" s="405" t="s">
        <v>21545</v>
      </c>
      <c r="C5072" s="405" t="s">
        <v>327</v>
      </c>
      <c r="D5072" s="405"/>
      <c r="E5072" s="410">
        <v>41639</v>
      </c>
      <c r="F5072" s="410">
        <v>41684</v>
      </c>
      <c r="G5072" s="405" t="s">
        <v>21546</v>
      </c>
      <c r="H5072" s="405">
        <v>702643631</v>
      </c>
      <c r="I5072" s="405"/>
      <c r="J5072" s="405">
        <v>-0.56618400000000002</v>
      </c>
      <c r="K5072" s="405">
        <v>29.773365999999999</v>
      </c>
      <c r="L5072" s="405" t="s">
        <v>590</v>
      </c>
      <c r="M5072" s="405" t="s">
        <v>19619</v>
      </c>
      <c r="N5072" s="405" t="s">
        <v>19793</v>
      </c>
      <c r="O5072" s="405" t="s">
        <v>21547</v>
      </c>
      <c r="P5072" s="405" t="s">
        <v>20241</v>
      </c>
      <c r="Q5072" s="411">
        <v>13</v>
      </c>
      <c r="R5072" s="405" t="s">
        <v>21186</v>
      </c>
      <c r="S5072" s="405" t="s">
        <v>27116</v>
      </c>
      <c r="T5072" s="405" t="s">
        <v>32102</v>
      </c>
      <c r="U5072" s="405" t="s">
        <v>319</v>
      </c>
    </row>
    <row r="5073" spans="1:21" x14ac:dyDescent="0.25">
      <c r="A5073" s="405" t="s">
        <v>310</v>
      </c>
      <c r="B5073" s="405" t="s">
        <v>21767</v>
      </c>
      <c r="C5073" s="405" t="s">
        <v>311</v>
      </c>
      <c r="D5073" s="405" t="s">
        <v>21768</v>
      </c>
      <c r="E5073" s="410">
        <v>41639</v>
      </c>
      <c r="F5073" s="410">
        <v>41684</v>
      </c>
      <c r="G5073" s="405" t="s">
        <v>21769</v>
      </c>
      <c r="H5073" s="405">
        <v>702643631</v>
      </c>
      <c r="I5073" s="405"/>
      <c r="J5073" s="405">
        <v>-0.56623599999999996</v>
      </c>
      <c r="K5073" s="405">
        <v>29.773325</v>
      </c>
      <c r="L5073" s="405" t="s">
        <v>590</v>
      </c>
      <c r="M5073" s="405" t="s">
        <v>19619</v>
      </c>
      <c r="N5073" s="405" t="s">
        <v>19793</v>
      </c>
      <c r="O5073" s="405" t="s">
        <v>21547</v>
      </c>
      <c r="P5073" s="405" t="s">
        <v>20241</v>
      </c>
      <c r="Q5073" s="411">
        <v>13</v>
      </c>
      <c r="R5073" s="405" t="s">
        <v>21186</v>
      </c>
      <c r="S5073" s="405" t="s">
        <v>27414</v>
      </c>
      <c r="T5073" s="405" t="s">
        <v>32102</v>
      </c>
      <c r="U5073" s="405" t="s">
        <v>319</v>
      </c>
    </row>
    <row r="5074" spans="1:21" x14ac:dyDescent="0.25">
      <c r="A5074" s="405" t="s">
        <v>310</v>
      </c>
      <c r="B5074" s="405" t="s">
        <v>21480</v>
      </c>
      <c r="C5074" s="405" t="s">
        <v>327</v>
      </c>
      <c r="D5074" s="405"/>
      <c r="E5074" s="410">
        <v>41639</v>
      </c>
      <c r="F5074" s="410">
        <v>41684</v>
      </c>
      <c r="G5074" s="405" t="s">
        <v>21481</v>
      </c>
      <c r="H5074" s="405">
        <v>702397344</v>
      </c>
      <c r="I5074" s="405"/>
      <c r="J5074" s="405">
        <v>-0.92106600000000005</v>
      </c>
      <c r="K5074" s="405">
        <v>30.251732000000001</v>
      </c>
      <c r="L5074" s="405" t="s">
        <v>590</v>
      </c>
      <c r="M5074" s="405" t="s">
        <v>19659</v>
      </c>
      <c r="N5074" s="405" t="s">
        <v>19968</v>
      </c>
      <c r="O5074" s="405" t="s">
        <v>20294</v>
      </c>
      <c r="P5074" s="405" t="s">
        <v>21482</v>
      </c>
      <c r="Q5074" s="411">
        <v>13</v>
      </c>
      <c r="R5074" s="405" t="s">
        <v>967</v>
      </c>
      <c r="S5074" s="405" t="s">
        <v>27132</v>
      </c>
      <c r="T5074" s="405" t="s">
        <v>32102</v>
      </c>
      <c r="U5074" s="405" t="s">
        <v>319</v>
      </c>
    </row>
    <row r="5075" spans="1:21" x14ac:dyDescent="0.25">
      <c r="A5075" s="405" t="s">
        <v>310</v>
      </c>
      <c r="B5075" s="405" t="s">
        <v>42</v>
      </c>
      <c r="C5075" s="405" t="s">
        <v>327</v>
      </c>
      <c r="D5075" s="405"/>
      <c r="E5075" s="410">
        <v>41639</v>
      </c>
      <c r="F5075" s="410">
        <v>41684</v>
      </c>
      <c r="G5075" s="405" t="s">
        <v>21498</v>
      </c>
      <c r="H5075" s="405">
        <v>703086899</v>
      </c>
      <c r="I5075" s="405"/>
      <c r="J5075" s="405">
        <v>0.54327899999999996</v>
      </c>
      <c r="K5075" s="405">
        <v>30.157339</v>
      </c>
      <c r="L5075" s="405" t="s">
        <v>590</v>
      </c>
      <c r="M5075" s="405" t="s">
        <v>20125</v>
      </c>
      <c r="N5075" s="405" t="s">
        <v>20866</v>
      </c>
      <c r="O5075" s="405" t="s">
        <v>21499</v>
      </c>
      <c r="P5075" s="405" t="s">
        <v>10449</v>
      </c>
      <c r="Q5075" s="411">
        <v>13</v>
      </c>
      <c r="R5075" s="405" t="s">
        <v>353</v>
      </c>
      <c r="S5075" s="405" t="s">
        <v>27034</v>
      </c>
      <c r="T5075" s="405" t="s">
        <v>32102</v>
      </c>
      <c r="U5075" s="405" t="s">
        <v>319</v>
      </c>
    </row>
    <row r="5076" spans="1:21" x14ac:dyDescent="0.25">
      <c r="A5076" s="405" t="s">
        <v>310</v>
      </c>
      <c r="B5076" s="405" t="s">
        <v>5046</v>
      </c>
      <c r="C5076" s="405" t="s">
        <v>327</v>
      </c>
      <c r="D5076" s="405"/>
      <c r="E5076" s="410">
        <v>41639</v>
      </c>
      <c r="F5076" s="410">
        <v>41684</v>
      </c>
      <c r="G5076" s="405" t="s">
        <v>5047</v>
      </c>
      <c r="H5076" s="405">
        <v>752623408</v>
      </c>
      <c r="I5076" s="405"/>
      <c r="J5076" s="405">
        <v>-0.21556800000000001</v>
      </c>
      <c r="K5076" s="405">
        <v>31.546341999999999</v>
      </c>
      <c r="L5076" s="405" t="s">
        <v>314</v>
      </c>
      <c r="M5076" s="405" t="s">
        <v>343</v>
      </c>
      <c r="N5076" s="405" t="s">
        <v>344</v>
      </c>
      <c r="O5076" s="405" t="s">
        <v>345</v>
      </c>
      <c r="P5076" s="405" t="s">
        <v>5048</v>
      </c>
      <c r="Q5076" s="411">
        <v>13</v>
      </c>
      <c r="R5076" s="405" t="s">
        <v>1263</v>
      </c>
      <c r="S5076" s="405" t="s">
        <v>27117</v>
      </c>
      <c r="T5076" s="405" t="s">
        <v>884</v>
      </c>
      <c r="U5076" s="405" t="s">
        <v>319</v>
      </c>
    </row>
    <row r="5077" spans="1:21" x14ac:dyDescent="0.25">
      <c r="A5077" s="405" t="s">
        <v>310</v>
      </c>
      <c r="B5077" s="405" t="s">
        <v>23</v>
      </c>
      <c r="C5077" s="405" t="s">
        <v>327</v>
      </c>
      <c r="D5077" s="405"/>
      <c r="E5077" s="410">
        <v>41639</v>
      </c>
      <c r="F5077" s="410">
        <v>41684</v>
      </c>
      <c r="G5077" s="405" t="s">
        <v>21548</v>
      </c>
      <c r="H5077" s="405">
        <v>702731276</v>
      </c>
      <c r="I5077" s="405"/>
      <c r="J5077" s="405">
        <v>-0.88405999999999996</v>
      </c>
      <c r="K5077" s="405">
        <v>30.246345000000002</v>
      </c>
      <c r="L5077" s="405" t="s">
        <v>590</v>
      </c>
      <c r="M5077" s="405" t="s">
        <v>19659</v>
      </c>
      <c r="N5077" s="405" t="s">
        <v>19681</v>
      </c>
      <c r="O5077" s="405" t="s">
        <v>13002</v>
      </c>
      <c r="P5077" s="405" t="s">
        <v>20161</v>
      </c>
      <c r="Q5077" s="411">
        <v>13</v>
      </c>
      <c r="R5077" s="405" t="s">
        <v>1527</v>
      </c>
      <c r="S5077" s="405" t="s">
        <v>27132</v>
      </c>
      <c r="T5077" s="405" t="s">
        <v>32102</v>
      </c>
      <c r="U5077" s="405" t="s">
        <v>319</v>
      </c>
    </row>
    <row r="5078" spans="1:21" x14ac:dyDescent="0.25">
      <c r="A5078" s="405" t="s">
        <v>310</v>
      </c>
      <c r="B5078" s="405" t="s">
        <v>13464</v>
      </c>
      <c r="C5078" s="405" t="s">
        <v>327</v>
      </c>
      <c r="D5078" s="405"/>
      <c r="E5078" s="410">
        <v>41639</v>
      </c>
      <c r="F5078" s="410">
        <v>41684</v>
      </c>
      <c r="G5078" s="405" t="s">
        <v>13465</v>
      </c>
      <c r="H5078" s="405">
        <v>774469843</v>
      </c>
      <c r="I5078" s="405"/>
      <c r="J5078" s="405">
        <v>0.59832700000000005</v>
      </c>
      <c r="K5078" s="405">
        <v>33.459867000000003</v>
      </c>
      <c r="L5078" s="405" t="s">
        <v>6866</v>
      </c>
      <c r="M5078" s="405" t="s">
        <v>9590</v>
      </c>
      <c r="N5078" s="405" t="s">
        <v>12131</v>
      </c>
      <c r="O5078" s="405" t="s">
        <v>13466</v>
      </c>
      <c r="P5078" s="405" t="s">
        <v>13467</v>
      </c>
      <c r="Q5078" s="411">
        <v>13</v>
      </c>
      <c r="R5078" s="405" t="s">
        <v>333</v>
      </c>
      <c r="S5078" s="405" t="s">
        <v>27193</v>
      </c>
      <c r="T5078" s="405" t="s">
        <v>32102</v>
      </c>
      <c r="U5078" s="405" t="s">
        <v>319</v>
      </c>
    </row>
    <row r="5079" spans="1:21" x14ac:dyDescent="0.25">
      <c r="A5079" s="405" t="s">
        <v>310</v>
      </c>
      <c r="B5079" s="405" t="s">
        <v>5225</v>
      </c>
      <c r="C5079" s="405" t="s">
        <v>327</v>
      </c>
      <c r="D5079" s="405"/>
      <c r="E5079" s="410">
        <v>41639</v>
      </c>
      <c r="F5079" s="410">
        <v>41684</v>
      </c>
      <c r="G5079" s="405" t="s">
        <v>5226</v>
      </c>
      <c r="H5079" s="405">
        <v>712804323</v>
      </c>
      <c r="I5079" s="405"/>
      <c r="J5079" s="405">
        <v>0.34579199999999999</v>
      </c>
      <c r="K5079" s="405">
        <v>32.575944999999997</v>
      </c>
      <c r="L5079" s="405" t="s">
        <v>314</v>
      </c>
      <c r="M5079" s="405" t="s">
        <v>992</v>
      </c>
      <c r="N5079" s="405" t="s">
        <v>362</v>
      </c>
      <c r="O5079" s="405" t="s">
        <v>936</v>
      </c>
      <c r="P5079" s="405" t="s">
        <v>5227</v>
      </c>
      <c r="Q5079" s="411">
        <v>13</v>
      </c>
      <c r="R5079" s="405" t="s">
        <v>438</v>
      </c>
      <c r="S5079" s="405" t="s">
        <v>27172</v>
      </c>
      <c r="T5079" s="405" t="s">
        <v>32102</v>
      </c>
      <c r="U5079" s="405" t="s">
        <v>319</v>
      </c>
    </row>
    <row r="5080" spans="1:21" x14ac:dyDescent="0.25">
      <c r="A5080" s="405" t="s">
        <v>310</v>
      </c>
      <c r="B5080" s="405" t="s">
        <v>13812</v>
      </c>
      <c r="C5080" s="405" t="s">
        <v>311</v>
      </c>
      <c r="D5080" s="405" t="s">
        <v>1789</v>
      </c>
      <c r="E5080" s="410">
        <v>41639</v>
      </c>
      <c r="F5080" s="410">
        <v>41684</v>
      </c>
      <c r="G5080" s="405" t="s">
        <v>13813</v>
      </c>
      <c r="H5080" s="405">
        <v>752894392</v>
      </c>
      <c r="I5080" s="405"/>
      <c r="J5080" s="405">
        <v>0.59836199999999995</v>
      </c>
      <c r="K5080" s="405">
        <v>33.459716999999998</v>
      </c>
      <c r="L5080" s="405" t="s">
        <v>6866</v>
      </c>
      <c r="M5080" s="405" t="s">
        <v>9590</v>
      </c>
      <c r="N5080" s="405" t="s">
        <v>9591</v>
      </c>
      <c r="O5080" s="405" t="s">
        <v>13814</v>
      </c>
      <c r="P5080" s="405" t="s">
        <v>13815</v>
      </c>
      <c r="Q5080" s="411">
        <v>13</v>
      </c>
      <c r="R5080" s="405" t="s">
        <v>318</v>
      </c>
      <c r="S5080" s="405" t="s">
        <v>27134</v>
      </c>
      <c r="T5080" s="405" t="s">
        <v>32102</v>
      </c>
      <c r="U5080" s="405" t="s">
        <v>319</v>
      </c>
    </row>
    <row r="5081" spans="1:21" x14ac:dyDescent="0.25">
      <c r="A5081" s="405" t="s">
        <v>310</v>
      </c>
      <c r="B5081" s="405" t="s">
        <v>21505</v>
      </c>
      <c r="C5081" s="405" t="s">
        <v>327</v>
      </c>
      <c r="D5081" s="405"/>
      <c r="E5081" s="410">
        <v>41639</v>
      </c>
      <c r="F5081" s="410">
        <v>41684</v>
      </c>
      <c r="G5081" s="405" t="s">
        <v>21506</v>
      </c>
      <c r="H5081" s="405">
        <v>752145261</v>
      </c>
      <c r="I5081" s="405"/>
      <c r="J5081" s="405">
        <v>0.61541699999999999</v>
      </c>
      <c r="K5081" s="405">
        <v>30.345054000000001</v>
      </c>
      <c r="L5081" s="405" t="s">
        <v>590</v>
      </c>
      <c r="M5081" s="405" t="s">
        <v>20125</v>
      </c>
      <c r="N5081" s="405" t="s">
        <v>20126</v>
      </c>
      <c r="O5081" s="405" t="s">
        <v>20853</v>
      </c>
      <c r="P5081" s="405" t="s">
        <v>21507</v>
      </c>
      <c r="Q5081" s="411">
        <v>13</v>
      </c>
      <c r="R5081" s="405" t="s">
        <v>20774</v>
      </c>
      <c r="S5081" s="405" t="s">
        <v>27412</v>
      </c>
      <c r="T5081" s="405" t="s">
        <v>32102</v>
      </c>
      <c r="U5081" s="405" t="s">
        <v>319</v>
      </c>
    </row>
    <row r="5082" spans="1:21" x14ac:dyDescent="0.25">
      <c r="A5082" s="405" t="s">
        <v>310</v>
      </c>
      <c r="B5082" s="405" t="s">
        <v>5717</v>
      </c>
      <c r="C5082" s="405" t="s">
        <v>857</v>
      </c>
      <c r="D5082" s="405" t="s">
        <v>1037</v>
      </c>
      <c r="E5082" s="410">
        <v>41639</v>
      </c>
      <c r="F5082" s="410">
        <v>41684</v>
      </c>
      <c r="G5082" s="405" t="s">
        <v>5718</v>
      </c>
      <c r="H5082" s="405">
        <v>784911688</v>
      </c>
      <c r="I5082" s="405"/>
      <c r="J5082" s="405">
        <v>0.54055500000000001</v>
      </c>
      <c r="K5082" s="405">
        <v>32.70411</v>
      </c>
      <c r="L5082" s="405" t="s">
        <v>314</v>
      </c>
      <c r="M5082" s="405" t="s">
        <v>329</v>
      </c>
      <c r="N5082" s="405" t="s">
        <v>545</v>
      </c>
      <c r="O5082" s="405" t="s">
        <v>336</v>
      </c>
      <c r="P5082" s="405" t="s">
        <v>1537</v>
      </c>
      <c r="Q5082" s="411">
        <v>13</v>
      </c>
      <c r="R5082" s="405" t="s">
        <v>2060</v>
      </c>
      <c r="S5082" s="405" t="s">
        <v>27226</v>
      </c>
      <c r="T5082" s="405" t="s">
        <v>32102</v>
      </c>
      <c r="U5082" s="405" t="s">
        <v>319</v>
      </c>
    </row>
    <row r="5083" spans="1:21" x14ac:dyDescent="0.25">
      <c r="A5083" s="405" t="s">
        <v>310</v>
      </c>
      <c r="B5083" s="405" t="s">
        <v>28933</v>
      </c>
      <c r="C5083" s="405" t="s">
        <v>327</v>
      </c>
      <c r="D5083" s="405"/>
      <c r="E5083" s="410">
        <v>41639</v>
      </c>
      <c r="F5083" s="410">
        <v>41684</v>
      </c>
      <c r="G5083" s="405" t="s">
        <v>5023</v>
      </c>
      <c r="H5083" s="405">
        <v>752706295</v>
      </c>
      <c r="I5083" s="405"/>
      <c r="J5083" s="405">
        <v>0.32204300000000002</v>
      </c>
      <c r="K5083" s="405">
        <v>32.166452999999997</v>
      </c>
      <c r="L5083" s="405" t="s">
        <v>314</v>
      </c>
      <c r="M5083" s="405" t="s">
        <v>675</v>
      </c>
      <c r="N5083" s="405" t="s">
        <v>676</v>
      </c>
      <c r="O5083" s="405" t="s">
        <v>677</v>
      </c>
      <c r="P5083" s="405" t="s">
        <v>5024</v>
      </c>
      <c r="Q5083" s="411">
        <v>13</v>
      </c>
      <c r="R5083" s="405" t="s">
        <v>318</v>
      </c>
      <c r="S5083" s="405" t="s">
        <v>27124</v>
      </c>
      <c r="T5083" s="405" t="s">
        <v>32102</v>
      </c>
      <c r="U5083" s="405" t="s">
        <v>319</v>
      </c>
    </row>
    <row r="5084" spans="1:21" x14ac:dyDescent="0.25">
      <c r="A5084" s="405" t="s">
        <v>310</v>
      </c>
      <c r="B5084" s="405" t="s">
        <v>21485</v>
      </c>
      <c r="C5084" s="405" t="s">
        <v>327</v>
      </c>
      <c r="D5084" s="405"/>
      <c r="E5084" s="410">
        <v>41639</v>
      </c>
      <c r="F5084" s="410">
        <v>41684</v>
      </c>
      <c r="G5084" s="405" t="s">
        <v>21486</v>
      </c>
      <c r="H5084" s="405">
        <v>772346840</v>
      </c>
      <c r="I5084" s="405"/>
      <c r="J5084" s="405">
        <v>-1.087569</v>
      </c>
      <c r="K5084" s="405">
        <v>30.274493</v>
      </c>
      <c r="L5084" s="405" t="s">
        <v>590</v>
      </c>
      <c r="M5084" s="405" t="s">
        <v>19659</v>
      </c>
      <c r="N5084" s="405" t="s">
        <v>19677</v>
      </c>
      <c r="O5084" s="405" t="s">
        <v>2520</v>
      </c>
      <c r="P5084" s="405" t="s">
        <v>21487</v>
      </c>
      <c r="Q5084" s="411">
        <v>13</v>
      </c>
      <c r="R5084" s="405" t="s">
        <v>525</v>
      </c>
      <c r="S5084" s="405" t="s">
        <v>27232</v>
      </c>
      <c r="T5084" s="405" t="s">
        <v>32102</v>
      </c>
      <c r="U5084" s="405" t="s">
        <v>319</v>
      </c>
    </row>
    <row r="5085" spans="1:21" x14ac:dyDescent="0.25">
      <c r="A5085" s="405" t="s">
        <v>310</v>
      </c>
      <c r="B5085" s="405" t="s">
        <v>21528</v>
      </c>
      <c r="C5085" s="405" t="s">
        <v>327</v>
      </c>
      <c r="D5085" s="405"/>
      <c r="E5085" s="410">
        <v>41639</v>
      </c>
      <c r="F5085" s="410">
        <v>41684</v>
      </c>
      <c r="G5085" s="405" t="s">
        <v>21529</v>
      </c>
      <c r="H5085" s="405">
        <v>772451101</v>
      </c>
      <c r="I5085" s="405">
        <v>777533915</v>
      </c>
      <c r="J5085" s="405">
        <v>-9.4746999999999998E-2</v>
      </c>
      <c r="K5085" s="405">
        <v>30.687003000000001</v>
      </c>
      <c r="L5085" s="405" t="s">
        <v>590</v>
      </c>
      <c r="M5085" s="405" t="s">
        <v>19705</v>
      </c>
      <c r="N5085" s="405" t="s">
        <v>2250</v>
      </c>
      <c r="O5085" s="405" t="s">
        <v>2250</v>
      </c>
      <c r="P5085" s="405" t="s">
        <v>20379</v>
      </c>
      <c r="Q5085" s="411">
        <v>13</v>
      </c>
      <c r="R5085" s="405" t="s">
        <v>874</v>
      </c>
      <c r="S5085" s="405" t="s">
        <v>27063</v>
      </c>
      <c r="T5085" s="405" t="s">
        <v>32102</v>
      </c>
      <c r="U5085" s="405" t="s">
        <v>319</v>
      </c>
    </row>
    <row r="5086" spans="1:21" x14ac:dyDescent="0.25">
      <c r="A5086" s="405" t="s">
        <v>310</v>
      </c>
      <c r="B5086" s="405" t="s">
        <v>13713</v>
      </c>
      <c r="C5086" s="405" t="s">
        <v>311</v>
      </c>
      <c r="D5086" s="405" t="s">
        <v>1789</v>
      </c>
      <c r="E5086" s="410">
        <v>41639</v>
      </c>
      <c r="F5086" s="410">
        <v>41684</v>
      </c>
      <c r="G5086" s="405" t="s">
        <v>13714</v>
      </c>
      <c r="H5086" s="405">
        <v>772651181</v>
      </c>
      <c r="I5086" s="405">
        <v>754651181</v>
      </c>
      <c r="J5086" s="405">
        <v>0.51593199999999995</v>
      </c>
      <c r="K5086" s="405">
        <v>33.343127000000003</v>
      </c>
      <c r="L5086" s="405" t="s">
        <v>6866</v>
      </c>
      <c r="M5086" s="405" t="s">
        <v>5411</v>
      </c>
      <c r="N5086" s="405" t="s">
        <v>13715</v>
      </c>
      <c r="O5086" s="405" t="s">
        <v>9775</v>
      </c>
      <c r="P5086" s="405" t="s">
        <v>12550</v>
      </c>
      <c r="Q5086" s="411">
        <v>13</v>
      </c>
      <c r="R5086" s="405" t="s">
        <v>32478</v>
      </c>
      <c r="S5086" s="405" t="s">
        <v>27225</v>
      </c>
      <c r="T5086" s="405" t="s">
        <v>32102</v>
      </c>
      <c r="U5086" s="405" t="s">
        <v>319</v>
      </c>
    </row>
    <row r="5087" spans="1:21" x14ac:dyDescent="0.25">
      <c r="A5087" s="405" t="s">
        <v>310</v>
      </c>
      <c r="B5087" s="405" t="s">
        <v>13793</v>
      </c>
      <c r="C5087" s="405" t="s">
        <v>311</v>
      </c>
      <c r="D5087" s="405" t="s">
        <v>1789</v>
      </c>
      <c r="E5087" s="410">
        <v>41639</v>
      </c>
      <c r="F5087" s="410">
        <v>41684</v>
      </c>
      <c r="G5087" s="405" t="s">
        <v>13794</v>
      </c>
      <c r="H5087" s="405">
        <v>777537389</v>
      </c>
      <c r="I5087" s="405"/>
      <c r="J5087" s="405">
        <v>0.58485299999999996</v>
      </c>
      <c r="K5087" s="405">
        <v>33.452562999999998</v>
      </c>
      <c r="L5087" s="405" t="s">
        <v>6866</v>
      </c>
      <c r="M5087" s="405" t="s">
        <v>10853</v>
      </c>
      <c r="N5087" s="405" t="s">
        <v>11650</v>
      </c>
      <c r="O5087" s="405" t="s">
        <v>12669</v>
      </c>
      <c r="P5087" s="405" t="s">
        <v>13795</v>
      </c>
      <c r="Q5087" s="411">
        <v>12</v>
      </c>
      <c r="R5087" s="405" t="s">
        <v>318</v>
      </c>
      <c r="S5087" s="405" t="s">
        <v>27054</v>
      </c>
      <c r="T5087" s="405" t="s">
        <v>32102</v>
      </c>
      <c r="U5087" s="405" t="s">
        <v>319</v>
      </c>
    </row>
    <row r="5088" spans="1:21" x14ac:dyDescent="0.25">
      <c r="A5088" s="405" t="s">
        <v>310</v>
      </c>
      <c r="B5088" s="405" t="s">
        <v>13351</v>
      </c>
      <c r="C5088" s="405" t="s">
        <v>327</v>
      </c>
      <c r="D5088" s="405"/>
      <c r="E5088" s="410">
        <v>41639</v>
      </c>
      <c r="F5088" s="410">
        <v>41684</v>
      </c>
      <c r="G5088" s="405" t="s">
        <v>13352</v>
      </c>
      <c r="H5088" s="405">
        <v>772303568</v>
      </c>
      <c r="I5088" s="405">
        <v>772393379</v>
      </c>
      <c r="J5088" s="405">
        <v>0.94692880000000001</v>
      </c>
      <c r="K5088" s="405">
        <v>33.125838199999997</v>
      </c>
      <c r="L5088" s="405" t="s">
        <v>6866</v>
      </c>
      <c r="M5088" s="405" t="s">
        <v>3009</v>
      </c>
      <c r="N5088" s="405" t="s">
        <v>9612</v>
      </c>
      <c r="O5088" s="405" t="s">
        <v>9613</v>
      </c>
      <c r="P5088" s="405" t="s">
        <v>13353</v>
      </c>
      <c r="Q5088" s="411">
        <v>12</v>
      </c>
      <c r="R5088" s="405" t="s">
        <v>32478</v>
      </c>
      <c r="S5088" s="405" t="s">
        <v>27054</v>
      </c>
      <c r="T5088" s="405" t="s">
        <v>32102</v>
      </c>
      <c r="U5088" s="405" t="s">
        <v>319</v>
      </c>
    </row>
    <row r="5089" spans="1:21" ht="25.5" x14ac:dyDescent="0.25">
      <c r="A5089" s="405" t="s">
        <v>310</v>
      </c>
      <c r="B5089" s="413" t="s">
        <v>867</v>
      </c>
      <c r="C5089" s="413" t="s">
        <v>311</v>
      </c>
      <c r="D5089" s="419" t="s">
        <v>32764</v>
      </c>
      <c r="E5089" s="418">
        <v>41639</v>
      </c>
      <c r="F5089" s="418">
        <v>41684</v>
      </c>
      <c r="G5089" s="413" t="s">
        <v>869</v>
      </c>
      <c r="H5089" s="405">
        <v>772564933</v>
      </c>
      <c r="I5089" s="405"/>
      <c r="J5089" s="405">
        <v>-4.6412000000000002E-2</v>
      </c>
      <c r="K5089" s="405">
        <v>30.480269</v>
      </c>
      <c r="L5089" s="405" t="s">
        <v>590</v>
      </c>
      <c r="M5089" s="405" t="s">
        <v>870</v>
      </c>
      <c r="N5089" s="405" t="s">
        <v>871</v>
      </c>
      <c r="O5089" s="405" t="s">
        <v>872</v>
      </c>
      <c r="P5089" s="405" t="s">
        <v>873</v>
      </c>
      <c r="Q5089" s="411">
        <v>9</v>
      </c>
      <c r="R5089" s="405" t="s">
        <v>874</v>
      </c>
      <c r="S5089" s="405" t="s">
        <v>27098</v>
      </c>
      <c r="T5089" s="405" t="s">
        <v>32102</v>
      </c>
      <c r="U5089" s="405" t="s">
        <v>319</v>
      </c>
    </row>
    <row r="5090" spans="1:21" x14ac:dyDescent="0.25">
      <c r="A5090" s="405" t="s">
        <v>310</v>
      </c>
      <c r="B5090" s="405" t="s">
        <v>27749</v>
      </c>
      <c r="C5090" s="405" t="s">
        <v>311</v>
      </c>
      <c r="D5090" s="405" t="s">
        <v>839</v>
      </c>
      <c r="E5090" s="410">
        <v>41639</v>
      </c>
      <c r="F5090" s="410">
        <v>41684</v>
      </c>
      <c r="G5090" s="405" t="s">
        <v>5648</v>
      </c>
      <c r="H5090" s="405">
        <v>775807780</v>
      </c>
      <c r="I5090" s="405"/>
      <c r="J5090" s="405">
        <v>0.40789000000000003</v>
      </c>
      <c r="K5090" s="405">
        <v>32.595976666666665</v>
      </c>
      <c r="L5090" s="405" t="s">
        <v>314</v>
      </c>
      <c r="M5090" s="405" t="s">
        <v>361</v>
      </c>
      <c r="N5090" s="405" t="s">
        <v>362</v>
      </c>
      <c r="O5090" s="405" t="s">
        <v>1341</v>
      </c>
      <c r="P5090" s="405" t="s">
        <v>1341</v>
      </c>
      <c r="Q5090" s="411">
        <v>9</v>
      </c>
      <c r="R5090" s="405" t="s">
        <v>402</v>
      </c>
      <c r="S5090" s="405" t="s">
        <v>27154</v>
      </c>
      <c r="T5090" s="405" t="s">
        <v>32102</v>
      </c>
      <c r="U5090" s="405" t="s">
        <v>319</v>
      </c>
    </row>
    <row r="5091" spans="1:21" x14ac:dyDescent="0.25">
      <c r="A5091" s="405" t="s">
        <v>310</v>
      </c>
      <c r="B5091" s="405" t="s">
        <v>28182</v>
      </c>
      <c r="C5091" s="405" t="s">
        <v>327</v>
      </c>
      <c r="D5091" s="405"/>
      <c r="E5091" s="410">
        <v>41639</v>
      </c>
      <c r="F5091" s="410">
        <v>41684</v>
      </c>
      <c r="G5091" s="405" t="s">
        <v>5198</v>
      </c>
      <c r="H5091" s="405">
        <v>772995530</v>
      </c>
      <c r="I5091" s="405"/>
      <c r="J5091" s="405">
        <v>1.0033069999999999</v>
      </c>
      <c r="K5091" s="405">
        <v>31.608187000000001</v>
      </c>
      <c r="L5091" s="405" t="s">
        <v>314</v>
      </c>
      <c r="M5091" s="405" t="s">
        <v>1360</v>
      </c>
      <c r="N5091" s="405" t="s">
        <v>1361</v>
      </c>
      <c r="O5091" s="405" t="s">
        <v>3965</v>
      </c>
      <c r="P5091" s="405" t="s">
        <v>5199</v>
      </c>
      <c r="Q5091" s="411">
        <v>9</v>
      </c>
      <c r="R5091" s="405" t="s">
        <v>1263</v>
      </c>
      <c r="S5091" s="405" t="s">
        <v>27185</v>
      </c>
      <c r="T5091" s="405" t="s">
        <v>32102</v>
      </c>
      <c r="U5091" s="405" t="s">
        <v>319</v>
      </c>
    </row>
    <row r="5092" spans="1:21" x14ac:dyDescent="0.25">
      <c r="A5092" s="405" t="s">
        <v>310</v>
      </c>
      <c r="B5092" s="405" t="s">
        <v>28825</v>
      </c>
      <c r="C5092" s="405" t="s">
        <v>327</v>
      </c>
      <c r="D5092" s="405"/>
      <c r="E5092" s="410">
        <v>41639</v>
      </c>
      <c r="F5092" s="410">
        <v>41684</v>
      </c>
      <c r="G5092" s="405" t="s">
        <v>13364</v>
      </c>
      <c r="H5092" s="405">
        <v>783522299</v>
      </c>
      <c r="I5092" s="405"/>
      <c r="J5092" s="405">
        <v>0.61432770000000003</v>
      </c>
      <c r="K5092" s="405">
        <v>33.4774119</v>
      </c>
      <c r="L5092" s="405" t="s">
        <v>6866</v>
      </c>
      <c r="M5092" s="405" t="s">
        <v>9590</v>
      </c>
      <c r="N5092" s="405" t="s">
        <v>542</v>
      </c>
      <c r="O5092" s="405" t="s">
        <v>10061</v>
      </c>
      <c r="P5092" s="405" t="s">
        <v>13365</v>
      </c>
      <c r="Q5092" s="411">
        <v>9</v>
      </c>
      <c r="R5092" s="405" t="s">
        <v>318</v>
      </c>
      <c r="S5092" s="405" t="s">
        <v>27201</v>
      </c>
      <c r="T5092" s="405" t="s">
        <v>884</v>
      </c>
      <c r="U5092" s="405" t="s">
        <v>319</v>
      </c>
    </row>
    <row r="5093" spans="1:21" x14ac:dyDescent="0.25">
      <c r="A5093" s="405" t="s">
        <v>310</v>
      </c>
      <c r="B5093" s="405" t="s">
        <v>28403</v>
      </c>
      <c r="C5093" s="405" t="s">
        <v>327</v>
      </c>
      <c r="D5093" s="405"/>
      <c r="E5093" s="410">
        <v>41639</v>
      </c>
      <c r="F5093" s="410">
        <v>41684</v>
      </c>
      <c r="G5093" s="405" t="s">
        <v>21508</v>
      </c>
      <c r="H5093" s="405">
        <v>702688676</v>
      </c>
      <c r="I5093" s="405"/>
      <c r="J5093" s="405">
        <v>0.63552399999999998</v>
      </c>
      <c r="K5093" s="405">
        <v>30.363683999999999</v>
      </c>
      <c r="L5093" s="405" t="s">
        <v>590</v>
      </c>
      <c r="M5093" s="405" t="s">
        <v>20125</v>
      </c>
      <c r="N5093" s="405" t="s">
        <v>20126</v>
      </c>
      <c r="O5093" s="405" t="s">
        <v>20853</v>
      </c>
      <c r="P5093" s="405" t="s">
        <v>21509</v>
      </c>
      <c r="Q5093" s="411">
        <v>9</v>
      </c>
      <c r="R5093" s="405" t="s">
        <v>883</v>
      </c>
      <c r="S5093" s="405" t="s">
        <v>27183</v>
      </c>
      <c r="T5093" s="405" t="s">
        <v>32102</v>
      </c>
      <c r="U5093" s="405" t="s">
        <v>319</v>
      </c>
    </row>
    <row r="5094" spans="1:21" x14ac:dyDescent="0.25">
      <c r="A5094" s="405" t="s">
        <v>310</v>
      </c>
      <c r="B5094" s="405" t="s">
        <v>28838</v>
      </c>
      <c r="C5094" s="405" t="s">
        <v>311</v>
      </c>
      <c r="D5094" s="405" t="s">
        <v>839</v>
      </c>
      <c r="E5094" s="410">
        <v>41639</v>
      </c>
      <c r="F5094" s="410">
        <v>41684</v>
      </c>
      <c r="G5094" s="405" t="s">
        <v>21747</v>
      </c>
      <c r="H5094" s="405">
        <v>752610155</v>
      </c>
      <c r="I5094" s="405"/>
      <c r="J5094" s="405">
        <v>-5.2706999999999997E-2</v>
      </c>
      <c r="K5094" s="405">
        <v>30.480841999999999</v>
      </c>
      <c r="L5094" s="405" t="s">
        <v>590</v>
      </c>
      <c r="M5094" s="405" t="s">
        <v>870</v>
      </c>
      <c r="N5094" s="405" t="s">
        <v>871</v>
      </c>
      <c r="O5094" s="405" t="s">
        <v>872</v>
      </c>
      <c r="P5094" s="405" t="s">
        <v>21748</v>
      </c>
      <c r="Q5094" s="411">
        <v>9</v>
      </c>
      <c r="R5094" s="405" t="s">
        <v>874</v>
      </c>
      <c r="S5094" s="405" t="s">
        <v>27249</v>
      </c>
      <c r="T5094" s="405" t="s">
        <v>884</v>
      </c>
      <c r="U5094" s="405" t="s">
        <v>319</v>
      </c>
    </row>
    <row r="5095" spans="1:21" x14ac:dyDescent="0.25">
      <c r="A5095" s="405" t="s">
        <v>310</v>
      </c>
      <c r="B5095" s="405" t="s">
        <v>28987</v>
      </c>
      <c r="C5095" s="405" t="s">
        <v>327</v>
      </c>
      <c r="D5095" s="405"/>
      <c r="E5095" s="410">
        <v>41639</v>
      </c>
      <c r="F5095" s="410">
        <v>41684</v>
      </c>
      <c r="G5095" s="405" t="s">
        <v>21491</v>
      </c>
      <c r="H5095" s="405">
        <v>758846026</v>
      </c>
      <c r="I5095" s="405">
        <v>782846026</v>
      </c>
      <c r="J5095" s="405">
        <v>-0.94416699999999998</v>
      </c>
      <c r="K5095" s="405">
        <v>29.894988000000001</v>
      </c>
      <c r="L5095" s="405" t="s">
        <v>590</v>
      </c>
      <c r="M5095" s="405" t="s">
        <v>19619</v>
      </c>
      <c r="N5095" s="405" t="s">
        <v>19620</v>
      </c>
      <c r="O5095" s="405" t="s">
        <v>21492</v>
      </c>
      <c r="P5095" s="405" t="s">
        <v>21493</v>
      </c>
      <c r="Q5095" s="411">
        <v>9</v>
      </c>
      <c r="R5095" s="405" t="s">
        <v>874</v>
      </c>
      <c r="S5095" s="405" t="s">
        <v>27163</v>
      </c>
      <c r="T5095" s="405" t="s">
        <v>32102</v>
      </c>
      <c r="U5095" s="405" t="s">
        <v>319</v>
      </c>
    </row>
    <row r="5096" spans="1:21" x14ac:dyDescent="0.25">
      <c r="A5096" s="405" t="s">
        <v>310</v>
      </c>
      <c r="B5096" s="405" t="s">
        <v>5052</v>
      </c>
      <c r="C5096" s="405" t="s">
        <v>327</v>
      </c>
      <c r="D5096" s="405"/>
      <c r="E5096" s="410">
        <v>41639</v>
      </c>
      <c r="F5096" s="410">
        <v>41684</v>
      </c>
      <c r="G5096" s="405" t="s">
        <v>5053</v>
      </c>
      <c r="H5096" s="405">
        <v>772601566</v>
      </c>
      <c r="I5096" s="405"/>
      <c r="J5096" s="405">
        <v>0.72552799999999995</v>
      </c>
      <c r="K5096" s="405">
        <v>32.915681999999997</v>
      </c>
      <c r="L5096" s="405" t="s">
        <v>314</v>
      </c>
      <c r="M5096" s="405" t="s">
        <v>502</v>
      </c>
      <c r="N5096" s="405" t="s">
        <v>2610</v>
      </c>
      <c r="O5096" s="405" t="s">
        <v>502</v>
      </c>
      <c r="P5096" s="405" t="s">
        <v>1567</v>
      </c>
      <c r="Q5096" s="411">
        <v>9</v>
      </c>
      <c r="R5096" s="405" t="s">
        <v>318</v>
      </c>
      <c r="S5096" s="405" t="s">
        <v>27141</v>
      </c>
      <c r="T5096" s="405" t="s">
        <v>32102</v>
      </c>
      <c r="U5096" s="405" t="s">
        <v>319</v>
      </c>
    </row>
    <row r="5097" spans="1:21" x14ac:dyDescent="0.25">
      <c r="A5097" s="405" t="s">
        <v>310</v>
      </c>
      <c r="B5097" s="405" t="s">
        <v>27531</v>
      </c>
      <c r="C5097" s="405" t="s">
        <v>327</v>
      </c>
      <c r="D5097" s="405"/>
      <c r="E5097" s="410">
        <v>41639</v>
      </c>
      <c r="F5097" s="410">
        <v>41684</v>
      </c>
      <c r="G5097" s="405" t="s">
        <v>5049</v>
      </c>
      <c r="H5097" s="405">
        <v>772516729</v>
      </c>
      <c r="I5097" s="405"/>
      <c r="J5097" s="405">
        <v>0.70278200000000002</v>
      </c>
      <c r="K5097" s="405">
        <v>32.897503</v>
      </c>
      <c r="L5097" s="405" t="s">
        <v>314</v>
      </c>
      <c r="M5097" s="405" t="s">
        <v>502</v>
      </c>
      <c r="N5097" s="405" t="s">
        <v>2610</v>
      </c>
      <c r="O5097" s="405" t="s">
        <v>5050</v>
      </c>
      <c r="P5097" s="405" t="s">
        <v>5051</v>
      </c>
      <c r="Q5097" s="411">
        <v>9</v>
      </c>
      <c r="R5097" s="405" t="s">
        <v>318</v>
      </c>
      <c r="S5097" s="405" t="s">
        <v>27135</v>
      </c>
      <c r="T5097" s="405" t="s">
        <v>32102</v>
      </c>
      <c r="U5097" s="405" t="s">
        <v>319</v>
      </c>
    </row>
    <row r="5098" spans="1:21" x14ac:dyDescent="0.25">
      <c r="A5098" s="405" t="s">
        <v>310</v>
      </c>
      <c r="B5098" s="405" t="s">
        <v>5675</v>
      </c>
      <c r="C5098" s="405" t="s">
        <v>311</v>
      </c>
      <c r="D5098" s="405" t="s">
        <v>312</v>
      </c>
      <c r="E5098" s="410">
        <v>41639</v>
      </c>
      <c r="F5098" s="410">
        <v>41684</v>
      </c>
      <c r="G5098" s="405" t="s">
        <v>5676</v>
      </c>
      <c r="H5098" s="405">
        <v>772920184</v>
      </c>
      <c r="I5098" s="405"/>
      <c r="J5098" s="405">
        <v>0.74104499999999995</v>
      </c>
      <c r="K5098" s="405">
        <v>32.453923000000003</v>
      </c>
      <c r="L5098" s="405" t="s">
        <v>314</v>
      </c>
      <c r="M5098" s="405" t="s">
        <v>2297</v>
      </c>
      <c r="N5098" s="405" t="s">
        <v>2297</v>
      </c>
      <c r="O5098" s="405" t="s">
        <v>2297</v>
      </c>
      <c r="P5098" s="405" t="s">
        <v>2403</v>
      </c>
      <c r="Q5098" s="411">
        <v>9</v>
      </c>
      <c r="R5098" s="405" t="s">
        <v>1263</v>
      </c>
      <c r="S5098" s="405" t="s">
        <v>27210</v>
      </c>
      <c r="T5098" s="405" t="s">
        <v>32102</v>
      </c>
      <c r="U5098" s="405" t="s">
        <v>319</v>
      </c>
    </row>
    <row r="5099" spans="1:21" x14ac:dyDescent="0.25">
      <c r="A5099" s="405" t="s">
        <v>310</v>
      </c>
      <c r="B5099" s="405" t="s">
        <v>21533</v>
      </c>
      <c r="C5099" s="405" t="s">
        <v>327</v>
      </c>
      <c r="D5099" s="405"/>
      <c r="E5099" s="410">
        <v>41639</v>
      </c>
      <c r="F5099" s="410">
        <v>41684</v>
      </c>
      <c r="G5099" s="405" t="s">
        <v>21534</v>
      </c>
      <c r="H5099" s="405">
        <v>753918125</v>
      </c>
      <c r="I5099" s="405">
        <v>759886536</v>
      </c>
      <c r="J5099" s="405">
        <v>-1.2970000000000001E-2</v>
      </c>
      <c r="K5099" s="405">
        <v>30.586552000000001</v>
      </c>
      <c r="L5099" s="405" t="s">
        <v>590</v>
      </c>
      <c r="M5099" s="405" t="s">
        <v>19705</v>
      </c>
      <c r="N5099" s="405" t="s">
        <v>2250</v>
      </c>
      <c r="O5099" s="405" t="s">
        <v>21436</v>
      </c>
      <c r="P5099" s="405" t="s">
        <v>21535</v>
      </c>
      <c r="Q5099" s="411">
        <v>9</v>
      </c>
      <c r="R5099" s="405" t="s">
        <v>874</v>
      </c>
      <c r="S5099" s="405" t="s">
        <v>27419</v>
      </c>
      <c r="T5099" s="405" t="s">
        <v>32102</v>
      </c>
      <c r="U5099" s="405" t="s">
        <v>319</v>
      </c>
    </row>
    <row r="5100" spans="1:21" x14ac:dyDescent="0.25">
      <c r="A5100" s="405" t="s">
        <v>310</v>
      </c>
      <c r="B5100" s="405" t="s">
        <v>21517</v>
      </c>
      <c r="C5100" s="405" t="s">
        <v>327</v>
      </c>
      <c r="D5100" s="405"/>
      <c r="E5100" s="410">
        <v>41639</v>
      </c>
      <c r="F5100" s="410">
        <v>41684</v>
      </c>
      <c r="G5100" s="405" t="s">
        <v>21518</v>
      </c>
      <c r="H5100" s="405">
        <v>785128942</v>
      </c>
      <c r="I5100" s="405"/>
      <c r="J5100" s="405">
        <v>0.251002</v>
      </c>
      <c r="K5100" s="405">
        <v>30.115991000000001</v>
      </c>
      <c r="L5100" s="405" t="s">
        <v>590</v>
      </c>
      <c r="M5100" s="405" t="s">
        <v>21087</v>
      </c>
      <c r="N5100" s="405" t="s">
        <v>21515</v>
      </c>
      <c r="O5100" s="405" t="s">
        <v>21519</v>
      </c>
      <c r="P5100" s="405" t="s">
        <v>21520</v>
      </c>
      <c r="Q5100" s="411">
        <v>9</v>
      </c>
      <c r="R5100" s="405" t="s">
        <v>20774</v>
      </c>
      <c r="S5100" s="405" t="s">
        <v>27416</v>
      </c>
      <c r="T5100" s="405" t="s">
        <v>32102</v>
      </c>
      <c r="U5100" s="405" t="s">
        <v>319</v>
      </c>
    </row>
    <row r="5101" spans="1:21" x14ac:dyDescent="0.25">
      <c r="A5101" s="405" t="s">
        <v>310</v>
      </c>
      <c r="B5101" s="405" t="s">
        <v>13366</v>
      </c>
      <c r="C5101" s="405" t="s">
        <v>327</v>
      </c>
      <c r="D5101" s="405"/>
      <c r="E5101" s="410">
        <v>41639</v>
      </c>
      <c r="F5101" s="410">
        <v>41684</v>
      </c>
      <c r="G5101" s="405" t="s">
        <v>13367</v>
      </c>
      <c r="H5101" s="405">
        <v>772200572</v>
      </c>
      <c r="I5101" s="405"/>
      <c r="J5101" s="405">
        <v>0.4513373</v>
      </c>
      <c r="K5101" s="405">
        <v>33.222805899999997</v>
      </c>
      <c r="L5101" s="405" t="s">
        <v>6866</v>
      </c>
      <c r="M5101" s="405" t="s">
        <v>9590</v>
      </c>
      <c r="N5101" s="405" t="s">
        <v>9591</v>
      </c>
      <c r="O5101" s="405" t="s">
        <v>13368</v>
      </c>
      <c r="P5101" s="405" t="s">
        <v>10876</v>
      </c>
      <c r="Q5101" s="411">
        <v>9</v>
      </c>
      <c r="R5101" s="405" t="s">
        <v>318</v>
      </c>
      <c r="S5101" s="405" t="s">
        <v>27120</v>
      </c>
      <c r="T5101" s="405" t="s">
        <v>32102</v>
      </c>
      <c r="U5101" s="405" t="s">
        <v>319</v>
      </c>
    </row>
    <row r="5102" spans="1:21" x14ac:dyDescent="0.25">
      <c r="A5102" s="405" t="s">
        <v>310</v>
      </c>
      <c r="B5102" s="405" t="s">
        <v>13372</v>
      </c>
      <c r="C5102" s="405" t="s">
        <v>327</v>
      </c>
      <c r="D5102" s="405"/>
      <c r="E5102" s="410">
        <v>41639</v>
      </c>
      <c r="F5102" s="410">
        <v>41684</v>
      </c>
      <c r="G5102" s="405" t="s">
        <v>13373</v>
      </c>
      <c r="H5102" s="405">
        <v>756633352</v>
      </c>
      <c r="I5102" s="405"/>
      <c r="J5102" s="405">
        <v>0.85493929999999996</v>
      </c>
      <c r="K5102" s="405">
        <v>33.493394199999997</v>
      </c>
      <c r="L5102" s="405" t="s">
        <v>6866</v>
      </c>
      <c r="M5102" s="405" t="s">
        <v>9590</v>
      </c>
      <c r="N5102" s="405" t="s">
        <v>10716</v>
      </c>
      <c r="O5102" s="405" t="s">
        <v>13374</v>
      </c>
      <c r="P5102" s="405" t="s">
        <v>13375</v>
      </c>
      <c r="Q5102" s="411">
        <v>9</v>
      </c>
      <c r="R5102" s="405" t="s">
        <v>318</v>
      </c>
      <c r="S5102" s="405" t="s">
        <v>27035</v>
      </c>
      <c r="T5102" s="405" t="s">
        <v>32102</v>
      </c>
      <c r="U5102" s="405" t="s">
        <v>319</v>
      </c>
    </row>
    <row r="5103" spans="1:21" x14ac:dyDescent="0.25">
      <c r="A5103" s="405" t="s">
        <v>310</v>
      </c>
      <c r="B5103" s="405" t="s">
        <v>13716</v>
      </c>
      <c r="C5103" s="405" t="s">
        <v>311</v>
      </c>
      <c r="D5103" s="405" t="s">
        <v>1789</v>
      </c>
      <c r="E5103" s="410">
        <v>41639</v>
      </c>
      <c r="F5103" s="410">
        <v>41684</v>
      </c>
      <c r="G5103" s="405" t="s">
        <v>13717</v>
      </c>
      <c r="H5103" s="405">
        <v>782353629</v>
      </c>
      <c r="I5103" s="405">
        <v>782353629</v>
      </c>
      <c r="J5103" s="405">
        <v>0.42590499999999998</v>
      </c>
      <c r="K5103" s="405">
        <v>33.203499999999998</v>
      </c>
      <c r="L5103" s="405" t="s">
        <v>6866</v>
      </c>
      <c r="M5103" s="405" t="s">
        <v>9590</v>
      </c>
      <c r="N5103" s="405" t="s">
        <v>9591</v>
      </c>
      <c r="O5103" s="405" t="s">
        <v>13718</v>
      </c>
      <c r="P5103" s="405" t="s">
        <v>13719</v>
      </c>
      <c r="Q5103" s="411">
        <v>9</v>
      </c>
      <c r="R5103" s="405" t="s">
        <v>32478</v>
      </c>
      <c r="S5103" s="405" t="s">
        <v>27106</v>
      </c>
      <c r="T5103" s="405" t="s">
        <v>32102</v>
      </c>
      <c r="U5103" s="405" t="s">
        <v>319</v>
      </c>
    </row>
    <row r="5104" spans="1:21" x14ac:dyDescent="0.25">
      <c r="A5104" s="405" t="s">
        <v>310</v>
      </c>
      <c r="B5104" s="405" t="s">
        <v>5232</v>
      </c>
      <c r="C5104" s="405" t="s">
        <v>327</v>
      </c>
      <c r="D5104" s="405"/>
      <c r="E5104" s="410">
        <v>41639</v>
      </c>
      <c r="F5104" s="410">
        <v>41684</v>
      </c>
      <c r="G5104" s="405" t="s">
        <v>5233</v>
      </c>
      <c r="H5104" s="405">
        <v>777419191</v>
      </c>
      <c r="I5104" s="405"/>
      <c r="J5104" s="405">
        <v>0.69423299999999999</v>
      </c>
      <c r="K5104" s="405">
        <v>32.457304999999998</v>
      </c>
      <c r="L5104" s="405" t="s">
        <v>314</v>
      </c>
      <c r="M5104" s="405" t="s">
        <v>2297</v>
      </c>
      <c r="N5104" s="405" t="s">
        <v>1308</v>
      </c>
      <c r="O5104" s="405" t="s">
        <v>5234</v>
      </c>
      <c r="P5104" s="405" t="s">
        <v>5235</v>
      </c>
      <c r="Q5104" s="411">
        <v>9</v>
      </c>
      <c r="R5104" s="405" t="s">
        <v>1263</v>
      </c>
      <c r="S5104" s="405" t="s">
        <v>27162</v>
      </c>
      <c r="T5104" s="405" t="s">
        <v>32102</v>
      </c>
      <c r="U5104" s="405" t="s">
        <v>319</v>
      </c>
    </row>
    <row r="5105" spans="1:21" x14ac:dyDescent="0.25">
      <c r="A5105" s="405" t="s">
        <v>310</v>
      </c>
      <c r="B5105" s="405" t="s">
        <v>5554</v>
      </c>
      <c r="C5105" s="405" t="s">
        <v>857</v>
      </c>
      <c r="D5105" s="405" t="s">
        <v>5555</v>
      </c>
      <c r="E5105" s="410">
        <v>41639</v>
      </c>
      <c r="F5105" s="410">
        <v>41684</v>
      </c>
      <c r="G5105" s="405" t="s">
        <v>5556</v>
      </c>
      <c r="H5105" s="405">
        <v>705130701</v>
      </c>
      <c r="I5105" s="405"/>
      <c r="J5105" s="405">
        <v>0.11587699999999999</v>
      </c>
      <c r="K5105" s="405">
        <v>31.806956</v>
      </c>
      <c r="L5105" s="405" t="s">
        <v>314</v>
      </c>
      <c r="M5105" s="405" t="s">
        <v>339</v>
      </c>
      <c r="N5105" s="405" t="s">
        <v>339</v>
      </c>
      <c r="O5105" s="405" t="s">
        <v>1948</v>
      </c>
      <c r="P5105" s="405" t="s">
        <v>2600</v>
      </c>
      <c r="Q5105" s="411">
        <v>9</v>
      </c>
      <c r="R5105" s="405" t="s">
        <v>32476</v>
      </c>
      <c r="S5105" s="405" t="s">
        <v>27120</v>
      </c>
      <c r="T5105" s="405" t="s">
        <v>32102</v>
      </c>
      <c r="U5105" s="405" t="s">
        <v>319</v>
      </c>
    </row>
    <row r="5106" spans="1:21" x14ac:dyDescent="0.25">
      <c r="A5106" s="405" t="s">
        <v>310</v>
      </c>
      <c r="B5106" s="405" t="s">
        <v>21483</v>
      </c>
      <c r="C5106" s="405" t="s">
        <v>327</v>
      </c>
      <c r="D5106" s="405"/>
      <c r="E5106" s="410">
        <v>41639</v>
      </c>
      <c r="F5106" s="410">
        <v>41684</v>
      </c>
      <c r="G5106" s="405" t="s">
        <v>21484</v>
      </c>
      <c r="H5106" s="405">
        <v>782438730</v>
      </c>
      <c r="I5106" s="405"/>
      <c r="J5106" s="405">
        <v>-0.83207299999999995</v>
      </c>
      <c r="K5106" s="405">
        <v>30.464040000000001</v>
      </c>
      <c r="L5106" s="405" t="s">
        <v>590</v>
      </c>
      <c r="M5106" s="405" t="s">
        <v>19659</v>
      </c>
      <c r="N5106" s="405" t="s">
        <v>19664</v>
      </c>
      <c r="O5106" s="405" t="s">
        <v>19701</v>
      </c>
      <c r="P5106" s="405" t="s">
        <v>672</v>
      </c>
      <c r="Q5106" s="411">
        <v>9</v>
      </c>
      <c r="R5106" s="405" t="s">
        <v>1527</v>
      </c>
      <c r="S5106" s="405" t="s">
        <v>27132</v>
      </c>
      <c r="T5106" s="405" t="s">
        <v>32102</v>
      </c>
      <c r="U5106" s="405" t="s">
        <v>319</v>
      </c>
    </row>
    <row r="5107" spans="1:21" x14ac:dyDescent="0.25">
      <c r="A5107" s="405" t="s">
        <v>310</v>
      </c>
      <c r="B5107" s="405" t="s">
        <v>27970</v>
      </c>
      <c r="C5107" s="405" t="s">
        <v>311</v>
      </c>
      <c r="D5107" s="405" t="s">
        <v>1789</v>
      </c>
      <c r="E5107" s="410">
        <v>41639</v>
      </c>
      <c r="F5107" s="410">
        <v>41684</v>
      </c>
      <c r="G5107" s="405" t="s">
        <v>5585</v>
      </c>
      <c r="H5107" s="405">
        <v>772514965</v>
      </c>
      <c r="I5107" s="405"/>
      <c r="J5107" s="405">
        <v>0.70548200000000005</v>
      </c>
      <c r="K5107" s="405">
        <v>32.908059999999999</v>
      </c>
      <c r="L5107" s="405" t="s">
        <v>314</v>
      </c>
      <c r="M5107" s="405" t="s">
        <v>502</v>
      </c>
      <c r="N5107" s="405" t="s">
        <v>2610</v>
      </c>
      <c r="O5107" s="405" t="s">
        <v>502</v>
      </c>
      <c r="P5107" s="405" t="s">
        <v>2612</v>
      </c>
      <c r="Q5107" s="411">
        <v>9</v>
      </c>
      <c r="R5107" s="405" t="s">
        <v>318</v>
      </c>
      <c r="S5107" s="405" t="s">
        <v>27124</v>
      </c>
      <c r="T5107" s="405" t="s">
        <v>884</v>
      </c>
      <c r="U5107" s="405" t="s">
        <v>319</v>
      </c>
    </row>
    <row r="5108" spans="1:21" x14ac:dyDescent="0.25">
      <c r="A5108" s="405" t="s">
        <v>310</v>
      </c>
      <c r="B5108" s="405" t="s">
        <v>27999</v>
      </c>
      <c r="C5108" s="405" t="s">
        <v>327</v>
      </c>
      <c r="D5108" s="405"/>
      <c r="E5108" s="410">
        <v>41639</v>
      </c>
      <c r="F5108" s="410">
        <v>41684</v>
      </c>
      <c r="G5108" s="405" t="s">
        <v>21488</v>
      </c>
      <c r="H5108" s="405">
        <v>772898577</v>
      </c>
      <c r="I5108" s="405">
        <v>702898577</v>
      </c>
      <c r="J5108" s="405">
        <v>-0.84999800000000003</v>
      </c>
      <c r="K5108" s="405">
        <v>29.807352000000002</v>
      </c>
      <c r="L5108" s="405" t="s">
        <v>590</v>
      </c>
      <c r="M5108" s="405" t="s">
        <v>20808</v>
      </c>
      <c r="N5108" s="405" t="s">
        <v>20809</v>
      </c>
      <c r="O5108" s="405" t="s">
        <v>21489</v>
      </c>
      <c r="P5108" s="405" t="s">
        <v>21490</v>
      </c>
      <c r="Q5108" s="411">
        <v>9</v>
      </c>
      <c r="R5108" s="405" t="s">
        <v>874</v>
      </c>
      <c r="S5108" s="405" t="s">
        <v>27098</v>
      </c>
      <c r="T5108" s="405" t="s">
        <v>32102</v>
      </c>
      <c r="U5108" s="405" t="s">
        <v>319</v>
      </c>
    </row>
    <row r="5109" spans="1:21" x14ac:dyDescent="0.25">
      <c r="A5109" s="405" t="s">
        <v>310</v>
      </c>
      <c r="B5109" s="405" t="s">
        <v>13443</v>
      </c>
      <c r="C5109" s="405" t="s">
        <v>327</v>
      </c>
      <c r="D5109" s="405"/>
      <c r="E5109" s="410">
        <v>41639</v>
      </c>
      <c r="F5109" s="410">
        <v>41684</v>
      </c>
      <c r="G5109" s="405" t="s">
        <v>13444</v>
      </c>
      <c r="H5109" s="405">
        <v>782377968</v>
      </c>
      <c r="I5109" s="405"/>
      <c r="J5109" s="405">
        <v>0.59869000000000006</v>
      </c>
      <c r="K5109" s="405">
        <v>33.4589</v>
      </c>
      <c r="L5109" s="405" t="s">
        <v>6866</v>
      </c>
      <c r="M5109" s="405" t="s">
        <v>9590</v>
      </c>
      <c r="N5109" s="405" t="s">
        <v>12131</v>
      </c>
      <c r="O5109" s="405" t="s">
        <v>13445</v>
      </c>
      <c r="P5109" s="405" t="s">
        <v>13446</v>
      </c>
      <c r="Q5109" s="411">
        <v>9</v>
      </c>
      <c r="R5109" s="405" t="s">
        <v>318</v>
      </c>
      <c r="S5109" s="405" t="s">
        <v>27174</v>
      </c>
      <c r="T5109" s="405" t="s">
        <v>32102</v>
      </c>
      <c r="U5109" s="405" t="s">
        <v>319</v>
      </c>
    </row>
    <row r="5110" spans="1:21" x14ac:dyDescent="0.25">
      <c r="A5110" s="405" t="s">
        <v>310</v>
      </c>
      <c r="B5110" s="405" t="s">
        <v>5094</v>
      </c>
      <c r="C5110" s="405" t="s">
        <v>327</v>
      </c>
      <c r="D5110" s="405"/>
      <c r="E5110" s="410">
        <v>41639</v>
      </c>
      <c r="F5110" s="410">
        <v>41684</v>
      </c>
      <c r="G5110" s="405" t="s">
        <v>5095</v>
      </c>
      <c r="H5110" s="405">
        <v>772641427</v>
      </c>
      <c r="I5110" s="405"/>
      <c r="J5110" s="405">
        <v>0.39174500000000001</v>
      </c>
      <c r="K5110" s="405">
        <v>32.22522</v>
      </c>
      <c r="L5110" s="405" t="s">
        <v>314</v>
      </c>
      <c r="M5110" s="405" t="s">
        <v>675</v>
      </c>
      <c r="N5110" s="405" t="s">
        <v>676</v>
      </c>
      <c r="O5110" s="405" t="s">
        <v>1845</v>
      </c>
      <c r="P5110" s="405" t="s">
        <v>502</v>
      </c>
      <c r="Q5110" s="411">
        <v>9</v>
      </c>
      <c r="R5110" s="405" t="s">
        <v>1263</v>
      </c>
      <c r="S5110" s="405" t="s">
        <v>27036</v>
      </c>
      <c r="T5110" s="405" t="s">
        <v>32102</v>
      </c>
      <c r="U5110" s="405" t="s">
        <v>319</v>
      </c>
    </row>
    <row r="5111" spans="1:21" x14ac:dyDescent="0.25">
      <c r="A5111" s="405" t="s">
        <v>310</v>
      </c>
      <c r="B5111" s="405" t="s">
        <v>5057</v>
      </c>
      <c r="C5111" s="405" t="s">
        <v>327</v>
      </c>
      <c r="D5111" s="405"/>
      <c r="E5111" s="410">
        <v>41639</v>
      </c>
      <c r="F5111" s="410">
        <v>41684</v>
      </c>
      <c r="G5111" s="405" t="s">
        <v>5058</v>
      </c>
      <c r="H5111" s="405">
        <v>772415156</v>
      </c>
      <c r="I5111" s="405"/>
      <c r="J5111" s="405">
        <v>0.71395200000000003</v>
      </c>
      <c r="K5111" s="405">
        <v>32.926712999999999</v>
      </c>
      <c r="L5111" s="405" t="s">
        <v>314</v>
      </c>
      <c r="M5111" s="405" t="s">
        <v>502</v>
      </c>
      <c r="N5111" s="405" t="s">
        <v>1229</v>
      </c>
      <c r="O5111" s="405" t="s">
        <v>502</v>
      </c>
      <c r="P5111" s="405" t="s">
        <v>3311</v>
      </c>
      <c r="Q5111" s="411">
        <v>9</v>
      </c>
      <c r="R5111" s="405" t="s">
        <v>353</v>
      </c>
      <c r="S5111" s="405" t="s">
        <v>27110</v>
      </c>
      <c r="T5111" s="405" t="s">
        <v>32102</v>
      </c>
      <c r="U5111" s="405" t="s">
        <v>319</v>
      </c>
    </row>
    <row r="5112" spans="1:21" x14ac:dyDescent="0.25">
      <c r="A5112" s="405" t="s">
        <v>310</v>
      </c>
      <c r="B5112" s="405" t="s">
        <v>5170</v>
      </c>
      <c r="C5112" s="405" t="s">
        <v>327</v>
      </c>
      <c r="D5112" s="405"/>
      <c r="E5112" s="410">
        <v>41639</v>
      </c>
      <c r="F5112" s="410">
        <v>41684</v>
      </c>
      <c r="G5112" s="405" t="s">
        <v>5171</v>
      </c>
      <c r="H5112" s="405">
        <v>772390662</v>
      </c>
      <c r="I5112" s="405">
        <v>701156323</v>
      </c>
      <c r="J5112" s="405">
        <v>0.25597700000000001</v>
      </c>
      <c r="K5112" s="405">
        <v>32.814697000000002</v>
      </c>
      <c r="L5112" s="405" t="s">
        <v>314</v>
      </c>
      <c r="M5112" s="405" t="s">
        <v>329</v>
      </c>
      <c r="N5112" s="405" t="s">
        <v>803</v>
      </c>
      <c r="O5112" s="405" t="s">
        <v>909</v>
      </c>
      <c r="P5112" s="405" t="s">
        <v>2176</v>
      </c>
      <c r="Q5112" s="411">
        <v>9</v>
      </c>
      <c r="R5112" s="405" t="s">
        <v>318</v>
      </c>
      <c r="S5112" s="405" t="s">
        <v>27141</v>
      </c>
      <c r="T5112" s="405" t="s">
        <v>32102</v>
      </c>
      <c r="U5112" s="405" t="s">
        <v>319</v>
      </c>
    </row>
    <row r="5113" spans="1:21" x14ac:dyDescent="0.25">
      <c r="A5113" s="405" t="s">
        <v>310</v>
      </c>
      <c r="B5113" s="405" t="s">
        <v>5136</v>
      </c>
      <c r="C5113" s="405" t="s">
        <v>327</v>
      </c>
      <c r="D5113" s="405"/>
      <c r="E5113" s="410">
        <v>41639</v>
      </c>
      <c r="F5113" s="410">
        <v>41684</v>
      </c>
      <c r="G5113" s="405" t="s">
        <v>5137</v>
      </c>
      <c r="H5113" s="405">
        <v>772409708</v>
      </c>
      <c r="I5113" s="405"/>
      <c r="J5113" s="405">
        <v>0.35198699999999999</v>
      </c>
      <c r="K5113" s="405">
        <v>32.437671999999999</v>
      </c>
      <c r="L5113" s="405" t="s">
        <v>314</v>
      </c>
      <c r="M5113" s="405" t="s">
        <v>361</v>
      </c>
      <c r="N5113" s="405" t="s">
        <v>374</v>
      </c>
      <c r="O5113" s="405" t="s">
        <v>361</v>
      </c>
      <c r="P5113" s="405" t="s">
        <v>5138</v>
      </c>
      <c r="Q5113" s="411">
        <v>9</v>
      </c>
      <c r="R5113" s="405" t="s">
        <v>1263</v>
      </c>
      <c r="S5113" s="405" t="s">
        <v>414</v>
      </c>
      <c r="T5113" s="405" t="s">
        <v>32102</v>
      </c>
      <c r="U5113" s="405" t="s">
        <v>319</v>
      </c>
    </row>
    <row r="5114" spans="1:21" x14ac:dyDescent="0.25">
      <c r="A5114" s="405" t="s">
        <v>310</v>
      </c>
      <c r="B5114" s="405" t="s">
        <v>13312</v>
      </c>
      <c r="C5114" s="405" t="s">
        <v>327</v>
      </c>
      <c r="D5114" s="405"/>
      <c r="E5114" s="410">
        <v>41639</v>
      </c>
      <c r="F5114" s="410">
        <v>41684</v>
      </c>
      <c r="G5114" s="405" t="s">
        <v>13313</v>
      </c>
      <c r="H5114" s="405">
        <v>772660051</v>
      </c>
      <c r="I5114" s="405"/>
      <c r="J5114" s="405">
        <v>0.77289600000000003</v>
      </c>
      <c r="K5114" s="405">
        <v>34.015746999999998</v>
      </c>
      <c r="L5114" s="405" t="s">
        <v>6866</v>
      </c>
      <c r="M5114" s="405" t="s">
        <v>9534</v>
      </c>
      <c r="N5114" s="405" t="s">
        <v>10085</v>
      </c>
      <c r="O5114" s="405" t="s">
        <v>11484</v>
      </c>
      <c r="P5114" s="405" t="s">
        <v>13314</v>
      </c>
      <c r="Q5114" s="411">
        <v>9</v>
      </c>
      <c r="R5114" s="405" t="s">
        <v>7224</v>
      </c>
      <c r="S5114" s="405" t="s">
        <v>17013</v>
      </c>
      <c r="T5114" s="405" t="s">
        <v>32102</v>
      </c>
      <c r="U5114" s="405" t="s">
        <v>319</v>
      </c>
    </row>
    <row r="5115" spans="1:21" x14ac:dyDescent="0.25">
      <c r="A5115" s="405" t="s">
        <v>310</v>
      </c>
      <c r="B5115" s="405" t="s">
        <v>5220</v>
      </c>
      <c r="C5115" s="405" t="s">
        <v>327</v>
      </c>
      <c r="D5115" s="405"/>
      <c r="E5115" s="410">
        <v>41639</v>
      </c>
      <c r="F5115" s="410">
        <v>41684</v>
      </c>
      <c r="G5115" s="405" t="s">
        <v>5221</v>
      </c>
      <c r="H5115" s="405">
        <v>789662656</v>
      </c>
      <c r="I5115" s="405"/>
      <c r="J5115" s="405">
        <v>0.4078831</v>
      </c>
      <c r="K5115" s="405">
        <v>33.164847600000002</v>
      </c>
      <c r="L5115" s="405" t="s">
        <v>314</v>
      </c>
      <c r="M5115" s="405" t="s">
        <v>349</v>
      </c>
      <c r="N5115" s="405" t="s">
        <v>1836</v>
      </c>
      <c r="O5115" s="405" t="s">
        <v>1836</v>
      </c>
      <c r="P5115" s="405" t="s">
        <v>5222</v>
      </c>
      <c r="Q5115" s="411">
        <v>9</v>
      </c>
      <c r="R5115" s="405" t="s">
        <v>32478</v>
      </c>
      <c r="S5115" s="405" t="s">
        <v>27049</v>
      </c>
      <c r="T5115" s="405" t="s">
        <v>32102</v>
      </c>
      <c r="U5115" s="405" t="s">
        <v>319</v>
      </c>
    </row>
    <row r="5116" spans="1:21" x14ac:dyDescent="0.25">
      <c r="A5116" s="405" t="s">
        <v>310</v>
      </c>
      <c r="B5116" s="405" t="s">
        <v>5579</v>
      </c>
      <c r="C5116" s="405" t="s">
        <v>311</v>
      </c>
      <c r="D5116" s="405" t="s">
        <v>839</v>
      </c>
      <c r="E5116" s="410">
        <v>41639</v>
      </c>
      <c r="F5116" s="410">
        <v>41684</v>
      </c>
      <c r="G5116" s="405" t="s">
        <v>5580</v>
      </c>
      <c r="H5116" s="405">
        <v>752946714</v>
      </c>
      <c r="I5116" s="405"/>
      <c r="J5116" s="405">
        <v>-3.8463999999999998E-2</v>
      </c>
      <c r="K5116" s="405">
        <v>31.428431</v>
      </c>
      <c r="L5116" s="405" t="s">
        <v>314</v>
      </c>
      <c r="M5116" s="405" t="s">
        <v>343</v>
      </c>
      <c r="N5116" s="405" t="s">
        <v>3162</v>
      </c>
      <c r="O5116" s="405" t="s">
        <v>2546</v>
      </c>
      <c r="P5116" s="405" t="s">
        <v>3283</v>
      </c>
      <c r="Q5116" s="411">
        <v>9</v>
      </c>
      <c r="R5116" s="405" t="s">
        <v>318</v>
      </c>
      <c r="S5116" s="405" t="s">
        <v>27137</v>
      </c>
      <c r="T5116" s="405" t="s">
        <v>32102</v>
      </c>
      <c r="U5116" s="405" t="s">
        <v>319</v>
      </c>
    </row>
    <row r="5117" spans="1:21" x14ac:dyDescent="0.25">
      <c r="A5117" s="405" t="s">
        <v>310</v>
      </c>
      <c r="B5117" s="405" t="s">
        <v>27556</v>
      </c>
      <c r="C5117" s="405" t="s">
        <v>327</v>
      </c>
      <c r="D5117" s="405"/>
      <c r="E5117" s="410">
        <v>41639</v>
      </c>
      <c r="F5117" s="410">
        <v>41684</v>
      </c>
      <c r="G5117" s="405" t="s">
        <v>13362</v>
      </c>
      <c r="H5117" s="405">
        <v>755936993</v>
      </c>
      <c r="I5117" s="405"/>
      <c r="J5117" s="405">
        <v>0.65420489999999998</v>
      </c>
      <c r="K5117" s="405">
        <v>33.171511299999999</v>
      </c>
      <c r="L5117" s="405" t="s">
        <v>6866</v>
      </c>
      <c r="M5117" s="405" t="s">
        <v>9590</v>
      </c>
      <c r="N5117" s="405" t="s">
        <v>542</v>
      </c>
      <c r="O5117" s="405" t="s">
        <v>10061</v>
      </c>
      <c r="P5117" s="405" t="s">
        <v>13363</v>
      </c>
      <c r="Q5117" s="411">
        <v>6</v>
      </c>
      <c r="R5117" s="405" t="s">
        <v>333</v>
      </c>
      <c r="S5117" s="405" t="s">
        <v>27064</v>
      </c>
      <c r="T5117" s="405" t="s">
        <v>32102</v>
      </c>
      <c r="U5117" s="405" t="s">
        <v>319</v>
      </c>
    </row>
    <row r="5118" spans="1:21" x14ac:dyDescent="0.25">
      <c r="A5118" s="405" t="s">
        <v>310</v>
      </c>
      <c r="B5118" s="405" t="s">
        <v>27991</v>
      </c>
      <c r="C5118" s="405" t="s">
        <v>327</v>
      </c>
      <c r="D5118" s="405"/>
      <c r="E5118" s="410">
        <v>41639</v>
      </c>
      <c r="F5118" s="410">
        <v>41684</v>
      </c>
      <c r="G5118" s="405" t="s">
        <v>5139</v>
      </c>
      <c r="H5118" s="405">
        <v>773062923</v>
      </c>
      <c r="I5118" s="405">
        <v>751101860</v>
      </c>
      <c r="J5118" s="405">
        <v>-0.25267333333333331</v>
      </c>
      <c r="K5118" s="405">
        <v>31.822016666666666</v>
      </c>
      <c r="L5118" s="405" t="s">
        <v>314</v>
      </c>
      <c r="M5118" s="405" t="s">
        <v>900</v>
      </c>
      <c r="N5118" s="405" t="s">
        <v>900</v>
      </c>
      <c r="O5118" s="405" t="s">
        <v>5140</v>
      </c>
      <c r="P5118" s="405" t="s">
        <v>5141</v>
      </c>
      <c r="Q5118" s="411">
        <v>6</v>
      </c>
      <c r="R5118" s="405" t="s">
        <v>1263</v>
      </c>
      <c r="S5118" s="405" t="s">
        <v>27217</v>
      </c>
      <c r="T5118" s="405" t="s">
        <v>32102</v>
      </c>
      <c r="U5118" s="405" t="s">
        <v>319</v>
      </c>
    </row>
    <row r="5119" spans="1:21" x14ac:dyDescent="0.25">
      <c r="A5119" s="405" t="s">
        <v>310</v>
      </c>
      <c r="B5119" s="405" t="s">
        <v>28019</v>
      </c>
      <c r="C5119" s="405" t="s">
        <v>327</v>
      </c>
      <c r="D5119" s="405"/>
      <c r="E5119" s="410">
        <v>41639</v>
      </c>
      <c r="F5119" s="410">
        <v>41684</v>
      </c>
      <c r="G5119" s="405" t="s">
        <v>5142</v>
      </c>
      <c r="H5119" s="405">
        <v>774674464</v>
      </c>
      <c r="I5119" s="405"/>
      <c r="J5119" s="405">
        <v>0.31608999999999998</v>
      </c>
      <c r="K5119" s="405">
        <v>32.439183333333332</v>
      </c>
      <c r="L5119" s="405" t="s">
        <v>314</v>
      </c>
      <c r="M5119" s="405" t="s">
        <v>361</v>
      </c>
      <c r="N5119" s="405" t="s">
        <v>374</v>
      </c>
      <c r="O5119" s="405" t="s">
        <v>361</v>
      </c>
      <c r="P5119" s="405" t="s">
        <v>2363</v>
      </c>
      <c r="Q5119" s="411">
        <v>6</v>
      </c>
      <c r="R5119" s="405" t="s">
        <v>1263</v>
      </c>
      <c r="S5119" s="405" t="s">
        <v>27240</v>
      </c>
      <c r="T5119" s="405" t="s">
        <v>32102</v>
      </c>
      <c r="U5119" s="405" t="s">
        <v>319</v>
      </c>
    </row>
    <row r="5120" spans="1:21" x14ac:dyDescent="0.25">
      <c r="A5120" s="405" t="s">
        <v>310</v>
      </c>
      <c r="B5120" s="405" t="s">
        <v>28106</v>
      </c>
      <c r="C5120" s="405" t="s">
        <v>327</v>
      </c>
      <c r="D5120" s="405"/>
      <c r="E5120" s="410">
        <v>41639</v>
      </c>
      <c r="F5120" s="410">
        <v>41684</v>
      </c>
      <c r="G5120" s="405" t="s">
        <v>13400</v>
      </c>
      <c r="H5120" s="405">
        <v>776968555</v>
      </c>
      <c r="I5120" s="405"/>
      <c r="J5120" s="405">
        <v>0.85493929999999996</v>
      </c>
      <c r="K5120" s="405">
        <v>33.493394199999997</v>
      </c>
      <c r="L5120" s="405" t="s">
        <v>6866</v>
      </c>
      <c r="M5120" s="405" t="s">
        <v>9590</v>
      </c>
      <c r="N5120" s="405" t="s">
        <v>9591</v>
      </c>
      <c r="O5120" s="405" t="s">
        <v>9592</v>
      </c>
      <c r="P5120" s="405" t="s">
        <v>11055</v>
      </c>
      <c r="Q5120" s="411">
        <v>6</v>
      </c>
      <c r="R5120" s="405" t="s">
        <v>318</v>
      </c>
      <c r="S5120" s="405" t="s">
        <v>27106</v>
      </c>
      <c r="T5120" s="405" t="s">
        <v>32102</v>
      </c>
      <c r="U5120" s="405" t="s">
        <v>319</v>
      </c>
    </row>
    <row r="5121" spans="1:21" x14ac:dyDescent="0.25">
      <c r="A5121" s="405" t="s">
        <v>310</v>
      </c>
      <c r="B5121" s="405" t="s">
        <v>28249</v>
      </c>
      <c r="C5121" s="405" t="s">
        <v>327</v>
      </c>
      <c r="D5121" s="405"/>
      <c r="E5121" s="410">
        <v>41639</v>
      </c>
      <c r="F5121" s="410">
        <v>41684</v>
      </c>
      <c r="G5121" s="405" t="s">
        <v>5195</v>
      </c>
      <c r="H5121" s="405">
        <v>772976902</v>
      </c>
      <c r="I5121" s="405"/>
      <c r="J5121" s="405">
        <v>0.93499500000000002</v>
      </c>
      <c r="K5121" s="405">
        <v>31.769475</v>
      </c>
      <c r="L5121" s="405" t="s">
        <v>314</v>
      </c>
      <c r="M5121" s="405" t="s">
        <v>2537</v>
      </c>
      <c r="N5121" s="405" t="s">
        <v>2537</v>
      </c>
      <c r="O5121" s="405" t="s">
        <v>5196</v>
      </c>
      <c r="P5121" s="405" t="s">
        <v>5197</v>
      </c>
      <c r="Q5121" s="411">
        <v>6</v>
      </c>
      <c r="R5121" s="405" t="s">
        <v>32476</v>
      </c>
      <c r="S5121" s="405" t="s">
        <v>27210</v>
      </c>
      <c r="T5121" s="405" t="s">
        <v>884</v>
      </c>
      <c r="U5121" s="405" t="s">
        <v>319</v>
      </c>
    </row>
    <row r="5122" spans="1:21" x14ac:dyDescent="0.25">
      <c r="A5122" s="405" t="s">
        <v>310</v>
      </c>
      <c r="B5122" s="405" t="s">
        <v>28429</v>
      </c>
      <c r="C5122" s="405" t="s">
        <v>311</v>
      </c>
      <c r="D5122" s="405" t="s">
        <v>839</v>
      </c>
      <c r="E5122" s="410">
        <v>41639</v>
      </c>
      <c r="F5122" s="410">
        <v>41684</v>
      </c>
      <c r="G5122" s="405" t="s">
        <v>13756</v>
      </c>
      <c r="H5122" s="405">
        <v>774399569</v>
      </c>
      <c r="I5122" s="405"/>
      <c r="J5122" s="405">
        <v>0.61633159999999998</v>
      </c>
      <c r="K5122" s="405">
        <v>33.479212099999998</v>
      </c>
      <c r="L5122" s="405" t="s">
        <v>6866</v>
      </c>
      <c r="M5122" s="405" t="s">
        <v>10853</v>
      </c>
      <c r="N5122" s="405" t="s">
        <v>11650</v>
      </c>
      <c r="O5122" s="405" t="s">
        <v>13757</v>
      </c>
      <c r="P5122" s="405" t="s">
        <v>13758</v>
      </c>
      <c r="Q5122" s="411">
        <v>6</v>
      </c>
      <c r="R5122" s="405" t="s">
        <v>7224</v>
      </c>
      <c r="S5122" s="405" t="s">
        <v>27259</v>
      </c>
      <c r="T5122" s="405" t="s">
        <v>32102</v>
      </c>
      <c r="U5122" s="405" t="s">
        <v>319</v>
      </c>
    </row>
    <row r="5123" spans="1:21" x14ac:dyDescent="0.25">
      <c r="A5123" s="405" t="s">
        <v>310</v>
      </c>
      <c r="B5123" s="405" t="s">
        <v>28516</v>
      </c>
      <c r="C5123" s="405" t="s">
        <v>327</v>
      </c>
      <c r="D5123" s="405"/>
      <c r="E5123" s="410">
        <v>41639</v>
      </c>
      <c r="F5123" s="410">
        <v>41684</v>
      </c>
      <c r="G5123" s="405" t="s">
        <v>5025</v>
      </c>
      <c r="H5123" s="405">
        <v>774639352</v>
      </c>
      <c r="I5123" s="405">
        <v>752993354</v>
      </c>
      <c r="J5123" s="405">
        <v>0.14415500000000001</v>
      </c>
      <c r="K5123" s="405">
        <v>32.312539999999998</v>
      </c>
      <c r="L5123" s="405" t="s">
        <v>314</v>
      </c>
      <c r="M5123" s="405" t="s">
        <v>321</v>
      </c>
      <c r="N5123" s="405" t="s">
        <v>322</v>
      </c>
      <c r="O5123" s="405" t="s">
        <v>996</v>
      </c>
      <c r="P5123" s="405" t="s">
        <v>1652</v>
      </c>
      <c r="Q5123" s="411">
        <v>6</v>
      </c>
      <c r="R5123" s="405" t="s">
        <v>318</v>
      </c>
      <c r="S5123" s="405" t="s">
        <v>27134</v>
      </c>
      <c r="T5123" s="405" t="s">
        <v>32102</v>
      </c>
      <c r="U5123" s="405" t="s">
        <v>319</v>
      </c>
    </row>
    <row r="5124" spans="1:21" x14ac:dyDescent="0.25">
      <c r="A5124" s="405" t="s">
        <v>310</v>
      </c>
      <c r="B5124" s="405" t="s">
        <v>28635</v>
      </c>
      <c r="C5124" s="405" t="s">
        <v>327</v>
      </c>
      <c r="D5124" s="405"/>
      <c r="E5124" s="410">
        <v>41639</v>
      </c>
      <c r="F5124" s="410">
        <v>41684</v>
      </c>
      <c r="G5124" s="405" t="s">
        <v>13417</v>
      </c>
      <c r="H5124" s="405">
        <v>772383270</v>
      </c>
      <c r="I5124" s="405"/>
      <c r="J5124" s="405">
        <v>0.61629679999999998</v>
      </c>
      <c r="K5124" s="405">
        <v>33.479163100000001</v>
      </c>
      <c r="L5124" s="405" t="s">
        <v>6866</v>
      </c>
      <c r="M5124" s="405" t="s">
        <v>9590</v>
      </c>
      <c r="N5124" s="405" t="s">
        <v>542</v>
      </c>
      <c r="O5124" s="405" t="s">
        <v>10061</v>
      </c>
      <c r="P5124" s="405" t="s">
        <v>11587</v>
      </c>
      <c r="Q5124" s="411">
        <v>6</v>
      </c>
      <c r="R5124" s="405" t="s">
        <v>318</v>
      </c>
      <c r="S5124" s="405" t="s">
        <v>27201</v>
      </c>
      <c r="T5124" s="405" t="s">
        <v>32102</v>
      </c>
      <c r="U5124" s="405" t="s">
        <v>319</v>
      </c>
    </row>
    <row r="5125" spans="1:21" x14ac:dyDescent="0.25">
      <c r="A5125" s="405" t="s">
        <v>310</v>
      </c>
      <c r="B5125" s="405" t="s">
        <v>28138</v>
      </c>
      <c r="C5125" s="405" t="s">
        <v>327</v>
      </c>
      <c r="D5125" s="405"/>
      <c r="E5125" s="410">
        <v>41639</v>
      </c>
      <c r="F5125" s="410">
        <v>41684</v>
      </c>
      <c r="G5125" s="405" t="s">
        <v>5035</v>
      </c>
      <c r="H5125" s="405">
        <v>777135283</v>
      </c>
      <c r="I5125" s="405"/>
      <c r="J5125" s="405">
        <v>0.21152299999999999</v>
      </c>
      <c r="K5125" s="405">
        <v>32.070031</v>
      </c>
      <c r="L5125" s="405" t="s">
        <v>314</v>
      </c>
      <c r="M5125" s="405" t="s">
        <v>339</v>
      </c>
      <c r="N5125" s="405" t="s">
        <v>339</v>
      </c>
      <c r="O5125" s="405" t="s">
        <v>2272</v>
      </c>
      <c r="P5125" s="405" t="s">
        <v>5036</v>
      </c>
      <c r="Q5125" s="411">
        <v>6</v>
      </c>
      <c r="R5125" s="405" t="s">
        <v>438</v>
      </c>
      <c r="S5125" s="405" t="s">
        <v>27131</v>
      </c>
      <c r="T5125" s="405" t="s">
        <v>32102</v>
      </c>
      <c r="U5125" s="405" t="s">
        <v>319</v>
      </c>
    </row>
    <row r="5126" spans="1:21" x14ac:dyDescent="0.25">
      <c r="A5126" s="405" t="s">
        <v>310</v>
      </c>
      <c r="B5126" s="405" t="s">
        <v>28555</v>
      </c>
      <c r="C5126" s="405" t="s">
        <v>327</v>
      </c>
      <c r="D5126" s="405"/>
      <c r="E5126" s="410">
        <v>41639</v>
      </c>
      <c r="F5126" s="410">
        <v>41684</v>
      </c>
      <c r="G5126" s="405" t="s">
        <v>5034</v>
      </c>
      <c r="H5126" s="405">
        <v>782824492</v>
      </c>
      <c r="I5126" s="405"/>
      <c r="J5126" s="405">
        <v>0.22673099999999999</v>
      </c>
      <c r="K5126" s="405">
        <v>32.058259999999997</v>
      </c>
      <c r="L5126" s="405" t="s">
        <v>314</v>
      </c>
      <c r="M5126" s="405" t="s">
        <v>339</v>
      </c>
      <c r="N5126" s="405" t="s">
        <v>339</v>
      </c>
      <c r="O5126" s="405" t="s">
        <v>2272</v>
      </c>
      <c r="P5126" s="405" t="s">
        <v>3470</v>
      </c>
      <c r="Q5126" s="411">
        <v>6</v>
      </c>
      <c r="R5126" s="405" t="s">
        <v>438</v>
      </c>
      <c r="S5126" s="405" t="s">
        <v>27131</v>
      </c>
      <c r="T5126" s="405" t="s">
        <v>32102</v>
      </c>
      <c r="U5126" s="405" t="s">
        <v>319</v>
      </c>
    </row>
    <row r="5127" spans="1:21" x14ac:dyDescent="0.25">
      <c r="A5127" s="405" t="s">
        <v>310</v>
      </c>
      <c r="B5127" s="405" t="s">
        <v>18879</v>
      </c>
      <c r="C5127" s="405" t="s">
        <v>327</v>
      </c>
      <c r="D5127" s="405"/>
      <c r="E5127" s="410">
        <v>41639</v>
      </c>
      <c r="F5127" s="410">
        <v>41684</v>
      </c>
      <c r="G5127" s="405" t="s">
        <v>18880</v>
      </c>
      <c r="H5127" s="405">
        <v>776364598</v>
      </c>
      <c r="I5127" s="405"/>
      <c r="J5127" s="405">
        <v>2.2335601</v>
      </c>
      <c r="K5127" s="405">
        <v>32.892515500000002</v>
      </c>
      <c r="L5127" s="405" t="s">
        <v>860</v>
      </c>
      <c r="M5127" s="405" t="s">
        <v>18234</v>
      </c>
      <c r="N5127" s="405" t="s">
        <v>18252</v>
      </c>
      <c r="O5127" s="405" t="s">
        <v>18253</v>
      </c>
      <c r="P5127" s="405" t="s">
        <v>18847</v>
      </c>
      <c r="Q5127" s="411">
        <v>6</v>
      </c>
      <c r="R5127" s="405" t="s">
        <v>525</v>
      </c>
      <c r="S5127" s="405" t="s">
        <v>27243</v>
      </c>
      <c r="T5127" s="405" t="s">
        <v>32102</v>
      </c>
      <c r="U5127" s="405" t="s">
        <v>319</v>
      </c>
    </row>
    <row r="5128" spans="1:21" x14ac:dyDescent="0.25">
      <c r="A5128" s="405" t="s">
        <v>310</v>
      </c>
      <c r="B5128" s="405" t="s">
        <v>5230</v>
      </c>
      <c r="C5128" s="405" t="s">
        <v>327</v>
      </c>
      <c r="D5128" s="405"/>
      <c r="E5128" s="410">
        <v>41639</v>
      </c>
      <c r="F5128" s="410">
        <v>41684</v>
      </c>
      <c r="G5128" s="405" t="s">
        <v>5231</v>
      </c>
      <c r="H5128" s="405">
        <v>782824576</v>
      </c>
      <c r="I5128" s="405"/>
      <c r="J5128" s="405">
        <v>0.71898499999999999</v>
      </c>
      <c r="K5128" s="405">
        <v>32.396745000000003</v>
      </c>
      <c r="L5128" s="405" t="s">
        <v>314</v>
      </c>
      <c r="M5128" s="405" t="s">
        <v>2297</v>
      </c>
      <c r="N5128" s="405" t="s">
        <v>1308</v>
      </c>
      <c r="O5128" s="405" t="s">
        <v>2297</v>
      </c>
      <c r="P5128" s="405" t="s">
        <v>2297</v>
      </c>
      <c r="Q5128" s="411">
        <v>6</v>
      </c>
      <c r="R5128" s="405" t="s">
        <v>1263</v>
      </c>
      <c r="S5128" s="405" t="s">
        <v>27053</v>
      </c>
      <c r="T5128" s="405" t="s">
        <v>32102</v>
      </c>
      <c r="U5128" s="405" t="s">
        <v>319</v>
      </c>
    </row>
    <row r="5129" spans="1:21" x14ac:dyDescent="0.25">
      <c r="A5129" s="405" t="s">
        <v>310</v>
      </c>
      <c r="B5129" s="405" t="s">
        <v>5178</v>
      </c>
      <c r="C5129" s="405" t="s">
        <v>327</v>
      </c>
      <c r="D5129" s="405"/>
      <c r="E5129" s="410">
        <v>41639</v>
      </c>
      <c r="F5129" s="410">
        <v>41684</v>
      </c>
      <c r="G5129" s="405" t="s">
        <v>5179</v>
      </c>
      <c r="H5129" s="405">
        <v>787640009</v>
      </c>
      <c r="I5129" s="405"/>
      <c r="J5129" s="405">
        <v>0.39310800000000001</v>
      </c>
      <c r="K5129" s="405">
        <v>32.709490000000002</v>
      </c>
      <c r="L5129" s="405" t="s">
        <v>314</v>
      </c>
      <c r="M5129" s="405" t="s">
        <v>329</v>
      </c>
      <c r="N5129" s="405" t="s">
        <v>330</v>
      </c>
      <c r="O5129" s="405" t="s">
        <v>787</v>
      </c>
      <c r="P5129" s="405" t="s">
        <v>1443</v>
      </c>
      <c r="Q5129" s="411">
        <v>6</v>
      </c>
      <c r="R5129" s="405" t="s">
        <v>318</v>
      </c>
      <c r="S5129" s="405" t="s">
        <v>27049</v>
      </c>
      <c r="T5129" s="405" t="s">
        <v>32102</v>
      </c>
      <c r="U5129" s="405" t="s">
        <v>319</v>
      </c>
    </row>
    <row r="5130" spans="1:21" x14ac:dyDescent="0.25">
      <c r="A5130" s="405" t="s">
        <v>310</v>
      </c>
      <c r="B5130" s="405" t="s">
        <v>27522</v>
      </c>
      <c r="C5130" s="405" t="s">
        <v>327</v>
      </c>
      <c r="D5130" s="405"/>
      <c r="E5130" s="410">
        <v>41639</v>
      </c>
      <c r="F5130" s="410">
        <v>41684</v>
      </c>
      <c r="G5130" s="405" t="s">
        <v>13346</v>
      </c>
      <c r="H5130" s="405">
        <v>774004835</v>
      </c>
      <c r="I5130" s="405"/>
      <c r="J5130" s="405">
        <v>1.4697819999999999</v>
      </c>
      <c r="K5130" s="405">
        <v>33.916612000000001</v>
      </c>
      <c r="L5130" s="405" t="s">
        <v>6866</v>
      </c>
      <c r="M5130" s="405" t="s">
        <v>10029</v>
      </c>
      <c r="N5130" s="405" t="s">
        <v>10030</v>
      </c>
      <c r="O5130" s="405" t="s">
        <v>10031</v>
      </c>
      <c r="P5130" s="405" t="s">
        <v>10415</v>
      </c>
      <c r="Q5130" s="411">
        <v>6</v>
      </c>
      <c r="R5130" s="405" t="s">
        <v>9541</v>
      </c>
      <c r="S5130" s="405" t="s">
        <v>27320</v>
      </c>
      <c r="T5130" s="405" t="s">
        <v>32102</v>
      </c>
      <c r="U5130" s="405" t="s">
        <v>319</v>
      </c>
    </row>
    <row r="5131" spans="1:21" x14ac:dyDescent="0.25">
      <c r="A5131" s="405" t="s">
        <v>310</v>
      </c>
      <c r="B5131" s="405" t="s">
        <v>13343</v>
      </c>
      <c r="C5131" s="405" t="s">
        <v>327</v>
      </c>
      <c r="D5131" s="405"/>
      <c r="E5131" s="410">
        <v>41639</v>
      </c>
      <c r="F5131" s="410">
        <v>41684</v>
      </c>
      <c r="G5131" s="405" t="s">
        <v>13344</v>
      </c>
      <c r="H5131" s="405">
        <v>778261709</v>
      </c>
      <c r="I5131" s="405"/>
      <c r="J5131" s="405">
        <v>1.860978</v>
      </c>
      <c r="K5131" s="405">
        <v>33.740549999999999</v>
      </c>
      <c r="L5131" s="405" t="s">
        <v>6866</v>
      </c>
      <c r="M5131" s="405" t="s">
        <v>10495</v>
      </c>
      <c r="N5131" s="405" t="s">
        <v>10495</v>
      </c>
      <c r="O5131" s="405" t="s">
        <v>11255</v>
      </c>
      <c r="P5131" s="405" t="s">
        <v>13345</v>
      </c>
      <c r="Q5131" s="411">
        <v>6</v>
      </c>
      <c r="R5131" s="405" t="s">
        <v>5655</v>
      </c>
      <c r="S5131" s="405" t="s">
        <v>27345</v>
      </c>
      <c r="T5131" s="405" t="s">
        <v>884</v>
      </c>
      <c r="U5131" s="405" t="s">
        <v>319</v>
      </c>
    </row>
    <row r="5132" spans="1:21" x14ac:dyDescent="0.25">
      <c r="A5132" s="405" t="s">
        <v>310</v>
      </c>
      <c r="B5132" s="405" t="s">
        <v>5572</v>
      </c>
      <c r="C5132" s="405" t="s">
        <v>311</v>
      </c>
      <c r="D5132" s="405" t="s">
        <v>839</v>
      </c>
      <c r="E5132" s="410">
        <v>41639</v>
      </c>
      <c r="F5132" s="410">
        <v>41684</v>
      </c>
      <c r="G5132" s="405" t="s">
        <v>5573</v>
      </c>
      <c r="H5132" s="405">
        <v>753536867</v>
      </c>
      <c r="I5132" s="405"/>
      <c r="J5132" s="405">
        <v>-0.174952</v>
      </c>
      <c r="K5132" s="405">
        <v>31.410108000000001</v>
      </c>
      <c r="L5132" s="405" t="s">
        <v>314</v>
      </c>
      <c r="M5132" s="405" t="s">
        <v>343</v>
      </c>
      <c r="N5132" s="405" t="s">
        <v>344</v>
      </c>
      <c r="O5132" s="405" t="s">
        <v>727</v>
      </c>
      <c r="P5132" s="405" t="s">
        <v>5574</v>
      </c>
      <c r="Q5132" s="411">
        <v>6</v>
      </c>
      <c r="R5132" s="405" t="s">
        <v>318</v>
      </c>
      <c r="S5132" s="405" t="s">
        <v>27046</v>
      </c>
      <c r="T5132" s="405" t="s">
        <v>32102</v>
      </c>
      <c r="U5132" s="405" t="s">
        <v>319</v>
      </c>
    </row>
    <row r="5133" spans="1:21" x14ac:dyDescent="0.25">
      <c r="A5133" s="405" t="s">
        <v>310</v>
      </c>
      <c r="B5133" s="405" t="s">
        <v>15</v>
      </c>
      <c r="C5133" s="405" t="s">
        <v>311</v>
      </c>
      <c r="D5133" s="405" t="s">
        <v>839</v>
      </c>
      <c r="E5133" s="410">
        <v>41639</v>
      </c>
      <c r="F5133" s="410">
        <v>41684</v>
      </c>
      <c r="G5133" s="405" t="s">
        <v>13694</v>
      </c>
      <c r="H5133" s="405">
        <v>782483885</v>
      </c>
      <c r="I5133" s="405"/>
      <c r="J5133" s="405">
        <v>1.511738</v>
      </c>
      <c r="K5133" s="405">
        <v>33.817529999999998</v>
      </c>
      <c r="L5133" s="405" t="s">
        <v>6866</v>
      </c>
      <c r="M5133" s="405" t="s">
        <v>10012</v>
      </c>
      <c r="N5133" s="405" t="s">
        <v>10012</v>
      </c>
      <c r="O5133" s="405" t="s">
        <v>10779</v>
      </c>
      <c r="P5133" s="405" t="s">
        <v>10869</v>
      </c>
      <c r="Q5133" s="411">
        <v>6</v>
      </c>
      <c r="R5133" s="405" t="s">
        <v>7224</v>
      </c>
      <c r="S5133" s="405" t="s">
        <v>27298</v>
      </c>
      <c r="T5133" s="405" t="s">
        <v>32102</v>
      </c>
      <c r="U5133" s="405" t="s">
        <v>319</v>
      </c>
    </row>
    <row r="5134" spans="1:21" x14ac:dyDescent="0.25">
      <c r="A5134" s="405" t="s">
        <v>310</v>
      </c>
      <c r="B5134" s="405" t="s">
        <v>5595</v>
      </c>
      <c r="C5134" s="405" t="s">
        <v>311</v>
      </c>
      <c r="D5134" s="405" t="s">
        <v>839</v>
      </c>
      <c r="E5134" s="410">
        <v>41639</v>
      </c>
      <c r="F5134" s="410">
        <v>41684</v>
      </c>
      <c r="G5134" s="405" t="s">
        <v>5596</v>
      </c>
      <c r="H5134" s="405">
        <v>772643197</v>
      </c>
      <c r="I5134" s="405">
        <v>703795604</v>
      </c>
      <c r="J5134" s="405">
        <v>0.80666800000000005</v>
      </c>
      <c r="K5134" s="405">
        <v>32.884641999999999</v>
      </c>
      <c r="L5134" s="405" t="s">
        <v>314</v>
      </c>
      <c r="M5134" s="405" t="s">
        <v>502</v>
      </c>
      <c r="N5134" s="405" t="s">
        <v>428</v>
      </c>
      <c r="O5134" s="405" t="s">
        <v>5597</v>
      </c>
      <c r="P5134" s="405" t="s">
        <v>1918</v>
      </c>
      <c r="Q5134" s="411">
        <v>6</v>
      </c>
      <c r="R5134" s="405" t="s">
        <v>402</v>
      </c>
      <c r="S5134" s="405" t="s">
        <v>27139</v>
      </c>
      <c r="T5134" s="405" t="s">
        <v>32102</v>
      </c>
      <c r="U5134" s="405" t="s">
        <v>319</v>
      </c>
    </row>
    <row r="5135" spans="1:21" x14ac:dyDescent="0.25">
      <c r="A5135" s="405" t="s">
        <v>310</v>
      </c>
      <c r="B5135" s="405" t="s">
        <v>21521</v>
      </c>
      <c r="C5135" s="405" t="s">
        <v>327</v>
      </c>
      <c r="D5135" s="405"/>
      <c r="E5135" s="410">
        <v>41639</v>
      </c>
      <c r="F5135" s="410">
        <v>41684</v>
      </c>
      <c r="G5135" s="405" t="s">
        <v>21522</v>
      </c>
      <c r="H5135" s="405">
        <v>772368389</v>
      </c>
      <c r="I5135" s="405"/>
      <c r="J5135" s="405">
        <v>2.6008E-2</v>
      </c>
      <c r="K5135" s="405">
        <v>29.873004000000002</v>
      </c>
      <c r="L5135" s="405" t="s">
        <v>590</v>
      </c>
      <c r="M5135" s="405" t="s">
        <v>21087</v>
      </c>
      <c r="N5135" s="405" t="s">
        <v>21523</v>
      </c>
      <c r="O5135" s="405" t="s">
        <v>21524</v>
      </c>
      <c r="P5135" s="405" t="s">
        <v>21525</v>
      </c>
      <c r="Q5135" s="411">
        <v>6</v>
      </c>
      <c r="R5135" s="405" t="s">
        <v>1527</v>
      </c>
      <c r="S5135" s="405" t="s">
        <v>27132</v>
      </c>
      <c r="T5135" s="405" t="s">
        <v>32102</v>
      </c>
      <c r="U5135" s="405" t="s">
        <v>319</v>
      </c>
    </row>
    <row r="5136" spans="1:21" x14ac:dyDescent="0.25">
      <c r="A5136" s="405" t="s">
        <v>310</v>
      </c>
      <c r="B5136" s="405" t="s">
        <v>5065</v>
      </c>
      <c r="C5136" s="405" t="s">
        <v>327</v>
      </c>
      <c r="D5136" s="405"/>
      <c r="E5136" s="410">
        <v>41639</v>
      </c>
      <c r="F5136" s="410">
        <v>41684</v>
      </c>
      <c r="G5136" s="405" t="s">
        <v>5066</v>
      </c>
      <c r="H5136" s="405">
        <v>782258457</v>
      </c>
      <c r="I5136" s="405"/>
      <c r="J5136" s="405">
        <v>0.60724900000000004</v>
      </c>
      <c r="K5136" s="405">
        <v>33.009587000000003</v>
      </c>
      <c r="L5136" s="405" t="s">
        <v>314</v>
      </c>
      <c r="M5136" s="405" t="s">
        <v>502</v>
      </c>
      <c r="N5136" s="405" t="s">
        <v>503</v>
      </c>
      <c r="O5136" s="405" t="s">
        <v>2179</v>
      </c>
      <c r="P5136" s="405" t="s">
        <v>5067</v>
      </c>
      <c r="Q5136" s="411">
        <v>6</v>
      </c>
      <c r="R5136" s="405" t="s">
        <v>1263</v>
      </c>
      <c r="S5136" s="405" t="s">
        <v>27209</v>
      </c>
      <c r="T5136" s="405" t="s">
        <v>32102</v>
      </c>
      <c r="U5136" s="405" t="s">
        <v>319</v>
      </c>
    </row>
    <row r="5137" spans="1:21" x14ac:dyDescent="0.25">
      <c r="A5137" s="405" t="s">
        <v>310</v>
      </c>
      <c r="B5137" s="405" t="s">
        <v>21474</v>
      </c>
      <c r="C5137" s="405" t="s">
        <v>327</v>
      </c>
      <c r="D5137" s="405"/>
      <c r="E5137" s="410">
        <v>41639</v>
      </c>
      <c r="F5137" s="410">
        <v>41684</v>
      </c>
      <c r="G5137" s="405" t="s">
        <v>21475</v>
      </c>
      <c r="H5137" s="405">
        <v>782181117</v>
      </c>
      <c r="I5137" s="405"/>
      <c r="J5137" s="405">
        <v>-0.52436799999999995</v>
      </c>
      <c r="K5137" s="405">
        <v>30.11786</v>
      </c>
      <c r="L5137" s="405" t="s">
        <v>590</v>
      </c>
      <c r="M5137" s="405" t="s">
        <v>19625</v>
      </c>
      <c r="N5137" s="405" t="s">
        <v>19642</v>
      </c>
      <c r="O5137" s="405" t="s">
        <v>19639</v>
      </c>
      <c r="P5137" s="405" t="s">
        <v>21476</v>
      </c>
      <c r="Q5137" s="411">
        <v>6</v>
      </c>
      <c r="R5137" s="405" t="s">
        <v>883</v>
      </c>
      <c r="S5137" s="405" t="s">
        <v>27271</v>
      </c>
      <c r="T5137" s="405" t="s">
        <v>32102</v>
      </c>
      <c r="U5137" s="405" t="s">
        <v>319</v>
      </c>
    </row>
    <row r="5138" spans="1:21" x14ac:dyDescent="0.25">
      <c r="A5138" s="405" t="s">
        <v>310</v>
      </c>
      <c r="B5138" s="405" t="s">
        <v>5575</v>
      </c>
      <c r="C5138" s="405" t="s">
        <v>311</v>
      </c>
      <c r="D5138" s="405" t="s">
        <v>839</v>
      </c>
      <c r="E5138" s="410">
        <v>41639</v>
      </c>
      <c r="F5138" s="410">
        <v>41684</v>
      </c>
      <c r="G5138" s="405" t="s">
        <v>5576</v>
      </c>
      <c r="H5138" s="405">
        <v>751761389</v>
      </c>
      <c r="I5138" s="405"/>
      <c r="J5138" s="405">
        <v>-4.2861000000000003E-2</v>
      </c>
      <c r="K5138" s="405">
        <v>31.369620000000001</v>
      </c>
      <c r="L5138" s="405" t="s">
        <v>314</v>
      </c>
      <c r="M5138" s="405" t="s">
        <v>343</v>
      </c>
      <c r="N5138" s="405" t="s">
        <v>5577</v>
      </c>
      <c r="O5138" s="405" t="s">
        <v>2546</v>
      </c>
      <c r="P5138" s="405" t="s">
        <v>5578</v>
      </c>
      <c r="Q5138" s="411">
        <v>6</v>
      </c>
      <c r="R5138" s="405" t="s">
        <v>318</v>
      </c>
      <c r="S5138" s="405" t="s">
        <v>6822</v>
      </c>
      <c r="T5138" s="405" t="s">
        <v>884</v>
      </c>
      <c r="U5138" s="405" t="s">
        <v>319</v>
      </c>
    </row>
    <row r="5139" spans="1:21" x14ac:dyDescent="0.25">
      <c r="A5139" s="405" t="s">
        <v>310</v>
      </c>
      <c r="B5139" s="405" t="s">
        <v>5091</v>
      </c>
      <c r="C5139" s="405" t="s">
        <v>327</v>
      </c>
      <c r="D5139" s="405"/>
      <c r="E5139" s="410">
        <v>41639</v>
      </c>
      <c r="F5139" s="410">
        <v>41684</v>
      </c>
      <c r="G5139" s="405" t="s">
        <v>5092</v>
      </c>
      <c r="H5139" s="405">
        <v>772449829</v>
      </c>
      <c r="I5139" s="405"/>
      <c r="J5139" s="405">
        <v>0.35537800000000003</v>
      </c>
      <c r="K5139" s="405">
        <v>32.736440000000002</v>
      </c>
      <c r="L5139" s="405" t="s">
        <v>314</v>
      </c>
      <c r="M5139" s="405" t="s">
        <v>329</v>
      </c>
      <c r="N5139" s="405" t="s">
        <v>330</v>
      </c>
      <c r="O5139" s="405" t="s">
        <v>331</v>
      </c>
      <c r="P5139" s="405" t="s">
        <v>5093</v>
      </c>
      <c r="Q5139" s="411">
        <v>6</v>
      </c>
      <c r="R5139" s="405" t="s">
        <v>318</v>
      </c>
      <c r="S5139" s="405" t="s">
        <v>27141</v>
      </c>
      <c r="T5139" s="405" t="s">
        <v>32102</v>
      </c>
      <c r="U5139" s="405" t="s">
        <v>319</v>
      </c>
    </row>
    <row r="5140" spans="1:21" x14ac:dyDescent="0.25">
      <c r="A5140" s="405" t="s">
        <v>310</v>
      </c>
      <c r="B5140" s="405" t="s">
        <v>5039</v>
      </c>
      <c r="C5140" s="405" t="s">
        <v>327</v>
      </c>
      <c r="D5140" s="405"/>
      <c r="E5140" s="410">
        <v>41639</v>
      </c>
      <c r="F5140" s="410">
        <v>41684</v>
      </c>
      <c r="G5140" s="405" t="s">
        <v>5040</v>
      </c>
      <c r="H5140" s="405">
        <v>782535852</v>
      </c>
      <c r="I5140" s="405"/>
      <c r="J5140" s="405">
        <v>0.18296299999999999</v>
      </c>
      <c r="K5140" s="405">
        <v>32.068945999999997</v>
      </c>
      <c r="L5140" s="405" t="s">
        <v>314</v>
      </c>
      <c r="M5140" s="405" t="s">
        <v>339</v>
      </c>
      <c r="N5140" s="405" t="s">
        <v>339</v>
      </c>
      <c r="O5140" s="405" t="s">
        <v>2272</v>
      </c>
      <c r="P5140" s="405" t="s">
        <v>5041</v>
      </c>
      <c r="Q5140" s="411">
        <v>6</v>
      </c>
      <c r="R5140" s="405" t="s">
        <v>318</v>
      </c>
      <c r="S5140" s="405" t="s">
        <v>27167</v>
      </c>
      <c r="T5140" s="405" t="s">
        <v>32102</v>
      </c>
      <c r="U5140" s="405" t="s">
        <v>319</v>
      </c>
    </row>
    <row r="5141" spans="1:21" x14ac:dyDescent="0.25">
      <c r="A5141" s="405" t="s">
        <v>310</v>
      </c>
      <c r="B5141" s="405" t="s">
        <v>5087</v>
      </c>
      <c r="C5141" s="405" t="s">
        <v>327</v>
      </c>
      <c r="D5141" s="405"/>
      <c r="E5141" s="410">
        <v>41639</v>
      </c>
      <c r="F5141" s="410">
        <v>41684</v>
      </c>
      <c r="G5141" s="405" t="s">
        <v>5088</v>
      </c>
      <c r="H5141" s="405">
        <v>752570330</v>
      </c>
      <c r="I5141" s="405"/>
      <c r="J5141" s="405">
        <v>0.389457</v>
      </c>
      <c r="K5141" s="405">
        <v>32.964297999999999</v>
      </c>
      <c r="L5141" s="405" t="s">
        <v>314</v>
      </c>
      <c r="M5141" s="405" t="s">
        <v>349</v>
      </c>
      <c r="N5141" s="405" t="s">
        <v>2184</v>
      </c>
      <c r="O5141" s="405" t="s">
        <v>351</v>
      </c>
      <c r="P5141" s="405" t="s">
        <v>1406</v>
      </c>
      <c r="Q5141" s="411">
        <v>6</v>
      </c>
      <c r="R5141" s="405" t="s">
        <v>318</v>
      </c>
      <c r="S5141" s="405" t="s">
        <v>27167</v>
      </c>
      <c r="T5141" s="405" t="s">
        <v>32102</v>
      </c>
      <c r="U5141" s="405" t="s">
        <v>319</v>
      </c>
    </row>
    <row r="5142" spans="1:21" x14ac:dyDescent="0.25">
      <c r="A5142" s="405" t="s">
        <v>310</v>
      </c>
      <c r="B5142" s="405" t="s">
        <v>13369</v>
      </c>
      <c r="C5142" s="405" t="s">
        <v>327</v>
      </c>
      <c r="D5142" s="405"/>
      <c r="E5142" s="410">
        <v>41639</v>
      </c>
      <c r="F5142" s="410">
        <v>41684</v>
      </c>
      <c r="G5142" s="405" t="s">
        <v>13370</v>
      </c>
      <c r="H5142" s="405">
        <v>752963495</v>
      </c>
      <c r="I5142" s="405"/>
      <c r="J5142" s="405">
        <v>0.61432770000000003</v>
      </c>
      <c r="K5142" s="405">
        <v>33.4774119</v>
      </c>
      <c r="L5142" s="405" t="s">
        <v>6866</v>
      </c>
      <c r="M5142" s="405" t="s">
        <v>9590</v>
      </c>
      <c r="N5142" s="405" t="s">
        <v>542</v>
      </c>
      <c r="O5142" s="405" t="s">
        <v>10061</v>
      </c>
      <c r="P5142" s="405" t="s">
        <v>13371</v>
      </c>
      <c r="Q5142" s="411">
        <v>6</v>
      </c>
      <c r="R5142" s="405" t="s">
        <v>318</v>
      </c>
      <c r="S5142" s="405" t="s">
        <v>27188</v>
      </c>
      <c r="T5142" s="405" t="s">
        <v>32102</v>
      </c>
      <c r="U5142" s="405" t="s">
        <v>319</v>
      </c>
    </row>
    <row r="5143" spans="1:21" x14ac:dyDescent="0.25">
      <c r="A5143" s="405" t="s">
        <v>310</v>
      </c>
      <c r="B5143" s="405" t="s">
        <v>5134</v>
      </c>
      <c r="C5143" s="405" t="s">
        <v>327</v>
      </c>
      <c r="D5143" s="405"/>
      <c r="E5143" s="410">
        <v>41639</v>
      </c>
      <c r="F5143" s="410">
        <v>41684</v>
      </c>
      <c r="G5143" s="405" t="s">
        <v>5135</v>
      </c>
      <c r="H5143" s="405">
        <v>785857739</v>
      </c>
      <c r="I5143" s="405"/>
      <c r="J5143" s="405">
        <v>0.67636799999999997</v>
      </c>
      <c r="K5143" s="405">
        <v>32.685087000000003</v>
      </c>
      <c r="L5143" s="405" t="s">
        <v>314</v>
      </c>
      <c r="M5143" s="405" t="s">
        <v>959</v>
      </c>
      <c r="N5143" s="405" t="s">
        <v>960</v>
      </c>
      <c r="O5143" s="405" t="s">
        <v>2921</v>
      </c>
      <c r="P5143" s="405" t="s">
        <v>4926</v>
      </c>
      <c r="Q5143" s="411">
        <v>6</v>
      </c>
      <c r="R5143" s="405" t="s">
        <v>1263</v>
      </c>
      <c r="S5143" s="405" t="s">
        <v>27059</v>
      </c>
      <c r="T5143" s="405" t="s">
        <v>32102</v>
      </c>
      <c r="U5143" s="405" t="s">
        <v>319</v>
      </c>
    </row>
    <row r="5144" spans="1:21" x14ac:dyDescent="0.25">
      <c r="A5144" s="405" t="s">
        <v>310</v>
      </c>
      <c r="B5144" s="405" t="s">
        <v>13688</v>
      </c>
      <c r="C5144" s="405" t="s">
        <v>311</v>
      </c>
      <c r="D5144" s="405" t="s">
        <v>1789</v>
      </c>
      <c r="E5144" s="410">
        <v>41639</v>
      </c>
      <c r="F5144" s="410">
        <v>41684</v>
      </c>
      <c r="G5144" s="405" t="s">
        <v>13689</v>
      </c>
      <c r="H5144" s="405">
        <v>774984978</v>
      </c>
      <c r="I5144" s="405"/>
      <c r="J5144" s="405">
        <v>2.048073</v>
      </c>
      <c r="K5144" s="405">
        <v>33.675752000000003</v>
      </c>
      <c r="L5144" s="405" t="s">
        <v>6866</v>
      </c>
      <c r="M5144" s="405" t="s">
        <v>10495</v>
      </c>
      <c r="N5144" s="405" t="s">
        <v>10495</v>
      </c>
      <c r="O5144" s="405" t="s">
        <v>13690</v>
      </c>
      <c r="P5144" s="405" t="s">
        <v>13691</v>
      </c>
      <c r="Q5144" s="411">
        <v>6</v>
      </c>
      <c r="R5144" s="405" t="s">
        <v>5655</v>
      </c>
      <c r="S5144" s="405" t="s">
        <v>27072</v>
      </c>
      <c r="T5144" s="405" t="s">
        <v>32102</v>
      </c>
      <c r="U5144" s="405" t="s">
        <v>319</v>
      </c>
    </row>
    <row r="5145" spans="1:21" x14ac:dyDescent="0.25">
      <c r="A5145" s="405" t="s">
        <v>310</v>
      </c>
      <c r="B5145" s="405" t="s">
        <v>5570</v>
      </c>
      <c r="C5145" s="405" t="s">
        <v>311</v>
      </c>
      <c r="D5145" s="405" t="s">
        <v>839</v>
      </c>
      <c r="E5145" s="410">
        <v>41639</v>
      </c>
      <c r="F5145" s="410">
        <v>41684</v>
      </c>
      <c r="G5145" s="405" t="s">
        <v>5571</v>
      </c>
      <c r="H5145" s="405">
        <v>759859691</v>
      </c>
      <c r="I5145" s="405"/>
      <c r="J5145" s="405">
        <v>0.19178799999999999</v>
      </c>
      <c r="K5145" s="405">
        <v>32.118043999999998</v>
      </c>
      <c r="L5145" s="405" t="s">
        <v>314</v>
      </c>
      <c r="M5145" s="405" t="s">
        <v>315</v>
      </c>
      <c r="N5145" s="405" t="s">
        <v>718</v>
      </c>
      <c r="O5145" s="405" t="s">
        <v>1411</v>
      </c>
      <c r="P5145" s="405" t="s">
        <v>1752</v>
      </c>
      <c r="Q5145" s="411">
        <v>6</v>
      </c>
      <c r="R5145" s="405" t="s">
        <v>438</v>
      </c>
      <c r="S5145" s="405" t="s">
        <v>27131</v>
      </c>
      <c r="T5145" s="405" t="s">
        <v>32102</v>
      </c>
      <c r="U5145" s="405" t="s">
        <v>319</v>
      </c>
    </row>
    <row r="5146" spans="1:21" x14ac:dyDescent="0.25">
      <c r="A5146" s="405" t="s">
        <v>310</v>
      </c>
      <c r="B5146" s="405" t="s">
        <v>13377</v>
      </c>
      <c r="C5146" s="405" t="s">
        <v>327</v>
      </c>
      <c r="D5146" s="405"/>
      <c r="E5146" s="410">
        <v>41639</v>
      </c>
      <c r="F5146" s="410">
        <v>41684</v>
      </c>
      <c r="G5146" s="405" t="s">
        <v>13378</v>
      </c>
      <c r="H5146" s="405">
        <v>752844096</v>
      </c>
      <c r="I5146" s="405"/>
      <c r="J5146" s="405">
        <v>0.65420489999999998</v>
      </c>
      <c r="K5146" s="405">
        <v>33.171511299999999</v>
      </c>
      <c r="L5146" s="405" t="s">
        <v>6866</v>
      </c>
      <c r="M5146" s="405" t="s">
        <v>9590</v>
      </c>
      <c r="N5146" s="405" t="s">
        <v>542</v>
      </c>
      <c r="O5146" s="405" t="s">
        <v>10061</v>
      </c>
      <c r="P5146" s="405" t="s">
        <v>13363</v>
      </c>
      <c r="Q5146" s="411">
        <v>6</v>
      </c>
      <c r="R5146" s="405" t="s">
        <v>318</v>
      </c>
      <c r="S5146" s="405" t="s">
        <v>27232</v>
      </c>
      <c r="T5146" s="405" t="s">
        <v>884</v>
      </c>
      <c r="U5146" s="405" t="s">
        <v>319</v>
      </c>
    </row>
    <row r="5147" spans="1:21" x14ac:dyDescent="0.25">
      <c r="A5147" s="405" t="s">
        <v>310</v>
      </c>
      <c r="B5147" s="405" t="s">
        <v>13339</v>
      </c>
      <c r="C5147" s="405" t="s">
        <v>327</v>
      </c>
      <c r="D5147" s="405"/>
      <c r="E5147" s="410">
        <v>41639</v>
      </c>
      <c r="F5147" s="410">
        <v>41684</v>
      </c>
      <c r="G5147" s="405" t="s">
        <v>13340</v>
      </c>
      <c r="H5147" s="405">
        <v>782261095</v>
      </c>
      <c r="I5147" s="405"/>
      <c r="J5147" s="405">
        <v>1.0141720000000001</v>
      </c>
      <c r="K5147" s="405">
        <v>34.107433</v>
      </c>
      <c r="L5147" s="405" t="s">
        <v>6866</v>
      </c>
      <c r="M5147" s="405" t="s">
        <v>9566</v>
      </c>
      <c r="N5147" s="405" t="s">
        <v>10001</v>
      </c>
      <c r="O5147" s="405" t="s">
        <v>11178</v>
      </c>
      <c r="P5147" s="405" t="s">
        <v>11273</v>
      </c>
      <c r="Q5147" s="411">
        <v>6</v>
      </c>
      <c r="R5147" s="405" t="s">
        <v>9541</v>
      </c>
      <c r="S5147" s="405" t="s">
        <v>27302</v>
      </c>
      <c r="T5147" s="405" t="s">
        <v>32102</v>
      </c>
      <c r="U5147" s="405" t="s">
        <v>319</v>
      </c>
    </row>
    <row r="5148" spans="1:21" x14ac:dyDescent="0.25">
      <c r="A5148" s="405" t="s">
        <v>310</v>
      </c>
      <c r="B5148" s="405" t="s">
        <v>5078</v>
      </c>
      <c r="C5148" s="405" t="s">
        <v>327</v>
      </c>
      <c r="D5148" s="405"/>
      <c r="E5148" s="410">
        <v>41639</v>
      </c>
      <c r="F5148" s="410">
        <v>41684</v>
      </c>
      <c r="G5148" s="405" t="s">
        <v>5079</v>
      </c>
      <c r="H5148" s="405">
        <v>782021494</v>
      </c>
      <c r="I5148" s="405">
        <v>782021494</v>
      </c>
      <c r="J5148" s="405">
        <v>0.59026999999999996</v>
      </c>
      <c r="K5148" s="405">
        <v>33.019398000000002</v>
      </c>
      <c r="L5148" s="405" t="s">
        <v>314</v>
      </c>
      <c r="M5148" s="405" t="s">
        <v>502</v>
      </c>
      <c r="N5148" s="405" t="s">
        <v>503</v>
      </c>
      <c r="O5148" s="405" t="s">
        <v>2179</v>
      </c>
      <c r="P5148" s="405" t="s">
        <v>5080</v>
      </c>
      <c r="Q5148" s="411">
        <v>6</v>
      </c>
      <c r="R5148" s="405" t="s">
        <v>1263</v>
      </c>
      <c r="S5148" s="405" t="s">
        <v>27209</v>
      </c>
      <c r="T5148" s="405" t="s">
        <v>32102</v>
      </c>
      <c r="U5148" s="405" t="s">
        <v>319</v>
      </c>
    </row>
    <row r="5149" spans="1:21" x14ac:dyDescent="0.25">
      <c r="A5149" s="405" t="s">
        <v>310</v>
      </c>
      <c r="B5149" s="405" t="s">
        <v>5081</v>
      </c>
      <c r="C5149" s="405" t="s">
        <v>327</v>
      </c>
      <c r="D5149" s="405"/>
      <c r="E5149" s="410">
        <v>41639</v>
      </c>
      <c r="F5149" s="410">
        <v>41684</v>
      </c>
      <c r="G5149" s="405" t="s">
        <v>5082</v>
      </c>
      <c r="H5149" s="405">
        <v>789142864</v>
      </c>
      <c r="I5149" s="405"/>
      <c r="J5149" s="405">
        <v>0.592862</v>
      </c>
      <c r="K5149" s="405">
        <v>33.018251999999997</v>
      </c>
      <c r="L5149" s="405" t="s">
        <v>314</v>
      </c>
      <c r="M5149" s="405" t="s">
        <v>502</v>
      </c>
      <c r="N5149" s="405" t="s">
        <v>503</v>
      </c>
      <c r="O5149" s="405" t="s">
        <v>2179</v>
      </c>
      <c r="P5149" s="405" t="s">
        <v>5083</v>
      </c>
      <c r="Q5149" s="411">
        <v>6</v>
      </c>
      <c r="R5149" s="405" t="s">
        <v>1263</v>
      </c>
      <c r="S5149" s="405" t="s">
        <v>27209</v>
      </c>
      <c r="T5149" s="405" t="s">
        <v>32102</v>
      </c>
      <c r="U5149" s="405" t="s">
        <v>319</v>
      </c>
    </row>
    <row r="5150" spans="1:21" x14ac:dyDescent="0.25">
      <c r="A5150" s="405" t="s">
        <v>310</v>
      </c>
      <c r="B5150" s="405" t="s">
        <v>27832</v>
      </c>
      <c r="C5150" s="405" t="s">
        <v>311</v>
      </c>
      <c r="D5150" s="405" t="s">
        <v>33078</v>
      </c>
      <c r="E5150" s="410">
        <v>41639</v>
      </c>
      <c r="F5150" s="410">
        <v>41684</v>
      </c>
      <c r="G5150" s="405" t="s">
        <v>5532</v>
      </c>
      <c r="H5150" s="405">
        <v>782658770</v>
      </c>
      <c r="I5150" s="405"/>
      <c r="J5150" s="405">
        <v>0.31450800000000001</v>
      </c>
      <c r="K5150" s="405">
        <v>32.491390000000003</v>
      </c>
      <c r="L5150" s="405" t="s">
        <v>314</v>
      </c>
      <c r="M5150" s="405" t="s">
        <v>361</v>
      </c>
      <c r="N5150" s="405" t="s">
        <v>374</v>
      </c>
      <c r="O5150" s="405" t="s">
        <v>361</v>
      </c>
      <c r="P5150" s="405" t="s">
        <v>5533</v>
      </c>
      <c r="Q5150" s="411">
        <v>6</v>
      </c>
      <c r="R5150" s="405" t="s">
        <v>1263</v>
      </c>
      <c r="S5150" s="405" t="s">
        <v>27202</v>
      </c>
      <c r="T5150" s="405" t="s">
        <v>884</v>
      </c>
      <c r="U5150" s="405" t="s">
        <v>319</v>
      </c>
    </row>
    <row r="5151" spans="1:21" x14ac:dyDescent="0.25">
      <c r="A5151" s="405" t="s">
        <v>310</v>
      </c>
      <c r="B5151" s="405" t="s">
        <v>13382</v>
      </c>
      <c r="C5151" s="405" t="s">
        <v>327</v>
      </c>
      <c r="D5151" s="405"/>
      <c r="E5151" s="410">
        <v>41639</v>
      </c>
      <c r="F5151" s="410">
        <v>41684</v>
      </c>
      <c r="G5151" s="405" t="s">
        <v>13383</v>
      </c>
      <c r="H5151" s="405">
        <v>782239880</v>
      </c>
      <c r="I5151" s="405"/>
      <c r="J5151" s="405">
        <v>0.61629679999999998</v>
      </c>
      <c r="K5151" s="405">
        <v>33.479163100000001</v>
      </c>
      <c r="L5151" s="405" t="s">
        <v>6866</v>
      </c>
      <c r="M5151" s="405" t="s">
        <v>9590</v>
      </c>
      <c r="N5151" s="405" t="s">
        <v>542</v>
      </c>
      <c r="O5151" s="405" t="s">
        <v>12090</v>
      </c>
      <c r="P5151" s="405" t="s">
        <v>4400</v>
      </c>
      <c r="Q5151" s="411">
        <v>6</v>
      </c>
      <c r="R5151" s="405" t="s">
        <v>318</v>
      </c>
      <c r="S5151" s="405" t="s">
        <v>27124</v>
      </c>
      <c r="T5151" s="405" t="s">
        <v>32102</v>
      </c>
      <c r="U5151" s="405" t="s">
        <v>319</v>
      </c>
    </row>
    <row r="5152" spans="1:21" x14ac:dyDescent="0.25">
      <c r="A5152" s="405" t="s">
        <v>310</v>
      </c>
      <c r="B5152" s="405" t="s">
        <v>5223</v>
      </c>
      <c r="C5152" s="405" t="s">
        <v>327</v>
      </c>
      <c r="D5152" s="405"/>
      <c r="E5152" s="410">
        <v>41639</v>
      </c>
      <c r="F5152" s="410">
        <v>41684</v>
      </c>
      <c r="G5152" s="405" t="s">
        <v>5224</v>
      </c>
      <c r="H5152" s="405">
        <v>774583403</v>
      </c>
      <c r="I5152" s="405"/>
      <c r="J5152" s="405">
        <v>0.31978299999999998</v>
      </c>
      <c r="K5152" s="405">
        <v>32.502401999999996</v>
      </c>
      <c r="L5152" s="405" t="s">
        <v>314</v>
      </c>
      <c r="M5152" s="405" t="s">
        <v>361</v>
      </c>
      <c r="N5152" s="405" t="s">
        <v>374</v>
      </c>
      <c r="O5152" s="405" t="s">
        <v>361</v>
      </c>
      <c r="P5152" s="405" t="s">
        <v>1974</v>
      </c>
      <c r="Q5152" s="411">
        <v>6</v>
      </c>
      <c r="R5152" s="405" t="s">
        <v>1263</v>
      </c>
      <c r="S5152" s="405" t="s">
        <v>27202</v>
      </c>
      <c r="T5152" s="405" t="s">
        <v>32102</v>
      </c>
      <c r="U5152" s="405" t="s">
        <v>319</v>
      </c>
    </row>
    <row r="5153" spans="1:21" x14ac:dyDescent="0.25">
      <c r="A5153" s="405" t="s">
        <v>310</v>
      </c>
      <c r="B5153" s="405" t="s">
        <v>13379</v>
      </c>
      <c r="C5153" s="405" t="s">
        <v>327</v>
      </c>
      <c r="D5153" s="405"/>
      <c r="E5153" s="410">
        <v>41639</v>
      </c>
      <c r="F5153" s="410">
        <v>41684</v>
      </c>
      <c r="G5153" s="405" t="s">
        <v>13380</v>
      </c>
      <c r="H5153" s="405">
        <v>703302088</v>
      </c>
      <c r="I5153" s="405"/>
      <c r="J5153" s="405">
        <v>0.63715690000000003</v>
      </c>
      <c r="K5153" s="405">
        <v>33.573677400000001</v>
      </c>
      <c r="L5153" s="405" t="s">
        <v>6866</v>
      </c>
      <c r="M5153" s="405" t="s">
        <v>5345</v>
      </c>
      <c r="N5153" s="405" t="s">
        <v>12058</v>
      </c>
      <c r="O5153" s="405" t="s">
        <v>5345</v>
      </c>
      <c r="P5153" s="405" t="s">
        <v>13381</v>
      </c>
      <c r="Q5153" s="411">
        <v>6</v>
      </c>
      <c r="R5153" s="405" t="s">
        <v>7224</v>
      </c>
      <c r="S5153" s="405" t="s">
        <v>27259</v>
      </c>
      <c r="T5153" s="405" t="s">
        <v>32102</v>
      </c>
      <c r="U5153" s="405" t="s">
        <v>319</v>
      </c>
    </row>
    <row r="5154" spans="1:21" x14ac:dyDescent="0.25">
      <c r="A5154" s="405" t="s">
        <v>310</v>
      </c>
      <c r="B5154" s="405" t="s">
        <v>18888</v>
      </c>
      <c r="C5154" s="405" t="s">
        <v>327</v>
      </c>
      <c r="D5154" s="405"/>
      <c r="E5154" s="410">
        <v>41639</v>
      </c>
      <c r="F5154" s="410">
        <v>41684</v>
      </c>
      <c r="G5154" s="405" t="s">
        <v>18889</v>
      </c>
      <c r="H5154" s="405">
        <v>772583056</v>
      </c>
      <c r="I5154" s="405">
        <v>782709994</v>
      </c>
      <c r="J5154" s="405">
        <v>2.2268516666666667</v>
      </c>
      <c r="K5154" s="405">
        <v>32.908345000000004</v>
      </c>
      <c r="L5154" s="405" t="s">
        <v>860</v>
      </c>
      <c r="M5154" s="405" t="s">
        <v>18234</v>
      </c>
      <c r="N5154" s="405" t="s">
        <v>18250</v>
      </c>
      <c r="O5154" s="405" t="s">
        <v>4147</v>
      </c>
      <c r="P5154" s="405" t="s">
        <v>18239</v>
      </c>
      <c r="Q5154" s="411">
        <v>6</v>
      </c>
      <c r="R5154" s="405" t="s">
        <v>318</v>
      </c>
      <c r="S5154" s="405" t="s">
        <v>27125</v>
      </c>
      <c r="T5154" s="405" t="s">
        <v>32102</v>
      </c>
      <c r="U5154" s="405" t="s">
        <v>319</v>
      </c>
    </row>
    <row r="5155" spans="1:21" x14ac:dyDescent="0.25">
      <c r="A5155" s="405" t="s">
        <v>310</v>
      </c>
      <c r="B5155" s="405" t="s">
        <v>5122</v>
      </c>
      <c r="C5155" s="405" t="s">
        <v>327</v>
      </c>
      <c r="D5155" s="405"/>
      <c r="E5155" s="410">
        <v>41639</v>
      </c>
      <c r="F5155" s="410">
        <v>41684</v>
      </c>
      <c r="G5155" s="405" t="s">
        <v>5123</v>
      </c>
      <c r="H5155" s="405">
        <v>782577102</v>
      </c>
      <c r="I5155" s="405"/>
      <c r="J5155" s="405">
        <v>0.27622999999999998</v>
      </c>
      <c r="K5155" s="405">
        <v>32.502837</v>
      </c>
      <c r="L5155" s="405" t="s">
        <v>314</v>
      </c>
      <c r="M5155" s="405" t="s">
        <v>361</v>
      </c>
      <c r="N5155" s="405" t="s">
        <v>374</v>
      </c>
      <c r="O5155" s="405" t="s">
        <v>375</v>
      </c>
      <c r="P5155" s="405" t="s">
        <v>1881</v>
      </c>
      <c r="Q5155" s="411">
        <v>6</v>
      </c>
      <c r="R5155" s="405" t="s">
        <v>1263</v>
      </c>
      <c r="S5155" s="405" t="s">
        <v>27211</v>
      </c>
      <c r="T5155" s="405" t="s">
        <v>32102</v>
      </c>
      <c r="U5155" s="405" t="s">
        <v>319</v>
      </c>
    </row>
    <row r="5156" spans="1:21" x14ac:dyDescent="0.25">
      <c r="A5156" s="405" t="s">
        <v>310</v>
      </c>
      <c r="B5156" s="405" t="s">
        <v>5131</v>
      </c>
      <c r="C5156" s="405" t="s">
        <v>327</v>
      </c>
      <c r="D5156" s="405"/>
      <c r="E5156" s="410">
        <v>41639</v>
      </c>
      <c r="F5156" s="410">
        <v>41684</v>
      </c>
      <c r="G5156" s="405" t="s">
        <v>5132</v>
      </c>
      <c r="H5156" s="405">
        <v>782521146</v>
      </c>
      <c r="I5156" s="405"/>
      <c r="J5156" s="405">
        <v>0.67981999999999998</v>
      </c>
      <c r="K5156" s="405">
        <v>32.692574999999998</v>
      </c>
      <c r="L5156" s="405" t="s">
        <v>314</v>
      </c>
      <c r="M5156" s="405" t="s">
        <v>959</v>
      </c>
      <c r="N5156" s="405" t="s">
        <v>960</v>
      </c>
      <c r="O5156" s="405" t="s">
        <v>2921</v>
      </c>
      <c r="P5156" s="405" t="s">
        <v>5133</v>
      </c>
      <c r="Q5156" s="411">
        <v>6</v>
      </c>
      <c r="R5156" s="405" t="s">
        <v>994</v>
      </c>
      <c r="S5156" s="405" t="s">
        <v>27162</v>
      </c>
      <c r="T5156" s="405" t="s">
        <v>884</v>
      </c>
      <c r="U5156" s="405" t="s">
        <v>319</v>
      </c>
    </row>
    <row r="5157" spans="1:21" x14ac:dyDescent="0.25">
      <c r="A5157" s="405" t="s">
        <v>310</v>
      </c>
      <c r="B5157" s="405" t="s">
        <v>27880</v>
      </c>
      <c r="C5157" s="405" t="s">
        <v>327</v>
      </c>
      <c r="D5157" s="405"/>
      <c r="E5157" s="410">
        <v>41639</v>
      </c>
      <c r="F5157" s="410">
        <v>41684</v>
      </c>
      <c r="G5157" s="405" t="s">
        <v>5064</v>
      </c>
      <c r="H5157" s="405">
        <v>786346466</v>
      </c>
      <c r="I5157" s="405"/>
      <c r="J5157" s="405">
        <v>0.575623</v>
      </c>
      <c r="K5157" s="405">
        <v>33.038978</v>
      </c>
      <c r="L5157" s="405" t="s">
        <v>314</v>
      </c>
      <c r="M5157" s="405" t="s">
        <v>502</v>
      </c>
      <c r="N5157" s="405" t="s">
        <v>503</v>
      </c>
      <c r="O5157" s="405" t="s">
        <v>2179</v>
      </c>
      <c r="P5157" s="405" t="s">
        <v>2698</v>
      </c>
      <c r="Q5157" s="411">
        <v>6</v>
      </c>
      <c r="R5157" s="405" t="s">
        <v>1263</v>
      </c>
      <c r="S5157" s="405" t="s">
        <v>27209</v>
      </c>
      <c r="T5157" s="405" t="s">
        <v>32102</v>
      </c>
      <c r="U5157" s="405" t="s">
        <v>319</v>
      </c>
    </row>
    <row r="5158" spans="1:21" x14ac:dyDescent="0.25">
      <c r="A5158" s="405" t="s">
        <v>310</v>
      </c>
      <c r="B5158" s="405" t="s">
        <v>13457</v>
      </c>
      <c r="C5158" s="405" t="s">
        <v>327</v>
      </c>
      <c r="D5158" s="405"/>
      <c r="E5158" s="410">
        <v>41639</v>
      </c>
      <c r="F5158" s="410">
        <v>41684</v>
      </c>
      <c r="G5158" s="405" t="s">
        <v>13458</v>
      </c>
      <c r="H5158" s="405">
        <v>752637894</v>
      </c>
      <c r="I5158" s="405"/>
      <c r="J5158" s="405">
        <v>0.59848299999999999</v>
      </c>
      <c r="K5158" s="405">
        <v>33.459707000000002</v>
      </c>
      <c r="L5158" s="405" t="s">
        <v>6866</v>
      </c>
      <c r="M5158" s="405" t="s">
        <v>9590</v>
      </c>
      <c r="N5158" s="405" t="s">
        <v>9591</v>
      </c>
      <c r="O5158" s="405" t="s">
        <v>13459</v>
      </c>
      <c r="P5158" s="405" t="s">
        <v>13460</v>
      </c>
      <c r="Q5158" s="411">
        <v>6</v>
      </c>
      <c r="R5158" s="405" t="s">
        <v>318</v>
      </c>
      <c r="S5158" s="405" t="s">
        <v>6822</v>
      </c>
      <c r="T5158" s="405" t="s">
        <v>32102</v>
      </c>
      <c r="U5158" s="405" t="s">
        <v>319</v>
      </c>
    </row>
    <row r="5159" spans="1:21" x14ac:dyDescent="0.25">
      <c r="A5159" s="405" t="s">
        <v>310</v>
      </c>
      <c r="B5159" s="405" t="s">
        <v>21513</v>
      </c>
      <c r="C5159" s="405" t="s">
        <v>327</v>
      </c>
      <c r="D5159" s="405"/>
      <c r="E5159" s="410">
        <v>41639</v>
      </c>
      <c r="F5159" s="410">
        <v>41684</v>
      </c>
      <c r="G5159" s="405" t="s">
        <v>21514</v>
      </c>
      <c r="H5159" s="405">
        <v>782149773</v>
      </c>
      <c r="I5159" s="405"/>
      <c r="J5159" s="405">
        <v>0.25926700000000003</v>
      </c>
      <c r="K5159" s="405">
        <v>30.101267</v>
      </c>
      <c r="L5159" s="405" t="s">
        <v>590</v>
      </c>
      <c r="M5159" s="405" t="s">
        <v>21087</v>
      </c>
      <c r="N5159" s="405" t="s">
        <v>21515</v>
      </c>
      <c r="O5159" s="405" t="s">
        <v>2761</v>
      </c>
      <c r="P5159" s="405" t="s">
        <v>21516</v>
      </c>
      <c r="Q5159" s="411">
        <v>6</v>
      </c>
      <c r="R5159" s="405" t="s">
        <v>883</v>
      </c>
      <c r="S5159" s="405" t="s">
        <v>27416</v>
      </c>
      <c r="T5159" s="405" t="s">
        <v>32102</v>
      </c>
      <c r="U5159" s="405" t="s">
        <v>319</v>
      </c>
    </row>
    <row r="5160" spans="1:21" x14ac:dyDescent="0.25">
      <c r="A5160" s="405" t="s">
        <v>310</v>
      </c>
      <c r="B5160" s="405" t="s">
        <v>21773</v>
      </c>
      <c r="C5160" s="405" t="s">
        <v>311</v>
      </c>
      <c r="D5160" s="405" t="s">
        <v>839</v>
      </c>
      <c r="E5160" s="410">
        <v>41639</v>
      </c>
      <c r="F5160" s="410">
        <v>41684</v>
      </c>
      <c r="G5160" s="405" t="s">
        <v>21774</v>
      </c>
      <c r="H5160" s="405">
        <v>772342185</v>
      </c>
      <c r="I5160" s="405"/>
      <c r="J5160" s="405">
        <v>-0.87060700000000002</v>
      </c>
      <c r="K5160" s="405">
        <v>30.255880999999999</v>
      </c>
      <c r="L5160" s="405" t="s">
        <v>590</v>
      </c>
      <c r="M5160" s="405" t="s">
        <v>19659</v>
      </c>
      <c r="N5160" s="405" t="s">
        <v>19681</v>
      </c>
      <c r="O5160" s="405" t="s">
        <v>13002</v>
      </c>
      <c r="P5160" s="405" t="s">
        <v>5875</v>
      </c>
      <c r="Q5160" s="411">
        <v>6</v>
      </c>
      <c r="R5160" s="405" t="s">
        <v>1527</v>
      </c>
      <c r="S5160" s="405" t="s">
        <v>27399</v>
      </c>
      <c r="T5160" s="405" t="s">
        <v>32102</v>
      </c>
      <c r="U5160" s="405" t="s">
        <v>319</v>
      </c>
    </row>
    <row r="5161" spans="1:21" x14ac:dyDescent="0.25">
      <c r="A5161" s="405" t="s">
        <v>310</v>
      </c>
      <c r="B5161" s="405" t="s">
        <v>13384</v>
      </c>
      <c r="C5161" s="405" t="s">
        <v>327</v>
      </c>
      <c r="D5161" s="405"/>
      <c r="E5161" s="410">
        <v>41639</v>
      </c>
      <c r="F5161" s="410">
        <v>41684</v>
      </c>
      <c r="G5161" s="405" t="s">
        <v>13385</v>
      </c>
      <c r="H5161" s="405">
        <v>776426500</v>
      </c>
      <c r="I5161" s="405"/>
      <c r="J5161" s="405">
        <v>0.63715690000000003</v>
      </c>
      <c r="K5161" s="405">
        <v>33.573677400000001</v>
      </c>
      <c r="L5161" s="405" t="s">
        <v>6866</v>
      </c>
      <c r="M5161" s="405" t="s">
        <v>5345</v>
      </c>
      <c r="N5161" s="405" t="s">
        <v>12058</v>
      </c>
      <c r="O5161" s="405" t="s">
        <v>13386</v>
      </c>
      <c r="P5161" s="405" t="s">
        <v>13387</v>
      </c>
      <c r="Q5161" s="411">
        <v>6</v>
      </c>
      <c r="R5161" s="405" t="s">
        <v>525</v>
      </c>
      <c r="S5161" s="405" t="s">
        <v>27035</v>
      </c>
      <c r="T5161" s="405" t="s">
        <v>884</v>
      </c>
      <c r="U5161" s="405" t="s">
        <v>319</v>
      </c>
    </row>
    <row r="5162" spans="1:21" x14ac:dyDescent="0.25">
      <c r="A5162" s="405" t="s">
        <v>310</v>
      </c>
      <c r="B5162" s="405" t="s">
        <v>27971</v>
      </c>
      <c r="C5162" s="405" t="s">
        <v>327</v>
      </c>
      <c r="D5162" s="405"/>
      <c r="E5162" s="410">
        <v>41639</v>
      </c>
      <c r="F5162" s="410">
        <v>41684</v>
      </c>
      <c r="G5162" s="405" t="s">
        <v>21494</v>
      </c>
      <c r="H5162" s="405">
        <v>772400310</v>
      </c>
      <c r="I5162" s="405"/>
      <c r="J5162" s="405">
        <v>0.67071899999999995</v>
      </c>
      <c r="K5162" s="405">
        <v>30.203735000000002</v>
      </c>
      <c r="L5162" s="405" t="s">
        <v>590</v>
      </c>
      <c r="M5162" s="405" t="s">
        <v>20125</v>
      </c>
      <c r="N5162" s="405" t="s">
        <v>20126</v>
      </c>
      <c r="O5162" s="405" t="s">
        <v>21495</v>
      </c>
      <c r="P5162" s="405" t="s">
        <v>666</v>
      </c>
      <c r="Q5162" s="411">
        <v>6</v>
      </c>
      <c r="R5162" s="405" t="s">
        <v>20774</v>
      </c>
      <c r="S5162" s="405" t="s">
        <v>27409</v>
      </c>
      <c r="T5162" s="405" t="s">
        <v>884</v>
      </c>
      <c r="U5162" s="405" t="s">
        <v>319</v>
      </c>
    </row>
    <row r="5163" spans="1:21" x14ac:dyDescent="0.25">
      <c r="A5163" s="405" t="s">
        <v>310</v>
      </c>
      <c r="B5163" s="405" t="s">
        <v>5254</v>
      </c>
      <c r="C5163" s="405" t="s">
        <v>327</v>
      </c>
      <c r="D5163" s="405"/>
      <c r="E5163" s="410">
        <v>41639</v>
      </c>
      <c r="F5163" s="410">
        <v>41684</v>
      </c>
      <c r="G5163" s="405" t="s">
        <v>5255</v>
      </c>
      <c r="H5163" s="405">
        <v>774149899</v>
      </c>
      <c r="I5163" s="405">
        <v>704807175</v>
      </c>
      <c r="J5163" s="405">
        <v>0.49848300000000001</v>
      </c>
      <c r="K5163" s="405">
        <v>33.128573000000003</v>
      </c>
      <c r="L5163" s="405" t="s">
        <v>314</v>
      </c>
      <c r="M5163" s="405" t="s">
        <v>349</v>
      </c>
      <c r="N5163" s="405" t="s">
        <v>405</v>
      </c>
      <c r="O5163" s="405" t="s">
        <v>2107</v>
      </c>
      <c r="P5163" s="405" t="s">
        <v>5256</v>
      </c>
      <c r="Q5163" s="411">
        <v>6</v>
      </c>
      <c r="R5163" s="405" t="s">
        <v>32478</v>
      </c>
      <c r="S5163" s="405" t="s">
        <v>27059</v>
      </c>
      <c r="T5163" s="405" t="s">
        <v>884</v>
      </c>
      <c r="U5163" s="405" t="s">
        <v>319</v>
      </c>
    </row>
    <row r="5164" spans="1:21" x14ac:dyDescent="0.25">
      <c r="A5164" s="405" t="s">
        <v>310</v>
      </c>
      <c r="B5164" s="405" t="s">
        <v>13447</v>
      </c>
      <c r="C5164" s="405" t="s">
        <v>327</v>
      </c>
      <c r="D5164" s="405"/>
      <c r="E5164" s="410">
        <v>41639</v>
      </c>
      <c r="F5164" s="410">
        <v>41684</v>
      </c>
      <c r="G5164" s="405" t="s">
        <v>13448</v>
      </c>
      <c r="H5164" s="405">
        <v>774773533</v>
      </c>
      <c r="I5164" s="405"/>
      <c r="J5164" s="405">
        <v>0.59905799999999998</v>
      </c>
      <c r="K5164" s="405">
        <v>33.459772999999998</v>
      </c>
      <c r="L5164" s="405" t="s">
        <v>6866</v>
      </c>
      <c r="M5164" s="405" t="s">
        <v>9590</v>
      </c>
      <c r="N5164" s="405" t="s">
        <v>542</v>
      </c>
      <c r="O5164" s="405" t="s">
        <v>13445</v>
      </c>
      <c r="P5164" s="405" t="s">
        <v>13449</v>
      </c>
      <c r="Q5164" s="411">
        <v>6</v>
      </c>
      <c r="R5164" s="405" t="s">
        <v>318</v>
      </c>
      <c r="S5164" s="405" t="s">
        <v>27193</v>
      </c>
      <c r="T5164" s="405" t="s">
        <v>884</v>
      </c>
      <c r="U5164" s="405" t="s">
        <v>319</v>
      </c>
    </row>
    <row r="5165" spans="1:21" x14ac:dyDescent="0.25">
      <c r="A5165" s="405" t="s">
        <v>310</v>
      </c>
      <c r="B5165" s="405" t="s">
        <v>13454</v>
      </c>
      <c r="C5165" s="405" t="s">
        <v>327</v>
      </c>
      <c r="D5165" s="405"/>
      <c r="E5165" s="410">
        <v>41639</v>
      </c>
      <c r="F5165" s="410">
        <v>41684</v>
      </c>
      <c r="G5165" s="405" t="s">
        <v>13455</v>
      </c>
      <c r="H5165" s="405">
        <v>712756388</v>
      </c>
      <c r="I5165" s="405">
        <v>788141048</v>
      </c>
      <c r="J5165" s="405">
        <v>0.54707499999999998</v>
      </c>
      <c r="K5165" s="405">
        <v>33.336964999999999</v>
      </c>
      <c r="L5165" s="405" t="s">
        <v>6866</v>
      </c>
      <c r="M5165" s="405" t="s">
        <v>9590</v>
      </c>
      <c r="N5165" s="405" t="s">
        <v>9591</v>
      </c>
      <c r="O5165" s="405" t="s">
        <v>11964</v>
      </c>
      <c r="P5165" s="405" t="s">
        <v>13456</v>
      </c>
      <c r="Q5165" s="411">
        <v>6</v>
      </c>
      <c r="R5165" s="405" t="s">
        <v>333</v>
      </c>
      <c r="S5165" s="405" t="s">
        <v>27134</v>
      </c>
      <c r="T5165" s="405" t="s">
        <v>32102</v>
      </c>
      <c r="U5165" s="405" t="s">
        <v>319</v>
      </c>
    </row>
    <row r="5166" spans="1:21" x14ac:dyDescent="0.25">
      <c r="A5166" s="405" t="s">
        <v>310</v>
      </c>
      <c r="B5166" s="405" t="s">
        <v>5029</v>
      </c>
      <c r="C5166" s="405" t="s">
        <v>327</v>
      </c>
      <c r="D5166" s="405"/>
      <c r="E5166" s="410">
        <v>41639</v>
      </c>
      <c r="F5166" s="410">
        <v>41684</v>
      </c>
      <c r="G5166" s="405" t="s">
        <v>5030</v>
      </c>
      <c r="H5166" s="405">
        <v>779321014</v>
      </c>
      <c r="I5166" s="405"/>
      <c r="J5166" s="405">
        <v>0.16880800000000001</v>
      </c>
      <c r="K5166" s="405">
        <v>31.855910999999999</v>
      </c>
      <c r="L5166" s="405" t="s">
        <v>314</v>
      </c>
      <c r="M5166" s="405" t="s">
        <v>339</v>
      </c>
      <c r="N5166" s="405" t="s">
        <v>339</v>
      </c>
      <c r="O5166" s="405" t="s">
        <v>2002</v>
      </c>
      <c r="P5166" s="405" t="s">
        <v>5028</v>
      </c>
      <c r="Q5166" s="411">
        <v>6</v>
      </c>
      <c r="R5166" s="405" t="s">
        <v>1263</v>
      </c>
      <c r="S5166" s="405" t="s">
        <v>27120</v>
      </c>
      <c r="T5166" s="405" t="s">
        <v>884</v>
      </c>
      <c r="U5166" s="405" t="s">
        <v>319</v>
      </c>
    </row>
    <row r="5167" spans="1:21" x14ac:dyDescent="0.25">
      <c r="A5167" s="405" t="s">
        <v>310</v>
      </c>
      <c r="B5167" s="405" t="s">
        <v>13450</v>
      </c>
      <c r="C5167" s="405" t="s">
        <v>327</v>
      </c>
      <c r="D5167" s="405"/>
      <c r="E5167" s="410">
        <v>41639</v>
      </c>
      <c r="F5167" s="410">
        <v>41684</v>
      </c>
      <c r="G5167" s="405" t="s">
        <v>13451</v>
      </c>
      <c r="H5167" s="405">
        <v>758919128</v>
      </c>
      <c r="I5167" s="405"/>
      <c r="J5167" s="405">
        <v>0.59831199999999995</v>
      </c>
      <c r="K5167" s="405">
        <v>33.459825000000002</v>
      </c>
      <c r="L5167" s="405" t="s">
        <v>6866</v>
      </c>
      <c r="M5167" s="405" t="s">
        <v>9590</v>
      </c>
      <c r="N5167" s="405" t="s">
        <v>12131</v>
      </c>
      <c r="O5167" s="405" t="s">
        <v>13452</v>
      </c>
      <c r="P5167" s="405" t="s">
        <v>13453</v>
      </c>
      <c r="Q5167" s="411">
        <v>6</v>
      </c>
      <c r="R5167" s="405" t="s">
        <v>318</v>
      </c>
      <c r="S5167" s="405" t="s">
        <v>27134</v>
      </c>
      <c r="T5167" s="405" t="s">
        <v>32102</v>
      </c>
      <c r="U5167" s="405" t="s">
        <v>319</v>
      </c>
    </row>
    <row r="5168" spans="1:21" x14ac:dyDescent="0.25">
      <c r="A5168" s="405" t="s">
        <v>310</v>
      </c>
      <c r="B5168" s="405" t="s">
        <v>5068</v>
      </c>
      <c r="C5168" s="405" t="s">
        <v>327</v>
      </c>
      <c r="D5168" s="405"/>
      <c r="E5168" s="410">
        <v>41639</v>
      </c>
      <c r="F5168" s="410">
        <v>41684</v>
      </c>
      <c r="G5168" s="405" t="s">
        <v>5069</v>
      </c>
      <c r="H5168" s="405">
        <v>777228627</v>
      </c>
      <c r="I5168" s="405"/>
      <c r="J5168" s="405">
        <v>0.575623</v>
      </c>
      <c r="K5168" s="405">
        <v>33.038978</v>
      </c>
      <c r="L5168" s="405" t="s">
        <v>314</v>
      </c>
      <c r="M5168" s="405" t="s">
        <v>502</v>
      </c>
      <c r="N5168" s="405" t="s">
        <v>503</v>
      </c>
      <c r="O5168" s="405" t="s">
        <v>5070</v>
      </c>
      <c r="P5168" s="405" t="s">
        <v>5067</v>
      </c>
      <c r="Q5168" s="411">
        <v>6</v>
      </c>
      <c r="R5168" s="405" t="s">
        <v>1263</v>
      </c>
      <c r="S5168" s="405" t="s">
        <v>27209</v>
      </c>
      <c r="T5168" s="405" t="s">
        <v>32102</v>
      </c>
      <c r="U5168" s="405" t="s">
        <v>319</v>
      </c>
    </row>
    <row r="5169" spans="1:21" x14ac:dyDescent="0.25">
      <c r="A5169" s="405" t="s">
        <v>310</v>
      </c>
      <c r="B5169" s="405" t="s">
        <v>28085</v>
      </c>
      <c r="C5169" s="405" t="s">
        <v>327</v>
      </c>
      <c r="D5169" s="405"/>
      <c r="E5169" s="410">
        <v>41639</v>
      </c>
      <c r="F5169" s="410">
        <v>41684</v>
      </c>
      <c r="G5169" s="405" t="s">
        <v>5044</v>
      </c>
      <c r="H5169" s="405">
        <v>782795852</v>
      </c>
      <c r="I5169" s="405"/>
      <c r="J5169" s="405">
        <v>0.194192</v>
      </c>
      <c r="K5169" s="405">
        <v>32.033954000000001</v>
      </c>
      <c r="L5169" s="405" t="s">
        <v>314</v>
      </c>
      <c r="M5169" s="405" t="s">
        <v>339</v>
      </c>
      <c r="N5169" s="405" t="s">
        <v>339</v>
      </c>
      <c r="O5169" s="405" t="s">
        <v>2272</v>
      </c>
      <c r="P5169" s="405" t="s">
        <v>5045</v>
      </c>
      <c r="Q5169" s="411">
        <v>6</v>
      </c>
      <c r="R5169" s="405" t="s">
        <v>1263</v>
      </c>
      <c r="S5169" s="405" t="s">
        <v>27206</v>
      </c>
      <c r="T5169" s="405" t="s">
        <v>32102</v>
      </c>
      <c r="U5169" s="405" t="s">
        <v>319</v>
      </c>
    </row>
    <row r="5170" spans="1:21" x14ac:dyDescent="0.25">
      <c r="A5170" s="405" t="s">
        <v>310</v>
      </c>
      <c r="B5170" s="405" t="s">
        <v>5247</v>
      </c>
      <c r="C5170" s="405" t="s">
        <v>327</v>
      </c>
      <c r="D5170" s="405"/>
      <c r="E5170" s="410">
        <v>41639</v>
      </c>
      <c r="F5170" s="410">
        <v>41684</v>
      </c>
      <c r="G5170" s="405" t="s">
        <v>5248</v>
      </c>
      <c r="H5170" s="405">
        <v>772524285</v>
      </c>
      <c r="I5170" s="405">
        <v>788390188</v>
      </c>
      <c r="J5170" s="405">
        <v>0.489257</v>
      </c>
      <c r="K5170" s="405">
        <v>33.137079999999997</v>
      </c>
      <c r="L5170" s="405" t="s">
        <v>314</v>
      </c>
      <c r="M5170" s="405" t="s">
        <v>349</v>
      </c>
      <c r="N5170" s="405" t="s">
        <v>405</v>
      </c>
      <c r="O5170" s="405" t="s">
        <v>2107</v>
      </c>
      <c r="P5170" s="405" t="s">
        <v>5249</v>
      </c>
      <c r="Q5170" s="411">
        <v>6</v>
      </c>
      <c r="R5170" s="405" t="s">
        <v>32478</v>
      </c>
      <c r="S5170" s="405" t="s">
        <v>27210</v>
      </c>
      <c r="T5170" s="405" t="s">
        <v>32102</v>
      </c>
      <c r="U5170" s="405" t="s">
        <v>319</v>
      </c>
    </row>
    <row r="5171" spans="1:21" x14ac:dyDescent="0.25">
      <c r="A5171" s="405" t="s">
        <v>310</v>
      </c>
      <c r="B5171" s="405" t="s">
        <v>13403</v>
      </c>
      <c r="C5171" s="405" t="s">
        <v>327</v>
      </c>
      <c r="D5171" s="405"/>
      <c r="E5171" s="410">
        <v>41639</v>
      </c>
      <c r="F5171" s="410">
        <v>41684</v>
      </c>
      <c r="G5171" s="405" t="s">
        <v>13404</v>
      </c>
      <c r="H5171" s="405">
        <v>776886263</v>
      </c>
      <c r="I5171" s="405"/>
      <c r="J5171" s="405">
        <v>1.8003579999999999</v>
      </c>
      <c r="K5171" s="405">
        <v>34.594630000000002</v>
      </c>
      <c r="L5171" s="405" t="s">
        <v>6866</v>
      </c>
      <c r="M5171" s="405" t="s">
        <v>11461</v>
      </c>
      <c r="N5171" s="405" t="s">
        <v>11462</v>
      </c>
      <c r="O5171" s="405" t="s">
        <v>13405</v>
      </c>
      <c r="P5171" s="405" t="s">
        <v>13406</v>
      </c>
      <c r="Q5171" s="411">
        <v>6</v>
      </c>
      <c r="R5171" s="405" t="s">
        <v>9541</v>
      </c>
      <c r="S5171" s="405" t="s">
        <v>27297</v>
      </c>
      <c r="T5171" s="405" t="s">
        <v>32102</v>
      </c>
      <c r="U5171" s="405" t="s">
        <v>319</v>
      </c>
    </row>
    <row r="5172" spans="1:21" x14ac:dyDescent="0.25">
      <c r="A5172" s="405" t="s">
        <v>310</v>
      </c>
      <c r="B5172" s="405" t="s">
        <v>5100</v>
      </c>
      <c r="C5172" s="405" t="s">
        <v>327</v>
      </c>
      <c r="D5172" s="405"/>
      <c r="E5172" s="410">
        <v>41639</v>
      </c>
      <c r="F5172" s="410">
        <v>41684</v>
      </c>
      <c r="G5172" s="405" t="s">
        <v>5101</v>
      </c>
      <c r="H5172" s="405">
        <v>772566857</v>
      </c>
      <c r="I5172" s="405"/>
      <c r="J5172" s="405">
        <v>0.37170300000000001</v>
      </c>
      <c r="K5172" s="405">
        <v>32.751843000000001</v>
      </c>
      <c r="L5172" s="405" t="s">
        <v>314</v>
      </c>
      <c r="M5172" s="405" t="s">
        <v>329</v>
      </c>
      <c r="N5172" s="405" t="s">
        <v>330</v>
      </c>
      <c r="O5172" s="405" t="s">
        <v>331</v>
      </c>
      <c r="P5172" s="405" t="s">
        <v>366</v>
      </c>
      <c r="Q5172" s="411">
        <v>6</v>
      </c>
      <c r="R5172" s="405" t="s">
        <v>333</v>
      </c>
      <c r="S5172" s="405" t="s">
        <v>27046</v>
      </c>
      <c r="T5172" s="405" t="s">
        <v>884</v>
      </c>
      <c r="U5172" s="405" t="s">
        <v>319</v>
      </c>
    </row>
    <row r="5173" spans="1:21" x14ac:dyDescent="0.25">
      <c r="A5173" s="405" t="s">
        <v>310</v>
      </c>
      <c r="B5173" s="405" t="s">
        <v>5168</v>
      </c>
      <c r="C5173" s="405" t="s">
        <v>327</v>
      </c>
      <c r="D5173" s="405"/>
      <c r="E5173" s="410">
        <v>41639</v>
      </c>
      <c r="F5173" s="410">
        <v>41684</v>
      </c>
      <c r="G5173" s="405" t="s">
        <v>5169</v>
      </c>
      <c r="H5173" s="405">
        <v>782668408</v>
      </c>
      <c r="I5173" s="405"/>
      <c r="J5173" s="405">
        <v>0.34687800000000002</v>
      </c>
      <c r="K5173" s="405">
        <v>32.733677</v>
      </c>
      <c r="L5173" s="405" t="s">
        <v>314</v>
      </c>
      <c r="M5173" s="405" t="s">
        <v>329</v>
      </c>
      <c r="N5173" s="405" t="s">
        <v>330</v>
      </c>
      <c r="O5173" s="405" t="s">
        <v>787</v>
      </c>
      <c r="P5173" s="405" t="s">
        <v>622</v>
      </c>
      <c r="Q5173" s="411">
        <v>6</v>
      </c>
      <c r="R5173" s="405" t="s">
        <v>318</v>
      </c>
      <c r="S5173" s="405" t="s">
        <v>27137</v>
      </c>
      <c r="T5173" s="405" t="s">
        <v>32102</v>
      </c>
      <c r="U5173" s="405" t="s">
        <v>319</v>
      </c>
    </row>
    <row r="5174" spans="1:21" x14ac:dyDescent="0.25">
      <c r="A5174" s="405" t="s">
        <v>310</v>
      </c>
      <c r="B5174" s="405" t="s">
        <v>13354</v>
      </c>
      <c r="C5174" s="405" t="s">
        <v>327</v>
      </c>
      <c r="D5174" s="405"/>
      <c r="E5174" s="410">
        <v>41639</v>
      </c>
      <c r="F5174" s="410">
        <v>41684</v>
      </c>
      <c r="G5174" s="405" t="s">
        <v>13355</v>
      </c>
      <c r="H5174" s="405">
        <v>776352611</v>
      </c>
      <c r="I5174" s="405"/>
      <c r="J5174" s="405">
        <v>0.10455</v>
      </c>
      <c r="K5174" s="405">
        <v>33.232999999999997</v>
      </c>
      <c r="L5174" s="405" t="s">
        <v>6866</v>
      </c>
      <c r="M5174" s="405" t="s">
        <v>9520</v>
      </c>
      <c r="N5174" s="405" t="s">
        <v>13356</v>
      </c>
      <c r="O5174" s="405" t="s">
        <v>13286</v>
      </c>
      <c r="P5174" s="405" t="s">
        <v>13357</v>
      </c>
      <c r="Q5174" s="411">
        <v>6</v>
      </c>
      <c r="R5174" s="405" t="s">
        <v>13358</v>
      </c>
      <c r="S5174" s="405" t="s">
        <v>27162</v>
      </c>
      <c r="T5174" s="405" t="s">
        <v>32102</v>
      </c>
      <c r="U5174" s="405" t="s">
        <v>319</v>
      </c>
    </row>
    <row r="5175" spans="1:21" x14ac:dyDescent="0.25">
      <c r="A5175" s="405" t="s">
        <v>310</v>
      </c>
      <c r="B5175" s="405" t="s">
        <v>13427</v>
      </c>
      <c r="C5175" s="405" t="s">
        <v>327</v>
      </c>
      <c r="D5175" s="405"/>
      <c r="E5175" s="410">
        <v>41639</v>
      </c>
      <c r="F5175" s="410">
        <v>41684</v>
      </c>
      <c r="G5175" s="405" t="s">
        <v>13428</v>
      </c>
      <c r="H5175" s="405">
        <v>772971142</v>
      </c>
      <c r="I5175" s="405"/>
      <c r="J5175" s="405">
        <v>0.95865100000000003</v>
      </c>
      <c r="K5175" s="405">
        <v>34.283101000000002</v>
      </c>
      <c r="L5175" s="405" t="s">
        <v>6866</v>
      </c>
      <c r="M5175" s="405" t="s">
        <v>9763</v>
      </c>
      <c r="N5175" s="405" t="s">
        <v>9764</v>
      </c>
      <c r="O5175" s="405" t="s">
        <v>10905</v>
      </c>
      <c r="P5175" s="405" t="s">
        <v>13429</v>
      </c>
      <c r="Q5175" s="411">
        <v>6</v>
      </c>
      <c r="R5175" s="405" t="s">
        <v>7224</v>
      </c>
      <c r="S5175" s="405" t="s">
        <v>17062</v>
      </c>
      <c r="T5175" s="405" t="s">
        <v>884</v>
      </c>
      <c r="U5175" s="405" t="s">
        <v>319</v>
      </c>
    </row>
    <row r="5176" spans="1:21" x14ac:dyDescent="0.25">
      <c r="A5176" s="405" t="s">
        <v>310</v>
      </c>
      <c r="B5176" s="405" t="s">
        <v>13773</v>
      </c>
      <c r="C5176" s="405" t="s">
        <v>311</v>
      </c>
      <c r="D5176" s="405" t="s">
        <v>839</v>
      </c>
      <c r="E5176" s="410">
        <v>41639</v>
      </c>
      <c r="F5176" s="410">
        <v>41684</v>
      </c>
      <c r="G5176" s="405" t="s">
        <v>13774</v>
      </c>
      <c r="H5176" s="405">
        <v>784486606</v>
      </c>
      <c r="I5176" s="405">
        <v>392946636</v>
      </c>
      <c r="J5176" s="405">
        <v>0.99544299999999997</v>
      </c>
      <c r="K5176" s="405">
        <v>34.336485000000003</v>
      </c>
      <c r="L5176" s="405" t="s">
        <v>6866</v>
      </c>
      <c r="M5176" s="405" t="s">
        <v>9763</v>
      </c>
      <c r="N5176" s="405" t="s">
        <v>9764</v>
      </c>
      <c r="O5176" s="405" t="s">
        <v>13775</v>
      </c>
      <c r="P5176" s="405" t="s">
        <v>13301</v>
      </c>
      <c r="Q5176" s="411">
        <v>6</v>
      </c>
      <c r="R5176" s="405" t="s">
        <v>7224</v>
      </c>
      <c r="S5176" s="405" t="s">
        <v>27306</v>
      </c>
      <c r="T5176" s="405" t="s">
        <v>884</v>
      </c>
      <c r="U5176" s="405" t="s">
        <v>319</v>
      </c>
    </row>
    <row r="5177" spans="1:21" x14ac:dyDescent="0.25">
      <c r="A5177" s="405" t="s">
        <v>310</v>
      </c>
      <c r="B5177" s="405" t="s">
        <v>5026</v>
      </c>
      <c r="C5177" s="405" t="s">
        <v>327</v>
      </c>
      <c r="D5177" s="405"/>
      <c r="E5177" s="410">
        <v>41639</v>
      </c>
      <c r="F5177" s="410">
        <v>41684</v>
      </c>
      <c r="G5177" s="405" t="s">
        <v>5027</v>
      </c>
      <c r="H5177" s="405">
        <v>775954935</v>
      </c>
      <c r="I5177" s="405"/>
      <c r="J5177" s="405">
        <v>0.1734</v>
      </c>
      <c r="K5177" s="405">
        <v>31.857977999999999</v>
      </c>
      <c r="L5177" s="405" t="s">
        <v>314</v>
      </c>
      <c r="M5177" s="405" t="s">
        <v>339</v>
      </c>
      <c r="N5177" s="405" t="s">
        <v>339</v>
      </c>
      <c r="O5177" s="405" t="s">
        <v>2002</v>
      </c>
      <c r="P5177" s="405" t="s">
        <v>5028</v>
      </c>
      <c r="Q5177" s="411">
        <v>6</v>
      </c>
      <c r="R5177" s="405" t="s">
        <v>1263</v>
      </c>
      <c r="S5177" s="405" t="s">
        <v>27120</v>
      </c>
      <c r="T5177" s="405" t="s">
        <v>32102</v>
      </c>
      <c r="U5177" s="405" t="s">
        <v>319</v>
      </c>
    </row>
    <row r="5178" spans="1:21" x14ac:dyDescent="0.25">
      <c r="A5178" s="405" t="s">
        <v>310</v>
      </c>
      <c r="B5178" s="405" t="s">
        <v>5185</v>
      </c>
      <c r="C5178" s="405" t="s">
        <v>327</v>
      </c>
      <c r="D5178" s="405"/>
      <c r="E5178" s="410">
        <v>41639</v>
      </c>
      <c r="F5178" s="410">
        <v>41684</v>
      </c>
      <c r="G5178" s="405" t="s">
        <v>5186</v>
      </c>
      <c r="H5178" s="405">
        <v>700986961</v>
      </c>
      <c r="I5178" s="405"/>
      <c r="J5178" s="405">
        <v>0.38906000000000002</v>
      </c>
      <c r="K5178" s="405">
        <v>32.767482000000001</v>
      </c>
      <c r="L5178" s="405" t="s">
        <v>314</v>
      </c>
      <c r="M5178" s="405" t="s">
        <v>329</v>
      </c>
      <c r="N5178" s="405" t="s">
        <v>545</v>
      </c>
      <c r="O5178" s="405" t="s">
        <v>546</v>
      </c>
      <c r="P5178" s="405" t="s">
        <v>5187</v>
      </c>
      <c r="Q5178" s="411">
        <v>6</v>
      </c>
      <c r="R5178" s="405" t="s">
        <v>1263</v>
      </c>
      <c r="S5178" s="405" t="s">
        <v>27120</v>
      </c>
      <c r="T5178" s="405" t="s">
        <v>884</v>
      </c>
      <c r="U5178" s="405" t="s">
        <v>319</v>
      </c>
    </row>
    <row r="5179" spans="1:21" x14ac:dyDescent="0.25">
      <c r="A5179" s="405" t="s">
        <v>310</v>
      </c>
      <c r="B5179" s="405" t="s">
        <v>5054</v>
      </c>
      <c r="C5179" s="405" t="s">
        <v>327</v>
      </c>
      <c r="D5179" s="405"/>
      <c r="E5179" s="410">
        <v>41639</v>
      </c>
      <c r="F5179" s="410">
        <v>41684</v>
      </c>
      <c r="G5179" s="405" t="s">
        <v>5055</v>
      </c>
      <c r="H5179" s="405">
        <v>772350680</v>
      </c>
      <c r="I5179" s="405"/>
      <c r="J5179" s="405">
        <v>0.70891199999999999</v>
      </c>
      <c r="K5179" s="405">
        <v>32.906044999999999</v>
      </c>
      <c r="L5179" s="405" t="s">
        <v>314</v>
      </c>
      <c r="M5179" s="405" t="s">
        <v>502</v>
      </c>
      <c r="N5179" s="405" t="s">
        <v>2610</v>
      </c>
      <c r="O5179" s="405" t="s">
        <v>3304</v>
      </c>
      <c r="P5179" s="405" t="s">
        <v>5056</v>
      </c>
      <c r="Q5179" s="411">
        <v>6</v>
      </c>
      <c r="R5179" s="405" t="s">
        <v>353</v>
      </c>
      <c r="S5179" s="405" t="s">
        <v>27110</v>
      </c>
      <c r="T5179" s="405" t="s">
        <v>32102</v>
      </c>
      <c r="U5179" s="405" t="s">
        <v>319</v>
      </c>
    </row>
    <row r="5180" spans="1:21" x14ac:dyDescent="0.25">
      <c r="A5180" s="405" t="s">
        <v>310</v>
      </c>
      <c r="B5180" s="405" t="s">
        <v>37</v>
      </c>
      <c r="C5180" s="405" t="s">
        <v>327</v>
      </c>
      <c r="D5180" s="405"/>
      <c r="E5180" s="410">
        <v>41639</v>
      </c>
      <c r="F5180" s="410">
        <v>41684</v>
      </c>
      <c r="G5180" s="405" t="s">
        <v>13337</v>
      </c>
      <c r="H5180" s="405">
        <v>776496407</v>
      </c>
      <c r="I5180" s="405"/>
      <c r="J5180" s="405">
        <v>0.69556399999999996</v>
      </c>
      <c r="K5180" s="405">
        <v>33.998941000000002</v>
      </c>
      <c r="L5180" s="405" t="s">
        <v>6866</v>
      </c>
      <c r="M5180" s="405" t="s">
        <v>9534</v>
      </c>
      <c r="N5180" s="405" t="s">
        <v>9997</v>
      </c>
      <c r="O5180" s="405" t="s">
        <v>10918</v>
      </c>
      <c r="P5180" s="405" t="s">
        <v>13338</v>
      </c>
      <c r="Q5180" s="411">
        <v>6</v>
      </c>
      <c r="R5180" s="405" t="s">
        <v>9506</v>
      </c>
      <c r="S5180" s="405" t="s">
        <v>27169</v>
      </c>
      <c r="T5180" s="405" t="s">
        <v>32102</v>
      </c>
      <c r="U5180" s="405" t="s">
        <v>319</v>
      </c>
    </row>
    <row r="5181" spans="1:21" x14ac:dyDescent="0.25">
      <c r="A5181" s="405" t="s">
        <v>310</v>
      </c>
      <c r="B5181" s="405" t="s">
        <v>13407</v>
      </c>
      <c r="C5181" s="405" t="s">
        <v>327</v>
      </c>
      <c r="D5181" s="405"/>
      <c r="E5181" s="410">
        <v>41639</v>
      </c>
      <c r="F5181" s="410">
        <v>41684</v>
      </c>
      <c r="G5181" s="405" t="s">
        <v>13408</v>
      </c>
      <c r="H5181" s="405">
        <v>784996288</v>
      </c>
      <c r="I5181" s="405"/>
      <c r="J5181" s="405">
        <v>0.61633389999999999</v>
      </c>
      <c r="K5181" s="405">
        <v>33.479194800000002</v>
      </c>
      <c r="L5181" s="405" t="s">
        <v>6866</v>
      </c>
      <c r="M5181" s="405" t="s">
        <v>9590</v>
      </c>
      <c r="N5181" s="405" t="s">
        <v>9591</v>
      </c>
      <c r="O5181" s="405" t="s">
        <v>5538</v>
      </c>
      <c r="P5181" s="405" t="s">
        <v>13409</v>
      </c>
      <c r="Q5181" s="411">
        <v>6</v>
      </c>
      <c r="R5181" s="405" t="s">
        <v>318</v>
      </c>
      <c r="S5181" s="405" t="s">
        <v>27134</v>
      </c>
      <c r="T5181" s="405" t="s">
        <v>32102</v>
      </c>
      <c r="U5181" s="405" t="s">
        <v>319</v>
      </c>
    </row>
    <row r="5182" spans="1:21" x14ac:dyDescent="0.25">
      <c r="A5182" s="405" t="s">
        <v>310</v>
      </c>
      <c r="B5182" s="405" t="s">
        <v>28359</v>
      </c>
      <c r="C5182" s="405" t="s">
        <v>327</v>
      </c>
      <c r="D5182" s="405"/>
      <c r="E5182" s="410">
        <v>41639</v>
      </c>
      <c r="F5182" s="410">
        <v>41684</v>
      </c>
      <c r="G5182" s="405" t="s">
        <v>5219</v>
      </c>
      <c r="H5182" s="405">
        <v>772845354</v>
      </c>
      <c r="I5182" s="405"/>
      <c r="J5182" s="405">
        <v>0.31862200000000002</v>
      </c>
      <c r="K5182" s="405">
        <v>32.447069999999997</v>
      </c>
      <c r="L5182" s="405" t="s">
        <v>314</v>
      </c>
      <c r="M5182" s="405" t="s">
        <v>361</v>
      </c>
      <c r="N5182" s="405" t="s">
        <v>374</v>
      </c>
      <c r="O5182" s="405" t="s">
        <v>361</v>
      </c>
      <c r="P5182" s="405" t="s">
        <v>2363</v>
      </c>
      <c r="Q5182" s="411">
        <v>6</v>
      </c>
      <c r="R5182" s="405" t="s">
        <v>1263</v>
      </c>
      <c r="S5182" s="405" t="s">
        <v>27036</v>
      </c>
      <c r="T5182" s="405" t="s">
        <v>32102</v>
      </c>
      <c r="U5182" s="405" t="s">
        <v>319</v>
      </c>
    </row>
    <row r="5183" spans="1:21" x14ac:dyDescent="0.25">
      <c r="A5183" s="405" t="s">
        <v>310</v>
      </c>
      <c r="B5183" s="405" t="s">
        <v>13410</v>
      </c>
      <c r="C5183" s="405" t="s">
        <v>327</v>
      </c>
      <c r="D5183" s="405"/>
      <c r="E5183" s="410">
        <v>41639</v>
      </c>
      <c r="F5183" s="410">
        <v>41684</v>
      </c>
      <c r="G5183" s="405" t="s">
        <v>13411</v>
      </c>
      <c r="H5183" s="405">
        <v>703967545</v>
      </c>
      <c r="I5183" s="405"/>
      <c r="J5183" s="405">
        <v>0.65420489999999998</v>
      </c>
      <c r="K5183" s="405">
        <v>33.171511299999999</v>
      </c>
      <c r="L5183" s="405" t="s">
        <v>6866</v>
      </c>
      <c r="M5183" s="405" t="s">
        <v>9590</v>
      </c>
      <c r="N5183" s="405" t="s">
        <v>3979</v>
      </c>
      <c r="O5183" s="405" t="s">
        <v>13412</v>
      </c>
      <c r="P5183" s="405" t="s">
        <v>13413</v>
      </c>
      <c r="Q5183" s="411">
        <v>6</v>
      </c>
      <c r="R5183" s="405" t="s">
        <v>318</v>
      </c>
      <c r="S5183" s="405" t="s">
        <v>27174</v>
      </c>
      <c r="T5183" s="405" t="s">
        <v>884</v>
      </c>
      <c r="U5183" s="405" t="s">
        <v>319</v>
      </c>
    </row>
    <row r="5184" spans="1:21" x14ac:dyDescent="0.25">
      <c r="A5184" s="405" t="s">
        <v>310</v>
      </c>
      <c r="B5184" s="405" t="s">
        <v>13322</v>
      </c>
      <c r="C5184" s="405" t="s">
        <v>327</v>
      </c>
      <c r="D5184" s="405"/>
      <c r="E5184" s="410">
        <v>41639</v>
      </c>
      <c r="F5184" s="410">
        <v>41684</v>
      </c>
      <c r="G5184" s="405" t="s">
        <v>13323</v>
      </c>
      <c r="H5184" s="405">
        <v>774944749</v>
      </c>
      <c r="I5184" s="405"/>
      <c r="J5184" s="405">
        <v>1.00047</v>
      </c>
      <c r="K5184" s="405">
        <v>34.081007</v>
      </c>
      <c r="L5184" s="405" t="s">
        <v>6866</v>
      </c>
      <c r="M5184" s="405" t="s">
        <v>9566</v>
      </c>
      <c r="N5184" s="405" t="s">
        <v>10001</v>
      </c>
      <c r="O5184" s="405" t="s">
        <v>11178</v>
      </c>
      <c r="P5184" s="405" t="s">
        <v>13324</v>
      </c>
      <c r="Q5184" s="411">
        <v>6</v>
      </c>
      <c r="R5184" s="405" t="s">
        <v>9506</v>
      </c>
      <c r="S5184" s="405" t="s">
        <v>27169</v>
      </c>
      <c r="T5184" s="405" t="s">
        <v>32102</v>
      </c>
      <c r="U5184" s="405" t="s">
        <v>319</v>
      </c>
    </row>
    <row r="5185" spans="1:21" x14ac:dyDescent="0.25">
      <c r="A5185" s="405" t="s">
        <v>310</v>
      </c>
      <c r="B5185" s="405" t="s">
        <v>5598</v>
      </c>
      <c r="C5185" s="405" t="s">
        <v>327</v>
      </c>
      <c r="D5185" s="405"/>
      <c r="E5185" s="410">
        <v>41639</v>
      </c>
      <c r="F5185" s="410">
        <v>41684</v>
      </c>
      <c r="G5185" s="405" t="s">
        <v>5599</v>
      </c>
      <c r="H5185" s="405">
        <v>772456472</v>
      </c>
      <c r="I5185" s="405"/>
      <c r="J5185" s="405">
        <v>0.64470799999999995</v>
      </c>
      <c r="K5185" s="405">
        <v>32.985135999999997</v>
      </c>
      <c r="L5185" s="405" t="s">
        <v>314</v>
      </c>
      <c r="M5185" s="405" t="s">
        <v>502</v>
      </c>
      <c r="N5185" s="405" t="s">
        <v>503</v>
      </c>
      <c r="O5185" s="405" t="s">
        <v>504</v>
      </c>
      <c r="P5185" s="405" t="s">
        <v>1234</v>
      </c>
      <c r="Q5185" s="411">
        <v>6</v>
      </c>
      <c r="R5185" s="405" t="s">
        <v>318</v>
      </c>
      <c r="S5185" s="405" t="s">
        <v>27124</v>
      </c>
      <c r="T5185" s="405" t="s">
        <v>32102</v>
      </c>
      <c r="U5185" s="405" t="s">
        <v>319</v>
      </c>
    </row>
    <row r="5186" spans="1:21" x14ac:dyDescent="0.25">
      <c r="A5186" s="405" t="s">
        <v>310</v>
      </c>
      <c r="B5186" s="405" t="s">
        <v>5108</v>
      </c>
      <c r="C5186" s="405" t="s">
        <v>327</v>
      </c>
      <c r="D5186" s="405"/>
      <c r="E5186" s="410">
        <v>41639</v>
      </c>
      <c r="F5186" s="410">
        <v>41684</v>
      </c>
      <c r="G5186" s="405" t="s">
        <v>5109</v>
      </c>
      <c r="H5186" s="405">
        <v>779139888</v>
      </c>
      <c r="I5186" s="405">
        <v>779139888</v>
      </c>
      <c r="J5186" s="405">
        <v>0.28440799999999999</v>
      </c>
      <c r="K5186" s="405">
        <v>33.138348000000001</v>
      </c>
      <c r="L5186" s="405" t="s">
        <v>314</v>
      </c>
      <c r="M5186" s="405" t="s">
        <v>349</v>
      </c>
      <c r="N5186" s="405" t="s">
        <v>549</v>
      </c>
      <c r="O5186" s="405" t="s">
        <v>1062</v>
      </c>
      <c r="P5186" s="405" t="s">
        <v>2724</v>
      </c>
      <c r="Q5186" s="411">
        <v>6</v>
      </c>
      <c r="R5186" s="405" t="s">
        <v>32478</v>
      </c>
      <c r="S5186" s="405" t="s">
        <v>27120</v>
      </c>
      <c r="T5186" s="405" t="s">
        <v>884</v>
      </c>
      <c r="U5186" s="405" t="s">
        <v>319</v>
      </c>
    </row>
    <row r="5187" spans="1:21" x14ac:dyDescent="0.25">
      <c r="A5187" s="405" t="s">
        <v>310</v>
      </c>
      <c r="B5187" s="405" t="s">
        <v>15186</v>
      </c>
      <c r="C5187" s="405" t="s">
        <v>327</v>
      </c>
      <c r="D5187" s="405"/>
      <c r="E5187" s="410">
        <v>41639</v>
      </c>
      <c r="F5187" s="410">
        <v>41684</v>
      </c>
      <c r="G5187" s="405" t="s">
        <v>15187</v>
      </c>
      <c r="H5187" s="405">
        <v>782152982</v>
      </c>
      <c r="I5187" s="405"/>
      <c r="J5187" s="405">
        <v>0.96428999999999998</v>
      </c>
      <c r="K5187" s="405">
        <v>34.280391999999999</v>
      </c>
      <c r="L5187" s="405" t="s">
        <v>6866</v>
      </c>
      <c r="M5187" s="405" t="s">
        <v>9514</v>
      </c>
      <c r="N5187" s="405" t="s">
        <v>9529</v>
      </c>
      <c r="O5187" s="405" t="s">
        <v>10681</v>
      </c>
      <c r="P5187" s="405" t="s">
        <v>15188</v>
      </c>
      <c r="Q5187" s="411">
        <v>6</v>
      </c>
      <c r="R5187" s="405" t="s">
        <v>7224</v>
      </c>
      <c r="S5187" s="405" t="s">
        <v>27259</v>
      </c>
      <c r="T5187" s="405" t="s">
        <v>32102</v>
      </c>
      <c r="U5187" s="405" t="s">
        <v>319</v>
      </c>
    </row>
    <row r="5188" spans="1:21" x14ac:dyDescent="0.25">
      <c r="A5188" s="405" t="s">
        <v>310</v>
      </c>
      <c r="B5188" s="405" t="s">
        <v>13414</v>
      </c>
      <c r="C5188" s="405" t="s">
        <v>327</v>
      </c>
      <c r="D5188" s="405"/>
      <c r="E5188" s="410">
        <v>41639</v>
      </c>
      <c r="F5188" s="410">
        <v>41684</v>
      </c>
      <c r="G5188" s="405" t="s">
        <v>13415</v>
      </c>
      <c r="H5188" s="405">
        <v>752810765</v>
      </c>
      <c r="I5188" s="405"/>
      <c r="J5188" s="405">
        <v>0.85493929999999996</v>
      </c>
      <c r="K5188" s="405">
        <v>33.493394199999997</v>
      </c>
      <c r="L5188" s="405" t="s">
        <v>6866</v>
      </c>
      <c r="M5188" s="405" t="s">
        <v>9590</v>
      </c>
      <c r="N5188" s="405" t="s">
        <v>9591</v>
      </c>
      <c r="O5188" s="405" t="s">
        <v>9592</v>
      </c>
      <c r="P5188" s="405" t="s">
        <v>13416</v>
      </c>
      <c r="Q5188" s="411">
        <v>6</v>
      </c>
      <c r="R5188" s="405" t="s">
        <v>318</v>
      </c>
      <c r="S5188" s="405" t="s">
        <v>27106</v>
      </c>
      <c r="T5188" s="405" t="s">
        <v>32102</v>
      </c>
      <c r="U5188" s="405" t="s">
        <v>319</v>
      </c>
    </row>
    <row r="5189" spans="1:21" x14ac:dyDescent="0.25">
      <c r="A5189" s="405" t="s">
        <v>310</v>
      </c>
      <c r="B5189" s="405" t="s">
        <v>13418</v>
      </c>
      <c r="C5189" s="405" t="s">
        <v>327</v>
      </c>
      <c r="D5189" s="405"/>
      <c r="E5189" s="410">
        <v>41639</v>
      </c>
      <c r="F5189" s="410">
        <v>41684</v>
      </c>
      <c r="G5189" s="405" t="s">
        <v>13419</v>
      </c>
      <c r="H5189" s="405">
        <v>782959613</v>
      </c>
      <c r="I5189" s="405"/>
      <c r="J5189" s="405">
        <v>0.65420489999999998</v>
      </c>
      <c r="K5189" s="405">
        <v>33.171511299999999</v>
      </c>
      <c r="L5189" s="405" t="s">
        <v>6866</v>
      </c>
      <c r="M5189" s="405" t="s">
        <v>9590</v>
      </c>
      <c r="N5189" s="405" t="s">
        <v>542</v>
      </c>
      <c r="O5189" s="405" t="s">
        <v>10061</v>
      </c>
      <c r="P5189" s="405" t="s">
        <v>13420</v>
      </c>
      <c r="Q5189" s="411">
        <v>6</v>
      </c>
      <c r="R5189" s="405" t="s">
        <v>318</v>
      </c>
      <c r="S5189" s="405" t="s">
        <v>27113</v>
      </c>
      <c r="T5189" s="405" t="s">
        <v>32102</v>
      </c>
      <c r="U5189" s="405" t="s">
        <v>319</v>
      </c>
    </row>
    <row r="5190" spans="1:21" x14ac:dyDescent="0.25">
      <c r="A5190" s="405" t="s">
        <v>310</v>
      </c>
      <c r="B5190" s="405" t="s">
        <v>5042</v>
      </c>
      <c r="C5190" s="405" t="s">
        <v>327</v>
      </c>
      <c r="D5190" s="405"/>
      <c r="E5190" s="410">
        <v>41639</v>
      </c>
      <c r="F5190" s="410">
        <v>41684</v>
      </c>
      <c r="G5190" s="405" t="s">
        <v>5043</v>
      </c>
      <c r="H5190" s="405">
        <v>775143306</v>
      </c>
      <c r="I5190" s="405"/>
      <c r="J5190" s="405">
        <v>0.178088</v>
      </c>
      <c r="K5190" s="405">
        <v>32.059035999999999</v>
      </c>
      <c r="L5190" s="405" t="s">
        <v>314</v>
      </c>
      <c r="M5190" s="405" t="s">
        <v>339</v>
      </c>
      <c r="N5190" s="405" t="s">
        <v>339</v>
      </c>
      <c r="O5190" s="405" t="s">
        <v>2272</v>
      </c>
      <c r="P5190" s="405" t="s">
        <v>3762</v>
      </c>
      <c r="Q5190" s="411">
        <v>6</v>
      </c>
      <c r="R5190" s="405" t="s">
        <v>1263</v>
      </c>
      <c r="S5190" s="405" t="s">
        <v>27206</v>
      </c>
      <c r="T5190" s="405" t="s">
        <v>884</v>
      </c>
      <c r="U5190" s="405" t="s">
        <v>319</v>
      </c>
    </row>
    <row r="5191" spans="1:21" x14ac:dyDescent="0.25">
      <c r="A5191" s="405" t="s">
        <v>310</v>
      </c>
      <c r="B5191" s="405" t="s">
        <v>18890</v>
      </c>
      <c r="C5191" s="405" t="s">
        <v>327</v>
      </c>
      <c r="D5191" s="405"/>
      <c r="E5191" s="410">
        <v>41639</v>
      </c>
      <c r="F5191" s="410">
        <v>41684</v>
      </c>
      <c r="G5191" s="405" t="s">
        <v>18891</v>
      </c>
      <c r="H5191" s="405">
        <v>782559262</v>
      </c>
      <c r="I5191" s="405"/>
      <c r="J5191" s="405">
        <v>2.2760333333333334</v>
      </c>
      <c r="K5191" s="405">
        <v>32.877340000000004</v>
      </c>
      <c r="L5191" s="405" t="s">
        <v>860</v>
      </c>
      <c r="M5191" s="405" t="s">
        <v>18234</v>
      </c>
      <c r="N5191" s="405" t="s">
        <v>18252</v>
      </c>
      <c r="O5191" s="405" t="s">
        <v>18234</v>
      </c>
      <c r="P5191" s="405" t="s">
        <v>18843</v>
      </c>
      <c r="Q5191" s="411">
        <v>6</v>
      </c>
      <c r="R5191" s="405" t="s">
        <v>318</v>
      </c>
      <c r="S5191" s="405" t="s">
        <v>27343</v>
      </c>
      <c r="T5191" s="405" t="s">
        <v>32102</v>
      </c>
      <c r="U5191" s="405" t="s">
        <v>319</v>
      </c>
    </row>
    <row r="5192" spans="1:21" x14ac:dyDescent="0.25">
      <c r="A5192" s="405" t="s">
        <v>310</v>
      </c>
      <c r="B5192" s="405" t="s">
        <v>13341</v>
      </c>
      <c r="C5192" s="405" t="s">
        <v>327</v>
      </c>
      <c r="D5192" s="405"/>
      <c r="E5192" s="410">
        <v>41639</v>
      </c>
      <c r="F5192" s="410">
        <v>41684</v>
      </c>
      <c r="G5192" s="405" t="s">
        <v>13342</v>
      </c>
      <c r="H5192" s="405">
        <v>779839406</v>
      </c>
      <c r="I5192" s="405"/>
      <c r="J5192" s="405">
        <v>1.7549999999999999</v>
      </c>
      <c r="K5192" s="405">
        <v>33.683084999999998</v>
      </c>
      <c r="L5192" s="405" t="s">
        <v>6866</v>
      </c>
      <c r="M5192" s="405" t="s">
        <v>10515</v>
      </c>
      <c r="N5192" s="405" t="s">
        <v>10515</v>
      </c>
      <c r="O5192" s="405" t="s">
        <v>10645</v>
      </c>
      <c r="P5192" s="405" t="s">
        <v>11079</v>
      </c>
      <c r="Q5192" s="411">
        <v>6</v>
      </c>
      <c r="R5192" s="405" t="s">
        <v>5655</v>
      </c>
      <c r="S5192" s="405" t="s">
        <v>27182</v>
      </c>
      <c r="T5192" s="405" t="s">
        <v>32102</v>
      </c>
      <c r="U5192" s="405" t="s">
        <v>319</v>
      </c>
    </row>
    <row r="5193" spans="1:21" x14ac:dyDescent="0.25">
      <c r="A5193" s="405" t="s">
        <v>310</v>
      </c>
      <c r="B5193" s="405" t="s">
        <v>13308</v>
      </c>
      <c r="C5193" s="405" t="s">
        <v>327</v>
      </c>
      <c r="D5193" s="405"/>
      <c r="E5193" s="410">
        <v>41639</v>
      </c>
      <c r="F5193" s="410">
        <v>41684</v>
      </c>
      <c r="G5193" s="405" t="s">
        <v>13309</v>
      </c>
      <c r="H5193" s="405">
        <v>772458132</v>
      </c>
      <c r="I5193" s="405"/>
      <c r="J5193" s="405">
        <v>0.65912499999999996</v>
      </c>
      <c r="K5193" s="405">
        <v>33.975431999999998</v>
      </c>
      <c r="L5193" s="405" t="s">
        <v>6866</v>
      </c>
      <c r="M5193" s="405" t="s">
        <v>9534</v>
      </c>
      <c r="N5193" s="405" t="s">
        <v>9997</v>
      </c>
      <c r="O5193" s="405" t="s">
        <v>10114</v>
      </c>
      <c r="P5193" s="405" t="s">
        <v>13310</v>
      </c>
      <c r="Q5193" s="411">
        <v>6</v>
      </c>
      <c r="R5193" s="405" t="s">
        <v>7224</v>
      </c>
      <c r="S5193" s="405" t="s">
        <v>27073</v>
      </c>
      <c r="T5193" s="405" t="s">
        <v>32102</v>
      </c>
      <c r="U5193" s="405" t="s">
        <v>319</v>
      </c>
    </row>
    <row r="5194" spans="1:21" x14ac:dyDescent="0.25">
      <c r="A5194" s="405" t="s">
        <v>310</v>
      </c>
      <c r="B5194" s="405" t="s">
        <v>13359</v>
      </c>
      <c r="C5194" s="405" t="s">
        <v>327</v>
      </c>
      <c r="D5194" s="405"/>
      <c r="E5194" s="410">
        <v>41639</v>
      </c>
      <c r="F5194" s="410">
        <v>41684</v>
      </c>
      <c r="G5194" s="405" t="s">
        <v>13360</v>
      </c>
      <c r="H5194" s="405">
        <v>752643239</v>
      </c>
      <c r="I5194" s="405">
        <v>752643239</v>
      </c>
      <c r="J5194" s="405">
        <v>0.11169999999999999</v>
      </c>
      <c r="K5194" s="405">
        <v>33.200000000000003</v>
      </c>
      <c r="L5194" s="405" t="s">
        <v>6866</v>
      </c>
      <c r="M5194" s="405" t="s">
        <v>9520</v>
      </c>
      <c r="N5194" s="405" t="s">
        <v>13356</v>
      </c>
      <c r="O5194" s="405" t="s">
        <v>13286</v>
      </c>
      <c r="P5194" s="405" t="s">
        <v>13361</v>
      </c>
      <c r="Q5194" s="411">
        <v>6</v>
      </c>
      <c r="R5194" s="405" t="s">
        <v>13358</v>
      </c>
      <c r="S5194" s="405" t="s">
        <v>27162</v>
      </c>
      <c r="T5194" s="405" t="s">
        <v>32102</v>
      </c>
      <c r="U5194" s="405" t="s">
        <v>319</v>
      </c>
    </row>
    <row r="5195" spans="1:21" x14ac:dyDescent="0.25">
      <c r="A5195" s="405" t="s">
        <v>310</v>
      </c>
      <c r="B5195" s="405" t="s">
        <v>13695</v>
      </c>
      <c r="C5195" s="405" t="s">
        <v>311</v>
      </c>
      <c r="D5195" s="405" t="s">
        <v>839</v>
      </c>
      <c r="E5195" s="410">
        <v>41639</v>
      </c>
      <c r="F5195" s="410">
        <v>41684</v>
      </c>
      <c r="G5195" s="405" t="s">
        <v>13696</v>
      </c>
      <c r="H5195" s="405">
        <v>772342364</v>
      </c>
      <c r="I5195" s="405"/>
      <c r="J5195" s="405">
        <v>1.552832</v>
      </c>
      <c r="K5195" s="405">
        <v>33.829062</v>
      </c>
      <c r="L5195" s="405" t="s">
        <v>6866</v>
      </c>
      <c r="M5195" s="405" t="s">
        <v>10012</v>
      </c>
      <c r="N5195" s="405" t="s">
        <v>10012</v>
      </c>
      <c r="O5195" s="405" t="s">
        <v>10779</v>
      </c>
      <c r="P5195" s="405" t="s">
        <v>11812</v>
      </c>
      <c r="Q5195" s="411">
        <v>6</v>
      </c>
      <c r="R5195" s="405" t="s">
        <v>9541</v>
      </c>
      <c r="S5195" s="405" t="s">
        <v>27321</v>
      </c>
      <c r="T5195" s="405" t="s">
        <v>32102</v>
      </c>
      <c r="U5195" s="405" t="s">
        <v>319</v>
      </c>
    </row>
    <row r="5196" spans="1:21" x14ac:dyDescent="0.25">
      <c r="A5196" s="405" t="s">
        <v>310</v>
      </c>
      <c r="B5196" s="405" t="s">
        <v>38</v>
      </c>
      <c r="C5196" s="405" t="s">
        <v>327</v>
      </c>
      <c r="D5196" s="405"/>
      <c r="E5196" s="410">
        <v>41639</v>
      </c>
      <c r="F5196" s="410">
        <v>41684</v>
      </c>
      <c r="G5196" s="405" t="s">
        <v>13423</v>
      </c>
      <c r="H5196" s="405">
        <v>772611278</v>
      </c>
      <c r="I5196" s="405"/>
      <c r="J5196" s="405">
        <v>0.69861799999999996</v>
      </c>
      <c r="K5196" s="405">
        <v>34.163643</v>
      </c>
      <c r="L5196" s="405" t="s">
        <v>6866</v>
      </c>
      <c r="M5196" s="405" t="s">
        <v>9534</v>
      </c>
      <c r="N5196" s="405" t="s">
        <v>10065</v>
      </c>
      <c r="O5196" s="405" t="s">
        <v>9881</v>
      </c>
      <c r="P5196" s="405" t="s">
        <v>13424</v>
      </c>
      <c r="Q5196" s="411">
        <v>6</v>
      </c>
      <c r="R5196" s="405" t="s">
        <v>7224</v>
      </c>
      <c r="S5196" s="405" t="s">
        <v>27309</v>
      </c>
      <c r="T5196" s="405" t="s">
        <v>32102</v>
      </c>
      <c r="U5196" s="405" t="s">
        <v>319</v>
      </c>
    </row>
    <row r="5197" spans="1:21" x14ac:dyDescent="0.25">
      <c r="A5197" s="405" t="s">
        <v>310</v>
      </c>
      <c r="B5197" s="405" t="s">
        <v>5075</v>
      </c>
      <c r="C5197" s="405" t="s">
        <v>327</v>
      </c>
      <c r="D5197" s="405"/>
      <c r="E5197" s="410">
        <v>41639</v>
      </c>
      <c r="F5197" s="410">
        <v>41684</v>
      </c>
      <c r="G5197" s="405" t="s">
        <v>5076</v>
      </c>
      <c r="H5197" s="405">
        <v>784720578</v>
      </c>
      <c r="I5197" s="405"/>
      <c r="J5197" s="405">
        <v>0.62639</v>
      </c>
      <c r="K5197" s="405">
        <v>33.024793000000003</v>
      </c>
      <c r="L5197" s="405" t="s">
        <v>314</v>
      </c>
      <c r="M5197" s="405" t="s">
        <v>502</v>
      </c>
      <c r="N5197" s="405" t="s">
        <v>503</v>
      </c>
      <c r="O5197" s="405" t="s">
        <v>504</v>
      </c>
      <c r="P5197" s="405" t="s">
        <v>5077</v>
      </c>
      <c r="Q5197" s="411">
        <v>6</v>
      </c>
      <c r="R5197" s="405" t="s">
        <v>402</v>
      </c>
      <c r="S5197" s="405" t="s">
        <v>27052</v>
      </c>
      <c r="T5197" s="405" t="s">
        <v>32102</v>
      </c>
      <c r="U5197" s="405" t="s">
        <v>319</v>
      </c>
    </row>
    <row r="5198" spans="1:21" x14ac:dyDescent="0.25">
      <c r="A5198" s="405" t="s">
        <v>310</v>
      </c>
      <c r="B5198" s="405" t="s">
        <v>5733</v>
      </c>
      <c r="C5198" s="405" t="s">
        <v>311</v>
      </c>
      <c r="D5198" s="405" t="s">
        <v>5734</v>
      </c>
      <c r="E5198" s="410">
        <v>41639</v>
      </c>
      <c r="F5198" s="410">
        <v>41684</v>
      </c>
      <c r="G5198" s="405" t="s">
        <v>5735</v>
      </c>
      <c r="H5198" s="405">
        <v>782086137</v>
      </c>
      <c r="I5198" s="405">
        <v>753086137</v>
      </c>
      <c r="J5198" s="405">
        <v>0.35514400000000002</v>
      </c>
      <c r="K5198" s="405">
        <v>32.775474000000003</v>
      </c>
      <c r="L5198" s="405" t="s">
        <v>314</v>
      </c>
      <c r="M5198" s="405" t="s">
        <v>329</v>
      </c>
      <c r="N5198" s="405" t="s">
        <v>330</v>
      </c>
      <c r="O5198" s="405" t="s">
        <v>331</v>
      </c>
      <c r="P5198" s="405" t="s">
        <v>5736</v>
      </c>
      <c r="Q5198" s="411">
        <v>6</v>
      </c>
      <c r="R5198" s="405" t="s">
        <v>318</v>
      </c>
      <c r="S5198" s="405" t="s">
        <v>27124</v>
      </c>
      <c r="T5198" s="405" t="s">
        <v>32102</v>
      </c>
      <c r="U5198" s="405" t="s">
        <v>319</v>
      </c>
    </row>
    <row r="5199" spans="1:21" x14ac:dyDescent="0.25">
      <c r="A5199" s="405" t="s">
        <v>310</v>
      </c>
      <c r="B5199" s="405" t="s">
        <v>21501</v>
      </c>
      <c r="C5199" s="405" t="s">
        <v>327</v>
      </c>
      <c r="D5199" s="405"/>
      <c r="E5199" s="410">
        <v>41639</v>
      </c>
      <c r="F5199" s="410">
        <v>41684</v>
      </c>
      <c r="G5199" s="405" t="s">
        <v>21502</v>
      </c>
      <c r="H5199" s="405">
        <v>752254926</v>
      </c>
      <c r="I5199" s="405"/>
      <c r="J5199" s="405">
        <v>0.45746500000000001</v>
      </c>
      <c r="K5199" s="405">
        <v>30.192374000000001</v>
      </c>
      <c r="L5199" s="405" t="s">
        <v>590</v>
      </c>
      <c r="M5199" s="405" t="s">
        <v>20125</v>
      </c>
      <c r="N5199" s="405" t="s">
        <v>20866</v>
      </c>
      <c r="O5199" s="405" t="s">
        <v>21503</v>
      </c>
      <c r="P5199" s="405" t="s">
        <v>21504</v>
      </c>
      <c r="Q5199" s="411">
        <v>6</v>
      </c>
      <c r="R5199" s="405" t="s">
        <v>20774</v>
      </c>
      <c r="S5199" s="405" t="s">
        <v>27412</v>
      </c>
      <c r="T5199" s="405" t="s">
        <v>32102</v>
      </c>
      <c r="U5199" s="405" t="s">
        <v>319</v>
      </c>
    </row>
    <row r="5200" spans="1:21" x14ac:dyDescent="0.25">
      <c r="A5200" s="405" t="s">
        <v>310</v>
      </c>
      <c r="B5200" s="405" t="s">
        <v>5062</v>
      </c>
      <c r="C5200" s="405" t="s">
        <v>327</v>
      </c>
      <c r="D5200" s="405"/>
      <c r="E5200" s="410">
        <v>41639</v>
      </c>
      <c r="F5200" s="410">
        <v>41684</v>
      </c>
      <c r="G5200" s="405" t="s">
        <v>5063</v>
      </c>
      <c r="H5200" s="405">
        <v>775455483</v>
      </c>
      <c r="I5200" s="405"/>
      <c r="J5200" s="405">
        <v>0.60716800000000004</v>
      </c>
      <c r="K5200" s="405">
        <v>33.009421000000003</v>
      </c>
      <c r="L5200" s="405" t="s">
        <v>314</v>
      </c>
      <c r="M5200" s="405" t="s">
        <v>502</v>
      </c>
      <c r="N5200" s="405" t="s">
        <v>503</v>
      </c>
      <c r="O5200" s="405" t="s">
        <v>2179</v>
      </c>
      <c r="P5200" s="405" t="s">
        <v>3009</v>
      </c>
      <c r="Q5200" s="411">
        <v>6</v>
      </c>
      <c r="R5200" s="405" t="s">
        <v>1263</v>
      </c>
      <c r="S5200" s="405" t="s">
        <v>27209</v>
      </c>
      <c r="T5200" s="405" t="s">
        <v>32102</v>
      </c>
      <c r="U5200" s="405" t="s">
        <v>319</v>
      </c>
    </row>
    <row r="5201" spans="1:21" x14ac:dyDescent="0.25">
      <c r="A5201" s="405" t="s">
        <v>310</v>
      </c>
      <c r="B5201" s="405" t="s">
        <v>5103</v>
      </c>
      <c r="C5201" s="405" t="s">
        <v>327</v>
      </c>
      <c r="D5201" s="405"/>
      <c r="E5201" s="410">
        <v>41639</v>
      </c>
      <c r="F5201" s="410">
        <v>41684</v>
      </c>
      <c r="G5201" s="405" t="s">
        <v>5104</v>
      </c>
      <c r="H5201" s="405">
        <v>752627685</v>
      </c>
      <c r="I5201" s="405">
        <v>752627685</v>
      </c>
      <c r="J5201" s="405">
        <v>0.26662999999999998</v>
      </c>
      <c r="K5201" s="405">
        <v>33.125435000000003</v>
      </c>
      <c r="L5201" s="405" t="s">
        <v>314</v>
      </c>
      <c r="M5201" s="405" t="s">
        <v>349</v>
      </c>
      <c r="N5201" s="405" t="s">
        <v>473</v>
      </c>
      <c r="O5201" s="405" t="s">
        <v>1062</v>
      </c>
      <c r="P5201" s="405" t="s">
        <v>4161</v>
      </c>
      <c r="Q5201" s="411">
        <v>6</v>
      </c>
      <c r="R5201" s="405" t="s">
        <v>32478</v>
      </c>
      <c r="S5201" s="405" t="s">
        <v>2160</v>
      </c>
      <c r="T5201" s="405" t="s">
        <v>32102</v>
      </c>
      <c r="U5201" s="405" t="s">
        <v>319</v>
      </c>
    </row>
    <row r="5202" spans="1:21" x14ac:dyDescent="0.25">
      <c r="A5202" s="405" t="s">
        <v>310</v>
      </c>
      <c r="B5202" s="405" t="s">
        <v>5031</v>
      </c>
      <c r="C5202" s="405" t="s">
        <v>327</v>
      </c>
      <c r="D5202" s="405"/>
      <c r="E5202" s="410">
        <v>41639</v>
      </c>
      <c r="F5202" s="410">
        <v>41684</v>
      </c>
      <c r="G5202" s="405" t="s">
        <v>5032</v>
      </c>
      <c r="H5202" s="405">
        <v>775543981</v>
      </c>
      <c r="I5202" s="405"/>
      <c r="J5202" s="405">
        <v>0.21703800000000001</v>
      </c>
      <c r="K5202" s="405">
        <v>32.043436999999997</v>
      </c>
      <c r="L5202" s="405" t="s">
        <v>314</v>
      </c>
      <c r="M5202" s="405" t="s">
        <v>339</v>
      </c>
      <c r="N5202" s="405" t="s">
        <v>339</v>
      </c>
      <c r="O5202" s="405" t="s">
        <v>2272</v>
      </c>
      <c r="P5202" s="405" t="s">
        <v>5033</v>
      </c>
      <c r="Q5202" s="411">
        <v>6</v>
      </c>
      <c r="R5202" s="405" t="s">
        <v>438</v>
      </c>
      <c r="S5202" s="405" t="s">
        <v>27131</v>
      </c>
      <c r="T5202" s="405" t="s">
        <v>884</v>
      </c>
      <c r="U5202" s="405" t="s">
        <v>319</v>
      </c>
    </row>
    <row r="5203" spans="1:21" x14ac:dyDescent="0.25">
      <c r="A5203" s="405" t="s">
        <v>310</v>
      </c>
      <c r="B5203" s="405" t="s">
        <v>28903</v>
      </c>
      <c r="C5203" s="405" t="s">
        <v>327</v>
      </c>
      <c r="D5203" s="405"/>
      <c r="E5203" s="410">
        <v>41639</v>
      </c>
      <c r="F5203" s="410">
        <v>41684</v>
      </c>
      <c r="G5203" s="405" t="s">
        <v>5216</v>
      </c>
      <c r="H5203" s="405">
        <v>772982388</v>
      </c>
      <c r="I5203" s="405"/>
      <c r="J5203" s="405">
        <v>0.30213999999999996</v>
      </c>
      <c r="K5203" s="405">
        <v>32.30022833333333</v>
      </c>
      <c r="L5203" s="405" t="s">
        <v>314</v>
      </c>
      <c r="M5203" s="405" t="s">
        <v>321</v>
      </c>
      <c r="N5203" s="405" t="s">
        <v>322</v>
      </c>
      <c r="O5203" s="405" t="s">
        <v>1017</v>
      </c>
      <c r="P5203" s="405" t="s">
        <v>1017</v>
      </c>
      <c r="Q5203" s="411">
        <v>6</v>
      </c>
      <c r="R5203" s="405" t="s">
        <v>318</v>
      </c>
      <c r="S5203" s="405" t="s">
        <v>27152</v>
      </c>
      <c r="T5203" s="405" t="s">
        <v>32102</v>
      </c>
      <c r="U5203" s="405" t="s">
        <v>319</v>
      </c>
    </row>
    <row r="5204" spans="1:21" x14ac:dyDescent="0.25">
      <c r="A5204" s="405" t="s">
        <v>310</v>
      </c>
      <c r="B5204" s="405" t="s">
        <v>21510</v>
      </c>
      <c r="C5204" s="405" t="s">
        <v>327</v>
      </c>
      <c r="D5204" s="405"/>
      <c r="E5204" s="410">
        <v>41639</v>
      </c>
      <c r="F5204" s="410">
        <v>41684</v>
      </c>
      <c r="G5204" s="405" t="s">
        <v>21511</v>
      </c>
      <c r="H5204" s="405">
        <v>782818034</v>
      </c>
      <c r="I5204" s="405"/>
      <c r="J5204" s="405">
        <v>0.41366199999999997</v>
      </c>
      <c r="K5204" s="405">
        <v>30.249154999999998</v>
      </c>
      <c r="L5204" s="405" t="s">
        <v>590</v>
      </c>
      <c r="M5204" s="405" t="s">
        <v>20125</v>
      </c>
      <c r="N5204" s="405" t="s">
        <v>20866</v>
      </c>
      <c r="O5204" s="405" t="s">
        <v>20868</v>
      </c>
      <c r="P5204" s="405" t="s">
        <v>21512</v>
      </c>
      <c r="Q5204" s="411">
        <v>6</v>
      </c>
      <c r="R5204" s="405" t="s">
        <v>883</v>
      </c>
      <c r="S5204" s="405" t="s">
        <v>27183</v>
      </c>
      <c r="T5204" s="405" t="s">
        <v>32102</v>
      </c>
      <c r="U5204" s="405" t="s">
        <v>319</v>
      </c>
    </row>
    <row r="5205" spans="1:21" x14ac:dyDescent="0.25">
      <c r="A5205" s="405" t="s">
        <v>310</v>
      </c>
      <c r="B5205" s="405" t="s">
        <v>13468</v>
      </c>
      <c r="C5205" s="405" t="s">
        <v>327</v>
      </c>
      <c r="D5205" s="405"/>
      <c r="E5205" s="410">
        <v>41639</v>
      </c>
      <c r="F5205" s="410">
        <v>41684</v>
      </c>
      <c r="G5205" s="405" t="s">
        <v>13469</v>
      </c>
      <c r="H5205" s="405">
        <v>783878673</v>
      </c>
      <c r="I5205" s="405">
        <v>751525945</v>
      </c>
      <c r="J5205" s="405">
        <v>0.59826000000000001</v>
      </c>
      <c r="K5205" s="405">
        <v>33.459944999999998</v>
      </c>
      <c r="L5205" s="405" t="s">
        <v>6866</v>
      </c>
      <c r="M5205" s="405" t="s">
        <v>13470</v>
      </c>
      <c r="N5205" s="405" t="s">
        <v>13471</v>
      </c>
      <c r="O5205" s="405" t="s">
        <v>13472</v>
      </c>
      <c r="P5205" s="405" t="s">
        <v>13473</v>
      </c>
      <c r="Q5205" s="411">
        <v>6</v>
      </c>
      <c r="R5205" s="405" t="s">
        <v>333</v>
      </c>
      <c r="S5205" s="405" t="s">
        <v>27049</v>
      </c>
      <c r="T5205" s="405" t="s">
        <v>32102</v>
      </c>
      <c r="U5205" s="405" t="s">
        <v>319</v>
      </c>
    </row>
    <row r="5206" spans="1:21" x14ac:dyDescent="0.25">
      <c r="A5206" s="405" t="s">
        <v>310</v>
      </c>
      <c r="B5206" s="405" t="s">
        <v>13437</v>
      </c>
      <c r="C5206" s="405" t="s">
        <v>327</v>
      </c>
      <c r="D5206" s="405"/>
      <c r="E5206" s="410">
        <v>41639</v>
      </c>
      <c r="F5206" s="410">
        <v>41684</v>
      </c>
      <c r="G5206" s="405" t="s">
        <v>13438</v>
      </c>
      <c r="H5206" s="405">
        <v>772884719</v>
      </c>
      <c r="I5206" s="405"/>
      <c r="J5206" s="405">
        <v>0.86929400000000001</v>
      </c>
      <c r="K5206" s="405">
        <v>34.369567000000004</v>
      </c>
      <c r="L5206" s="405" t="s">
        <v>6866</v>
      </c>
      <c r="M5206" s="405" t="s">
        <v>9763</v>
      </c>
      <c r="N5206" s="405" t="s">
        <v>9848</v>
      </c>
      <c r="O5206" s="405" t="s">
        <v>10122</v>
      </c>
      <c r="P5206" s="405" t="s">
        <v>12016</v>
      </c>
      <c r="Q5206" s="411">
        <v>6</v>
      </c>
      <c r="R5206" s="405" t="s">
        <v>7224</v>
      </c>
      <c r="S5206" s="405" t="s">
        <v>17013</v>
      </c>
      <c r="T5206" s="405" t="s">
        <v>32102</v>
      </c>
      <c r="U5206" s="405" t="s">
        <v>319</v>
      </c>
    </row>
    <row r="5207" spans="1:21" x14ac:dyDescent="0.25">
      <c r="A5207" s="405" t="s">
        <v>310</v>
      </c>
      <c r="B5207" s="405" t="s">
        <v>13425</v>
      </c>
      <c r="C5207" s="405" t="s">
        <v>327</v>
      </c>
      <c r="D5207" s="405"/>
      <c r="E5207" s="410">
        <v>41639</v>
      </c>
      <c r="F5207" s="410">
        <v>41684</v>
      </c>
      <c r="G5207" s="405" t="s">
        <v>13426</v>
      </c>
      <c r="H5207" s="405">
        <v>789252370</v>
      </c>
      <c r="I5207" s="405"/>
      <c r="J5207" s="405">
        <v>1.0061180000000001</v>
      </c>
      <c r="K5207" s="405">
        <v>34.334634000000001</v>
      </c>
      <c r="L5207" s="405" t="s">
        <v>6866</v>
      </c>
      <c r="M5207" s="405" t="s">
        <v>9763</v>
      </c>
      <c r="N5207" s="405" t="s">
        <v>9764</v>
      </c>
      <c r="O5207" s="405" t="s">
        <v>1590</v>
      </c>
      <c r="P5207" s="405" t="s">
        <v>10793</v>
      </c>
      <c r="Q5207" s="411">
        <v>6</v>
      </c>
      <c r="R5207" s="405" t="s">
        <v>7224</v>
      </c>
      <c r="S5207" s="405" t="s">
        <v>27197</v>
      </c>
      <c r="T5207" s="405" t="s">
        <v>32102</v>
      </c>
      <c r="U5207" s="405" t="s">
        <v>319</v>
      </c>
    </row>
    <row r="5208" spans="1:21" x14ac:dyDescent="0.25">
      <c r="A5208" s="405" t="s">
        <v>310</v>
      </c>
      <c r="B5208" s="405" t="s">
        <v>13325</v>
      </c>
      <c r="C5208" s="405" t="s">
        <v>327</v>
      </c>
      <c r="D5208" s="405"/>
      <c r="E5208" s="410">
        <v>41639</v>
      </c>
      <c r="F5208" s="410">
        <v>41684</v>
      </c>
      <c r="G5208" s="405" t="s">
        <v>13326</v>
      </c>
      <c r="H5208" s="405">
        <v>773336562</v>
      </c>
      <c r="I5208" s="405"/>
      <c r="J5208" s="405">
        <v>0.97445199999999998</v>
      </c>
      <c r="K5208" s="405">
        <v>34.060952</v>
      </c>
      <c r="L5208" s="405" t="s">
        <v>6866</v>
      </c>
      <c r="M5208" s="405" t="s">
        <v>9566</v>
      </c>
      <c r="N5208" s="405" t="s">
        <v>10001</v>
      </c>
      <c r="O5208" s="405" t="s">
        <v>9932</v>
      </c>
      <c r="P5208" s="405" t="s">
        <v>13327</v>
      </c>
      <c r="Q5208" s="411">
        <v>6</v>
      </c>
      <c r="R5208" s="405" t="s">
        <v>7224</v>
      </c>
      <c r="S5208" s="405" t="s">
        <v>27318</v>
      </c>
      <c r="T5208" s="405" t="s">
        <v>32102</v>
      </c>
      <c r="U5208" s="405" t="s">
        <v>319</v>
      </c>
    </row>
    <row r="5209" spans="1:21" x14ac:dyDescent="0.25">
      <c r="A5209" s="405" t="s">
        <v>310</v>
      </c>
      <c r="B5209" s="405" t="s">
        <v>21539</v>
      </c>
      <c r="C5209" s="405" t="s">
        <v>327</v>
      </c>
      <c r="D5209" s="405"/>
      <c r="E5209" s="410">
        <v>41639</v>
      </c>
      <c r="F5209" s="410">
        <v>41684</v>
      </c>
      <c r="G5209" s="405" t="s">
        <v>21540</v>
      </c>
      <c r="H5209" s="405">
        <v>705417899</v>
      </c>
      <c r="I5209" s="405"/>
      <c r="J5209" s="405">
        <v>-0.76217500000000005</v>
      </c>
      <c r="K5209" s="405">
        <v>30.478276999999999</v>
      </c>
      <c r="L5209" s="405" t="s">
        <v>590</v>
      </c>
      <c r="M5209" s="405" t="s">
        <v>19614</v>
      </c>
      <c r="N5209" s="405" t="s">
        <v>19654</v>
      </c>
      <c r="O5209" s="405" t="s">
        <v>19995</v>
      </c>
      <c r="P5209" s="405" t="s">
        <v>21541</v>
      </c>
      <c r="Q5209" s="411">
        <v>6</v>
      </c>
      <c r="R5209" s="405" t="s">
        <v>333</v>
      </c>
      <c r="S5209" s="405" t="s">
        <v>27220</v>
      </c>
      <c r="T5209" s="405" t="s">
        <v>32102</v>
      </c>
      <c r="U5209" s="405" t="s">
        <v>319</v>
      </c>
    </row>
    <row r="5210" spans="1:21" x14ac:dyDescent="0.25">
      <c r="A5210" s="405" t="s">
        <v>310</v>
      </c>
      <c r="B5210" s="405" t="s">
        <v>5172</v>
      </c>
      <c r="C5210" s="405" t="s">
        <v>327</v>
      </c>
      <c r="D5210" s="405"/>
      <c r="E5210" s="410">
        <v>41639</v>
      </c>
      <c r="F5210" s="410">
        <v>41684</v>
      </c>
      <c r="G5210" s="405" t="s">
        <v>5173</v>
      </c>
      <c r="H5210" s="405">
        <v>772998639</v>
      </c>
      <c r="I5210" s="405"/>
      <c r="J5210" s="405">
        <v>0.154028</v>
      </c>
      <c r="K5210" s="405">
        <v>32.767814999999999</v>
      </c>
      <c r="L5210" s="405" t="s">
        <v>314</v>
      </c>
      <c r="M5210" s="405" t="s">
        <v>329</v>
      </c>
      <c r="N5210" s="405" t="s">
        <v>803</v>
      </c>
      <c r="O5210" s="405" t="s">
        <v>909</v>
      </c>
      <c r="P5210" s="405" t="s">
        <v>5174</v>
      </c>
      <c r="Q5210" s="411">
        <v>6</v>
      </c>
      <c r="R5210" s="405" t="s">
        <v>318</v>
      </c>
      <c r="S5210" s="405" t="s">
        <v>27124</v>
      </c>
      <c r="T5210" s="405" t="s">
        <v>32102</v>
      </c>
      <c r="U5210" s="405" t="s">
        <v>319</v>
      </c>
    </row>
    <row r="5211" spans="1:21" x14ac:dyDescent="0.25">
      <c r="A5211" s="405" t="s">
        <v>310</v>
      </c>
      <c r="B5211" s="405" t="s">
        <v>28031</v>
      </c>
      <c r="C5211" s="405" t="s">
        <v>327</v>
      </c>
      <c r="D5211" s="405"/>
      <c r="E5211" s="410">
        <v>41639</v>
      </c>
      <c r="F5211" s="410">
        <v>41684</v>
      </c>
      <c r="G5211" s="405" t="s">
        <v>13311</v>
      </c>
      <c r="H5211" s="405">
        <v>782612075</v>
      </c>
      <c r="I5211" s="405"/>
      <c r="J5211" s="405">
        <v>0.92095300000000002</v>
      </c>
      <c r="K5211" s="405">
        <v>34.127764999999997</v>
      </c>
      <c r="L5211" s="405" t="s">
        <v>6866</v>
      </c>
      <c r="M5211" s="405" t="s">
        <v>9514</v>
      </c>
      <c r="N5211" s="405" t="s">
        <v>9616</v>
      </c>
      <c r="O5211" s="405" t="s">
        <v>10567</v>
      </c>
      <c r="P5211" s="405" t="s">
        <v>13201</v>
      </c>
      <c r="Q5211" s="411">
        <v>4</v>
      </c>
      <c r="R5211" s="405" t="s">
        <v>7224</v>
      </c>
      <c r="S5211" s="405" t="s">
        <v>17062</v>
      </c>
      <c r="T5211" s="405" t="s">
        <v>32102</v>
      </c>
      <c r="U5211" s="405" t="s">
        <v>319</v>
      </c>
    </row>
    <row r="5212" spans="1:21" x14ac:dyDescent="0.25">
      <c r="A5212" s="405" t="s">
        <v>310</v>
      </c>
      <c r="B5212" s="405" t="s">
        <v>28498</v>
      </c>
      <c r="C5212" s="405" t="s">
        <v>311</v>
      </c>
      <c r="D5212" s="405" t="s">
        <v>1789</v>
      </c>
      <c r="E5212" s="410">
        <v>41639</v>
      </c>
      <c r="F5212" s="410">
        <v>41684</v>
      </c>
      <c r="G5212" s="405" t="s">
        <v>13761</v>
      </c>
      <c r="H5212" s="405">
        <v>773168228</v>
      </c>
      <c r="I5212" s="405"/>
      <c r="J5212" s="405">
        <v>0.85493929999999996</v>
      </c>
      <c r="K5212" s="405">
        <v>33.493394199999997</v>
      </c>
      <c r="L5212" s="405" t="s">
        <v>6866</v>
      </c>
      <c r="M5212" s="405" t="s">
        <v>9590</v>
      </c>
      <c r="N5212" s="405" t="s">
        <v>9591</v>
      </c>
      <c r="O5212" s="405" t="s">
        <v>9592</v>
      </c>
      <c r="P5212" s="405" t="s">
        <v>13762</v>
      </c>
      <c r="Q5212" s="411">
        <v>4</v>
      </c>
      <c r="R5212" s="405" t="s">
        <v>525</v>
      </c>
      <c r="S5212" s="405" t="s">
        <v>27193</v>
      </c>
      <c r="T5212" s="405" t="s">
        <v>32102</v>
      </c>
      <c r="U5212" s="405" t="s">
        <v>319</v>
      </c>
    </row>
    <row r="5213" spans="1:21" x14ac:dyDescent="0.25">
      <c r="A5213" s="405" t="s">
        <v>310</v>
      </c>
      <c r="B5213" s="405" t="s">
        <v>29090</v>
      </c>
      <c r="C5213" s="405" t="s">
        <v>311</v>
      </c>
      <c r="D5213" s="405" t="s">
        <v>3381</v>
      </c>
      <c r="E5213" s="410">
        <v>41639</v>
      </c>
      <c r="F5213" s="410">
        <v>41684</v>
      </c>
      <c r="G5213" s="405" t="s">
        <v>13733</v>
      </c>
      <c r="H5213" s="405">
        <v>774944684</v>
      </c>
      <c r="I5213" s="405"/>
      <c r="J5213" s="405">
        <v>0.817639</v>
      </c>
      <c r="K5213" s="405">
        <v>34.386409999999998</v>
      </c>
      <c r="L5213" s="405" t="s">
        <v>6866</v>
      </c>
      <c r="M5213" s="405" t="s">
        <v>9763</v>
      </c>
      <c r="N5213" s="405" t="s">
        <v>9848</v>
      </c>
      <c r="O5213" s="405" t="s">
        <v>11471</v>
      </c>
      <c r="P5213" s="405" t="s">
        <v>13734</v>
      </c>
      <c r="Q5213" s="411">
        <v>4</v>
      </c>
      <c r="R5213" s="405" t="s">
        <v>9541</v>
      </c>
      <c r="S5213" s="405" t="s">
        <v>27338</v>
      </c>
      <c r="T5213" s="405" t="s">
        <v>884</v>
      </c>
      <c r="U5213" s="405" t="s">
        <v>319</v>
      </c>
    </row>
    <row r="5214" spans="1:21" x14ac:dyDescent="0.25">
      <c r="A5214" s="405" t="s">
        <v>310</v>
      </c>
      <c r="B5214" s="405" t="s">
        <v>5124</v>
      </c>
      <c r="C5214" s="405" t="s">
        <v>327</v>
      </c>
      <c r="D5214" s="405"/>
      <c r="E5214" s="410">
        <v>41639</v>
      </c>
      <c r="F5214" s="410">
        <v>41684</v>
      </c>
      <c r="G5214" s="405" t="s">
        <v>5125</v>
      </c>
      <c r="H5214" s="405">
        <v>774017996</v>
      </c>
      <c r="I5214" s="405"/>
      <c r="J5214" s="405">
        <v>0.25270799999999999</v>
      </c>
      <c r="K5214" s="405">
        <v>32.488573000000002</v>
      </c>
      <c r="L5214" s="405" t="s">
        <v>314</v>
      </c>
      <c r="M5214" s="405" t="s">
        <v>361</v>
      </c>
      <c r="N5214" s="405" t="s">
        <v>374</v>
      </c>
      <c r="O5214" s="405" t="s">
        <v>375</v>
      </c>
      <c r="P5214" s="405" t="s">
        <v>3824</v>
      </c>
      <c r="Q5214" s="411">
        <v>4</v>
      </c>
      <c r="R5214" s="405" t="s">
        <v>525</v>
      </c>
      <c r="S5214" s="405" t="s">
        <v>414</v>
      </c>
      <c r="T5214" s="405" t="s">
        <v>32102</v>
      </c>
      <c r="U5214" s="405" t="s">
        <v>319</v>
      </c>
    </row>
    <row r="5215" spans="1:21" x14ac:dyDescent="0.25">
      <c r="A5215" s="405" t="s">
        <v>310</v>
      </c>
      <c r="B5215" s="405" t="s">
        <v>5719</v>
      </c>
      <c r="C5215" s="405" t="s">
        <v>327</v>
      </c>
      <c r="D5215" s="405"/>
      <c r="E5215" s="410">
        <v>41639</v>
      </c>
      <c r="F5215" s="410">
        <v>41684</v>
      </c>
      <c r="G5215" s="405" t="s">
        <v>5720</v>
      </c>
      <c r="H5215" s="405">
        <v>754852122</v>
      </c>
      <c r="I5215" s="405"/>
      <c r="J5215" s="405">
        <v>0.54686199999999996</v>
      </c>
      <c r="K5215" s="405">
        <v>32.623683</v>
      </c>
      <c r="L5215" s="405" t="s">
        <v>314</v>
      </c>
      <c r="M5215" s="405" t="s">
        <v>329</v>
      </c>
      <c r="N5215" s="405" t="s">
        <v>528</v>
      </c>
      <c r="O5215" s="405" t="s">
        <v>2228</v>
      </c>
      <c r="P5215" s="405" t="s">
        <v>5721</v>
      </c>
      <c r="Q5215" s="411">
        <v>4</v>
      </c>
      <c r="R5215" s="405" t="s">
        <v>318</v>
      </c>
      <c r="S5215" s="405" t="s">
        <v>27124</v>
      </c>
      <c r="T5215" s="405" t="s">
        <v>32102</v>
      </c>
      <c r="U5215" s="405" t="s">
        <v>319</v>
      </c>
    </row>
    <row r="5216" spans="1:21" x14ac:dyDescent="0.25">
      <c r="A5216" s="405" t="s">
        <v>310</v>
      </c>
      <c r="B5216" s="405" t="s">
        <v>5084</v>
      </c>
      <c r="C5216" s="405" t="s">
        <v>327</v>
      </c>
      <c r="D5216" s="405"/>
      <c r="E5216" s="410">
        <v>41639</v>
      </c>
      <c r="F5216" s="410">
        <v>41684</v>
      </c>
      <c r="G5216" s="405" t="s">
        <v>5085</v>
      </c>
      <c r="H5216" s="405">
        <v>787950121</v>
      </c>
      <c r="I5216" s="405"/>
      <c r="J5216" s="405">
        <v>0.63966000000000001</v>
      </c>
      <c r="K5216" s="405">
        <v>32.981932999999998</v>
      </c>
      <c r="L5216" s="405" t="s">
        <v>314</v>
      </c>
      <c r="M5216" s="405" t="s">
        <v>502</v>
      </c>
      <c r="N5216" s="405" t="s">
        <v>503</v>
      </c>
      <c r="O5216" s="405" t="s">
        <v>504</v>
      </c>
      <c r="P5216" s="405" t="s">
        <v>5086</v>
      </c>
      <c r="Q5216" s="411">
        <v>4</v>
      </c>
      <c r="R5216" s="405" t="s">
        <v>1263</v>
      </c>
      <c r="S5216" s="405" t="s">
        <v>27164</v>
      </c>
      <c r="T5216" s="405" t="s">
        <v>32102</v>
      </c>
      <c r="U5216" s="405" t="s">
        <v>319</v>
      </c>
    </row>
    <row r="5217" spans="1:21" x14ac:dyDescent="0.25">
      <c r="A5217" s="405" t="s">
        <v>310</v>
      </c>
      <c r="B5217" s="405" t="s">
        <v>13320</v>
      </c>
      <c r="C5217" s="405" t="s">
        <v>327</v>
      </c>
      <c r="D5217" s="405"/>
      <c r="E5217" s="410">
        <v>41639</v>
      </c>
      <c r="F5217" s="410">
        <v>41684</v>
      </c>
      <c r="G5217" s="405" t="s">
        <v>13321</v>
      </c>
      <c r="H5217" s="405">
        <v>752503584</v>
      </c>
      <c r="I5217" s="405"/>
      <c r="J5217" s="405">
        <v>0.83466300000000004</v>
      </c>
      <c r="K5217" s="405">
        <v>33.888796999999997</v>
      </c>
      <c r="L5217" s="405" t="s">
        <v>6866</v>
      </c>
      <c r="M5217" s="405" t="s">
        <v>9566</v>
      </c>
      <c r="N5217" s="405" t="s">
        <v>9787</v>
      </c>
      <c r="O5217" s="405" t="s">
        <v>11667</v>
      </c>
      <c r="P5217" s="405" t="s">
        <v>12234</v>
      </c>
      <c r="Q5217" s="411">
        <v>4</v>
      </c>
      <c r="R5217" s="405" t="s">
        <v>7224</v>
      </c>
      <c r="S5217" s="405" t="s">
        <v>27298</v>
      </c>
      <c r="T5217" s="405" t="s">
        <v>32102</v>
      </c>
      <c r="U5217" s="405" t="s">
        <v>319</v>
      </c>
    </row>
    <row r="5218" spans="1:21" x14ac:dyDescent="0.25">
      <c r="A5218" s="405" t="s">
        <v>310</v>
      </c>
      <c r="B5218" s="405" t="s">
        <v>5071</v>
      </c>
      <c r="C5218" s="405" t="s">
        <v>327</v>
      </c>
      <c r="D5218" s="405"/>
      <c r="E5218" s="410">
        <v>41639</v>
      </c>
      <c r="F5218" s="410">
        <v>41684</v>
      </c>
      <c r="G5218" s="405" t="s">
        <v>5072</v>
      </c>
      <c r="H5218" s="405">
        <v>759142993</v>
      </c>
      <c r="I5218" s="405"/>
      <c r="J5218" s="405">
        <v>0.63965000000000005</v>
      </c>
      <c r="K5218" s="405">
        <v>32.990882999999997</v>
      </c>
      <c r="L5218" s="405" t="s">
        <v>314</v>
      </c>
      <c r="M5218" s="405" t="s">
        <v>502</v>
      </c>
      <c r="N5218" s="405" t="s">
        <v>503</v>
      </c>
      <c r="O5218" s="405" t="s">
        <v>504</v>
      </c>
      <c r="P5218" s="405" t="s">
        <v>504</v>
      </c>
      <c r="Q5218" s="411">
        <v>4</v>
      </c>
      <c r="R5218" s="405" t="s">
        <v>1263</v>
      </c>
      <c r="S5218" s="405" t="s">
        <v>27164</v>
      </c>
      <c r="T5218" s="405" t="s">
        <v>884</v>
      </c>
      <c r="U5218" s="405" t="s">
        <v>319</v>
      </c>
    </row>
    <row r="5219" spans="1:21" x14ac:dyDescent="0.25">
      <c r="A5219" s="405" t="s">
        <v>310</v>
      </c>
      <c r="B5219" s="405" t="s">
        <v>5037</v>
      </c>
      <c r="C5219" s="405" t="s">
        <v>327</v>
      </c>
      <c r="D5219" s="405"/>
      <c r="E5219" s="410">
        <v>41639</v>
      </c>
      <c r="F5219" s="410">
        <v>41684</v>
      </c>
      <c r="G5219" s="405" t="s">
        <v>5038</v>
      </c>
      <c r="H5219" s="405">
        <v>751809363</v>
      </c>
      <c r="I5219" s="405"/>
      <c r="J5219" s="405">
        <v>0.20643700000000001</v>
      </c>
      <c r="K5219" s="405">
        <v>32.061684999999997</v>
      </c>
      <c r="L5219" s="405" t="s">
        <v>314</v>
      </c>
      <c r="M5219" s="405" t="s">
        <v>339</v>
      </c>
      <c r="N5219" s="405" t="s">
        <v>339</v>
      </c>
      <c r="O5219" s="405" t="s">
        <v>2272</v>
      </c>
      <c r="P5219" s="405" t="s">
        <v>3006</v>
      </c>
      <c r="Q5219" s="411">
        <v>4</v>
      </c>
      <c r="R5219" s="405" t="s">
        <v>1263</v>
      </c>
      <c r="S5219" s="405" t="s">
        <v>27196</v>
      </c>
      <c r="T5219" s="405" t="s">
        <v>32102</v>
      </c>
      <c r="U5219" s="405" t="s">
        <v>319</v>
      </c>
    </row>
    <row r="5220" spans="1:21" x14ac:dyDescent="0.25">
      <c r="A5220" s="405" t="s">
        <v>310</v>
      </c>
      <c r="B5220" s="405" t="s">
        <v>13318</v>
      </c>
      <c r="C5220" s="405" t="s">
        <v>327</v>
      </c>
      <c r="D5220" s="405"/>
      <c r="E5220" s="410">
        <v>41639</v>
      </c>
      <c r="F5220" s="410">
        <v>41684</v>
      </c>
      <c r="G5220" s="405" t="s">
        <v>13319</v>
      </c>
      <c r="H5220" s="405">
        <v>704810325</v>
      </c>
      <c r="I5220" s="405"/>
      <c r="J5220" s="405">
        <v>0.83632600000000001</v>
      </c>
      <c r="K5220" s="405">
        <v>33.887225000000001</v>
      </c>
      <c r="L5220" s="405" t="s">
        <v>6866</v>
      </c>
      <c r="M5220" s="405" t="s">
        <v>9566</v>
      </c>
      <c r="N5220" s="405" t="s">
        <v>9787</v>
      </c>
      <c r="O5220" s="405" t="s">
        <v>11667</v>
      </c>
      <c r="P5220" s="405" t="s">
        <v>12234</v>
      </c>
      <c r="Q5220" s="411">
        <v>4</v>
      </c>
      <c r="R5220" s="405" t="s">
        <v>7224</v>
      </c>
      <c r="S5220" s="405" t="s">
        <v>27298</v>
      </c>
      <c r="T5220" s="405" t="s">
        <v>32102</v>
      </c>
      <c r="U5220" s="405" t="s">
        <v>319</v>
      </c>
    </row>
    <row r="5221" spans="1:21" x14ac:dyDescent="0.25">
      <c r="A5221" s="405" t="s">
        <v>310</v>
      </c>
      <c r="B5221" s="405" t="s">
        <v>28638</v>
      </c>
      <c r="C5221" s="405" t="s">
        <v>327</v>
      </c>
      <c r="D5221" s="405"/>
      <c r="E5221" s="410">
        <v>41639</v>
      </c>
      <c r="F5221" s="410">
        <v>41684</v>
      </c>
      <c r="G5221" s="405" t="s">
        <v>13421</v>
      </c>
      <c r="H5221" s="405">
        <v>751587615</v>
      </c>
      <c r="I5221" s="405">
        <v>772587615</v>
      </c>
      <c r="J5221" s="405">
        <v>0.94692880000000001</v>
      </c>
      <c r="K5221" s="405">
        <v>33.125838199999997</v>
      </c>
      <c r="L5221" s="405" t="s">
        <v>6866</v>
      </c>
      <c r="M5221" s="405" t="s">
        <v>3009</v>
      </c>
      <c r="N5221" s="405" t="s">
        <v>9612</v>
      </c>
      <c r="O5221" s="405" t="s">
        <v>9613</v>
      </c>
      <c r="P5221" s="405" t="s">
        <v>13422</v>
      </c>
      <c r="Q5221" s="411">
        <v>4</v>
      </c>
      <c r="R5221" s="405" t="s">
        <v>32478</v>
      </c>
      <c r="S5221" s="405" t="s">
        <v>27134</v>
      </c>
      <c r="T5221" s="405" t="s">
        <v>32102</v>
      </c>
      <c r="U5221" s="405" t="s">
        <v>319</v>
      </c>
    </row>
    <row r="5222" spans="1:21" x14ac:dyDescent="0.25">
      <c r="A5222" s="405" t="s">
        <v>310</v>
      </c>
      <c r="B5222" s="405" t="s">
        <v>13315</v>
      </c>
      <c r="C5222" s="405" t="s">
        <v>327</v>
      </c>
      <c r="D5222" s="405"/>
      <c r="E5222" s="410">
        <v>41639</v>
      </c>
      <c r="F5222" s="410">
        <v>41684</v>
      </c>
      <c r="G5222" s="405" t="s">
        <v>13316</v>
      </c>
      <c r="H5222" s="405">
        <v>754747552</v>
      </c>
      <c r="I5222" s="405"/>
      <c r="J5222" s="405">
        <v>0.832866</v>
      </c>
      <c r="K5222" s="405">
        <v>33.888449999999999</v>
      </c>
      <c r="L5222" s="405" t="s">
        <v>6866</v>
      </c>
      <c r="M5222" s="405" t="s">
        <v>9566</v>
      </c>
      <c r="N5222" s="405" t="s">
        <v>9787</v>
      </c>
      <c r="O5222" s="405" t="s">
        <v>11667</v>
      </c>
      <c r="P5222" s="405" t="s">
        <v>13317</v>
      </c>
      <c r="Q5222" s="411">
        <v>4</v>
      </c>
      <c r="R5222" s="405" t="s">
        <v>7224</v>
      </c>
      <c r="S5222" s="405" t="s">
        <v>27298</v>
      </c>
      <c r="T5222" s="405" t="s">
        <v>6551</v>
      </c>
      <c r="U5222" s="405" t="s">
        <v>2267</v>
      </c>
    </row>
    <row r="5223" spans="1:21" x14ac:dyDescent="0.25">
      <c r="A5223" s="405" t="s">
        <v>310</v>
      </c>
      <c r="B5223" s="405" t="s">
        <v>13333</v>
      </c>
      <c r="C5223" s="405" t="s">
        <v>327</v>
      </c>
      <c r="D5223" s="405"/>
      <c r="E5223" s="410">
        <v>41639</v>
      </c>
      <c r="F5223" s="410">
        <v>41684</v>
      </c>
      <c r="G5223" s="405" t="s">
        <v>13334</v>
      </c>
      <c r="H5223" s="405">
        <v>788828505</v>
      </c>
      <c r="I5223" s="405"/>
      <c r="J5223" s="405">
        <v>1.4111819999999999</v>
      </c>
      <c r="K5223" s="405">
        <v>33.164768000000002</v>
      </c>
      <c r="L5223" s="405" t="s">
        <v>6866</v>
      </c>
      <c r="M5223" s="405" t="s">
        <v>9658</v>
      </c>
      <c r="N5223" s="405" t="s">
        <v>11057</v>
      </c>
      <c r="O5223" s="405" t="s">
        <v>13335</v>
      </c>
      <c r="P5223" s="405" t="s">
        <v>13336</v>
      </c>
      <c r="Q5223" s="411">
        <v>4</v>
      </c>
      <c r="R5223" s="405" t="s">
        <v>5655</v>
      </c>
      <c r="S5223" s="405" t="s">
        <v>27325</v>
      </c>
      <c r="T5223" s="405" t="s">
        <v>32102</v>
      </c>
      <c r="U5223" s="405" t="s">
        <v>319</v>
      </c>
    </row>
    <row r="5224" spans="1:21" x14ac:dyDescent="0.25">
      <c r="A5224" s="405" t="s">
        <v>310</v>
      </c>
      <c r="B5224" s="405" t="s">
        <v>5097</v>
      </c>
      <c r="C5224" s="405" t="s">
        <v>327</v>
      </c>
      <c r="D5224" s="405"/>
      <c r="E5224" s="410">
        <v>41639</v>
      </c>
      <c r="F5224" s="410">
        <v>41684</v>
      </c>
      <c r="G5224" s="405" t="s">
        <v>5098</v>
      </c>
      <c r="H5224" s="405">
        <v>753227434</v>
      </c>
      <c r="I5224" s="405"/>
      <c r="J5224" s="405">
        <v>0.37931500000000001</v>
      </c>
      <c r="K5224" s="405">
        <v>32.757192000000003</v>
      </c>
      <c r="L5224" s="405" t="s">
        <v>314</v>
      </c>
      <c r="M5224" s="405" t="s">
        <v>329</v>
      </c>
      <c r="N5224" s="405" t="s">
        <v>545</v>
      </c>
      <c r="O5224" s="405" t="s">
        <v>546</v>
      </c>
      <c r="P5224" s="405" t="s">
        <v>5099</v>
      </c>
      <c r="Q5224" s="411">
        <v>4</v>
      </c>
      <c r="R5224" s="405" t="s">
        <v>1263</v>
      </c>
      <c r="S5224" s="405" t="s">
        <v>27120</v>
      </c>
      <c r="T5224" s="405" t="s">
        <v>32102</v>
      </c>
      <c r="U5224" s="405" t="s">
        <v>319</v>
      </c>
    </row>
    <row r="5225" spans="1:21" x14ac:dyDescent="0.25">
      <c r="A5225" s="405" t="s">
        <v>310</v>
      </c>
      <c r="B5225" s="405" t="s">
        <v>21477</v>
      </c>
      <c r="C5225" s="405" t="s">
        <v>327</v>
      </c>
      <c r="D5225" s="405"/>
      <c r="E5225" s="410">
        <v>41638</v>
      </c>
      <c r="F5225" s="410">
        <v>41683</v>
      </c>
      <c r="G5225" s="405" t="s">
        <v>21478</v>
      </c>
      <c r="H5225" s="405">
        <v>782699895</v>
      </c>
      <c r="I5225" s="405"/>
      <c r="J5225" s="405">
        <v>1.6408049999999998</v>
      </c>
      <c r="K5225" s="405">
        <v>31.745163333333334</v>
      </c>
      <c r="L5225" s="405" t="s">
        <v>590</v>
      </c>
      <c r="M5225" s="405" t="s">
        <v>19608</v>
      </c>
      <c r="N5225" s="405" t="s">
        <v>19609</v>
      </c>
      <c r="O5225" s="405" t="s">
        <v>20478</v>
      </c>
      <c r="P5225" s="405" t="s">
        <v>21479</v>
      </c>
      <c r="Q5225" s="411">
        <v>13</v>
      </c>
      <c r="R5225" s="405" t="s">
        <v>318</v>
      </c>
      <c r="S5225" s="405" t="s">
        <v>27126</v>
      </c>
      <c r="T5225" s="405" t="s">
        <v>884</v>
      </c>
      <c r="U5225" s="405" t="s">
        <v>319</v>
      </c>
    </row>
    <row r="5226" spans="1:21" x14ac:dyDescent="0.25">
      <c r="A5226" s="405" t="s">
        <v>310</v>
      </c>
      <c r="B5226" s="405" t="s">
        <v>28865</v>
      </c>
      <c r="C5226" s="405" t="s">
        <v>327</v>
      </c>
      <c r="D5226" s="405"/>
      <c r="E5226" s="410">
        <v>41638</v>
      </c>
      <c r="F5226" s="410">
        <v>41683</v>
      </c>
      <c r="G5226" s="405" t="s">
        <v>21543</v>
      </c>
      <c r="H5226" s="405">
        <v>777912166</v>
      </c>
      <c r="I5226" s="405">
        <v>780519088</v>
      </c>
      <c r="J5226" s="405">
        <v>1.6408049999999998</v>
      </c>
      <c r="K5226" s="405">
        <v>31.745163333333334</v>
      </c>
      <c r="L5226" s="405" t="s">
        <v>590</v>
      </c>
      <c r="M5226" s="405" t="s">
        <v>19608</v>
      </c>
      <c r="N5226" s="405" t="s">
        <v>19783</v>
      </c>
      <c r="O5226" s="405" t="s">
        <v>19780</v>
      </c>
      <c r="P5226" s="405" t="s">
        <v>21544</v>
      </c>
      <c r="Q5226" s="411">
        <v>9</v>
      </c>
      <c r="R5226" s="405" t="s">
        <v>318</v>
      </c>
      <c r="S5226" s="405" t="s">
        <v>22481</v>
      </c>
      <c r="T5226" s="405" t="s">
        <v>32102</v>
      </c>
      <c r="U5226" s="405" t="s">
        <v>319</v>
      </c>
    </row>
    <row r="5227" spans="1:21" x14ac:dyDescent="0.25">
      <c r="A5227" s="405" t="s">
        <v>310</v>
      </c>
      <c r="B5227" s="405" t="s">
        <v>13474</v>
      </c>
      <c r="C5227" s="405" t="s">
        <v>327</v>
      </c>
      <c r="D5227" s="405"/>
      <c r="E5227" s="410">
        <v>41638</v>
      </c>
      <c r="F5227" s="410">
        <v>41683</v>
      </c>
      <c r="G5227" s="405" t="s">
        <v>13475</v>
      </c>
      <c r="H5227" s="405">
        <v>772317825</v>
      </c>
      <c r="I5227" s="405"/>
      <c r="J5227" s="405">
        <v>0.61554759999999997</v>
      </c>
      <c r="K5227" s="405">
        <v>33.4786225</v>
      </c>
      <c r="L5227" s="405" t="s">
        <v>6866</v>
      </c>
      <c r="M5227" s="405" t="s">
        <v>9590</v>
      </c>
      <c r="N5227" s="405" t="s">
        <v>9591</v>
      </c>
      <c r="O5227" s="405" t="s">
        <v>9592</v>
      </c>
      <c r="P5227" s="405" t="s">
        <v>9595</v>
      </c>
      <c r="Q5227" s="411">
        <v>9</v>
      </c>
      <c r="R5227" s="405" t="s">
        <v>318</v>
      </c>
      <c r="S5227" s="405" t="s">
        <v>27174</v>
      </c>
      <c r="T5227" s="405" t="s">
        <v>884</v>
      </c>
      <c r="U5227" s="405" t="s">
        <v>319</v>
      </c>
    </row>
    <row r="5228" spans="1:21" x14ac:dyDescent="0.25">
      <c r="A5228" s="405" t="s">
        <v>310</v>
      </c>
      <c r="B5228" s="405" t="s">
        <v>5214</v>
      </c>
      <c r="C5228" s="405" t="s">
        <v>327</v>
      </c>
      <c r="D5228" s="405"/>
      <c r="E5228" s="410">
        <v>41638</v>
      </c>
      <c r="F5228" s="410">
        <v>41683</v>
      </c>
      <c r="G5228" s="405" t="s">
        <v>5215</v>
      </c>
      <c r="H5228" s="405">
        <v>772536973</v>
      </c>
      <c r="I5228" s="405">
        <v>704251362</v>
      </c>
      <c r="J5228" s="405">
        <v>-0.32714579999999999</v>
      </c>
      <c r="K5228" s="405">
        <v>31.744658399999999</v>
      </c>
      <c r="L5228" s="405" t="s">
        <v>314</v>
      </c>
      <c r="M5228" s="405" t="s">
        <v>900</v>
      </c>
      <c r="N5228" s="405" t="s">
        <v>900</v>
      </c>
      <c r="O5228" s="405" t="s">
        <v>1302</v>
      </c>
      <c r="P5228" s="405" t="s">
        <v>1302</v>
      </c>
      <c r="Q5228" s="411">
        <v>9</v>
      </c>
      <c r="R5228" s="405" t="s">
        <v>1263</v>
      </c>
      <c r="S5228" s="405" t="s">
        <v>27221</v>
      </c>
      <c r="T5228" s="405" t="s">
        <v>32102</v>
      </c>
      <c r="U5228" s="405" t="s">
        <v>319</v>
      </c>
    </row>
    <row r="5229" spans="1:21" x14ac:dyDescent="0.25">
      <c r="A5229" s="405" t="s">
        <v>310</v>
      </c>
      <c r="B5229" s="405" t="s">
        <v>28587</v>
      </c>
      <c r="C5229" s="405" t="s">
        <v>327</v>
      </c>
      <c r="D5229" s="405"/>
      <c r="E5229" s="410">
        <v>41638</v>
      </c>
      <c r="F5229" s="410">
        <v>41683</v>
      </c>
      <c r="G5229" s="405" t="s">
        <v>13307</v>
      </c>
      <c r="H5229" s="405">
        <v>785270486</v>
      </c>
      <c r="I5229" s="405"/>
      <c r="J5229" s="405">
        <v>1.1524129999999999</v>
      </c>
      <c r="K5229" s="405">
        <v>34.207152999999998</v>
      </c>
      <c r="L5229" s="405" t="s">
        <v>6866</v>
      </c>
      <c r="M5229" s="405" t="s">
        <v>9514</v>
      </c>
      <c r="N5229" s="405" t="s">
        <v>9529</v>
      </c>
      <c r="O5229" s="405" t="s">
        <v>9530</v>
      </c>
      <c r="P5229" s="405" t="s">
        <v>10665</v>
      </c>
      <c r="Q5229" s="411">
        <v>6</v>
      </c>
      <c r="R5229" s="405" t="s">
        <v>7224</v>
      </c>
      <c r="S5229" s="405" t="s">
        <v>27283</v>
      </c>
      <c r="T5229" s="405" t="s">
        <v>32102</v>
      </c>
      <c r="U5229" s="405" t="s">
        <v>319</v>
      </c>
    </row>
    <row r="5230" spans="1:21" x14ac:dyDescent="0.25">
      <c r="A5230" s="405" t="s">
        <v>310</v>
      </c>
      <c r="B5230" s="405" t="s">
        <v>18886</v>
      </c>
      <c r="C5230" s="405" t="s">
        <v>327</v>
      </c>
      <c r="D5230" s="405"/>
      <c r="E5230" s="410">
        <v>41638</v>
      </c>
      <c r="F5230" s="410">
        <v>41683</v>
      </c>
      <c r="G5230" s="405" t="s">
        <v>18887</v>
      </c>
      <c r="H5230" s="405">
        <v>777114714</v>
      </c>
      <c r="I5230" s="405">
        <v>776290198</v>
      </c>
      <c r="J5230" s="405">
        <v>2.2329466999999998</v>
      </c>
      <c r="K5230" s="405">
        <v>32.907523300000001</v>
      </c>
      <c r="L5230" s="405" t="s">
        <v>860</v>
      </c>
      <c r="M5230" s="405" t="s">
        <v>18234</v>
      </c>
      <c r="N5230" s="405" t="s">
        <v>18252</v>
      </c>
      <c r="O5230" s="405" t="s">
        <v>18253</v>
      </c>
      <c r="P5230" s="405" t="s">
        <v>18424</v>
      </c>
      <c r="Q5230" s="411">
        <v>6</v>
      </c>
      <c r="R5230" s="405" t="s">
        <v>525</v>
      </c>
      <c r="S5230" s="405" t="s">
        <v>27243</v>
      </c>
      <c r="T5230" s="405" t="s">
        <v>32102</v>
      </c>
      <c r="U5230" s="405" t="s">
        <v>319</v>
      </c>
    </row>
    <row r="5231" spans="1:21" x14ac:dyDescent="0.25">
      <c r="A5231" s="405" t="s">
        <v>310</v>
      </c>
      <c r="B5231" s="405" t="s">
        <v>5143</v>
      </c>
      <c r="C5231" s="405" t="s">
        <v>327</v>
      </c>
      <c r="D5231" s="405"/>
      <c r="E5231" s="410">
        <v>41638</v>
      </c>
      <c r="F5231" s="410">
        <v>41683</v>
      </c>
      <c r="G5231" s="405" t="s">
        <v>5144</v>
      </c>
      <c r="H5231" s="405">
        <v>703223853</v>
      </c>
      <c r="I5231" s="405">
        <v>783106977</v>
      </c>
      <c r="J5231" s="405">
        <v>-0.45317499999999999</v>
      </c>
      <c r="K5231" s="405">
        <v>31.740452999999999</v>
      </c>
      <c r="L5231" s="405" t="s">
        <v>314</v>
      </c>
      <c r="M5231" s="405" t="s">
        <v>382</v>
      </c>
      <c r="N5231" s="405" t="s">
        <v>941</v>
      </c>
      <c r="O5231" s="405" t="s">
        <v>1260</v>
      </c>
      <c r="P5231" s="405" t="s">
        <v>3680</v>
      </c>
      <c r="Q5231" s="411">
        <v>6</v>
      </c>
      <c r="R5231" s="405" t="s">
        <v>1263</v>
      </c>
      <c r="S5231" s="405" t="s">
        <v>5986</v>
      </c>
      <c r="T5231" s="405" t="s">
        <v>32102</v>
      </c>
      <c r="U5231" s="405" t="s">
        <v>319</v>
      </c>
    </row>
    <row r="5232" spans="1:21" x14ac:dyDescent="0.25">
      <c r="A5232" s="405" t="s">
        <v>310</v>
      </c>
      <c r="B5232" s="405" t="s">
        <v>5128</v>
      </c>
      <c r="C5232" s="405" t="s">
        <v>327</v>
      </c>
      <c r="D5232" s="405"/>
      <c r="E5232" s="410">
        <v>41638</v>
      </c>
      <c r="F5232" s="410">
        <v>41683</v>
      </c>
      <c r="G5232" s="405" t="s">
        <v>5129</v>
      </c>
      <c r="H5232" s="405">
        <v>783460574</v>
      </c>
      <c r="I5232" s="405"/>
      <c r="J5232" s="405">
        <v>0.65755799999999998</v>
      </c>
      <c r="K5232" s="405">
        <v>32.722952999999997</v>
      </c>
      <c r="L5232" s="405" t="s">
        <v>314</v>
      </c>
      <c r="M5232" s="405" t="s">
        <v>361</v>
      </c>
      <c r="N5232" s="405" t="s">
        <v>960</v>
      </c>
      <c r="O5232" s="405" t="s">
        <v>2921</v>
      </c>
      <c r="P5232" s="405" t="s">
        <v>5130</v>
      </c>
      <c r="Q5232" s="411">
        <v>6</v>
      </c>
      <c r="R5232" s="405" t="s">
        <v>4176</v>
      </c>
      <c r="S5232" s="405" t="s">
        <v>27059</v>
      </c>
      <c r="T5232" s="405" t="s">
        <v>32102</v>
      </c>
      <c r="U5232" s="405" t="s">
        <v>319</v>
      </c>
    </row>
    <row r="5233" spans="1:21" x14ac:dyDescent="0.25">
      <c r="A5233" s="405" t="s">
        <v>310</v>
      </c>
      <c r="B5233" s="405" t="s">
        <v>5205</v>
      </c>
      <c r="C5233" s="405" t="s">
        <v>327</v>
      </c>
      <c r="D5233" s="405"/>
      <c r="E5233" s="410">
        <v>41638</v>
      </c>
      <c r="F5233" s="410">
        <v>41683</v>
      </c>
      <c r="G5233" s="405" t="s">
        <v>5206</v>
      </c>
      <c r="H5233" s="405">
        <v>702514448</v>
      </c>
      <c r="I5233" s="405"/>
      <c r="J5233" s="405">
        <v>-0.3474274</v>
      </c>
      <c r="K5233" s="405">
        <v>31.741680299999999</v>
      </c>
      <c r="L5233" s="405" t="s">
        <v>314</v>
      </c>
      <c r="M5233" s="405" t="s">
        <v>382</v>
      </c>
      <c r="N5233" s="405" t="s">
        <v>4921</v>
      </c>
      <c r="O5233" s="405" t="s">
        <v>1032</v>
      </c>
      <c r="P5233" s="405" t="s">
        <v>5207</v>
      </c>
      <c r="Q5233" s="411">
        <v>6</v>
      </c>
      <c r="R5233" s="405" t="s">
        <v>1263</v>
      </c>
      <c r="S5233" s="405" t="s">
        <v>27234</v>
      </c>
      <c r="T5233" s="405" t="s">
        <v>32102</v>
      </c>
      <c r="U5233" s="405" t="s">
        <v>319</v>
      </c>
    </row>
    <row r="5234" spans="1:21" x14ac:dyDescent="0.25">
      <c r="A5234" s="405" t="s">
        <v>310</v>
      </c>
      <c r="B5234" s="405" t="s">
        <v>13401</v>
      </c>
      <c r="C5234" s="405" t="s">
        <v>327</v>
      </c>
      <c r="D5234" s="405"/>
      <c r="E5234" s="410">
        <v>41638</v>
      </c>
      <c r="F5234" s="410">
        <v>41683</v>
      </c>
      <c r="G5234" s="405" t="s">
        <v>13402</v>
      </c>
      <c r="H5234" s="405">
        <v>752981079</v>
      </c>
      <c r="I5234" s="405"/>
      <c r="J5234" s="405">
        <v>1.107037</v>
      </c>
      <c r="K5234" s="405">
        <v>34.177081999999999</v>
      </c>
      <c r="L5234" s="405" t="s">
        <v>6866</v>
      </c>
      <c r="M5234" s="405" t="s">
        <v>9514</v>
      </c>
      <c r="N5234" s="405" t="s">
        <v>9616</v>
      </c>
      <c r="O5234" s="405" t="s">
        <v>9530</v>
      </c>
      <c r="P5234" s="405" t="s">
        <v>11874</v>
      </c>
      <c r="Q5234" s="411">
        <v>6</v>
      </c>
      <c r="R5234" s="405" t="s">
        <v>7224</v>
      </c>
      <c r="S5234" s="405" t="s">
        <v>27259</v>
      </c>
      <c r="T5234" s="405" t="s">
        <v>32102</v>
      </c>
      <c r="U5234" s="405" t="s">
        <v>319</v>
      </c>
    </row>
    <row r="5235" spans="1:21" x14ac:dyDescent="0.25">
      <c r="A5235" s="405" t="s">
        <v>310</v>
      </c>
      <c r="B5235" s="405" t="s">
        <v>5113</v>
      </c>
      <c r="C5235" s="405" t="s">
        <v>327</v>
      </c>
      <c r="D5235" s="405"/>
      <c r="E5235" s="410">
        <v>41636</v>
      </c>
      <c r="F5235" s="410">
        <v>41681</v>
      </c>
      <c r="G5235" s="405" t="s">
        <v>5114</v>
      </c>
      <c r="H5235" s="405">
        <v>753156468</v>
      </c>
      <c r="I5235" s="405"/>
      <c r="J5235" s="405">
        <v>-0.27155299999999999</v>
      </c>
      <c r="K5235" s="405">
        <v>31.700385000000001</v>
      </c>
      <c r="L5235" s="405" t="s">
        <v>314</v>
      </c>
      <c r="M5235" s="405" t="s">
        <v>1080</v>
      </c>
      <c r="N5235" s="405" t="s">
        <v>1080</v>
      </c>
      <c r="O5235" s="405" t="s">
        <v>5115</v>
      </c>
      <c r="P5235" s="405" t="s">
        <v>5116</v>
      </c>
      <c r="Q5235" s="411">
        <v>9</v>
      </c>
      <c r="R5235" s="405" t="s">
        <v>1263</v>
      </c>
      <c r="S5235" s="405" t="s">
        <v>27041</v>
      </c>
      <c r="T5235" s="405" t="s">
        <v>32102</v>
      </c>
      <c r="U5235" s="405" t="s">
        <v>319</v>
      </c>
    </row>
    <row r="5236" spans="1:21" x14ac:dyDescent="0.25">
      <c r="A5236" s="405" t="s">
        <v>310</v>
      </c>
      <c r="B5236" s="405" t="s">
        <v>5156</v>
      </c>
      <c r="C5236" s="405" t="s">
        <v>327</v>
      </c>
      <c r="D5236" s="405"/>
      <c r="E5236" s="410">
        <v>41636</v>
      </c>
      <c r="F5236" s="410">
        <v>41681</v>
      </c>
      <c r="G5236" s="405" t="s">
        <v>5157</v>
      </c>
      <c r="H5236" s="405">
        <v>751903602</v>
      </c>
      <c r="I5236" s="405"/>
      <c r="J5236" s="405">
        <v>-0.35601250000000001</v>
      </c>
      <c r="K5236" s="405">
        <v>31.726492400000001</v>
      </c>
      <c r="L5236" s="405" t="s">
        <v>314</v>
      </c>
      <c r="M5236" s="405" t="s">
        <v>900</v>
      </c>
      <c r="N5236" s="405" t="s">
        <v>900</v>
      </c>
      <c r="O5236" s="405" t="s">
        <v>5158</v>
      </c>
      <c r="P5236" s="405" t="s">
        <v>5159</v>
      </c>
      <c r="Q5236" s="411">
        <v>6</v>
      </c>
      <c r="R5236" s="405" t="s">
        <v>1263</v>
      </c>
      <c r="S5236" s="405" t="s">
        <v>27216</v>
      </c>
      <c r="T5236" s="405" t="s">
        <v>884</v>
      </c>
      <c r="U5236" s="405" t="s">
        <v>319</v>
      </c>
    </row>
    <row r="5237" spans="1:21" x14ac:dyDescent="0.25">
      <c r="A5237" s="405" t="s">
        <v>310</v>
      </c>
      <c r="B5237" s="405" t="s">
        <v>28073</v>
      </c>
      <c r="C5237" s="405" t="s">
        <v>327</v>
      </c>
      <c r="D5237" s="405"/>
      <c r="E5237" s="410">
        <v>41635</v>
      </c>
      <c r="F5237" s="410">
        <v>41680</v>
      </c>
      <c r="G5237" s="405" t="s">
        <v>13710</v>
      </c>
      <c r="H5237" s="405">
        <v>782828798</v>
      </c>
      <c r="I5237" s="405">
        <v>792828798</v>
      </c>
      <c r="J5237" s="405">
        <v>0.89295999999999998</v>
      </c>
      <c r="K5237" s="405">
        <v>33.123536999999999</v>
      </c>
      <c r="L5237" s="405" t="s">
        <v>6866</v>
      </c>
      <c r="M5237" s="405" t="s">
        <v>3009</v>
      </c>
      <c r="N5237" s="405" t="s">
        <v>9662</v>
      </c>
      <c r="O5237" s="405" t="s">
        <v>13711</v>
      </c>
      <c r="P5237" s="405" t="s">
        <v>13712</v>
      </c>
      <c r="Q5237" s="411">
        <v>9</v>
      </c>
      <c r="R5237" s="405" t="s">
        <v>333</v>
      </c>
      <c r="S5237" s="405" t="s">
        <v>27188</v>
      </c>
      <c r="T5237" s="405" t="s">
        <v>32102</v>
      </c>
      <c r="U5237" s="405" t="s">
        <v>319</v>
      </c>
    </row>
    <row r="5238" spans="1:21" x14ac:dyDescent="0.25">
      <c r="A5238" s="405" t="s">
        <v>310</v>
      </c>
      <c r="B5238" s="405" t="s">
        <v>5244</v>
      </c>
      <c r="C5238" s="405" t="s">
        <v>327</v>
      </c>
      <c r="D5238" s="405"/>
      <c r="E5238" s="410">
        <v>41635</v>
      </c>
      <c r="F5238" s="410">
        <v>41680</v>
      </c>
      <c r="G5238" s="405" t="s">
        <v>5245</v>
      </c>
      <c r="H5238" s="405">
        <v>753054151</v>
      </c>
      <c r="I5238" s="405">
        <v>782944660</v>
      </c>
      <c r="J5238" s="405">
        <v>0.96608700000000003</v>
      </c>
      <c r="K5238" s="405">
        <v>31.629372</v>
      </c>
      <c r="L5238" s="405" t="s">
        <v>314</v>
      </c>
      <c r="M5238" s="405" t="s">
        <v>1360</v>
      </c>
      <c r="N5238" s="405" t="s">
        <v>1361</v>
      </c>
      <c r="O5238" s="405" t="s">
        <v>3965</v>
      </c>
      <c r="P5238" s="405" t="s">
        <v>5246</v>
      </c>
      <c r="Q5238" s="411">
        <v>6</v>
      </c>
      <c r="R5238" s="405" t="s">
        <v>32476</v>
      </c>
      <c r="S5238" s="405" t="s">
        <v>27178</v>
      </c>
      <c r="T5238" s="405" t="s">
        <v>32102</v>
      </c>
      <c r="U5238" s="405" t="s">
        <v>319</v>
      </c>
    </row>
    <row r="5239" spans="1:21" x14ac:dyDescent="0.25">
      <c r="A5239" s="405" t="s">
        <v>310</v>
      </c>
      <c r="B5239" s="405" t="s">
        <v>5513</v>
      </c>
      <c r="C5239" s="405" t="s">
        <v>311</v>
      </c>
      <c r="D5239" s="405" t="s">
        <v>1789</v>
      </c>
      <c r="E5239" s="410">
        <v>41634</v>
      </c>
      <c r="F5239" s="410">
        <v>41649</v>
      </c>
      <c r="G5239" s="405" t="s">
        <v>5514</v>
      </c>
      <c r="H5239" s="405">
        <v>705914866</v>
      </c>
      <c r="I5239" s="405">
        <v>782020002</v>
      </c>
      <c r="J5239" s="405">
        <v>0.94602799999999998</v>
      </c>
      <c r="K5239" s="405">
        <v>31.619522</v>
      </c>
      <c r="L5239" s="405" t="s">
        <v>314</v>
      </c>
      <c r="M5239" s="405" t="s">
        <v>1360</v>
      </c>
      <c r="N5239" s="405" t="s">
        <v>1361</v>
      </c>
      <c r="O5239" s="405" t="s">
        <v>5515</v>
      </c>
      <c r="P5239" s="405" t="s">
        <v>5516</v>
      </c>
      <c r="Q5239" s="411">
        <v>9</v>
      </c>
      <c r="R5239" s="405" t="s">
        <v>32476</v>
      </c>
      <c r="S5239" s="405" t="s">
        <v>27185</v>
      </c>
      <c r="T5239" s="405" t="s">
        <v>884</v>
      </c>
      <c r="U5239" s="405" t="s">
        <v>319</v>
      </c>
    </row>
    <row r="5240" spans="1:21" x14ac:dyDescent="0.25">
      <c r="A5240" s="405" t="s">
        <v>310</v>
      </c>
      <c r="B5240" s="405" t="s">
        <v>28804</v>
      </c>
      <c r="C5240" s="405" t="s">
        <v>327</v>
      </c>
      <c r="D5240" s="405"/>
      <c r="E5240" s="410">
        <v>41634</v>
      </c>
      <c r="F5240" s="410">
        <v>41679</v>
      </c>
      <c r="G5240" s="405" t="s">
        <v>18895</v>
      </c>
      <c r="H5240" s="405">
        <v>772889666</v>
      </c>
      <c r="I5240" s="405">
        <v>752669835</v>
      </c>
      <c r="J5240" s="405">
        <v>2.2421107</v>
      </c>
      <c r="K5240" s="405">
        <v>32.894608300000002</v>
      </c>
      <c r="L5240" s="405" t="s">
        <v>860</v>
      </c>
      <c r="M5240" s="405" t="s">
        <v>18234</v>
      </c>
      <c r="N5240" s="405" t="s">
        <v>18252</v>
      </c>
      <c r="O5240" s="405" t="s">
        <v>18234</v>
      </c>
      <c r="P5240" s="405" t="s">
        <v>18896</v>
      </c>
      <c r="Q5240" s="411">
        <v>6</v>
      </c>
      <c r="R5240" s="405" t="s">
        <v>525</v>
      </c>
      <c r="S5240" s="405" t="s">
        <v>27243</v>
      </c>
      <c r="T5240" s="405" t="s">
        <v>32102</v>
      </c>
      <c r="U5240" s="405" t="s">
        <v>319</v>
      </c>
    </row>
    <row r="5241" spans="1:21" x14ac:dyDescent="0.25">
      <c r="A5241" s="405" t="s">
        <v>310</v>
      </c>
      <c r="B5241" s="405" t="s">
        <v>28044</v>
      </c>
      <c r="C5241" s="405" t="s">
        <v>327</v>
      </c>
      <c r="D5241" s="405"/>
      <c r="E5241" s="410">
        <v>41633</v>
      </c>
      <c r="F5241" s="410">
        <v>41678</v>
      </c>
      <c r="G5241" s="405" t="s">
        <v>5145</v>
      </c>
      <c r="H5241" s="405">
        <v>772572827</v>
      </c>
      <c r="I5241" s="405"/>
      <c r="J5241" s="405">
        <v>0.30220666666666668</v>
      </c>
      <c r="K5241" s="405">
        <v>32.300280000000001</v>
      </c>
      <c r="L5241" s="405" t="s">
        <v>314</v>
      </c>
      <c r="M5241" s="405" t="s">
        <v>321</v>
      </c>
      <c r="N5241" s="405" t="s">
        <v>322</v>
      </c>
      <c r="O5241" s="405" t="s">
        <v>1017</v>
      </c>
      <c r="P5241" s="405" t="s">
        <v>5146</v>
      </c>
      <c r="Q5241" s="411">
        <v>13</v>
      </c>
      <c r="R5241" s="405" t="s">
        <v>525</v>
      </c>
      <c r="S5241" s="405" t="s">
        <v>414</v>
      </c>
      <c r="T5241" s="405" t="s">
        <v>884</v>
      </c>
      <c r="U5241" s="405" t="s">
        <v>319</v>
      </c>
    </row>
    <row r="5242" spans="1:21" x14ac:dyDescent="0.25">
      <c r="A5242" s="405" t="s">
        <v>310</v>
      </c>
      <c r="B5242" s="405" t="s">
        <v>21530</v>
      </c>
      <c r="C5242" s="405" t="s">
        <v>327</v>
      </c>
      <c r="D5242" s="405"/>
      <c r="E5242" s="410">
        <v>41631</v>
      </c>
      <c r="F5242" s="410">
        <v>41676</v>
      </c>
      <c r="G5242" s="405" t="s">
        <v>21531</v>
      </c>
      <c r="H5242" s="405">
        <v>700180816</v>
      </c>
      <c r="I5242" s="405">
        <v>782678748</v>
      </c>
      <c r="J5242" s="405">
        <v>-0.106896</v>
      </c>
      <c r="K5242" s="405">
        <v>30.653587999999999</v>
      </c>
      <c r="L5242" s="405" t="s">
        <v>590</v>
      </c>
      <c r="M5242" s="405" t="s">
        <v>19705</v>
      </c>
      <c r="N5242" s="405" t="s">
        <v>2250</v>
      </c>
      <c r="O5242" s="405" t="s">
        <v>21436</v>
      </c>
      <c r="P5242" s="405" t="s">
        <v>21532</v>
      </c>
      <c r="Q5242" s="411">
        <v>9</v>
      </c>
      <c r="R5242" s="405" t="s">
        <v>874</v>
      </c>
      <c r="S5242" s="405" t="s">
        <v>27063</v>
      </c>
      <c r="T5242" s="405" t="s">
        <v>884</v>
      </c>
      <c r="U5242" s="405" t="s">
        <v>319</v>
      </c>
    </row>
    <row r="5243" spans="1:21" x14ac:dyDescent="0.25">
      <c r="A5243" s="405" t="s">
        <v>310</v>
      </c>
      <c r="B5243" s="405" t="s">
        <v>27582</v>
      </c>
      <c r="C5243" s="405" t="s">
        <v>311</v>
      </c>
      <c r="D5243" s="405" t="s">
        <v>312</v>
      </c>
      <c r="E5243" s="410">
        <v>41631</v>
      </c>
      <c r="F5243" s="410">
        <v>41676</v>
      </c>
      <c r="G5243" s="405" t="s">
        <v>21756</v>
      </c>
      <c r="H5243" s="405">
        <v>782698363</v>
      </c>
      <c r="I5243" s="405">
        <v>706094305</v>
      </c>
      <c r="J5243" s="405">
        <v>-0.62818799999999997</v>
      </c>
      <c r="K5243" s="405">
        <v>30.604972</v>
      </c>
      <c r="L5243" s="405" t="s">
        <v>590</v>
      </c>
      <c r="M5243" s="405" t="s">
        <v>19614</v>
      </c>
      <c r="N5243" s="405" t="s">
        <v>19873</v>
      </c>
      <c r="O5243" s="405" t="s">
        <v>21757</v>
      </c>
      <c r="P5243" s="405" t="s">
        <v>892</v>
      </c>
      <c r="Q5243" s="411">
        <v>6</v>
      </c>
      <c r="R5243" s="405" t="s">
        <v>333</v>
      </c>
      <c r="S5243" s="405" t="s">
        <v>27065</v>
      </c>
      <c r="T5243" s="405" t="s">
        <v>32102</v>
      </c>
      <c r="U5243" s="405" t="s">
        <v>319</v>
      </c>
    </row>
    <row r="5244" spans="1:21" x14ac:dyDescent="0.25">
      <c r="A5244" s="405" t="s">
        <v>310</v>
      </c>
      <c r="B5244" s="405" t="s">
        <v>13396</v>
      </c>
      <c r="C5244" s="405" t="s">
        <v>327</v>
      </c>
      <c r="D5244" s="405"/>
      <c r="E5244" s="410">
        <v>41631</v>
      </c>
      <c r="F5244" s="410">
        <v>41676</v>
      </c>
      <c r="G5244" s="405" t="s">
        <v>13397</v>
      </c>
      <c r="H5244" s="405">
        <v>783956073</v>
      </c>
      <c r="I5244" s="405">
        <v>704839165</v>
      </c>
      <c r="J5244" s="405">
        <v>1.041358</v>
      </c>
      <c r="K5244" s="405">
        <v>33.789828</v>
      </c>
      <c r="L5244" s="405" t="s">
        <v>6866</v>
      </c>
      <c r="M5244" s="405" t="s">
        <v>10152</v>
      </c>
      <c r="N5244" s="405" t="s">
        <v>10152</v>
      </c>
      <c r="O5244" s="405" t="s">
        <v>13398</v>
      </c>
      <c r="P5244" s="405" t="s">
        <v>13399</v>
      </c>
      <c r="Q5244" s="411">
        <v>4</v>
      </c>
      <c r="R5244" s="405" t="s">
        <v>7224</v>
      </c>
      <c r="S5244" s="405" t="s">
        <v>27298</v>
      </c>
      <c r="T5244" s="405" t="s">
        <v>32102</v>
      </c>
      <c r="U5244" s="405" t="s">
        <v>319</v>
      </c>
    </row>
    <row r="5245" spans="1:21" x14ac:dyDescent="0.25">
      <c r="A5245" s="405" t="s">
        <v>310</v>
      </c>
      <c r="B5245" s="405" t="s">
        <v>28388</v>
      </c>
      <c r="C5245" s="405" t="s">
        <v>327</v>
      </c>
      <c r="D5245" s="405"/>
      <c r="E5245" s="410">
        <v>41630</v>
      </c>
      <c r="F5245" s="410">
        <v>41675</v>
      </c>
      <c r="G5245" s="405" t="s">
        <v>5149</v>
      </c>
      <c r="H5245" s="405">
        <v>787401966</v>
      </c>
      <c r="I5245" s="405">
        <v>751030892</v>
      </c>
      <c r="J5245" s="405">
        <v>-0.1523572</v>
      </c>
      <c r="K5245" s="405">
        <v>31.813554199999999</v>
      </c>
      <c r="L5245" s="405" t="s">
        <v>314</v>
      </c>
      <c r="M5245" s="405" t="s">
        <v>900</v>
      </c>
      <c r="N5245" s="405" t="s">
        <v>900</v>
      </c>
      <c r="O5245" s="405" t="s">
        <v>1302</v>
      </c>
      <c r="P5245" s="405" t="s">
        <v>5150</v>
      </c>
      <c r="Q5245" s="411">
        <v>9</v>
      </c>
      <c r="R5245" s="405" t="s">
        <v>1263</v>
      </c>
      <c r="S5245" s="405" t="s">
        <v>27241</v>
      </c>
      <c r="T5245" s="405" t="s">
        <v>884</v>
      </c>
      <c r="U5245" s="405" t="s">
        <v>319</v>
      </c>
    </row>
    <row r="5246" spans="1:21" x14ac:dyDescent="0.25">
      <c r="A5246" s="405" t="s">
        <v>310</v>
      </c>
      <c r="B5246" s="405" t="s">
        <v>5212</v>
      </c>
      <c r="C5246" s="405" t="s">
        <v>327</v>
      </c>
      <c r="D5246" s="405"/>
      <c r="E5246" s="410">
        <v>41630</v>
      </c>
      <c r="F5246" s="410">
        <v>41675</v>
      </c>
      <c r="G5246" s="405" t="s">
        <v>5213</v>
      </c>
      <c r="H5246" s="405">
        <v>782587008</v>
      </c>
      <c r="I5246" s="405"/>
      <c r="J5246" s="405">
        <v>0.31437700000000002</v>
      </c>
      <c r="K5246" s="405">
        <v>33.10277</v>
      </c>
      <c r="L5246" s="405" t="s">
        <v>314</v>
      </c>
      <c r="M5246" s="405" t="s">
        <v>349</v>
      </c>
      <c r="N5246" s="405" t="s">
        <v>473</v>
      </c>
      <c r="O5246" s="405" t="s">
        <v>1062</v>
      </c>
      <c r="P5246" s="405" t="s">
        <v>1062</v>
      </c>
      <c r="Q5246" s="411">
        <v>6</v>
      </c>
      <c r="R5246" s="405" t="s">
        <v>1263</v>
      </c>
      <c r="S5246" s="405" t="s">
        <v>27237</v>
      </c>
      <c r="T5246" s="405" t="s">
        <v>32102</v>
      </c>
      <c r="U5246" s="405" t="s">
        <v>319</v>
      </c>
    </row>
    <row r="5247" spans="1:21" x14ac:dyDescent="0.25">
      <c r="A5247" s="405" t="s">
        <v>310</v>
      </c>
      <c r="B5247" s="405" t="s">
        <v>29105</v>
      </c>
      <c r="C5247" s="405" t="s">
        <v>327</v>
      </c>
      <c r="D5247" s="405"/>
      <c r="E5247" s="410">
        <v>41630</v>
      </c>
      <c r="F5247" s="410">
        <v>41675</v>
      </c>
      <c r="G5247" s="405" t="s">
        <v>13349</v>
      </c>
      <c r="H5247" s="405">
        <v>776171808</v>
      </c>
      <c r="I5247" s="405"/>
      <c r="J5247" s="405">
        <v>1.100902</v>
      </c>
      <c r="K5247" s="405">
        <v>34.147387000000002</v>
      </c>
      <c r="L5247" s="405" t="s">
        <v>6866</v>
      </c>
      <c r="M5247" s="405" t="s">
        <v>9514</v>
      </c>
      <c r="N5247" s="405" t="s">
        <v>9529</v>
      </c>
      <c r="O5247" s="405" t="s">
        <v>9608</v>
      </c>
      <c r="P5247" s="405" t="s">
        <v>13350</v>
      </c>
      <c r="Q5247" s="411">
        <v>4</v>
      </c>
      <c r="R5247" s="405" t="s">
        <v>7224</v>
      </c>
      <c r="S5247" s="405" t="s">
        <v>27283</v>
      </c>
      <c r="T5247" s="405" t="s">
        <v>865</v>
      </c>
      <c r="U5247" s="405" t="s">
        <v>866</v>
      </c>
    </row>
    <row r="5248" spans="1:21" x14ac:dyDescent="0.25">
      <c r="A5248" s="405" t="s">
        <v>310</v>
      </c>
      <c r="B5248" s="405" t="s">
        <v>27943</v>
      </c>
      <c r="C5248" s="405" t="s">
        <v>311</v>
      </c>
      <c r="D5248" s="405" t="s">
        <v>3381</v>
      </c>
      <c r="E5248" s="410">
        <v>41630</v>
      </c>
      <c r="F5248" s="410">
        <v>41675</v>
      </c>
      <c r="G5248" s="405" t="s">
        <v>13704</v>
      </c>
      <c r="H5248" s="405">
        <v>704452207</v>
      </c>
      <c r="I5248" s="405"/>
      <c r="J5248" s="405">
        <v>1.0972599999999999</v>
      </c>
      <c r="K5248" s="405">
        <v>34.140528000000003</v>
      </c>
      <c r="L5248" s="405" t="s">
        <v>6866</v>
      </c>
      <c r="M5248" s="405" t="s">
        <v>9514</v>
      </c>
      <c r="N5248" s="405" t="s">
        <v>9529</v>
      </c>
      <c r="O5248" s="405" t="s">
        <v>9608</v>
      </c>
      <c r="P5248" s="405" t="s">
        <v>13705</v>
      </c>
      <c r="Q5248" s="411">
        <v>4</v>
      </c>
      <c r="R5248" s="405" t="s">
        <v>7224</v>
      </c>
      <c r="S5248" s="405" t="s">
        <v>27107</v>
      </c>
      <c r="T5248" s="405" t="s">
        <v>884</v>
      </c>
      <c r="U5248" s="405" t="s">
        <v>319</v>
      </c>
    </row>
    <row r="5249" spans="1:21" x14ac:dyDescent="0.25">
      <c r="A5249" s="405" t="s">
        <v>310</v>
      </c>
      <c r="B5249" s="405" t="s">
        <v>13683</v>
      </c>
      <c r="C5249" s="405" t="s">
        <v>311</v>
      </c>
      <c r="D5249" s="405" t="s">
        <v>312</v>
      </c>
      <c r="E5249" s="410">
        <v>41629</v>
      </c>
      <c r="F5249" s="410">
        <v>41674</v>
      </c>
      <c r="G5249" s="405" t="s">
        <v>13684</v>
      </c>
      <c r="H5249" s="405">
        <v>775162066</v>
      </c>
      <c r="I5249" s="405">
        <v>772698039</v>
      </c>
      <c r="J5249" s="405">
        <v>1.7128185</v>
      </c>
      <c r="K5249" s="405">
        <v>33.615914500000002</v>
      </c>
      <c r="L5249" s="405" t="s">
        <v>6866</v>
      </c>
      <c r="M5249" s="405" t="s">
        <v>10515</v>
      </c>
      <c r="N5249" s="405" t="s">
        <v>10765</v>
      </c>
      <c r="O5249" s="405" t="s">
        <v>9881</v>
      </c>
      <c r="P5249" s="405" t="s">
        <v>13685</v>
      </c>
      <c r="Q5249" s="411">
        <v>6</v>
      </c>
      <c r="R5249" s="405" t="s">
        <v>5655</v>
      </c>
      <c r="S5249" s="405" t="s">
        <v>27325</v>
      </c>
      <c r="T5249" s="405" t="s">
        <v>865</v>
      </c>
      <c r="U5249" s="405" t="s">
        <v>866</v>
      </c>
    </row>
    <row r="5250" spans="1:21" x14ac:dyDescent="0.25">
      <c r="A5250" s="405" t="s">
        <v>310</v>
      </c>
      <c r="B5250" s="405" t="s">
        <v>5119</v>
      </c>
      <c r="C5250" s="405" t="s">
        <v>327</v>
      </c>
      <c r="D5250" s="405"/>
      <c r="E5250" s="410">
        <v>41629</v>
      </c>
      <c r="F5250" s="410">
        <v>41674</v>
      </c>
      <c r="G5250" s="405" t="s">
        <v>5120</v>
      </c>
      <c r="H5250" s="405">
        <v>701866683</v>
      </c>
      <c r="I5250" s="405"/>
      <c r="J5250" s="405">
        <v>0.25272500000000003</v>
      </c>
      <c r="K5250" s="405">
        <v>32.380184999999997</v>
      </c>
      <c r="L5250" s="405" t="s">
        <v>314</v>
      </c>
      <c r="M5250" s="405" t="s">
        <v>321</v>
      </c>
      <c r="N5250" s="405" t="s">
        <v>322</v>
      </c>
      <c r="O5250" s="405" t="s">
        <v>519</v>
      </c>
      <c r="P5250" s="405" t="s">
        <v>5121</v>
      </c>
      <c r="Q5250" s="411">
        <v>6</v>
      </c>
      <c r="R5250" s="405" t="s">
        <v>32476</v>
      </c>
      <c r="S5250" s="405" t="s">
        <v>27202</v>
      </c>
      <c r="T5250" s="405" t="s">
        <v>865</v>
      </c>
      <c r="U5250" s="405" t="s">
        <v>866</v>
      </c>
    </row>
    <row r="5251" spans="1:21" x14ac:dyDescent="0.25">
      <c r="A5251" s="405" t="s">
        <v>310</v>
      </c>
      <c r="B5251" s="405" t="s">
        <v>21526</v>
      </c>
      <c r="C5251" s="405" t="s">
        <v>327</v>
      </c>
      <c r="D5251" s="405"/>
      <c r="E5251" s="410">
        <v>41628</v>
      </c>
      <c r="F5251" s="410">
        <v>41673</v>
      </c>
      <c r="G5251" s="405" t="s">
        <v>21527</v>
      </c>
      <c r="H5251" s="405">
        <v>782172587</v>
      </c>
      <c r="I5251" s="405">
        <v>705443594</v>
      </c>
      <c r="J5251" s="405">
        <v>-0.27403499999999997</v>
      </c>
      <c r="K5251" s="405">
        <v>30.759198000000001</v>
      </c>
      <c r="L5251" s="405" t="s">
        <v>590</v>
      </c>
      <c r="M5251" s="405" t="s">
        <v>19705</v>
      </c>
      <c r="N5251" s="405" t="s">
        <v>19706</v>
      </c>
      <c r="O5251" s="405" t="s">
        <v>21291</v>
      </c>
      <c r="P5251" s="405" t="s">
        <v>21292</v>
      </c>
      <c r="Q5251" s="411">
        <v>9</v>
      </c>
      <c r="R5251" s="405" t="s">
        <v>874</v>
      </c>
      <c r="S5251" s="405" t="s">
        <v>27249</v>
      </c>
      <c r="T5251" s="405" t="s">
        <v>32102</v>
      </c>
      <c r="U5251" s="405" t="s">
        <v>319</v>
      </c>
    </row>
    <row r="5252" spans="1:21" x14ac:dyDescent="0.25">
      <c r="A5252" s="405" t="s">
        <v>310</v>
      </c>
      <c r="B5252" s="405" t="s">
        <v>5217</v>
      </c>
      <c r="C5252" s="405" t="s">
        <v>327</v>
      </c>
      <c r="D5252" s="405"/>
      <c r="E5252" s="410">
        <v>41628</v>
      </c>
      <c r="F5252" s="410">
        <v>41673</v>
      </c>
      <c r="G5252" s="405" t="s">
        <v>5218</v>
      </c>
      <c r="H5252" s="405">
        <v>703529616</v>
      </c>
      <c r="I5252" s="405">
        <v>753885393</v>
      </c>
      <c r="J5252" s="405">
        <v>-0.35471639999999999</v>
      </c>
      <c r="K5252" s="405">
        <v>31.713612900000001</v>
      </c>
      <c r="L5252" s="405" t="s">
        <v>314</v>
      </c>
      <c r="M5252" s="405" t="s">
        <v>382</v>
      </c>
      <c r="N5252" s="405" t="s">
        <v>988</v>
      </c>
      <c r="O5252" s="405" t="s">
        <v>1032</v>
      </c>
      <c r="P5252" s="405" t="s">
        <v>1400</v>
      </c>
      <c r="Q5252" s="411">
        <v>9</v>
      </c>
      <c r="R5252" s="405" t="s">
        <v>1263</v>
      </c>
      <c r="S5252" s="405" t="s">
        <v>27221</v>
      </c>
      <c r="T5252" s="405" t="s">
        <v>884</v>
      </c>
      <c r="U5252" s="405" t="s">
        <v>319</v>
      </c>
    </row>
    <row r="5253" spans="1:21" x14ac:dyDescent="0.25">
      <c r="A5253" s="405" t="s">
        <v>310</v>
      </c>
      <c r="B5253" s="405" t="s">
        <v>18892</v>
      </c>
      <c r="C5253" s="405" t="s">
        <v>327</v>
      </c>
      <c r="D5253" s="405"/>
      <c r="E5253" s="410">
        <v>41628</v>
      </c>
      <c r="F5253" s="410">
        <v>41673</v>
      </c>
      <c r="G5253" s="405" t="s">
        <v>18893</v>
      </c>
      <c r="H5253" s="405">
        <v>772686107</v>
      </c>
      <c r="I5253" s="405">
        <v>785083633</v>
      </c>
      <c r="J5253" s="405">
        <v>2.2648166666666669</v>
      </c>
      <c r="K5253" s="405">
        <v>32.918428333333331</v>
      </c>
      <c r="L5253" s="405" t="s">
        <v>860</v>
      </c>
      <c r="M5253" s="405" t="s">
        <v>18234</v>
      </c>
      <c r="N5253" s="405" t="s">
        <v>18250</v>
      </c>
      <c r="O5253" s="405" t="s">
        <v>18420</v>
      </c>
      <c r="P5253" s="405" t="s">
        <v>18894</v>
      </c>
      <c r="Q5253" s="411">
        <v>6</v>
      </c>
      <c r="R5253" s="405" t="s">
        <v>525</v>
      </c>
      <c r="S5253" s="405" t="s">
        <v>27243</v>
      </c>
      <c r="T5253" s="405" t="s">
        <v>32102</v>
      </c>
      <c r="U5253" s="405" t="s">
        <v>319</v>
      </c>
    </row>
    <row r="5254" spans="1:21" x14ac:dyDescent="0.25">
      <c r="A5254" s="405" t="s">
        <v>310</v>
      </c>
      <c r="B5254" s="405" t="s">
        <v>5208</v>
      </c>
      <c r="C5254" s="405" t="s">
        <v>327</v>
      </c>
      <c r="D5254" s="405"/>
      <c r="E5254" s="410">
        <v>41628</v>
      </c>
      <c r="F5254" s="410">
        <v>41673</v>
      </c>
      <c r="G5254" s="405" t="s">
        <v>5209</v>
      </c>
      <c r="H5254" s="405">
        <v>772498736</v>
      </c>
      <c r="I5254" s="405"/>
      <c r="J5254" s="405">
        <v>0.33384200000000003</v>
      </c>
      <c r="K5254" s="405">
        <v>32.153087999999997</v>
      </c>
      <c r="L5254" s="405" t="s">
        <v>314</v>
      </c>
      <c r="M5254" s="405" t="s">
        <v>675</v>
      </c>
      <c r="N5254" s="405" t="s">
        <v>676</v>
      </c>
      <c r="O5254" s="405" t="s">
        <v>677</v>
      </c>
      <c r="P5254" s="405" t="s">
        <v>5210</v>
      </c>
      <c r="Q5254" s="411">
        <v>6</v>
      </c>
      <c r="R5254" s="405" t="s">
        <v>32476</v>
      </c>
      <c r="S5254" s="405" t="s">
        <v>27210</v>
      </c>
      <c r="T5254" s="405" t="s">
        <v>884</v>
      </c>
      <c r="U5254" s="405" t="s">
        <v>319</v>
      </c>
    </row>
    <row r="5255" spans="1:21" x14ac:dyDescent="0.25">
      <c r="A5255" s="405" t="s">
        <v>310</v>
      </c>
      <c r="B5255" s="405" t="s">
        <v>13347</v>
      </c>
      <c r="C5255" s="405" t="s">
        <v>327</v>
      </c>
      <c r="D5255" s="405"/>
      <c r="E5255" s="410">
        <v>41628</v>
      </c>
      <c r="F5255" s="410">
        <v>41673</v>
      </c>
      <c r="G5255" s="405" t="s">
        <v>13348</v>
      </c>
      <c r="H5255" s="405">
        <v>751524427</v>
      </c>
      <c r="I5255" s="405"/>
      <c r="J5255" s="405">
        <v>1.0996570000000001</v>
      </c>
      <c r="K5255" s="405">
        <v>34.147272999999998</v>
      </c>
      <c r="L5255" s="405" t="s">
        <v>6866</v>
      </c>
      <c r="M5255" s="405" t="s">
        <v>9514</v>
      </c>
      <c r="N5255" s="405" t="s">
        <v>9529</v>
      </c>
      <c r="O5255" s="405" t="s">
        <v>9608</v>
      </c>
      <c r="P5255" s="405" t="s">
        <v>12661</v>
      </c>
      <c r="Q5255" s="411">
        <v>6</v>
      </c>
      <c r="R5255" s="405" t="s">
        <v>7224</v>
      </c>
      <c r="S5255" s="405" t="s">
        <v>27283</v>
      </c>
      <c r="T5255" s="405" t="s">
        <v>865</v>
      </c>
      <c r="U5255" s="405" t="s">
        <v>866</v>
      </c>
    </row>
    <row r="5256" spans="1:21" x14ac:dyDescent="0.25">
      <c r="A5256" s="405" t="s">
        <v>310</v>
      </c>
      <c r="B5256" s="405" t="s">
        <v>18883</v>
      </c>
      <c r="C5256" s="405" t="s">
        <v>327</v>
      </c>
      <c r="D5256" s="405"/>
      <c r="E5256" s="410">
        <v>41628</v>
      </c>
      <c r="F5256" s="410">
        <v>41673</v>
      </c>
      <c r="G5256" s="405" t="s">
        <v>18884</v>
      </c>
      <c r="H5256" s="405">
        <v>772360948</v>
      </c>
      <c r="I5256" s="405"/>
      <c r="J5256" s="405">
        <v>2.262559</v>
      </c>
      <c r="K5256" s="405">
        <v>32.890971999999998</v>
      </c>
      <c r="L5256" s="405" t="s">
        <v>860</v>
      </c>
      <c r="M5256" s="405" t="s">
        <v>18234</v>
      </c>
      <c r="N5256" s="405" t="s">
        <v>18235</v>
      </c>
      <c r="O5256" s="405" t="s">
        <v>18391</v>
      </c>
      <c r="P5256" s="405" t="s">
        <v>18885</v>
      </c>
      <c r="Q5256" s="411">
        <v>4</v>
      </c>
      <c r="R5256" s="405" t="s">
        <v>525</v>
      </c>
      <c r="S5256" s="405" t="s">
        <v>27243</v>
      </c>
      <c r="T5256" s="405" t="s">
        <v>32102</v>
      </c>
      <c r="U5256" s="405" t="s">
        <v>319</v>
      </c>
    </row>
    <row r="5257" spans="1:21" x14ac:dyDescent="0.25">
      <c r="A5257" s="405" t="s">
        <v>310</v>
      </c>
      <c r="B5257" s="405" t="s">
        <v>18881</v>
      </c>
      <c r="C5257" s="405" t="s">
        <v>327</v>
      </c>
      <c r="D5257" s="405"/>
      <c r="E5257" s="410">
        <v>41627</v>
      </c>
      <c r="F5257" s="410">
        <v>41672</v>
      </c>
      <c r="G5257" s="405" t="s">
        <v>18882</v>
      </c>
      <c r="H5257" s="405">
        <v>774177779</v>
      </c>
      <c r="I5257" s="405">
        <v>777427313</v>
      </c>
      <c r="J5257" s="405">
        <v>2.2670700000000004</v>
      </c>
      <c r="K5257" s="405">
        <v>32.875281666666666</v>
      </c>
      <c r="L5257" s="405" t="s">
        <v>860</v>
      </c>
      <c r="M5257" s="405" t="s">
        <v>18234</v>
      </c>
      <c r="N5257" s="405" t="s">
        <v>18252</v>
      </c>
      <c r="O5257" s="405" t="s">
        <v>18234</v>
      </c>
      <c r="P5257" s="405" t="s">
        <v>18546</v>
      </c>
      <c r="Q5257" s="411">
        <v>6</v>
      </c>
      <c r="R5257" s="405" t="s">
        <v>525</v>
      </c>
      <c r="S5257" s="405" t="s">
        <v>27079</v>
      </c>
      <c r="T5257" s="405" t="s">
        <v>32102</v>
      </c>
      <c r="U5257" s="405" t="s">
        <v>319</v>
      </c>
    </row>
    <row r="5258" spans="1:21" x14ac:dyDescent="0.25">
      <c r="A5258" s="405" t="s">
        <v>310</v>
      </c>
      <c r="B5258" s="405" t="s">
        <v>27768</v>
      </c>
      <c r="C5258" s="405" t="s">
        <v>327</v>
      </c>
      <c r="D5258" s="405"/>
      <c r="E5258" s="410">
        <v>41626</v>
      </c>
      <c r="F5258" s="410">
        <v>41671</v>
      </c>
      <c r="G5258" s="405" t="s">
        <v>21542</v>
      </c>
      <c r="H5258" s="405">
        <v>777174109</v>
      </c>
      <c r="I5258" s="405"/>
      <c r="J5258" s="405">
        <v>-0.757247</v>
      </c>
      <c r="K5258" s="405">
        <v>29.872052</v>
      </c>
      <c r="L5258" s="405" t="s">
        <v>590</v>
      </c>
      <c r="M5258" s="405" t="s">
        <v>19619</v>
      </c>
      <c r="N5258" s="405" t="s">
        <v>19793</v>
      </c>
      <c r="O5258" s="405" t="s">
        <v>19794</v>
      </c>
      <c r="P5258" s="405" t="s">
        <v>20261</v>
      </c>
      <c r="Q5258" s="411">
        <v>9</v>
      </c>
      <c r="R5258" s="405" t="s">
        <v>1527</v>
      </c>
      <c r="S5258" s="405" t="s">
        <v>27132</v>
      </c>
      <c r="T5258" s="405" t="s">
        <v>32102</v>
      </c>
      <c r="U5258" s="405" t="s">
        <v>319</v>
      </c>
    </row>
    <row r="5259" spans="1:21" x14ac:dyDescent="0.25">
      <c r="A5259" s="405" t="s">
        <v>310</v>
      </c>
      <c r="B5259" s="405" t="s">
        <v>5153</v>
      </c>
      <c r="C5259" s="405" t="s">
        <v>327</v>
      </c>
      <c r="D5259" s="405"/>
      <c r="E5259" s="410">
        <v>41626</v>
      </c>
      <c r="F5259" s="410">
        <v>41671</v>
      </c>
      <c r="G5259" s="405" t="s">
        <v>5154</v>
      </c>
      <c r="H5259" s="405">
        <v>753204160</v>
      </c>
      <c r="I5259" s="405">
        <v>730871879</v>
      </c>
      <c r="J5259" s="405">
        <v>-0.32714579999999999</v>
      </c>
      <c r="K5259" s="405">
        <v>31.744658399999999</v>
      </c>
      <c r="L5259" s="405" t="s">
        <v>314</v>
      </c>
      <c r="M5259" s="405" t="s">
        <v>900</v>
      </c>
      <c r="N5259" s="405" t="s">
        <v>900</v>
      </c>
      <c r="O5259" s="405" t="s">
        <v>5155</v>
      </c>
      <c r="P5259" s="405" t="s">
        <v>4984</v>
      </c>
      <c r="Q5259" s="411">
        <v>9</v>
      </c>
      <c r="R5259" s="405" t="s">
        <v>1263</v>
      </c>
      <c r="S5259" s="405" t="s">
        <v>27045</v>
      </c>
      <c r="T5259" s="405" t="s">
        <v>884</v>
      </c>
      <c r="U5259" s="405" t="s">
        <v>319</v>
      </c>
    </row>
    <row r="5260" spans="1:21" x14ac:dyDescent="0.25">
      <c r="A5260" s="405" t="s">
        <v>310</v>
      </c>
      <c r="B5260" s="405" t="s">
        <v>21736</v>
      </c>
      <c r="C5260" s="405" t="s">
        <v>857</v>
      </c>
      <c r="D5260" s="405" t="s">
        <v>32765</v>
      </c>
      <c r="E5260" s="410">
        <v>41626</v>
      </c>
      <c r="F5260" s="410">
        <v>41671</v>
      </c>
      <c r="G5260" s="405" t="s">
        <v>21737</v>
      </c>
      <c r="H5260" s="405">
        <v>753343106</v>
      </c>
      <c r="I5260" s="405">
        <v>783762838</v>
      </c>
      <c r="J5260" s="405">
        <v>-0.28292</v>
      </c>
      <c r="K5260" s="405">
        <v>30.762309999999999</v>
      </c>
      <c r="L5260" s="405" t="s">
        <v>590</v>
      </c>
      <c r="M5260" s="405" t="s">
        <v>19705</v>
      </c>
      <c r="N5260" s="405" t="s">
        <v>19706</v>
      </c>
      <c r="O5260" s="405" t="s">
        <v>21291</v>
      </c>
      <c r="P5260" s="405" t="s">
        <v>21738</v>
      </c>
      <c r="Q5260" s="411">
        <v>9</v>
      </c>
      <c r="R5260" s="405" t="s">
        <v>874</v>
      </c>
      <c r="S5260" s="405" t="s">
        <v>27249</v>
      </c>
      <c r="T5260" s="405" t="s">
        <v>32102</v>
      </c>
      <c r="U5260" s="405" t="s">
        <v>319</v>
      </c>
    </row>
    <row r="5261" spans="1:21" x14ac:dyDescent="0.25">
      <c r="A5261" s="405" t="s">
        <v>310</v>
      </c>
      <c r="B5261" s="405" t="s">
        <v>5160</v>
      </c>
      <c r="C5261" s="405" t="s">
        <v>327</v>
      </c>
      <c r="D5261" s="405"/>
      <c r="E5261" s="410">
        <v>41626</v>
      </c>
      <c r="F5261" s="410">
        <v>41671</v>
      </c>
      <c r="G5261" s="405" t="s">
        <v>5161</v>
      </c>
      <c r="H5261" s="405">
        <v>753505984</v>
      </c>
      <c r="I5261" s="405"/>
      <c r="J5261" s="405">
        <v>-0.2401134</v>
      </c>
      <c r="K5261" s="405">
        <v>31.7606848</v>
      </c>
      <c r="L5261" s="405" t="s">
        <v>314</v>
      </c>
      <c r="M5261" s="405" t="s">
        <v>900</v>
      </c>
      <c r="N5261" s="405" t="s">
        <v>900</v>
      </c>
      <c r="O5261" s="405" t="s">
        <v>900</v>
      </c>
      <c r="P5261" s="405" t="s">
        <v>5162</v>
      </c>
      <c r="Q5261" s="411">
        <v>9</v>
      </c>
      <c r="R5261" s="405" t="s">
        <v>1263</v>
      </c>
      <c r="S5261" s="405" t="s">
        <v>5986</v>
      </c>
      <c r="T5261" s="405" t="s">
        <v>32102</v>
      </c>
      <c r="U5261" s="405" t="s">
        <v>319</v>
      </c>
    </row>
    <row r="5262" spans="1:21" x14ac:dyDescent="0.25">
      <c r="A5262" s="405" t="s">
        <v>310</v>
      </c>
      <c r="B5262" s="405" t="s">
        <v>28444</v>
      </c>
      <c r="C5262" s="405" t="s">
        <v>327</v>
      </c>
      <c r="D5262" s="405"/>
      <c r="E5262" s="410">
        <v>41626</v>
      </c>
      <c r="F5262" s="410">
        <v>41671</v>
      </c>
      <c r="G5262" s="405" t="s">
        <v>5184</v>
      </c>
      <c r="H5262" s="405">
        <v>752510571</v>
      </c>
      <c r="I5262" s="405">
        <v>757552841</v>
      </c>
      <c r="J5262" s="405">
        <v>-0.35601250000000001</v>
      </c>
      <c r="K5262" s="405">
        <v>31.726492400000001</v>
      </c>
      <c r="L5262" s="405" t="s">
        <v>314</v>
      </c>
      <c r="M5262" s="405" t="s">
        <v>900</v>
      </c>
      <c r="N5262" s="405" t="s">
        <v>900</v>
      </c>
      <c r="O5262" s="405" t="s">
        <v>900</v>
      </c>
      <c r="P5262" s="405" t="s">
        <v>2822</v>
      </c>
      <c r="Q5262" s="411">
        <v>6</v>
      </c>
      <c r="R5262" s="405" t="s">
        <v>1263</v>
      </c>
      <c r="S5262" s="405" t="s">
        <v>5986</v>
      </c>
      <c r="T5262" s="405" t="s">
        <v>884</v>
      </c>
      <c r="U5262" s="405" t="s">
        <v>319</v>
      </c>
    </row>
    <row r="5263" spans="1:21" x14ac:dyDescent="0.25">
      <c r="A5263" s="405" t="s">
        <v>310</v>
      </c>
      <c r="B5263" s="405" t="s">
        <v>5200</v>
      </c>
      <c r="C5263" s="405" t="s">
        <v>327</v>
      </c>
      <c r="D5263" s="405"/>
      <c r="E5263" s="410">
        <v>41626</v>
      </c>
      <c r="F5263" s="410">
        <v>41671</v>
      </c>
      <c r="G5263" s="405" t="s">
        <v>5201</v>
      </c>
      <c r="H5263" s="405">
        <v>775352281</v>
      </c>
      <c r="I5263" s="405"/>
      <c r="J5263" s="405">
        <v>0.94390700000000005</v>
      </c>
      <c r="K5263" s="405">
        <v>31.612577000000002</v>
      </c>
      <c r="L5263" s="405" t="s">
        <v>314</v>
      </c>
      <c r="M5263" s="405" t="s">
        <v>1360</v>
      </c>
      <c r="N5263" s="405" t="s">
        <v>1361</v>
      </c>
      <c r="O5263" s="405" t="s">
        <v>5202</v>
      </c>
      <c r="P5263" s="405" t="s">
        <v>5203</v>
      </c>
      <c r="Q5263" s="411">
        <v>6</v>
      </c>
      <c r="R5263" s="405" t="s">
        <v>32476</v>
      </c>
      <c r="S5263" s="405" t="s">
        <v>27185</v>
      </c>
      <c r="T5263" s="405" t="s">
        <v>32102</v>
      </c>
      <c r="U5263" s="405" t="s">
        <v>319</v>
      </c>
    </row>
    <row r="5264" spans="1:21" x14ac:dyDescent="0.25">
      <c r="A5264" s="405" t="s">
        <v>310</v>
      </c>
      <c r="B5264" s="405" t="s">
        <v>4911</v>
      </c>
      <c r="C5264" s="405" t="s">
        <v>327</v>
      </c>
      <c r="D5264" s="405"/>
      <c r="E5264" s="410">
        <v>41625</v>
      </c>
      <c r="F5264" s="410">
        <v>41670</v>
      </c>
      <c r="G5264" s="405" t="s">
        <v>4912</v>
      </c>
      <c r="H5264" s="405">
        <v>755727214</v>
      </c>
      <c r="I5264" s="405"/>
      <c r="J5264" s="405">
        <v>-0.1523572</v>
      </c>
      <c r="K5264" s="405">
        <v>31.813554199999999</v>
      </c>
      <c r="L5264" s="405" t="s">
        <v>314</v>
      </c>
      <c r="M5264" s="405" t="s">
        <v>900</v>
      </c>
      <c r="N5264" s="405" t="s">
        <v>900</v>
      </c>
      <c r="O5264" s="405" t="s">
        <v>1302</v>
      </c>
      <c r="P5264" s="405" t="s">
        <v>4913</v>
      </c>
      <c r="Q5264" s="411">
        <v>9</v>
      </c>
      <c r="R5264" s="405" t="s">
        <v>1263</v>
      </c>
      <c r="S5264" s="405" t="s">
        <v>27145</v>
      </c>
      <c r="T5264" s="405" t="s">
        <v>884</v>
      </c>
      <c r="U5264" s="405" t="s">
        <v>319</v>
      </c>
    </row>
    <row r="5265" spans="1:21" x14ac:dyDescent="0.25">
      <c r="A5265" s="405" t="s">
        <v>310</v>
      </c>
      <c r="B5265" s="405" t="s">
        <v>27501</v>
      </c>
      <c r="C5265" s="405" t="s">
        <v>327</v>
      </c>
      <c r="D5265" s="405"/>
      <c r="E5265" s="410">
        <v>41625</v>
      </c>
      <c r="F5265" s="410">
        <v>41670</v>
      </c>
      <c r="G5265" s="405" t="s">
        <v>18844</v>
      </c>
      <c r="H5265" s="405">
        <v>785599723</v>
      </c>
      <c r="I5265" s="405">
        <v>771653949</v>
      </c>
      <c r="J5265" s="405">
        <v>2.2473760999999999</v>
      </c>
      <c r="K5265" s="405">
        <v>32.892867899999999</v>
      </c>
      <c r="L5265" s="405" t="s">
        <v>860</v>
      </c>
      <c r="M5265" s="405" t="s">
        <v>18234</v>
      </c>
      <c r="N5265" s="405" t="s">
        <v>18252</v>
      </c>
      <c r="O5265" s="405" t="s">
        <v>18234</v>
      </c>
      <c r="P5265" s="405" t="s">
        <v>18409</v>
      </c>
      <c r="Q5265" s="411">
        <v>6</v>
      </c>
      <c r="R5265" s="405" t="s">
        <v>525</v>
      </c>
      <c r="S5265" s="405" t="s">
        <v>27243</v>
      </c>
      <c r="T5265" s="405" t="s">
        <v>32102</v>
      </c>
      <c r="U5265" s="405" t="s">
        <v>319</v>
      </c>
    </row>
    <row r="5266" spans="1:21" x14ac:dyDescent="0.25">
      <c r="A5266" s="405" t="s">
        <v>310</v>
      </c>
      <c r="B5266" s="405" t="s">
        <v>27686</v>
      </c>
      <c r="C5266" s="405" t="s">
        <v>311</v>
      </c>
      <c r="D5266" s="405" t="s">
        <v>3381</v>
      </c>
      <c r="E5266" s="410">
        <v>41625</v>
      </c>
      <c r="F5266" s="410">
        <v>41670</v>
      </c>
      <c r="G5266" s="405" t="s">
        <v>19135</v>
      </c>
      <c r="H5266" s="405">
        <v>782491469</v>
      </c>
      <c r="I5266" s="405">
        <v>753946024</v>
      </c>
      <c r="J5266" s="405">
        <v>2.2457929999999999</v>
      </c>
      <c r="K5266" s="405">
        <v>32.893572499999998</v>
      </c>
      <c r="L5266" s="405" t="s">
        <v>860</v>
      </c>
      <c r="M5266" s="405" t="s">
        <v>18234</v>
      </c>
      <c r="N5266" s="405" t="s">
        <v>18252</v>
      </c>
      <c r="O5266" s="405" t="s">
        <v>18234</v>
      </c>
      <c r="P5266" s="405" t="s">
        <v>18409</v>
      </c>
      <c r="Q5266" s="411">
        <v>6</v>
      </c>
      <c r="R5266" s="405" t="s">
        <v>525</v>
      </c>
      <c r="S5266" s="405" t="s">
        <v>27193</v>
      </c>
      <c r="T5266" s="405" t="s">
        <v>32102</v>
      </c>
      <c r="U5266" s="405" t="s">
        <v>319</v>
      </c>
    </row>
    <row r="5267" spans="1:21" x14ac:dyDescent="0.25">
      <c r="A5267" s="405" t="s">
        <v>310</v>
      </c>
      <c r="B5267" s="405" t="s">
        <v>13619</v>
      </c>
      <c r="C5267" s="405" t="s">
        <v>311</v>
      </c>
      <c r="D5267" s="405" t="s">
        <v>13620</v>
      </c>
      <c r="E5267" s="410">
        <v>41625</v>
      </c>
      <c r="F5267" s="410">
        <v>41670</v>
      </c>
      <c r="G5267" s="405" t="s">
        <v>13621</v>
      </c>
      <c r="H5267" s="405">
        <v>782607283</v>
      </c>
      <c r="I5267" s="405"/>
      <c r="J5267" s="405">
        <v>0.9087615</v>
      </c>
      <c r="K5267" s="405">
        <v>33.122852299999998</v>
      </c>
      <c r="L5267" s="405" t="s">
        <v>6866</v>
      </c>
      <c r="M5267" s="405" t="s">
        <v>3009</v>
      </c>
      <c r="N5267" s="405" t="s">
        <v>9612</v>
      </c>
      <c r="O5267" s="405" t="s">
        <v>9613</v>
      </c>
      <c r="P5267" s="405" t="s">
        <v>13622</v>
      </c>
      <c r="Q5267" s="411">
        <v>6</v>
      </c>
      <c r="R5267" s="405" t="s">
        <v>333</v>
      </c>
      <c r="S5267" s="405" t="s">
        <v>27134</v>
      </c>
      <c r="T5267" s="405" t="s">
        <v>32102</v>
      </c>
      <c r="U5267" s="405" t="s">
        <v>319</v>
      </c>
    </row>
    <row r="5268" spans="1:21" x14ac:dyDescent="0.25">
      <c r="A5268" s="405" t="s">
        <v>310</v>
      </c>
      <c r="B5268" s="405" t="s">
        <v>4968</v>
      </c>
      <c r="C5268" s="405" t="s">
        <v>327</v>
      </c>
      <c r="D5268" s="405"/>
      <c r="E5268" s="410">
        <v>41625</v>
      </c>
      <c r="F5268" s="410">
        <v>41670</v>
      </c>
      <c r="G5268" s="405" t="s">
        <v>4969</v>
      </c>
      <c r="H5268" s="405">
        <v>772949950</v>
      </c>
      <c r="I5268" s="405"/>
      <c r="J5268" s="405">
        <v>0.352383</v>
      </c>
      <c r="K5268" s="405">
        <v>32.757983000000003</v>
      </c>
      <c r="L5268" s="405" t="s">
        <v>314</v>
      </c>
      <c r="M5268" s="405" t="s">
        <v>329</v>
      </c>
      <c r="N5268" s="405" t="s">
        <v>330</v>
      </c>
      <c r="O5268" s="405" t="s">
        <v>331</v>
      </c>
      <c r="P5268" s="405" t="s">
        <v>4970</v>
      </c>
      <c r="Q5268" s="411">
        <v>6</v>
      </c>
      <c r="R5268" s="405" t="s">
        <v>1263</v>
      </c>
      <c r="S5268" s="405" t="s">
        <v>5986</v>
      </c>
      <c r="T5268" s="405" t="s">
        <v>32102</v>
      </c>
      <c r="U5268" s="405" t="s">
        <v>319</v>
      </c>
    </row>
    <row r="5269" spans="1:21" x14ac:dyDescent="0.25">
      <c r="A5269" s="405" t="s">
        <v>310</v>
      </c>
      <c r="B5269" s="405" t="s">
        <v>4922</v>
      </c>
      <c r="C5269" s="405" t="s">
        <v>327</v>
      </c>
      <c r="D5269" s="405"/>
      <c r="E5269" s="410">
        <v>41625</v>
      </c>
      <c r="F5269" s="410">
        <v>41670</v>
      </c>
      <c r="G5269" s="405" t="s">
        <v>4923</v>
      </c>
      <c r="H5269" s="405">
        <v>782158844</v>
      </c>
      <c r="I5269" s="405"/>
      <c r="J5269" s="405">
        <v>-0.32714579999999999</v>
      </c>
      <c r="K5269" s="405">
        <v>31.744658399999999</v>
      </c>
      <c r="L5269" s="405" t="s">
        <v>314</v>
      </c>
      <c r="M5269" s="405" t="s">
        <v>900</v>
      </c>
      <c r="N5269" s="405" t="s">
        <v>900</v>
      </c>
      <c r="O5269" s="405" t="s">
        <v>1302</v>
      </c>
      <c r="P5269" s="405" t="s">
        <v>1302</v>
      </c>
      <c r="Q5269" s="411">
        <v>6</v>
      </c>
      <c r="R5269" s="405" t="s">
        <v>1263</v>
      </c>
      <c r="S5269" s="405" t="s">
        <v>27045</v>
      </c>
      <c r="T5269" s="405" t="s">
        <v>32102</v>
      </c>
      <c r="U5269" s="405" t="s">
        <v>319</v>
      </c>
    </row>
    <row r="5270" spans="1:21" x14ac:dyDescent="0.25">
      <c r="A5270" s="405" t="s">
        <v>310</v>
      </c>
      <c r="B5270" s="405" t="s">
        <v>13288</v>
      </c>
      <c r="C5270" s="405" t="s">
        <v>327</v>
      </c>
      <c r="D5270" s="405"/>
      <c r="E5270" s="410">
        <v>41625</v>
      </c>
      <c r="F5270" s="410">
        <v>41670</v>
      </c>
      <c r="G5270" s="405" t="s">
        <v>13289</v>
      </c>
      <c r="H5270" s="405">
        <v>781248017</v>
      </c>
      <c r="I5270" s="405"/>
      <c r="J5270" s="405">
        <v>0.93907399999999996</v>
      </c>
      <c r="K5270" s="405">
        <v>34.280163999999999</v>
      </c>
      <c r="L5270" s="405" t="s">
        <v>6866</v>
      </c>
      <c r="M5270" s="405" t="s">
        <v>9763</v>
      </c>
      <c r="N5270" s="405" t="s">
        <v>9764</v>
      </c>
      <c r="O5270" s="405" t="s">
        <v>13290</v>
      </c>
      <c r="P5270" s="405" t="s">
        <v>13291</v>
      </c>
      <c r="Q5270" s="411">
        <v>6</v>
      </c>
      <c r="R5270" s="405" t="s">
        <v>7224</v>
      </c>
      <c r="S5270" s="405" t="s">
        <v>27259</v>
      </c>
      <c r="T5270" s="405" t="s">
        <v>32102</v>
      </c>
      <c r="U5270" s="405" t="s">
        <v>319</v>
      </c>
    </row>
    <row r="5271" spans="1:21" x14ac:dyDescent="0.25">
      <c r="A5271" s="405" t="s">
        <v>310</v>
      </c>
      <c r="B5271" s="405" t="s">
        <v>19182</v>
      </c>
      <c r="C5271" s="405" t="s">
        <v>311</v>
      </c>
      <c r="D5271" s="405" t="s">
        <v>6019</v>
      </c>
      <c r="E5271" s="410">
        <v>41624</v>
      </c>
      <c r="F5271" s="410">
        <v>41669</v>
      </c>
      <c r="G5271" s="405" t="s">
        <v>19183</v>
      </c>
      <c r="H5271" s="405">
        <v>783646682</v>
      </c>
      <c r="I5271" s="405"/>
      <c r="J5271" s="405">
        <v>2.1933950000000002</v>
      </c>
      <c r="K5271" s="405">
        <v>32.916238999999997</v>
      </c>
      <c r="L5271" s="405" t="s">
        <v>860</v>
      </c>
      <c r="M5271" s="405" t="s">
        <v>18234</v>
      </c>
      <c r="N5271" s="405" t="s">
        <v>18252</v>
      </c>
      <c r="O5271" s="405" t="s">
        <v>18253</v>
      </c>
      <c r="P5271" s="405" t="s">
        <v>19184</v>
      </c>
      <c r="Q5271" s="411">
        <v>13</v>
      </c>
      <c r="R5271" s="405" t="s">
        <v>525</v>
      </c>
      <c r="S5271" s="405" t="s">
        <v>27171</v>
      </c>
      <c r="T5271" s="405" t="s">
        <v>884</v>
      </c>
      <c r="U5271" s="405" t="s">
        <v>319</v>
      </c>
    </row>
    <row r="5272" spans="1:21" x14ac:dyDescent="0.25">
      <c r="A5272" s="405" t="s">
        <v>310</v>
      </c>
      <c r="B5272" s="405" t="s">
        <v>68</v>
      </c>
      <c r="C5272" s="405" t="s">
        <v>327</v>
      </c>
      <c r="D5272" s="405"/>
      <c r="E5272" s="410">
        <v>41624</v>
      </c>
      <c r="F5272" s="410">
        <v>41669</v>
      </c>
      <c r="G5272" s="405" t="s">
        <v>13277</v>
      </c>
      <c r="H5272" s="405">
        <v>777848655</v>
      </c>
      <c r="I5272" s="405"/>
      <c r="J5272" s="405">
        <v>1.1853149999999999</v>
      </c>
      <c r="K5272" s="405">
        <v>33.927897999999999</v>
      </c>
      <c r="L5272" s="405" t="s">
        <v>6866</v>
      </c>
      <c r="M5272" s="405" t="s">
        <v>9509</v>
      </c>
      <c r="N5272" s="405" t="s">
        <v>12491</v>
      </c>
      <c r="O5272" s="405" t="s">
        <v>12492</v>
      </c>
      <c r="P5272" s="405" t="s">
        <v>2323</v>
      </c>
      <c r="Q5272" s="411">
        <v>6</v>
      </c>
      <c r="R5272" s="405" t="s">
        <v>9541</v>
      </c>
      <c r="S5272" s="405" t="s">
        <v>27297</v>
      </c>
      <c r="T5272" s="405" t="s">
        <v>32102</v>
      </c>
      <c r="U5272" s="405" t="s">
        <v>319</v>
      </c>
    </row>
    <row r="5273" spans="1:21" x14ac:dyDescent="0.25">
      <c r="A5273" s="405" t="s">
        <v>310</v>
      </c>
      <c r="B5273" s="405" t="s">
        <v>4934</v>
      </c>
      <c r="C5273" s="405" t="s">
        <v>327</v>
      </c>
      <c r="D5273" s="405"/>
      <c r="E5273" s="410">
        <v>41624</v>
      </c>
      <c r="F5273" s="410">
        <v>41669</v>
      </c>
      <c r="G5273" s="405" t="s">
        <v>4935</v>
      </c>
      <c r="H5273" s="405">
        <v>789648667</v>
      </c>
      <c r="I5273" s="405"/>
      <c r="J5273" s="405">
        <v>-0.35601250000000001</v>
      </c>
      <c r="K5273" s="405">
        <v>31.726492400000001</v>
      </c>
      <c r="L5273" s="405" t="s">
        <v>314</v>
      </c>
      <c r="M5273" s="405" t="s">
        <v>900</v>
      </c>
      <c r="N5273" s="405" t="s">
        <v>900</v>
      </c>
      <c r="O5273" s="405" t="s">
        <v>900</v>
      </c>
      <c r="P5273" s="405" t="s">
        <v>2822</v>
      </c>
      <c r="Q5273" s="411">
        <v>6</v>
      </c>
      <c r="R5273" s="405" t="s">
        <v>1263</v>
      </c>
      <c r="S5273" s="405" t="s">
        <v>27212</v>
      </c>
      <c r="T5273" s="405" t="s">
        <v>32102</v>
      </c>
      <c r="U5273" s="405" t="s">
        <v>319</v>
      </c>
    </row>
    <row r="5274" spans="1:21" x14ac:dyDescent="0.25">
      <c r="A5274" s="405" t="s">
        <v>310</v>
      </c>
      <c r="B5274" s="405" t="s">
        <v>13284</v>
      </c>
      <c r="C5274" s="405" t="s">
        <v>327</v>
      </c>
      <c r="D5274" s="405"/>
      <c r="E5274" s="410">
        <v>41624</v>
      </c>
      <c r="F5274" s="410">
        <v>41669</v>
      </c>
      <c r="G5274" s="405" t="s">
        <v>13285</v>
      </c>
      <c r="H5274" s="405">
        <v>753667657</v>
      </c>
      <c r="I5274" s="405"/>
      <c r="J5274" s="405">
        <v>0.94692880000000001</v>
      </c>
      <c r="K5274" s="405">
        <v>33.125838199999997</v>
      </c>
      <c r="L5274" s="405" t="s">
        <v>6866</v>
      </c>
      <c r="M5274" s="405" t="s">
        <v>9520</v>
      </c>
      <c r="N5274" s="405" t="s">
        <v>9520</v>
      </c>
      <c r="O5274" s="405" t="s">
        <v>13286</v>
      </c>
      <c r="P5274" s="405" t="s">
        <v>13287</v>
      </c>
      <c r="Q5274" s="411">
        <v>6</v>
      </c>
      <c r="R5274" s="405" t="s">
        <v>32478</v>
      </c>
      <c r="S5274" s="405" t="s">
        <v>414</v>
      </c>
      <c r="T5274" s="405" t="s">
        <v>32212</v>
      </c>
      <c r="U5274" s="405" t="s">
        <v>2267</v>
      </c>
    </row>
    <row r="5275" spans="1:21" x14ac:dyDescent="0.25">
      <c r="A5275" s="405" t="s">
        <v>310</v>
      </c>
      <c r="B5275" s="405" t="s">
        <v>28282</v>
      </c>
      <c r="C5275" s="405" t="s">
        <v>327</v>
      </c>
      <c r="D5275" s="405"/>
      <c r="E5275" s="410">
        <v>41623</v>
      </c>
      <c r="F5275" s="410">
        <v>41668</v>
      </c>
      <c r="G5275" s="405" t="s">
        <v>18853</v>
      </c>
      <c r="H5275" s="405">
        <v>772672185</v>
      </c>
      <c r="I5275" s="405">
        <v>756672185</v>
      </c>
      <c r="J5275" s="405">
        <v>2.2839066666666668</v>
      </c>
      <c r="K5275" s="405">
        <v>32.853401666666663</v>
      </c>
      <c r="L5275" s="405" t="s">
        <v>860</v>
      </c>
      <c r="M5275" s="405" t="s">
        <v>18234</v>
      </c>
      <c r="N5275" s="405" t="s">
        <v>18252</v>
      </c>
      <c r="O5275" s="405" t="s">
        <v>18234</v>
      </c>
      <c r="P5275" s="405" t="s">
        <v>18691</v>
      </c>
      <c r="Q5275" s="411">
        <v>9</v>
      </c>
      <c r="R5275" s="405" t="s">
        <v>525</v>
      </c>
      <c r="S5275" s="405" t="s">
        <v>27229</v>
      </c>
      <c r="T5275" s="405" t="s">
        <v>865</v>
      </c>
      <c r="U5275" s="405" t="s">
        <v>866</v>
      </c>
    </row>
    <row r="5276" spans="1:21" x14ac:dyDescent="0.25">
      <c r="A5276" s="405" t="s">
        <v>310</v>
      </c>
      <c r="B5276" s="405" t="s">
        <v>28678</v>
      </c>
      <c r="C5276" s="405" t="s">
        <v>327</v>
      </c>
      <c r="D5276" s="405"/>
      <c r="E5276" s="410">
        <v>41623</v>
      </c>
      <c r="F5276" s="410">
        <v>41668</v>
      </c>
      <c r="G5276" s="405" t="s">
        <v>13272</v>
      </c>
      <c r="H5276" s="405">
        <v>772329481</v>
      </c>
      <c r="I5276" s="405">
        <v>777997899</v>
      </c>
      <c r="J5276" s="405">
        <v>1.2228600000000001</v>
      </c>
      <c r="K5276" s="405">
        <v>34.231713999999997</v>
      </c>
      <c r="L5276" s="405" t="s">
        <v>6866</v>
      </c>
      <c r="M5276" s="405" t="s">
        <v>9575</v>
      </c>
      <c r="N5276" s="405" t="s">
        <v>9852</v>
      </c>
      <c r="O5276" s="405" t="s">
        <v>9853</v>
      </c>
      <c r="P5276" s="405" t="s">
        <v>13273</v>
      </c>
      <c r="Q5276" s="411">
        <v>9</v>
      </c>
      <c r="R5276" s="405" t="s">
        <v>9541</v>
      </c>
      <c r="S5276" s="405" t="s">
        <v>27086</v>
      </c>
      <c r="T5276" s="405" t="s">
        <v>32102</v>
      </c>
      <c r="U5276" s="405" t="s">
        <v>319</v>
      </c>
    </row>
    <row r="5277" spans="1:21" x14ac:dyDescent="0.25">
      <c r="A5277" s="405" t="s">
        <v>310</v>
      </c>
      <c r="B5277" s="405" t="s">
        <v>21452</v>
      </c>
      <c r="C5277" s="405" t="s">
        <v>327</v>
      </c>
      <c r="D5277" s="405"/>
      <c r="E5277" s="410">
        <v>41623</v>
      </c>
      <c r="F5277" s="410">
        <v>41668</v>
      </c>
      <c r="G5277" s="405" t="s">
        <v>21453</v>
      </c>
      <c r="H5277" s="405">
        <v>772341293</v>
      </c>
      <c r="I5277" s="405">
        <v>752341293</v>
      </c>
      <c r="J5277" s="405">
        <v>1.011655</v>
      </c>
      <c r="K5277" s="405">
        <v>30.915018</v>
      </c>
      <c r="L5277" s="405" t="s">
        <v>590</v>
      </c>
      <c r="M5277" s="405" t="s">
        <v>21454</v>
      </c>
      <c r="N5277" s="405" t="s">
        <v>20804</v>
      </c>
      <c r="O5277" s="405" t="s">
        <v>15979</v>
      </c>
      <c r="P5277" s="405" t="s">
        <v>21317</v>
      </c>
      <c r="Q5277" s="411">
        <v>9</v>
      </c>
      <c r="R5277" s="405" t="s">
        <v>525</v>
      </c>
      <c r="S5277" s="405" t="s">
        <v>22481</v>
      </c>
      <c r="T5277" s="405" t="s">
        <v>32102</v>
      </c>
      <c r="U5277" s="405" t="s">
        <v>319</v>
      </c>
    </row>
    <row r="5278" spans="1:21" x14ac:dyDescent="0.25">
      <c r="A5278" s="405" t="s">
        <v>310</v>
      </c>
      <c r="B5278" s="405" t="s">
        <v>21455</v>
      </c>
      <c r="C5278" s="405" t="s">
        <v>327</v>
      </c>
      <c r="D5278" s="405"/>
      <c r="E5278" s="410">
        <v>41623</v>
      </c>
      <c r="F5278" s="410">
        <v>41668</v>
      </c>
      <c r="G5278" s="405" t="s">
        <v>21456</v>
      </c>
      <c r="H5278" s="405">
        <v>788050192</v>
      </c>
      <c r="I5278" s="405"/>
      <c r="J5278" s="405">
        <v>-0.12328500000000001</v>
      </c>
      <c r="K5278" s="405">
        <v>30.654962999999999</v>
      </c>
      <c r="L5278" s="405" t="s">
        <v>590</v>
      </c>
      <c r="M5278" s="405" t="s">
        <v>19705</v>
      </c>
      <c r="N5278" s="405" t="s">
        <v>2250</v>
      </c>
      <c r="O5278" s="405" t="s">
        <v>341</v>
      </c>
      <c r="P5278" s="405" t="s">
        <v>19854</v>
      </c>
      <c r="Q5278" s="411">
        <v>9</v>
      </c>
      <c r="R5278" s="405" t="s">
        <v>874</v>
      </c>
      <c r="S5278" s="405" t="s">
        <v>27063</v>
      </c>
      <c r="T5278" s="405" t="s">
        <v>32102</v>
      </c>
      <c r="U5278" s="405" t="s">
        <v>319</v>
      </c>
    </row>
    <row r="5279" spans="1:21" x14ac:dyDescent="0.25">
      <c r="A5279" s="405" t="s">
        <v>310</v>
      </c>
      <c r="B5279" s="405" t="s">
        <v>5007</v>
      </c>
      <c r="C5279" s="405" t="s">
        <v>327</v>
      </c>
      <c r="D5279" s="405"/>
      <c r="E5279" s="410">
        <v>41623</v>
      </c>
      <c r="F5279" s="410">
        <v>41668</v>
      </c>
      <c r="G5279" s="405" t="s">
        <v>5008</v>
      </c>
      <c r="H5279" s="405">
        <v>751977401</v>
      </c>
      <c r="I5279" s="405">
        <v>752935072</v>
      </c>
      <c r="J5279" s="405">
        <v>-0.34227289999999999</v>
      </c>
      <c r="K5279" s="405">
        <v>31.7245773</v>
      </c>
      <c r="L5279" s="405" t="s">
        <v>314</v>
      </c>
      <c r="M5279" s="405" t="s">
        <v>382</v>
      </c>
      <c r="N5279" s="405" t="s">
        <v>988</v>
      </c>
      <c r="O5279" s="405" t="s">
        <v>1032</v>
      </c>
      <c r="P5279" s="405" t="s">
        <v>1400</v>
      </c>
      <c r="Q5279" s="411">
        <v>9</v>
      </c>
      <c r="R5279" s="405" t="s">
        <v>1263</v>
      </c>
      <c r="S5279" s="405" t="s">
        <v>27045</v>
      </c>
      <c r="T5279" s="405" t="s">
        <v>32102</v>
      </c>
      <c r="U5279" s="405" t="s">
        <v>319</v>
      </c>
    </row>
    <row r="5280" spans="1:21" x14ac:dyDescent="0.25">
      <c r="A5280" s="405" t="s">
        <v>310</v>
      </c>
      <c r="B5280" s="405" t="s">
        <v>4919</v>
      </c>
      <c r="C5280" s="405" t="s">
        <v>327</v>
      </c>
      <c r="D5280" s="405"/>
      <c r="E5280" s="410">
        <v>41623</v>
      </c>
      <c r="F5280" s="410">
        <v>41668</v>
      </c>
      <c r="G5280" s="405" t="s">
        <v>4920</v>
      </c>
      <c r="H5280" s="405">
        <v>753112405</v>
      </c>
      <c r="I5280" s="405">
        <v>701112405</v>
      </c>
      <c r="J5280" s="405">
        <v>-0.35471639999999999</v>
      </c>
      <c r="K5280" s="405">
        <v>31.713612900000001</v>
      </c>
      <c r="L5280" s="405" t="s">
        <v>314</v>
      </c>
      <c r="M5280" s="405" t="s">
        <v>382</v>
      </c>
      <c r="N5280" s="405" t="s">
        <v>4921</v>
      </c>
      <c r="O5280" s="405" t="s">
        <v>894</v>
      </c>
      <c r="P5280" s="405" t="s">
        <v>1901</v>
      </c>
      <c r="Q5280" s="411">
        <v>9</v>
      </c>
      <c r="R5280" s="405" t="s">
        <v>1263</v>
      </c>
      <c r="S5280" s="405" t="s">
        <v>5986</v>
      </c>
      <c r="T5280" s="405" t="s">
        <v>865</v>
      </c>
      <c r="U5280" s="405" t="s">
        <v>866</v>
      </c>
    </row>
    <row r="5281" spans="1:21" x14ac:dyDescent="0.25">
      <c r="A5281" s="405" t="s">
        <v>310</v>
      </c>
      <c r="B5281" s="405" t="s">
        <v>13278</v>
      </c>
      <c r="C5281" s="405" t="s">
        <v>327</v>
      </c>
      <c r="D5281" s="405"/>
      <c r="E5281" s="410">
        <v>41623</v>
      </c>
      <c r="F5281" s="410">
        <v>41668</v>
      </c>
      <c r="G5281" s="405" t="s">
        <v>13279</v>
      </c>
      <c r="H5281" s="405">
        <v>774917023</v>
      </c>
      <c r="I5281" s="405"/>
      <c r="J5281" s="405">
        <v>1.1370180000000001</v>
      </c>
      <c r="K5281" s="405">
        <v>33.946227</v>
      </c>
      <c r="L5281" s="405" t="s">
        <v>6866</v>
      </c>
      <c r="M5281" s="405" t="s">
        <v>9676</v>
      </c>
      <c r="N5281" s="405" t="s">
        <v>9676</v>
      </c>
      <c r="O5281" s="405" t="s">
        <v>10148</v>
      </c>
      <c r="P5281" s="405" t="s">
        <v>13280</v>
      </c>
      <c r="Q5281" s="411">
        <v>6</v>
      </c>
      <c r="R5281" s="405" t="s">
        <v>9541</v>
      </c>
      <c r="S5281" s="405" t="s">
        <v>27314</v>
      </c>
      <c r="T5281" s="405" t="s">
        <v>32102</v>
      </c>
      <c r="U5281" s="405" t="s">
        <v>319</v>
      </c>
    </row>
    <row r="5282" spans="1:21" x14ac:dyDescent="0.25">
      <c r="A5282" s="405" t="s">
        <v>310</v>
      </c>
      <c r="B5282" s="405" t="s">
        <v>18872</v>
      </c>
      <c r="C5282" s="405" t="s">
        <v>327</v>
      </c>
      <c r="D5282" s="405"/>
      <c r="E5282" s="410">
        <v>41623</v>
      </c>
      <c r="F5282" s="410">
        <v>41668</v>
      </c>
      <c r="G5282" s="405" t="s">
        <v>18873</v>
      </c>
      <c r="H5282" s="405">
        <v>772004404</v>
      </c>
      <c r="I5282" s="405">
        <v>788241454</v>
      </c>
      <c r="J5282" s="405">
        <v>2.4643890000000002</v>
      </c>
      <c r="K5282" s="405">
        <v>33.203031000000003</v>
      </c>
      <c r="L5282" s="405" t="s">
        <v>860</v>
      </c>
      <c r="M5282" s="405" t="s">
        <v>18821</v>
      </c>
      <c r="N5282" s="405" t="s">
        <v>18822</v>
      </c>
      <c r="O5282" s="405" t="s">
        <v>18823</v>
      </c>
      <c r="P5282" s="405" t="s">
        <v>18874</v>
      </c>
      <c r="Q5282" s="411">
        <v>6</v>
      </c>
      <c r="R5282" s="405" t="s">
        <v>318</v>
      </c>
      <c r="S5282" s="405" t="s">
        <v>27171</v>
      </c>
      <c r="T5282" s="405" t="s">
        <v>32102</v>
      </c>
      <c r="U5282" s="405" t="s">
        <v>319</v>
      </c>
    </row>
    <row r="5283" spans="1:21" x14ac:dyDescent="0.25">
      <c r="A5283" s="405" t="s">
        <v>310</v>
      </c>
      <c r="B5283" s="405" t="s">
        <v>28212</v>
      </c>
      <c r="C5283" s="405" t="s">
        <v>327</v>
      </c>
      <c r="D5283" s="405"/>
      <c r="E5283" s="410">
        <v>41622</v>
      </c>
      <c r="F5283" s="410">
        <v>41667</v>
      </c>
      <c r="G5283" s="405" t="s">
        <v>4949</v>
      </c>
      <c r="H5283" s="405">
        <v>773381646</v>
      </c>
      <c r="I5283" s="405"/>
      <c r="J5283" s="405">
        <v>-0.25267333333333331</v>
      </c>
      <c r="K5283" s="405">
        <v>31.822016666666666</v>
      </c>
      <c r="L5283" s="405" t="s">
        <v>314</v>
      </c>
      <c r="M5283" s="405" t="s">
        <v>900</v>
      </c>
      <c r="N5283" s="405" t="s">
        <v>900</v>
      </c>
      <c r="O5283" s="405" t="s">
        <v>900</v>
      </c>
      <c r="P5283" s="405" t="s">
        <v>1184</v>
      </c>
      <c r="Q5283" s="411">
        <v>9</v>
      </c>
      <c r="R5283" s="405" t="s">
        <v>1263</v>
      </c>
      <c r="S5283" s="405" t="s">
        <v>27234</v>
      </c>
      <c r="T5283" s="405" t="s">
        <v>865</v>
      </c>
      <c r="U5283" s="405" t="s">
        <v>866</v>
      </c>
    </row>
    <row r="5284" spans="1:21" x14ac:dyDescent="0.25">
      <c r="A5284" s="405" t="s">
        <v>310</v>
      </c>
      <c r="B5284" s="405" t="s">
        <v>5011</v>
      </c>
      <c r="C5284" s="405" t="s">
        <v>327</v>
      </c>
      <c r="D5284" s="405"/>
      <c r="E5284" s="410">
        <v>41622</v>
      </c>
      <c r="F5284" s="410">
        <v>41667</v>
      </c>
      <c r="G5284" s="405" t="s">
        <v>5012</v>
      </c>
      <c r="H5284" s="405">
        <v>777424742</v>
      </c>
      <c r="I5284" s="405"/>
      <c r="J5284" s="405">
        <v>0.93967999999999996</v>
      </c>
      <c r="K5284" s="405">
        <v>31.617906999999999</v>
      </c>
      <c r="L5284" s="405" t="s">
        <v>314</v>
      </c>
      <c r="M5284" s="405" t="s">
        <v>1360</v>
      </c>
      <c r="N5284" s="405" t="s">
        <v>1361</v>
      </c>
      <c r="O5284" s="405" t="s">
        <v>4903</v>
      </c>
      <c r="P5284" s="405" t="s">
        <v>5013</v>
      </c>
      <c r="Q5284" s="411">
        <v>9</v>
      </c>
      <c r="R5284" s="405" t="s">
        <v>1263</v>
      </c>
      <c r="S5284" s="405" t="s">
        <v>27185</v>
      </c>
      <c r="T5284" s="405" t="s">
        <v>32102</v>
      </c>
      <c r="U5284" s="405" t="s">
        <v>319</v>
      </c>
    </row>
    <row r="5285" spans="1:21" x14ac:dyDescent="0.25">
      <c r="A5285" s="405" t="s">
        <v>310</v>
      </c>
      <c r="B5285" s="405" t="s">
        <v>13256</v>
      </c>
      <c r="C5285" s="405" t="s">
        <v>327</v>
      </c>
      <c r="D5285" s="405"/>
      <c r="E5285" s="410">
        <v>41622</v>
      </c>
      <c r="F5285" s="410">
        <v>41667</v>
      </c>
      <c r="G5285" s="405" t="s">
        <v>13257</v>
      </c>
      <c r="H5285" s="405">
        <v>755696749</v>
      </c>
      <c r="I5285" s="405"/>
      <c r="J5285" s="405">
        <v>1.1457820000000001</v>
      </c>
      <c r="K5285" s="405">
        <v>33.816457999999997</v>
      </c>
      <c r="L5285" s="405" t="s">
        <v>6866</v>
      </c>
      <c r="M5285" s="405" t="s">
        <v>9509</v>
      </c>
      <c r="N5285" s="405" t="s">
        <v>9509</v>
      </c>
      <c r="O5285" s="405" t="s">
        <v>9510</v>
      </c>
      <c r="P5285" s="405" t="s">
        <v>11382</v>
      </c>
      <c r="Q5285" s="411">
        <v>6</v>
      </c>
      <c r="R5285" s="405" t="s">
        <v>9541</v>
      </c>
      <c r="S5285" s="405" t="s">
        <v>27302</v>
      </c>
      <c r="T5285" s="405" t="s">
        <v>32102</v>
      </c>
      <c r="U5285" s="405" t="s">
        <v>319</v>
      </c>
    </row>
    <row r="5286" spans="1:21" x14ac:dyDescent="0.25">
      <c r="A5286" s="405" t="s">
        <v>310</v>
      </c>
      <c r="B5286" s="405" t="s">
        <v>4982</v>
      </c>
      <c r="C5286" s="405" t="s">
        <v>327</v>
      </c>
      <c r="D5286" s="405"/>
      <c r="E5286" s="410">
        <v>41622</v>
      </c>
      <c r="F5286" s="410">
        <v>41667</v>
      </c>
      <c r="G5286" s="405" t="s">
        <v>4983</v>
      </c>
      <c r="H5286" s="405">
        <v>773179739</v>
      </c>
      <c r="I5286" s="405"/>
      <c r="J5286" s="405">
        <v>-0.32714579999999999</v>
      </c>
      <c r="K5286" s="405">
        <v>31.744658399999999</v>
      </c>
      <c r="L5286" s="405" t="s">
        <v>314</v>
      </c>
      <c r="M5286" s="405" t="s">
        <v>900</v>
      </c>
      <c r="N5286" s="405" t="s">
        <v>900</v>
      </c>
      <c r="O5286" s="405" t="s">
        <v>1302</v>
      </c>
      <c r="P5286" s="405" t="s">
        <v>4984</v>
      </c>
      <c r="Q5286" s="411">
        <v>6</v>
      </c>
      <c r="R5286" s="405" t="s">
        <v>1263</v>
      </c>
      <c r="S5286" s="405" t="s">
        <v>27221</v>
      </c>
      <c r="T5286" s="405" t="s">
        <v>865</v>
      </c>
      <c r="U5286" s="405" t="s">
        <v>866</v>
      </c>
    </row>
    <row r="5287" spans="1:21" x14ac:dyDescent="0.25">
      <c r="A5287" s="405" t="s">
        <v>310</v>
      </c>
      <c r="B5287" s="405" t="s">
        <v>4978</v>
      </c>
      <c r="C5287" s="405" t="s">
        <v>327</v>
      </c>
      <c r="D5287" s="405"/>
      <c r="E5287" s="410">
        <v>41622</v>
      </c>
      <c r="F5287" s="410">
        <v>41667</v>
      </c>
      <c r="G5287" s="405" t="s">
        <v>4979</v>
      </c>
      <c r="H5287" s="405">
        <v>785099827</v>
      </c>
      <c r="I5287" s="405"/>
      <c r="J5287" s="405">
        <v>0.59673299999999996</v>
      </c>
      <c r="K5287" s="405">
        <v>31.379391999999999</v>
      </c>
      <c r="L5287" s="405" t="s">
        <v>314</v>
      </c>
      <c r="M5287" s="405" t="s">
        <v>445</v>
      </c>
      <c r="N5287" s="405" t="s">
        <v>446</v>
      </c>
      <c r="O5287" s="405" t="s">
        <v>2953</v>
      </c>
      <c r="P5287" s="405" t="s">
        <v>4980</v>
      </c>
      <c r="Q5287" s="411">
        <v>6</v>
      </c>
      <c r="R5287" s="405" t="s">
        <v>318</v>
      </c>
      <c r="S5287" s="405" t="s">
        <v>27054</v>
      </c>
      <c r="T5287" s="405" t="s">
        <v>32102</v>
      </c>
      <c r="U5287" s="405" t="s">
        <v>319</v>
      </c>
    </row>
    <row r="5288" spans="1:21" x14ac:dyDescent="0.25">
      <c r="A5288" s="405" t="s">
        <v>310</v>
      </c>
      <c r="B5288" s="405" t="s">
        <v>13236</v>
      </c>
      <c r="C5288" s="405" t="s">
        <v>327</v>
      </c>
      <c r="D5288" s="405"/>
      <c r="E5288" s="410">
        <v>41622</v>
      </c>
      <c r="F5288" s="410">
        <v>41667</v>
      </c>
      <c r="G5288" s="405" t="s">
        <v>13237</v>
      </c>
      <c r="H5288" s="405">
        <v>782454992</v>
      </c>
      <c r="I5288" s="405"/>
      <c r="J5288" s="405">
        <v>1.6940299999999999</v>
      </c>
      <c r="K5288" s="405">
        <v>34.110542000000002</v>
      </c>
      <c r="L5288" s="405" t="s">
        <v>6866</v>
      </c>
      <c r="M5288" s="405" t="s">
        <v>11355</v>
      </c>
      <c r="N5288" s="405" t="s">
        <v>11361</v>
      </c>
      <c r="O5288" s="405" t="s">
        <v>11362</v>
      </c>
      <c r="P5288" s="405" t="s">
        <v>13238</v>
      </c>
      <c r="Q5288" s="411">
        <v>6</v>
      </c>
      <c r="R5288" s="405" t="s">
        <v>5655</v>
      </c>
      <c r="S5288" s="405" t="s">
        <v>27072</v>
      </c>
      <c r="T5288" s="405" t="s">
        <v>865</v>
      </c>
      <c r="U5288" s="405" t="s">
        <v>866</v>
      </c>
    </row>
    <row r="5289" spans="1:21" x14ac:dyDescent="0.25">
      <c r="A5289" s="405" t="s">
        <v>310</v>
      </c>
      <c r="B5289" s="405" t="s">
        <v>18836</v>
      </c>
      <c r="C5289" s="405" t="s">
        <v>327</v>
      </c>
      <c r="D5289" s="405"/>
      <c r="E5289" s="410">
        <v>41622</v>
      </c>
      <c r="F5289" s="410">
        <v>41667</v>
      </c>
      <c r="G5289" s="405" t="s">
        <v>18837</v>
      </c>
      <c r="H5289" s="405">
        <v>772343745</v>
      </c>
      <c r="I5289" s="405"/>
      <c r="J5289" s="405">
        <v>2.5134310000000002</v>
      </c>
      <c r="K5289" s="405">
        <v>32.708799999999997</v>
      </c>
      <c r="L5289" s="405" t="s">
        <v>860</v>
      </c>
      <c r="M5289" s="405" t="s">
        <v>18368</v>
      </c>
      <c r="N5289" s="405" t="s">
        <v>18838</v>
      </c>
      <c r="O5289" s="405" t="s">
        <v>18839</v>
      </c>
      <c r="P5289" s="405" t="s">
        <v>18840</v>
      </c>
      <c r="Q5289" s="411">
        <v>6</v>
      </c>
      <c r="R5289" s="405" t="s">
        <v>525</v>
      </c>
      <c r="S5289" s="405" t="s">
        <v>27243</v>
      </c>
      <c r="T5289" s="405" t="s">
        <v>32102</v>
      </c>
      <c r="U5289" s="405" t="s">
        <v>319</v>
      </c>
    </row>
    <row r="5290" spans="1:21" x14ac:dyDescent="0.25">
      <c r="A5290" s="405" t="s">
        <v>310</v>
      </c>
      <c r="B5290" s="405" t="s">
        <v>4955</v>
      </c>
      <c r="C5290" s="405" t="s">
        <v>327</v>
      </c>
      <c r="D5290" s="405"/>
      <c r="E5290" s="410">
        <v>41621</v>
      </c>
      <c r="F5290" s="410">
        <v>41666</v>
      </c>
      <c r="G5290" s="405" t="s">
        <v>4956</v>
      </c>
      <c r="H5290" s="405">
        <v>785891874</v>
      </c>
      <c r="I5290" s="405"/>
      <c r="J5290" s="405">
        <v>0.54857500000000003</v>
      </c>
      <c r="K5290" s="405">
        <v>31.860621999999999</v>
      </c>
      <c r="L5290" s="405" t="s">
        <v>314</v>
      </c>
      <c r="M5290" s="405" t="s">
        <v>445</v>
      </c>
      <c r="N5290" s="405" t="s">
        <v>570</v>
      </c>
      <c r="O5290" s="405" t="s">
        <v>571</v>
      </c>
      <c r="P5290" s="405" t="s">
        <v>3009</v>
      </c>
      <c r="Q5290" s="411">
        <v>6</v>
      </c>
      <c r="R5290" s="405" t="s">
        <v>318</v>
      </c>
      <c r="S5290" s="405" t="s">
        <v>27174</v>
      </c>
      <c r="T5290" s="405" t="s">
        <v>32102</v>
      </c>
      <c r="U5290" s="405" t="s">
        <v>319</v>
      </c>
    </row>
    <row r="5291" spans="1:21" x14ac:dyDescent="0.25">
      <c r="A5291" s="405" t="s">
        <v>310</v>
      </c>
      <c r="B5291" s="405" t="s">
        <v>18861</v>
      </c>
      <c r="C5291" s="405" t="s">
        <v>327</v>
      </c>
      <c r="D5291" s="405"/>
      <c r="E5291" s="410">
        <v>41620</v>
      </c>
      <c r="F5291" s="410">
        <v>41665</v>
      </c>
      <c r="G5291" s="405" t="s">
        <v>18862</v>
      </c>
      <c r="H5291" s="405">
        <v>774288377</v>
      </c>
      <c r="I5291" s="405"/>
      <c r="J5291" s="405">
        <v>2.2328701</v>
      </c>
      <c r="K5291" s="405">
        <v>32.907559200000001</v>
      </c>
      <c r="L5291" s="405" t="s">
        <v>860</v>
      </c>
      <c r="M5291" s="405" t="s">
        <v>18234</v>
      </c>
      <c r="N5291" s="405" t="s">
        <v>18250</v>
      </c>
      <c r="O5291" s="405" t="s">
        <v>4147</v>
      </c>
      <c r="P5291" s="405" t="s">
        <v>18863</v>
      </c>
      <c r="Q5291" s="411">
        <v>13</v>
      </c>
      <c r="R5291" s="405" t="s">
        <v>525</v>
      </c>
      <c r="S5291" s="405" t="s">
        <v>27179</v>
      </c>
      <c r="T5291" s="405" t="s">
        <v>865</v>
      </c>
      <c r="U5291" s="405" t="s">
        <v>866</v>
      </c>
    </row>
    <row r="5292" spans="1:21" x14ac:dyDescent="0.25">
      <c r="A5292" s="405" t="s">
        <v>310</v>
      </c>
      <c r="B5292" s="405" t="s">
        <v>28342</v>
      </c>
      <c r="C5292" s="405" t="s">
        <v>327</v>
      </c>
      <c r="D5292" s="405"/>
      <c r="E5292" s="410">
        <v>41620</v>
      </c>
      <c r="F5292" s="410">
        <v>41665</v>
      </c>
      <c r="G5292" s="405" t="s">
        <v>21450</v>
      </c>
      <c r="H5292" s="405">
        <v>714278055</v>
      </c>
      <c r="I5292" s="405">
        <v>779718021</v>
      </c>
      <c r="J5292" s="405">
        <v>1.7186983333333337</v>
      </c>
      <c r="K5292" s="405">
        <v>31.691053333333336</v>
      </c>
      <c r="L5292" s="405" t="s">
        <v>590</v>
      </c>
      <c r="M5292" s="405" t="s">
        <v>19608</v>
      </c>
      <c r="N5292" s="405" t="s">
        <v>19783</v>
      </c>
      <c r="O5292" s="405" t="s">
        <v>19784</v>
      </c>
      <c r="P5292" s="405" t="s">
        <v>21451</v>
      </c>
      <c r="Q5292" s="411">
        <v>12</v>
      </c>
      <c r="R5292" s="405" t="s">
        <v>318</v>
      </c>
      <c r="S5292" s="405" t="s">
        <v>27109</v>
      </c>
      <c r="T5292" s="405" t="s">
        <v>32102</v>
      </c>
      <c r="U5292" s="405" t="s">
        <v>319</v>
      </c>
    </row>
    <row r="5293" spans="1:21" x14ac:dyDescent="0.25">
      <c r="A5293" s="405" t="s">
        <v>310</v>
      </c>
      <c r="B5293" s="405" t="s">
        <v>27868</v>
      </c>
      <c r="C5293" s="405" t="s">
        <v>311</v>
      </c>
      <c r="D5293" s="405" t="s">
        <v>839</v>
      </c>
      <c r="E5293" s="410">
        <v>41620</v>
      </c>
      <c r="F5293" s="410">
        <v>41665</v>
      </c>
      <c r="G5293" s="405" t="s">
        <v>19140</v>
      </c>
      <c r="H5293" s="405">
        <v>772901491</v>
      </c>
      <c r="I5293" s="405">
        <v>753827303</v>
      </c>
      <c r="J5293" s="405">
        <v>2.2203618999999999</v>
      </c>
      <c r="K5293" s="405">
        <v>32.898550999999998</v>
      </c>
      <c r="L5293" s="405" t="s">
        <v>860</v>
      </c>
      <c r="M5293" s="405" t="s">
        <v>18234</v>
      </c>
      <c r="N5293" s="405" t="s">
        <v>18252</v>
      </c>
      <c r="O5293" s="405" t="s">
        <v>18253</v>
      </c>
      <c r="P5293" s="405" t="s">
        <v>18356</v>
      </c>
      <c r="Q5293" s="411">
        <v>9</v>
      </c>
      <c r="R5293" s="405" t="s">
        <v>318</v>
      </c>
      <c r="S5293" s="405" t="s">
        <v>27359</v>
      </c>
      <c r="T5293" s="405" t="s">
        <v>32102</v>
      </c>
      <c r="U5293" s="405" t="s">
        <v>319</v>
      </c>
    </row>
    <row r="5294" spans="1:21" x14ac:dyDescent="0.25">
      <c r="A5294" s="405" t="s">
        <v>310</v>
      </c>
      <c r="B5294" s="405" t="s">
        <v>27975</v>
      </c>
      <c r="C5294" s="405" t="s">
        <v>327</v>
      </c>
      <c r="D5294" s="405"/>
      <c r="E5294" s="410">
        <v>41620</v>
      </c>
      <c r="F5294" s="410">
        <v>41665</v>
      </c>
      <c r="G5294" s="405" t="s">
        <v>4910</v>
      </c>
      <c r="H5294" s="405">
        <v>750815582</v>
      </c>
      <c r="I5294" s="405"/>
      <c r="J5294" s="405">
        <v>0.33327800000000002</v>
      </c>
      <c r="K5294" s="405">
        <v>32.154874999999997</v>
      </c>
      <c r="L5294" s="405" t="s">
        <v>314</v>
      </c>
      <c r="M5294" s="405" t="s">
        <v>675</v>
      </c>
      <c r="N5294" s="405" t="s">
        <v>676</v>
      </c>
      <c r="O5294" s="405" t="s">
        <v>677</v>
      </c>
      <c r="P5294" s="405" t="s">
        <v>3756</v>
      </c>
      <c r="Q5294" s="411">
        <v>9</v>
      </c>
      <c r="R5294" s="405" t="s">
        <v>4176</v>
      </c>
      <c r="S5294" s="405" t="s">
        <v>27059</v>
      </c>
      <c r="T5294" s="405" t="s">
        <v>32102</v>
      </c>
      <c r="U5294" s="405" t="s">
        <v>319</v>
      </c>
    </row>
    <row r="5295" spans="1:21" x14ac:dyDescent="0.25">
      <c r="A5295" s="405" t="s">
        <v>310</v>
      </c>
      <c r="B5295" s="405" t="s">
        <v>5459</v>
      </c>
      <c r="C5295" s="405" t="s">
        <v>311</v>
      </c>
      <c r="D5295" s="405" t="s">
        <v>839</v>
      </c>
      <c r="E5295" s="410">
        <v>41620</v>
      </c>
      <c r="F5295" s="410">
        <v>41665</v>
      </c>
      <c r="G5295" s="405" t="s">
        <v>5460</v>
      </c>
      <c r="H5295" s="405">
        <v>774530389</v>
      </c>
      <c r="I5295" s="405"/>
      <c r="J5295" s="405">
        <v>-5.6775899999999997E-2</v>
      </c>
      <c r="K5295" s="405">
        <v>31.987299400000001</v>
      </c>
      <c r="L5295" s="405" t="s">
        <v>314</v>
      </c>
      <c r="M5295" s="405" t="s">
        <v>900</v>
      </c>
      <c r="N5295" s="405" t="s">
        <v>900</v>
      </c>
      <c r="O5295" s="405" t="s">
        <v>1302</v>
      </c>
      <c r="P5295" s="405" t="s">
        <v>4946</v>
      </c>
      <c r="Q5295" s="411">
        <v>9</v>
      </c>
      <c r="R5295" s="405" t="s">
        <v>1263</v>
      </c>
      <c r="S5295" s="405" t="s">
        <v>27117</v>
      </c>
      <c r="T5295" s="405" t="s">
        <v>32102</v>
      </c>
      <c r="U5295" s="405" t="s">
        <v>319</v>
      </c>
    </row>
    <row r="5296" spans="1:21" x14ac:dyDescent="0.25">
      <c r="A5296" s="405" t="s">
        <v>310</v>
      </c>
      <c r="B5296" s="405" t="s">
        <v>13648</v>
      </c>
      <c r="C5296" s="405" t="s">
        <v>311</v>
      </c>
      <c r="D5296" s="405" t="s">
        <v>932</v>
      </c>
      <c r="E5296" s="410">
        <v>41620</v>
      </c>
      <c r="F5296" s="410">
        <v>41665</v>
      </c>
      <c r="G5296" s="405" t="s">
        <v>13649</v>
      </c>
      <c r="H5296" s="405">
        <v>704734639</v>
      </c>
      <c r="I5296" s="405"/>
      <c r="J5296" s="405">
        <v>0.97645800000000005</v>
      </c>
      <c r="K5296" s="405">
        <v>34.312981999999998</v>
      </c>
      <c r="L5296" s="405" t="s">
        <v>6866</v>
      </c>
      <c r="M5296" s="405" t="s">
        <v>9763</v>
      </c>
      <c r="N5296" s="405" t="s">
        <v>9764</v>
      </c>
      <c r="O5296" s="405" t="s">
        <v>13650</v>
      </c>
      <c r="P5296" s="405" t="s">
        <v>13651</v>
      </c>
      <c r="Q5296" s="411">
        <v>6</v>
      </c>
      <c r="R5296" s="405" t="s">
        <v>7224</v>
      </c>
      <c r="S5296" s="405" t="s">
        <v>27259</v>
      </c>
      <c r="T5296" s="405" t="s">
        <v>32102</v>
      </c>
      <c r="U5296" s="405" t="s">
        <v>319</v>
      </c>
    </row>
    <row r="5297" spans="1:21" x14ac:dyDescent="0.25">
      <c r="A5297" s="405" t="s">
        <v>310</v>
      </c>
      <c r="B5297" s="405" t="s">
        <v>13253</v>
      </c>
      <c r="C5297" s="405" t="s">
        <v>327</v>
      </c>
      <c r="D5297" s="405"/>
      <c r="E5297" s="410">
        <v>41620</v>
      </c>
      <c r="F5297" s="410">
        <v>41665</v>
      </c>
      <c r="G5297" s="405" t="s">
        <v>13254</v>
      </c>
      <c r="H5297" s="405">
        <v>775120151</v>
      </c>
      <c r="I5297" s="405">
        <v>782223395</v>
      </c>
      <c r="J5297" s="405">
        <v>1.7176070000000001</v>
      </c>
      <c r="K5297" s="405">
        <v>33.621248999999999</v>
      </c>
      <c r="L5297" s="405" t="s">
        <v>6866</v>
      </c>
      <c r="M5297" s="405" t="s">
        <v>10515</v>
      </c>
      <c r="N5297" s="405" t="s">
        <v>10765</v>
      </c>
      <c r="O5297" s="405" t="s">
        <v>12948</v>
      </c>
      <c r="P5297" s="405" t="s">
        <v>13255</v>
      </c>
      <c r="Q5297" s="411">
        <v>4</v>
      </c>
      <c r="R5297" s="405" t="s">
        <v>5655</v>
      </c>
      <c r="S5297" s="405" t="s">
        <v>27325</v>
      </c>
      <c r="T5297" s="405" t="s">
        <v>865</v>
      </c>
      <c r="U5297" s="405" t="s">
        <v>866</v>
      </c>
    </row>
    <row r="5298" spans="1:21" x14ac:dyDescent="0.25">
      <c r="A5298" s="405" t="s">
        <v>310</v>
      </c>
      <c r="B5298" s="405" t="s">
        <v>4924</v>
      </c>
      <c r="C5298" s="405" t="s">
        <v>327</v>
      </c>
      <c r="D5298" s="405"/>
      <c r="E5298" s="410">
        <v>41619</v>
      </c>
      <c r="F5298" s="410">
        <v>41664</v>
      </c>
      <c r="G5298" s="405" t="s">
        <v>4925</v>
      </c>
      <c r="H5298" s="405">
        <v>785747359</v>
      </c>
      <c r="I5298" s="405"/>
      <c r="J5298" s="405">
        <v>0.68044199999999999</v>
      </c>
      <c r="K5298" s="405">
        <v>32.685628000000001</v>
      </c>
      <c r="L5298" s="405" t="s">
        <v>314</v>
      </c>
      <c r="M5298" s="405" t="s">
        <v>959</v>
      </c>
      <c r="N5298" s="405" t="s">
        <v>960</v>
      </c>
      <c r="O5298" s="405" t="s">
        <v>2921</v>
      </c>
      <c r="P5298" s="405" t="s">
        <v>4926</v>
      </c>
      <c r="Q5298" s="411">
        <v>6</v>
      </c>
      <c r="R5298" s="405" t="s">
        <v>318</v>
      </c>
      <c r="S5298" s="405" t="s">
        <v>27228</v>
      </c>
      <c r="T5298" s="405" t="s">
        <v>865</v>
      </c>
      <c r="U5298" s="405" t="s">
        <v>866</v>
      </c>
    </row>
    <row r="5299" spans="1:21" x14ac:dyDescent="0.25">
      <c r="A5299" s="405" t="s">
        <v>310</v>
      </c>
      <c r="B5299" s="405" t="s">
        <v>4996</v>
      </c>
      <c r="C5299" s="405" t="s">
        <v>327</v>
      </c>
      <c r="D5299" s="405"/>
      <c r="E5299" s="410">
        <v>41619</v>
      </c>
      <c r="F5299" s="410">
        <v>41664</v>
      </c>
      <c r="G5299" s="405" t="s">
        <v>4997</v>
      </c>
      <c r="H5299" s="405">
        <v>755807162</v>
      </c>
      <c r="I5299" s="405"/>
      <c r="J5299" s="405">
        <v>0.31493500000000002</v>
      </c>
      <c r="K5299" s="405">
        <v>33.103448</v>
      </c>
      <c r="L5299" s="405" t="s">
        <v>314</v>
      </c>
      <c r="M5299" s="405" t="s">
        <v>349</v>
      </c>
      <c r="N5299" s="405" t="s">
        <v>473</v>
      </c>
      <c r="O5299" s="405" t="s">
        <v>1062</v>
      </c>
      <c r="P5299" s="405" t="s">
        <v>1062</v>
      </c>
      <c r="Q5299" s="411">
        <v>6</v>
      </c>
      <c r="R5299" s="405" t="s">
        <v>1263</v>
      </c>
      <c r="S5299" s="405" t="s">
        <v>27237</v>
      </c>
      <c r="T5299" s="405" t="s">
        <v>32102</v>
      </c>
      <c r="U5299" s="405" t="s">
        <v>319</v>
      </c>
    </row>
    <row r="5300" spans="1:21" x14ac:dyDescent="0.25">
      <c r="A5300" s="405" t="s">
        <v>310</v>
      </c>
      <c r="B5300" s="405" t="s">
        <v>18864</v>
      </c>
      <c r="C5300" s="405" t="s">
        <v>327</v>
      </c>
      <c r="D5300" s="405"/>
      <c r="E5300" s="410">
        <v>41619</v>
      </c>
      <c r="F5300" s="410">
        <v>41664</v>
      </c>
      <c r="G5300" s="405" t="s">
        <v>18865</v>
      </c>
      <c r="H5300" s="405">
        <v>772870510</v>
      </c>
      <c r="I5300" s="405"/>
      <c r="J5300" s="405">
        <v>2.2421107</v>
      </c>
      <c r="K5300" s="405">
        <v>32.894608300000002</v>
      </c>
      <c r="L5300" s="405" t="s">
        <v>860</v>
      </c>
      <c r="M5300" s="405" t="s">
        <v>18234</v>
      </c>
      <c r="N5300" s="405" t="s">
        <v>18252</v>
      </c>
      <c r="O5300" s="405" t="s">
        <v>18234</v>
      </c>
      <c r="P5300" s="405" t="s">
        <v>18866</v>
      </c>
      <c r="Q5300" s="411">
        <v>6</v>
      </c>
      <c r="R5300" s="405" t="s">
        <v>525</v>
      </c>
      <c r="S5300" s="405" t="s">
        <v>27193</v>
      </c>
      <c r="T5300" s="405" t="s">
        <v>32102</v>
      </c>
      <c r="U5300" s="405" t="s">
        <v>319</v>
      </c>
    </row>
    <row r="5301" spans="1:21" x14ac:dyDescent="0.25">
      <c r="A5301" s="405" t="s">
        <v>310</v>
      </c>
      <c r="B5301" s="405" t="s">
        <v>28795</v>
      </c>
      <c r="C5301" s="405" t="s">
        <v>327</v>
      </c>
      <c r="D5301" s="405"/>
      <c r="E5301" s="410">
        <v>41619</v>
      </c>
      <c r="F5301" s="410">
        <v>41664</v>
      </c>
      <c r="G5301" s="405" t="s">
        <v>4998</v>
      </c>
      <c r="H5301" s="405">
        <v>782148802</v>
      </c>
      <c r="I5301" s="405"/>
      <c r="J5301" s="405">
        <v>0.51316799999999996</v>
      </c>
      <c r="K5301" s="405">
        <v>33.081957000000003</v>
      </c>
      <c r="L5301" s="405" t="s">
        <v>314</v>
      </c>
      <c r="M5301" s="405" t="s">
        <v>349</v>
      </c>
      <c r="N5301" s="405" t="s">
        <v>405</v>
      </c>
      <c r="O5301" s="405" t="s">
        <v>2107</v>
      </c>
      <c r="P5301" s="405" t="s">
        <v>4999</v>
      </c>
      <c r="Q5301" s="411">
        <v>6</v>
      </c>
      <c r="R5301" s="405" t="s">
        <v>1623</v>
      </c>
      <c r="S5301" s="405" t="s">
        <v>27036</v>
      </c>
      <c r="T5301" s="405" t="s">
        <v>32102</v>
      </c>
      <c r="U5301" s="405" t="s">
        <v>319</v>
      </c>
    </row>
    <row r="5302" spans="1:21" x14ac:dyDescent="0.25">
      <c r="A5302" s="405" t="s">
        <v>310</v>
      </c>
      <c r="B5302" s="405" t="s">
        <v>21468</v>
      </c>
      <c r="C5302" s="405" t="s">
        <v>327</v>
      </c>
      <c r="D5302" s="405"/>
      <c r="E5302" s="410">
        <v>41618</v>
      </c>
      <c r="F5302" s="410">
        <v>41663</v>
      </c>
      <c r="G5302" s="405" t="s">
        <v>21469</v>
      </c>
      <c r="H5302" s="405">
        <v>782386572</v>
      </c>
      <c r="I5302" s="405"/>
      <c r="J5302" s="405">
        <v>-0.84373600000000004</v>
      </c>
      <c r="K5302" s="405">
        <v>29.952221000000002</v>
      </c>
      <c r="L5302" s="405" t="s">
        <v>590</v>
      </c>
      <c r="M5302" s="405" t="s">
        <v>19619</v>
      </c>
      <c r="N5302" s="405" t="s">
        <v>19620</v>
      </c>
      <c r="O5302" s="405" t="s">
        <v>2430</v>
      </c>
      <c r="P5302" s="405" t="s">
        <v>21470</v>
      </c>
      <c r="Q5302" s="411">
        <v>13</v>
      </c>
      <c r="R5302" s="405" t="s">
        <v>883</v>
      </c>
      <c r="S5302" s="405" t="s">
        <v>27160</v>
      </c>
      <c r="T5302" s="405" t="s">
        <v>32102</v>
      </c>
      <c r="U5302" s="405" t="s">
        <v>319</v>
      </c>
    </row>
    <row r="5303" spans="1:21" x14ac:dyDescent="0.25">
      <c r="A5303" s="405" t="s">
        <v>310</v>
      </c>
      <c r="B5303" s="405" t="s">
        <v>21673</v>
      </c>
      <c r="C5303" s="405" t="s">
        <v>311</v>
      </c>
      <c r="D5303" s="405" t="s">
        <v>839</v>
      </c>
      <c r="E5303" s="410">
        <v>41618</v>
      </c>
      <c r="F5303" s="410">
        <v>41663</v>
      </c>
      <c r="G5303" s="405" t="s">
        <v>21674</v>
      </c>
      <c r="H5303" s="405">
        <v>703718378</v>
      </c>
      <c r="I5303" s="405">
        <v>775104529</v>
      </c>
      <c r="J5303" s="405">
        <v>-0.282829</v>
      </c>
      <c r="K5303" s="405">
        <v>30.746096999999999</v>
      </c>
      <c r="L5303" s="405" t="s">
        <v>590</v>
      </c>
      <c r="M5303" s="405" t="s">
        <v>19705</v>
      </c>
      <c r="N5303" s="405" t="s">
        <v>19706</v>
      </c>
      <c r="O5303" s="405" t="s">
        <v>21675</v>
      </c>
      <c r="P5303" s="405" t="s">
        <v>21676</v>
      </c>
      <c r="Q5303" s="411">
        <v>9</v>
      </c>
      <c r="R5303" s="405" t="s">
        <v>874</v>
      </c>
      <c r="S5303" s="405" t="s">
        <v>27249</v>
      </c>
      <c r="T5303" s="405" t="s">
        <v>32102</v>
      </c>
      <c r="U5303" s="405" t="s">
        <v>319</v>
      </c>
    </row>
    <row r="5304" spans="1:21" x14ac:dyDescent="0.25">
      <c r="A5304" s="405" t="s">
        <v>310</v>
      </c>
      <c r="B5304" s="405" t="s">
        <v>4985</v>
      </c>
      <c r="C5304" s="405" t="s">
        <v>327</v>
      </c>
      <c r="D5304" s="405"/>
      <c r="E5304" s="410">
        <v>41618</v>
      </c>
      <c r="F5304" s="410">
        <v>41663</v>
      </c>
      <c r="G5304" s="405" t="s">
        <v>4986</v>
      </c>
      <c r="H5304" s="405">
        <v>772390350</v>
      </c>
      <c r="I5304" s="405"/>
      <c r="J5304" s="405">
        <v>0.90109300000000003</v>
      </c>
      <c r="K5304" s="405">
        <v>31.694230000000001</v>
      </c>
      <c r="L5304" s="405" t="s">
        <v>314</v>
      </c>
      <c r="M5304" s="405" t="s">
        <v>1360</v>
      </c>
      <c r="N5304" s="405" t="s">
        <v>1361</v>
      </c>
      <c r="O5304" s="405" t="s">
        <v>4987</v>
      </c>
      <c r="P5304" s="405" t="s">
        <v>4988</v>
      </c>
      <c r="Q5304" s="411">
        <v>9</v>
      </c>
      <c r="R5304" s="405" t="s">
        <v>32476</v>
      </c>
      <c r="S5304" s="405" t="s">
        <v>27189</v>
      </c>
      <c r="T5304" s="405" t="s">
        <v>865</v>
      </c>
      <c r="U5304" s="405" t="s">
        <v>866</v>
      </c>
    </row>
    <row r="5305" spans="1:21" x14ac:dyDescent="0.25">
      <c r="A5305" s="405" t="s">
        <v>310</v>
      </c>
      <c r="B5305" s="405" t="s">
        <v>28972</v>
      </c>
      <c r="C5305" s="405" t="s">
        <v>327</v>
      </c>
      <c r="D5305" s="405"/>
      <c r="E5305" s="410">
        <v>41618</v>
      </c>
      <c r="F5305" s="410">
        <v>41663</v>
      </c>
      <c r="G5305" s="405" t="s">
        <v>21463</v>
      </c>
      <c r="H5305" s="405">
        <v>775015199</v>
      </c>
      <c r="I5305" s="405"/>
      <c r="J5305" s="405">
        <v>-0.750641</v>
      </c>
      <c r="K5305" s="405">
        <v>29.878046000000001</v>
      </c>
      <c r="L5305" s="405" t="s">
        <v>590</v>
      </c>
      <c r="M5305" s="405" t="s">
        <v>19619</v>
      </c>
      <c r="N5305" s="405" t="s">
        <v>19793</v>
      </c>
      <c r="O5305" s="405" t="s">
        <v>19794</v>
      </c>
      <c r="P5305" s="405" t="s">
        <v>21464</v>
      </c>
      <c r="Q5305" s="411">
        <v>6</v>
      </c>
      <c r="R5305" s="405" t="s">
        <v>1527</v>
      </c>
      <c r="S5305" s="405" t="s">
        <v>27132</v>
      </c>
      <c r="T5305" s="405" t="s">
        <v>32102</v>
      </c>
      <c r="U5305" s="405" t="s">
        <v>319</v>
      </c>
    </row>
    <row r="5306" spans="1:21" x14ac:dyDescent="0.25">
      <c r="A5306" s="405" t="s">
        <v>310</v>
      </c>
      <c r="B5306" s="405" t="s">
        <v>13269</v>
      </c>
      <c r="C5306" s="405" t="s">
        <v>327</v>
      </c>
      <c r="D5306" s="405"/>
      <c r="E5306" s="410">
        <v>41618</v>
      </c>
      <c r="F5306" s="410">
        <v>41663</v>
      </c>
      <c r="G5306" s="405" t="s">
        <v>13270</v>
      </c>
      <c r="H5306" s="405">
        <v>752565113</v>
      </c>
      <c r="I5306" s="405"/>
      <c r="J5306" s="405">
        <v>1.1878869999999999</v>
      </c>
      <c r="K5306" s="405">
        <v>34.193637000000003</v>
      </c>
      <c r="L5306" s="405" t="s">
        <v>6866</v>
      </c>
      <c r="M5306" s="405" t="s">
        <v>9575</v>
      </c>
      <c r="N5306" s="405" t="s">
        <v>9852</v>
      </c>
      <c r="O5306" s="405" t="s">
        <v>9853</v>
      </c>
      <c r="P5306" s="405" t="s">
        <v>13271</v>
      </c>
      <c r="Q5306" s="411">
        <v>6</v>
      </c>
      <c r="R5306" s="405" t="s">
        <v>9541</v>
      </c>
      <c r="S5306" s="405" t="s">
        <v>27086</v>
      </c>
      <c r="T5306" s="405" t="s">
        <v>865</v>
      </c>
      <c r="U5306" s="405" t="s">
        <v>866</v>
      </c>
    </row>
    <row r="5307" spans="1:21" x14ac:dyDescent="0.25">
      <c r="A5307" s="405" t="s">
        <v>310</v>
      </c>
      <c r="B5307" s="405" t="s">
        <v>13224</v>
      </c>
      <c r="C5307" s="405" t="s">
        <v>327</v>
      </c>
      <c r="D5307" s="405"/>
      <c r="E5307" s="410">
        <v>41618</v>
      </c>
      <c r="F5307" s="410">
        <v>41663</v>
      </c>
      <c r="G5307" s="405" t="s">
        <v>13225</v>
      </c>
      <c r="H5307" s="405">
        <v>774870588</v>
      </c>
      <c r="I5307" s="405"/>
      <c r="J5307" s="405">
        <v>0.90797099999999997</v>
      </c>
      <c r="K5307" s="405">
        <v>34.234479</v>
      </c>
      <c r="L5307" s="405" t="s">
        <v>6866</v>
      </c>
      <c r="M5307" s="405" t="s">
        <v>9763</v>
      </c>
      <c r="N5307" s="405" t="s">
        <v>13226</v>
      </c>
      <c r="O5307" s="405" t="s">
        <v>11680</v>
      </c>
      <c r="P5307" s="405" t="s">
        <v>13227</v>
      </c>
      <c r="Q5307" s="411">
        <v>6</v>
      </c>
      <c r="R5307" s="405" t="s">
        <v>7224</v>
      </c>
      <c r="S5307" s="405" t="s">
        <v>27073</v>
      </c>
      <c r="T5307" s="405" t="s">
        <v>32102</v>
      </c>
      <c r="U5307" s="405" t="s">
        <v>319</v>
      </c>
    </row>
    <row r="5308" spans="1:21" x14ac:dyDescent="0.25">
      <c r="A5308" s="405" t="s">
        <v>310</v>
      </c>
      <c r="B5308" s="405" t="s">
        <v>13228</v>
      </c>
      <c r="C5308" s="405" t="s">
        <v>327</v>
      </c>
      <c r="D5308" s="405"/>
      <c r="E5308" s="410">
        <v>41617</v>
      </c>
      <c r="F5308" s="410">
        <v>41662</v>
      </c>
      <c r="G5308" s="405" t="s">
        <v>13229</v>
      </c>
      <c r="H5308" s="405">
        <v>772971137</v>
      </c>
      <c r="I5308" s="405"/>
      <c r="J5308" s="405">
        <v>1.9359630000000001</v>
      </c>
      <c r="K5308" s="405">
        <v>34.024524999999997</v>
      </c>
      <c r="L5308" s="405" t="s">
        <v>6866</v>
      </c>
      <c r="M5308" s="405" t="s">
        <v>11355</v>
      </c>
      <c r="N5308" s="405" t="s">
        <v>11356</v>
      </c>
      <c r="O5308" s="405" t="s">
        <v>11355</v>
      </c>
      <c r="P5308" s="405" t="s">
        <v>13230</v>
      </c>
      <c r="Q5308" s="411">
        <v>6</v>
      </c>
      <c r="R5308" s="405" t="s">
        <v>5655</v>
      </c>
      <c r="S5308" s="405" t="s">
        <v>27337</v>
      </c>
      <c r="T5308" s="405" t="s">
        <v>32102</v>
      </c>
      <c r="U5308" s="405" t="s">
        <v>319</v>
      </c>
    </row>
    <row r="5309" spans="1:21" x14ac:dyDescent="0.25">
      <c r="A5309" s="405" t="s">
        <v>310</v>
      </c>
      <c r="B5309" s="405" t="s">
        <v>4957</v>
      </c>
      <c r="C5309" s="405" t="s">
        <v>327</v>
      </c>
      <c r="D5309" s="405"/>
      <c r="E5309" s="410">
        <v>41615</v>
      </c>
      <c r="F5309" s="410">
        <v>41660</v>
      </c>
      <c r="G5309" s="405" t="s">
        <v>4958</v>
      </c>
      <c r="H5309" s="405">
        <v>752896769</v>
      </c>
      <c r="I5309" s="405"/>
      <c r="J5309" s="405">
        <v>0.36760199999999998</v>
      </c>
      <c r="K5309" s="405">
        <v>32.122705000000003</v>
      </c>
      <c r="L5309" s="405" t="s">
        <v>314</v>
      </c>
      <c r="M5309" s="405" t="s">
        <v>675</v>
      </c>
      <c r="N5309" s="405" t="s">
        <v>676</v>
      </c>
      <c r="O5309" s="405" t="s">
        <v>2342</v>
      </c>
      <c r="P5309" s="405" t="s">
        <v>2822</v>
      </c>
      <c r="Q5309" s="411">
        <v>13</v>
      </c>
      <c r="R5309" s="405" t="s">
        <v>32476</v>
      </c>
      <c r="S5309" s="405" t="s">
        <v>27036</v>
      </c>
      <c r="T5309" s="405" t="s">
        <v>32102</v>
      </c>
      <c r="U5309" s="405" t="s">
        <v>319</v>
      </c>
    </row>
    <row r="5310" spans="1:21" x14ac:dyDescent="0.25">
      <c r="A5310" s="405" t="s">
        <v>310</v>
      </c>
      <c r="B5310" s="405" t="s">
        <v>27605</v>
      </c>
      <c r="C5310" s="405" t="s">
        <v>311</v>
      </c>
      <c r="D5310" s="405" t="s">
        <v>3381</v>
      </c>
      <c r="E5310" s="410">
        <v>41615</v>
      </c>
      <c r="F5310" s="410">
        <v>41660</v>
      </c>
      <c r="G5310" s="405" t="s">
        <v>13630</v>
      </c>
      <c r="H5310" s="405">
        <v>774818898</v>
      </c>
      <c r="I5310" s="405"/>
      <c r="J5310" s="405">
        <v>1.1703730000000001</v>
      </c>
      <c r="K5310" s="405">
        <v>33.80612</v>
      </c>
      <c r="L5310" s="405" t="s">
        <v>6866</v>
      </c>
      <c r="M5310" s="405" t="s">
        <v>9509</v>
      </c>
      <c r="N5310" s="405" t="s">
        <v>9804</v>
      </c>
      <c r="O5310" s="405" t="s">
        <v>9804</v>
      </c>
      <c r="P5310" s="405" t="s">
        <v>13631</v>
      </c>
      <c r="Q5310" s="411">
        <v>6</v>
      </c>
      <c r="R5310" s="405" t="s">
        <v>9541</v>
      </c>
      <c r="S5310" s="405" t="s">
        <v>27315</v>
      </c>
      <c r="T5310" s="405" t="s">
        <v>32102</v>
      </c>
      <c r="U5310" s="405" t="s">
        <v>319</v>
      </c>
    </row>
    <row r="5311" spans="1:21" x14ac:dyDescent="0.25">
      <c r="A5311" s="405" t="s">
        <v>310</v>
      </c>
      <c r="B5311" s="405" t="s">
        <v>21471</v>
      </c>
      <c r="C5311" s="405" t="s">
        <v>327</v>
      </c>
      <c r="D5311" s="405"/>
      <c r="E5311" s="410">
        <v>41614</v>
      </c>
      <c r="F5311" s="410">
        <v>41659</v>
      </c>
      <c r="G5311" s="405" t="s">
        <v>21472</v>
      </c>
      <c r="H5311" s="405">
        <v>772845319</v>
      </c>
      <c r="I5311" s="405"/>
      <c r="J5311" s="405">
        <v>-0.81787200000000004</v>
      </c>
      <c r="K5311" s="405">
        <v>30.27309</v>
      </c>
      <c r="L5311" s="405" t="s">
        <v>590</v>
      </c>
      <c r="M5311" s="405" t="s">
        <v>19659</v>
      </c>
      <c r="N5311" s="405" t="s">
        <v>19968</v>
      </c>
      <c r="O5311" s="405" t="s">
        <v>19659</v>
      </c>
      <c r="P5311" s="405" t="s">
        <v>21473</v>
      </c>
      <c r="Q5311" s="411">
        <v>9</v>
      </c>
      <c r="R5311" s="405" t="s">
        <v>6572</v>
      </c>
      <c r="S5311" s="405" t="s">
        <v>27166</v>
      </c>
      <c r="T5311" s="405" t="s">
        <v>32102</v>
      </c>
      <c r="U5311" s="405" t="s">
        <v>319</v>
      </c>
    </row>
    <row r="5312" spans="1:21" x14ac:dyDescent="0.25">
      <c r="A5312" s="405" t="s">
        <v>310</v>
      </c>
      <c r="B5312" s="405" t="s">
        <v>27988</v>
      </c>
      <c r="C5312" s="405" t="s">
        <v>327</v>
      </c>
      <c r="D5312" s="405"/>
      <c r="E5312" s="410">
        <v>41614</v>
      </c>
      <c r="F5312" s="410">
        <v>41659</v>
      </c>
      <c r="G5312" s="405" t="s">
        <v>4939</v>
      </c>
      <c r="H5312" s="405">
        <v>772606483</v>
      </c>
      <c r="I5312" s="405"/>
      <c r="J5312" s="405">
        <v>0.22128166666666665</v>
      </c>
      <c r="K5312" s="405">
        <v>32.335209999999996</v>
      </c>
      <c r="L5312" s="405" t="s">
        <v>314</v>
      </c>
      <c r="M5312" s="405" t="s">
        <v>321</v>
      </c>
      <c r="N5312" s="405" t="s">
        <v>322</v>
      </c>
      <c r="O5312" s="405" t="s">
        <v>2436</v>
      </c>
      <c r="P5312" s="405" t="s">
        <v>4940</v>
      </c>
      <c r="Q5312" s="411">
        <v>6</v>
      </c>
      <c r="R5312" s="405" t="s">
        <v>318</v>
      </c>
      <c r="S5312" s="405" t="s">
        <v>27135</v>
      </c>
      <c r="T5312" s="405" t="s">
        <v>32102</v>
      </c>
      <c r="U5312" s="405" t="s">
        <v>319</v>
      </c>
    </row>
    <row r="5313" spans="1:21" x14ac:dyDescent="0.25">
      <c r="A5313" s="405" t="s">
        <v>310</v>
      </c>
      <c r="B5313" s="405" t="s">
        <v>5524</v>
      </c>
      <c r="C5313" s="405" t="s">
        <v>311</v>
      </c>
      <c r="D5313" s="405" t="s">
        <v>1789</v>
      </c>
      <c r="E5313" s="410">
        <v>41614</v>
      </c>
      <c r="F5313" s="410">
        <v>41659</v>
      </c>
      <c r="G5313" s="405" t="s">
        <v>5525</v>
      </c>
      <c r="H5313" s="405">
        <v>782366039</v>
      </c>
      <c r="I5313" s="405"/>
      <c r="J5313" s="405">
        <v>1.0153570000000001</v>
      </c>
      <c r="K5313" s="405">
        <v>31.641400000000001</v>
      </c>
      <c r="L5313" s="405" t="s">
        <v>314</v>
      </c>
      <c r="M5313" s="405" t="s">
        <v>1360</v>
      </c>
      <c r="N5313" s="405" t="s">
        <v>1361</v>
      </c>
      <c r="O5313" s="405" t="s">
        <v>3565</v>
      </c>
      <c r="P5313" s="405" t="s">
        <v>5432</v>
      </c>
      <c r="Q5313" s="411">
        <v>6</v>
      </c>
      <c r="R5313" s="405" t="s">
        <v>1263</v>
      </c>
      <c r="S5313" s="405" t="s">
        <v>27178</v>
      </c>
      <c r="T5313" s="405" t="s">
        <v>32102</v>
      </c>
      <c r="U5313" s="405" t="s">
        <v>319</v>
      </c>
    </row>
    <row r="5314" spans="1:21" x14ac:dyDescent="0.25">
      <c r="A5314" s="405" t="s">
        <v>310</v>
      </c>
      <c r="B5314" s="405" t="s">
        <v>13294</v>
      </c>
      <c r="C5314" s="405" t="s">
        <v>327</v>
      </c>
      <c r="D5314" s="405"/>
      <c r="E5314" s="410">
        <v>41614</v>
      </c>
      <c r="F5314" s="410">
        <v>41659</v>
      </c>
      <c r="G5314" s="405" t="s">
        <v>13295</v>
      </c>
      <c r="H5314" s="405">
        <v>773194766</v>
      </c>
      <c r="I5314" s="405"/>
      <c r="J5314" s="405">
        <v>0.994618</v>
      </c>
      <c r="K5314" s="405">
        <v>34.318902999999999</v>
      </c>
      <c r="L5314" s="405" t="s">
        <v>6866</v>
      </c>
      <c r="M5314" s="405" t="s">
        <v>9763</v>
      </c>
      <c r="N5314" s="405" t="s">
        <v>9764</v>
      </c>
      <c r="O5314" s="405" t="s">
        <v>1590</v>
      </c>
      <c r="P5314" s="405" t="s">
        <v>13296</v>
      </c>
      <c r="Q5314" s="411">
        <v>6</v>
      </c>
      <c r="R5314" s="405" t="s">
        <v>7224</v>
      </c>
      <c r="S5314" s="405" t="s">
        <v>27259</v>
      </c>
      <c r="T5314" s="405" t="s">
        <v>32102</v>
      </c>
      <c r="U5314" s="405" t="s">
        <v>319</v>
      </c>
    </row>
    <row r="5315" spans="1:21" x14ac:dyDescent="0.25">
      <c r="A5315" s="405" t="s">
        <v>310</v>
      </c>
      <c r="B5315" s="405" t="s">
        <v>28729</v>
      </c>
      <c r="C5315" s="405" t="s">
        <v>327</v>
      </c>
      <c r="D5315" s="405"/>
      <c r="E5315" s="410">
        <v>41614</v>
      </c>
      <c r="F5315" s="410">
        <v>41659</v>
      </c>
      <c r="G5315" s="405" t="s">
        <v>18857</v>
      </c>
      <c r="H5315" s="405">
        <v>782860186</v>
      </c>
      <c r="I5315" s="405">
        <v>771675163</v>
      </c>
      <c r="J5315" s="405">
        <v>2.2459403999999998</v>
      </c>
      <c r="K5315" s="405">
        <v>32.895831999999999</v>
      </c>
      <c r="L5315" s="405" t="s">
        <v>860</v>
      </c>
      <c r="M5315" s="405" t="s">
        <v>18234</v>
      </c>
      <c r="N5315" s="405" t="s">
        <v>18252</v>
      </c>
      <c r="O5315" s="405" t="s">
        <v>18234</v>
      </c>
      <c r="P5315" s="405" t="s">
        <v>18647</v>
      </c>
      <c r="Q5315" s="411">
        <v>4</v>
      </c>
      <c r="R5315" s="405" t="s">
        <v>525</v>
      </c>
      <c r="S5315" s="405" t="s">
        <v>27229</v>
      </c>
      <c r="T5315" s="405" t="s">
        <v>32102</v>
      </c>
      <c r="U5315" s="405" t="s">
        <v>319</v>
      </c>
    </row>
    <row r="5316" spans="1:21" x14ac:dyDescent="0.25">
      <c r="A5316" s="405" t="s">
        <v>310</v>
      </c>
      <c r="B5316" s="405" t="s">
        <v>21465</v>
      </c>
      <c r="C5316" s="405" t="s">
        <v>327</v>
      </c>
      <c r="D5316" s="405"/>
      <c r="E5316" s="410">
        <v>41613</v>
      </c>
      <c r="F5316" s="410">
        <v>41658</v>
      </c>
      <c r="G5316" s="405" t="s">
        <v>21466</v>
      </c>
      <c r="H5316" s="405">
        <v>772576343</v>
      </c>
      <c r="I5316" s="405"/>
      <c r="J5316" s="405">
        <v>-1.0523549999999999</v>
      </c>
      <c r="K5316" s="405">
        <v>30.232963999999999</v>
      </c>
      <c r="L5316" s="405" t="s">
        <v>590</v>
      </c>
      <c r="M5316" s="405" t="s">
        <v>19659</v>
      </c>
      <c r="N5316" s="405" t="s">
        <v>19677</v>
      </c>
      <c r="O5316" s="405" t="s">
        <v>2520</v>
      </c>
      <c r="P5316" s="405" t="s">
        <v>21467</v>
      </c>
      <c r="Q5316" s="411">
        <v>9</v>
      </c>
      <c r="R5316" s="405" t="s">
        <v>1527</v>
      </c>
      <c r="S5316" s="405" t="s">
        <v>27161</v>
      </c>
      <c r="T5316" s="405" t="s">
        <v>32102</v>
      </c>
      <c r="U5316" s="405" t="s">
        <v>319</v>
      </c>
    </row>
    <row r="5317" spans="1:21" x14ac:dyDescent="0.25">
      <c r="A5317" s="405" t="s">
        <v>310</v>
      </c>
      <c r="B5317" s="405" t="s">
        <v>5014</v>
      </c>
      <c r="C5317" s="405" t="s">
        <v>327</v>
      </c>
      <c r="D5317" s="405"/>
      <c r="E5317" s="410">
        <v>41613</v>
      </c>
      <c r="F5317" s="410">
        <v>41658</v>
      </c>
      <c r="G5317" s="405" t="s">
        <v>5015</v>
      </c>
      <c r="H5317" s="405">
        <v>789853991</v>
      </c>
      <c r="I5317" s="405"/>
      <c r="J5317" s="405">
        <v>0.94150199999999995</v>
      </c>
      <c r="K5317" s="405">
        <v>31.623137</v>
      </c>
      <c r="L5317" s="405" t="s">
        <v>314</v>
      </c>
      <c r="M5317" s="405" t="s">
        <v>1360</v>
      </c>
      <c r="N5317" s="405" t="s">
        <v>1361</v>
      </c>
      <c r="O5317" s="405" t="s">
        <v>5016</v>
      </c>
      <c r="P5317" s="405" t="s">
        <v>5013</v>
      </c>
      <c r="Q5317" s="411">
        <v>9</v>
      </c>
      <c r="R5317" s="405" t="s">
        <v>1263</v>
      </c>
      <c r="S5317" s="405" t="s">
        <v>27047</v>
      </c>
      <c r="T5317" s="405" t="s">
        <v>32102</v>
      </c>
      <c r="U5317" s="405" t="s">
        <v>319</v>
      </c>
    </row>
    <row r="5318" spans="1:21" x14ac:dyDescent="0.25">
      <c r="A5318" s="405" t="s">
        <v>310</v>
      </c>
      <c r="B5318" s="405" t="s">
        <v>18848</v>
      </c>
      <c r="C5318" s="405" t="s">
        <v>327</v>
      </c>
      <c r="D5318" s="405"/>
      <c r="E5318" s="410">
        <v>41613</v>
      </c>
      <c r="F5318" s="410">
        <v>41658</v>
      </c>
      <c r="G5318" s="405" t="s">
        <v>18849</v>
      </c>
      <c r="H5318" s="405">
        <v>772589118</v>
      </c>
      <c r="I5318" s="405">
        <v>782142991</v>
      </c>
      <c r="J5318" s="405">
        <v>2.2345855999999999</v>
      </c>
      <c r="K5318" s="405">
        <v>32.893220200000002</v>
      </c>
      <c r="L5318" s="405" t="s">
        <v>860</v>
      </c>
      <c r="M5318" s="405" t="s">
        <v>18234</v>
      </c>
      <c r="N5318" s="405" t="s">
        <v>18252</v>
      </c>
      <c r="O5318" s="405" t="s">
        <v>18253</v>
      </c>
      <c r="P5318" s="405" t="s">
        <v>18850</v>
      </c>
      <c r="Q5318" s="411">
        <v>6</v>
      </c>
      <c r="R5318" s="405" t="s">
        <v>318</v>
      </c>
      <c r="S5318" s="405" t="s">
        <v>27343</v>
      </c>
      <c r="T5318" s="405" t="s">
        <v>865</v>
      </c>
      <c r="U5318" s="405" t="s">
        <v>866</v>
      </c>
    </row>
    <row r="5319" spans="1:21" x14ac:dyDescent="0.25">
      <c r="A5319" s="405" t="s">
        <v>310</v>
      </c>
      <c r="B5319" s="405" t="s">
        <v>4917</v>
      </c>
      <c r="C5319" s="405" t="s">
        <v>327</v>
      </c>
      <c r="D5319" s="405"/>
      <c r="E5319" s="410">
        <v>41613</v>
      </c>
      <c r="F5319" s="410">
        <v>41658</v>
      </c>
      <c r="G5319" s="405" t="s">
        <v>4918</v>
      </c>
      <c r="H5319" s="405">
        <v>782922483</v>
      </c>
      <c r="I5319" s="405">
        <v>772653508</v>
      </c>
      <c r="J5319" s="405">
        <v>-0.45971699999999999</v>
      </c>
      <c r="K5319" s="405">
        <v>31.529859999999999</v>
      </c>
      <c r="L5319" s="405" t="s">
        <v>314</v>
      </c>
      <c r="M5319" s="405" t="s">
        <v>1189</v>
      </c>
      <c r="N5319" s="405" t="s">
        <v>1476</v>
      </c>
      <c r="O5319" s="405" t="s">
        <v>1553</v>
      </c>
      <c r="P5319" s="405" t="s">
        <v>4875</v>
      </c>
      <c r="Q5319" s="411">
        <v>6</v>
      </c>
      <c r="R5319" s="405" t="s">
        <v>1263</v>
      </c>
      <c r="S5319" s="405" t="s">
        <v>27202</v>
      </c>
      <c r="T5319" s="405" t="s">
        <v>32102</v>
      </c>
      <c r="U5319" s="405" t="s">
        <v>319</v>
      </c>
    </row>
    <row r="5320" spans="1:21" x14ac:dyDescent="0.25">
      <c r="A5320" s="405" t="s">
        <v>310</v>
      </c>
      <c r="B5320" s="405" t="s">
        <v>18869</v>
      </c>
      <c r="C5320" s="405" t="s">
        <v>327</v>
      </c>
      <c r="D5320" s="405"/>
      <c r="E5320" s="410">
        <v>41613</v>
      </c>
      <c r="F5320" s="410">
        <v>41658</v>
      </c>
      <c r="G5320" s="405" t="s">
        <v>18870</v>
      </c>
      <c r="H5320" s="405">
        <v>783416742</v>
      </c>
      <c r="I5320" s="405">
        <v>778210286</v>
      </c>
      <c r="J5320" s="405">
        <v>2.4506239999999999</v>
      </c>
      <c r="K5320" s="405">
        <v>33.214162999999999</v>
      </c>
      <c r="L5320" s="405" t="s">
        <v>860</v>
      </c>
      <c r="M5320" s="405" t="s">
        <v>18821</v>
      </c>
      <c r="N5320" s="405" t="s">
        <v>18822</v>
      </c>
      <c r="O5320" s="405" t="s">
        <v>18823</v>
      </c>
      <c r="P5320" s="405" t="s">
        <v>18871</v>
      </c>
      <c r="Q5320" s="411">
        <v>6</v>
      </c>
      <c r="R5320" s="405" t="s">
        <v>318</v>
      </c>
      <c r="S5320" s="405" t="s">
        <v>27343</v>
      </c>
      <c r="T5320" s="405" t="s">
        <v>32102</v>
      </c>
      <c r="U5320" s="405" t="s">
        <v>319</v>
      </c>
    </row>
    <row r="5321" spans="1:21" x14ac:dyDescent="0.25">
      <c r="A5321" s="405" t="s">
        <v>310</v>
      </c>
      <c r="B5321" s="405" t="s">
        <v>4944</v>
      </c>
      <c r="C5321" s="405" t="s">
        <v>327</v>
      </c>
      <c r="D5321" s="405"/>
      <c r="E5321" s="410">
        <v>41612</v>
      </c>
      <c r="F5321" s="410">
        <v>41657</v>
      </c>
      <c r="G5321" s="405" t="s">
        <v>4945</v>
      </c>
      <c r="H5321" s="405">
        <v>772350293</v>
      </c>
      <c r="I5321" s="405">
        <v>702982134</v>
      </c>
      <c r="J5321" s="405">
        <v>-9.0929999999999997E-2</v>
      </c>
      <c r="K5321" s="405">
        <v>31.949549300000001</v>
      </c>
      <c r="L5321" s="405" t="s">
        <v>314</v>
      </c>
      <c r="M5321" s="405" t="s">
        <v>900</v>
      </c>
      <c r="N5321" s="405" t="s">
        <v>900</v>
      </c>
      <c r="O5321" s="405" t="s">
        <v>1302</v>
      </c>
      <c r="P5321" s="405" t="s">
        <v>4946</v>
      </c>
      <c r="Q5321" s="411">
        <v>9</v>
      </c>
      <c r="R5321" s="405" t="s">
        <v>1263</v>
      </c>
      <c r="S5321" s="405" t="s">
        <v>27045</v>
      </c>
      <c r="T5321" s="405" t="s">
        <v>32102</v>
      </c>
      <c r="U5321" s="405" t="s">
        <v>319</v>
      </c>
    </row>
    <row r="5322" spans="1:21" x14ac:dyDescent="0.25">
      <c r="A5322" s="405" t="s">
        <v>310</v>
      </c>
      <c r="B5322" s="405" t="s">
        <v>5002</v>
      </c>
      <c r="C5322" s="405" t="s">
        <v>327</v>
      </c>
      <c r="D5322" s="405"/>
      <c r="E5322" s="410">
        <v>41612</v>
      </c>
      <c r="F5322" s="410">
        <v>41657</v>
      </c>
      <c r="G5322" s="405" t="s">
        <v>5003</v>
      </c>
      <c r="H5322" s="405">
        <v>782768398</v>
      </c>
      <c r="I5322" s="405"/>
      <c r="J5322" s="405">
        <v>-0.25267333333333331</v>
      </c>
      <c r="K5322" s="405">
        <v>31.822016666666666</v>
      </c>
      <c r="L5322" s="405" t="s">
        <v>314</v>
      </c>
      <c r="M5322" s="405" t="s">
        <v>900</v>
      </c>
      <c r="N5322" s="405" t="s">
        <v>900</v>
      </c>
      <c r="O5322" s="405" t="s">
        <v>900</v>
      </c>
      <c r="P5322" s="405" t="s">
        <v>5004</v>
      </c>
      <c r="Q5322" s="411">
        <v>6</v>
      </c>
      <c r="R5322" s="405" t="s">
        <v>1263</v>
      </c>
      <c r="S5322" s="405" t="s">
        <v>27236</v>
      </c>
      <c r="T5322" s="405" t="s">
        <v>32212</v>
      </c>
      <c r="U5322" s="405" t="s">
        <v>2267</v>
      </c>
    </row>
    <row r="5323" spans="1:21" x14ac:dyDescent="0.25">
      <c r="A5323" s="405" t="s">
        <v>310</v>
      </c>
      <c r="B5323" s="405" t="s">
        <v>5526</v>
      </c>
      <c r="C5323" s="405" t="s">
        <v>311</v>
      </c>
      <c r="D5323" s="405" t="s">
        <v>1007</v>
      </c>
      <c r="E5323" s="410">
        <v>41610</v>
      </c>
      <c r="F5323" s="410">
        <v>41655</v>
      </c>
      <c r="G5323" s="405" t="s">
        <v>5527</v>
      </c>
      <c r="H5323" s="405">
        <v>784985883</v>
      </c>
      <c r="I5323" s="405"/>
      <c r="J5323" s="405">
        <v>0.89159299999999997</v>
      </c>
      <c r="K5323" s="405">
        <v>31.769774999999999</v>
      </c>
      <c r="L5323" s="405" t="s">
        <v>314</v>
      </c>
      <c r="M5323" s="405" t="s">
        <v>2537</v>
      </c>
      <c r="N5323" s="405" t="s">
        <v>2537</v>
      </c>
      <c r="O5323" s="405" t="s">
        <v>2537</v>
      </c>
      <c r="P5323" s="405" t="s">
        <v>5528</v>
      </c>
      <c r="Q5323" s="411">
        <v>6</v>
      </c>
      <c r="R5323" s="405" t="s">
        <v>1263</v>
      </c>
      <c r="S5323" s="405" t="s">
        <v>27185</v>
      </c>
      <c r="T5323" s="405" t="s">
        <v>32102</v>
      </c>
      <c r="U5323" s="405" t="s">
        <v>319</v>
      </c>
    </row>
    <row r="5324" spans="1:21" x14ac:dyDescent="0.25">
      <c r="A5324" s="405" t="s">
        <v>310</v>
      </c>
      <c r="B5324" s="405" t="s">
        <v>4975</v>
      </c>
      <c r="C5324" s="405" t="s">
        <v>327</v>
      </c>
      <c r="D5324" s="405"/>
      <c r="E5324" s="410">
        <v>41610</v>
      </c>
      <c r="F5324" s="410">
        <v>41655</v>
      </c>
      <c r="G5324" s="405" t="s">
        <v>4976</v>
      </c>
      <c r="H5324" s="405">
        <v>781417215</v>
      </c>
      <c r="I5324" s="405"/>
      <c r="J5324" s="405">
        <v>-0.32714579999999999</v>
      </c>
      <c r="K5324" s="405">
        <v>31.744658399999999</v>
      </c>
      <c r="L5324" s="405" t="s">
        <v>314</v>
      </c>
      <c r="M5324" s="405" t="s">
        <v>900</v>
      </c>
      <c r="N5324" s="405" t="s">
        <v>900</v>
      </c>
      <c r="O5324" s="405" t="s">
        <v>1302</v>
      </c>
      <c r="P5324" s="405" t="s">
        <v>4977</v>
      </c>
      <c r="Q5324" s="411">
        <v>6</v>
      </c>
      <c r="R5324" s="405" t="s">
        <v>1263</v>
      </c>
      <c r="S5324" s="405" t="s">
        <v>5986</v>
      </c>
      <c r="T5324" s="405" t="s">
        <v>32102</v>
      </c>
      <c r="U5324" s="405" t="s">
        <v>319</v>
      </c>
    </row>
    <row r="5325" spans="1:21" x14ac:dyDescent="0.25">
      <c r="A5325" s="405" t="s">
        <v>310</v>
      </c>
      <c r="B5325" s="405" t="s">
        <v>18858</v>
      </c>
      <c r="C5325" s="405" t="s">
        <v>327</v>
      </c>
      <c r="D5325" s="405"/>
      <c r="E5325" s="410">
        <v>41610</v>
      </c>
      <c r="F5325" s="410">
        <v>41655</v>
      </c>
      <c r="G5325" s="405" t="s">
        <v>18859</v>
      </c>
      <c r="H5325" s="405">
        <v>782792827</v>
      </c>
      <c r="I5325" s="405"/>
      <c r="J5325" s="405">
        <v>2.2123895999999998</v>
      </c>
      <c r="K5325" s="405">
        <v>32.896462999999997</v>
      </c>
      <c r="L5325" s="405" t="s">
        <v>860</v>
      </c>
      <c r="M5325" s="405" t="s">
        <v>18234</v>
      </c>
      <c r="N5325" s="405" t="s">
        <v>18252</v>
      </c>
      <c r="O5325" s="405" t="s">
        <v>18253</v>
      </c>
      <c r="P5325" s="405" t="s">
        <v>18860</v>
      </c>
      <c r="Q5325" s="411">
        <v>6</v>
      </c>
      <c r="R5325" s="405" t="s">
        <v>525</v>
      </c>
      <c r="S5325" s="405" t="s">
        <v>27171</v>
      </c>
      <c r="T5325" s="405" t="s">
        <v>865</v>
      </c>
      <c r="U5325" s="405" t="s">
        <v>866</v>
      </c>
    </row>
    <row r="5326" spans="1:21" x14ac:dyDescent="0.25">
      <c r="A5326" s="405" t="s">
        <v>310</v>
      </c>
      <c r="B5326" s="405" t="s">
        <v>21457</v>
      </c>
      <c r="C5326" s="405" t="s">
        <v>327</v>
      </c>
      <c r="D5326" s="405"/>
      <c r="E5326" s="410">
        <v>41609</v>
      </c>
      <c r="F5326" s="410">
        <v>41654</v>
      </c>
      <c r="G5326" s="405" t="s">
        <v>21458</v>
      </c>
      <c r="H5326" s="405">
        <v>704023798</v>
      </c>
      <c r="I5326" s="405">
        <v>701507908</v>
      </c>
      <c r="J5326" s="405">
        <v>-0.113745</v>
      </c>
      <c r="K5326" s="405">
        <v>30.65522</v>
      </c>
      <c r="L5326" s="405" t="s">
        <v>590</v>
      </c>
      <c r="M5326" s="405" t="s">
        <v>19705</v>
      </c>
      <c r="N5326" s="405" t="s">
        <v>21436</v>
      </c>
      <c r="O5326" s="405" t="s">
        <v>21459</v>
      </c>
      <c r="P5326" s="405" t="s">
        <v>21460</v>
      </c>
      <c r="Q5326" s="411">
        <v>9</v>
      </c>
      <c r="R5326" s="405" t="s">
        <v>874</v>
      </c>
      <c r="S5326" s="405" t="s">
        <v>27063</v>
      </c>
      <c r="T5326" s="405" t="s">
        <v>32102</v>
      </c>
      <c r="U5326" s="405" t="s">
        <v>319</v>
      </c>
    </row>
    <row r="5327" spans="1:21" x14ac:dyDescent="0.25">
      <c r="A5327" s="405" t="s">
        <v>310</v>
      </c>
      <c r="B5327" s="405" t="s">
        <v>18875</v>
      </c>
      <c r="C5327" s="405" t="s">
        <v>327</v>
      </c>
      <c r="D5327" s="405"/>
      <c r="E5327" s="410">
        <v>41609</v>
      </c>
      <c r="F5327" s="410">
        <v>41654</v>
      </c>
      <c r="G5327" s="405" t="s">
        <v>18876</v>
      </c>
      <c r="H5327" s="405">
        <v>772983492</v>
      </c>
      <c r="I5327" s="405"/>
      <c r="J5327" s="405">
        <v>2.2954029999999999</v>
      </c>
      <c r="K5327" s="405">
        <v>32.945785999999998</v>
      </c>
      <c r="L5327" s="405" t="s">
        <v>860</v>
      </c>
      <c r="M5327" s="405" t="s">
        <v>18234</v>
      </c>
      <c r="N5327" s="405" t="s">
        <v>18252</v>
      </c>
      <c r="O5327" s="405" t="s">
        <v>18877</v>
      </c>
      <c r="P5327" s="405" t="s">
        <v>18878</v>
      </c>
      <c r="Q5327" s="411">
        <v>9</v>
      </c>
      <c r="R5327" s="405" t="s">
        <v>525</v>
      </c>
      <c r="S5327" s="405" t="s">
        <v>27179</v>
      </c>
      <c r="T5327" s="405" t="s">
        <v>32102</v>
      </c>
      <c r="U5327" s="405" t="s">
        <v>319</v>
      </c>
    </row>
    <row r="5328" spans="1:21" x14ac:dyDescent="0.25">
      <c r="A5328" s="405" t="s">
        <v>310</v>
      </c>
      <c r="B5328" s="405" t="s">
        <v>27600</v>
      </c>
      <c r="C5328" s="405" t="s">
        <v>327</v>
      </c>
      <c r="D5328" s="405"/>
      <c r="E5328" s="410">
        <v>41609</v>
      </c>
      <c r="F5328" s="410">
        <v>41654</v>
      </c>
      <c r="G5328" s="405" t="s">
        <v>4915</v>
      </c>
      <c r="H5328" s="405">
        <v>772967166</v>
      </c>
      <c r="I5328" s="405">
        <v>701415893</v>
      </c>
      <c r="J5328" s="405">
        <v>-0.19979420000000001</v>
      </c>
      <c r="K5328" s="405">
        <v>31.7002454</v>
      </c>
      <c r="L5328" s="405" t="s">
        <v>314</v>
      </c>
      <c r="M5328" s="405" t="s">
        <v>900</v>
      </c>
      <c r="N5328" s="405" t="s">
        <v>900</v>
      </c>
      <c r="O5328" s="405" t="s">
        <v>900</v>
      </c>
      <c r="P5328" s="405" t="s">
        <v>4916</v>
      </c>
      <c r="Q5328" s="411">
        <v>6</v>
      </c>
      <c r="R5328" s="405" t="s">
        <v>1263</v>
      </c>
      <c r="S5328" s="405" t="s">
        <v>27217</v>
      </c>
      <c r="T5328" s="405" t="s">
        <v>32102</v>
      </c>
      <c r="U5328" s="405" t="s">
        <v>319</v>
      </c>
    </row>
    <row r="5329" spans="1:21" x14ac:dyDescent="0.25">
      <c r="A5329" s="405" t="s">
        <v>310</v>
      </c>
      <c r="B5329" s="405" t="s">
        <v>27477</v>
      </c>
      <c r="C5329" s="405" t="s">
        <v>311</v>
      </c>
      <c r="D5329" s="405" t="s">
        <v>3381</v>
      </c>
      <c r="E5329" s="410">
        <v>41609</v>
      </c>
      <c r="F5329" s="410">
        <v>41654</v>
      </c>
      <c r="G5329" s="405" t="s">
        <v>19111</v>
      </c>
      <c r="H5329" s="405">
        <v>781136313</v>
      </c>
      <c r="I5329" s="405">
        <v>776635913</v>
      </c>
      <c r="J5329" s="405">
        <v>2.2222050000000002</v>
      </c>
      <c r="K5329" s="405">
        <v>32.925226666666667</v>
      </c>
      <c r="L5329" s="405" t="s">
        <v>860</v>
      </c>
      <c r="M5329" s="405" t="s">
        <v>18234</v>
      </c>
      <c r="N5329" s="405" t="s">
        <v>18235</v>
      </c>
      <c r="O5329" s="405" t="s">
        <v>4147</v>
      </c>
      <c r="P5329" s="405" t="s">
        <v>18630</v>
      </c>
      <c r="Q5329" s="411">
        <v>6</v>
      </c>
      <c r="R5329" s="405" t="s">
        <v>994</v>
      </c>
      <c r="S5329" s="405" t="s">
        <v>27079</v>
      </c>
      <c r="T5329" s="405" t="s">
        <v>32102</v>
      </c>
      <c r="U5329" s="405" t="s">
        <v>319</v>
      </c>
    </row>
    <row r="5330" spans="1:21" x14ac:dyDescent="0.25">
      <c r="A5330" s="405" t="s">
        <v>310</v>
      </c>
      <c r="B5330" s="405" t="s">
        <v>18851</v>
      </c>
      <c r="C5330" s="405" t="s">
        <v>327</v>
      </c>
      <c r="D5330" s="405"/>
      <c r="E5330" s="410">
        <v>41609</v>
      </c>
      <c r="F5330" s="410">
        <v>41654</v>
      </c>
      <c r="G5330" s="405" t="s">
        <v>18852</v>
      </c>
      <c r="H5330" s="405">
        <v>773235870</v>
      </c>
      <c r="I5330" s="405">
        <v>778109955</v>
      </c>
      <c r="J5330" s="405">
        <v>2.2291099999999999</v>
      </c>
      <c r="K5330" s="405">
        <v>32.923375</v>
      </c>
      <c r="L5330" s="405" t="s">
        <v>860</v>
      </c>
      <c r="M5330" s="405" t="s">
        <v>18234</v>
      </c>
      <c r="N5330" s="405" t="s">
        <v>18250</v>
      </c>
      <c r="O5330" s="405" t="s">
        <v>4147</v>
      </c>
      <c r="P5330" s="405" t="s">
        <v>18630</v>
      </c>
      <c r="Q5330" s="411">
        <v>6</v>
      </c>
      <c r="R5330" s="405" t="s">
        <v>994</v>
      </c>
      <c r="S5330" s="405" t="s">
        <v>27229</v>
      </c>
      <c r="T5330" s="405" t="s">
        <v>32102</v>
      </c>
      <c r="U5330" s="405" t="s">
        <v>319</v>
      </c>
    </row>
    <row r="5331" spans="1:21" x14ac:dyDescent="0.25">
      <c r="A5331" s="405" t="s">
        <v>310</v>
      </c>
      <c r="B5331" s="405" t="s">
        <v>5502</v>
      </c>
      <c r="C5331" s="405" t="s">
        <v>311</v>
      </c>
      <c r="D5331" s="405" t="s">
        <v>839</v>
      </c>
      <c r="E5331" s="410">
        <v>41609</v>
      </c>
      <c r="F5331" s="410">
        <v>41654</v>
      </c>
      <c r="G5331" s="405" t="s">
        <v>5503</v>
      </c>
      <c r="H5331" s="405">
        <v>775873753</v>
      </c>
      <c r="I5331" s="405"/>
      <c r="J5331" s="405">
        <v>0.953542</v>
      </c>
      <c r="K5331" s="405">
        <v>31.580601999999999</v>
      </c>
      <c r="L5331" s="405" t="s">
        <v>314</v>
      </c>
      <c r="M5331" s="405" t="s">
        <v>1360</v>
      </c>
      <c r="N5331" s="405" t="s">
        <v>1361</v>
      </c>
      <c r="O5331" s="405" t="s">
        <v>4903</v>
      </c>
      <c r="P5331" s="405" t="s">
        <v>2210</v>
      </c>
      <c r="Q5331" s="411">
        <v>6</v>
      </c>
      <c r="R5331" s="405" t="s">
        <v>1263</v>
      </c>
      <c r="S5331" s="405" t="s">
        <v>27210</v>
      </c>
      <c r="T5331" s="405" t="s">
        <v>865</v>
      </c>
      <c r="U5331" s="405" t="s">
        <v>866</v>
      </c>
    </row>
    <row r="5332" spans="1:21" x14ac:dyDescent="0.25">
      <c r="A5332" s="405" t="s">
        <v>310</v>
      </c>
      <c r="B5332" s="405" t="s">
        <v>13234</v>
      </c>
      <c r="C5332" s="405" t="s">
        <v>327</v>
      </c>
      <c r="D5332" s="405"/>
      <c r="E5332" s="410">
        <v>41609</v>
      </c>
      <c r="F5332" s="410">
        <v>41654</v>
      </c>
      <c r="G5332" s="405" t="s">
        <v>13235</v>
      </c>
      <c r="H5332" s="405">
        <v>777391994</v>
      </c>
      <c r="I5332" s="405"/>
      <c r="J5332" s="405">
        <v>1.6673530000000001</v>
      </c>
      <c r="K5332" s="405">
        <v>34.115907</v>
      </c>
      <c r="L5332" s="405" t="s">
        <v>6866</v>
      </c>
      <c r="M5332" s="405" t="s">
        <v>11355</v>
      </c>
      <c r="N5332" s="405" t="s">
        <v>11361</v>
      </c>
      <c r="O5332" s="405" t="s">
        <v>11362</v>
      </c>
      <c r="P5332" s="405" t="s">
        <v>10036</v>
      </c>
      <c r="Q5332" s="411">
        <v>4</v>
      </c>
      <c r="R5332" s="405" t="s">
        <v>5655</v>
      </c>
      <c r="S5332" s="405" t="s">
        <v>27337</v>
      </c>
      <c r="T5332" s="405" t="s">
        <v>32102</v>
      </c>
      <c r="U5332" s="405" t="s">
        <v>319</v>
      </c>
    </row>
    <row r="5333" spans="1:21" x14ac:dyDescent="0.25">
      <c r="A5333" s="405" t="s">
        <v>310</v>
      </c>
      <c r="B5333" s="405" t="s">
        <v>28978</v>
      </c>
      <c r="C5333" s="405" t="s">
        <v>327</v>
      </c>
      <c r="D5333" s="405"/>
      <c r="E5333" s="410">
        <v>41609</v>
      </c>
      <c r="F5333" s="410">
        <v>41654</v>
      </c>
      <c r="G5333" s="405" t="s">
        <v>18868</v>
      </c>
      <c r="H5333" s="405">
        <v>752720487</v>
      </c>
      <c r="I5333" s="405">
        <v>78554072</v>
      </c>
      <c r="J5333" s="405">
        <v>2.2207133333333333</v>
      </c>
      <c r="K5333" s="405">
        <v>32.901050000000005</v>
      </c>
      <c r="L5333" s="405" t="s">
        <v>860</v>
      </c>
      <c r="M5333" s="405" t="s">
        <v>18234</v>
      </c>
      <c r="N5333" s="405" t="s">
        <v>18252</v>
      </c>
      <c r="O5333" s="405" t="s">
        <v>18253</v>
      </c>
      <c r="P5333" s="405" t="s">
        <v>18847</v>
      </c>
      <c r="Q5333" s="411">
        <v>4</v>
      </c>
      <c r="R5333" s="405" t="s">
        <v>525</v>
      </c>
      <c r="S5333" s="405" t="s">
        <v>27171</v>
      </c>
      <c r="T5333" s="405" t="s">
        <v>32102</v>
      </c>
      <c r="U5333" s="405" t="s">
        <v>319</v>
      </c>
    </row>
    <row r="5334" spans="1:21" x14ac:dyDescent="0.25">
      <c r="A5334" s="405" t="s">
        <v>310</v>
      </c>
      <c r="B5334" s="405" t="s">
        <v>28616</v>
      </c>
      <c r="C5334" s="405" t="s">
        <v>327</v>
      </c>
      <c r="D5334" s="405"/>
      <c r="E5334" s="410">
        <v>41608</v>
      </c>
      <c r="F5334" s="410">
        <v>41653</v>
      </c>
      <c r="G5334" s="405" t="s">
        <v>4991</v>
      </c>
      <c r="H5334" s="405">
        <v>773220111</v>
      </c>
      <c r="I5334" s="405"/>
      <c r="J5334" s="405">
        <v>0.31974170000000002</v>
      </c>
      <c r="K5334" s="405">
        <v>32.621220600000001</v>
      </c>
      <c r="L5334" s="405" t="s">
        <v>314</v>
      </c>
      <c r="M5334" s="405" t="s">
        <v>361</v>
      </c>
      <c r="N5334" s="405" t="s">
        <v>362</v>
      </c>
      <c r="O5334" s="405" t="s">
        <v>410</v>
      </c>
      <c r="P5334" s="405" t="s">
        <v>4992</v>
      </c>
      <c r="Q5334" s="411">
        <v>6</v>
      </c>
      <c r="R5334" s="405" t="s">
        <v>353</v>
      </c>
      <c r="S5334" s="405" t="s">
        <v>27115</v>
      </c>
      <c r="T5334" s="405" t="s">
        <v>32102</v>
      </c>
      <c r="U5334" s="405" t="s">
        <v>319</v>
      </c>
    </row>
    <row r="5335" spans="1:21" x14ac:dyDescent="0.25">
      <c r="A5335" s="405" t="s">
        <v>310</v>
      </c>
      <c r="B5335" s="405" t="s">
        <v>13642</v>
      </c>
      <c r="C5335" s="405" t="s">
        <v>311</v>
      </c>
      <c r="D5335" s="405" t="s">
        <v>839</v>
      </c>
      <c r="E5335" s="410">
        <v>41608</v>
      </c>
      <c r="F5335" s="410">
        <v>41653</v>
      </c>
      <c r="G5335" s="405" t="s">
        <v>13643</v>
      </c>
      <c r="H5335" s="405">
        <v>782705985</v>
      </c>
      <c r="I5335" s="405"/>
      <c r="J5335" s="405">
        <v>0.99473500000000004</v>
      </c>
      <c r="K5335" s="405">
        <v>34.356071</v>
      </c>
      <c r="L5335" s="405" t="s">
        <v>6866</v>
      </c>
      <c r="M5335" s="405" t="s">
        <v>6867</v>
      </c>
      <c r="N5335" s="405" t="s">
        <v>12252</v>
      </c>
      <c r="O5335" s="405" t="s">
        <v>13644</v>
      </c>
      <c r="P5335" s="405" t="s">
        <v>13645</v>
      </c>
      <c r="Q5335" s="411">
        <v>6</v>
      </c>
      <c r="R5335" s="405" t="s">
        <v>7224</v>
      </c>
      <c r="S5335" s="405" t="s">
        <v>27259</v>
      </c>
      <c r="T5335" s="405" t="s">
        <v>32102</v>
      </c>
      <c r="U5335" s="405" t="s">
        <v>319</v>
      </c>
    </row>
    <row r="5336" spans="1:21" x14ac:dyDescent="0.25">
      <c r="A5336" s="405" t="s">
        <v>310</v>
      </c>
      <c r="B5336" s="405" t="s">
        <v>13245</v>
      </c>
      <c r="C5336" s="405" t="s">
        <v>327</v>
      </c>
      <c r="D5336" s="405"/>
      <c r="E5336" s="410">
        <v>41608</v>
      </c>
      <c r="F5336" s="410">
        <v>41653</v>
      </c>
      <c r="G5336" s="405" t="s">
        <v>13246</v>
      </c>
      <c r="H5336" s="405">
        <v>750373237</v>
      </c>
      <c r="I5336" s="405"/>
      <c r="J5336" s="405">
        <v>1.9356420000000001</v>
      </c>
      <c r="K5336" s="405">
        <v>33.667912000000001</v>
      </c>
      <c r="L5336" s="405" t="s">
        <v>6866</v>
      </c>
      <c r="M5336" s="405" t="s">
        <v>10515</v>
      </c>
      <c r="N5336" s="405" t="s">
        <v>10495</v>
      </c>
      <c r="O5336" s="405" t="s">
        <v>11435</v>
      </c>
      <c r="P5336" s="405" t="s">
        <v>13247</v>
      </c>
      <c r="Q5336" s="411">
        <v>6</v>
      </c>
      <c r="R5336" s="405" t="s">
        <v>5655</v>
      </c>
      <c r="S5336" s="405" t="s">
        <v>27336</v>
      </c>
      <c r="T5336" s="405" t="s">
        <v>865</v>
      </c>
      <c r="U5336" s="405" t="s">
        <v>866</v>
      </c>
    </row>
    <row r="5337" spans="1:21" x14ac:dyDescent="0.25">
      <c r="A5337" s="405" t="s">
        <v>310</v>
      </c>
      <c r="B5337" s="405" t="s">
        <v>5005</v>
      </c>
      <c r="C5337" s="405" t="s">
        <v>327</v>
      </c>
      <c r="D5337" s="405"/>
      <c r="E5337" s="410">
        <v>41608</v>
      </c>
      <c r="F5337" s="410">
        <v>41653</v>
      </c>
      <c r="G5337" s="405" t="s">
        <v>5006</v>
      </c>
      <c r="H5337" s="405">
        <v>775563887</v>
      </c>
      <c r="I5337" s="405"/>
      <c r="J5337" s="405">
        <v>0.26014700000000002</v>
      </c>
      <c r="K5337" s="405">
        <v>32.481392</v>
      </c>
      <c r="L5337" s="405" t="s">
        <v>314</v>
      </c>
      <c r="M5337" s="405" t="s">
        <v>361</v>
      </c>
      <c r="N5337" s="405" t="s">
        <v>374</v>
      </c>
      <c r="O5337" s="405" t="s">
        <v>375</v>
      </c>
      <c r="P5337" s="405" t="s">
        <v>4763</v>
      </c>
      <c r="Q5337" s="411">
        <v>6</v>
      </c>
      <c r="R5337" s="405" t="s">
        <v>318</v>
      </c>
      <c r="S5337" s="405" t="s">
        <v>27188</v>
      </c>
      <c r="T5337" s="405" t="s">
        <v>32102</v>
      </c>
      <c r="U5337" s="405" t="s">
        <v>319</v>
      </c>
    </row>
    <row r="5338" spans="1:21" x14ac:dyDescent="0.25">
      <c r="A5338" s="405" t="s">
        <v>310</v>
      </c>
      <c r="B5338" s="405" t="s">
        <v>4965</v>
      </c>
      <c r="C5338" s="405" t="s">
        <v>327</v>
      </c>
      <c r="D5338" s="405"/>
      <c r="E5338" s="410">
        <v>41608</v>
      </c>
      <c r="F5338" s="410">
        <v>41653</v>
      </c>
      <c r="G5338" s="405" t="s">
        <v>4966</v>
      </c>
      <c r="H5338" s="405">
        <v>779887732</v>
      </c>
      <c r="I5338" s="405"/>
      <c r="J5338" s="405">
        <v>0.63438000000000005</v>
      </c>
      <c r="K5338" s="405">
        <v>32.837542999999997</v>
      </c>
      <c r="L5338" s="405" t="s">
        <v>314</v>
      </c>
      <c r="M5338" s="405" t="s">
        <v>329</v>
      </c>
      <c r="N5338" s="405" t="s">
        <v>528</v>
      </c>
      <c r="O5338" s="405" t="s">
        <v>648</v>
      </c>
      <c r="P5338" s="405" t="s">
        <v>4967</v>
      </c>
      <c r="Q5338" s="411">
        <v>6</v>
      </c>
      <c r="R5338" s="405" t="s">
        <v>318</v>
      </c>
      <c r="S5338" s="405" t="s">
        <v>27141</v>
      </c>
      <c r="T5338" s="405" t="s">
        <v>32102</v>
      </c>
      <c r="U5338" s="405" t="s">
        <v>319</v>
      </c>
    </row>
    <row r="5339" spans="1:21" x14ac:dyDescent="0.25">
      <c r="A5339" s="405" t="s">
        <v>310</v>
      </c>
      <c r="B5339" s="405" t="s">
        <v>27860</v>
      </c>
      <c r="C5339" s="405" t="s">
        <v>327</v>
      </c>
      <c r="D5339" s="405"/>
      <c r="E5339" s="410">
        <v>41608</v>
      </c>
      <c r="F5339" s="410">
        <v>41653</v>
      </c>
      <c r="G5339" s="405" t="s">
        <v>5009</v>
      </c>
      <c r="H5339" s="405">
        <v>775446745</v>
      </c>
      <c r="I5339" s="405"/>
      <c r="J5339" s="405">
        <v>0.25014700000000001</v>
      </c>
      <c r="K5339" s="405">
        <v>32.501899999999999</v>
      </c>
      <c r="L5339" s="405" t="s">
        <v>314</v>
      </c>
      <c r="M5339" s="405" t="s">
        <v>361</v>
      </c>
      <c r="N5339" s="405" t="s">
        <v>374</v>
      </c>
      <c r="O5339" s="405" t="s">
        <v>375</v>
      </c>
      <c r="P5339" s="405" t="s">
        <v>5010</v>
      </c>
      <c r="Q5339" s="411">
        <v>6</v>
      </c>
      <c r="R5339" s="405" t="s">
        <v>1263</v>
      </c>
      <c r="S5339" s="405" t="s">
        <v>27059</v>
      </c>
      <c r="T5339" s="405" t="s">
        <v>32102</v>
      </c>
      <c r="U5339" s="405" t="s">
        <v>319</v>
      </c>
    </row>
    <row r="5340" spans="1:21" x14ac:dyDescent="0.25">
      <c r="A5340" s="405" t="s">
        <v>310</v>
      </c>
      <c r="B5340" s="405" t="s">
        <v>13302</v>
      </c>
      <c r="C5340" s="405" t="s">
        <v>327</v>
      </c>
      <c r="D5340" s="405"/>
      <c r="E5340" s="410">
        <v>41608</v>
      </c>
      <c r="F5340" s="410">
        <v>41653</v>
      </c>
      <c r="G5340" s="405" t="s">
        <v>13303</v>
      </c>
      <c r="H5340" s="405">
        <v>782895877</v>
      </c>
      <c r="I5340" s="405"/>
      <c r="J5340" s="405">
        <v>0.999579</v>
      </c>
      <c r="K5340" s="405">
        <v>34.334367</v>
      </c>
      <c r="L5340" s="405" t="s">
        <v>6866</v>
      </c>
      <c r="M5340" s="405" t="s">
        <v>9763</v>
      </c>
      <c r="N5340" s="405" t="s">
        <v>9764</v>
      </c>
      <c r="O5340" s="405" t="s">
        <v>1590</v>
      </c>
      <c r="P5340" s="405" t="s">
        <v>12516</v>
      </c>
      <c r="Q5340" s="411">
        <v>6</v>
      </c>
      <c r="R5340" s="405" t="s">
        <v>7224</v>
      </c>
      <c r="S5340" s="405" t="s">
        <v>27259</v>
      </c>
      <c r="T5340" s="405" t="s">
        <v>32102</v>
      </c>
      <c r="U5340" s="405" t="s">
        <v>319</v>
      </c>
    </row>
    <row r="5341" spans="1:21" x14ac:dyDescent="0.25">
      <c r="A5341" s="405" t="s">
        <v>310</v>
      </c>
      <c r="B5341" s="405" t="s">
        <v>5403</v>
      </c>
      <c r="C5341" s="405" t="s">
        <v>311</v>
      </c>
      <c r="D5341" s="405" t="s">
        <v>868</v>
      </c>
      <c r="E5341" s="410">
        <v>41608</v>
      </c>
      <c r="F5341" s="410">
        <v>41653</v>
      </c>
      <c r="G5341" s="405" t="s">
        <v>5404</v>
      </c>
      <c r="H5341" s="405">
        <v>782700154</v>
      </c>
      <c r="I5341" s="405"/>
      <c r="J5341" s="405">
        <v>0.75927699999999998</v>
      </c>
      <c r="K5341" s="405">
        <v>32.671140000000001</v>
      </c>
      <c r="L5341" s="405" t="s">
        <v>314</v>
      </c>
      <c r="M5341" s="405" t="s">
        <v>959</v>
      </c>
      <c r="N5341" s="405" t="s">
        <v>960</v>
      </c>
      <c r="O5341" s="405" t="s">
        <v>2921</v>
      </c>
      <c r="P5341" s="405" t="s">
        <v>5405</v>
      </c>
      <c r="Q5341" s="411">
        <v>6</v>
      </c>
      <c r="R5341" s="405" t="s">
        <v>1263</v>
      </c>
      <c r="S5341" s="405" t="s">
        <v>27059</v>
      </c>
      <c r="T5341" s="405" t="s">
        <v>865</v>
      </c>
      <c r="U5341" s="405" t="s">
        <v>866</v>
      </c>
    </row>
    <row r="5342" spans="1:21" x14ac:dyDescent="0.25">
      <c r="A5342" s="405" t="s">
        <v>310</v>
      </c>
      <c r="B5342" s="405" t="s">
        <v>5494</v>
      </c>
      <c r="C5342" s="405" t="s">
        <v>857</v>
      </c>
      <c r="D5342" s="405" t="s">
        <v>4394</v>
      </c>
      <c r="E5342" s="410">
        <v>41608</v>
      </c>
      <c r="F5342" s="410">
        <v>41653</v>
      </c>
      <c r="G5342" s="405" t="s">
        <v>5495</v>
      </c>
      <c r="H5342" s="405">
        <v>772630128</v>
      </c>
      <c r="I5342" s="405"/>
      <c r="J5342" s="405">
        <v>0.27502300000000002</v>
      </c>
      <c r="K5342" s="405">
        <v>32.458354999999997</v>
      </c>
      <c r="L5342" s="405" t="s">
        <v>314</v>
      </c>
      <c r="M5342" s="405" t="s">
        <v>361</v>
      </c>
      <c r="N5342" s="405" t="s">
        <v>374</v>
      </c>
      <c r="O5342" s="405" t="s">
        <v>375</v>
      </c>
      <c r="P5342" s="405" t="s">
        <v>375</v>
      </c>
      <c r="Q5342" s="411">
        <v>6</v>
      </c>
      <c r="R5342" s="405" t="s">
        <v>318</v>
      </c>
      <c r="S5342" s="405" t="s">
        <v>27141</v>
      </c>
      <c r="T5342" s="405" t="s">
        <v>865</v>
      </c>
      <c r="U5342" s="405" t="s">
        <v>866</v>
      </c>
    </row>
    <row r="5343" spans="1:21" x14ac:dyDescent="0.25">
      <c r="A5343" s="405" t="s">
        <v>310</v>
      </c>
      <c r="B5343" s="405" t="s">
        <v>4962</v>
      </c>
      <c r="C5343" s="405" t="s">
        <v>327</v>
      </c>
      <c r="D5343" s="405"/>
      <c r="E5343" s="410">
        <v>41608</v>
      </c>
      <c r="F5343" s="410">
        <v>41653</v>
      </c>
      <c r="G5343" s="405" t="s">
        <v>4963</v>
      </c>
      <c r="H5343" s="405">
        <v>752978563</v>
      </c>
      <c r="I5343" s="405">
        <v>755833302</v>
      </c>
      <c r="J5343" s="405">
        <v>0.39252999999999999</v>
      </c>
      <c r="K5343" s="405">
        <v>32.875597999999997</v>
      </c>
      <c r="L5343" s="405" t="s">
        <v>314</v>
      </c>
      <c r="M5343" s="405" t="s">
        <v>329</v>
      </c>
      <c r="N5343" s="405" t="s">
        <v>528</v>
      </c>
      <c r="O5343" s="405" t="s">
        <v>529</v>
      </c>
      <c r="P5343" s="405" t="s">
        <v>4964</v>
      </c>
      <c r="Q5343" s="411">
        <v>6</v>
      </c>
      <c r="R5343" s="405" t="s">
        <v>318</v>
      </c>
      <c r="S5343" s="405" t="s">
        <v>27141</v>
      </c>
      <c r="T5343" s="405" t="s">
        <v>32102</v>
      </c>
      <c r="U5343" s="405" t="s">
        <v>319</v>
      </c>
    </row>
    <row r="5344" spans="1:21" x14ac:dyDescent="0.25">
      <c r="A5344" s="405" t="s">
        <v>310</v>
      </c>
      <c r="B5344" s="405" t="s">
        <v>5454</v>
      </c>
      <c r="C5344" s="405" t="s">
        <v>311</v>
      </c>
      <c r="D5344" s="405" t="s">
        <v>839</v>
      </c>
      <c r="E5344" s="410">
        <v>41608</v>
      </c>
      <c r="F5344" s="410">
        <v>41653</v>
      </c>
      <c r="G5344" s="405" t="s">
        <v>5455</v>
      </c>
      <c r="H5344" s="405">
        <v>702290096</v>
      </c>
      <c r="I5344" s="405"/>
      <c r="J5344" s="405">
        <v>0.36915700000000001</v>
      </c>
      <c r="K5344" s="405">
        <v>32.753554999999999</v>
      </c>
      <c r="L5344" s="405" t="s">
        <v>314</v>
      </c>
      <c r="M5344" s="405" t="s">
        <v>329</v>
      </c>
      <c r="N5344" s="405" t="s">
        <v>330</v>
      </c>
      <c r="O5344" s="405" t="s">
        <v>615</v>
      </c>
      <c r="P5344" s="405" t="s">
        <v>366</v>
      </c>
      <c r="Q5344" s="411">
        <v>4</v>
      </c>
      <c r="R5344" s="405" t="s">
        <v>1263</v>
      </c>
      <c r="S5344" s="405" t="s">
        <v>27120</v>
      </c>
      <c r="T5344" s="405" t="s">
        <v>32102</v>
      </c>
      <c r="U5344" s="405" t="s">
        <v>319</v>
      </c>
    </row>
    <row r="5345" spans="1:21" x14ac:dyDescent="0.25">
      <c r="A5345" s="405" t="s">
        <v>310</v>
      </c>
      <c r="B5345" s="405" t="s">
        <v>13231</v>
      </c>
      <c r="C5345" s="405" t="s">
        <v>327</v>
      </c>
      <c r="D5345" s="405"/>
      <c r="E5345" s="410">
        <v>41607</v>
      </c>
      <c r="F5345" s="410">
        <v>41652</v>
      </c>
      <c r="G5345" s="405" t="s">
        <v>13232</v>
      </c>
      <c r="H5345" s="405">
        <v>782406302</v>
      </c>
      <c r="I5345" s="405"/>
      <c r="J5345" s="405">
        <v>1.9493879999999999</v>
      </c>
      <c r="K5345" s="405">
        <v>33.993110000000001</v>
      </c>
      <c r="L5345" s="405" t="s">
        <v>6866</v>
      </c>
      <c r="M5345" s="405" t="s">
        <v>11355</v>
      </c>
      <c r="N5345" s="405" t="s">
        <v>11355</v>
      </c>
      <c r="O5345" s="405" t="s">
        <v>11355</v>
      </c>
      <c r="P5345" s="405" t="s">
        <v>13233</v>
      </c>
      <c r="Q5345" s="411">
        <v>6</v>
      </c>
      <c r="R5345" s="405" t="s">
        <v>5655</v>
      </c>
      <c r="S5345" s="405" t="s">
        <v>27337</v>
      </c>
      <c r="T5345" s="405" t="s">
        <v>32102</v>
      </c>
      <c r="U5345" s="405" t="s">
        <v>319</v>
      </c>
    </row>
    <row r="5346" spans="1:21" x14ac:dyDescent="0.25">
      <c r="A5346" s="405" t="s">
        <v>310</v>
      </c>
      <c r="B5346" s="405" t="s">
        <v>4959</v>
      </c>
      <c r="C5346" s="405" t="s">
        <v>327</v>
      </c>
      <c r="D5346" s="405"/>
      <c r="E5346" s="410">
        <v>41606</v>
      </c>
      <c r="F5346" s="410">
        <v>41651</v>
      </c>
      <c r="G5346" s="405" t="s">
        <v>4960</v>
      </c>
      <c r="H5346" s="405">
        <v>755667256</v>
      </c>
      <c r="I5346" s="405">
        <v>772618295</v>
      </c>
      <c r="J5346" s="405">
        <v>0.35041480000000003</v>
      </c>
      <c r="K5346" s="405">
        <v>32.6128967</v>
      </c>
      <c r="L5346" s="405" t="s">
        <v>314</v>
      </c>
      <c r="M5346" s="405" t="s">
        <v>992</v>
      </c>
      <c r="N5346" s="405" t="s">
        <v>4961</v>
      </c>
      <c r="O5346" s="405" t="s">
        <v>987</v>
      </c>
      <c r="P5346" s="405" t="s">
        <v>3412</v>
      </c>
      <c r="Q5346" s="411">
        <v>9</v>
      </c>
      <c r="R5346" s="405" t="s">
        <v>525</v>
      </c>
      <c r="S5346" s="405" t="s">
        <v>27171</v>
      </c>
      <c r="T5346" s="405" t="s">
        <v>32102</v>
      </c>
      <c r="U5346" s="405" t="s">
        <v>319</v>
      </c>
    </row>
    <row r="5347" spans="1:21" x14ac:dyDescent="0.25">
      <c r="A5347" s="405" t="s">
        <v>310</v>
      </c>
      <c r="B5347" s="405" t="s">
        <v>21461</v>
      </c>
      <c r="C5347" s="405" t="s">
        <v>327</v>
      </c>
      <c r="D5347" s="405"/>
      <c r="E5347" s="410">
        <v>41605</v>
      </c>
      <c r="F5347" s="410">
        <v>41650</v>
      </c>
      <c r="G5347" s="405" t="s">
        <v>21462</v>
      </c>
      <c r="H5347" s="405">
        <v>759341889</v>
      </c>
      <c r="I5347" s="405"/>
      <c r="J5347" s="405">
        <v>-0.30200100000000002</v>
      </c>
      <c r="K5347" s="405">
        <v>30.576284999999999</v>
      </c>
      <c r="L5347" s="405" t="s">
        <v>590</v>
      </c>
      <c r="M5347" s="405" t="s">
        <v>19614</v>
      </c>
      <c r="N5347" s="405" t="s">
        <v>19615</v>
      </c>
      <c r="O5347" s="405" t="s">
        <v>20108</v>
      </c>
      <c r="P5347" s="405" t="s">
        <v>20420</v>
      </c>
      <c r="Q5347" s="411">
        <v>12</v>
      </c>
      <c r="R5347" s="405" t="s">
        <v>333</v>
      </c>
      <c r="S5347" s="405" t="s">
        <v>27098</v>
      </c>
      <c r="T5347" s="405" t="s">
        <v>865</v>
      </c>
      <c r="U5347" s="405" t="s">
        <v>866</v>
      </c>
    </row>
    <row r="5348" spans="1:21" x14ac:dyDescent="0.25">
      <c r="A5348" s="405" t="s">
        <v>310</v>
      </c>
      <c r="B5348" s="405" t="s">
        <v>4973</v>
      </c>
      <c r="C5348" s="405" t="s">
        <v>327</v>
      </c>
      <c r="D5348" s="405"/>
      <c r="E5348" s="410">
        <v>41605</v>
      </c>
      <c r="F5348" s="410">
        <v>41650</v>
      </c>
      <c r="G5348" s="405" t="s">
        <v>4974</v>
      </c>
      <c r="H5348" s="405">
        <v>704337415</v>
      </c>
      <c r="I5348" s="405"/>
      <c r="J5348" s="405">
        <v>-0.35471639999999999</v>
      </c>
      <c r="K5348" s="405">
        <v>31.713612900000001</v>
      </c>
      <c r="L5348" s="405" t="s">
        <v>314</v>
      </c>
      <c r="M5348" s="405" t="s">
        <v>382</v>
      </c>
      <c r="N5348" s="405" t="s">
        <v>988</v>
      </c>
      <c r="O5348" s="405" t="s">
        <v>1032</v>
      </c>
      <c r="P5348" s="405" t="s">
        <v>1901</v>
      </c>
      <c r="Q5348" s="411">
        <v>9</v>
      </c>
      <c r="R5348" s="405" t="s">
        <v>1263</v>
      </c>
      <c r="S5348" s="405" t="s">
        <v>27212</v>
      </c>
      <c r="T5348" s="405" t="s">
        <v>32102</v>
      </c>
      <c r="U5348" s="405" t="s">
        <v>319</v>
      </c>
    </row>
    <row r="5349" spans="1:21" x14ac:dyDescent="0.25">
      <c r="A5349" s="405" t="s">
        <v>310</v>
      </c>
      <c r="B5349" s="405" t="s">
        <v>28636</v>
      </c>
      <c r="C5349" s="405" t="s">
        <v>311</v>
      </c>
      <c r="D5349" s="405" t="s">
        <v>839</v>
      </c>
      <c r="E5349" s="410">
        <v>41605</v>
      </c>
      <c r="F5349" s="410">
        <v>41650</v>
      </c>
      <c r="G5349" s="405" t="s">
        <v>19148</v>
      </c>
      <c r="H5349" s="405">
        <v>777557510</v>
      </c>
      <c r="I5349" s="405">
        <v>704443733</v>
      </c>
      <c r="J5349" s="405">
        <v>2.230588333333333</v>
      </c>
      <c r="K5349" s="405">
        <v>32.918514999999999</v>
      </c>
      <c r="L5349" s="405" t="s">
        <v>860</v>
      </c>
      <c r="M5349" s="405" t="s">
        <v>18234</v>
      </c>
      <c r="N5349" s="405" t="s">
        <v>18250</v>
      </c>
      <c r="O5349" s="405" t="s">
        <v>4147</v>
      </c>
      <c r="P5349" s="405" t="s">
        <v>18630</v>
      </c>
      <c r="Q5349" s="411">
        <v>6</v>
      </c>
      <c r="R5349" s="405" t="s">
        <v>525</v>
      </c>
      <c r="S5349" s="405" t="s">
        <v>27229</v>
      </c>
      <c r="T5349" s="405" t="s">
        <v>32102</v>
      </c>
      <c r="U5349" s="405" t="s">
        <v>319</v>
      </c>
    </row>
    <row r="5350" spans="1:21" x14ac:dyDescent="0.25">
      <c r="A5350" s="405" t="s">
        <v>310</v>
      </c>
      <c r="B5350" s="405" t="s">
        <v>5424</v>
      </c>
      <c r="C5350" s="405" t="s">
        <v>311</v>
      </c>
      <c r="D5350" s="405" t="s">
        <v>312</v>
      </c>
      <c r="E5350" s="410">
        <v>41604</v>
      </c>
      <c r="F5350" s="410">
        <v>41649</v>
      </c>
      <c r="G5350" s="405" t="s">
        <v>5425</v>
      </c>
      <c r="H5350" s="405">
        <v>782408991</v>
      </c>
      <c r="I5350" s="405">
        <v>755408991</v>
      </c>
      <c r="J5350" s="405">
        <v>-0.22464999999999999</v>
      </c>
      <c r="K5350" s="405">
        <v>31.815653000000001</v>
      </c>
      <c r="L5350" s="405" t="s">
        <v>314</v>
      </c>
      <c r="M5350" s="405" t="s">
        <v>900</v>
      </c>
      <c r="N5350" s="405" t="s">
        <v>1119</v>
      </c>
      <c r="O5350" s="405" t="s">
        <v>1302</v>
      </c>
      <c r="P5350" s="405" t="s">
        <v>5426</v>
      </c>
      <c r="Q5350" s="411">
        <v>9</v>
      </c>
      <c r="R5350" s="405" t="s">
        <v>1263</v>
      </c>
      <c r="S5350" s="405" t="s">
        <v>27117</v>
      </c>
      <c r="T5350" s="405" t="s">
        <v>32102</v>
      </c>
      <c r="U5350" s="405" t="s">
        <v>319</v>
      </c>
    </row>
    <row r="5351" spans="1:21" x14ac:dyDescent="0.25">
      <c r="A5351" s="405" t="s">
        <v>310</v>
      </c>
      <c r="B5351" s="405" t="s">
        <v>5511</v>
      </c>
      <c r="C5351" s="405" t="s">
        <v>857</v>
      </c>
      <c r="D5351" s="405" t="s">
        <v>33079</v>
      </c>
      <c r="E5351" s="410">
        <v>41604</v>
      </c>
      <c r="F5351" s="410">
        <v>41649</v>
      </c>
      <c r="G5351" s="405" t="s">
        <v>5512</v>
      </c>
      <c r="H5351" s="405">
        <v>787813223</v>
      </c>
      <c r="I5351" s="405"/>
      <c r="J5351" s="405">
        <v>0.94197699999999995</v>
      </c>
      <c r="K5351" s="405">
        <v>31.622267000000001</v>
      </c>
      <c r="L5351" s="405" t="s">
        <v>314</v>
      </c>
      <c r="M5351" s="405" t="s">
        <v>1360</v>
      </c>
      <c r="N5351" s="405" t="s">
        <v>1361</v>
      </c>
      <c r="O5351" s="405" t="s">
        <v>5016</v>
      </c>
      <c r="P5351" s="405" t="s">
        <v>5013</v>
      </c>
      <c r="Q5351" s="411">
        <v>6</v>
      </c>
      <c r="R5351" s="405" t="s">
        <v>1263</v>
      </c>
      <c r="S5351" s="405" t="s">
        <v>27047</v>
      </c>
      <c r="T5351" s="405" t="s">
        <v>32102</v>
      </c>
      <c r="U5351" s="405" t="s">
        <v>319</v>
      </c>
    </row>
    <row r="5352" spans="1:21" x14ac:dyDescent="0.25">
      <c r="A5352" s="405" t="s">
        <v>310</v>
      </c>
      <c r="B5352" s="405" t="s">
        <v>5522</v>
      </c>
      <c r="C5352" s="405" t="s">
        <v>311</v>
      </c>
      <c r="D5352" s="405" t="s">
        <v>312</v>
      </c>
      <c r="E5352" s="410">
        <v>41604</v>
      </c>
      <c r="F5352" s="410">
        <v>41649</v>
      </c>
      <c r="G5352" s="405" t="s">
        <v>5523</v>
      </c>
      <c r="H5352" s="405">
        <v>788223646</v>
      </c>
      <c r="I5352" s="405"/>
      <c r="J5352" s="405">
        <v>1.015625</v>
      </c>
      <c r="K5352" s="405">
        <v>31.642316999999998</v>
      </c>
      <c r="L5352" s="405" t="s">
        <v>314</v>
      </c>
      <c r="M5352" s="405" t="s">
        <v>1360</v>
      </c>
      <c r="N5352" s="405" t="s">
        <v>1361</v>
      </c>
      <c r="O5352" s="405" t="s">
        <v>3565</v>
      </c>
      <c r="P5352" s="405" t="s">
        <v>5432</v>
      </c>
      <c r="Q5352" s="411">
        <v>6</v>
      </c>
      <c r="R5352" s="405" t="s">
        <v>32476</v>
      </c>
      <c r="S5352" s="405" t="s">
        <v>27178</v>
      </c>
      <c r="T5352" s="405" t="s">
        <v>32102</v>
      </c>
      <c r="U5352" s="405" t="s">
        <v>319</v>
      </c>
    </row>
    <row r="5353" spans="1:21" x14ac:dyDescent="0.25">
      <c r="A5353" s="405" t="s">
        <v>310</v>
      </c>
      <c r="B5353" s="405" t="s">
        <v>13265</v>
      </c>
      <c r="C5353" s="405" t="s">
        <v>327</v>
      </c>
      <c r="D5353" s="405"/>
      <c r="E5353" s="410">
        <v>41603</v>
      </c>
      <c r="F5353" s="410">
        <v>41648</v>
      </c>
      <c r="G5353" s="405" t="s">
        <v>13266</v>
      </c>
      <c r="H5353" s="405">
        <v>772490491</v>
      </c>
      <c r="I5353" s="405"/>
      <c r="J5353" s="405">
        <v>0.67482799999999998</v>
      </c>
      <c r="K5353" s="405">
        <v>34.242519000000001</v>
      </c>
      <c r="L5353" s="405" t="s">
        <v>6866</v>
      </c>
      <c r="M5353" s="405" t="s">
        <v>9534</v>
      </c>
      <c r="N5353" s="405" t="s">
        <v>10201</v>
      </c>
      <c r="O5353" s="405" t="s">
        <v>13267</v>
      </c>
      <c r="P5353" s="405" t="s">
        <v>13268</v>
      </c>
      <c r="Q5353" s="411">
        <v>9</v>
      </c>
      <c r="R5353" s="405" t="s">
        <v>7224</v>
      </c>
      <c r="S5353" s="405" t="s">
        <v>27306</v>
      </c>
      <c r="T5353" s="405" t="s">
        <v>865</v>
      </c>
      <c r="U5353" s="405" t="s">
        <v>866</v>
      </c>
    </row>
    <row r="5354" spans="1:21" x14ac:dyDescent="0.25">
      <c r="A5354" s="405" t="s">
        <v>310</v>
      </c>
      <c r="B5354" s="405" t="s">
        <v>5420</v>
      </c>
      <c r="C5354" s="405" t="s">
        <v>857</v>
      </c>
      <c r="D5354" s="405" t="s">
        <v>32747</v>
      </c>
      <c r="E5354" s="410">
        <v>41603</v>
      </c>
      <c r="F5354" s="410">
        <v>41648</v>
      </c>
      <c r="G5354" s="405" t="s">
        <v>5421</v>
      </c>
      <c r="H5354" s="405">
        <v>779270754</v>
      </c>
      <c r="I5354" s="405">
        <v>774232786</v>
      </c>
      <c r="J5354" s="405">
        <v>-7.2830000000000006E-2</v>
      </c>
      <c r="K5354" s="405">
        <v>31.743652000000001</v>
      </c>
      <c r="L5354" s="405" t="s">
        <v>314</v>
      </c>
      <c r="M5354" s="405" t="s">
        <v>900</v>
      </c>
      <c r="N5354" s="405" t="s">
        <v>1119</v>
      </c>
      <c r="O5354" s="405" t="s">
        <v>5422</v>
      </c>
      <c r="P5354" s="405" t="s">
        <v>5423</v>
      </c>
      <c r="Q5354" s="411">
        <v>9</v>
      </c>
      <c r="R5354" s="405" t="s">
        <v>1263</v>
      </c>
      <c r="S5354" s="405" t="s">
        <v>5986</v>
      </c>
      <c r="T5354" s="405" t="s">
        <v>32212</v>
      </c>
      <c r="U5354" s="405" t="s">
        <v>2267</v>
      </c>
    </row>
    <row r="5355" spans="1:21" x14ac:dyDescent="0.25">
      <c r="A5355" s="405" t="s">
        <v>310</v>
      </c>
      <c r="B5355" s="405" t="s">
        <v>5000</v>
      </c>
      <c r="C5355" s="405" t="s">
        <v>327</v>
      </c>
      <c r="D5355" s="405"/>
      <c r="E5355" s="410">
        <v>41603</v>
      </c>
      <c r="F5355" s="410">
        <v>41648</v>
      </c>
      <c r="G5355" s="405" t="s">
        <v>5001</v>
      </c>
      <c r="H5355" s="405">
        <v>784314518</v>
      </c>
      <c r="I5355" s="405"/>
      <c r="J5355" s="405">
        <v>-0.31994299999999998</v>
      </c>
      <c r="K5355" s="405">
        <v>32.298903000000003</v>
      </c>
      <c r="L5355" s="405" t="s">
        <v>314</v>
      </c>
      <c r="M5355" s="405" t="s">
        <v>694</v>
      </c>
      <c r="N5355" s="405" t="s">
        <v>694</v>
      </c>
      <c r="O5355" s="405" t="s">
        <v>4874</v>
      </c>
      <c r="P5355" s="405" t="s">
        <v>1073</v>
      </c>
      <c r="Q5355" s="411">
        <v>6</v>
      </c>
      <c r="R5355" s="405" t="s">
        <v>1263</v>
      </c>
      <c r="S5355" s="405" t="s">
        <v>27210</v>
      </c>
      <c r="T5355" s="405" t="s">
        <v>32102</v>
      </c>
      <c r="U5355" s="405" t="s">
        <v>319</v>
      </c>
    </row>
    <row r="5356" spans="1:21" x14ac:dyDescent="0.25">
      <c r="A5356" s="405" t="s">
        <v>310</v>
      </c>
      <c r="B5356" s="405" t="s">
        <v>4952</v>
      </c>
      <c r="C5356" s="405" t="s">
        <v>327</v>
      </c>
      <c r="D5356" s="405"/>
      <c r="E5356" s="410">
        <v>41601</v>
      </c>
      <c r="F5356" s="410">
        <v>41646</v>
      </c>
      <c r="G5356" s="405" t="s">
        <v>4953</v>
      </c>
      <c r="H5356" s="405">
        <v>775002877</v>
      </c>
      <c r="I5356" s="405">
        <v>785857826</v>
      </c>
      <c r="J5356" s="405">
        <v>0.54286500000000004</v>
      </c>
      <c r="K5356" s="405">
        <v>31.765671999999999</v>
      </c>
      <c r="L5356" s="405" t="s">
        <v>314</v>
      </c>
      <c r="M5356" s="405" t="s">
        <v>445</v>
      </c>
      <c r="N5356" s="405" t="s">
        <v>699</v>
      </c>
      <c r="O5356" s="405" t="s">
        <v>571</v>
      </c>
      <c r="P5356" s="405" t="s">
        <v>4954</v>
      </c>
      <c r="Q5356" s="411">
        <v>9</v>
      </c>
      <c r="R5356" s="405" t="s">
        <v>318</v>
      </c>
      <c r="S5356" s="405" t="s">
        <v>27174</v>
      </c>
      <c r="T5356" s="405" t="s">
        <v>32102</v>
      </c>
      <c r="U5356" s="405" t="s">
        <v>319</v>
      </c>
    </row>
    <row r="5357" spans="1:21" x14ac:dyDescent="0.25">
      <c r="A5357" s="405" t="s">
        <v>310</v>
      </c>
      <c r="B5357" s="405" t="s">
        <v>27932</v>
      </c>
      <c r="C5357" s="405" t="s">
        <v>311</v>
      </c>
      <c r="D5357" s="405" t="s">
        <v>312</v>
      </c>
      <c r="E5357" s="410">
        <v>41600</v>
      </c>
      <c r="F5357" s="410">
        <v>41645</v>
      </c>
      <c r="G5357" s="405" t="s">
        <v>5418</v>
      </c>
      <c r="H5357" s="405">
        <v>782497050</v>
      </c>
      <c r="I5357" s="405">
        <v>779042198</v>
      </c>
      <c r="J5357" s="405">
        <v>-2.5149999999999999E-2</v>
      </c>
      <c r="K5357" s="405">
        <v>31.723894999999999</v>
      </c>
      <c r="L5357" s="405" t="s">
        <v>314</v>
      </c>
      <c r="M5357" s="405" t="s">
        <v>900</v>
      </c>
      <c r="N5357" s="405" t="s">
        <v>1119</v>
      </c>
      <c r="O5357" s="405" t="s">
        <v>3520</v>
      </c>
      <c r="P5357" s="405" t="s">
        <v>5419</v>
      </c>
      <c r="Q5357" s="411">
        <v>9</v>
      </c>
      <c r="R5357" s="405" t="s">
        <v>1263</v>
      </c>
      <c r="S5357" s="405" t="s">
        <v>27234</v>
      </c>
      <c r="T5357" s="405" t="s">
        <v>32102</v>
      </c>
      <c r="U5357" s="405" t="s">
        <v>319</v>
      </c>
    </row>
    <row r="5358" spans="1:21" x14ac:dyDescent="0.25">
      <c r="A5358" s="405" t="s">
        <v>310</v>
      </c>
      <c r="B5358" s="405" t="s">
        <v>27511</v>
      </c>
      <c r="C5358" s="405" t="s">
        <v>327</v>
      </c>
      <c r="D5358" s="405"/>
      <c r="E5358" s="410">
        <v>41600</v>
      </c>
      <c r="F5358" s="410">
        <v>41645</v>
      </c>
      <c r="G5358" s="405" t="s">
        <v>18846</v>
      </c>
      <c r="H5358" s="405">
        <v>782350967</v>
      </c>
      <c r="I5358" s="405">
        <v>787781927</v>
      </c>
      <c r="J5358" s="405">
        <v>2.2335601</v>
      </c>
      <c r="K5358" s="405">
        <v>32.892515500000002</v>
      </c>
      <c r="L5358" s="405" t="s">
        <v>860</v>
      </c>
      <c r="M5358" s="405" t="s">
        <v>18234</v>
      </c>
      <c r="N5358" s="405" t="s">
        <v>18252</v>
      </c>
      <c r="O5358" s="405" t="s">
        <v>18253</v>
      </c>
      <c r="P5358" s="405" t="s">
        <v>18847</v>
      </c>
      <c r="Q5358" s="411">
        <v>6</v>
      </c>
      <c r="R5358" s="405" t="s">
        <v>525</v>
      </c>
      <c r="S5358" s="405" t="s">
        <v>27171</v>
      </c>
      <c r="T5358" s="405" t="s">
        <v>32102</v>
      </c>
      <c r="U5358" s="405" t="s">
        <v>319</v>
      </c>
    </row>
    <row r="5359" spans="1:21" x14ac:dyDescent="0.25">
      <c r="A5359" s="405" t="s">
        <v>310</v>
      </c>
      <c r="B5359" s="405" t="s">
        <v>4971</v>
      </c>
      <c r="C5359" s="405" t="s">
        <v>327</v>
      </c>
      <c r="D5359" s="405"/>
      <c r="E5359" s="410">
        <v>41600</v>
      </c>
      <c r="F5359" s="410">
        <v>41645</v>
      </c>
      <c r="G5359" s="405" t="s">
        <v>4972</v>
      </c>
      <c r="H5359" s="405">
        <v>752946828</v>
      </c>
      <c r="I5359" s="405"/>
      <c r="J5359" s="405">
        <v>-0.35471639999999999</v>
      </c>
      <c r="K5359" s="405">
        <v>31.713612900000001</v>
      </c>
      <c r="L5359" s="405" t="s">
        <v>314</v>
      </c>
      <c r="M5359" s="405" t="s">
        <v>382</v>
      </c>
      <c r="N5359" s="405" t="s">
        <v>988</v>
      </c>
      <c r="O5359" s="405" t="s">
        <v>894</v>
      </c>
      <c r="P5359" s="405" t="s">
        <v>1901</v>
      </c>
      <c r="Q5359" s="411">
        <v>6</v>
      </c>
      <c r="R5359" s="405" t="s">
        <v>1263</v>
      </c>
      <c r="S5359" s="405" t="s">
        <v>27236</v>
      </c>
      <c r="T5359" s="405" t="s">
        <v>32102</v>
      </c>
      <c r="U5359" s="405" t="s">
        <v>319</v>
      </c>
    </row>
    <row r="5360" spans="1:21" x14ac:dyDescent="0.25">
      <c r="A5360" s="405" t="s">
        <v>310</v>
      </c>
      <c r="B5360" s="405" t="s">
        <v>13258</v>
      </c>
      <c r="C5360" s="405" t="s">
        <v>327</v>
      </c>
      <c r="D5360" s="405"/>
      <c r="E5360" s="410">
        <v>41600</v>
      </c>
      <c r="F5360" s="410">
        <v>41645</v>
      </c>
      <c r="G5360" s="405" t="s">
        <v>13259</v>
      </c>
      <c r="H5360" s="405">
        <v>783379933</v>
      </c>
      <c r="I5360" s="405"/>
      <c r="J5360" s="405">
        <v>0.93188800000000005</v>
      </c>
      <c r="K5360" s="405">
        <v>34.144421999999999</v>
      </c>
      <c r="L5360" s="405" t="s">
        <v>6866</v>
      </c>
      <c r="M5360" s="405" t="s">
        <v>9514</v>
      </c>
      <c r="N5360" s="405" t="s">
        <v>9529</v>
      </c>
      <c r="O5360" s="405" t="s">
        <v>10567</v>
      </c>
      <c r="P5360" s="405" t="s">
        <v>9729</v>
      </c>
      <c r="Q5360" s="411">
        <v>4</v>
      </c>
      <c r="R5360" s="405" t="s">
        <v>7224</v>
      </c>
      <c r="S5360" s="405" t="s">
        <v>27306</v>
      </c>
      <c r="T5360" s="405" t="s">
        <v>32102</v>
      </c>
      <c r="U5360" s="405" t="s">
        <v>319</v>
      </c>
    </row>
    <row r="5361" spans="1:21" x14ac:dyDescent="0.25">
      <c r="A5361" s="405" t="s">
        <v>310</v>
      </c>
      <c r="B5361" s="405" t="s">
        <v>13261</v>
      </c>
      <c r="C5361" s="405" t="s">
        <v>327</v>
      </c>
      <c r="D5361" s="405"/>
      <c r="E5361" s="410">
        <v>41598</v>
      </c>
      <c r="F5361" s="410">
        <v>41643</v>
      </c>
      <c r="G5361" s="405" t="s">
        <v>13262</v>
      </c>
      <c r="H5361" s="405">
        <v>776876197</v>
      </c>
      <c r="I5361" s="405"/>
      <c r="J5361" s="405">
        <v>0.45780799999999999</v>
      </c>
      <c r="K5361" s="405">
        <v>33.511977000000002</v>
      </c>
      <c r="L5361" s="405" t="s">
        <v>6866</v>
      </c>
      <c r="M5361" s="405" t="s">
        <v>5411</v>
      </c>
      <c r="N5361" s="405" t="s">
        <v>10042</v>
      </c>
      <c r="O5361" s="405" t="s">
        <v>13263</v>
      </c>
      <c r="P5361" s="405" t="s">
        <v>13264</v>
      </c>
      <c r="Q5361" s="411">
        <v>12</v>
      </c>
      <c r="R5361" s="405" t="s">
        <v>318</v>
      </c>
      <c r="S5361" s="405" t="s">
        <v>27134</v>
      </c>
      <c r="T5361" s="405" t="s">
        <v>32102</v>
      </c>
      <c r="U5361" s="405" t="s">
        <v>319</v>
      </c>
    </row>
    <row r="5362" spans="1:21" x14ac:dyDescent="0.25">
      <c r="A5362" s="405" t="s">
        <v>310</v>
      </c>
      <c r="B5362" s="405" t="s">
        <v>28751</v>
      </c>
      <c r="C5362" s="405" t="s">
        <v>311</v>
      </c>
      <c r="D5362" s="405" t="s">
        <v>312</v>
      </c>
      <c r="E5362" s="410">
        <v>41598</v>
      </c>
      <c r="F5362" s="410">
        <v>41643</v>
      </c>
      <c r="G5362" s="405" t="s">
        <v>5487</v>
      </c>
      <c r="H5362" s="405">
        <v>776710078</v>
      </c>
      <c r="I5362" s="405"/>
      <c r="J5362" s="405">
        <v>0.39614333333333335</v>
      </c>
      <c r="K5362" s="405">
        <v>32.543444999999998</v>
      </c>
      <c r="L5362" s="405" t="s">
        <v>314</v>
      </c>
      <c r="M5362" s="405" t="s">
        <v>361</v>
      </c>
      <c r="N5362" s="405" t="s">
        <v>362</v>
      </c>
      <c r="O5362" s="405" t="s">
        <v>4029</v>
      </c>
      <c r="P5362" s="405" t="s">
        <v>3979</v>
      </c>
      <c r="Q5362" s="411">
        <v>9</v>
      </c>
      <c r="R5362" s="405" t="s">
        <v>1263</v>
      </c>
      <c r="S5362" s="405" t="s">
        <v>27036</v>
      </c>
      <c r="T5362" s="405" t="s">
        <v>32102</v>
      </c>
      <c r="U5362" s="405" t="s">
        <v>319</v>
      </c>
    </row>
    <row r="5363" spans="1:21" x14ac:dyDescent="0.25">
      <c r="A5363" s="405" t="s">
        <v>310</v>
      </c>
      <c r="B5363" s="405" t="s">
        <v>28791</v>
      </c>
      <c r="C5363" s="405" t="s">
        <v>311</v>
      </c>
      <c r="D5363" s="405" t="s">
        <v>3381</v>
      </c>
      <c r="E5363" s="410">
        <v>41598</v>
      </c>
      <c r="F5363" s="410">
        <v>41643</v>
      </c>
      <c r="G5363" s="405" t="s">
        <v>19117</v>
      </c>
      <c r="H5363" s="405">
        <v>753691195</v>
      </c>
      <c r="I5363" s="405">
        <v>777322185</v>
      </c>
      <c r="J5363" s="405">
        <v>1.851826</v>
      </c>
      <c r="K5363" s="405">
        <v>33.068759</v>
      </c>
      <c r="L5363" s="405" t="s">
        <v>860</v>
      </c>
      <c r="M5363" s="405" t="s">
        <v>12189</v>
      </c>
      <c r="N5363" s="405" t="s">
        <v>18298</v>
      </c>
      <c r="O5363" s="405" t="s">
        <v>18644</v>
      </c>
      <c r="P5363" s="405" t="s">
        <v>19118</v>
      </c>
      <c r="Q5363" s="411">
        <v>6</v>
      </c>
      <c r="R5363" s="405" t="s">
        <v>318</v>
      </c>
      <c r="S5363" s="405" t="s">
        <v>27343</v>
      </c>
      <c r="T5363" s="405" t="s">
        <v>32102</v>
      </c>
      <c r="U5363" s="405" t="s">
        <v>319</v>
      </c>
    </row>
    <row r="5364" spans="1:21" x14ac:dyDescent="0.25">
      <c r="A5364" s="405" t="s">
        <v>310</v>
      </c>
      <c r="B5364" s="405" t="s">
        <v>13281</v>
      </c>
      <c r="C5364" s="405" t="s">
        <v>327</v>
      </c>
      <c r="D5364" s="405"/>
      <c r="E5364" s="410">
        <v>41598</v>
      </c>
      <c r="F5364" s="410">
        <v>41643</v>
      </c>
      <c r="G5364" s="405" t="s">
        <v>13282</v>
      </c>
      <c r="H5364" s="405">
        <v>774285799</v>
      </c>
      <c r="I5364" s="405">
        <v>772957779</v>
      </c>
      <c r="J5364" s="405">
        <v>1.33569</v>
      </c>
      <c r="K5364" s="405">
        <v>34.283639000000001</v>
      </c>
      <c r="L5364" s="405" t="s">
        <v>6866</v>
      </c>
      <c r="M5364" s="405" t="s">
        <v>9550</v>
      </c>
      <c r="N5364" s="405" t="s">
        <v>9550</v>
      </c>
      <c r="O5364" s="405" t="s">
        <v>9639</v>
      </c>
      <c r="P5364" s="405" t="s">
        <v>13283</v>
      </c>
      <c r="Q5364" s="411">
        <v>6</v>
      </c>
      <c r="R5364" s="405" t="s">
        <v>9541</v>
      </c>
      <c r="S5364" s="405" t="s">
        <v>27086</v>
      </c>
      <c r="T5364" s="405" t="s">
        <v>32102</v>
      </c>
      <c r="U5364" s="405" t="s">
        <v>319</v>
      </c>
    </row>
    <row r="5365" spans="1:21" x14ac:dyDescent="0.25">
      <c r="A5365" s="405" t="s">
        <v>310</v>
      </c>
      <c r="B5365" s="405" t="s">
        <v>18854</v>
      </c>
      <c r="C5365" s="405" t="s">
        <v>327</v>
      </c>
      <c r="D5365" s="405"/>
      <c r="E5365" s="410">
        <v>41598</v>
      </c>
      <c r="F5365" s="410">
        <v>41643</v>
      </c>
      <c r="G5365" s="405" t="s">
        <v>18855</v>
      </c>
      <c r="H5365" s="405">
        <v>753367890</v>
      </c>
      <c r="I5365" s="405">
        <v>787595600</v>
      </c>
      <c r="J5365" s="405">
        <v>2.2607750000000002</v>
      </c>
      <c r="K5365" s="405">
        <v>32.900359999999999</v>
      </c>
      <c r="L5365" s="405" t="s">
        <v>860</v>
      </c>
      <c r="M5365" s="405" t="s">
        <v>18234</v>
      </c>
      <c r="N5365" s="405" t="s">
        <v>18250</v>
      </c>
      <c r="O5365" s="405" t="s">
        <v>18391</v>
      </c>
      <c r="P5365" s="405" t="s">
        <v>18856</v>
      </c>
      <c r="Q5365" s="411">
        <v>6</v>
      </c>
      <c r="R5365" s="405" t="s">
        <v>318</v>
      </c>
      <c r="S5365" s="405" t="s">
        <v>27125</v>
      </c>
      <c r="T5365" s="405" t="s">
        <v>865</v>
      </c>
      <c r="U5365" s="405" t="s">
        <v>866</v>
      </c>
    </row>
    <row r="5366" spans="1:21" x14ac:dyDescent="0.25">
      <c r="A5366" s="405" t="s">
        <v>310</v>
      </c>
      <c r="B5366" s="405" t="s">
        <v>27717</v>
      </c>
      <c r="C5366" s="405" t="s">
        <v>311</v>
      </c>
      <c r="D5366" s="405" t="s">
        <v>1789</v>
      </c>
      <c r="E5366" s="410">
        <v>41597</v>
      </c>
      <c r="F5366" s="410">
        <v>41642</v>
      </c>
      <c r="G5366" s="405" t="s">
        <v>13609</v>
      </c>
      <c r="H5366" s="405">
        <v>752553253</v>
      </c>
      <c r="I5366" s="405">
        <v>752553253</v>
      </c>
      <c r="J5366" s="405">
        <v>2.2145980000000001</v>
      </c>
      <c r="K5366" s="405">
        <v>33.483784999999997</v>
      </c>
      <c r="L5366" s="405" t="s">
        <v>6866</v>
      </c>
      <c r="M5366" s="405" t="s">
        <v>10495</v>
      </c>
      <c r="N5366" s="405" t="s">
        <v>10496</v>
      </c>
      <c r="O5366" s="405" t="s">
        <v>10527</v>
      </c>
      <c r="P5366" s="405" t="s">
        <v>13244</v>
      </c>
      <c r="Q5366" s="411">
        <v>6</v>
      </c>
      <c r="R5366" s="405" t="s">
        <v>5655</v>
      </c>
      <c r="S5366" s="405" t="s">
        <v>27336</v>
      </c>
      <c r="T5366" s="405" t="s">
        <v>32102</v>
      </c>
      <c r="U5366" s="405" t="s">
        <v>319</v>
      </c>
    </row>
    <row r="5367" spans="1:21" x14ac:dyDescent="0.25">
      <c r="A5367" s="405" t="s">
        <v>310</v>
      </c>
      <c r="B5367" s="405" t="s">
        <v>27723</v>
      </c>
      <c r="C5367" s="405" t="s">
        <v>327</v>
      </c>
      <c r="D5367" s="405"/>
      <c r="E5367" s="410">
        <v>41597</v>
      </c>
      <c r="F5367" s="410">
        <v>41642</v>
      </c>
      <c r="G5367" s="405" t="s">
        <v>13243</v>
      </c>
      <c r="H5367" s="405">
        <v>750057498</v>
      </c>
      <c r="I5367" s="405"/>
      <c r="J5367" s="405">
        <v>2.2158950000000002</v>
      </c>
      <c r="K5367" s="405">
        <v>33.479816999999997</v>
      </c>
      <c r="L5367" s="405" t="s">
        <v>6866</v>
      </c>
      <c r="M5367" s="405" t="s">
        <v>10495</v>
      </c>
      <c r="N5367" s="405" t="s">
        <v>10496</v>
      </c>
      <c r="O5367" s="405" t="s">
        <v>10527</v>
      </c>
      <c r="P5367" s="405" t="s">
        <v>13244</v>
      </c>
      <c r="Q5367" s="411">
        <v>6</v>
      </c>
      <c r="R5367" s="405" t="s">
        <v>5655</v>
      </c>
      <c r="S5367" s="405" t="s">
        <v>27324</v>
      </c>
      <c r="T5367" s="405" t="s">
        <v>865</v>
      </c>
      <c r="U5367" s="405" t="s">
        <v>866</v>
      </c>
    </row>
    <row r="5368" spans="1:21" x14ac:dyDescent="0.25">
      <c r="A5368" s="405" t="s">
        <v>310</v>
      </c>
      <c r="B5368" s="405" t="s">
        <v>13241</v>
      </c>
      <c r="C5368" s="405" t="s">
        <v>327</v>
      </c>
      <c r="D5368" s="405"/>
      <c r="E5368" s="410">
        <v>41597</v>
      </c>
      <c r="F5368" s="410">
        <v>41642</v>
      </c>
      <c r="G5368" s="405" t="s">
        <v>13242</v>
      </c>
      <c r="H5368" s="405">
        <v>782457609</v>
      </c>
      <c r="I5368" s="405"/>
      <c r="J5368" s="405">
        <v>1.813375</v>
      </c>
      <c r="K5368" s="405">
        <v>33.880719999999997</v>
      </c>
      <c r="L5368" s="405" t="s">
        <v>6866</v>
      </c>
      <c r="M5368" s="405" t="s">
        <v>11355</v>
      </c>
      <c r="N5368" s="405" t="s">
        <v>11356</v>
      </c>
      <c r="O5368" s="405" t="s">
        <v>11355</v>
      </c>
      <c r="P5368" s="405" t="s">
        <v>12314</v>
      </c>
      <c r="Q5368" s="411">
        <v>6</v>
      </c>
      <c r="R5368" s="405" t="s">
        <v>5655</v>
      </c>
      <c r="S5368" s="405" t="s">
        <v>27337</v>
      </c>
      <c r="T5368" s="405" t="s">
        <v>865</v>
      </c>
      <c r="U5368" s="405" t="s">
        <v>866</v>
      </c>
    </row>
    <row r="5369" spans="1:21" x14ac:dyDescent="0.25">
      <c r="A5369" s="405" t="s">
        <v>310</v>
      </c>
      <c r="B5369" s="405" t="s">
        <v>27480</v>
      </c>
      <c r="C5369" s="405" t="s">
        <v>327</v>
      </c>
      <c r="D5369" s="405"/>
      <c r="E5369" s="410">
        <v>41596</v>
      </c>
      <c r="F5369" s="410">
        <v>41641</v>
      </c>
      <c r="G5369" s="405" t="s">
        <v>18842</v>
      </c>
      <c r="H5369" s="405">
        <v>77807463</v>
      </c>
      <c r="I5369" s="405"/>
      <c r="J5369" s="405">
        <v>2.2811416666666666</v>
      </c>
      <c r="K5369" s="405">
        <v>32.882198333333335</v>
      </c>
      <c r="L5369" s="405" t="s">
        <v>860</v>
      </c>
      <c r="M5369" s="405" t="s">
        <v>18234</v>
      </c>
      <c r="N5369" s="405" t="s">
        <v>18252</v>
      </c>
      <c r="O5369" s="405" t="s">
        <v>18234</v>
      </c>
      <c r="P5369" s="405" t="s">
        <v>18843</v>
      </c>
      <c r="Q5369" s="411">
        <v>13</v>
      </c>
      <c r="R5369" s="405" t="s">
        <v>525</v>
      </c>
      <c r="S5369" s="405" t="s">
        <v>27179</v>
      </c>
      <c r="T5369" s="405" t="s">
        <v>32102</v>
      </c>
      <c r="U5369" s="405" t="s">
        <v>319</v>
      </c>
    </row>
    <row r="5370" spans="1:21" x14ac:dyDescent="0.25">
      <c r="A5370" s="405" t="s">
        <v>310</v>
      </c>
      <c r="B5370" s="405" t="s">
        <v>13274</v>
      </c>
      <c r="C5370" s="405" t="s">
        <v>327</v>
      </c>
      <c r="D5370" s="405"/>
      <c r="E5370" s="410">
        <v>41596</v>
      </c>
      <c r="F5370" s="410">
        <v>41641</v>
      </c>
      <c r="G5370" s="405" t="s">
        <v>13275</v>
      </c>
      <c r="H5370" s="405">
        <v>772411196</v>
      </c>
      <c r="I5370" s="405"/>
      <c r="J5370" s="405">
        <v>1.2460819999999999</v>
      </c>
      <c r="K5370" s="405">
        <v>33.644526999999997</v>
      </c>
      <c r="L5370" s="405" t="s">
        <v>6866</v>
      </c>
      <c r="M5370" s="405" t="s">
        <v>9509</v>
      </c>
      <c r="N5370" s="405" t="s">
        <v>10036</v>
      </c>
      <c r="O5370" s="405" t="s">
        <v>10037</v>
      </c>
      <c r="P5370" s="405" t="s">
        <v>13276</v>
      </c>
      <c r="Q5370" s="411">
        <v>9</v>
      </c>
      <c r="R5370" s="405" t="s">
        <v>9541</v>
      </c>
      <c r="S5370" s="405" t="s">
        <v>27315</v>
      </c>
      <c r="T5370" s="405" t="s">
        <v>32102</v>
      </c>
      <c r="U5370" s="405" t="s">
        <v>319</v>
      </c>
    </row>
    <row r="5371" spans="1:21" x14ac:dyDescent="0.25">
      <c r="A5371" s="405" t="s">
        <v>310</v>
      </c>
      <c r="B5371" s="405" t="s">
        <v>28013</v>
      </c>
      <c r="C5371" s="405" t="s">
        <v>327</v>
      </c>
      <c r="D5371" s="405"/>
      <c r="E5371" s="410">
        <v>41596</v>
      </c>
      <c r="F5371" s="410">
        <v>41641</v>
      </c>
      <c r="G5371" s="405" t="s">
        <v>4989</v>
      </c>
      <c r="H5371" s="405">
        <v>775889592</v>
      </c>
      <c r="I5371" s="405">
        <v>750889592</v>
      </c>
      <c r="J5371" s="405">
        <v>0.95311500000000005</v>
      </c>
      <c r="K5371" s="405">
        <v>31.679013000000001</v>
      </c>
      <c r="L5371" s="405" t="s">
        <v>314</v>
      </c>
      <c r="M5371" s="405" t="s">
        <v>1360</v>
      </c>
      <c r="N5371" s="405" t="s">
        <v>1361</v>
      </c>
      <c r="O5371" s="405" t="s">
        <v>3565</v>
      </c>
      <c r="P5371" s="405" t="s">
        <v>4990</v>
      </c>
      <c r="Q5371" s="411">
        <v>6</v>
      </c>
      <c r="R5371" s="405" t="s">
        <v>32476</v>
      </c>
      <c r="S5371" s="405" t="s">
        <v>27210</v>
      </c>
      <c r="T5371" s="405" t="s">
        <v>32102</v>
      </c>
      <c r="U5371" s="405" t="s">
        <v>319</v>
      </c>
    </row>
    <row r="5372" spans="1:21" x14ac:dyDescent="0.25">
      <c r="A5372" s="405" t="s">
        <v>310</v>
      </c>
      <c r="B5372" s="405" t="s">
        <v>4941</v>
      </c>
      <c r="C5372" s="405" t="s">
        <v>327</v>
      </c>
      <c r="D5372" s="405"/>
      <c r="E5372" s="410">
        <v>41596</v>
      </c>
      <c r="F5372" s="410">
        <v>41641</v>
      </c>
      <c r="G5372" s="405" t="s">
        <v>4942</v>
      </c>
      <c r="H5372" s="405">
        <v>772828005</v>
      </c>
      <c r="I5372" s="405">
        <v>701367410</v>
      </c>
      <c r="J5372" s="405">
        <v>-0.31750299999999998</v>
      </c>
      <c r="K5372" s="405">
        <v>31.812114999999999</v>
      </c>
      <c r="L5372" s="405" t="s">
        <v>314</v>
      </c>
      <c r="M5372" s="405" t="s">
        <v>382</v>
      </c>
      <c r="N5372" s="405" t="s">
        <v>941</v>
      </c>
      <c r="O5372" s="405" t="s">
        <v>1076</v>
      </c>
      <c r="P5372" s="405" t="s">
        <v>4943</v>
      </c>
      <c r="Q5372" s="411">
        <v>6</v>
      </c>
      <c r="R5372" s="405" t="s">
        <v>1263</v>
      </c>
      <c r="S5372" s="405" t="s">
        <v>27036</v>
      </c>
      <c r="T5372" s="405" t="s">
        <v>32102</v>
      </c>
      <c r="U5372" s="405" t="s">
        <v>319</v>
      </c>
    </row>
    <row r="5373" spans="1:21" x14ac:dyDescent="0.25">
      <c r="A5373" s="405" t="s">
        <v>310</v>
      </c>
      <c r="B5373" s="405" t="s">
        <v>13299</v>
      </c>
      <c r="C5373" s="405" t="s">
        <v>327</v>
      </c>
      <c r="D5373" s="405"/>
      <c r="E5373" s="410">
        <v>41596</v>
      </c>
      <c r="F5373" s="410">
        <v>41641</v>
      </c>
      <c r="G5373" s="405" t="s">
        <v>13300</v>
      </c>
      <c r="H5373" s="405">
        <v>782176354</v>
      </c>
      <c r="I5373" s="405"/>
      <c r="J5373" s="405">
        <v>0.99499099999999996</v>
      </c>
      <c r="K5373" s="405">
        <v>34.338437999999996</v>
      </c>
      <c r="L5373" s="405" t="s">
        <v>6866</v>
      </c>
      <c r="M5373" s="405" t="s">
        <v>9763</v>
      </c>
      <c r="N5373" s="405" t="s">
        <v>9764</v>
      </c>
      <c r="O5373" s="405" t="s">
        <v>1590</v>
      </c>
      <c r="P5373" s="405" t="s">
        <v>13301</v>
      </c>
      <c r="Q5373" s="411">
        <v>6</v>
      </c>
      <c r="R5373" s="405" t="s">
        <v>7224</v>
      </c>
      <c r="S5373" s="405" t="s">
        <v>27259</v>
      </c>
      <c r="T5373" s="405" t="s">
        <v>865</v>
      </c>
      <c r="U5373" s="405" t="s">
        <v>866</v>
      </c>
    </row>
    <row r="5374" spans="1:21" x14ac:dyDescent="0.25">
      <c r="A5374" s="405" t="s">
        <v>310</v>
      </c>
      <c r="B5374" s="405" t="s">
        <v>13248</v>
      </c>
      <c r="C5374" s="405" t="s">
        <v>327</v>
      </c>
      <c r="D5374" s="405"/>
      <c r="E5374" s="410">
        <v>41596</v>
      </c>
      <c r="F5374" s="410">
        <v>41641</v>
      </c>
      <c r="G5374" s="405" t="s">
        <v>13249</v>
      </c>
      <c r="H5374" s="405">
        <v>776361103</v>
      </c>
      <c r="I5374" s="405"/>
      <c r="J5374" s="405">
        <v>0.78238099999999999</v>
      </c>
      <c r="K5374" s="405">
        <v>34.136398999999997</v>
      </c>
      <c r="L5374" s="405" t="s">
        <v>6866</v>
      </c>
      <c r="M5374" s="405" t="s">
        <v>9534</v>
      </c>
      <c r="N5374" s="405" t="s">
        <v>10252</v>
      </c>
      <c r="O5374" s="405" t="s">
        <v>10192</v>
      </c>
      <c r="P5374" s="405" t="s">
        <v>13250</v>
      </c>
      <c r="Q5374" s="411">
        <v>6</v>
      </c>
      <c r="R5374" s="405" t="s">
        <v>7224</v>
      </c>
      <c r="S5374" s="405" t="s">
        <v>27073</v>
      </c>
      <c r="T5374" s="405" t="s">
        <v>865</v>
      </c>
      <c r="U5374" s="405" t="s">
        <v>866</v>
      </c>
    </row>
    <row r="5375" spans="1:21" x14ac:dyDescent="0.25">
      <c r="A5375" s="405" t="s">
        <v>310</v>
      </c>
      <c r="B5375" s="405" t="s">
        <v>5519</v>
      </c>
      <c r="C5375" s="405" t="s">
        <v>311</v>
      </c>
      <c r="D5375" s="405" t="s">
        <v>839</v>
      </c>
      <c r="E5375" s="410">
        <v>41596</v>
      </c>
      <c r="F5375" s="410">
        <v>41641</v>
      </c>
      <c r="G5375" s="405" t="s">
        <v>5520</v>
      </c>
      <c r="H5375" s="405">
        <v>775871502</v>
      </c>
      <c r="I5375" s="405"/>
      <c r="J5375" s="405">
        <v>0.91455799999999998</v>
      </c>
      <c r="K5375" s="405">
        <v>31.520444999999999</v>
      </c>
      <c r="L5375" s="405" t="s">
        <v>314</v>
      </c>
      <c r="M5375" s="405" t="s">
        <v>1360</v>
      </c>
      <c r="N5375" s="405" t="s">
        <v>1361</v>
      </c>
      <c r="O5375" s="405" t="s">
        <v>411</v>
      </c>
      <c r="P5375" s="405" t="s">
        <v>5521</v>
      </c>
      <c r="Q5375" s="411">
        <v>6</v>
      </c>
      <c r="R5375" s="405" t="s">
        <v>1263</v>
      </c>
      <c r="S5375" s="405" t="s">
        <v>27202</v>
      </c>
      <c r="T5375" s="405" t="s">
        <v>884</v>
      </c>
      <c r="U5375" s="405" t="s">
        <v>319</v>
      </c>
    </row>
    <row r="5376" spans="1:21" x14ac:dyDescent="0.25">
      <c r="A5376" s="405" t="s">
        <v>310</v>
      </c>
      <c r="B5376" s="405" t="s">
        <v>5017</v>
      </c>
      <c r="C5376" s="405" t="s">
        <v>327</v>
      </c>
      <c r="D5376" s="405"/>
      <c r="E5376" s="410">
        <v>41595</v>
      </c>
      <c r="F5376" s="410">
        <v>41640</v>
      </c>
      <c r="G5376" s="405" t="s">
        <v>5018</v>
      </c>
      <c r="H5376" s="405">
        <v>781174428</v>
      </c>
      <c r="I5376" s="405"/>
      <c r="J5376" s="405">
        <v>0.92444999999999999</v>
      </c>
      <c r="K5376" s="405">
        <v>31.496791999999999</v>
      </c>
      <c r="L5376" s="405" t="s">
        <v>314</v>
      </c>
      <c r="M5376" s="405" t="s">
        <v>1360</v>
      </c>
      <c r="N5376" s="405" t="s">
        <v>1361</v>
      </c>
      <c r="O5376" s="405" t="s">
        <v>411</v>
      </c>
      <c r="P5376" s="405" t="s">
        <v>5019</v>
      </c>
      <c r="Q5376" s="411">
        <v>6</v>
      </c>
      <c r="R5376" s="405" t="s">
        <v>1263</v>
      </c>
      <c r="S5376" s="405" t="s">
        <v>27047</v>
      </c>
      <c r="T5376" s="405" t="s">
        <v>32102</v>
      </c>
      <c r="U5376" s="405" t="s">
        <v>319</v>
      </c>
    </row>
    <row r="5377" spans="1:21" x14ac:dyDescent="0.25">
      <c r="A5377" s="405" t="s">
        <v>310</v>
      </c>
      <c r="B5377" s="405" t="s">
        <v>4927</v>
      </c>
      <c r="C5377" s="405" t="s">
        <v>327</v>
      </c>
      <c r="D5377" s="405"/>
      <c r="E5377" s="410">
        <v>41595</v>
      </c>
      <c r="F5377" s="410">
        <v>41640</v>
      </c>
      <c r="G5377" s="405" t="s">
        <v>4928</v>
      </c>
      <c r="H5377" s="405">
        <v>772497721</v>
      </c>
      <c r="I5377" s="405"/>
      <c r="J5377" s="405">
        <v>0.21369000000000002</v>
      </c>
      <c r="K5377" s="405">
        <v>32.343343333333337</v>
      </c>
      <c r="L5377" s="405" t="s">
        <v>314</v>
      </c>
      <c r="M5377" s="405" t="s">
        <v>321</v>
      </c>
      <c r="N5377" s="405" t="s">
        <v>322</v>
      </c>
      <c r="O5377" s="405" t="s">
        <v>996</v>
      </c>
      <c r="P5377" s="405" t="s">
        <v>4929</v>
      </c>
      <c r="Q5377" s="411">
        <v>6</v>
      </c>
      <c r="R5377" s="405" t="s">
        <v>318</v>
      </c>
      <c r="S5377" s="405" t="s">
        <v>27201</v>
      </c>
      <c r="T5377" s="405" t="s">
        <v>884</v>
      </c>
      <c r="U5377" s="405" t="s">
        <v>319</v>
      </c>
    </row>
    <row r="5378" spans="1:21" x14ac:dyDescent="0.25">
      <c r="A5378" s="405" t="s">
        <v>310</v>
      </c>
      <c r="B5378" s="405" t="s">
        <v>28780</v>
      </c>
      <c r="C5378" s="405" t="s">
        <v>327</v>
      </c>
      <c r="D5378" s="405"/>
      <c r="E5378" s="410">
        <v>41595</v>
      </c>
      <c r="F5378" s="410">
        <v>41640</v>
      </c>
      <c r="G5378" s="405" t="s">
        <v>18867</v>
      </c>
      <c r="H5378" s="405">
        <v>782039011</v>
      </c>
      <c r="I5378" s="405">
        <v>784128239</v>
      </c>
      <c r="J5378" s="405">
        <v>2.2457929999999999</v>
      </c>
      <c r="K5378" s="405">
        <v>32.893572499999998</v>
      </c>
      <c r="L5378" s="405" t="s">
        <v>860</v>
      </c>
      <c r="M5378" s="405" t="s">
        <v>18234</v>
      </c>
      <c r="N5378" s="405" t="s">
        <v>18252</v>
      </c>
      <c r="O5378" s="405" t="s">
        <v>18234</v>
      </c>
      <c r="P5378" s="405" t="s">
        <v>18409</v>
      </c>
      <c r="Q5378" s="411">
        <v>6</v>
      </c>
      <c r="R5378" s="405" t="s">
        <v>525</v>
      </c>
      <c r="S5378" s="405" t="s">
        <v>27193</v>
      </c>
      <c r="T5378" s="405" t="s">
        <v>865</v>
      </c>
      <c r="U5378" s="405" t="s">
        <v>866</v>
      </c>
    </row>
    <row r="5379" spans="1:21" x14ac:dyDescent="0.25">
      <c r="A5379" s="405" t="s">
        <v>310</v>
      </c>
      <c r="B5379" s="405" t="s">
        <v>28908</v>
      </c>
      <c r="C5379" s="405" t="s">
        <v>327</v>
      </c>
      <c r="D5379" s="405"/>
      <c r="E5379" s="410">
        <v>41595</v>
      </c>
      <c r="F5379" s="410">
        <v>41640</v>
      </c>
      <c r="G5379" s="405" t="s">
        <v>13260</v>
      </c>
      <c r="H5379" s="405">
        <v>785025327</v>
      </c>
      <c r="I5379" s="405"/>
      <c r="J5379" s="405">
        <v>0.91820000000000002</v>
      </c>
      <c r="K5379" s="405">
        <v>34.130432999999996</v>
      </c>
      <c r="L5379" s="405" t="s">
        <v>6866</v>
      </c>
      <c r="M5379" s="405" t="s">
        <v>9514</v>
      </c>
      <c r="N5379" s="405" t="s">
        <v>9616</v>
      </c>
      <c r="O5379" s="405" t="s">
        <v>9923</v>
      </c>
      <c r="P5379" s="405" t="s">
        <v>13201</v>
      </c>
      <c r="Q5379" s="411">
        <v>4</v>
      </c>
      <c r="R5379" s="405" t="s">
        <v>7224</v>
      </c>
      <c r="S5379" s="405" t="s">
        <v>27203</v>
      </c>
      <c r="T5379" s="405" t="s">
        <v>865</v>
      </c>
      <c r="U5379" s="405" t="s">
        <v>866</v>
      </c>
    </row>
    <row r="5380" spans="1:21" x14ac:dyDescent="0.25">
      <c r="A5380" s="405" t="s">
        <v>310</v>
      </c>
      <c r="B5380" s="405" t="s">
        <v>4866</v>
      </c>
      <c r="C5380" s="405" t="s">
        <v>327</v>
      </c>
      <c r="D5380" s="405"/>
      <c r="E5380" s="410">
        <v>41594</v>
      </c>
      <c r="F5380" s="410">
        <v>41639</v>
      </c>
      <c r="G5380" s="405" t="s">
        <v>4867</v>
      </c>
      <c r="H5380" s="405">
        <v>772346700</v>
      </c>
      <c r="I5380" s="405"/>
      <c r="J5380" s="405">
        <v>0.40524500000000002</v>
      </c>
      <c r="K5380" s="405">
        <v>33.173257999999997</v>
      </c>
      <c r="L5380" s="405" t="s">
        <v>314</v>
      </c>
      <c r="M5380" s="405" t="s">
        <v>349</v>
      </c>
      <c r="N5380" s="405" t="s">
        <v>473</v>
      </c>
      <c r="O5380" s="405" t="s">
        <v>4868</v>
      </c>
      <c r="P5380" s="405" t="s">
        <v>4869</v>
      </c>
      <c r="Q5380" s="411">
        <v>9</v>
      </c>
      <c r="R5380" s="405" t="s">
        <v>318</v>
      </c>
      <c r="S5380" s="405" t="s">
        <v>6822</v>
      </c>
      <c r="T5380" s="405" t="s">
        <v>32102</v>
      </c>
      <c r="U5380" s="405" t="s">
        <v>319</v>
      </c>
    </row>
    <row r="5381" spans="1:21" x14ac:dyDescent="0.25">
      <c r="A5381" s="405" t="s">
        <v>310</v>
      </c>
      <c r="B5381" s="405" t="s">
        <v>4821</v>
      </c>
      <c r="C5381" s="405" t="s">
        <v>327</v>
      </c>
      <c r="D5381" s="405"/>
      <c r="E5381" s="410">
        <v>41594</v>
      </c>
      <c r="F5381" s="410">
        <v>41639</v>
      </c>
      <c r="G5381" s="405" t="s">
        <v>4822</v>
      </c>
      <c r="H5381" s="405">
        <v>773224230</v>
      </c>
      <c r="I5381" s="405">
        <v>752224230</v>
      </c>
      <c r="J5381" s="405">
        <v>-1.7066999999999999E-2</v>
      </c>
      <c r="K5381" s="405">
        <v>31.740252999999999</v>
      </c>
      <c r="L5381" s="405" t="s">
        <v>314</v>
      </c>
      <c r="M5381" s="405" t="s">
        <v>900</v>
      </c>
      <c r="N5381" s="405" t="s">
        <v>1119</v>
      </c>
      <c r="O5381" s="405" t="s">
        <v>3520</v>
      </c>
      <c r="P5381" s="405" t="s">
        <v>4823</v>
      </c>
      <c r="Q5381" s="411">
        <v>9</v>
      </c>
      <c r="R5381" s="405" t="s">
        <v>1263</v>
      </c>
      <c r="S5381" s="405" t="s">
        <v>5986</v>
      </c>
      <c r="T5381" s="405" t="s">
        <v>32102</v>
      </c>
      <c r="U5381" s="405" t="s">
        <v>319</v>
      </c>
    </row>
    <row r="5382" spans="1:21" x14ac:dyDescent="0.25">
      <c r="A5382" s="405" t="s">
        <v>310</v>
      </c>
      <c r="B5382" s="405" t="s">
        <v>13191</v>
      </c>
      <c r="C5382" s="405" t="s">
        <v>327</v>
      </c>
      <c r="D5382" s="405"/>
      <c r="E5382" s="410">
        <v>41594</v>
      </c>
      <c r="F5382" s="410">
        <v>41639</v>
      </c>
      <c r="G5382" s="405" t="s">
        <v>13192</v>
      </c>
      <c r="H5382" s="405">
        <v>775119140</v>
      </c>
      <c r="I5382" s="405"/>
      <c r="J5382" s="405">
        <v>2.1965620000000001</v>
      </c>
      <c r="K5382" s="405">
        <v>33.5976</v>
      </c>
      <c r="L5382" s="405" t="s">
        <v>6866</v>
      </c>
      <c r="M5382" s="405" t="s">
        <v>10495</v>
      </c>
      <c r="N5382" s="405" t="s">
        <v>11495</v>
      </c>
      <c r="O5382" s="405" t="s">
        <v>11496</v>
      </c>
      <c r="P5382" s="405" t="s">
        <v>13193</v>
      </c>
      <c r="Q5382" s="411">
        <v>6</v>
      </c>
      <c r="R5382" s="405" t="s">
        <v>5655</v>
      </c>
      <c r="S5382" s="405" t="s">
        <v>27336</v>
      </c>
      <c r="T5382" s="405" t="s">
        <v>865</v>
      </c>
      <c r="U5382" s="405" t="s">
        <v>866</v>
      </c>
    </row>
    <row r="5383" spans="1:21" x14ac:dyDescent="0.25">
      <c r="A5383" s="405" t="s">
        <v>310</v>
      </c>
      <c r="B5383" s="405" t="s">
        <v>21430</v>
      </c>
      <c r="C5383" s="405" t="s">
        <v>327</v>
      </c>
      <c r="D5383" s="405"/>
      <c r="E5383" s="410">
        <v>41593</v>
      </c>
      <c r="F5383" s="410">
        <v>41638</v>
      </c>
      <c r="G5383" s="405" t="s">
        <v>21431</v>
      </c>
      <c r="H5383" s="405">
        <v>777913196</v>
      </c>
      <c r="I5383" s="405">
        <v>776610676</v>
      </c>
      <c r="J5383" s="405">
        <v>-5.0044999999999999E-2</v>
      </c>
      <c r="K5383" s="405">
        <v>30.750837000000001</v>
      </c>
      <c r="L5383" s="405" t="s">
        <v>590</v>
      </c>
      <c r="M5383" s="405" t="s">
        <v>19705</v>
      </c>
      <c r="N5383" s="405" t="s">
        <v>2250</v>
      </c>
      <c r="O5383" s="405" t="s">
        <v>21432</v>
      </c>
      <c r="P5383" s="405" t="s">
        <v>21433</v>
      </c>
      <c r="Q5383" s="411">
        <v>9</v>
      </c>
      <c r="R5383" s="405" t="s">
        <v>874</v>
      </c>
      <c r="S5383" s="405" t="s">
        <v>27205</v>
      </c>
      <c r="T5383" s="405" t="s">
        <v>865</v>
      </c>
      <c r="U5383" s="405" t="s">
        <v>866</v>
      </c>
    </row>
    <row r="5384" spans="1:21" x14ac:dyDescent="0.25">
      <c r="A5384" s="405" t="s">
        <v>310</v>
      </c>
      <c r="B5384" s="405" t="s">
        <v>28735</v>
      </c>
      <c r="C5384" s="405" t="s">
        <v>327</v>
      </c>
      <c r="D5384" s="405"/>
      <c r="E5384" s="410">
        <v>41593</v>
      </c>
      <c r="F5384" s="410">
        <v>41638</v>
      </c>
      <c r="G5384" s="405" t="s">
        <v>13223</v>
      </c>
      <c r="H5384" s="405">
        <v>775049575</v>
      </c>
      <c r="I5384" s="405"/>
      <c r="J5384" s="405">
        <v>1.2554620000000001</v>
      </c>
      <c r="K5384" s="405">
        <v>33.986438</v>
      </c>
      <c r="L5384" s="405" t="s">
        <v>6866</v>
      </c>
      <c r="M5384" s="405" t="s">
        <v>9504</v>
      </c>
      <c r="N5384" s="405" t="s">
        <v>9504</v>
      </c>
      <c r="O5384" s="405" t="s">
        <v>10109</v>
      </c>
      <c r="P5384" s="405" t="s">
        <v>10109</v>
      </c>
      <c r="Q5384" s="411">
        <v>6</v>
      </c>
      <c r="R5384" s="405" t="s">
        <v>7224</v>
      </c>
      <c r="S5384" s="405" t="s">
        <v>27298</v>
      </c>
      <c r="T5384" s="405" t="s">
        <v>865</v>
      </c>
      <c r="U5384" s="405" t="s">
        <v>866</v>
      </c>
    </row>
    <row r="5385" spans="1:21" x14ac:dyDescent="0.25">
      <c r="A5385" s="405" t="s">
        <v>310</v>
      </c>
      <c r="B5385" s="405" t="s">
        <v>4853</v>
      </c>
      <c r="C5385" s="405" t="s">
        <v>327</v>
      </c>
      <c r="D5385" s="405"/>
      <c r="E5385" s="410">
        <v>41592</v>
      </c>
      <c r="F5385" s="410">
        <v>41637</v>
      </c>
      <c r="G5385" s="405" t="s">
        <v>4854</v>
      </c>
      <c r="H5385" s="405">
        <v>772410105</v>
      </c>
      <c r="I5385" s="405">
        <v>772410931</v>
      </c>
      <c r="J5385" s="405">
        <v>0.40997840000000002</v>
      </c>
      <c r="K5385" s="405">
        <v>32.6575907</v>
      </c>
      <c r="L5385" s="405" t="s">
        <v>314</v>
      </c>
      <c r="M5385" s="405" t="s">
        <v>361</v>
      </c>
      <c r="N5385" s="405" t="s">
        <v>362</v>
      </c>
      <c r="O5385" s="405" t="s">
        <v>4855</v>
      </c>
      <c r="P5385" s="405" t="s">
        <v>4856</v>
      </c>
      <c r="Q5385" s="411">
        <v>13</v>
      </c>
      <c r="R5385" s="405" t="s">
        <v>318</v>
      </c>
      <c r="S5385" s="405" t="s">
        <v>27140</v>
      </c>
      <c r="T5385" s="405" t="s">
        <v>865</v>
      </c>
      <c r="U5385" s="405" t="s">
        <v>866</v>
      </c>
    </row>
    <row r="5386" spans="1:21" ht="25.5" x14ac:dyDescent="0.25">
      <c r="A5386" s="405" t="s">
        <v>310</v>
      </c>
      <c r="B5386" s="413" t="s">
        <v>27995</v>
      </c>
      <c r="C5386" s="413" t="s">
        <v>311</v>
      </c>
      <c r="D5386" s="419" t="s">
        <v>32766</v>
      </c>
      <c r="E5386" s="418">
        <v>41592</v>
      </c>
      <c r="F5386" s="418">
        <v>41637</v>
      </c>
      <c r="G5386" s="413" t="s">
        <v>5211</v>
      </c>
      <c r="H5386" s="405">
        <v>758299490</v>
      </c>
      <c r="I5386" s="405">
        <v>703661192</v>
      </c>
      <c r="J5386" s="405">
        <v>-0.42646000000000001</v>
      </c>
      <c r="K5386" s="405">
        <v>31.783417</v>
      </c>
      <c r="L5386" s="405" t="s">
        <v>314</v>
      </c>
      <c r="M5386" s="405" t="s">
        <v>382</v>
      </c>
      <c r="N5386" s="405" t="s">
        <v>941</v>
      </c>
      <c r="O5386" s="405" t="s">
        <v>1260</v>
      </c>
      <c r="P5386" s="405" t="s">
        <v>3812</v>
      </c>
      <c r="Q5386" s="411">
        <v>9</v>
      </c>
      <c r="R5386" s="405" t="s">
        <v>1263</v>
      </c>
      <c r="S5386" s="405" t="s">
        <v>27045</v>
      </c>
      <c r="T5386" s="405" t="s">
        <v>865</v>
      </c>
      <c r="U5386" s="405" t="s">
        <v>866</v>
      </c>
    </row>
    <row r="5387" spans="1:21" x14ac:dyDescent="0.25">
      <c r="A5387" s="405" t="s">
        <v>310</v>
      </c>
      <c r="B5387" s="405" t="s">
        <v>13218</v>
      </c>
      <c r="C5387" s="405" t="s">
        <v>327</v>
      </c>
      <c r="D5387" s="405"/>
      <c r="E5387" s="410">
        <v>41592</v>
      </c>
      <c r="F5387" s="410">
        <v>41637</v>
      </c>
      <c r="G5387" s="405" t="s">
        <v>13219</v>
      </c>
      <c r="H5387" s="405">
        <v>779061118</v>
      </c>
      <c r="I5387" s="405"/>
      <c r="J5387" s="405">
        <v>1.031652</v>
      </c>
      <c r="K5387" s="405">
        <v>33.779029999999999</v>
      </c>
      <c r="L5387" s="405" t="s">
        <v>6866</v>
      </c>
      <c r="M5387" s="405" t="s">
        <v>10152</v>
      </c>
      <c r="N5387" s="405" t="s">
        <v>10152</v>
      </c>
      <c r="O5387" s="405" t="s">
        <v>11455</v>
      </c>
      <c r="P5387" s="405" t="s">
        <v>13220</v>
      </c>
      <c r="Q5387" s="411">
        <v>6</v>
      </c>
      <c r="R5387" s="405" t="s">
        <v>9541</v>
      </c>
      <c r="S5387" s="405" t="s">
        <v>27314</v>
      </c>
      <c r="T5387" s="405" t="s">
        <v>865</v>
      </c>
      <c r="U5387" s="405" t="s">
        <v>866</v>
      </c>
    </row>
    <row r="5388" spans="1:21" x14ac:dyDescent="0.25">
      <c r="A5388" s="405" t="s">
        <v>310</v>
      </c>
      <c r="B5388" s="405" t="s">
        <v>5292</v>
      </c>
      <c r="C5388" s="405" t="s">
        <v>311</v>
      </c>
      <c r="D5388" s="405" t="s">
        <v>1789</v>
      </c>
      <c r="E5388" s="410">
        <v>41592</v>
      </c>
      <c r="F5388" s="410">
        <v>41637</v>
      </c>
      <c r="G5388" s="405" t="s">
        <v>5293</v>
      </c>
      <c r="H5388" s="405">
        <v>774811461</v>
      </c>
      <c r="I5388" s="405"/>
      <c r="J5388" s="405">
        <v>0.55230199999999996</v>
      </c>
      <c r="K5388" s="405">
        <v>31.759988</v>
      </c>
      <c r="L5388" s="405" t="s">
        <v>314</v>
      </c>
      <c r="M5388" s="405" t="s">
        <v>445</v>
      </c>
      <c r="N5388" s="405" t="s">
        <v>570</v>
      </c>
      <c r="O5388" s="405" t="s">
        <v>571</v>
      </c>
      <c r="P5388" s="405" t="s">
        <v>4954</v>
      </c>
      <c r="Q5388" s="411">
        <v>6</v>
      </c>
      <c r="R5388" s="405" t="s">
        <v>318</v>
      </c>
      <c r="S5388" s="405" t="s">
        <v>27174</v>
      </c>
      <c r="T5388" s="405" t="s">
        <v>32102</v>
      </c>
      <c r="U5388" s="405" t="s">
        <v>319</v>
      </c>
    </row>
    <row r="5389" spans="1:21" x14ac:dyDescent="0.25">
      <c r="A5389" s="405" t="s">
        <v>310</v>
      </c>
      <c r="B5389" s="405" t="s">
        <v>18806</v>
      </c>
      <c r="C5389" s="405" t="s">
        <v>327</v>
      </c>
      <c r="D5389" s="405"/>
      <c r="E5389" s="410">
        <v>41592</v>
      </c>
      <c r="F5389" s="410">
        <v>41637</v>
      </c>
      <c r="G5389" s="405" t="s">
        <v>18807</v>
      </c>
      <c r="H5389" s="405">
        <v>772669379</v>
      </c>
      <c r="I5389" s="405">
        <v>772837533</v>
      </c>
      <c r="J5389" s="405">
        <v>2.2564533333333334</v>
      </c>
      <c r="K5389" s="405">
        <v>32.891866666666672</v>
      </c>
      <c r="L5389" s="405" t="s">
        <v>860</v>
      </c>
      <c r="M5389" s="405" t="s">
        <v>18234</v>
      </c>
      <c r="N5389" s="405" t="s">
        <v>18808</v>
      </c>
      <c r="O5389" s="405" t="s">
        <v>18599</v>
      </c>
      <c r="P5389" s="405" t="s">
        <v>18602</v>
      </c>
      <c r="Q5389" s="411">
        <v>6</v>
      </c>
      <c r="R5389" s="405" t="s">
        <v>525</v>
      </c>
      <c r="S5389" s="405" t="s">
        <v>27193</v>
      </c>
      <c r="T5389" s="405" t="s">
        <v>32102</v>
      </c>
      <c r="U5389" s="405" t="s">
        <v>319</v>
      </c>
    </row>
    <row r="5390" spans="1:21" x14ac:dyDescent="0.25">
      <c r="A5390" s="405" t="s">
        <v>310</v>
      </c>
      <c r="B5390" s="405" t="s">
        <v>18814</v>
      </c>
      <c r="C5390" s="405" t="s">
        <v>327</v>
      </c>
      <c r="D5390" s="405"/>
      <c r="E5390" s="410">
        <v>41592</v>
      </c>
      <c r="F5390" s="410">
        <v>41637</v>
      </c>
      <c r="G5390" s="405" t="s">
        <v>18815</v>
      </c>
      <c r="H5390" s="405">
        <v>779914815</v>
      </c>
      <c r="I5390" s="405">
        <v>778347080</v>
      </c>
      <c r="J5390" s="405">
        <v>2.2688666666666668</v>
      </c>
      <c r="K5390" s="405">
        <v>32.87831666666667</v>
      </c>
      <c r="L5390" s="405" t="s">
        <v>860</v>
      </c>
      <c r="M5390" s="405" t="s">
        <v>18234</v>
      </c>
      <c r="N5390" s="405" t="s">
        <v>18252</v>
      </c>
      <c r="O5390" s="405" t="s">
        <v>18234</v>
      </c>
      <c r="P5390" s="405" t="s">
        <v>18816</v>
      </c>
      <c r="Q5390" s="411">
        <v>6</v>
      </c>
      <c r="R5390" s="405" t="s">
        <v>353</v>
      </c>
      <c r="S5390" s="405" t="s">
        <v>27114</v>
      </c>
      <c r="T5390" s="405" t="s">
        <v>32102</v>
      </c>
      <c r="U5390" s="405" t="s">
        <v>319</v>
      </c>
    </row>
    <row r="5391" spans="1:21" x14ac:dyDescent="0.25">
      <c r="A5391" s="405" t="s">
        <v>310</v>
      </c>
      <c r="B5391" s="405" t="s">
        <v>4876</v>
      </c>
      <c r="C5391" s="405" t="s">
        <v>327</v>
      </c>
      <c r="D5391" s="405"/>
      <c r="E5391" s="410">
        <v>41592</v>
      </c>
      <c r="F5391" s="410">
        <v>41637</v>
      </c>
      <c r="G5391" s="405" t="s">
        <v>4877</v>
      </c>
      <c r="H5391" s="405">
        <v>756450120</v>
      </c>
      <c r="I5391" s="405">
        <v>772450120</v>
      </c>
      <c r="J5391" s="405">
        <v>-0.33650839999999999</v>
      </c>
      <c r="K5391" s="405">
        <v>31.7429296</v>
      </c>
      <c r="L5391" s="405" t="s">
        <v>314</v>
      </c>
      <c r="M5391" s="405" t="s">
        <v>382</v>
      </c>
      <c r="N5391" s="405" t="s">
        <v>383</v>
      </c>
      <c r="O5391" s="405" t="s">
        <v>384</v>
      </c>
      <c r="P5391" s="405" t="s">
        <v>385</v>
      </c>
      <c r="Q5391" s="411">
        <v>6</v>
      </c>
      <c r="R5391" s="405" t="s">
        <v>32476</v>
      </c>
      <c r="S5391" s="405" t="s">
        <v>27045</v>
      </c>
      <c r="T5391" s="405" t="s">
        <v>865</v>
      </c>
      <c r="U5391" s="405" t="s">
        <v>866</v>
      </c>
    </row>
    <row r="5392" spans="1:21" x14ac:dyDescent="0.25">
      <c r="A5392" s="405" t="s">
        <v>310</v>
      </c>
      <c r="B5392" s="405" t="s">
        <v>4843</v>
      </c>
      <c r="C5392" s="405" t="s">
        <v>327</v>
      </c>
      <c r="D5392" s="405"/>
      <c r="E5392" s="410">
        <v>41591</v>
      </c>
      <c r="F5392" s="410">
        <v>41636</v>
      </c>
      <c r="G5392" s="405" t="s">
        <v>4844</v>
      </c>
      <c r="H5392" s="405">
        <v>772625372</v>
      </c>
      <c r="I5392" s="405"/>
      <c r="J5392" s="405">
        <v>0.40727799999999997</v>
      </c>
      <c r="K5392" s="405">
        <v>31.963355</v>
      </c>
      <c r="L5392" s="405" t="s">
        <v>314</v>
      </c>
      <c r="M5392" s="405" t="s">
        <v>675</v>
      </c>
      <c r="N5392" s="405" t="s">
        <v>675</v>
      </c>
      <c r="O5392" s="405" t="s">
        <v>1066</v>
      </c>
      <c r="P5392" s="405" t="s">
        <v>4845</v>
      </c>
      <c r="Q5392" s="411">
        <v>13</v>
      </c>
      <c r="R5392" s="405" t="s">
        <v>1263</v>
      </c>
      <c r="S5392" s="405" t="s">
        <v>27039</v>
      </c>
      <c r="T5392" s="405" t="s">
        <v>32102</v>
      </c>
      <c r="U5392" s="405" t="s">
        <v>319</v>
      </c>
    </row>
    <row r="5393" spans="1:21" x14ac:dyDescent="0.25">
      <c r="A5393" s="405" t="s">
        <v>310</v>
      </c>
      <c r="B5393" s="405" t="s">
        <v>4859</v>
      </c>
      <c r="C5393" s="405" t="s">
        <v>327</v>
      </c>
      <c r="D5393" s="405"/>
      <c r="E5393" s="410">
        <v>41591</v>
      </c>
      <c r="F5393" s="410">
        <v>41636</v>
      </c>
      <c r="G5393" s="405" t="s">
        <v>4860</v>
      </c>
      <c r="H5393" s="405">
        <v>712924077</v>
      </c>
      <c r="I5393" s="405"/>
      <c r="J5393" s="405">
        <v>0.40043499999999999</v>
      </c>
      <c r="K5393" s="405">
        <v>33.141506999999997</v>
      </c>
      <c r="L5393" s="405" t="s">
        <v>314</v>
      </c>
      <c r="M5393" s="405" t="s">
        <v>349</v>
      </c>
      <c r="N5393" s="405" t="s">
        <v>4861</v>
      </c>
      <c r="O5393" s="405" t="s">
        <v>474</v>
      </c>
      <c r="P5393" s="405" t="s">
        <v>4862</v>
      </c>
      <c r="Q5393" s="411">
        <v>13</v>
      </c>
      <c r="R5393" s="405" t="s">
        <v>525</v>
      </c>
      <c r="S5393" s="405" t="s">
        <v>27136</v>
      </c>
      <c r="T5393" s="405" t="s">
        <v>32102</v>
      </c>
      <c r="U5393" s="405" t="s">
        <v>319</v>
      </c>
    </row>
    <row r="5394" spans="1:21" x14ac:dyDescent="0.25">
      <c r="A5394" s="405" t="s">
        <v>310</v>
      </c>
      <c r="B5394" s="405" t="s">
        <v>28785</v>
      </c>
      <c r="C5394" s="405" t="s">
        <v>327</v>
      </c>
      <c r="D5394" s="405"/>
      <c r="E5394" s="410">
        <v>41591</v>
      </c>
      <c r="F5394" s="410">
        <v>41636</v>
      </c>
      <c r="G5394" s="405" t="s">
        <v>18825</v>
      </c>
      <c r="H5394" s="405">
        <v>772992216</v>
      </c>
      <c r="I5394" s="405">
        <v>752992216</v>
      </c>
      <c r="J5394" s="405">
        <v>2.2721089999999999</v>
      </c>
      <c r="K5394" s="405">
        <v>32.859603999999997</v>
      </c>
      <c r="L5394" s="405" t="s">
        <v>860</v>
      </c>
      <c r="M5394" s="405" t="s">
        <v>18234</v>
      </c>
      <c r="N5394" s="405" t="s">
        <v>18234</v>
      </c>
      <c r="O5394" s="405" t="s">
        <v>18234</v>
      </c>
      <c r="P5394" s="405" t="s">
        <v>18691</v>
      </c>
      <c r="Q5394" s="411">
        <v>6</v>
      </c>
      <c r="R5394" s="405" t="s">
        <v>525</v>
      </c>
      <c r="S5394" s="405" t="s">
        <v>27243</v>
      </c>
      <c r="T5394" s="405" t="s">
        <v>865</v>
      </c>
      <c r="U5394" s="405" t="s">
        <v>866</v>
      </c>
    </row>
    <row r="5395" spans="1:21" x14ac:dyDescent="0.25">
      <c r="A5395" s="405" t="s">
        <v>310</v>
      </c>
      <c r="B5395" s="405" t="s">
        <v>4723</v>
      </c>
      <c r="C5395" s="405" t="s">
        <v>327</v>
      </c>
      <c r="D5395" s="405"/>
      <c r="E5395" s="410">
        <v>41591</v>
      </c>
      <c r="F5395" s="410">
        <v>41636</v>
      </c>
      <c r="G5395" s="405" t="s">
        <v>4724</v>
      </c>
      <c r="H5395" s="405">
        <v>782430836</v>
      </c>
      <c r="I5395" s="405"/>
      <c r="J5395" s="405">
        <v>0.60716800000000004</v>
      </c>
      <c r="K5395" s="405">
        <v>33.009421000000003</v>
      </c>
      <c r="L5395" s="405" t="s">
        <v>314</v>
      </c>
      <c r="M5395" s="405" t="s">
        <v>502</v>
      </c>
      <c r="N5395" s="405" t="s">
        <v>503</v>
      </c>
      <c r="O5395" s="405" t="s">
        <v>2179</v>
      </c>
      <c r="P5395" s="405" t="s">
        <v>1096</v>
      </c>
      <c r="Q5395" s="411">
        <v>6</v>
      </c>
      <c r="R5395" s="405" t="s">
        <v>1263</v>
      </c>
      <c r="S5395" s="405" t="s">
        <v>27237</v>
      </c>
      <c r="T5395" s="405" t="s">
        <v>865</v>
      </c>
      <c r="U5395" s="405" t="s">
        <v>866</v>
      </c>
    </row>
    <row r="5396" spans="1:21" x14ac:dyDescent="0.25">
      <c r="A5396" s="405" t="s">
        <v>310</v>
      </c>
      <c r="B5396" s="405" t="s">
        <v>13144</v>
      </c>
      <c r="C5396" s="405" t="s">
        <v>327</v>
      </c>
      <c r="D5396" s="405"/>
      <c r="E5396" s="410">
        <v>41591</v>
      </c>
      <c r="F5396" s="410">
        <v>41636</v>
      </c>
      <c r="G5396" s="405" t="s">
        <v>13145</v>
      </c>
      <c r="H5396" s="405">
        <v>787749143</v>
      </c>
      <c r="I5396" s="405"/>
      <c r="J5396" s="405">
        <v>0.67405899999999996</v>
      </c>
      <c r="K5396" s="405">
        <v>34.242899000000001</v>
      </c>
      <c r="L5396" s="405" t="s">
        <v>6866</v>
      </c>
      <c r="M5396" s="405" t="s">
        <v>9534</v>
      </c>
      <c r="N5396" s="405" t="s">
        <v>10201</v>
      </c>
      <c r="O5396" s="405" t="s">
        <v>12386</v>
      </c>
      <c r="P5396" s="405" t="s">
        <v>13146</v>
      </c>
      <c r="Q5396" s="411">
        <v>4</v>
      </c>
      <c r="R5396" s="405" t="s">
        <v>7224</v>
      </c>
      <c r="S5396" s="405" t="s">
        <v>27073</v>
      </c>
      <c r="T5396" s="405" t="s">
        <v>32102</v>
      </c>
      <c r="U5396" s="405" t="s">
        <v>319</v>
      </c>
    </row>
    <row r="5397" spans="1:21" x14ac:dyDescent="0.25">
      <c r="A5397" s="405" t="s">
        <v>310</v>
      </c>
      <c r="B5397" s="405" t="s">
        <v>13585</v>
      </c>
      <c r="C5397" s="405" t="s">
        <v>311</v>
      </c>
      <c r="D5397" s="405" t="s">
        <v>839</v>
      </c>
      <c r="E5397" s="410">
        <v>41591</v>
      </c>
      <c r="F5397" s="410">
        <v>41636</v>
      </c>
      <c r="G5397" s="405" t="s">
        <v>13586</v>
      </c>
      <c r="H5397" s="405">
        <v>758700391</v>
      </c>
      <c r="I5397" s="405"/>
      <c r="J5397" s="405">
        <v>1.208658</v>
      </c>
      <c r="K5397" s="405">
        <v>33.788175000000003</v>
      </c>
      <c r="L5397" s="405" t="s">
        <v>6866</v>
      </c>
      <c r="M5397" s="405" t="s">
        <v>9509</v>
      </c>
      <c r="N5397" s="405" t="s">
        <v>7352</v>
      </c>
      <c r="O5397" s="405" t="s">
        <v>7352</v>
      </c>
      <c r="P5397" s="405" t="s">
        <v>12684</v>
      </c>
      <c r="Q5397" s="411">
        <v>4</v>
      </c>
      <c r="R5397" s="405" t="s">
        <v>7224</v>
      </c>
      <c r="S5397" s="405" t="s">
        <v>27107</v>
      </c>
      <c r="T5397" s="405" t="s">
        <v>865</v>
      </c>
      <c r="U5397" s="405" t="s">
        <v>866</v>
      </c>
    </row>
    <row r="5398" spans="1:21" x14ac:dyDescent="0.25">
      <c r="A5398" s="405" t="s">
        <v>310</v>
      </c>
      <c r="B5398" s="405" t="s">
        <v>21650</v>
      </c>
      <c r="C5398" s="405" t="s">
        <v>311</v>
      </c>
      <c r="D5398" s="405" t="s">
        <v>839</v>
      </c>
      <c r="E5398" s="410">
        <v>41590</v>
      </c>
      <c r="F5398" s="410">
        <v>41635</v>
      </c>
      <c r="G5398" s="405" t="s">
        <v>21651</v>
      </c>
      <c r="H5398" s="405">
        <v>774967390</v>
      </c>
      <c r="I5398" s="405"/>
      <c r="J5398" s="405">
        <v>-0.96050500000000005</v>
      </c>
      <c r="K5398" s="405">
        <v>30.516615999999999</v>
      </c>
      <c r="L5398" s="405" t="s">
        <v>590</v>
      </c>
      <c r="M5398" s="405" t="s">
        <v>19659</v>
      </c>
      <c r="N5398" s="405" t="s">
        <v>19664</v>
      </c>
      <c r="O5398" s="405" t="s">
        <v>20048</v>
      </c>
      <c r="P5398" s="405" t="s">
        <v>21652</v>
      </c>
      <c r="Q5398" s="411">
        <v>9</v>
      </c>
      <c r="R5398" s="405" t="s">
        <v>1527</v>
      </c>
      <c r="S5398" s="405" t="s">
        <v>27161</v>
      </c>
      <c r="T5398" s="405" t="s">
        <v>865</v>
      </c>
      <c r="U5398" s="405" t="s">
        <v>866</v>
      </c>
    </row>
    <row r="5399" spans="1:21" x14ac:dyDescent="0.25">
      <c r="A5399" s="405" t="s">
        <v>310</v>
      </c>
      <c r="B5399" s="405" t="s">
        <v>18794</v>
      </c>
      <c r="C5399" s="405" t="s">
        <v>327</v>
      </c>
      <c r="D5399" s="405"/>
      <c r="E5399" s="410">
        <v>41590</v>
      </c>
      <c r="F5399" s="410">
        <v>41635</v>
      </c>
      <c r="G5399" s="405" t="s">
        <v>18795</v>
      </c>
      <c r="H5399" s="405">
        <v>781480413</v>
      </c>
      <c r="I5399" s="405"/>
      <c r="J5399" s="405">
        <v>2.0226829999999998</v>
      </c>
      <c r="K5399" s="405">
        <v>32.998075</v>
      </c>
      <c r="L5399" s="405" t="s">
        <v>860</v>
      </c>
      <c r="M5399" s="405" t="s">
        <v>12189</v>
      </c>
      <c r="N5399" s="405" t="s">
        <v>18270</v>
      </c>
      <c r="O5399" s="405" t="s">
        <v>18271</v>
      </c>
      <c r="P5399" s="405" t="s">
        <v>18427</v>
      </c>
      <c r="Q5399" s="411">
        <v>6</v>
      </c>
      <c r="R5399" s="405" t="s">
        <v>318</v>
      </c>
      <c r="S5399" s="405" t="s">
        <v>27343</v>
      </c>
      <c r="T5399" s="405" t="s">
        <v>32102</v>
      </c>
      <c r="U5399" s="405" t="s">
        <v>319</v>
      </c>
    </row>
    <row r="5400" spans="1:21" x14ac:dyDescent="0.25">
      <c r="A5400" s="405" t="s">
        <v>310</v>
      </c>
      <c r="B5400" s="405" t="s">
        <v>13182</v>
      </c>
      <c r="C5400" s="405" t="s">
        <v>327</v>
      </c>
      <c r="D5400" s="405"/>
      <c r="E5400" s="410">
        <v>41590</v>
      </c>
      <c r="F5400" s="410">
        <v>41635</v>
      </c>
      <c r="G5400" s="405" t="s">
        <v>13183</v>
      </c>
      <c r="H5400" s="405">
        <v>755577566</v>
      </c>
      <c r="I5400" s="405"/>
      <c r="J5400" s="405">
        <v>1.97187</v>
      </c>
      <c r="K5400" s="405">
        <v>33.543241999999999</v>
      </c>
      <c r="L5400" s="405" t="s">
        <v>6866</v>
      </c>
      <c r="M5400" s="405" t="s">
        <v>10515</v>
      </c>
      <c r="N5400" s="405" t="s">
        <v>10525</v>
      </c>
      <c r="O5400" s="405" t="s">
        <v>13074</v>
      </c>
      <c r="P5400" s="405" t="s">
        <v>13184</v>
      </c>
      <c r="Q5400" s="411">
        <v>6</v>
      </c>
      <c r="R5400" s="405" t="s">
        <v>5655</v>
      </c>
      <c r="S5400" s="405" t="s">
        <v>27346</v>
      </c>
      <c r="T5400" s="405" t="s">
        <v>865</v>
      </c>
      <c r="U5400" s="405" t="s">
        <v>866</v>
      </c>
    </row>
    <row r="5401" spans="1:21" x14ac:dyDescent="0.25">
      <c r="A5401" s="405" t="s">
        <v>310</v>
      </c>
      <c r="B5401" s="405" t="s">
        <v>4824</v>
      </c>
      <c r="C5401" s="405" t="s">
        <v>327</v>
      </c>
      <c r="D5401" s="405"/>
      <c r="E5401" s="410">
        <v>41590</v>
      </c>
      <c r="F5401" s="410">
        <v>41635</v>
      </c>
      <c r="G5401" s="405" t="s">
        <v>4825</v>
      </c>
      <c r="H5401" s="405">
        <v>700809427</v>
      </c>
      <c r="I5401" s="405"/>
      <c r="J5401" s="405">
        <v>-0.22120799999999999</v>
      </c>
      <c r="K5401" s="405">
        <v>31.815290000000001</v>
      </c>
      <c r="L5401" s="405" t="s">
        <v>314</v>
      </c>
      <c r="M5401" s="405" t="s">
        <v>900</v>
      </c>
      <c r="N5401" s="405" t="s">
        <v>1119</v>
      </c>
      <c r="O5401" s="405" t="s">
        <v>1302</v>
      </c>
      <c r="P5401" s="405" t="s">
        <v>4826</v>
      </c>
      <c r="Q5401" s="411">
        <v>6</v>
      </c>
      <c r="R5401" s="405" t="s">
        <v>1263</v>
      </c>
      <c r="S5401" s="405" t="s">
        <v>5986</v>
      </c>
      <c r="T5401" s="405" t="s">
        <v>32102</v>
      </c>
      <c r="U5401" s="405" t="s">
        <v>319</v>
      </c>
    </row>
    <row r="5402" spans="1:21" x14ac:dyDescent="0.25">
      <c r="A5402" s="405" t="s">
        <v>310</v>
      </c>
      <c r="B5402" s="405" t="s">
        <v>18796</v>
      </c>
      <c r="C5402" s="405" t="s">
        <v>327</v>
      </c>
      <c r="D5402" s="405"/>
      <c r="E5402" s="410">
        <v>41589</v>
      </c>
      <c r="F5402" s="410">
        <v>41634</v>
      </c>
      <c r="G5402" s="405" t="s">
        <v>18797</v>
      </c>
      <c r="H5402" s="405">
        <v>756760499</v>
      </c>
      <c r="I5402" s="405"/>
      <c r="J5402" s="405">
        <v>2.022672</v>
      </c>
      <c r="K5402" s="405">
        <v>32.994413000000002</v>
      </c>
      <c r="L5402" s="405" t="s">
        <v>860</v>
      </c>
      <c r="M5402" s="405" t="s">
        <v>12189</v>
      </c>
      <c r="N5402" s="405" t="s">
        <v>18270</v>
      </c>
      <c r="O5402" s="405" t="s">
        <v>18798</v>
      </c>
      <c r="P5402" s="405" t="s">
        <v>18427</v>
      </c>
      <c r="Q5402" s="411">
        <v>6</v>
      </c>
      <c r="R5402" s="405" t="s">
        <v>994</v>
      </c>
      <c r="S5402" s="405" t="s">
        <v>27079</v>
      </c>
      <c r="T5402" s="405" t="s">
        <v>32102</v>
      </c>
      <c r="U5402" s="405" t="s">
        <v>319</v>
      </c>
    </row>
    <row r="5403" spans="1:21" x14ac:dyDescent="0.25">
      <c r="A5403" s="405" t="s">
        <v>310</v>
      </c>
      <c r="B5403" s="405" t="s">
        <v>67</v>
      </c>
      <c r="C5403" s="405" t="s">
        <v>327</v>
      </c>
      <c r="D5403" s="405"/>
      <c r="E5403" s="410">
        <v>41588</v>
      </c>
      <c r="F5403" s="410">
        <v>41633</v>
      </c>
      <c r="G5403" s="405" t="s">
        <v>13221</v>
      </c>
      <c r="H5403" s="405">
        <v>772420460</v>
      </c>
      <c r="I5403" s="405"/>
      <c r="J5403" s="405">
        <v>1.0495620000000001</v>
      </c>
      <c r="K5403" s="405">
        <v>33.795507999999998</v>
      </c>
      <c r="L5403" s="405" t="s">
        <v>6866</v>
      </c>
      <c r="M5403" s="405" t="s">
        <v>10152</v>
      </c>
      <c r="N5403" s="405" t="s">
        <v>10152</v>
      </c>
      <c r="O5403" s="405" t="s">
        <v>10152</v>
      </c>
      <c r="P5403" s="405" t="s">
        <v>13222</v>
      </c>
      <c r="Q5403" s="411">
        <v>9</v>
      </c>
      <c r="R5403" s="405" t="s">
        <v>9541</v>
      </c>
      <c r="S5403" s="405" t="s">
        <v>27314</v>
      </c>
      <c r="T5403" s="405" t="s">
        <v>865</v>
      </c>
      <c r="U5403" s="405" t="s">
        <v>866</v>
      </c>
    </row>
    <row r="5404" spans="1:21" x14ac:dyDescent="0.25">
      <c r="A5404" s="405" t="s">
        <v>310</v>
      </c>
      <c r="B5404" s="405" t="s">
        <v>13154</v>
      </c>
      <c r="C5404" s="405" t="s">
        <v>327</v>
      </c>
      <c r="D5404" s="405"/>
      <c r="E5404" s="410">
        <v>41588</v>
      </c>
      <c r="F5404" s="410">
        <v>41633</v>
      </c>
      <c r="G5404" s="405" t="s">
        <v>13155</v>
      </c>
      <c r="H5404" s="405">
        <v>789486690</v>
      </c>
      <c r="I5404" s="405"/>
      <c r="J5404" s="405">
        <v>1.031955</v>
      </c>
      <c r="K5404" s="405">
        <v>34.170783</v>
      </c>
      <c r="L5404" s="405" t="s">
        <v>6866</v>
      </c>
      <c r="M5404" s="405" t="s">
        <v>9514</v>
      </c>
      <c r="N5404" s="405" t="s">
        <v>9529</v>
      </c>
      <c r="O5404" s="405" t="s">
        <v>9571</v>
      </c>
      <c r="P5404" s="405" t="s">
        <v>13156</v>
      </c>
      <c r="Q5404" s="411">
        <v>6</v>
      </c>
      <c r="R5404" s="405" t="s">
        <v>7224</v>
      </c>
      <c r="S5404" s="405" t="s">
        <v>27304</v>
      </c>
      <c r="T5404" s="405" t="s">
        <v>865</v>
      </c>
      <c r="U5404" s="405" t="s">
        <v>866</v>
      </c>
    </row>
    <row r="5405" spans="1:21" x14ac:dyDescent="0.25">
      <c r="A5405" s="405" t="s">
        <v>310</v>
      </c>
      <c r="B5405" s="405" t="s">
        <v>28698</v>
      </c>
      <c r="C5405" s="405" t="s">
        <v>327</v>
      </c>
      <c r="D5405" s="405"/>
      <c r="E5405" s="410">
        <v>41588</v>
      </c>
      <c r="F5405" s="410">
        <v>41633</v>
      </c>
      <c r="G5405" s="405" t="s">
        <v>18791</v>
      </c>
      <c r="H5405" s="405">
        <v>774718916</v>
      </c>
      <c r="I5405" s="405"/>
      <c r="J5405" s="405">
        <v>1.626395</v>
      </c>
      <c r="K5405" s="405">
        <v>32.815980000000003</v>
      </c>
      <c r="L5405" s="405" t="s">
        <v>860</v>
      </c>
      <c r="M5405" s="405" t="s">
        <v>18415</v>
      </c>
      <c r="N5405" s="405" t="s">
        <v>5607</v>
      </c>
      <c r="O5405" s="405" t="s">
        <v>18792</v>
      </c>
      <c r="P5405" s="405" t="s">
        <v>18793</v>
      </c>
      <c r="Q5405" s="411">
        <v>6</v>
      </c>
      <c r="R5405" s="405" t="s">
        <v>525</v>
      </c>
      <c r="S5405" s="405" t="s">
        <v>27153</v>
      </c>
      <c r="T5405" s="405" t="s">
        <v>865</v>
      </c>
      <c r="U5405" s="405" t="s">
        <v>866</v>
      </c>
    </row>
    <row r="5406" spans="1:21" x14ac:dyDescent="0.25">
      <c r="A5406" s="405" t="s">
        <v>310</v>
      </c>
      <c r="B5406" s="405" t="s">
        <v>13215</v>
      </c>
      <c r="C5406" s="405" t="s">
        <v>327</v>
      </c>
      <c r="D5406" s="405"/>
      <c r="E5406" s="410">
        <v>41588</v>
      </c>
      <c r="F5406" s="410">
        <v>41633</v>
      </c>
      <c r="G5406" s="405" t="s">
        <v>13216</v>
      </c>
      <c r="H5406" s="405">
        <v>785312990</v>
      </c>
      <c r="I5406" s="405"/>
      <c r="J5406" s="405">
        <v>0.84867429999999999</v>
      </c>
      <c r="K5406" s="405">
        <v>33.125039100000002</v>
      </c>
      <c r="L5406" s="405" t="s">
        <v>6866</v>
      </c>
      <c r="M5406" s="405" t="s">
        <v>3009</v>
      </c>
      <c r="N5406" s="405" t="s">
        <v>9842</v>
      </c>
      <c r="O5406" s="405" t="s">
        <v>12865</v>
      </c>
      <c r="P5406" s="405" t="s">
        <v>13217</v>
      </c>
      <c r="Q5406" s="411">
        <v>4</v>
      </c>
      <c r="R5406" s="405" t="s">
        <v>32478</v>
      </c>
      <c r="S5406" s="405" t="s">
        <v>27036</v>
      </c>
      <c r="T5406" s="405" t="s">
        <v>32102</v>
      </c>
      <c r="U5406" s="405" t="s">
        <v>319</v>
      </c>
    </row>
    <row r="5407" spans="1:21" x14ac:dyDescent="0.25">
      <c r="A5407" s="405" t="s">
        <v>310</v>
      </c>
      <c r="B5407" s="405" t="s">
        <v>28379</v>
      </c>
      <c r="C5407" s="405" t="s">
        <v>327</v>
      </c>
      <c r="D5407" s="405"/>
      <c r="E5407" s="410">
        <v>41587</v>
      </c>
      <c r="F5407" s="410">
        <v>41632</v>
      </c>
      <c r="G5407" s="405" t="s">
        <v>4846</v>
      </c>
      <c r="H5407" s="405">
        <v>784340603</v>
      </c>
      <c r="I5407" s="405"/>
      <c r="J5407" s="405">
        <v>0.92793199999999998</v>
      </c>
      <c r="K5407" s="405">
        <v>31.710857000000001</v>
      </c>
      <c r="L5407" s="405" t="s">
        <v>314</v>
      </c>
      <c r="M5407" s="405" t="s">
        <v>1360</v>
      </c>
      <c r="N5407" s="405" t="s">
        <v>1361</v>
      </c>
      <c r="O5407" s="405" t="s">
        <v>4476</v>
      </c>
      <c r="P5407" s="405" t="s">
        <v>4847</v>
      </c>
      <c r="Q5407" s="411">
        <v>6</v>
      </c>
      <c r="R5407" s="405" t="s">
        <v>525</v>
      </c>
      <c r="S5407" s="405" t="s">
        <v>27235</v>
      </c>
      <c r="T5407" s="405" t="s">
        <v>865</v>
      </c>
      <c r="U5407" s="405" t="s">
        <v>866</v>
      </c>
    </row>
    <row r="5408" spans="1:21" x14ac:dyDescent="0.25">
      <c r="A5408" s="405" t="s">
        <v>310</v>
      </c>
      <c r="B5408" s="405" t="s">
        <v>29005</v>
      </c>
      <c r="C5408" s="405" t="s">
        <v>327</v>
      </c>
      <c r="D5408" s="405"/>
      <c r="E5408" s="410">
        <v>41587</v>
      </c>
      <c r="F5408" s="410">
        <v>41632</v>
      </c>
      <c r="G5408" s="405" t="s">
        <v>21441</v>
      </c>
      <c r="H5408" s="405">
        <v>772672251</v>
      </c>
      <c r="I5408" s="405"/>
      <c r="J5408" s="405">
        <v>-1.326697</v>
      </c>
      <c r="K5408" s="405">
        <v>29.999389999999998</v>
      </c>
      <c r="L5408" s="405" t="s">
        <v>590</v>
      </c>
      <c r="M5408" s="405" t="s">
        <v>5312</v>
      </c>
      <c r="N5408" s="405" t="s">
        <v>21256</v>
      </c>
      <c r="O5408" s="405" t="s">
        <v>21257</v>
      </c>
      <c r="P5408" s="405" t="s">
        <v>21442</v>
      </c>
      <c r="Q5408" s="411">
        <v>6</v>
      </c>
      <c r="R5408" s="405" t="s">
        <v>883</v>
      </c>
      <c r="S5408" s="405" t="s">
        <v>27408</v>
      </c>
      <c r="T5408" s="405" t="s">
        <v>865</v>
      </c>
      <c r="U5408" s="405" t="s">
        <v>866</v>
      </c>
    </row>
    <row r="5409" spans="1:21" x14ac:dyDescent="0.25">
      <c r="A5409" s="405" t="s">
        <v>310</v>
      </c>
      <c r="B5409" s="405" t="s">
        <v>13187</v>
      </c>
      <c r="C5409" s="405" t="s">
        <v>327</v>
      </c>
      <c r="D5409" s="405"/>
      <c r="E5409" s="410">
        <v>41587</v>
      </c>
      <c r="F5409" s="410">
        <v>41632</v>
      </c>
      <c r="G5409" s="405" t="s">
        <v>13188</v>
      </c>
      <c r="H5409" s="405">
        <v>772838571</v>
      </c>
      <c r="I5409" s="405"/>
      <c r="J5409" s="405">
        <v>1.9292180000000001</v>
      </c>
      <c r="K5409" s="405">
        <v>33.472447000000003</v>
      </c>
      <c r="L5409" s="405" t="s">
        <v>6866</v>
      </c>
      <c r="M5409" s="405" t="s">
        <v>10515</v>
      </c>
      <c r="N5409" s="405" t="s">
        <v>10525</v>
      </c>
      <c r="O5409" s="405" t="s">
        <v>13074</v>
      </c>
      <c r="P5409" s="405" t="s">
        <v>11158</v>
      </c>
      <c r="Q5409" s="411">
        <v>6</v>
      </c>
      <c r="R5409" s="405" t="s">
        <v>5655</v>
      </c>
      <c r="S5409" s="405" t="s">
        <v>27324</v>
      </c>
      <c r="T5409" s="405" t="s">
        <v>32102</v>
      </c>
      <c r="U5409" s="405" t="s">
        <v>319</v>
      </c>
    </row>
    <row r="5410" spans="1:21" x14ac:dyDescent="0.25">
      <c r="A5410" s="405" t="s">
        <v>310</v>
      </c>
      <c r="B5410" s="405" t="s">
        <v>13151</v>
      </c>
      <c r="C5410" s="405" t="s">
        <v>327</v>
      </c>
      <c r="D5410" s="405"/>
      <c r="E5410" s="410">
        <v>41587</v>
      </c>
      <c r="F5410" s="410">
        <v>41632</v>
      </c>
      <c r="G5410" s="405" t="s">
        <v>13152</v>
      </c>
      <c r="H5410" s="405">
        <v>779376591</v>
      </c>
      <c r="I5410" s="405"/>
      <c r="J5410" s="405">
        <v>0.76845699999999995</v>
      </c>
      <c r="K5410" s="405">
        <v>34.188206999999998</v>
      </c>
      <c r="L5410" s="405" t="s">
        <v>6866</v>
      </c>
      <c r="M5410" s="405" t="s">
        <v>9534</v>
      </c>
      <c r="N5410" s="405" t="s">
        <v>10191</v>
      </c>
      <c r="O5410" s="405" t="s">
        <v>10192</v>
      </c>
      <c r="P5410" s="405" t="s">
        <v>13153</v>
      </c>
      <c r="Q5410" s="411">
        <v>6</v>
      </c>
      <c r="R5410" s="405" t="s">
        <v>7224</v>
      </c>
      <c r="S5410" s="405" t="s">
        <v>27259</v>
      </c>
      <c r="T5410" s="405" t="s">
        <v>32102</v>
      </c>
      <c r="U5410" s="405" t="s">
        <v>319</v>
      </c>
    </row>
    <row r="5411" spans="1:21" x14ac:dyDescent="0.25">
      <c r="A5411" s="405" t="s">
        <v>310</v>
      </c>
      <c r="B5411" s="405" t="s">
        <v>13202</v>
      </c>
      <c r="C5411" s="405" t="s">
        <v>327</v>
      </c>
      <c r="D5411" s="405"/>
      <c r="E5411" s="410">
        <v>41587</v>
      </c>
      <c r="F5411" s="410">
        <v>41632</v>
      </c>
      <c r="G5411" s="405" t="s">
        <v>13203</v>
      </c>
      <c r="H5411" s="405">
        <v>782770680</v>
      </c>
      <c r="I5411" s="405"/>
      <c r="J5411" s="405">
        <v>0.91649700000000001</v>
      </c>
      <c r="K5411" s="405">
        <v>34.165047000000001</v>
      </c>
      <c r="L5411" s="405" t="s">
        <v>6866</v>
      </c>
      <c r="M5411" s="405" t="s">
        <v>9514</v>
      </c>
      <c r="N5411" s="405" t="s">
        <v>9529</v>
      </c>
      <c r="O5411" s="405" t="s">
        <v>9923</v>
      </c>
      <c r="P5411" s="405" t="s">
        <v>12109</v>
      </c>
      <c r="Q5411" s="411">
        <v>4</v>
      </c>
      <c r="R5411" s="405" t="s">
        <v>7224</v>
      </c>
      <c r="S5411" s="405" t="s">
        <v>27283</v>
      </c>
      <c r="T5411" s="405" t="s">
        <v>865</v>
      </c>
      <c r="U5411" s="405" t="s">
        <v>866</v>
      </c>
    </row>
    <row r="5412" spans="1:21" x14ac:dyDescent="0.25">
      <c r="A5412" s="405" t="s">
        <v>310</v>
      </c>
      <c r="B5412" s="405" t="s">
        <v>13199</v>
      </c>
      <c r="C5412" s="405" t="s">
        <v>327</v>
      </c>
      <c r="D5412" s="405"/>
      <c r="E5412" s="410">
        <v>41587</v>
      </c>
      <c r="F5412" s="410">
        <v>41632</v>
      </c>
      <c r="G5412" s="405" t="s">
        <v>13200</v>
      </c>
      <c r="H5412" s="405">
        <v>788502782</v>
      </c>
      <c r="I5412" s="405"/>
      <c r="J5412" s="405">
        <v>0.92101299999999997</v>
      </c>
      <c r="K5412" s="405">
        <v>34.128382999999999</v>
      </c>
      <c r="L5412" s="405" t="s">
        <v>6866</v>
      </c>
      <c r="M5412" s="405" t="s">
        <v>9514</v>
      </c>
      <c r="N5412" s="405" t="s">
        <v>9616</v>
      </c>
      <c r="O5412" s="405" t="s">
        <v>10567</v>
      </c>
      <c r="P5412" s="405" t="s">
        <v>13201</v>
      </c>
      <c r="Q5412" s="411">
        <v>4</v>
      </c>
      <c r="R5412" s="405" t="s">
        <v>7224</v>
      </c>
      <c r="S5412" s="405" t="s">
        <v>27203</v>
      </c>
      <c r="T5412" s="405" t="s">
        <v>32102</v>
      </c>
      <c r="U5412" s="405" t="s">
        <v>319</v>
      </c>
    </row>
    <row r="5413" spans="1:21" x14ac:dyDescent="0.25">
      <c r="A5413" s="405" t="s">
        <v>310</v>
      </c>
      <c r="B5413" s="405" t="s">
        <v>4732</v>
      </c>
      <c r="C5413" s="405" t="s">
        <v>327</v>
      </c>
      <c r="D5413" s="405"/>
      <c r="E5413" s="410">
        <v>41586</v>
      </c>
      <c r="F5413" s="410">
        <v>41631</v>
      </c>
      <c r="G5413" s="405" t="s">
        <v>4733</v>
      </c>
      <c r="H5413" s="405">
        <v>774205492</v>
      </c>
      <c r="I5413" s="405"/>
      <c r="J5413" s="405">
        <v>0.456673</v>
      </c>
      <c r="K5413" s="405">
        <v>31.808142</v>
      </c>
      <c r="L5413" s="405" t="s">
        <v>314</v>
      </c>
      <c r="M5413" s="405" t="s">
        <v>445</v>
      </c>
      <c r="N5413" s="405" t="s">
        <v>3488</v>
      </c>
      <c r="O5413" s="405" t="s">
        <v>4136</v>
      </c>
      <c r="P5413" s="405" t="s">
        <v>4734</v>
      </c>
      <c r="Q5413" s="411">
        <v>13</v>
      </c>
      <c r="R5413" s="405" t="s">
        <v>353</v>
      </c>
      <c r="S5413" s="405" t="s">
        <v>27051</v>
      </c>
      <c r="T5413" s="405" t="s">
        <v>865</v>
      </c>
      <c r="U5413" s="405" t="s">
        <v>866</v>
      </c>
    </row>
    <row r="5414" spans="1:21" x14ac:dyDescent="0.25">
      <c r="A5414" s="405" t="s">
        <v>310</v>
      </c>
      <c r="B5414" s="405" t="s">
        <v>4810</v>
      </c>
      <c r="C5414" s="405" t="s">
        <v>327</v>
      </c>
      <c r="D5414" s="405"/>
      <c r="E5414" s="410">
        <v>41586</v>
      </c>
      <c r="F5414" s="410">
        <v>41631</v>
      </c>
      <c r="G5414" s="405" t="s">
        <v>4811</v>
      </c>
      <c r="H5414" s="405">
        <v>753586397</v>
      </c>
      <c r="I5414" s="405"/>
      <c r="J5414" s="405">
        <v>-1.447E-2</v>
      </c>
      <c r="K5414" s="405">
        <v>31.742940000000001</v>
      </c>
      <c r="L5414" s="405" t="s">
        <v>314</v>
      </c>
      <c r="M5414" s="405" t="s">
        <v>900</v>
      </c>
      <c r="N5414" s="405" t="s">
        <v>1119</v>
      </c>
      <c r="O5414" s="405" t="s">
        <v>3520</v>
      </c>
      <c r="P5414" s="405" t="s">
        <v>4812</v>
      </c>
      <c r="Q5414" s="411">
        <v>9</v>
      </c>
      <c r="R5414" s="405" t="s">
        <v>1263</v>
      </c>
      <c r="S5414" s="405" t="s">
        <v>27234</v>
      </c>
      <c r="T5414" s="405" t="s">
        <v>865</v>
      </c>
      <c r="U5414" s="405" t="s">
        <v>866</v>
      </c>
    </row>
    <row r="5415" spans="1:21" x14ac:dyDescent="0.25">
      <c r="A5415" s="405" t="s">
        <v>310</v>
      </c>
      <c r="B5415" s="405" t="s">
        <v>13204</v>
      </c>
      <c r="C5415" s="405" t="s">
        <v>327</v>
      </c>
      <c r="D5415" s="405"/>
      <c r="E5415" s="410">
        <v>41586</v>
      </c>
      <c r="F5415" s="410">
        <v>41631</v>
      </c>
      <c r="G5415" s="405" t="s">
        <v>13205</v>
      </c>
      <c r="H5415" s="405">
        <v>782257857</v>
      </c>
      <c r="I5415" s="405"/>
      <c r="J5415" s="405">
        <v>1.023822</v>
      </c>
      <c r="K5415" s="405">
        <v>34.374797999999998</v>
      </c>
      <c r="L5415" s="405" t="s">
        <v>6866</v>
      </c>
      <c r="M5415" s="405" t="s">
        <v>6867</v>
      </c>
      <c r="N5415" s="405" t="s">
        <v>12252</v>
      </c>
      <c r="O5415" s="405" t="s">
        <v>12974</v>
      </c>
      <c r="P5415" s="405" t="s">
        <v>13206</v>
      </c>
      <c r="Q5415" s="411">
        <v>6</v>
      </c>
      <c r="R5415" s="405" t="s">
        <v>7224</v>
      </c>
      <c r="S5415" s="405" t="s">
        <v>17013</v>
      </c>
      <c r="T5415" s="405" t="s">
        <v>865</v>
      </c>
      <c r="U5415" s="405" t="s">
        <v>866</v>
      </c>
    </row>
    <row r="5416" spans="1:21" x14ac:dyDescent="0.25">
      <c r="A5416" s="405" t="s">
        <v>310</v>
      </c>
      <c r="B5416" s="405" t="s">
        <v>5377</v>
      </c>
      <c r="C5416" s="405" t="s">
        <v>857</v>
      </c>
      <c r="D5416" s="405" t="s">
        <v>33039</v>
      </c>
      <c r="E5416" s="410">
        <v>41586</v>
      </c>
      <c r="F5416" s="410">
        <v>41631</v>
      </c>
      <c r="G5416" s="405" t="s">
        <v>5378</v>
      </c>
      <c r="H5416" s="405">
        <v>785601375</v>
      </c>
      <c r="I5416" s="405">
        <v>773867253</v>
      </c>
      <c r="J5416" s="405">
        <v>0.92567200000000005</v>
      </c>
      <c r="K5416" s="405">
        <v>31.482514999999999</v>
      </c>
      <c r="L5416" s="405" t="s">
        <v>314</v>
      </c>
      <c r="M5416" s="405" t="s">
        <v>1360</v>
      </c>
      <c r="N5416" s="405" t="s">
        <v>1361</v>
      </c>
      <c r="O5416" s="405" t="s">
        <v>411</v>
      </c>
      <c r="P5416" s="405" t="s">
        <v>5019</v>
      </c>
      <c r="Q5416" s="411">
        <v>6</v>
      </c>
      <c r="R5416" s="405" t="s">
        <v>32476</v>
      </c>
      <c r="S5416" s="405" t="s">
        <v>27047</v>
      </c>
      <c r="T5416" s="405" t="s">
        <v>865</v>
      </c>
      <c r="U5416" s="405" t="s">
        <v>866</v>
      </c>
    </row>
    <row r="5417" spans="1:21" x14ac:dyDescent="0.25">
      <c r="A5417" s="405" t="s">
        <v>310</v>
      </c>
      <c r="B5417" s="405" t="s">
        <v>13170</v>
      </c>
      <c r="C5417" s="405" t="s">
        <v>327</v>
      </c>
      <c r="D5417" s="405"/>
      <c r="E5417" s="410">
        <v>41585</v>
      </c>
      <c r="F5417" s="410">
        <v>41630</v>
      </c>
      <c r="G5417" s="405" t="s">
        <v>13171</v>
      </c>
      <c r="H5417" s="405">
        <v>778653871</v>
      </c>
      <c r="I5417" s="405">
        <v>758295796</v>
      </c>
      <c r="J5417" s="405">
        <v>2.110843</v>
      </c>
      <c r="K5417" s="405">
        <v>33.474584999999998</v>
      </c>
      <c r="L5417" s="405" t="s">
        <v>6866</v>
      </c>
      <c r="M5417" s="405" t="s">
        <v>10495</v>
      </c>
      <c r="N5417" s="405" t="s">
        <v>10496</v>
      </c>
      <c r="O5417" s="405" t="s">
        <v>10527</v>
      </c>
      <c r="P5417" s="405" t="s">
        <v>13172</v>
      </c>
      <c r="Q5417" s="411">
        <v>6</v>
      </c>
      <c r="R5417" s="405" t="s">
        <v>5655</v>
      </c>
      <c r="S5417" s="405" t="s">
        <v>27336</v>
      </c>
      <c r="T5417" s="405" t="s">
        <v>865</v>
      </c>
      <c r="U5417" s="405" t="s">
        <v>866</v>
      </c>
    </row>
    <row r="5418" spans="1:21" x14ac:dyDescent="0.25">
      <c r="A5418" s="405" t="s">
        <v>310</v>
      </c>
      <c r="B5418" s="405" t="s">
        <v>4725</v>
      </c>
      <c r="C5418" s="405" t="s">
        <v>327</v>
      </c>
      <c r="D5418" s="405"/>
      <c r="E5418" s="410">
        <v>41585</v>
      </c>
      <c r="F5418" s="410">
        <v>41630</v>
      </c>
      <c r="G5418" s="405" t="s">
        <v>4726</v>
      </c>
      <c r="H5418" s="405">
        <v>785187528</v>
      </c>
      <c r="I5418" s="405"/>
      <c r="J5418" s="405">
        <v>0.60675299999999999</v>
      </c>
      <c r="K5418" s="405">
        <v>32.998607</v>
      </c>
      <c r="L5418" s="405" t="s">
        <v>314</v>
      </c>
      <c r="M5418" s="405" t="s">
        <v>502</v>
      </c>
      <c r="N5418" s="405" t="s">
        <v>503</v>
      </c>
      <c r="O5418" s="405" t="s">
        <v>2179</v>
      </c>
      <c r="P5418" s="405" t="s">
        <v>3796</v>
      </c>
      <c r="Q5418" s="411">
        <v>6</v>
      </c>
      <c r="R5418" s="405" t="s">
        <v>1263</v>
      </c>
      <c r="S5418" s="405" t="s">
        <v>27209</v>
      </c>
      <c r="T5418" s="405" t="s">
        <v>32102</v>
      </c>
      <c r="U5418" s="405" t="s">
        <v>319</v>
      </c>
    </row>
    <row r="5419" spans="1:21" x14ac:dyDescent="0.25">
      <c r="A5419" s="405" t="s">
        <v>310</v>
      </c>
      <c r="B5419" s="405" t="s">
        <v>4814</v>
      </c>
      <c r="C5419" s="405" t="s">
        <v>327</v>
      </c>
      <c r="D5419" s="405"/>
      <c r="E5419" s="410">
        <v>41584</v>
      </c>
      <c r="F5419" s="410">
        <v>41629</v>
      </c>
      <c r="G5419" s="405" t="s">
        <v>4815</v>
      </c>
      <c r="H5419" s="405">
        <v>753586394</v>
      </c>
      <c r="I5419" s="405">
        <v>754900714</v>
      </c>
      <c r="J5419" s="405">
        <v>1.2570000000000001E-3</v>
      </c>
      <c r="K5419" s="405">
        <v>31.768545</v>
      </c>
      <c r="L5419" s="405" t="s">
        <v>314</v>
      </c>
      <c r="M5419" s="405" t="s">
        <v>900</v>
      </c>
      <c r="N5419" s="405" t="s">
        <v>1119</v>
      </c>
      <c r="O5419" s="405" t="s">
        <v>3520</v>
      </c>
      <c r="P5419" s="405" t="s">
        <v>4816</v>
      </c>
      <c r="Q5419" s="411">
        <v>9</v>
      </c>
      <c r="R5419" s="405" t="s">
        <v>1263</v>
      </c>
      <c r="S5419" s="405" t="s">
        <v>27117</v>
      </c>
      <c r="T5419" s="405" t="s">
        <v>32102</v>
      </c>
      <c r="U5419" s="405" t="s">
        <v>319</v>
      </c>
    </row>
    <row r="5420" spans="1:21" x14ac:dyDescent="0.25">
      <c r="A5420" s="405" t="s">
        <v>310</v>
      </c>
      <c r="B5420" s="405" t="s">
        <v>28065</v>
      </c>
      <c r="C5420" s="405" t="s">
        <v>327</v>
      </c>
      <c r="D5420" s="405"/>
      <c r="E5420" s="410">
        <v>41584</v>
      </c>
      <c r="F5420" s="410">
        <v>41629</v>
      </c>
      <c r="G5420" s="405" t="s">
        <v>18801</v>
      </c>
      <c r="H5420" s="405">
        <v>772681297</v>
      </c>
      <c r="I5420" s="405">
        <v>753681297</v>
      </c>
      <c r="J5420" s="405">
        <v>2.2835931</v>
      </c>
      <c r="K5420" s="405">
        <v>32.805880600000002</v>
      </c>
      <c r="L5420" s="405" t="s">
        <v>860</v>
      </c>
      <c r="M5420" s="405" t="s">
        <v>18234</v>
      </c>
      <c r="N5420" s="405" t="s">
        <v>18252</v>
      </c>
      <c r="O5420" s="405" t="s">
        <v>18234</v>
      </c>
      <c r="P5420" s="405" t="s">
        <v>18516</v>
      </c>
      <c r="Q5420" s="411">
        <v>6</v>
      </c>
      <c r="R5420" s="405" t="s">
        <v>525</v>
      </c>
      <c r="S5420" s="405" t="s">
        <v>27193</v>
      </c>
      <c r="T5420" s="405" t="s">
        <v>32212</v>
      </c>
      <c r="U5420" s="405" t="s">
        <v>2267</v>
      </c>
    </row>
    <row r="5421" spans="1:21" x14ac:dyDescent="0.25">
      <c r="A5421" s="405" t="s">
        <v>310</v>
      </c>
      <c r="B5421" s="405" t="s">
        <v>4872</v>
      </c>
      <c r="C5421" s="405" t="s">
        <v>327</v>
      </c>
      <c r="D5421" s="405"/>
      <c r="E5421" s="410">
        <v>41584</v>
      </c>
      <c r="F5421" s="410">
        <v>41629</v>
      </c>
      <c r="G5421" s="405" t="s">
        <v>4873</v>
      </c>
      <c r="H5421" s="405">
        <v>774379367</v>
      </c>
      <c r="I5421" s="405"/>
      <c r="J5421" s="405">
        <v>-0.35708699999999999</v>
      </c>
      <c r="K5421" s="405">
        <v>32.272840000000002</v>
      </c>
      <c r="L5421" s="405" t="s">
        <v>314</v>
      </c>
      <c r="M5421" s="405" t="s">
        <v>694</v>
      </c>
      <c r="N5421" s="405" t="s">
        <v>4874</v>
      </c>
      <c r="O5421" s="405" t="s">
        <v>4874</v>
      </c>
      <c r="P5421" s="405" t="s">
        <v>4875</v>
      </c>
      <c r="Q5421" s="411">
        <v>6</v>
      </c>
      <c r="R5421" s="405" t="s">
        <v>1263</v>
      </c>
      <c r="S5421" s="405" t="s">
        <v>27210</v>
      </c>
      <c r="T5421" s="405" t="s">
        <v>32102</v>
      </c>
      <c r="U5421" s="405" t="s">
        <v>319</v>
      </c>
    </row>
    <row r="5422" spans="1:21" x14ac:dyDescent="0.25">
      <c r="A5422" s="405" t="s">
        <v>310</v>
      </c>
      <c r="B5422" s="405" t="s">
        <v>18804</v>
      </c>
      <c r="C5422" s="405" t="s">
        <v>327</v>
      </c>
      <c r="D5422" s="405"/>
      <c r="E5422" s="410">
        <v>41584</v>
      </c>
      <c r="F5422" s="410">
        <v>41629</v>
      </c>
      <c r="G5422" s="405" t="s">
        <v>18805</v>
      </c>
      <c r="H5422" s="405">
        <v>772947774</v>
      </c>
      <c r="I5422" s="405"/>
      <c r="J5422" s="405">
        <v>2.2202449</v>
      </c>
      <c r="K5422" s="405">
        <v>32.898366799999998</v>
      </c>
      <c r="L5422" s="405" t="s">
        <v>860</v>
      </c>
      <c r="M5422" s="405" t="s">
        <v>18234</v>
      </c>
      <c r="N5422" s="405" t="s">
        <v>18250</v>
      </c>
      <c r="O5422" s="405" t="s">
        <v>4147</v>
      </c>
      <c r="P5422" s="405" t="s">
        <v>18630</v>
      </c>
      <c r="Q5422" s="411">
        <v>6</v>
      </c>
      <c r="R5422" s="405" t="s">
        <v>525</v>
      </c>
      <c r="S5422" s="405" t="s">
        <v>27179</v>
      </c>
      <c r="T5422" s="405" t="s">
        <v>32102</v>
      </c>
      <c r="U5422" s="405" t="s">
        <v>319</v>
      </c>
    </row>
    <row r="5423" spans="1:21" x14ac:dyDescent="0.25">
      <c r="A5423" s="405" t="s">
        <v>310</v>
      </c>
      <c r="B5423" s="405" t="s">
        <v>28940</v>
      </c>
      <c r="C5423" s="405" t="s">
        <v>327</v>
      </c>
      <c r="D5423" s="405"/>
      <c r="E5423" s="410">
        <v>41583</v>
      </c>
      <c r="F5423" s="410">
        <v>41628</v>
      </c>
      <c r="G5423" s="405" t="s">
        <v>4850</v>
      </c>
      <c r="H5423" s="405">
        <v>772851375</v>
      </c>
      <c r="I5423" s="405"/>
      <c r="J5423" s="405">
        <v>0.94245199999999996</v>
      </c>
      <c r="K5423" s="405">
        <v>31.659455000000001</v>
      </c>
      <c r="L5423" s="405" t="s">
        <v>314</v>
      </c>
      <c r="M5423" s="405" t="s">
        <v>1360</v>
      </c>
      <c r="N5423" s="405" t="s">
        <v>1361</v>
      </c>
      <c r="O5423" s="405" t="s">
        <v>3965</v>
      </c>
      <c r="P5423" s="405" t="s">
        <v>961</v>
      </c>
      <c r="Q5423" s="411">
        <v>6</v>
      </c>
      <c r="R5423" s="405" t="s">
        <v>32476</v>
      </c>
      <c r="S5423" s="405" t="s">
        <v>27210</v>
      </c>
      <c r="T5423" s="405" t="s">
        <v>865</v>
      </c>
      <c r="U5423" s="405" t="s">
        <v>866</v>
      </c>
    </row>
    <row r="5424" spans="1:21" x14ac:dyDescent="0.25">
      <c r="A5424" s="405" t="s">
        <v>310</v>
      </c>
      <c r="B5424" s="405" t="s">
        <v>18802</v>
      </c>
      <c r="C5424" s="405" t="s">
        <v>327</v>
      </c>
      <c r="D5424" s="405"/>
      <c r="E5424" s="410">
        <v>41583</v>
      </c>
      <c r="F5424" s="410">
        <v>41628</v>
      </c>
      <c r="G5424" s="405" t="s">
        <v>18803</v>
      </c>
      <c r="H5424" s="405">
        <v>772363768</v>
      </c>
      <c r="I5424" s="405"/>
      <c r="J5424" s="405">
        <v>2.2123895999999998</v>
      </c>
      <c r="K5424" s="405">
        <v>32.896462999999997</v>
      </c>
      <c r="L5424" s="405" t="s">
        <v>860</v>
      </c>
      <c r="M5424" s="405" t="s">
        <v>18234</v>
      </c>
      <c r="N5424" s="405" t="s">
        <v>18252</v>
      </c>
      <c r="O5424" s="405" t="s">
        <v>18253</v>
      </c>
      <c r="P5424" s="405" t="s">
        <v>18583</v>
      </c>
      <c r="Q5424" s="411">
        <v>6</v>
      </c>
      <c r="R5424" s="405" t="s">
        <v>318</v>
      </c>
      <c r="S5424" s="405" t="s">
        <v>27343</v>
      </c>
      <c r="T5424" s="405" t="s">
        <v>32102</v>
      </c>
      <c r="U5424" s="405" t="s">
        <v>319</v>
      </c>
    </row>
    <row r="5425" spans="1:21" x14ac:dyDescent="0.25">
      <c r="A5425" s="405" t="s">
        <v>310</v>
      </c>
      <c r="B5425" s="405" t="s">
        <v>13587</v>
      </c>
      <c r="C5425" s="405" t="s">
        <v>311</v>
      </c>
      <c r="D5425" s="405" t="s">
        <v>3381</v>
      </c>
      <c r="E5425" s="410">
        <v>41583</v>
      </c>
      <c r="F5425" s="410">
        <v>41628</v>
      </c>
      <c r="G5425" s="405" t="s">
        <v>13588</v>
      </c>
      <c r="H5425" s="405">
        <v>774934005</v>
      </c>
      <c r="I5425" s="405"/>
      <c r="J5425" s="405">
        <v>1.0926</v>
      </c>
      <c r="K5425" s="405">
        <v>33.963146999999999</v>
      </c>
      <c r="L5425" s="405" t="s">
        <v>6866</v>
      </c>
      <c r="M5425" s="405" t="s">
        <v>9676</v>
      </c>
      <c r="N5425" s="405" t="s">
        <v>9676</v>
      </c>
      <c r="O5425" s="405" t="s">
        <v>10148</v>
      </c>
      <c r="P5425" s="405" t="s">
        <v>13589</v>
      </c>
      <c r="Q5425" s="411">
        <v>6</v>
      </c>
      <c r="R5425" s="405" t="s">
        <v>9541</v>
      </c>
      <c r="S5425" s="405" t="s">
        <v>27314</v>
      </c>
      <c r="T5425" s="405" t="s">
        <v>32102</v>
      </c>
      <c r="U5425" s="405" t="s">
        <v>319</v>
      </c>
    </row>
    <row r="5426" spans="1:21" x14ac:dyDescent="0.25">
      <c r="A5426" s="405" t="s">
        <v>310</v>
      </c>
      <c r="B5426" s="405" t="s">
        <v>18799</v>
      </c>
      <c r="C5426" s="405" t="s">
        <v>327</v>
      </c>
      <c r="D5426" s="405"/>
      <c r="E5426" s="410">
        <v>41582</v>
      </c>
      <c r="F5426" s="410">
        <v>41627</v>
      </c>
      <c r="G5426" s="405" t="s">
        <v>18800</v>
      </c>
      <c r="H5426" s="405">
        <v>786990464</v>
      </c>
      <c r="I5426" s="405">
        <v>777969604</v>
      </c>
      <c r="J5426" s="405">
        <v>2.2123895999999998</v>
      </c>
      <c r="K5426" s="405">
        <v>32.896462999999997</v>
      </c>
      <c r="L5426" s="405" t="s">
        <v>860</v>
      </c>
      <c r="M5426" s="405" t="s">
        <v>18234</v>
      </c>
      <c r="N5426" s="405" t="s">
        <v>18250</v>
      </c>
      <c r="O5426" s="405" t="s">
        <v>4147</v>
      </c>
      <c r="P5426" s="405" t="s">
        <v>18630</v>
      </c>
      <c r="Q5426" s="411">
        <v>6</v>
      </c>
      <c r="R5426" s="405" t="s">
        <v>525</v>
      </c>
      <c r="S5426" s="405" t="s">
        <v>27179</v>
      </c>
      <c r="T5426" s="405" t="s">
        <v>32102</v>
      </c>
      <c r="U5426" s="405" t="s">
        <v>319</v>
      </c>
    </row>
    <row r="5427" spans="1:21" x14ac:dyDescent="0.25">
      <c r="A5427" s="405" t="s">
        <v>310</v>
      </c>
      <c r="B5427" s="405" t="s">
        <v>4870</v>
      </c>
      <c r="C5427" s="405" t="s">
        <v>327</v>
      </c>
      <c r="D5427" s="405"/>
      <c r="E5427" s="410">
        <v>41580</v>
      </c>
      <c r="F5427" s="410">
        <v>41625</v>
      </c>
      <c r="G5427" s="405" t="s">
        <v>4871</v>
      </c>
      <c r="H5427" s="405">
        <v>752808346</v>
      </c>
      <c r="I5427" s="405"/>
      <c r="J5427" s="405">
        <v>-0.234043</v>
      </c>
      <c r="K5427" s="405">
        <v>31.260522000000002</v>
      </c>
      <c r="L5427" s="405" t="s">
        <v>314</v>
      </c>
      <c r="M5427" s="405" t="s">
        <v>1805</v>
      </c>
      <c r="N5427" s="405" t="s">
        <v>1805</v>
      </c>
      <c r="O5427" s="405" t="s">
        <v>3726</v>
      </c>
      <c r="P5427" s="405" t="s">
        <v>4681</v>
      </c>
      <c r="Q5427" s="411">
        <v>13</v>
      </c>
      <c r="R5427" s="405" t="s">
        <v>1263</v>
      </c>
      <c r="S5427" s="405" t="s">
        <v>27196</v>
      </c>
      <c r="T5427" s="405" t="s">
        <v>32102</v>
      </c>
      <c r="U5427" s="405" t="s">
        <v>319</v>
      </c>
    </row>
    <row r="5428" spans="1:21" x14ac:dyDescent="0.25">
      <c r="A5428" s="405" t="s">
        <v>310</v>
      </c>
      <c r="B5428" s="405" t="s">
        <v>18828</v>
      </c>
      <c r="C5428" s="405" t="s">
        <v>327</v>
      </c>
      <c r="D5428" s="405"/>
      <c r="E5428" s="410">
        <v>41580</v>
      </c>
      <c r="F5428" s="410">
        <v>41625</v>
      </c>
      <c r="G5428" s="405" t="s">
        <v>18829</v>
      </c>
      <c r="H5428" s="405">
        <v>778269410</v>
      </c>
      <c r="I5428" s="405">
        <v>772386205</v>
      </c>
      <c r="J5428" s="405">
        <v>2.2653400000000001</v>
      </c>
      <c r="K5428" s="405">
        <v>32.894219</v>
      </c>
      <c r="L5428" s="405" t="s">
        <v>860</v>
      </c>
      <c r="M5428" s="405" t="s">
        <v>18234</v>
      </c>
      <c r="N5428" s="405" t="s">
        <v>18235</v>
      </c>
      <c r="O5428" s="405" t="s">
        <v>18545</v>
      </c>
      <c r="P5428" s="405" t="s">
        <v>18830</v>
      </c>
      <c r="Q5428" s="411">
        <v>6</v>
      </c>
      <c r="R5428" s="405" t="s">
        <v>525</v>
      </c>
      <c r="S5428" s="405" t="s">
        <v>27264</v>
      </c>
      <c r="T5428" s="405" t="s">
        <v>865</v>
      </c>
      <c r="U5428" s="405" t="s">
        <v>866</v>
      </c>
    </row>
    <row r="5429" spans="1:21" x14ac:dyDescent="0.25">
      <c r="A5429" s="405" t="s">
        <v>310</v>
      </c>
      <c r="B5429" s="405" t="s">
        <v>18819</v>
      </c>
      <c r="C5429" s="405" t="s">
        <v>327</v>
      </c>
      <c r="D5429" s="405"/>
      <c r="E5429" s="410">
        <v>41580</v>
      </c>
      <c r="F5429" s="410">
        <v>41625</v>
      </c>
      <c r="G5429" s="405" t="s">
        <v>18820</v>
      </c>
      <c r="H5429" s="405">
        <v>782053925</v>
      </c>
      <c r="I5429" s="405"/>
      <c r="J5429" s="405">
        <v>2.3879199999999998</v>
      </c>
      <c r="K5429" s="405">
        <v>33.230806999999999</v>
      </c>
      <c r="L5429" s="405" t="s">
        <v>860</v>
      </c>
      <c r="M5429" s="405" t="s">
        <v>18821</v>
      </c>
      <c r="N5429" s="405" t="s">
        <v>18822</v>
      </c>
      <c r="O5429" s="405" t="s">
        <v>18823</v>
      </c>
      <c r="P5429" s="405" t="s">
        <v>18824</v>
      </c>
      <c r="Q5429" s="411">
        <v>6</v>
      </c>
      <c r="R5429" s="405" t="s">
        <v>525</v>
      </c>
      <c r="S5429" s="405" t="s">
        <v>27243</v>
      </c>
      <c r="T5429" s="405" t="s">
        <v>32102</v>
      </c>
      <c r="U5429" s="405" t="s">
        <v>319</v>
      </c>
    </row>
    <row r="5430" spans="1:21" x14ac:dyDescent="0.25">
      <c r="A5430" s="405" t="s">
        <v>310</v>
      </c>
      <c r="B5430" s="405" t="s">
        <v>13179</v>
      </c>
      <c r="C5430" s="405" t="s">
        <v>327</v>
      </c>
      <c r="D5430" s="405"/>
      <c r="E5430" s="410">
        <v>41579</v>
      </c>
      <c r="F5430" s="410">
        <v>41624</v>
      </c>
      <c r="G5430" s="405" t="s">
        <v>13180</v>
      </c>
      <c r="H5430" s="405">
        <v>771430748</v>
      </c>
      <c r="I5430" s="405"/>
      <c r="J5430" s="405">
        <v>1.952642</v>
      </c>
      <c r="K5430" s="405">
        <v>33.565339999999999</v>
      </c>
      <c r="L5430" s="405" t="s">
        <v>6866</v>
      </c>
      <c r="M5430" s="405" t="s">
        <v>10515</v>
      </c>
      <c r="N5430" s="405" t="s">
        <v>10525</v>
      </c>
      <c r="O5430" s="405" t="s">
        <v>13074</v>
      </c>
      <c r="P5430" s="405" t="s">
        <v>13181</v>
      </c>
      <c r="Q5430" s="411">
        <v>6</v>
      </c>
      <c r="R5430" s="405" t="s">
        <v>5655</v>
      </c>
      <c r="S5430" s="405" t="s">
        <v>27072</v>
      </c>
      <c r="T5430" s="405" t="s">
        <v>32102</v>
      </c>
      <c r="U5430" s="405" t="s">
        <v>319</v>
      </c>
    </row>
    <row r="5431" spans="1:21" x14ac:dyDescent="0.25">
      <c r="A5431" s="405" t="s">
        <v>310</v>
      </c>
      <c r="B5431" s="405" t="s">
        <v>13157</v>
      </c>
      <c r="C5431" s="405" t="s">
        <v>327</v>
      </c>
      <c r="D5431" s="405"/>
      <c r="E5431" s="410">
        <v>41579</v>
      </c>
      <c r="F5431" s="410">
        <v>41624</v>
      </c>
      <c r="G5431" s="405" t="s">
        <v>13158</v>
      </c>
      <c r="H5431" s="405">
        <v>772346010</v>
      </c>
      <c r="I5431" s="405"/>
      <c r="J5431" s="405">
        <v>1.930577</v>
      </c>
      <c r="K5431" s="405">
        <v>33.959107000000003</v>
      </c>
      <c r="L5431" s="405" t="s">
        <v>6866</v>
      </c>
      <c r="M5431" s="405" t="s">
        <v>11355</v>
      </c>
      <c r="N5431" s="405" t="s">
        <v>11356</v>
      </c>
      <c r="O5431" s="405" t="s">
        <v>11355</v>
      </c>
      <c r="P5431" s="405" t="s">
        <v>13159</v>
      </c>
      <c r="Q5431" s="411">
        <v>6</v>
      </c>
      <c r="R5431" s="405" t="s">
        <v>5655</v>
      </c>
      <c r="S5431" s="405" t="s">
        <v>27337</v>
      </c>
      <c r="T5431" s="405" t="s">
        <v>865</v>
      </c>
      <c r="U5431" s="405" t="s">
        <v>866</v>
      </c>
    </row>
    <row r="5432" spans="1:21" x14ac:dyDescent="0.25">
      <c r="A5432" s="405" t="s">
        <v>310</v>
      </c>
      <c r="B5432" s="405" t="s">
        <v>18812</v>
      </c>
      <c r="C5432" s="405" t="s">
        <v>327</v>
      </c>
      <c r="D5432" s="405"/>
      <c r="E5432" s="410">
        <v>41579</v>
      </c>
      <c r="F5432" s="410">
        <v>41624</v>
      </c>
      <c r="G5432" s="405" t="s">
        <v>18813</v>
      </c>
      <c r="H5432" s="405">
        <v>782602722</v>
      </c>
      <c r="I5432" s="405">
        <v>773444295</v>
      </c>
      <c r="J5432" s="405">
        <v>2.2835931</v>
      </c>
      <c r="K5432" s="405">
        <v>32.805880600000002</v>
      </c>
      <c r="L5432" s="405" t="s">
        <v>860</v>
      </c>
      <c r="M5432" s="405" t="s">
        <v>18234</v>
      </c>
      <c r="N5432" s="405" t="s">
        <v>18252</v>
      </c>
      <c r="O5432" s="405" t="s">
        <v>18234</v>
      </c>
      <c r="P5432" s="405" t="s">
        <v>18516</v>
      </c>
      <c r="Q5432" s="411">
        <v>6</v>
      </c>
      <c r="R5432" s="405" t="s">
        <v>525</v>
      </c>
      <c r="S5432" s="405" t="s">
        <v>27243</v>
      </c>
      <c r="T5432" s="405" t="s">
        <v>32102</v>
      </c>
      <c r="U5432" s="405" t="s">
        <v>319</v>
      </c>
    </row>
    <row r="5433" spans="1:21" x14ac:dyDescent="0.25">
      <c r="A5433" s="405" t="s">
        <v>310</v>
      </c>
      <c r="B5433" s="405" t="s">
        <v>4832</v>
      </c>
      <c r="C5433" s="405" t="s">
        <v>327</v>
      </c>
      <c r="D5433" s="405"/>
      <c r="E5433" s="410">
        <v>41578</v>
      </c>
      <c r="F5433" s="410">
        <v>41623</v>
      </c>
      <c r="G5433" s="405" t="s">
        <v>4833</v>
      </c>
      <c r="H5433" s="405">
        <v>772655742</v>
      </c>
      <c r="I5433" s="405"/>
      <c r="J5433" s="405">
        <v>0.84263500000000002</v>
      </c>
      <c r="K5433" s="405">
        <v>32.485191999999998</v>
      </c>
      <c r="L5433" s="405" t="s">
        <v>314</v>
      </c>
      <c r="M5433" s="405" t="s">
        <v>959</v>
      </c>
      <c r="N5433" s="405" t="s">
        <v>1308</v>
      </c>
      <c r="O5433" s="405" t="s">
        <v>4524</v>
      </c>
      <c r="P5433" s="405" t="s">
        <v>4834</v>
      </c>
      <c r="Q5433" s="411">
        <v>13</v>
      </c>
      <c r="R5433" s="405" t="s">
        <v>1263</v>
      </c>
      <c r="S5433" s="405" t="s">
        <v>27193</v>
      </c>
      <c r="T5433" s="405" t="s">
        <v>865</v>
      </c>
      <c r="U5433" s="405" t="s">
        <v>866</v>
      </c>
    </row>
    <row r="5434" spans="1:21" x14ac:dyDescent="0.25">
      <c r="A5434" s="405" t="s">
        <v>310</v>
      </c>
      <c r="B5434" s="405" t="s">
        <v>4746</v>
      </c>
      <c r="C5434" s="405" t="s">
        <v>327</v>
      </c>
      <c r="D5434" s="405"/>
      <c r="E5434" s="410">
        <v>41578</v>
      </c>
      <c r="F5434" s="410">
        <v>41623</v>
      </c>
      <c r="G5434" s="405" t="s">
        <v>4747</v>
      </c>
      <c r="H5434" s="405">
        <v>782125470</v>
      </c>
      <c r="I5434" s="405"/>
      <c r="J5434" s="405">
        <v>0.39133390000000001</v>
      </c>
      <c r="K5434" s="405">
        <v>32.600038499999997</v>
      </c>
      <c r="L5434" s="405" t="s">
        <v>314</v>
      </c>
      <c r="M5434" s="405" t="s">
        <v>361</v>
      </c>
      <c r="N5434" s="405" t="s">
        <v>362</v>
      </c>
      <c r="O5434" s="405" t="s">
        <v>379</v>
      </c>
      <c r="P5434" s="405" t="s">
        <v>4748</v>
      </c>
      <c r="Q5434" s="411">
        <v>13</v>
      </c>
      <c r="R5434" s="405" t="s">
        <v>318</v>
      </c>
      <c r="S5434" s="405" t="s">
        <v>27124</v>
      </c>
      <c r="T5434" s="405" t="s">
        <v>32102</v>
      </c>
      <c r="U5434" s="405" t="s">
        <v>319</v>
      </c>
    </row>
    <row r="5435" spans="1:21" x14ac:dyDescent="0.25">
      <c r="A5435" s="405" t="s">
        <v>310</v>
      </c>
      <c r="B5435" s="405" t="s">
        <v>4773</v>
      </c>
      <c r="C5435" s="405" t="s">
        <v>327</v>
      </c>
      <c r="D5435" s="405"/>
      <c r="E5435" s="410">
        <v>41578</v>
      </c>
      <c r="F5435" s="410">
        <v>41623</v>
      </c>
      <c r="G5435" s="405" t="s">
        <v>4774</v>
      </c>
      <c r="H5435" s="405">
        <v>773514670</v>
      </c>
      <c r="I5435" s="405"/>
      <c r="J5435" s="405">
        <v>0.54509799999999997</v>
      </c>
      <c r="K5435" s="405">
        <v>32.426707</v>
      </c>
      <c r="L5435" s="405" t="s">
        <v>314</v>
      </c>
      <c r="M5435" s="405" t="s">
        <v>361</v>
      </c>
      <c r="N5435" s="405" t="s">
        <v>374</v>
      </c>
      <c r="O5435" s="405" t="s">
        <v>427</v>
      </c>
      <c r="P5435" s="405" t="s">
        <v>4775</v>
      </c>
      <c r="Q5435" s="411">
        <v>13</v>
      </c>
      <c r="R5435" s="405" t="s">
        <v>1263</v>
      </c>
      <c r="S5435" s="405" t="s">
        <v>27120</v>
      </c>
      <c r="T5435" s="405" t="s">
        <v>865</v>
      </c>
      <c r="U5435" s="405" t="s">
        <v>866</v>
      </c>
    </row>
    <row r="5436" spans="1:21" x14ac:dyDescent="0.25">
      <c r="A5436" s="405" t="s">
        <v>310</v>
      </c>
      <c r="B5436" s="405" t="s">
        <v>4883</v>
      </c>
      <c r="C5436" s="405" t="s">
        <v>327</v>
      </c>
      <c r="D5436" s="405"/>
      <c r="E5436" s="410">
        <v>41578</v>
      </c>
      <c r="F5436" s="410">
        <v>41623</v>
      </c>
      <c r="G5436" s="405" t="s">
        <v>4884</v>
      </c>
      <c r="H5436" s="405">
        <v>781562494</v>
      </c>
      <c r="I5436" s="405"/>
      <c r="J5436" s="405">
        <v>0.43226799999999999</v>
      </c>
      <c r="K5436" s="405">
        <v>32.640129999999999</v>
      </c>
      <c r="L5436" s="405" t="s">
        <v>314</v>
      </c>
      <c r="M5436" s="405" t="s">
        <v>361</v>
      </c>
      <c r="N5436" s="405" t="s">
        <v>379</v>
      </c>
      <c r="O5436" s="405" t="s">
        <v>363</v>
      </c>
      <c r="P5436" s="405" t="s">
        <v>4885</v>
      </c>
      <c r="Q5436" s="411">
        <v>13</v>
      </c>
      <c r="R5436" s="405" t="s">
        <v>2060</v>
      </c>
      <c r="S5436" s="405" t="s">
        <v>27207</v>
      </c>
      <c r="T5436" s="405" t="s">
        <v>865</v>
      </c>
      <c r="U5436" s="405" t="s">
        <v>866</v>
      </c>
    </row>
    <row r="5437" spans="1:21" x14ac:dyDescent="0.25">
      <c r="A5437" s="405" t="s">
        <v>310</v>
      </c>
      <c r="B5437" s="405" t="s">
        <v>4764</v>
      </c>
      <c r="C5437" s="405" t="s">
        <v>327</v>
      </c>
      <c r="D5437" s="405"/>
      <c r="E5437" s="410">
        <v>41578</v>
      </c>
      <c r="F5437" s="410">
        <v>41623</v>
      </c>
      <c r="G5437" s="405" t="s">
        <v>4765</v>
      </c>
      <c r="H5437" s="405">
        <v>787948411</v>
      </c>
      <c r="I5437" s="405"/>
      <c r="J5437" s="405">
        <v>0.40303499999999998</v>
      </c>
      <c r="K5437" s="405">
        <v>32.466414999999998</v>
      </c>
      <c r="L5437" s="405" t="s">
        <v>314</v>
      </c>
      <c r="M5437" s="405" t="s">
        <v>361</v>
      </c>
      <c r="N5437" s="405" t="s">
        <v>361</v>
      </c>
      <c r="O5437" s="405" t="s">
        <v>361</v>
      </c>
      <c r="P5437" s="405" t="s">
        <v>4766</v>
      </c>
      <c r="Q5437" s="411">
        <v>13</v>
      </c>
      <c r="R5437" s="405" t="s">
        <v>525</v>
      </c>
      <c r="S5437" s="405" t="s">
        <v>414</v>
      </c>
      <c r="T5437" s="405" t="s">
        <v>32102</v>
      </c>
      <c r="U5437" s="405" t="s">
        <v>319</v>
      </c>
    </row>
    <row r="5438" spans="1:21" x14ac:dyDescent="0.25">
      <c r="A5438" s="405" t="s">
        <v>310</v>
      </c>
      <c r="B5438" s="405" t="s">
        <v>4893</v>
      </c>
      <c r="C5438" s="405" t="s">
        <v>327</v>
      </c>
      <c r="D5438" s="405"/>
      <c r="E5438" s="410">
        <v>41578</v>
      </c>
      <c r="F5438" s="410">
        <v>41623</v>
      </c>
      <c r="G5438" s="405" t="s">
        <v>4894</v>
      </c>
      <c r="H5438" s="405">
        <v>772962748</v>
      </c>
      <c r="I5438" s="405"/>
      <c r="J5438" s="405">
        <v>0.48248200000000002</v>
      </c>
      <c r="K5438" s="405">
        <v>32.490847000000002</v>
      </c>
      <c r="L5438" s="405" t="s">
        <v>314</v>
      </c>
      <c r="M5438" s="405" t="s">
        <v>361</v>
      </c>
      <c r="N5438" s="405" t="s">
        <v>362</v>
      </c>
      <c r="O5438" s="405" t="s">
        <v>523</v>
      </c>
      <c r="P5438" s="405" t="s">
        <v>4156</v>
      </c>
      <c r="Q5438" s="411">
        <v>13</v>
      </c>
      <c r="R5438" s="405" t="s">
        <v>1263</v>
      </c>
      <c r="S5438" s="405" t="s">
        <v>27196</v>
      </c>
      <c r="T5438" s="405" t="s">
        <v>32102</v>
      </c>
      <c r="U5438" s="405" t="s">
        <v>319</v>
      </c>
    </row>
    <row r="5439" spans="1:21" x14ac:dyDescent="0.25">
      <c r="A5439" s="405" t="s">
        <v>310</v>
      </c>
      <c r="B5439" s="405" t="s">
        <v>29124</v>
      </c>
      <c r="C5439" s="405" t="s">
        <v>327</v>
      </c>
      <c r="D5439" s="405"/>
      <c r="E5439" s="410">
        <v>41578</v>
      </c>
      <c r="F5439" s="410">
        <v>41623</v>
      </c>
      <c r="G5439" s="405" t="s">
        <v>4881</v>
      </c>
      <c r="H5439" s="405">
        <v>772422601</v>
      </c>
      <c r="I5439" s="405"/>
      <c r="J5439" s="405">
        <v>6.9657999999999998E-2</v>
      </c>
      <c r="K5439" s="405">
        <v>32.514032</v>
      </c>
      <c r="L5439" s="405" t="s">
        <v>314</v>
      </c>
      <c r="M5439" s="405" t="s">
        <v>361</v>
      </c>
      <c r="N5439" s="405" t="s">
        <v>639</v>
      </c>
      <c r="O5439" s="405" t="s">
        <v>638</v>
      </c>
      <c r="P5439" s="405" t="s">
        <v>639</v>
      </c>
      <c r="Q5439" s="411">
        <v>13</v>
      </c>
      <c r="R5439" s="405" t="s">
        <v>525</v>
      </c>
      <c r="S5439" s="405" t="s">
        <v>22481</v>
      </c>
      <c r="T5439" s="405" t="s">
        <v>32102</v>
      </c>
      <c r="U5439" s="405" t="s">
        <v>319</v>
      </c>
    </row>
    <row r="5440" spans="1:21" x14ac:dyDescent="0.25">
      <c r="A5440" s="405" t="s">
        <v>310</v>
      </c>
      <c r="B5440" s="405" t="s">
        <v>27814</v>
      </c>
      <c r="C5440" s="405" t="s">
        <v>327</v>
      </c>
      <c r="D5440" s="405"/>
      <c r="E5440" s="410">
        <v>41578</v>
      </c>
      <c r="F5440" s="410">
        <v>41623</v>
      </c>
      <c r="G5440" s="405" t="s">
        <v>4753</v>
      </c>
      <c r="H5440" s="405">
        <v>774412245</v>
      </c>
      <c r="I5440" s="405"/>
      <c r="J5440" s="405">
        <v>0.36841360000000001</v>
      </c>
      <c r="K5440" s="405">
        <v>32.600276700000002</v>
      </c>
      <c r="L5440" s="405" t="s">
        <v>314</v>
      </c>
      <c r="M5440" s="405" t="s">
        <v>361</v>
      </c>
      <c r="N5440" s="405" t="s">
        <v>362</v>
      </c>
      <c r="O5440" s="405" t="s">
        <v>498</v>
      </c>
      <c r="P5440" s="405" t="s">
        <v>3103</v>
      </c>
      <c r="Q5440" s="411">
        <v>9</v>
      </c>
      <c r="R5440" s="405" t="s">
        <v>1263</v>
      </c>
      <c r="S5440" s="405" t="s">
        <v>27120</v>
      </c>
      <c r="T5440" s="405" t="s">
        <v>32102</v>
      </c>
      <c r="U5440" s="405" t="s">
        <v>319</v>
      </c>
    </row>
    <row r="5441" spans="1:21" x14ac:dyDescent="0.25">
      <c r="A5441" s="405" t="s">
        <v>310</v>
      </c>
      <c r="B5441" s="405" t="s">
        <v>27912</v>
      </c>
      <c r="C5441" s="405" t="s">
        <v>327</v>
      </c>
      <c r="D5441" s="405"/>
      <c r="E5441" s="410">
        <v>41578</v>
      </c>
      <c r="F5441" s="410">
        <v>41623</v>
      </c>
      <c r="G5441" s="405" t="s">
        <v>4779</v>
      </c>
      <c r="H5441" s="405">
        <v>782373277</v>
      </c>
      <c r="I5441" s="405"/>
      <c r="J5441" s="405">
        <v>0.50992999999999999</v>
      </c>
      <c r="K5441" s="405">
        <v>32.460061666666668</v>
      </c>
      <c r="L5441" s="405" t="s">
        <v>314</v>
      </c>
      <c r="M5441" s="405" t="s">
        <v>361</v>
      </c>
      <c r="N5441" s="405" t="s">
        <v>362</v>
      </c>
      <c r="O5441" s="405" t="s">
        <v>523</v>
      </c>
      <c r="P5441" s="405" t="s">
        <v>4780</v>
      </c>
      <c r="Q5441" s="411">
        <v>9</v>
      </c>
      <c r="R5441" s="405" t="s">
        <v>1263</v>
      </c>
      <c r="S5441" s="405" t="s">
        <v>27208</v>
      </c>
      <c r="T5441" s="405" t="s">
        <v>32102</v>
      </c>
      <c r="U5441" s="405" t="s">
        <v>319</v>
      </c>
    </row>
    <row r="5442" spans="1:21" x14ac:dyDescent="0.25">
      <c r="A5442" s="405" t="s">
        <v>310</v>
      </c>
      <c r="B5442" s="405" t="s">
        <v>28147</v>
      </c>
      <c r="C5442" s="405" t="s">
        <v>327</v>
      </c>
      <c r="D5442" s="405"/>
      <c r="E5442" s="410">
        <v>41578</v>
      </c>
      <c r="F5442" s="410">
        <v>41623</v>
      </c>
      <c r="G5442" s="405" t="s">
        <v>4809</v>
      </c>
      <c r="H5442" s="405">
        <v>772594507</v>
      </c>
      <c r="I5442" s="405"/>
      <c r="J5442" s="405">
        <v>0.31178699999999998</v>
      </c>
      <c r="K5442" s="405">
        <v>32.502839999999999</v>
      </c>
      <c r="L5442" s="405" t="s">
        <v>314</v>
      </c>
      <c r="M5442" s="405" t="s">
        <v>361</v>
      </c>
      <c r="N5442" s="405" t="s">
        <v>374</v>
      </c>
      <c r="O5442" s="405" t="s">
        <v>361</v>
      </c>
      <c r="P5442" s="405" t="s">
        <v>516</v>
      </c>
      <c r="Q5442" s="411">
        <v>9</v>
      </c>
      <c r="R5442" s="405" t="s">
        <v>1263</v>
      </c>
      <c r="S5442" s="405" t="s">
        <v>27039</v>
      </c>
      <c r="T5442" s="405" t="s">
        <v>32102</v>
      </c>
      <c r="U5442" s="405" t="s">
        <v>319</v>
      </c>
    </row>
    <row r="5443" spans="1:21" x14ac:dyDescent="0.25">
      <c r="A5443" s="405" t="s">
        <v>310</v>
      </c>
      <c r="B5443" s="405" t="s">
        <v>4743</v>
      </c>
      <c r="C5443" s="405" t="s">
        <v>327</v>
      </c>
      <c r="D5443" s="405"/>
      <c r="E5443" s="410">
        <v>41578</v>
      </c>
      <c r="F5443" s="410">
        <v>41623</v>
      </c>
      <c r="G5443" s="405" t="s">
        <v>4744</v>
      </c>
      <c r="H5443" s="405">
        <v>758632047</v>
      </c>
      <c r="I5443" s="405"/>
      <c r="J5443" s="405">
        <v>0.48137999999999997</v>
      </c>
      <c r="K5443" s="405">
        <v>32.495427999999997</v>
      </c>
      <c r="L5443" s="405" t="s">
        <v>314</v>
      </c>
      <c r="M5443" s="405" t="s">
        <v>361</v>
      </c>
      <c r="N5443" s="405" t="s">
        <v>362</v>
      </c>
      <c r="O5443" s="405" t="s">
        <v>523</v>
      </c>
      <c r="P5443" s="405" t="s">
        <v>4745</v>
      </c>
      <c r="Q5443" s="411">
        <v>9</v>
      </c>
      <c r="R5443" s="405" t="s">
        <v>1263</v>
      </c>
      <c r="S5443" s="405" t="s">
        <v>2160</v>
      </c>
      <c r="T5443" s="405" t="s">
        <v>32102</v>
      </c>
      <c r="U5443" s="405" t="s">
        <v>319</v>
      </c>
    </row>
    <row r="5444" spans="1:21" x14ac:dyDescent="0.25">
      <c r="A5444" s="405" t="s">
        <v>310</v>
      </c>
      <c r="B5444" s="405" t="s">
        <v>4789</v>
      </c>
      <c r="C5444" s="405" t="s">
        <v>327</v>
      </c>
      <c r="D5444" s="405"/>
      <c r="E5444" s="410">
        <v>41578</v>
      </c>
      <c r="F5444" s="410">
        <v>41623</v>
      </c>
      <c r="G5444" s="405" t="s">
        <v>4790</v>
      </c>
      <c r="H5444" s="405">
        <v>783696453</v>
      </c>
      <c r="I5444" s="405"/>
      <c r="J5444" s="405">
        <v>0.80858200000000002</v>
      </c>
      <c r="K5444" s="405">
        <v>32.504837999999999</v>
      </c>
      <c r="L5444" s="405" t="s">
        <v>314</v>
      </c>
      <c r="M5444" s="405" t="s">
        <v>959</v>
      </c>
      <c r="N5444" s="405" t="s">
        <v>1094</v>
      </c>
      <c r="O5444" s="405" t="s">
        <v>1095</v>
      </c>
      <c r="P5444" s="405" t="s">
        <v>4788</v>
      </c>
      <c r="Q5444" s="411">
        <v>9</v>
      </c>
      <c r="R5444" s="405" t="s">
        <v>353</v>
      </c>
      <c r="S5444" s="405" t="s">
        <v>27158</v>
      </c>
      <c r="T5444" s="405" t="s">
        <v>32102</v>
      </c>
      <c r="U5444" s="405" t="s">
        <v>319</v>
      </c>
    </row>
    <row r="5445" spans="1:21" x14ac:dyDescent="0.25">
      <c r="A5445" s="405" t="s">
        <v>310</v>
      </c>
      <c r="B5445" s="405" t="s">
        <v>4756</v>
      </c>
      <c r="C5445" s="405" t="s">
        <v>327</v>
      </c>
      <c r="D5445" s="405"/>
      <c r="E5445" s="410">
        <v>41578</v>
      </c>
      <c r="F5445" s="410">
        <v>41623</v>
      </c>
      <c r="G5445" s="405" t="s">
        <v>4757</v>
      </c>
      <c r="H5445" s="405">
        <v>702000292</v>
      </c>
      <c r="I5445" s="405"/>
      <c r="J5445" s="405">
        <v>0.194053</v>
      </c>
      <c r="K5445" s="405">
        <v>32.548380000000002</v>
      </c>
      <c r="L5445" s="405" t="s">
        <v>314</v>
      </c>
      <c r="M5445" s="405" t="s">
        <v>361</v>
      </c>
      <c r="N5445" s="405" t="s">
        <v>374</v>
      </c>
      <c r="O5445" s="405" t="s">
        <v>2496</v>
      </c>
      <c r="P5445" s="405" t="s">
        <v>619</v>
      </c>
      <c r="Q5445" s="411">
        <v>9</v>
      </c>
      <c r="R5445" s="405" t="s">
        <v>525</v>
      </c>
      <c r="S5445" s="405" t="s">
        <v>27153</v>
      </c>
      <c r="T5445" s="405" t="s">
        <v>865</v>
      </c>
      <c r="U5445" s="405" t="s">
        <v>866</v>
      </c>
    </row>
    <row r="5446" spans="1:21" x14ac:dyDescent="0.25">
      <c r="A5446" s="405" t="s">
        <v>310</v>
      </c>
      <c r="B5446" s="405" t="s">
        <v>4841</v>
      </c>
      <c r="C5446" s="405" t="s">
        <v>327</v>
      </c>
      <c r="D5446" s="405"/>
      <c r="E5446" s="410">
        <v>41578</v>
      </c>
      <c r="F5446" s="410">
        <v>41623</v>
      </c>
      <c r="G5446" s="405" t="s">
        <v>4842</v>
      </c>
      <c r="H5446" s="405">
        <v>772516172</v>
      </c>
      <c r="I5446" s="405"/>
      <c r="J5446" s="405">
        <v>0.39798699999999998</v>
      </c>
      <c r="K5446" s="405">
        <v>32.857666999999999</v>
      </c>
      <c r="L5446" s="405" t="s">
        <v>314</v>
      </c>
      <c r="M5446" s="405" t="s">
        <v>329</v>
      </c>
      <c r="N5446" s="405" t="s">
        <v>528</v>
      </c>
      <c r="O5446" s="405" t="s">
        <v>529</v>
      </c>
      <c r="P5446" s="405" t="s">
        <v>530</v>
      </c>
      <c r="Q5446" s="411">
        <v>9</v>
      </c>
      <c r="R5446" s="405" t="s">
        <v>525</v>
      </c>
      <c r="S5446" s="405" t="s">
        <v>22481</v>
      </c>
      <c r="T5446" s="405" t="s">
        <v>32102</v>
      </c>
      <c r="U5446" s="405" t="s">
        <v>319</v>
      </c>
    </row>
    <row r="5447" spans="1:21" x14ac:dyDescent="0.25">
      <c r="A5447" s="405" t="s">
        <v>310</v>
      </c>
      <c r="B5447" s="405" t="s">
        <v>4800</v>
      </c>
      <c r="C5447" s="405" t="s">
        <v>327</v>
      </c>
      <c r="D5447" s="405"/>
      <c r="E5447" s="410">
        <v>41578</v>
      </c>
      <c r="F5447" s="410">
        <v>41623</v>
      </c>
      <c r="G5447" s="405" t="s">
        <v>4801</v>
      </c>
      <c r="H5447" s="405">
        <v>772964052</v>
      </c>
      <c r="I5447" s="405"/>
      <c r="J5447" s="405">
        <v>0.72306999999999999</v>
      </c>
      <c r="K5447" s="405">
        <v>32.538589999999999</v>
      </c>
      <c r="L5447" s="405" t="s">
        <v>314</v>
      </c>
      <c r="M5447" s="405" t="s">
        <v>959</v>
      </c>
      <c r="N5447" s="405" t="s">
        <v>1308</v>
      </c>
      <c r="O5447" s="405" t="s">
        <v>1094</v>
      </c>
      <c r="P5447" s="405" t="s">
        <v>4802</v>
      </c>
      <c r="Q5447" s="411">
        <v>9</v>
      </c>
      <c r="R5447" s="405" t="s">
        <v>1263</v>
      </c>
      <c r="S5447" s="405" t="s">
        <v>27035</v>
      </c>
      <c r="T5447" s="405" t="s">
        <v>865</v>
      </c>
      <c r="U5447" s="405" t="s">
        <v>866</v>
      </c>
    </row>
    <row r="5448" spans="1:21" x14ac:dyDescent="0.25">
      <c r="A5448" s="405" t="s">
        <v>310</v>
      </c>
      <c r="B5448" s="405" t="s">
        <v>4888</v>
      </c>
      <c r="C5448" s="405" t="s">
        <v>327</v>
      </c>
      <c r="D5448" s="405"/>
      <c r="E5448" s="410">
        <v>41578</v>
      </c>
      <c r="F5448" s="410">
        <v>41623</v>
      </c>
      <c r="G5448" s="405" t="s">
        <v>4889</v>
      </c>
      <c r="H5448" s="405">
        <v>772588433</v>
      </c>
      <c r="I5448" s="405"/>
      <c r="J5448" s="405">
        <v>0.308863</v>
      </c>
      <c r="K5448" s="405">
        <v>32.656495</v>
      </c>
      <c r="L5448" s="405" t="s">
        <v>314</v>
      </c>
      <c r="M5448" s="405" t="s">
        <v>992</v>
      </c>
      <c r="N5448" s="405" t="s">
        <v>362</v>
      </c>
      <c r="O5448" s="405" t="s">
        <v>987</v>
      </c>
      <c r="P5448" s="405" t="s">
        <v>3408</v>
      </c>
      <c r="Q5448" s="411">
        <v>9</v>
      </c>
      <c r="R5448" s="405" t="s">
        <v>1263</v>
      </c>
      <c r="S5448" s="405" t="s">
        <v>27210</v>
      </c>
      <c r="T5448" s="405" t="s">
        <v>32102</v>
      </c>
      <c r="U5448" s="405" t="s">
        <v>319</v>
      </c>
    </row>
    <row r="5449" spans="1:21" x14ac:dyDescent="0.25">
      <c r="A5449" s="405" t="s">
        <v>310</v>
      </c>
      <c r="B5449" s="405" t="s">
        <v>4786</v>
      </c>
      <c r="C5449" s="405" t="s">
        <v>327</v>
      </c>
      <c r="D5449" s="405"/>
      <c r="E5449" s="410">
        <v>41578</v>
      </c>
      <c r="F5449" s="410">
        <v>41623</v>
      </c>
      <c r="G5449" s="405" t="s">
        <v>4787</v>
      </c>
      <c r="H5449" s="405">
        <v>772440267</v>
      </c>
      <c r="I5449" s="405"/>
      <c r="J5449" s="405">
        <v>0.80579999999999996</v>
      </c>
      <c r="K5449" s="405">
        <v>32.504995000000001</v>
      </c>
      <c r="L5449" s="405" t="s">
        <v>314</v>
      </c>
      <c r="M5449" s="405" t="s">
        <v>959</v>
      </c>
      <c r="N5449" s="405" t="s">
        <v>1094</v>
      </c>
      <c r="O5449" s="405" t="s">
        <v>1095</v>
      </c>
      <c r="P5449" s="405" t="s">
        <v>4788</v>
      </c>
      <c r="Q5449" s="411">
        <v>9</v>
      </c>
      <c r="R5449" s="405" t="s">
        <v>353</v>
      </c>
      <c r="S5449" s="405" t="s">
        <v>27158</v>
      </c>
      <c r="T5449" s="405" t="s">
        <v>32102</v>
      </c>
      <c r="U5449" s="405" t="s">
        <v>319</v>
      </c>
    </row>
    <row r="5450" spans="1:21" x14ac:dyDescent="0.25">
      <c r="A5450" s="405" t="s">
        <v>310</v>
      </c>
      <c r="B5450" s="405" t="s">
        <v>28951</v>
      </c>
      <c r="C5450" s="405" t="s">
        <v>327</v>
      </c>
      <c r="D5450" s="405"/>
      <c r="E5450" s="410">
        <v>41578</v>
      </c>
      <c r="F5450" s="410">
        <v>41623</v>
      </c>
      <c r="G5450" s="405" t="s">
        <v>4882</v>
      </c>
      <c r="H5450" s="405">
        <v>752342388</v>
      </c>
      <c r="I5450" s="405"/>
      <c r="J5450" s="405">
        <v>0.32957999999999998</v>
      </c>
      <c r="K5450" s="405">
        <v>32.434941666666667</v>
      </c>
      <c r="L5450" s="405" t="s">
        <v>314</v>
      </c>
      <c r="M5450" s="405" t="s">
        <v>361</v>
      </c>
      <c r="N5450" s="405" t="s">
        <v>374</v>
      </c>
      <c r="O5450" s="405" t="s">
        <v>361</v>
      </c>
      <c r="P5450" s="405" t="s">
        <v>2363</v>
      </c>
      <c r="Q5450" s="411">
        <v>9</v>
      </c>
      <c r="R5450" s="405" t="s">
        <v>1263</v>
      </c>
      <c r="S5450" s="405" t="s">
        <v>27202</v>
      </c>
      <c r="T5450" s="405" t="s">
        <v>32102</v>
      </c>
      <c r="U5450" s="405" t="s">
        <v>319</v>
      </c>
    </row>
    <row r="5451" spans="1:21" x14ac:dyDescent="0.25">
      <c r="A5451" s="405" t="s">
        <v>310</v>
      </c>
      <c r="B5451" s="405" t="s">
        <v>4886</v>
      </c>
      <c r="C5451" s="405" t="s">
        <v>327</v>
      </c>
      <c r="D5451" s="405"/>
      <c r="E5451" s="410">
        <v>41578</v>
      </c>
      <c r="F5451" s="410">
        <v>41623</v>
      </c>
      <c r="G5451" s="405" t="s">
        <v>4887</v>
      </c>
      <c r="H5451" s="405">
        <v>702594365</v>
      </c>
      <c r="I5451" s="405"/>
      <c r="J5451" s="405">
        <v>0.42605799999999999</v>
      </c>
      <c r="K5451" s="405">
        <v>32.639783000000001</v>
      </c>
      <c r="L5451" s="405" t="s">
        <v>314</v>
      </c>
      <c r="M5451" s="405" t="s">
        <v>361</v>
      </c>
      <c r="N5451" s="405" t="s">
        <v>363</v>
      </c>
      <c r="O5451" s="405" t="s">
        <v>363</v>
      </c>
      <c r="P5451" s="405" t="s">
        <v>4885</v>
      </c>
      <c r="Q5451" s="411">
        <v>9</v>
      </c>
      <c r="R5451" s="405" t="s">
        <v>318</v>
      </c>
      <c r="S5451" s="405" t="s">
        <v>27141</v>
      </c>
      <c r="T5451" s="405" t="s">
        <v>865</v>
      </c>
      <c r="U5451" s="405" t="s">
        <v>866</v>
      </c>
    </row>
    <row r="5452" spans="1:21" x14ac:dyDescent="0.25">
      <c r="A5452" s="405" t="s">
        <v>310</v>
      </c>
      <c r="B5452" s="405" t="s">
        <v>4761</v>
      </c>
      <c r="C5452" s="405" t="s">
        <v>327</v>
      </c>
      <c r="D5452" s="405"/>
      <c r="E5452" s="410">
        <v>41578</v>
      </c>
      <c r="F5452" s="410">
        <v>41623</v>
      </c>
      <c r="G5452" s="405" t="s">
        <v>4762</v>
      </c>
      <c r="H5452" s="405">
        <v>782536591</v>
      </c>
      <c r="I5452" s="405"/>
      <c r="J5452" s="405">
        <v>0.26464799999999999</v>
      </c>
      <c r="K5452" s="405">
        <v>32.475900000000003</v>
      </c>
      <c r="L5452" s="405" t="s">
        <v>314</v>
      </c>
      <c r="M5452" s="405" t="s">
        <v>361</v>
      </c>
      <c r="N5452" s="405" t="s">
        <v>374</v>
      </c>
      <c r="O5452" s="405" t="s">
        <v>375</v>
      </c>
      <c r="P5452" s="405" t="s">
        <v>4763</v>
      </c>
      <c r="Q5452" s="411">
        <v>9</v>
      </c>
      <c r="R5452" s="405" t="s">
        <v>318</v>
      </c>
      <c r="S5452" s="405" t="s">
        <v>27137</v>
      </c>
      <c r="T5452" s="405" t="s">
        <v>32102</v>
      </c>
      <c r="U5452" s="405" t="s">
        <v>319</v>
      </c>
    </row>
    <row r="5453" spans="1:21" x14ac:dyDescent="0.25">
      <c r="A5453" s="405" t="s">
        <v>310</v>
      </c>
      <c r="B5453" s="405" t="s">
        <v>5250</v>
      </c>
      <c r="C5453" s="405" t="s">
        <v>311</v>
      </c>
      <c r="D5453" s="405" t="s">
        <v>839</v>
      </c>
      <c r="E5453" s="410">
        <v>41578</v>
      </c>
      <c r="F5453" s="410">
        <v>41623</v>
      </c>
      <c r="G5453" s="405" t="s">
        <v>5251</v>
      </c>
      <c r="H5453" s="405">
        <v>772314050</v>
      </c>
      <c r="I5453" s="405"/>
      <c r="J5453" s="405">
        <v>0.66796500000000003</v>
      </c>
      <c r="K5453" s="405">
        <v>32.511580000000002</v>
      </c>
      <c r="L5453" s="405" t="s">
        <v>314</v>
      </c>
      <c r="M5453" s="405" t="s">
        <v>959</v>
      </c>
      <c r="N5453" s="405" t="s">
        <v>1094</v>
      </c>
      <c r="O5453" s="405" t="s">
        <v>1094</v>
      </c>
      <c r="P5453" s="405" t="s">
        <v>2648</v>
      </c>
      <c r="Q5453" s="411">
        <v>9</v>
      </c>
      <c r="R5453" s="405" t="s">
        <v>1263</v>
      </c>
      <c r="S5453" s="405" t="s">
        <v>27041</v>
      </c>
      <c r="T5453" s="405" t="s">
        <v>32102</v>
      </c>
      <c r="U5453" s="405" t="s">
        <v>319</v>
      </c>
    </row>
    <row r="5454" spans="1:21" x14ac:dyDescent="0.25">
      <c r="A5454" s="405" t="s">
        <v>310</v>
      </c>
      <c r="B5454" s="405" t="s">
        <v>28005</v>
      </c>
      <c r="C5454" s="405" t="s">
        <v>327</v>
      </c>
      <c r="D5454" s="405"/>
      <c r="E5454" s="410">
        <v>41578</v>
      </c>
      <c r="F5454" s="410">
        <v>41623</v>
      </c>
      <c r="G5454" s="405" t="s">
        <v>4807</v>
      </c>
      <c r="H5454" s="405">
        <v>753632839</v>
      </c>
      <c r="I5454" s="405">
        <v>773008863</v>
      </c>
      <c r="J5454" s="405">
        <v>0.43709333333333333</v>
      </c>
      <c r="K5454" s="405">
        <v>32.566424999999995</v>
      </c>
      <c r="L5454" s="405" t="s">
        <v>314</v>
      </c>
      <c r="M5454" s="405" t="s">
        <v>361</v>
      </c>
      <c r="N5454" s="405" t="s">
        <v>362</v>
      </c>
      <c r="O5454" s="405" t="s">
        <v>410</v>
      </c>
      <c r="P5454" s="405" t="s">
        <v>1236</v>
      </c>
      <c r="Q5454" s="411">
        <v>6</v>
      </c>
      <c r="R5454" s="405" t="s">
        <v>1263</v>
      </c>
      <c r="S5454" s="405" t="s">
        <v>27238</v>
      </c>
      <c r="T5454" s="405" t="s">
        <v>32102</v>
      </c>
      <c r="U5454" s="405" t="s">
        <v>319</v>
      </c>
    </row>
    <row r="5455" spans="1:21" x14ac:dyDescent="0.25">
      <c r="A5455" s="405" t="s">
        <v>310</v>
      </c>
      <c r="B5455" s="405" t="s">
        <v>27498</v>
      </c>
      <c r="C5455" s="405" t="s">
        <v>327</v>
      </c>
      <c r="D5455" s="405"/>
      <c r="E5455" s="410">
        <v>41578</v>
      </c>
      <c r="F5455" s="410">
        <v>41623</v>
      </c>
      <c r="G5455" s="405" t="s">
        <v>13163</v>
      </c>
      <c r="H5455" s="405">
        <v>784901216</v>
      </c>
      <c r="I5455" s="405"/>
      <c r="J5455" s="405">
        <v>2.2146149999999998</v>
      </c>
      <c r="K5455" s="405">
        <v>33.496192999999998</v>
      </c>
      <c r="L5455" s="405" t="s">
        <v>6866</v>
      </c>
      <c r="M5455" s="405" t="s">
        <v>10495</v>
      </c>
      <c r="N5455" s="405" t="s">
        <v>10496</v>
      </c>
      <c r="O5455" s="405" t="s">
        <v>10527</v>
      </c>
      <c r="P5455" s="405" t="s">
        <v>13164</v>
      </c>
      <c r="Q5455" s="411">
        <v>6</v>
      </c>
      <c r="R5455" s="405" t="s">
        <v>7224</v>
      </c>
      <c r="S5455" s="405" t="s">
        <v>27259</v>
      </c>
      <c r="T5455" s="405" t="s">
        <v>865</v>
      </c>
      <c r="U5455" s="405" t="s">
        <v>866</v>
      </c>
    </row>
    <row r="5456" spans="1:21" x14ac:dyDescent="0.25">
      <c r="A5456" s="405" t="s">
        <v>310</v>
      </c>
      <c r="B5456" s="405" t="s">
        <v>4727</v>
      </c>
      <c r="C5456" s="405" t="s">
        <v>327</v>
      </c>
      <c r="D5456" s="405"/>
      <c r="E5456" s="410">
        <v>41578</v>
      </c>
      <c r="F5456" s="410">
        <v>41623</v>
      </c>
      <c r="G5456" s="405" t="s">
        <v>4728</v>
      </c>
      <c r="H5456" s="405">
        <v>784290537</v>
      </c>
      <c r="I5456" s="405"/>
      <c r="J5456" s="405">
        <v>0.61114199999999996</v>
      </c>
      <c r="K5456" s="405">
        <v>32.971957000000003</v>
      </c>
      <c r="L5456" s="405" t="s">
        <v>314</v>
      </c>
      <c r="M5456" s="405" t="s">
        <v>502</v>
      </c>
      <c r="N5456" s="405" t="s">
        <v>503</v>
      </c>
      <c r="O5456" s="405" t="s">
        <v>2179</v>
      </c>
      <c r="P5456" s="405" t="s">
        <v>4729</v>
      </c>
      <c r="Q5456" s="411">
        <v>6</v>
      </c>
      <c r="R5456" s="405" t="s">
        <v>1263</v>
      </c>
      <c r="S5456" s="405" t="s">
        <v>27211</v>
      </c>
      <c r="T5456" s="405" t="s">
        <v>32102</v>
      </c>
      <c r="U5456" s="405" t="s">
        <v>319</v>
      </c>
    </row>
    <row r="5457" spans="1:21" x14ac:dyDescent="0.25">
      <c r="A5457" s="405" t="s">
        <v>310</v>
      </c>
      <c r="B5457" s="405" t="s">
        <v>4805</v>
      </c>
      <c r="C5457" s="405" t="s">
        <v>327</v>
      </c>
      <c r="D5457" s="405"/>
      <c r="E5457" s="410">
        <v>41578</v>
      </c>
      <c r="F5457" s="410">
        <v>41623</v>
      </c>
      <c r="G5457" s="405" t="s">
        <v>4806</v>
      </c>
      <c r="H5457" s="405">
        <v>777913519</v>
      </c>
      <c r="I5457" s="405"/>
      <c r="J5457" s="405">
        <v>0.30694700000000003</v>
      </c>
      <c r="K5457" s="405">
        <v>32.560004999999997</v>
      </c>
      <c r="L5457" s="405" t="s">
        <v>314</v>
      </c>
      <c r="M5457" s="405" t="s">
        <v>992</v>
      </c>
      <c r="N5457" s="405" t="s">
        <v>362</v>
      </c>
      <c r="O5457" s="405" t="s">
        <v>2327</v>
      </c>
      <c r="P5457" s="405" t="s">
        <v>323</v>
      </c>
      <c r="Q5457" s="411">
        <v>6</v>
      </c>
      <c r="R5457" s="405" t="s">
        <v>353</v>
      </c>
      <c r="S5457" s="405" t="s">
        <v>27034</v>
      </c>
      <c r="T5457" s="405" t="s">
        <v>32102</v>
      </c>
      <c r="U5457" s="405" t="s">
        <v>319</v>
      </c>
    </row>
    <row r="5458" spans="1:21" x14ac:dyDescent="0.25">
      <c r="A5458" s="405" t="s">
        <v>310</v>
      </c>
      <c r="B5458" s="405" t="s">
        <v>4878</v>
      </c>
      <c r="C5458" s="405" t="s">
        <v>327</v>
      </c>
      <c r="D5458" s="405"/>
      <c r="E5458" s="410">
        <v>41578</v>
      </c>
      <c r="F5458" s="410">
        <v>41623</v>
      </c>
      <c r="G5458" s="405" t="s">
        <v>4879</v>
      </c>
      <c r="H5458" s="405">
        <v>752697800</v>
      </c>
      <c r="I5458" s="405"/>
      <c r="J5458" s="405">
        <v>0.30496200000000001</v>
      </c>
      <c r="K5458" s="405">
        <v>32.538693000000002</v>
      </c>
      <c r="L5458" s="405" t="s">
        <v>314</v>
      </c>
      <c r="M5458" s="405" t="s">
        <v>992</v>
      </c>
      <c r="N5458" s="405" t="s">
        <v>362</v>
      </c>
      <c r="O5458" s="405" t="s">
        <v>2327</v>
      </c>
      <c r="P5458" s="405" t="s">
        <v>4880</v>
      </c>
      <c r="Q5458" s="411">
        <v>6</v>
      </c>
      <c r="R5458" s="405" t="s">
        <v>1263</v>
      </c>
      <c r="S5458" s="405" t="s">
        <v>27041</v>
      </c>
      <c r="T5458" s="405" t="s">
        <v>865</v>
      </c>
      <c r="U5458" s="405" t="s">
        <v>866</v>
      </c>
    </row>
    <row r="5459" spans="1:21" x14ac:dyDescent="0.25">
      <c r="A5459" s="405" t="s">
        <v>310</v>
      </c>
      <c r="B5459" s="405" t="s">
        <v>4767</v>
      </c>
      <c r="C5459" s="405" t="s">
        <v>327</v>
      </c>
      <c r="D5459" s="405"/>
      <c r="E5459" s="410">
        <v>41578</v>
      </c>
      <c r="F5459" s="410">
        <v>41623</v>
      </c>
      <c r="G5459" s="405" t="s">
        <v>4768</v>
      </c>
      <c r="H5459" s="405">
        <v>773623385</v>
      </c>
      <c r="I5459" s="405"/>
      <c r="J5459" s="405">
        <v>0.36698999999999998</v>
      </c>
      <c r="K5459" s="405">
        <v>32.567371999999999</v>
      </c>
      <c r="L5459" s="405" t="s">
        <v>314</v>
      </c>
      <c r="M5459" s="405" t="s">
        <v>992</v>
      </c>
      <c r="N5459" s="405" t="s">
        <v>936</v>
      </c>
      <c r="O5459" s="405" t="s">
        <v>4769</v>
      </c>
      <c r="P5459" s="405" t="s">
        <v>4770</v>
      </c>
      <c r="Q5459" s="411">
        <v>6</v>
      </c>
      <c r="R5459" s="405" t="s">
        <v>525</v>
      </c>
      <c r="S5459" s="405" t="s">
        <v>27193</v>
      </c>
      <c r="T5459" s="405" t="s">
        <v>32102</v>
      </c>
      <c r="U5459" s="405" t="s">
        <v>319</v>
      </c>
    </row>
    <row r="5460" spans="1:21" x14ac:dyDescent="0.25">
      <c r="A5460" s="405" t="s">
        <v>310</v>
      </c>
      <c r="B5460" s="405" t="s">
        <v>4771</v>
      </c>
      <c r="C5460" s="405" t="s">
        <v>857</v>
      </c>
      <c r="D5460" s="405" t="s">
        <v>33080</v>
      </c>
      <c r="E5460" s="410">
        <v>41578</v>
      </c>
      <c r="F5460" s="410">
        <v>41623</v>
      </c>
      <c r="G5460" s="405" t="s">
        <v>4772</v>
      </c>
      <c r="H5460" s="405">
        <v>772441709</v>
      </c>
      <c r="I5460" s="405"/>
      <c r="J5460" s="405">
        <v>0.21085799999999999</v>
      </c>
      <c r="K5460" s="405">
        <v>32.548495000000003</v>
      </c>
      <c r="L5460" s="405" t="s">
        <v>314</v>
      </c>
      <c r="M5460" s="405" t="s">
        <v>361</v>
      </c>
      <c r="N5460" s="405" t="s">
        <v>618</v>
      </c>
      <c r="O5460" s="405" t="s">
        <v>2996</v>
      </c>
      <c r="P5460" s="405" t="s">
        <v>4468</v>
      </c>
      <c r="Q5460" s="411">
        <v>6</v>
      </c>
      <c r="R5460" s="405" t="s">
        <v>353</v>
      </c>
      <c r="S5460" s="405" t="s">
        <v>27110</v>
      </c>
      <c r="T5460" s="405" t="s">
        <v>32102</v>
      </c>
      <c r="U5460" s="405" t="s">
        <v>319</v>
      </c>
    </row>
    <row r="5461" spans="1:21" x14ac:dyDescent="0.25">
      <c r="A5461" s="405" t="s">
        <v>310</v>
      </c>
      <c r="B5461" s="405" t="s">
        <v>4890</v>
      </c>
      <c r="C5461" s="405" t="s">
        <v>327</v>
      </c>
      <c r="D5461" s="405"/>
      <c r="E5461" s="410">
        <v>41578</v>
      </c>
      <c r="F5461" s="410">
        <v>41623</v>
      </c>
      <c r="G5461" s="405" t="s">
        <v>4891</v>
      </c>
      <c r="H5461" s="405">
        <v>754215745</v>
      </c>
      <c r="I5461" s="405"/>
      <c r="J5461" s="405">
        <v>0.69415499999999997</v>
      </c>
      <c r="K5461" s="405">
        <v>32.572786999999998</v>
      </c>
      <c r="L5461" s="405" t="s">
        <v>314</v>
      </c>
      <c r="M5461" s="405" t="s">
        <v>959</v>
      </c>
      <c r="N5461" s="405" t="s">
        <v>1308</v>
      </c>
      <c r="O5461" s="405" t="s">
        <v>1094</v>
      </c>
      <c r="P5461" s="405" t="s">
        <v>4892</v>
      </c>
      <c r="Q5461" s="411">
        <v>6</v>
      </c>
      <c r="R5461" s="405" t="s">
        <v>1263</v>
      </c>
      <c r="S5461" s="405" t="s">
        <v>27108</v>
      </c>
      <c r="T5461" s="405" t="s">
        <v>865</v>
      </c>
      <c r="U5461" s="405" t="s">
        <v>866</v>
      </c>
    </row>
    <row r="5462" spans="1:21" x14ac:dyDescent="0.25">
      <c r="A5462" s="405" t="s">
        <v>310</v>
      </c>
      <c r="B5462" s="405" t="s">
        <v>4835</v>
      </c>
      <c r="C5462" s="405" t="s">
        <v>327</v>
      </c>
      <c r="D5462" s="405"/>
      <c r="E5462" s="410">
        <v>41578</v>
      </c>
      <c r="F5462" s="410">
        <v>41623</v>
      </c>
      <c r="G5462" s="405" t="s">
        <v>4836</v>
      </c>
      <c r="H5462" s="405">
        <v>754351017</v>
      </c>
      <c r="I5462" s="405">
        <v>788427033</v>
      </c>
      <c r="J5462" s="405">
        <v>0.43548100000000001</v>
      </c>
      <c r="K5462" s="405">
        <v>32.880535999999999</v>
      </c>
      <c r="L5462" s="405" t="s">
        <v>314</v>
      </c>
      <c r="M5462" s="405" t="s">
        <v>329</v>
      </c>
      <c r="N5462" s="405" t="s">
        <v>528</v>
      </c>
      <c r="O5462" s="405" t="s">
        <v>529</v>
      </c>
      <c r="P5462" s="405" t="s">
        <v>4837</v>
      </c>
      <c r="Q5462" s="411">
        <v>6</v>
      </c>
      <c r="R5462" s="405" t="s">
        <v>402</v>
      </c>
      <c r="S5462" s="405" t="s">
        <v>27154</v>
      </c>
      <c r="T5462" s="405" t="s">
        <v>865</v>
      </c>
      <c r="U5462" s="405" t="s">
        <v>866</v>
      </c>
    </row>
    <row r="5463" spans="1:21" x14ac:dyDescent="0.25">
      <c r="A5463" s="405" t="s">
        <v>310</v>
      </c>
      <c r="B5463" s="405" t="s">
        <v>4857</v>
      </c>
      <c r="C5463" s="405" t="s">
        <v>327</v>
      </c>
      <c r="D5463" s="405"/>
      <c r="E5463" s="410">
        <v>41578</v>
      </c>
      <c r="F5463" s="410">
        <v>41623</v>
      </c>
      <c r="G5463" s="405" t="s">
        <v>4858</v>
      </c>
      <c r="H5463" s="405">
        <v>784721002</v>
      </c>
      <c r="I5463" s="405"/>
      <c r="J5463" s="405">
        <v>0.52677166666666664</v>
      </c>
      <c r="K5463" s="405">
        <v>32.576276666666665</v>
      </c>
      <c r="L5463" s="405" t="s">
        <v>314</v>
      </c>
      <c r="M5463" s="405" t="s">
        <v>361</v>
      </c>
      <c r="N5463" s="405" t="s">
        <v>362</v>
      </c>
      <c r="O5463" s="405" t="s">
        <v>433</v>
      </c>
      <c r="P5463" s="405" t="s">
        <v>975</v>
      </c>
      <c r="Q5463" s="411">
        <v>6</v>
      </c>
      <c r="R5463" s="405" t="s">
        <v>1263</v>
      </c>
      <c r="S5463" s="405" t="s">
        <v>27036</v>
      </c>
      <c r="T5463" s="405" t="s">
        <v>32102</v>
      </c>
      <c r="U5463" s="405" t="s">
        <v>319</v>
      </c>
    </row>
    <row r="5464" spans="1:21" x14ac:dyDescent="0.25">
      <c r="A5464" s="405" t="s">
        <v>310</v>
      </c>
      <c r="B5464" s="405" t="s">
        <v>4754</v>
      </c>
      <c r="C5464" s="405" t="s">
        <v>327</v>
      </c>
      <c r="D5464" s="405"/>
      <c r="E5464" s="410">
        <v>41578</v>
      </c>
      <c r="F5464" s="410">
        <v>41623</v>
      </c>
      <c r="G5464" s="405" t="s">
        <v>4755</v>
      </c>
      <c r="H5464" s="405">
        <v>772685442</v>
      </c>
      <c r="I5464" s="405"/>
      <c r="J5464" s="405">
        <v>0.31740200000000002</v>
      </c>
      <c r="K5464" s="405">
        <v>32.471443000000001</v>
      </c>
      <c r="L5464" s="405" t="s">
        <v>314</v>
      </c>
      <c r="M5464" s="405" t="s">
        <v>361</v>
      </c>
      <c r="N5464" s="405" t="s">
        <v>374</v>
      </c>
      <c r="O5464" s="405" t="s">
        <v>361</v>
      </c>
      <c r="P5464" s="405" t="s">
        <v>4097</v>
      </c>
      <c r="Q5464" s="411">
        <v>6</v>
      </c>
      <c r="R5464" s="405" t="s">
        <v>353</v>
      </c>
      <c r="S5464" s="405" t="s">
        <v>27034</v>
      </c>
      <c r="T5464" s="405" t="s">
        <v>32102</v>
      </c>
      <c r="U5464" s="405" t="s">
        <v>319</v>
      </c>
    </row>
    <row r="5465" spans="1:21" x14ac:dyDescent="0.25">
      <c r="A5465" s="405" t="s">
        <v>310</v>
      </c>
      <c r="B5465" s="405" t="s">
        <v>4781</v>
      </c>
      <c r="C5465" s="405" t="s">
        <v>327</v>
      </c>
      <c r="D5465" s="405"/>
      <c r="E5465" s="410">
        <v>41578</v>
      </c>
      <c r="F5465" s="410">
        <v>41623</v>
      </c>
      <c r="G5465" s="405" t="s">
        <v>4782</v>
      </c>
      <c r="H5465" s="405">
        <v>782102814</v>
      </c>
      <c r="I5465" s="405"/>
      <c r="J5465" s="405">
        <v>0.84162800000000004</v>
      </c>
      <c r="K5465" s="405">
        <v>32.498387999999998</v>
      </c>
      <c r="L5465" s="405" t="s">
        <v>314</v>
      </c>
      <c r="M5465" s="405" t="s">
        <v>959</v>
      </c>
      <c r="N5465" s="405" t="s">
        <v>1094</v>
      </c>
      <c r="O5465" s="405" t="s">
        <v>959</v>
      </c>
      <c r="P5465" s="405" t="s">
        <v>4783</v>
      </c>
      <c r="Q5465" s="411">
        <v>6</v>
      </c>
      <c r="R5465" s="405" t="s">
        <v>1263</v>
      </c>
      <c r="S5465" s="405" t="s">
        <v>27145</v>
      </c>
      <c r="T5465" s="405" t="s">
        <v>32102</v>
      </c>
      <c r="U5465" s="405" t="s">
        <v>319</v>
      </c>
    </row>
    <row r="5466" spans="1:21" x14ac:dyDescent="0.25">
      <c r="A5466" s="405" t="s">
        <v>310</v>
      </c>
      <c r="B5466" s="405" t="s">
        <v>4803</v>
      </c>
      <c r="C5466" s="405" t="s">
        <v>327</v>
      </c>
      <c r="D5466" s="405"/>
      <c r="E5466" s="410">
        <v>41578</v>
      </c>
      <c r="F5466" s="410">
        <v>41623</v>
      </c>
      <c r="G5466" s="405" t="s">
        <v>4804</v>
      </c>
      <c r="H5466" s="405">
        <v>775964943</v>
      </c>
      <c r="I5466" s="405"/>
      <c r="J5466" s="405">
        <v>0.31195000000000001</v>
      </c>
      <c r="K5466" s="405">
        <v>32.521256999999999</v>
      </c>
      <c r="L5466" s="405" t="s">
        <v>314</v>
      </c>
      <c r="M5466" s="405" t="s">
        <v>992</v>
      </c>
      <c r="N5466" s="405" t="s">
        <v>362</v>
      </c>
      <c r="O5466" s="405" t="s">
        <v>3511</v>
      </c>
      <c r="P5466" s="405" t="s">
        <v>4532</v>
      </c>
      <c r="Q5466" s="411">
        <v>6</v>
      </c>
      <c r="R5466" s="405" t="s">
        <v>1263</v>
      </c>
      <c r="S5466" s="405" t="s">
        <v>27210</v>
      </c>
      <c r="T5466" s="405" t="s">
        <v>32102</v>
      </c>
      <c r="U5466" s="405" t="s">
        <v>319</v>
      </c>
    </row>
    <row r="5467" spans="1:21" x14ac:dyDescent="0.25">
      <c r="A5467" s="405" t="s">
        <v>310</v>
      </c>
      <c r="B5467" s="405" t="s">
        <v>4758</v>
      </c>
      <c r="C5467" s="405" t="s">
        <v>327</v>
      </c>
      <c r="D5467" s="405"/>
      <c r="E5467" s="410">
        <v>41578</v>
      </c>
      <c r="F5467" s="410">
        <v>41623</v>
      </c>
      <c r="G5467" s="405" t="s">
        <v>4759</v>
      </c>
      <c r="H5467" s="405">
        <v>772432375</v>
      </c>
      <c r="I5467" s="405"/>
      <c r="J5467" s="405">
        <v>0.24826500000000001</v>
      </c>
      <c r="K5467" s="405">
        <v>32.487564999999996</v>
      </c>
      <c r="L5467" s="405" t="s">
        <v>314</v>
      </c>
      <c r="M5467" s="405" t="s">
        <v>361</v>
      </c>
      <c r="N5467" s="405" t="s">
        <v>374</v>
      </c>
      <c r="O5467" s="405" t="s">
        <v>375</v>
      </c>
      <c r="P5467" s="405" t="s">
        <v>4760</v>
      </c>
      <c r="Q5467" s="411">
        <v>6</v>
      </c>
      <c r="R5467" s="405" t="s">
        <v>318</v>
      </c>
      <c r="S5467" s="405" t="s">
        <v>27167</v>
      </c>
      <c r="T5467" s="405" t="s">
        <v>865</v>
      </c>
      <c r="U5467" s="405" t="s">
        <v>866</v>
      </c>
    </row>
    <row r="5468" spans="1:21" x14ac:dyDescent="0.25">
      <c r="A5468" s="405" t="s">
        <v>310</v>
      </c>
      <c r="B5468" s="405" t="s">
        <v>4795</v>
      </c>
      <c r="C5468" s="405" t="s">
        <v>327</v>
      </c>
      <c r="D5468" s="405"/>
      <c r="E5468" s="410">
        <v>41578</v>
      </c>
      <c r="F5468" s="410">
        <v>41623</v>
      </c>
      <c r="G5468" s="405" t="s">
        <v>4796</v>
      </c>
      <c r="H5468" s="405">
        <v>782770045</v>
      </c>
      <c r="I5468" s="405"/>
      <c r="J5468" s="405">
        <v>0.72729299999999997</v>
      </c>
      <c r="K5468" s="405">
        <v>32.543824999999998</v>
      </c>
      <c r="L5468" s="405" t="s">
        <v>314</v>
      </c>
      <c r="M5468" s="405" t="s">
        <v>959</v>
      </c>
      <c r="N5468" s="405" t="s">
        <v>1094</v>
      </c>
      <c r="O5468" s="405" t="s">
        <v>1094</v>
      </c>
      <c r="P5468" s="405" t="s">
        <v>4797</v>
      </c>
      <c r="Q5468" s="411">
        <v>6</v>
      </c>
      <c r="R5468" s="405" t="s">
        <v>402</v>
      </c>
      <c r="S5468" s="405" t="s">
        <v>27154</v>
      </c>
      <c r="T5468" s="405" t="s">
        <v>865</v>
      </c>
      <c r="U5468" s="405" t="s">
        <v>866</v>
      </c>
    </row>
    <row r="5469" spans="1:21" x14ac:dyDescent="0.25">
      <c r="A5469" s="405" t="s">
        <v>310</v>
      </c>
      <c r="B5469" s="405" t="s">
        <v>4798</v>
      </c>
      <c r="C5469" s="405" t="s">
        <v>327</v>
      </c>
      <c r="D5469" s="405"/>
      <c r="E5469" s="410">
        <v>41578</v>
      </c>
      <c r="F5469" s="410">
        <v>41623</v>
      </c>
      <c r="G5469" s="405" t="s">
        <v>4799</v>
      </c>
      <c r="H5469" s="405">
        <v>777136505</v>
      </c>
      <c r="I5469" s="405"/>
      <c r="J5469" s="405">
        <v>0.72626299999999999</v>
      </c>
      <c r="K5469" s="405">
        <v>32.547353000000001</v>
      </c>
      <c r="L5469" s="405" t="s">
        <v>314</v>
      </c>
      <c r="M5469" s="405" t="s">
        <v>959</v>
      </c>
      <c r="N5469" s="405" t="s">
        <v>1094</v>
      </c>
      <c r="O5469" s="405" t="s">
        <v>1094</v>
      </c>
      <c r="P5469" s="405" t="s">
        <v>3992</v>
      </c>
      <c r="Q5469" s="411">
        <v>4</v>
      </c>
      <c r="R5469" s="405" t="s">
        <v>1263</v>
      </c>
      <c r="S5469" s="405" t="s">
        <v>27108</v>
      </c>
      <c r="T5469" s="405" t="s">
        <v>32102</v>
      </c>
      <c r="U5469" s="405" t="s">
        <v>319</v>
      </c>
    </row>
    <row r="5470" spans="1:21" x14ac:dyDescent="0.25">
      <c r="A5470" s="405" t="s">
        <v>310</v>
      </c>
      <c r="B5470" s="405" t="s">
        <v>4784</v>
      </c>
      <c r="C5470" s="405" t="s">
        <v>327</v>
      </c>
      <c r="D5470" s="405"/>
      <c r="E5470" s="410">
        <v>41578</v>
      </c>
      <c r="F5470" s="410">
        <v>41623</v>
      </c>
      <c r="G5470" s="405" t="s">
        <v>4785</v>
      </c>
      <c r="H5470" s="405">
        <v>774438150</v>
      </c>
      <c r="I5470" s="405"/>
      <c r="J5470" s="405">
        <v>0.83528999999999998</v>
      </c>
      <c r="K5470" s="405">
        <v>32.493582000000004</v>
      </c>
      <c r="L5470" s="405" t="s">
        <v>314</v>
      </c>
      <c r="M5470" s="405" t="s">
        <v>959</v>
      </c>
      <c r="N5470" s="405" t="s">
        <v>1094</v>
      </c>
      <c r="O5470" s="405" t="s">
        <v>1095</v>
      </c>
      <c r="P5470" s="405" t="s">
        <v>4525</v>
      </c>
      <c r="Q5470" s="411">
        <v>4</v>
      </c>
      <c r="R5470" s="405" t="s">
        <v>1263</v>
      </c>
      <c r="S5470" s="405" t="s">
        <v>2160</v>
      </c>
      <c r="T5470" s="405" t="s">
        <v>865</v>
      </c>
      <c r="U5470" s="405" t="s">
        <v>866</v>
      </c>
    </row>
    <row r="5471" spans="1:21" x14ac:dyDescent="0.25">
      <c r="A5471" s="405" t="s">
        <v>310</v>
      </c>
      <c r="B5471" s="405" t="s">
        <v>5252</v>
      </c>
      <c r="C5471" s="405" t="s">
        <v>311</v>
      </c>
      <c r="D5471" s="405" t="s">
        <v>1789</v>
      </c>
      <c r="E5471" s="410">
        <v>41578</v>
      </c>
      <c r="F5471" s="410">
        <v>41623</v>
      </c>
      <c r="G5471" s="405" t="s">
        <v>5253</v>
      </c>
      <c r="H5471" s="405">
        <v>755996576</v>
      </c>
      <c r="I5471" s="405"/>
      <c r="J5471" s="405">
        <v>0.69095799999999996</v>
      </c>
      <c r="K5471" s="405">
        <v>32.519123</v>
      </c>
      <c r="L5471" s="405" t="s">
        <v>314</v>
      </c>
      <c r="M5471" s="405" t="s">
        <v>959</v>
      </c>
      <c r="N5471" s="405" t="s">
        <v>1094</v>
      </c>
      <c r="O5471" s="405" t="s">
        <v>1094</v>
      </c>
      <c r="P5471" s="405" t="s">
        <v>364</v>
      </c>
      <c r="Q5471" s="411">
        <v>4</v>
      </c>
      <c r="R5471" s="405" t="s">
        <v>1263</v>
      </c>
      <c r="S5471" s="405" t="s">
        <v>27164</v>
      </c>
      <c r="T5471" s="405" t="s">
        <v>865</v>
      </c>
      <c r="U5471" s="405" t="s">
        <v>866</v>
      </c>
    </row>
    <row r="5472" spans="1:21" x14ac:dyDescent="0.25">
      <c r="A5472" s="405" t="s">
        <v>310</v>
      </c>
      <c r="B5472" s="405" t="s">
        <v>4830</v>
      </c>
      <c r="C5472" s="405" t="s">
        <v>327</v>
      </c>
      <c r="D5472" s="405"/>
      <c r="E5472" s="410">
        <v>41577</v>
      </c>
      <c r="F5472" s="410">
        <v>41622</v>
      </c>
      <c r="G5472" s="405" t="s">
        <v>4831</v>
      </c>
      <c r="H5472" s="405">
        <v>702930884</v>
      </c>
      <c r="I5472" s="405">
        <v>730930884</v>
      </c>
      <c r="J5472" s="405">
        <v>-0.32714579999999999</v>
      </c>
      <c r="K5472" s="405">
        <v>31.744658399999999</v>
      </c>
      <c r="L5472" s="405" t="s">
        <v>314</v>
      </c>
      <c r="M5472" s="405" t="s">
        <v>900</v>
      </c>
      <c r="N5472" s="405" t="s">
        <v>900</v>
      </c>
      <c r="O5472" s="405" t="s">
        <v>1302</v>
      </c>
      <c r="P5472" s="405" t="s">
        <v>4548</v>
      </c>
      <c r="Q5472" s="411">
        <v>9</v>
      </c>
      <c r="R5472" s="405" t="s">
        <v>1263</v>
      </c>
      <c r="S5472" s="405" t="s">
        <v>27221</v>
      </c>
      <c r="T5472" s="405" t="s">
        <v>865</v>
      </c>
      <c r="U5472" s="405" t="s">
        <v>866</v>
      </c>
    </row>
    <row r="5473" spans="1:21" x14ac:dyDescent="0.25">
      <c r="A5473" s="405" t="s">
        <v>310</v>
      </c>
      <c r="B5473" s="405" t="s">
        <v>5319</v>
      </c>
      <c r="C5473" s="405" t="s">
        <v>327</v>
      </c>
      <c r="D5473" s="405"/>
      <c r="E5473" s="410">
        <v>41577</v>
      </c>
      <c r="F5473" s="410">
        <v>41622</v>
      </c>
      <c r="G5473" s="405" t="s">
        <v>5320</v>
      </c>
      <c r="H5473" s="405">
        <v>777594460</v>
      </c>
      <c r="I5473" s="405"/>
      <c r="J5473" s="405">
        <v>0.94316199999999994</v>
      </c>
      <c r="K5473" s="405">
        <v>31.657353000000001</v>
      </c>
      <c r="L5473" s="405" t="s">
        <v>314</v>
      </c>
      <c r="M5473" s="405" t="s">
        <v>1360</v>
      </c>
      <c r="N5473" s="405" t="s">
        <v>1361</v>
      </c>
      <c r="O5473" s="405" t="s">
        <v>3965</v>
      </c>
      <c r="P5473" s="405" t="s">
        <v>961</v>
      </c>
      <c r="Q5473" s="411">
        <v>9</v>
      </c>
      <c r="R5473" s="405" t="s">
        <v>32476</v>
      </c>
      <c r="S5473" s="405" t="s">
        <v>27210</v>
      </c>
      <c r="T5473" s="405" t="s">
        <v>865</v>
      </c>
      <c r="U5473" s="405" t="s">
        <v>866</v>
      </c>
    </row>
    <row r="5474" spans="1:21" x14ac:dyDescent="0.25">
      <c r="A5474" s="405" t="s">
        <v>310</v>
      </c>
      <c r="B5474" s="405" t="s">
        <v>28021</v>
      </c>
      <c r="C5474" s="405" t="s">
        <v>327</v>
      </c>
      <c r="D5474" s="405"/>
      <c r="E5474" s="410">
        <v>41577</v>
      </c>
      <c r="F5474" s="410">
        <v>41622</v>
      </c>
      <c r="G5474" s="405" t="s">
        <v>4813</v>
      </c>
      <c r="H5474" s="405">
        <v>753042976</v>
      </c>
      <c r="I5474" s="405"/>
      <c r="J5474" s="405">
        <v>-0.25267333333333331</v>
      </c>
      <c r="K5474" s="405">
        <v>31.822016666666666</v>
      </c>
      <c r="L5474" s="405" t="s">
        <v>314</v>
      </c>
      <c r="M5474" s="405" t="s">
        <v>900</v>
      </c>
      <c r="N5474" s="405" t="s">
        <v>900</v>
      </c>
      <c r="O5474" s="405" t="s">
        <v>900</v>
      </c>
      <c r="P5474" s="405" t="s">
        <v>4722</v>
      </c>
      <c r="Q5474" s="411">
        <v>6</v>
      </c>
      <c r="R5474" s="405" t="s">
        <v>1263</v>
      </c>
      <c r="S5474" s="405" t="s">
        <v>27045</v>
      </c>
      <c r="T5474" s="405" t="s">
        <v>865</v>
      </c>
      <c r="U5474" s="405" t="s">
        <v>866</v>
      </c>
    </row>
    <row r="5475" spans="1:21" x14ac:dyDescent="0.25">
      <c r="A5475" s="405" t="s">
        <v>310</v>
      </c>
      <c r="B5475" s="405" t="s">
        <v>13176</v>
      </c>
      <c r="C5475" s="405" t="s">
        <v>857</v>
      </c>
      <c r="D5475" s="405" t="s">
        <v>33081</v>
      </c>
      <c r="E5475" s="410">
        <v>41577</v>
      </c>
      <c r="F5475" s="410">
        <v>41622</v>
      </c>
      <c r="G5475" s="405" t="s">
        <v>13177</v>
      </c>
      <c r="H5475" s="405">
        <v>758109953</v>
      </c>
      <c r="I5475" s="405"/>
      <c r="J5475" s="405">
        <v>1.9410419999999999</v>
      </c>
      <c r="K5475" s="405">
        <v>33.561613000000001</v>
      </c>
      <c r="L5475" s="405" t="s">
        <v>6866</v>
      </c>
      <c r="M5475" s="405" t="s">
        <v>10515</v>
      </c>
      <c r="N5475" s="405" t="s">
        <v>10525</v>
      </c>
      <c r="O5475" s="405" t="s">
        <v>13074</v>
      </c>
      <c r="P5475" s="405" t="s">
        <v>13178</v>
      </c>
      <c r="Q5475" s="411">
        <v>6</v>
      </c>
      <c r="R5475" s="405" t="s">
        <v>5655</v>
      </c>
      <c r="S5475" s="405" t="s">
        <v>27072</v>
      </c>
      <c r="T5475" s="405" t="s">
        <v>865</v>
      </c>
      <c r="U5475" s="405" t="s">
        <v>866</v>
      </c>
    </row>
    <row r="5476" spans="1:21" x14ac:dyDescent="0.25">
      <c r="A5476" s="405" t="s">
        <v>310</v>
      </c>
      <c r="B5476" s="405" t="s">
        <v>4895</v>
      </c>
      <c r="C5476" s="405" t="s">
        <v>327</v>
      </c>
      <c r="D5476" s="405"/>
      <c r="E5476" s="410">
        <v>41577</v>
      </c>
      <c r="F5476" s="410">
        <v>41622</v>
      </c>
      <c r="G5476" s="405" t="s">
        <v>4896</v>
      </c>
      <c r="H5476" s="405">
        <v>784865346</v>
      </c>
      <c r="I5476" s="405"/>
      <c r="J5476" s="405">
        <v>0.97018300000000002</v>
      </c>
      <c r="K5476" s="405">
        <v>31.565747999999999</v>
      </c>
      <c r="L5476" s="405" t="s">
        <v>314</v>
      </c>
      <c r="M5476" s="405" t="s">
        <v>1360</v>
      </c>
      <c r="N5476" s="405" t="s">
        <v>1361</v>
      </c>
      <c r="O5476" s="405" t="s">
        <v>3965</v>
      </c>
      <c r="P5476" s="405" t="s">
        <v>4897</v>
      </c>
      <c r="Q5476" s="411">
        <v>6</v>
      </c>
      <c r="R5476" s="405" t="s">
        <v>32476</v>
      </c>
      <c r="S5476" s="405" t="s">
        <v>27185</v>
      </c>
      <c r="T5476" s="405" t="s">
        <v>32212</v>
      </c>
      <c r="U5476" s="405" t="s">
        <v>2267</v>
      </c>
    </row>
    <row r="5477" spans="1:21" x14ac:dyDescent="0.25">
      <c r="A5477" s="405" t="s">
        <v>310</v>
      </c>
      <c r="B5477" s="405" t="s">
        <v>13196</v>
      </c>
      <c r="C5477" s="405" t="s">
        <v>327</v>
      </c>
      <c r="D5477" s="405"/>
      <c r="E5477" s="410">
        <v>41577</v>
      </c>
      <c r="F5477" s="410">
        <v>41622</v>
      </c>
      <c r="G5477" s="405" t="s">
        <v>13197</v>
      </c>
      <c r="H5477" s="405">
        <v>775429995</v>
      </c>
      <c r="I5477" s="405"/>
      <c r="J5477" s="405">
        <v>1.507387</v>
      </c>
      <c r="K5477" s="405">
        <v>33.820182000000003</v>
      </c>
      <c r="L5477" s="405" t="s">
        <v>6866</v>
      </c>
      <c r="M5477" s="405" t="s">
        <v>10012</v>
      </c>
      <c r="N5477" s="405" t="s">
        <v>10012</v>
      </c>
      <c r="O5477" s="405" t="s">
        <v>10012</v>
      </c>
      <c r="P5477" s="405" t="s">
        <v>13198</v>
      </c>
      <c r="Q5477" s="411">
        <v>4</v>
      </c>
      <c r="R5477" s="405" t="s">
        <v>7224</v>
      </c>
      <c r="S5477" s="405" t="s">
        <v>27327</v>
      </c>
      <c r="T5477" s="405" t="s">
        <v>32102</v>
      </c>
      <c r="U5477" s="405" t="s">
        <v>319</v>
      </c>
    </row>
    <row r="5478" spans="1:21" x14ac:dyDescent="0.25">
      <c r="A5478" s="405" t="s">
        <v>310</v>
      </c>
      <c r="B5478" s="405" t="s">
        <v>28198</v>
      </c>
      <c r="C5478" s="405" t="s">
        <v>327</v>
      </c>
      <c r="D5478" s="405"/>
      <c r="E5478" s="410">
        <v>41576</v>
      </c>
      <c r="F5478" s="410">
        <v>41621</v>
      </c>
      <c r="G5478" s="405" t="s">
        <v>13149</v>
      </c>
      <c r="H5478" s="405">
        <v>774633125</v>
      </c>
      <c r="I5478" s="405"/>
      <c r="J5478" s="405">
        <v>1.0072080000000001</v>
      </c>
      <c r="K5478" s="405">
        <v>34.372039999999998</v>
      </c>
      <c r="L5478" s="405" t="s">
        <v>6866</v>
      </c>
      <c r="M5478" s="405" t="s">
        <v>6867</v>
      </c>
      <c r="N5478" s="405" t="s">
        <v>13150</v>
      </c>
      <c r="O5478" s="405" t="s">
        <v>11414</v>
      </c>
      <c r="P5478" s="405" t="s">
        <v>12392</v>
      </c>
      <c r="Q5478" s="411">
        <v>6</v>
      </c>
      <c r="R5478" s="405" t="s">
        <v>7224</v>
      </c>
      <c r="S5478" s="405" t="s">
        <v>27197</v>
      </c>
      <c r="T5478" s="405" t="s">
        <v>32102</v>
      </c>
      <c r="U5478" s="405" t="s">
        <v>319</v>
      </c>
    </row>
    <row r="5479" spans="1:21" x14ac:dyDescent="0.25">
      <c r="A5479" s="405" t="s">
        <v>310</v>
      </c>
      <c r="B5479" s="405" t="s">
        <v>13189</v>
      </c>
      <c r="C5479" s="405" t="s">
        <v>327</v>
      </c>
      <c r="D5479" s="405"/>
      <c r="E5479" s="410">
        <v>41576</v>
      </c>
      <c r="F5479" s="410">
        <v>41621</v>
      </c>
      <c r="G5479" s="405" t="s">
        <v>13190</v>
      </c>
      <c r="H5479" s="405">
        <v>777191100</v>
      </c>
      <c r="I5479" s="405"/>
      <c r="J5479" s="405">
        <v>0.91260799999999997</v>
      </c>
      <c r="K5479" s="405">
        <v>34.274317000000003</v>
      </c>
      <c r="L5479" s="405" t="s">
        <v>6866</v>
      </c>
      <c r="M5479" s="405" t="s">
        <v>9763</v>
      </c>
      <c r="N5479" s="405" t="s">
        <v>9764</v>
      </c>
      <c r="O5479" s="405" t="s">
        <v>9792</v>
      </c>
      <c r="P5479" s="405" t="s">
        <v>9799</v>
      </c>
      <c r="Q5479" s="411">
        <v>6</v>
      </c>
      <c r="R5479" s="405" t="s">
        <v>7224</v>
      </c>
      <c r="S5479" s="405" t="s">
        <v>27306</v>
      </c>
      <c r="T5479" s="405" t="s">
        <v>865</v>
      </c>
      <c r="U5479" s="405" t="s">
        <v>866</v>
      </c>
    </row>
    <row r="5480" spans="1:21" x14ac:dyDescent="0.25">
      <c r="A5480" s="405" t="s">
        <v>310</v>
      </c>
      <c r="B5480" s="405" t="s">
        <v>4741</v>
      </c>
      <c r="C5480" s="405" t="s">
        <v>327</v>
      </c>
      <c r="D5480" s="405"/>
      <c r="E5480" s="410">
        <v>41575</v>
      </c>
      <c r="F5480" s="410">
        <v>41620</v>
      </c>
      <c r="G5480" s="405" t="s">
        <v>4742</v>
      </c>
      <c r="H5480" s="405">
        <v>750003192</v>
      </c>
      <c r="I5480" s="405">
        <v>750003192</v>
      </c>
      <c r="J5480" s="405">
        <v>0.32361000000000001</v>
      </c>
      <c r="K5480" s="405">
        <v>33.074562</v>
      </c>
      <c r="L5480" s="405" t="s">
        <v>314</v>
      </c>
      <c r="M5480" s="405" t="s">
        <v>349</v>
      </c>
      <c r="N5480" s="405" t="s">
        <v>473</v>
      </c>
      <c r="O5480" s="405" t="s">
        <v>1062</v>
      </c>
      <c r="P5480" s="405" t="s">
        <v>4626</v>
      </c>
      <c r="Q5480" s="411">
        <v>9</v>
      </c>
      <c r="R5480" s="405" t="s">
        <v>32478</v>
      </c>
      <c r="S5480" s="405" t="s">
        <v>27202</v>
      </c>
      <c r="T5480" s="405" t="s">
        <v>32102</v>
      </c>
      <c r="U5480" s="405" t="s">
        <v>319</v>
      </c>
    </row>
    <row r="5481" spans="1:21" x14ac:dyDescent="0.25">
      <c r="A5481" s="405" t="s">
        <v>310</v>
      </c>
      <c r="B5481" s="405" t="s">
        <v>4730</v>
      </c>
      <c r="C5481" s="405" t="s">
        <v>327</v>
      </c>
      <c r="D5481" s="405"/>
      <c r="E5481" s="410">
        <v>41575</v>
      </c>
      <c r="F5481" s="410">
        <v>41620</v>
      </c>
      <c r="G5481" s="405" t="s">
        <v>4731</v>
      </c>
      <c r="H5481" s="405">
        <v>777040806</v>
      </c>
      <c r="I5481" s="405"/>
      <c r="J5481" s="405">
        <v>0.22061500000000001</v>
      </c>
      <c r="K5481" s="405">
        <v>32.595064999999998</v>
      </c>
      <c r="L5481" s="405" t="s">
        <v>314</v>
      </c>
      <c r="M5481" s="405" t="s">
        <v>329</v>
      </c>
      <c r="N5481" s="405" t="s">
        <v>803</v>
      </c>
      <c r="O5481" s="405" t="s">
        <v>2188</v>
      </c>
      <c r="P5481" s="405" t="s">
        <v>1005</v>
      </c>
      <c r="Q5481" s="411">
        <v>6</v>
      </c>
      <c r="R5481" s="405" t="s">
        <v>1263</v>
      </c>
      <c r="S5481" s="405" t="s">
        <v>27208</v>
      </c>
      <c r="T5481" s="405" t="s">
        <v>32102</v>
      </c>
      <c r="U5481" s="405" t="s">
        <v>319</v>
      </c>
    </row>
    <row r="5482" spans="1:21" x14ac:dyDescent="0.25">
      <c r="A5482" s="405" t="s">
        <v>310</v>
      </c>
      <c r="B5482" s="405" t="s">
        <v>4750</v>
      </c>
      <c r="C5482" s="405" t="s">
        <v>327</v>
      </c>
      <c r="D5482" s="405"/>
      <c r="E5482" s="410">
        <v>41575</v>
      </c>
      <c r="F5482" s="410">
        <v>41620</v>
      </c>
      <c r="G5482" s="405" t="s">
        <v>4751</v>
      </c>
      <c r="H5482" s="405">
        <v>752414002</v>
      </c>
      <c r="I5482" s="405"/>
      <c r="J5482" s="405">
        <v>-1.8785E-2</v>
      </c>
      <c r="K5482" s="405">
        <v>31.678191999999999</v>
      </c>
      <c r="L5482" s="405" t="s">
        <v>314</v>
      </c>
      <c r="M5482" s="405" t="s">
        <v>1080</v>
      </c>
      <c r="N5482" s="405" t="s">
        <v>1080</v>
      </c>
      <c r="O5482" s="405" t="s">
        <v>4752</v>
      </c>
      <c r="P5482" s="405" t="s">
        <v>4349</v>
      </c>
      <c r="Q5482" s="411">
        <v>6</v>
      </c>
      <c r="R5482" s="405" t="s">
        <v>1263</v>
      </c>
      <c r="S5482" s="405" t="s">
        <v>27236</v>
      </c>
      <c r="T5482" s="405" t="s">
        <v>865</v>
      </c>
      <c r="U5482" s="405" t="s">
        <v>866</v>
      </c>
    </row>
    <row r="5483" spans="1:21" x14ac:dyDescent="0.25">
      <c r="A5483" s="405" t="s">
        <v>310</v>
      </c>
      <c r="B5483" s="405" t="s">
        <v>4817</v>
      </c>
      <c r="C5483" s="405" t="s">
        <v>327</v>
      </c>
      <c r="D5483" s="405"/>
      <c r="E5483" s="410">
        <v>41574</v>
      </c>
      <c r="F5483" s="410">
        <v>41619</v>
      </c>
      <c r="G5483" s="405" t="s">
        <v>4818</v>
      </c>
      <c r="H5483" s="405">
        <v>755466612</v>
      </c>
      <c r="I5483" s="405">
        <v>757977661</v>
      </c>
      <c r="J5483" s="405">
        <v>9.4579999999999994E-3</v>
      </c>
      <c r="K5483" s="405">
        <v>31.742477999999998</v>
      </c>
      <c r="L5483" s="405" t="s">
        <v>314</v>
      </c>
      <c r="M5483" s="405" t="s">
        <v>900</v>
      </c>
      <c r="N5483" s="405" t="s">
        <v>1119</v>
      </c>
      <c r="O5483" s="405" t="s">
        <v>4819</v>
      </c>
      <c r="P5483" s="405" t="s">
        <v>4820</v>
      </c>
      <c r="Q5483" s="411">
        <v>6</v>
      </c>
      <c r="R5483" s="405" t="s">
        <v>1263</v>
      </c>
      <c r="S5483" s="405" t="s">
        <v>27234</v>
      </c>
      <c r="T5483" s="405" t="s">
        <v>865</v>
      </c>
      <c r="U5483" s="405" t="s">
        <v>866</v>
      </c>
    </row>
    <row r="5484" spans="1:21" x14ac:dyDescent="0.25">
      <c r="A5484" s="405" t="s">
        <v>310</v>
      </c>
      <c r="B5484" s="405" t="s">
        <v>4898</v>
      </c>
      <c r="C5484" s="405" t="s">
        <v>327</v>
      </c>
      <c r="D5484" s="405"/>
      <c r="E5484" s="410">
        <v>41573</v>
      </c>
      <c r="F5484" s="410">
        <v>41618</v>
      </c>
      <c r="G5484" s="405" t="s">
        <v>4899</v>
      </c>
      <c r="H5484" s="405">
        <v>782025816</v>
      </c>
      <c r="I5484" s="405"/>
      <c r="J5484" s="405">
        <v>0.97551699999999997</v>
      </c>
      <c r="K5484" s="405">
        <v>31.574404999999999</v>
      </c>
      <c r="L5484" s="405" t="s">
        <v>314</v>
      </c>
      <c r="M5484" s="405" t="s">
        <v>1360</v>
      </c>
      <c r="N5484" s="405" t="s">
        <v>1361</v>
      </c>
      <c r="O5484" s="405" t="s">
        <v>3965</v>
      </c>
      <c r="P5484" s="405" t="s">
        <v>4900</v>
      </c>
      <c r="Q5484" s="411">
        <v>9</v>
      </c>
      <c r="R5484" s="405" t="s">
        <v>1263</v>
      </c>
      <c r="S5484" s="405" t="s">
        <v>27185</v>
      </c>
      <c r="T5484" s="405" t="s">
        <v>32102</v>
      </c>
      <c r="U5484" s="405" t="s">
        <v>319</v>
      </c>
    </row>
    <row r="5485" spans="1:21" x14ac:dyDescent="0.25">
      <c r="A5485" s="405" t="s">
        <v>310</v>
      </c>
      <c r="B5485" s="405" t="s">
        <v>13160</v>
      </c>
      <c r="C5485" s="405" t="s">
        <v>327</v>
      </c>
      <c r="D5485" s="405"/>
      <c r="E5485" s="410">
        <v>41573</v>
      </c>
      <c r="F5485" s="410">
        <v>41618</v>
      </c>
      <c r="G5485" s="405" t="s">
        <v>13161</v>
      </c>
      <c r="H5485" s="405">
        <v>755004678</v>
      </c>
      <c r="I5485" s="405"/>
      <c r="J5485" s="405">
        <v>2.2197900000000002</v>
      </c>
      <c r="K5485" s="405">
        <v>33.464877999999999</v>
      </c>
      <c r="L5485" s="405" t="s">
        <v>6866</v>
      </c>
      <c r="M5485" s="405" t="s">
        <v>10495</v>
      </c>
      <c r="N5485" s="405" t="s">
        <v>10496</v>
      </c>
      <c r="O5485" s="405" t="s">
        <v>10527</v>
      </c>
      <c r="P5485" s="405" t="s">
        <v>13162</v>
      </c>
      <c r="Q5485" s="411">
        <v>6</v>
      </c>
      <c r="R5485" s="405" t="s">
        <v>7224</v>
      </c>
      <c r="S5485" s="405" t="s">
        <v>27259</v>
      </c>
      <c r="T5485" s="405" t="s">
        <v>865</v>
      </c>
      <c r="U5485" s="405" t="s">
        <v>866</v>
      </c>
    </row>
    <row r="5486" spans="1:21" x14ac:dyDescent="0.25">
      <c r="A5486" s="405" t="s">
        <v>310</v>
      </c>
      <c r="B5486" s="405" t="s">
        <v>13579</v>
      </c>
      <c r="C5486" s="405" t="s">
        <v>311</v>
      </c>
      <c r="D5486" s="405" t="s">
        <v>839</v>
      </c>
      <c r="E5486" s="410">
        <v>41571</v>
      </c>
      <c r="F5486" s="410">
        <v>41616</v>
      </c>
      <c r="G5486" s="405" t="s">
        <v>13580</v>
      </c>
      <c r="H5486" s="405">
        <v>774402784</v>
      </c>
      <c r="I5486" s="405">
        <v>772834868</v>
      </c>
      <c r="J5486" s="405">
        <v>0.49799199999999999</v>
      </c>
      <c r="K5486" s="405">
        <v>33.174505000000003</v>
      </c>
      <c r="L5486" s="405" t="s">
        <v>6866</v>
      </c>
      <c r="M5486" s="405" t="s">
        <v>9590</v>
      </c>
      <c r="N5486" s="405" t="s">
        <v>542</v>
      </c>
      <c r="O5486" s="405" t="s">
        <v>13581</v>
      </c>
      <c r="P5486" s="405" t="s">
        <v>13582</v>
      </c>
      <c r="Q5486" s="411">
        <v>9</v>
      </c>
      <c r="R5486" s="405" t="s">
        <v>32478</v>
      </c>
      <c r="S5486" s="405" t="s">
        <v>27106</v>
      </c>
      <c r="T5486" s="405" t="s">
        <v>32212</v>
      </c>
      <c r="U5486" s="405" t="s">
        <v>2267</v>
      </c>
    </row>
    <row r="5487" spans="1:21" x14ac:dyDescent="0.25">
      <c r="A5487" s="405" t="s">
        <v>310</v>
      </c>
      <c r="B5487" s="405" t="s">
        <v>4827</v>
      </c>
      <c r="C5487" s="405" t="s">
        <v>327</v>
      </c>
      <c r="D5487" s="405"/>
      <c r="E5487" s="410">
        <v>41570</v>
      </c>
      <c r="F5487" s="410">
        <v>41615</v>
      </c>
      <c r="G5487" s="405" t="s">
        <v>4828</v>
      </c>
      <c r="H5487" s="405">
        <v>772463095</v>
      </c>
      <c r="I5487" s="405"/>
      <c r="J5487" s="405">
        <v>-0.44908700000000001</v>
      </c>
      <c r="K5487" s="405">
        <v>31.733238</v>
      </c>
      <c r="L5487" s="405" t="s">
        <v>314</v>
      </c>
      <c r="M5487" s="405" t="s">
        <v>382</v>
      </c>
      <c r="N5487" s="405" t="s">
        <v>1552</v>
      </c>
      <c r="O5487" s="405" t="s">
        <v>1260</v>
      </c>
      <c r="P5487" s="405" t="s">
        <v>4829</v>
      </c>
      <c r="Q5487" s="411">
        <v>9</v>
      </c>
      <c r="R5487" s="405" t="s">
        <v>1263</v>
      </c>
      <c r="S5487" s="405" t="s">
        <v>27045</v>
      </c>
      <c r="T5487" s="405" t="s">
        <v>865</v>
      </c>
      <c r="U5487" s="405" t="s">
        <v>866</v>
      </c>
    </row>
    <row r="5488" spans="1:21" x14ac:dyDescent="0.25">
      <c r="A5488" s="405" t="s">
        <v>310</v>
      </c>
      <c r="B5488" s="405" t="s">
        <v>13212</v>
      </c>
      <c r="C5488" s="405" t="s">
        <v>327</v>
      </c>
      <c r="D5488" s="405"/>
      <c r="E5488" s="410">
        <v>41570</v>
      </c>
      <c r="F5488" s="410">
        <v>41615</v>
      </c>
      <c r="G5488" s="405" t="s">
        <v>13213</v>
      </c>
      <c r="H5488" s="405">
        <v>782505233</v>
      </c>
      <c r="I5488" s="405"/>
      <c r="J5488" s="405">
        <v>1.0189079999999999</v>
      </c>
      <c r="K5488" s="405">
        <v>34.275416999999997</v>
      </c>
      <c r="L5488" s="405" t="s">
        <v>6866</v>
      </c>
      <c r="M5488" s="405" t="s">
        <v>9514</v>
      </c>
      <c r="N5488" s="405" t="s">
        <v>9529</v>
      </c>
      <c r="O5488" s="405" t="s">
        <v>11449</v>
      </c>
      <c r="P5488" s="405" t="s">
        <v>13214</v>
      </c>
      <c r="Q5488" s="411">
        <v>4</v>
      </c>
      <c r="R5488" s="405" t="s">
        <v>7224</v>
      </c>
      <c r="S5488" s="405" t="s">
        <v>27074</v>
      </c>
      <c r="T5488" s="405" t="s">
        <v>865</v>
      </c>
      <c r="U5488" s="405" t="s">
        <v>866</v>
      </c>
    </row>
    <row r="5489" spans="1:21" x14ac:dyDescent="0.25">
      <c r="A5489" s="405" t="s">
        <v>310</v>
      </c>
      <c r="B5489" s="405" t="s">
        <v>21426</v>
      </c>
      <c r="C5489" s="405" t="s">
        <v>327</v>
      </c>
      <c r="D5489" s="405"/>
      <c r="E5489" s="410">
        <v>41569</v>
      </c>
      <c r="F5489" s="410">
        <v>41614</v>
      </c>
      <c r="G5489" s="405" t="s">
        <v>21427</v>
      </c>
      <c r="H5489" s="405">
        <v>772450421</v>
      </c>
      <c r="I5489" s="405"/>
      <c r="J5489" s="405">
        <v>-0.45960200000000001</v>
      </c>
      <c r="K5489" s="405">
        <v>30.41534</v>
      </c>
      <c r="L5489" s="405" t="s">
        <v>590</v>
      </c>
      <c r="M5489" s="405" t="s">
        <v>19725</v>
      </c>
      <c r="N5489" s="405" t="s">
        <v>19992</v>
      </c>
      <c r="O5489" s="405" t="s">
        <v>19992</v>
      </c>
      <c r="P5489" s="405" t="s">
        <v>19992</v>
      </c>
      <c r="Q5489" s="411">
        <v>9</v>
      </c>
      <c r="R5489" s="405" t="s">
        <v>333</v>
      </c>
      <c r="S5489" s="405" t="s">
        <v>27397</v>
      </c>
      <c r="T5489" s="405" t="s">
        <v>32102</v>
      </c>
      <c r="U5489" s="405" t="s">
        <v>319</v>
      </c>
    </row>
    <row r="5490" spans="1:21" x14ac:dyDescent="0.25">
      <c r="A5490" s="405" t="s">
        <v>310</v>
      </c>
      <c r="B5490" s="405" t="s">
        <v>27730</v>
      </c>
      <c r="C5490" s="405" t="s">
        <v>311</v>
      </c>
      <c r="D5490" s="405" t="s">
        <v>839</v>
      </c>
      <c r="E5490" s="410">
        <v>41569</v>
      </c>
      <c r="F5490" s="410">
        <v>41614</v>
      </c>
      <c r="G5490" s="405" t="s">
        <v>21665</v>
      </c>
      <c r="H5490" s="405">
        <v>773000021</v>
      </c>
      <c r="I5490" s="405">
        <v>781796078</v>
      </c>
      <c r="J5490" s="405">
        <v>-0.50773800000000002</v>
      </c>
      <c r="K5490" s="405">
        <v>30.269031999999999</v>
      </c>
      <c r="L5490" s="405" t="s">
        <v>590</v>
      </c>
      <c r="M5490" s="405" t="s">
        <v>19625</v>
      </c>
      <c r="N5490" s="405" t="s">
        <v>19642</v>
      </c>
      <c r="O5490" s="405" t="s">
        <v>20937</v>
      </c>
      <c r="P5490" s="405" t="s">
        <v>20154</v>
      </c>
      <c r="Q5490" s="411">
        <v>6</v>
      </c>
      <c r="R5490" s="405" t="s">
        <v>883</v>
      </c>
      <c r="S5490" s="405" t="s">
        <v>27183</v>
      </c>
      <c r="T5490" s="405" t="s">
        <v>32102</v>
      </c>
      <c r="U5490" s="405" t="s">
        <v>319</v>
      </c>
    </row>
    <row r="5491" spans="1:21" x14ac:dyDescent="0.25">
      <c r="A5491" s="405" t="s">
        <v>310</v>
      </c>
      <c r="B5491" s="405" t="s">
        <v>29008</v>
      </c>
      <c r="C5491" s="405" t="s">
        <v>327</v>
      </c>
      <c r="D5491" s="405"/>
      <c r="E5491" s="410">
        <v>41569</v>
      </c>
      <c r="F5491" s="410">
        <v>41614</v>
      </c>
      <c r="G5491" s="405" t="s">
        <v>4749</v>
      </c>
      <c r="H5491" s="405">
        <v>754691782</v>
      </c>
      <c r="I5491" s="405"/>
      <c r="J5491" s="405">
        <v>-1.5207E-2</v>
      </c>
      <c r="K5491" s="405">
        <v>31.679552000000001</v>
      </c>
      <c r="L5491" s="405" t="s">
        <v>314</v>
      </c>
      <c r="M5491" s="405" t="s">
        <v>1080</v>
      </c>
      <c r="N5491" s="405" t="s">
        <v>4347</v>
      </c>
      <c r="O5491" s="405" t="s">
        <v>4348</v>
      </c>
      <c r="P5491" s="405" t="s">
        <v>4349</v>
      </c>
      <c r="Q5491" s="411">
        <v>6</v>
      </c>
      <c r="R5491" s="405" t="s">
        <v>1263</v>
      </c>
      <c r="S5491" s="405" t="s">
        <v>27117</v>
      </c>
      <c r="T5491" s="405" t="s">
        <v>865</v>
      </c>
      <c r="U5491" s="405" t="s">
        <v>866</v>
      </c>
    </row>
    <row r="5492" spans="1:21" x14ac:dyDescent="0.25">
      <c r="A5492" s="405" t="s">
        <v>310</v>
      </c>
      <c r="B5492" s="405" t="s">
        <v>4735</v>
      </c>
      <c r="C5492" s="405" t="s">
        <v>327</v>
      </c>
      <c r="D5492" s="405"/>
      <c r="E5492" s="410">
        <v>41569</v>
      </c>
      <c r="F5492" s="410">
        <v>41614</v>
      </c>
      <c r="G5492" s="405" t="s">
        <v>4736</v>
      </c>
      <c r="H5492" s="405">
        <v>752233483</v>
      </c>
      <c r="I5492" s="405">
        <v>752233483</v>
      </c>
      <c r="J5492" s="405">
        <v>0.321905</v>
      </c>
      <c r="K5492" s="405">
        <v>33.077348000000001</v>
      </c>
      <c r="L5492" s="405" t="s">
        <v>314</v>
      </c>
      <c r="M5492" s="405" t="s">
        <v>349</v>
      </c>
      <c r="N5492" s="405" t="s">
        <v>4737</v>
      </c>
      <c r="O5492" s="405" t="s">
        <v>1062</v>
      </c>
      <c r="P5492" s="405" t="s">
        <v>4626</v>
      </c>
      <c r="Q5492" s="411">
        <v>6</v>
      </c>
      <c r="R5492" s="405" t="s">
        <v>333</v>
      </c>
      <c r="S5492" s="405" t="s">
        <v>27202</v>
      </c>
      <c r="T5492" s="405" t="s">
        <v>865</v>
      </c>
      <c r="U5492" s="405" t="s">
        <v>866</v>
      </c>
    </row>
    <row r="5493" spans="1:21" x14ac:dyDescent="0.25">
      <c r="A5493" s="405" t="s">
        <v>310</v>
      </c>
      <c r="B5493" s="405" t="s">
        <v>13147</v>
      </c>
      <c r="C5493" s="405" t="s">
        <v>327</v>
      </c>
      <c r="D5493" s="405"/>
      <c r="E5493" s="410">
        <v>41569</v>
      </c>
      <c r="F5493" s="410">
        <v>41614</v>
      </c>
      <c r="G5493" s="405" t="s">
        <v>13148</v>
      </c>
      <c r="H5493" s="405">
        <v>778991973</v>
      </c>
      <c r="I5493" s="405"/>
      <c r="J5493" s="405">
        <v>1.130342</v>
      </c>
      <c r="K5493" s="405">
        <v>34.206623</v>
      </c>
      <c r="L5493" s="405" t="s">
        <v>6866</v>
      </c>
      <c r="M5493" s="405" t="s">
        <v>9514</v>
      </c>
      <c r="N5493" s="405" t="s">
        <v>9529</v>
      </c>
      <c r="O5493" s="405" t="s">
        <v>9530</v>
      </c>
      <c r="P5493" s="405" t="s">
        <v>10607</v>
      </c>
      <c r="Q5493" s="411">
        <v>6</v>
      </c>
      <c r="R5493" s="405" t="s">
        <v>7224</v>
      </c>
      <c r="S5493" s="405" t="s">
        <v>27073</v>
      </c>
      <c r="T5493" s="405" t="s">
        <v>865</v>
      </c>
      <c r="U5493" s="405" t="s">
        <v>866</v>
      </c>
    </row>
    <row r="5494" spans="1:21" x14ac:dyDescent="0.25">
      <c r="A5494" s="405" t="s">
        <v>310</v>
      </c>
      <c r="B5494" s="405" t="s">
        <v>4851</v>
      </c>
      <c r="C5494" s="405" t="s">
        <v>327</v>
      </c>
      <c r="D5494" s="405"/>
      <c r="E5494" s="410">
        <v>41569</v>
      </c>
      <c r="F5494" s="410">
        <v>41614</v>
      </c>
      <c r="G5494" s="405" t="s">
        <v>4852</v>
      </c>
      <c r="H5494" s="405">
        <v>703065356</v>
      </c>
      <c r="I5494" s="405"/>
      <c r="J5494" s="405">
        <v>-0.1523572</v>
      </c>
      <c r="K5494" s="405">
        <v>31.813554199999999</v>
      </c>
      <c r="L5494" s="405" t="s">
        <v>314</v>
      </c>
      <c r="M5494" s="405" t="s">
        <v>900</v>
      </c>
      <c r="N5494" s="405" t="s">
        <v>900</v>
      </c>
      <c r="O5494" s="405" t="s">
        <v>900</v>
      </c>
      <c r="P5494" s="405" t="s">
        <v>3977</v>
      </c>
      <c r="Q5494" s="411">
        <v>6</v>
      </c>
      <c r="R5494" s="405" t="s">
        <v>1263</v>
      </c>
      <c r="S5494" s="405" t="s">
        <v>27239</v>
      </c>
      <c r="T5494" s="405" t="s">
        <v>865</v>
      </c>
      <c r="U5494" s="405" t="s">
        <v>866</v>
      </c>
    </row>
    <row r="5495" spans="1:21" x14ac:dyDescent="0.25">
      <c r="A5495" s="405" t="s">
        <v>310</v>
      </c>
      <c r="B5495" s="405" t="s">
        <v>29075</v>
      </c>
      <c r="C5495" s="405" t="s">
        <v>327</v>
      </c>
      <c r="D5495" s="405"/>
      <c r="E5495" s="410">
        <v>41569</v>
      </c>
      <c r="F5495" s="410">
        <v>41614</v>
      </c>
      <c r="G5495" s="405" t="s">
        <v>13207</v>
      </c>
      <c r="H5495" s="405">
        <v>777146239</v>
      </c>
      <c r="I5495" s="405"/>
      <c r="J5495" s="405">
        <v>1.016715</v>
      </c>
      <c r="K5495" s="405">
        <v>34.328563000000003</v>
      </c>
      <c r="L5495" s="405" t="s">
        <v>6866</v>
      </c>
      <c r="M5495" s="405" t="s">
        <v>6867</v>
      </c>
      <c r="N5495" s="405" t="s">
        <v>6867</v>
      </c>
      <c r="O5495" s="405" t="s">
        <v>11995</v>
      </c>
      <c r="P5495" s="405" t="s">
        <v>13208</v>
      </c>
      <c r="Q5495" s="411">
        <v>4</v>
      </c>
      <c r="R5495" s="405" t="s">
        <v>7224</v>
      </c>
      <c r="S5495" s="405" t="s">
        <v>27190</v>
      </c>
      <c r="T5495" s="405" t="s">
        <v>32102</v>
      </c>
      <c r="U5495" s="405" t="s">
        <v>319</v>
      </c>
    </row>
    <row r="5496" spans="1:21" x14ac:dyDescent="0.25">
      <c r="A5496" s="405" t="s">
        <v>310</v>
      </c>
      <c r="B5496" s="405" t="s">
        <v>28007</v>
      </c>
      <c r="C5496" s="405" t="s">
        <v>327</v>
      </c>
      <c r="D5496" s="405"/>
      <c r="E5496" s="410">
        <v>41568</v>
      </c>
      <c r="F5496" s="410">
        <v>41613</v>
      </c>
      <c r="G5496" s="405" t="s">
        <v>4808</v>
      </c>
      <c r="H5496" s="405">
        <v>783050258</v>
      </c>
      <c r="I5496" s="405"/>
      <c r="J5496" s="405">
        <v>-0.2401134</v>
      </c>
      <c r="K5496" s="405">
        <v>31.7606848</v>
      </c>
      <c r="L5496" s="405" t="s">
        <v>314</v>
      </c>
      <c r="M5496" s="405" t="s">
        <v>900</v>
      </c>
      <c r="N5496" s="405" t="s">
        <v>900</v>
      </c>
      <c r="O5496" s="405" t="s">
        <v>900</v>
      </c>
      <c r="P5496" s="405" t="s">
        <v>3337</v>
      </c>
      <c r="Q5496" s="411">
        <v>9</v>
      </c>
      <c r="R5496" s="405" t="s">
        <v>1263</v>
      </c>
      <c r="S5496" s="405" t="s">
        <v>27117</v>
      </c>
      <c r="T5496" s="405" t="s">
        <v>32102</v>
      </c>
      <c r="U5496" s="405" t="s">
        <v>319</v>
      </c>
    </row>
    <row r="5497" spans="1:21" x14ac:dyDescent="0.25">
      <c r="A5497" s="405" t="s">
        <v>310</v>
      </c>
      <c r="B5497" s="405" t="s">
        <v>18826</v>
      </c>
      <c r="C5497" s="405" t="s">
        <v>327</v>
      </c>
      <c r="D5497" s="405"/>
      <c r="E5497" s="410">
        <v>41568</v>
      </c>
      <c r="F5497" s="410">
        <v>41613</v>
      </c>
      <c r="G5497" s="405" t="s">
        <v>18827</v>
      </c>
      <c r="H5497" s="405">
        <v>775890852</v>
      </c>
      <c r="I5497" s="405"/>
      <c r="J5497" s="405">
        <v>2.334816</v>
      </c>
      <c r="K5497" s="405">
        <v>32.721555000000002</v>
      </c>
      <c r="L5497" s="405" t="s">
        <v>860</v>
      </c>
      <c r="M5497" s="405" t="s">
        <v>18288</v>
      </c>
      <c r="N5497" s="405" t="s">
        <v>18681</v>
      </c>
      <c r="O5497" s="405" t="s">
        <v>18681</v>
      </c>
      <c r="P5497" s="405" t="s">
        <v>18686</v>
      </c>
      <c r="Q5497" s="411">
        <v>6</v>
      </c>
      <c r="R5497" s="405" t="s">
        <v>525</v>
      </c>
      <c r="S5497" s="405" t="s">
        <v>27193</v>
      </c>
      <c r="T5497" s="405" t="s">
        <v>865</v>
      </c>
      <c r="U5497" s="405" t="s">
        <v>866</v>
      </c>
    </row>
    <row r="5498" spans="1:21" x14ac:dyDescent="0.25">
      <c r="A5498" s="405" t="s">
        <v>310</v>
      </c>
      <c r="B5498" s="405" t="s">
        <v>13194</v>
      </c>
      <c r="C5498" s="405" t="s">
        <v>327</v>
      </c>
      <c r="D5498" s="405"/>
      <c r="E5498" s="410">
        <v>41568</v>
      </c>
      <c r="F5498" s="410">
        <v>41613</v>
      </c>
      <c r="G5498" s="405" t="s">
        <v>13195</v>
      </c>
      <c r="H5498" s="405">
        <v>777649166</v>
      </c>
      <c r="I5498" s="405"/>
      <c r="J5498" s="405">
        <v>1.581345</v>
      </c>
      <c r="K5498" s="405">
        <v>33.957458000000003</v>
      </c>
      <c r="L5498" s="405" t="s">
        <v>6866</v>
      </c>
      <c r="M5498" s="405" t="s">
        <v>10029</v>
      </c>
      <c r="N5498" s="405" t="s">
        <v>10029</v>
      </c>
      <c r="O5498" s="405" t="s">
        <v>10435</v>
      </c>
      <c r="P5498" s="405" t="s">
        <v>11575</v>
      </c>
      <c r="Q5498" s="411">
        <v>6</v>
      </c>
      <c r="R5498" s="405" t="s">
        <v>7224</v>
      </c>
      <c r="S5498" s="405" t="s">
        <v>17013</v>
      </c>
      <c r="T5498" s="405" t="s">
        <v>865</v>
      </c>
      <c r="U5498" s="405" t="s">
        <v>866</v>
      </c>
    </row>
    <row r="5499" spans="1:21" x14ac:dyDescent="0.25">
      <c r="A5499" s="405" t="s">
        <v>310</v>
      </c>
      <c r="B5499" s="405" t="s">
        <v>28358</v>
      </c>
      <c r="C5499" s="405" t="s">
        <v>311</v>
      </c>
      <c r="D5499" s="405" t="s">
        <v>839</v>
      </c>
      <c r="E5499" s="410">
        <v>41567</v>
      </c>
      <c r="F5499" s="410">
        <v>41612</v>
      </c>
      <c r="G5499" s="405" t="s">
        <v>21660</v>
      </c>
      <c r="H5499" s="405">
        <v>774723555</v>
      </c>
      <c r="I5499" s="405"/>
      <c r="J5499" s="405">
        <v>-0.87510600000000005</v>
      </c>
      <c r="K5499" s="405">
        <v>29.933747</v>
      </c>
      <c r="L5499" s="405" t="s">
        <v>590</v>
      </c>
      <c r="M5499" s="405" t="s">
        <v>19619</v>
      </c>
      <c r="N5499" s="405" t="s">
        <v>19620</v>
      </c>
      <c r="O5499" s="405" t="s">
        <v>2430</v>
      </c>
      <c r="P5499" s="405" t="s">
        <v>21661</v>
      </c>
      <c r="Q5499" s="411">
        <v>13</v>
      </c>
      <c r="R5499" s="405" t="s">
        <v>883</v>
      </c>
      <c r="S5499" s="405" t="s">
        <v>27160</v>
      </c>
      <c r="T5499" s="405" t="s">
        <v>865</v>
      </c>
      <c r="U5499" s="405" t="s">
        <v>866</v>
      </c>
    </row>
    <row r="5500" spans="1:21" x14ac:dyDescent="0.25">
      <c r="A5500" s="405" t="s">
        <v>310</v>
      </c>
      <c r="B5500" s="405" t="s">
        <v>4904</v>
      </c>
      <c r="C5500" s="405" t="s">
        <v>327</v>
      </c>
      <c r="D5500" s="405"/>
      <c r="E5500" s="410">
        <v>41567</v>
      </c>
      <c r="F5500" s="410">
        <v>41612</v>
      </c>
      <c r="G5500" s="405" t="s">
        <v>4905</v>
      </c>
      <c r="H5500" s="405">
        <v>772480041</v>
      </c>
      <c r="I5500" s="405"/>
      <c r="J5500" s="405">
        <v>1.08856</v>
      </c>
      <c r="K5500" s="405">
        <v>31.650891999999999</v>
      </c>
      <c r="L5500" s="405" t="s">
        <v>314</v>
      </c>
      <c r="M5500" s="405" t="s">
        <v>1360</v>
      </c>
      <c r="N5500" s="405" t="s">
        <v>3545</v>
      </c>
      <c r="O5500" s="405" t="s">
        <v>3545</v>
      </c>
      <c r="P5500" s="405" t="s">
        <v>2096</v>
      </c>
      <c r="Q5500" s="411">
        <v>13</v>
      </c>
      <c r="R5500" s="405" t="s">
        <v>318</v>
      </c>
      <c r="S5500" s="405" t="s">
        <v>27137</v>
      </c>
      <c r="T5500" s="405" t="s">
        <v>32102</v>
      </c>
      <c r="U5500" s="405" t="s">
        <v>319</v>
      </c>
    </row>
    <row r="5501" spans="1:21" x14ac:dyDescent="0.25">
      <c r="A5501" s="405" t="s">
        <v>310</v>
      </c>
      <c r="B5501" s="405" t="s">
        <v>28591</v>
      </c>
      <c r="C5501" s="405" t="s">
        <v>327</v>
      </c>
      <c r="D5501" s="405"/>
      <c r="E5501" s="410">
        <v>41567</v>
      </c>
      <c r="F5501" s="410">
        <v>41612</v>
      </c>
      <c r="G5501" s="405" t="s">
        <v>4848</v>
      </c>
      <c r="H5501" s="405">
        <v>782661519</v>
      </c>
      <c r="I5501" s="405"/>
      <c r="J5501" s="405">
        <v>0.95052999999999999</v>
      </c>
      <c r="K5501" s="405">
        <v>31.651043000000001</v>
      </c>
      <c r="L5501" s="405" t="s">
        <v>314</v>
      </c>
      <c r="M5501" s="405" t="s">
        <v>1360</v>
      </c>
      <c r="N5501" s="405" t="s">
        <v>1361</v>
      </c>
      <c r="O5501" s="405" t="s">
        <v>3965</v>
      </c>
      <c r="P5501" s="405" t="s">
        <v>4849</v>
      </c>
      <c r="Q5501" s="411">
        <v>9</v>
      </c>
      <c r="R5501" s="405" t="s">
        <v>32476</v>
      </c>
      <c r="S5501" s="405" t="s">
        <v>27210</v>
      </c>
      <c r="T5501" s="405" t="s">
        <v>32102</v>
      </c>
      <c r="U5501" s="405" t="s">
        <v>319</v>
      </c>
    </row>
    <row r="5502" spans="1:21" x14ac:dyDescent="0.25">
      <c r="A5502" s="405" t="s">
        <v>310</v>
      </c>
      <c r="B5502" s="405" t="s">
        <v>21438</v>
      </c>
      <c r="C5502" s="405" t="s">
        <v>327</v>
      </c>
      <c r="D5502" s="405"/>
      <c r="E5502" s="410">
        <v>41567</v>
      </c>
      <c r="F5502" s="410">
        <v>41612</v>
      </c>
      <c r="G5502" s="405" t="s">
        <v>21439</v>
      </c>
      <c r="H5502" s="405">
        <v>751577777</v>
      </c>
      <c r="I5502" s="405"/>
      <c r="J5502" s="405">
        <v>-0.80710499999999996</v>
      </c>
      <c r="K5502" s="405">
        <v>30.417940999999999</v>
      </c>
      <c r="L5502" s="405" t="s">
        <v>590</v>
      </c>
      <c r="M5502" s="405" t="s">
        <v>19614</v>
      </c>
      <c r="N5502" s="405" t="s">
        <v>19654</v>
      </c>
      <c r="O5502" s="405" t="s">
        <v>19655</v>
      </c>
      <c r="P5502" s="405" t="s">
        <v>21440</v>
      </c>
      <c r="Q5502" s="411">
        <v>9</v>
      </c>
      <c r="R5502" s="405" t="s">
        <v>333</v>
      </c>
      <c r="S5502" s="405" t="s">
        <v>27220</v>
      </c>
      <c r="T5502" s="405" t="s">
        <v>865</v>
      </c>
      <c r="U5502" s="405" t="s">
        <v>866</v>
      </c>
    </row>
    <row r="5503" spans="1:21" x14ac:dyDescent="0.25">
      <c r="A5503" s="405" t="s">
        <v>310</v>
      </c>
      <c r="B5503" s="405" t="s">
        <v>21434</v>
      </c>
      <c r="C5503" s="405" t="s">
        <v>327</v>
      </c>
      <c r="D5503" s="405"/>
      <c r="E5503" s="410">
        <v>41567</v>
      </c>
      <c r="F5503" s="410">
        <v>41612</v>
      </c>
      <c r="G5503" s="405" t="s">
        <v>21435</v>
      </c>
      <c r="H5503" s="405">
        <v>774857804</v>
      </c>
      <c r="I5503" s="405"/>
      <c r="J5503" s="405">
        <v>-9.3009999999999995E-2</v>
      </c>
      <c r="K5503" s="405">
        <v>30.623732</v>
      </c>
      <c r="L5503" s="405" t="s">
        <v>590</v>
      </c>
      <c r="M5503" s="405" t="s">
        <v>19705</v>
      </c>
      <c r="N5503" s="405" t="s">
        <v>2250</v>
      </c>
      <c r="O5503" s="405" t="s">
        <v>21436</v>
      </c>
      <c r="P5503" s="405" t="s">
        <v>21437</v>
      </c>
      <c r="Q5503" s="411">
        <v>9</v>
      </c>
      <c r="R5503" s="405" t="s">
        <v>874</v>
      </c>
      <c r="S5503" s="405" t="s">
        <v>27098</v>
      </c>
      <c r="T5503" s="405" t="s">
        <v>32102</v>
      </c>
      <c r="U5503" s="405" t="s">
        <v>319</v>
      </c>
    </row>
    <row r="5504" spans="1:21" x14ac:dyDescent="0.25">
      <c r="A5504" s="405" t="s">
        <v>310</v>
      </c>
      <c r="B5504" s="405" t="s">
        <v>27771</v>
      </c>
      <c r="C5504" s="405" t="s">
        <v>327</v>
      </c>
      <c r="D5504" s="405"/>
      <c r="E5504" s="410">
        <v>41567</v>
      </c>
      <c r="F5504" s="410">
        <v>41612</v>
      </c>
      <c r="G5504" s="405" t="s">
        <v>21446</v>
      </c>
      <c r="H5504" s="405">
        <v>782782752</v>
      </c>
      <c r="I5504" s="405">
        <v>783979741</v>
      </c>
      <c r="J5504" s="405">
        <v>1.4221006</v>
      </c>
      <c r="K5504" s="405">
        <v>31.3443346</v>
      </c>
      <c r="L5504" s="405" t="s">
        <v>590</v>
      </c>
      <c r="M5504" s="405" t="s">
        <v>7300</v>
      </c>
      <c r="N5504" s="405" t="s">
        <v>20091</v>
      </c>
      <c r="O5504" s="405" t="s">
        <v>21447</v>
      </c>
      <c r="P5504" s="405" t="s">
        <v>20070</v>
      </c>
      <c r="Q5504" s="411">
        <v>6</v>
      </c>
      <c r="R5504" s="405" t="s">
        <v>525</v>
      </c>
      <c r="S5504" s="405" t="s">
        <v>27225</v>
      </c>
      <c r="T5504" s="405" t="s">
        <v>32102</v>
      </c>
      <c r="U5504" s="405" t="s">
        <v>319</v>
      </c>
    </row>
    <row r="5505" spans="1:21" x14ac:dyDescent="0.25">
      <c r="A5505" s="405" t="s">
        <v>310</v>
      </c>
      <c r="B5505" s="405" t="s">
        <v>28835</v>
      </c>
      <c r="C5505" s="405" t="s">
        <v>327</v>
      </c>
      <c r="D5505" s="405"/>
      <c r="E5505" s="410">
        <v>41567</v>
      </c>
      <c r="F5505" s="410">
        <v>41612</v>
      </c>
      <c r="G5505" s="405" t="s">
        <v>4721</v>
      </c>
      <c r="H5505" s="405">
        <v>781417890</v>
      </c>
      <c r="I5505" s="405">
        <v>753938471</v>
      </c>
      <c r="J5505" s="405">
        <v>-0.25267333333333331</v>
      </c>
      <c r="K5505" s="405">
        <v>31.822016666666666</v>
      </c>
      <c r="L5505" s="405" t="s">
        <v>314</v>
      </c>
      <c r="M5505" s="405" t="s">
        <v>900</v>
      </c>
      <c r="N5505" s="405" t="s">
        <v>900</v>
      </c>
      <c r="O5505" s="405" t="s">
        <v>900</v>
      </c>
      <c r="P5505" s="405" t="s">
        <v>4722</v>
      </c>
      <c r="Q5505" s="411">
        <v>6</v>
      </c>
      <c r="R5505" s="405" t="s">
        <v>1263</v>
      </c>
      <c r="S5505" s="405" t="s">
        <v>27234</v>
      </c>
      <c r="T5505" s="405" t="s">
        <v>865</v>
      </c>
      <c r="U5505" s="405" t="s">
        <v>866</v>
      </c>
    </row>
    <row r="5506" spans="1:21" x14ac:dyDescent="0.25">
      <c r="A5506" s="405" t="s">
        <v>310</v>
      </c>
      <c r="B5506" s="405" t="s">
        <v>4901</v>
      </c>
      <c r="C5506" s="405" t="s">
        <v>327</v>
      </c>
      <c r="D5506" s="405"/>
      <c r="E5506" s="410">
        <v>41567</v>
      </c>
      <c r="F5506" s="410">
        <v>41612</v>
      </c>
      <c r="G5506" s="405" t="s">
        <v>4902</v>
      </c>
      <c r="H5506" s="405">
        <v>779431596</v>
      </c>
      <c r="I5506" s="405"/>
      <c r="J5506" s="405">
        <v>0.94626200000000005</v>
      </c>
      <c r="K5506" s="405">
        <v>31.585125000000001</v>
      </c>
      <c r="L5506" s="405" t="s">
        <v>314</v>
      </c>
      <c r="M5506" s="405" t="s">
        <v>1360</v>
      </c>
      <c r="N5506" s="405" t="s">
        <v>1361</v>
      </c>
      <c r="O5506" s="405" t="s">
        <v>4903</v>
      </c>
      <c r="P5506" s="405" t="s">
        <v>1273</v>
      </c>
      <c r="Q5506" s="411">
        <v>6</v>
      </c>
      <c r="R5506" s="405" t="s">
        <v>1263</v>
      </c>
      <c r="S5506" s="405" t="s">
        <v>27185</v>
      </c>
      <c r="T5506" s="405" t="s">
        <v>865</v>
      </c>
      <c r="U5506" s="405" t="s">
        <v>866</v>
      </c>
    </row>
    <row r="5507" spans="1:21" x14ac:dyDescent="0.25">
      <c r="A5507" s="405" t="s">
        <v>310</v>
      </c>
      <c r="B5507" s="405" t="s">
        <v>4906</v>
      </c>
      <c r="C5507" s="405" t="s">
        <v>327</v>
      </c>
      <c r="D5507" s="405"/>
      <c r="E5507" s="410">
        <v>41567</v>
      </c>
      <c r="F5507" s="410">
        <v>41612</v>
      </c>
      <c r="G5507" s="405" t="s">
        <v>4907</v>
      </c>
      <c r="H5507" s="405">
        <v>772640776</v>
      </c>
      <c r="I5507" s="405">
        <v>392943260</v>
      </c>
      <c r="J5507" s="405">
        <v>0.92411200000000004</v>
      </c>
      <c r="K5507" s="405">
        <v>31.757960000000001</v>
      </c>
      <c r="L5507" s="405" t="s">
        <v>314</v>
      </c>
      <c r="M5507" s="405" t="s">
        <v>2537</v>
      </c>
      <c r="N5507" s="405" t="s">
        <v>2537</v>
      </c>
      <c r="O5507" s="405" t="s">
        <v>4908</v>
      </c>
      <c r="P5507" s="405" t="s">
        <v>2537</v>
      </c>
      <c r="Q5507" s="411">
        <v>6</v>
      </c>
      <c r="R5507" s="405" t="s">
        <v>1263</v>
      </c>
      <c r="S5507" s="405" t="s">
        <v>27196</v>
      </c>
      <c r="T5507" s="405" t="s">
        <v>32102</v>
      </c>
      <c r="U5507" s="405" t="s">
        <v>319</v>
      </c>
    </row>
    <row r="5508" spans="1:21" x14ac:dyDescent="0.25">
      <c r="A5508" s="405" t="s">
        <v>310</v>
      </c>
      <c r="B5508" s="405" t="s">
        <v>4838</v>
      </c>
      <c r="C5508" s="405" t="s">
        <v>327</v>
      </c>
      <c r="D5508" s="405"/>
      <c r="E5508" s="410">
        <v>41566</v>
      </c>
      <c r="F5508" s="410">
        <v>41611</v>
      </c>
      <c r="G5508" s="405" t="s">
        <v>4839</v>
      </c>
      <c r="H5508" s="405">
        <v>772448550</v>
      </c>
      <c r="I5508" s="405"/>
      <c r="J5508" s="405">
        <v>0.39565699999999998</v>
      </c>
      <c r="K5508" s="405">
        <v>32.764347000000001</v>
      </c>
      <c r="L5508" s="405" t="s">
        <v>314</v>
      </c>
      <c r="M5508" s="405" t="s">
        <v>329</v>
      </c>
      <c r="N5508" s="405" t="s">
        <v>545</v>
      </c>
      <c r="O5508" s="405" t="s">
        <v>546</v>
      </c>
      <c r="P5508" s="405" t="s">
        <v>4840</v>
      </c>
      <c r="Q5508" s="411">
        <v>13</v>
      </c>
      <c r="R5508" s="405" t="s">
        <v>1263</v>
      </c>
      <c r="S5508" s="405" t="s">
        <v>27120</v>
      </c>
      <c r="T5508" s="405" t="s">
        <v>865</v>
      </c>
      <c r="U5508" s="405" t="s">
        <v>866</v>
      </c>
    </row>
    <row r="5509" spans="1:21" x14ac:dyDescent="0.25">
      <c r="A5509" s="405" t="s">
        <v>310</v>
      </c>
      <c r="B5509" s="405" t="s">
        <v>5188</v>
      </c>
      <c r="C5509" s="405" t="s">
        <v>311</v>
      </c>
      <c r="D5509" s="405" t="s">
        <v>33042</v>
      </c>
      <c r="E5509" s="410">
        <v>41566</v>
      </c>
      <c r="F5509" s="410">
        <v>41611</v>
      </c>
      <c r="G5509" s="405" t="s">
        <v>5189</v>
      </c>
      <c r="H5509" s="405">
        <v>772304475</v>
      </c>
      <c r="I5509" s="405">
        <v>757034821</v>
      </c>
      <c r="J5509" s="405">
        <v>-0.34530499999999997</v>
      </c>
      <c r="K5509" s="405">
        <v>31.611725</v>
      </c>
      <c r="L5509" s="405" t="s">
        <v>314</v>
      </c>
      <c r="M5509" s="405" t="s">
        <v>1189</v>
      </c>
      <c r="N5509" s="405" t="s">
        <v>941</v>
      </c>
      <c r="O5509" s="405" t="s">
        <v>1190</v>
      </c>
      <c r="P5509" s="405" t="s">
        <v>1419</v>
      </c>
      <c r="Q5509" s="411">
        <v>6</v>
      </c>
      <c r="R5509" s="405" t="s">
        <v>1263</v>
      </c>
      <c r="S5509" s="405" t="s">
        <v>27234</v>
      </c>
      <c r="T5509" s="405" t="s">
        <v>32102</v>
      </c>
      <c r="U5509" s="405" t="s">
        <v>319</v>
      </c>
    </row>
    <row r="5510" spans="1:21" x14ac:dyDescent="0.25">
      <c r="A5510" s="405" t="s">
        <v>310</v>
      </c>
      <c r="B5510" s="405" t="s">
        <v>18809</v>
      </c>
      <c r="C5510" s="405" t="s">
        <v>327</v>
      </c>
      <c r="D5510" s="405"/>
      <c r="E5510" s="410">
        <v>41566</v>
      </c>
      <c r="F5510" s="410">
        <v>41611</v>
      </c>
      <c r="G5510" s="405" t="s">
        <v>18810</v>
      </c>
      <c r="H5510" s="405">
        <v>772306546</v>
      </c>
      <c r="I5510" s="405"/>
      <c r="J5510" s="405">
        <v>2.2431456999999999</v>
      </c>
      <c r="K5510" s="405">
        <v>32.898695699999998</v>
      </c>
      <c r="L5510" s="405" t="s">
        <v>860</v>
      </c>
      <c r="M5510" s="405" t="s">
        <v>18234</v>
      </c>
      <c r="N5510" s="405" t="s">
        <v>18250</v>
      </c>
      <c r="O5510" s="405" t="s">
        <v>4147</v>
      </c>
      <c r="P5510" s="405" t="s">
        <v>18236</v>
      </c>
      <c r="Q5510" s="411">
        <v>6</v>
      </c>
      <c r="R5510" s="405" t="s">
        <v>525</v>
      </c>
      <c r="S5510" s="405" t="s">
        <v>27229</v>
      </c>
      <c r="T5510" s="405" t="s">
        <v>865</v>
      </c>
      <c r="U5510" s="405" t="s">
        <v>866</v>
      </c>
    </row>
    <row r="5511" spans="1:21" x14ac:dyDescent="0.25">
      <c r="A5511" s="405" t="s">
        <v>310</v>
      </c>
      <c r="B5511" s="405" t="s">
        <v>28761</v>
      </c>
      <c r="C5511" s="405" t="s">
        <v>327</v>
      </c>
      <c r="D5511" s="405"/>
      <c r="E5511" s="410">
        <v>41566</v>
      </c>
      <c r="F5511" s="410">
        <v>41611</v>
      </c>
      <c r="G5511" s="405" t="s">
        <v>18811</v>
      </c>
      <c r="H5511" s="405">
        <v>772395490</v>
      </c>
      <c r="I5511" s="405"/>
      <c r="J5511" s="405">
        <v>2.2457929999999999</v>
      </c>
      <c r="K5511" s="405">
        <v>32.893572499999998</v>
      </c>
      <c r="L5511" s="405" t="s">
        <v>860</v>
      </c>
      <c r="M5511" s="405" t="s">
        <v>18234</v>
      </c>
      <c r="N5511" s="405" t="s">
        <v>18252</v>
      </c>
      <c r="O5511" s="405" t="s">
        <v>18234</v>
      </c>
      <c r="P5511" s="405" t="s">
        <v>18546</v>
      </c>
      <c r="Q5511" s="411">
        <v>6</v>
      </c>
      <c r="R5511" s="405" t="s">
        <v>525</v>
      </c>
      <c r="S5511" s="405" t="s">
        <v>27171</v>
      </c>
      <c r="T5511" s="405" t="s">
        <v>865</v>
      </c>
      <c r="U5511" s="405" t="s">
        <v>866</v>
      </c>
    </row>
    <row r="5512" spans="1:21" x14ac:dyDescent="0.25">
      <c r="A5512" s="405" t="s">
        <v>310</v>
      </c>
      <c r="B5512" s="405" t="s">
        <v>28069</v>
      </c>
      <c r="C5512" s="405" t="s">
        <v>311</v>
      </c>
      <c r="D5512" s="405" t="s">
        <v>839</v>
      </c>
      <c r="E5512" s="410">
        <v>41565</v>
      </c>
      <c r="F5512" s="410">
        <v>41610</v>
      </c>
      <c r="G5512" s="405" t="s">
        <v>19055</v>
      </c>
      <c r="H5512" s="405">
        <v>772331941</v>
      </c>
      <c r="I5512" s="405">
        <v>793327378</v>
      </c>
      <c r="J5512" s="405">
        <v>2.2457929999999999</v>
      </c>
      <c r="K5512" s="405">
        <v>32.893572499999998</v>
      </c>
      <c r="L5512" s="405" t="s">
        <v>860</v>
      </c>
      <c r="M5512" s="405" t="s">
        <v>18234</v>
      </c>
      <c r="N5512" s="405" t="s">
        <v>18250</v>
      </c>
      <c r="O5512" s="405" t="s">
        <v>19056</v>
      </c>
      <c r="P5512" s="405" t="s">
        <v>18602</v>
      </c>
      <c r="Q5512" s="411">
        <v>6</v>
      </c>
      <c r="R5512" s="405" t="s">
        <v>318</v>
      </c>
      <c r="S5512" s="405" t="s">
        <v>27343</v>
      </c>
      <c r="T5512" s="405" t="s">
        <v>865</v>
      </c>
      <c r="U5512" s="405" t="s">
        <v>866</v>
      </c>
    </row>
    <row r="5513" spans="1:21" x14ac:dyDescent="0.25">
      <c r="A5513" s="405" t="s">
        <v>310</v>
      </c>
      <c r="B5513" s="405" t="s">
        <v>13561</v>
      </c>
      <c r="C5513" s="405" t="s">
        <v>311</v>
      </c>
      <c r="D5513" s="405" t="s">
        <v>1789</v>
      </c>
      <c r="E5513" s="410">
        <v>41565</v>
      </c>
      <c r="F5513" s="410">
        <v>41610</v>
      </c>
      <c r="G5513" s="405" t="s">
        <v>13562</v>
      </c>
      <c r="H5513" s="405">
        <v>783406610</v>
      </c>
      <c r="I5513" s="405"/>
      <c r="J5513" s="405">
        <v>1.9185350000000001</v>
      </c>
      <c r="K5513" s="405">
        <v>33.715425000000003</v>
      </c>
      <c r="L5513" s="405" t="s">
        <v>6866</v>
      </c>
      <c r="M5513" s="405" t="s">
        <v>10495</v>
      </c>
      <c r="N5513" s="405" t="s">
        <v>10495</v>
      </c>
      <c r="O5513" s="405" t="s">
        <v>11435</v>
      </c>
      <c r="P5513" s="405" t="s">
        <v>13563</v>
      </c>
      <c r="Q5513" s="411">
        <v>6</v>
      </c>
      <c r="R5513" s="405" t="s">
        <v>5655</v>
      </c>
      <c r="S5513" s="405" t="s">
        <v>27336</v>
      </c>
      <c r="T5513" s="405" t="s">
        <v>865</v>
      </c>
      <c r="U5513" s="405" t="s">
        <v>866</v>
      </c>
    </row>
    <row r="5514" spans="1:21" x14ac:dyDescent="0.25">
      <c r="A5514" s="405" t="s">
        <v>310</v>
      </c>
      <c r="B5514" s="405" t="s">
        <v>13185</v>
      </c>
      <c r="C5514" s="405" t="s">
        <v>327</v>
      </c>
      <c r="D5514" s="405"/>
      <c r="E5514" s="410">
        <v>41565</v>
      </c>
      <c r="F5514" s="410">
        <v>41610</v>
      </c>
      <c r="G5514" s="405" t="s">
        <v>13186</v>
      </c>
      <c r="H5514" s="405">
        <v>779010086</v>
      </c>
      <c r="I5514" s="405"/>
      <c r="J5514" s="405">
        <v>1.9630069999999999</v>
      </c>
      <c r="K5514" s="405">
        <v>33.687938000000003</v>
      </c>
      <c r="L5514" s="405" t="s">
        <v>6866</v>
      </c>
      <c r="M5514" s="405" t="s">
        <v>10495</v>
      </c>
      <c r="N5514" s="405" t="s">
        <v>10495</v>
      </c>
      <c r="O5514" s="405" t="s">
        <v>11435</v>
      </c>
      <c r="P5514" s="405" t="s">
        <v>12897</v>
      </c>
      <c r="Q5514" s="411">
        <v>6</v>
      </c>
      <c r="R5514" s="405" t="s">
        <v>5655</v>
      </c>
      <c r="S5514" s="405" t="s">
        <v>27345</v>
      </c>
      <c r="T5514" s="405" t="s">
        <v>865</v>
      </c>
      <c r="U5514" s="405" t="s">
        <v>866</v>
      </c>
    </row>
    <row r="5515" spans="1:21" x14ac:dyDescent="0.25">
      <c r="A5515" s="405" t="s">
        <v>310</v>
      </c>
      <c r="B5515" s="405" t="s">
        <v>21443</v>
      </c>
      <c r="C5515" s="405" t="s">
        <v>327</v>
      </c>
      <c r="D5515" s="405"/>
      <c r="E5515" s="410">
        <v>41565</v>
      </c>
      <c r="F5515" s="410">
        <v>41610</v>
      </c>
      <c r="G5515" s="405" t="s">
        <v>21444</v>
      </c>
      <c r="H5515" s="405">
        <v>751354167</v>
      </c>
      <c r="I5515" s="405">
        <v>772553674</v>
      </c>
      <c r="J5515" s="405">
        <v>-0.86409599999999998</v>
      </c>
      <c r="K5515" s="405">
        <v>30.089151000000001</v>
      </c>
      <c r="L5515" s="405" t="s">
        <v>590</v>
      </c>
      <c r="M5515" s="405" t="s">
        <v>19659</v>
      </c>
      <c r="N5515" s="405" t="s">
        <v>19604</v>
      </c>
      <c r="O5515" s="405" t="s">
        <v>19660</v>
      </c>
      <c r="P5515" s="405" t="s">
        <v>21445</v>
      </c>
      <c r="Q5515" s="411">
        <v>6</v>
      </c>
      <c r="R5515" s="405" t="s">
        <v>1527</v>
      </c>
      <c r="S5515" s="405" t="s">
        <v>27399</v>
      </c>
      <c r="T5515" s="405" t="s">
        <v>32102</v>
      </c>
      <c r="U5515" s="405" t="s">
        <v>319</v>
      </c>
    </row>
    <row r="5516" spans="1:21" x14ac:dyDescent="0.25">
      <c r="A5516" s="405" t="s">
        <v>310</v>
      </c>
      <c r="B5516" s="405" t="s">
        <v>13173</v>
      </c>
      <c r="C5516" s="405" t="s">
        <v>327</v>
      </c>
      <c r="D5516" s="405"/>
      <c r="E5516" s="410">
        <v>41565</v>
      </c>
      <c r="F5516" s="410">
        <v>41610</v>
      </c>
      <c r="G5516" s="405" t="s">
        <v>13174</v>
      </c>
      <c r="H5516" s="405">
        <v>776107771</v>
      </c>
      <c r="I5516" s="405"/>
      <c r="J5516" s="405">
        <v>2.093925</v>
      </c>
      <c r="K5516" s="405">
        <v>33.514671999999997</v>
      </c>
      <c r="L5516" s="405" t="s">
        <v>6866</v>
      </c>
      <c r="M5516" s="405" t="s">
        <v>10495</v>
      </c>
      <c r="N5516" s="405" t="s">
        <v>10496</v>
      </c>
      <c r="O5516" s="405" t="s">
        <v>10527</v>
      </c>
      <c r="P5516" s="405" t="s">
        <v>13175</v>
      </c>
      <c r="Q5516" s="411">
        <v>6</v>
      </c>
      <c r="R5516" s="405" t="s">
        <v>7224</v>
      </c>
      <c r="S5516" s="405" t="s">
        <v>27259</v>
      </c>
      <c r="T5516" s="405" t="s">
        <v>32102</v>
      </c>
      <c r="U5516" s="405" t="s">
        <v>319</v>
      </c>
    </row>
    <row r="5517" spans="1:21" x14ac:dyDescent="0.25">
      <c r="A5517" s="405" t="s">
        <v>310</v>
      </c>
      <c r="B5517" s="405" t="s">
        <v>13165</v>
      </c>
      <c r="C5517" s="405" t="s">
        <v>327</v>
      </c>
      <c r="D5517" s="405"/>
      <c r="E5517" s="410">
        <v>41564</v>
      </c>
      <c r="F5517" s="410">
        <v>41609</v>
      </c>
      <c r="G5517" s="405" t="s">
        <v>13166</v>
      </c>
      <c r="H5517" s="405">
        <v>752723556</v>
      </c>
      <c r="I5517" s="405"/>
      <c r="J5517" s="405">
        <v>2.191408</v>
      </c>
      <c r="K5517" s="405">
        <v>33.490180000000002</v>
      </c>
      <c r="L5517" s="405" t="s">
        <v>6866</v>
      </c>
      <c r="M5517" s="405" t="s">
        <v>10495</v>
      </c>
      <c r="N5517" s="405" t="s">
        <v>10496</v>
      </c>
      <c r="O5517" s="405" t="s">
        <v>10527</v>
      </c>
      <c r="P5517" s="405" t="s">
        <v>13167</v>
      </c>
      <c r="Q5517" s="411">
        <v>6</v>
      </c>
      <c r="R5517" s="405" t="s">
        <v>7224</v>
      </c>
      <c r="S5517" s="405" t="s">
        <v>27074</v>
      </c>
      <c r="T5517" s="405" t="s">
        <v>865</v>
      </c>
      <c r="U5517" s="405" t="s">
        <v>866</v>
      </c>
    </row>
    <row r="5518" spans="1:21" x14ac:dyDescent="0.25">
      <c r="A5518" s="405" t="s">
        <v>310</v>
      </c>
      <c r="B5518" s="405" t="s">
        <v>28406</v>
      </c>
      <c r="C5518" s="405" t="s">
        <v>327</v>
      </c>
      <c r="D5518" s="405"/>
      <c r="E5518" s="410">
        <v>41563</v>
      </c>
      <c r="F5518" s="410">
        <v>41608</v>
      </c>
      <c r="G5518" s="405" t="s">
        <v>21423</v>
      </c>
      <c r="H5518" s="405">
        <v>702944694</v>
      </c>
      <c r="I5518" s="405"/>
      <c r="J5518" s="405">
        <v>-0.63824000000000003</v>
      </c>
      <c r="K5518" s="405">
        <v>30.344056999999999</v>
      </c>
      <c r="L5518" s="405" t="s">
        <v>590</v>
      </c>
      <c r="M5518" s="405" t="s">
        <v>19725</v>
      </c>
      <c r="N5518" s="405" t="s">
        <v>19725</v>
      </c>
      <c r="O5518" s="405" t="s">
        <v>19797</v>
      </c>
      <c r="P5518" s="405" t="s">
        <v>4061</v>
      </c>
      <c r="Q5518" s="411">
        <v>13</v>
      </c>
      <c r="R5518" s="405" t="s">
        <v>883</v>
      </c>
      <c r="S5518" s="405" t="s">
        <v>27271</v>
      </c>
      <c r="T5518" s="405" t="s">
        <v>32102</v>
      </c>
      <c r="U5518" s="405" t="s">
        <v>319</v>
      </c>
    </row>
    <row r="5519" spans="1:21" x14ac:dyDescent="0.25">
      <c r="A5519" s="405" t="s">
        <v>310</v>
      </c>
      <c r="B5519" s="405" t="s">
        <v>13117</v>
      </c>
      <c r="C5519" s="405" t="s">
        <v>327</v>
      </c>
      <c r="D5519" s="405"/>
      <c r="E5519" s="410">
        <v>41563</v>
      </c>
      <c r="F5519" s="410">
        <v>41608</v>
      </c>
      <c r="G5519" s="405" t="s">
        <v>13118</v>
      </c>
      <c r="H5519" s="405">
        <v>783369951</v>
      </c>
      <c r="I5519" s="405">
        <v>704722229</v>
      </c>
      <c r="J5519" s="405">
        <v>0.47529500000000002</v>
      </c>
      <c r="K5519" s="405">
        <v>33.237485</v>
      </c>
      <c r="L5519" s="405" t="s">
        <v>6866</v>
      </c>
      <c r="M5519" s="405" t="s">
        <v>9590</v>
      </c>
      <c r="N5519" s="405" t="s">
        <v>9591</v>
      </c>
      <c r="O5519" s="405" t="s">
        <v>9592</v>
      </c>
      <c r="P5519" s="405" t="s">
        <v>13119</v>
      </c>
      <c r="Q5519" s="411">
        <v>9</v>
      </c>
      <c r="R5519" s="405" t="s">
        <v>333</v>
      </c>
      <c r="S5519" s="405" t="s">
        <v>27188</v>
      </c>
      <c r="T5519" s="405" t="s">
        <v>32102</v>
      </c>
      <c r="U5519" s="405" t="s">
        <v>319</v>
      </c>
    </row>
    <row r="5520" spans="1:21" x14ac:dyDescent="0.25">
      <c r="A5520" s="405" t="s">
        <v>310</v>
      </c>
      <c r="B5520" s="405" t="s">
        <v>13055</v>
      </c>
      <c r="C5520" s="405" t="s">
        <v>327</v>
      </c>
      <c r="D5520" s="405"/>
      <c r="E5520" s="410">
        <v>41563</v>
      </c>
      <c r="F5520" s="410">
        <v>41608</v>
      </c>
      <c r="G5520" s="405" t="s">
        <v>13056</v>
      </c>
      <c r="H5520" s="405">
        <v>776903959</v>
      </c>
      <c r="I5520" s="405"/>
      <c r="J5520" s="405">
        <v>2.1300479999999999</v>
      </c>
      <c r="K5520" s="405">
        <v>33.473463000000002</v>
      </c>
      <c r="L5520" s="405" t="s">
        <v>6866</v>
      </c>
      <c r="M5520" s="405" t="s">
        <v>10495</v>
      </c>
      <c r="N5520" s="405" t="s">
        <v>10496</v>
      </c>
      <c r="O5520" s="405" t="s">
        <v>10527</v>
      </c>
      <c r="P5520" s="405" t="s">
        <v>13057</v>
      </c>
      <c r="Q5520" s="411">
        <v>6</v>
      </c>
      <c r="R5520" s="405" t="s">
        <v>7224</v>
      </c>
      <c r="S5520" s="405" t="s">
        <v>17013</v>
      </c>
      <c r="T5520" s="405" t="s">
        <v>32102</v>
      </c>
      <c r="U5520" s="405" t="s">
        <v>319</v>
      </c>
    </row>
    <row r="5521" spans="1:21" x14ac:dyDescent="0.25">
      <c r="A5521" s="405" t="s">
        <v>310</v>
      </c>
      <c r="B5521" s="405" t="s">
        <v>4703</v>
      </c>
      <c r="C5521" s="405" t="s">
        <v>327</v>
      </c>
      <c r="D5521" s="405"/>
      <c r="E5521" s="410">
        <v>41563</v>
      </c>
      <c r="F5521" s="410">
        <v>41608</v>
      </c>
      <c r="G5521" s="405" t="s">
        <v>4704</v>
      </c>
      <c r="H5521" s="405">
        <v>772310498</v>
      </c>
      <c r="I5521" s="405"/>
      <c r="J5521" s="405">
        <v>0.93979199999999996</v>
      </c>
      <c r="K5521" s="405">
        <v>31.448481999999998</v>
      </c>
      <c r="L5521" s="405" t="s">
        <v>314</v>
      </c>
      <c r="M5521" s="405" t="s">
        <v>1360</v>
      </c>
      <c r="N5521" s="405" t="s">
        <v>1361</v>
      </c>
      <c r="O5521" s="405" t="s">
        <v>411</v>
      </c>
      <c r="P5521" s="405" t="s">
        <v>4705</v>
      </c>
      <c r="Q5521" s="411">
        <v>6</v>
      </c>
      <c r="R5521" s="405" t="s">
        <v>32476</v>
      </c>
      <c r="S5521" s="405" t="s">
        <v>27210</v>
      </c>
      <c r="T5521" s="405" t="s">
        <v>32102</v>
      </c>
      <c r="U5521" s="405" t="s">
        <v>319</v>
      </c>
    </row>
    <row r="5522" spans="1:21" x14ac:dyDescent="0.25">
      <c r="A5522" s="405" t="s">
        <v>310</v>
      </c>
      <c r="B5522" s="405" t="s">
        <v>28963</v>
      </c>
      <c r="C5522" s="405" t="s">
        <v>327</v>
      </c>
      <c r="D5522" s="405"/>
      <c r="E5522" s="410">
        <v>41563</v>
      </c>
      <c r="F5522" s="410">
        <v>41608</v>
      </c>
      <c r="G5522" s="405" t="s">
        <v>13023</v>
      </c>
      <c r="H5522" s="405">
        <v>785627111</v>
      </c>
      <c r="I5522" s="405"/>
      <c r="J5522" s="405">
        <v>1.1192029999999999</v>
      </c>
      <c r="K5522" s="405">
        <v>34.204618000000004</v>
      </c>
      <c r="L5522" s="405" t="s">
        <v>6866</v>
      </c>
      <c r="M5522" s="405" t="s">
        <v>9514</v>
      </c>
      <c r="N5522" s="405" t="s">
        <v>9529</v>
      </c>
      <c r="O5522" s="405" t="s">
        <v>9530</v>
      </c>
      <c r="P5522" s="405" t="s">
        <v>9530</v>
      </c>
      <c r="Q5522" s="411">
        <v>6</v>
      </c>
      <c r="R5522" s="405" t="s">
        <v>7224</v>
      </c>
      <c r="S5522" s="405" t="s">
        <v>27073</v>
      </c>
      <c r="T5522" s="405" t="s">
        <v>32102</v>
      </c>
      <c r="U5522" s="405" t="s">
        <v>319</v>
      </c>
    </row>
    <row r="5523" spans="1:21" x14ac:dyDescent="0.25">
      <c r="A5523" s="405" t="s">
        <v>310</v>
      </c>
      <c r="B5523" s="405" t="s">
        <v>13518</v>
      </c>
      <c r="C5523" s="405" t="s">
        <v>311</v>
      </c>
      <c r="D5523" s="405" t="s">
        <v>932</v>
      </c>
      <c r="E5523" s="410">
        <v>41562</v>
      </c>
      <c r="F5523" s="410">
        <v>41607</v>
      </c>
      <c r="G5523" s="405" t="s">
        <v>13519</v>
      </c>
      <c r="H5523" s="405">
        <v>782459975</v>
      </c>
      <c r="I5523" s="405">
        <v>7000325813</v>
      </c>
      <c r="J5523" s="405">
        <v>1.1101620000000001</v>
      </c>
      <c r="K5523" s="405">
        <v>33.964207999999999</v>
      </c>
      <c r="L5523" s="405" t="s">
        <v>6866</v>
      </c>
      <c r="M5523" s="405" t="s">
        <v>9676</v>
      </c>
      <c r="N5523" s="405" t="s">
        <v>13520</v>
      </c>
      <c r="O5523" s="405" t="s">
        <v>13520</v>
      </c>
      <c r="P5523" s="405" t="s">
        <v>13399</v>
      </c>
      <c r="Q5523" s="411">
        <v>13</v>
      </c>
      <c r="R5523" s="405" t="s">
        <v>9541</v>
      </c>
      <c r="S5523" s="405" t="s">
        <v>27296</v>
      </c>
      <c r="T5523" s="405" t="s">
        <v>32102</v>
      </c>
      <c r="U5523" s="405" t="s">
        <v>319</v>
      </c>
    </row>
    <row r="5524" spans="1:21" x14ac:dyDescent="0.25">
      <c r="A5524" s="405" t="s">
        <v>310</v>
      </c>
      <c r="B5524" s="405" t="s">
        <v>5105</v>
      </c>
      <c r="C5524" s="405" t="s">
        <v>311</v>
      </c>
      <c r="D5524" s="405" t="s">
        <v>1789</v>
      </c>
      <c r="E5524" s="410">
        <v>41562</v>
      </c>
      <c r="F5524" s="410">
        <v>41607</v>
      </c>
      <c r="G5524" s="405" t="s">
        <v>5106</v>
      </c>
      <c r="H5524" s="405">
        <v>772644797</v>
      </c>
      <c r="I5524" s="405">
        <v>757057234</v>
      </c>
      <c r="J5524" s="405">
        <v>-0.28417199999999998</v>
      </c>
      <c r="K5524" s="405">
        <v>31.786138000000001</v>
      </c>
      <c r="L5524" s="405" t="s">
        <v>314</v>
      </c>
      <c r="M5524" s="405" t="s">
        <v>382</v>
      </c>
      <c r="N5524" s="405" t="s">
        <v>988</v>
      </c>
      <c r="O5524" s="405" t="s">
        <v>1076</v>
      </c>
      <c r="P5524" s="405" t="s">
        <v>5107</v>
      </c>
      <c r="Q5524" s="411">
        <v>9</v>
      </c>
      <c r="R5524" s="405" t="s">
        <v>353</v>
      </c>
      <c r="S5524" s="405" t="s">
        <v>27231</v>
      </c>
      <c r="T5524" s="405" t="s">
        <v>32102</v>
      </c>
      <c r="U5524" s="405" t="s">
        <v>319</v>
      </c>
    </row>
    <row r="5525" spans="1:21" x14ac:dyDescent="0.25">
      <c r="A5525" s="405" t="s">
        <v>310</v>
      </c>
      <c r="B5525" s="405" t="s">
        <v>13098</v>
      </c>
      <c r="C5525" s="405" t="s">
        <v>327</v>
      </c>
      <c r="D5525" s="405"/>
      <c r="E5525" s="410">
        <v>41562</v>
      </c>
      <c r="F5525" s="410">
        <v>41607</v>
      </c>
      <c r="G5525" s="405" t="s">
        <v>13099</v>
      </c>
      <c r="H5525" s="405">
        <v>783069249</v>
      </c>
      <c r="I5525" s="405"/>
      <c r="J5525" s="405">
        <v>1.5796349999999999</v>
      </c>
      <c r="K5525" s="405">
        <v>33.95702</v>
      </c>
      <c r="L5525" s="405" t="s">
        <v>6866</v>
      </c>
      <c r="M5525" s="405" t="s">
        <v>10029</v>
      </c>
      <c r="N5525" s="405" t="s">
        <v>10029</v>
      </c>
      <c r="O5525" s="405" t="s">
        <v>10435</v>
      </c>
      <c r="P5525" s="405" t="s">
        <v>11575</v>
      </c>
      <c r="Q5525" s="411">
        <v>6</v>
      </c>
      <c r="R5525" s="405" t="s">
        <v>7224</v>
      </c>
      <c r="S5525" s="405" t="s">
        <v>27298</v>
      </c>
      <c r="T5525" s="405" t="s">
        <v>865</v>
      </c>
      <c r="U5525" s="405" t="s">
        <v>866</v>
      </c>
    </row>
    <row r="5526" spans="1:21" x14ac:dyDescent="0.25">
      <c r="A5526" s="405" t="s">
        <v>310</v>
      </c>
      <c r="B5526" s="405" t="s">
        <v>13105</v>
      </c>
      <c r="C5526" s="405" t="s">
        <v>327</v>
      </c>
      <c r="D5526" s="405"/>
      <c r="E5526" s="410">
        <v>41562</v>
      </c>
      <c r="F5526" s="410">
        <v>41607</v>
      </c>
      <c r="G5526" s="405" t="s">
        <v>13106</v>
      </c>
      <c r="H5526" s="405">
        <v>773800020</v>
      </c>
      <c r="I5526" s="405"/>
      <c r="J5526" s="405">
        <v>1.417505</v>
      </c>
      <c r="K5526" s="405">
        <v>33.955247999999997</v>
      </c>
      <c r="L5526" s="405" t="s">
        <v>6866</v>
      </c>
      <c r="M5526" s="405" t="s">
        <v>10029</v>
      </c>
      <c r="N5526" s="405" t="s">
        <v>10260</v>
      </c>
      <c r="O5526" s="405" t="s">
        <v>10260</v>
      </c>
      <c r="P5526" s="405" t="s">
        <v>13107</v>
      </c>
      <c r="Q5526" s="411">
        <v>6</v>
      </c>
      <c r="R5526" s="405" t="s">
        <v>9541</v>
      </c>
      <c r="S5526" s="405" t="s">
        <v>27320</v>
      </c>
      <c r="T5526" s="405" t="s">
        <v>32102</v>
      </c>
      <c r="U5526" s="405" t="s">
        <v>319</v>
      </c>
    </row>
    <row r="5527" spans="1:21" x14ac:dyDescent="0.25">
      <c r="A5527" s="405" t="s">
        <v>310</v>
      </c>
      <c r="B5527" s="405" t="s">
        <v>27655</v>
      </c>
      <c r="C5527" s="405" t="s">
        <v>311</v>
      </c>
      <c r="D5527" s="405" t="s">
        <v>1789</v>
      </c>
      <c r="E5527" s="410">
        <v>41561</v>
      </c>
      <c r="F5527" s="410">
        <v>41606</v>
      </c>
      <c r="G5527" s="405" t="s">
        <v>5073</v>
      </c>
      <c r="H5527" s="405">
        <v>788549687</v>
      </c>
      <c r="I5527" s="405"/>
      <c r="J5527" s="405">
        <v>0.68567299999999998</v>
      </c>
      <c r="K5527" s="405">
        <v>32.891775000000003</v>
      </c>
      <c r="L5527" s="405" t="s">
        <v>314</v>
      </c>
      <c r="M5527" s="405" t="s">
        <v>502</v>
      </c>
      <c r="N5527" s="405" t="s">
        <v>1229</v>
      </c>
      <c r="O5527" s="405" t="s">
        <v>502</v>
      </c>
      <c r="P5527" s="405" t="s">
        <v>5074</v>
      </c>
      <c r="Q5527" s="411">
        <v>6</v>
      </c>
      <c r="R5527" s="405" t="s">
        <v>1263</v>
      </c>
      <c r="S5527" s="405" t="s">
        <v>27133</v>
      </c>
      <c r="T5527" s="405" t="s">
        <v>32102</v>
      </c>
      <c r="U5527" s="405" t="s">
        <v>319</v>
      </c>
    </row>
    <row r="5528" spans="1:21" x14ac:dyDescent="0.25">
      <c r="A5528" s="405" t="s">
        <v>310</v>
      </c>
      <c r="B5528" s="405" t="s">
        <v>4673</v>
      </c>
      <c r="C5528" s="405" t="s">
        <v>327</v>
      </c>
      <c r="D5528" s="405"/>
      <c r="E5528" s="410">
        <v>41561</v>
      </c>
      <c r="F5528" s="410">
        <v>41606</v>
      </c>
      <c r="G5528" s="405" t="s">
        <v>4674</v>
      </c>
      <c r="H5528" s="405">
        <v>772507104</v>
      </c>
      <c r="I5528" s="405"/>
      <c r="J5528" s="405">
        <v>0.31366699999999997</v>
      </c>
      <c r="K5528" s="405">
        <v>32.146799999999999</v>
      </c>
      <c r="L5528" s="405" t="s">
        <v>314</v>
      </c>
      <c r="M5528" s="405" t="s">
        <v>675</v>
      </c>
      <c r="N5528" s="405" t="s">
        <v>676</v>
      </c>
      <c r="O5528" s="405" t="s">
        <v>677</v>
      </c>
      <c r="P5528" s="405" t="s">
        <v>677</v>
      </c>
      <c r="Q5528" s="411">
        <v>6</v>
      </c>
      <c r="R5528" s="405" t="s">
        <v>32476</v>
      </c>
      <c r="S5528" s="405" t="s">
        <v>27189</v>
      </c>
      <c r="T5528" s="405" t="s">
        <v>865</v>
      </c>
      <c r="U5528" s="405" t="s">
        <v>866</v>
      </c>
    </row>
    <row r="5529" spans="1:21" x14ac:dyDescent="0.25">
      <c r="A5529" s="405" t="s">
        <v>310</v>
      </c>
      <c r="B5529" s="405" t="s">
        <v>28658</v>
      </c>
      <c r="C5529" s="405" t="s">
        <v>327</v>
      </c>
      <c r="D5529" s="405"/>
      <c r="E5529" s="410">
        <v>41561</v>
      </c>
      <c r="F5529" s="410">
        <v>41606</v>
      </c>
      <c r="G5529" s="405" t="s">
        <v>4675</v>
      </c>
      <c r="H5529" s="405">
        <v>778676899</v>
      </c>
      <c r="I5529" s="405"/>
      <c r="J5529" s="405">
        <v>0.93250200000000005</v>
      </c>
      <c r="K5529" s="405">
        <v>31.463988000000001</v>
      </c>
      <c r="L5529" s="405" t="s">
        <v>314</v>
      </c>
      <c r="M5529" s="405" t="s">
        <v>1360</v>
      </c>
      <c r="N5529" s="405" t="s">
        <v>1361</v>
      </c>
      <c r="O5529" s="405" t="s">
        <v>411</v>
      </c>
      <c r="P5529" s="405" t="s">
        <v>2953</v>
      </c>
      <c r="Q5529" s="411">
        <v>6</v>
      </c>
      <c r="R5529" s="405" t="s">
        <v>1263</v>
      </c>
      <c r="S5529" s="405" t="s">
        <v>27210</v>
      </c>
      <c r="T5529" s="405" t="s">
        <v>32102</v>
      </c>
      <c r="U5529" s="405" t="s">
        <v>319</v>
      </c>
    </row>
    <row r="5530" spans="1:21" x14ac:dyDescent="0.25">
      <c r="A5530" s="405" t="s">
        <v>310</v>
      </c>
      <c r="B5530" s="405" t="s">
        <v>27712</v>
      </c>
      <c r="C5530" s="405" t="s">
        <v>327</v>
      </c>
      <c r="D5530" s="405"/>
      <c r="E5530" s="410">
        <v>41560</v>
      </c>
      <c r="F5530" s="410">
        <v>41605</v>
      </c>
      <c r="G5530" s="405" t="s">
        <v>13058</v>
      </c>
      <c r="H5530" s="405">
        <v>702999975</v>
      </c>
      <c r="I5530" s="405">
        <v>778181038</v>
      </c>
      <c r="J5530" s="405">
        <v>1.5774429999999999</v>
      </c>
      <c r="K5530" s="405">
        <v>33.349666999999997</v>
      </c>
      <c r="L5530" s="405" t="s">
        <v>6866</v>
      </c>
      <c r="M5530" s="405" t="s">
        <v>9658</v>
      </c>
      <c r="N5530" s="405" t="s">
        <v>9658</v>
      </c>
      <c r="O5530" s="405" t="s">
        <v>11058</v>
      </c>
      <c r="P5530" s="405" t="s">
        <v>13059</v>
      </c>
      <c r="Q5530" s="411">
        <v>9</v>
      </c>
      <c r="R5530" s="405" t="s">
        <v>5655</v>
      </c>
      <c r="S5530" s="405" t="s">
        <v>27325</v>
      </c>
      <c r="T5530" s="405" t="s">
        <v>32102</v>
      </c>
      <c r="U5530" s="405" t="s">
        <v>319</v>
      </c>
    </row>
    <row r="5531" spans="1:21" x14ac:dyDescent="0.25">
      <c r="A5531" s="405" t="s">
        <v>310</v>
      </c>
      <c r="B5531" s="405" t="s">
        <v>4651</v>
      </c>
      <c r="C5531" s="405" t="s">
        <v>327</v>
      </c>
      <c r="D5531" s="405"/>
      <c r="E5531" s="410">
        <v>41560</v>
      </c>
      <c r="F5531" s="410">
        <v>41605</v>
      </c>
      <c r="G5531" s="405" t="s">
        <v>4652</v>
      </c>
      <c r="H5531" s="405">
        <v>772466529</v>
      </c>
      <c r="I5531" s="405"/>
      <c r="J5531" s="405">
        <v>0.563662</v>
      </c>
      <c r="K5531" s="405">
        <v>31.720714999999998</v>
      </c>
      <c r="L5531" s="405" t="s">
        <v>314</v>
      </c>
      <c r="M5531" s="405" t="s">
        <v>445</v>
      </c>
      <c r="N5531" s="405" t="s">
        <v>570</v>
      </c>
      <c r="O5531" s="405" t="s">
        <v>3123</v>
      </c>
      <c r="P5531" s="405" t="s">
        <v>4653</v>
      </c>
      <c r="Q5531" s="411">
        <v>9</v>
      </c>
      <c r="R5531" s="405" t="s">
        <v>318</v>
      </c>
      <c r="S5531" s="405" t="s">
        <v>27174</v>
      </c>
      <c r="T5531" s="405" t="s">
        <v>32102</v>
      </c>
      <c r="U5531" s="405" t="s">
        <v>319</v>
      </c>
    </row>
    <row r="5532" spans="1:21" x14ac:dyDescent="0.25">
      <c r="A5532" s="405" t="s">
        <v>310</v>
      </c>
      <c r="B5532" s="405" t="s">
        <v>27494</v>
      </c>
      <c r="C5532" s="405" t="s">
        <v>857</v>
      </c>
      <c r="D5532" s="405" t="s">
        <v>13461</v>
      </c>
      <c r="E5532" s="410">
        <v>41560</v>
      </c>
      <c r="F5532" s="410">
        <v>41605</v>
      </c>
      <c r="G5532" s="405" t="s">
        <v>13462</v>
      </c>
      <c r="H5532" s="405">
        <v>778217049</v>
      </c>
      <c r="I5532" s="405">
        <v>778217049</v>
      </c>
      <c r="J5532" s="405">
        <v>1.892692</v>
      </c>
      <c r="K5532" s="405">
        <v>33.700172000000002</v>
      </c>
      <c r="L5532" s="405" t="s">
        <v>6866</v>
      </c>
      <c r="M5532" s="405" t="s">
        <v>10495</v>
      </c>
      <c r="N5532" s="405" t="s">
        <v>10495</v>
      </c>
      <c r="O5532" s="405" t="s">
        <v>11435</v>
      </c>
      <c r="P5532" s="405" t="s">
        <v>13463</v>
      </c>
      <c r="Q5532" s="411">
        <v>6</v>
      </c>
      <c r="R5532" s="405" t="s">
        <v>5655</v>
      </c>
      <c r="S5532" s="405" t="s">
        <v>27072</v>
      </c>
      <c r="T5532" s="405" t="s">
        <v>865</v>
      </c>
      <c r="U5532" s="405" t="s">
        <v>866</v>
      </c>
    </row>
    <row r="5533" spans="1:21" x14ac:dyDescent="0.25">
      <c r="A5533" s="405" t="s">
        <v>310</v>
      </c>
      <c r="B5533" s="405" t="s">
        <v>4642</v>
      </c>
      <c r="C5533" s="405" t="s">
        <v>327</v>
      </c>
      <c r="D5533" s="405"/>
      <c r="E5533" s="410">
        <v>41560</v>
      </c>
      <c r="F5533" s="410">
        <v>41605</v>
      </c>
      <c r="G5533" s="405" t="s">
        <v>4643</v>
      </c>
      <c r="H5533" s="405">
        <v>772945724</v>
      </c>
      <c r="I5533" s="405"/>
      <c r="J5533" s="405">
        <v>-5.6750500000000002E-2</v>
      </c>
      <c r="K5533" s="405">
        <v>31.987147700000001</v>
      </c>
      <c r="L5533" s="405" t="s">
        <v>314</v>
      </c>
      <c r="M5533" s="405" t="s">
        <v>900</v>
      </c>
      <c r="N5533" s="405" t="s">
        <v>900</v>
      </c>
      <c r="O5533" s="405" t="s">
        <v>900</v>
      </c>
      <c r="P5533" s="405" t="s">
        <v>4080</v>
      </c>
      <c r="Q5533" s="411">
        <v>6</v>
      </c>
      <c r="R5533" s="405" t="s">
        <v>1263</v>
      </c>
      <c r="S5533" s="405" t="s">
        <v>27045</v>
      </c>
      <c r="T5533" s="405" t="s">
        <v>32102</v>
      </c>
      <c r="U5533" s="405" t="s">
        <v>319</v>
      </c>
    </row>
    <row r="5534" spans="1:21" x14ac:dyDescent="0.25">
      <c r="A5534" s="405" t="s">
        <v>310</v>
      </c>
      <c r="B5534" s="405" t="s">
        <v>13049</v>
      </c>
      <c r="C5534" s="405" t="s">
        <v>327</v>
      </c>
      <c r="D5534" s="405"/>
      <c r="E5534" s="410">
        <v>41560</v>
      </c>
      <c r="F5534" s="410">
        <v>41605</v>
      </c>
      <c r="G5534" s="405" t="s">
        <v>13050</v>
      </c>
      <c r="H5534" s="405">
        <v>778291494</v>
      </c>
      <c r="I5534" s="405"/>
      <c r="J5534" s="405">
        <v>2.1859120000000001</v>
      </c>
      <c r="K5534" s="405">
        <v>33.516587999999999</v>
      </c>
      <c r="L5534" s="405" t="s">
        <v>6866</v>
      </c>
      <c r="M5534" s="405" t="s">
        <v>10495</v>
      </c>
      <c r="N5534" s="405" t="s">
        <v>10496</v>
      </c>
      <c r="O5534" s="405" t="s">
        <v>10527</v>
      </c>
      <c r="P5534" s="405" t="s">
        <v>13051</v>
      </c>
      <c r="Q5534" s="411">
        <v>6</v>
      </c>
      <c r="R5534" s="405" t="s">
        <v>7224</v>
      </c>
      <c r="S5534" s="405" t="s">
        <v>27306</v>
      </c>
      <c r="T5534" s="405" t="s">
        <v>865</v>
      </c>
      <c r="U5534" s="405" t="s">
        <v>866</v>
      </c>
    </row>
    <row r="5535" spans="1:21" x14ac:dyDescent="0.25">
      <c r="A5535" s="405" t="s">
        <v>310</v>
      </c>
      <c r="B5535" s="405" t="s">
        <v>4679</v>
      </c>
      <c r="C5535" s="405" t="s">
        <v>327</v>
      </c>
      <c r="D5535" s="405"/>
      <c r="E5535" s="410">
        <v>41559</v>
      </c>
      <c r="F5535" s="410">
        <v>41604</v>
      </c>
      <c r="G5535" s="405" t="s">
        <v>4680</v>
      </c>
      <c r="H5535" s="405">
        <v>752504227</v>
      </c>
      <c r="I5535" s="405">
        <v>781136936</v>
      </c>
      <c r="J5535" s="405">
        <v>-0.21800700000000001</v>
      </c>
      <c r="K5535" s="405">
        <v>31.263604999999998</v>
      </c>
      <c r="L5535" s="405" t="s">
        <v>314</v>
      </c>
      <c r="M5535" s="405" t="s">
        <v>1805</v>
      </c>
      <c r="N5535" s="405" t="s">
        <v>1805</v>
      </c>
      <c r="O5535" s="405" t="s">
        <v>3726</v>
      </c>
      <c r="P5535" s="405" t="s">
        <v>4681</v>
      </c>
      <c r="Q5535" s="411">
        <v>13</v>
      </c>
      <c r="R5535" s="405" t="s">
        <v>1263</v>
      </c>
      <c r="S5535" s="405" t="s">
        <v>27196</v>
      </c>
      <c r="T5535" s="405" t="s">
        <v>32102</v>
      </c>
      <c r="U5535" s="405" t="s">
        <v>319</v>
      </c>
    </row>
    <row r="5536" spans="1:21" x14ac:dyDescent="0.25">
      <c r="A5536" s="405" t="s">
        <v>310</v>
      </c>
      <c r="B5536" s="405" t="s">
        <v>4606</v>
      </c>
      <c r="C5536" s="405" t="s">
        <v>327</v>
      </c>
      <c r="D5536" s="405"/>
      <c r="E5536" s="410">
        <v>41559</v>
      </c>
      <c r="F5536" s="410">
        <v>41604</v>
      </c>
      <c r="G5536" s="405" t="s">
        <v>4607</v>
      </c>
      <c r="H5536" s="405">
        <v>776427917</v>
      </c>
      <c r="I5536" s="405"/>
      <c r="J5536" s="405">
        <v>5.3906000000000003E-2</v>
      </c>
      <c r="K5536" s="405">
        <v>31.430499000000001</v>
      </c>
      <c r="L5536" s="405" t="s">
        <v>314</v>
      </c>
      <c r="M5536" s="405" t="s">
        <v>343</v>
      </c>
      <c r="N5536" s="405" t="s">
        <v>344</v>
      </c>
      <c r="O5536" s="405" t="s">
        <v>2546</v>
      </c>
      <c r="P5536" s="405" t="s">
        <v>4608</v>
      </c>
      <c r="Q5536" s="411">
        <v>9</v>
      </c>
      <c r="R5536" s="405" t="s">
        <v>318</v>
      </c>
      <c r="S5536" s="405" t="s">
        <v>27137</v>
      </c>
      <c r="T5536" s="405" t="s">
        <v>865</v>
      </c>
      <c r="U5536" s="405" t="s">
        <v>866</v>
      </c>
    </row>
    <row r="5537" spans="1:21" x14ac:dyDescent="0.25">
      <c r="A5537" s="405" t="s">
        <v>310</v>
      </c>
      <c r="B5537" s="405" t="s">
        <v>18781</v>
      </c>
      <c r="C5537" s="405" t="s">
        <v>327</v>
      </c>
      <c r="D5537" s="405"/>
      <c r="E5537" s="410">
        <v>41559</v>
      </c>
      <c r="F5537" s="410">
        <v>41604</v>
      </c>
      <c r="G5537" s="405" t="s">
        <v>18782</v>
      </c>
      <c r="H5537" s="405">
        <v>774008430</v>
      </c>
      <c r="I5537" s="405">
        <v>782300683</v>
      </c>
      <c r="J5537" s="405">
        <v>2.2473760999999999</v>
      </c>
      <c r="K5537" s="405">
        <v>32.892867899999999</v>
      </c>
      <c r="L5537" s="405" t="s">
        <v>860</v>
      </c>
      <c r="M5537" s="405" t="s">
        <v>18234</v>
      </c>
      <c r="N5537" s="405" t="s">
        <v>18250</v>
      </c>
      <c r="O5537" s="405" t="s">
        <v>18545</v>
      </c>
      <c r="P5537" s="405" t="s">
        <v>18602</v>
      </c>
      <c r="Q5537" s="411">
        <v>6</v>
      </c>
      <c r="R5537" s="405" t="s">
        <v>525</v>
      </c>
      <c r="S5537" s="405" t="s">
        <v>27193</v>
      </c>
      <c r="T5537" s="405" t="s">
        <v>32102</v>
      </c>
      <c r="U5537" s="405" t="s">
        <v>319</v>
      </c>
    </row>
    <row r="5538" spans="1:21" x14ac:dyDescent="0.25">
      <c r="A5538" s="405" t="s">
        <v>310</v>
      </c>
      <c r="B5538" s="405" t="s">
        <v>4714</v>
      </c>
      <c r="C5538" s="405" t="s">
        <v>327</v>
      </c>
      <c r="D5538" s="405"/>
      <c r="E5538" s="410">
        <v>41559</v>
      </c>
      <c r="F5538" s="410">
        <v>41604</v>
      </c>
      <c r="G5538" s="405" t="s">
        <v>4715</v>
      </c>
      <c r="H5538" s="405">
        <v>777339300</v>
      </c>
      <c r="I5538" s="405"/>
      <c r="J5538" s="405">
        <v>0.94323500000000005</v>
      </c>
      <c r="K5538" s="405">
        <v>31.538119999999999</v>
      </c>
      <c r="L5538" s="405" t="s">
        <v>314</v>
      </c>
      <c r="M5538" s="405" t="s">
        <v>1360</v>
      </c>
      <c r="N5538" s="405" t="s">
        <v>1361</v>
      </c>
      <c r="O5538" s="405" t="s">
        <v>411</v>
      </c>
      <c r="P5538" s="405" t="s">
        <v>4716</v>
      </c>
      <c r="Q5538" s="411">
        <v>6</v>
      </c>
      <c r="R5538" s="405" t="s">
        <v>1263</v>
      </c>
      <c r="S5538" s="405" t="s">
        <v>27196</v>
      </c>
      <c r="T5538" s="405" t="s">
        <v>32102</v>
      </c>
      <c r="U5538" s="405" t="s">
        <v>319</v>
      </c>
    </row>
    <row r="5539" spans="1:21" x14ac:dyDescent="0.25">
      <c r="A5539" s="405" t="s">
        <v>310</v>
      </c>
      <c r="B5539" s="405" t="s">
        <v>13052</v>
      </c>
      <c r="C5539" s="405" t="s">
        <v>327</v>
      </c>
      <c r="D5539" s="405"/>
      <c r="E5539" s="410">
        <v>41559</v>
      </c>
      <c r="F5539" s="410">
        <v>41604</v>
      </c>
      <c r="G5539" s="405" t="s">
        <v>13053</v>
      </c>
      <c r="H5539" s="405">
        <v>783258094</v>
      </c>
      <c r="I5539" s="405">
        <v>752090502</v>
      </c>
      <c r="J5539" s="405">
        <v>2.1669350000000001</v>
      </c>
      <c r="K5539" s="405">
        <v>33.487402000000003</v>
      </c>
      <c r="L5539" s="405" t="s">
        <v>6866</v>
      </c>
      <c r="M5539" s="405" t="s">
        <v>10495</v>
      </c>
      <c r="N5539" s="405" t="s">
        <v>10496</v>
      </c>
      <c r="O5539" s="405" t="s">
        <v>10527</v>
      </c>
      <c r="P5539" s="405" t="s">
        <v>13054</v>
      </c>
      <c r="Q5539" s="411">
        <v>6</v>
      </c>
      <c r="R5539" s="405" t="s">
        <v>7224</v>
      </c>
      <c r="S5539" s="405" t="s">
        <v>17013</v>
      </c>
      <c r="T5539" s="405" t="s">
        <v>32102</v>
      </c>
      <c r="U5539" s="405" t="s">
        <v>319</v>
      </c>
    </row>
    <row r="5540" spans="1:21" x14ac:dyDescent="0.25">
      <c r="A5540" s="405" t="s">
        <v>310</v>
      </c>
      <c r="B5540" s="405" t="s">
        <v>13079</v>
      </c>
      <c r="C5540" s="405" t="s">
        <v>327</v>
      </c>
      <c r="D5540" s="405"/>
      <c r="E5540" s="410">
        <v>41559</v>
      </c>
      <c r="F5540" s="410">
        <v>41604</v>
      </c>
      <c r="G5540" s="405" t="s">
        <v>13080</v>
      </c>
      <c r="H5540" s="405">
        <v>772268993</v>
      </c>
      <c r="I5540" s="405">
        <v>750356240</v>
      </c>
      <c r="J5540" s="405">
        <v>2.1458179999999998</v>
      </c>
      <c r="K5540" s="405">
        <v>33.496318000000002</v>
      </c>
      <c r="L5540" s="405" t="s">
        <v>6866</v>
      </c>
      <c r="M5540" s="405" t="s">
        <v>10495</v>
      </c>
      <c r="N5540" s="405" t="s">
        <v>10496</v>
      </c>
      <c r="O5540" s="405" t="s">
        <v>10527</v>
      </c>
      <c r="P5540" s="405" t="s">
        <v>13081</v>
      </c>
      <c r="Q5540" s="411">
        <v>6</v>
      </c>
      <c r="R5540" s="405" t="s">
        <v>7224</v>
      </c>
      <c r="S5540" s="405" t="s">
        <v>27074</v>
      </c>
      <c r="T5540" s="405" t="s">
        <v>865</v>
      </c>
      <c r="U5540" s="405" t="s">
        <v>866</v>
      </c>
    </row>
    <row r="5541" spans="1:21" x14ac:dyDescent="0.25">
      <c r="A5541" s="405" t="s">
        <v>310</v>
      </c>
      <c r="B5541" s="405" t="s">
        <v>13046</v>
      </c>
      <c r="C5541" s="405" t="s">
        <v>327</v>
      </c>
      <c r="D5541" s="405"/>
      <c r="E5541" s="410">
        <v>41559</v>
      </c>
      <c r="F5541" s="410">
        <v>41604</v>
      </c>
      <c r="G5541" s="405" t="s">
        <v>13047</v>
      </c>
      <c r="H5541" s="405">
        <v>778412872</v>
      </c>
      <c r="I5541" s="405">
        <v>785302879</v>
      </c>
      <c r="J5541" s="405">
        <v>2.1521720000000002</v>
      </c>
      <c r="K5541" s="405">
        <v>33.531055000000002</v>
      </c>
      <c r="L5541" s="405" t="s">
        <v>6866</v>
      </c>
      <c r="M5541" s="405" t="s">
        <v>10495</v>
      </c>
      <c r="N5541" s="405" t="s">
        <v>10496</v>
      </c>
      <c r="O5541" s="405" t="s">
        <v>10527</v>
      </c>
      <c r="P5541" s="405" t="s">
        <v>13048</v>
      </c>
      <c r="Q5541" s="411">
        <v>6</v>
      </c>
      <c r="R5541" s="405" t="s">
        <v>7224</v>
      </c>
      <c r="S5541" s="405" t="s">
        <v>27259</v>
      </c>
      <c r="T5541" s="405" t="s">
        <v>865</v>
      </c>
      <c r="U5541" s="405" t="s">
        <v>866</v>
      </c>
    </row>
    <row r="5542" spans="1:21" x14ac:dyDescent="0.25">
      <c r="A5542" s="405" t="s">
        <v>310</v>
      </c>
      <c r="B5542" s="405" t="s">
        <v>13110</v>
      </c>
      <c r="C5542" s="405" t="s">
        <v>857</v>
      </c>
      <c r="D5542" s="405" t="s">
        <v>33261</v>
      </c>
      <c r="E5542" s="410">
        <v>41559</v>
      </c>
      <c r="F5542" s="410">
        <v>41604</v>
      </c>
      <c r="G5542" s="405" t="s">
        <v>13111</v>
      </c>
      <c r="H5542" s="405">
        <v>782588494</v>
      </c>
      <c r="I5542" s="405"/>
      <c r="J5542" s="405">
        <v>0.91628699999999996</v>
      </c>
      <c r="K5542" s="405">
        <v>34.164656999999998</v>
      </c>
      <c r="L5542" s="405" t="s">
        <v>6866</v>
      </c>
      <c r="M5542" s="405" t="s">
        <v>9514</v>
      </c>
      <c r="N5542" s="405" t="s">
        <v>9529</v>
      </c>
      <c r="O5542" s="405" t="s">
        <v>9923</v>
      </c>
      <c r="P5542" s="405" t="s">
        <v>13112</v>
      </c>
      <c r="Q5542" s="411">
        <v>4</v>
      </c>
      <c r="R5542" s="405" t="s">
        <v>7224</v>
      </c>
      <c r="S5542" s="405" t="s">
        <v>27203</v>
      </c>
      <c r="T5542" s="405" t="s">
        <v>884</v>
      </c>
      <c r="U5542" s="405" t="s">
        <v>319</v>
      </c>
    </row>
    <row r="5543" spans="1:21" x14ac:dyDescent="0.25">
      <c r="A5543" s="405" t="s">
        <v>310</v>
      </c>
      <c r="B5543" s="405" t="s">
        <v>4624</v>
      </c>
      <c r="C5543" s="405" t="s">
        <v>327</v>
      </c>
      <c r="D5543" s="405"/>
      <c r="E5543" s="410">
        <v>41558</v>
      </c>
      <c r="F5543" s="410">
        <v>41603</v>
      </c>
      <c r="G5543" s="405" t="s">
        <v>4625</v>
      </c>
      <c r="H5543" s="405">
        <v>772452899</v>
      </c>
      <c r="I5543" s="405">
        <v>772452899</v>
      </c>
      <c r="J5543" s="405">
        <v>0.33416299999999999</v>
      </c>
      <c r="K5543" s="405">
        <v>33.077385</v>
      </c>
      <c r="L5543" s="405" t="s">
        <v>314</v>
      </c>
      <c r="M5543" s="405" t="s">
        <v>349</v>
      </c>
      <c r="N5543" s="405" t="s">
        <v>549</v>
      </c>
      <c r="O5543" s="405" t="s">
        <v>1062</v>
      </c>
      <c r="P5543" s="405" t="s">
        <v>4626</v>
      </c>
      <c r="Q5543" s="411">
        <v>9</v>
      </c>
      <c r="R5543" s="405" t="s">
        <v>32478</v>
      </c>
      <c r="S5543" s="405" t="s">
        <v>27120</v>
      </c>
      <c r="T5543" s="405" t="s">
        <v>32102</v>
      </c>
      <c r="U5543" s="405" t="s">
        <v>319</v>
      </c>
    </row>
    <row r="5544" spans="1:21" x14ac:dyDescent="0.25">
      <c r="A5544" s="405" t="s">
        <v>310</v>
      </c>
      <c r="B5544" s="405" t="s">
        <v>27688</v>
      </c>
      <c r="C5544" s="405" t="s">
        <v>327</v>
      </c>
      <c r="D5544" s="405"/>
      <c r="E5544" s="410">
        <v>41557</v>
      </c>
      <c r="F5544" s="410">
        <v>41602</v>
      </c>
      <c r="G5544" s="405" t="s">
        <v>4719</v>
      </c>
      <c r="H5544" s="405">
        <v>772601351</v>
      </c>
      <c r="I5544" s="405"/>
      <c r="J5544" s="405">
        <v>-0.35402080000000002</v>
      </c>
      <c r="K5544" s="405">
        <v>31.729536599999999</v>
      </c>
      <c r="L5544" s="405" t="s">
        <v>314</v>
      </c>
      <c r="M5544" s="405" t="s">
        <v>382</v>
      </c>
      <c r="N5544" s="405" t="s">
        <v>1076</v>
      </c>
      <c r="O5544" s="405" t="s">
        <v>1076</v>
      </c>
      <c r="P5544" s="405" t="s">
        <v>4720</v>
      </c>
      <c r="Q5544" s="411">
        <v>13</v>
      </c>
      <c r="R5544" s="405" t="s">
        <v>402</v>
      </c>
      <c r="S5544" s="405" t="s">
        <v>27139</v>
      </c>
      <c r="T5544" s="405" t="s">
        <v>865</v>
      </c>
      <c r="U5544" s="405" t="s">
        <v>866</v>
      </c>
    </row>
    <row r="5545" spans="1:21" x14ac:dyDescent="0.25">
      <c r="A5545" s="405" t="s">
        <v>310</v>
      </c>
      <c r="B5545" s="405" t="s">
        <v>28922</v>
      </c>
      <c r="C5545" s="405" t="s">
        <v>311</v>
      </c>
      <c r="D5545" s="405" t="s">
        <v>1789</v>
      </c>
      <c r="E5545" s="410">
        <v>41557</v>
      </c>
      <c r="F5545" s="410">
        <v>41602</v>
      </c>
      <c r="G5545" s="405" t="s">
        <v>5147</v>
      </c>
      <c r="H5545" s="405">
        <v>772353952</v>
      </c>
      <c r="I5545" s="405">
        <v>706236200</v>
      </c>
      <c r="J5545" s="405">
        <v>-0.35399720000000001</v>
      </c>
      <c r="K5545" s="405">
        <v>31.729342200000001</v>
      </c>
      <c r="L5545" s="405" t="s">
        <v>314</v>
      </c>
      <c r="M5545" s="405" t="s">
        <v>382</v>
      </c>
      <c r="N5545" s="405" t="s">
        <v>988</v>
      </c>
      <c r="O5545" s="405" t="s">
        <v>1032</v>
      </c>
      <c r="P5545" s="405" t="s">
        <v>5148</v>
      </c>
      <c r="Q5545" s="411">
        <v>13</v>
      </c>
      <c r="R5545" s="405" t="s">
        <v>1263</v>
      </c>
      <c r="S5545" s="405" t="s">
        <v>27208</v>
      </c>
      <c r="T5545" s="405" t="s">
        <v>32102</v>
      </c>
      <c r="U5545" s="405" t="s">
        <v>319</v>
      </c>
    </row>
    <row r="5546" spans="1:21" x14ac:dyDescent="0.25">
      <c r="A5546" s="405" t="s">
        <v>310</v>
      </c>
      <c r="B5546" s="405" t="s">
        <v>4644</v>
      </c>
      <c r="C5546" s="405" t="s">
        <v>327</v>
      </c>
      <c r="D5546" s="405"/>
      <c r="E5546" s="410">
        <v>41557</v>
      </c>
      <c r="F5546" s="410">
        <v>41602</v>
      </c>
      <c r="G5546" s="405" t="s">
        <v>4645</v>
      </c>
      <c r="H5546" s="405">
        <v>753886551</v>
      </c>
      <c r="I5546" s="405">
        <v>772886551</v>
      </c>
      <c r="J5546" s="405">
        <v>-0.35402080000000002</v>
      </c>
      <c r="K5546" s="405">
        <v>31.729536599999999</v>
      </c>
      <c r="L5546" s="405" t="s">
        <v>314</v>
      </c>
      <c r="M5546" s="405" t="s">
        <v>382</v>
      </c>
      <c r="N5546" s="405" t="s">
        <v>988</v>
      </c>
      <c r="O5546" s="405" t="s">
        <v>1020</v>
      </c>
      <c r="P5546" s="405" t="s">
        <v>4646</v>
      </c>
      <c r="Q5546" s="411">
        <v>6</v>
      </c>
      <c r="R5546" s="405" t="s">
        <v>1263</v>
      </c>
      <c r="S5546" s="405" t="s">
        <v>27117</v>
      </c>
      <c r="T5546" s="405" t="s">
        <v>865</v>
      </c>
      <c r="U5546" s="405" t="s">
        <v>866</v>
      </c>
    </row>
    <row r="5547" spans="1:21" x14ac:dyDescent="0.25">
      <c r="A5547" s="405" t="s">
        <v>310</v>
      </c>
      <c r="B5547" s="405" t="s">
        <v>27865</v>
      </c>
      <c r="C5547" s="405" t="s">
        <v>311</v>
      </c>
      <c r="D5547" s="405" t="s">
        <v>1789</v>
      </c>
      <c r="E5547" s="410">
        <v>41557</v>
      </c>
      <c r="F5547" s="410">
        <v>41602</v>
      </c>
      <c r="G5547" s="405" t="s">
        <v>5096</v>
      </c>
      <c r="H5547" s="405">
        <v>782326118</v>
      </c>
      <c r="I5547" s="405"/>
      <c r="J5547" s="405">
        <v>0.29769999999999996</v>
      </c>
      <c r="K5547" s="405">
        <v>33.132083333333334</v>
      </c>
      <c r="L5547" s="405" t="s">
        <v>314</v>
      </c>
      <c r="M5547" s="405" t="s">
        <v>361</v>
      </c>
      <c r="N5547" s="405" t="s">
        <v>362</v>
      </c>
      <c r="O5547" s="405" t="s">
        <v>523</v>
      </c>
      <c r="P5547" s="405" t="s">
        <v>2323</v>
      </c>
      <c r="Q5547" s="411">
        <v>4</v>
      </c>
      <c r="R5547" s="405" t="s">
        <v>1263</v>
      </c>
      <c r="S5547" s="405" t="s">
        <v>27211</v>
      </c>
      <c r="T5547" s="405" t="s">
        <v>865</v>
      </c>
      <c r="U5547" s="405" t="s">
        <v>866</v>
      </c>
    </row>
    <row r="5548" spans="1:21" x14ac:dyDescent="0.25">
      <c r="A5548" s="405" t="s">
        <v>310</v>
      </c>
      <c r="B5548" s="405" t="s">
        <v>28880</v>
      </c>
      <c r="C5548" s="405" t="s">
        <v>327</v>
      </c>
      <c r="D5548" s="405"/>
      <c r="E5548" s="410">
        <v>41557</v>
      </c>
      <c r="F5548" s="410">
        <v>41602</v>
      </c>
      <c r="G5548" s="405" t="s">
        <v>4676</v>
      </c>
      <c r="H5548" s="405">
        <v>788219173</v>
      </c>
      <c r="I5548" s="405"/>
      <c r="J5548" s="405">
        <v>2.8866666666666667E-3</v>
      </c>
      <c r="K5548" s="405">
        <v>32.043714999999999</v>
      </c>
      <c r="L5548" s="405" t="s">
        <v>314</v>
      </c>
      <c r="M5548" s="405" t="s">
        <v>321</v>
      </c>
      <c r="N5548" s="405" t="s">
        <v>322</v>
      </c>
      <c r="O5548" s="405" t="s">
        <v>2436</v>
      </c>
      <c r="P5548" s="405" t="s">
        <v>3971</v>
      </c>
      <c r="Q5548" s="411">
        <v>4</v>
      </c>
      <c r="R5548" s="405" t="s">
        <v>402</v>
      </c>
      <c r="S5548" s="405" t="s">
        <v>27052</v>
      </c>
      <c r="T5548" s="405" t="s">
        <v>32102</v>
      </c>
      <c r="U5548" s="405" t="s">
        <v>319</v>
      </c>
    </row>
    <row r="5549" spans="1:21" x14ac:dyDescent="0.25">
      <c r="A5549" s="405" t="s">
        <v>310</v>
      </c>
      <c r="B5549" s="405" t="s">
        <v>13076</v>
      </c>
      <c r="C5549" s="405" t="s">
        <v>327</v>
      </c>
      <c r="D5549" s="405"/>
      <c r="E5549" s="410">
        <v>41556</v>
      </c>
      <c r="F5549" s="410">
        <v>41601</v>
      </c>
      <c r="G5549" s="405" t="s">
        <v>13077</v>
      </c>
      <c r="H5549" s="405">
        <v>751577654</v>
      </c>
      <c r="I5549" s="405"/>
      <c r="J5549" s="405">
        <v>2.1568399999999999</v>
      </c>
      <c r="K5549" s="405">
        <v>33.496626999999997</v>
      </c>
      <c r="L5549" s="405" t="s">
        <v>6866</v>
      </c>
      <c r="M5549" s="405" t="s">
        <v>10495</v>
      </c>
      <c r="N5549" s="405" t="s">
        <v>10496</v>
      </c>
      <c r="O5549" s="405" t="s">
        <v>10527</v>
      </c>
      <c r="P5549" s="405" t="s">
        <v>13078</v>
      </c>
      <c r="Q5549" s="411">
        <v>6</v>
      </c>
      <c r="R5549" s="405" t="s">
        <v>7224</v>
      </c>
      <c r="S5549" s="405" t="s">
        <v>27306</v>
      </c>
      <c r="T5549" s="405" t="s">
        <v>865</v>
      </c>
      <c r="U5549" s="405" t="s">
        <v>866</v>
      </c>
    </row>
    <row r="5550" spans="1:21" x14ac:dyDescent="0.25">
      <c r="A5550" s="405" t="s">
        <v>310</v>
      </c>
      <c r="B5550" s="405" t="s">
        <v>13082</v>
      </c>
      <c r="C5550" s="405" t="s">
        <v>327</v>
      </c>
      <c r="D5550" s="405"/>
      <c r="E5550" s="410">
        <v>41556</v>
      </c>
      <c r="F5550" s="410">
        <v>41601</v>
      </c>
      <c r="G5550" s="405" t="s">
        <v>13083</v>
      </c>
      <c r="H5550" s="405">
        <v>785337813</v>
      </c>
      <c r="I5550" s="405"/>
      <c r="J5550" s="405">
        <v>2.14852</v>
      </c>
      <c r="K5550" s="405">
        <v>33.517895000000003</v>
      </c>
      <c r="L5550" s="405" t="s">
        <v>6866</v>
      </c>
      <c r="M5550" s="405" t="s">
        <v>10495</v>
      </c>
      <c r="N5550" s="405" t="s">
        <v>10496</v>
      </c>
      <c r="O5550" s="405" t="s">
        <v>10527</v>
      </c>
      <c r="P5550" s="405" t="s">
        <v>13084</v>
      </c>
      <c r="Q5550" s="411">
        <v>6</v>
      </c>
      <c r="R5550" s="405" t="s">
        <v>7224</v>
      </c>
      <c r="S5550" s="405" t="s">
        <v>27344</v>
      </c>
      <c r="T5550" s="405" t="s">
        <v>32102</v>
      </c>
      <c r="U5550" s="405" t="s">
        <v>319</v>
      </c>
    </row>
    <row r="5551" spans="1:21" x14ac:dyDescent="0.25">
      <c r="A5551" s="405" t="s">
        <v>310</v>
      </c>
      <c r="B5551" s="405" t="s">
        <v>28699</v>
      </c>
      <c r="C5551" s="405" t="s">
        <v>327</v>
      </c>
      <c r="D5551" s="405"/>
      <c r="E5551" s="410">
        <v>41555</v>
      </c>
      <c r="F5551" s="410">
        <v>41600</v>
      </c>
      <c r="G5551" s="405" t="s">
        <v>13126</v>
      </c>
      <c r="H5551" s="405">
        <v>775271371</v>
      </c>
      <c r="I5551" s="405"/>
      <c r="J5551" s="405">
        <v>1.2228730000000001</v>
      </c>
      <c r="K5551" s="405">
        <v>33.774667999999998</v>
      </c>
      <c r="L5551" s="405" t="s">
        <v>6866</v>
      </c>
      <c r="M5551" s="405" t="s">
        <v>9509</v>
      </c>
      <c r="N5551" s="405" t="s">
        <v>7352</v>
      </c>
      <c r="O5551" s="405" t="s">
        <v>7352</v>
      </c>
      <c r="P5551" s="405" t="s">
        <v>13127</v>
      </c>
      <c r="Q5551" s="411">
        <v>6</v>
      </c>
      <c r="R5551" s="405" t="s">
        <v>7224</v>
      </c>
      <c r="S5551" s="405" t="s">
        <v>27107</v>
      </c>
      <c r="T5551" s="405" t="s">
        <v>865</v>
      </c>
      <c r="U5551" s="405" t="s">
        <v>866</v>
      </c>
    </row>
    <row r="5552" spans="1:21" x14ac:dyDescent="0.25">
      <c r="A5552" s="405" t="s">
        <v>310</v>
      </c>
      <c r="B5552" s="405" t="s">
        <v>13096</v>
      </c>
      <c r="C5552" s="405" t="s">
        <v>327</v>
      </c>
      <c r="D5552" s="405"/>
      <c r="E5552" s="410">
        <v>41555</v>
      </c>
      <c r="F5552" s="410">
        <v>41600</v>
      </c>
      <c r="G5552" s="405" t="s">
        <v>13097</v>
      </c>
      <c r="H5552" s="405">
        <v>780735209</v>
      </c>
      <c r="I5552" s="405"/>
      <c r="J5552" s="405">
        <v>1.572265</v>
      </c>
      <c r="K5552" s="405">
        <v>33.951636999999998</v>
      </c>
      <c r="L5552" s="405" t="s">
        <v>6866</v>
      </c>
      <c r="M5552" s="405" t="s">
        <v>10029</v>
      </c>
      <c r="N5552" s="405" t="s">
        <v>10029</v>
      </c>
      <c r="O5552" s="405" t="s">
        <v>10435</v>
      </c>
      <c r="P5552" s="405" t="s">
        <v>12574</v>
      </c>
      <c r="Q5552" s="411">
        <v>6</v>
      </c>
      <c r="R5552" s="405" t="s">
        <v>9541</v>
      </c>
      <c r="S5552" s="405" t="s">
        <v>27338</v>
      </c>
      <c r="T5552" s="405" t="s">
        <v>865</v>
      </c>
      <c r="U5552" s="405" t="s">
        <v>866</v>
      </c>
    </row>
    <row r="5553" spans="1:21" x14ac:dyDescent="0.25">
      <c r="A5553" s="405" t="s">
        <v>310</v>
      </c>
      <c r="B5553" s="405" t="s">
        <v>13062</v>
      </c>
      <c r="C5553" s="405" t="s">
        <v>327</v>
      </c>
      <c r="D5553" s="405"/>
      <c r="E5553" s="410">
        <v>41554</v>
      </c>
      <c r="F5553" s="410">
        <v>41599</v>
      </c>
      <c r="G5553" s="405" t="s">
        <v>13063</v>
      </c>
      <c r="H5553" s="405">
        <v>783197139</v>
      </c>
      <c r="I5553" s="405"/>
      <c r="J5553" s="405">
        <v>1.9264570000000001</v>
      </c>
      <c r="K5553" s="405">
        <v>33.686615000000003</v>
      </c>
      <c r="L5553" s="405" t="s">
        <v>6866</v>
      </c>
      <c r="M5553" s="405" t="s">
        <v>10495</v>
      </c>
      <c r="N5553" s="405" t="s">
        <v>10495</v>
      </c>
      <c r="O5553" s="405" t="s">
        <v>11435</v>
      </c>
      <c r="P5553" s="405" t="s">
        <v>13064</v>
      </c>
      <c r="Q5553" s="411">
        <v>6</v>
      </c>
      <c r="R5553" s="405" t="s">
        <v>5655</v>
      </c>
      <c r="S5553" s="405" t="s">
        <v>27337</v>
      </c>
      <c r="T5553" s="405" t="s">
        <v>32102</v>
      </c>
      <c r="U5553" s="405" t="s">
        <v>319</v>
      </c>
    </row>
    <row r="5554" spans="1:21" x14ac:dyDescent="0.25">
      <c r="A5554" s="405" t="s">
        <v>310</v>
      </c>
      <c r="B5554" s="405" t="s">
        <v>27484</v>
      </c>
      <c r="C5554" s="405" t="s">
        <v>327</v>
      </c>
      <c r="D5554" s="405"/>
      <c r="E5554" s="410">
        <v>41553</v>
      </c>
      <c r="F5554" s="410">
        <v>41598</v>
      </c>
      <c r="G5554" s="405" t="s">
        <v>18775</v>
      </c>
      <c r="H5554" s="405">
        <v>778843049</v>
      </c>
      <c r="I5554" s="405">
        <v>780964123</v>
      </c>
      <c r="J5554" s="405">
        <v>2.2430506000000001</v>
      </c>
      <c r="K5554" s="405">
        <v>32.898857300000003</v>
      </c>
      <c r="L5554" s="405" t="s">
        <v>860</v>
      </c>
      <c r="M5554" s="405" t="s">
        <v>18234</v>
      </c>
      <c r="N5554" s="405" t="s">
        <v>18235</v>
      </c>
      <c r="O5554" s="405" t="s">
        <v>4147</v>
      </c>
      <c r="P5554" s="405" t="s">
        <v>18630</v>
      </c>
      <c r="Q5554" s="411">
        <v>6</v>
      </c>
      <c r="R5554" s="405" t="s">
        <v>525</v>
      </c>
      <c r="S5554" s="405" t="s">
        <v>27179</v>
      </c>
      <c r="T5554" s="405" t="s">
        <v>32102</v>
      </c>
      <c r="U5554" s="405" t="s">
        <v>319</v>
      </c>
    </row>
    <row r="5555" spans="1:21" x14ac:dyDescent="0.25">
      <c r="A5555" s="405" t="s">
        <v>310</v>
      </c>
      <c r="B5555" s="405" t="s">
        <v>13100</v>
      </c>
      <c r="C5555" s="405" t="s">
        <v>327</v>
      </c>
      <c r="D5555" s="405"/>
      <c r="E5555" s="410">
        <v>41553</v>
      </c>
      <c r="F5555" s="410">
        <v>41598</v>
      </c>
      <c r="G5555" s="405" t="s">
        <v>13101</v>
      </c>
      <c r="H5555" s="405">
        <v>779965315</v>
      </c>
      <c r="I5555" s="405"/>
      <c r="J5555" s="405">
        <v>1.580157</v>
      </c>
      <c r="K5555" s="405">
        <v>33.956940000000003</v>
      </c>
      <c r="L5555" s="405" t="s">
        <v>6866</v>
      </c>
      <c r="M5555" s="405" t="s">
        <v>10029</v>
      </c>
      <c r="N5555" s="405" t="s">
        <v>10029</v>
      </c>
      <c r="O5555" s="405" t="s">
        <v>10435</v>
      </c>
      <c r="P5555" s="405" t="s">
        <v>11575</v>
      </c>
      <c r="Q5555" s="411">
        <v>6</v>
      </c>
      <c r="R5555" s="405" t="s">
        <v>7224</v>
      </c>
      <c r="S5555" s="405" t="s">
        <v>27298</v>
      </c>
      <c r="T5555" s="405" t="s">
        <v>32102</v>
      </c>
      <c r="U5555" s="405" t="s">
        <v>319</v>
      </c>
    </row>
    <row r="5556" spans="1:21" x14ac:dyDescent="0.25">
      <c r="A5556" s="405" t="s">
        <v>310</v>
      </c>
      <c r="B5556" s="405" t="s">
        <v>4618</v>
      </c>
      <c r="C5556" s="405" t="s">
        <v>327</v>
      </c>
      <c r="D5556" s="405"/>
      <c r="E5556" s="410">
        <v>41552</v>
      </c>
      <c r="F5556" s="410">
        <v>41597</v>
      </c>
      <c r="G5556" s="405" t="s">
        <v>4619</v>
      </c>
      <c r="H5556" s="405">
        <v>773342633</v>
      </c>
      <c r="I5556" s="405"/>
      <c r="J5556" s="405">
        <v>0.60360000000000003</v>
      </c>
      <c r="K5556" s="405">
        <v>33.010674000000002</v>
      </c>
      <c r="L5556" s="405" t="s">
        <v>314</v>
      </c>
      <c r="M5556" s="405" t="s">
        <v>502</v>
      </c>
      <c r="N5556" s="405" t="s">
        <v>503</v>
      </c>
      <c r="O5556" s="405" t="s">
        <v>504</v>
      </c>
      <c r="P5556" s="405" t="s">
        <v>4620</v>
      </c>
      <c r="Q5556" s="411">
        <v>6</v>
      </c>
      <c r="R5556" s="405" t="s">
        <v>1263</v>
      </c>
      <c r="S5556" s="405" t="s">
        <v>27209</v>
      </c>
      <c r="T5556" s="405" t="s">
        <v>865</v>
      </c>
      <c r="U5556" s="405" t="s">
        <v>866</v>
      </c>
    </row>
    <row r="5557" spans="1:21" x14ac:dyDescent="0.25">
      <c r="A5557" s="405" t="s">
        <v>310</v>
      </c>
      <c r="B5557" s="405" t="s">
        <v>13070</v>
      </c>
      <c r="C5557" s="405" t="s">
        <v>327</v>
      </c>
      <c r="D5557" s="405"/>
      <c r="E5557" s="410">
        <v>41552</v>
      </c>
      <c r="F5557" s="410">
        <v>41597</v>
      </c>
      <c r="G5557" s="405" t="s">
        <v>13071</v>
      </c>
      <c r="H5557" s="405">
        <v>785772447</v>
      </c>
      <c r="I5557" s="405">
        <v>785772447</v>
      </c>
      <c r="J5557" s="405">
        <v>1.9071400000000001</v>
      </c>
      <c r="K5557" s="405">
        <v>33.685001999999997</v>
      </c>
      <c r="L5557" s="405" t="s">
        <v>6866</v>
      </c>
      <c r="M5557" s="405" t="s">
        <v>10495</v>
      </c>
      <c r="N5557" s="405" t="s">
        <v>10495</v>
      </c>
      <c r="O5557" s="405" t="s">
        <v>11435</v>
      </c>
      <c r="P5557" s="405" t="s">
        <v>13072</v>
      </c>
      <c r="Q5557" s="411">
        <v>6</v>
      </c>
      <c r="R5557" s="405" t="s">
        <v>5655</v>
      </c>
      <c r="S5557" s="405" t="s">
        <v>27336</v>
      </c>
      <c r="T5557" s="405" t="s">
        <v>32102</v>
      </c>
      <c r="U5557" s="405" t="s">
        <v>319</v>
      </c>
    </row>
    <row r="5558" spans="1:21" x14ac:dyDescent="0.25">
      <c r="A5558" s="405" t="s">
        <v>310</v>
      </c>
      <c r="B5558" s="405" t="s">
        <v>13090</v>
      </c>
      <c r="C5558" s="405" t="s">
        <v>327</v>
      </c>
      <c r="D5558" s="405"/>
      <c r="E5558" s="410">
        <v>41552</v>
      </c>
      <c r="F5558" s="410">
        <v>41597</v>
      </c>
      <c r="G5558" s="405" t="s">
        <v>13091</v>
      </c>
      <c r="H5558" s="405">
        <v>782842799</v>
      </c>
      <c r="I5558" s="405"/>
      <c r="J5558" s="405">
        <v>1.741938</v>
      </c>
      <c r="K5558" s="405">
        <v>33.685704999999999</v>
      </c>
      <c r="L5558" s="405" t="s">
        <v>6866</v>
      </c>
      <c r="M5558" s="405" t="s">
        <v>10515</v>
      </c>
      <c r="N5558" s="405" t="s">
        <v>10515</v>
      </c>
      <c r="O5558" s="405" t="s">
        <v>10645</v>
      </c>
      <c r="P5558" s="405" t="s">
        <v>13092</v>
      </c>
      <c r="Q5558" s="411">
        <v>4</v>
      </c>
      <c r="R5558" s="405" t="s">
        <v>5655</v>
      </c>
      <c r="S5558" s="405" t="s">
        <v>27325</v>
      </c>
      <c r="T5558" s="405" t="s">
        <v>865</v>
      </c>
      <c r="U5558" s="405" t="s">
        <v>866</v>
      </c>
    </row>
    <row r="5559" spans="1:21" x14ac:dyDescent="0.25">
      <c r="A5559" s="405" t="s">
        <v>310</v>
      </c>
      <c r="B5559" s="405" t="s">
        <v>27493</v>
      </c>
      <c r="C5559" s="405" t="s">
        <v>327</v>
      </c>
      <c r="D5559" s="405"/>
      <c r="E5559" s="410">
        <v>41551</v>
      </c>
      <c r="F5559" s="410">
        <v>41596</v>
      </c>
      <c r="G5559" s="405" t="s">
        <v>18790</v>
      </c>
      <c r="H5559" s="405">
        <v>772482603</v>
      </c>
      <c r="I5559" s="405">
        <v>757482603</v>
      </c>
      <c r="J5559" s="405">
        <v>1.8429180000000001</v>
      </c>
      <c r="K5559" s="405">
        <v>32.439678999999998</v>
      </c>
      <c r="L5559" s="405" t="s">
        <v>860</v>
      </c>
      <c r="M5559" s="405" t="s">
        <v>861</v>
      </c>
      <c r="N5559" s="405" t="s">
        <v>18440</v>
      </c>
      <c r="O5559" s="405" t="s">
        <v>18445</v>
      </c>
      <c r="P5559" s="405" t="s">
        <v>18564</v>
      </c>
      <c r="Q5559" s="411">
        <v>13</v>
      </c>
      <c r="R5559" s="405" t="s">
        <v>525</v>
      </c>
      <c r="S5559" s="405" t="s">
        <v>27193</v>
      </c>
      <c r="T5559" s="405" t="s">
        <v>865</v>
      </c>
      <c r="U5559" s="405" t="s">
        <v>866</v>
      </c>
    </row>
    <row r="5560" spans="1:21" x14ac:dyDescent="0.25">
      <c r="A5560" s="405" t="s">
        <v>310</v>
      </c>
      <c r="B5560" s="405" t="s">
        <v>18787</v>
      </c>
      <c r="C5560" s="405" t="s">
        <v>327</v>
      </c>
      <c r="D5560" s="405"/>
      <c r="E5560" s="410">
        <v>41551</v>
      </c>
      <c r="F5560" s="410">
        <v>41596</v>
      </c>
      <c r="G5560" s="405" t="s">
        <v>18788</v>
      </c>
      <c r="H5560" s="405">
        <v>772370534</v>
      </c>
      <c r="I5560" s="405">
        <v>781475266</v>
      </c>
      <c r="J5560" s="405">
        <v>2.36998</v>
      </c>
      <c r="K5560" s="405">
        <v>32.696334</v>
      </c>
      <c r="L5560" s="405" t="s">
        <v>860</v>
      </c>
      <c r="M5560" s="405" t="s">
        <v>18288</v>
      </c>
      <c r="N5560" s="405" t="s">
        <v>18681</v>
      </c>
      <c r="O5560" s="405" t="s">
        <v>18681</v>
      </c>
      <c r="P5560" s="405" t="s">
        <v>18789</v>
      </c>
      <c r="Q5560" s="411">
        <v>6</v>
      </c>
      <c r="R5560" s="405" t="s">
        <v>525</v>
      </c>
      <c r="S5560" s="405" t="s">
        <v>27125</v>
      </c>
      <c r="T5560" s="405" t="s">
        <v>32102</v>
      </c>
      <c r="U5560" s="405" t="s">
        <v>319</v>
      </c>
    </row>
    <row r="5561" spans="1:21" x14ac:dyDescent="0.25">
      <c r="A5561" s="405" t="s">
        <v>310</v>
      </c>
      <c r="B5561" s="405" t="s">
        <v>28368</v>
      </c>
      <c r="C5561" s="405" t="s">
        <v>327</v>
      </c>
      <c r="D5561" s="405"/>
      <c r="E5561" s="410">
        <v>41551</v>
      </c>
      <c r="F5561" s="410">
        <v>41596</v>
      </c>
      <c r="G5561" s="405" t="s">
        <v>13115</v>
      </c>
      <c r="H5561" s="405">
        <v>773010380</v>
      </c>
      <c r="I5561" s="405"/>
      <c r="J5561" s="405">
        <v>1.0168250000000001</v>
      </c>
      <c r="K5561" s="405">
        <v>34.275647999999997</v>
      </c>
      <c r="L5561" s="405" t="s">
        <v>6866</v>
      </c>
      <c r="M5561" s="405" t="s">
        <v>9514</v>
      </c>
      <c r="N5561" s="405" t="s">
        <v>9529</v>
      </c>
      <c r="O5561" s="405" t="s">
        <v>11449</v>
      </c>
      <c r="P5561" s="405" t="s">
        <v>13116</v>
      </c>
      <c r="Q5561" s="411">
        <v>4</v>
      </c>
      <c r="R5561" s="405" t="s">
        <v>7224</v>
      </c>
      <c r="S5561" s="405" t="s">
        <v>27074</v>
      </c>
      <c r="T5561" s="405" t="s">
        <v>865</v>
      </c>
      <c r="U5561" s="405" t="s">
        <v>866</v>
      </c>
    </row>
    <row r="5562" spans="1:21" x14ac:dyDescent="0.25">
      <c r="A5562" s="405" t="s">
        <v>310</v>
      </c>
      <c r="B5562" s="405" t="s">
        <v>4609</v>
      </c>
      <c r="C5562" s="405" t="s">
        <v>327</v>
      </c>
      <c r="D5562" s="405"/>
      <c r="E5562" s="410">
        <v>41550</v>
      </c>
      <c r="F5562" s="410">
        <v>41595</v>
      </c>
      <c r="G5562" s="405" t="s">
        <v>4610</v>
      </c>
      <c r="H5562" s="405">
        <v>753900083</v>
      </c>
      <c r="I5562" s="405"/>
      <c r="J5562" s="405">
        <v>-0.19348699999999999</v>
      </c>
      <c r="K5562" s="405">
        <v>31.715229999999998</v>
      </c>
      <c r="L5562" s="405" t="s">
        <v>314</v>
      </c>
      <c r="M5562" s="405" t="s">
        <v>900</v>
      </c>
      <c r="N5562" s="405" t="s">
        <v>900</v>
      </c>
      <c r="O5562" s="405" t="s">
        <v>904</v>
      </c>
      <c r="P5562" s="405" t="s">
        <v>4611</v>
      </c>
      <c r="Q5562" s="411">
        <v>6</v>
      </c>
      <c r="R5562" s="405" t="s">
        <v>1263</v>
      </c>
      <c r="S5562" s="405" t="s">
        <v>27218</v>
      </c>
      <c r="T5562" s="405" t="s">
        <v>865</v>
      </c>
      <c r="U5562" s="405" t="s">
        <v>866</v>
      </c>
    </row>
    <row r="5563" spans="1:21" x14ac:dyDescent="0.25">
      <c r="A5563" s="405" t="s">
        <v>310</v>
      </c>
      <c r="B5563" s="405" t="s">
        <v>4682</v>
      </c>
      <c r="C5563" s="405" t="s">
        <v>327</v>
      </c>
      <c r="D5563" s="405"/>
      <c r="E5563" s="410">
        <v>41549</v>
      </c>
      <c r="F5563" s="410">
        <v>41594</v>
      </c>
      <c r="G5563" s="405" t="s">
        <v>4683</v>
      </c>
      <c r="H5563" s="405">
        <v>751955912</v>
      </c>
      <c r="I5563" s="405">
        <v>788148920</v>
      </c>
      <c r="J5563" s="405">
        <v>-0.18449166666666666</v>
      </c>
      <c r="K5563" s="405">
        <v>31.72025833333333</v>
      </c>
      <c r="L5563" s="405" t="s">
        <v>314</v>
      </c>
      <c r="M5563" s="405" t="s">
        <v>900</v>
      </c>
      <c r="N5563" s="405" t="s">
        <v>900</v>
      </c>
      <c r="O5563" s="405" t="s">
        <v>900</v>
      </c>
      <c r="P5563" s="405" t="s">
        <v>3366</v>
      </c>
      <c r="Q5563" s="411">
        <v>9</v>
      </c>
      <c r="R5563" s="405" t="s">
        <v>1263</v>
      </c>
      <c r="S5563" s="405" t="s">
        <v>27117</v>
      </c>
      <c r="T5563" s="405" t="s">
        <v>865</v>
      </c>
      <c r="U5563" s="405" t="s">
        <v>866</v>
      </c>
    </row>
    <row r="5564" spans="1:21" x14ac:dyDescent="0.25">
      <c r="A5564" s="405" t="s">
        <v>310</v>
      </c>
      <c r="B5564" s="405" t="s">
        <v>28980</v>
      </c>
      <c r="C5564" s="405" t="s">
        <v>327</v>
      </c>
      <c r="D5564" s="405"/>
      <c r="E5564" s="410">
        <v>41549</v>
      </c>
      <c r="F5564" s="410">
        <v>41594</v>
      </c>
      <c r="G5564" s="405" t="s">
        <v>18774</v>
      </c>
      <c r="H5564" s="405">
        <v>771422770</v>
      </c>
      <c r="I5564" s="405"/>
      <c r="J5564" s="405">
        <v>2.0295800000000002</v>
      </c>
      <c r="K5564" s="405">
        <v>32.996823999999997</v>
      </c>
      <c r="L5564" s="405" t="s">
        <v>860</v>
      </c>
      <c r="M5564" s="405" t="s">
        <v>12189</v>
      </c>
      <c r="N5564" s="405" t="s">
        <v>18270</v>
      </c>
      <c r="O5564" s="405" t="s">
        <v>18271</v>
      </c>
      <c r="P5564" s="405" t="s">
        <v>18427</v>
      </c>
      <c r="Q5564" s="411">
        <v>6</v>
      </c>
      <c r="R5564" s="405" t="s">
        <v>525</v>
      </c>
      <c r="S5564" s="405" t="s">
        <v>27171</v>
      </c>
      <c r="T5564" s="405" t="s">
        <v>865</v>
      </c>
      <c r="U5564" s="405" t="s">
        <v>866</v>
      </c>
    </row>
    <row r="5565" spans="1:21" x14ac:dyDescent="0.25">
      <c r="A5565" s="405" t="s">
        <v>310</v>
      </c>
      <c r="B5565" s="405" t="s">
        <v>18783</v>
      </c>
      <c r="C5565" s="405" t="s">
        <v>327</v>
      </c>
      <c r="D5565" s="405"/>
      <c r="E5565" s="410">
        <v>41549</v>
      </c>
      <c r="F5565" s="410">
        <v>41594</v>
      </c>
      <c r="G5565" s="405" t="s">
        <v>18784</v>
      </c>
      <c r="H5565" s="405">
        <v>788530242</v>
      </c>
      <c r="I5565" s="405"/>
      <c r="J5565" s="405">
        <v>2.3652139999999999</v>
      </c>
      <c r="K5565" s="405">
        <v>32.697930999999997</v>
      </c>
      <c r="L5565" s="405" t="s">
        <v>860</v>
      </c>
      <c r="M5565" s="405" t="s">
        <v>18288</v>
      </c>
      <c r="N5565" s="405" t="s">
        <v>18681</v>
      </c>
      <c r="O5565" s="405" t="s">
        <v>18681</v>
      </c>
      <c r="P5565" s="405" t="s">
        <v>18682</v>
      </c>
      <c r="Q5565" s="411">
        <v>6</v>
      </c>
      <c r="R5565" s="405" t="s">
        <v>525</v>
      </c>
      <c r="S5565" s="405" t="s">
        <v>27193</v>
      </c>
      <c r="T5565" s="405" t="s">
        <v>32102</v>
      </c>
      <c r="U5565" s="405" t="s">
        <v>319</v>
      </c>
    </row>
    <row r="5566" spans="1:21" x14ac:dyDescent="0.25">
      <c r="A5566" s="405" t="s">
        <v>310</v>
      </c>
      <c r="B5566" s="405" t="s">
        <v>18779</v>
      </c>
      <c r="C5566" s="405" t="s">
        <v>327</v>
      </c>
      <c r="D5566" s="405"/>
      <c r="E5566" s="410">
        <v>41549</v>
      </c>
      <c r="F5566" s="410">
        <v>41594</v>
      </c>
      <c r="G5566" s="405" t="s">
        <v>18780</v>
      </c>
      <c r="H5566" s="405">
        <v>774722649</v>
      </c>
      <c r="I5566" s="405">
        <v>773722680</v>
      </c>
      <c r="J5566" s="405">
        <v>2.2328730000000001</v>
      </c>
      <c r="K5566" s="405">
        <v>32.907463700000001</v>
      </c>
      <c r="L5566" s="405" t="s">
        <v>860</v>
      </c>
      <c r="M5566" s="405" t="s">
        <v>18234</v>
      </c>
      <c r="N5566" s="405" t="s">
        <v>18250</v>
      </c>
      <c r="O5566" s="405" t="s">
        <v>4147</v>
      </c>
      <c r="P5566" s="405" t="s">
        <v>18630</v>
      </c>
      <c r="Q5566" s="411">
        <v>6</v>
      </c>
      <c r="R5566" s="405" t="s">
        <v>525</v>
      </c>
      <c r="S5566" s="405" t="s">
        <v>27179</v>
      </c>
      <c r="T5566" s="405" t="s">
        <v>32102</v>
      </c>
      <c r="U5566" s="405" t="s">
        <v>319</v>
      </c>
    </row>
    <row r="5567" spans="1:21" x14ac:dyDescent="0.25">
      <c r="A5567" s="405" t="s">
        <v>310</v>
      </c>
      <c r="B5567" s="405" t="s">
        <v>13093</v>
      </c>
      <c r="C5567" s="405" t="s">
        <v>327</v>
      </c>
      <c r="D5567" s="405"/>
      <c r="E5567" s="410">
        <v>41548</v>
      </c>
      <c r="F5567" s="410">
        <v>41593</v>
      </c>
      <c r="G5567" s="405" t="s">
        <v>13094</v>
      </c>
      <c r="H5567" s="405">
        <v>787028704</v>
      </c>
      <c r="I5567" s="405"/>
      <c r="J5567" s="405">
        <v>2.1963400000000002</v>
      </c>
      <c r="K5567" s="405">
        <v>33.597017000000001</v>
      </c>
      <c r="L5567" s="405" t="s">
        <v>6866</v>
      </c>
      <c r="M5567" s="405" t="s">
        <v>10495</v>
      </c>
      <c r="N5567" s="405" t="s">
        <v>11495</v>
      </c>
      <c r="O5567" s="405" t="s">
        <v>11496</v>
      </c>
      <c r="P5567" s="405" t="s">
        <v>13095</v>
      </c>
      <c r="Q5567" s="411">
        <v>6</v>
      </c>
      <c r="R5567" s="405" t="s">
        <v>5655</v>
      </c>
      <c r="S5567" s="405" t="s">
        <v>27345</v>
      </c>
      <c r="T5567" s="405" t="s">
        <v>32102</v>
      </c>
      <c r="U5567" s="405" t="s">
        <v>319</v>
      </c>
    </row>
    <row r="5568" spans="1:21" x14ac:dyDescent="0.25">
      <c r="A5568" s="405" t="s">
        <v>310</v>
      </c>
      <c r="B5568" s="405" t="s">
        <v>13067</v>
      </c>
      <c r="C5568" s="405" t="s">
        <v>327</v>
      </c>
      <c r="D5568" s="405"/>
      <c r="E5568" s="410">
        <v>41548</v>
      </c>
      <c r="F5568" s="410">
        <v>41593</v>
      </c>
      <c r="G5568" s="405" t="s">
        <v>13068</v>
      </c>
      <c r="H5568" s="405">
        <v>773073531</v>
      </c>
      <c r="I5568" s="405"/>
      <c r="J5568" s="405">
        <v>1.9340999999999999</v>
      </c>
      <c r="K5568" s="405">
        <v>33.699272000000001</v>
      </c>
      <c r="L5568" s="405" t="s">
        <v>6866</v>
      </c>
      <c r="M5568" s="405" t="s">
        <v>10495</v>
      </c>
      <c r="N5568" s="405" t="s">
        <v>10495</v>
      </c>
      <c r="O5568" s="405" t="s">
        <v>11435</v>
      </c>
      <c r="P5568" s="405" t="s">
        <v>13069</v>
      </c>
      <c r="Q5568" s="411">
        <v>6</v>
      </c>
      <c r="R5568" s="405" t="s">
        <v>5655</v>
      </c>
      <c r="S5568" s="405" t="s">
        <v>27337</v>
      </c>
      <c r="T5568" s="405" t="s">
        <v>865</v>
      </c>
      <c r="U5568" s="405" t="s">
        <v>866</v>
      </c>
    </row>
    <row r="5569" spans="1:21" x14ac:dyDescent="0.25">
      <c r="A5569" s="405" t="s">
        <v>310</v>
      </c>
      <c r="B5569" s="405" t="s">
        <v>13038</v>
      </c>
      <c r="C5569" s="405" t="s">
        <v>327</v>
      </c>
      <c r="D5569" s="405"/>
      <c r="E5569" s="410">
        <v>41548</v>
      </c>
      <c r="F5569" s="410">
        <v>41593</v>
      </c>
      <c r="G5569" s="405" t="s">
        <v>13039</v>
      </c>
      <c r="H5569" s="405">
        <v>771951775</v>
      </c>
      <c r="I5569" s="405"/>
      <c r="J5569" s="405">
        <v>1.9739070000000001</v>
      </c>
      <c r="K5569" s="405">
        <v>33.991447999999998</v>
      </c>
      <c r="L5569" s="405" t="s">
        <v>6866</v>
      </c>
      <c r="M5569" s="405" t="s">
        <v>11355</v>
      </c>
      <c r="N5569" s="405" t="s">
        <v>11356</v>
      </c>
      <c r="O5569" s="405" t="s">
        <v>11355</v>
      </c>
      <c r="P5569" s="405" t="s">
        <v>13040</v>
      </c>
      <c r="Q5569" s="411">
        <v>6</v>
      </c>
      <c r="R5569" s="405" t="s">
        <v>5655</v>
      </c>
      <c r="S5569" s="405" t="s">
        <v>27337</v>
      </c>
      <c r="T5569" s="405" t="s">
        <v>32102</v>
      </c>
      <c r="U5569" s="405" t="s">
        <v>319</v>
      </c>
    </row>
    <row r="5570" spans="1:21" x14ac:dyDescent="0.25">
      <c r="A5570" s="405" t="s">
        <v>310</v>
      </c>
      <c r="B5570" s="405" t="s">
        <v>13024</v>
      </c>
      <c r="C5570" s="405" t="s">
        <v>327</v>
      </c>
      <c r="D5570" s="405"/>
      <c r="E5570" s="410">
        <v>41548</v>
      </c>
      <c r="F5570" s="410">
        <v>41593</v>
      </c>
      <c r="G5570" s="405" t="s">
        <v>13025</v>
      </c>
      <c r="H5570" s="405">
        <v>777362929</v>
      </c>
      <c r="I5570" s="405"/>
      <c r="J5570" s="405">
        <v>0.68903199999999998</v>
      </c>
      <c r="K5570" s="405">
        <v>33.927672999999999</v>
      </c>
      <c r="L5570" s="405" t="s">
        <v>6866</v>
      </c>
      <c r="M5570" s="405" t="s">
        <v>9534</v>
      </c>
      <c r="N5570" s="405" t="s">
        <v>9997</v>
      </c>
      <c r="O5570" s="405" t="s">
        <v>10918</v>
      </c>
      <c r="P5570" s="405" t="s">
        <v>13026</v>
      </c>
      <c r="Q5570" s="411">
        <v>6</v>
      </c>
      <c r="R5570" s="405" t="s">
        <v>7224</v>
      </c>
      <c r="S5570" s="405" t="s">
        <v>27074</v>
      </c>
      <c r="T5570" s="405" t="s">
        <v>32102</v>
      </c>
      <c r="U5570" s="405" t="s">
        <v>319</v>
      </c>
    </row>
    <row r="5571" spans="1:21" x14ac:dyDescent="0.25">
      <c r="A5571" s="405" t="s">
        <v>310</v>
      </c>
      <c r="B5571" s="405" t="s">
        <v>4706</v>
      </c>
      <c r="C5571" s="405" t="s">
        <v>327</v>
      </c>
      <c r="D5571" s="405"/>
      <c r="E5571" s="410">
        <v>41548</v>
      </c>
      <c r="F5571" s="410">
        <v>41593</v>
      </c>
      <c r="G5571" s="405" t="s">
        <v>4707</v>
      </c>
      <c r="H5571" s="405">
        <v>777424894</v>
      </c>
      <c r="I5571" s="405"/>
      <c r="J5571" s="405">
        <v>0.94396999999999998</v>
      </c>
      <c r="K5571" s="405">
        <v>31.448122000000001</v>
      </c>
      <c r="L5571" s="405" t="s">
        <v>314</v>
      </c>
      <c r="M5571" s="405" t="s">
        <v>1360</v>
      </c>
      <c r="N5571" s="405" t="s">
        <v>1361</v>
      </c>
      <c r="O5571" s="405" t="s">
        <v>411</v>
      </c>
      <c r="P5571" s="405" t="s">
        <v>4705</v>
      </c>
      <c r="Q5571" s="411">
        <v>6</v>
      </c>
      <c r="R5571" s="405" t="s">
        <v>1263</v>
      </c>
      <c r="S5571" s="405" t="s">
        <v>27210</v>
      </c>
      <c r="T5571" s="405" t="s">
        <v>865</v>
      </c>
      <c r="U5571" s="405" t="s">
        <v>866</v>
      </c>
    </row>
    <row r="5572" spans="1:21" x14ac:dyDescent="0.25">
      <c r="A5572" s="405" t="s">
        <v>310</v>
      </c>
      <c r="B5572" s="405" t="s">
        <v>2886</v>
      </c>
      <c r="C5572" s="405" t="s">
        <v>327</v>
      </c>
      <c r="D5572" s="405"/>
      <c r="E5572" s="410">
        <v>41548</v>
      </c>
      <c r="F5572" s="410">
        <v>41593</v>
      </c>
      <c r="G5572" s="405" t="s">
        <v>2887</v>
      </c>
      <c r="H5572" s="405">
        <v>784863848</v>
      </c>
      <c r="I5572" s="405">
        <v>753222871</v>
      </c>
      <c r="J5572" s="405">
        <v>-0.404497</v>
      </c>
      <c r="K5572" s="405">
        <v>31.497675000000001</v>
      </c>
      <c r="L5572" s="405" t="s">
        <v>314</v>
      </c>
      <c r="M5572" s="405" t="s">
        <v>1189</v>
      </c>
      <c r="N5572" s="405" t="s">
        <v>941</v>
      </c>
      <c r="O5572" s="405" t="s">
        <v>1189</v>
      </c>
      <c r="P5572" s="405" t="s">
        <v>2888</v>
      </c>
      <c r="Q5572" s="411">
        <v>4</v>
      </c>
      <c r="R5572" s="405" t="s">
        <v>1263</v>
      </c>
      <c r="S5572" s="405" t="s">
        <v>27041</v>
      </c>
      <c r="T5572" s="405" t="s">
        <v>32102</v>
      </c>
      <c r="U5572" s="405" t="s">
        <v>319</v>
      </c>
    </row>
    <row r="5573" spans="1:21" x14ac:dyDescent="0.25">
      <c r="A5573" s="405" t="s">
        <v>310</v>
      </c>
      <c r="B5573" s="405" t="s">
        <v>4637</v>
      </c>
      <c r="C5573" s="405" t="s">
        <v>327</v>
      </c>
      <c r="D5573" s="405"/>
      <c r="E5573" s="410">
        <v>41547</v>
      </c>
      <c r="F5573" s="410">
        <v>41592</v>
      </c>
      <c r="G5573" s="405" t="s">
        <v>4638</v>
      </c>
      <c r="H5573" s="405">
        <v>772629810</v>
      </c>
      <c r="I5573" s="405"/>
      <c r="J5573" s="405">
        <v>0.66093199999999996</v>
      </c>
      <c r="K5573" s="405">
        <v>32.406652999999999</v>
      </c>
      <c r="L5573" s="405" t="s">
        <v>314</v>
      </c>
      <c r="M5573" s="405" t="s">
        <v>959</v>
      </c>
      <c r="N5573" s="405" t="s">
        <v>1094</v>
      </c>
      <c r="O5573" s="405" t="s">
        <v>2056</v>
      </c>
      <c r="P5573" s="405" t="s">
        <v>3643</v>
      </c>
      <c r="Q5573" s="411">
        <v>13</v>
      </c>
      <c r="R5573" s="405" t="s">
        <v>1263</v>
      </c>
      <c r="S5573" s="405" t="s">
        <v>27178</v>
      </c>
      <c r="T5573" s="405" t="s">
        <v>865</v>
      </c>
      <c r="U5573" s="405" t="s">
        <v>866</v>
      </c>
    </row>
    <row r="5574" spans="1:21" x14ac:dyDescent="0.25">
      <c r="A5574" s="405" t="s">
        <v>310</v>
      </c>
      <c r="B5574" s="405" t="s">
        <v>4612</v>
      </c>
      <c r="C5574" s="405" t="s">
        <v>327</v>
      </c>
      <c r="D5574" s="405"/>
      <c r="E5574" s="410">
        <v>41547</v>
      </c>
      <c r="F5574" s="410">
        <v>41592</v>
      </c>
      <c r="G5574" s="405" t="s">
        <v>4613</v>
      </c>
      <c r="H5574" s="405">
        <v>772843099</v>
      </c>
      <c r="I5574" s="405"/>
      <c r="J5574" s="405">
        <v>1.0868070000000001</v>
      </c>
      <c r="K5574" s="405">
        <v>32.881593000000002</v>
      </c>
      <c r="L5574" s="405" t="s">
        <v>314</v>
      </c>
      <c r="M5574" s="405" t="s">
        <v>502</v>
      </c>
      <c r="N5574" s="405" t="s">
        <v>428</v>
      </c>
      <c r="O5574" s="405" t="s">
        <v>4614</v>
      </c>
      <c r="P5574" s="405" t="s">
        <v>4615</v>
      </c>
      <c r="Q5574" s="411">
        <v>13</v>
      </c>
      <c r="R5574" s="405" t="s">
        <v>353</v>
      </c>
      <c r="S5574" s="405" t="s">
        <v>27041</v>
      </c>
      <c r="T5574" s="405" t="s">
        <v>32102</v>
      </c>
      <c r="U5574" s="405" t="s">
        <v>319</v>
      </c>
    </row>
    <row r="5575" spans="1:21" x14ac:dyDescent="0.25">
      <c r="A5575" s="405" t="s">
        <v>310</v>
      </c>
      <c r="B5575" s="405" t="s">
        <v>4690</v>
      </c>
      <c r="C5575" s="405" t="s">
        <v>327</v>
      </c>
      <c r="D5575" s="405"/>
      <c r="E5575" s="410">
        <v>41547</v>
      </c>
      <c r="F5575" s="410">
        <v>41592</v>
      </c>
      <c r="G5575" s="405" t="s">
        <v>4691</v>
      </c>
      <c r="H5575" s="405">
        <v>712843879</v>
      </c>
      <c r="I5575" s="405"/>
      <c r="J5575" s="405">
        <v>0.31853199999999998</v>
      </c>
      <c r="K5575" s="405">
        <v>32.672392000000002</v>
      </c>
      <c r="L5575" s="405" t="s">
        <v>314</v>
      </c>
      <c r="M5575" s="405" t="s">
        <v>361</v>
      </c>
      <c r="N5575" s="405" t="s">
        <v>362</v>
      </c>
      <c r="O5575" s="405" t="s">
        <v>379</v>
      </c>
      <c r="P5575" s="405" t="s">
        <v>611</v>
      </c>
      <c r="Q5575" s="411">
        <v>13</v>
      </c>
      <c r="R5575" s="405" t="s">
        <v>318</v>
      </c>
      <c r="S5575" s="405" t="s">
        <v>27124</v>
      </c>
      <c r="T5575" s="405" t="s">
        <v>32102</v>
      </c>
      <c r="U5575" s="405" t="s">
        <v>319</v>
      </c>
    </row>
    <row r="5576" spans="1:21" x14ac:dyDescent="0.25">
      <c r="A5576" s="405" t="s">
        <v>310</v>
      </c>
      <c r="B5576" s="405" t="s">
        <v>4700</v>
      </c>
      <c r="C5576" s="405" t="s">
        <v>327</v>
      </c>
      <c r="D5576" s="405"/>
      <c r="E5576" s="410">
        <v>41547</v>
      </c>
      <c r="F5576" s="410">
        <v>41592</v>
      </c>
      <c r="G5576" s="405" t="s">
        <v>4701</v>
      </c>
      <c r="H5576" s="405">
        <v>759484871</v>
      </c>
      <c r="I5576" s="405"/>
      <c r="J5576" s="405">
        <v>0.45399</v>
      </c>
      <c r="K5576" s="405">
        <v>32.300426999999999</v>
      </c>
      <c r="L5576" s="405" t="s">
        <v>314</v>
      </c>
      <c r="M5576" s="405" t="s">
        <v>361</v>
      </c>
      <c r="N5576" s="405" t="s">
        <v>374</v>
      </c>
      <c r="O5576" s="405" t="s">
        <v>952</v>
      </c>
      <c r="P5576" s="405" t="s">
        <v>4702</v>
      </c>
      <c r="Q5576" s="411">
        <v>13</v>
      </c>
      <c r="R5576" s="405" t="s">
        <v>1263</v>
      </c>
      <c r="S5576" s="405" t="s">
        <v>27202</v>
      </c>
      <c r="T5576" s="405" t="s">
        <v>32102</v>
      </c>
      <c r="U5576" s="405" t="s">
        <v>319</v>
      </c>
    </row>
    <row r="5577" spans="1:21" x14ac:dyDescent="0.25">
      <c r="A5577" s="405" t="s">
        <v>310</v>
      </c>
      <c r="B5577" s="405" t="s">
        <v>4616</v>
      </c>
      <c r="C5577" s="405" t="s">
        <v>327</v>
      </c>
      <c r="D5577" s="405"/>
      <c r="E5577" s="410">
        <v>41547</v>
      </c>
      <c r="F5577" s="410">
        <v>41592</v>
      </c>
      <c r="G5577" s="405" t="s">
        <v>4617</v>
      </c>
      <c r="H5577" s="405">
        <v>772843099</v>
      </c>
      <c r="I5577" s="405"/>
      <c r="J5577" s="405">
        <v>1.0868070000000001</v>
      </c>
      <c r="K5577" s="405">
        <v>32.881593000000002</v>
      </c>
      <c r="L5577" s="405" t="s">
        <v>314</v>
      </c>
      <c r="M5577" s="405" t="s">
        <v>502</v>
      </c>
      <c r="N5577" s="405" t="s">
        <v>428</v>
      </c>
      <c r="O5577" s="405" t="s">
        <v>4614</v>
      </c>
      <c r="P5577" s="405" t="s">
        <v>4615</v>
      </c>
      <c r="Q5577" s="411">
        <v>13</v>
      </c>
      <c r="R5577" s="405" t="s">
        <v>353</v>
      </c>
      <c r="S5577" s="405" t="s">
        <v>27041</v>
      </c>
      <c r="T5577" s="405" t="s">
        <v>32102</v>
      </c>
      <c r="U5577" s="405" t="s">
        <v>319</v>
      </c>
    </row>
    <row r="5578" spans="1:21" x14ac:dyDescent="0.25">
      <c r="A5578" s="405" t="s">
        <v>310</v>
      </c>
      <c r="B5578" s="405" t="s">
        <v>4639</v>
      </c>
      <c r="C5578" s="405" t="s">
        <v>327</v>
      </c>
      <c r="D5578" s="405"/>
      <c r="E5578" s="410">
        <v>41547</v>
      </c>
      <c r="F5578" s="410">
        <v>41592</v>
      </c>
      <c r="G5578" s="405" t="s">
        <v>4640</v>
      </c>
      <c r="H5578" s="405">
        <v>772909720</v>
      </c>
      <c r="I5578" s="405"/>
      <c r="J5578" s="405">
        <v>0.34905333333333333</v>
      </c>
      <c r="K5578" s="405">
        <v>32.613944999999994</v>
      </c>
      <c r="L5578" s="405" t="s">
        <v>314</v>
      </c>
      <c r="M5578" s="405" t="s">
        <v>992</v>
      </c>
      <c r="N5578" s="405" t="s">
        <v>4641</v>
      </c>
      <c r="O5578" s="405" t="s">
        <v>2327</v>
      </c>
      <c r="P5578" s="405" t="s">
        <v>4086</v>
      </c>
      <c r="Q5578" s="411">
        <v>13</v>
      </c>
      <c r="R5578" s="405" t="s">
        <v>353</v>
      </c>
      <c r="S5578" s="405" t="s">
        <v>27158</v>
      </c>
      <c r="T5578" s="405" t="s">
        <v>865</v>
      </c>
      <c r="U5578" s="405" t="s">
        <v>866</v>
      </c>
    </row>
    <row r="5579" spans="1:21" x14ac:dyDescent="0.25">
      <c r="A5579" s="405" t="s">
        <v>310</v>
      </c>
      <c r="B5579" s="405" t="s">
        <v>4697</v>
      </c>
      <c r="C5579" s="405" t="s">
        <v>327</v>
      </c>
      <c r="D5579" s="405"/>
      <c r="E5579" s="410">
        <v>41547</v>
      </c>
      <c r="F5579" s="410">
        <v>41592</v>
      </c>
      <c r="G5579" s="405" t="s">
        <v>4698</v>
      </c>
      <c r="H5579" s="405">
        <v>774529626</v>
      </c>
      <c r="I5579" s="405"/>
      <c r="J5579" s="405">
        <v>0.84882199999999997</v>
      </c>
      <c r="K5579" s="405">
        <v>32.283492000000003</v>
      </c>
      <c r="L5579" s="405" t="s">
        <v>314</v>
      </c>
      <c r="M5579" s="405" t="s">
        <v>2297</v>
      </c>
      <c r="N5579" s="405" t="s">
        <v>1308</v>
      </c>
      <c r="O5579" s="405" t="s">
        <v>3751</v>
      </c>
      <c r="P5579" s="405" t="s">
        <v>4699</v>
      </c>
      <c r="Q5579" s="411">
        <v>13</v>
      </c>
      <c r="R5579" s="405" t="s">
        <v>318</v>
      </c>
      <c r="S5579" s="405" t="s">
        <v>414</v>
      </c>
      <c r="T5579" s="405" t="s">
        <v>32102</v>
      </c>
      <c r="U5579" s="405" t="s">
        <v>319</v>
      </c>
    </row>
    <row r="5580" spans="1:21" x14ac:dyDescent="0.25">
      <c r="A5580" s="405" t="s">
        <v>310</v>
      </c>
      <c r="B5580" s="405" t="s">
        <v>4684</v>
      </c>
      <c r="C5580" s="405" t="s">
        <v>327</v>
      </c>
      <c r="D5580" s="405"/>
      <c r="E5580" s="410">
        <v>41547</v>
      </c>
      <c r="F5580" s="410">
        <v>41592</v>
      </c>
      <c r="G5580" s="405" t="s">
        <v>4685</v>
      </c>
      <c r="H5580" s="405">
        <v>772987984</v>
      </c>
      <c r="I5580" s="405"/>
      <c r="J5580" s="405">
        <v>0.31513799999999997</v>
      </c>
      <c r="K5580" s="405">
        <v>32.456696999999998</v>
      </c>
      <c r="L5580" s="405" t="s">
        <v>314</v>
      </c>
      <c r="M5580" s="405" t="s">
        <v>361</v>
      </c>
      <c r="N5580" s="405" t="s">
        <v>374</v>
      </c>
      <c r="O5580" s="405" t="s">
        <v>361</v>
      </c>
      <c r="P5580" s="405" t="s">
        <v>4686</v>
      </c>
      <c r="Q5580" s="411">
        <v>9</v>
      </c>
      <c r="R5580" s="405" t="s">
        <v>318</v>
      </c>
      <c r="S5580" s="405" t="s">
        <v>27137</v>
      </c>
      <c r="T5580" s="405" t="s">
        <v>32102</v>
      </c>
      <c r="U5580" s="405" t="s">
        <v>319</v>
      </c>
    </row>
    <row r="5581" spans="1:21" x14ac:dyDescent="0.25">
      <c r="A5581" s="405" t="s">
        <v>310</v>
      </c>
      <c r="B5581" s="405" t="s">
        <v>4656</v>
      </c>
      <c r="C5581" s="405" t="s">
        <v>327</v>
      </c>
      <c r="D5581" s="405"/>
      <c r="E5581" s="410">
        <v>41547</v>
      </c>
      <c r="F5581" s="410">
        <v>41592</v>
      </c>
      <c r="G5581" s="405" t="s">
        <v>4657</v>
      </c>
      <c r="H5581" s="405">
        <v>773130788</v>
      </c>
      <c r="I5581" s="405"/>
      <c r="J5581" s="405">
        <v>0.6341</v>
      </c>
      <c r="K5581" s="405">
        <v>32.816592999999997</v>
      </c>
      <c r="L5581" s="405" t="s">
        <v>314</v>
      </c>
      <c r="M5581" s="405" t="s">
        <v>329</v>
      </c>
      <c r="N5581" s="405" t="s">
        <v>528</v>
      </c>
      <c r="O5581" s="405" t="s">
        <v>648</v>
      </c>
      <c r="P5581" s="405" t="s">
        <v>4658</v>
      </c>
      <c r="Q5581" s="411">
        <v>9</v>
      </c>
      <c r="R5581" s="405" t="s">
        <v>318</v>
      </c>
      <c r="S5581" s="405" t="s">
        <v>27124</v>
      </c>
      <c r="T5581" s="405" t="s">
        <v>32102</v>
      </c>
      <c r="U5581" s="405" t="s">
        <v>319</v>
      </c>
    </row>
    <row r="5582" spans="1:21" x14ac:dyDescent="0.25">
      <c r="A5582" s="405" t="s">
        <v>310</v>
      </c>
      <c r="B5582" s="405" t="s">
        <v>4635</v>
      </c>
      <c r="C5582" s="405" t="s">
        <v>327</v>
      </c>
      <c r="D5582" s="405"/>
      <c r="E5582" s="410">
        <v>41547</v>
      </c>
      <c r="F5582" s="410">
        <v>41592</v>
      </c>
      <c r="G5582" s="405" t="s">
        <v>4636</v>
      </c>
      <c r="H5582" s="405">
        <v>772452394</v>
      </c>
      <c r="I5582" s="405"/>
      <c r="J5582" s="405">
        <v>0.26693800000000001</v>
      </c>
      <c r="K5582" s="405">
        <v>32.430191999999998</v>
      </c>
      <c r="L5582" s="405" t="s">
        <v>314</v>
      </c>
      <c r="M5582" s="405" t="s">
        <v>361</v>
      </c>
      <c r="N5582" s="405" t="s">
        <v>374</v>
      </c>
      <c r="O5582" s="405" t="s">
        <v>375</v>
      </c>
      <c r="P5582" s="405" t="s">
        <v>3822</v>
      </c>
      <c r="Q5582" s="411">
        <v>9</v>
      </c>
      <c r="R5582" s="405" t="s">
        <v>525</v>
      </c>
      <c r="S5582" s="405" t="s">
        <v>27136</v>
      </c>
      <c r="T5582" s="405" t="s">
        <v>32102</v>
      </c>
      <c r="U5582" s="405" t="s">
        <v>319</v>
      </c>
    </row>
    <row r="5583" spans="1:21" x14ac:dyDescent="0.25">
      <c r="A5583" s="405" t="s">
        <v>310</v>
      </c>
      <c r="B5583" s="405" t="s">
        <v>27651</v>
      </c>
      <c r="C5583" s="405" t="s">
        <v>311</v>
      </c>
      <c r="D5583" s="405" t="s">
        <v>839</v>
      </c>
      <c r="E5583" s="410">
        <v>41547</v>
      </c>
      <c r="F5583" s="410">
        <v>41592</v>
      </c>
      <c r="G5583" s="405" t="s">
        <v>5089</v>
      </c>
      <c r="H5583" s="405">
        <v>772503128</v>
      </c>
      <c r="I5583" s="405"/>
      <c r="J5583" s="405">
        <v>0.38948833333333333</v>
      </c>
      <c r="K5583" s="405">
        <v>32.662263333333335</v>
      </c>
      <c r="L5583" s="405" t="s">
        <v>314</v>
      </c>
      <c r="M5583" s="405" t="s">
        <v>992</v>
      </c>
      <c r="N5583" s="405" t="s">
        <v>987</v>
      </c>
      <c r="O5583" s="405" t="s">
        <v>2132</v>
      </c>
      <c r="P5583" s="405" t="s">
        <v>5090</v>
      </c>
      <c r="Q5583" s="411">
        <v>6</v>
      </c>
      <c r="R5583" s="405" t="s">
        <v>1263</v>
      </c>
      <c r="S5583" s="405" t="s">
        <v>27036</v>
      </c>
      <c r="T5583" s="405" t="s">
        <v>32102</v>
      </c>
      <c r="U5583" s="405" t="s">
        <v>319</v>
      </c>
    </row>
    <row r="5584" spans="1:21" x14ac:dyDescent="0.25">
      <c r="A5584" s="405" t="s">
        <v>310</v>
      </c>
      <c r="B5584" s="405" t="s">
        <v>28809</v>
      </c>
      <c r="C5584" s="405" t="s">
        <v>327</v>
      </c>
      <c r="D5584" s="405"/>
      <c r="E5584" s="410">
        <v>41547</v>
      </c>
      <c r="F5584" s="410">
        <v>41592</v>
      </c>
      <c r="G5584" s="405" t="s">
        <v>13027</v>
      </c>
      <c r="H5584" s="405">
        <v>756665457</v>
      </c>
      <c r="I5584" s="405"/>
      <c r="J5584" s="405">
        <v>0.80558300000000005</v>
      </c>
      <c r="K5584" s="405">
        <v>33.973574999999997</v>
      </c>
      <c r="L5584" s="405" t="s">
        <v>6866</v>
      </c>
      <c r="M5584" s="405" t="s">
        <v>9534</v>
      </c>
      <c r="N5584" s="405" t="s">
        <v>10085</v>
      </c>
      <c r="O5584" s="405" t="s">
        <v>10922</v>
      </c>
      <c r="P5584" s="405" t="s">
        <v>13028</v>
      </c>
      <c r="Q5584" s="411">
        <v>6</v>
      </c>
      <c r="R5584" s="405" t="s">
        <v>7224</v>
      </c>
      <c r="S5584" s="405" t="s">
        <v>17013</v>
      </c>
      <c r="T5584" s="405" t="s">
        <v>32102</v>
      </c>
      <c r="U5584" s="405" t="s">
        <v>319</v>
      </c>
    </row>
    <row r="5585" spans="1:21" x14ac:dyDescent="0.25">
      <c r="A5585" s="405" t="s">
        <v>310</v>
      </c>
      <c r="B5585" s="405" t="s">
        <v>28926</v>
      </c>
      <c r="C5585" s="405" t="s">
        <v>327</v>
      </c>
      <c r="D5585" s="405"/>
      <c r="E5585" s="410">
        <v>41547</v>
      </c>
      <c r="F5585" s="410">
        <v>41592</v>
      </c>
      <c r="G5585" s="405" t="s">
        <v>4671</v>
      </c>
      <c r="H5585" s="405">
        <v>772502587</v>
      </c>
      <c r="I5585" s="405"/>
      <c r="J5585" s="405">
        <v>1.3169820000000001</v>
      </c>
      <c r="K5585" s="405">
        <v>32.690142000000002</v>
      </c>
      <c r="L5585" s="405" t="s">
        <v>314</v>
      </c>
      <c r="M5585" s="405" t="s">
        <v>2512</v>
      </c>
      <c r="N5585" s="405" t="s">
        <v>2512</v>
      </c>
      <c r="O5585" s="405" t="s">
        <v>4589</v>
      </c>
      <c r="P5585" s="405" t="s">
        <v>4672</v>
      </c>
      <c r="Q5585" s="411">
        <v>6</v>
      </c>
      <c r="R5585" s="405" t="s">
        <v>525</v>
      </c>
      <c r="S5585" s="405" t="s">
        <v>27035</v>
      </c>
      <c r="T5585" s="405" t="s">
        <v>32102</v>
      </c>
      <c r="U5585" s="405" t="s">
        <v>319</v>
      </c>
    </row>
    <row r="5586" spans="1:21" x14ac:dyDescent="0.25">
      <c r="A5586" s="405" t="s">
        <v>310</v>
      </c>
      <c r="B5586" s="405" t="s">
        <v>28810</v>
      </c>
      <c r="C5586" s="405" t="s">
        <v>327</v>
      </c>
      <c r="D5586" s="405"/>
      <c r="E5586" s="410">
        <v>41547</v>
      </c>
      <c r="F5586" s="410">
        <v>41592</v>
      </c>
      <c r="G5586" s="405" t="s">
        <v>13073</v>
      </c>
      <c r="H5586" s="405">
        <v>772490885</v>
      </c>
      <c r="I5586" s="405">
        <v>75344683</v>
      </c>
      <c r="J5586" s="405">
        <v>2.0056280000000002</v>
      </c>
      <c r="K5586" s="405">
        <v>33.524746999999998</v>
      </c>
      <c r="L5586" s="405" t="s">
        <v>6866</v>
      </c>
      <c r="M5586" s="405" t="s">
        <v>10515</v>
      </c>
      <c r="N5586" s="405" t="s">
        <v>10525</v>
      </c>
      <c r="O5586" s="405" t="s">
        <v>13074</v>
      </c>
      <c r="P5586" s="405" t="s">
        <v>13075</v>
      </c>
      <c r="Q5586" s="411">
        <v>6</v>
      </c>
      <c r="R5586" s="405" t="s">
        <v>5655</v>
      </c>
      <c r="S5586" s="405" t="s">
        <v>27325</v>
      </c>
      <c r="T5586" s="405" t="s">
        <v>32102</v>
      </c>
      <c r="U5586" s="405" t="s">
        <v>319</v>
      </c>
    </row>
    <row r="5587" spans="1:21" x14ac:dyDescent="0.25">
      <c r="A5587" s="405" t="s">
        <v>310</v>
      </c>
      <c r="B5587" s="405" t="s">
        <v>21424</v>
      </c>
      <c r="C5587" s="405" t="s">
        <v>327</v>
      </c>
      <c r="D5587" s="405"/>
      <c r="E5587" s="410">
        <v>41547</v>
      </c>
      <c r="F5587" s="410">
        <v>41592</v>
      </c>
      <c r="G5587" s="405" t="s">
        <v>21425</v>
      </c>
      <c r="H5587" s="405">
        <v>752887848</v>
      </c>
      <c r="I5587" s="405"/>
      <c r="J5587" s="405">
        <v>-0.82181599999999999</v>
      </c>
      <c r="K5587" s="405">
        <v>30.499161000000001</v>
      </c>
      <c r="L5587" s="405" t="s">
        <v>590</v>
      </c>
      <c r="M5587" s="405" t="s">
        <v>19614</v>
      </c>
      <c r="N5587" s="405" t="s">
        <v>19654</v>
      </c>
      <c r="O5587" s="405" t="s">
        <v>19995</v>
      </c>
      <c r="P5587" s="405" t="s">
        <v>20423</v>
      </c>
      <c r="Q5587" s="411">
        <v>6</v>
      </c>
      <c r="R5587" s="405" t="s">
        <v>333</v>
      </c>
      <c r="S5587" s="405" t="s">
        <v>27160</v>
      </c>
      <c r="T5587" s="405" t="s">
        <v>32102</v>
      </c>
      <c r="U5587" s="405" t="s">
        <v>319</v>
      </c>
    </row>
    <row r="5588" spans="1:21" x14ac:dyDescent="0.25">
      <c r="A5588" s="405" t="s">
        <v>310</v>
      </c>
      <c r="B5588" s="405" t="s">
        <v>13087</v>
      </c>
      <c r="C5588" s="405" t="s">
        <v>327</v>
      </c>
      <c r="D5588" s="405"/>
      <c r="E5588" s="410">
        <v>41547</v>
      </c>
      <c r="F5588" s="410">
        <v>41592</v>
      </c>
      <c r="G5588" s="405" t="s">
        <v>13088</v>
      </c>
      <c r="H5588" s="405">
        <v>759616726</v>
      </c>
      <c r="I5588" s="405"/>
      <c r="J5588" s="405">
        <v>0.97095799999999999</v>
      </c>
      <c r="K5588" s="405">
        <v>34.048859</v>
      </c>
      <c r="L5588" s="405" t="s">
        <v>6866</v>
      </c>
      <c r="M5588" s="405" t="s">
        <v>9566</v>
      </c>
      <c r="N5588" s="405" t="s">
        <v>10001</v>
      </c>
      <c r="O5588" s="405" t="s">
        <v>9932</v>
      </c>
      <c r="P5588" s="405" t="s">
        <v>13089</v>
      </c>
      <c r="Q5588" s="411">
        <v>6</v>
      </c>
      <c r="R5588" s="405" t="s">
        <v>9506</v>
      </c>
      <c r="S5588" s="405" t="s">
        <v>27184</v>
      </c>
      <c r="T5588" s="405" t="s">
        <v>32102</v>
      </c>
      <c r="U5588" s="405" t="s">
        <v>319</v>
      </c>
    </row>
    <row r="5589" spans="1:21" x14ac:dyDescent="0.25">
      <c r="A5589" s="405" t="s">
        <v>310</v>
      </c>
      <c r="B5589" s="405" t="s">
        <v>13060</v>
      </c>
      <c r="C5589" s="405" t="s">
        <v>327</v>
      </c>
      <c r="D5589" s="405"/>
      <c r="E5589" s="410">
        <v>41547</v>
      </c>
      <c r="F5589" s="410">
        <v>41592</v>
      </c>
      <c r="G5589" s="405" t="s">
        <v>13061</v>
      </c>
      <c r="H5589" s="405">
        <v>779963412</v>
      </c>
      <c r="I5589" s="405"/>
      <c r="J5589" s="405">
        <v>2.194293</v>
      </c>
      <c r="K5589" s="405">
        <v>33.597560000000001</v>
      </c>
      <c r="L5589" s="405" t="s">
        <v>6866</v>
      </c>
      <c r="M5589" s="405" t="s">
        <v>10495</v>
      </c>
      <c r="N5589" s="405" t="s">
        <v>11495</v>
      </c>
      <c r="O5589" s="405" t="s">
        <v>11496</v>
      </c>
      <c r="P5589" s="405" t="s">
        <v>11817</v>
      </c>
      <c r="Q5589" s="411">
        <v>6</v>
      </c>
      <c r="R5589" s="405" t="s">
        <v>5655</v>
      </c>
      <c r="S5589" s="405" t="s">
        <v>27323</v>
      </c>
      <c r="T5589" s="405" t="s">
        <v>32102</v>
      </c>
      <c r="U5589" s="405" t="s">
        <v>319</v>
      </c>
    </row>
    <row r="5590" spans="1:21" x14ac:dyDescent="0.25">
      <c r="A5590" s="405" t="s">
        <v>310</v>
      </c>
      <c r="B5590" s="405" t="s">
        <v>13065</v>
      </c>
      <c r="C5590" s="405" t="s">
        <v>327</v>
      </c>
      <c r="D5590" s="405"/>
      <c r="E5590" s="410">
        <v>41547</v>
      </c>
      <c r="F5590" s="410">
        <v>41592</v>
      </c>
      <c r="G5590" s="405" t="s">
        <v>13066</v>
      </c>
      <c r="H5590" s="405">
        <v>782457860</v>
      </c>
      <c r="I5590" s="405"/>
      <c r="J5590" s="405">
        <v>1.9721900000000001</v>
      </c>
      <c r="K5590" s="405">
        <v>33.696407999999998</v>
      </c>
      <c r="L5590" s="405" t="s">
        <v>6866</v>
      </c>
      <c r="M5590" s="405" t="s">
        <v>10495</v>
      </c>
      <c r="N5590" s="405" t="s">
        <v>10495</v>
      </c>
      <c r="O5590" s="405" t="s">
        <v>11435</v>
      </c>
      <c r="P5590" s="405" t="s">
        <v>12897</v>
      </c>
      <c r="Q5590" s="411">
        <v>6</v>
      </c>
      <c r="R5590" s="405" t="s">
        <v>5655</v>
      </c>
      <c r="S5590" s="405" t="s">
        <v>27322</v>
      </c>
      <c r="T5590" s="405" t="s">
        <v>865</v>
      </c>
      <c r="U5590" s="405" t="s">
        <v>866</v>
      </c>
    </row>
    <row r="5591" spans="1:21" x14ac:dyDescent="0.25">
      <c r="A5591" s="405" t="s">
        <v>310</v>
      </c>
      <c r="B5591" s="405" t="s">
        <v>4633</v>
      </c>
      <c r="C5591" s="405" t="s">
        <v>327</v>
      </c>
      <c r="D5591" s="405"/>
      <c r="E5591" s="410">
        <v>41547</v>
      </c>
      <c r="F5591" s="410">
        <v>41592</v>
      </c>
      <c r="G5591" s="405" t="s">
        <v>4634</v>
      </c>
      <c r="H5591" s="405">
        <v>752524861</v>
      </c>
      <c r="I5591" s="405"/>
      <c r="J5591" s="405">
        <v>0.32341500000000001</v>
      </c>
      <c r="K5591" s="405">
        <v>32.479863000000002</v>
      </c>
      <c r="L5591" s="405" t="s">
        <v>314</v>
      </c>
      <c r="M5591" s="405" t="s">
        <v>361</v>
      </c>
      <c r="N5591" s="405" t="s">
        <v>374</v>
      </c>
      <c r="O5591" s="405" t="s">
        <v>361</v>
      </c>
      <c r="P5591" s="405" t="s">
        <v>4517</v>
      </c>
      <c r="Q5591" s="411">
        <v>6</v>
      </c>
      <c r="R5591" s="405" t="s">
        <v>1263</v>
      </c>
      <c r="S5591" s="405" t="s">
        <v>27202</v>
      </c>
      <c r="T5591" s="405" t="s">
        <v>32102</v>
      </c>
      <c r="U5591" s="405" t="s">
        <v>319</v>
      </c>
    </row>
    <row r="5592" spans="1:21" x14ac:dyDescent="0.25">
      <c r="A5592" s="405" t="s">
        <v>310</v>
      </c>
      <c r="B5592" s="405" t="s">
        <v>4694</v>
      </c>
      <c r="C5592" s="405" t="s">
        <v>327</v>
      </c>
      <c r="D5592" s="405"/>
      <c r="E5592" s="410">
        <v>41547</v>
      </c>
      <c r="F5592" s="410">
        <v>41592</v>
      </c>
      <c r="G5592" s="405" t="s">
        <v>4695</v>
      </c>
      <c r="H5592" s="405">
        <v>772867533</v>
      </c>
      <c r="I5592" s="405"/>
      <c r="J5592" s="405">
        <v>0.77481</v>
      </c>
      <c r="K5592" s="405">
        <v>32.535988000000003</v>
      </c>
      <c r="L5592" s="405" t="s">
        <v>314</v>
      </c>
      <c r="M5592" s="405" t="s">
        <v>959</v>
      </c>
      <c r="N5592" s="405" t="s">
        <v>1308</v>
      </c>
      <c r="O5592" s="405" t="s">
        <v>1094</v>
      </c>
      <c r="P5592" s="405" t="s">
        <v>4696</v>
      </c>
      <c r="Q5592" s="411">
        <v>6</v>
      </c>
      <c r="R5592" s="405" t="s">
        <v>1263</v>
      </c>
      <c r="S5592" s="405" t="s">
        <v>27202</v>
      </c>
      <c r="T5592" s="405" t="s">
        <v>865</v>
      </c>
      <c r="U5592" s="405" t="s">
        <v>866</v>
      </c>
    </row>
    <row r="5593" spans="1:21" x14ac:dyDescent="0.25">
      <c r="A5593" s="405" t="s">
        <v>310</v>
      </c>
      <c r="B5593" s="405" t="s">
        <v>4687</v>
      </c>
      <c r="C5593" s="405" t="s">
        <v>327</v>
      </c>
      <c r="D5593" s="405"/>
      <c r="E5593" s="410">
        <v>41547</v>
      </c>
      <c r="F5593" s="410">
        <v>41592</v>
      </c>
      <c r="G5593" s="405" t="s">
        <v>4688</v>
      </c>
      <c r="H5593" s="405">
        <v>783541410</v>
      </c>
      <c r="I5593" s="405"/>
      <c r="J5593" s="405">
        <v>0.21127299999999999</v>
      </c>
      <c r="K5593" s="405">
        <v>32.549675000000001</v>
      </c>
      <c r="L5593" s="405" t="s">
        <v>314</v>
      </c>
      <c r="M5593" s="405" t="s">
        <v>361</v>
      </c>
      <c r="N5593" s="405" t="s">
        <v>362</v>
      </c>
      <c r="O5593" s="405" t="s">
        <v>618</v>
      </c>
      <c r="P5593" s="405" t="s">
        <v>4689</v>
      </c>
      <c r="Q5593" s="411">
        <v>6</v>
      </c>
      <c r="R5593" s="405" t="s">
        <v>353</v>
      </c>
      <c r="S5593" s="405" t="s">
        <v>27110</v>
      </c>
      <c r="T5593" s="405" t="s">
        <v>865</v>
      </c>
      <c r="U5593" s="405" t="s">
        <v>866</v>
      </c>
    </row>
    <row r="5594" spans="1:21" x14ac:dyDescent="0.25">
      <c r="A5594" s="405" t="s">
        <v>310</v>
      </c>
      <c r="B5594" s="405" t="s">
        <v>4649</v>
      </c>
      <c r="C5594" s="405" t="s">
        <v>327</v>
      </c>
      <c r="D5594" s="405"/>
      <c r="E5594" s="410">
        <v>41547</v>
      </c>
      <c r="F5594" s="410">
        <v>41592</v>
      </c>
      <c r="G5594" s="405" t="s">
        <v>4650</v>
      </c>
      <c r="H5594" s="405">
        <v>783691627</v>
      </c>
      <c r="I5594" s="405">
        <v>774976831</v>
      </c>
      <c r="J5594" s="405">
        <v>0.44722333333333336</v>
      </c>
      <c r="K5594" s="405">
        <v>32.587246666666672</v>
      </c>
      <c r="L5594" s="405" t="s">
        <v>314</v>
      </c>
      <c r="M5594" s="405" t="s">
        <v>361</v>
      </c>
      <c r="N5594" s="405" t="s">
        <v>362</v>
      </c>
      <c r="O5594" s="405" t="s">
        <v>410</v>
      </c>
      <c r="P5594" s="405" t="s">
        <v>4220</v>
      </c>
      <c r="Q5594" s="411">
        <v>6</v>
      </c>
      <c r="R5594" s="405" t="s">
        <v>1263</v>
      </c>
      <c r="S5594" s="405" t="s">
        <v>27047</v>
      </c>
      <c r="T5594" s="405" t="s">
        <v>865</v>
      </c>
      <c r="U5594" s="405" t="s">
        <v>866</v>
      </c>
    </row>
    <row r="5595" spans="1:21" x14ac:dyDescent="0.25">
      <c r="A5595" s="405" t="s">
        <v>310</v>
      </c>
      <c r="B5595" s="405" t="s">
        <v>13041</v>
      </c>
      <c r="C5595" s="405" t="s">
        <v>327</v>
      </c>
      <c r="D5595" s="405"/>
      <c r="E5595" s="410">
        <v>41547</v>
      </c>
      <c r="F5595" s="410">
        <v>41592</v>
      </c>
      <c r="G5595" s="405" t="s">
        <v>13042</v>
      </c>
      <c r="H5595" s="405">
        <v>782315568</v>
      </c>
      <c r="I5595" s="405"/>
      <c r="J5595" s="405">
        <v>2.0580379999999998</v>
      </c>
      <c r="K5595" s="405">
        <v>33.475684999999999</v>
      </c>
      <c r="L5595" s="405" t="s">
        <v>6866</v>
      </c>
      <c r="M5595" s="405" t="s">
        <v>10495</v>
      </c>
      <c r="N5595" s="405" t="s">
        <v>10496</v>
      </c>
      <c r="O5595" s="405" t="s">
        <v>10497</v>
      </c>
      <c r="P5595" s="405" t="s">
        <v>10498</v>
      </c>
      <c r="Q5595" s="411">
        <v>6</v>
      </c>
      <c r="R5595" s="405" t="s">
        <v>5655</v>
      </c>
      <c r="S5595" s="405" t="s">
        <v>27320</v>
      </c>
      <c r="T5595" s="405" t="s">
        <v>884</v>
      </c>
      <c r="U5595" s="405" t="s">
        <v>319</v>
      </c>
    </row>
    <row r="5596" spans="1:21" x14ac:dyDescent="0.25">
      <c r="A5596" s="405" t="s">
        <v>310</v>
      </c>
      <c r="B5596" s="405" t="s">
        <v>13085</v>
      </c>
      <c r="C5596" s="405" t="s">
        <v>327</v>
      </c>
      <c r="D5596" s="405"/>
      <c r="E5596" s="410">
        <v>41547</v>
      </c>
      <c r="F5596" s="410">
        <v>41592</v>
      </c>
      <c r="G5596" s="405" t="s">
        <v>13086</v>
      </c>
      <c r="H5596" s="405">
        <v>701601283</v>
      </c>
      <c r="I5596" s="405"/>
      <c r="J5596" s="405">
        <v>0.99299099999999996</v>
      </c>
      <c r="K5596" s="405">
        <v>34.034123000000001</v>
      </c>
      <c r="L5596" s="405" t="s">
        <v>6866</v>
      </c>
      <c r="M5596" s="405" t="s">
        <v>9566</v>
      </c>
      <c r="N5596" s="405" t="s">
        <v>10001</v>
      </c>
      <c r="O5596" s="405" t="s">
        <v>9932</v>
      </c>
      <c r="P5596" s="405" t="s">
        <v>407</v>
      </c>
      <c r="Q5596" s="411">
        <v>6</v>
      </c>
      <c r="R5596" s="405" t="s">
        <v>9506</v>
      </c>
      <c r="S5596" s="405" t="s">
        <v>27294</v>
      </c>
      <c r="T5596" s="405" t="s">
        <v>32102</v>
      </c>
      <c r="U5596" s="405" t="s">
        <v>319</v>
      </c>
    </row>
    <row r="5597" spans="1:21" x14ac:dyDescent="0.25">
      <c r="A5597" s="405" t="s">
        <v>310</v>
      </c>
      <c r="B5597" s="405" t="s">
        <v>4654</v>
      </c>
      <c r="C5597" s="405" t="s">
        <v>327</v>
      </c>
      <c r="D5597" s="405"/>
      <c r="E5597" s="410">
        <v>41547</v>
      </c>
      <c r="F5597" s="410">
        <v>41592</v>
      </c>
      <c r="G5597" s="405" t="s">
        <v>4655</v>
      </c>
      <c r="H5597" s="405">
        <v>788880123</v>
      </c>
      <c r="I5597" s="405"/>
      <c r="J5597" s="405">
        <v>0.37666300000000003</v>
      </c>
      <c r="K5597" s="405">
        <v>32.873334999999997</v>
      </c>
      <c r="L5597" s="405" t="s">
        <v>314</v>
      </c>
      <c r="M5597" s="405" t="s">
        <v>329</v>
      </c>
      <c r="N5597" s="405" t="s">
        <v>528</v>
      </c>
      <c r="O5597" s="405" t="s">
        <v>529</v>
      </c>
      <c r="P5597" s="405" t="s">
        <v>1456</v>
      </c>
      <c r="Q5597" s="411">
        <v>6</v>
      </c>
      <c r="R5597" s="405" t="s">
        <v>353</v>
      </c>
      <c r="S5597" s="405" t="s">
        <v>27110</v>
      </c>
      <c r="T5597" s="405" t="s">
        <v>865</v>
      </c>
      <c r="U5597" s="405" t="s">
        <v>866</v>
      </c>
    </row>
    <row r="5598" spans="1:21" x14ac:dyDescent="0.25">
      <c r="A5598" s="405" t="s">
        <v>310</v>
      </c>
      <c r="B5598" s="405" t="s">
        <v>4621</v>
      </c>
      <c r="C5598" s="405" t="s">
        <v>327</v>
      </c>
      <c r="D5598" s="405"/>
      <c r="E5598" s="410">
        <v>41547</v>
      </c>
      <c r="F5598" s="410">
        <v>41592</v>
      </c>
      <c r="G5598" s="405" t="s">
        <v>4622</v>
      </c>
      <c r="H5598" s="405">
        <v>701742945</v>
      </c>
      <c r="I5598" s="405"/>
      <c r="J5598" s="405">
        <v>0.66798999999999997</v>
      </c>
      <c r="K5598" s="405">
        <v>33.011077999999998</v>
      </c>
      <c r="L5598" s="405" t="s">
        <v>314</v>
      </c>
      <c r="M5598" s="405" t="s">
        <v>502</v>
      </c>
      <c r="N5598" s="405" t="s">
        <v>503</v>
      </c>
      <c r="O5598" s="405" t="s">
        <v>504</v>
      </c>
      <c r="P5598" s="405" t="s">
        <v>4623</v>
      </c>
      <c r="Q5598" s="411">
        <v>6</v>
      </c>
      <c r="R5598" s="405" t="s">
        <v>1263</v>
      </c>
      <c r="S5598" s="405" t="s">
        <v>27164</v>
      </c>
      <c r="T5598" s="405" t="s">
        <v>32102</v>
      </c>
      <c r="U5598" s="405" t="s">
        <v>319</v>
      </c>
    </row>
    <row r="5599" spans="1:21" x14ac:dyDescent="0.25">
      <c r="A5599" s="405" t="s">
        <v>310</v>
      </c>
      <c r="B5599" s="405" t="s">
        <v>13141</v>
      </c>
      <c r="C5599" s="405" t="s">
        <v>327</v>
      </c>
      <c r="D5599" s="405"/>
      <c r="E5599" s="410">
        <v>41547</v>
      </c>
      <c r="F5599" s="410">
        <v>41592</v>
      </c>
      <c r="G5599" s="405" t="s">
        <v>13142</v>
      </c>
      <c r="H5599" s="405">
        <v>772580536</v>
      </c>
      <c r="I5599" s="405"/>
      <c r="J5599" s="405">
        <v>0.92755399999999999</v>
      </c>
      <c r="K5599" s="405">
        <v>34.343972999999998</v>
      </c>
      <c r="L5599" s="405" t="s">
        <v>6866</v>
      </c>
      <c r="M5599" s="405" t="s">
        <v>9763</v>
      </c>
      <c r="N5599" s="405" t="s">
        <v>9848</v>
      </c>
      <c r="O5599" s="405" t="s">
        <v>11333</v>
      </c>
      <c r="P5599" s="405" t="s">
        <v>13143</v>
      </c>
      <c r="Q5599" s="411">
        <v>6</v>
      </c>
      <c r="R5599" s="405" t="s">
        <v>7224</v>
      </c>
      <c r="S5599" s="405" t="s">
        <v>27203</v>
      </c>
      <c r="T5599" s="405" t="s">
        <v>865</v>
      </c>
      <c r="U5599" s="405" t="s">
        <v>866</v>
      </c>
    </row>
    <row r="5600" spans="1:21" x14ac:dyDescent="0.25">
      <c r="A5600" s="405" t="s">
        <v>310</v>
      </c>
      <c r="B5600" s="405" t="s">
        <v>13131</v>
      </c>
      <c r="C5600" s="405" t="s">
        <v>327</v>
      </c>
      <c r="D5600" s="405"/>
      <c r="E5600" s="410">
        <v>41546</v>
      </c>
      <c r="F5600" s="410">
        <v>41591</v>
      </c>
      <c r="G5600" s="405" t="s">
        <v>13132</v>
      </c>
      <c r="H5600" s="405">
        <v>772577140</v>
      </c>
      <c r="I5600" s="405"/>
      <c r="J5600" s="405">
        <v>1.0587169999999999</v>
      </c>
      <c r="K5600" s="405">
        <v>34.100417999999998</v>
      </c>
      <c r="L5600" s="405" t="s">
        <v>6866</v>
      </c>
      <c r="M5600" s="405" t="s">
        <v>9514</v>
      </c>
      <c r="N5600" s="405" t="s">
        <v>10380</v>
      </c>
      <c r="O5600" s="405" t="s">
        <v>10380</v>
      </c>
      <c r="P5600" s="405" t="s">
        <v>11179</v>
      </c>
      <c r="Q5600" s="411">
        <v>6</v>
      </c>
      <c r="R5600" s="405" t="s">
        <v>7224</v>
      </c>
      <c r="S5600" s="405" t="s">
        <v>27283</v>
      </c>
      <c r="T5600" s="405" t="s">
        <v>32102</v>
      </c>
      <c r="U5600" s="405" t="s">
        <v>319</v>
      </c>
    </row>
    <row r="5601" spans="1:21" x14ac:dyDescent="0.25">
      <c r="A5601" s="405" t="s">
        <v>310</v>
      </c>
      <c r="B5601" s="405" t="s">
        <v>5180</v>
      </c>
      <c r="C5601" s="405" t="s">
        <v>311</v>
      </c>
      <c r="D5601" s="405" t="s">
        <v>839</v>
      </c>
      <c r="E5601" s="410">
        <v>41545</v>
      </c>
      <c r="F5601" s="410">
        <v>41590</v>
      </c>
      <c r="G5601" s="405" t="s">
        <v>5181</v>
      </c>
      <c r="H5601" s="405">
        <v>779904824</v>
      </c>
      <c r="I5601" s="405"/>
      <c r="J5601" s="405">
        <v>0.94359300000000002</v>
      </c>
      <c r="K5601" s="405">
        <v>31.538225000000001</v>
      </c>
      <c r="L5601" s="405" t="s">
        <v>314</v>
      </c>
      <c r="M5601" s="405" t="s">
        <v>1360</v>
      </c>
      <c r="N5601" s="405" t="s">
        <v>1361</v>
      </c>
      <c r="O5601" s="405" t="s">
        <v>411</v>
      </c>
      <c r="P5601" s="405" t="s">
        <v>4716</v>
      </c>
      <c r="Q5601" s="411">
        <v>6</v>
      </c>
      <c r="R5601" s="405" t="s">
        <v>1263</v>
      </c>
      <c r="S5601" s="405" t="s">
        <v>27196</v>
      </c>
      <c r="T5601" s="405" t="s">
        <v>32102</v>
      </c>
      <c r="U5601" s="405" t="s">
        <v>319</v>
      </c>
    </row>
    <row r="5602" spans="1:21" x14ac:dyDescent="0.25">
      <c r="A5602" s="405" t="s">
        <v>310</v>
      </c>
      <c r="B5602" s="405" t="s">
        <v>28006</v>
      </c>
      <c r="C5602" s="405" t="s">
        <v>311</v>
      </c>
      <c r="D5602" s="405" t="s">
        <v>1789</v>
      </c>
      <c r="E5602" s="410">
        <v>41543</v>
      </c>
      <c r="F5602" s="410">
        <v>41588</v>
      </c>
      <c r="G5602" s="405" t="s">
        <v>5102</v>
      </c>
      <c r="H5602" s="405">
        <v>752158972</v>
      </c>
      <c r="I5602" s="405"/>
      <c r="J5602" s="405">
        <v>-0.2401134</v>
      </c>
      <c r="K5602" s="405">
        <v>31.7606848</v>
      </c>
      <c r="L5602" s="405" t="s">
        <v>314</v>
      </c>
      <c r="M5602" s="405" t="s">
        <v>900</v>
      </c>
      <c r="N5602" s="405" t="s">
        <v>900</v>
      </c>
      <c r="O5602" s="405" t="s">
        <v>900</v>
      </c>
      <c r="P5602" s="405" t="s">
        <v>4225</v>
      </c>
      <c r="Q5602" s="411">
        <v>6</v>
      </c>
      <c r="R5602" s="405" t="s">
        <v>1263</v>
      </c>
      <c r="S5602" s="405" t="s">
        <v>27234</v>
      </c>
      <c r="T5602" s="405" t="s">
        <v>32102</v>
      </c>
      <c r="U5602" s="405" t="s">
        <v>319</v>
      </c>
    </row>
    <row r="5603" spans="1:21" x14ac:dyDescent="0.25">
      <c r="A5603" s="405" t="s">
        <v>310</v>
      </c>
      <c r="B5603" s="405" t="s">
        <v>5151</v>
      </c>
      <c r="C5603" s="405" t="s">
        <v>311</v>
      </c>
      <c r="D5603" s="405" t="s">
        <v>839</v>
      </c>
      <c r="E5603" s="410">
        <v>41543</v>
      </c>
      <c r="F5603" s="410">
        <v>41588</v>
      </c>
      <c r="G5603" s="405" t="s">
        <v>5152</v>
      </c>
      <c r="H5603" s="405">
        <v>788148941</v>
      </c>
      <c r="I5603" s="405">
        <v>701573902</v>
      </c>
      <c r="J5603" s="405">
        <v>-0.35576200000000002</v>
      </c>
      <c r="K5603" s="405">
        <v>31.726492400000001</v>
      </c>
      <c r="L5603" s="405" t="s">
        <v>314</v>
      </c>
      <c r="M5603" s="405" t="s">
        <v>900</v>
      </c>
      <c r="N5603" s="405" t="s">
        <v>900</v>
      </c>
      <c r="O5603" s="405" t="s">
        <v>900</v>
      </c>
      <c r="P5603" s="405" t="s">
        <v>900</v>
      </c>
      <c r="Q5603" s="411">
        <v>6</v>
      </c>
      <c r="R5603" s="405" t="s">
        <v>1263</v>
      </c>
      <c r="S5603" s="405" t="s">
        <v>27236</v>
      </c>
      <c r="T5603" s="405" t="s">
        <v>32102</v>
      </c>
      <c r="U5603" s="405" t="s">
        <v>319</v>
      </c>
    </row>
    <row r="5604" spans="1:21" x14ac:dyDescent="0.25">
      <c r="A5604" s="405" t="s">
        <v>310</v>
      </c>
      <c r="B5604" s="405" t="s">
        <v>13120</v>
      </c>
      <c r="C5604" s="405" t="s">
        <v>327</v>
      </c>
      <c r="D5604" s="405"/>
      <c r="E5604" s="410">
        <v>41543</v>
      </c>
      <c r="F5604" s="410">
        <v>41588</v>
      </c>
      <c r="G5604" s="405" t="s">
        <v>13121</v>
      </c>
      <c r="H5604" s="405">
        <v>752443853</v>
      </c>
      <c r="I5604" s="405"/>
      <c r="J5604" s="405">
        <v>0.66947299999999998</v>
      </c>
      <c r="K5604" s="405">
        <v>34.172763000000003</v>
      </c>
      <c r="L5604" s="405" t="s">
        <v>6866</v>
      </c>
      <c r="M5604" s="405" t="s">
        <v>9534</v>
      </c>
      <c r="N5604" s="405" t="s">
        <v>10065</v>
      </c>
      <c r="O5604" s="405" t="s">
        <v>9881</v>
      </c>
      <c r="P5604" s="405" t="s">
        <v>13122</v>
      </c>
      <c r="Q5604" s="411">
        <v>6</v>
      </c>
      <c r="R5604" s="405" t="s">
        <v>7224</v>
      </c>
      <c r="S5604" s="405" t="s">
        <v>27259</v>
      </c>
      <c r="T5604" s="405" t="s">
        <v>32102</v>
      </c>
      <c r="U5604" s="405" t="s">
        <v>319</v>
      </c>
    </row>
    <row r="5605" spans="1:21" x14ac:dyDescent="0.25">
      <c r="A5605" s="405" t="s">
        <v>310</v>
      </c>
      <c r="B5605" s="405" t="s">
        <v>4717</v>
      </c>
      <c r="C5605" s="405" t="s">
        <v>327</v>
      </c>
      <c r="D5605" s="405"/>
      <c r="E5605" s="410">
        <v>41543</v>
      </c>
      <c r="F5605" s="410">
        <v>41588</v>
      </c>
      <c r="G5605" s="405" t="s">
        <v>4718</v>
      </c>
      <c r="H5605" s="405">
        <v>777077221</v>
      </c>
      <c r="I5605" s="405"/>
      <c r="J5605" s="405">
        <v>0.94260299999999997</v>
      </c>
      <c r="K5605" s="405">
        <v>31.538497</v>
      </c>
      <c r="L5605" s="405" t="s">
        <v>314</v>
      </c>
      <c r="M5605" s="405" t="s">
        <v>1360</v>
      </c>
      <c r="N5605" s="405" t="s">
        <v>1361</v>
      </c>
      <c r="O5605" s="405" t="s">
        <v>411</v>
      </c>
      <c r="P5605" s="405" t="s">
        <v>4716</v>
      </c>
      <c r="Q5605" s="411">
        <v>6</v>
      </c>
      <c r="R5605" s="405" t="s">
        <v>1263</v>
      </c>
      <c r="S5605" s="405" t="s">
        <v>27047</v>
      </c>
      <c r="T5605" s="405" t="s">
        <v>32102</v>
      </c>
      <c r="U5605" s="405" t="s">
        <v>319</v>
      </c>
    </row>
    <row r="5606" spans="1:21" x14ac:dyDescent="0.25">
      <c r="A5606" s="405" t="s">
        <v>310</v>
      </c>
      <c r="B5606" s="405" t="s">
        <v>4711</v>
      </c>
      <c r="C5606" s="405" t="s">
        <v>327</v>
      </c>
      <c r="D5606" s="405"/>
      <c r="E5606" s="410">
        <v>41543</v>
      </c>
      <c r="F5606" s="410">
        <v>41588</v>
      </c>
      <c r="G5606" s="405" t="s">
        <v>4712</v>
      </c>
      <c r="H5606" s="405">
        <v>777553647</v>
      </c>
      <c r="I5606" s="405"/>
      <c r="J5606" s="405">
        <v>0.95536799999999999</v>
      </c>
      <c r="K5606" s="405">
        <v>31.500698</v>
      </c>
      <c r="L5606" s="405" t="s">
        <v>314</v>
      </c>
      <c r="M5606" s="405" t="s">
        <v>1360</v>
      </c>
      <c r="N5606" s="405" t="s">
        <v>1361</v>
      </c>
      <c r="O5606" s="405" t="s">
        <v>411</v>
      </c>
      <c r="P5606" s="405" t="s">
        <v>4713</v>
      </c>
      <c r="Q5606" s="411">
        <v>6</v>
      </c>
      <c r="R5606" s="405" t="s">
        <v>1263</v>
      </c>
      <c r="S5606" s="405" t="s">
        <v>27210</v>
      </c>
      <c r="T5606" s="405" t="s">
        <v>865</v>
      </c>
      <c r="U5606" s="405" t="s">
        <v>866</v>
      </c>
    </row>
    <row r="5607" spans="1:21" x14ac:dyDescent="0.25">
      <c r="A5607" s="405" t="s">
        <v>310</v>
      </c>
      <c r="B5607" s="405" t="s">
        <v>28149</v>
      </c>
      <c r="C5607" s="405" t="s">
        <v>327</v>
      </c>
      <c r="D5607" s="405"/>
      <c r="E5607" s="410">
        <v>41542</v>
      </c>
      <c r="F5607" s="410">
        <v>41587</v>
      </c>
      <c r="G5607" s="405" t="s">
        <v>4647</v>
      </c>
      <c r="H5607" s="405">
        <v>775199393</v>
      </c>
      <c r="I5607" s="405"/>
      <c r="J5607" s="405">
        <v>-0.20575666666666667</v>
      </c>
      <c r="K5607" s="405">
        <v>31.747681666666669</v>
      </c>
      <c r="L5607" s="405" t="s">
        <v>314</v>
      </c>
      <c r="M5607" s="405" t="s">
        <v>900</v>
      </c>
      <c r="N5607" s="405" t="s">
        <v>900</v>
      </c>
      <c r="O5607" s="405" t="s">
        <v>900</v>
      </c>
      <c r="P5607" s="405" t="s">
        <v>4648</v>
      </c>
      <c r="Q5607" s="411">
        <v>9</v>
      </c>
      <c r="R5607" s="405" t="s">
        <v>1263</v>
      </c>
      <c r="S5607" s="405" t="s">
        <v>27117</v>
      </c>
      <c r="T5607" s="405" t="s">
        <v>865</v>
      </c>
      <c r="U5607" s="405" t="s">
        <v>866</v>
      </c>
    </row>
    <row r="5608" spans="1:21" x14ac:dyDescent="0.25">
      <c r="A5608" s="405" t="s">
        <v>310</v>
      </c>
      <c r="B5608" s="405" t="s">
        <v>4663</v>
      </c>
      <c r="C5608" s="405" t="s">
        <v>327</v>
      </c>
      <c r="D5608" s="405"/>
      <c r="E5608" s="410">
        <v>41542</v>
      </c>
      <c r="F5608" s="410">
        <v>41587</v>
      </c>
      <c r="G5608" s="405" t="s">
        <v>4664</v>
      </c>
      <c r="H5608" s="405">
        <v>704227264</v>
      </c>
      <c r="I5608" s="405">
        <v>703986168</v>
      </c>
      <c r="J5608" s="405">
        <v>0.38900699999999999</v>
      </c>
      <c r="K5608" s="405">
        <v>32.029038</v>
      </c>
      <c r="L5608" s="405" t="s">
        <v>314</v>
      </c>
      <c r="M5608" s="405" t="s">
        <v>675</v>
      </c>
      <c r="N5608" s="405" t="s">
        <v>675</v>
      </c>
      <c r="O5608" s="405" t="s">
        <v>4665</v>
      </c>
      <c r="P5608" s="405" t="s">
        <v>4666</v>
      </c>
      <c r="Q5608" s="411">
        <v>9</v>
      </c>
      <c r="R5608" s="405" t="s">
        <v>1263</v>
      </c>
      <c r="S5608" s="405" t="s">
        <v>27036</v>
      </c>
      <c r="T5608" s="405" t="s">
        <v>32102</v>
      </c>
      <c r="U5608" s="405" t="s">
        <v>319</v>
      </c>
    </row>
    <row r="5609" spans="1:21" x14ac:dyDescent="0.25">
      <c r="A5609" s="405" t="s">
        <v>310</v>
      </c>
      <c r="B5609" s="405" t="s">
        <v>13133</v>
      </c>
      <c r="C5609" s="405" t="s">
        <v>327</v>
      </c>
      <c r="D5609" s="405"/>
      <c r="E5609" s="410">
        <v>41541</v>
      </c>
      <c r="F5609" s="410">
        <v>41586</v>
      </c>
      <c r="G5609" s="405" t="s">
        <v>13134</v>
      </c>
      <c r="H5609" s="405">
        <v>772894392</v>
      </c>
      <c r="I5609" s="405"/>
      <c r="J5609" s="405">
        <v>0.61633389999999999</v>
      </c>
      <c r="K5609" s="405">
        <v>33.479194800000002</v>
      </c>
      <c r="L5609" s="405" t="s">
        <v>6866</v>
      </c>
      <c r="M5609" s="405" t="s">
        <v>9590</v>
      </c>
      <c r="N5609" s="405" t="s">
        <v>9591</v>
      </c>
      <c r="O5609" s="405" t="s">
        <v>5538</v>
      </c>
      <c r="P5609" s="405" t="s">
        <v>13135</v>
      </c>
      <c r="Q5609" s="411">
        <v>6</v>
      </c>
      <c r="R5609" s="405" t="s">
        <v>318</v>
      </c>
      <c r="S5609" s="405" t="s">
        <v>27134</v>
      </c>
      <c r="T5609" s="405" t="s">
        <v>865</v>
      </c>
      <c r="U5609" s="405" t="s">
        <v>866</v>
      </c>
    </row>
    <row r="5610" spans="1:21" x14ac:dyDescent="0.25">
      <c r="A5610" s="405" t="s">
        <v>310</v>
      </c>
      <c r="B5610" s="405" t="s">
        <v>13138</v>
      </c>
      <c r="C5610" s="405" t="s">
        <v>327</v>
      </c>
      <c r="D5610" s="405"/>
      <c r="E5610" s="410">
        <v>41540</v>
      </c>
      <c r="F5610" s="410">
        <v>41585</v>
      </c>
      <c r="G5610" s="405" t="s">
        <v>13139</v>
      </c>
      <c r="H5610" s="405">
        <v>772664761</v>
      </c>
      <c r="I5610" s="405"/>
      <c r="J5610" s="405">
        <v>0.66914099999999999</v>
      </c>
      <c r="K5610" s="405">
        <v>34.172494</v>
      </c>
      <c r="L5610" s="405" t="s">
        <v>6866</v>
      </c>
      <c r="M5610" s="405" t="s">
        <v>9534</v>
      </c>
      <c r="N5610" s="405" t="s">
        <v>10065</v>
      </c>
      <c r="O5610" s="405" t="s">
        <v>9881</v>
      </c>
      <c r="P5610" s="405" t="s">
        <v>13140</v>
      </c>
      <c r="Q5610" s="411">
        <v>9</v>
      </c>
      <c r="R5610" s="405" t="s">
        <v>7224</v>
      </c>
      <c r="S5610" s="405" t="s">
        <v>27309</v>
      </c>
      <c r="T5610" s="405" t="s">
        <v>32102</v>
      </c>
      <c r="U5610" s="405" t="s">
        <v>319</v>
      </c>
    </row>
    <row r="5611" spans="1:21" x14ac:dyDescent="0.25">
      <c r="A5611" s="405" t="s">
        <v>310</v>
      </c>
      <c r="B5611" s="405" t="s">
        <v>13102</v>
      </c>
      <c r="C5611" s="405" t="s">
        <v>327</v>
      </c>
      <c r="D5611" s="405"/>
      <c r="E5611" s="410">
        <v>41540</v>
      </c>
      <c r="F5611" s="410">
        <v>41585</v>
      </c>
      <c r="G5611" s="405" t="s">
        <v>13103</v>
      </c>
      <c r="H5611" s="405">
        <v>782696214</v>
      </c>
      <c r="I5611" s="405"/>
      <c r="J5611" s="405">
        <v>1.4209480000000001</v>
      </c>
      <c r="K5611" s="405">
        <v>33.78546</v>
      </c>
      <c r="L5611" s="405" t="s">
        <v>6866</v>
      </c>
      <c r="M5611" s="405" t="s">
        <v>10012</v>
      </c>
      <c r="N5611" s="405" t="s">
        <v>10012</v>
      </c>
      <c r="O5611" s="405" t="s">
        <v>10092</v>
      </c>
      <c r="P5611" s="405" t="s">
        <v>13104</v>
      </c>
      <c r="Q5611" s="411">
        <v>4</v>
      </c>
      <c r="R5611" s="405" t="s">
        <v>9541</v>
      </c>
      <c r="S5611" s="405" t="s">
        <v>27302</v>
      </c>
      <c r="T5611" s="405" t="s">
        <v>32102</v>
      </c>
      <c r="U5611" s="405" t="s">
        <v>319</v>
      </c>
    </row>
    <row r="5612" spans="1:21" x14ac:dyDescent="0.25">
      <c r="A5612" s="405" t="s">
        <v>310</v>
      </c>
      <c r="B5612" s="405" t="s">
        <v>13123</v>
      </c>
      <c r="C5612" s="405" t="s">
        <v>327</v>
      </c>
      <c r="D5612" s="405"/>
      <c r="E5612" s="410">
        <v>41540</v>
      </c>
      <c r="F5612" s="410">
        <v>41585</v>
      </c>
      <c r="G5612" s="405" t="s">
        <v>13124</v>
      </c>
      <c r="H5612" s="405">
        <v>782641190</v>
      </c>
      <c r="I5612" s="405"/>
      <c r="J5612" s="405">
        <v>0.92222199999999999</v>
      </c>
      <c r="K5612" s="405">
        <v>34.228149000000002</v>
      </c>
      <c r="L5612" s="405" t="s">
        <v>6866</v>
      </c>
      <c r="M5612" s="405" t="s">
        <v>9763</v>
      </c>
      <c r="N5612" s="405" t="s">
        <v>9764</v>
      </c>
      <c r="O5612" s="405" t="s">
        <v>9581</v>
      </c>
      <c r="P5612" s="405" t="s">
        <v>13125</v>
      </c>
      <c r="Q5612" s="411">
        <v>4</v>
      </c>
      <c r="R5612" s="405" t="s">
        <v>7224</v>
      </c>
      <c r="S5612" s="405" t="s">
        <v>27298</v>
      </c>
      <c r="T5612" s="405" t="s">
        <v>32102</v>
      </c>
      <c r="U5612" s="405" t="s">
        <v>319</v>
      </c>
    </row>
    <row r="5613" spans="1:21" x14ac:dyDescent="0.25">
      <c r="A5613" s="405" t="s">
        <v>310</v>
      </c>
      <c r="B5613" s="405" t="s">
        <v>13035</v>
      </c>
      <c r="C5613" s="405" t="s">
        <v>327</v>
      </c>
      <c r="D5613" s="405"/>
      <c r="E5613" s="410">
        <v>41539</v>
      </c>
      <c r="F5613" s="410">
        <v>41584</v>
      </c>
      <c r="G5613" s="405" t="s">
        <v>13036</v>
      </c>
      <c r="H5613" s="405">
        <v>753291972</v>
      </c>
      <c r="I5613" s="405"/>
      <c r="J5613" s="405">
        <v>0.75626099999999996</v>
      </c>
      <c r="K5613" s="405">
        <v>33.952987</v>
      </c>
      <c r="L5613" s="405" t="s">
        <v>6866</v>
      </c>
      <c r="M5613" s="405" t="s">
        <v>9534</v>
      </c>
      <c r="N5613" s="405" t="s">
        <v>10085</v>
      </c>
      <c r="O5613" s="405" t="s">
        <v>10922</v>
      </c>
      <c r="P5613" s="405" t="s">
        <v>13037</v>
      </c>
      <c r="Q5613" s="411">
        <v>6</v>
      </c>
      <c r="R5613" s="405" t="s">
        <v>7224</v>
      </c>
      <c r="S5613" s="405" t="s">
        <v>27310</v>
      </c>
      <c r="T5613" s="405" t="s">
        <v>865</v>
      </c>
      <c r="U5613" s="405" t="s">
        <v>866</v>
      </c>
    </row>
    <row r="5614" spans="1:21" x14ac:dyDescent="0.25">
      <c r="A5614" s="405" t="s">
        <v>310</v>
      </c>
      <c r="B5614" s="405" t="s">
        <v>13032</v>
      </c>
      <c r="C5614" s="405" t="s">
        <v>327</v>
      </c>
      <c r="D5614" s="405"/>
      <c r="E5614" s="410">
        <v>41537</v>
      </c>
      <c r="F5614" s="410">
        <v>41582</v>
      </c>
      <c r="G5614" s="405" t="s">
        <v>13033</v>
      </c>
      <c r="H5614" s="405">
        <v>777397126</v>
      </c>
      <c r="I5614" s="405"/>
      <c r="J5614" s="405">
        <v>0.75351400000000002</v>
      </c>
      <c r="K5614" s="405">
        <v>33.920282</v>
      </c>
      <c r="L5614" s="405" t="s">
        <v>6866</v>
      </c>
      <c r="M5614" s="405" t="s">
        <v>9534</v>
      </c>
      <c r="N5614" s="405" t="s">
        <v>10085</v>
      </c>
      <c r="O5614" s="405" t="s">
        <v>10922</v>
      </c>
      <c r="P5614" s="405" t="s">
        <v>13034</v>
      </c>
      <c r="Q5614" s="411">
        <v>6</v>
      </c>
      <c r="R5614" s="405" t="s">
        <v>9541</v>
      </c>
      <c r="S5614" s="405" t="s">
        <v>27294</v>
      </c>
      <c r="T5614" s="405" t="s">
        <v>865</v>
      </c>
      <c r="U5614" s="405" t="s">
        <v>866</v>
      </c>
    </row>
    <row r="5615" spans="1:21" x14ac:dyDescent="0.25">
      <c r="A5615" s="405" t="s">
        <v>310</v>
      </c>
      <c r="B5615" s="405" t="s">
        <v>4659</v>
      </c>
      <c r="C5615" s="405" t="s">
        <v>327</v>
      </c>
      <c r="D5615" s="405"/>
      <c r="E5615" s="410">
        <v>41537</v>
      </c>
      <c r="F5615" s="410">
        <v>41582</v>
      </c>
      <c r="G5615" s="405" t="s">
        <v>4660</v>
      </c>
      <c r="H5615" s="405">
        <v>772357929</v>
      </c>
      <c r="I5615" s="405">
        <v>705785533</v>
      </c>
      <c r="J5615" s="405">
        <v>0.493703</v>
      </c>
      <c r="K5615" s="405">
        <v>31.355257999999999</v>
      </c>
      <c r="L5615" s="405" t="s">
        <v>314</v>
      </c>
      <c r="M5615" s="405" t="s">
        <v>445</v>
      </c>
      <c r="N5615" s="405" t="s">
        <v>446</v>
      </c>
      <c r="O5615" s="405" t="s">
        <v>3235</v>
      </c>
      <c r="P5615" s="405" t="s">
        <v>4430</v>
      </c>
      <c r="Q5615" s="411">
        <v>6</v>
      </c>
      <c r="R5615" s="405" t="s">
        <v>32476</v>
      </c>
      <c r="S5615" s="405" t="s">
        <v>27041</v>
      </c>
      <c r="T5615" s="405" t="s">
        <v>32102</v>
      </c>
      <c r="U5615" s="405" t="s">
        <v>319</v>
      </c>
    </row>
    <row r="5616" spans="1:21" x14ac:dyDescent="0.25">
      <c r="A5616" s="405" t="s">
        <v>310</v>
      </c>
      <c r="B5616" s="405" t="s">
        <v>13029</v>
      </c>
      <c r="C5616" s="405" t="s">
        <v>327</v>
      </c>
      <c r="D5616" s="405"/>
      <c r="E5616" s="410">
        <v>41537</v>
      </c>
      <c r="F5616" s="410">
        <v>41582</v>
      </c>
      <c r="G5616" s="405" t="s">
        <v>13030</v>
      </c>
      <c r="H5616" s="405">
        <v>752837834</v>
      </c>
      <c r="I5616" s="405"/>
      <c r="J5616" s="405">
        <v>0.74807100000000004</v>
      </c>
      <c r="K5616" s="405">
        <v>33.924394999999997</v>
      </c>
      <c r="L5616" s="405" t="s">
        <v>6866</v>
      </c>
      <c r="M5616" s="405" t="s">
        <v>9534</v>
      </c>
      <c r="N5616" s="405" t="s">
        <v>10085</v>
      </c>
      <c r="O5616" s="405" t="s">
        <v>10922</v>
      </c>
      <c r="P5616" s="405" t="s">
        <v>13031</v>
      </c>
      <c r="Q5616" s="411">
        <v>6</v>
      </c>
      <c r="R5616" s="405" t="s">
        <v>7224</v>
      </c>
      <c r="S5616" s="405" t="s">
        <v>27107</v>
      </c>
      <c r="T5616" s="405" t="s">
        <v>32102</v>
      </c>
      <c r="U5616" s="405" t="s">
        <v>319</v>
      </c>
    </row>
    <row r="5617" spans="1:21" x14ac:dyDescent="0.25">
      <c r="A5617" s="405" t="s">
        <v>310</v>
      </c>
      <c r="B5617" s="405" t="s">
        <v>4677</v>
      </c>
      <c r="C5617" s="405" t="s">
        <v>327</v>
      </c>
      <c r="D5617" s="405"/>
      <c r="E5617" s="410">
        <v>41537</v>
      </c>
      <c r="F5617" s="410">
        <v>41582</v>
      </c>
      <c r="G5617" s="405" t="s">
        <v>4678</v>
      </c>
      <c r="H5617" s="405">
        <v>774252764</v>
      </c>
      <c r="I5617" s="405">
        <v>700285056</v>
      </c>
      <c r="J5617" s="405">
        <v>0.2823581</v>
      </c>
      <c r="K5617" s="405">
        <v>33.1402158</v>
      </c>
      <c r="L5617" s="405" t="s">
        <v>314</v>
      </c>
      <c r="M5617" s="405" t="s">
        <v>349</v>
      </c>
      <c r="N5617" s="405" t="s">
        <v>349</v>
      </c>
      <c r="O5617" s="405" t="s">
        <v>1062</v>
      </c>
      <c r="P5617" s="405" t="s">
        <v>2724</v>
      </c>
      <c r="Q5617" s="411">
        <v>6</v>
      </c>
      <c r="R5617" s="405" t="s">
        <v>32478</v>
      </c>
      <c r="S5617" s="405" t="s">
        <v>27189</v>
      </c>
      <c r="T5617" s="405" t="s">
        <v>32102</v>
      </c>
      <c r="U5617" s="405" t="s">
        <v>319</v>
      </c>
    </row>
    <row r="5618" spans="1:21" x14ac:dyDescent="0.25">
      <c r="A5618" s="405" t="s">
        <v>310</v>
      </c>
      <c r="B5618" s="405" t="s">
        <v>4661</v>
      </c>
      <c r="C5618" s="405" t="s">
        <v>327</v>
      </c>
      <c r="D5618" s="405"/>
      <c r="E5618" s="410">
        <v>41536</v>
      </c>
      <c r="F5618" s="410">
        <v>41581</v>
      </c>
      <c r="G5618" s="405" t="s">
        <v>4662</v>
      </c>
      <c r="H5618" s="405">
        <v>758449148</v>
      </c>
      <c r="I5618" s="405"/>
      <c r="J5618" s="405">
        <v>-0.35576200000000002</v>
      </c>
      <c r="K5618" s="405">
        <v>31.726492400000001</v>
      </c>
      <c r="L5618" s="405" t="s">
        <v>314</v>
      </c>
      <c r="M5618" s="405" t="s">
        <v>900</v>
      </c>
      <c r="N5618" s="405" t="s">
        <v>900</v>
      </c>
      <c r="O5618" s="405" t="s">
        <v>900</v>
      </c>
      <c r="P5618" s="405" t="s">
        <v>4599</v>
      </c>
      <c r="Q5618" s="411">
        <v>6</v>
      </c>
      <c r="R5618" s="405" t="s">
        <v>1263</v>
      </c>
      <c r="S5618" s="405" t="s">
        <v>27221</v>
      </c>
      <c r="T5618" s="405" t="s">
        <v>32102</v>
      </c>
      <c r="U5618" s="405" t="s">
        <v>319</v>
      </c>
    </row>
    <row r="5619" spans="1:21" x14ac:dyDescent="0.25">
      <c r="A5619" s="405" t="s">
        <v>310</v>
      </c>
      <c r="B5619" s="405" t="s">
        <v>4627</v>
      </c>
      <c r="C5619" s="405" t="s">
        <v>327</v>
      </c>
      <c r="D5619" s="405"/>
      <c r="E5619" s="410">
        <v>41535</v>
      </c>
      <c r="F5619" s="410">
        <v>41580</v>
      </c>
      <c r="G5619" s="405" t="s">
        <v>4628</v>
      </c>
      <c r="H5619" s="405">
        <v>753207727</v>
      </c>
      <c r="I5619" s="405"/>
      <c r="J5619" s="405">
        <v>-0.14222000000000001</v>
      </c>
      <c r="K5619" s="405">
        <v>31.652502999999999</v>
      </c>
      <c r="L5619" s="405" t="s">
        <v>314</v>
      </c>
      <c r="M5619" s="405" t="s">
        <v>1080</v>
      </c>
      <c r="N5619" s="405" t="s">
        <v>1080</v>
      </c>
      <c r="O5619" s="405" t="s">
        <v>3814</v>
      </c>
      <c r="P5619" s="405" t="s">
        <v>4629</v>
      </c>
      <c r="Q5619" s="411">
        <v>13</v>
      </c>
      <c r="R5619" s="405" t="s">
        <v>1263</v>
      </c>
      <c r="S5619" s="405" t="s">
        <v>27223</v>
      </c>
      <c r="T5619" s="405" t="s">
        <v>32102</v>
      </c>
      <c r="U5619" s="405" t="s">
        <v>319</v>
      </c>
    </row>
    <row r="5620" spans="1:21" x14ac:dyDescent="0.25">
      <c r="A5620" s="405" t="s">
        <v>310</v>
      </c>
      <c r="B5620" s="405" t="s">
        <v>29049</v>
      </c>
      <c r="C5620" s="405" t="s">
        <v>311</v>
      </c>
      <c r="D5620" s="405" t="s">
        <v>839</v>
      </c>
      <c r="E5620" s="410">
        <v>41535</v>
      </c>
      <c r="F5620" s="410">
        <v>41580</v>
      </c>
      <c r="G5620" s="405" t="s">
        <v>5163</v>
      </c>
      <c r="H5620" s="405">
        <v>777809150</v>
      </c>
      <c r="I5620" s="405">
        <v>752320588</v>
      </c>
      <c r="J5620" s="405">
        <v>0.2823581</v>
      </c>
      <c r="K5620" s="405">
        <v>33.1402158</v>
      </c>
      <c r="L5620" s="405" t="s">
        <v>314</v>
      </c>
      <c r="M5620" s="405" t="s">
        <v>349</v>
      </c>
      <c r="N5620" s="405" t="s">
        <v>349</v>
      </c>
      <c r="O5620" s="405" t="s">
        <v>1062</v>
      </c>
      <c r="P5620" s="405" t="s">
        <v>2918</v>
      </c>
      <c r="Q5620" s="411">
        <v>6</v>
      </c>
      <c r="R5620" s="405" t="s">
        <v>333</v>
      </c>
      <c r="S5620" s="405" t="s">
        <v>27108</v>
      </c>
      <c r="T5620" s="405" t="s">
        <v>32102</v>
      </c>
      <c r="U5620" s="405" t="s">
        <v>319</v>
      </c>
    </row>
    <row r="5621" spans="1:21" x14ac:dyDescent="0.25">
      <c r="A5621" s="405" t="s">
        <v>310</v>
      </c>
      <c r="B5621" s="405" t="s">
        <v>4667</v>
      </c>
      <c r="C5621" s="405" t="s">
        <v>327</v>
      </c>
      <c r="D5621" s="405"/>
      <c r="E5621" s="410">
        <v>41534</v>
      </c>
      <c r="F5621" s="410">
        <v>41579</v>
      </c>
      <c r="G5621" s="405" t="s">
        <v>4668</v>
      </c>
      <c r="H5621" s="405">
        <v>702718097</v>
      </c>
      <c r="I5621" s="405"/>
      <c r="J5621" s="405">
        <v>-0.35471639999999999</v>
      </c>
      <c r="K5621" s="405">
        <v>31.713612900000001</v>
      </c>
      <c r="L5621" s="405" t="s">
        <v>314</v>
      </c>
      <c r="M5621" s="405" t="s">
        <v>382</v>
      </c>
      <c r="N5621" s="405" t="s">
        <v>988</v>
      </c>
      <c r="O5621" s="405" t="s">
        <v>1032</v>
      </c>
      <c r="P5621" s="405" t="s">
        <v>1400</v>
      </c>
      <c r="Q5621" s="411">
        <v>9</v>
      </c>
      <c r="R5621" s="405" t="s">
        <v>1263</v>
      </c>
      <c r="S5621" s="405" t="s">
        <v>27117</v>
      </c>
      <c r="T5621" s="405" t="s">
        <v>32102</v>
      </c>
      <c r="U5621" s="405" t="s">
        <v>319</v>
      </c>
    </row>
    <row r="5622" spans="1:21" x14ac:dyDescent="0.25">
      <c r="A5622" s="405" t="s">
        <v>310</v>
      </c>
      <c r="B5622" s="405" t="s">
        <v>27539</v>
      </c>
      <c r="C5622" s="405" t="s">
        <v>327</v>
      </c>
      <c r="D5622" s="405"/>
      <c r="E5622" s="410">
        <v>41534</v>
      </c>
      <c r="F5622" s="410">
        <v>41579</v>
      </c>
      <c r="G5622" s="405" t="s">
        <v>13108</v>
      </c>
      <c r="H5622" s="405">
        <v>777255412</v>
      </c>
      <c r="I5622" s="405"/>
      <c r="J5622" s="405">
        <v>1.4898499999999999</v>
      </c>
      <c r="K5622" s="405">
        <v>33.980685000000001</v>
      </c>
      <c r="L5622" s="405" t="s">
        <v>6866</v>
      </c>
      <c r="M5622" s="405" t="s">
        <v>10029</v>
      </c>
      <c r="N5622" s="405" t="s">
        <v>10029</v>
      </c>
      <c r="O5622" s="405" t="s">
        <v>10545</v>
      </c>
      <c r="P5622" s="405" t="s">
        <v>13109</v>
      </c>
      <c r="Q5622" s="411">
        <v>4</v>
      </c>
      <c r="R5622" s="405" t="s">
        <v>9541</v>
      </c>
      <c r="S5622" s="405" t="s">
        <v>27297</v>
      </c>
      <c r="T5622" s="405" t="s">
        <v>865</v>
      </c>
      <c r="U5622" s="405" t="s">
        <v>866</v>
      </c>
    </row>
    <row r="5623" spans="1:21" x14ac:dyDescent="0.25">
      <c r="A5623" s="405" t="s">
        <v>310</v>
      </c>
      <c r="B5623" s="405" t="s">
        <v>13128</v>
      </c>
      <c r="C5623" s="405" t="s">
        <v>327</v>
      </c>
      <c r="D5623" s="405"/>
      <c r="E5623" s="410">
        <v>41534</v>
      </c>
      <c r="F5623" s="410">
        <v>41579</v>
      </c>
      <c r="G5623" s="405" t="s">
        <v>13129</v>
      </c>
      <c r="H5623" s="405">
        <v>706048969</v>
      </c>
      <c r="I5623" s="405"/>
      <c r="J5623" s="405">
        <v>1.1158950000000001</v>
      </c>
      <c r="K5623" s="405">
        <v>33.853172999999998</v>
      </c>
      <c r="L5623" s="405" t="s">
        <v>6866</v>
      </c>
      <c r="M5623" s="405" t="s">
        <v>10152</v>
      </c>
      <c r="N5623" s="405" t="s">
        <v>10153</v>
      </c>
      <c r="O5623" s="405" t="s">
        <v>4432</v>
      </c>
      <c r="P5623" s="405" t="s">
        <v>13130</v>
      </c>
      <c r="Q5623" s="411">
        <v>4</v>
      </c>
      <c r="R5623" s="405" t="s">
        <v>9541</v>
      </c>
      <c r="S5623" s="405" t="s">
        <v>27296</v>
      </c>
      <c r="T5623" s="405" t="s">
        <v>32102</v>
      </c>
      <c r="U5623" s="405" t="s">
        <v>319</v>
      </c>
    </row>
    <row r="5624" spans="1:21" x14ac:dyDescent="0.25">
      <c r="A5624" s="405" t="s">
        <v>310</v>
      </c>
      <c r="B5624" s="405" t="s">
        <v>4597</v>
      </c>
      <c r="C5624" s="405" t="s">
        <v>327</v>
      </c>
      <c r="D5624" s="405"/>
      <c r="E5624" s="410">
        <v>41533</v>
      </c>
      <c r="F5624" s="410">
        <v>41578</v>
      </c>
      <c r="G5624" s="405" t="s">
        <v>4598</v>
      </c>
      <c r="H5624" s="405">
        <v>752451636</v>
      </c>
      <c r="I5624" s="405">
        <v>778301169</v>
      </c>
      <c r="J5624" s="405">
        <v>-0.35576200000000002</v>
      </c>
      <c r="K5624" s="405">
        <v>31.726492400000001</v>
      </c>
      <c r="L5624" s="405" t="s">
        <v>314</v>
      </c>
      <c r="M5624" s="405" t="s">
        <v>900</v>
      </c>
      <c r="N5624" s="405" t="s">
        <v>900</v>
      </c>
      <c r="O5624" s="405" t="s">
        <v>900</v>
      </c>
      <c r="P5624" s="405" t="s">
        <v>4599</v>
      </c>
      <c r="Q5624" s="411">
        <v>6</v>
      </c>
      <c r="R5624" s="405" t="s">
        <v>1263</v>
      </c>
      <c r="S5624" s="405" t="s">
        <v>27145</v>
      </c>
      <c r="T5624" s="405" t="s">
        <v>865</v>
      </c>
      <c r="U5624" s="405" t="s">
        <v>866</v>
      </c>
    </row>
    <row r="5625" spans="1:21" x14ac:dyDescent="0.25">
      <c r="A5625" s="405" t="s">
        <v>310</v>
      </c>
      <c r="B5625" s="405" t="s">
        <v>12989</v>
      </c>
      <c r="C5625" s="405" t="s">
        <v>327</v>
      </c>
      <c r="D5625" s="405"/>
      <c r="E5625" s="410">
        <v>41532</v>
      </c>
      <c r="F5625" s="410">
        <v>41577</v>
      </c>
      <c r="G5625" s="405" t="s">
        <v>12990</v>
      </c>
      <c r="H5625" s="405">
        <v>702616915</v>
      </c>
      <c r="I5625" s="405"/>
      <c r="J5625" s="405">
        <v>0.67781400000000003</v>
      </c>
      <c r="K5625" s="405">
        <v>34.182589999999998</v>
      </c>
      <c r="L5625" s="405" t="s">
        <v>6866</v>
      </c>
      <c r="M5625" s="405" t="s">
        <v>9534</v>
      </c>
      <c r="N5625" s="405" t="s">
        <v>10065</v>
      </c>
      <c r="O5625" s="405" t="s">
        <v>6748</v>
      </c>
      <c r="P5625" s="405" t="s">
        <v>12991</v>
      </c>
      <c r="Q5625" s="411">
        <v>9</v>
      </c>
      <c r="R5625" s="405" t="s">
        <v>7224</v>
      </c>
      <c r="S5625" s="405" t="s">
        <v>27259</v>
      </c>
      <c r="T5625" s="405" t="s">
        <v>32102</v>
      </c>
      <c r="U5625" s="405" t="s">
        <v>319</v>
      </c>
    </row>
    <row r="5626" spans="1:21" x14ac:dyDescent="0.25">
      <c r="A5626" s="405" t="s">
        <v>310</v>
      </c>
      <c r="B5626" s="405" t="s">
        <v>12915</v>
      </c>
      <c r="C5626" s="405" t="s">
        <v>327</v>
      </c>
      <c r="D5626" s="405"/>
      <c r="E5626" s="410">
        <v>41532</v>
      </c>
      <c r="F5626" s="410">
        <v>41577</v>
      </c>
      <c r="G5626" s="405" t="s">
        <v>12916</v>
      </c>
      <c r="H5626" s="405">
        <v>784885485</v>
      </c>
      <c r="I5626" s="405"/>
      <c r="J5626" s="405">
        <v>0.743448</v>
      </c>
      <c r="K5626" s="405">
        <v>33.946460000000002</v>
      </c>
      <c r="L5626" s="405" t="s">
        <v>6866</v>
      </c>
      <c r="M5626" s="405" t="s">
        <v>9534</v>
      </c>
      <c r="N5626" s="405" t="s">
        <v>10085</v>
      </c>
      <c r="O5626" s="405" t="s">
        <v>10922</v>
      </c>
      <c r="P5626" s="405" t="s">
        <v>12917</v>
      </c>
      <c r="Q5626" s="411">
        <v>6</v>
      </c>
      <c r="R5626" s="405" t="s">
        <v>9541</v>
      </c>
      <c r="S5626" s="405" t="s">
        <v>27297</v>
      </c>
      <c r="T5626" s="405" t="s">
        <v>32212</v>
      </c>
      <c r="U5626" s="405" t="s">
        <v>2267</v>
      </c>
    </row>
    <row r="5627" spans="1:21" x14ac:dyDescent="0.25">
      <c r="A5627" s="405" t="s">
        <v>310</v>
      </c>
      <c r="B5627" s="405" t="s">
        <v>13000</v>
      </c>
      <c r="C5627" s="405" t="s">
        <v>327</v>
      </c>
      <c r="D5627" s="405"/>
      <c r="E5627" s="410">
        <v>41531</v>
      </c>
      <c r="F5627" s="410">
        <v>41576</v>
      </c>
      <c r="G5627" s="405" t="s">
        <v>13001</v>
      </c>
      <c r="H5627" s="405">
        <v>772553778</v>
      </c>
      <c r="I5627" s="405"/>
      <c r="J5627" s="405">
        <v>1.4037569999999999</v>
      </c>
      <c r="K5627" s="405">
        <v>34.458821999999998</v>
      </c>
      <c r="L5627" s="405" t="s">
        <v>6866</v>
      </c>
      <c r="M5627" s="405" t="s">
        <v>9685</v>
      </c>
      <c r="N5627" s="405" t="s">
        <v>10294</v>
      </c>
      <c r="O5627" s="405" t="s">
        <v>13002</v>
      </c>
      <c r="P5627" s="405" t="s">
        <v>13003</v>
      </c>
      <c r="Q5627" s="411">
        <v>6</v>
      </c>
      <c r="R5627" s="405" t="s">
        <v>9506</v>
      </c>
      <c r="S5627" s="405" t="s">
        <v>27169</v>
      </c>
      <c r="T5627" s="405" t="s">
        <v>32102</v>
      </c>
      <c r="U5627" s="405" t="s">
        <v>319</v>
      </c>
    </row>
    <row r="5628" spans="1:21" x14ac:dyDescent="0.25">
      <c r="A5628" s="405" t="s">
        <v>310</v>
      </c>
      <c r="B5628" s="405" t="s">
        <v>4577</v>
      </c>
      <c r="C5628" s="405" t="s">
        <v>327</v>
      </c>
      <c r="D5628" s="405"/>
      <c r="E5628" s="410">
        <v>41531</v>
      </c>
      <c r="F5628" s="410">
        <v>41576</v>
      </c>
      <c r="G5628" s="405" t="s">
        <v>4578</v>
      </c>
      <c r="H5628" s="405">
        <v>752645538</v>
      </c>
      <c r="I5628" s="405"/>
      <c r="J5628" s="405">
        <v>0.36838900000000002</v>
      </c>
      <c r="K5628" s="405">
        <v>32.625434200000001</v>
      </c>
      <c r="L5628" s="405" t="s">
        <v>314</v>
      </c>
      <c r="M5628" s="405" t="s">
        <v>992</v>
      </c>
      <c r="N5628" s="405" t="s">
        <v>362</v>
      </c>
      <c r="O5628" s="405" t="s">
        <v>3043</v>
      </c>
      <c r="P5628" s="405" t="s">
        <v>4579</v>
      </c>
      <c r="Q5628" s="411">
        <v>6</v>
      </c>
      <c r="R5628" s="405" t="s">
        <v>353</v>
      </c>
      <c r="S5628" s="405" t="s">
        <v>27153</v>
      </c>
      <c r="T5628" s="405" t="s">
        <v>884</v>
      </c>
      <c r="U5628" s="405" t="s">
        <v>319</v>
      </c>
    </row>
    <row r="5629" spans="1:21" x14ac:dyDescent="0.25">
      <c r="A5629" s="405" t="s">
        <v>310</v>
      </c>
      <c r="B5629" s="405" t="s">
        <v>28639</v>
      </c>
      <c r="C5629" s="405" t="s">
        <v>327</v>
      </c>
      <c r="D5629" s="405"/>
      <c r="E5629" s="410">
        <v>41529</v>
      </c>
      <c r="F5629" s="410">
        <v>41574</v>
      </c>
      <c r="G5629" s="405" t="s">
        <v>4507</v>
      </c>
      <c r="H5629" s="405">
        <v>751659269</v>
      </c>
      <c r="I5629" s="405">
        <v>772762665</v>
      </c>
      <c r="J5629" s="405">
        <v>-0.42177500000000001</v>
      </c>
      <c r="K5629" s="405">
        <v>31.713712999999998</v>
      </c>
      <c r="L5629" s="405" t="s">
        <v>314</v>
      </c>
      <c r="M5629" s="405" t="s">
        <v>382</v>
      </c>
      <c r="N5629" s="405" t="s">
        <v>941</v>
      </c>
      <c r="O5629" s="405" t="s">
        <v>1260</v>
      </c>
      <c r="P5629" s="405" t="s">
        <v>4508</v>
      </c>
      <c r="Q5629" s="411">
        <v>13</v>
      </c>
      <c r="R5629" s="405" t="s">
        <v>1263</v>
      </c>
      <c r="S5629" s="405" t="s">
        <v>27045</v>
      </c>
      <c r="T5629" s="405" t="s">
        <v>865</v>
      </c>
      <c r="U5629" s="405" t="s">
        <v>866</v>
      </c>
    </row>
    <row r="5630" spans="1:21" x14ac:dyDescent="0.25">
      <c r="A5630" s="405" t="s">
        <v>310</v>
      </c>
      <c r="B5630" s="405" t="s">
        <v>4534</v>
      </c>
      <c r="C5630" s="405" t="s">
        <v>327</v>
      </c>
      <c r="D5630" s="405"/>
      <c r="E5630" s="410">
        <v>41529</v>
      </c>
      <c r="F5630" s="410">
        <v>41574</v>
      </c>
      <c r="G5630" s="405" t="s">
        <v>4535</v>
      </c>
      <c r="H5630" s="405">
        <v>752564083</v>
      </c>
      <c r="I5630" s="405">
        <v>704587747</v>
      </c>
      <c r="J5630" s="405">
        <v>-0.25074200000000002</v>
      </c>
      <c r="K5630" s="405">
        <v>31.810175000000001</v>
      </c>
      <c r="L5630" s="405" t="s">
        <v>314</v>
      </c>
      <c r="M5630" s="405" t="s">
        <v>382</v>
      </c>
      <c r="N5630" s="405" t="s">
        <v>1076</v>
      </c>
      <c r="O5630" s="405" t="s">
        <v>1076</v>
      </c>
      <c r="P5630" s="405" t="s">
        <v>4536</v>
      </c>
      <c r="Q5630" s="411">
        <v>9</v>
      </c>
      <c r="R5630" s="405" t="s">
        <v>1263</v>
      </c>
      <c r="S5630" s="405" t="s">
        <v>27170</v>
      </c>
      <c r="T5630" s="405" t="s">
        <v>32212</v>
      </c>
      <c r="U5630" s="405" t="s">
        <v>2267</v>
      </c>
    </row>
    <row r="5631" spans="1:21" x14ac:dyDescent="0.25">
      <c r="A5631" s="405" t="s">
        <v>310</v>
      </c>
      <c r="B5631" s="405" t="s">
        <v>13010</v>
      </c>
      <c r="C5631" s="405" t="s">
        <v>327</v>
      </c>
      <c r="D5631" s="405"/>
      <c r="E5631" s="410">
        <v>41529</v>
      </c>
      <c r="F5631" s="410">
        <v>41574</v>
      </c>
      <c r="G5631" s="405" t="s">
        <v>13011</v>
      </c>
      <c r="H5631" s="405">
        <v>774195312</v>
      </c>
      <c r="I5631" s="405"/>
      <c r="J5631" s="405">
        <v>0.30965199999999998</v>
      </c>
      <c r="K5631" s="405">
        <v>33.971432</v>
      </c>
      <c r="L5631" s="405" t="s">
        <v>6866</v>
      </c>
      <c r="M5631" s="405" t="s">
        <v>10390</v>
      </c>
      <c r="N5631" s="405" t="s">
        <v>10391</v>
      </c>
      <c r="O5631" s="405" t="s">
        <v>10392</v>
      </c>
      <c r="P5631" s="405" t="s">
        <v>13012</v>
      </c>
      <c r="Q5631" s="411">
        <v>6</v>
      </c>
      <c r="R5631" s="405" t="s">
        <v>7224</v>
      </c>
      <c r="S5631" s="405" t="s">
        <v>17013</v>
      </c>
      <c r="T5631" s="405" t="s">
        <v>32212</v>
      </c>
      <c r="U5631" s="405" t="s">
        <v>2267</v>
      </c>
    </row>
    <row r="5632" spans="1:21" x14ac:dyDescent="0.25">
      <c r="A5632" s="405" t="s">
        <v>310</v>
      </c>
      <c r="B5632" s="405" t="s">
        <v>4493</v>
      </c>
      <c r="C5632" s="405" t="s">
        <v>327</v>
      </c>
      <c r="D5632" s="405"/>
      <c r="E5632" s="410">
        <v>41528</v>
      </c>
      <c r="F5632" s="410">
        <v>41573</v>
      </c>
      <c r="G5632" s="405" t="s">
        <v>4494</v>
      </c>
      <c r="H5632" s="405">
        <v>789735508</v>
      </c>
      <c r="I5632" s="405">
        <v>756316131</v>
      </c>
      <c r="J5632" s="405">
        <v>-0.38357999999999998</v>
      </c>
      <c r="K5632" s="405">
        <v>31.474924999999999</v>
      </c>
      <c r="L5632" s="405" t="s">
        <v>314</v>
      </c>
      <c r="M5632" s="405" t="s">
        <v>1189</v>
      </c>
      <c r="N5632" s="405" t="s">
        <v>1552</v>
      </c>
      <c r="O5632" s="405" t="s">
        <v>4495</v>
      </c>
      <c r="P5632" s="405" t="s">
        <v>4496</v>
      </c>
      <c r="Q5632" s="411">
        <v>9</v>
      </c>
      <c r="R5632" s="405" t="s">
        <v>1263</v>
      </c>
      <c r="S5632" s="405" t="s">
        <v>27041</v>
      </c>
      <c r="T5632" s="405" t="s">
        <v>32102</v>
      </c>
      <c r="U5632" s="405" t="s">
        <v>319</v>
      </c>
    </row>
    <row r="5633" spans="1:21" x14ac:dyDescent="0.25">
      <c r="A5633" s="405" t="s">
        <v>310</v>
      </c>
      <c r="B5633" s="405" t="s">
        <v>4545</v>
      </c>
      <c r="C5633" s="405" t="s">
        <v>327</v>
      </c>
      <c r="D5633" s="405"/>
      <c r="E5633" s="410">
        <v>41528</v>
      </c>
      <c r="F5633" s="410">
        <v>41573</v>
      </c>
      <c r="G5633" s="405" t="s">
        <v>4546</v>
      </c>
      <c r="H5633" s="405">
        <v>776397870</v>
      </c>
      <c r="I5633" s="405">
        <v>701363164</v>
      </c>
      <c r="J5633" s="405">
        <v>-0.12510950000000001</v>
      </c>
      <c r="K5633" s="405">
        <v>31.911950900000001</v>
      </c>
      <c r="L5633" s="405" t="s">
        <v>314</v>
      </c>
      <c r="M5633" s="405" t="s">
        <v>900</v>
      </c>
      <c r="N5633" s="405" t="s">
        <v>900</v>
      </c>
      <c r="O5633" s="405" t="s">
        <v>900</v>
      </c>
      <c r="P5633" s="405" t="s">
        <v>3977</v>
      </c>
      <c r="Q5633" s="411">
        <v>9</v>
      </c>
      <c r="R5633" s="405" t="s">
        <v>1263</v>
      </c>
      <c r="S5633" s="405" t="s">
        <v>27045</v>
      </c>
      <c r="T5633" s="405" t="s">
        <v>865</v>
      </c>
      <c r="U5633" s="405" t="s">
        <v>866</v>
      </c>
    </row>
    <row r="5634" spans="1:21" x14ac:dyDescent="0.25">
      <c r="A5634" s="405" t="s">
        <v>310</v>
      </c>
      <c r="B5634" s="405" t="s">
        <v>21396</v>
      </c>
      <c r="C5634" s="405" t="s">
        <v>327</v>
      </c>
      <c r="D5634" s="405"/>
      <c r="E5634" s="410">
        <v>41527</v>
      </c>
      <c r="F5634" s="410">
        <v>41572</v>
      </c>
      <c r="G5634" s="405" t="s">
        <v>21397</v>
      </c>
      <c r="H5634" s="405">
        <v>7726233953</v>
      </c>
      <c r="I5634" s="405"/>
      <c r="J5634" s="405">
        <v>1.3637680000000001</v>
      </c>
      <c r="K5634" s="405">
        <v>31.295092</v>
      </c>
      <c r="L5634" s="405" t="s">
        <v>590</v>
      </c>
      <c r="M5634" s="405" t="s">
        <v>7300</v>
      </c>
      <c r="N5634" s="405" t="s">
        <v>19880</v>
      </c>
      <c r="O5634" s="405" t="s">
        <v>20451</v>
      </c>
      <c r="P5634" s="405" t="s">
        <v>21398</v>
      </c>
      <c r="Q5634" s="411">
        <v>13</v>
      </c>
      <c r="R5634" s="405" t="s">
        <v>318</v>
      </c>
      <c r="S5634" s="405" t="s">
        <v>27174</v>
      </c>
      <c r="T5634" s="405" t="s">
        <v>865</v>
      </c>
      <c r="U5634" s="405" t="s">
        <v>866</v>
      </c>
    </row>
    <row r="5635" spans="1:21" x14ac:dyDescent="0.25">
      <c r="A5635" s="405" t="s">
        <v>310</v>
      </c>
      <c r="B5635" s="405" t="s">
        <v>4537</v>
      </c>
      <c r="C5635" s="405" t="s">
        <v>327</v>
      </c>
      <c r="D5635" s="405"/>
      <c r="E5635" s="410">
        <v>41527</v>
      </c>
      <c r="F5635" s="410">
        <v>41572</v>
      </c>
      <c r="G5635" s="405" t="s">
        <v>4538</v>
      </c>
      <c r="H5635" s="405">
        <v>700177005</v>
      </c>
      <c r="I5635" s="405"/>
      <c r="J5635" s="405">
        <v>-0.170985</v>
      </c>
      <c r="K5635" s="405">
        <v>31.751722999999998</v>
      </c>
      <c r="L5635" s="405" t="s">
        <v>314</v>
      </c>
      <c r="M5635" s="405" t="s">
        <v>900</v>
      </c>
      <c r="N5635" s="405" t="s">
        <v>1119</v>
      </c>
      <c r="O5635" s="405" t="s">
        <v>900</v>
      </c>
      <c r="P5635" s="405" t="s">
        <v>4539</v>
      </c>
      <c r="Q5635" s="411">
        <v>13</v>
      </c>
      <c r="R5635" s="405" t="s">
        <v>1263</v>
      </c>
      <c r="S5635" s="405" t="s">
        <v>27236</v>
      </c>
      <c r="T5635" s="405" t="s">
        <v>32212</v>
      </c>
      <c r="U5635" s="405" t="s">
        <v>2267</v>
      </c>
    </row>
    <row r="5636" spans="1:21" x14ac:dyDescent="0.25">
      <c r="A5636" s="405" t="s">
        <v>310</v>
      </c>
      <c r="B5636" s="405" t="s">
        <v>4520</v>
      </c>
      <c r="C5636" s="405" t="s">
        <v>327</v>
      </c>
      <c r="D5636" s="405"/>
      <c r="E5636" s="410">
        <v>41527</v>
      </c>
      <c r="F5636" s="410">
        <v>41572</v>
      </c>
      <c r="G5636" s="405" t="s">
        <v>4521</v>
      </c>
      <c r="H5636" s="405">
        <v>777238993</v>
      </c>
      <c r="I5636" s="405">
        <v>754238993</v>
      </c>
      <c r="J5636" s="405">
        <v>0.29769999999999996</v>
      </c>
      <c r="K5636" s="405">
        <v>33.132083333333334</v>
      </c>
      <c r="L5636" s="405" t="s">
        <v>314</v>
      </c>
      <c r="M5636" s="405" t="s">
        <v>349</v>
      </c>
      <c r="N5636" s="405" t="s">
        <v>349</v>
      </c>
      <c r="O5636" s="405" t="s">
        <v>1062</v>
      </c>
      <c r="P5636" s="405" t="s">
        <v>2918</v>
      </c>
      <c r="Q5636" s="411">
        <v>6</v>
      </c>
      <c r="R5636" s="405" t="s">
        <v>1263</v>
      </c>
      <c r="S5636" s="405" t="s">
        <v>27108</v>
      </c>
      <c r="T5636" s="405" t="s">
        <v>32102</v>
      </c>
      <c r="U5636" s="405" t="s">
        <v>319</v>
      </c>
    </row>
    <row r="5637" spans="1:21" x14ac:dyDescent="0.25">
      <c r="A5637" s="405" t="s">
        <v>310</v>
      </c>
      <c r="B5637" s="405" t="s">
        <v>12953</v>
      </c>
      <c r="C5637" s="405" t="s">
        <v>327</v>
      </c>
      <c r="D5637" s="405"/>
      <c r="E5637" s="410">
        <v>41527</v>
      </c>
      <c r="F5637" s="410">
        <v>41572</v>
      </c>
      <c r="G5637" s="405" t="s">
        <v>12954</v>
      </c>
      <c r="H5637" s="405">
        <v>784486019</v>
      </c>
      <c r="I5637" s="405"/>
      <c r="J5637" s="405">
        <v>1.492318</v>
      </c>
      <c r="K5637" s="405">
        <v>33.983797000000003</v>
      </c>
      <c r="L5637" s="405" t="s">
        <v>6866</v>
      </c>
      <c r="M5637" s="405" t="s">
        <v>10029</v>
      </c>
      <c r="N5637" s="405" t="s">
        <v>10029</v>
      </c>
      <c r="O5637" s="405" t="s">
        <v>10435</v>
      </c>
      <c r="P5637" s="405" t="s">
        <v>12245</v>
      </c>
      <c r="Q5637" s="411">
        <v>4</v>
      </c>
      <c r="R5637" s="405" t="s">
        <v>9541</v>
      </c>
      <c r="S5637" s="405" t="s">
        <v>27297</v>
      </c>
      <c r="T5637" s="405" t="s">
        <v>32212</v>
      </c>
      <c r="U5637" s="405" t="s">
        <v>2267</v>
      </c>
    </row>
    <row r="5638" spans="1:21" x14ac:dyDescent="0.25">
      <c r="A5638" s="405" t="s">
        <v>310</v>
      </c>
      <c r="B5638" s="405" t="s">
        <v>27855</v>
      </c>
      <c r="C5638" s="405" t="s">
        <v>327</v>
      </c>
      <c r="D5638" s="405"/>
      <c r="E5638" s="410">
        <v>41526</v>
      </c>
      <c r="F5638" s="410">
        <v>41571</v>
      </c>
      <c r="G5638" s="405" t="s">
        <v>21403</v>
      </c>
      <c r="H5638" s="405">
        <v>772862041</v>
      </c>
      <c r="I5638" s="405"/>
      <c r="J5638" s="405">
        <v>1.6859980000000001</v>
      </c>
      <c r="K5638" s="405">
        <v>31.714448999999998</v>
      </c>
      <c r="L5638" s="405" t="s">
        <v>590</v>
      </c>
      <c r="M5638" s="405" t="s">
        <v>19608</v>
      </c>
      <c r="N5638" s="405" t="s">
        <v>21404</v>
      </c>
      <c r="O5638" s="405" t="s">
        <v>21405</v>
      </c>
      <c r="P5638" s="405" t="s">
        <v>21406</v>
      </c>
      <c r="Q5638" s="411">
        <v>13</v>
      </c>
      <c r="R5638" s="405" t="s">
        <v>525</v>
      </c>
      <c r="S5638" s="405" t="s">
        <v>27126</v>
      </c>
      <c r="T5638" s="405" t="s">
        <v>32212</v>
      </c>
      <c r="U5638" s="405" t="s">
        <v>2267</v>
      </c>
    </row>
    <row r="5639" spans="1:21" x14ac:dyDescent="0.25">
      <c r="A5639" s="405" t="s">
        <v>310</v>
      </c>
      <c r="B5639" s="405" t="s">
        <v>28151</v>
      </c>
      <c r="C5639" s="405" t="s">
        <v>327</v>
      </c>
      <c r="D5639" s="405"/>
      <c r="E5639" s="410">
        <v>41526</v>
      </c>
      <c r="F5639" s="410">
        <v>41571</v>
      </c>
      <c r="G5639" s="405" t="s">
        <v>4547</v>
      </c>
      <c r="H5639" s="405">
        <v>771696911</v>
      </c>
      <c r="I5639" s="405"/>
      <c r="J5639" s="405">
        <v>-0.32714579999999999</v>
      </c>
      <c r="K5639" s="405">
        <v>31.744658399999999</v>
      </c>
      <c r="L5639" s="405" t="s">
        <v>314</v>
      </c>
      <c r="M5639" s="405" t="s">
        <v>900</v>
      </c>
      <c r="N5639" s="405" t="s">
        <v>900</v>
      </c>
      <c r="O5639" s="405" t="s">
        <v>1302</v>
      </c>
      <c r="P5639" s="405" t="s">
        <v>4548</v>
      </c>
      <c r="Q5639" s="411">
        <v>6</v>
      </c>
      <c r="R5639" s="405" t="s">
        <v>1263</v>
      </c>
      <c r="S5639" s="405" t="s">
        <v>27221</v>
      </c>
      <c r="T5639" s="405" t="s">
        <v>32102</v>
      </c>
      <c r="U5639" s="405" t="s">
        <v>319</v>
      </c>
    </row>
    <row r="5640" spans="1:21" x14ac:dyDescent="0.25">
      <c r="A5640" s="405" t="s">
        <v>310</v>
      </c>
      <c r="B5640" s="405" t="s">
        <v>4587</v>
      </c>
      <c r="C5640" s="405" t="s">
        <v>327</v>
      </c>
      <c r="D5640" s="405"/>
      <c r="E5640" s="410">
        <v>41525</v>
      </c>
      <c r="F5640" s="410">
        <v>41570</v>
      </c>
      <c r="G5640" s="405" t="s">
        <v>4588</v>
      </c>
      <c r="H5640" s="405">
        <v>772544014</v>
      </c>
      <c r="I5640" s="405"/>
      <c r="J5640" s="405">
        <v>1.31545</v>
      </c>
      <c r="K5640" s="405">
        <v>32.734929999999999</v>
      </c>
      <c r="L5640" s="405" t="s">
        <v>314</v>
      </c>
      <c r="M5640" s="405" t="s">
        <v>2512</v>
      </c>
      <c r="N5640" s="405" t="s">
        <v>2512</v>
      </c>
      <c r="O5640" s="405" t="s">
        <v>4589</v>
      </c>
      <c r="P5640" s="405" t="s">
        <v>4590</v>
      </c>
      <c r="Q5640" s="411">
        <v>9</v>
      </c>
      <c r="R5640" s="405" t="s">
        <v>32476</v>
      </c>
      <c r="S5640" s="405" t="s">
        <v>27185</v>
      </c>
      <c r="T5640" s="405" t="s">
        <v>32212</v>
      </c>
      <c r="U5640" s="405" t="s">
        <v>2267</v>
      </c>
    </row>
    <row r="5641" spans="1:21" x14ac:dyDescent="0.25">
      <c r="A5641" s="405" t="s">
        <v>310</v>
      </c>
      <c r="B5641" s="405" t="s">
        <v>27607</v>
      </c>
      <c r="C5641" s="405" t="s">
        <v>327</v>
      </c>
      <c r="D5641" s="405"/>
      <c r="E5641" s="410">
        <v>41525</v>
      </c>
      <c r="F5641" s="410">
        <v>41570</v>
      </c>
      <c r="G5641" s="405" t="s">
        <v>4503</v>
      </c>
      <c r="H5641" s="405">
        <v>774838396</v>
      </c>
      <c r="I5641" s="405">
        <v>751981353</v>
      </c>
      <c r="J5641" s="405">
        <v>-5.6750500000000002E-2</v>
      </c>
      <c r="K5641" s="405">
        <v>31.987147700000001</v>
      </c>
      <c r="L5641" s="405" t="s">
        <v>314</v>
      </c>
      <c r="M5641" s="405" t="s">
        <v>900</v>
      </c>
      <c r="N5641" s="405" t="s">
        <v>900</v>
      </c>
      <c r="O5641" s="405" t="s">
        <v>900</v>
      </c>
      <c r="P5641" s="405" t="s">
        <v>4504</v>
      </c>
      <c r="Q5641" s="411">
        <v>6</v>
      </c>
      <c r="R5641" s="405" t="s">
        <v>402</v>
      </c>
      <c r="S5641" s="405" t="s">
        <v>27052</v>
      </c>
      <c r="T5641" s="405" t="s">
        <v>32102</v>
      </c>
      <c r="U5641" s="405" t="s">
        <v>319</v>
      </c>
    </row>
    <row r="5642" spans="1:21" x14ac:dyDescent="0.25">
      <c r="A5642" s="405" t="s">
        <v>310</v>
      </c>
      <c r="B5642" s="405" t="s">
        <v>12992</v>
      </c>
      <c r="C5642" s="405" t="s">
        <v>327</v>
      </c>
      <c r="D5642" s="405"/>
      <c r="E5642" s="410">
        <v>41525</v>
      </c>
      <c r="F5642" s="410">
        <v>41570</v>
      </c>
      <c r="G5642" s="405" t="s">
        <v>12993</v>
      </c>
      <c r="H5642" s="405">
        <v>782667589</v>
      </c>
      <c r="I5642" s="405"/>
      <c r="J5642" s="405">
        <v>0.93971499999999997</v>
      </c>
      <c r="K5642" s="405">
        <v>33.119510900000002</v>
      </c>
      <c r="L5642" s="405" t="s">
        <v>6866</v>
      </c>
      <c r="M5642" s="405" t="s">
        <v>3009</v>
      </c>
      <c r="N5642" s="405" t="s">
        <v>9662</v>
      </c>
      <c r="O5642" s="405" t="s">
        <v>12994</v>
      </c>
      <c r="P5642" s="405" t="s">
        <v>12995</v>
      </c>
      <c r="Q5642" s="411">
        <v>6</v>
      </c>
      <c r="R5642" s="405" t="s">
        <v>32478</v>
      </c>
      <c r="S5642" s="405" t="s">
        <v>27113</v>
      </c>
      <c r="T5642" s="405" t="s">
        <v>32102</v>
      </c>
      <c r="U5642" s="405" t="s">
        <v>319</v>
      </c>
    </row>
    <row r="5643" spans="1:21" x14ac:dyDescent="0.25">
      <c r="A5643" s="405" t="s">
        <v>310</v>
      </c>
      <c r="B5643" s="405" t="s">
        <v>12913</v>
      </c>
      <c r="C5643" s="405" t="s">
        <v>327</v>
      </c>
      <c r="D5643" s="405"/>
      <c r="E5643" s="410">
        <v>41525</v>
      </c>
      <c r="F5643" s="410">
        <v>41570</v>
      </c>
      <c r="G5643" s="405" t="s">
        <v>12914</v>
      </c>
      <c r="H5643" s="405">
        <v>753952111</v>
      </c>
      <c r="I5643" s="405"/>
      <c r="J5643" s="405">
        <v>0.75837600000000005</v>
      </c>
      <c r="K5643" s="405">
        <v>33.943983000000003</v>
      </c>
      <c r="L5643" s="405" t="s">
        <v>6866</v>
      </c>
      <c r="M5643" s="405" t="s">
        <v>9534</v>
      </c>
      <c r="N5643" s="405" t="s">
        <v>10085</v>
      </c>
      <c r="O5643" s="405" t="s">
        <v>10922</v>
      </c>
      <c r="P5643" s="405" t="s">
        <v>11040</v>
      </c>
      <c r="Q5643" s="411">
        <v>6</v>
      </c>
      <c r="R5643" s="405" t="s">
        <v>7224</v>
      </c>
      <c r="S5643" s="405" t="s">
        <v>27259</v>
      </c>
      <c r="T5643" s="405" t="s">
        <v>32212</v>
      </c>
      <c r="U5643" s="405" t="s">
        <v>2267</v>
      </c>
    </row>
    <row r="5644" spans="1:21" x14ac:dyDescent="0.25">
      <c r="A5644" s="405" t="s">
        <v>310</v>
      </c>
      <c r="B5644" s="405" t="s">
        <v>13388</v>
      </c>
      <c r="C5644" s="405" t="s">
        <v>311</v>
      </c>
      <c r="D5644" s="405" t="s">
        <v>3381</v>
      </c>
      <c r="E5644" s="410">
        <v>41525</v>
      </c>
      <c r="F5644" s="410">
        <v>41570</v>
      </c>
      <c r="G5644" s="405" t="s">
        <v>13389</v>
      </c>
      <c r="H5644" s="405">
        <v>782081866</v>
      </c>
      <c r="I5644" s="405"/>
      <c r="J5644" s="405">
        <v>1.205667</v>
      </c>
      <c r="K5644" s="405">
        <v>34.108583000000003</v>
      </c>
      <c r="L5644" s="405" t="s">
        <v>6866</v>
      </c>
      <c r="M5644" s="405" t="s">
        <v>9504</v>
      </c>
      <c r="N5644" s="405" t="s">
        <v>9598</v>
      </c>
      <c r="O5644" s="405" t="s">
        <v>9599</v>
      </c>
      <c r="P5644" s="405" t="s">
        <v>13390</v>
      </c>
      <c r="Q5644" s="411">
        <v>6</v>
      </c>
      <c r="R5644" s="405" t="s">
        <v>9541</v>
      </c>
      <c r="S5644" s="405" t="s">
        <v>27338</v>
      </c>
      <c r="T5644" s="405" t="s">
        <v>32102</v>
      </c>
      <c r="U5644" s="405" t="s">
        <v>319</v>
      </c>
    </row>
    <row r="5645" spans="1:21" x14ac:dyDescent="0.25">
      <c r="A5645" s="405" t="s">
        <v>310</v>
      </c>
      <c r="B5645" s="405" t="s">
        <v>18770</v>
      </c>
      <c r="C5645" s="405" t="s">
        <v>327</v>
      </c>
      <c r="D5645" s="405"/>
      <c r="E5645" s="410">
        <v>41525</v>
      </c>
      <c r="F5645" s="410">
        <v>41570</v>
      </c>
      <c r="G5645" s="405" t="s">
        <v>18771</v>
      </c>
      <c r="H5645" s="405">
        <v>377882222</v>
      </c>
      <c r="I5645" s="405"/>
      <c r="J5645" s="405">
        <v>2.2654983333333334</v>
      </c>
      <c r="K5645" s="405">
        <v>32.878303333333328</v>
      </c>
      <c r="L5645" s="405" t="s">
        <v>860</v>
      </c>
      <c r="M5645" s="405" t="s">
        <v>18234</v>
      </c>
      <c r="N5645" s="405" t="s">
        <v>18655</v>
      </c>
      <c r="O5645" s="405" t="s">
        <v>18545</v>
      </c>
      <c r="P5645" s="405" t="s">
        <v>18600</v>
      </c>
      <c r="Q5645" s="411">
        <v>6</v>
      </c>
      <c r="R5645" s="405" t="s">
        <v>353</v>
      </c>
      <c r="S5645" s="405" t="s">
        <v>27114</v>
      </c>
      <c r="T5645" s="405" t="s">
        <v>32102</v>
      </c>
      <c r="U5645" s="405" t="s">
        <v>319</v>
      </c>
    </row>
    <row r="5646" spans="1:21" x14ac:dyDescent="0.25">
      <c r="A5646" s="405" t="s">
        <v>310</v>
      </c>
      <c r="B5646" s="405" t="s">
        <v>12966</v>
      </c>
      <c r="C5646" s="405" t="s">
        <v>327</v>
      </c>
      <c r="D5646" s="405"/>
      <c r="E5646" s="410">
        <v>41525</v>
      </c>
      <c r="F5646" s="410">
        <v>41570</v>
      </c>
      <c r="G5646" s="405" t="s">
        <v>12967</v>
      </c>
      <c r="H5646" s="405">
        <v>782860558</v>
      </c>
      <c r="I5646" s="405"/>
      <c r="J5646" s="405">
        <v>1.4312780000000001</v>
      </c>
      <c r="K5646" s="405">
        <v>33.803682999999999</v>
      </c>
      <c r="L5646" s="405" t="s">
        <v>6866</v>
      </c>
      <c r="M5646" s="405" t="s">
        <v>10012</v>
      </c>
      <c r="N5646" s="405" t="s">
        <v>10012</v>
      </c>
      <c r="O5646" s="405" t="s">
        <v>10012</v>
      </c>
      <c r="P5646" s="405" t="s">
        <v>12965</v>
      </c>
      <c r="Q5646" s="411">
        <v>6</v>
      </c>
      <c r="R5646" s="405" t="s">
        <v>9541</v>
      </c>
      <c r="S5646" s="405" t="s">
        <v>27294</v>
      </c>
      <c r="T5646" s="405" t="s">
        <v>32212</v>
      </c>
      <c r="U5646" s="405" t="s">
        <v>2267</v>
      </c>
    </row>
    <row r="5647" spans="1:21" x14ac:dyDescent="0.25">
      <c r="A5647" s="405" t="s">
        <v>310</v>
      </c>
      <c r="B5647" s="405" t="s">
        <v>27578</v>
      </c>
      <c r="C5647" s="405" t="s">
        <v>311</v>
      </c>
      <c r="D5647" s="405" t="s">
        <v>839</v>
      </c>
      <c r="E5647" s="410">
        <v>41524</v>
      </c>
      <c r="F5647" s="410">
        <v>41569</v>
      </c>
      <c r="G5647" s="405" t="s">
        <v>4950</v>
      </c>
      <c r="H5647" s="405">
        <v>772626296</v>
      </c>
      <c r="I5647" s="405"/>
      <c r="J5647" s="405">
        <v>8.6651800000000001E-2</v>
      </c>
      <c r="K5647" s="405">
        <v>32.139915600000002</v>
      </c>
      <c r="L5647" s="405" t="s">
        <v>314</v>
      </c>
      <c r="M5647" s="405" t="s">
        <v>321</v>
      </c>
      <c r="N5647" s="405" t="s">
        <v>322</v>
      </c>
      <c r="O5647" s="405" t="s">
        <v>476</v>
      </c>
      <c r="P5647" s="405" t="s">
        <v>4951</v>
      </c>
      <c r="Q5647" s="411">
        <v>13</v>
      </c>
      <c r="R5647" s="405" t="s">
        <v>1263</v>
      </c>
      <c r="S5647" s="405" t="s">
        <v>27204</v>
      </c>
      <c r="T5647" s="405" t="s">
        <v>32212</v>
      </c>
      <c r="U5647" s="405" t="s">
        <v>2267</v>
      </c>
    </row>
    <row r="5648" spans="1:21" x14ac:dyDescent="0.25">
      <c r="A5648" s="405" t="s">
        <v>310</v>
      </c>
      <c r="B5648" s="405" t="s">
        <v>27998</v>
      </c>
      <c r="C5648" s="405" t="s">
        <v>327</v>
      </c>
      <c r="D5648" s="405"/>
      <c r="E5648" s="410">
        <v>41524</v>
      </c>
      <c r="F5648" s="410">
        <v>41569</v>
      </c>
      <c r="G5648" s="405" t="s">
        <v>4533</v>
      </c>
      <c r="H5648" s="405">
        <v>701141139</v>
      </c>
      <c r="I5648" s="405">
        <v>784291166</v>
      </c>
      <c r="J5648" s="405">
        <v>8.6647399999999999E-2</v>
      </c>
      <c r="K5648" s="405">
        <v>32.139909899999999</v>
      </c>
      <c r="L5648" s="405" t="s">
        <v>314</v>
      </c>
      <c r="M5648" s="405" t="s">
        <v>321</v>
      </c>
      <c r="N5648" s="405" t="s">
        <v>322</v>
      </c>
      <c r="O5648" s="405" t="s">
        <v>476</v>
      </c>
      <c r="P5648" s="405" t="s">
        <v>2810</v>
      </c>
      <c r="Q5648" s="411">
        <v>9</v>
      </c>
      <c r="R5648" s="405" t="s">
        <v>1623</v>
      </c>
      <c r="S5648" s="405" t="s">
        <v>27036</v>
      </c>
      <c r="T5648" s="405" t="s">
        <v>32102</v>
      </c>
      <c r="U5648" s="405" t="s">
        <v>319</v>
      </c>
    </row>
    <row r="5649" spans="1:21" x14ac:dyDescent="0.25">
      <c r="A5649" s="405" t="s">
        <v>310</v>
      </c>
      <c r="B5649" s="405" t="s">
        <v>27710</v>
      </c>
      <c r="C5649" s="405" t="s">
        <v>327</v>
      </c>
      <c r="D5649" s="405"/>
      <c r="E5649" s="410">
        <v>41524</v>
      </c>
      <c r="F5649" s="410">
        <v>41569</v>
      </c>
      <c r="G5649" s="405" t="s">
        <v>12943</v>
      </c>
      <c r="H5649" s="405">
        <v>772659846</v>
      </c>
      <c r="I5649" s="405"/>
      <c r="J5649" s="405">
        <v>1.76783</v>
      </c>
      <c r="K5649" s="405">
        <v>33.332810000000002</v>
      </c>
      <c r="L5649" s="405" t="s">
        <v>6866</v>
      </c>
      <c r="M5649" s="405" t="s">
        <v>12153</v>
      </c>
      <c r="N5649" s="405" t="s">
        <v>10377</v>
      </c>
      <c r="O5649" s="405" t="s">
        <v>12944</v>
      </c>
      <c r="P5649" s="405" t="s">
        <v>12945</v>
      </c>
      <c r="Q5649" s="411">
        <v>9</v>
      </c>
      <c r="R5649" s="405" t="s">
        <v>318</v>
      </c>
      <c r="S5649" s="405" t="s">
        <v>27343</v>
      </c>
      <c r="T5649" s="405" t="s">
        <v>865</v>
      </c>
      <c r="U5649" s="405" t="s">
        <v>866</v>
      </c>
    </row>
    <row r="5650" spans="1:21" x14ac:dyDescent="0.25">
      <c r="A5650" s="405" t="s">
        <v>310</v>
      </c>
      <c r="B5650" s="405" t="s">
        <v>5059</v>
      </c>
      <c r="C5650" s="405" t="s">
        <v>311</v>
      </c>
      <c r="D5650" s="405" t="s">
        <v>1789</v>
      </c>
      <c r="E5650" s="410">
        <v>41524</v>
      </c>
      <c r="F5650" s="410">
        <v>41569</v>
      </c>
      <c r="G5650" s="405" t="s">
        <v>5060</v>
      </c>
      <c r="H5650" s="405">
        <v>772592988</v>
      </c>
      <c r="I5650" s="405"/>
      <c r="J5650" s="405">
        <v>-0.42525299999999999</v>
      </c>
      <c r="K5650" s="405">
        <v>31.608000000000001</v>
      </c>
      <c r="L5650" s="405" t="s">
        <v>314</v>
      </c>
      <c r="M5650" s="405" t="s">
        <v>382</v>
      </c>
      <c r="N5650" s="405" t="s">
        <v>5061</v>
      </c>
      <c r="O5650" s="405" t="s">
        <v>894</v>
      </c>
      <c r="P5650" s="405" t="s">
        <v>919</v>
      </c>
      <c r="Q5650" s="411">
        <v>9</v>
      </c>
      <c r="R5650" s="405" t="s">
        <v>1263</v>
      </c>
      <c r="S5650" s="405" t="s">
        <v>27216</v>
      </c>
      <c r="T5650" s="405" t="s">
        <v>865</v>
      </c>
      <c r="U5650" s="405" t="s">
        <v>866</v>
      </c>
    </row>
    <row r="5651" spans="1:21" x14ac:dyDescent="0.25">
      <c r="A5651" s="405" t="s">
        <v>310</v>
      </c>
      <c r="B5651" s="405" t="s">
        <v>4490</v>
      </c>
      <c r="C5651" s="405" t="s">
        <v>327</v>
      </c>
      <c r="D5651" s="405"/>
      <c r="E5651" s="410">
        <v>41524</v>
      </c>
      <c r="F5651" s="410">
        <v>41569</v>
      </c>
      <c r="G5651" s="405" t="s">
        <v>4491</v>
      </c>
      <c r="H5651" s="405">
        <v>782431482</v>
      </c>
      <c r="I5651" s="405"/>
      <c r="J5651" s="405">
        <v>-6.8482000000000001E-2</v>
      </c>
      <c r="K5651" s="405">
        <v>31.716390000000001</v>
      </c>
      <c r="L5651" s="405" t="s">
        <v>314</v>
      </c>
      <c r="M5651" s="405" t="s">
        <v>900</v>
      </c>
      <c r="N5651" s="405" t="s">
        <v>900</v>
      </c>
      <c r="O5651" s="405" t="s">
        <v>904</v>
      </c>
      <c r="P5651" s="405" t="s">
        <v>4492</v>
      </c>
      <c r="Q5651" s="411">
        <v>6</v>
      </c>
      <c r="R5651" s="405" t="s">
        <v>318</v>
      </c>
      <c r="S5651" s="405" t="s">
        <v>27034</v>
      </c>
      <c r="T5651" s="405" t="s">
        <v>32102</v>
      </c>
      <c r="U5651" s="405" t="s">
        <v>319</v>
      </c>
    </row>
    <row r="5652" spans="1:21" x14ac:dyDescent="0.25">
      <c r="A5652" s="405" t="s">
        <v>310</v>
      </c>
      <c r="B5652" s="405" t="s">
        <v>28585</v>
      </c>
      <c r="C5652" s="405" t="s">
        <v>327</v>
      </c>
      <c r="D5652" s="405"/>
      <c r="E5652" s="410">
        <v>41523</v>
      </c>
      <c r="F5652" s="410">
        <v>41568</v>
      </c>
      <c r="G5652" s="405" t="s">
        <v>12904</v>
      </c>
      <c r="H5652" s="405">
        <v>779872016</v>
      </c>
      <c r="I5652" s="405"/>
      <c r="J5652" s="405">
        <v>1.156693</v>
      </c>
      <c r="K5652" s="405">
        <v>34.199522000000002</v>
      </c>
      <c r="L5652" s="405" t="s">
        <v>6866</v>
      </c>
      <c r="M5652" s="405" t="s">
        <v>9514</v>
      </c>
      <c r="N5652" s="405" t="s">
        <v>9722</v>
      </c>
      <c r="O5652" s="405" t="s">
        <v>9530</v>
      </c>
      <c r="P5652" s="405" t="s">
        <v>12905</v>
      </c>
      <c r="Q5652" s="411">
        <v>6</v>
      </c>
      <c r="R5652" s="405" t="s">
        <v>9506</v>
      </c>
      <c r="S5652" s="405" t="s">
        <v>27294</v>
      </c>
      <c r="T5652" s="405" t="s">
        <v>32102</v>
      </c>
      <c r="U5652" s="405" t="s">
        <v>319</v>
      </c>
    </row>
    <row r="5653" spans="1:21" x14ac:dyDescent="0.25">
      <c r="A5653" s="405" t="s">
        <v>310</v>
      </c>
      <c r="B5653" s="405" t="s">
        <v>12927</v>
      </c>
      <c r="C5653" s="405" t="s">
        <v>327</v>
      </c>
      <c r="D5653" s="405"/>
      <c r="E5653" s="410">
        <v>41523</v>
      </c>
      <c r="F5653" s="410">
        <v>41568</v>
      </c>
      <c r="G5653" s="405" t="s">
        <v>12928</v>
      </c>
      <c r="H5653" s="405">
        <v>752946553</v>
      </c>
      <c r="I5653" s="405"/>
      <c r="J5653" s="405">
        <v>0.70285799999999998</v>
      </c>
      <c r="K5653" s="405">
        <v>33.890774999999998</v>
      </c>
      <c r="L5653" s="405" t="s">
        <v>6866</v>
      </c>
      <c r="M5653" s="405" t="s">
        <v>9534</v>
      </c>
      <c r="N5653" s="405" t="s">
        <v>9997</v>
      </c>
      <c r="O5653" s="405" t="s">
        <v>10918</v>
      </c>
      <c r="P5653" s="405" t="s">
        <v>12929</v>
      </c>
      <c r="Q5653" s="411">
        <v>6</v>
      </c>
      <c r="R5653" s="405" t="s">
        <v>7224</v>
      </c>
      <c r="S5653" s="405" t="s">
        <v>27306</v>
      </c>
      <c r="T5653" s="405" t="s">
        <v>32102</v>
      </c>
      <c r="U5653" s="405" t="s">
        <v>319</v>
      </c>
    </row>
    <row r="5654" spans="1:21" x14ac:dyDescent="0.25">
      <c r="A5654" s="405" t="s">
        <v>310</v>
      </c>
      <c r="B5654" s="405" t="s">
        <v>12921</v>
      </c>
      <c r="C5654" s="405" t="s">
        <v>327</v>
      </c>
      <c r="D5654" s="405"/>
      <c r="E5654" s="410">
        <v>41522</v>
      </c>
      <c r="F5654" s="410">
        <v>41567</v>
      </c>
      <c r="G5654" s="405" t="s">
        <v>12922</v>
      </c>
      <c r="H5654" s="405">
        <v>755594125</v>
      </c>
      <c r="I5654" s="405"/>
      <c r="J5654" s="405">
        <v>0.75056199999999995</v>
      </c>
      <c r="K5654" s="405">
        <v>33.926414000000001</v>
      </c>
      <c r="L5654" s="405" t="s">
        <v>6866</v>
      </c>
      <c r="M5654" s="405" t="s">
        <v>9534</v>
      </c>
      <c r="N5654" s="405" t="s">
        <v>10085</v>
      </c>
      <c r="O5654" s="405" t="s">
        <v>10922</v>
      </c>
      <c r="P5654" s="405" t="s">
        <v>12923</v>
      </c>
      <c r="Q5654" s="411">
        <v>6</v>
      </c>
      <c r="R5654" s="405" t="s">
        <v>7224</v>
      </c>
      <c r="S5654" s="405" t="s">
        <v>27190</v>
      </c>
      <c r="T5654" s="405" t="s">
        <v>865</v>
      </c>
      <c r="U5654" s="405" t="s">
        <v>866</v>
      </c>
    </row>
    <row r="5655" spans="1:21" x14ac:dyDescent="0.25">
      <c r="A5655" s="405" t="s">
        <v>310</v>
      </c>
      <c r="B5655" s="405" t="s">
        <v>4567</v>
      </c>
      <c r="C5655" s="405" t="s">
        <v>327</v>
      </c>
      <c r="D5655" s="405"/>
      <c r="E5655" s="410">
        <v>41521</v>
      </c>
      <c r="F5655" s="410">
        <v>41566</v>
      </c>
      <c r="G5655" s="405" t="s">
        <v>4568</v>
      </c>
      <c r="H5655" s="405">
        <v>701237554</v>
      </c>
      <c r="I5655" s="405">
        <v>782237554</v>
      </c>
      <c r="J5655" s="405">
        <v>0.47381499999999999</v>
      </c>
      <c r="K5655" s="405">
        <v>31.344944999999999</v>
      </c>
      <c r="L5655" s="405" t="s">
        <v>314</v>
      </c>
      <c r="M5655" s="405" t="s">
        <v>445</v>
      </c>
      <c r="N5655" s="405" t="s">
        <v>446</v>
      </c>
      <c r="O5655" s="405" t="s">
        <v>2528</v>
      </c>
      <c r="P5655" s="405" t="s">
        <v>4569</v>
      </c>
      <c r="Q5655" s="411">
        <v>13</v>
      </c>
      <c r="R5655" s="405" t="s">
        <v>32476</v>
      </c>
      <c r="S5655" s="405" t="s">
        <v>27041</v>
      </c>
      <c r="T5655" s="405" t="s">
        <v>32102</v>
      </c>
      <c r="U5655" s="405" t="s">
        <v>319</v>
      </c>
    </row>
    <row r="5656" spans="1:21" x14ac:dyDescent="0.25">
      <c r="A5656" s="405" t="s">
        <v>310</v>
      </c>
      <c r="B5656" s="405" t="s">
        <v>4522</v>
      </c>
      <c r="C5656" s="405" t="s">
        <v>327</v>
      </c>
      <c r="D5656" s="405"/>
      <c r="E5656" s="410">
        <v>41521</v>
      </c>
      <c r="F5656" s="410">
        <v>41566</v>
      </c>
      <c r="G5656" s="405" t="s">
        <v>4523</v>
      </c>
      <c r="H5656" s="405">
        <v>392966355</v>
      </c>
      <c r="I5656" s="405"/>
      <c r="J5656" s="405">
        <v>0.83531200000000005</v>
      </c>
      <c r="K5656" s="405">
        <v>32.493678000000003</v>
      </c>
      <c r="L5656" s="405" t="s">
        <v>314</v>
      </c>
      <c r="M5656" s="405" t="s">
        <v>959</v>
      </c>
      <c r="N5656" s="405" t="s">
        <v>1094</v>
      </c>
      <c r="O5656" s="405" t="s">
        <v>4524</v>
      </c>
      <c r="P5656" s="405" t="s">
        <v>4525</v>
      </c>
      <c r="Q5656" s="411">
        <v>6</v>
      </c>
      <c r="R5656" s="405" t="s">
        <v>1263</v>
      </c>
      <c r="S5656" s="405" t="s">
        <v>2160</v>
      </c>
      <c r="T5656" s="405" t="s">
        <v>32212</v>
      </c>
      <c r="U5656" s="405" t="s">
        <v>2267</v>
      </c>
    </row>
    <row r="5657" spans="1:21" x14ac:dyDescent="0.25">
      <c r="A5657" s="405" t="s">
        <v>310</v>
      </c>
      <c r="B5657" s="405" t="s">
        <v>27666</v>
      </c>
      <c r="C5657" s="405" t="s">
        <v>311</v>
      </c>
      <c r="D5657" s="405" t="s">
        <v>839</v>
      </c>
      <c r="E5657" s="410">
        <v>41520</v>
      </c>
      <c r="F5657" s="410">
        <v>41565</v>
      </c>
      <c r="G5657" s="405" t="s">
        <v>4981</v>
      </c>
      <c r="H5657" s="405">
        <v>774392842</v>
      </c>
      <c r="I5657" s="405"/>
      <c r="J5657" s="405">
        <v>0.296155</v>
      </c>
      <c r="K5657" s="405">
        <v>33.133926666666667</v>
      </c>
      <c r="L5657" s="405" t="s">
        <v>314</v>
      </c>
      <c r="M5657" s="405" t="s">
        <v>349</v>
      </c>
      <c r="N5657" s="405" t="s">
        <v>349</v>
      </c>
      <c r="O5657" s="405" t="s">
        <v>1062</v>
      </c>
      <c r="P5657" s="405" t="s">
        <v>2918</v>
      </c>
      <c r="Q5657" s="411">
        <v>6</v>
      </c>
      <c r="R5657" s="405" t="s">
        <v>1263</v>
      </c>
      <c r="S5657" s="405" t="s">
        <v>27047</v>
      </c>
      <c r="T5657" s="405" t="s">
        <v>32212</v>
      </c>
      <c r="U5657" s="405" t="s">
        <v>2267</v>
      </c>
    </row>
    <row r="5658" spans="1:21" x14ac:dyDescent="0.25">
      <c r="A5658" s="405" t="s">
        <v>310</v>
      </c>
      <c r="B5658" s="405" t="s">
        <v>28753</v>
      </c>
      <c r="C5658" s="405" t="s">
        <v>327</v>
      </c>
      <c r="D5658" s="405"/>
      <c r="E5658" s="410">
        <v>41520</v>
      </c>
      <c r="F5658" s="410">
        <v>41565</v>
      </c>
      <c r="G5658" s="405" t="s">
        <v>12910</v>
      </c>
      <c r="H5658" s="405">
        <v>753536049</v>
      </c>
      <c r="I5658" s="405"/>
      <c r="J5658" s="405">
        <v>0.81359800000000004</v>
      </c>
      <c r="K5658" s="405">
        <v>33.941609</v>
      </c>
      <c r="L5658" s="405" t="s">
        <v>6866</v>
      </c>
      <c r="M5658" s="405" t="s">
        <v>9534</v>
      </c>
      <c r="N5658" s="405" t="s">
        <v>10085</v>
      </c>
      <c r="O5658" s="405" t="s">
        <v>10922</v>
      </c>
      <c r="P5658" s="405" t="s">
        <v>12911</v>
      </c>
      <c r="Q5658" s="411">
        <v>6</v>
      </c>
      <c r="R5658" s="405" t="s">
        <v>7224</v>
      </c>
      <c r="S5658" s="405" t="s">
        <v>27259</v>
      </c>
      <c r="T5658" s="405" t="s">
        <v>32102</v>
      </c>
      <c r="U5658" s="405" t="s">
        <v>319</v>
      </c>
    </row>
    <row r="5659" spans="1:21" x14ac:dyDescent="0.25">
      <c r="A5659" s="405" t="s">
        <v>310</v>
      </c>
      <c r="B5659" s="405" t="s">
        <v>4573</v>
      </c>
      <c r="C5659" s="405" t="s">
        <v>327</v>
      </c>
      <c r="D5659" s="405"/>
      <c r="E5659" s="410">
        <v>41520</v>
      </c>
      <c r="F5659" s="410">
        <v>41565</v>
      </c>
      <c r="G5659" s="405" t="s">
        <v>4574</v>
      </c>
      <c r="H5659" s="405">
        <v>753731369</v>
      </c>
      <c r="I5659" s="405"/>
      <c r="J5659" s="405">
        <v>-0.25267333333333331</v>
      </c>
      <c r="K5659" s="405">
        <v>31.822016666666666</v>
      </c>
      <c r="L5659" s="405" t="s">
        <v>314</v>
      </c>
      <c r="M5659" s="405" t="s">
        <v>900</v>
      </c>
      <c r="N5659" s="405" t="s">
        <v>900</v>
      </c>
      <c r="O5659" s="405" t="s">
        <v>900</v>
      </c>
      <c r="P5659" s="405" t="s">
        <v>1184</v>
      </c>
      <c r="Q5659" s="411">
        <v>6</v>
      </c>
      <c r="R5659" s="405" t="s">
        <v>1263</v>
      </c>
      <c r="S5659" s="405" t="s">
        <v>27236</v>
      </c>
      <c r="T5659" s="405" t="s">
        <v>32102</v>
      </c>
      <c r="U5659" s="405" t="s">
        <v>319</v>
      </c>
    </row>
    <row r="5660" spans="1:21" x14ac:dyDescent="0.25">
      <c r="A5660" s="405" t="s">
        <v>310</v>
      </c>
      <c r="B5660" s="405" t="s">
        <v>21416</v>
      </c>
      <c r="C5660" s="405" t="s">
        <v>327</v>
      </c>
      <c r="D5660" s="405"/>
      <c r="E5660" s="410">
        <v>41519</v>
      </c>
      <c r="F5660" s="410">
        <v>41564</v>
      </c>
      <c r="G5660" s="405" t="s">
        <v>21417</v>
      </c>
      <c r="H5660" s="405">
        <v>753320828</v>
      </c>
      <c r="I5660" s="405"/>
      <c r="J5660" s="405">
        <v>-0.19981299999999999</v>
      </c>
      <c r="K5660" s="405">
        <v>30.580393000000001</v>
      </c>
      <c r="L5660" s="405" t="s">
        <v>590</v>
      </c>
      <c r="M5660" s="405" t="s">
        <v>870</v>
      </c>
      <c r="N5660" s="405" t="s">
        <v>870</v>
      </c>
      <c r="O5660" s="405" t="s">
        <v>21418</v>
      </c>
      <c r="P5660" s="405" t="s">
        <v>21419</v>
      </c>
      <c r="Q5660" s="411">
        <v>13</v>
      </c>
      <c r="R5660" s="405" t="s">
        <v>883</v>
      </c>
      <c r="S5660" s="405" t="s">
        <v>27183</v>
      </c>
      <c r="T5660" s="405" t="s">
        <v>32102</v>
      </c>
      <c r="U5660" s="405" t="s">
        <v>319</v>
      </c>
    </row>
    <row r="5661" spans="1:21" x14ac:dyDescent="0.25">
      <c r="A5661" s="405" t="s">
        <v>310</v>
      </c>
      <c r="B5661" s="405" t="s">
        <v>33082</v>
      </c>
      <c r="C5661" s="405" t="s">
        <v>327</v>
      </c>
      <c r="D5661" s="405"/>
      <c r="E5661" s="410">
        <v>41519</v>
      </c>
      <c r="F5661" s="410">
        <v>41564</v>
      </c>
      <c r="G5661" s="405" t="s">
        <v>4529</v>
      </c>
      <c r="H5661" s="405">
        <v>774118743</v>
      </c>
      <c r="I5661" s="405"/>
      <c r="J5661" s="405">
        <v>-0.17643999999999999</v>
      </c>
      <c r="K5661" s="405">
        <v>31.737451666666669</v>
      </c>
      <c r="L5661" s="405" t="s">
        <v>314</v>
      </c>
      <c r="M5661" s="405" t="s">
        <v>900</v>
      </c>
      <c r="N5661" s="405" t="s">
        <v>900</v>
      </c>
      <c r="O5661" s="405" t="s">
        <v>900</v>
      </c>
      <c r="P5661" s="405" t="s">
        <v>4530</v>
      </c>
      <c r="Q5661" s="411">
        <v>6</v>
      </c>
      <c r="R5661" s="405" t="s">
        <v>1263</v>
      </c>
      <c r="S5661" s="405" t="s">
        <v>27234</v>
      </c>
      <c r="T5661" s="405" t="s">
        <v>32212</v>
      </c>
      <c r="U5661" s="405" t="s">
        <v>2267</v>
      </c>
    </row>
    <row r="5662" spans="1:21" x14ac:dyDescent="0.25">
      <c r="A5662" s="405" t="s">
        <v>310</v>
      </c>
      <c r="B5662" s="405" t="s">
        <v>12924</v>
      </c>
      <c r="C5662" s="405" t="s">
        <v>327</v>
      </c>
      <c r="D5662" s="405"/>
      <c r="E5662" s="410">
        <v>41519</v>
      </c>
      <c r="F5662" s="410">
        <v>41564</v>
      </c>
      <c r="G5662" s="405" t="s">
        <v>12925</v>
      </c>
      <c r="H5662" s="405">
        <v>753573057</v>
      </c>
      <c r="I5662" s="405"/>
      <c r="J5662" s="405">
        <v>0.763629</v>
      </c>
      <c r="K5662" s="405">
        <v>33.937897</v>
      </c>
      <c r="L5662" s="405" t="s">
        <v>6866</v>
      </c>
      <c r="M5662" s="405" t="s">
        <v>9534</v>
      </c>
      <c r="N5662" s="405" t="s">
        <v>10085</v>
      </c>
      <c r="O5662" s="405" t="s">
        <v>10922</v>
      </c>
      <c r="P5662" s="405" t="s">
        <v>12926</v>
      </c>
      <c r="Q5662" s="411">
        <v>6</v>
      </c>
      <c r="R5662" s="405" t="s">
        <v>9506</v>
      </c>
      <c r="S5662" s="405" t="s">
        <v>27335</v>
      </c>
      <c r="T5662" s="405" t="s">
        <v>32102</v>
      </c>
      <c r="U5662" s="405" t="s">
        <v>319</v>
      </c>
    </row>
    <row r="5663" spans="1:21" x14ac:dyDescent="0.25">
      <c r="A5663" s="405" t="s">
        <v>310</v>
      </c>
      <c r="B5663" s="405" t="s">
        <v>12963</v>
      </c>
      <c r="C5663" s="405" t="s">
        <v>327</v>
      </c>
      <c r="D5663" s="405"/>
      <c r="E5663" s="410">
        <v>41518</v>
      </c>
      <c r="F5663" s="410">
        <v>41563</v>
      </c>
      <c r="G5663" s="405" t="s">
        <v>12964</v>
      </c>
      <c r="H5663" s="405">
        <v>773046988</v>
      </c>
      <c r="I5663" s="405"/>
      <c r="J5663" s="405">
        <v>1.432898</v>
      </c>
      <c r="K5663" s="405">
        <v>33.800322000000001</v>
      </c>
      <c r="L5663" s="405" t="s">
        <v>6866</v>
      </c>
      <c r="M5663" s="405" t="s">
        <v>10012</v>
      </c>
      <c r="N5663" s="405" t="s">
        <v>10012</v>
      </c>
      <c r="O5663" s="405" t="s">
        <v>10012</v>
      </c>
      <c r="P5663" s="405" t="s">
        <v>12965</v>
      </c>
      <c r="Q5663" s="411">
        <v>6</v>
      </c>
      <c r="R5663" s="405" t="s">
        <v>9541</v>
      </c>
      <c r="S5663" s="405" t="s">
        <v>27294</v>
      </c>
      <c r="T5663" s="405" t="s">
        <v>32212</v>
      </c>
      <c r="U5663" s="405" t="s">
        <v>2267</v>
      </c>
    </row>
    <row r="5664" spans="1:21" x14ac:dyDescent="0.25">
      <c r="A5664" s="405" t="s">
        <v>310</v>
      </c>
      <c r="B5664" s="405" t="s">
        <v>28052</v>
      </c>
      <c r="C5664" s="405" t="s">
        <v>327</v>
      </c>
      <c r="D5664" s="405"/>
      <c r="E5664" s="410">
        <v>41517</v>
      </c>
      <c r="F5664" s="410">
        <v>41562</v>
      </c>
      <c r="G5664" s="405" t="s">
        <v>4540</v>
      </c>
      <c r="H5664" s="405">
        <v>774880763</v>
      </c>
      <c r="I5664" s="405"/>
      <c r="J5664" s="405">
        <v>0.39246333333333333</v>
      </c>
      <c r="K5664" s="405">
        <v>32.549446666666668</v>
      </c>
      <c r="L5664" s="405" t="s">
        <v>314</v>
      </c>
      <c r="M5664" s="405" t="s">
        <v>361</v>
      </c>
      <c r="N5664" s="405" t="s">
        <v>362</v>
      </c>
      <c r="O5664" s="405" t="s">
        <v>4268</v>
      </c>
      <c r="P5664" s="405" t="s">
        <v>4269</v>
      </c>
      <c r="Q5664" s="411">
        <v>9</v>
      </c>
      <c r="R5664" s="405" t="s">
        <v>2060</v>
      </c>
      <c r="S5664" s="405" t="s">
        <v>27219</v>
      </c>
      <c r="T5664" s="405" t="s">
        <v>865</v>
      </c>
      <c r="U5664" s="405" t="s">
        <v>866</v>
      </c>
    </row>
    <row r="5665" spans="1:21" x14ac:dyDescent="0.25">
      <c r="A5665" s="405" t="s">
        <v>310</v>
      </c>
      <c r="B5665" s="405" t="s">
        <v>21401</v>
      </c>
      <c r="C5665" s="405" t="s">
        <v>327</v>
      </c>
      <c r="D5665" s="405"/>
      <c r="E5665" s="410">
        <v>41517</v>
      </c>
      <c r="F5665" s="410">
        <v>41562</v>
      </c>
      <c r="G5665" s="405" t="s">
        <v>21402</v>
      </c>
      <c r="H5665" s="405">
        <v>775579273</v>
      </c>
      <c r="I5665" s="405"/>
      <c r="J5665" s="405">
        <v>-8.276E-2</v>
      </c>
      <c r="K5665" s="405">
        <v>30.727995</v>
      </c>
      <c r="L5665" s="405" t="s">
        <v>590</v>
      </c>
      <c r="M5665" s="405" t="s">
        <v>19705</v>
      </c>
      <c r="N5665" s="405" t="s">
        <v>2250</v>
      </c>
      <c r="O5665" s="405" t="s">
        <v>2250</v>
      </c>
      <c r="P5665" s="405" t="s">
        <v>21354</v>
      </c>
      <c r="Q5665" s="411">
        <v>9</v>
      </c>
      <c r="R5665" s="405" t="s">
        <v>874</v>
      </c>
      <c r="S5665" s="405" t="s">
        <v>27126</v>
      </c>
      <c r="T5665" s="405" t="s">
        <v>32102</v>
      </c>
      <c r="U5665" s="405" t="s">
        <v>319</v>
      </c>
    </row>
    <row r="5666" spans="1:21" x14ac:dyDescent="0.25">
      <c r="A5666" s="405" t="s">
        <v>310</v>
      </c>
      <c r="B5666" s="405" t="s">
        <v>47</v>
      </c>
      <c r="C5666" s="405" t="s">
        <v>327</v>
      </c>
      <c r="D5666" s="405"/>
      <c r="E5666" s="410">
        <v>41517</v>
      </c>
      <c r="F5666" s="410">
        <v>41562</v>
      </c>
      <c r="G5666" s="405" t="s">
        <v>4531</v>
      </c>
      <c r="H5666" s="405">
        <v>753479796</v>
      </c>
      <c r="I5666" s="405"/>
      <c r="J5666" s="405">
        <v>0.31249300000000002</v>
      </c>
      <c r="K5666" s="405">
        <v>32.527946999999998</v>
      </c>
      <c r="L5666" s="405" t="s">
        <v>314</v>
      </c>
      <c r="M5666" s="405" t="s">
        <v>992</v>
      </c>
      <c r="N5666" s="405" t="s">
        <v>362</v>
      </c>
      <c r="O5666" s="405" t="s">
        <v>2327</v>
      </c>
      <c r="P5666" s="405" t="s">
        <v>4532</v>
      </c>
      <c r="Q5666" s="411">
        <v>9</v>
      </c>
      <c r="R5666" s="405" t="s">
        <v>1263</v>
      </c>
      <c r="S5666" s="405" t="s">
        <v>27210</v>
      </c>
      <c r="T5666" s="405" t="s">
        <v>32102</v>
      </c>
      <c r="U5666" s="405" t="s">
        <v>319</v>
      </c>
    </row>
    <row r="5667" spans="1:21" x14ac:dyDescent="0.25">
      <c r="A5667" s="405" t="s">
        <v>310</v>
      </c>
      <c r="B5667" s="405" t="s">
        <v>4515</v>
      </c>
      <c r="C5667" s="405" t="s">
        <v>327</v>
      </c>
      <c r="D5667" s="405"/>
      <c r="E5667" s="410">
        <v>41517</v>
      </c>
      <c r="F5667" s="410">
        <v>41562</v>
      </c>
      <c r="G5667" s="405" t="s">
        <v>4516</v>
      </c>
      <c r="H5667" s="405">
        <v>772497928</v>
      </c>
      <c r="I5667" s="405"/>
      <c r="J5667" s="405">
        <v>0.32269199999999998</v>
      </c>
      <c r="K5667" s="405">
        <v>32.479382000000001</v>
      </c>
      <c r="L5667" s="405" t="s">
        <v>314</v>
      </c>
      <c r="M5667" s="405" t="s">
        <v>361</v>
      </c>
      <c r="N5667" s="405" t="s">
        <v>374</v>
      </c>
      <c r="O5667" s="405" t="s">
        <v>361</v>
      </c>
      <c r="P5667" s="405" t="s">
        <v>4517</v>
      </c>
      <c r="Q5667" s="411">
        <v>6</v>
      </c>
      <c r="R5667" s="405" t="s">
        <v>1263</v>
      </c>
      <c r="S5667" s="405" t="s">
        <v>27202</v>
      </c>
      <c r="T5667" s="405" t="s">
        <v>32212</v>
      </c>
      <c r="U5667" s="405" t="s">
        <v>2267</v>
      </c>
    </row>
    <row r="5668" spans="1:21" x14ac:dyDescent="0.25">
      <c r="A5668" s="405" t="s">
        <v>310</v>
      </c>
      <c r="B5668" s="405" t="s">
        <v>12937</v>
      </c>
      <c r="C5668" s="405" t="s">
        <v>327</v>
      </c>
      <c r="D5668" s="405"/>
      <c r="E5668" s="410">
        <v>41517</v>
      </c>
      <c r="F5668" s="410">
        <v>41562</v>
      </c>
      <c r="G5668" s="405" t="s">
        <v>12938</v>
      </c>
      <c r="H5668" s="405">
        <v>782697315</v>
      </c>
      <c r="I5668" s="405"/>
      <c r="J5668" s="405">
        <v>1.5292269999999999</v>
      </c>
      <c r="K5668" s="405">
        <v>33.517822000000002</v>
      </c>
      <c r="L5668" s="405" t="s">
        <v>6866</v>
      </c>
      <c r="M5668" s="405" t="s">
        <v>9658</v>
      </c>
      <c r="N5668" s="405" t="s">
        <v>9658</v>
      </c>
      <c r="O5668" s="405" t="s">
        <v>9659</v>
      </c>
      <c r="P5668" s="405" t="s">
        <v>12939</v>
      </c>
      <c r="Q5668" s="411">
        <v>6</v>
      </c>
      <c r="R5668" s="405" t="s">
        <v>5655</v>
      </c>
      <c r="S5668" s="405" t="s">
        <v>27322</v>
      </c>
      <c r="T5668" s="405" t="s">
        <v>32212</v>
      </c>
      <c r="U5668" s="405" t="s">
        <v>2267</v>
      </c>
    </row>
    <row r="5669" spans="1:21" x14ac:dyDescent="0.25">
      <c r="A5669" s="405" t="s">
        <v>310</v>
      </c>
      <c r="B5669" s="405" t="s">
        <v>4500</v>
      </c>
      <c r="C5669" s="405" t="s">
        <v>327</v>
      </c>
      <c r="D5669" s="405"/>
      <c r="E5669" s="410">
        <v>41517</v>
      </c>
      <c r="F5669" s="410">
        <v>41562</v>
      </c>
      <c r="G5669" s="405" t="s">
        <v>4501</v>
      </c>
      <c r="H5669" s="405">
        <v>772689445</v>
      </c>
      <c r="I5669" s="405"/>
      <c r="J5669" s="405">
        <v>0.39103166666666667</v>
      </c>
      <c r="K5669" s="405">
        <v>32.549058333333328</v>
      </c>
      <c r="L5669" s="405" t="s">
        <v>314</v>
      </c>
      <c r="M5669" s="405" t="s">
        <v>361</v>
      </c>
      <c r="N5669" s="405" t="s">
        <v>362</v>
      </c>
      <c r="O5669" s="405" t="s">
        <v>4268</v>
      </c>
      <c r="P5669" s="405" t="s">
        <v>4502</v>
      </c>
      <c r="Q5669" s="411">
        <v>6</v>
      </c>
      <c r="R5669" s="405" t="s">
        <v>1263</v>
      </c>
      <c r="S5669" s="405" t="s">
        <v>27059</v>
      </c>
      <c r="T5669" s="405" t="s">
        <v>32102</v>
      </c>
      <c r="U5669" s="405" t="s">
        <v>319</v>
      </c>
    </row>
    <row r="5670" spans="1:21" x14ac:dyDescent="0.25">
      <c r="A5670" s="405" t="s">
        <v>310</v>
      </c>
      <c r="B5670" s="405" t="s">
        <v>4512</v>
      </c>
      <c r="C5670" s="405" t="s">
        <v>327</v>
      </c>
      <c r="D5670" s="405"/>
      <c r="E5670" s="410">
        <v>41517</v>
      </c>
      <c r="F5670" s="410">
        <v>41562</v>
      </c>
      <c r="G5670" s="405" t="s">
        <v>4513</v>
      </c>
      <c r="H5670" s="405">
        <v>772390087</v>
      </c>
      <c r="I5670" s="405">
        <v>704526360</v>
      </c>
      <c r="J5670" s="405">
        <v>0.32438800000000001</v>
      </c>
      <c r="K5670" s="405">
        <v>32.476460000000003</v>
      </c>
      <c r="L5670" s="405" t="s">
        <v>314</v>
      </c>
      <c r="M5670" s="405" t="s">
        <v>361</v>
      </c>
      <c r="N5670" s="405" t="s">
        <v>374</v>
      </c>
      <c r="O5670" s="405" t="s">
        <v>361</v>
      </c>
      <c r="P5670" s="405" t="s">
        <v>4359</v>
      </c>
      <c r="Q5670" s="411">
        <v>6</v>
      </c>
      <c r="R5670" s="405" t="s">
        <v>1263</v>
      </c>
      <c r="S5670" s="405" t="s">
        <v>27202</v>
      </c>
      <c r="T5670" s="405" t="s">
        <v>32102</v>
      </c>
      <c r="U5670" s="405" t="s">
        <v>319</v>
      </c>
    </row>
    <row r="5671" spans="1:21" x14ac:dyDescent="0.25">
      <c r="A5671" s="405" t="s">
        <v>310</v>
      </c>
      <c r="B5671" s="405" t="s">
        <v>4602</v>
      </c>
      <c r="C5671" s="405" t="s">
        <v>327</v>
      </c>
      <c r="D5671" s="405"/>
      <c r="E5671" s="410">
        <v>41517</v>
      </c>
      <c r="F5671" s="410">
        <v>41562</v>
      </c>
      <c r="G5671" s="405" t="s">
        <v>4603</v>
      </c>
      <c r="H5671" s="405">
        <v>772355670</v>
      </c>
      <c r="I5671" s="405"/>
      <c r="J5671" s="405">
        <v>0.247832</v>
      </c>
      <c r="K5671" s="405">
        <v>32.619411999999997</v>
      </c>
      <c r="L5671" s="405" t="s">
        <v>314</v>
      </c>
      <c r="M5671" s="405" t="s">
        <v>992</v>
      </c>
      <c r="N5671" s="405" t="s">
        <v>362</v>
      </c>
      <c r="O5671" s="405" t="s">
        <v>618</v>
      </c>
      <c r="P5671" s="405" t="s">
        <v>1348</v>
      </c>
      <c r="Q5671" s="411">
        <v>6</v>
      </c>
      <c r="R5671" s="405" t="s">
        <v>353</v>
      </c>
      <c r="S5671" s="405" t="s">
        <v>27110</v>
      </c>
      <c r="T5671" s="405" t="s">
        <v>32102</v>
      </c>
      <c r="U5671" s="405" t="s">
        <v>319</v>
      </c>
    </row>
    <row r="5672" spans="1:21" x14ac:dyDescent="0.25">
      <c r="A5672" s="405" t="s">
        <v>310</v>
      </c>
      <c r="B5672" s="405" t="s">
        <v>12940</v>
      </c>
      <c r="C5672" s="405" t="s">
        <v>327</v>
      </c>
      <c r="D5672" s="405"/>
      <c r="E5672" s="410">
        <v>41517</v>
      </c>
      <c r="F5672" s="410">
        <v>41562</v>
      </c>
      <c r="G5672" s="405" t="s">
        <v>12941</v>
      </c>
      <c r="H5672" s="405">
        <v>785304485</v>
      </c>
      <c r="I5672" s="405"/>
      <c r="J5672" s="405">
        <v>1.0091639999999999</v>
      </c>
      <c r="K5672" s="405">
        <v>34.115600000000001</v>
      </c>
      <c r="L5672" s="405" t="s">
        <v>6866</v>
      </c>
      <c r="M5672" s="405" t="s">
        <v>9566</v>
      </c>
      <c r="N5672" s="405" t="s">
        <v>10001</v>
      </c>
      <c r="O5672" s="405" t="s">
        <v>11178</v>
      </c>
      <c r="P5672" s="405" t="s">
        <v>12942</v>
      </c>
      <c r="Q5672" s="411">
        <v>6</v>
      </c>
      <c r="R5672" s="405" t="s">
        <v>9541</v>
      </c>
      <c r="S5672" s="405" t="s">
        <v>27086</v>
      </c>
      <c r="T5672" s="405" t="s">
        <v>32102</v>
      </c>
      <c r="U5672" s="405" t="s">
        <v>319</v>
      </c>
    </row>
    <row r="5673" spans="1:21" x14ac:dyDescent="0.25">
      <c r="A5673" s="405" t="s">
        <v>310</v>
      </c>
      <c r="B5673" s="405" t="s">
        <v>4558</v>
      </c>
      <c r="C5673" s="405" t="s">
        <v>327</v>
      </c>
      <c r="D5673" s="405"/>
      <c r="E5673" s="410">
        <v>41517</v>
      </c>
      <c r="F5673" s="410">
        <v>41562</v>
      </c>
      <c r="G5673" s="405" t="s">
        <v>4559</v>
      </c>
      <c r="H5673" s="405">
        <v>753117672</v>
      </c>
      <c r="I5673" s="405"/>
      <c r="J5673" s="405">
        <v>0.542937</v>
      </c>
      <c r="K5673" s="405">
        <v>32.476883000000001</v>
      </c>
      <c r="L5673" s="405" t="s">
        <v>314</v>
      </c>
      <c r="M5673" s="405" t="s">
        <v>361</v>
      </c>
      <c r="N5673" s="405" t="s">
        <v>362</v>
      </c>
      <c r="O5673" s="405" t="s">
        <v>523</v>
      </c>
      <c r="P5673" s="405" t="s">
        <v>4560</v>
      </c>
      <c r="Q5673" s="411">
        <v>6</v>
      </c>
      <c r="R5673" s="405" t="s">
        <v>1263</v>
      </c>
      <c r="S5673" s="405" t="s">
        <v>27164</v>
      </c>
      <c r="T5673" s="405" t="s">
        <v>32102</v>
      </c>
      <c r="U5673" s="405" t="s">
        <v>319</v>
      </c>
    </row>
    <row r="5674" spans="1:21" x14ac:dyDescent="0.25">
      <c r="A5674" s="405" t="s">
        <v>310</v>
      </c>
      <c r="B5674" s="405" t="s">
        <v>4479</v>
      </c>
      <c r="C5674" s="405" t="s">
        <v>327</v>
      </c>
      <c r="D5674" s="405"/>
      <c r="E5674" s="410">
        <v>41517</v>
      </c>
      <c r="F5674" s="410">
        <v>41562</v>
      </c>
      <c r="G5674" s="405" t="s">
        <v>4480</v>
      </c>
      <c r="H5674" s="405">
        <v>772308264</v>
      </c>
      <c r="I5674" s="405"/>
      <c r="J5674" s="405">
        <v>0.3533326</v>
      </c>
      <c r="K5674" s="405">
        <v>32.732430399999998</v>
      </c>
      <c r="L5674" s="405" t="s">
        <v>314</v>
      </c>
      <c r="M5674" s="405" t="s">
        <v>329</v>
      </c>
      <c r="N5674" s="405" t="s">
        <v>330</v>
      </c>
      <c r="O5674" s="405" t="s">
        <v>600</v>
      </c>
      <c r="P5674" s="405" t="s">
        <v>4481</v>
      </c>
      <c r="Q5674" s="411">
        <v>6</v>
      </c>
      <c r="R5674" s="405" t="s">
        <v>318</v>
      </c>
      <c r="S5674" s="405" t="s">
        <v>27049</v>
      </c>
      <c r="T5674" s="405" t="s">
        <v>865</v>
      </c>
      <c r="U5674" s="405" t="s">
        <v>866</v>
      </c>
    </row>
    <row r="5675" spans="1:21" x14ac:dyDescent="0.25">
      <c r="A5675" s="405" t="s">
        <v>310</v>
      </c>
      <c r="B5675" s="405" t="s">
        <v>4993</v>
      </c>
      <c r="C5675" s="405" t="s">
        <v>311</v>
      </c>
      <c r="D5675" s="405" t="s">
        <v>921</v>
      </c>
      <c r="E5675" s="410">
        <v>41517</v>
      </c>
      <c r="F5675" s="410">
        <v>41562</v>
      </c>
      <c r="G5675" s="405" t="s">
        <v>4994</v>
      </c>
      <c r="H5675" s="405">
        <v>782681651</v>
      </c>
      <c r="I5675" s="405"/>
      <c r="J5675" s="405">
        <v>0.27149200000000001</v>
      </c>
      <c r="K5675" s="405">
        <v>32.467244999999998</v>
      </c>
      <c r="L5675" s="405" t="s">
        <v>314</v>
      </c>
      <c r="M5675" s="405" t="s">
        <v>361</v>
      </c>
      <c r="N5675" s="405" t="s">
        <v>374</v>
      </c>
      <c r="O5675" s="405" t="s">
        <v>375</v>
      </c>
      <c r="P5675" s="405" t="s">
        <v>4995</v>
      </c>
      <c r="Q5675" s="411">
        <v>6</v>
      </c>
      <c r="R5675" s="405" t="s">
        <v>1263</v>
      </c>
      <c r="S5675" s="405" t="s">
        <v>27036</v>
      </c>
      <c r="T5675" s="405" t="s">
        <v>32102</v>
      </c>
      <c r="U5675" s="405" t="s">
        <v>319</v>
      </c>
    </row>
    <row r="5676" spans="1:21" x14ac:dyDescent="0.25">
      <c r="A5676" s="405" t="s">
        <v>310</v>
      </c>
      <c r="B5676" s="405" t="s">
        <v>13008</v>
      </c>
      <c r="C5676" s="405" t="s">
        <v>327</v>
      </c>
      <c r="D5676" s="405"/>
      <c r="E5676" s="410">
        <v>41517</v>
      </c>
      <c r="F5676" s="410">
        <v>41562</v>
      </c>
      <c r="G5676" s="405" t="s">
        <v>13009</v>
      </c>
      <c r="H5676" s="405">
        <v>782521403</v>
      </c>
      <c r="I5676" s="405"/>
      <c r="J5676" s="405">
        <v>0.996699</v>
      </c>
      <c r="K5676" s="405">
        <v>34.347574999999999</v>
      </c>
      <c r="L5676" s="405" t="s">
        <v>6866</v>
      </c>
      <c r="M5676" s="405" t="s">
        <v>9763</v>
      </c>
      <c r="N5676" s="405" t="s">
        <v>9764</v>
      </c>
      <c r="O5676" s="405" t="s">
        <v>1590</v>
      </c>
      <c r="P5676" s="405" t="s">
        <v>9691</v>
      </c>
      <c r="Q5676" s="411">
        <v>6</v>
      </c>
      <c r="R5676" s="405" t="s">
        <v>7224</v>
      </c>
      <c r="S5676" s="405" t="s">
        <v>27306</v>
      </c>
      <c r="T5676" s="405" t="s">
        <v>32212</v>
      </c>
      <c r="U5676" s="405" t="s">
        <v>2267</v>
      </c>
    </row>
    <row r="5677" spans="1:21" x14ac:dyDescent="0.25">
      <c r="A5677" s="405" t="s">
        <v>310</v>
      </c>
      <c r="B5677" s="405" t="s">
        <v>4571</v>
      </c>
      <c r="C5677" s="405" t="s">
        <v>327</v>
      </c>
      <c r="D5677" s="405"/>
      <c r="E5677" s="410">
        <v>41517</v>
      </c>
      <c r="F5677" s="410">
        <v>41562</v>
      </c>
      <c r="G5677" s="405" t="s">
        <v>4572</v>
      </c>
      <c r="H5677" s="405">
        <v>788507798</v>
      </c>
      <c r="I5677" s="405"/>
      <c r="J5677" s="405">
        <v>0.51885333333333328</v>
      </c>
      <c r="K5677" s="405">
        <v>32.448216666666667</v>
      </c>
      <c r="L5677" s="405" t="s">
        <v>314</v>
      </c>
      <c r="M5677" s="405" t="s">
        <v>361</v>
      </c>
      <c r="N5677" s="405" t="s">
        <v>362</v>
      </c>
      <c r="O5677" s="405" t="s">
        <v>523</v>
      </c>
      <c r="P5677" s="405" t="s">
        <v>1071</v>
      </c>
      <c r="Q5677" s="411">
        <v>6</v>
      </c>
      <c r="R5677" s="405" t="s">
        <v>1263</v>
      </c>
      <c r="S5677" s="405" t="s">
        <v>27108</v>
      </c>
      <c r="T5677" s="405" t="s">
        <v>32212</v>
      </c>
      <c r="U5677" s="405" t="s">
        <v>2267</v>
      </c>
    </row>
    <row r="5678" spans="1:21" x14ac:dyDescent="0.25">
      <c r="A5678" s="405" t="s">
        <v>310</v>
      </c>
      <c r="B5678" s="405" t="s">
        <v>12958</v>
      </c>
      <c r="C5678" s="405" t="s">
        <v>327</v>
      </c>
      <c r="D5678" s="405"/>
      <c r="E5678" s="410">
        <v>41517</v>
      </c>
      <c r="F5678" s="410">
        <v>41562</v>
      </c>
      <c r="G5678" s="405" t="s">
        <v>12959</v>
      </c>
      <c r="H5678" s="405">
        <v>774005335</v>
      </c>
      <c r="I5678" s="405"/>
      <c r="J5678" s="405">
        <v>1.612455</v>
      </c>
      <c r="K5678" s="405">
        <v>34.009346999999998</v>
      </c>
      <c r="L5678" s="405" t="s">
        <v>6866</v>
      </c>
      <c r="M5678" s="405" t="s">
        <v>10029</v>
      </c>
      <c r="N5678" s="405" t="s">
        <v>10029</v>
      </c>
      <c r="O5678" s="405" t="s">
        <v>10435</v>
      </c>
      <c r="P5678" s="405" t="s">
        <v>12960</v>
      </c>
      <c r="Q5678" s="411">
        <v>6</v>
      </c>
      <c r="R5678" s="405" t="s">
        <v>7224</v>
      </c>
      <c r="S5678" s="405" t="s">
        <v>27190</v>
      </c>
      <c r="T5678" s="405" t="s">
        <v>32102</v>
      </c>
      <c r="U5678" s="405" t="s">
        <v>319</v>
      </c>
    </row>
    <row r="5679" spans="1:21" x14ac:dyDescent="0.25">
      <c r="A5679" s="405" t="s">
        <v>310</v>
      </c>
      <c r="B5679" s="405" t="s">
        <v>13004</v>
      </c>
      <c r="C5679" s="405" t="s">
        <v>327</v>
      </c>
      <c r="D5679" s="405"/>
      <c r="E5679" s="410">
        <v>41517</v>
      </c>
      <c r="F5679" s="410">
        <v>41562</v>
      </c>
      <c r="G5679" s="405" t="s">
        <v>13005</v>
      </c>
      <c r="H5679" s="405">
        <v>782903063</v>
      </c>
      <c r="I5679" s="405"/>
      <c r="J5679" s="405">
        <v>0.99687700000000001</v>
      </c>
      <c r="K5679" s="405">
        <v>34.346304000000003</v>
      </c>
      <c r="L5679" s="405" t="s">
        <v>6866</v>
      </c>
      <c r="M5679" s="405" t="s">
        <v>9763</v>
      </c>
      <c r="N5679" s="405" t="s">
        <v>9764</v>
      </c>
      <c r="O5679" s="405" t="s">
        <v>1590</v>
      </c>
      <c r="P5679" s="405" t="s">
        <v>9691</v>
      </c>
      <c r="Q5679" s="411">
        <v>6</v>
      </c>
      <c r="R5679" s="405" t="s">
        <v>7224</v>
      </c>
      <c r="S5679" s="405" t="s">
        <v>27259</v>
      </c>
      <c r="T5679" s="405" t="s">
        <v>32102</v>
      </c>
      <c r="U5679" s="405" t="s">
        <v>319</v>
      </c>
    </row>
    <row r="5680" spans="1:21" x14ac:dyDescent="0.25">
      <c r="A5680" s="405" t="s">
        <v>310</v>
      </c>
      <c r="B5680" s="405" t="s">
        <v>4556</v>
      </c>
      <c r="C5680" s="405" t="s">
        <v>327</v>
      </c>
      <c r="D5680" s="405"/>
      <c r="E5680" s="410">
        <v>41517</v>
      </c>
      <c r="F5680" s="410">
        <v>41562</v>
      </c>
      <c r="G5680" s="405" t="s">
        <v>4557</v>
      </c>
      <c r="H5680" s="405">
        <v>776854810</v>
      </c>
      <c r="I5680" s="405">
        <v>712854810</v>
      </c>
      <c r="J5680" s="405">
        <v>0.53468800000000005</v>
      </c>
      <c r="K5680" s="405">
        <v>32.470466999999999</v>
      </c>
      <c r="L5680" s="405" t="s">
        <v>314</v>
      </c>
      <c r="M5680" s="405" t="s">
        <v>361</v>
      </c>
      <c r="N5680" s="405" t="s">
        <v>362</v>
      </c>
      <c r="O5680" s="405" t="s">
        <v>523</v>
      </c>
      <c r="P5680" s="405" t="s">
        <v>2801</v>
      </c>
      <c r="Q5680" s="411">
        <v>6</v>
      </c>
      <c r="R5680" s="405" t="s">
        <v>1263</v>
      </c>
      <c r="S5680" s="405" t="s">
        <v>27164</v>
      </c>
      <c r="T5680" s="405" t="s">
        <v>32102</v>
      </c>
      <c r="U5680" s="405" t="s">
        <v>319</v>
      </c>
    </row>
    <row r="5681" spans="1:21" x14ac:dyDescent="0.25">
      <c r="A5681" s="405" t="s">
        <v>310</v>
      </c>
      <c r="B5681" s="405" t="s">
        <v>12933</v>
      </c>
      <c r="C5681" s="405" t="s">
        <v>327</v>
      </c>
      <c r="D5681" s="405"/>
      <c r="E5681" s="410">
        <v>41517</v>
      </c>
      <c r="F5681" s="410">
        <v>41562</v>
      </c>
      <c r="G5681" s="405" t="s">
        <v>12934</v>
      </c>
      <c r="H5681" s="405">
        <v>774538099</v>
      </c>
      <c r="I5681" s="405"/>
      <c r="J5681" s="405">
        <v>1.0227189999999999</v>
      </c>
      <c r="K5681" s="405">
        <v>34.060045000000002</v>
      </c>
      <c r="L5681" s="405" t="s">
        <v>6866</v>
      </c>
      <c r="M5681" s="405" t="s">
        <v>9566</v>
      </c>
      <c r="N5681" s="405" t="s">
        <v>10001</v>
      </c>
      <c r="O5681" s="405" t="s">
        <v>11178</v>
      </c>
      <c r="P5681" s="405" t="s">
        <v>11677</v>
      </c>
      <c r="Q5681" s="411">
        <v>6</v>
      </c>
      <c r="R5681" s="405" t="s">
        <v>9506</v>
      </c>
      <c r="S5681" s="405" t="s">
        <v>27335</v>
      </c>
      <c r="T5681" s="405" t="s">
        <v>865</v>
      </c>
      <c r="U5681" s="405" t="s">
        <v>866</v>
      </c>
    </row>
    <row r="5682" spans="1:21" x14ac:dyDescent="0.25">
      <c r="A5682" s="405" t="s">
        <v>310</v>
      </c>
      <c r="B5682" s="405" t="s">
        <v>12946</v>
      </c>
      <c r="C5682" s="405" t="s">
        <v>327</v>
      </c>
      <c r="D5682" s="405"/>
      <c r="E5682" s="410">
        <v>41517</v>
      </c>
      <c r="F5682" s="410">
        <v>41562</v>
      </c>
      <c r="G5682" s="405" t="s">
        <v>12947</v>
      </c>
      <c r="H5682" s="405">
        <v>772611804</v>
      </c>
      <c r="I5682" s="405">
        <v>75964924</v>
      </c>
      <c r="J5682" s="405">
        <v>1.7446729999999999</v>
      </c>
      <c r="K5682" s="405">
        <v>33.625934999999998</v>
      </c>
      <c r="L5682" s="405" t="s">
        <v>6866</v>
      </c>
      <c r="M5682" s="405" t="s">
        <v>10515</v>
      </c>
      <c r="N5682" s="405" t="s">
        <v>10765</v>
      </c>
      <c r="O5682" s="405" t="s">
        <v>12948</v>
      </c>
      <c r="P5682" s="405" t="s">
        <v>12949</v>
      </c>
      <c r="Q5682" s="411">
        <v>6</v>
      </c>
      <c r="R5682" s="405" t="s">
        <v>5655</v>
      </c>
      <c r="S5682" s="405" t="s">
        <v>27323</v>
      </c>
      <c r="T5682" s="405" t="s">
        <v>32102</v>
      </c>
      <c r="U5682" s="405" t="s">
        <v>319</v>
      </c>
    </row>
    <row r="5683" spans="1:21" x14ac:dyDescent="0.25">
      <c r="A5683" s="405" t="s">
        <v>310</v>
      </c>
      <c r="B5683" s="405" t="s">
        <v>28030</v>
      </c>
      <c r="C5683" s="405" t="s">
        <v>311</v>
      </c>
      <c r="D5683" s="405" t="s">
        <v>839</v>
      </c>
      <c r="E5683" s="410">
        <v>41517</v>
      </c>
      <c r="F5683" s="410">
        <v>41562</v>
      </c>
      <c r="G5683" s="405" t="s">
        <v>13292</v>
      </c>
      <c r="H5683" s="405">
        <v>787171383</v>
      </c>
      <c r="I5683" s="405"/>
      <c r="J5683" s="405">
        <v>0.88752799999999998</v>
      </c>
      <c r="K5683" s="405">
        <v>34.202975000000002</v>
      </c>
      <c r="L5683" s="405" t="s">
        <v>6866</v>
      </c>
      <c r="M5683" s="405" t="s">
        <v>9514</v>
      </c>
      <c r="N5683" s="405" t="s">
        <v>9529</v>
      </c>
      <c r="O5683" s="405" t="s">
        <v>9581</v>
      </c>
      <c r="P5683" s="405" t="s">
        <v>13293</v>
      </c>
      <c r="Q5683" s="411">
        <v>4</v>
      </c>
      <c r="R5683" s="405" t="s">
        <v>7224</v>
      </c>
      <c r="S5683" s="405" t="s">
        <v>17062</v>
      </c>
      <c r="T5683" s="405" t="s">
        <v>32102</v>
      </c>
      <c r="U5683" s="405" t="s">
        <v>319</v>
      </c>
    </row>
    <row r="5684" spans="1:21" x14ac:dyDescent="0.25">
      <c r="A5684" s="405" t="s">
        <v>310</v>
      </c>
      <c r="B5684" s="405" t="s">
        <v>28706</v>
      </c>
      <c r="C5684" s="405" t="s">
        <v>311</v>
      </c>
      <c r="D5684" s="405" t="s">
        <v>3381</v>
      </c>
      <c r="E5684" s="410">
        <v>41517</v>
      </c>
      <c r="F5684" s="410">
        <v>41562</v>
      </c>
      <c r="G5684" s="405" t="s">
        <v>13328</v>
      </c>
      <c r="H5684" s="405">
        <v>782494938</v>
      </c>
      <c r="I5684" s="405"/>
      <c r="J5684" s="405">
        <v>0.77714799999999995</v>
      </c>
      <c r="K5684" s="405">
        <v>34.112475000000003</v>
      </c>
      <c r="L5684" s="405" t="s">
        <v>6866</v>
      </c>
      <c r="M5684" s="405" t="s">
        <v>9534</v>
      </c>
      <c r="N5684" s="405" t="s">
        <v>9535</v>
      </c>
      <c r="O5684" s="405" t="s">
        <v>9536</v>
      </c>
      <c r="P5684" s="405" t="s">
        <v>13329</v>
      </c>
      <c r="Q5684" s="411">
        <v>4</v>
      </c>
      <c r="R5684" s="405" t="s">
        <v>7224</v>
      </c>
      <c r="S5684" s="405" t="s">
        <v>27204</v>
      </c>
      <c r="T5684" s="405" t="s">
        <v>32102</v>
      </c>
      <c r="U5684" s="405" t="s">
        <v>319</v>
      </c>
    </row>
    <row r="5685" spans="1:21" x14ac:dyDescent="0.25">
      <c r="A5685" s="405" t="s">
        <v>310</v>
      </c>
      <c r="B5685" s="405" t="s">
        <v>13013</v>
      </c>
      <c r="C5685" s="405" t="s">
        <v>327</v>
      </c>
      <c r="D5685" s="405"/>
      <c r="E5685" s="410">
        <v>41517</v>
      </c>
      <c r="F5685" s="410">
        <v>41562</v>
      </c>
      <c r="G5685" s="405" t="s">
        <v>13014</v>
      </c>
      <c r="H5685" s="405">
        <v>785024583</v>
      </c>
      <c r="I5685" s="405"/>
      <c r="J5685" s="405">
        <v>0.85044699999999995</v>
      </c>
      <c r="K5685" s="405">
        <v>34.378622999999997</v>
      </c>
      <c r="L5685" s="405" t="s">
        <v>6866</v>
      </c>
      <c r="M5685" s="405" t="s">
        <v>9763</v>
      </c>
      <c r="N5685" s="405" t="s">
        <v>11470</v>
      </c>
      <c r="O5685" s="405" t="s">
        <v>11471</v>
      </c>
      <c r="P5685" s="405" t="s">
        <v>12879</v>
      </c>
      <c r="Q5685" s="411">
        <v>4</v>
      </c>
      <c r="R5685" s="405" t="s">
        <v>7224</v>
      </c>
      <c r="S5685" s="405" t="s">
        <v>27107</v>
      </c>
      <c r="T5685" s="405" t="s">
        <v>32102</v>
      </c>
      <c r="U5685" s="405" t="s">
        <v>319</v>
      </c>
    </row>
    <row r="5686" spans="1:21" x14ac:dyDescent="0.25">
      <c r="A5686" s="405" t="s">
        <v>310</v>
      </c>
      <c r="B5686" s="405" t="s">
        <v>4549</v>
      </c>
      <c r="C5686" s="405" t="s">
        <v>327</v>
      </c>
      <c r="D5686" s="405"/>
      <c r="E5686" s="410">
        <v>41517</v>
      </c>
      <c r="F5686" s="410">
        <v>41562</v>
      </c>
      <c r="G5686" s="405" t="s">
        <v>4550</v>
      </c>
      <c r="H5686" s="405">
        <v>782200687</v>
      </c>
      <c r="I5686" s="405"/>
      <c r="J5686" s="405">
        <v>0.31974170000000002</v>
      </c>
      <c r="K5686" s="405">
        <v>32.621220600000001</v>
      </c>
      <c r="L5686" s="405" t="s">
        <v>314</v>
      </c>
      <c r="M5686" s="405" t="s">
        <v>361</v>
      </c>
      <c r="N5686" s="405" t="s">
        <v>362</v>
      </c>
      <c r="O5686" s="405" t="s">
        <v>410</v>
      </c>
      <c r="P5686" s="405" t="s">
        <v>1236</v>
      </c>
      <c r="Q5686" s="411">
        <v>4</v>
      </c>
      <c r="R5686" s="405" t="s">
        <v>1263</v>
      </c>
      <c r="S5686" s="405" t="s">
        <v>27202</v>
      </c>
      <c r="T5686" s="405" t="s">
        <v>32212</v>
      </c>
      <c r="U5686" s="405" t="s">
        <v>2267</v>
      </c>
    </row>
    <row r="5687" spans="1:21" x14ac:dyDescent="0.25">
      <c r="A5687" s="405" t="s">
        <v>310</v>
      </c>
      <c r="B5687" s="405" t="s">
        <v>4575</v>
      </c>
      <c r="C5687" s="405" t="s">
        <v>327</v>
      </c>
      <c r="D5687" s="405"/>
      <c r="E5687" s="410">
        <v>41517</v>
      </c>
      <c r="F5687" s="410">
        <v>41562</v>
      </c>
      <c r="G5687" s="405" t="s">
        <v>4576</v>
      </c>
      <c r="H5687" s="405">
        <v>754037362</v>
      </c>
      <c r="I5687" s="405"/>
      <c r="J5687" s="405">
        <v>0.51796500000000001</v>
      </c>
      <c r="K5687" s="405">
        <v>32.456871666666665</v>
      </c>
      <c r="L5687" s="405" t="s">
        <v>314</v>
      </c>
      <c r="M5687" s="405" t="s">
        <v>361</v>
      </c>
      <c r="N5687" s="405" t="s">
        <v>362</v>
      </c>
      <c r="O5687" s="405" t="s">
        <v>523</v>
      </c>
      <c r="P5687" s="405" t="s">
        <v>3701</v>
      </c>
      <c r="Q5687" s="411">
        <v>4</v>
      </c>
      <c r="R5687" s="405" t="s">
        <v>1263</v>
      </c>
      <c r="S5687" s="405" t="s">
        <v>27208</v>
      </c>
      <c r="T5687" s="405" t="s">
        <v>32102</v>
      </c>
      <c r="U5687" s="405" t="s">
        <v>319</v>
      </c>
    </row>
    <row r="5688" spans="1:21" x14ac:dyDescent="0.25">
      <c r="A5688" s="405" t="s">
        <v>310</v>
      </c>
      <c r="B5688" s="405" t="s">
        <v>12955</v>
      </c>
      <c r="C5688" s="405" t="s">
        <v>327</v>
      </c>
      <c r="D5688" s="405"/>
      <c r="E5688" s="410">
        <v>41517</v>
      </c>
      <c r="F5688" s="410">
        <v>41562</v>
      </c>
      <c r="G5688" s="405" t="s">
        <v>12956</v>
      </c>
      <c r="H5688" s="405">
        <v>785330611</v>
      </c>
      <c r="I5688" s="405"/>
      <c r="J5688" s="405">
        <v>1.6032420000000001</v>
      </c>
      <c r="K5688" s="405">
        <v>34.035167999999999</v>
      </c>
      <c r="L5688" s="405" t="s">
        <v>6866</v>
      </c>
      <c r="M5688" s="405" t="s">
        <v>10029</v>
      </c>
      <c r="N5688" s="405" t="s">
        <v>10029</v>
      </c>
      <c r="O5688" s="405" t="s">
        <v>10435</v>
      </c>
      <c r="P5688" s="405" t="s">
        <v>12957</v>
      </c>
      <c r="Q5688" s="411">
        <v>4</v>
      </c>
      <c r="R5688" s="405" t="s">
        <v>7224</v>
      </c>
      <c r="S5688" s="405" t="s">
        <v>27283</v>
      </c>
      <c r="T5688" s="405" t="s">
        <v>32102</v>
      </c>
      <c r="U5688" s="405" t="s">
        <v>319</v>
      </c>
    </row>
    <row r="5689" spans="1:21" x14ac:dyDescent="0.25">
      <c r="A5689" s="405" t="s">
        <v>310</v>
      </c>
      <c r="B5689" s="405" t="s">
        <v>21399</v>
      </c>
      <c r="C5689" s="405" t="s">
        <v>327</v>
      </c>
      <c r="D5689" s="405"/>
      <c r="E5689" s="410">
        <v>41516</v>
      </c>
      <c r="F5689" s="410">
        <v>41561</v>
      </c>
      <c r="G5689" s="405" t="s">
        <v>21400</v>
      </c>
      <c r="H5689" s="405">
        <v>785390241</v>
      </c>
      <c r="I5689" s="405"/>
      <c r="J5689" s="405">
        <v>1.6419778</v>
      </c>
      <c r="K5689" s="405">
        <v>31.603142900000002</v>
      </c>
      <c r="L5689" s="405" t="s">
        <v>590</v>
      </c>
      <c r="M5689" s="405" t="s">
        <v>19608</v>
      </c>
      <c r="N5689" s="405" t="s">
        <v>20244</v>
      </c>
      <c r="O5689" s="405" t="s">
        <v>19751</v>
      </c>
      <c r="P5689" s="405" t="s">
        <v>20246</v>
      </c>
      <c r="Q5689" s="411">
        <v>13</v>
      </c>
      <c r="R5689" s="405" t="s">
        <v>994</v>
      </c>
      <c r="S5689" s="405" t="s">
        <v>27126</v>
      </c>
      <c r="T5689" s="405" t="s">
        <v>32102</v>
      </c>
      <c r="U5689" s="405" t="s">
        <v>319</v>
      </c>
    </row>
    <row r="5690" spans="1:21" x14ac:dyDescent="0.25">
      <c r="A5690" s="405" t="s">
        <v>310</v>
      </c>
      <c r="B5690" s="405" t="s">
        <v>12930</v>
      </c>
      <c r="C5690" s="405" t="s">
        <v>327</v>
      </c>
      <c r="D5690" s="405"/>
      <c r="E5690" s="410">
        <v>41516</v>
      </c>
      <c r="F5690" s="410">
        <v>41561</v>
      </c>
      <c r="G5690" s="405" t="s">
        <v>12931</v>
      </c>
      <c r="H5690" s="405">
        <v>777427460</v>
      </c>
      <c r="I5690" s="405"/>
      <c r="J5690" s="405">
        <v>0.71908700000000003</v>
      </c>
      <c r="K5690" s="405">
        <v>33.909826000000002</v>
      </c>
      <c r="L5690" s="405" t="s">
        <v>6866</v>
      </c>
      <c r="M5690" s="405" t="s">
        <v>9534</v>
      </c>
      <c r="N5690" s="405" t="s">
        <v>9997</v>
      </c>
      <c r="O5690" s="405" t="s">
        <v>10918</v>
      </c>
      <c r="P5690" s="405" t="s">
        <v>12932</v>
      </c>
      <c r="Q5690" s="411">
        <v>6</v>
      </c>
      <c r="R5690" s="405" t="s">
        <v>7224</v>
      </c>
      <c r="S5690" s="405" t="s">
        <v>27073</v>
      </c>
      <c r="T5690" s="405" t="s">
        <v>32102</v>
      </c>
      <c r="U5690" s="405" t="s">
        <v>319</v>
      </c>
    </row>
    <row r="5691" spans="1:21" x14ac:dyDescent="0.25">
      <c r="A5691" s="405" t="s">
        <v>310</v>
      </c>
      <c r="B5691" s="405" t="s">
        <v>4505</v>
      </c>
      <c r="C5691" s="405" t="s">
        <v>327</v>
      </c>
      <c r="D5691" s="405"/>
      <c r="E5691" s="410">
        <v>41515</v>
      </c>
      <c r="F5691" s="410">
        <v>41560</v>
      </c>
      <c r="G5691" s="405" t="s">
        <v>4506</v>
      </c>
      <c r="H5691" s="405">
        <v>702469505</v>
      </c>
      <c r="I5691" s="405"/>
      <c r="J5691" s="405">
        <v>-0.41562199999999999</v>
      </c>
      <c r="K5691" s="405">
        <v>31.784153</v>
      </c>
      <c r="L5691" s="405" t="s">
        <v>314</v>
      </c>
      <c r="M5691" s="405" t="s">
        <v>382</v>
      </c>
      <c r="N5691" s="405" t="s">
        <v>941</v>
      </c>
      <c r="O5691" s="405" t="s">
        <v>1260</v>
      </c>
      <c r="P5691" s="405" t="s">
        <v>3812</v>
      </c>
      <c r="Q5691" s="411">
        <v>9</v>
      </c>
      <c r="R5691" s="405" t="s">
        <v>1263</v>
      </c>
      <c r="S5691" s="405" t="s">
        <v>27217</v>
      </c>
      <c r="T5691" s="405" t="s">
        <v>32212</v>
      </c>
      <c r="U5691" s="405" t="s">
        <v>2267</v>
      </c>
    </row>
    <row r="5692" spans="1:21" x14ac:dyDescent="0.25">
      <c r="A5692" s="405" t="s">
        <v>310</v>
      </c>
      <c r="B5692" s="405" t="s">
        <v>28685</v>
      </c>
      <c r="C5692" s="405" t="s">
        <v>311</v>
      </c>
      <c r="D5692" s="405" t="s">
        <v>839</v>
      </c>
      <c r="E5692" s="410">
        <v>41515</v>
      </c>
      <c r="F5692" s="410">
        <v>41560</v>
      </c>
      <c r="G5692" s="405" t="s">
        <v>13297</v>
      </c>
      <c r="H5692" s="405">
        <v>782774394</v>
      </c>
      <c r="I5692" s="405"/>
      <c r="J5692" s="405">
        <v>0.81185499999999999</v>
      </c>
      <c r="K5692" s="405">
        <v>33.942005000000002</v>
      </c>
      <c r="L5692" s="405" t="s">
        <v>6866</v>
      </c>
      <c r="M5692" s="405" t="s">
        <v>9534</v>
      </c>
      <c r="N5692" s="405" t="s">
        <v>10085</v>
      </c>
      <c r="O5692" s="405" t="s">
        <v>10922</v>
      </c>
      <c r="P5692" s="405" t="s">
        <v>13298</v>
      </c>
      <c r="Q5692" s="411">
        <v>6</v>
      </c>
      <c r="R5692" s="405" t="s">
        <v>9506</v>
      </c>
      <c r="S5692" s="405" t="s">
        <v>27335</v>
      </c>
      <c r="T5692" s="405" t="s">
        <v>32212</v>
      </c>
      <c r="U5692" s="405" t="s">
        <v>2267</v>
      </c>
    </row>
    <row r="5693" spans="1:21" x14ac:dyDescent="0.25">
      <c r="A5693" s="405" t="s">
        <v>310</v>
      </c>
      <c r="B5693" s="405" t="s">
        <v>28720</v>
      </c>
      <c r="C5693" s="405" t="s">
        <v>327</v>
      </c>
      <c r="D5693" s="405"/>
      <c r="E5693" s="410">
        <v>41515</v>
      </c>
      <c r="F5693" s="410">
        <v>41560</v>
      </c>
      <c r="G5693" s="405" t="s">
        <v>12912</v>
      </c>
      <c r="H5693" s="405">
        <v>701610662</v>
      </c>
      <c r="I5693" s="405"/>
      <c r="J5693" s="405">
        <v>0.81061899999999998</v>
      </c>
      <c r="K5693" s="405">
        <v>33.941673999999999</v>
      </c>
      <c r="L5693" s="405" t="s">
        <v>6866</v>
      </c>
      <c r="M5693" s="405" t="s">
        <v>9534</v>
      </c>
      <c r="N5693" s="405" t="s">
        <v>10085</v>
      </c>
      <c r="O5693" s="405" t="s">
        <v>10922</v>
      </c>
      <c r="P5693" s="405" t="s">
        <v>12781</v>
      </c>
      <c r="Q5693" s="411">
        <v>6</v>
      </c>
      <c r="R5693" s="405" t="s">
        <v>7224</v>
      </c>
      <c r="S5693" s="405" t="s">
        <v>27259</v>
      </c>
      <c r="T5693" s="405" t="s">
        <v>32102</v>
      </c>
      <c r="U5693" s="405" t="s">
        <v>319</v>
      </c>
    </row>
    <row r="5694" spans="1:21" x14ac:dyDescent="0.25">
      <c r="A5694" s="405" t="s">
        <v>310</v>
      </c>
      <c r="B5694" s="405" t="s">
        <v>4487</v>
      </c>
      <c r="C5694" s="405" t="s">
        <v>327</v>
      </c>
      <c r="D5694" s="405"/>
      <c r="E5694" s="410">
        <v>41515</v>
      </c>
      <c r="F5694" s="410">
        <v>41560</v>
      </c>
      <c r="G5694" s="405" t="s">
        <v>4488</v>
      </c>
      <c r="H5694" s="405">
        <v>784201085</v>
      </c>
      <c r="I5694" s="405"/>
      <c r="J5694" s="405">
        <v>0.26329399999999997</v>
      </c>
      <c r="K5694" s="405">
        <v>32.118040000000001</v>
      </c>
      <c r="L5694" s="405" t="s">
        <v>314</v>
      </c>
      <c r="M5694" s="405" t="s">
        <v>339</v>
      </c>
      <c r="N5694" s="405" t="s">
        <v>339</v>
      </c>
      <c r="O5694" s="405" t="s">
        <v>2272</v>
      </c>
      <c r="P5694" s="405" t="s">
        <v>4489</v>
      </c>
      <c r="Q5694" s="411">
        <v>6</v>
      </c>
      <c r="R5694" s="405" t="s">
        <v>318</v>
      </c>
      <c r="S5694" s="405" t="s">
        <v>27167</v>
      </c>
      <c r="T5694" s="405" t="s">
        <v>32102</v>
      </c>
      <c r="U5694" s="405" t="s">
        <v>319</v>
      </c>
    </row>
    <row r="5695" spans="1:21" x14ac:dyDescent="0.25">
      <c r="A5695" s="405" t="s">
        <v>310</v>
      </c>
      <c r="B5695" s="405" t="s">
        <v>27623</v>
      </c>
      <c r="C5695" s="405" t="s">
        <v>327</v>
      </c>
      <c r="D5695" s="405"/>
      <c r="E5695" s="410">
        <v>41514</v>
      </c>
      <c r="F5695" s="410">
        <v>41559</v>
      </c>
      <c r="G5695" s="405" t="s">
        <v>4591</v>
      </c>
      <c r="H5695" s="405">
        <v>774118889</v>
      </c>
      <c r="I5695" s="405"/>
      <c r="J5695" s="405">
        <v>1.350265</v>
      </c>
      <c r="K5695" s="405">
        <v>32.735235000000003</v>
      </c>
      <c r="L5695" s="405" t="s">
        <v>314</v>
      </c>
      <c r="M5695" s="405" t="s">
        <v>2512</v>
      </c>
      <c r="N5695" s="405" t="s">
        <v>2512</v>
      </c>
      <c r="O5695" s="405" t="s">
        <v>4589</v>
      </c>
      <c r="P5695" s="405" t="s">
        <v>4592</v>
      </c>
      <c r="Q5695" s="411">
        <v>9</v>
      </c>
      <c r="R5695" s="405" t="s">
        <v>32476</v>
      </c>
      <c r="S5695" s="405" t="s">
        <v>27047</v>
      </c>
      <c r="T5695" s="405" t="s">
        <v>32102</v>
      </c>
      <c r="U5695" s="405" t="s">
        <v>319</v>
      </c>
    </row>
    <row r="5696" spans="1:21" x14ac:dyDescent="0.25">
      <c r="A5696" s="405" t="s">
        <v>310</v>
      </c>
      <c r="B5696" s="405" t="s">
        <v>27659</v>
      </c>
      <c r="C5696" s="405" t="s">
        <v>327</v>
      </c>
      <c r="D5696" s="405"/>
      <c r="E5696" s="410">
        <v>41514</v>
      </c>
      <c r="F5696" s="410">
        <v>41559</v>
      </c>
      <c r="G5696" s="405" t="s">
        <v>21395</v>
      </c>
      <c r="H5696" s="405">
        <v>775574250</v>
      </c>
      <c r="I5696" s="405">
        <v>771691241</v>
      </c>
      <c r="J5696" s="405">
        <v>-0.56855599999999995</v>
      </c>
      <c r="K5696" s="405">
        <v>30.145992</v>
      </c>
      <c r="L5696" s="405" t="s">
        <v>590</v>
      </c>
      <c r="M5696" s="405" t="s">
        <v>19625</v>
      </c>
      <c r="N5696" s="405" t="s">
        <v>19626</v>
      </c>
      <c r="O5696" s="405" t="s">
        <v>20249</v>
      </c>
      <c r="P5696" s="405" t="s">
        <v>4400</v>
      </c>
      <c r="Q5696" s="411">
        <v>9</v>
      </c>
      <c r="R5696" s="405" t="s">
        <v>874</v>
      </c>
      <c r="S5696" s="405" t="s">
        <v>27401</v>
      </c>
      <c r="T5696" s="405" t="s">
        <v>32102</v>
      </c>
      <c r="U5696" s="405" t="s">
        <v>319</v>
      </c>
    </row>
    <row r="5697" spans="1:21" x14ac:dyDescent="0.25">
      <c r="A5697" s="405" t="s">
        <v>310</v>
      </c>
      <c r="B5697" s="405" t="s">
        <v>18772</v>
      </c>
      <c r="C5697" s="405" t="s">
        <v>327</v>
      </c>
      <c r="D5697" s="405"/>
      <c r="E5697" s="410">
        <v>41514</v>
      </c>
      <c r="F5697" s="410">
        <v>41559</v>
      </c>
      <c r="G5697" s="405" t="s">
        <v>18773</v>
      </c>
      <c r="H5697" s="405">
        <v>782068781</v>
      </c>
      <c r="I5697" s="405">
        <v>775030014</v>
      </c>
      <c r="J5697" s="405">
        <v>2.359918</v>
      </c>
      <c r="K5697" s="405">
        <v>32.697769999999998</v>
      </c>
      <c r="L5697" s="405" t="s">
        <v>860</v>
      </c>
      <c r="M5697" s="405" t="s">
        <v>18288</v>
      </c>
      <c r="N5697" s="405" t="s">
        <v>18681</v>
      </c>
      <c r="O5697" s="405" t="s">
        <v>18681</v>
      </c>
      <c r="P5697" s="405" t="s">
        <v>18682</v>
      </c>
      <c r="Q5697" s="411">
        <v>6</v>
      </c>
      <c r="R5697" s="405" t="s">
        <v>525</v>
      </c>
      <c r="S5697" s="405" t="s">
        <v>27243</v>
      </c>
      <c r="T5697" s="405" t="s">
        <v>32102</v>
      </c>
      <c r="U5697" s="405" t="s">
        <v>319</v>
      </c>
    </row>
    <row r="5698" spans="1:21" x14ac:dyDescent="0.25">
      <c r="A5698" s="405" t="s">
        <v>310</v>
      </c>
      <c r="B5698" s="405" t="s">
        <v>28148</v>
      </c>
      <c r="C5698" s="405" t="s">
        <v>327</v>
      </c>
      <c r="D5698" s="405"/>
      <c r="E5698" s="410">
        <v>41513</v>
      </c>
      <c r="F5698" s="410">
        <v>41558</v>
      </c>
      <c r="G5698" s="405" t="s">
        <v>4478</v>
      </c>
      <c r="H5698" s="405">
        <v>772637829</v>
      </c>
      <c r="I5698" s="405">
        <v>702637829</v>
      </c>
      <c r="J5698" s="405">
        <v>0.127688</v>
      </c>
      <c r="K5698" s="405">
        <v>32.181567000000001</v>
      </c>
      <c r="L5698" s="405" t="s">
        <v>314</v>
      </c>
      <c r="M5698" s="405" t="s">
        <v>315</v>
      </c>
      <c r="N5698" s="405" t="s">
        <v>315</v>
      </c>
      <c r="O5698" s="405" t="s">
        <v>2063</v>
      </c>
      <c r="P5698" s="405" t="s">
        <v>2063</v>
      </c>
      <c r="Q5698" s="411">
        <v>9</v>
      </c>
      <c r="R5698" s="405" t="s">
        <v>318</v>
      </c>
      <c r="S5698" s="405" t="s">
        <v>27134</v>
      </c>
      <c r="T5698" s="405" t="s">
        <v>32102</v>
      </c>
      <c r="U5698" s="405" t="s">
        <v>319</v>
      </c>
    </row>
    <row r="5699" spans="1:21" x14ac:dyDescent="0.25">
      <c r="A5699" s="405" t="s">
        <v>310</v>
      </c>
      <c r="B5699" s="405" t="s">
        <v>21410</v>
      </c>
      <c r="C5699" s="405" t="s">
        <v>327</v>
      </c>
      <c r="D5699" s="405"/>
      <c r="E5699" s="410">
        <v>41513</v>
      </c>
      <c r="F5699" s="410">
        <v>41558</v>
      </c>
      <c r="G5699" s="405" t="s">
        <v>21411</v>
      </c>
      <c r="H5699" s="405">
        <v>782644051</v>
      </c>
      <c r="I5699" s="405"/>
      <c r="J5699" s="405">
        <v>-0.22280900000000001</v>
      </c>
      <c r="K5699" s="405">
        <v>30.540828000000001</v>
      </c>
      <c r="L5699" s="405" t="s">
        <v>590</v>
      </c>
      <c r="M5699" s="405" t="s">
        <v>870</v>
      </c>
      <c r="N5699" s="405" t="s">
        <v>870</v>
      </c>
      <c r="O5699" s="405" t="s">
        <v>21412</v>
      </c>
      <c r="P5699" s="405" t="s">
        <v>21413</v>
      </c>
      <c r="Q5699" s="411">
        <v>9</v>
      </c>
      <c r="R5699" s="405" t="s">
        <v>883</v>
      </c>
      <c r="S5699" s="405" t="s">
        <v>27271</v>
      </c>
      <c r="T5699" s="405" t="s">
        <v>865</v>
      </c>
      <c r="U5699" s="405" t="s">
        <v>866</v>
      </c>
    </row>
    <row r="5700" spans="1:21" x14ac:dyDescent="0.25">
      <c r="A5700" s="405" t="s">
        <v>310</v>
      </c>
      <c r="B5700" s="405" t="s">
        <v>27840</v>
      </c>
      <c r="C5700" s="405" t="s">
        <v>311</v>
      </c>
      <c r="D5700" s="405" t="s">
        <v>3381</v>
      </c>
      <c r="E5700" s="410">
        <v>41513</v>
      </c>
      <c r="F5700" s="410">
        <v>41558</v>
      </c>
      <c r="G5700" s="405" t="s">
        <v>13376</v>
      </c>
      <c r="H5700" s="405">
        <v>754990989</v>
      </c>
      <c r="I5700" s="405"/>
      <c r="J5700" s="405">
        <v>0.76065000000000005</v>
      </c>
      <c r="K5700" s="405">
        <v>33.881374999999998</v>
      </c>
      <c r="L5700" s="405" t="s">
        <v>6866</v>
      </c>
      <c r="M5700" s="405" t="s">
        <v>9566</v>
      </c>
      <c r="N5700" s="405" t="s">
        <v>9787</v>
      </c>
      <c r="O5700" s="405" t="s">
        <v>9788</v>
      </c>
      <c r="P5700" s="405" t="s">
        <v>2335</v>
      </c>
      <c r="Q5700" s="411">
        <v>6</v>
      </c>
      <c r="R5700" s="405" t="s">
        <v>7224</v>
      </c>
      <c r="S5700" s="405" t="s">
        <v>17062</v>
      </c>
      <c r="T5700" s="405" t="s">
        <v>32102</v>
      </c>
      <c r="U5700" s="405" t="s">
        <v>319</v>
      </c>
    </row>
    <row r="5701" spans="1:21" x14ac:dyDescent="0.25">
      <c r="A5701" s="405" t="s">
        <v>310</v>
      </c>
      <c r="B5701" s="405" t="s">
        <v>21407</v>
      </c>
      <c r="C5701" s="405" t="s">
        <v>327</v>
      </c>
      <c r="D5701" s="405"/>
      <c r="E5701" s="410">
        <v>41513</v>
      </c>
      <c r="F5701" s="410">
        <v>41558</v>
      </c>
      <c r="G5701" s="405" t="s">
        <v>21408</v>
      </c>
      <c r="H5701" s="405">
        <v>771696316</v>
      </c>
      <c r="I5701" s="405"/>
      <c r="J5701" s="405">
        <v>0.57489500000000004</v>
      </c>
      <c r="K5701" s="405">
        <v>30.674119000000001</v>
      </c>
      <c r="L5701" s="405" t="s">
        <v>590</v>
      </c>
      <c r="M5701" s="405" t="s">
        <v>20426</v>
      </c>
      <c r="N5701" s="405" t="s">
        <v>20692</v>
      </c>
      <c r="O5701" s="405" t="s">
        <v>21409</v>
      </c>
      <c r="P5701" s="405" t="s">
        <v>21314</v>
      </c>
      <c r="Q5701" s="411">
        <v>6</v>
      </c>
      <c r="R5701" s="405" t="s">
        <v>883</v>
      </c>
      <c r="S5701" s="405" t="s">
        <v>27097</v>
      </c>
      <c r="T5701" s="405" t="s">
        <v>32102</v>
      </c>
      <c r="U5701" s="405" t="s">
        <v>319</v>
      </c>
    </row>
    <row r="5702" spans="1:21" x14ac:dyDescent="0.25">
      <c r="A5702" s="405" t="s">
        <v>310</v>
      </c>
      <c r="B5702" s="405" t="s">
        <v>13020</v>
      </c>
      <c r="C5702" s="405" t="s">
        <v>327</v>
      </c>
      <c r="D5702" s="405"/>
      <c r="E5702" s="410">
        <v>41513</v>
      </c>
      <c r="F5702" s="410">
        <v>41558</v>
      </c>
      <c r="G5702" s="405" t="s">
        <v>13021</v>
      </c>
      <c r="H5702" s="405">
        <v>787479700</v>
      </c>
      <c r="I5702" s="405"/>
      <c r="J5702" s="405">
        <v>0.871475</v>
      </c>
      <c r="K5702" s="405">
        <v>34.382545</v>
      </c>
      <c r="L5702" s="405" t="s">
        <v>6866</v>
      </c>
      <c r="M5702" s="405" t="s">
        <v>9763</v>
      </c>
      <c r="N5702" s="405" t="s">
        <v>9848</v>
      </c>
      <c r="O5702" s="405" t="s">
        <v>1831</v>
      </c>
      <c r="P5702" s="405" t="s">
        <v>13022</v>
      </c>
      <c r="Q5702" s="411">
        <v>6</v>
      </c>
      <c r="R5702" s="405" t="s">
        <v>9541</v>
      </c>
      <c r="S5702" s="405" t="s">
        <v>27338</v>
      </c>
      <c r="T5702" s="405" t="s">
        <v>32102</v>
      </c>
      <c r="U5702" s="405" t="s">
        <v>319</v>
      </c>
    </row>
    <row r="5703" spans="1:21" x14ac:dyDescent="0.25">
      <c r="A5703" s="405" t="s">
        <v>310</v>
      </c>
      <c r="B5703" s="405" t="s">
        <v>13015</v>
      </c>
      <c r="C5703" s="405" t="s">
        <v>327</v>
      </c>
      <c r="D5703" s="405"/>
      <c r="E5703" s="410">
        <v>41513</v>
      </c>
      <c r="F5703" s="410">
        <v>41558</v>
      </c>
      <c r="G5703" s="405" t="s">
        <v>13016</v>
      </c>
      <c r="H5703" s="405">
        <v>782877813</v>
      </c>
      <c r="I5703" s="405"/>
      <c r="J5703" s="405">
        <v>0.865483</v>
      </c>
      <c r="K5703" s="405">
        <v>34.354714000000001</v>
      </c>
      <c r="L5703" s="405" t="s">
        <v>6866</v>
      </c>
      <c r="M5703" s="405" t="s">
        <v>9763</v>
      </c>
      <c r="N5703" s="405" t="s">
        <v>9848</v>
      </c>
      <c r="O5703" s="405" t="s">
        <v>10122</v>
      </c>
      <c r="P5703" s="405" t="s">
        <v>13017</v>
      </c>
      <c r="Q5703" s="411">
        <v>4</v>
      </c>
      <c r="R5703" s="405" t="s">
        <v>7224</v>
      </c>
      <c r="S5703" s="405" t="s">
        <v>27283</v>
      </c>
      <c r="T5703" s="405" t="s">
        <v>32102</v>
      </c>
      <c r="U5703" s="405" t="s">
        <v>319</v>
      </c>
    </row>
    <row r="5704" spans="1:21" x14ac:dyDescent="0.25">
      <c r="A5704" s="405" t="s">
        <v>310</v>
      </c>
      <c r="B5704" s="405" t="s">
        <v>12950</v>
      </c>
      <c r="C5704" s="405" t="s">
        <v>327</v>
      </c>
      <c r="D5704" s="405"/>
      <c r="E5704" s="410">
        <v>41512</v>
      </c>
      <c r="F5704" s="410">
        <v>41557</v>
      </c>
      <c r="G5704" s="405" t="s">
        <v>12951</v>
      </c>
      <c r="H5704" s="405">
        <v>772639577</v>
      </c>
      <c r="I5704" s="405"/>
      <c r="J5704" s="405">
        <v>1.695532</v>
      </c>
      <c r="K5704" s="405">
        <v>33.602119999999999</v>
      </c>
      <c r="L5704" s="405" t="s">
        <v>6866</v>
      </c>
      <c r="M5704" s="405" t="s">
        <v>10515</v>
      </c>
      <c r="N5704" s="405" t="s">
        <v>10515</v>
      </c>
      <c r="O5704" s="405" t="s">
        <v>10515</v>
      </c>
      <c r="P5704" s="405" t="s">
        <v>12952</v>
      </c>
      <c r="Q5704" s="411">
        <v>9</v>
      </c>
      <c r="R5704" s="405" t="s">
        <v>5655</v>
      </c>
      <c r="S5704" s="405" t="s">
        <v>27324</v>
      </c>
      <c r="T5704" s="405" t="s">
        <v>32102</v>
      </c>
      <c r="U5704" s="405" t="s">
        <v>319</v>
      </c>
    </row>
    <row r="5705" spans="1:21" x14ac:dyDescent="0.25">
      <c r="A5705" s="405" t="s">
        <v>310</v>
      </c>
      <c r="B5705" s="405" t="s">
        <v>12986</v>
      </c>
      <c r="C5705" s="405" t="s">
        <v>327</v>
      </c>
      <c r="D5705" s="405"/>
      <c r="E5705" s="410">
        <v>41512</v>
      </c>
      <c r="F5705" s="410">
        <v>41557</v>
      </c>
      <c r="G5705" s="405" t="s">
        <v>12987</v>
      </c>
      <c r="H5705" s="405">
        <v>778007670</v>
      </c>
      <c r="I5705" s="405"/>
      <c r="J5705" s="405">
        <v>0.93377600000000005</v>
      </c>
      <c r="K5705" s="405">
        <v>33.998987</v>
      </c>
      <c r="L5705" s="405" t="s">
        <v>6866</v>
      </c>
      <c r="M5705" s="405" t="s">
        <v>9566</v>
      </c>
      <c r="N5705" s="405" t="s">
        <v>9931</v>
      </c>
      <c r="O5705" s="405" t="s">
        <v>9932</v>
      </c>
      <c r="P5705" s="405" t="s">
        <v>12988</v>
      </c>
      <c r="Q5705" s="411">
        <v>6</v>
      </c>
      <c r="R5705" s="405" t="s">
        <v>9506</v>
      </c>
      <c r="S5705" s="405" t="s">
        <v>27184</v>
      </c>
      <c r="T5705" s="405" t="s">
        <v>32102</v>
      </c>
      <c r="U5705" s="405" t="s">
        <v>319</v>
      </c>
    </row>
    <row r="5706" spans="1:21" x14ac:dyDescent="0.25">
      <c r="A5706" s="405" t="s">
        <v>310</v>
      </c>
      <c r="B5706" s="405" t="s">
        <v>12980</v>
      </c>
      <c r="C5706" s="405" t="s">
        <v>327</v>
      </c>
      <c r="D5706" s="405"/>
      <c r="E5706" s="410">
        <v>41512</v>
      </c>
      <c r="F5706" s="410">
        <v>41557</v>
      </c>
      <c r="G5706" s="405" t="s">
        <v>12981</v>
      </c>
      <c r="H5706" s="405">
        <v>772680719</v>
      </c>
      <c r="I5706" s="405"/>
      <c r="J5706" s="405">
        <v>0.98955499999999996</v>
      </c>
      <c r="K5706" s="405">
        <v>34.203715000000003</v>
      </c>
      <c r="L5706" s="405" t="s">
        <v>6866</v>
      </c>
      <c r="M5706" s="405" t="s">
        <v>9514</v>
      </c>
      <c r="N5706" s="405" t="s">
        <v>9529</v>
      </c>
      <c r="O5706" s="405" t="s">
        <v>9668</v>
      </c>
      <c r="P5706" s="405" t="s">
        <v>12982</v>
      </c>
      <c r="Q5706" s="411">
        <v>4</v>
      </c>
      <c r="R5706" s="405" t="s">
        <v>7224</v>
      </c>
      <c r="S5706" s="405" t="s">
        <v>27074</v>
      </c>
      <c r="T5706" s="405" t="s">
        <v>884</v>
      </c>
      <c r="U5706" s="405" t="s">
        <v>319</v>
      </c>
    </row>
    <row r="5707" spans="1:21" x14ac:dyDescent="0.25">
      <c r="A5707" s="405" t="s">
        <v>310</v>
      </c>
      <c r="B5707" s="405" t="s">
        <v>28568</v>
      </c>
      <c r="C5707" s="405" t="s">
        <v>327</v>
      </c>
      <c r="D5707" s="405"/>
      <c r="E5707" s="410">
        <v>41511</v>
      </c>
      <c r="F5707" s="410">
        <v>41556</v>
      </c>
      <c r="G5707" s="405" t="s">
        <v>4570</v>
      </c>
      <c r="H5707" s="405">
        <v>775642979</v>
      </c>
      <c r="I5707" s="405"/>
      <c r="J5707" s="405">
        <v>0.49396000000000001</v>
      </c>
      <c r="K5707" s="405">
        <v>31.356020000000001</v>
      </c>
      <c r="L5707" s="405" t="s">
        <v>314</v>
      </c>
      <c r="M5707" s="405" t="s">
        <v>445</v>
      </c>
      <c r="N5707" s="405" t="s">
        <v>446</v>
      </c>
      <c r="O5707" s="405" t="s">
        <v>3235</v>
      </c>
      <c r="P5707" s="405" t="s">
        <v>4430</v>
      </c>
      <c r="Q5707" s="411">
        <v>6</v>
      </c>
      <c r="R5707" s="405" t="s">
        <v>32476</v>
      </c>
      <c r="S5707" s="405" t="s">
        <v>27041</v>
      </c>
      <c r="T5707" s="405" t="s">
        <v>32102</v>
      </c>
      <c r="U5707" s="405" t="s">
        <v>319</v>
      </c>
    </row>
    <row r="5708" spans="1:21" x14ac:dyDescent="0.25">
      <c r="A5708" s="405" t="s">
        <v>310</v>
      </c>
      <c r="B5708" s="405" t="s">
        <v>21420</v>
      </c>
      <c r="C5708" s="405" t="s">
        <v>327</v>
      </c>
      <c r="D5708" s="405"/>
      <c r="E5708" s="410">
        <v>41510</v>
      </c>
      <c r="F5708" s="410">
        <v>41555</v>
      </c>
      <c r="G5708" s="405" t="s">
        <v>21421</v>
      </c>
      <c r="H5708" s="405">
        <v>785222478</v>
      </c>
      <c r="I5708" s="405"/>
      <c r="J5708" s="405">
        <v>-0.67968600000000001</v>
      </c>
      <c r="K5708" s="405">
        <v>30.265145</v>
      </c>
      <c r="L5708" s="405" t="s">
        <v>590</v>
      </c>
      <c r="M5708" s="405" t="s">
        <v>19725</v>
      </c>
      <c r="N5708" s="405" t="s">
        <v>19725</v>
      </c>
      <c r="O5708" s="405" t="s">
        <v>19965</v>
      </c>
      <c r="P5708" s="405" t="s">
        <v>21422</v>
      </c>
      <c r="Q5708" s="411">
        <v>9</v>
      </c>
      <c r="R5708" s="405" t="s">
        <v>874</v>
      </c>
      <c r="S5708" s="405" t="s">
        <v>27271</v>
      </c>
      <c r="T5708" s="405" t="s">
        <v>32102</v>
      </c>
      <c r="U5708" s="405" t="s">
        <v>319</v>
      </c>
    </row>
    <row r="5709" spans="1:21" x14ac:dyDescent="0.25">
      <c r="A5709" s="405" t="s">
        <v>310</v>
      </c>
      <c r="B5709" s="405" t="s">
        <v>12983</v>
      </c>
      <c r="C5709" s="405" t="s">
        <v>327</v>
      </c>
      <c r="D5709" s="405"/>
      <c r="E5709" s="410">
        <v>41510</v>
      </c>
      <c r="F5709" s="410">
        <v>41555</v>
      </c>
      <c r="G5709" s="405" t="s">
        <v>12984</v>
      </c>
      <c r="H5709" s="405">
        <v>782882412</v>
      </c>
      <c r="I5709" s="405"/>
      <c r="J5709" s="405">
        <v>0.93404100000000001</v>
      </c>
      <c r="K5709" s="405">
        <v>34.223260000000003</v>
      </c>
      <c r="L5709" s="405" t="s">
        <v>6866</v>
      </c>
      <c r="M5709" s="405" t="s">
        <v>9763</v>
      </c>
      <c r="N5709" s="405" t="s">
        <v>9764</v>
      </c>
      <c r="O5709" s="405" t="s">
        <v>9581</v>
      </c>
      <c r="P5709" s="405" t="s">
        <v>9581</v>
      </c>
      <c r="Q5709" s="411">
        <v>4</v>
      </c>
      <c r="R5709" s="405" t="s">
        <v>7224</v>
      </c>
      <c r="S5709" s="405" t="s">
        <v>27298</v>
      </c>
      <c r="T5709" s="405" t="s">
        <v>32102</v>
      </c>
      <c r="U5709" s="405" t="s">
        <v>319</v>
      </c>
    </row>
    <row r="5710" spans="1:21" x14ac:dyDescent="0.25">
      <c r="A5710" s="405" t="s">
        <v>310</v>
      </c>
      <c r="B5710" s="405" t="s">
        <v>21619</v>
      </c>
      <c r="C5710" s="405" t="s">
        <v>327</v>
      </c>
      <c r="D5710" s="405"/>
      <c r="E5710" s="410">
        <v>41509</v>
      </c>
      <c r="F5710" s="410">
        <v>41554</v>
      </c>
      <c r="G5710" s="405" t="s">
        <v>21620</v>
      </c>
      <c r="H5710" s="405">
        <v>703625104</v>
      </c>
      <c r="I5710" s="405"/>
      <c r="J5710" s="405">
        <v>-0.49493799999999999</v>
      </c>
      <c r="K5710" s="405">
        <v>30.657651000000001</v>
      </c>
      <c r="L5710" s="405" t="s">
        <v>590</v>
      </c>
      <c r="M5710" s="405" t="s">
        <v>19614</v>
      </c>
      <c r="N5710" s="405" t="s">
        <v>19615</v>
      </c>
      <c r="O5710" s="405" t="s">
        <v>19616</v>
      </c>
      <c r="P5710" s="405" t="s">
        <v>20759</v>
      </c>
      <c r="Q5710" s="411">
        <v>13</v>
      </c>
      <c r="R5710" s="405" t="s">
        <v>883</v>
      </c>
      <c r="S5710" s="405" t="s">
        <v>27160</v>
      </c>
      <c r="T5710" s="405" t="s">
        <v>32102</v>
      </c>
      <c r="U5710" s="405" t="s">
        <v>319</v>
      </c>
    </row>
    <row r="5711" spans="1:21" x14ac:dyDescent="0.25">
      <c r="A5711" s="405" t="s">
        <v>310</v>
      </c>
      <c r="B5711" s="405" t="s">
        <v>28596</v>
      </c>
      <c r="C5711" s="405" t="s">
        <v>327</v>
      </c>
      <c r="D5711" s="405"/>
      <c r="E5711" s="410">
        <v>41509</v>
      </c>
      <c r="F5711" s="410">
        <v>41554</v>
      </c>
      <c r="G5711" s="405" t="s">
        <v>4585</v>
      </c>
      <c r="H5711" s="405">
        <v>705212889</v>
      </c>
      <c r="I5711" s="405"/>
      <c r="J5711" s="405">
        <v>0.11043333333333334</v>
      </c>
      <c r="K5711" s="405">
        <v>32.098811666666663</v>
      </c>
      <c r="L5711" s="405" t="s">
        <v>314</v>
      </c>
      <c r="M5711" s="405" t="s">
        <v>321</v>
      </c>
      <c r="N5711" s="405" t="s">
        <v>322</v>
      </c>
      <c r="O5711" s="405" t="s">
        <v>476</v>
      </c>
      <c r="P5711" s="405" t="s">
        <v>4586</v>
      </c>
      <c r="Q5711" s="411">
        <v>6</v>
      </c>
      <c r="R5711" s="405" t="s">
        <v>318</v>
      </c>
      <c r="S5711" s="405" t="s">
        <v>27137</v>
      </c>
      <c r="T5711" s="405" t="s">
        <v>32102</v>
      </c>
      <c r="U5711" s="405" t="s">
        <v>319</v>
      </c>
    </row>
    <row r="5712" spans="1:21" x14ac:dyDescent="0.25">
      <c r="A5712" s="405" t="s">
        <v>310</v>
      </c>
      <c r="B5712" s="405" t="s">
        <v>29028</v>
      </c>
      <c r="C5712" s="405" t="s">
        <v>327</v>
      </c>
      <c r="D5712" s="405"/>
      <c r="E5712" s="410">
        <v>41509</v>
      </c>
      <c r="F5712" s="410">
        <v>41554</v>
      </c>
      <c r="G5712" s="405" t="s">
        <v>12985</v>
      </c>
      <c r="H5712" s="405">
        <v>777774444</v>
      </c>
      <c r="I5712" s="405"/>
      <c r="J5712" s="405">
        <v>0.95545000000000002</v>
      </c>
      <c r="K5712" s="405">
        <v>34.027853</v>
      </c>
      <c r="L5712" s="405" t="s">
        <v>6866</v>
      </c>
      <c r="M5712" s="405" t="s">
        <v>9566</v>
      </c>
      <c r="N5712" s="405" t="s">
        <v>9931</v>
      </c>
      <c r="O5712" s="405" t="s">
        <v>9932</v>
      </c>
      <c r="P5712" s="405" t="s">
        <v>11270</v>
      </c>
      <c r="Q5712" s="411">
        <v>6</v>
      </c>
      <c r="R5712" s="405" t="s">
        <v>9506</v>
      </c>
      <c r="S5712" s="405" t="s">
        <v>27184</v>
      </c>
      <c r="T5712" s="405" t="s">
        <v>32102</v>
      </c>
      <c r="U5712" s="405" t="s">
        <v>319</v>
      </c>
    </row>
    <row r="5713" spans="1:21" x14ac:dyDescent="0.25">
      <c r="A5713" s="405" t="s">
        <v>310</v>
      </c>
      <c r="B5713" s="405" t="s">
        <v>21414</v>
      </c>
      <c r="C5713" s="405" t="s">
        <v>327</v>
      </c>
      <c r="D5713" s="405"/>
      <c r="E5713" s="410">
        <v>41508</v>
      </c>
      <c r="F5713" s="410">
        <v>41553</v>
      </c>
      <c r="G5713" s="405" t="s">
        <v>21415</v>
      </c>
      <c r="H5713" s="405">
        <v>752885718</v>
      </c>
      <c r="I5713" s="405"/>
      <c r="J5713" s="405">
        <v>7.5711000000000001E-2</v>
      </c>
      <c r="K5713" s="405">
        <v>30.483049999999999</v>
      </c>
      <c r="L5713" s="405" t="s">
        <v>590</v>
      </c>
      <c r="M5713" s="405" t="s">
        <v>870</v>
      </c>
      <c r="N5713" s="405" t="s">
        <v>20193</v>
      </c>
      <c r="O5713" s="405" t="s">
        <v>20487</v>
      </c>
      <c r="P5713" s="405" t="s">
        <v>21336</v>
      </c>
      <c r="Q5713" s="411">
        <v>9</v>
      </c>
      <c r="R5713" s="405" t="s">
        <v>333</v>
      </c>
      <c r="S5713" s="405" t="s">
        <v>27249</v>
      </c>
      <c r="T5713" s="405" t="s">
        <v>32102</v>
      </c>
      <c r="U5713" s="405" t="s">
        <v>319</v>
      </c>
    </row>
    <row r="5714" spans="1:21" x14ac:dyDescent="0.25">
      <c r="A5714" s="405" t="s">
        <v>310</v>
      </c>
      <c r="B5714" s="405" t="s">
        <v>18754</v>
      </c>
      <c r="C5714" s="405" t="s">
        <v>327</v>
      </c>
      <c r="D5714" s="405"/>
      <c r="E5714" s="410">
        <v>41508</v>
      </c>
      <c r="F5714" s="410">
        <v>41553</v>
      </c>
      <c r="G5714" s="405" t="s">
        <v>18755</v>
      </c>
      <c r="H5714" s="405">
        <v>775320594</v>
      </c>
      <c r="I5714" s="405">
        <v>772015511</v>
      </c>
      <c r="J5714" s="405">
        <v>2.2658033333333334</v>
      </c>
      <c r="K5714" s="405">
        <v>32.884283333333329</v>
      </c>
      <c r="L5714" s="405" t="s">
        <v>860</v>
      </c>
      <c r="M5714" s="405" t="s">
        <v>18234</v>
      </c>
      <c r="N5714" s="405" t="s">
        <v>18250</v>
      </c>
      <c r="O5714" s="405" t="s">
        <v>18391</v>
      </c>
      <c r="P5714" s="405" t="s">
        <v>18602</v>
      </c>
      <c r="Q5714" s="411">
        <v>6</v>
      </c>
      <c r="R5714" s="405" t="s">
        <v>994</v>
      </c>
      <c r="S5714" s="405" t="s">
        <v>27079</v>
      </c>
      <c r="T5714" s="405" t="s">
        <v>32102</v>
      </c>
      <c r="U5714" s="405" t="s">
        <v>319</v>
      </c>
    </row>
    <row r="5715" spans="1:21" x14ac:dyDescent="0.25">
      <c r="A5715" s="405" t="s">
        <v>310</v>
      </c>
      <c r="B5715" s="405" t="s">
        <v>4564</v>
      </c>
      <c r="C5715" s="405" t="s">
        <v>327</v>
      </c>
      <c r="D5715" s="405"/>
      <c r="E5715" s="410">
        <v>41508</v>
      </c>
      <c r="F5715" s="410">
        <v>41553</v>
      </c>
      <c r="G5715" s="405" t="s">
        <v>4565</v>
      </c>
      <c r="H5715" s="405">
        <v>759801347</v>
      </c>
      <c r="I5715" s="405"/>
      <c r="J5715" s="405">
        <v>0.24215499999999998</v>
      </c>
      <c r="K5715" s="405">
        <v>32.338531666666668</v>
      </c>
      <c r="L5715" s="405" t="s">
        <v>314</v>
      </c>
      <c r="M5715" s="405" t="s">
        <v>321</v>
      </c>
      <c r="N5715" s="405" t="s">
        <v>322</v>
      </c>
      <c r="O5715" s="405" t="s">
        <v>996</v>
      </c>
      <c r="P5715" s="405" t="s">
        <v>4566</v>
      </c>
      <c r="Q5715" s="411">
        <v>6</v>
      </c>
      <c r="R5715" s="405" t="s">
        <v>318</v>
      </c>
      <c r="S5715" s="405" t="s">
        <v>27054</v>
      </c>
      <c r="T5715" s="405" t="s">
        <v>32102</v>
      </c>
      <c r="U5715" s="405" t="s">
        <v>319</v>
      </c>
    </row>
    <row r="5716" spans="1:21" x14ac:dyDescent="0.25">
      <c r="A5716" s="405" t="s">
        <v>310</v>
      </c>
      <c r="B5716" s="405" t="s">
        <v>18759</v>
      </c>
      <c r="C5716" s="405" t="s">
        <v>327</v>
      </c>
      <c r="D5716" s="405"/>
      <c r="E5716" s="410">
        <v>41508</v>
      </c>
      <c r="F5716" s="410">
        <v>41553</v>
      </c>
      <c r="G5716" s="405" t="s">
        <v>18760</v>
      </c>
      <c r="H5716" s="405">
        <v>788455584</v>
      </c>
      <c r="I5716" s="405">
        <v>779124157</v>
      </c>
      <c r="J5716" s="405">
        <v>1.959416</v>
      </c>
      <c r="K5716" s="405">
        <v>33.155957999999998</v>
      </c>
      <c r="L5716" s="405" t="s">
        <v>860</v>
      </c>
      <c r="M5716" s="405" t="s">
        <v>12189</v>
      </c>
      <c r="N5716" s="405" t="s">
        <v>18270</v>
      </c>
      <c r="O5716" s="405" t="s">
        <v>18636</v>
      </c>
      <c r="P5716" s="405" t="s">
        <v>18761</v>
      </c>
      <c r="Q5716" s="411">
        <v>6</v>
      </c>
      <c r="R5716" s="405" t="s">
        <v>525</v>
      </c>
      <c r="S5716" s="405" t="s">
        <v>27377</v>
      </c>
      <c r="T5716" s="405" t="s">
        <v>32102</v>
      </c>
      <c r="U5716" s="405" t="s">
        <v>319</v>
      </c>
    </row>
    <row r="5717" spans="1:21" x14ac:dyDescent="0.25">
      <c r="A5717" s="405" t="s">
        <v>310</v>
      </c>
      <c r="B5717" s="405" t="s">
        <v>12901</v>
      </c>
      <c r="C5717" s="405" t="s">
        <v>327</v>
      </c>
      <c r="D5717" s="405"/>
      <c r="E5717" s="410">
        <v>41508</v>
      </c>
      <c r="F5717" s="410">
        <v>41553</v>
      </c>
      <c r="G5717" s="405" t="s">
        <v>12902</v>
      </c>
      <c r="H5717" s="405">
        <v>782606361</v>
      </c>
      <c r="I5717" s="405"/>
      <c r="J5717" s="405">
        <v>1.0210600000000001</v>
      </c>
      <c r="K5717" s="405">
        <v>34.379055000000001</v>
      </c>
      <c r="L5717" s="405" t="s">
        <v>6866</v>
      </c>
      <c r="M5717" s="405" t="s">
        <v>6867</v>
      </c>
      <c r="N5717" s="405" t="s">
        <v>10297</v>
      </c>
      <c r="O5717" s="405" t="s">
        <v>5339</v>
      </c>
      <c r="P5717" s="405" t="s">
        <v>12903</v>
      </c>
      <c r="Q5717" s="411">
        <v>6</v>
      </c>
      <c r="R5717" s="405" t="s">
        <v>7224</v>
      </c>
      <c r="S5717" s="405" t="s">
        <v>27259</v>
      </c>
      <c r="T5717" s="405" t="s">
        <v>32102</v>
      </c>
      <c r="U5717" s="405" t="s">
        <v>319</v>
      </c>
    </row>
    <row r="5718" spans="1:21" x14ac:dyDescent="0.25">
      <c r="A5718" s="405" t="s">
        <v>310</v>
      </c>
      <c r="B5718" s="405" t="s">
        <v>12961</v>
      </c>
      <c r="C5718" s="405" t="s">
        <v>327</v>
      </c>
      <c r="D5718" s="405"/>
      <c r="E5718" s="410">
        <v>41508</v>
      </c>
      <c r="F5718" s="410">
        <v>41553</v>
      </c>
      <c r="G5718" s="405" t="s">
        <v>12962</v>
      </c>
      <c r="H5718" s="405">
        <v>777437789</v>
      </c>
      <c r="I5718" s="405"/>
      <c r="J5718" s="405">
        <v>1.4785569999999999</v>
      </c>
      <c r="K5718" s="405">
        <v>33.940331999999998</v>
      </c>
      <c r="L5718" s="405" t="s">
        <v>6866</v>
      </c>
      <c r="M5718" s="405" t="s">
        <v>10029</v>
      </c>
      <c r="N5718" s="405" t="s">
        <v>10029</v>
      </c>
      <c r="O5718" s="405" t="s">
        <v>10435</v>
      </c>
      <c r="P5718" s="405" t="s">
        <v>12245</v>
      </c>
      <c r="Q5718" s="411">
        <v>4</v>
      </c>
      <c r="R5718" s="405" t="s">
        <v>9541</v>
      </c>
      <c r="S5718" s="405" t="s">
        <v>27297</v>
      </c>
      <c r="T5718" s="405" t="s">
        <v>32102</v>
      </c>
      <c r="U5718" s="405" t="s">
        <v>319</v>
      </c>
    </row>
    <row r="5719" spans="1:21" x14ac:dyDescent="0.25">
      <c r="A5719" s="405" t="s">
        <v>310</v>
      </c>
      <c r="B5719" s="405" t="s">
        <v>4484</v>
      </c>
      <c r="C5719" s="405" t="s">
        <v>327</v>
      </c>
      <c r="D5719" s="405"/>
      <c r="E5719" s="410">
        <v>41507</v>
      </c>
      <c r="F5719" s="410">
        <v>41552</v>
      </c>
      <c r="G5719" s="405" t="s">
        <v>4485</v>
      </c>
      <c r="H5719" s="405">
        <v>775605557</v>
      </c>
      <c r="I5719" s="405"/>
      <c r="J5719" s="405">
        <v>-0.12181699999999999</v>
      </c>
      <c r="K5719" s="405">
        <v>31.527429999999999</v>
      </c>
      <c r="L5719" s="405" t="s">
        <v>314</v>
      </c>
      <c r="M5719" s="405" t="s">
        <v>343</v>
      </c>
      <c r="N5719" s="405" t="s">
        <v>344</v>
      </c>
      <c r="O5719" s="405" t="s">
        <v>391</v>
      </c>
      <c r="P5719" s="405" t="s">
        <v>4486</v>
      </c>
      <c r="Q5719" s="411">
        <v>9</v>
      </c>
      <c r="R5719" s="405" t="s">
        <v>32476</v>
      </c>
      <c r="S5719" s="405" t="s">
        <v>27236</v>
      </c>
      <c r="T5719" s="405" t="s">
        <v>32102</v>
      </c>
      <c r="U5719" s="405" t="s">
        <v>319</v>
      </c>
    </row>
    <row r="5720" spans="1:21" x14ac:dyDescent="0.25">
      <c r="A5720" s="405" t="s">
        <v>310</v>
      </c>
      <c r="B5720" s="405" t="s">
        <v>28055</v>
      </c>
      <c r="C5720" s="405" t="s">
        <v>327</v>
      </c>
      <c r="D5720" s="405"/>
      <c r="E5720" s="410">
        <v>41507</v>
      </c>
      <c r="F5720" s="410">
        <v>41552</v>
      </c>
      <c r="G5720" s="405" t="s">
        <v>4541</v>
      </c>
      <c r="H5720" s="405">
        <v>757317015</v>
      </c>
      <c r="I5720" s="405"/>
      <c r="J5720" s="405">
        <v>-0.32714579999999999</v>
      </c>
      <c r="K5720" s="405">
        <v>31.744658399999999</v>
      </c>
      <c r="L5720" s="405" t="s">
        <v>314</v>
      </c>
      <c r="M5720" s="405" t="s">
        <v>900</v>
      </c>
      <c r="N5720" s="405" t="s">
        <v>900</v>
      </c>
      <c r="O5720" s="405" t="s">
        <v>1302</v>
      </c>
      <c r="P5720" s="405" t="s">
        <v>4542</v>
      </c>
      <c r="Q5720" s="411">
        <v>6</v>
      </c>
      <c r="R5720" s="405" t="s">
        <v>1263</v>
      </c>
      <c r="S5720" s="405" t="s">
        <v>27216</v>
      </c>
      <c r="T5720" s="405" t="s">
        <v>32102</v>
      </c>
      <c r="U5720" s="405" t="s">
        <v>319</v>
      </c>
    </row>
    <row r="5721" spans="1:21" x14ac:dyDescent="0.25">
      <c r="A5721" s="405" t="s">
        <v>310</v>
      </c>
      <c r="B5721" s="405" t="s">
        <v>4509</v>
      </c>
      <c r="C5721" s="405" t="s">
        <v>327</v>
      </c>
      <c r="D5721" s="405"/>
      <c r="E5721" s="410">
        <v>41507</v>
      </c>
      <c r="F5721" s="410">
        <v>41552</v>
      </c>
      <c r="G5721" s="405" t="s">
        <v>4510</v>
      </c>
      <c r="H5721" s="405">
        <v>772973462</v>
      </c>
      <c r="I5721" s="405"/>
      <c r="J5721" s="405">
        <v>6.8195000000000006E-2</v>
      </c>
      <c r="K5721" s="405">
        <v>32.114921666666667</v>
      </c>
      <c r="L5721" s="405" t="s">
        <v>314</v>
      </c>
      <c r="M5721" s="405" t="s">
        <v>321</v>
      </c>
      <c r="N5721" s="405" t="s">
        <v>322</v>
      </c>
      <c r="O5721" s="405" t="s">
        <v>476</v>
      </c>
      <c r="P5721" s="405" t="s">
        <v>4511</v>
      </c>
      <c r="Q5721" s="411">
        <v>6</v>
      </c>
      <c r="R5721" s="405" t="s">
        <v>318</v>
      </c>
      <c r="S5721" s="405" t="s">
        <v>27188</v>
      </c>
      <c r="T5721" s="405" t="s">
        <v>32102</v>
      </c>
      <c r="U5721" s="405" t="s">
        <v>319</v>
      </c>
    </row>
    <row r="5722" spans="1:21" x14ac:dyDescent="0.25">
      <c r="A5722" s="405" t="s">
        <v>310</v>
      </c>
      <c r="B5722" s="405" t="s">
        <v>28267</v>
      </c>
      <c r="C5722" s="405" t="s">
        <v>327</v>
      </c>
      <c r="D5722" s="405"/>
      <c r="E5722" s="410">
        <v>41507</v>
      </c>
      <c r="F5722" s="410">
        <v>41552</v>
      </c>
      <c r="G5722" s="405" t="s">
        <v>4593</v>
      </c>
      <c r="H5722" s="405">
        <v>756643194</v>
      </c>
      <c r="I5722" s="405"/>
      <c r="J5722" s="405">
        <v>0.34829700000000002</v>
      </c>
      <c r="K5722" s="405">
        <v>32.109229999999997</v>
      </c>
      <c r="L5722" s="405" t="s">
        <v>314</v>
      </c>
      <c r="M5722" s="405" t="s">
        <v>675</v>
      </c>
      <c r="N5722" s="405" t="s">
        <v>676</v>
      </c>
      <c r="O5722" s="405" t="s">
        <v>2342</v>
      </c>
      <c r="P5722" s="405" t="s">
        <v>4594</v>
      </c>
      <c r="Q5722" s="411">
        <v>6</v>
      </c>
      <c r="R5722" s="405" t="s">
        <v>318</v>
      </c>
      <c r="S5722" s="405" t="s">
        <v>27054</v>
      </c>
      <c r="T5722" s="405" t="s">
        <v>32102</v>
      </c>
      <c r="U5722" s="405" t="s">
        <v>319</v>
      </c>
    </row>
    <row r="5723" spans="1:21" x14ac:dyDescent="0.25">
      <c r="A5723" s="405" t="s">
        <v>310</v>
      </c>
      <c r="B5723" s="405" t="s">
        <v>4551</v>
      </c>
      <c r="C5723" s="405" t="s">
        <v>327</v>
      </c>
      <c r="D5723" s="405"/>
      <c r="E5723" s="410">
        <v>41507</v>
      </c>
      <c r="F5723" s="410">
        <v>41552</v>
      </c>
      <c r="G5723" s="405" t="s">
        <v>4552</v>
      </c>
      <c r="H5723" s="405">
        <v>772661923</v>
      </c>
      <c r="I5723" s="405"/>
      <c r="J5723" s="405">
        <v>0.40270499999999998</v>
      </c>
      <c r="K5723" s="405">
        <v>32.028137999999998</v>
      </c>
      <c r="L5723" s="405" t="s">
        <v>314</v>
      </c>
      <c r="M5723" s="405" t="s">
        <v>675</v>
      </c>
      <c r="N5723" s="405" t="s">
        <v>1070</v>
      </c>
      <c r="O5723" s="405" t="s">
        <v>1066</v>
      </c>
      <c r="P5723" s="405" t="s">
        <v>1135</v>
      </c>
      <c r="Q5723" s="411">
        <v>6</v>
      </c>
      <c r="R5723" s="405" t="s">
        <v>32476</v>
      </c>
      <c r="S5723" s="405" t="s">
        <v>27228</v>
      </c>
      <c r="T5723" s="405" t="s">
        <v>32102</v>
      </c>
      <c r="U5723" s="405" t="s">
        <v>319</v>
      </c>
    </row>
    <row r="5724" spans="1:21" x14ac:dyDescent="0.25">
      <c r="A5724" s="405" t="s">
        <v>310</v>
      </c>
      <c r="B5724" s="405" t="s">
        <v>4497</v>
      </c>
      <c r="C5724" s="405" t="s">
        <v>327</v>
      </c>
      <c r="D5724" s="405"/>
      <c r="E5724" s="410">
        <v>41507</v>
      </c>
      <c r="F5724" s="410">
        <v>41552</v>
      </c>
      <c r="G5724" s="405" t="s">
        <v>4498</v>
      </c>
      <c r="H5724" s="405">
        <v>782499833</v>
      </c>
      <c r="I5724" s="405"/>
      <c r="J5724" s="405">
        <v>0.38523800000000002</v>
      </c>
      <c r="K5724" s="405">
        <v>32.228527</v>
      </c>
      <c r="L5724" s="405" t="s">
        <v>314</v>
      </c>
      <c r="M5724" s="405" t="s">
        <v>675</v>
      </c>
      <c r="N5724" s="405" t="s">
        <v>676</v>
      </c>
      <c r="O5724" s="405" t="s">
        <v>1845</v>
      </c>
      <c r="P5724" s="405" t="s">
        <v>4499</v>
      </c>
      <c r="Q5724" s="411">
        <v>6</v>
      </c>
      <c r="R5724" s="405" t="s">
        <v>32476</v>
      </c>
      <c r="S5724" s="405" t="s">
        <v>27215</v>
      </c>
      <c r="T5724" s="405" t="s">
        <v>32102</v>
      </c>
      <c r="U5724" s="405" t="s">
        <v>319</v>
      </c>
    </row>
    <row r="5725" spans="1:21" x14ac:dyDescent="0.25">
      <c r="A5725" s="405" t="s">
        <v>310</v>
      </c>
      <c r="B5725" s="405" t="s">
        <v>27909</v>
      </c>
      <c r="C5725" s="405" t="s">
        <v>327</v>
      </c>
      <c r="D5725" s="405"/>
      <c r="E5725" s="410">
        <v>41506</v>
      </c>
      <c r="F5725" s="410">
        <v>41551</v>
      </c>
      <c r="G5725" s="405" t="s">
        <v>12906</v>
      </c>
      <c r="H5725" s="405">
        <v>782083492</v>
      </c>
      <c r="I5725" s="405"/>
      <c r="J5725" s="405">
        <v>1.028098</v>
      </c>
      <c r="K5725" s="405">
        <v>34.376372000000003</v>
      </c>
      <c r="L5725" s="405" t="s">
        <v>6866</v>
      </c>
      <c r="M5725" s="405" t="s">
        <v>6867</v>
      </c>
      <c r="N5725" s="405" t="s">
        <v>12252</v>
      </c>
      <c r="O5725" s="405" t="s">
        <v>12252</v>
      </c>
      <c r="P5725" s="405" t="s">
        <v>12820</v>
      </c>
      <c r="Q5725" s="411">
        <v>6</v>
      </c>
      <c r="R5725" s="405" t="s">
        <v>7224</v>
      </c>
      <c r="S5725" s="405" t="s">
        <v>27298</v>
      </c>
      <c r="T5725" s="405" t="s">
        <v>32102</v>
      </c>
      <c r="U5725" s="405" t="s">
        <v>319</v>
      </c>
    </row>
    <row r="5726" spans="1:21" x14ac:dyDescent="0.25">
      <c r="A5726" s="405" t="s">
        <v>310</v>
      </c>
      <c r="B5726" s="405" t="s">
        <v>18762</v>
      </c>
      <c r="C5726" s="405" t="s">
        <v>327</v>
      </c>
      <c r="D5726" s="405"/>
      <c r="E5726" s="410">
        <v>41506</v>
      </c>
      <c r="F5726" s="410">
        <v>41551</v>
      </c>
      <c r="G5726" s="405" t="s">
        <v>18763</v>
      </c>
      <c r="H5726" s="405">
        <v>785688877</v>
      </c>
      <c r="I5726" s="405"/>
      <c r="J5726" s="405">
        <v>2.2279733333333334</v>
      </c>
      <c r="K5726" s="405">
        <v>32.9251</v>
      </c>
      <c r="L5726" s="405" t="s">
        <v>860</v>
      </c>
      <c r="M5726" s="405" t="s">
        <v>18234</v>
      </c>
      <c r="N5726" s="405" t="s">
        <v>18235</v>
      </c>
      <c r="O5726" s="405" t="s">
        <v>4147</v>
      </c>
      <c r="P5726" s="405" t="s">
        <v>18630</v>
      </c>
      <c r="Q5726" s="411">
        <v>6</v>
      </c>
      <c r="R5726" s="405" t="s">
        <v>994</v>
      </c>
      <c r="S5726" s="405" t="s">
        <v>27229</v>
      </c>
      <c r="T5726" s="405" t="s">
        <v>32102</v>
      </c>
      <c r="U5726" s="405" t="s">
        <v>319</v>
      </c>
    </row>
    <row r="5727" spans="1:21" x14ac:dyDescent="0.25">
      <c r="A5727" s="405" t="s">
        <v>310</v>
      </c>
      <c r="B5727" s="405" t="s">
        <v>12975</v>
      </c>
      <c r="C5727" s="405" t="s">
        <v>327</v>
      </c>
      <c r="D5727" s="405"/>
      <c r="E5727" s="410">
        <v>41506</v>
      </c>
      <c r="F5727" s="410">
        <v>41551</v>
      </c>
      <c r="G5727" s="405" t="s">
        <v>12976</v>
      </c>
      <c r="H5727" s="405">
        <v>772855501</v>
      </c>
      <c r="I5727" s="405"/>
      <c r="J5727" s="405">
        <v>0.99255700000000002</v>
      </c>
      <c r="K5727" s="405">
        <v>34.253506999999999</v>
      </c>
      <c r="L5727" s="405" t="s">
        <v>6866</v>
      </c>
      <c r="M5727" s="405" t="s">
        <v>9514</v>
      </c>
      <c r="N5727" s="405" t="s">
        <v>9529</v>
      </c>
      <c r="O5727" s="405" t="s">
        <v>11449</v>
      </c>
      <c r="P5727" s="405" t="s">
        <v>12977</v>
      </c>
      <c r="Q5727" s="411">
        <v>6</v>
      </c>
      <c r="R5727" s="405" t="s">
        <v>7224</v>
      </c>
      <c r="S5727" s="405" t="s">
        <v>27074</v>
      </c>
      <c r="T5727" s="405" t="s">
        <v>32102</v>
      </c>
      <c r="U5727" s="405" t="s">
        <v>319</v>
      </c>
    </row>
    <row r="5728" spans="1:21" x14ac:dyDescent="0.25">
      <c r="A5728" s="405" t="s">
        <v>310</v>
      </c>
      <c r="B5728" s="405" t="s">
        <v>4561</v>
      </c>
      <c r="C5728" s="405" t="s">
        <v>327</v>
      </c>
      <c r="D5728" s="405"/>
      <c r="E5728" s="410">
        <v>41506</v>
      </c>
      <c r="F5728" s="410">
        <v>41551</v>
      </c>
      <c r="G5728" s="405" t="s">
        <v>4562</v>
      </c>
      <c r="H5728" s="405">
        <v>750909313</v>
      </c>
      <c r="I5728" s="405"/>
      <c r="J5728" s="405">
        <v>-5.6750500000000002E-2</v>
      </c>
      <c r="K5728" s="405">
        <v>31.987147700000001</v>
      </c>
      <c r="L5728" s="405" t="s">
        <v>314</v>
      </c>
      <c r="M5728" s="405" t="s">
        <v>900</v>
      </c>
      <c r="N5728" s="405" t="s">
        <v>900</v>
      </c>
      <c r="O5728" s="405" t="s">
        <v>904</v>
      </c>
      <c r="P5728" s="405" t="s">
        <v>4563</v>
      </c>
      <c r="Q5728" s="411">
        <v>6</v>
      </c>
      <c r="R5728" s="405" t="s">
        <v>1263</v>
      </c>
      <c r="S5728" s="405" t="s">
        <v>27234</v>
      </c>
      <c r="T5728" s="405" t="s">
        <v>32102</v>
      </c>
      <c r="U5728" s="405" t="s">
        <v>319</v>
      </c>
    </row>
    <row r="5729" spans="1:21" x14ac:dyDescent="0.25">
      <c r="A5729" s="405" t="s">
        <v>310</v>
      </c>
      <c r="B5729" s="405" t="s">
        <v>12918</v>
      </c>
      <c r="C5729" s="405" t="s">
        <v>327</v>
      </c>
      <c r="D5729" s="405"/>
      <c r="E5729" s="410">
        <v>41506</v>
      </c>
      <c r="F5729" s="410">
        <v>41551</v>
      </c>
      <c r="G5729" s="405" t="s">
        <v>12919</v>
      </c>
      <c r="H5729" s="405">
        <v>756990949</v>
      </c>
      <c r="I5729" s="405"/>
      <c r="J5729" s="405">
        <v>0.74646699999999999</v>
      </c>
      <c r="K5729" s="405">
        <v>33.913280999999998</v>
      </c>
      <c r="L5729" s="405" t="s">
        <v>6866</v>
      </c>
      <c r="M5729" s="405" t="s">
        <v>9534</v>
      </c>
      <c r="N5729" s="405" t="s">
        <v>10085</v>
      </c>
      <c r="O5729" s="405" t="s">
        <v>10922</v>
      </c>
      <c r="P5729" s="405" t="s">
        <v>12920</v>
      </c>
      <c r="Q5729" s="411">
        <v>6</v>
      </c>
      <c r="R5729" s="405" t="s">
        <v>7224</v>
      </c>
      <c r="S5729" s="405" t="s">
        <v>27190</v>
      </c>
      <c r="T5729" s="405" t="s">
        <v>32102</v>
      </c>
      <c r="U5729" s="405" t="s">
        <v>319</v>
      </c>
    </row>
    <row r="5730" spans="1:21" x14ac:dyDescent="0.25">
      <c r="A5730" s="405" t="s">
        <v>310</v>
      </c>
      <c r="B5730" s="405" t="s">
        <v>29039</v>
      </c>
      <c r="C5730" s="405" t="s">
        <v>327</v>
      </c>
      <c r="D5730" s="405"/>
      <c r="E5730" s="410">
        <v>41506</v>
      </c>
      <c r="F5730" s="410">
        <v>41551</v>
      </c>
      <c r="G5730" s="405" t="s">
        <v>4604</v>
      </c>
      <c r="H5730" s="405">
        <v>750998060</v>
      </c>
      <c r="I5730" s="405">
        <v>759838457</v>
      </c>
      <c r="J5730" s="405">
        <v>8.5124199999999997E-2</v>
      </c>
      <c r="K5730" s="405">
        <v>32.136607300000001</v>
      </c>
      <c r="L5730" s="405" t="s">
        <v>314</v>
      </c>
      <c r="M5730" s="405" t="s">
        <v>321</v>
      </c>
      <c r="N5730" s="405" t="s">
        <v>322</v>
      </c>
      <c r="O5730" s="405" t="s">
        <v>1023</v>
      </c>
      <c r="P5730" s="405" t="s">
        <v>4605</v>
      </c>
      <c r="Q5730" s="411">
        <v>6</v>
      </c>
      <c r="R5730" s="405" t="s">
        <v>438</v>
      </c>
      <c r="S5730" s="405" t="s">
        <v>27131</v>
      </c>
      <c r="T5730" s="405" t="s">
        <v>32102</v>
      </c>
      <c r="U5730" s="405" t="s">
        <v>319</v>
      </c>
    </row>
    <row r="5731" spans="1:21" x14ac:dyDescent="0.25">
      <c r="A5731" s="405" t="s">
        <v>310</v>
      </c>
      <c r="B5731" s="405" t="s">
        <v>12978</v>
      </c>
      <c r="C5731" s="405" t="s">
        <v>327</v>
      </c>
      <c r="D5731" s="405"/>
      <c r="E5731" s="410">
        <v>41506</v>
      </c>
      <c r="F5731" s="410">
        <v>41551</v>
      </c>
      <c r="G5731" s="405" t="s">
        <v>12979</v>
      </c>
      <c r="H5731" s="405">
        <v>772440358</v>
      </c>
      <c r="I5731" s="405">
        <v>774092288</v>
      </c>
      <c r="J5731" s="405">
        <v>0.99997999999999998</v>
      </c>
      <c r="K5731" s="405">
        <v>34.252397999999999</v>
      </c>
      <c r="L5731" s="405" t="s">
        <v>6866</v>
      </c>
      <c r="M5731" s="405" t="s">
        <v>9514</v>
      </c>
      <c r="N5731" s="405" t="s">
        <v>9529</v>
      </c>
      <c r="O5731" s="405" t="s">
        <v>11449</v>
      </c>
      <c r="P5731" s="405" t="s">
        <v>12256</v>
      </c>
      <c r="Q5731" s="411">
        <v>6</v>
      </c>
      <c r="R5731" s="405" t="s">
        <v>7224</v>
      </c>
      <c r="S5731" s="405" t="s">
        <v>27074</v>
      </c>
      <c r="T5731" s="405" t="s">
        <v>32102</v>
      </c>
      <c r="U5731" s="405" t="s">
        <v>319</v>
      </c>
    </row>
    <row r="5732" spans="1:21" x14ac:dyDescent="0.25">
      <c r="A5732" s="405" t="s">
        <v>310</v>
      </c>
      <c r="B5732" s="405" t="s">
        <v>12970</v>
      </c>
      <c r="C5732" s="405" t="s">
        <v>327</v>
      </c>
      <c r="D5732" s="405"/>
      <c r="E5732" s="410">
        <v>41506</v>
      </c>
      <c r="F5732" s="410">
        <v>41551</v>
      </c>
      <c r="G5732" s="405" t="s">
        <v>12971</v>
      </c>
      <c r="H5732" s="405">
        <v>775523920</v>
      </c>
      <c r="I5732" s="405"/>
      <c r="J5732" s="405">
        <v>1.0978749999999999</v>
      </c>
      <c r="K5732" s="405">
        <v>34.148417999999999</v>
      </c>
      <c r="L5732" s="405" t="s">
        <v>6866</v>
      </c>
      <c r="M5732" s="405" t="s">
        <v>9514</v>
      </c>
      <c r="N5732" s="405" t="s">
        <v>9529</v>
      </c>
      <c r="O5732" s="405" t="s">
        <v>9608</v>
      </c>
      <c r="P5732" s="405" t="s">
        <v>12972</v>
      </c>
      <c r="Q5732" s="411">
        <v>4</v>
      </c>
      <c r="R5732" s="405" t="s">
        <v>7224</v>
      </c>
      <c r="S5732" s="405" t="s">
        <v>27074</v>
      </c>
      <c r="T5732" s="405" t="s">
        <v>32212</v>
      </c>
      <c r="U5732" s="405" t="s">
        <v>2267</v>
      </c>
    </row>
    <row r="5733" spans="1:21" x14ac:dyDescent="0.25">
      <c r="A5733" s="405" t="s">
        <v>310</v>
      </c>
      <c r="B5733" s="405" t="s">
        <v>13006</v>
      </c>
      <c r="C5733" s="405" t="s">
        <v>327</v>
      </c>
      <c r="D5733" s="405"/>
      <c r="E5733" s="410">
        <v>41505</v>
      </c>
      <c r="F5733" s="410">
        <v>41550</v>
      </c>
      <c r="G5733" s="405" t="s">
        <v>13007</v>
      </c>
      <c r="H5733" s="405">
        <v>783486897</v>
      </c>
      <c r="I5733" s="405">
        <v>782097795</v>
      </c>
      <c r="J5733" s="405">
        <v>0.99699499999999996</v>
      </c>
      <c r="K5733" s="405">
        <v>34.347068</v>
      </c>
      <c r="L5733" s="405" t="s">
        <v>6866</v>
      </c>
      <c r="M5733" s="405" t="s">
        <v>9763</v>
      </c>
      <c r="N5733" s="405" t="s">
        <v>9764</v>
      </c>
      <c r="O5733" s="405" t="s">
        <v>1590</v>
      </c>
      <c r="P5733" s="405" t="s">
        <v>9691</v>
      </c>
      <c r="Q5733" s="411">
        <v>6</v>
      </c>
      <c r="R5733" s="405" t="s">
        <v>7224</v>
      </c>
      <c r="S5733" s="405" t="s">
        <v>27306</v>
      </c>
      <c r="T5733" s="405" t="s">
        <v>32102</v>
      </c>
      <c r="U5733" s="405" t="s">
        <v>319</v>
      </c>
    </row>
    <row r="5734" spans="1:21" x14ac:dyDescent="0.25">
      <c r="A5734" s="405" t="s">
        <v>310</v>
      </c>
      <c r="B5734" s="405" t="s">
        <v>12935</v>
      </c>
      <c r="C5734" s="405" t="s">
        <v>327</v>
      </c>
      <c r="D5734" s="405"/>
      <c r="E5734" s="410">
        <v>41505</v>
      </c>
      <c r="F5734" s="410">
        <v>41550</v>
      </c>
      <c r="G5734" s="405" t="s">
        <v>12936</v>
      </c>
      <c r="H5734" s="405">
        <v>783872852</v>
      </c>
      <c r="I5734" s="405"/>
      <c r="J5734" s="405">
        <v>1.99576</v>
      </c>
      <c r="K5734" s="405">
        <v>34.052413000000001</v>
      </c>
      <c r="L5734" s="405" t="s">
        <v>6866</v>
      </c>
      <c r="M5734" s="405" t="s">
        <v>11355</v>
      </c>
      <c r="N5734" s="405" t="s">
        <v>11356</v>
      </c>
      <c r="O5734" s="405" t="s">
        <v>11356</v>
      </c>
      <c r="P5734" s="405" t="s">
        <v>12184</v>
      </c>
      <c r="Q5734" s="411">
        <v>6</v>
      </c>
      <c r="R5734" s="405" t="s">
        <v>5655</v>
      </c>
      <c r="S5734" s="405" t="s">
        <v>27337</v>
      </c>
      <c r="T5734" s="405" t="s">
        <v>32102</v>
      </c>
      <c r="U5734" s="405" t="s">
        <v>319</v>
      </c>
    </row>
    <row r="5735" spans="1:21" x14ac:dyDescent="0.25">
      <c r="A5735" s="405" t="s">
        <v>310</v>
      </c>
      <c r="B5735" s="405" t="s">
        <v>27990</v>
      </c>
      <c r="C5735" s="405" t="s">
        <v>327</v>
      </c>
      <c r="D5735" s="405"/>
      <c r="E5735" s="410">
        <v>41505</v>
      </c>
      <c r="F5735" s="410">
        <v>41550</v>
      </c>
      <c r="G5735" s="405" t="s">
        <v>4595</v>
      </c>
      <c r="H5735" s="405">
        <v>779995230</v>
      </c>
      <c r="I5735" s="405"/>
      <c r="J5735" s="405">
        <v>0.48928199999999999</v>
      </c>
      <c r="K5735" s="405">
        <v>33.038632</v>
      </c>
      <c r="L5735" s="405" t="s">
        <v>314</v>
      </c>
      <c r="M5735" s="405" t="s">
        <v>349</v>
      </c>
      <c r="N5735" s="405" t="s">
        <v>405</v>
      </c>
      <c r="O5735" s="405" t="s">
        <v>2107</v>
      </c>
      <c r="P5735" s="405" t="s">
        <v>4596</v>
      </c>
      <c r="Q5735" s="411">
        <v>6</v>
      </c>
      <c r="R5735" s="405" t="s">
        <v>1263</v>
      </c>
      <c r="S5735" s="405" t="s">
        <v>27210</v>
      </c>
      <c r="T5735" s="405" t="s">
        <v>32212</v>
      </c>
      <c r="U5735" s="405" t="s">
        <v>2267</v>
      </c>
    </row>
    <row r="5736" spans="1:21" x14ac:dyDescent="0.25">
      <c r="A5736" s="405" t="s">
        <v>310</v>
      </c>
      <c r="B5736" s="405" t="s">
        <v>4482</v>
      </c>
      <c r="C5736" s="405" t="s">
        <v>327</v>
      </c>
      <c r="D5736" s="405"/>
      <c r="E5736" s="410">
        <v>41505</v>
      </c>
      <c r="F5736" s="410">
        <v>41550</v>
      </c>
      <c r="G5736" s="405" t="s">
        <v>4483</v>
      </c>
      <c r="H5736" s="405">
        <v>783013755</v>
      </c>
      <c r="I5736" s="405"/>
      <c r="J5736" s="405">
        <v>0.19145799999999999</v>
      </c>
      <c r="K5736" s="405">
        <v>31.898177</v>
      </c>
      <c r="L5736" s="405" t="s">
        <v>314</v>
      </c>
      <c r="M5736" s="405" t="s">
        <v>339</v>
      </c>
      <c r="N5736" s="405" t="s">
        <v>339</v>
      </c>
      <c r="O5736" s="405" t="s">
        <v>341</v>
      </c>
      <c r="P5736" s="405" t="s">
        <v>2351</v>
      </c>
      <c r="Q5736" s="411">
        <v>6</v>
      </c>
      <c r="R5736" s="405" t="s">
        <v>318</v>
      </c>
      <c r="S5736" s="405" t="s">
        <v>27131</v>
      </c>
      <c r="T5736" s="405" t="s">
        <v>32102</v>
      </c>
      <c r="U5736" s="405" t="s">
        <v>319</v>
      </c>
    </row>
    <row r="5737" spans="1:21" x14ac:dyDescent="0.25">
      <c r="A5737" s="405" t="s">
        <v>310</v>
      </c>
      <c r="B5737" s="405" t="s">
        <v>18996</v>
      </c>
      <c r="C5737" s="405" t="s">
        <v>327</v>
      </c>
      <c r="D5737" s="405"/>
      <c r="E5737" s="410">
        <v>41505</v>
      </c>
      <c r="F5737" s="410">
        <v>41550</v>
      </c>
      <c r="G5737" s="405" t="s">
        <v>18997</v>
      </c>
      <c r="H5737" s="405">
        <v>774429515</v>
      </c>
      <c r="I5737" s="405">
        <v>773939520</v>
      </c>
      <c r="J5737" s="405">
        <v>2.2835931</v>
      </c>
      <c r="K5737" s="405">
        <v>32.805880600000002</v>
      </c>
      <c r="L5737" s="405" t="s">
        <v>860</v>
      </c>
      <c r="M5737" s="405" t="s">
        <v>18234</v>
      </c>
      <c r="N5737" s="405" t="s">
        <v>18252</v>
      </c>
      <c r="O5737" s="405" t="s">
        <v>18234</v>
      </c>
      <c r="P5737" s="405" t="s">
        <v>18998</v>
      </c>
      <c r="Q5737" s="411">
        <v>6</v>
      </c>
      <c r="R5737" s="405" t="s">
        <v>525</v>
      </c>
      <c r="S5737" s="405" t="s">
        <v>27171</v>
      </c>
      <c r="T5737" s="405" t="s">
        <v>32102</v>
      </c>
      <c r="U5737" s="405" t="s">
        <v>319</v>
      </c>
    </row>
    <row r="5738" spans="1:21" x14ac:dyDescent="0.25">
      <c r="A5738" s="405" t="s">
        <v>310</v>
      </c>
      <c r="B5738" s="405" t="s">
        <v>12996</v>
      </c>
      <c r="C5738" s="405" t="s">
        <v>327</v>
      </c>
      <c r="D5738" s="405"/>
      <c r="E5738" s="410">
        <v>41504</v>
      </c>
      <c r="F5738" s="410">
        <v>41549</v>
      </c>
      <c r="G5738" s="405" t="s">
        <v>12997</v>
      </c>
      <c r="H5738" s="405">
        <v>783228023</v>
      </c>
      <c r="I5738" s="405"/>
      <c r="J5738" s="405">
        <v>0.98678699999999997</v>
      </c>
      <c r="K5738" s="405">
        <v>33.823259999999998</v>
      </c>
      <c r="L5738" s="405" t="s">
        <v>6866</v>
      </c>
      <c r="M5738" s="405" t="s">
        <v>10152</v>
      </c>
      <c r="N5738" s="405" t="s">
        <v>10153</v>
      </c>
      <c r="O5738" s="405" t="s">
        <v>12998</v>
      </c>
      <c r="P5738" s="405" t="s">
        <v>12999</v>
      </c>
      <c r="Q5738" s="411">
        <v>6</v>
      </c>
      <c r="R5738" s="405" t="s">
        <v>9541</v>
      </c>
      <c r="S5738" s="405" t="s">
        <v>27297</v>
      </c>
      <c r="T5738" s="405" t="s">
        <v>865</v>
      </c>
      <c r="U5738" s="405" t="s">
        <v>866</v>
      </c>
    </row>
    <row r="5739" spans="1:21" x14ac:dyDescent="0.25">
      <c r="A5739" s="405" t="s">
        <v>310</v>
      </c>
      <c r="B5739" s="405" t="s">
        <v>18767</v>
      </c>
      <c r="C5739" s="405" t="s">
        <v>327</v>
      </c>
      <c r="D5739" s="405"/>
      <c r="E5739" s="410">
        <v>41504</v>
      </c>
      <c r="F5739" s="410">
        <v>41549</v>
      </c>
      <c r="G5739" s="405" t="s">
        <v>18768</v>
      </c>
      <c r="H5739" s="405">
        <v>781473859</v>
      </c>
      <c r="I5739" s="405"/>
      <c r="J5739" s="405">
        <v>2.2624866666666668</v>
      </c>
      <c r="K5739" s="405">
        <v>32.904336666666673</v>
      </c>
      <c r="L5739" s="405" t="s">
        <v>860</v>
      </c>
      <c r="M5739" s="405" t="s">
        <v>18234</v>
      </c>
      <c r="N5739" s="405" t="s">
        <v>18250</v>
      </c>
      <c r="O5739" s="405" t="s">
        <v>18391</v>
      </c>
      <c r="P5739" s="405" t="s">
        <v>18769</v>
      </c>
      <c r="Q5739" s="411">
        <v>6</v>
      </c>
      <c r="R5739" s="405" t="s">
        <v>318</v>
      </c>
      <c r="S5739" s="405" t="s">
        <v>27343</v>
      </c>
      <c r="T5739" s="405" t="s">
        <v>32102</v>
      </c>
      <c r="U5739" s="405" t="s">
        <v>319</v>
      </c>
    </row>
    <row r="5740" spans="1:21" x14ac:dyDescent="0.25">
      <c r="A5740" s="405" t="s">
        <v>310</v>
      </c>
      <c r="B5740" s="405" t="s">
        <v>66</v>
      </c>
      <c r="C5740" s="405" t="s">
        <v>327</v>
      </c>
      <c r="D5740" s="405"/>
      <c r="E5740" s="410">
        <v>41504</v>
      </c>
      <c r="F5740" s="410">
        <v>41549</v>
      </c>
      <c r="G5740" s="405" t="s">
        <v>12973</v>
      </c>
      <c r="H5740" s="405">
        <v>782849562</v>
      </c>
      <c r="I5740" s="405"/>
      <c r="J5740" s="405">
        <v>1.0231669999999999</v>
      </c>
      <c r="K5740" s="405">
        <v>34.375700000000002</v>
      </c>
      <c r="L5740" s="405" t="s">
        <v>6866</v>
      </c>
      <c r="M5740" s="405" t="s">
        <v>6867</v>
      </c>
      <c r="N5740" s="405" t="s">
        <v>12252</v>
      </c>
      <c r="O5740" s="405" t="s">
        <v>12974</v>
      </c>
      <c r="P5740" s="405" t="s">
        <v>12820</v>
      </c>
      <c r="Q5740" s="411">
        <v>6</v>
      </c>
      <c r="R5740" s="405" t="s">
        <v>7224</v>
      </c>
      <c r="S5740" s="405" t="s">
        <v>27190</v>
      </c>
      <c r="T5740" s="405" t="s">
        <v>32102</v>
      </c>
      <c r="U5740" s="405" t="s">
        <v>319</v>
      </c>
    </row>
    <row r="5741" spans="1:21" x14ac:dyDescent="0.25">
      <c r="A5741" s="405" t="s">
        <v>310</v>
      </c>
      <c r="B5741" s="405" t="s">
        <v>18764</v>
      </c>
      <c r="C5741" s="405" t="s">
        <v>327</v>
      </c>
      <c r="D5741" s="405"/>
      <c r="E5741" s="410">
        <v>41503</v>
      </c>
      <c r="F5741" s="410">
        <v>41548</v>
      </c>
      <c r="G5741" s="405" t="s">
        <v>18765</v>
      </c>
      <c r="H5741" s="405">
        <v>772608217</v>
      </c>
      <c r="I5741" s="405"/>
      <c r="J5741" s="405">
        <v>2.2607116666666665</v>
      </c>
      <c r="K5741" s="405">
        <v>32.90043166666667</v>
      </c>
      <c r="L5741" s="405" t="s">
        <v>860</v>
      </c>
      <c r="M5741" s="405" t="s">
        <v>18234</v>
      </c>
      <c r="N5741" s="405" t="s">
        <v>18250</v>
      </c>
      <c r="O5741" s="405" t="s">
        <v>18391</v>
      </c>
      <c r="P5741" s="405" t="s">
        <v>18766</v>
      </c>
      <c r="Q5741" s="411">
        <v>6</v>
      </c>
      <c r="R5741" s="405" t="s">
        <v>525</v>
      </c>
      <c r="S5741" s="405" t="s">
        <v>27243</v>
      </c>
      <c r="T5741" s="405" t="s">
        <v>32212</v>
      </c>
      <c r="U5741" s="405" t="s">
        <v>2267</v>
      </c>
    </row>
    <row r="5742" spans="1:21" x14ac:dyDescent="0.25">
      <c r="A5742" s="405" t="s">
        <v>310</v>
      </c>
      <c r="B5742" s="405" t="s">
        <v>12968</v>
      </c>
      <c r="C5742" s="405" t="s">
        <v>327</v>
      </c>
      <c r="D5742" s="405"/>
      <c r="E5742" s="410">
        <v>41503</v>
      </c>
      <c r="F5742" s="410">
        <v>41548</v>
      </c>
      <c r="G5742" s="405" t="s">
        <v>12969</v>
      </c>
      <c r="H5742" s="405">
        <v>774869800</v>
      </c>
      <c r="I5742" s="405"/>
      <c r="J5742" s="405">
        <v>1.5203869999999999</v>
      </c>
      <c r="K5742" s="405">
        <v>33.820444999999999</v>
      </c>
      <c r="L5742" s="405" t="s">
        <v>6866</v>
      </c>
      <c r="M5742" s="405" t="s">
        <v>10012</v>
      </c>
      <c r="N5742" s="405" t="s">
        <v>10012</v>
      </c>
      <c r="O5742" s="405" t="s">
        <v>10779</v>
      </c>
      <c r="P5742" s="405" t="s">
        <v>10869</v>
      </c>
      <c r="Q5742" s="411">
        <v>6</v>
      </c>
      <c r="R5742" s="405" t="s">
        <v>7224</v>
      </c>
      <c r="S5742" s="405" t="s">
        <v>27298</v>
      </c>
      <c r="T5742" s="405" t="s">
        <v>32102</v>
      </c>
      <c r="U5742" s="405" t="s">
        <v>319</v>
      </c>
    </row>
    <row r="5743" spans="1:21" x14ac:dyDescent="0.25">
      <c r="A5743" s="405" t="s">
        <v>310</v>
      </c>
      <c r="B5743" s="405" t="s">
        <v>18756</v>
      </c>
      <c r="C5743" s="405" t="s">
        <v>327</v>
      </c>
      <c r="D5743" s="405"/>
      <c r="E5743" s="410">
        <v>41503</v>
      </c>
      <c r="F5743" s="410">
        <v>41548</v>
      </c>
      <c r="G5743" s="405" t="s">
        <v>18757</v>
      </c>
      <c r="H5743" s="405">
        <v>772544670</v>
      </c>
      <c r="I5743" s="405"/>
      <c r="J5743" s="405">
        <v>2.2590283333333332</v>
      </c>
      <c r="K5743" s="405">
        <v>32.940101666666671</v>
      </c>
      <c r="L5743" s="405" t="s">
        <v>860</v>
      </c>
      <c r="M5743" s="405" t="s">
        <v>18234</v>
      </c>
      <c r="N5743" s="405" t="s">
        <v>18252</v>
      </c>
      <c r="O5743" s="405" t="s">
        <v>18253</v>
      </c>
      <c r="P5743" s="405" t="s">
        <v>18758</v>
      </c>
      <c r="Q5743" s="411">
        <v>6</v>
      </c>
      <c r="R5743" s="405" t="s">
        <v>525</v>
      </c>
      <c r="S5743" s="405" t="s">
        <v>27243</v>
      </c>
      <c r="T5743" s="405" t="s">
        <v>32102</v>
      </c>
      <c r="U5743" s="405" t="s">
        <v>319</v>
      </c>
    </row>
    <row r="5744" spans="1:21" x14ac:dyDescent="0.25">
      <c r="A5744" s="405" t="s">
        <v>310</v>
      </c>
      <c r="B5744" s="405" t="s">
        <v>12736</v>
      </c>
      <c r="C5744" s="405" t="s">
        <v>327</v>
      </c>
      <c r="D5744" s="405"/>
      <c r="E5744" s="410">
        <v>41502</v>
      </c>
      <c r="F5744" s="410">
        <v>41547</v>
      </c>
      <c r="G5744" s="405" t="s">
        <v>12737</v>
      </c>
      <c r="H5744" s="405">
        <v>772454635</v>
      </c>
      <c r="I5744" s="405"/>
      <c r="J5744" s="405">
        <v>1.02515</v>
      </c>
      <c r="K5744" s="405">
        <v>34.378117000000003</v>
      </c>
      <c r="L5744" s="405" t="s">
        <v>6866</v>
      </c>
      <c r="M5744" s="405" t="s">
        <v>6867</v>
      </c>
      <c r="N5744" s="405" t="s">
        <v>6868</v>
      </c>
      <c r="O5744" s="405" t="s">
        <v>12226</v>
      </c>
      <c r="P5744" s="405" t="s">
        <v>12738</v>
      </c>
      <c r="Q5744" s="411">
        <v>6</v>
      </c>
      <c r="R5744" s="405" t="s">
        <v>7224</v>
      </c>
      <c r="S5744" s="405" t="s">
        <v>27074</v>
      </c>
      <c r="T5744" s="405" t="s">
        <v>32102</v>
      </c>
      <c r="U5744" s="405" t="s">
        <v>319</v>
      </c>
    </row>
    <row r="5745" spans="1:21" x14ac:dyDescent="0.25">
      <c r="A5745" s="405" t="s">
        <v>310</v>
      </c>
      <c r="B5745" s="405" t="s">
        <v>28956</v>
      </c>
      <c r="C5745" s="405" t="s">
        <v>327</v>
      </c>
      <c r="D5745" s="405"/>
      <c r="E5745" s="410">
        <v>41501</v>
      </c>
      <c r="F5745" s="410">
        <v>41546</v>
      </c>
      <c r="G5745" s="405" t="s">
        <v>4379</v>
      </c>
      <c r="H5745" s="405">
        <v>772469478</v>
      </c>
      <c r="I5745" s="405">
        <v>756469478</v>
      </c>
      <c r="J5745" s="405">
        <v>-0.37868299999999999</v>
      </c>
      <c r="K5745" s="405">
        <v>31.316455000000001</v>
      </c>
      <c r="L5745" s="405" t="s">
        <v>314</v>
      </c>
      <c r="M5745" s="405" t="s">
        <v>1189</v>
      </c>
      <c r="N5745" s="405" t="s">
        <v>1476</v>
      </c>
      <c r="O5745" s="405" t="s">
        <v>1477</v>
      </c>
      <c r="P5745" s="405" t="s">
        <v>4380</v>
      </c>
      <c r="Q5745" s="411">
        <v>13</v>
      </c>
      <c r="R5745" s="405" t="s">
        <v>1263</v>
      </c>
      <c r="S5745" s="405" t="s">
        <v>27232</v>
      </c>
      <c r="T5745" s="405" t="s">
        <v>32102</v>
      </c>
      <c r="U5745" s="405" t="s">
        <v>319</v>
      </c>
    </row>
    <row r="5746" spans="1:21" x14ac:dyDescent="0.25">
      <c r="A5746" s="405" t="s">
        <v>310</v>
      </c>
      <c r="B5746" s="405" t="s">
        <v>4401</v>
      </c>
      <c r="C5746" s="405" t="s">
        <v>327</v>
      </c>
      <c r="D5746" s="405"/>
      <c r="E5746" s="410">
        <v>41501</v>
      </c>
      <c r="F5746" s="410">
        <v>41546</v>
      </c>
      <c r="G5746" s="405" t="s">
        <v>4402</v>
      </c>
      <c r="H5746" s="405">
        <v>392964819</v>
      </c>
      <c r="I5746" s="405"/>
      <c r="J5746" s="405">
        <v>0.67059500000000005</v>
      </c>
      <c r="K5746" s="405">
        <v>31.717894999999999</v>
      </c>
      <c r="L5746" s="405" t="s">
        <v>314</v>
      </c>
      <c r="M5746" s="405" t="s">
        <v>445</v>
      </c>
      <c r="N5746" s="405" t="s">
        <v>570</v>
      </c>
      <c r="O5746" s="405" t="s">
        <v>2925</v>
      </c>
      <c r="P5746" s="405" t="s">
        <v>4403</v>
      </c>
      <c r="Q5746" s="411">
        <v>13</v>
      </c>
      <c r="R5746" s="405" t="s">
        <v>318</v>
      </c>
      <c r="S5746" s="405" t="s">
        <v>27174</v>
      </c>
      <c r="T5746" s="405" t="s">
        <v>32102</v>
      </c>
      <c r="U5746" s="405" t="s">
        <v>319</v>
      </c>
    </row>
    <row r="5747" spans="1:21" x14ac:dyDescent="0.25">
      <c r="A5747" s="405" t="s">
        <v>310</v>
      </c>
      <c r="B5747" s="405" t="s">
        <v>27765</v>
      </c>
      <c r="C5747" s="405" t="s">
        <v>327</v>
      </c>
      <c r="D5747" s="405"/>
      <c r="E5747" s="410">
        <v>41501</v>
      </c>
      <c r="F5747" s="410">
        <v>41546</v>
      </c>
      <c r="G5747" s="405" t="s">
        <v>4350</v>
      </c>
      <c r="H5747" s="405">
        <v>772542203</v>
      </c>
      <c r="I5747" s="405">
        <v>702222325</v>
      </c>
      <c r="J5747" s="405">
        <v>-0.35601250000000001</v>
      </c>
      <c r="K5747" s="405">
        <v>31.726492400000001</v>
      </c>
      <c r="L5747" s="405" t="s">
        <v>314</v>
      </c>
      <c r="M5747" s="405" t="s">
        <v>382</v>
      </c>
      <c r="N5747" s="405" t="s">
        <v>988</v>
      </c>
      <c r="O5747" s="405" t="s">
        <v>1076</v>
      </c>
      <c r="P5747" s="405" t="s">
        <v>4351</v>
      </c>
      <c r="Q5747" s="411">
        <v>9</v>
      </c>
      <c r="R5747" s="405" t="s">
        <v>1263</v>
      </c>
      <c r="S5747" s="405" t="s">
        <v>27221</v>
      </c>
      <c r="T5747" s="405" t="s">
        <v>32102</v>
      </c>
      <c r="U5747" s="405" t="s">
        <v>319</v>
      </c>
    </row>
    <row r="5748" spans="1:21" x14ac:dyDescent="0.25">
      <c r="A5748" s="405" t="s">
        <v>310</v>
      </c>
      <c r="B5748" s="405" t="s">
        <v>4457</v>
      </c>
      <c r="C5748" s="405" t="s">
        <v>327</v>
      </c>
      <c r="D5748" s="405"/>
      <c r="E5748" s="410">
        <v>41501</v>
      </c>
      <c r="F5748" s="410">
        <v>41546</v>
      </c>
      <c r="G5748" s="405" t="s">
        <v>4458</v>
      </c>
      <c r="H5748" s="405">
        <v>782713405</v>
      </c>
      <c r="I5748" s="405">
        <v>730613405</v>
      </c>
      <c r="J5748" s="405">
        <v>0.28281166666666663</v>
      </c>
      <c r="K5748" s="405">
        <v>32.406960000000005</v>
      </c>
      <c r="L5748" s="405" t="s">
        <v>314</v>
      </c>
      <c r="M5748" s="405" t="s">
        <v>321</v>
      </c>
      <c r="N5748" s="405" t="s">
        <v>322</v>
      </c>
      <c r="O5748" s="405" t="s">
        <v>519</v>
      </c>
      <c r="P5748" s="405" t="s">
        <v>4217</v>
      </c>
      <c r="Q5748" s="411">
        <v>9</v>
      </c>
      <c r="R5748" s="405" t="s">
        <v>1263</v>
      </c>
      <c r="S5748" s="405" t="s">
        <v>27039</v>
      </c>
      <c r="T5748" s="405" t="s">
        <v>32102</v>
      </c>
      <c r="U5748" s="405" t="s">
        <v>319</v>
      </c>
    </row>
    <row r="5749" spans="1:21" x14ac:dyDescent="0.25">
      <c r="A5749" s="405" t="s">
        <v>310</v>
      </c>
      <c r="B5749" s="405" t="s">
        <v>28522</v>
      </c>
      <c r="C5749" s="405" t="s">
        <v>327</v>
      </c>
      <c r="D5749" s="405"/>
      <c r="E5749" s="410">
        <v>41501</v>
      </c>
      <c r="F5749" s="410">
        <v>41546</v>
      </c>
      <c r="G5749" s="405" t="s">
        <v>4422</v>
      </c>
      <c r="H5749" s="405">
        <v>752502401</v>
      </c>
      <c r="I5749" s="405"/>
      <c r="J5749" s="405">
        <v>0.22003</v>
      </c>
      <c r="K5749" s="405">
        <v>32.335188333333335</v>
      </c>
      <c r="L5749" s="405" t="s">
        <v>314</v>
      </c>
      <c r="M5749" s="405" t="s">
        <v>321</v>
      </c>
      <c r="N5749" s="405" t="s">
        <v>322</v>
      </c>
      <c r="O5749" s="405" t="s">
        <v>2256</v>
      </c>
      <c r="P5749" s="405" t="s">
        <v>961</v>
      </c>
      <c r="Q5749" s="411">
        <v>6</v>
      </c>
      <c r="R5749" s="405" t="s">
        <v>318</v>
      </c>
      <c r="S5749" s="405" t="s">
        <v>27167</v>
      </c>
      <c r="T5749" s="405" t="s">
        <v>32102</v>
      </c>
      <c r="U5749" s="405" t="s">
        <v>319</v>
      </c>
    </row>
    <row r="5750" spans="1:21" x14ac:dyDescent="0.25">
      <c r="A5750" s="405" t="s">
        <v>310</v>
      </c>
      <c r="B5750" s="405" t="s">
        <v>28594</v>
      </c>
      <c r="C5750" s="405" t="s">
        <v>327</v>
      </c>
      <c r="D5750" s="405"/>
      <c r="E5750" s="410">
        <v>41501</v>
      </c>
      <c r="F5750" s="410">
        <v>41546</v>
      </c>
      <c r="G5750" s="405" t="s">
        <v>4443</v>
      </c>
      <c r="H5750" s="405">
        <v>752579625</v>
      </c>
      <c r="I5750" s="405"/>
      <c r="J5750" s="405">
        <v>-0.35601250000000001</v>
      </c>
      <c r="K5750" s="405">
        <v>31.726492400000001</v>
      </c>
      <c r="L5750" s="405" t="s">
        <v>314</v>
      </c>
      <c r="M5750" s="405" t="s">
        <v>900</v>
      </c>
      <c r="N5750" s="405" t="s">
        <v>900</v>
      </c>
      <c r="O5750" s="405" t="s">
        <v>900</v>
      </c>
      <c r="P5750" s="405" t="s">
        <v>2822</v>
      </c>
      <c r="Q5750" s="411">
        <v>6</v>
      </c>
      <c r="R5750" s="405" t="s">
        <v>1263</v>
      </c>
      <c r="S5750" s="405" t="s">
        <v>27212</v>
      </c>
      <c r="T5750" s="405" t="s">
        <v>32102</v>
      </c>
      <c r="U5750" s="405" t="s">
        <v>319</v>
      </c>
    </row>
    <row r="5751" spans="1:21" x14ac:dyDescent="0.25">
      <c r="A5751" s="405" t="s">
        <v>310</v>
      </c>
      <c r="B5751" s="405" t="s">
        <v>12733</v>
      </c>
      <c r="C5751" s="405" t="s">
        <v>327</v>
      </c>
      <c r="D5751" s="405"/>
      <c r="E5751" s="410">
        <v>41501</v>
      </c>
      <c r="F5751" s="410">
        <v>41546</v>
      </c>
      <c r="G5751" s="405" t="s">
        <v>12734</v>
      </c>
      <c r="H5751" s="405">
        <v>779585673</v>
      </c>
      <c r="I5751" s="405"/>
      <c r="J5751" s="405">
        <v>1.096195</v>
      </c>
      <c r="K5751" s="405">
        <v>34.206215</v>
      </c>
      <c r="L5751" s="405" t="s">
        <v>6866</v>
      </c>
      <c r="M5751" s="405" t="s">
        <v>9514</v>
      </c>
      <c r="N5751" s="405" t="s">
        <v>9529</v>
      </c>
      <c r="O5751" s="405" t="s">
        <v>9530</v>
      </c>
      <c r="P5751" s="405" t="s">
        <v>9893</v>
      </c>
      <c r="Q5751" s="411">
        <v>6</v>
      </c>
      <c r="R5751" s="405" t="s">
        <v>7224</v>
      </c>
      <c r="S5751" s="405" t="s">
        <v>27306</v>
      </c>
      <c r="T5751" s="405" t="s">
        <v>32102</v>
      </c>
      <c r="U5751" s="405" t="s">
        <v>319</v>
      </c>
    </row>
    <row r="5752" spans="1:21" x14ac:dyDescent="0.25">
      <c r="A5752" s="405" t="s">
        <v>310</v>
      </c>
      <c r="B5752" s="405" t="s">
        <v>18723</v>
      </c>
      <c r="C5752" s="405" t="s">
        <v>327</v>
      </c>
      <c r="D5752" s="405"/>
      <c r="E5752" s="410">
        <v>41501</v>
      </c>
      <c r="F5752" s="410">
        <v>41546</v>
      </c>
      <c r="G5752" s="405" t="s">
        <v>18724</v>
      </c>
      <c r="H5752" s="405">
        <v>782840917</v>
      </c>
      <c r="I5752" s="405">
        <v>755915918</v>
      </c>
      <c r="J5752" s="405">
        <v>2.2717049999999999</v>
      </c>
      <c r="K5752" s="405">
        <v>32.884166666666673</v>
      </c>
      <c r="L5752" s="405" t="s">
        <v>860</v>
      </c>
      <c r="M5752" s="405" t="s">
        <v>18234</v>
      </c>
      <c r="N5752" s="405" t="s">
        <v>18252</v>
      </c>
      <c r="O5752" s="405" t="s">
        <v>18234</v>
      </c>
      <c r="P5752" s="405" t="s">
        <v>18409</v>
      </c>
      <c r="Q5752" s="411">
        <v>6</v>
      </c>
      <c r="R5752" s="405" t="s">
        <v>525</v>
      </c>
      <c r="S5752" s="405" t="s">
        <v>27243</v>
      </c>
      <c r="T5752" s="405" t="s">
        <v>32102</v>
      </c>
      <c r="U5752" s="405" t="s">
        <v>319</v>
      </c>
    </row>
    <row r="5753" spans="1:21" x14ac:dyDescent="0.25">
      <c r="A5753" s="405" t="s">
        <v>310</v>
      </c>
      <c r="B5753" s="405" t="s">
        <v>12809</v>
      </c>
      <c r="C5753" s="405" t="s">
        <v>327</v>
      </c>
      <c r="D5753" s="405"/>
      <c r="E5753" s="410">
        <v>41501</v>
      </c>
      <c r="F5753" s="410">
        <v>41546</v>
      </c>
      <c r="G5753" s="405" t="s">
        <v>12810</v>
      </c>
      <c r="H5753" s="405">
        <v>702208564</v>
      </c>
      <c r="I5753" s="405"/>
      <c r="J5753" s="405">
        <v>1.56349</v>
      </c>
      <c r="K5753" s="405">
        <v>34.011156999999997</v>
      </c>
      <c r="L5753" s="405" t="s">
        <v>6866</v>
      </c>
      <c r="M5753" s="405" t="s">
        <v>10029</v>
      </c>
      <c r="N5753" s="405" t="s">
        <v>10029</v>
      </c>
      <c r="O5753" s="405" t="s">
        <v>10435</v>
      </c>
      <c r="P5753" s="405" t="s">
        <v>10435</v>
      </c>
      <c r="Q5753" s="411">
        <v>4</v>
      </c>
      <c r="R5753" s="405" t="s">
        <v>9541</v>
      </c>
      <c r="S5753" s="405" t="s">
        <v>27314</v>
      </c>
      <c r="T5753" s="405" t="s">
        <v>32102</v>
      </c>
      <c r="U5753" s="405" t="s">
        <v>319</v>
      </c>
    </row>
    <row r="5754" spans="1:21" x14ac:dyDescent="0.25">
      <c r="A5754" s="405" t="s">
        <v>310</v>
      </c>
      <c r="B5754" s="405" t="s">
        <v>12891</v>
      </c>
      <c r="C5754" s="405" t="s">
        <v>327</v>
      </c>
      <c r="D5754" s="405"/>
      <c r="E5754" s="410">
        <v>41501</v>
      </c>
      <c r="F5754" s="410">
        <v>41546</v>
      </c>
      <c r="G5754" s="405" t="s">
        <v>12892</v>
      </c>
      <c r="H5754" s="405">
        <v>752460982</v>
      </c>
      <c r="I5754" s="405"/>
      <c r="J5754" s="405">
        <v>0.83396599999999999</v>
      </c>
      <c r="K5754" s="405">
        <v>33.852229999999999</v>
      </c>
      <c r="L5754" s="405" t="s">
        <v>6866</v>
      </c>
      <c r="M5754" s="405" t="s">
        <v>9566</v>
      </c>
      <c r="N5754" s="405" t="s">
        <v>9787</v>
      </c>
      <c r="O5754" s="405" t="s">
        <v>12893</v>
      </c>
      <c r="P5754" s="405" t="s">
        <v>12894</v>
      </c>
      <c r="Q5754" s="411">
        <v>4</v>
      </c>
      <c r="R5754" s="405" t="s">
        <v>7224</v>
      </c>
      <c r="S5754" s="405" t="s">
        <v>27298</v>
      </c>
      <c r="T5754" s="405" t="s">
        <v>32102</v>
      </c>
      <c r="U5754" s="405" t="s">
        <v>319</v>
      </c>
    </row>
    <row r="5755" spans="1:21" x14ac:dyDescent="0.25">
      <c r="A5755" s="405" t="s">
        <v>310</v>
      </c>
      <c r="B5755" s="405" t="s">
        <v>12859</v>
      </c>
      <c r="C5755" s="405" t="s">
        <v>327</v>
      </c>
      <c r="D5755" s="405"/>
      <c r="E5755" s="410">
        <v>41500</v>
      </c>
      <c r="F5755" s="410">
        <v>41545</v>
      </c>
      <c r="G5755" s="405" t="s">
        <v>12860</v>
      </c>
      <c r="H5755" s="405">
        <v>752409849</v>
      </c>
      <c r="I5755" s="405"/>
      <c r="J5755" s="405">
        <v>1.3097620000000001</v>
      </c>
      <c r="K5755" s="405">
        <v>33.714703</v>
      </c>
      <c r="L5755" s="405" t="s">
        <v>6866</v>
      </c>
      <c r="M5755" s="405" t="s">
        <v>9509</v>
      </c>
      <c r="N5755" s="405" t="s">
        <v>10036</v>
      </c>
      <c r="O5755" s="405" t="s">
        <v>10036</v>
      </c>
      <c r="P5755" s="405" t="s">
        <v>12055</v>
      </c>
      <c r="Q5755" s="411">
        <v>6</v>
      </c>
      <c r="R5755" s="405" t="s">
        <v>7224</v>
      </c>
      <c r="S5755" s="405" t="s">
        <v>27107</v>
      </c>
      <c r="T5755" s="405" t="s">
        <v>32102</v>
      </c>
      <c r="U5755" s="405" t="s">
        <v>319</v>
      </c>
    </row>
    <row r="5756" spans="1:21" x14ac:dyDescent="0.25">
      <c r="A5756" s="405" t="s">
        <v>310</v>
      </c>
      <c r="B5756" s="405" t="s">
        <v>28344</v>
      </c>
      <c r="C5756" s="405" t="s">
        <v>311</v>
      </c>
      <c r="D5756" s="405" t="s">
        <v>33083</v>
      </c>
      <c r="E5756" s="410">
        <v>41500</v>
      </c>
      <c r="F5756" s="410">
        <v>41545</v>
      </c>
      <c r="G5756" s="405" t="s">
        <v>4914</v>
      </c>
      <c r="H5756" s="405">
        <v>783846486</v>
      </c>
      <c r="I5756" s="405"/>
      <c r="J5756" s="405">
        <v>0.49151299999999998</v>
      </c>
      <c r="K5756" s="405">
        <v>33.035783000000002</v>
      </c>
      <c r="L5756" s="405" t="s">
        <v>314</v>
      </c>
      <c r="M5756" s="405" t="s">
        <v>349</v>
      </c>
      <c r="N5756" s="405" t="s">
        <v>405</v>
      </c>
      <c r="O5756" s="405" t="s">
        <v>2107</v>
      </c>
      <c r="P5756" s="405" t="s">
        <v>4596</v>
      </c>
      <c r="Q5756" s="411">
        <v>6</v>
      </c>
      <c r="R5756" s="405" t="s">
        <v>1263</v>
      </c>
      <c r="S5756" s="405" t="s">
        <v>27210</v>
      </c>
      <c r="T5756" s="405" t="s">
        <v>32102</v>
      </c>
      <c r="U5756" s="405" t="s">
        <v>319</v>
      </c>
    </row>
    <row r="5757" spans="1:21" x14ac:dyDescent="0.25">
      <c r="A5757" s="405" t="s">
        <v>310</v>
      </c>
      <c r="B5757" s="405" t="s">
        <v>18746</v>
      </c>
      <c r="C5757" s="405" t="s">
        <v>327</v>
      </c>
      <c r="D5757" s="405"/>
      <c r="E5757" s="410">
        <v>41499</v>
      </c>
      <c r="F5757" s="410">
        <v>41544</v>
      </c>
      <c r="G5757" s="405" t="s">
        <v>18747</v>
      </c>
      <c r="H5757" s="405">
        <v>772392209</v>
      </c>
      <c r="I5757" s="405"/>
      <c r="J5757" s="405">
        <v>1.9953000000000001</v>
      </c>
      <c r="K5757" s="405">
        <v>32.713200000000001</v>
      </c>
      <c r="L5757" s="405" t="s">
        <v>860</v>
      </c>
      <c r="M5757" s="405" t="s">
        <v>861</v>
      </c>
      <c r="N5757" s="405" t="s">
        <v>18302</v>
      </c>
      <c r="O5757" s="405" t="s">
        <v>18748</v>
      </c>
      <c r="P5757" s="405" t="s">
        <v>18749</v>
      </c>
      <c r="Q5757" s="411">
        <v>9</v>
      </c>
      <c r="R5757" s="405" t="s">
        <v>318</v>
      </c>
      <c r="S5757" s="405" t="s">
        <v>27124</v>
      </c>
      <c r="T5757" s="405" t="s">
        <v>32102</v>
      </c>
      <c r="U5757" s="405" t="s">
        <v>319</v>
      </c>
    </row>
    <row r="5758" spans="1:21" x14ac:dyDescent="0.25">
      <c r="A5758" s="405" t="s">
        <v>310</v>
      </c>
      <c r="B5758" s="405" t="s">
        <v>4444</v>
      </c>
      <c r="C5758" s="405" t="s">
        <v>327</v>
      </c>
      <c r="D5758" s="405"/>
      <c r="E5758" s="410">
        <v>41499</v>
      </c>
      <c r="F5758" s="410">
        <v>41544</v>
      </c>
      <c r="G5758" s="405" t="s">
        <v>4445</v>
      </c>
      <c r="H5758" s="405">
        <v>782240264</v>
      </c>
      <c r="I5758" s="405"/>
      <c r="J5758" s="405">
        <v>1.3153919999999999</v>
      </c>
      <c r="K5758" s="405">
        <v>32.438369999999999</v>
      </c>
      <c r="L5758" s="405" t="s">
        <v>314</v>
      </c>
      <c r="M5758" s="405" t="s">
        <v>2512</v>
      </c>
      <c r="N5758" s="405" t="s">
        <v>2512</v>
      </c>
      <c r="O5758" s="405" t="s">
        <v>3906</v>
      </c>
      <c r="P5758" s="405" t="s">
        <v>4446</v>
      </c>
      <c r="Q5758" s="411">
        <v>9</v>
      </c>
      <c r="R5758" s="405" t="s">
        <v>32476</v>
      </c>
      <c r="S5758" s="405" t="s">
        <v>27185</v>
      </c>
      <c r="T5758" s="405" t="s">
        <v>32102</v>
      </c>
      <c r="U5758" s="405" t="s">
        <v>319</v>
      </c>
    </row>
    <row r="5759" spans="1:21" x14ac:dyDescent="0.25">
      <c r="A5759" s="405" t="s">
        <v>310</v>
      </c>
      <c r="B5759" s="405" t="s">
        <v>4345</v>
      </c>
      <c r="C5759" s="405" t="s">
        <v>327</v>
      </c>
      <c r="D5759" s="405"/>
      <c r="E5759" s="410">
        <v>41498</v>
      </c>
      <c r="F5759" s="410">
        <v>41543</v>
      </c>
      <c r="G5759" s="405" t="s">
        <v>4346</v>
      </c>
      <c r="H5759" s="405">
        <v>772415233</v>
      </c>
      <c r="I5759" s="405">
        <v>757989328</v>
      </c>
      <c r="J5759" s="405">
        <v>-2.4351999999999999E-2</v>
      </c>
      <c r="K5759" s="405">
        <v>31.676794999999998</v>
      </c>
      <c r="L5759" s="405" t="s">
        <v>314</v>
      </c>
      <c r="M5759" s="405" t="s">
        <v>1080</v>
      </c>
      <c r="N5759" s="405" t="s">
        <v>4347</v>
      </c>
      <c r="O5759" s="405" t="s">
        <v>4348</v>
      </c>
      <c r="P5759" s="405" t="s">
        <v>4349</v>
      </c>
      <c r="Q5759" s="411">
        <v>9</v>
      </c>
      <c r="R5759" s="405" t="s">
        <v>1263</v>
      </c>
      <c r="S5759" s="405" t="s">
        <v>27117</v>
      </c>
      <c r="T5759" s="405" t="s">
        <v>32102</v>
      </c>
      <c r="U5759" s="405" t="s">
        <v>319</v>
      </c>
    </row>
    <row r="5760" spans="1:21" x14ac:dyDescent="0.25">
      <c r="A5760" s="405" t="s">
        <v>310</v>
      </c>
      <c r="B5760" s="405" t="s">
        <v>18750</v>
      </c>
      <c r="C5760" s="405" t="s">
        <v>327</v>
      </c>
      <c r="D5760" s="405"/>
      <c r="E5760" s="410">
        <v>41498</v>
      </c>
      <c r="F5760" s="410">
        <v>41543</v>
      </c>
      <c r="G5760" s="405" t="s">
        <v>18751</v>
      </c>
      <c r="H5760" s="405">
        <v>771679898</v>
      </c>
      <c r="I5760" s="405"/>
      <c r="J5760" s="405">
        <v>2.2061999999999999</v>
      </c>
      <c r="K5760" s="405">
        <v>32.866554000000001</v>
      </c>
      <c r="L5760" s="405" t="s">
        <v>860</v>
      </c>
      <c r="M5760" s="405" t="s">
        <v>18234</v>
      </c>
      <c r="N5760" s="405" t="s">
        <v>18252</v>
      </c>
      <c r="O5760" s="405" t="s">
        <v>18752</v>
      </c>
      <c r="P5760" s="405" t="s">
        <v>18753</v>
      </c>
      <c r="Q5760" s="411">
        <v>6</v>
      </c>
      <c r="R5760" s="405" t="s">
        <v>525</v>
      </c>
      <c r="S5760" s="405" t="s">
        <v>27229</v>
      </c>
      <c r="T5760" s="405" t="s">
        <v>32102</v>
      </c>
      <c r="U5760" s="405" t="s">
        <v>319</v>
      </c>
    </row>
    <row r="5761" spans="1:21" x14ac:dyDescent="0.25">
      <c r="A5761" s="405" t="s">
        <v>310</v>
      </c>
      <c r="B5761" s="405" t="s">
        <v>4343</v>
      </c>
      <c r="C5761" s="405" t="s">
        <v>327</v>
      </c>
      <c r="D5761" s="405"/>
      <c r="E5761" s="410">
        <v>41498</v>
      </c>
      <c r="F5761" s="410">
        <v>41543</v>
      </c>
      <c r="G5761" s="405" t="s">
        <v>4344</v>
      </c>
      <c r="H5761" s="405">
        <v>782425557</v>
      </c>
      <c r="I5761" s="405"/>
      <c r="J5761" s="405">
        <v>9.2818333333333322E-2</v>
      </c>
      <c r="K5761" s="405">
        <v>32.072313333333334</v>
      </c>
      <c r="L5761" s="405" t="s">
        <v>314</v>
      </c>
      <c r="M5761" s="405" t="s">
        <v>321</v>
      </c>
      <c r="N5761" s="405" t="s">
        <v>322</v>
      </c>
      <c r="O5761" s="405" t="s">
        <v>476</v>
      </c>
      <c r="P5761" s="405" t="s">
        <v>3174</v>
      </c>
      <c r="Q5761" s="411">
        <v>6</v>
      </c>
      <c r="R5761" s="405" t="s">
        <v>318</v>
      </c>
      <c r="S5761" s="405" t="s">
        <v>27137</v>
      </c>
      <c r="T5761" s="405" t="s">
        <v>32102</v>
      </c>
      <c r="U5761" s="405" t="s">
        <v>319</v>
      </c>
    </row>
    <row r="5762" spans="1:21" x14ac:dyDescent="0.25">
      <c r="A5762" s="405" t="s">
        <v>310</v>
      </c>
      <c r="B5762" s="405" t="s">
        <v>4459</v>
      </c>
      <c r="C5762" s="405" t="s">
        <v>327</v>
      </c>
      <c r="D5762" s="405"/>
      <c r="E5762" s="410">
        <v>41498</v>
      </c>
      <c r="F5762" s="410">
        <v>41543</v>
      </c>
      <c r="G5762" s="405" t="s">
        <v>4460</v>
      </c>
      <c r="H5762" s="405">
        <v>752625911</v>
      </c>
      <c r="I5762" s="405"/>
      <c r="J5762" s="405">
        <v>-0.142017</v>
      </c>
      <c r="K5762" s="405">
        <v>31.282966999999999</v>
      </c>
      <c r="L5762" s="405" t="s">
        <v>314</v>
      </c>
      <c r="M5762" s="405" t="s">
        <v>1805</v>
      </c>
      <c r="N5762" s="405" t="s">
        <v>1805</v>
      </c>
      <c r="O5762" s="405" t="s">
        <v>4075</v>
      </c>
      <c r="P5762" s="405" t="s">
        <v>4461</v>
      </c>
      <c r="Q5762" s="411">
        <v>6</v>
      </c>
      <c r="R5762" s="405" t="s">
        <v>874</v>
      </c>
      <c r="S5762" s="405" t="s">
        <v>27185</v>
      </c>
      <c r="T5762" s="405" t="s">
        <v>32102</v>
      </c>
      <c r="U5762" s="405" t="s">
        <v>319</v>
      </c>
    </row>
    <row r="5763" spans="1:21" x14ac:dyDescent="0.25">
      <c r="A5763" s="405" t="s">
        <v>310</v>
      </c>
      <c r="B5763" s="405" t="s">
        <v>12852</v>
      </c>
      <c r="C5763" s="405" t="s">
        <v>327</v>
      </c>
      <c r="D5763" s="405"/>
      <c r="E5763" s="410">
        <v>41497</v>
      </c>
      <c r="F5763" s="410">
        <v>41542</v>
      </c>
      <c r="G5763" s="405" t="s">
        <v>12853</v>
      </c>
      <c r="H5763" s="405">
        <v>752436959</v>
      </c>
      <c r="I5763" s="405"/>
      <c r="J5763" s="405">
        <v>1.1404719999999999</v>
      </c>
      <c r="K5763" s="405">
        <v>33.841372</v>
      </c>
      <c r="L5763" s="405" t="s">
        <v>6866</v>
      </c>
      <c r="M5763" s="405" t="s">
        <v>10152</v>
      </c>
      <c r="N5763" s="405" t="s">
        <v>10153</v>
      </c>
      <c r="O5763" s="405" t="s">
        <v>4432</v>
      </c>
      <c r="P5763" s="405" t="s">
        <v>12854</v>
      </c>
      <c r="Q5763" s="411">
        <v>13</v>
      </c>
      <c r="R5763" s="405" t="s">
        <v>9541</v>
      </c>
      <c r="S5763" s="405" t="s">
        <v>27315</v>
      </c>
      <c r="T5763" s="405" t="s">
        <v>32102</v>
      </c>
      <c r="U5763" s="405" t="s">
        <v>319</v>
      </c>
    </row>
    <row r="5764" spans="1:21" x14ac:dyDescent="0.25">
      <c r="A5764" s="405" t="s">
        <v>310</v>
      </c>
      <c r="B5764" s="405" t="s">
        <v>28123</v>
      </c>
      <c r="C5764" s="405" t="s">
        <v>327</v>
      </c>
      <c r="D5764" s="405"/>
      <c r="E5764" s="410">
        <v>41497</v>
      </c>
      <c r="F5764" s="410">
        <v>41542</v>
      </c>
      <c r="G5764" s="405" t="s">
        <v>12864</v>
      </c>
      <c r="H5764" s="405">
        <v>783423441</v>
      </c>
      <c r="I5764" s="405">
        <v>782869350</v>
      </c>
      <c r="J5764" s="405">
        <v>0.93334099999999998</v>
      </c>
      <c r="K5764" s="405">
        <v>33.130793400000002</v>
      </c>
      <c r="L5764" s="405" t="s">
        <v>6866</v>
      </c>
      <c r="M5764" s="405" t="s">
        <v>3009</v>
      </c>
      <c r="N5764" s="405" t="s">
        <v>9842</v>
      </c>
      <c r="O5764" s="405" t="s">
        <v>12865</v>
      </c>
      <c r="P5764" s="405" t="s">
        <v>12866</v>
      </c>
      <c r="Q5764" s="411">
        <v>12</v>
      </c>
      <c r="R5764" s="405" t="s">
        <v>333</v>
      </c>
      <c r="S5764" s="405" t="s">
        <v>27201</v>
      </c>
      <c r="T5764" s="405" t="s">
        <v>32102</v>
      </c>
      <c r="U5764" s="405" t="s">
        <v>319</v>
      </c>
    </row>
    <row r="5765" spans="1:21" x14ac:dyDescent="0.25">
      <c r="A5765" s="405" t="s">
        <v>310</v>
      </c>
      <c r="B5765" s="405" t="s">
        <v>28103</v>
      </c>
      <c r="C5765" s="405" t="s">
        <v>327</v>
      </c>
      <c r="D5765" s="405"/>
      <c r="E5765" s="410">
        <v>41497</v>
      </c>
      <c r="F5765" s="410">
        <v>41542</v>
      </c>
      <c r="G5765" s="405" t="s">
        <v>21393</v>
      </c>
      <c r="H5765" s="405">
        <v>782754497</v>
      </c>
      <c r="I5765" s="405"/>
      <c r="J5765" s="405">
        <v>-0.85417900000000002</v>
      </c>
      <c r="K5765" s="405">
        <v>29.948399999999999</v>
      </c>
      <c r="L5765" s="405" t="s">
        <v>590</v>
      </c>
      <c r="M5765" s="405" t="s">
        <v>19619</v>
      </c>
      <c r="N5765" s="405" t="s">
        <v>19620</v>
      </c>
      <c r="O5765" s="405" t="s">
        <v>2430</v>
      </c>
      <c r="P5765" s="405" t="s">
        <v>20458</v>
      </c>
      <c r="Q5765" s="411">
        <v>9</v>
      </c>
      <c r="R5765" s="405" t="s">
        <v>333</v>
      </c>
      <c r="S5765" s="405" t="s">
        <v>27127</v>
      </c>
      <c r="T5765" s="405" t="s">
        <v>32102</v>
      </c>
      <c r="U5765" s="405" t="s">
        <v>319</v>
      </c>
    </row>
    <row r="5766" spans="1:21" x14ac:dyDescent="0.25">
      <c r="A5766" s="405" t="s">
        <v>310</v>
      </c>
      <c r="B5766" s="405" t="s">
        <v>21374</v>
      </c>
      <c r="C5766" s="405" t="s">
        <v>327</v>
      </c>
      <c r="D5766" s="405"/>
      <c r="E5766" s="410">
        <v>41497</v>
      </c>
      <c r="F5766" s="410">
        <v>41542</v>
      </c>
      <c r="G5766" s="405" t="s">
        <v>21375</v>
      </c>
      <c r="H5766" s="405">
        <v>702849561</v>
      </c>
      <c r="I5766" s="405"/>
      <c r="J5766" s="405">
        <v>-0.178951</v>
      </c>
      <c r="K5766" s="405">
        <v>30.827625999999999</v>
      </c>
      <c r="L5766" s="405" t="s">
        <v>590</v>
      </c>
      <c r="M5766" s="405" t="s">
        <v>19705</v>
      </c>
      <c r="N5766" s="405" t="s">
        <v>19706</v>
      </c>
      <c r="O5766" s="405" t="s">
        <v>19707</v>
      </c>
      <c r="P5766" s="405" t="s">
        <v>21376</v>
      </c>
      <c r="Q5766" s="411">
        <v>9</v>
      </c>
      <c r="R5766" s="405" t="s">
        <v>874</v>
      </c>
      <c r="S5766" s="405" t="s">
        <v>27205</v>
      </c>
      <c r="T5766" s="405" t="s">
        <v>32102</v>
      </c>
      <c r="U5766" s="405" t="s">
        <v>319</v>
      </c>
    </row>
    <row r="5767" spans="1:21" x14ac:dyDescent="0.25">
      <c r="A5767" s="405" t="s">
        <v>310</v>
      </c>
      <c r="B5767" s="405" t="s">
        <v>28369</v>
      </c>
      <c r="C5767" s="405" t="s">
        <v>327</v>
      </c>
      <c r="D5767" s="405"/>
      <c r="E5767" s="410">
        <v>41497</v>
      </c>
      <c r="F5767" s="410">
        <v>41542</v>
      </c>
      <c r="G5767" s="405" t="s">
        <v>4337</v>
      </c>
      <c r="H5767" s="405">
        <v>774751120</v>
      </c>
      <c r="I5767" s="405">
        <v>759472225</v>
      </c>
      <c r="J5767" s="405">
        <v>0.27546700000000002</v>
      </c>
      <c r="K5767" s="405">
        <v>33.142026999999999</v>
      </c>
      <c r="L5767" s="405" t="s">
        <v>314</v>
      </c>
      <c r="M5767" s="405" t="s">
        <v>349</v>
      </c>
      <c r="N5767" s="405" t="s">
        <v>549</v>
      </c>
      <c r="O5767" s="405" t="s">
        <v>1062</v>
      </c>
      <c r="P5767" s="405" t="s">
        <v>4338</v>
      </c>
      <c r="Q5767" s="411">
        <v>6</v>
      </c>
      <c r="R5767" s="405" t="s">
        <v>32478</v>
      </c>
      <c r="S5767" s="405" t="s">
        <v>27230</v>
      </c>
      <c r="T5767" s="405" t="s">
        <v>32102</v>
      </c>
      <c r="U5767" s="405" t="s">
        <v>319</v>
      </c>
    </row>
    <row r="5768" spans="1:21" x14ac:dyDescent="0.25">
      <c r="A5768" s="405" t="s">
        <v>310</v>
      </c>
      <c r="B5768" s="405" t="s">
        <v>29129</v>
      </c>
      <c r="C5768" s="405" t="s">
        <v>327</v>
      </c>
      <c r="D5768" s="405"/>
      <c r="E5768" s="410">
        <v>41497</v>
      </c>
      <c r="F5768" s="410">
        <v>41542</v>
      </c>
      <c r="G5768" s="405" t="s">
        <v>12819</v>
      </c>
      <c r="H5768" s="405">
        <v>782573662</v>
      </c>
      <c r="I5768" s="405"/>
      <c r="J5768" s="405">
        <v>1.0223</v>
      </c>
      <c r="K5768" s="405">
        <v>34.376997000000003</v>
      </c>
      <c r="L5768" s="405" t="s">
        <v>6866</v>
      </c>
      <c r="M5768" s="405" t="s">
        <v>6867</v>
      </c>
      <c r="N5768" s="405" t="s">
        <v>12252</v>
      </c>
      <c r="O5768" s="405" t="s">
        <v>12252</v>
      </c>
      <c r="P5768" s="405" t="s">
        <v>12820</v>
      </c>
      <c r="Q5768" s="411">
        <v>6</v>
      </c>
      <c r="R5768" s="405" t="s">
        <v>7224</v>
      </c>
      <c r="S5768" s="405" t="s">
        <v>27298</v>
      </c>
      <c r="T5768" s="405" t="s">
        <v>32102</v>
      </c>
      <c r="U5768" s="405" t="s">
        <v>319</v>
      </c>
    </row>
    <row r="5769" spans="1:21" x14ac:dyDescent="0.25">
      <c r="A5769" s="405" t="s">
        <v>310</v>
      </c>
      <c r="B5769" s="405" t="s">
        <v>4320</v>
      </c>
      <c r="C5769" s="405" t="s">
        <v>327</v>
      </c>
      <c r="D5769" s="405"/>
      <c r="E5769" s="410">
        <v>41497</v>
      </c>
      <c r="F5769" s="410">
        <v>41542</v>
      </c>
      <c r="G5769" s="405" t="s">
        <v>4321</v>
      </c>
      <c r="H5769" s="405">
        <v>776090936</v>
      </c>
      <c r="I5769" s="405">
        <v>782323272</v>
      </c>
      <c r="J5769" s="405">
        <v>0.14907300000000001</v>
      </c>
      <c r="K5769" s="405">
        <v>32.020896999999998</v>
      </c>
      <c r="L5769" s="405" t="s">
        <v>314</v>
      </c>
      <c r="M5769" s="405" t="s">
        <v>339</v>
      </c>
      <c r="N5769" s="405" t="s">
        <v>339</v>
      </c>
      <c r="O5769" s="405" t="s">
        <v>2272</v>
      </c>
      <c r="P5769" s="405" t="s">
        <v>4319</v>
      </c>
      <c r="Q5769" s="411">
        <v>6</v>
      </c>
      <c r="R5769" s="405" t="s">
        <v>318</v>
      </c>
      <c r="S5769" s="405" t="s">
        <v>27174</v>
      </c>
      <c r="T5769" s="405" t="s">
        <v>32102</v>
      </c>
      <c r="U5769" s="405" t="s">
        <v>319</v>
      </c>
    </row>
    <row r="5770" spans="1:21" x14ac:dyDescent="0.25">
      <c r="A5770" s="405" t="s">
        <v>310</v>
      </c>
      <c r="B5770" s="405" t="s">
        <v>4317</v>
      </c>
      <c r="C5770" s="405" t="s">
        <v>327</v>
      </c>
      <c r="D5770" s="405"/>
      <c r="E5770" s="410">
        <v>41497</v>
      </c>
      <c r="F5770" s="410">
        <v>41542</v>
      </c>
      <c r="G5770" s="405" t="s">
        <v>4318</v>
      </c>
      <c r="H5770" s="405">
        <v>777496568</v>
      </c>
      <c r="I5770" s="405"/>
      <c r="J5770" s="405">
        <v>0.16291900000000001</v>
      </c>
      <c r="K5770" s="405">
        <v>32.015802000000001</v>
      </c>
      <c r="L5770" s="405" t="s">
        <v>314</v>
      </c>
      <c r="M5770" s="405" t="s">
        <v>339</v>
      </c>
      <c r="N5770" s="405" t="s">
        <v>339</v>
      </c>
      <c r="O5770" s="405" t="s">
        <v>2272</v>
      </c>
      <c r="P5770" s="405" t="s">
        <v>4319</v>
      </c>
      <c r="Q5770" s="411">
        <v>6</v>
      </c>
      <c r="R5770" s="405" t="s">
        <v>318</v>
      </c>
      <c r="S5770" s="405" t="s">
        <v>27174</v>
      </c>
      <c r="T5770" s="405" t="s">
        <v>32102</v>
      </c>
      <c r="U5770" s="405" t="s">
        <v>319</v>
      </c>
    </row>
    <row r="5771" spans="1:21" x14ac:dyDescent="0.25">
      <c r="A5771" s="405" t="s">
        <v>310</v>
      </c>
      <c r="B5771" s="405" t="s">
        <v>13239</v>
      </c>
      <c r="C5771" s="405" t="s">
        <v>311</v>
      </c>
      <c r="D5771" s="405" t="s">
        <v>3381</v>
      </c>
      <c r="E5771" s="410">
        <v>41497</v>
      </c>
      <c r="F5771" s="410">
        <v>41542</v>
      </c>
      <c r="G5771" s="405" t="s">
        <v>13240</v>
      </c>
      <c r="H5771" s="405">
        <v>782428263</v>
      </c>
      <c r="I5771" s="405"/>
      <c r="J5771" s="405">
        <v>1.1411929999999999</v>
      </c>
      <c r="K5771" s="405">
        <v>33.841344999999997</v>
      </c>
      <c r="L5771" s="405" t="s">
        <v>6866</v>
      </c>
      <c r="M5771" s="405" t="s">
        <v>10152</v>
      </c>
      <c r="N5771" s="405" t="s">
        <v>10153</v>
      </c>
      <c r="O5771" s="405" t="s">
        <v>4432</v>
      </c>
      <c r="P5771" s="405" t="s">
        <v>12854</v>
      </c>
      <c r="Q5771" s="411">
        <v>6</v>
      </c>
      <c r="R5771" s="405" t="s">
        <v>9541</v>
      </c>
      <c r="S5771" s="405" t="s">
        <v>27339</v>
      </c>
      <c r="T5771" s="405" t="s">
        <v>32102</v>
      </c>
      <c r="U5771" s="405" t="s">
        <v>319</v>
      </c>
    </row>
    <row r="5772" spans="1:21" x14ac:dyDescent="0.25">
      <c r="A5772" s="405" t="s">
        <v>310</v>
      </c>
      <c r="B5772" s="405" t="s">
        <v>18726</v>
      </c>
      <c r="C5772" s="405" t="s">
        <v>327</v>
      </c>
      <c r="D5772" s="405"/>
      <c r="E5772" s="410">
        <v>41497</v>
      </c>
      <c r="F5772" s="410">
        <v>41542</v>
      </c>
      <c r="G5772" s="405" t="s">
        <v>18727</v>
      </c>
      <c r="H5772" s="405">
        <v>783656815</v>
      </c>
      <c r="I5772" s="405"/>
      <c r="J5772" s="405">
        <v>2.2861116666666668</v>
      </c>
      <c r="K5772" s="405">
        <v>32.844586666666672</v>
      </c>
      <c r="L5772" s="405" t="s">
        <v>860</v>
      </c>
      <c r="M5772" s="405" t="s">
        <v>18234</v>
      </c>
      <c r="N5772" s="405" t="s">
        <v>18252</v>
      </c>
      <c r="O5772" s="405" t="s">
        <v>18234</v>
      </c>
      <c r="P5772" s="405" t="s">
        <v>18432</v>
      </c>
      <c r="Q5772" s="411">
        <v>6</v>
      </c>
      <c r="R5772" s="405" t="s">
        <v>318</v>
      </c>
      <c r="S5772" s="405" t="s">
        <v>27359</v>
      </c>
      <c r="T5772" s="405" t="s">
        <v>32102</v>
      </c>
      <c r="U5772" s="405" t="s">
        <v>319</v>
      </c>
    </row>
    <row r="5773" spans="1:21" x14ac:dyDescent="0.25">
      <c r="A5773" s="405" t="s">
        <v>310</v>
      </c>
      <c r="B5773" s="405" t="s">
        <v>12821</v>
      </c>
      <c r="C5773" s="405" t="s">
        <v>327</v>
      </c>
      <c r="D5773" s="405"/>
      <c r="E5773" s="410">
        <v>41497</v>
      </c>
      <c r="F5773" s="410">
        <v>41542</v>
      </c>
      <c r="G5773" s="405" t="s">
        <v>12822</v>
      </c>
      <c r="H5773" s="405">
        <v>777912303</v>
      </c>
      <c r="I5773" s="405"/>
      <c r="J5773" s="405">
        <v>0.97135499999999997</v>
      </c>
      <c r="K5773" s="405">
        <v>34.212207999999997</v>
      </c>
      <c r="L5773" s="405" t="s">
        <v>6866</v>
      </c>
      <c r="M5773" s="405" t="s">
        <v>9514</v>
      </c>
      <c r="N5773" s="405" t="s">
        <v>9529</v>
      </c>
      <c r="O5773" s="405" t="s">
        <v>9668</v>
      </c>
      <c r="P5773" s="405" t="s">
        <v>12823</v>
      </c>
      <c r="Q5773" s="411">
        <v>6</v>
      </c>
      <c r="R5773" s="405" t="s">
        <v>7224</v>
      </c>
      <c r="S5773" s="405" t="s">
        <v>27142</v>
      </c>
      <c r="T5773" s="405" t="s">
        <v>32102</v>
      </c>
      <c r="U5773" s="405" t="s">
        <v>319</v>
      </c>
    </row>
    <row r="5774" spans="1:21" x14ac:dyDescent="0.25">
      <c r="A5774" s="405" t="s">
        <v>310</v>
      </c>
      <c r="B5774" s="405" t="s">
        <v>4462</v>
      </c>
      <c r="C5774" s="405" t="s">
        <v>327</v>
      </c>
      <c r="D5774" s="405"/>
      <c r="E5774" s="410">
        <v>41497</v>
      </c>
      <c r="F5774" s="410">
        <v>41542</v>
      </c>
      <c r="G5774" s="405" t="s">
        <v>4463</v>
      </c>
      <c r="H5774" s="405">
        <v>782593751</v>
      </c>
      <c r="I5774" s="405"/>
      <c r="J5774" s="405">
        <v>0.2823581</v>
      </c>
      <c r="K5774" s="405">
        <v>33.1402158</v>
      </c>
      <c r="L5774" s="405" t="s">
        <v>314</v>
      </c>
      <c r="M5774" s="405" t="s">
        <v>349</v>
      </c>
      <c r="N5774" s="405" t="s">
        <v>349</v>
      </c>
      <c r="O5774" s="405" t="s">
        <v>1062</v>
      </c>
      <c r="P5774" s="405" t="s">
        <v>2724</v>
      </c>
      <c r="Q5774" s="411">
        <v>6</v>
      </c>
      <c r="R5774" s="405" t="s">
        <v>32478</v>
      </c>
      <c r="S5774" s="405" t="s">
        <v>27189</v>
      </c>
      <c r="T5774" s="405" t="s">
        <v>32102</v>
      </c>
      <c r="U5774" s="405" t="s">
        <v>319</v>
      </c>
    </row>
    <row r="5775" spans="1:21" x14ac:dyDescent="0.25">
      <c r="A5775" s="405" t="s">
        <v>310</v>
      </c>
      <c r="B5775" s="405" t="s">
        <v>12869</v>
      </c>
      <c r="C5775" s="405" t="s">
        <v>327</v>
      </c>
      <c r="D5775" s="405"/>
      <c r="E5775" s="410">
        <v>41497</v>
      </c>
      <c r="F5775" s="410">
        <v>41542</v>
      </c>
      <c r="G5775" s="405" t="s">
        <v>12870</v>
      </c>
      <c r="H5775" s="405">
        <v>785228069</v>
      </c>
      <c r="I5775" s="405"/>
      <c r="J5775" s="405">
        <v>1.022967</v>
      </c>
      <c r="K5775" s="405">
        <v>34.388668000000003</v>
      </c>
      <c r="L5775" s="405" t="s">
        <v>6866</v>
      </c>
      <c r="M5775" s="405" t="s">
        <v>6867</v>
      </c>
      <c r="N5775" s="405" t="s">
        <v>12252</v>
      </c>
      <c r="O5775" s="405" t="s">
        <v>5339</v>
      </c>
      <c r="P5775" s="405" t="s">
        <v>12370</v>
      </c>
      <c r="Q5775" s="411">
        <v>6</v>
      </c>
      <c r="R5775" s="405" t="s">
        <v>7224</v>
      </c>
      <c r="S5775" s="405" t="s">
        <v>27074</v>
      </c>
      <c r="T5775" s="405" t="s">
        <v>32102</v>
      </c>
      <c r="U5775" s="405" t="s">
        <v>319</v>
      </c>
    </row>
    <row r="5776" spans="1:21" x14ac:dyDescent="0.25">
      <c r="A5776" s="405" t="s">
        <v>310</v>
      </c>
      <c r="B5776" s="405" t="s">
        <v>4322</v>
      </c>
      <c r="C5776" s="405" t="s">
        <v>327</v>
      </c>
      <c r="D5776" s="405"/>
      <c r="E5776" s="410">
        <v>41496</v>
      </c>
      <c r="F5776" s="410">
        <v>41541</v>
      </c>
      <c r="G5776" s="405" t="s">
        <v>4323</v>
      </c>
      <c r="H5776" s="405">
        <v>752951581</v>
      </c>
      <c r="I5776" s="405"/>
      <c r="J5776" s="405">
        <v>0.24970700000000001</v>
      </c>
      <c r="K5776" s="405">
        <v>32.433124999999997</v>
      </c>
      <c r="L5776" s="405" t="s">
        <v>314</v>
      </c>
      <c r="M5776" s="405" t="s">
        <v>361</v>
      </c>
      <c r="N5776" s="405" t="s">
        <v>3398</v>
      </c>
      <c r="O5776" s="405" t="s">
        <v>375</v>
      </c>
      <c r="P5776" s="405" t="s">
        <v>4324</v>
      </c>
      <c r="Q5776" s="411">
        <v>13</v>
      </c>
      <c r="R5776" s="405" t="s">
        <v>1263</v>
      </c>
      <c r="S5776" s="405" t="s">
        <v>27036</v>
      </c>
      <c r="T5776" s="405" t="s">
        <v>32102</v>
      </c>
      <c r="U5776" s="405" t="s">
        <v>319</v>
      </c>
    </row>
    <row r="5777" spans="1:21" x14ac:dyDescent="0.25">
      <c r="A5777" s="405" t="s">
        <v>310</v>
      </c>
      <c r="B5777" s="405" t="s">
        <v>27934</v>
      </c>
      <c r="C5777" s="405" t="s">
        <v>327</v>
      </c>
      <c r="D5777" s="405"/>
      <c r="E5777" s="410">
        <v>41496</v>
      </c>
      <c r="F5777" s="410">
        <v>41541</v>
      </c>
      <c r="G5777" s="405" t="s">
        <v>4315</v>
      </c>
      <c r="H5777" s="405">
        <v>774785133</v>
      </c>
      <c r="I5777" s="405"/>
      <c r="J5777" s="405">
        <v>0.33312999999999998</v>
      </c>
      <c r="K5777" s="405">
        <v>32.146352999999998</v>
      </c>
      <c r="L5777" s="405" t="s">
        <v>314</v>
      </c>
      <c r="M5777" s="405" t="s">
        <v>675</v>
      </c>
      <c r="N5777" s="405" t="s">
        <v>676</v>
      </c>
      <c r="O5777" s="405" t="s">
        <v>677</v>
      </c>
      <c r="P5777" s="405" t="s">
        <v>4316</v>
      </c>
      <c r="Q5777" s="411">
        <v>6</v>
      </c>
      <c r="R5777" s="405" t="s">
        <v>32476</v>
      </c>
      <c r="S5777" s="405" t="s">
        <v>27208</v>
      </c>
      <c r="T5777" s="405" t="s">
        <v>32102</v>
      </c>
      <c r="U5777" s="405" t="s">
        <v>319</v>
      </c>
    </row>
    <row r="5778" spans="1:21" x14ac:dyDescent="0.25">
      <c r="A5778" s="405" t="s">
        <v>310</v>
      </c>
      <c r="B5778" s="405" t="s">
        <v>12807</v>
      </c>
      <c r="C5778" s="405" t="s">
        <v>327</v>
      </c>
      <c r="D5778" s="405"/>
      <c r="E5778" s="410">
        <v>41496</v>
      </c>
      <c r="F5778" s="410">
        <v>41541</v>
      </c>
      <c r="G5778" s="405" t="s">
        <v>12808</v>
      </c>
      <c r="H5778" s="405">
        <v>783961941</v>
      </c>
      <c r="I5778" s="405"/>
      <c r="J5778" s="405">
        <v>1.519882</v>
      </c>
      <c r="K5778" s="405">
        <v>33.819758</v>
      </c>
      <c r="L5778" s="405" t="s">
        <v>6866</v>
      </c>
      <c r="M5778" s="405" t="s">
        <v>10012</v>
      </c>
      <c r="N5778" s="405" t="s">
        <v>10012</v>
      </c>
      <c r="O5778" s="405" t="s">
        <v>10779</v>
      </c>
      <c r="P5778" s="405" t="s">
        <v>10869</v>
      </c>
      <c r="Q5778" s="411">
        <v>6</v>
      </c>
      <c r="R5778" s="405" t="s">
        <v>7224</v>
      </c>
      <c r="S5778" s="405" t="s">
        <v>27327</v>
      </c>
      <c r="T5778" s="405" t="s">
        <v>32102</v>
      </c>
      <c r="U5778" s="405" t="s">
        <v>319</v>
      </c>
    </row>
    <row r="5779" spans="1:21" x14ac:dyDescent="0.25">
      <c r="A5779" s="405" t="s">
        <v>310</v>
      </c>
      <c r="B5779" s="405" t="s">
        <v>28944</v>
      </c>
      <c r="C5779" s="405" t="s">
        <v>327</v>
      </c>
      <c r="D5779" s="405"/>
      <c r="E5779" s="410">
        <v>41496</v>
      </c>
      <c r="F5779" s="410">
        <v>41541</v>
      </c>
      <c r="G5779" s="405" t="s">
        <v>4453</v>
      </c>
      <c r="H5779" s="405">
        <v>702936492</v>
      </c>
      <c r="I5779" s="405"/>
      <c r="J5779" s="405">
        <v>0.45283649999999998</v>
      </c>
      <c r="K5779" s="405">
        <v>32.589057400000002</v>
      </c>
      <c r="L5779" s="405" t="s">
        <v>314</v>
      </c>
      <c r="M5779" s="405" t="s">
        <v>361</v>
      </c>
      <c r="N5779" s="405" t="s">
        <v>362</v>
      </c>
      <c r="O5779" s="405" t="s">
        <v>370</v>
      </c>
      <c r="P5779" s="405" t="s">
        <v>4454</v>
      </c>
      <c r="Q5779" s="411">
        <v>6</v>
      </c>
      <c r="R5779" s="405" t="s">
        <v>1263</v>
      </c>
      <c r="S5779" s="405" t="s">
        <v>27039</v>
      </c>
      <c r="T5779" s="405" t="s">
        <v>32102</v>
      </c>
      <c r="U5779" s="405" t="s">
        <v>319</v>
      </c>
    </row>
    <row r="5780" spans="1:21" x14ac:dyDescent="0.25">
      <c r="A5780" s="405" t="s">
        <v>310</v>
      </c>
      <c r="B5780" s="405" t="s">
        <v>12767</v>
      </c>
      <c r="C5780" s="405" t="s">
        <v>327</v>
      </c>
      <c r="D5780" s="405"/>
      <c r="E5780" s="410">
        <v>41496</v>
      </c>
      <c r="F5780" s="410">
        <v>41541</v>
      </c>
      <c r="G5780" s="405" t="s">
        <v>12768</v>
      </c>
      <c r="H5780" s="405">
        <v>782552684</v>
      </c>
      <c r="I5780" s="405">
        <v>701272081</v>
      </c>
      <c r="J5780" s="405">
        <v>0.69592699999999996</v>
      </c>
      <c r="K5780" s="405">
        <v>33.897793999999998</v>
      </c>
      <c r="L5780" s="405" t="s">
        <v>6866</v>
      </c>
      <c r="M5780" s="405" t="s">
        <v>9534</v>
      </c>
      <c r="N5780" s="405" t="s">
        <v>9997</v>
      </c>
      <c r="O5780" s="405" t="s">
        <v>10918</v>
      </c>
      <c r="P5780" s="405" t="s">
        <v>12769</v>
      </c>
      <c r="Q5780" s="411">
        <v>6</v>
      </c>
      <c r="R5780" s="405" t="s">
        <v>7224</v>
      </c>
      <c r="S5780" s="405" t="s">
        <v>27073</v>
      </c>
      <c r="T5780" s="405" t="s">
        <v>32102</v>
      </c>
      <c r="U5780" s="405" t="s">
        <v>319</v>
      </c>
    </row>
    <row r="5781" spans="1:21" x14ac:dyDescent="0.25">
      <c r="A5781" s="405" t="s">
        <v>310</v>
      </c>
      <c r="B5781" s="405" t="s">
        <v>28453</v>
      </c>
      <c r="C5781" s="405" t="s">
        <v>327</v>
      </c>
      <c r="D5781" s="405"/>
      <c r="E5781" s="410">
        <v>41495</v>
      </c>
      <c r="F5781" s="410">
        <v>41540</v>
      </c>
      <c r="G5781" s="405" t="s">
        <v>12824</v>
      </c>
      <c r="H5781" s="405">
        <v>753209239</v>
      </c>
      <c r="I5781" s="405">
        <v>715160620</v>
      </c>
      <c r="J5781" s="405">
        <v>0.46287499999999998</v>
      </c>
      <c r="K5781" s="405">
        <v>33.239648000000003</v>
      </c>
      <c r="L5781" s="405" t="s">
        <v>6866</v>
      </c>
      <c r="M5781" s="405" t="s">
        <v>9590</v>
      </c>
      <c r="N5781" s="405" t="s">
        <v>9591</v>
      </c>
      <c r="O5781" s="405" t="s">
        <v>12825</v>
      </c>
      <c r="P5781" s="405" t="s">
        <v>12826</v>
      </c>
      <c r="Q5781" s="411">
        <v>6</v>
      </c>
      <c r="R5781" s="405" t="s">
        <v>32478</v>
      </c>
      <c r="S5781" s="405" t="s">
        <v>27049</v>
      </c>
      <c r="T5781" s="405" t="s">
        <v>32102</v>
      </c>
      <c r="U5781" s="405" t="s">
        <v>319</v>
      </c>
    </row>
    <row r="5782" spans="1:21" x14ac:dyDescent="0.25">
      <c r="A5782" s="405" t="s">
        <v>310</v>
      </c>
      <c r="B5782" s="405" t="s">
        <v>27579</v>
      </c>
      <c r="C5782" s="405" t="s">
        <v>857</v>
      </c>
      <c r="D5782" s="405" t="s">
        <v>4930</v>
      </c>
      <c r="E5782" s="410">
        <v>41495</v>
      </c>
      <c r="F5782" s="410">
        <v>41540</v>
      </c>
      <c r="G5782" s="405" t="s">
        <v>4931</v>
      </c>
      <c r="H5782" s="405">
        <v>774763671</v>
      </c>
      <c r="I5782" s="405"/>
      <c r="J5782" s="405">
        <v>9.7420000000000007E-2</v>
      </c>
      <c r="K5782" s="405">
        <v>32.077276666666663</v>
      </c>
      <c r="L5782" s="405" t="s">
        <v>314</v>
      </c>
      <c r="M5782" s="405" t="s">
        <v>321</v>
      </c>
      <c r="N5782" s="405" t="s">
        <v>322</v>
      </c>
      <c r="O5782" s="405" t="s">
        <v>476</v>
      </c>
      <c r="P5782" s="405" t="s">
        <v>4039</v>
      </c>
      <c r="Q5782" s="411">
        <v>6</v>
      </c>
      <c r="R5782" s="405" t="s">
        <v>318</v>
      </c>
      <c r="S5782" s="405" t="s">
        <v>27233</v>
      </c>
      <c r="T5782" s="405" t="s">
        <v>32102</v>
      </c>
      <c r="U5782" s="405" t="s">
        <v>319</v>
      </c>
    </row>
    <row r="5783" spans="1:21" x14ac:dyDescent="0.25">
      <c r="A5783" s="405" t="s">
        <v>310</v>
      </c>
      <c r="B5783" s="405" t="s">
        <v>33084</v>
      </c>
      <c r="C5783" s="405" t="s">
        <v>327</v>
      </c>
      <c r="D5783" s="405"/>
      <c r="E5783" s="410">
        <v>41495</v>
      </c>
      <c r="F5783" s="410">
        <v>41540</v>
      </c>
      <c r="G5783" s="405" t="s">
        <v>4377</v>
      </c>
      <c r="H5783" s="405">
        <v>774001139</v>
      </c>
      <c r="I5783" s="405"/>
      <c r="J5783" s="405">
        <v>0.2823581</v>
      </c>
      <c r="K5783" s="405">
        <v>33.1402158</v>
      </c>
      <c r="L5783" s="405" t="s">
        <v>314</v>
      </c>
      <c r="M5783" s="405" t="s">
        <v>349</v>
      </c>
      <c r="N5783" s="405" t="s">
        <v>349</v>
      </c>
      <c r="O5783" s="405" t="s">
        <v>1062</v>
      </c>
      <c r="P5783" s="405" t="s">
        <v>2724</v>
      </c>
      <c r="Q5783" s="411">
        <v>6</v>
      </c>
      <c r="R5783" s="405" t="s">
        <v>333</v>
      </c>
      <c r="S5783" s="405" t="s">
        <v>27108</v>
      </c>
      <c r="T5783" s="405" t="s">
        <v>32102</v>
      </c>
      <c r="U5783" s="405" t="s">
        <v>319</v>
      </c>
    </row>
    <row r="5784" spans="1:21" x14ac:dyDescent="0.25">
      <c r="A5784" s="405" t="s">
        <v>310</v>
      </c>
      <c r="B5784" s="405" t="s">
        <v>12834</v>
      </c>
      <c r="C5784" s="405" t="s">
        <v>327</v>
      </c>
      <c r="D5784" s="405"/>
      <c r="E5784" s="410">
        <v>41494</v>
      </c>
      <c r="F5784" s="410">
        <v>41539</v>
      </c>
      <c r="G5784" s="405" t="s">
        <v>12835</v>
      </c>
      <c r="H5784" s="405">
        <v>774739545</v>
      </c>
      <c r="I5784" s="405"/>
      <c r="J5784" s="405">
        <v>0.93336549999999996</v>
      </c>
      <c r="K5784" s="405">
        <v>33.130796099999998</v>
      </c>
      <c r="L5784" s="405" t="s">
        <v>6866</v>
      </c>
      <c r="M5784" s="405" t="s">
        <v>3009</v>
      </c>
      <c r="N5784" s="405" t="s">
        <v>9842</v>
      </c>
      <c r="O5784" s="405" t="s">
        <v>10016</v>
      </c>
      <c r="P5784" s="405" t="s">
        <v>12836</v>
      </c>
      <c r="Q5784" s="411">
        <v>13</v>
      </c>
      <c r="R5784" s="405" t="s">
        <v>32478</v>
      </c>
      <c r="S5784" s="405" t="s">
        <v>27232</v>
      </c>
      <c r="T5784" s="405" t="s">
        <v>32102</v>
      </c>
      <c r="U5784" s="405" t="s">
        <v>319</v>
      </c>
    </row>
    <row r="5785" spans="1:21" x14ac:dyDescent="0.25">
      <c r="A5785" s="405" t="s">
        <v>310</v>
      </c>
      <c r="B5785" s="405" t="s">
        <v>27629</v>
      </c>
      <c r="C5785" s="405" t="s">
        <v>327</v>
      </c>
      <c r="D5785" s="405"/>
      <c r="E5785" s="410">
        <v>41494</v>
      </c>
      <c r="F5785" s="410">
        <v>41539</v>
      </c>
      <c r="G5785" s="405" t="s">
        <v>4431</v>
      </c>
      <c r="H5785" s="405">
        <v>783284085</v>
      </c>
      <c r="I5785" s="405"/>
      <c r="J5785" s="405">
        <v>0.50351500000000005</v>
      </c>
      <c r="K5785" s="405">
        <v>31.361916999999998</v>
      </c>
      <c r="L5785" s="405" t="s">
        <v>314</v>
      </c>
      <c r="M5785" s="405" t="s">
        <v>445</v>
      </c>
      <c r="N5785" s="405" t="s">
        <v>446</v>
      </c>
      <c r="O5785" s="405" t="s">
        <v>3235</v>
      </c>
      <c r="P5785" s="405" t="s">
        <v>4432</v>
      </c>
      <c r="Q5785" s="411">
        <v>6</v>
      </c>
      <c r="R5785" s="405" t="s">
        <v>32476</v>
      </c>
      <c r="S5785" s="405" t="s">
        <v>27202</v>
      </c>
      <c r="T5785" s="405" t="s">
        <v>32102</v>
      </c>
      <c r="U5785" s="405" t="s">
        <v>319</v>
      </c>
    </row>
    <row r="5786" spans="1:21" x14ac:dyDescent="0.25">
      <c r="A5786" s="405" t="s">
        <v>310</v>
      </c>
      <c r="B5786" s="405" t="s">
        <v>28510</v>
      </c>
      <c r="C5786" s="405" t="s">
        <v>327</v>
      </c>
      <c r="D5786" s="405"/>
      <c r="E5786" s="410">
        <v>41494</v>
      </c>
      <c r="F5786" s="410">
        <v>41539</v>
      </c>
      <c r="G5786" s="405" t="s">
        <v>4421</v>
      </c>
      <c r="H5786" s="405">
        <v>750336999</v>
      </c>
      <c r="I5786" s="405">
        <v>775730498</v>
      </c>
      <c r="J5786" s="405">
        <v>-5.6750500000000002E-2</v>
      </c>
      <c r="K5786" s="405">
        <v>31.987147700000001</v>
      </c>
      <c r="L5786" s="405" t="s">
        <v>314</v>
      </c>
      <c r="M5786" s="405" t="s">
        <v>900</v>
      </c>
      <c r="N5786" s="405" t="s">
        <v>900</v>
      </c>
      <c r="O5786" s="405" t="s">
        <v>900</v>
      </c>
      <c r="P5786" s="405" t="s">
        <v>4080</v>
      </c>
      <c r="Q5786" s="411">
        <v>6</v>
      </c>
      <c r="R5786" s="405" t="s">
        <v>1263</v>
      </c>
      <c r="S5786" s="405" t="s">
        <v>27234</v>
      </c>
      <c r="T5786" s="405" t="s">
        <v>32102</v>
      </c>
      <c r="U5786" s="405" t="s">
        <v>319</v>
      </c>
    </row>
    <row r="5787" spans="1:21" x14ac:dyDescent="0.25">
      <c r="A5787" s="405" t="s">
        <v>310</v>
      </c>
      <c r="B5787" s="405" t="s">
        <v>21390</v>
      </c>
      <c r="C5787" s="405" t="s">
        <v>327</v>
      </c>
      <c r="D5787" s="405"/>
      <c r="E5787" s="410">
        <v>41494</v>
      </c>
      <c r="F5787" s="410">
        <v>41539</v>
      </c>
      <c r="G5787" s="405" t="s">
        <v>21391</v>
      </c>
      <c r="H5787" s="405">
        <v>772664039</v>
      </c>
      <c r="I5787" s="405"/>
      <c r="J5787" s="405">
        <v>0.52282300000000004</v>
      </c>
      <c r="K5787" s="405">
        <v>30.867909000000001</v>
      </c>
      <c r="L5787" s="405" t="s">
        <v>590</v>
      </c>
      <c r="M5787" s="405" t="s">
        <v>20426</v>
      </c>
      <c r="N5787" s="405" t="s">
        <v>20692</v>
      </c>
      <c r="O5787" s="405" t="s">
        <v>20541</v>
      </c>
      <c r="P5787" s="405" t="s">
        <v>21392</v>
      </c>
      <c r="Q5787" s="411">
        <v>6</v>
      </c>
      <c r="R5787" s="405" t="s">
        <v>883</v>
      </c>
      <c r="S5787" s="405" t="s">
        <v>27418</v>
      </c>
      <c r="T5787" s="405" t="s">
        <v>32102</v>
      </c>
      <c r="U5787" s="405" t="s">
        <v>319</v>
      </c>
    </row>
    <row r="5788" spans="1:21" x14ac:dyDescent="0.25">
      <c r="A5788" s="405" t="s">
        <v>310</v>
      </c>
      <c r="B5788" s="405" t="s">
        <v>27954</v>
      </c>
      <c r="C5788" s="405" t="s">
        <v>857</v>
      </c>
      <c r="D5788" s="405" t="s">
        <v>921</v>
      </c>
      <c r="E5788" s="410">
        <v>41493</v>
      </c>
      <c r="F5788" s="410">
        <v>41538</v>
      </c>
      <c r="G5788" s="405" t="s">
        <v>13251</v>
      </c>
      <c r="H5788" s="405">
        <v>752593511</v>
      </c>
      <c r="I5788" s="405"/>
      <c r="J5788" s="405">
        <v>1.1478919999999999</v>
      </c>
      <c r="K5788" s="405">
        <v>33.873652</v>
      </c>
      <c r="L5788" s="405" t="s">
        <v>6866</v>
      </c>
      <c r="M5788" s="405" t="s">
        <v>9509</v>
      </c>
      <c r="N5788" s="405" t="s">
        <v>12491</v>
      </c>
      <c r="O5788" s="405" t="s">
        <v>12492</v>
      </c>
      <c r="P5788" s="405" t="s">
        <v>13252</v>
      </c>
      <c r="Q5788" s="411">
        <v>6</v>
      </c>
      <c r="R5788" s="405" t="s">
        <v>9541</v>
      </c>
      <c r="S5788" s="405" t="s">
        <v>27302</v>
      </c>
      <c r="T5788" s="405" t="s">
        <v>32102</v>
      </c>
      <c r="U5788" s="405" t="s">
        <v>319</v>
      </c>
    </row>
    <row r="5789" spans="1:21" x14ac:dyDescent="0.25">
      <c r="A5789" s="405" t="s">
        <v>310</v>
      </c>
      <c r="B5789" s="405" t="s">
        <v>12741</v>
      </c>
      <c r="C5789" s="405" t="s">
        <v>327</v>
      </c>
      <c r="D5789" s="405"/>
      <c r="E5789" s="410">
        <v>41492</v>
      </c>
      <c r="F5789" s="410">
        <v>41537</v>
      </c>
      <c r="G5789" s="405" t="s">
        <v>12742</v>
      </c>
      <c r="H5789" s="405">
        <v>706528506</v>
      </c>
      <c r="I5789" s="405"/>
      <c r="J5789" s="405">
        <v>0.75073199999999995</v>
      </c>
      <c r="K5789" s="405">
        <v>34.174497000000002</v>
      </c>
      <c r="L5789" s="405" t="s">
        <v>6866</v>
      </c>
      <c r="M5789" s="405" t="s">
        <v>9534</v>
      </c>
      <c r="N5789" s="405" t="s">
        <v>9927</v>
      </c>
      <c r="O5789" s="405" t="s">
        <v>9770</v>
      </c>
      <c r="P5789" s="405" t="s">
        <v>10343</v>
      </c>
      <c r="Q5789" s="411">
        <v>6</v>
      </c>
      <c r="R5789" s="405" t="s">
        <v>7224</v>
      </c>
      <c r="S5789" s="405" t="s">
        <v>27306</v>
      </c>
      <c r="T5789" s="405" t="s">
        <v>32102</v>
      </c>
      <c r="U5789" s="405" t="s">
        <v>319</v>
      </c>
    </row>
    <row r="5790" spans="1:21" x14ac:dyDescent="0.25">
      <c r="A5790" s="405" t="s">
        <v>310</v>
      </c>
      <c r="B5790" s="405" t="s">
        <v>12801</v>
      </c>
      <c r="C5790" s="405" t="s">
        <v>327</v>
      </c>
      <c r="D5790" s="405"/>
      <c r="E5790" s="410">
        <v>41492</v>
      </c>
      <c r="F5790" s="410">
        <v>41537</v>
      </c>
      <c r="G5790" s="405" t="s">
        <v>12802</v>
      </c>
      <c r="H5790" s="405">
        <v>784960333</v>
      </c>
      <c r="I5790" s="405"/>
      <c r="J5790" s="405">
        <v>1.5412980000000001</v>
      </c>
      <c r="K5790" s="405">
        <v>34.007232999999999</v>
      </c>
      <c r="L5790" s="405" t="s">
        <v>6866</v>
      </c>
      <c r="M5790" s="405" t="s">
        <v>10029</v>
      </c>
      <c r="N5790" s="405" t="s">
        <v>10029</v>
      </c>
      <c r="O5790" s="405" t="s">
        <v>10435</v>
      </c>
      <c r="P5790" s="405" t="s">
        <v>12803</v>
      </c>
      <c r="Q5790" s="411">
        <v>4</v>
      </c>
      <c r="R5790" s="405" t="s">
        <v>7224</v>
      </c>
      <c r="S5790" s="405" t="s">
        <v>27283</v>
      </c>
      <c r="T5790" s="405" t="s">
        <v>32102</v>
      </c>
      <c r="U5790" s="405" t="s">
        <v>319</v>
      </c>
    </row>
    <row r="5791" spans="1:21" x14ac:dyDescent="0.25">
      <c r="A5791" s="405" t="s">
        <v>310</v>
      </c>
      <c r="B5791" s="405" t="s">
        <v>4412</v>
      </c>
      <c r="C5791" s="405" t="s">
        <v>327</v>
      </c>
      <c r="D5791" s="405"/>
      <c r="E5791" s="410">
        <v>41491</v>
      </c>
      <c r="F5791" s="410">
        <v>41536</v>
      </c>
      <c r="G5791" s="405" t="s">
        <v>4413</v>
      </c>
      <c r="H5791" s="405">
        <v>774656436</v>
      </c>
      <c r="I5791" s="405"/>
      <c r="J5791" s="405">
        <v>0.68382299999999996</v>
      </c>
      <c r="K5791" s="405">
        <v>32.889617000000001</v>
      </c>
      <c r="L5791" s="405" t="s">
        <v>314</v>
      </c>
      <c r="M5791" s="405" t="s">
        <v>502</v>
      </c>
      <c r="N5791" s="405" t="s">
        <v>2610</v>
      </c>
      <c r="O5791" s="405" t="s">
        <v>502</v>
      </c>
      <c r="P5791" s="405" t="s">
        <v>3354</v>
      </c>
      <c r="Q5791" s="411">
        <v>9</v>
      </c>
      <c r="R5791" s="405" t="s">
        <v>318</v>
      </c>
      <c r="S5791" s="405" t="s">
        <v>27054</v>
      </c>
      <c r="T5791" s="405" t="s">
        <v>32102</v>
      </c>
      <c r="U5791" s="405" t="s">
        <v>319</v>
      </c>
    </row>
    <row r="5792" spans="1:21" x14ac:dyDescent="0.25">
      <c r="A5792" s="405" t="s">
        <v>310</v>
      </c>
      <c r="B5792" s="405" t="s">
        <v>28752</v>
      </c>
      <c r="C5792" s="405" t="s">
        <v>327</v>
      </c>
      <c r="D5792" s="405"/>
      <c r="E5792" s="410">
        <v>41491</v>
      </c>
      <c r="F5792" s="410">
        <v>41536</v>
      </c>
      <c r="G5792" s="405" t="s">
        <v>12780</v>
      </c>
      <c r="H5792" s="405">
        <v>752352029</v>
      </c>
      <c r="I5792" s="405"/>
      <c r="J5792" s="405">
        <v>0.80972900000000003</v>
      </c>
      <c r="K5792" s="405">
        <v>33.944422000000003</v>
      </c>
      <c r="L5792" s="405" t="s">
        <v>6866</v>
      </c>
      <c r="M5792" s="405" t="s">
        <v>9534</v>
      </c>
      <c r="N5792" s="405" t="s">
        <v>10085</v>
      </c>
      <c r="O5792" s="405" t="s">
        <v>10922</v>
      </c>
      <c r="P5792" s="405" t="s">
        <v>12781</v>
      </c>
      <c r="Q5792" s="411">
        <v>6</v>
      </c>
      <c r="R5792" s="405" t="s">
        <v>7224</v>
      </c>
      <c r="S5792" s="405" t="s">
        <v>27074</v>
      </c>
      <c r="T5792" s="405" t="s">
        <v>32102</v>
      </c>
      <c r="U5792" s="405" t="s">
        <v>319</v>
      </c>
    </row>
    <row r="5793" spans="1:21" x14ac:dyDescent="0.25">
      <c r="A5793" s="405" t="s">
        <v>310</v>
      </c>
      <c r="B5793" s="405" t="s">
        <v>11608</v>
      </c>
      <c r="C5793" s="405" t="s">
        <v>327</v>
      </c>
      <c r="D5793" s="405"/>
      <c r="E5793" s="410">
        <v>41491</v>
      </c>
      <c r="F5793" s="410">
        <v>41536</v>
      </c>
      <c r="G5793" s="405" t="s">
        <v>11609</v>
      </c>
      <c r="H5793" s="405">
        <v>778914963</v>
      </c>
      <c r="I5793" s="405"/>
      <c r="J5793" s="405">
        <v>0.94451700000000005</v>
      </c>
      <c r="K5793" s="405">
        <v>34.138722999999999</v>
      </c>
      <c r="L5793" s="405" t="s">
        <v>6866</v>
      </c>
      <c r="M5793" s="405" t="s">
        <v>9514</v>
      </c>
      <c r="N5793" s="405" t="s">
        <v>9529</v>
      </c>
      <c r="O5793" s="405" t="s">
        <v>9923</v>
      </c>
      <c r="P5793" s="405" t="s">
        <v>11610</v>
      </c>
      <c r="Q5793" s="411">
        <v>6</v>
      </c>
      <c r="R5793" s="405" t="s">
        <v>7224</v>
      </c>
      <c r="S5793" s="405" t="s">
        <v>27204</v>
      </c>
      <c r="T5793" s="405" t="s">
        <v>32102</v>
      </c>
      <c r="U5793" s="405" t="s">
        <v>319</v>
      </c>
    </row>
    <row r="5794" spans="1:21" x14ac:dyDescent="0.25">
      <c r="A5794" s="405" t="s">
        <v>310</v>
      </c>
      <c r="B5794" s="405" t="s">
        <v>12804</v>
      </c>
      <c r="C5794" s="405" t="s">
        <v>327</v>
      </c>
      <c r="D5794" s="405"/>
      <c r="E5794" s="410">
        <v>41491</v>
      </c>
      <c r="F5794" s="410">
        <v>41536</v>
      </c>
      <c r="G5794" s="405" t="s">
        <v>12805</v>
      </c>
      <c r="H5794" s="405">
        <v>752460654</v>
      </c>
      <c r="I5794" s="405"/>
      <c r="J5794" s="405">
        <v>1.215913</v>
      </c>
      <c r="K5794" s="405">
        <v>33.716810000000002</v>
      </c>
      <c r="L5794" s="405" t="s">
        <v>6866</v>
      </c>
      <c r="M5794" s="405" t="s">
        <v>9509</v>
      </c>
      <c r="N5794" s="405" t="s">
        <v>9509</v>
      </c>
      <c r="O5794" s="405" t="s">
        <v>9509</v>
      </c>
      <c r="P5794" s="405" t="s">
        <v>12806</v>
      </c>
      <c r="Q5794" s="411">
        <v>4</v>
      </c>
      <c r="R5794" s="405" t="s">
        <v>7224</v>
      </c>
      <c r="S5794" s="405" t="s">
        <v>27107</v>
      </c>
      <c r="T5794" s="405" t="s">
        <v>32102</v>
      </c>
      <c r="U5794" s="405" t="s">
        <v>319</v>
      </c>
    </row>
    <row r="5795" spans="1:21" x14ac:dyDescent="0.25">
      <c r="A5795" s="405" t="s">
        <v>310</v>
      </c>
      <c r="B5795" s="405" t="s">
        <v>13957</v>
      </c>
      <c r="C5795" s="405" t="s">
        <v>327</v>
      </c>
      <c r="D5795" s="405"/>
      <c r="E5795" s="410">
        <v>41490</v>
      </c>
      <c r="F5795" s="410">
        <v>41535</v>
      </c>
      <c r="G5795" s="405" t="s">
        <v>13958</v>
      </c>
      <c r="H5795" s="405">
        <v>782849677</v>
      </c>
      <c r="I5795" s="405"/>
      <c r="J5795" s="405">
        <v>1.021995</v>
      </c>
      <c r="K5795" s="405">
        <v>34.382767999999999</v>
      </c>
      <c r="L5795" s="405" t="s">
        <v>6866</v>
      </c>
      <c r="M5795" s="405" t="s">
        <v>6867</v>
      </c>
      <c r="N5795" s="405" t="s">
        <v>6867</v>
      </c>
      <c r="O5795" s="405" t="s">
        <v>6867</v>
      </c>
      <c r="P5795" s="405" t="s">
        <v>12227</v>
      </c>
      <c r="Q5795" s="411">
        <v>6</v>
      </c>
      <c r="R5795" s="405" t="s">
        <v>7224</v>
      </c>
      <c r="S5795" s="405" t="s">
        <v>17013</v>
      </c>
      <c r="T5795" s="405" t="s">
        <v>32102</v>
      </c>
      <c r="U5795" s="405" t="s">
        <v>319</v>
      </c>
    </row>
    <row r="5796" spans="1:21" x14ac:dyDescent="0.25">
      <c r="A5796" s="405" t="s">
        <v>310</v>
      </c>
      <c r="B5796" s="405" t="s">
        <v>12849</v>
      </c>
      <c r="C5796" s="405" t="s">
        <v>327</v>
      </c>
      <c r="D5796" s="405"/>
      <c r="E5796" s="410">
        <v>41490</v>
      </c>
      <c r="F5796" s="410">
        <v>41535</v>
      </c>
      <c r="G5796" s="405" t="s">
        <v>12850</v>
      </c>
      <c r="H5796" s="405">
        <v>772513588</v>
      </c>
      <c r="I5796" s="405"/>
      <c r="J5796" s="405">
        <v>0.89138399999999995</v>
      </c>
      <c r="K5796" s="405">
        <v>34.235176000000003</v>
      </c>
      <c r="L5796" s="405" t="s">
        <v>6866</v>
      </c>
      <c r="M5796" s="405" t="s">
        <v>9763</v>
      </c>
      <c r="N5796" s="405" t="s">
        <v>9764</v>
      </c>
      <c r="O5796" s="405" t="s">
        <v>9604</v>
      </c>
      <c r="P5796" s="405" t="s">
        <v>12851</v>
      </c>
      <c r="Q5796" s="411">
        <v>6</v>
      </c>
      <c r="R5796" s="405" t="s">
        <v>7224</v>
      </c>
      <c r="S5796" s="405" t="s">
        <v>17062</v>
      </c>
      <c r="T5796" s="405" t="s">
        <v>32102</v>
      </c>
      <c r="U5796" s="405" t="s">
        <v>319</v>
      </c>
    </row>
    <row r="5797" spans="1:21" x14ac:dyDescent="0.25">
      <c r="A5797" s="405" t="s">
        <v>310</v>
      </c>
      <c r="B5797" s="405" t="s">
        <v>12837</v>
      </c>
      <c r="C5797" s="405" t="s">
        <v>327</v>
      </c>
      <c r="D5797" s="405"/>
      <c r="E5797" s="410">
        <v>41490</v>
      </c>
      <c r="F5797" s="410">
        <v>41535</v>
      </c>
      <c r="G5797" s="405" t="s">
        <v>12838</v>
      </c>
      <c r="H5797" s="405">
        <v>782318106</v>
      </c>
      <c r="I5797" s="405"/>
      <c r="J5797" s="405">
        <v>0.72813799999999995</v>
      </c>
      <c r="K5797" s="405">
        <v>34.152304999999998</v>
      </c>
      <c r="L5797" s="405" t="s">
        <v>6866</v>
      </c>
      <c r="M5797" s="405" t="s">
        <v>9534</v>
      </c>
      <c r="N5797" s="405" t="s">
        <v>10113</v>
      </c>
      <c r="O5797" s="405" t="s">
        <v>9770</v>
      </c>
      <c r="P5797" s="405" t="s">
        <v>12839</v>
      </c>
      <c r="Q5797" s="411">
        <v>4</v>
      </c>
      <c r="R5797" s="405" t="s">
        <v>7224</v>
      </c>
      <c r="S5797" s="405" t="s">
        <v>27073</v>
      </c>
      <c r="T5797" s="405" t="s">
        <v>32102</v>
      </c>
      <c r="U5797" s="405" t="s">
        <v>319</v>
      </c>
    </row>
    <row r="5798" spans="1:21" x14ac:dyDescent="0.25">
      <c r="A5798" s="405" t="s">
        <v>310</v>
      </c>
      <c r="B5798" s="405" t="s">
        <v>4381</v>
      </c>
      <c r="C5798" s="405" t="s">
        <v>327</v>
      </c>
      <c r="D5798" s="405"/>
      <c r="E5798" s="410">
        <v>41489</v>
      </c>
      <c r="F5798" s="410">
        <v>41534</v>
      </c>
      <c r="G5798" s="405" t="s">
        <v>4382</v>
      </c>
      <c r="H5798" s="405">
        <v>704628202</v>
      </c>
      <c r="I5798" s="405">
        <v>705198036</v>
      </c>
      <c r="J5798" s="405">
        <v>-0.229323</v>
      </c>
      <c r="K5798" s="405">
        <v>31.825064999999999</v>
      </c>
      <c r="L5798" s="405" t="s">
        <v>314</v>
      </c>
      <c r="M5798" s="405" t="s">
        <v>900</v>
      </c>
      <c r="N5798" s="405" t="s">
        <v>1119</v>
      </c>
      <c r="O5798" s="405" t="s">
        <v>1302</v>
      </c>
      <c r="P5798" s="405" t="s">
        <v>4383</v>
      </c>
      <c r="Q5798" s="411">
        <v>13</v>
      </c>
      <c r="R5798" s="405" t="s">
        <v>1263</v>
      </c>
      <c r="S5798" s="405" t="s">
        <v>27216</v>
      </c>
      <c r="T5798" s="405" t="s">
        <v>32102</v>
      </c>
      <c r="U5798" s="405" t="s">
        <v>319</v>
      </c>
    </row>
    <row r="5799" spans="1:21" x14ac:dyDescent="0.25">
      <c r="A5799" s="405" t="s">
        <v>310</v>
      </c>
      <c r="B5799" s="405" t="s">
        <v>28803</v>
      </c>
      <c r="C5799" s="405" t="s">
        <v>327</v>
      </c>
      <c r="D5799" s="405"/>
      <c r="E5799" s="410">
        <v>41489</v>
      </c>
      <c r="F5799" s="410">
        <v>41534</v>
      </c>
      <c r="G5799" s="405" t="s">
        <v>12765</v>
      </c>
      <c r="H5799" s="405">
        <v>785511707</v>
      </c>
      <c r="I5799" s="405"/>
      <c r="J5799" s="405">
        <v>0.68684299999999998</v>
      </c>
      <c r="K5799" s="405">
        <v>33.915622999999997</v>
      </c>
      <c r="L5799" s="405" t="s">
        <v>6866</v>
      </c>
      <c r="M5799" s="405" t="s">
        <v>9534</v>
      </c>
      <c r="N5799" s="405" t="s">
        <v>9997</v>
      </c>
      <c r="O5799" s="405" t="s">
        <v>10918</v>
      </c>
      <c r="P5799" s="405" t="s">
        <v>12766</v>
      </c>
      <c r="Q5799" s="411">
        <v>6</v>
      </c>
      <c r="R5799" s="405" t="s">
        <v>7224</v>
      </c>
      <c r="S5799" s="405" t="s">
        <v>27073</v>
      </c>
      <c r="T5799" s="405" t="s">
        <v>32102</v>
      </c>
      <c r="U5799" s="405" t="s">
        <v>319</v>
      </c>
    </row>
    <row r="5800" spans="1:21" x14ac:dyDescent="0.25">
      <c r="A5800" s="405" t="s">
        <v>310</v>
      </c>
      <c r="B5800" s="405" t="s">
        <v>12785</v>
      </c>
      <c r="C5800" s="405" t="s">
        <v>327</v>
      </c>
      <c r="D5800" s="405"/>
      <c r="E5800" s="410">
        <v>41489</v>
      </c>
      <c r="F5800" s="410">
        <v>41534</v>
      </c>
      <c r="G5800" s="405" t="s">
        <v>12786</v>
      </c>
      <c r="H5800" s="405">
        <v>756105903</v>
      </c>
      <c r="I5800" s="405"/>
      <c r="J5800" s="405">
        <v>0.99526599999999998</v>
      </c>
      <c r="K5800" s="405">
        <v>34.089179000000001</v>
      </c>
      <c r="L5800" s="405" t="s">
        <v>6866</v>
      </c>
      <c r="M5800" s="405" t="s">
        <v>9566</v>
      </c>
      <c r="N5800" s="405" t="s">
        <v>10001</v>
      </c>
      <c r="O5800" s="405" t="s">
        <v>11178</v>
      </c>
      <c r="P5800" s="405" t="s">
        <v>8228</v>
      </c>
      <c r="Q5800" s="411">
        <v>6</v>
      </c>
      <c r="R5800" s="405" t="s">
        <v>9541</v>
      </c>
      <c r="S5800" s="405" t="s">
        <v>27302</v>
      </c>
      <c r="T5800" s="405" t="s">
        <v>32102</v>
      </c>
      <c r="U5800" s="405" t="s">
        <v>319</v>
      </c>
    </row>
    <row r="5801" spans="1:21" x14ac:dyDescent="0.25">
      <c r="A5801" s="405" t="s">
        <v>310</v>
      </c>
      <c r="B5801" s="405" t="s">
        <v>12772</v>
      </c>
      <c r="C5801" s="405" t="s">
        <v>327</v>
      </c>
      <c r="D5801" s="405"/>
      <c r="E5801" s="410">
        <v>41489</v>
      </c>
      <c r="F5801" s="410">
        <v>41534</v>
      </c>
      <c r="G5801" s="405" t="s">
        <v>12773</v>
      </c>
      <c r="H5801" s="405">
        <v>779245550</v>
      </c>
      <c r="I5801" s="405">
        <v>785203268</v>
      </c>
      <c r="J5801" s="405">
        <v>0.66617400000000004</v>
      </c>
      <c r="K5801" s="405">
        <v>33.942751999999999</v>
      </c>
      <c r="L5801" s="405" t="s">
        <v>6866</v>
      </c>
      <c r="M5801" s="405" t="s">
        <v>9534</v>
      </c>
      <c r="N5801" s="405" t="s">
        <v>9997</v>
      </c>
      <c r="O5801" s="405" t="s">
        <v>10918</v>
      </c>
      <c r="P5801" s="405" t="s">
        <v>12774</v>
      </c>
      <c r="Q5801" s="411">
        <v>6</v>
      </c>
      <c r="R5801" s="405" t="s">
        <v>7224</v>
      </c>
      <c r="S5801" s="405" t="s">
        <v>27259</v>
      </c>
      <c r="T5801" s="405" t="s">
        <v>32102</v>
      </c>
      <c r="U5801" s="405" t="s">
        <v>319</v>
      </c>
    </row>
    <row r="5802" spans="1:21" x14ac:dyDescent="0.25">
      <c r="A5802" s="405" t="s">
        <v>310</v>
      </c>
      <c r="B5802" s="405" t="s">
        <v>12775</v>
      </c>
      <c r="C5802" s="405" t="s">
        <v>327</v>
      </c>
      <c r="D5802" s="405"/>
      <c r="E5802" s="410">
        <v>41489</v>
      </c>
      <c r="F5802" s="410">
        <v>41534</v>
      </c>
      <c r="G5802" s="405" t="s">
        <v>12776</v>
      </c>
      <c r="H5802" s="405">
        <v>789161918</v>
      </c>
      <c r="I5802" s="405"/>
      <c r="J5802" s="405">
        <v>0.66615599999999997</v>
      </c>
      <c r="K5802" s="405">
        <v>33.948869000000002</v>
      </c>
      <c r="L5802" s="405" t="s">
        <v>6866</v>
      </c>
      <c r="M5802" s="405" t="s">
        <v>9534</v>
      </c>
      <c r="N5802" s="405" t="s">
        <v>9997</v>
      </c>
      <c r="O5802" s="405" t="s">
        <v>10918</v>
      </c>
      <c r="P5802" s="405" t="s">
        <v>10919</v>
      </c>
      <c r="Q5802" s="411">
        <v>6</v>
      </c>
      <c r="R5802" s="405" t="s">
        <v>9506</v>
      </c>
      <c r="S5802" s="405" t="s">
        <v>27184</v>
      </c>
      <c r="T5802" s="405" t="s">
        <v>32102</v>
      </c>
      <c r="U5802" s="405" t="s">
        <v>319</v>
      </c>
    </row>
    <row r="5803" spans="1:21" x14ac:dyDescent="0.25">
      <c r="A5803" s="405" t="s">
        <v>310</v>
      </c>
      <c r="B5803" s="405" t="s">
        <v>28633</v>
      </c>
      <c r="C5803" s="405" t="s">
        <v>311</v>
      </c>
      <c r="D5803" s="405" t="s">
        <v>1789</v>
      </c>
      <c r="E5803" s="410">
        <v>41488</v>
      </c>
      <c r="F5803" s="410">
        <v>41533</v>
      </c>
      <c r="G5803" s="405" t="s">
        <v>13209</v>
      </c>
      <c r="H5803" s="405">
        <v>774912195</v>
      </c>
      <c r="I5803" s="405"/>
      <c r="J5803" s="405">
        <v>1.0230319999999999</v>
      </c>
      <c r="K5803" s="405">
        <v>34.376649999999998</v>
      </c>
      <c r="L5803" s="405" t="s">
        <v>6866</v>
      </c>
      <c r="M5803" s="405" t="s">
        <v>6867</v>
      </c>
      <c r="N5803" s="405" t="s">
        <v>10297</v>
      </c>
      <c r="O5803" s="405" t="s">
        <v>13210</v>
      </c>
      <c r="P5803" s="405" t="s">
        <v>13211</v>
      </c>
      <c r="Q5803" s="411">
        <v>6</v>
      </c>
      <c r="R5803" s="405" t="s">
        <v>7224</v>
      </c>
      <c r="S5803" s="405" t="s">
        <v>27074</v>
      </c>
      <c r="T5803" s="405" t="s">
        <v>32102</v>
      </c>
      <c r="U5803" s="405" t="s">
        <v>319</v>
      </c>
    </row>
    <row r="5804" spans="1:21" x14ac:dyDescent="0.25">
      <c r="A5804" s="405" t="s">
        <v>310</v>
      </c>
      <c r="B5804" s="405" t="s">
        <v>27656</v>
      </c>
      <c r="C5804" s="405" t="s">
        <v>327</v>
      </c>
      <c r="D5804" s="405"/>
      <c r="E5804" s="410">
        <v>41487</v>
      </c>
      <c r="F5804" s="410">
        <v>41532</v>
      </c>
      <c r="G5804" s="405" t="s">
        <v>18721</v>
      </c>
      <c r="H5804" s="405">
        <v>772859220</v>
      </c>
      <c r="I5804" s="405">
        <v>778472761</v>
      </c>
      <c r="J5804" s="405">
        <v>2.0184259999999998</v>
      </c>
      <c r="K5804" s="405">
        <v>33.153855</v>
      </c>
      <c r="L5804" s="405" t="s">
        <v>860</v>
      </c>
      <c r="M5804" s="405" t="s">
        <v>12189</v>
      </c>
      <c r="N5804" s="405" t="s">
        <v>18270</v>
      </c>
      <c r="O5804" s="405" t="s">
        <v>18632</v>
      </c>
      <c r="P5804" s="405" t="s">
        <v>18722</v>
      </c>
      <c r="Q5804" s="411">
        <v>6</v>
      </c>
      <c r="R5804" s="405" t="s">
        <v>525</v>
      </c>
      <c r="S5804" s="405" t="s">
        <v>27193</v>
      </c>
      <c r="T5804" s="405" t="s">
        <v>32102</v>
      </c>
      <c r="U5804" s="405" t="s">
        <v>319</v>
      </c>
    </row>
    <row r="5805" spans="1:21" x14ac:dyDescent="0.25">
      <c r="A5805" s="405" t="s">
        <v>310</v>
      </c>
      <c r="B5805" s="405" t="s">
        <v>28832</v>
      </c>
      <c r="C5805" s="405" t="s">
        <v>327</v>
      </c>
      <c r="D5805" s="405"/>
      <c r="E5805" s="410">
        <v>41486</v>
      </c>
      <c r="F5805" s="410">
        <v>41531</v>
      </c>
      <c r="G5805" s="405" t="s">
        <v>4360</v>
      </c>
      <c r="H5805" s="405">
        <v>772976831</v>
      </c>
      <c r="I5805" s="405"/>
      <c r="J5805" s="405">
        <v>0.173847</v>
      </c>
      <c r="K5805" s="405">
        <v>32.549525000000003</v>
      </c>
      <c r="L5805" s="405" t="s">
        <v>314</v>
      </c>
      <c r="M5805" s="405" t="s">
        <v>361</v>
      </c>
      <c r="N5805" s="405" t="s">
        <v>3635</v>
      </c>
      <c r="O5805" s="405" t="s">
        <v>374</v>
      </c>
      <c r="P5805" s="405" t="s">
        <v>3636</v>
      </c>
      <c r="Q5805" s="411">
        <v>13</v>
      </c>
      <c r="R5805" s="405" t="s">
        <v>525</v>
      </c>
      <c r="S5805" s="405" t="s">
        <v>27035</v>
      </c>
      <c r="T5805" s="405" t="s">
        <v>32102</v>
      </c>
      <c r="U5805" s="405" t="s">
        <v>319</v>
      </c>
    </row>
    <row r="5806" spans="1:21" x14ac:dyDescent="0.25">
      <c r="A5806" s="405" t="s">
        <v>310</v>
      </c>
      <c r="B5806" s="405" t="s">
        <v>4363</v>
      </c>
      <c r="C5806" s="405" t="s">
        <v>327</v>
      </c>
      <c r="D5806" s="405"/>
      <c r="E5806" s="410">
        <v>41486</v>
      </c>
      <c r="F5806" s="410">
        <v>41531</v>
      </c>
      <c r="G5806" s="405" t="s">
        <v>4364</v>
      </c>
      <c r="H5806" s="405">
        <v>772501102</v>
      </c>
      <c r="I5806" s="405"/>
      <c r="J5806" s="405">
        <v>0.33563199999999999</v>
      </c>
      <c r="K5806" s="405">
        <v>32.532162</v>
      </c>
      <c r="L5806" s="405" t="s">
        <v>314</v>
      </c>
      <c r="M5806" s="405" t="s">
        <v>992</v>
      </c>
      <c r="N5806" s="405" t="s">
        <v>2327</v>
      </c>
      <c r="O5806" s="405" t="s">
        <v>4188</v>
      </c>
      <c r="P5806" s="405" t="s">
        <v>1450</v>
      </c>
      <c r="Q5806" s="411">
        <v>13</v>
      </c>
      <c r="R5806" s="405" t="s">
        <v>1263</v>
      </c>
      <c r="S5806" s="405" t="s">
        <v>27053</v>
      </c>
      <c r="T5806" s="405" t="s">
        <v>32102</v>
      </c>
      <c r="U5806" s="405" t="s">
        <v>319</v>
      </c>
    </row>
    <row r="5807" spans="1:21" x14ac:dyDescent="0.25">
      <c r="A5807" s="405" t="s">
        <v>310</v>
      </c>
      <c r="B5807" s="405" t="s">
        <v>4397</v>
      </c>
      <c r="C5807" s="405" t="s">
        <v>327</v>
      </c>
      <c r="D5807" s="405"/>
      <c r="E5807" s="410">
        <v>41486</v>
      </c>
      <c r="F5807" s="410">
        <v>41531</v>
      </c>
      <c r="G5807" s="405" t="s">
        <v>4398</v>
      </c>
      <c r="H5807" s="405">
        <v>702704397</v>
      </c>
      <c r="I5807" s="405">
        <v>773602404</v>
      </c>
      <c r="J5807" s="405">
        <v>0.27147833333333332</v>
      </c>
      <c r="K5807" s="405">
        <v>32.399301666666666</v>
      </c>
      <c r="L5807" s="405" t="s">
        <v>314</v>
      </c>
      <c r="M5807" s="405" t="s">
        <v>321</v>
      </c>
      <c r="N5807" s="405" t="s">
        <v>322</v>
      </c>
      <c r="O5807" s="405" t="s">
        <v>519</v>
      </c>
      <c r="P5807" s="405" t="s">
        <v>576</v>
      </c>
      <c r="Q5807" s="411">
        <v>13</v>
      </c>
      <c r="R5807" s="405" t="s">
        <v>318</v>
      </c>
      <c r="S5807" s="405" t="s">
        <v>27201</v>
      </c>
      <c r="T5807" s="405" t="s">
        <v>32102</v>
      </c>
      <c r="U5807" s="405" t="s">
        <v>319</v>
      </c>
    </row>
    <row r="5808" spans="1:21" x14ac:dyDescent="0.25">
      <c r="A5808" s="405" t="s">
        <v>310</v>
      </c>
      <c r="B5808" s="405" t="s">
        <v>4455</v>
      </c>
      <c r="C5808" s="405" t="s">
        <v>327</v>
      </c>
      <c r="D5808" s="405"/>
      <c r="E5808" s="410">
        <v>41486</v>
      </c>
      <c r="F5808" s="410">
        <v>41531</v>
      </c>
      <c r="G5808" s="405" t="s">
        <v>4456</v>
      </c>
      <c r="H5808" s="405">
        <v>772589337</v>
      </c>
      <c r="I5808" s="405"/>
      <c r="J5808" s="405">
        <v>0.28234166666666666</v>
      </c>
      <c r="K5808" s="405">
        <v>32.407401666666672</v>
      </c>
      <c r="L5808" s="405" t="s">
        <v>314</v>
      </c>
      <c r="M5808" s="405" t="s">
        <v>321</v>
      </c>
      <c r="N5808" s="405" t="s">
        <v>322</v>
      </c>
      <c r="O5808" s="405" t="s">
        <v>519</v>
      </c>
      <c r="P5808" s="405" t="s">
        <v>3802</v>
      </c>
      <c r="Q5808" s="411">
        <v>13</v>
      </c>
      <c r="R5808" s="405" t="s">
        <v>1263</v>
      </c>
      <c r="S5808" s="405" t="s">
        <v>27202</v>
      </c>
      <c r="T5808" s="405" t="s">
        <v>32102</v>
      </c>
      <c r="U5808" s="405" t="s">
        <v>319</v>
      </c>
    </row>
    <row r="5809" spans="1:21" x14ac:dyDescent="0.25">
      <c r="A5809" s="405" t="s">
        <v>310</v>
      </c>
      <c r="B5809" s="405" t="s">
        <v>4341</v>
      </c>
      <c r="C5809" s="405" t="s">
        <v>327</v>
      </c>
      <c r="D5809" s="405"/>
      <c r="E5809" s="410">
        <v>41486</v>
      </c>
      <c r="F5809" s="410">
        <v>41531</v>
      </c>
      <c r="G5809" s="405" t="s">
        <v>4342</v>
      </c>
      <c r="H5809" s="405">
        <v>772461311</v>
      </c>
      <c r="I5809" s="405"/>
      <c r="J5809" s="405">
        <v>8.8696999999999998E-2</v>
      </c>
      <c r="K5809" s="405">
        <v>32.518312000000002</v>
      </c>
      <c r="L5809" s="405" t="s">
        <v>314</v>
      </c>
      <c r="M5809" s="405" t="s">
        <v>361</v>
      </c>
      <c r="N5809" s="405" t="s">
        <v>638</v>
      </c>
      <c r="O5809" s="405" t="s">
        <v>374</v>
      </c>
      <c r="P5809" s="405" t="s">
        <v>639</v>
      </c>
      <c r="Q5809" s="411">
        <v>9</v>
      </c>
      <c r="R5809" s="405" t="s">
        <v>525</v>
      </c>
      <c r="S5809" s="405" t="s">
        <v>414</v>
      </c>
      <c r="T5809" s="405" t="s">
        <v>32102</v>
      </c>
      <c r="U5809" s="405" t="s">
        <v>319</v>
      </c>
    </row>
    <row r="5810" spans="1:21" x14ac:dyDescent="0.25">
      <c r="A5810" s="405" t="s">
        <v>310</v>
      </c>
      <c r="B5810" s="405" t="s">
        <v>4332</v>
      </c>
      <c r="C5810" s="405" t="s">
        <v>327</v>
      </c>
      <c r="D5810" s="405"/>
      <c r="E5810" s="410">
        <v>41486</v>
      </c>
      <c r="F5810" s="410">
        <v>41531</v>
      </c>
      <c r="G5810" s="405" t="s">
        <v>4333</v>
      </c>
      <c r="H5810" s="405">
        <v>753830781</v>
      </c>
      <c r="I5810" s="405"/>
      <c r="J5810" s="405">
        <v>0.35854000000000003</v>
      </c>
      <c r="K5810" s="405">
        <v>32.779404999999997</v>
      </c>
      <c r="L5810" s="405" t="s">
        <v>314</v>
      </c>
      <c r="M5810" s="405" t="s">
        <v>329</v>
      </c>
      <c r="N5810" s="405" t="s">
        <v>545</v>
      </c>
      <c r="O5810" s="405" t="s">
        <v>546</v>
      </c>
      <c r="P5810" s="405" t="s">
        <v>4334</v>
      </c>
      <c r="Q5810" s="411">
        <v>9</v>
      </c>
      <c r="R5810" s="405" t="s">
        <v>1263</v>
      </c>
      <c r="S5810" s="405" t="s">
        <v>27208</v>
      </c>
      <c r="T5810" s="405" t="s">
        <v>32102</v>
      </c>
      <c r="U5810" s="405" t="s">
        <v>319</v>
      </c>
    </row>
    <row r="5811" spans="1:21" x14ac:dyDescent="0.25">
      <c r="A5811" s="405" t="s">
        <v>310</v>
      </c>
      <c r="B5811" s="405" t="s">
        <v>4418</v>
      </c>
      <c r="C5811" s="405" t="s">
        <v>327</v>
      </c>
      <c r="D5811" s="405"/>
      <c r="E5811" s="410">
        <v>41486</v>
      </c>
      <c r="F5811" s="410">
        <v>41531</v>
      </c>
      <c r="G5811" s="405" t="s">
        <v>4419</v>
      </c>
      <c r="H5811" s="405">
        <v>773152028</v>
      </c>
      <c r="I5811" s="405"/>
      <c r="J5811" s="405">
        <v>0.36785899999999999</v>
      </c>
      <c r="K5811" s="405">
        <v>32.816031000000002</v>
      </c>
      <c r="L5811" s="405" t="s">
        <v>314</v>
      </c>
      <c r="M5811" s="405" t="s">
        <v>329</v>
      </c>
      <c r="N5811" s="405" t="s">
        <v>545</v>
      </c>
      <c r="O5811" s="405" t="s">
        <v>546</v>
      </c>
      <c r="P5811" s="405" t="s">
        <v>4420</v>
      </c>
      <c r="Q5811" s="411">
        <v>9</v>
      </c>
      <c r="R5811" s="405" t="s">
        <v>525</v>
      </c>
      <c r="S5811" s="405" t="s">
        <v>22481</v>
      </c>
      <c r="T5811" s="405" t="s">
        <v>32102</v>
      </c>
      <c r="U5811" s="405" t="s">
        <v>319</v>
      </c>
    </row>
    <row r="5812" spans="1:21" x14ac:dyDescent="0.25">
      <c r="A5812" s="405" t="s">
        <v>310</v>
      </c>
      <c r="B5812" s="405" t="s">
        <v>4361</v>
      </c>
      <c r="C5812" s="405" t="s">
        <v>327</v>
      </c>
      <c r="D5812" s="405"/>
      <c r="E5812" s="410">
        <v>41486</v>
      </c>
      <c r="F5812" s="410">
        <v>41531</v>
      </c>
      <c r="G5812" s="405" t="s">
        <v>4362</v>
      </c>
      <c r="H5812" s="405">
        <v>772401548</v>
      </c>
      <c r="I5812" s="405"/>
      <c r="J5812" s="405">
        <v>6.7863000000000007E-2</v>
      </c>
      <c r="K5812" s="405">
        <v>32.468023000000002</v>
      </c>
      <c r="L5812" s="405" t="s">
        <v>314</v>
      </c>
      <c r="M5812" s="405" t="s">
        <v>361</v>
      </c>
      <c r="N5812" s="405" t="s">
        <v>374</v>
      </c>
      <c r="O5812" s="405" t="s">
        <v>1279</v>
      </c>
      <c r="P5812" s="405" t="s">
        <v>1281</v>
      </c>
      <c r="Q5812" s="411">
        <v>9</v>
      </c>
      <c r="R5812" s="405" t="s">
        <v>318</v>
      </c>
      <c r="S5812" s="405" t="s">
        <v>27136</v>
      </c>
      <c r="T5812" s="405" t="s">
        <v>32102</v>
      </c>
      <c r="U5812" s="405" t="s">
        <v>319</v>
      </c>
    </row>
    <row r="5813" spans="1:21" x14ac:dyDescent="0.25">
      <c r="A5813" s="405" t="s">
        <v>310</v>
      </c>
      <c r="B5813" s="405" t="s">
        <v>4365</v>
      </c>
      <c r="C5813" s="405" t="s">
        <v>327</v>
      </c>
      <c r="D5813" s="405"/>
      <c r="E5813" s="410">
        <v>41486</v>
      </c>
      <c r="F5813" s="410">
        <v>41531</v>
      </c>
      <c r="G5813" s="405" t="s">
        <v>4366</v>
      </c>
      <c r="H5813" s="405">
        <v>702705711</v>
      </c>
      <c r="I5813" s="405"/>
      <c r="J5813" s="405">
        <v>0.44707833333333336</v>
      </c>
      <c r="K5813" s="405">
        <v>32.587179999999996</v>
      </c>
      <c r="L5813" s="405" t="s">
        <v>314</v>
      </c>
      <c r="M5813" s="405" t="s">
        <v>361</v>
      </c>
      <c r="N5813" s="405" t="s">
        <v>362</v>
      </c>
      <c r="O5813" s="405" t="s">
        <v>410</v>
      </c>
      <c r="P5813" s="405" t="s">
        <v>4220</v>
      </c>
      <c r="Q5813" s="411">
        <v>9</v>
      </c>
      <c r="R5813" s="405" t="s">
        <v>318</v>
      </c>
      <c r="S5813" s="405" t="s">
        <v>27141</v>
      </c>
      <c r="T5813" s="405" t="s">
        <v>32102</v>
      </c>
      <c r="U5813" s="405" t="s">
        <v>319</v>
      </c>
    </row>
    <row r="5814" spans="1:21" x14ac:dyDescent="0.25">
      <c r="A5814" s="405" t="s">
        <v>310</v>
      </c>
      <c r="B5814" s="405" t="s">
        <v>4471</v>
      </c>
      <c r="C5814" s="405" t="s">
        <v>327</v>
      </c>
      <c r="D5814" s="405"/>
      <c r="E5814" s="410">
        <v>41486</v>
      </c>
      <c r="F5814" s="410">
        <v>41531</v>
      </c>
      <c r="G5814" s="405" t="s">
        <v>4472</v>
      </c>
      <c r="H5814" s="405">
        <v>730115745</v>
      </c>
      <c r="I5814" s="405"/>
      <c r="J5814" s="405">
        <v>0.60860000000000003</v>
      </c>
      <c r="K5814" s="405">
        <v>32.43817</v>
      </c>
      <c r="L5814" s="405" t="s">
        <v>314</v>
      </c>
      <c r="M5814" s="405" t="s">
        <v>959</v>
      </c>
      <c r="N5814" s="405" t="s">
        <v>1308</v>
      </c>
      <c r="O5814" s="405" t="s">
        <v>2056</v>
      </c>
      <c r="P5814" s="405" t="s">
        <v>4473</v>
      </c>
      <c r="Q5814" s="411">
        <v>9</v>
      </c>
      <c r="R5814" s="405" t="s">
        <v>1263</v>
      </c>
      <c r="S5814" s="405" t="s">
        <v>27036</v>
      </c>
      <c r="T5814" s="405" t="s">
        <v>32102</v>
      </c>
      <c r="U5814" s="405" t="s">
        <v>319</v>
      </c>
    </row>
    <row r="5815" spans="1:21" x14ac:dyDescent="0.25">
      <c r="A5815" s="405" t="s">
        <v>310</v>
      </c>
      <c r="B5815" s="405" t="s">
        <v>4464</v>
      </c>
      <c r="C5815" s="405" t="s">
        <v>327</v>
      </c>
      <c r="D5815" s="405"/>
      <c r="E5815" s="410">
        <v>41486</v>
      </c>
      <c r="F5815" s="410">
        <v>41531</v>
      </c>
      <c r="G5815" s="405" t="s">
        <v>4465</v>
      </c>
      <c r="H5815" s="405">
        <v>772459378</v>
      </c>
      <c r="I5815" s="405"/>
      <c r="J5815" s="405">
        <v>0.41694666666666669</v>
      </c>
      <c r="K5815" s="405">
        <v>32.570910000000005</v>
      </c>
      <c r="L5815" s="405" t="s">
        <v>314</v>
      </c>
      <c r="M5815" s="405" t="s">
        <v>361</v>
      </c>
      <c r="N5815" s="405" t="s">
        <v>362</v>
      </c>
      <c r="O5815" s="405" t="s">
        <v>1365</v>
      </c>
      <c r="P5815" s="405" t="s">
        <v>1174</v>
      </c>
      <c r="Q5815" s="411">
        <v>9</v>
      </c>
      <c r="R5815" s="405" t="s">
        <v>525</v>
      </c>
      <c r="S5815" s="405" t="s">
        <v>27153</v>
      </c>
      <c r="T5815" s="405" t="s">
        <v>32102</v>
      </c>
      <c r="U5815" s="405" t="s">
        <v>319</v>
      </c>
    </row>
    <row r="5816" spans="1:21" x14ac:dyDescent="0.25">
      <c r="A5816" s="405" t="s">
        <v>310</v>
      </c>
      <c r="B5816" s="405" t="s">
        <v>27833</v>
      </c>
      <c r="C5816" s="405" t="s">
        <v>327</v>
      </c>
      <c r="D5816" s="405"/>
      <c r="E5816" s="410">
        <v>41486</v>
      </c>
      <c r="F5816" s="410">
        <v>41531</v>
      </c>
      <c r="G5816" s="405" t="s">
        <v>4378</v>
      </c>
      <c r="H5816" s="405">
        <v>772669351</v>
      </c>
      <c r="I5816" s="405"/>
      <c r="J5816" s="405">
        <v>0.35408499999999998</v>
      </c>
      <c r="K5816" s="405">
        <v>32.466197999999999</v>
      </c>
      <c r="L5816" s="405" t="s">
        <v>314</v>
      </c>
      <c r="M5816" s="405" t="s">
        <v>361</v>
      </c>
      <c r="N5816" s="405" t="s">
        <v>374</v>
      </c>
      <c r="O5816" s="405" t="s">
        <v>361</v>
      </c>
      <c r="P5816" s="405" t="s">
        <v>611</v>
      </c>
      <c r="Q5816" s="411">
        <v>6</v>
      </c>
      <c r="R5816" s="405" t="s">
        <v>525</v>
      </c>
      <c r="S5816" s="405" t="s">
        <v>414</v>
      </c>
      <c r="T5816" s="405" t="s">
        <v>32102</v>
      </c>
      <c r="U5816" s="405" t="s">
        <v>319</v>
      </c>
    </row>
    <row r="5817" spans="1:21" x14ac:dyDescent="0.25">
      <c r="A5817" s="405" t="s">
        <v>310</v>
      </c>
      <c r="B5817" s="405" t="s">
        <v>28041</v>
      </c>
      <c r="C5817" s="405" t="s">
        <v>327</v>
      </c>
      <c r="D5817" s="405"/>
      <c r="E5817" s="410">
        <v>41486</v>
      </c>
      <c r="F5817" s="410">
        <v>41531</v>
      </c>
      <c r="G5817" s="405" t="s">
        <v>4384</v>
      </c>
      <c r="H5817" s="405">
        <v>787957590</v>
      </c>
      <c r="I5817" s="405"/>
      <c r="J5817" s="405">
        <v>0.50679166666666664</v>
      </c>
      <c r="K5817" s="405">
        <v>32.459710000000001</v>
      </c>
      <c r="L5817" s="405" t="s">
        <v>314</v>
      </c>
      <c r="M5817" s="405" t="s">
        <v>361</v>
      </c>
      <c r="N5817" s="405" t="s">
        <v>362</v>
      </c>
      <c r="O5817" s="405" t="s">
        <v>523</v>
      </c>
      <c r="P5817" s="405" t="s">
        <v>2323</v>
      </c>
      <c r="Q5817" s="411">
        <v>6</v>
      </c>
      <c r="R5817" s="405" t="s">
        <v>1263</v>
      </c>
      <c r="S5817" s="405" t="s">
        <v>27034</v>
      </c>
      <c r="T5817" s="405" t="s">
        <v>32102</v>
      </c>
      <c r="U5817" s="405" t="s">
        <v>319</v>
      </c>
    </row>
    <row r="5818" spans="1:21" x14ac:dyDescent="0.25">
      <c r="A5818" s="405" t="s">
        <v>310</v>
      </c>
      <c r="B5818" s="405" t="s">
        <v>28509</v>
      </c>
      <c r="C5818" s="405" t="s">
        <v>327</v>
      </c>
      <c r="D5818" s="405"/>
      <c r="E5818" s="410">
        <v>41486</v>
      </c>
      <c r="F5818" s="410">
        <v>41531</v>
      </c>
      <c r="G5818" s="405" t="s">
        <v>12735</v>
      </c>
      <c r="H5818" s="405">
        <v>776453524</v>
      </c>
      <c r="I5818" s="405"/>
      <c r="J5818" s="405">
        <v>1.0228349999999999</v>
      </c>
      <c r="K5818" s="405">
        <v>34.378328000000003</v>
      </c>
      <c r="L5818" s="405" t="s">
        <v>6866</v>
      </c>
      <c r="M5818" s="405" t="s">
        <v>6867</v>
      </c>
      <c r="N5818" s="405" t="s">
        <v>10297</v>
      </c>
      <c r="O5818" s="405" t="s">
        <v>12252</v>
      </c>
      <c r="P5818" s="405" t="s">
        <v>12227</v>
      </c>
      <c r="Q5818" s="411">
        <v>6</v>
      </c>
      <c r="R5818" s="405" t="s">
        <v>7224</v>
      </c>
      <c r="S5818" s="405" t="s">
        <v>27074</v>
      </c>
      <c r="T5818" s="405" t="s">
        <v>32102</v>
      </c>
      <c r="U5818" s="405" t="s">
        <v>319</v>
      </c>
    </row>
    <row r="5819" spans="1:21" x14ac:dyDescent="0.25">
      <c r="A5819" s="405" t="s">
        <v>310</v>
      </c>
      <c r="B5819" s="405" t="s">
        <v>28539</v>
      </c>
      <c r="C5819" s="405" t="s">
        <v>327</v>
      </c>
      <c r="D5819" s="405"/>
      <c r="E5819" s="410">
        <v>41486</v>
      </c>
      <c r="F5819" s="410">
        <v>41531</v>
      </c>
      <c r="G5819" s="405" t="s">
        <v>4392</v>
      </c>
      <c r="H5819" s="405">
        <v>774494004</v>
      </c>
      <c r="I5819" s="405"/>
      <c r="J5819" s="405">
        <v>8.6651800000000001E-2</v>
      </c>
      <c r="K5819" s="405">
        <v>32.139915600000002</v>
      </c>
      <c r="L5819" s="405" t="s">
        <v>314</v>
      </c>
      <c r="M5819" s="405" t="s">
        <v>321</v>
      </c>
      <c r="N5819" s="405" t="s">
        <v>322</v>
      </c>
      <c r="O5819" s="405" t="s">
        <v>476</v>
      </c>
      <c r="P5819" s="405" t="s">
        <v>2810</v>
      </c>
      <c r="Q5819" s="411">
        <v>6</v>
      </c>
      <c r="R5819" s="405" t="s">
        <v>318</v>
      </c>
      <c r="S5819" s="405" t="s">
        <v>27233</v>
      </c>
      <c r="T5819" s="405" t="s">
        <v>32102</v>
      </c>
      <c r="U5819" s="405" t="s">
        <v>319</v>
      </c>
    </row>
    <row r="5820" spans="1:21" x14ac:dyDescent="0.25">
      <c r="A5820" s="405" t="s">
        <v>310</v>
      </c>
      <c r="B5820" s="405" t="s">
        <v>28740</v>
      </c>
      <c r="C5820" s="405" t="s">
        <v>327</v>
      </c>
      <c r="D5820" s="405"/>
      <c r="E5820" s="410">
        <v>41486</v>
      </c>
      <c r="F5820" s="410">
        <v>41531</v>
      </c>
      <c r="G5820" s="405" t="s">
        <v>12756</v>
      </c>
      <c r="H5820" s="405">
        <v>774505624</v>
      </c>
      <c r="I5820" s="405"/>
      <c r="J5820" s="405">
        <v>0.68271300000000001</v>
      </c>
      <c r="K5820" s="405">
        <v>33.905425000000001</v>
      </c>
      <c r="L5820" s="405" t="s">
        <v>6866</v>
      </c>
      <c r="M5820" s="405" t="s">
        <v>9534</v>
      </c>
      <c r="N5820" s="405" t="s">
        <v>9997</v>
      </c>
      <c r="O5820" s="405" t="s">
        <v>10918</v>
      </c>
      <c r="P5820" s="405" t="s">
        <v>12757</v>
      </c>
      <c r="Q5820" s="411">
        <v>6</v>
      </c>
      <c r="R5820" s="405" t="s">
        <v>7224</v>
      </c>
      <c r="S5820" s="405" t="s">
        <v>27073</v>
      </c>
      <c r="T5820" s="405" t="s">
        <v>32102</v>
      </c>
      <c r="U5820" s="405" t="s">
        <v>319</v>
      </c>
    </row>
    <row r="5821" spans="1:21" x14ac:dyDescent="0.25">
      <c r="A5821" s="405" t="s">
        <v>310</v>
      </c>
      <c r="B5821" s="405" t="s">
        <v>4357</v>
      </c>
      <c r="C5821" s="405" t="s">
        <v>327</v>
      </c>
      <c r="D5821" s="405"/>
      <c r="E5821" s="410">
        <v>41486</v>
      </c>
      <c r="F5821" s="410">
        <v>41531</v>
      </c>
      <c r="G5821" s="405" t="s">
        <v>4358</v>
      </c>
      <c r="H5821" s="405">
        <v>772628920</v>
      </c>
      <c r="I5821" s="405"/>
      <c r="J5821" s="405">
        <v>0.32390999999999998</v>
      </c>
      <c r="K5821" s="405">
        <v>32.476064999999998</v>
      </c>
      <c r="L5821" s="405" t="s">
        <v>314</v>
      </c>
      <c r="M5821" s="405" t="s">
        <v>361</v>
      </c>
      <c r="N5821" s="405" t="s">
        <v>374</v>
      </c>
      <c r="O5821" s="405" t="s">
        <v>361</v>
      </c>
      <c r="P5821" s="405" t="s">
        <v>4359</v>
      </c>
      <c r="Q5821" s="411">
        <v>6</v>
      </c>
      <c r="R5821" s="405" t="s">
        <v>1263</v>
      </c>
      <c r="S5821" s="405" t="s">
        <v>27202</v>
      </c>
      <c r="T5821" s="405" t="s">
        <v>32102</v>
      </c>
      <c r="U5821" s="405" t="s">
        <v>319</v>
      </c>
    </row>
    <row r="5822" spans="1:21" x14ac:dyDescent="0.25">
      <c r="A5822" s="405" t="s">
        <v>310</v>
      </c>
      <c r="B5822" s="405" t="s">
        <v>4352</v>
      </c>
      <c r="C5822" s="405" t="s">
        <v>327</v>
      </c>
      <c r="D5822" s="405"/>
      <c r="E5822" s="410">
        <v>41486</v>
      </c>
      <c r="F5822" s="410">
        <v>41531</v>
      </c>
      <c r="G5822" s="405" t="s">
        <v>4353</v>
      </c>
      <c r="H5822" s="405">
        <v>782313144</v>
      </c>
      <c r="I5822" s="405"/>
      <c r="J5822" s="405">
        <v>0.39582833333333334</v>
      </c>
      <c r="K5822" s="405">
        <v>32.544468333333334</v>
      </c>
      <c r="L5822" s="405" t="s">
        <v>314</v>
      </c>
      <c r="M5822" s="405" t="s">
        <v>361</v>
      </c>
      <c r="N5822" s="405" t="s">
        <v>362</v>
      </c>
      <c r="O5822" s="405" t="s">
        <v>4268</v>
      </c>
      <c r="P5822" s="405" t="s">
        <v>542</v>
      </c>
      <c r="Q5822" s="411">
        <v>6</v>
      </c>
      <c r="R5822" s="405" t="s">
        <v>1263</v>
      </c>
      <c r="S5822" s="405" t="s">
        <v>27223</v>
      </c>
      <c r="T5822" s="405" t="s">
        <v>32102</v>
      </c>
      <c r="U5822" s="405" t="s">
        <v>319</v>
      </c>
    </row>
    <row r="5823" spans="1:21" x14ac:dyDescent="0.25">
      <c r="A5823" s="405" t="s">
        <v>310</v>
      </c>
      <c r="B5823" s="405" t="s">
        <v>4932</v>
      </c>
      <c r="C5823" s="405" t="s">
        <v>857</v>
      </c>
      <c r="D5823" s="405" t="s">
        <v>33085</v>
      </c>
      <c r="E5823" s="410">
        <v>41486</v>
      </c>
      <c r="F5823" s="410">
        <v>41531</v>
      </c>
      <c r="G5823" s="405" t="s">
        <v>4933</v>
      </c>
      <c r="H5823" s="405">
        <v>772641798</v>
      </c>
      <c r="I5823" s="405"/>
      <c r="J5823" s="405">
        <v>0.28725000000000001</v>
      </c>
      <c r="K5823" s="405">
        <v>32.565686999999997</v>
      </c>
      <c r="L5823" s="405" t="s">
        <v>314</v>
      </c>
      <c r="M5823" s="405" t="s">
        <v>992</v>
      </c>
      <c r="N5823" s="405" t="s">
        <v>362</v>
      </c>
      <c r="O5823" s="405" t="s">
        <v>1449</v>
      </c>
      <c r="P5823" s="405" t="s">
        <v>1313</v>
      </c>
      <c r="Q5823" s="411">
        <v>6</v>
      </c>
      <c r="R5823" s="405" t="s">
        <v>353</v>
      </c>
      <c r="S5823" s="405" t="s">
        <v>27110</v>
      </c>
      <c r="T5823" s="405" t="s">
        <v>32102</v>
      </c>
      <c r="U5823" s="405" t="s">
        <v>319</v>
      </c>
    </row>
    <row r="5824" spans="1:21" x14ac:dyDescent="0.25">
      <c r="A5824" s="405" t="s">
        <v>310</v>
      </c>
      <c r="B5824" s="405" t="s">
        <v>12875</v>
      </c>
      <c r="C5824" s="405" t="s">
        <v>327</v>
      </c>
      <c r="D5824" s="405"/>
      <c r="E5824" s="410">
        <v>41486</v>
      </c>
      <c r="F5824" s="410">
        <v>41531</v>
      </c>
      <c r="G5824" s="405" t="s">
        <v>12876</v>
      </c>
      <c r="H5824" s="405">
        <v>772963727</v>
      </c>
      <c r="I5824" s="405"/>
      <c r="J5824" s="405">
        <v>0.95748500000000003</v>
      </c>
      <c r="K5824" s="405">
        <v>34.282307000000003</v>
      </c>
      <c r="L5824" s="405" t="s">
        <v>6866</v>
      </c>
      <c r="M5824" s="405" t="s">
        <v>9763</v>
      </c>
      <c r="N5824" s="405" t="s">
        <v>9764</v>
      </c>
      <c r="O5824" s="405" t="s">
        <v>10118</v>
      </c>
      <c r="P5824" s="405" t="s">
        <v>10906</v>
      </c>
      <c r="Q5824" s="411">
        <v>6</v>
      </c>
      <c r="R5824" s="405" t="s">
        <v>7224</v>
      </c>
      <c r="S5824" s="405" t="s">
        <v>27298</v>
      </c>
      <c r="T5824" s="405" t="s">
        <v>32102</v>
      </c>
      <c r="U5824" s="405" t="s">
        <v>319</v>
      </c>
    </row>
    <row r="5825" spans="1:21" x14ac:dyDescent="0.25">
      <c r="A5825" s="405" t="s">
        <v>310</v>
      </c>
      <c r="B5825" s="405" t="s">
        <v>4414</v>
      </c>
      <c r="C5825" s="405" t="s">
        <v>327</v>
      </c>
      <c r="D5825" s="405"/>
      <c r="E5825" s="410">
        <v>41486</v>
      </c>
      <c r="F5825" s="410">
        <v>41531</v>
      </c>
      <c r="G5825" s="405" t="s">
        <v>4415</v>
      </c>
      <c r="H5825" s="405">
        <v>702574152</v>
      </c>
      <c r="I5825" s="405">
        <v>702158687</v>
      </c>
      <c r="J5825" s="405">
        <v>0.29535099999999997</v>
      </c>
      <c r="K5825" s="405">
        <v>32.819909000000003</v>
      </c>
      <c r="L5825" s="405" t="s">
        <v>314</v>
      </c>
      <c r="M5825" s="405" t="s">
        <v>329</v>
      </c>
      <c r="N5825" s="405" t="s">
        <v>803</v>
      </c>
      <c r="O5825" s="405" t="s">
        <v>653</v>
      </c>
      <c r="P5825" s="405" t="s">
        <v>3001</v>
      </c>
      <c r="Q5825" s="411">
        <v>6</v>
      </c>
      <c r="R5825" s="405" t="s">
        <v>318</v>
      </c>
      <c r="S5825" s="405" t="s">
        <v>27124</v>
      </c>
      <c r="T5825" s="405" t="s">
        <v>32102</v>
      </c>
      <c r="U5825" s="405" t="s">
        <v>319</v>
      </c>
    </row>
    <row r="5826" spans="1:21" x14ac:dyDescent="0.25">
      <c r="A5826" s="405" t="s">
        <v>310</v>
      </c>
      <c r="B5826" s="405" t="s">
        <v>4329</v>
      </c>
      <c r="C5826" s="405" t="s">
        <v>327</v>
      </c>
      <c r="D5826" s="405"/>
      <c r="E5826" s="410">
        <v>41486</v>
      </c>
      <c r="F5826" s="410">
        <v>41531</v>
      </c>
      <c r="G5826" s="405" t="s">
        <v>4330</v>
      </c>
      <c r="H5826" s="405">
        <v>754144143</v>
      </c>
      <c r="I5826" s="405">
        <v>782349229</v>
      </c>
      <c r="J5826" s="405">
        <v>0.18742200000000001</v>
      </c>
      <c r="K5826" s="405">
        <v>32.799185000000001</v>
      </c>
      <c r="L5826" s="405" t="s">
        <v>314</v>
      </c>
      <c r="M5826" s="405" t="s">
        <v>329</v>
      </c>
      <c r="N5826" s="405" t="s">
        <v>803</v>
      </c>
      <c r="O5826" s="405" t="s">
        <v>909</v>
      </c>
      <c r="P5826" s="405" t="s">
        <v>4331</v>
      </c>
      <c r="Q5826" s="411">
        <v>6</v>
      </c>
      <c r="R5826" s="405" t="s">
        <v>318</v>
      </c>
      <c r="S5826" s="405" t="s">
        <v>27124</v>
      </c>
      <c r="T5826" s="405" t="s">
        <v>32102</v>
      </c>
      <c r="U5826" s="405" t="s">
        <v>319</v>
      </c>
    </row>
    <row r="5827" spans="1:21" x14ac:dyDescent="0.25">
      <c r="A5827" s="405" t="s">
        <v>310</v>
      </c>
      <c r="B5827" s="405" t="s">
        <v>4339</v>
      </c>
      <c r="C5827" s="405" t="s">
        <v>327</v>
      </c>
      <c r="D5827" s="405"/>
      <c r="E5827" s="410">
        <v>41486</v>
      </c>
      <c r="F5827" s="410">
        <v>41531</v>
      </c>
      <c r="G5827" s="405" t="s">
        <v>4340</v>
      </c>
      <c r="H5827" s="405">
        <v>752546588</v>
      </c>
      <c r="I5827" s="405"/>
      <c r="J5827" s="405">
        <v>0.52889299999999995</v>
      </c>
      <c r="K5827" s="405">
        <v>32.453308</v>
      </c>
      <c r="L5827" s="405" t="s">
        <v>314</v>
      </c>
      <c r="M5827" s="405" t="s">
        <v>361</v>
      </c>
      <c r="N5827" s="405" t="s">
        <v>362</v>
      </c>
      <c r="O5827" s="405" t="s">
        <v>523</v>
      </c>
      <c r="P5827" s="405" t="s">
        <v>3082</v>
      </c>
      <c r="Q5827" s="411">
        <v>6</v>
      </c>
      <c r="R5827" s="405" t="s">
        <v>1263</v>
      </c>
      <c r="S5827" s="405" t="s">
        <v>27196</v>
      </c>
      <c r="T5827" s="405" t="s">
        <v>32102</v>
      </c>
      <c r="U5827" s="405" t="s">
        <v>319</v>
      </c>
    </row>
    <row r="5828" spans="1:21" x14ac:dyDescent="0.25">
      <c r="A5828" s="405" t="s">
        <v>310</v>
      </c>
      <c r="B5828" s="405" t="s">
        <v>4450</v>
      </c>
      <c r="C5828" s="405" t="s">
        <v>327</v>
      </c>
      <c r="D5828" s="405"/>
      <c r="E5828" s="410">
        <v>41486</v>
      </c>
      <c r="F5828" s="410">
        <v>41531</v>
      </c>
      <c r="G5828" s="405" t="s">
        <v>4451</v>
      </c>
      <c r="H5828" s="405">
        <v>773394689</v>
      </c>
      <c r="I5828" s="405"/>
      <c r="J5828" s="405">
        <v>0.4373263</v>
      </c>
      <c r="K5828" s="405">
        <v>32.580264700000001</v>
      </c>
      <c r="L5828" s="405" t="s">
        <v>314</v>
      </c>
      <c r="M5828" s="405" t="s">
        <v>361</v>
      </c>
      <c r="N5828" s="405" t="s">
        <v>362</v>
      </c>
      <c r="O5828" s="405" t="s">
        <v>418</v>
      </c>
      <c r="P5828" s="405" t="s">
        <v>4452</v>
      </c>
      <c r="Q5828" s="411">
        <v>6</v>
      </c>
      <c r="R5828" s="405" t="s">
        <v>318</v>
      </c>
      <c r="S5828" s="405" t="s">
        <v>27137</v>
      </c>
      <c r="T5828" s="405" t="s">
        <v>32102</v>
      </c>
      <c r="U5828" s="405" t="s">
        <v>319</v>
      </c>
    </row>
    <row r="5829" spans="1:21" x14ac:dyDescent="0.25">
      <c r="A5829" s="405" t="s">
        <v>310</v>
      </c>
      <c r="B5829" s="405" t="s">
        <v>12750</v>
      </c>
      <c r="C5829" s="405" t="s">
        <v>327</v>
      </c>
      <c r="D5829" s="405"/>
      <c r="E5829" s="410">
        <v>41486</v>
      </c>
      <c r="F5829" s="410">
        <v>41531</v>
      </c>
      <c r="G5829" s="405" t="s">
        <v>12751</v>
      </c>
      <c r="H5829" s="405">
        <v>777065693</v>
      </c>
      <c r="I5829" s="405"/>
      <c r="J5829" s="405">
        <v>0.73323300000000002</v>
      </c>
      <c r="K5829" s="405">
        <v>33.935231000000002</v>
      </c>
      <c r="L5829" s="405" t="s">
        <v>6866</v>
      </c>
      <c r="M5829" s="405" t="s">
        <v>9534</v>
      </c>
      <c r="N5829" s="405" t="s">
        <v>9997</v>
      </c>
      <c r="O5829" s="405" t="s">
        <v>10918</v>
      </c>
      <c r="P5829" s="405" t="s">
        <v>12752</v>
      </c>
      <c r="Q5829" s="411">
        <v>6</v>
      </c>
      <c r="R5829" s="405" t="s">
        <v>7224</v>
      </c>
      <c r="S5829" s="405" t="s">
        <v>27190</v>
      </c>
      <c r="T5829" s="405" t="s">
        <v>32102</v>
      </c>
      <c r="U5829" s="405" t="s">
        <v>319</v>
      </c>
    </row>
    <row r="5830" spans="1:21" x14ac:dyDescent="0.25">
      <c r="A5830" s="405" t="s">
        <v>310</v>
      </c>
      <c r="B5830" s="405" t="s">
        <v>12760</v>
      </c>
      <c r="C5830" s="405" t="s">
        <v>327</v>
      </c>
      <c r="D5830" s="405"/>
      <c r="E5830" s="410">
        <v>41486</v>
      </c>
      <c r="F5830" s="410">
        <v>41531</v>
      </c>
      <c r="G5830" s="405" t="s">
        <v>12761</v>
      </c>
      <c r="H5830" s="405">
        <v>782717551</v>
      </c>
      <c r="I5830" s="405"/>
      <c r="J5830" s="405">
        <v>0.72782800000000003</v>
      </c>
      <c r="K5830" s="405">
        <v>33.927967000000002</v>
      </c>
      <c r="L5830" s="405" t="s">
        <v>6866</v>
      </c>
      <c r="M5830" s="405" t="s">
        <v>9534</v>
      </c>
      <c r="N5830" s="405" t="s">
        <v>9997</v>
      </c>
      <c r="O5830" s="405" t="s">
        <v>10918</v>
      </c>
      <c r="P5830" s="405" t="s">
        <v>12762</v>
      </c>
      <c r="Q5830" s="411">
        <v>6</v>
      </c>
      <c r="R5830" s="405" t="s">
        <v>7224</v>
      </c>
      <c r="S5830" s="405" t="s">
        <v>27074</v>
      </c>
      <c r="T5830" s="405" t="s">
        <v>32102</v>
      </c>
      <c r="U5830" s="405" t="s">
        <v>319</v>
      </c>
    </row>
    <row r="5831" spans="1:21" x14ac:dyDescent="0.25">
      <c r="A5831" s="405" t="s">
        <v>310</v>
      </c>
      <c r="B5831" s="405" t="s">
        <v>12789</v>
      </c>
      <c r="C5831" s="405" t="s">
        <v>327</v>
      </c>
      <c r="D5831" s="405"/>
      <c r="E5831" s="410">
        <v>41486</v>
      </c>
      <c r="F5831" s="410">
        <v>41531</v>
      </c>
      <c r="G5831" s="405" t="s">
        <v>12790</v>
      </c>
      <c r="H5831" s="405">
        <v>787462434</v>
      </c>
      <c r="I5831" s="405"/>
      <c r="J5831" s="405">
        <v>1.0104169999999999</v>
      </c>
      <c r="K5831" s="405">
        <v>34.072980999999999</v>
      </c>
      <c r="L5831" s="405" t="s">
        <v>6866</v>
      </c>
      <c r="M5831" s="405" t="s">
        <v>9566</v>
      </c>
      <c r="N5831" s="405" t="s">
        <v>10001</v>
      </c>
      <c r="O5831" s="405" t="s">
        <v>11178</v>
      </c>
      <c r="P5831" s="405" t="s">
        <v>12791</v>
      </c>
      <c r="Q5831" s="411">
        <v>6</v>
      </c>
      <c r="R5831" s="405" t="s">
        <v>9506</v>
      </c>
      <c r="S5831" s="405" t="s">
        <v>27335</v>
      </c>
      <c r="T5831" s="405" t="s">
        <v>32102</v>
      </c>
      <c r="U5831" s="405" t="s">
        <v>319</v>
      </c>
    </row>
    <row r="5832" spans="1:21" x14ac:dyDescent="0.25">
      <c r="A5832" s="405" t="s">
        <v>310</v>
      </c>
      <c r="B5832" s="405" t="s">
        <v>4370</v>
      </c>
      <c r="C5832" s="405" t="s">
        <v>327</v>
      </c>
      <c r="D5832" s="405"/>
      <c r="E5832" s="410">
        <v>41486</v>
      </c>
      <c r="F5832" s="410">
        <v>41531</v>
      </c>
      <c r="G5832" s="405" t="s">
        <v>4371</v>
      </c>
      <c r="H5832" s="405">
        <v>772379281</v>
      </c>
      <c r="I5832" s="405"/>
      <c r="J5832" s="405">
        <v>0.73924699999999999</v>
      </c>
      <c r="K5832" s="405">
        <v>32.518863000000003</v>
      </c>
      <c r="L5832" s="405" t="s">
        <v>314</v>
      </c>
      <c r="M5832" s="405" t="s">
        <v>959</v>
      </c>
      <c r="N5832" s="405" t="s">
        <v>1094</v>
      </c>
      <c r="O5832" s="405" t="s">
        <v>1094</v>
      </c>
      <c r="P5832" s="405" t="s">
        <v>2681</v>
      </c>
      <c r="Q5832" s="411">
        <v>6</v>
      </c>
      <c r="R5832" s="405" t="s">
        <v>1263</v>
      </c>
      <c r="S5832" s="405" t="s">
        <v>27231</v>
      </c>
      <c r="T5832" s="405" t="s">
        <v>32102</v>
      </c>
      <c r="U5832" s="405" t="s">
        <v>319</v>
      </c>
    </row>
    <row r="5833" spans="1:21" x14ac:dyDescent="0.25">
      <c r="A5833" s="405" t="s">
        <v>310</v>
      </c>
      <c r="B5833" s="405" t="s">
        <v>4469</v>
      </c>
      <c r="C5833" s="405" t="s">
        <v>327</v>
      </c>
      <c r="D5833" s="405"/>
      <c r="E5833" s="410">
        <v>41486</v>
      </c>
      <c r="F5833" s="410">
        <v>41531</v>
      </c>
      <c r="G5833" s="405" t="s">
        <v>4470</v>
      </c>
      <c r="H5833" s="405">
        <v>712854660</v>
      </c>
      <c r="I5833" s="405"/>
      <c r="J5833" s="405">
        <v>0.40431166666666668</v>
      </c>
      <c r="K5833" s="405">
        <v>32.544211666666669</v>
      </c>
      <c r="L5833" s="405" t="s">
        <v>314</v>
      </c>
      <c r="M5833" s="405" t="s">
        <v>361</v>
      </c>
      <c r="N5833" s="405" t="s">
        <v>362</v>
      </c>
      <c r="O5833" s="405" t="s">
        <v>4268</v>
      </c>
      <c r="P5833" s="405" t="s">
        <v>542</v>
      </c>
      <c r="Q5833" s="411">
        <v>6</v>
      </c>
      <c r="R5833" s="405" t="s">
        <v>1263</v>
      </c>
      <c r="S5833" s="405" t="s">
        <v>27228</v>
      </c>
      <c r="T5833" s="405" t="s">
        <v>32102</v>
      </c>
      <c r="U5833" s="405" t="s">
        <v>319</v>
      </c>
    </row>
    <row r="5834" spans="1:21" x14ac:dyDescent="0.25">
      <c r="A5834" s="405" t="s">
        <v>310</v>
      </c>
      <c r="B5834" s="405" t="s">
        <v>4367</v>
      </c>
      <c r="C5834" s="405" t="s">
        <v>327</v>
      </c>
      <c r="D5834" s="405"/>
      <c r="E5834" s="410">
        <v>41486</v>
      </c>
      <c r="F5834" s="410">
        <v>41531</v>
      </c>
      <c r="G5834" s="405" t="s">
        <v>4368</v>
      </c>
      <c r="H5834" s="405">
        <v>782954967</v>
      </c>
      <c r="I5834" s="405"/>
      <c r="J5834" s="405">
        <v>0.69994500000000004</v>
      </c>
      <c r="K5834" s="405">
        <v>32.514443</v>
      </c>
      <c r="L5834" s="405" t="s">
        <v>314</v>
      </c>
      <c r="M5834" s="405" t="s">
        <v>959</v>
      </c>
      <c r="N5834" s="405" t="s">
        <v>1094</v>
      </c>
      <c r="O5834" s="405" t="s">
        <v>1094</v>
      </c>
      <c r="P5834" s="405" t="s">
        <v>4369</v>
      </c>
      <c r="Q5834" s="411">
        <v>4</v>
      </c>
      <c r="R5834" s="405" t="s">
        <v>1263</v>
      </c>
      <c r="S5834" s="405" t="s">
        <v>27231</v>
      </c>
      <c r="T5834" s="405" t="s">
        <v>32102</v>
      </c>
      <c r="U5834" s="405" t="s">
        <v>319</v>
      </c>
    </row>
    <row r="5835" spans="1:21" x14ac:dyDescent="0.25">
      <c r="A5835" s="405" t="s">
        <v>310</v>
      </c>
      <c r="B5835" s="405" t="s">
        <v>12877</v>
      </c>
      <c r="C5835" s="405" t="s">
        <v>327</v>
      </c>
      <c r="D5835" s="405"/>
      <c r="E5835" s="410">
        <v>41486</v>
      </c>
      <c r="F5835" s="410">
        <v>41531</v>
      </c>
      <c r="G5835" s="405" t="s">
        <v>12878</v>
      </c>
      <c r="H5835" s="405">
        <v>774904975</v>
      </c>
      <c r="I5835" s="405"/>
      <c r="J5835" s="405">
        <v>0.84890100000000002</v>
      </c>
      <c r="K5835" s="405">
        <v>34.379376999999998</v>
      </c>
      <c r="L5835" s="405" t="s">
        <v>6866</v>
      </c>
      <c r="M5835" s="405" t="s">
        <v>9763</v>
      </c>
      <c r="N5835" s="405" t="s">
        <v>11470</v>
      </c>
      <c r="O5835" s="405" t="s">
        <v>11471</v>
      </c>
      <c r="P5835" s="405" t="s">
        <v>12879</v>
      </c>
      <c r="Q5835" s="411">
        <v>4</v>
      </c>
      <c r="R5835" s="405" t="s">
        <v>7224</v>
      </c>
      <c r="S5835" s="405" t="s">
        <v>27298</v>
      </c>
      <c r="T5835" s="405" t="s">
        <v>32102</v>
      </c>
      <c r="U5835" s="405" t="s">
        <v>319</v>
      </c>
    </row>
    <row r="5836" spans="1:21" x14ac:dyDescent="0.25">
      <c r="A5836" s="405" t="s">
        <v>310</v>
      </c>
      <c r="B5836" s="405" t="s">
        <v>4408</v>
      </c>
      <c r="C5836" s="405" t="s">
        <v>327</v>
      </c>
      <c r="D5836" s="405"/>
      <c r="E5836" s="410">
        <v>41486</v>
      </c>
      <c r="F5836" s="410">
        <v>41531</v>
      </c>
      <c r="G5836" s="405" t="s">
        <v>4409</v>
      </c>
      <c r="H5836" s="405">
        <v>784291147</v>
      </c>
      <c r="I5836" s="405"/>
      <c r="J5836" s="405">
        <v>0.29777199999999998</v>
      </c>
      <c r="K5836" s="405">
        <v>32.861719999999998</v>
      </c>
      <c r="L5836" s="405" t="s">
        <v>314</v>
      </c>
      <c r="M5836" s="405" t="s">
        <v>329</v>
      </c>
      <c r="N5836" s="405" t="s">
        <v>803</v>
      </c>
      <c r="O5836" s="405" t="s">
        <v>4410</v>
      </c>
      <c r="P5836" s="405" t="s">
        <v>4411</v>
      </c>
      <c r="Q5836" s="411">
        <v>4</v>
      </c>
      <c r="R5836" s="405" t="s">
        <v>1263</v>
      </c>
      <c r="S5836" s="405" t="s">
        <v>27208</v>
      </c>
      <c r="T5836" s="405" t="s">
        <v>32102</v>
      </c>
      <c r="U5836" s="405" t="s">
        <v>319</v>
      </c>
    </row>
    <row r="5837" spans="1:21" x14ac:dyDescent="0.25">
      <c r="A5837" s="405" t="s">
        <v>310</v>
      </c>
      <c r="B5837" s="405" t="s">
        <v>4372</v>
      </c>
      <c r="C5837" s="405" t="s">
        <v>327</v>
      </c>
      <c r="D5837" s="405"/>
      <c r="E5837" s="410">
        <v>41486</v>
      </c>
      <c r="F5837" s="410">
        <v>41531</v>
      </c>
      <c r="G5837" s="405" t="s">
        <v>4373</v>
      </c>
      <c r="H5837" s="405">
        <v>783655353</v>
      </c>
      <c r="I5837" s="405">
        <v>783653535</v>
      </c>
      <c r="J5837" s="405">
        <v>0.73736699999999999</v>
      </c>
      <c r="K5837" s="405">
        <v>32.536982999999999</v>
      </c>
      <c r="L5837" s="405" t="s">
        <v>314</v>
      </c>
      <c r="M5837" s="405" t="s">
        <v>959</v>
      </c>
      <c r="N5837" s="405" t="s">
        <v>1094</v>
      </c>
      <c r="O5837" s="405" t="s">
        <v>1094</v>
      </c>
      <c r="P5837" s="405" t="s">
        <v>4374</v>
      </c>
      <c r="Q5837" s="411">
        <v>4</v>
      </c>
      <c r="R5837" s="405" t="s">
        <v>1263</v>
      </c>
      <c r="S5837" s="405" t="s">
        <v>27231</v>
      </c>
      <c r="T5837" s="405" t="s">
        <v>32102</v>
      </c>
      <c r="U5837" s="405" t="s">
        <v>319</v>
      </c>
    </row>
    <row r="5838" spans="1:21" x14ac:dyDescent="0.25">
      <c r="A5838" s="405" t="s">
        <v>310</v>
      </c>
      <c r="B5838" s="405" t="s">
        <v>4936</v>
      </c>
      <c r="C5838" s="405" t="s">
        <v>311</v>
      </c>
      <c r="D5838" s="405" t="s">
        <v>932</v>
      </c>
      <c r="E5838" s="410">
        <v>41486</v>
      </c>
      <c r="F5838" s="410">
        <v>41531</v>
      </c>
      <c r="G5838" s="405" t="s">
        <v>4937</v>
      </c>
      <c r="H5838" s="405">
        <v>704025795</v>
      </c>
      <c r="I5838" s="405"/>
      <c r="J5838" s="405">
        <v>0.26025500000000001</v>
      </c>
      <c r="K5838" s="405">
        <v>32.528261999999998</v>
      </c>
      <c r="L5838" s="405" t="s">
        <v>314</v>
      </c>
      <c r="M5838" s="405" t="s">
        <v>361</v>
      </c>
      <c r="N5838" s="405" t="s">
        <v>362</v>
      </c>
      <c r="O5838" s="405" t="s">
        <v>618</v>
      </c>
      <c r="P5838" s="405" t="s">
        <v>4938</v>
      </c>
      <c r="Q5838" s="411">
        <v>4</v>
      </c>
      <c r="R5838" s="405" t="s">
        <v>353</v>
      </c>
      <c r="S5838" s="405" t="s">
        <v>27153</v>
      </c>
      <c r="T5838" s="405" t="s">
        <v>32102</v>
      </c>
      <c r="U5838" s="405" t="s">
        <v>319</v>
      </c>
    </row>
    <row r="5839" spans="1:21" x14ac:dyDescent="0.25">
      <c r="A5839" s="405" t="s">
        <v>310</v>
      </c>
      <c r="B5839" s="405" t="s">
        <v>4466</v>
      </c>
      <c r="C5839" s="405" t="s">
        <v>327</v>
      </c>
      <c r="D5839" s="405"/>
      <c r="E5839" s="410">
        <v>41485</v>
      </c>
      <c r="F5839" s="410">
        <v>41530</v>
      </c>
      <c r="G5839" s="405" t="s">
        <v>4467</v>
      </c>
      <c r="H5839" s="405">
        <v>772668733</v>
      </c>
      <c r="I5839" s="405"/>
      <c r="J5839" s="405">
        <v>0.21356</v>
      </c>
      <c r="K5839" s="405">
        <v>32.555948000000001</v>
      </c>
      <c r="L5839" s="405" t="s">
        <v>314</v>
      </c>
      <c r="M5839" s="405" t="s">
        <v>361</v>
      </c>
      <c r="N5839" s="405" t="s">
        <v>362</v>
      </c>
      <c r="O5839" s="405" t="s">
        <v>618</v>
      </c>
      <c r="P5839" s="405" t="s">
        <v>4468</v>
      </c>
      <c r="Q5839" s="411">
        <v>9</v>
      </c>
      <c r="R5839" s="405" t="s">
        <v>525</v>
      </c>
      <c r="S5839" s="405" t="s">
        <v>27225</v>
      </c>
      <c r="T5839" s="405" t="s">
        <v>32102</v>
      </c>
      <c r="U5839" s="405" t="s">
        <v>319</v>
      </c>
    </row>
    <row r="5840" spans="1:21" x14ac:dyDescent="0.25">
      <c r="A5840" s="405" t="s">
        <v>310</v>
      </c>
      <c r="B5840" s="405" t="s">
        <v>4791</v>
      </c>
      <c r="C5840" s="405" t="s">
        <v>327</v>
      </c>
      <c r="D5840" s="405"/>
      <c r="E5840" s="410">
        <v>41485</v>
      </c>
      <c r="F5840" s="410">
        <v>41530</v>
      </c>
      <c r="G5840" s="405" t="s">
        <v>4792</v>
      </c>
      <c r="H5840" s="405">
        <v>772413805</v>
      </c>
      <c r="I5840" s="405"/>
      <c r="J5840" s="405">
        <v>0.57089199999999996</v>
      </c>
      <c r="K5840" s="405">
        <v>31.424676999999999</v>
      </c>
      <c r="L5840" s="405" t="s">
        <v>314</v>
      </c>
      <c r="M5840" s="405" t="s">
        <v>445</v>
      </c>
      <c r="N5840" s="405" t="s">
        <v>2957</v>
      </c>
      <c r="O5840" s="405" t="s">
        <v>4793</v>
      </c>
      <c r="P5840" s="405" t="s">
        <v>4794</v>
      </c>
      <c r="Q5840" s="411">
        <v>9</v>
      </c>
      <c r="R5840" s="405" t="s">
        <v>32476</v>
      </c>
      <c r="S5840" s="405" t="s">
        <v>27133</v>
      </c>
      <c r="T5840" s="405" t="s">
        <v>32102</v>
      </c>
      <c r="U5840" s="405" t="s">
        <v>319</v>
      </c>
    </row>
    <row r="5841" spans="1:21" x14ac:dyDescent="0.25">
      <c r="A5841" s="405" t="s">
        <v>310</v>
      </c>
      <c r="B5841" s="405" t="s">
        <v>12797</v>
      </c>
      <c r="C5841" s="405" t="s">
        <v>327</v>
      </c>
      <c r="D5841" s="405"/>
      <c r="E5841" s="410">
        <v>41485</v>
      </c>
      <c r="F5841" s="410">
        <v>41530</v>
      </c>
      <c r="G5841" s="405" t="s">
        <v>12798</v>
      </c>
      <c r="H5841" s="405">
        <v>772878983</v>
      </c>
      <c r="I5841" s="405"/>
      <c r="J5841" s="405">
        <v>1.497093</v>
      </c>
      <c r="K5841" s="405">
        <v>33.991700000000002</v>
      </c>
      <c r="L5841" s="405" t="s">
        <v>6866</v>
      </c>
      <c r="M5841" s="405" t="s">
        <v>10029</v>
      </c>
      <c r="N5841" s="405" t="s">
        <v>10029</v>
      </c>
      <c r="O5841" s="405" t="s">
        <v>10435</v>
      </c>
      <c r="P5841" s="405" t="s">
        <v>12248</v>
      </c>
      <c r="Q5841" s="411">
        <v>6</v>
      </c>
      <c r="R5841" s="405" t="s">
        <v>9541</v>
      </c>
      <c r="S5841" s="405" t="s">
        <v>27086</v>
      </c>
      <c r="T5841" s="405" t="s">
        <v>32102</v>
      </c>
      <c r="U5841" s="405" t="s">
        <v>319</v>
      </c>
    </row>
    <row r="5842" spans="1:21" x14ac:dyDescent="0.25">
      <c r="A5842" s="405" t="s">
        <v>310</v>
      </c>
      <c r="B5842" s="405" t="s">
        <v>12847</v>
      </c>
      <c r="C5842" s="405" t="s">
        <v>327</v>
      </c>
      <c r="D5842" s="405"/>
      <c r="E5842" s="410">
        <v>41485</v>
      </c>
      <c r="F5842" s="410">
        <v>41530</v>
      </c>
      <c r="G5842" s="405" t="s">
        <v>12848</v>
      </c>
      <c r="H5842" s="405">
        <v>784678932</v>
      </c>
      <c r="I5842" s="405"/>
      <c r="J5842" s="405">
        <v>0.95699999999999996</v>
      </c>
      <c r="K5842" s="405">
        <v>34.007102000000003</v>
      </c>
      <c r="L5842" s="405" t="s">
        <v>6866</v>
      </c>
      <c r="M5842" s="405" t="s">
        <v>9566</v>
      </c>
      <c r="N5842" s="405" t="s">
        <v>9931</v>
      </c>
      <c r="O5842" s="405" t="s">
        <v>9932</v>
      </c>
      <c r="P5842" s="405" t="s">
        <v>11526</v>
      </c>
      <c r="Q5842" s="411">
        <v>6</v>
      </c>
      <c r="R5842" s="405" t="s">
        <v>9506</v>
      </c>
      <c r="S5842" s="405" t="s">
        <v>27335</v>
      </c>
      <c r="T5842" s="405" t="s">
        <v>32102</v>
      </c>
      <c r="U5842" s="405" t="s">
        <v>319</v>
      </c>
    </row>
    <row r="5843" spans="1:21" x14ac:dyDescent="0.25">
      <c r="A5843" s="405" t="s">
        <v>310</v>
      </c>
      <c r="B5843" s="405" t="s">
        <v>12745</v>
      </c>
      <c r="C5843" s="405" t="s">
        <v>327</v>
      </c>
      <c r="D5843" s="405"/>
      <c r="E5843" s="410">
        <v>41484</v>
      </c>
      <c r="F5843" s="410">
        <v>41529</v>
      </c>
      <c r="G5843" s="405" t="s">
        <v>12746</v>
      </c>
      <c r="H5843" s="405">
        <v>777403015</v>
      </c>
      <c r="I5843" s="405"/>
      <c r="J5843" s="405">
        <v>0.70043200000000005</v>
      </c>
      <c r="K5843" s="405">
        <v>33.958809000000002</v>
      </c>
      <c r="L5843" s="405" t="s">
        <v>6866</v>
      </c>
      <c r="M5843" s="405" t="s">
        <v>9534</v>
      </c>
      <c r="N5843" s="405" t="s">
        <v>9997</v>
      </c>
      <c r="O5843" s="405" t="s">
        <v>10918</v>
      </c>
      <c r="P5843" s="405" t="s">
        <v>12747</v>
      </c>
      <c r="Q5843" s="411">
        <v>6</v>
      </c>
      <c r="R5843" s="405" t="s">
        <v>7224</v>
      </c>
      <c r="S5843" s="405" t="s">
        <v>27283</v>
      </c>
      <c r="T5843" s="405" t="s">
        <v>32102</v>
      </c>
      <c r="U5843" s="405" t="s">
        <v>319</v>
      </c>
    </row>
    <row r="5844" spans="1:21" x14ac:dyDescent="0.25">
      <c r="A5844" s="405" t="s">
        <v>310</v>
      </c>
      <c r="B5844" s="405" t="s">
        <v>18731</v>
      </c>
      <c r="C5844" s="405" t="s">
        <v>327</v>
      </c>
      <c r="D5844" s="405"/>
      <c r="E5844" s="410">
        <v>41484</v>
      </c>
      <c r="F5844" s="410">
        <v>41529</v>
      </c>
      <c r="G5844" s="405" t="s">
        <v>18732</v>
      </c>
      <c r="H5844" s="405">
        <v>779284459</v>
      </c>
      <c r="I5844" s="405"/>
      <c r="J5844" s="405">
        <v>2.4050600000000002</v>
      </c>
      <c r="K5844" s="405">
        <v>32.741194</v>
      </c>
      <c r="L5844" s="405" t="s">
        <v>860</v>
      </c>
      <c r="M5844" s="405" t="s">
        <v>18288</v>
      </c>
      <c r="N5844" s="405" t="s">
        <v>18681</v>
      </c>
      <c r="O5844" s="405" t="s">
        <v>18681</v>
      </c>
      <c r="P5844" s="405" t="s">
        <v>18733</v>
      </c>
      <c r="Q5844" s="411">
        <v>6</v>
      </c>
      <c r="R5844" s="405" t="s">
        <v>525</v>
      </c>
      <c r="S5844" s="405" t="s">
        <v>27264</v>
      </c>
      <c r="T5844" s="405" t="s">
        <v>32102</v>
      </c>
      <c r="U5844" s="405" t="s">
        <v>319</v>
      </c>
    </row>
    <row r="5845" spans="1:21" x14ac:dyDescent="0.25">
      <c r="A5845" s="405" t="s">
        <v>310</v>
      </c>
      <c r="B5845" s="405" t="s">
        <v>4425</v>
      </c>
      <c r="C5845" s="405" t="s">
        <v>327</v>
      </c>
      <c r="D5845" s="405"/>
      <c r="E5845" s="410">
        <v>41483</v>
      </c>
      <c r="F5845" s="410">
        <v>41528</v>
      </c>
      <c r="G5845" s="405" t="s">
        <v>4426</v>
      </c>
      <c r="H5845" s="405">
        <v>754843475</v>
      </c>
      <c r="I5845" s="405"/>
      <c r="J5845" s="405">
        <v>0.49354700000000001</v>
      </c>
      <c r="K5845" s="405">
        <v>31.369757</v>
      </c>
      <c r="L5845" s="405" t="s">
        <v>314</v>
      </c>
      <c r="M5845" s="405" t="s">
        <v>445</v>
      </c>
      <c r="N5845" s="405" t="s">
        <v>446</v>
      </c>
      <c r="O5845" s="405" t="s">
        <v>3235</v>
      </c>
      <c r="P5845" s="405" t="s">
        <v>4427</v>
      </c>
      <c r="Q5845" s="411">
        <v>9</v>
      </c>
      <c r="R5845" s="405" t="s">
        <v>1263</v>
      </c>
      <c r="S5845" s="405" t="s">
        <v>27211</v>
      </c>
      <c r="T5845" s="405" t="s">
        <v>32102</v>
      </c>
      <c r="U5845" s="405" t="s">
        <v>319</v>
      </c>
    </row>
    <row r="5846" spans="1:21" x14ac:dyDescent="0.25">
      <c r="A5846" s="405" t="s">
        <v>310</v>
      </c>
      <c r="B5846" s="405" t="s">
        <v>28718</v>
      </c>
      <c r="C5846" s="405" t="s">
        <v>327</v>
      </c>
      <c r="D5846" s="405"/>
      <c r="E5846" s="410">
        <v>41483</v>
      </c>
      <c r="F5846" s="410">
        <v>41528</v>
      </c>
      <c r="G5846" s="405" t="s">
        <v>12743</v>
      </c>
      <c r="H5846" s="405">
        <v>775693060</v>
      </c>
      <c r="I5846" s="405"/>
      <c r="J5846" s="405">
        <v>0.68889100000000003</v>
      </c>
      <c r="K5846" s="405">
        <v>33.982472999999999</v>
      </c>
      <c r="L5846" s="405" t="s">
        <v>6866</v>
      </c>
      <c r="M5846" s="405" t="s">
        <v>9534</v>
      </c>
      <c r="N5846" s="405" t="s">
        <v>9997</v>
      </c>
      <c r="O5846" s="405" t="s">
        <v>10918</v>
      </c>
      <c r="P5846" s="405" t="s">
        <v>12744</v>
      </c>
      <c r="Q5846" s="411">
        <v>6</v>
      </c>
      <c r="R5846" s="405" t="s">
        <v>7224</v>
      </c>
      <c r="S5846" s="405" t="s">
        <v>27204</v>
      </c>
      <c r="T5846" s="405" t="s">
        <v>32102</v>
      </c>
      <c r="U5846" s="405" t="s">
        <v>319</v>
      </c>
    </row>
    <row r="5847" spans="1:21" x14ac:dyDescent="0.25">
      <c r="A5847" s="405" t="s">
        <v>310</v>
      </c>
      <c r="B5847" s="405" t="s">
        <v>29016</v>
      </c>
      <c r="C5847" s="405" t="s">
        <v>327</v>
      </c>
      <c r="D5847" s="405"/>
      <c r="E5847" s="410">
        <v>41483</v>
      </c>
      <c r="F5847" s="410">
        <v>41528</v>
      </c>
      <c r="G5847" s="405" t="s">
        <v>12763</v>
      </c>
      <c r="H5847" s="405">
        <v>785502038</v>
      </c>
      <c r="I5847" s="405">
        <v>782706315</v>
      </c>
      <c r="J5847" s="405">
        <v>1.1317269999999999</v>
      </c>
      <c r="K5847" s="405">
        <v>34.205955000000003</v>
      </c>
      <c r="L5847" s="405" t="s">
        <v>6866</v>
      </c>
      <c r="M5847" s="405" t="s">
        <v>9514</v>
      </c>
      <c r="N5847" s="405" t="s">
        <v>9722</v>
      </c>
      <c r="O5847" s="405" t="s">
        <v>9530</v>
      </c>
      <c r="P5847" s="405" t="s">
        <v>12764</v>
      </c>
      <c r="Q5847" s="411">
        <v>6</v>
      </c>
      <c r="R5847" s="405" t="s">
        <v>7224</v>
      </c>
      <c r="S5847" s="405" t="s">
        <v>17062</v>
      </c>
      <c r="T5847" s="405" t="s">
        <v>32102</v>
      </c>
      <c r="U5847" s="405" t="s">
        <v>319</v>
      </c>
    </row>
    <row r="5848" spans="1:21" x14ac:dyDescent="0.25">
      <c r="A5848" s="405" t="s">
        <v>310</v>
      </c>
      <c r="B5848" s="405" t="s">
        <v>12777</v>
      </c>
      <c r="C5848" s="405" t="s">
        <v>327</v>
      </c>
      <c r="D5848" s="405"/>
      <c r="E5848" s="410">
        <v>41483</v>
      </c>
      <c r="F5848" s="410">
        <v>41528</v>
      </c>
      <c r="G5848" s="405" t="s">
        <v>12778</v>
      </c>
      <c r="H5848" s="405">
        <v>786687295</v>
      </c>
      <c r="I5848" s="405"/>
      <c r="J5848" s="405">
        <v>0.68819799999999998</v>
      </c>
      <c r="K5848" s="405">
        <v>33.977817999999999</v>
      </c>
      <c r="L5848" s="405" t="s">
        <v>6866</v>
      </c>
      <c r="M5848" s="405" t="s">
        <v>9534</v>
      </c>
      <c r="N5848" s="405" t="s">
        <v>9997</v>
      </c>
      <c r="O5848" s="405" t="s">
        <v>10918</v>
      </c>
      <c r="P5848" s="405" t="s">
        <v>12779</v>
      </c>
      <c r="Q5848" s="411">
        <v>6</v>
      </c>
      <c r="R5848" s="405" t="s">
        <v>7224</v>
      </c>
      <c r="S5848" s="405" t="s">
        <v>27259</v>
      </c>
      <c r="T5848" s="405" t="s">
        <v>32102</v>
      </c>
      <c r="U5848" s="405" t="s">
        <v>319</v>
      </c>
    </row>
    <row r="5849" spans="1:21" x14ac:dyDescent="0.25">
      <c r="A5849" s="405" t="s">
        <v>310</v>
      </c>
      <c r="B5849" s="405" t="s">
        <v>36</v>
      </c>
      <c r="C5849" s="405" t="s">
        <v>327</v>
      </c>
      <c r="D5849" s="405"/>
      <c r="E5849" s="410">
        <v>41483</v>
      </c>
      <c r="F5849" s="410">
        <v>41528</v>
      </c>
      <c r="G5849" s="405" t="s">
        <v>12784</v>
      </c>
      <c r="H5849" s="405">
        <v>752840286</v>
      </c>
      <c r="I5849" s="405"/>
      <c r="J5849" s="405">
        <v>0.80562599999999995</v>
      </c>
      <c r="K5849" s="405">
        <v>33.953468000000001</v>
      </c>
      <c r="L5849" s="405" t="s">
        <v>6866</v>
      </c>
      <c r="M5849" s="405" t="s">
        <v>9534</v>
      </c>
      <c r="N5849" s="405" t="s">
        <v>10085</v>
      </c>
      <c r="O5849" s="405" t="s">
        <v>10922</v>
      </c>
      <c r="P5849" s="405" t="s">
        <v>10923</v>
      </c>
      <c r="Q5849" s="411">
        <v>6</v>
      </c>
      <c r="R5849" s="405" t="s">
        <v>7224</v>
      </c>
      <c r="S5849" s="405" t="s">
        <v>27310</v>
      </c>
      <c r="T5849" s="405" t="s">
        <v>32102</v>
      </c>
      <c r="U5849" s="405" t="s">
        <v>319</v>
      </c>
    </row>
    <row r="5850" spans="1:21" x14ac:dyDescent="0.25">
      <c r="A5850" s="405" t="s">
        <v>310</v>
      </c>
      <c r="B5850" s="405" t="s">
        <v>4416</v>
      </c>
      <c r="C5850" s="405" t="s">
        <v>327</v>
      </c>
      <c r="D5850" s="405"/>
      <c r="E5850" s="410">
        <v>41483</v>
      </c>
      <c r="F5850" s="410">
        <v>41528</v>
      </c>
      <c r="G5850" s="405" t="s">
        <v>4417</v>
      </c>
      <c r="H5850" s="405">
        <v>701571200</v>
      </c>
      <c r="I5850" s="405"/>
      <c r="J5850" s="405">
        <v>0.49169099999999999</v>
      </c>
      <c r="K5850" s="405">
        <v>32.725724999999997</v>
      </c>
      <c r="L5850" s="405" t="s">
        <v>314</v>
      </c>
      <c r="M5850" s="405" t="s">
        <v>329</v>
      </c>
      <c r="N5850" s="405" t="s">
        <v>545</v>
      </c>
      <c r="O5850" s="405" t="s">
        <v>336</v>
      </c>
      <c r="P5850" s="405" t="s">
        <v>1867</v>
      </c>
      <c r="Q5850" s="411">
        <v>4</v>
      </c>
      <c r="R5850" s="405" t="s">
        <v>1263</v>
      </c>
      <c r="S5850" s="405" t="s">
        <v>27178</v>
      </c>
      <c r="T5850" s="405" t="s">
        <v>32102</v>
      </c>
      <c r="U5850" s="405" t="s">
        <v>319</v>
      </c>
    </row>
    <row r="5851" spans="1:21" x14ac:dyDescent="0.25">
      <c r="A5851" s="405" t="s">
        <v>310</v>
      </c>
      <c r="B5851" s="405" t="s">
        <v>28077</v>
      </c>
      <c r="C5851" s="405" t="s">
        <v>327</v>
      </c>
      <c r="D5851" s="405"/>
      <c r="E5851" s="410">
        <v>41482</v>
      </c>
      <c r="F5851" s="410">
        <v>41527</v>
      </c>
      <c r="G5851" s="405" t="s">
        <v>12840</v>
      </c>
      <c r="H5851" s="405">
        <v>775927897</v>
      </c>
      <c r="I5851" s="405"/>
      <c r="J5851" s="405">
        <v>0.97792100000000004</v>
      </c>
      <c r="K5851" s="405">
        <v>34.075558999999998</v>
      </c>
      <c r="L5851" s="405" t="s">
        <v>6866</v>
      </c>
      <c r="M5851" s="405" t="s">
        <v>9566</v>
      </c>
      <c r="N5851" s="405" t="s">
        <v>9931</v>
      </c>
      <c r="O5851" s="405" t="s">
        <v>9932</v>
      </c>
      <c r="P5851" s="405" t="s">
        <v>12841</v>
      </c>
      <c r="Q5851" s="411">
        <v>6</v>
      </c>
      <c r="R5851" s="405" t="s">
        <v>9541</v>
      </c>
      <c r="S5851" s="405" t="s">
        <v>27338</v>
      </c>
      <c r="T5851" s="405" t="s">
        <v>32102</v>
      </c>
      <c r="U5851" s="405" t="s">
        <v>319</v>
      </c>
    </row>
    <row r="5852" spans="1:21" x14ac:dyDescent="0.25">
      <c r="A5852" s="405" t="s">
        <v>310</v>
      </c>
      <c r="B5852" s="405" t="s">
        <v>12844</v>
      </c>
      <c r="C5852" s="405" t="s">
        <v>327</v>
      </c>
      <c r="D5852" s="405"/>
      <c r="E5852" s="410">
        <v>41482</v>
      </c>
      <c r="F5852" s="410">
        <v>41527</v>
      </c>
      <c r="G5852" s="405" t="s">
        <v>12845</v>
      </c>
      <c r="H5852" s="405">
        <v>780367010</v>
      </c>
      <c r="I5852" s="405"/>
      <c r="J5852" s="405">
        <v>0.95513199999999998</v>
      </c>
      <c r="K5852" s="405">
        <v>34.003633000000001</v>
      </c>
      <c r="L5852" s="405" t="s">
        <v>6866</v>
      </c>
      <c r="M5852" s="405" t="s">
        <v>9566</v>
      </c>
      <c r="N5852" s="405" t="s">
        <v>9931</v>
      </c>
      <c r="O5852" s="405" t="s">
        <v>9932</v>
      </c>
      <c r="P5852" s="405" t="s">
        <v>12846</v>
      </c>
      <c r="Q5852" s="411">
        <v>6</v>
      </c>
      <c r="R5852" s="405" t="s">
        <v>9541</v>
      </c>
      <c r="S5852" s="405" t="s">
        <v>27302</v>
      </c>
      <c r="T5852" s="405" t="s">
        <v>32102</v>
      </c>
      <c r="U5852" s="405" t="s">
        <v>319</v>
      </c>
    </row>
    <row r="5853" spans="1:21" x14ac:dyDescent="0.25">
      <c r="A5853" s="405" t="s">
        <v>310</v>
      </c>
      <c r="B5853" s="405" t="s">
        <v>12794</v>
      </c>
      <c r="C5853" s="405" t="s">
        <v>327</v>
      </c>
      <c r="D5853" s="405"/>
      <c r="E5853" s="410">
        <v>41482</v>
      </c>
      <c r="F5853" s="410">
        <v>41527</v>
      </c>
      <c r="G5853" s="405" t="s">
        <v>12795</v>
      </c>
      <c r="H5853" s="405">
        <v>779689071</v>
      </c>
      <c r="I5853" s="405"/>
      <c r="J5853" s="405">
        <v>1.697508</v>
      </c>
      <c r="K5853" s="405">
        <v>33.651772999999999</v>
      </c>
      <c r="L5853" s="405" t="s">
        <v>6866</v>
      </c>
      <c r="M5853" s="405" t="s">
        <v>10515</v>
      </c>
      <c r="N5853" s="405" t="s">
        <v>10515</v>
      </c>
      <c r="O5853" s="405" t="s">
        <v>10515</v>
      </c>
      <c r="P5853" s="405" t="s">
        <v>12796</v>
      </c>
      <c r="Q5853" s="411">
        <v>6</v>
      </c>
      <c r="R5853" s="405" t="s">
        <v>5655</v>
      </c>
      <c r="S5853" s="405" t="s">
        <v>27324</v>
      </c>
      <c r="T5853" s="405" t="s">
        <v>32102</v>
      </c>
      <c r="U5853" s="405" t="s">
        <v>319</v>
      </c>
    </row>
    <row r="5854" spans="1:21" x14ac:dyDescent="0.25">
      <c r="A5854" s="405" t="s">
        <v>310</v>
      </c>
      <c r="B5854" s="405" t="s">
        <v>18728</v>
      </c>
      <c r="C5854" s="405" t="s">
        <v>327</v>
      </c>
      <c r="D5854" s="405"/>
      <c r="E5854" s="410">
        <v>41482</v>
      </c>
      <c r="F5854" s="410">
        <v>41527</v>
      </c>
      <c r="G5854" s="405" t="s">
        <v>18729</v>
      </c>
      <c r="H5854" s="405">
        <v>772833323</v>
      </c>
      <c r="I5854" s="405">
        <v>715240898</v>
      </c>
      <c r="J5854" s="405">
        <v>2.0338609999999999</v>
      </c>
      <c r="K5854" s="405">
        <v>33.207649000000004</v>
      </c>
      <c r="L5854" s="405" t="s">
        <v>860</v>
      </c>
      <c r="M5854" s="405" t="s">
        <v>12189</v>
      </c>
      <c r="N5854" s="405" t="s">
        <v>18270</v>
      </c>
      <c r="O5854" s="405" t="s">
        <v>18295</v>
      </c>
      <c r="P5854" s="405" t="s">
        <v>18730</v>
      </c>
      <c r="Q5854" s="411">
        <v>6</v>
      </c>
      <c r="R5854" s="405" t="s">
        <v>318</v>
      </c>
      <c r="S5854" s="405" t="s">
        <v>27343</v>
      </c>
      <c r="T5854" s="405" t="s">
        <v>32102</v>
      </c>
      <c r="U5854" s="405" t="s">
        <v>319</v>
      </c>
    </row>
    <row r="5855" spans="1:21" x14ac:dyDescent="0.25">
      <c r="A5855" s="405" t="s">
        <v>310</v>
      </c>
      <c r="B5855" s="405" t="s">
        <v>27958</v>
      </c>
      <c r="C5855" s="405" t="s">
        <v>327</v>
      </c>
      <c r="D5855" s="405"/>
      <c r="E5855" s="410">
        <v>41481</v>
      </c>
      <c r="F5855" s="410">
        <v>41526</v>
      </c>
      <c r="G5855" s="405" t="s">
        <v>21368</v>
      </c>
      <c r="H5855" s="405">
        <v>772581406</v>
      </c>
      <c r="I5855" s="405">
        <v>788656065</v>
      </c>
      <c r="J5855" s="405">
        <v>0.66841600000000001</v>
      </c>
      <c r="K5855" s="405">
        <v>30.223474</v>
      </c>
      <c r="L5855" s="405" t="s">
        <v>590</v>
      </c>
      <c r="M5855" s="405" t="s">
        <v>20125</v>
      </c>
      <c r="N5855" s="405" t="s">
        <v>20126</v>
      </c>
      <c r="O5855" s="405" t="s">
        <v>21369</v>
      </c>
      <c r="P5855" s="405" t="s">
        <v>21370</v>
      </c>
      <c r="Q5855" s="411">
        <v>13</v>
      </c>
      <c r="R5855" s="405" t="s">
        <v>883</v>
      </c>
      <c r="S5855" s="405" t="s">
        <v>27065</v>
      </c>
      <c r="T5855" s="405" t="s">
        <v>32102</v>
      </c>
      <c r="U5855" s="405" t="s">
        <v>319</v>
      </c>
    </row>
    <row r="5856" spans="1:21" x14ac:dyDescent="0.25">
      <c r="A5856" s="405" t="s">
        <v>310</v>
      </c>
      <c r="B5856" s="405" t="s">
        <v>28890</v>
      </c>
      <c r="C5856" s="405" t="s">
        <v>327</v>
      </c>
      <c r="D5856" s="405"/>
      <c r="E5856" s="410">
        <v>41481</v>
      </c>
      <c r="F5856" s="410">
        <v>41526</v>
      </c>
      <c r="G5856" s="405" t="s">
        <v>4448</v>
      </c>
      <c r="H5856" s="405">
        <v>781579904</v>
      </c>
      <c r="I5856" s="405"/>
      <c r="J5856" s="405">
        <v>1.277852</v>
      </c>
      <c r="K5856" s="405">
        <v>32.746737000000003</v>
      </c>
      <c r="L5856" s="405" t="s">
        <v>314</v>
      </c>
      <c r="M5856" s="405" t="s">
        <v>2512</v>
      </c>
      <c r="N5856" s="405" t="s">
        <v>2512</v>
      </c>
      <c r="O5856" s="405" t="s">
        <v>4225</v>
      </c>
      <c r="P5856" s="405" t="s">
        <v>4449</v>
      </c>
      <c r="Q5856" s="411">
        <v>9</v>
      </c>
      <c r="R5856" s="405" t="s">
        <v>32476</v>
      </c>
      <c r="S5856" s="405" t="s">
        <v>27185</v>
      </c>
      <c r="T5856" s="405" t="s">
        <v>32102</v>
      </c>
      <c r="U5856" s="405" t="s">
        <v>319</v>
      </c>
    </row>
    <row r="5857" spans="1:21" x14ac:dyDescent="0.25">
      <c r="A5857" s="405" t="s">
        <v>310</v>
      </c>
      <c r="B5857" s="405" t="s">
        <v>12898</v>
      </c>
      <c r="C5857" s="405" t="s">
        <v>327</v>
      </c>
      <c r="D5857" s="405"/>
      <c r="E5857" s="410">
        <v>41481</v>
      </c>
      <c r="F5857" s="410">
        <v>41526</v>
      </c>
      <c r="G5857" s="405" t="s">
        <v>12899</v>
      </c>
      <c r="H5857" s="405">
        <v>757061479</v>
      </c>
      <c r="I5857" s="405"/>
      <c r="J5857" s="405">
        <v>0.78263899999999997</v>
      </c>
      <c r="K5857" s="405">
        <v>33.930326000000001</v>
      </c>
      <c r="L5857" s="405" t="s">
        <v>6866</v>
      </c>
      <c r="M5857" s="405" t="s">
        <v>9534</v>
      </c>
      <c r="N5857" s="405" t="s">
        <v>11483</v>
      </c>
      <c r="O5857" s="405" t="s">
        <v>10922</v>
      </c>
      <c r="P5857" s="405" t="s">
        <v>12900</v>
      </c>
      <c r="Q5857" s="411">
        <v>6</v>
      </c>
      <c r="R5857" s="405" t="s">
        <v>9506</v>
      </c>
      <c r="S5857" s="405" t="s">
        <v>27169</v>
      </c>
      <c r="T5857" s="405" t="s">
        <v>32102</v>
      </c>
      <c r="U5857" s="405" t="s">
        <v>319</v>
      </c>
    </row>
    <row r="5858" spans="1:21" x14ac:dyDescent="0.25">
      <c r="A5858" s="405" t="s">
        <v>310</v>
      </c>
      <c r="B5858" s="405" t="s">
        <v>12830</v>
      </c>
      <c r="C5858" s="405" t="s">
        <v>327</v>
      </c>
      <c r="D5858" s="405"/>
      <c r="E5858" s="410">
        <v>41480</v>
      </c>
      <c r="F5858" s="410">
        <v>41525</v>
      </c>
      <c r="G5858" s="405" t="s">
        <v>12831</v>
      </c>
      <c r="H5858" s="405">
        <v>774439493</v>
      </c>
      <c r="I5858" s="405"/>
      <c r="J5858" s="405">
        <v>0.61554759999999997</v>
      </c>
      <c r="K5858" s="405">
        <v>33.4786225</v>
      </c>
      <c r="L5858" s="405" t="s">
        <v>6866</v>
      </c>
      <c r="M5858" s="405" t="s">
        <v>10853</v>
      </c>
      <c r="N5858" s="405" t="s">
        <v>12832</v>
      </c>
      <c r="O5858" s="405" t="s">
        <v>12832</v>
      </c>
      <c r="P5858" s="405" t="s">
        <v>12833</v>
      </c>
      <c r="Q5858" s="411">
        <v>9</v>
      </c>
      <c r="R5858" s="405" t="s">
        <v>318</v>
      </c>
      <c r="S5858" s="405" t="s">
        <v>27188</v>
      </c>
      <c r="T5858" s="405" t="s">
        <v>32102</v>
      </c>
      <c r="U5858" s="405" t="s">
        <v>319</v>
      </c>
    </row>
    <row r="5859" spans="1:21" x14ac:dyDescent="0.25">
      <c r="A5859" s="405" t="s">
        <v>310</v>
      </c>
      <c r="B5859" s="405" t="s">
        <v>28135</v>
      </c>
      <c r="C5859" s="405" t="s">
        <v>327</v>
      </c>
      <c r="D5859" s="405"/>
      <c r="E5859" s="410">
        <v>41480</v>
      </c>
      <c r="F5859" s="410">
        <v>41525</v>
      </c>
      <c r="G5859" s="405" t="s">
        <v>18725</v>
      </c>
      <c r="H5859" s="405">
        <v>777928347</v>
      </c>
      <c r="I5859" s="405"/>
      <c r="J5859" s="405">
        <v>2.2419088999999999</v>
      </c>
      <c r="K5859" s="405">
        <v>32.899192599999999</v>
      </c>
      <c r="L5859" s="405" t="s">
        <v>860</v>
      </c>
      <c r="M5859" s="405" t="s">
        <v>18234</v>
      </c>
      <c r="N5859" s="405" t="s">
        <v>18250</v>
      </c>
      <c r="O5859" s="405" t="s">
        <v>4147</v>
      </c>
      <c r="P5859" s="405" t="s">
        <v>18257</v>
      </c>
      <c r="Q5859" s="411">
        <v>6</v>
      </c>
      <c r="R5859" s="405" t="s">
        <v>994</v>
      </c>
      <c r="S5859" s="405" t="s">
        <v>27229</v>
      </c>
      <c r="T5859" s="405" t="s">
        <v>32102</v>
      </c>
      <c r="U5859" s="405" t="s">
        <v>319</v>
      </c>
    </row>
    <row r="5860" spans="1:21" x14ac:dyDescent="0.25">
      <c r="A5860" s="405" t="s">
        <v>310</v>
      </c>
      <c r="B5860" s="405" t="s">
        <v>28381</v>
      </c>
      <c r="C5860" s="405" t="s">
        <v>327</v>
      </c>
      <c r="D5860" s="405"/>
      <c r="E5860" s="410">
        <v>41480</v>
      </c>
      <c r="F5860" s="410">
        <v>41525</v>
      </c>
      <c r="G5860" s="405" t="s">
        <v>12871</v>
      </c>
      <c r="H5860" s="405">
        <v>772682040</v>
      </c>
      <c r="I5860" s="405"/>
      <c r="J5860" s="405">
        <v>0.61633389999999999</v>
      </c>
      <c r="K5860" s="405">
        <v>33.479194800000002</v>
      </c>
      <c r="L5860" s="405" t="s">
        <v>6866</v>
      </c>
      <c r="M5860" s="405" t="s">
        <v>9590</v>
      </c>
      <c r="N5860" s="405" t="s">
        <v>12872</v>
      </c>
      <c r="O5860" s="405" t="s">
        <v>12873</v>
      </c>
      <c r="P5860" s="405" t="s">
        <v>12874</v>
      </c>
      <c r="Q5860" s="411">
        <v>6</v>
      </c>
      <c r="R5860" s="405" t="s">
        <v>318</v>
      </c>
      <c r="S5860" s="405" t="s">
        <v>27106</v>
      </c>
      <c r="T5860" s="405" t="s">
        <v>32102</v>
      </c>
      <c r="U5860" s="405" t="s">
        <v>319</v>
      </c>
    </row>
    <row r="5861" spans="1:21" x14ac:dyDescent="0.25">
      <c r="A5861" s="405" t="s">
        <v>310</v>
      </c>
      <c r="B5861" s="405" t="s">
        <v>28708</v>
      </c>
      <c r="C5861" s="405" t="s">
        <v>311</v>
      </c>
      <c r="D5861" s="405" t="s">
        <v>1789</v>
      </c>
      <c r="E5861" s="410">
        <v>41479</v>
      </c>
      <c r="F5861" s="410">
        <v>41524</v>
      </c>
      <c r="G5861" s="405" t="s">
        <v>13136</v>
      </c>
      <c r="H5861" s="405">
        <v>789396278</v>
      </c>
      <c r="I5861" s="405"/>
      <c r="J5861" s="405">
        <v>0.71786499999999998</v>
      </c>
      <c r="K5861" s="405">
        <v>33.933069000000003</v>
      </c>
      <c r="L5861" s="405" t="s">
        <v>6866</v>
      </c>
      <c r="M5861" s="405" t="s">
        <v>9534</v>
      </c>
      <c r="N5861" s="405" t="s">
        <v>9997</v>
      </c>
      <c r="O5861" s="405" t="s">
        <v>10918</v>
      </c>
      <c r="P5861" s="405" t="s">
        <v>13137</v>
      </c>
      <c r="Q5861" s="411">
        <v>6</v>
      </c>
      <c r="R5861" s="405" t="s">
        <v>7224</v>
      </c>
      <c r="S5861" s="405" t="s">
        <v>27283</v>
      </c>
      <c r="T5861" s="405" t="s">
        <v>32102</v>
      </c>
      <c r="U5861" s="405" t="s">
        <v>319</v>
      </c>
    </row>
    <row r="5862" spans="1:21" x14ac:dyDescent="0.25">
      <c r="A5862" s="405" t="s">
        <v>310</v>
      </c>
      <c r="B5862" s="405" t="s">
        <v>4863</v>
      </c>
      <c r="C5862" s="405" t="s">
        <v>311</v>
      </c>
      <c r="D5862" s="405" t="s">
        <v>1789</v>
      </c>
      <c r="E5862" s="410">
        <v>41479</v>
      </c>
      <c r="F5862" s="410">
        <v>41524</v>
      </c>
      <c r="G5862" s="405" t="s">
        <v>4864</v>
      </c>
      <c r="H5862" s="405">
        <v>759133487</v>
      </c>
      <c r="I5862" s="405"/>
      <c r="J5862" s="405">
        <v>0.49809300000000001</v>
      </c>
      <c r="K5862" s="405">
        <v>32.739404999999998</v>
      </c>
      <c r="L5862" s="405" t="s">
        <v>314</v>
      </c>
      <c r="M5862" s="405" t="s">
        <v>329</v>
      </c>
      <c r="N5862" s="405" t="s">
        <v>545</v>
      </c>
      <c r="O5862" s="405" t="s">
        <v>336</v>
      </c>
      <c r="P5862" s="405" t="s">
        <v>4865</v>
      </c>
      <c r="Q5862" s="411">
        <v>6</v>
      </c>
      <c r="R5862" s="405" t="s">
        <v>1263</v>
      </c>
      <c r="S5862" s="405" t="s">
        <v>27210</v>
      </c>
      <c r="T5862" s="405" t="s">
        <v>32102</v>
      </c>
      <c r="U5862" s="405" t="s">
        <v>319</v>
      </c>
    </row>
    <row r="5863" spans="1:21" x14ac:dyDescent="0.25">
      <c r="A5863" s="405" t="s">
        <v>310</v>
      </c>
      <c r="B5863" s="405" t="s">
        <v>4947</v>
      </c>
      <c r="C5863" s="405" t="s">
        <v>311</v>
      </c>
      <c r="D5863" s="405" t="s">
        <v>1789</v>
      </c>
      <c r="E5863" s="410">
        <v>41479</v>
      </c>
      <c r="F5863" s="410">
        <v>41524</v>
      </c>
      <c r="G5863" s="405" t="s">
        <v>4948</v>
      </c>
      <c r="H5863" s="405">
        <v>772014132</v>
      </c>
      <c r="I5863" s="405"/>
      <c r="J5863" s="405">
        <v>0.938635</v>
      </c>
      <c r="K5863" s="405">
        <v>31.720267</v>
      </c>
      <c r="L5863" s="405" t="s">
        <v>314</v>
      </c>
      <c r="M5863" s="405" t="s">
        <v>1360</v>
      </c>
      <c r="N5863" s="405" t="s">
        <v>1361</v>
      </c>
      <c r="O5863" s="405" t="s">
        <v>4476</v>
      </c>
      <c r="P5863" s="405" t="s">
        <v>4477</v>
      </c>
      <c r="Q5863" s="411">
        <v>6</v>
      </c>
      <c r="R5863" s="405" t="s">
        <v>525</v>
      </c>
      <c r="S5863" s="405" t="s">
        <v>27235</v>
      </c>
      <c r="T5863" s="405" t="s">
        <v>32102</v>
      </c>
      <c r="U5863" s="405" t="s">
        <v>319</v>
      </c>
    </row>
    <row r="5864" spans="1:21" x14ac:dyDescent="0.25">
      <c r="A5864" s="405" t="s">
        <v>310</v>
      </c>
      <c r="B5864" s="405" t="s">
        <v>28728</v>
      </c>
      <c r="C5864" s="405" t="s">
        <v>327</v>
      </c>
      <c r="D5864" s="405"/>
      <c r="E5864" s="410">
        <v>41478</v>
      </c>
      <c r="F5864" s="410">
        <v>41523</v>
      </c>
      <c r="G5864" s="405" t="s">
        <v>12770</v>
      </c>
      <c r="H5864" s="405">
        <v>779769724</v>
      </c>
      <c r="I5864" s="405"/>
      <c r="J5864" s="405">
        <v>0.677203</v>
      </c>
      <c r="K5864" s="405">
        <v>33.958449999999999</v>
      </c>
      <c r="L5864" s="405" t="s">
        <v>6866</v>
      </c>
      <c r="M5864" s="405" t="s">
        <v>9534</v>
      </c>
      <c r="N5864" s="405" t="s">
        <v>9997</v>
      </c>
      <c r="O5864" s="405" t="s">
        <v>10918</v>
      </c>
      <c r="P5864" s="405" t="s">
        <v>12771</v>
      </c>
      <c r="Q5864" s="411">
        <v>6</v>
      </c>
      <c r="R5864" s="405" t="s">
        <v>7224</v>
      </c>
      <c r="S5864" s="405" t="s">
        <v>27142</v>
      </c>
      <c r="T5864" s="405" t="s">
        <v>32102</v>
      </c>
      <c r="U5864" s="405" t="s">
        <v>319</v>
      </c>
    </row>
    <row r="5865" spans="1:21" x14ac:dyDescent="0.25">
      <c r="A5865" s="405" t="s">
        <v>310</v>
      </c>
      <c r="B5865" s="405" t="s">
        <v>18744</v>
      </c>
      <c r="C5865" s="405" t="s">
        <v>327</v>
      </c>
      <c r="D5865" s="405"/>
      <c r="E5865" s="410">
        <v>41478</v>
      </c>
      <c r="F5865" s="410">
        <v>41523</v>
      </c>
      <c r="G5865" s="405" t="s">
        <v>18745</v>
      </c>
      <c r="H5865" s="405">
        <v>781585536</v>
      </c>
      <c r="I5865" s="405"/>
      <c r="J5865" s="405">
        <v>1.9603950000000001</v>
      </c>
      <c r="K5865" s="405">
        <v>33.133885999999997</v>
      </c>
      <c r="L5865" s="405" t="s">
        <v>860</v>
      </c>
      <c r="M5865" s="405" t="s">
        <v>12189</v>
      </c>
      <c r="N5865" s="405" t="s">
        <v>18270</v>
      </c>
      <c r="O5865" s="405" t="s">
        <v>18632</v>
      </c>
      <c r="P5865" s="405" t="s">
        <v>18633</v>
      </c>
      <c r="Q5865" s="411">
        <v>6</v>
      </c>
      <c r="R5865" s="405" t="s">
        <v>318</v>
      </c>
      <c r="S5865" s="405" t="s">
        <v>27359</v>
      </c>
      <c r="T5865" s="405" t="s">
        <v>32102</v>
      </c>
      <c r="U5865" s="405" t="s">
        <v>319</v>
      </c>
    </row>
    <row r="5866" spans="1:21" x14ac:dyDescent="0.25">
      <c r="A5866" s="405" t="s">
        <v>310</v>
      </c>
      <c r="B5866" s="405" t="s">
        <v>12895</v>
      </c>
      <c r="C5866" s="405" t="s">
        <v>327</v>
      </c>
      <c r="D5866" s="405"/>
      <c r="E5866" s="410">
        <v>41478</v>
      </c>
      <c r="F5866" s="410">
        <v>41523</v>
      </c>
      <c r="G5866" s="405" t="s">
        <v>12896</v>
      </c>
      <c r="H5866" s="405">
        <v>771040324</v>
      </c>
      <c r="I5866" s="405"/>
      <c r="J5866" s="405">
        <v>0.71687199999999995</v>
      </c>
      <c r="K5866" s="405">
        <v>33.970233</v>
      </c>
      <c r="L5866" s="405" t="s">
        <v>6866</v>
      </c>
      <c r="M5866" s="405" t="s">
        <v>9534</v>
      </c>
      <c r="N5866" s="405" t="s">
        <v>10113</v>
      </c>
      <c r="O5866" s="405" t="s">
        <v>10918</v>
      </c>
      <c r="P5866" s="405" t="s">
        <v>12897</v>
      </c>
      <c r="Q5866" s="411">
        <v>6</v>
      </c>
      <c r="R5866" s="405" t="s">
        <v>7224</v>
      </c>
      <c r="S5866" s="405" t="s">
        <v>27310</v>
      </c>
      <c r="T5866" s="405" t="s">
        <v>32102</v>
      </c>
      <c r="U5866" s="405" t="s">
        <v>319</v>
      </c>
    </row>
    <row r="5867" spans="1:21" x14ac:dyDescent="0.25">
      <c r="A5867" s="405" t="s">
        <v>310</v>
      </c>
      <c r="B5867" s="405" t="s">
        <v>4474</v>
      </c>
      <c r="C5867" s="405" t="s">
        <v>327</v>
      </c>
      <c r="D5867" s="405"/>
      <c r="E5867" s="410">
        <v>41478</v>
      </c>
      <c r="F5867" s="410">
        <v>41523</v>
      </c>
      <c r="G5867" s="405" t="s">
        <v>4475</v>
      </c>
      <c r="H5867" s="405">
        <v>778952774</v>
      </c>
      <c r="I5867" s="405"/>
      <c r="J5867" s="405">
        <v>0.93472500000000003</v>
      </c>
      <c r="K5867" s="405">
        <v>31.722169999999998</v>
      </c>
      <c r="L5867" s="405" t="s">
        <v>314</v>
      </c>
      <c r="M5867" s="405" t="s">
        <v>1360</v>
      </c>
      <c r="N5867" s="405" t="s">
        <v>1361</v>
      </c>
      <c r="O5867" s="405" t="s">
        <v>4476</v>
      </c>
      <c r="P5867" s="405" t="s">
        <v>4477</v>
      </c>
      <c r="Q5867" s="411">
        <v>6</v>
      </c>
      <c r="R5867" s="405" t="s">
        <v>525</v>
      </c>
      <c r="S5867" s="405" t="s">
        <v>27136</v>
      </c>
      <c r="T5867" s="405" t="s">
        <v>32102</v>
      </c>
      <c r="U5867" s="405" t="s">
        <v>319</v>
      </c>
    </row>
    <row r="5868" spans="1:21" x14ac:dyDescent="0.25">
      <c r="A5868" s="405" t="s">
        <v>310</v>
      </c>
      <c r="B5868" s="405" t="s">
        <v>12792</v>
      </c>
      <c r="C5868" s="405" t="s">
        <v>327</v>
      </c>
      <c r="D5868" s="405"/>
      <c r="E5868" s="410">
        <v>41478</v>
      </c>
      <c r="F5868" s="410">
        <v>41523</v>
      </c>
      <c r="G5868" s="405" t="s">
        <v>12793</v>
      </c>
      <c r="H5868" s="405">
        <v>776412988</v>
      </c>
      <c r="I5868" s="405"/>
      <c r="J5868" s="405">
        <v>1.6806129999999999</v>
      </c>
      <c r="K5868" s="405">
        <v>34.10116</v>
      </c>
      <c r="L5868" s="405" t="s">
        <v>6866</v>
      </c>
      <c r="M5868" s="405" t="s">
        <v>11355</v>
      </c>
      <c r="N5868" s="405" t="s">
        <v>11361</v>
      </c>
      <c r="O5868" s="405" t="s">
        <v>11362</v>
      </c>
      <c r="P5868" s="405" t="s">
        <v>11285</v>
      </c>
      <c r="Q5868" s="411">
        <v>4</v>
      </c>
      <c r="R5868" s="405" t="s">
        <v>5655</v>
      </c>
      <c r="S5868" s="405" t="s">
        <v>27337</v>
      </c>
      <c r="T5868" s="405" t="s">
        <v>32102</v>
      </c>
      <c r="U5868" s="405" t="s">
        <v>319</v>
      </c>
    </row>
    <row r="5869" spans="1:21" x14ac:dyDescent="0.25">
      <c r="A5869" s="405" t="s">
        <v>310</v>
      </c>
      <c r="B5869" s="405" t="s">
        <v>21388</v>
      </c>
      <c r="C5869" s="405" t="s">
        <v>327</v>
      </c>
      <c r="D5869" s="405"/>
      <c r="E5869" s="410">
        <v>41477</v>
      </c>
      <c r="F5869" s="410">
        <v>41522</v>
      </c>
      <c r="G5869" s="405" t="s">
        <v>21389</v>
      </c>
      <c r="H5869" s="405">
        <v>782639643</v>
      </c>
      <c r="I5869" s="405"/>
      <c r="J5869" s="405">
        <v>0.50870099999999996</v>
      </c>
      <c r="K5869" s="405">
        <v>30.866119000000001</v>
      </c>
      <c r="L5869" s="405" t="s">
        <v>590</v>
      </c>
      <c r="M5869" s="405" t="s">
        <v>20426</v>
      </c>
      <c r="N5869" s="405" t="s">
        <v>20743</v>
      </c>
      <c r="O5869" s="405" t="s">
        <v>20541</v>
      </c>
      <c r="P5869" s="405" t="s">
        <v>20542</v>
      </c>
      <c r="Q5869" s="411">
        <v>13</v>
      </c>
      <c r="R5869" s="405" t="s">
        <v>20774</v>
      </c>
      <c r="S5869" s="405" t="s">
        <v>27411</v>
      </c>
      <c r="T5869" s="405" t="s">
        <v>32102</v>
      </c>
      <c r="U5869" s="405" t="s">
        <v>319</v>
      </c>
    </row>
    <row r="5870" spans="1:21" x14ac:dyDescent="0.25">
      <c r="A5870" s="405" t="s">
        <v>310</v>
      </c>
      <c r="B5870" s="405" t="s">
        <v>4428</v>
      </c>
      <c r="C5870" s="405" t="s">
        <v>327</v>
      </c>
      <c r="D5870" s="405"/>
      <c r="E5870" s="410">
        <v>41477</v>
      </c>
      <c r="F5870" s="410">
        <v>41522</v>
      </c>
      <c r="G5870" s="405" t="s">
        <v>4429</v>
      </c>
      <c r="H5870" s="405">
        <v>772446788</v>
      </c>
      <c r="I5870" s="405">
        <v>701446788</v>
      </c>
      <c r="J5870" s="405">
        <v>0.49319000000000002</v>
      </c>
      <c r="K5870" s="405">
        <v>31.356345000000001</v>
      </c>
      <c r="L5870" s="405" t="s">
        <v>314</v>
      </c>
      <c r="M5870" s="405" t="s">
        <v>445</v>
      </c>
      <c r="N5870" s="405" t="s">
        <v>446</v>
      </c>
      <c r="O5870" s="405" t="s">
        <v>3235</v>
      </c>
      <c r="P5870" s="405" t="s">
        <v>4430</v>
      </c>
      <c r="Q5870" s="411">
        <v>13</v>
      </c>
      <c r="R5870" s="405" t="s">
        <v>32476</v>
      </c>
      <c r="S5870" s="405" t="s">
        <v>27202</v>
      </c>
      <c r="T5870" s="405" t="s">
        <v>32102</v>
      </c>
      <c r="U5870" s="405" t="s">
        <v>319</v>
      </c>
    </row>
    <row r="5871" spans="1:21" x14ac:dyDescent="0.25">
      <c r="A5871" s="405" t="s">
        <v>310</v>
      </c>
      <c r="B5871" s="405" t="s">
        <v>28847</v>
      </c>
      <c r="C5871" s="405" t="s">
        <v>327</v>
      </c>
      <c r="D5871" s="405"/>
      <c r="E5871" s="410">
        <v>41477</v>
      </c>
      <c r="F5871" s="410">
        <v>41522</v>
      </c>
      <c r="G5871" s="405" t="s">
        <v>21394</v>
      </c>
      <c r="H5871" s="405">
        <v>772489244</v>
      </c>
      <c r="I5871" s="405"/>
      <c r="J5871" s="405">
        <v>-0.55236200000000002</v>
      </c>
      <c r="K5871" s="405">
        <v>30.319075999999999</v>
      </c>
      <c r="L5871" s="405" t="s">
        <v>590</v>
      </c>
      <c r="M5871" s="405" t="s">
        <v>19725</v>
      </c>
      <c r="N5871" s="405" t="s">
        <v>19725</v>
      </c>
      <c r="O5871" s="405" t="s">
        <v>19769</v>
      </c>
      <c r="P5871" s="405" t="s">
        <v>19769</v>
      </c>
      <c r="Q5871" s="411">
        <v>9</v>
      </c>
      <c r="R5871" s="405" t="s">
        <v>1527</v>
      </c>
      <c r="S5871" s="405" t="s">
        <v>27161</v>
      </c>
      <c r="T5871" s="405" t="s">
        <v>32102</v>
      </c>
      <c r="U5871" s="405" t="s">
        <v>319</v>
      </c>
    </row>
    <row r="5872" spans="1:21" x14ac:dyDescent="0.25">
      <c r="A5872" s="405" t="s">
        <v>310</v>
      </c>
      <c r="B5872" s="405" t="s">
        <v>21383</v>
      </c>
      <c r="C5872" s="405" t="s">
        <v>327</v>
      </c>
      <c r="D5872" s="405"/>
      <c r="E5872" s="410">
        <v>41477</v>
      </c>
      <c r="F5872" s="410">
        <v>41522</v>
      </c>
      <c r="G5872" s="405" t="s">
        <v>21384</v>
      </c>
      <c r="H5872" s="405">
        <v>703404336</v>
      </c>
      <c r="I5872" s="405"/>
      <c r="J5872" s="405">
        <v>0.67376999999999998</v>
      </c>
      <c r="K5872" s="405">
        <v>30.509668000000001</v>
      </c>
      <c r="L5872" s="405" t="s">
        <v>590</v>
      </c>
      <c r="M5872" s="405" t="s">
        <v>20426</v>
      </c>
      <c r="N5872" s="405" t="s">
        <v>21385</v>
      </c>
      <c r="O5872" s="405" t="s">
        <v>21386</v>
      </c>
      <c r="P5872" s="405" t="s">
        <v>21387</v>
      </c>
      <c r="Q5872" s="411">
        <v>9</v>
      </c>
      <c r="R5872" s="405" t="s">
        <v>333</v>
      </c>
      <c r="S5872" s="405" t="s">
        <v>27183</v>
      </c>
      <c r="T5872" s="405" t="s">
        <v>32102</v>
      </c>
      <c r="U5872" s="405" t="s">
        <v>319</v>
      </c>
    </row>
    <row r="5873" spans="1:21" x14ac:dyDescent="0.25">
      <c r="A5873" s="405" t="s">
        <v>310</v>
      </c>
      <c r="B5873" s="405" t="s">
        <v>21377</v>
      </c>
      <c r="C5873" s="405" t="s">
        <v>327</v>
      </c>
      <c r="D5873" s="405"/>
      <c r="E5873" s="410">
        <v>41477</v>
      </c>
      <c r="F5873" s="410">
        <v>41522</v>
      </c>
      <c r="G5873" s="405" t="s">
        <v>21378</v>
      </c>
      <c r="H5873" s="405">
        <v>75499329</v>
      </c>
      <c r="I5873" s="405"/>
      <c r="J5873" s="405">
        <v>-0.33424300000000001</v>
      </c>
      <c r="K5873" s="405">
        <v>30.572088000000001</v>
      </c>
      <c r="L5873" s="405" t="s">
        <v>590</v>
      </c>
      <c r="M5873" s="405" t="s">
        <v>19614</v>
      </c>
      <c r="N5873" s="405" t="s">
        <v>19615</v>
      </c>
      <c r="O5873" s="405" t="s">
        <v>20112</v>
      </c>
      <c r="P5873" s="405" t="s">
        <v>21379</v>
      </c>
      <c r="Q5873" s="411">
        <v>9</v>
      </c>
      <c r="R5873" s="405" t="s">
        <v>333</v>
      </c>
      <c r="S5873" s="405" t="s">
        <v>27410</v>
      </c>
      <c r="T5873" s="405" t="s">
        <v>32102</v>
      </c>
      <c r="U5873" s="405" t="s">
        <v>319</v>
      </c>
    </row>
    <row r="5874" spans="1:21" x14ac:dyDescent="0.25">
      <c r="A5874" s="405" t="s">
        <v>310</v>
      </c>
      <c r="B5874" s="405" t="s">
        <v>21361</v>
      </c>
      <c r="C5874" s="405" t="s">
        <v>327</v>
      </c>
      <c r="D5874" s="405"/>
      <c r="E5874" s="410">
        <v>41477</v>
      </c>
      <c r="F5874" s="410">
        <v>41522</v>
      </c>
      <c r="G5874" s="405" t="s">
        <v>21362</v>
      </c>
      <c r="H5874" s="405">
        <v>702853768</v>
      </c>
      <c r="I5874" s="405"/>
      <c r="J5874" s="405">
        <v>-0.67511200000000005</v>
      </c>
      <c r="K5874" s="405">
        <v>30.691658</v>
      </c>
      <c r="L5874" s="405" t="s">
        <v>590</v>
      </c>
      <c r="M5874" s="405" t="s">
        <v>879</v>
      </c>
      <c r="N5874" s="405" t="s">
        <v>880</v>
      </c>
      <c r="O5874" s="405" t="s">
        <v>21363</v>
      </c>
      <c r="P5874" s="405" t="s">
        <v>21364</v>
      </c>
      <c r="Q5874" s="411">
        <v>9</v>
      </c>
      <c r="R5874" s="405" t="s">
        <v>333</v>
      </c>
      <c r="S5874" s="405" t="s">
        <v>27271</v>
      </c>
      <c r="T5874" s="405" t="s">
        <v>32102</v>
      </c>
      <c r="U5874" s="405" t="s">
        <v>319</v>
      </c>
    </row>
    <row r="5875" spans="1:21" x14ac:dyDescent="0.25">
      <c r="A5875" s="405" t="s">
        <v>310</v>
      </c>
      <c r="B5875" s="405" t="s">
        <v>27693</v>
      </c>
      <c r="C5875" s="405" t="s">
        <v>327</v>
      </c>
      <c r="D5875" s="405"/>
      <c r="E5875" s="410">
        <v>41477</v>
      </c>
      <c r="F5875" s="410">
        <v>41522</v>
      </c>
      <c r="G5875" s="405" t="s">
        <v>12867</v>
      </c>
      <c r="H5875" s="405">
        <v>775021110</v>
      </c>
      <c r="I5875" s="405"/>
      <c r="J5875" s="405">
        <v>1.6003099999999999</v>
      </c>
      <c r="K5875" s="405">
        <v>33.822628000000002</v>
      </c>
      <c r="L5875" s="405" t="s">
        <v>6866</v>
      </c>
      <c r="M5875" s="405" t="s">
        <v>10012</v>
      </c>
      <c r="N5875" s="405" t="s">
        <v>10012</v>
      </c>
      <c r="O5875" s="405" t="s">
        <v>10267</v>
      </c>
      <c r="P5875" s="405" t="s">
        <v>12868</v>
      </c>
      <c r="Q5875" s="411">
        <v>6</v>
      </c>
      <c r="R5875" s="405" t="s">
        <v>9541</v>
      </c>
      <c r="S5875" s="405" t="s">
        <v>27302</v>
      </c>
      <c r="T5875" s="405" t="s">
        <v>32102</v>
      </c>
      <c r="U5875" s="405" t="s">
        <v>319</v>
      </c>
    </row>
    <row r="5876" spans="1:21" x14ac:dyDescent="0.25">
      <c r="A5876" s="405" t="s">
        <v>310</v>
      </c>
      <c r="B5876" s="405" t="s">
        <v>4335</v>
      </c>
      <c r="C5876" s="405" t="s">
        <v>327</v>
      </c>
      <c r="D5876" s="405"/>
      <c r="E5876" s="410">
        <v>41477</v>
      </c>
      <c r="F5876" s="410">
        <v>41522</v>
      </c>
      <c r="G5876" s="405" t="s">
        <v>4336</v>
      </c>
      <c r="H5876" s="405">
        <v>774001204</v>
      </c>
      <c r="I5876" s="405">
        <v>774001204</v>
      </c>
      <c r="J5876" s="405">
        <v>0.27887000000000001</v>
      </c>
      <c r="K5876" s="405">
        <v>33.144272000000001</v>
      </c>
      <c r="L5876" s="405" t="s">
        <v>314</v>
      </c>
      <c r="M5876" s="405" t="s">
        <v>349</v>
      </c>
      <c r="N5876" s="405" t="s">
        <v>473</v>
      </c>
      <c r="O5876" s="405" t="s">
        <v>1062</v>
      </c>
      <c r="P5876" s="405" t="s">
        <v>2572</v>
      </c>
      <c r="Q5876" s="411">
        <v>6</v>
      </c>
      <c r="R5876" s="405" t="s">
        <v>32478</v>
      </c>
      <c r="S5876" s="405" t="s">
        <v>27035</v>
      </c>
      <c r="T5876" s="405" t="s">
        <v>32102</v>
      </c>
      <c r="U5876" s="405" t="s">
        <v>319</v>
      </c>
    </row>
    <row r="5877" spans="1:21" x14ac:dyDescent="0.25">
      <c r="A5877" s="405" t="s">
        <v>310</v>
      </c>
      <c r="B5877" s="405" t="s">
        <v>12888</v>
      </c>
      <c r="C5877" s="405" t="s">
        <v>327</v>
      </c>
      <c r="D5877" s="405"/>
      <c r="E5877" s="410">
        <v>41477</v>
      </c>
      <c r="F5877" s="410">
        <v>41522</v>
      </c>
      <c r="G5877" s="405" t="s">
        <v>12889</v>
      </c>
      <c r="H5877" s="405">
        <v>772419477</v>
      </c>
      <c r="I5877" s="405"/>
      <c r="J5877" s="405">
        <v>0.69291599999999998</v>
      </c>
      <c r="K5877" s="405">
        <v>34.143424000000003</v>
      </c>
      <c r="L5877" s="405" t="s">
        <v>6866</v>
      </c>
      <c r="M5877" s="405" t="s">
        <v>9534</v>
      </c>
      <c r="N5877" s="405" t="s">
        <v>10113</v>
      </c>
      <c r="O5877" s="405" t="s">
        <v>9770</v>
      </c>
      <c r="P5877" s="405" t="s">
        <v>12890</v>
      </c>
      <c r="Q5877" s="411">
        <v>6</v>
      </c>
      <c r="R5877" s="405" t="s">
        <v>7224</v>
      </c>
      <c r="S5877" s="405" t="s">
        <v>27259</v>
      </c>
      <c r="T5877" s="405" t="s">
        <v>32102</v>
      </c>
      <c r="U5877" s="405" t="s">
        <v>319</v>
      </c>
    </row>
    <row r="5878" spans="1:21" x14ac:dyDescent="0.25">
      <c r="A5878" s="405" t="s">
        <v>310</v>
      </c>
      <c r="B5878" s="405" t="s">
        <v>12753</v>
      </c>
      <c r="C5878" s="405" t="s">
        <v>327</v>
      </c>
      <c r="D5878" s="405"/>
      <c r="E5878" s="410">
        <v>41477</v>
      </c>
      <c r="F5878" s="410">
        <v>41522</v>
      </c>
      <c r="G5878" s="405" t="s">
        <v>12754</v>
      </c>
      <c r="H5878" s="405">
        <v>782794974</v>
      </c>
      <c r="I5878" s="405"/>
      <c r="J5878" s="405">
        <v>0.72639699999999996</v>
      </c>
      <c r="K5878" s="405">
        <v>33.973376000000002</v>
      </c>
      <c r="L5878" s="405" t="s">
        <v>6866</v>
      </c>
      <c r="M5878" s="405" t="s">
        <v>9534</v>
      </c>
      <c r="N5878" s="405" t="s">
        <v>9997</v>
      </c>
      <c r="O5878" s="405" t="s">
        <v>10918</v>
      </c>
      <c r="P5878" s="405" t="s">
        <v>12755</v>
      </c>
      <c r="Q5878" s="411">
        <v>6</v>
      </c>
      <c r="R5878" s="405" t="s">
        <v>7224</v>
      </c>
      <c r="S5878" s="405" t="s">
        <v>17013</v>
      </c>
      <c r="T5878" s="405" t="s">
        <v>32102</v>
      </c>
      <c r="U5878" s="405" t="s">
        <v>319</v>
      </c>
    </row>
    <row r="5879" spans="1:21" x14ac:dyDescent="0.25">
      <c r="A5879" s="405" t="s">
        <v>310</v>
      </c>
      <c r="B5879" s="405" t="s">
        <v>12815</v>
      </c>
      <c r="C5879" s="405" t="s">
        <v>327</v>
      </c>
      <c r="D5879" s="405"/>
      <c r="E5879" s="410">
        <v>41477</v>
      </c>
      <c r="F5879" s="410">
        <v>41522</v>
      </c>
      <c r="G5879" s="405" t="s">
        <v>12816</v>
      </c>
      <c r="H5879" s="405">
        <v>773969425</v>
      </c>
      <c r="I5879" s="405"/>
      <c r="J5879" s="405">
        <v>0.94081000000000004</v>
      </c>
      <c r="K5879" s="405">
        <v>34.138824999999997</v>
      </c>
      <c r="L5879" s="405" t="s">
        <v>6866</v>
      </c>
      <c r="M5879" s="405" t="s">
        <v>9514</v>
      </c>
      <c r="N5879" s="405" t="s">
        <v>9529</v>
      </c>
      <c r="O5879" s="405" t="s">
        <v>9923</v>
      </c>
      <c r="P5879" s="405" t="s">
        <v>11610</v>
      </c>
      <c r="Q5879" s="411">
        <v>6</v>
      </c>
      <c r="R5879" s="405" t="s">
        <v>7224</v>
      </c>
      <c r="S5879" s="405" t="s">
        <v>27204</v>
      </c>
      <c r="T5879" s="405" t="s">
        <v>32102</v>
      </c>
      <c r="U5879" s="405" t="s">
        <v>319</v>
      </c>
    </row>
    <row r="5880" spans="1:21" x14ac:dyDescent="0.25">
      <c r="A5880" s="405" t="s">
        <v>310</v>
      </c>
      <c r="B5880" s="405" t="s">
        <v>21371</v>
      </c>
      <c r="C5880" s="405" t="s">
        <v>327</v>
      </c>
      <c r="D5880" s="405"/>
      <c r="E5880" s="410">
        <v>41476</v>
      </c>
      <c r="F5880" s="410">
        <v>41521</v>
      </c>
      <c r="G5880" s="405" t="s">
        <v>21372</v>
      </c>
      <c r="H5880" s="405">
        <v>772716104</v>
      </c>
      <c r="I5880" s="405"/>
      <c r="J5880" s="405">
        <v>0.61658999999999997</v>
      </c>
      <c r="K5880" s="405">
        <v>30.31354</v>
      </c>
      <c r="L5880" s="405" t="s">
        <v>590</v>
      </c>
      <c r="M5880" s="405" t="s">
        <v>20125</v>
      </c>
      <c r="N5880" s="405" t="s">
        <v>20126</v>
      </c>
      <c r="O5880" s="405" t="s">
        <v>20845</v>
      </c>
      <c r="P5880" s="405" t="s">
        <v>21373</v>
      </c>
      <c r="Q5880" s="411">
        <v>13</v>
      </c>
      <c r="R5880" s="405" t="s">
        <v>333</v>
      </c>
      <c r="S5880" s="405" t="s">
        <v>27417</v>
      </c>
      <c r="T5880" s="405" t="s">
        <v>32102</v>
      </c>
      <c r="U5880" s="405" t="s">
        <v>319</v>
      </c>
    </row>
    <row r="5881" spans="1:21" x14ac:dyDescent="0.25">
      <c r="A5881" s="405" t="s">
        <v>310</v>
      </c>
      <c r="B5881" s="405" t="s">
        <v>4438</v>
      </c>
      <c r="C5881" s="405" t="s">
        <v>327</v>
      </c>
      <c r="D5881" s="405"/>
      <c r="E5881" s="410">
        <v>41476</v>
      </c>
      <c r="F5881" s="410">
        <v>41521</v>
      </c>
      <c r="G5881" s="405" t="s">
        <v>4439</v>
      </c>
      <c r="H5881" s="405">
        <v>759076437</v>
      </c>
      <c r="I5881" s="405"/>
      <c r="J5881" s="405">
        <v>0.40012300000000001</v>
      </c>
      <c r="K5881" s="405">
        <v>32.059942999999997</v>
      </c>
      <c r="L5881" s="405" t="s">
        <v>314</v>
      </c>
      <c r="M5881" s="405" t="s">
        <v>675</v>
      </c>
      <c r="N5881" s="405" t="s">
        <v>3714</v>
      </c>
      <c r="O5881" s="405" t="s">
        <v>1066</v>
      </c>
      <c r="P5881" s="405" t="s">
        <v>3715</v>
      </c>
      <c r="Q5881" s="411">
        <v>13</v>
      </c>
      <c r="R5881" s="405" t="s">
        <v>1263</v>
      </c>
      <c r="S5881" s="405" t="s">
        <v>27039</v>
      </c>
      <c r="T5881" s="405" t="s">
        <v>32102</v>
      </c>
      <c r="U5881" s="405" t="s">
        <v>319</v>
      </c>
    </row>
    <row r="5882" spans="1:21" x14ac:dyDescent="0.25">
      <c r="A5882" s="405" t="s">
        <v>310</v>
      </c>
      <c r="B5882" s="405" t="s">
        <v>4325</v>
      </c>
      <c r="C5882" s="405" t="s">
        <v>327</v>
      </c>
      <c r="D5882" s="405"/>
      <c r="E5882" s="410">
        <v>41476</v>
      </c>
      <c r="F5882" s="410">
        <v>41521</v>
      </c>
      <c r="G5882" s="405" t="s">
        <v>4326</v>
      </c>
      <c r="H5882" s="405">
        <v>703216340</v>
      </c>
      <c r="I5882" s="405"/>
      <c r="J5882" s="405">
        <v>0.61105699999999996</v>
      </c>
      <c r="K5882" s="405">
        <v>31.390961999999998</v>
      </c>
      <c r="L5882" s="405" t="s">
        <v>314</v>
      </c>
      <c r="M5882" s="405" t="s">
        <v>445</v>
      </c>
      <c r="N5882" s="405" t="s">
        <v>2957</v>
      </c>
      <c r="O5882" s="405" t="s">
        <v>4327</v>
      </c>
      <c r="P5882" s="405" t="s">
        <v>2528</v>
      </c>
      <c r="Q5882" s="411">
        <v>9</v>
      </c>
      <c r="R5882" s="405" t="s">
        <v>402</v>
      </c>
      <c r="S5882" s="405" t="s">
        <v>27039</v>
      </c>
      <c r="T5882" s="405" t="s">
        <v>32102</v>
      </c>
      <c r="U5882" s="405" t="s">
        <v>319</v>
      </c>
    </row>
    <row r="5883" spans="1:21" x14ac:dyDescent="0.25">
      <c r="A5883" s="405" t="s">
        <v>310</v>
      </c>
      <c r="B5883" s="405" t="s">
        <v>4404</v>
      </c>
      <c r="C5883" s="405" t="s">
        <v>327</v>
      </c>
      <c r="D5883" s="405"/>
      <c r="E5883" s="410">
        <v>41476</v>
      </c>
      <c r="F5883" s="410">
        <v>41521</v>
      </c>
      <c r="G5883" s="405" t="s">
        <v>4405</v>
      </c>
      <c r="H5883" s="405">
        <v>751929095</v>
      </c>
      <c r="I5883" s="405"/>
      <c r="J5883" s="405">
        <v>0.49835200000000002</v>
      </c>
      <c r="K5883" s="405">
        <v>32.735374999999998</v>
      </c>
      <c r="L5883" s="405" t="s">
        <v>314</v>
      </c>
      <c r="M5883" s="405" t="s">
        <v>329</v>
      </c>
      <c r="N5883" s="405" t="s">
        <v>545</v>
      </c>
      <c r="O5883" s="405" t="s">
        <v>336</v>
      </c>
      <c r="P5883" s="405" t="s">
        <v>4406</v>
      </c>
      <c r="Q5883" s="411">
        <v>6</v>
      </c>
      <c r="R5883" s="405" t="s">
        <v>1263</v>
      </c>
      <c r="S5883" s="405" t="s">
        <v>27178</v>
      </c>
      <c r="T5883" s="405" t="s">
        <v>32102</v>
      </c>
      <c r="U5883" s="405" t="s">
        <v>319</v>
      </c>
    </row>
    <row r="5884" spans="1:21" x14ac:dyDescent="0.25">
      <c r="A5884" s="405" t="s">
        <v>310</v>
      </c>
      <c r="B5884" s="405" t="s">
        <v>4423</v>
      </c>
      <c r="C5884" s="405" t="s">
        <v>327</v>
      </c>
      <c r="D5884" s="405"/>
      <c r="E5884" s="410">
        <v>41476</v>
      </c>
      <c r="F5884" s="410">
        <v>41521</v>
      </c>
      <c r="G5884" s="405" t="s">
        <v>4424</v>
      </c>
      <c r="H5884" s="405">
        <v>782116238</v>
      </c>
      <c r="I5884" s="405"/>
      <c r="J5884" s="405">
        <v>0.67491999999999996</v>
      </c>
      <c r="K5884" s="405">
        <v>31.339632999999999</v>
      </c>
      <c r="L5884" s="405" t="s">
        <v>314</v>
      </c>
      <c r="M5884" s="405" t="s">
        <v>445</v>
      </c>
      <c r="N5884" s="405" t="s">
        <v>446</v>
      </c>
      <c r="O5884" s="405" t="s">
        <v>2953</v>
      </c>
      <c r="P5884" s="405" t="s">
        <v>2953</v>
      </c>
      <c r="Q5884" s="411">
        <v>6</v>
      </c>
      <c r="R5884" s="405" t="s">
        <v>318</v>
      </c>
      <c r="S5884" s="405" t="s">
        <v>27054</v>
      </c>
      <c r="T5884" s="405" t="s">
        <v>32102</v>
      </c>
      <c r="U5884" s="405" t="s">
        <v>319</v>
      </c>
    </row>
    <row r="5885" spans="1:21" x14ac:dyDescent="0.25">
      <c r="A5885" s="405" t="s">
        <v>310</v>
      </c>
      <c r="B5885" s="405" t="s">
        <v>28156</v>
      </c>
      <c r="C5885" s="405" t="s">
        <v>311</v>
      </c>
      <c r="D5885" s="405" t="s">
        <v>1789</v>
      </c>
      <c r="E5885" s="410">
        <v>41475</v>
      </c>
      <c r="F5885" s="410">
        <v>41520</v>
      </c>
      <c r="G5885" s="405" t="s">
        <v>4909</v>
      </c>
      <c r="H5885" s="405">
        <v>772574408</v>
      </c>
      <c r="I5885" s="405"/>
      <c r="J5885" s="405">
        <v>1.2516929999999999</v>
      </c>
      <c r="K5885" s="405">
        <v>32.721485000000001</v>
      </c>
      <c r="L5885" s="405" t="s">
        <v>314</v>
      </c>
      <c r="M5885" s="405" t="s">
        <v>2512</v>
      </c>
      <c r="N5885" s="405" t="s">
        <v>2512</v>
      </c>
      <c r="O5885" s="405" t="s">
        <v>1121</v>
      </c>
      <c r="P5885" s="405" t="s">
        <v>687</v>
      </c>
      <c r="Q5885" s="411">
        <v>13</v>
      </c>
      <c r="R5885" s="405" t="s">
        <v>32476</v>
      </c>
      <c r="S5885" s="405" t="s">
        <v>27154</v>
      </c>
      <c r="T5885" s="405" t="s">
        <v>32102</v>
      </c>
      <c r="U5885" s="405" t="s">
        <v>319</v>
      </c>
    </row>
    <row r="5886" spans="1:21" x14ac:dyDescent="0.25">
      <c r="A5886" s="405" t="s">
        <v>310</v>
      </c>
      <c r="B5886" s="405" t="s">
        <v>21380</v>
      </c>
      <c r="C5886" s="405" t="s">
        <v>327</v>
      </c>
      <c r="D5886" s="405"/>
      <c r="E5886" s="410">
        <v>41475</v>
      </c>
      <c r="F5886" s="410">
        <v>41520</v>
      </c>
      <c r="G5886" s="405" t="s">
        <v>21381</v>
      </c>
      <c r="H5886" s="405">
        <v>702808354</v>
      </c>
      <c r="I5886" s="405"/>
      <c r="J5886" s="405">
        <v>-0.77657699999999996</v>
      </c>
      <c r="K5886" s="405">
        <v>30.479272000000002</v>
      </c>
      <c r="L5886" s="405" t="s">
        <v>590</v>
      </c>
      <c r="M5886" s="405" t="s">
        <v>19614</v>
      </c>
      <c r="N5886" s="405" t="s">
        <v>19654</v>
      </c>
      <c r="O5886" s="405" t="s">
        <v>19995</v>
      </c>
      <c r="P5886" s="405" t="s">
        <v>21382</v>
      </c>
      <c r="Q5886" s="411">
        <v>9</v>
      </c>
      <c r="R5886" s="405" t="s">
        <v>333</v>
      </c>
      <c r="S5886" s="405" t="s">
        <v>27220</v>
      </c>
      <c r="T5886" s="405" t="s">
        <v>32102</v>
      </c>
      <c r="U5886" s="405" t="s">
        <v>319</v>
      </c>
    </row>
    <row r="5887" spans="1:21" x14ac:dyDescent="0.25">
      <c r="A5887" s="405" t="s">
        <v>310</v>
      </c>
      <c r="B5887" s="405" t="s">
        <v>12861</v>
      </c>
      <c r="C5887" s="405" t="s">
        <v>327</v>
      </c>
      <c r="D5887" s="405"/>
      <c r="E5887" s="410">
        <v>41475</v>
      </c>
      <c r="F5887" s="410">
        <v>41520</v>
      </c>
      <c r="G5887" s="405" t="s">
        <v>12862</v>
      </c>
      <c r="H5887" s="405">
        <v>774670301</v>
      </c>
      <c r="I5887" s="405"/>
      <c r="J5887" s="405">
        <v>1.0401499999999999</v>
      </c>
      <c r="K5887" s="405">
        <v>33.746881999999999</v>
      </c>
      <c r="L5887" s="405" t="s">
        <v>6866</v>
      </c>
      <c r="M5887" s="405" t="s">
        <v>10152</v>
      </c>
      <c r="N5887" s="405" t="s">
        <v>10152</v>
      </c>
      <c r="O5887" s="405" t="s">
        <v>11455</v>
      </c>
      <c r="P5887" s="405" t="s">
        <v>12863</v>
      </c>
      <c r="Q5887" s="411">
        <v>9</v>
      </c>
      <c r="R5887" s="405" t="s">
        <v>9506</v>
      </c>
      <c r="S5887" s="405" t="s">
        <v>27294</v>
      </c>
      <c r="T5887" s="405" t="s">
        <v>32102</v>
      </c>
      <c r="U5887" s="405" t="s">
        <v>319</v>
      </c>
    </row>
    <row r="5888" spans="1:21" x14ac:dyDescent="0.25">
      <c r="A5888" s="405" t="s">
        <v>310</v>
      </c>
      <c r="B5888" s="405" t="s">
        <v>29068</v>
      </c>
      <c r="C5888" s="405" t="s">
        <v>311</v>
      </c>
      <c r="D5888" s="405" t="s">
        <v>839</v>
      </c>
      <c r="E5888" s="410">
        <v>41475</v>
      </c>
      <c r="F5888" s="410">
        <v>41520</v>
      </c>
      <c r="G5888" s="405" t="s">
        <v>13168</v>
      </c>
      <c r="H5888" s="405">
        <v>782637611</v>
      </c>
      <c r="I5888" s="405"/>
      <c r="J5888" s="405">
        <v>1.03975</v>
      </c>
      <c r="K5888" s="405">
        <v>34.017319000000001</v>
      </c>
      <c r="L5888" s="405" t="s">
        <v>6866</v>
      </c>
      <c r="M5888" s="405" t="s">
        <v>9514</v>
      </c>
      <c r="N5888" s="405" t="s">
        <v>9529</v>
      </c>
      <c r="O5888" s="405" t="s">
        <v>9780</v>
      </c>
      <c r="P5888" s="405" t="s">
        <v>13169</v>
      </c>
      <c r="Q5888" s="411">
        <v>6</v>
      </c>
      <c r="R5888" s="405" t="s">
        <v>7224</v>
      </c>
      <c r="S5888" s="405" t="s">
        <v>27107</v>
      </c>
      <c r="T5888" s="405" t="s">
        <v>32102</v>
      </c>
      <c r="U5888" s="405" t="s">
        <v>319</v>
      </c>
    </row>
    <row r="5889" spans="1:21" x14ac:dyDescent="0.25">
      <c r="A5889" s="405" t="s">
        <v>310</v>
      </c>
      <c r="B5889" s="405" t="s">
        <v>12731</v>
      </c>
      <c r="C5889" s="405" t="s">
        <v>327</v>
      </c>
      <c r="D5889" s="405"/>
      <c r="E5889" s="410">
        <v>41475</v>
      </c>
      <c r="F5889" s="410">
        <v>41520</v>
      </c>
      <c r="G5889" s="405" t="s">
        <v>12732</v>
      </c>
      <c r="H5889" s="405">
        <v>772556952</v>
      </c>
      <c r="I5889" s="405">
        <v>782257719</v>
      </c>
      <c r="J5889" s="405">
        <v>1.0209619999999999</v>
      </c>
      <c r="K5889" s="405">
        <v>34.185313000000001</v>
      </c>
      <c r="L5889" s="405" t="s">
        <v>6866</v>
      </c>
      <c r="M5889" s="405" t="s">
        <v>9514</v>
      </c>
      <c r="N5889" s="405" t="s">
        <v>9529</v>
      </c>
      <c r="O5889" s="405" t="s">
        <v>9571</v>
      </c>
      <c r="P5889" s="405" t="s">
        <v>12304</v>
      </c>
      <c r="Q5889" s="411">
        <v>6</v>
      </c>
      <c r="R5889" s="405" t="s">
        <v>7224</v>
      </c>
      <c r="S5889" s="405" t="s">
        <v>27304</v>
      </c>
      <c r="T5889" s="405" t="s">
        <v>32102</v>
      </c>
      <c r="U5889" s="405" t="s">
        <v>319</v>
      </c>
    </row>
    <row r="5890" spans="1:21" x14ac:dyDescent="0.25">
      <c r="A5890" s="405" t="s">
        <v>310</v>
      </c>
      <c r="B5890" s="405" t="s">
        <v>12883</v>
      </c>
      <c r="C5890" s="405" t="s">
        <v>327</v>
      </c>
      <c r="D5890" s="405"/>
      <c r="E5890" s="410">
        <v>41475</v>
      </c>
      <c r="F5890" s="410">
        <v>41520</v>
      </c>
      <c r="G5890" s="405" t="s">
        <v>12884</v>
      </c>
      <c r="H5890" s="405">
        <v>781922971</v>
      </c>
      <c r="I5890" s="405"/>
      <c r="J5890" s="405">
        <v>0.90690899999999997</v>
      </c>
      <c r="K5890" s="405">
        <v>34.357965</v>
      </c>
      <c r="L5890" s="405" t="s">
        <v>6866</v>
      </c>
      <c r="M5890" s="405" t="s">
        <v>9763</v>
      </c>
      <c r="N5890" s="405" t="s">
        <v>9848</v>
      </c>
      <c r="O5890" s="405" t="s">
        <v>10962</v>
      </c>
      <c r="P5890" s="405" t="s">
        <v>12717</v>
      </c>
      <c r="Q5890" s="411">
        <v>4</v>
      </c>
      <c r="R5890" s="405" t="s">
        <v>7224</v>
      </c>
      <c r="S5890" s="405" t="s">
        <v>27107</v>
      </c>
      <c r="T5890" s="405" t="s">
        <v>32102</v>
      </c>
      <c r="U5890" s="405" t="s">
        <v>319</v>
      </c>
    </row>
    <row r="5891" spans="1:21" x14ac:dyDescent="0.25">
      <c r="A5891" s="405" t="s">
        <v>310</v>
      </c>
      <c r="B5891" s="405" t="s">
        <v>4436</v>
      </c>
      <c r="C5891" s="405" t="s">
        <v>327</v>
      </c>
      <c r="D5891" s="405"/>
      <c r="E5891" s="410">
        <v>41475</v>
      </c>
      <c r="F5891" s="410">
        <v>41520</v>
      </c>
      <c r="G5891" s="405" t="s">
        <v>4437</v>
      </c>
      <c r="H5891" s="405">
        <v>77779853</v>
      </c>
      <c r="I5891" s="405">
        <v>779316780</v>
      </c>
      <c r="J5891" s="405">
        <v>0.2823581</v>
      </c>
      <c r="K5891" s="405">
        <v>33.1402158</v>
      </c>
      <c r="L5891" s="405" t="s">
        <v>314</v>
      </c>
      <c r="M5891" s="405" t="s">
        <v>349</v>
      </c>
      <c r="N5891" s="405" t="s">
        <v>349</v>
      </c>
      <c r="O5891" s="405" t="s">
        <v>1062</v>
      </c>
      <c r="P5891" s="405" t="s">
        <v>2918</v>
      </c>
      <c r="Q5891" s="411">
        <v>4</v>
      </c>
      <c r="R5891" s="405" t="s">
        <v>32478</v>
      </c>
      <c r="S5891" s="405" t="s">
        <v>27189</v>
      </c>
      <c r="T5891" s="405" t="s">
        <v>32102</v>
      </c>
      <c r="U5891" s="405" t="s">
        <v>319</v>
      </c>
    </row>
    <row r="5892" spans="1:21" x14ac:dyDescent="0.25">
      <c r="A5892" s="405" t="s">
        <v>310</v>
      </c>
      <c r="B5892" s="405" t="s">
        <v>4440</v>
      </c>
      <c r="C5892" s="405" t="s">
        <v>327</v>
      </c>
      <c r="D5892" s="405"/>
      <c r="E5892" s="410">
        <v>41474</v>
      </c>
      <c r="F5892" s="410">
        <v>41519</v>
      </c>
      <c r="G5892" s="405" t="s">
        <v>4441</v>
      </c>
      <c r="H5892" s="405">
        <v>772637095</v>
      </c>
      <c r="I5892" s="405"/>
      <c r="J5892" s="405">
        <v>1.190218</v>
      </c>
      <c r="K5892" s="405">
        <v>31.564053000000001</v>
      </c>
      <c r="L5892" s="405" t="s">
        <v>314</v>
      </c>
      <c r="M5892" s="405" t="s">
        <v>1360</v>
      </c>
      <c r="N5892" s="405" t="s">
        <v>3545</v>
      </c>
      <c r="O5892" s="405" t="s">
        <v>3545</v>
      </c>
      <c r="P5892" s="405" t="s">
        <v>4442</v>
      </c>
      <c r="Q5892" s="411">
        <v>6</v>
      </c>
      <c r="R5892" s="405" t="s">
        <v>318</v>
      </c>
      <c r="S5892" s="405" t="s">
        <v>27137</v>
      </c>
      <c r="T5892" s="405" t="s">
        <v>32102</v>
      </c>
      <c r="U5892" s="405" t="s">
        <v>319</v>
      </c>
    </row>
    <row r="5893" spans="1:21" x14ac:dyDescent="0.25">
      <c r="A5893" s="405" t="s">
        <v>310</v>
      </c>
      <c r="B5893" s="405" t="s">
        <v>4433</v>
      </c>
      <c r="C5893" s="405" t="s">
        <v>327</v>
      </c>
      <c r="D5893" s="405"/>
      <c r="E5893" s="410">
        <v>41474</v>
      </c>
      <c r="F5893" s="410">
        <v>41519</v>
      </c>
      <c r="G5893" s="405" t="s">
        <v>4434</v>
      </c>
      <c r="H5893" s="405">
        <v>774171969</v>
      </c>
      <c r="I5893" s="405"/>
      <c r="J5893" s="405">
        <v>-0.20575666666666667</v>
      </c>
      <c r="K5893" s="405">
        <v>31.747681666666669</v>
      </c>
      <c r="L5893" s="405" t="s">
        <v>314</v>
      </c>
      <c r="M5893" s="405" t="s">
        <v>900</v>
      </c>
      <c r="N5893" s="405" t="s">
        <v>900</v>
      </c>
      <c r="O5893" s="405" t="s">
        <v>904</v>
      </c>
      <c r="P5893" s="405" t="s">
        <v>4435</v>
      </c>
      <c r="Q5893" s="411">
        <v>6</v>
      </c>
      <c r="R5893" s="405" t="s">
        <v>1263</v>
      </c>
      <c r="S5893" s="405" t="s">
        <v>5986</v>
      </c>
      <c r="T5893" s="405" t="s">
        <v>32102</v>
      </c>
      <c r="U5893" s="405" t="s">
        <v>319</v>
      </c>
    </row>
    <row r="5894" spans="1:21" x14ac:dyDescent="0.25">
      <c r="A5894" s="405" t="s">
        <v>310</v>
      </c>
      <c r="B5894" s="405" t="s">
        <v>12855</v>
      </c>
      <c r="C5894" s="405" t="s">
        <v>327</v>
      </c>
      <c r="D5894" s="405"/>
      <c r="E5894" s="410">
        <v>41474</v>
      </c>
      <c r="F5894" s="410">
        <v>41519</v>
      </c>
      <c r="G5894" s="405" t="s">
        <v>12856</v>
      </c>
      <c r="H5894" s="405">
        <v>783174866</v>
      </c>
      <c r="I5894" s="405">
        <v>757994125</v>
      </c>
      <c r="J5894" s="405">
        <v>1.103208</v>
      </c>
      <c r="K5894" s="405">
        <v>33.864899999999999</v>
      </c>
      <c r="L5894" s="405" t="s">
        <v>6866</v>
      </c>
      <c r="M5894" s="405" t="s">
        <v>10152</v>
      </c>
      <c r="N5894" s="405" t="s">
        <v>10153</v>
      </c>
      <c r="O5894" s="405" t="s">
        <v>4432</v>
      </c>
      <c r="P5894" s="405" t="s">
        <v>4432</v>
      </c>
      <c r="Q5894" s="411">
        <v>6</v>
      </c>
      <c r="R5894" s="405" t="s">
        <v>9541</v>
      </c>
      <c r="S5894" s="405" t="s">
        <v>27294</v>
      </c>
      <c r="T5894" s="405" t="s">
        <v>32102</v>
      </c>
      <c r="U5894" s="405" t="s">
        <v>319</v>
      </c>
    </row>
    <row r="5895" spans="1:21" x14ac:dyDescent="0.25">
      <c r="A5895" s="405" t="s">
        <v>310</v>
      </c>
      <c r="B5895" s="405" t="s">
        <v>12787</v>
      </c>
      <c r="C5895" s="405" t="s">
        <v>327</v>
      </c>
      <c r="D5895" s="405"/>
      <c r="E5895" s="410">
        <v>41474</v>
      </c>
      <c r="F5895" s="410">
        <v>41519</v>
      </c>
      <c r="G5895" s="405" t="s">
        <v>12788</v>
      </c>
      <c r="H5895" s="405">
        <v>771858566</v>
      </c>
      <c r="I5895" s="405"/>
      <c r="J5895" s="405">
        <v>1.022494</v>
      </c>
      <c r="K5895" s="405">
        <v>34.082963999999997</v>
      </c>
      <c r="L5895" s="405" t="s">
        <v>6866</v>
      </c>
      <c r="M5895" s="405" t="s">
        <v>9566</v>
      </c>
      <c r="N5895" s="405" t="s">
        <v>10001</v>
      </c>
      <c r="O5895" s="405" t="s">
        <v>11178</v>
      </c>
      <c r="P5895" s="405" t="s">
        <v>11321</v>
      </c>
      <c r="Q5895" s="411">
        <v>6</v>
      </c>
      <c r="R5895" s="405" t="s">
        <v>9541</v>
      </c>
      <c r="S5895" s="405" t="s">
        <v>27294</v>
      </c>
      <c r="T5895" s="405" t="s">
        <v>32102</v>
      </c>
      <c r="U5895" s="405" t="s">
        <v>319</v>
      </c>
    </row>
    <row r="5896" spans="1:21" x14ac:dyDescent="0.25">
      <c r="A5896" s="405" t="s">
        <v>310</v>
      </c>
      <c r="B5896" s="405" t="s">
        <v>12813</v>
      </c>
      <c r="C5896" s="405" t="s">
        <v>327</v>
      </c>
      <c r="D5896" s="405"/>
      <c r="E5896" s="410">
        <v>41474</v>
      </c>
      <c r="F5896" s="410">
        <v>41519</v>
      </c>
      <c r="G5896" s="405" t="s">
        <v>12814</v>
      </c>
      <c r="H5896" s="405">
        <v>700478065</v>
      </c>
      <c r="I5896" s="405"/>
      <c r="J5896" s="405">
        <v>0.97623099999999996</v>
      </c>
      <c r="K5896" s="405">
        <v>34.169361000000002</v>
      </c>
      <c r="L5896" s="405" t="s">
        <v>6866</v>
      </c>
      <c r="M5896" s="405" t="s">
        <v>9514</v>
      </c>
      <c r="N5896" s="405" t="s">
        <v>9616</v>
      </c>
      <c r="O5896" s="405" t="s">
        <v>10567</v>
      </c>
      <c r="P5896" s="405" t="s">
        <v>9729</v>
      </c>
      <c r="Q5896" s="411">
        <v>6</v>
      </c>
      <c r="R5896" s="405" t="s">
        <v>7224</v>
      </c>
      <c r="S5896" s="405" t="s">
        <v>27204</v>
      </c>
      <c r="T5896" s="405" t="s">
        <v>32102</v>
      </c>
      <c r="U5896" s="405" t="s">
        <v>319</v>
      </c>
    </row>
    <row r="5897" spans="1:21" x14ac:dyDescent="0.25">
      <c r="A5897" s="405" t="s">
        <v>310</v>
      </c>
      <c r="B5897" s="405" t="s">
        <v>28062</v>
      </c>
      <c r="C5897" s="405" t="s">
        <v>327</v>
      </c>
      <c r="D5897" s="405"/>
      <c r="E5897" s="410">
        <v>41473</v>
      </c>
      <c r="F5897" s="410">
        <v>41518</v>
      </c>
      <c r="G5897" s="405" t="s">
        <v>4390</v>
      </c>
      <c r="H5897" s="405">
        <v>701580993</v>
      </c>
      <c r="I5897" s="405">
        <v>702568368</v>
      </c>
      <c r="J5897" s="405">
        <v>-9.0929999999999997E-2</v>
      </c>
      <c r="K5897" s="405">
        <v>31.949549300000001</v>
      </c>
      <c r="L5897" s="405" t="s">
        <v>314</v>
      </c>
      <c r="M5897" s="405" t="s">
        <v>900</v>
      </c>
      <c r="N5897" s="405" t="s">
        <v>900</v>
      </c>
      <c r="O5897" s="405" t="s">
        <v>900</v>
      </c>
      <c r="P5897" s="405" t="s">
        <v>4391</v>
      </c>
      <c r="Q5897" s="411">
        <v>6</v>
      </c>
      <c r="R5897" s="405" t="s">
        <v>402</v>
      </c>
      <c r="S5897" s="405" t="s">
        <v>27052</v>
      </c>
      <c r="T5897" s="405" t="s">
        <v>32102</v>
      </c>
      <c r="U5897" s="405" t="s">
        <v>319</v>
      </c>
    </row>
    <row r="5898" spans="1:21" x14ac:dyDescent="0.25">
      <c r="A5898" s="405" t="s">
        <v>310</v>
      </c>
      <c r="B5898" s="405" t="s">
        <v>12817</v>
      </c>
      <c r="C5898" s="405" t="s">
        <v>327</v>
      </c>
      <c r="D5898" s="405"/>
      <c r="E5898" s="410">
        <v>41473</v>
      </c>
      <c r="F5898" s="410">
        <v>41518</v>
      </c>
      <c r="G5898" s="405" t="s">
        <v>12818</v>
      </c>
      <c r="H5898" s="405">
        <v>782787436</v>
      </c>
      <c r="I5898" s="405"/>
      <c r="J5898" s="405">
        <v>1.0989679999999999</v>
      </c>
      <c r="K5898" s="405">
        <v>34.147706999999997</v>
      </c>
      <c r="L5898" s="405" t="s">
        <v>6866</v>
      </c>
      <c r="M5898" s="405" t="s">
        <v>9514</v>
      </c>
      <c r="N5898" s="405" t="s">
        <v>9529</v>
      </c>
      <c r="O5898" s="405" t="s">
        <v>9608</v>
      </c>
      <c r="P5898" s="405" t="s">
        <v>12661</v>
      </c>
      <c r="Q5898" s="411">
        <v>4</v>
      </c>
      <c r="R5898" s="405" t="s">
        <v>7224</v>
      </c>
      <c r="S5898" s="405" t="s">
        <v>27074</v>
      </c>
      <c r="T5898" s="405" t="s">
        <v>32102</v>
      </c>
      <c r="U5898" s="405" t="s">
        <v>319</v>
      </c>
    </row>
    <row r="5899" spans="1:21" x14ac:dyDescent="0.25">
      <c r="A5899" s="405" t="s">
        <v>310</v>
      </c>
      <c r="B5899" s="405" t="s">
        <v>4198</v>
      </c>
      <c r="C5899" s="405" t="s">
        <v>327</v>
      </c>
      <c r="D5899" s="405"/>
      <c r="E5899" s="410">
        <v>41472</v>
      </c>
      <c r="F5899" s="410">
        <v>41517</v>
      </c>
      <c r="G5899" s="405" t="s">
        <v>4199</v>
      </c>
      <c r="H5899" s="405">
        <v>754153434</v>
      </c>
      <c r="I5899" s="405"/>
      <c r="J5899" s="405">
        <v>-0.20575666666666667</v>
      </c>
      <c r="K5899" s="405">
        <v>31.747681666666669</v>
      </c>
      <c r="L5899" s="405" t="s">
        <v>314</v>
      </c>
      <c r="M5899" s="405" t="s">
        <v>900</v>
      </c>
      <c r="N5899" s="405" t="s">
        <v>900</v>
      </c>
      <c r="O5899" s="405" t="s">
        <v>900</v>
      </c>
      <c r="P5899" s="405" t="s">
        <v>1120</v>
      </c>
      <c r="Q5899" s="411">
        <v>9</v>
      </c>
      <c r="R5899" s="405" t="s">
        <v>1263</v>
      </c>
      <c r="S5899" s="405" t="s">
        <v>27045</v>
      </c>
      <c r="T5899" s="405" t="s">
        <v>32102</v>
      </c>
      <c r="U5899" s="405" t="s">
        <v>319</v>
      </c>
    </row>
    <row r="5900" spans="1:21" x14ac:dyDescent="0.25">
      <c r="A5900" s="405" t="s">
        <v>310</v>
      </c>
      <c r="B5900" s="405" t="s">
        <v>12662</v>
      </c>
      <c r="C5900" s="405" t="s">
        <v>327</v>
      </c>
      <c r="D5900" s="405"/>
      <c r="E5900" s="410">
        <v>41472</v>
      </c>
      <c r="F5900" s="410">
        <v>41517</v>
      </c>
      <c r="G5900" s="405" t="s">
        <v>12663</v>
      </c>
      <c r="H5900" s="405">
        <v>702892006</v>
      </c>
      <c r="I5900" s="405"/>
      <c r="J5900" s="405">
        <v>1.021363</v>
      </c>
      <c r="K5900" s="405">
        <v>34.186067000000001</v>
      </c>
      <c r="L5900" s="405" t="s">
        <v>6866</v>
      </c>
      <c r="M5900" s="405" t="s">
        <v>9514</v>
      </c>
      <c r="N5900" s="405" t="s">
        <v>9529</v>
      </c>
      <c r="O5900" s="405" t="s">
        <v>9571</v>
      </c>
      <c r="P5900" s="405" t="s">
        <v>9695</v>
      </c>
      <c r="Q5900" s="411">
        <v>6</v>
      </c>
      <c r="R5900" s="405" t="s">
        <v>7224</v>
      </c>
      <c r="S5900" s="405" t="s">
        <v>27203</v>
      </c>
      <c r="T5900" s="405" t="s">
        <v>32102</v>
      </c>
      <c r="U5900" s="405" t="s">
        <v>319</v>
      </c>
    </row>
    <row r="5901" spans="1:21" x14ac:dyDescent="0.25">
      <c r="A5901" s="405" t="s">
        <v>310</v>
      </c>
      <c r="B5901" s="405" t="s">
        <v>27538</v>
      </c>
      <c r="C5901" s="405" t="s">
        <v>327</v>
      </c>
      <c r="D5901" s="405"/>
      <c r="E5901" s="410">
        <v>41472</v>
      </c>
      <c r="F5901" s="410">
        <v>41517</v>
      </c>
      <c r="G5901" s="405" t="s">
        <v>12651</v>
      </c>
      <c r="H5901" s="405">
        <v>782643834</v>
      </c>
      <c r="I5901" s="405"/>
      <c r="J5901" s="405">
        <v>1.5187619999999999</v>
      </c>
      <c r="K5901" s="405">
        <v>33.816608000000002</v>
      </c>
      <c r="L5901" s="405" t="s">
        <v>6866</v>
      </c>
      <c r="M5901" s="405" t="s">
        <v>10012</v>
      </c>
      <c r="N5901" s="405" t="s">
        <v>10012</v>
      </c>
      <c r="O5901" s="405" t="s">
        <v>10779</v>
      </c>
      <c r="P5901" s="405" t="s">
        <v>10869</v>
      </c>
      <c r="Q5901" s="411">
        <v>4</v>
      </c>
      <c r="R5901" s="405" t="s">
        <v>9541</v>
      </c>
      <c r="S5901" s="405" t="s">
        <v>27294</v>
      </c>
      <c r="T5901" s="405" t="s">
        <v>32102</v>
      </c>
      <c r="U5901" s="405" t="s">
        <v>319</v>
      </c>
    </row>
    <row r="5902" spans="1:21" x14ac:dyDescent="0.25">
      <c r="A5902" s="405" t="s">
        <v>310</v>
      </c>
      <c r="B5902" s="405" t="s">
        <v>21321</v>
      </c>
      <c r="C5902" s="405" t="s">
        <v>327</v>
      </c>
      <c r="D5902" s="405"/>
      <c r="E5902" s="410">
        <v>41471</v>
      </c>
      <c r="F5902" s="410">
        <v>41516</v>
      </c>
      <c r="G5902" s="405" t="s">
        <v>21322</v>
      </c>
      <c r="H5902" s="405">
        <v>772929468</v>
      </c>
      <c r="I5902" s="405">
        <v>782016920</v>
      </c>
      <c r="J5902" s="405">
        <v>-0.83334799999999998</v>
      </c>
      <c r="K5902" s="405">
        <v>30.129196</v>
      </c>
      <c r="L5902" s="405" t="s">
        <v>590</v>
      </c>
      <c r="M5902" s="405" t="s">
        <v>19659</v>
      </c>
      <c r="N5902" s="405" t="s">
        <v>19604</v>
      </c>
      <c r="O5902" s="405" t="s">
        <v>21323</v>
      </c>
      <c r="P5902" s="405" t="s">
        <v>21324</v>
      </c>
      <c r="Q5902" s="411">
        <v>13</v>
      </c>
      <c r="R5902" s="405" t="s">
        <v>967</v>
      </c>
      <c r="S5902" s="405" t="s">
        <v>27401</v>
      </c>
      <c r="T5902" s="405" t="s">
        <v>32102</v>
      </c>
      <c r="U5902" s="405" t="s">
        <v>319</v>
      </c>
    </row>
    <row r="5903" spans="1:21" x14ac:dyDescent="0.25">
      <c r="A5903" s="405" t="s">
        <v>310</v>
      </c>
      <c r="B5903" s="405" t="s">
        <v>21301</v>
      </c>
      <c r="C5903" s="405" t="s">
        <v>327</v>
      </c>
      <c r="D5903" s="405"/>
      <c r="E5903" s="410">
        <v>41471</v>
      </c>
      <c r="F5903" s="410">
        <v>41516</v>
      </c>
      <c r="G5903" s="405" t="s">
        <v>21302</v>
      </c>
      <c r="H5903" s="405">
        <v>701564172</v>
      </c>
      <c r="I5903" s="405"/>
      <c r="J5903" s="405">
        <v>-0.92480200000000001</v>
      </c>
      <c r="K5903" s="405">
        <v>30.809508999999998</v>
      </c>
      <c r="L5903" s="405" t="s">
        <v>590</v>
      </c>
      <c r="M5903" s="405" t="s">
        <v>879</v>
      </c>
      <c r="N5903" s="405" t="s">
        <v>12376</v>
      </c>
      <c r="O5903" s="405" t="s">
        <v>20176</v>
      </c>
      <c r="P5903" s="405" t="s">
        <v>21303</v>
      </c>
      <c r="Q5903" s="411">
        <v>12</v>
      </c>
      <c r="R5903" s="405" t="s">
        <v>333</v>
      </c>
      <c r="S5903" s="405" t="s">
        <v>27164</v>
      </c>
      <c r="T5903" s="405" t="s">
        <v>32102</v>
      </c>
      <c r="U5903" s="405" t="s">
        <v>319</v>
      </c>
    </row>
    <row r="5904" spans="1:21" x14ac:dyDescent="0.25">
      <c r="A5904" s="405" t="s">
        <v>310</v>
      </c>
      <c r="B5904" s="405" t="s">
        <v>21340</v>
      </c>
      <c r="C5904" s="405" t="s">
        <v>327</v>
      </c>
      <c r="D5904" s="405"/>
      <c r="E5904" s="410">
        <v>41471</v>
      </c>
      <c r="F5904" s="410">
        <v>41516</v>
      </c>
      <c r="G5904" s="405" t="s">
        <v>21341</v>
      </c>
      <c r="H5904" s="405">
        <v>774282195</v>
      </c>
      <c r="I5904" s="405"/>
      <c r="J5904" s="405">
        <v>7.2619000000000003E-2</v>
      </c>
      <c r="K5904" s="405">
        <v>30.518697</v>
      </c>
      <c r="L5904" s="405" t="s">
        <v>590</v>
      </c>
      <c r="M5904" s="405" t="s">
        <v>870</v>
      </c>
      <c r="N5904" s="405" t="s">
        <v>20193</v>
      </c>
      <c r="O5904" s="405" t="s">
        <v>20487</v>
      </c>
      <c r="P5904" s="405" t="s">
        <v>5876</v>
      </c>
      <c r="Q5904" s="411">
        <v>9</v>
      </c>
      <c r="R5904" s="405" t="s">
        <v>333</v>
      </c>
      <c r="S5904" s="405" t="s">
        <v>27249</v>
      </c>
      <c r="T5904" s="405" t="s">
        <v>32102</v>
      </c>
      <c r="U5904" s="405" t="s">
        <v>319</v>
      </c>
    </row>
    <row r="5905" spans="1:21" x14ac:dyDescent="0.25">
      <c r="A5905" s="405" t="s">
        <v>310</v>
      </c>
      <c r="B5905" s="405" t="s">
        <v>4285</v>
      </c>
      <c r="C5905" s="405" t="s">
        <v>327</v>
      </c>
      <c r="D5905" s="405"/>
      <c r="E5905" s="410">
        <v>41471</v>
      </c>
      <c r="F5905" s="410">
        <v>41516</v>
      </c>
      <c r="G5905" s="405" t="s">
        <v>4286</v>
      </c>
      <c r="H5905" s="405">
        <v>772435409</v>
      </c>
      <c r="I5905" s="405"/>
      <c r="J5905" s="405">
        <v>0.28159499999999998</v>
      </c>
      <c r="K5905" s="405">
        <v>32.506762000000002</v>
      </c>
      <c r="L5905" s="405" t="s">
        <v>314</v>
      </c>
      <c r="M5905" s="405" t="s">
        <v>361</v>
      </c>
      <c r="N5905" s="405" t="s">
        <v>374</v>
      </c>
      <c r="O5905" s="405" t="s">
        <v>375</v>
      </c>
      <c r="P5905" s="405" t="s">
        <v>376</v>
      </c>
      <c r="Q5905" s="411">
        <v>6</v>
      </c>
      <c r="R5905" s="405" t="s">
        <v>1263</v>
      </c>
      <c r="S5905" s="405" t="s">
        <v>27189</v>
      </c>
      <c r="T5905" s="405" t="s">
        <v>32102</v>
      </c>
      <c r="U5905" s="405" t="s">
        <v>319</v>
      </c>
    </row>
    <row r="5906" spans="1:21" x14ac:dyDescent="0.25">
      <c r="A5906" s="405" t="s">
        <v>310</v>
      </c>
      <c r="B5906" s="405" t="s">
        <v>12582</v>
      </c>
      <c r="C5906" s="405" t="s">
        <v>327</v>
      </c>
      <c r="D5906" s="405"/>
      <c r="E5906" s="410">
        <v>41471</v>
      </c>
      <c r="F5906" s="410">
        <v>41516</v>
      </c>
      <c r="G5906" s="405" t="s">
        <v>12583</v>
      </c>
      <c r="H5906" s="405">
        <v>782050130</v>
      </c>
      <c r="I5906" s="405"/>
      <c r="J5906" s="405">
        <v>1.113383</v>
      </c>
      <c r="K5906" s="405">
        <v>34.174807999999999</v>
      </c>
      <c r="L5906" s="405" t="s">
        <v>6866</v>
      </c>
      <c r="M5906" s="405" t="s">
        <v>9514</v>
      </c>
      <c r="N5906" s="405" t="s">
        <v>9529</v>
      </c>
      <c r="O5906" s="405" t="s">
        <v>9608</v>
      </c>
      <c r="P5906" s="405" t="s">
        <v>5636</v>
      </c>
      <c r="Q5906" s="411">
        <v>6</v>
      </c>
      <c r="R5906" s="405" t="s">
        <v>7224</v>
      </c>
      <c r="S5906" s="405" t="s">
        <v>17062</v>
      </c>
      <c r="T5906" s="405" t="s">
        <v>32102</v>
      </c>
      <c r="U5906" s="405" t="s">
        <v>319</v>
      </c>
    </row>
    <row r="5907" spans="1:21" x14ac:dyDescent="0.25">
      <c r="A5907" s="405" t="s">
        <v>310</v>
      </c>
      <c r="B5907" s="405" t="s">
        <v>4120</v>
      </c>
      <c r="C5907" s="405" t="s">
        <v>327</v>
      </c>
      <c r="D5907" s="405"/>
      <c r="E5907" s="410">
        <v>41471</v>
      </c>
      <c r="F5907" s="410">
        <v>41516</v>
      </c>
      <c r="G5907" s="405" t="s">
        <v>4121</v>
      </c>
      <c r="H5907" s="405">
        <v>772363910</v>
      </c>
      <c r="I5907" s="405"/>
      <c r="J5907" s="405">
        <v>0.67710700000000001</v>
      </c>
      <c r="K5907" s="405">
        <v>32.928142000000001</v>
      </c>
      <c r="L5907" s="405" t="s">
        <v>314</v>
      </c>
      <c r="M5907" s="405" t="s">
        <v>502</v>
      </c>
      <c r="N5907" s="405" t="s">
        <v>1229</v>
      </c>
      <c r="O5907" s="405" t="s">
        <v>3304</v>
      </c>
      <c r="P5907" s="405" t="s">
        <v>1313</v>
      </c>
      <c r="Q5907" s="411">
        <v>6</v>
      </c>
      <c r="R5907" s="405" t="s">
        <v>1263</v>
      </c>
      <c r="S5907" s="405" t="s">
        <v>27047</v>
      </c>
      <c r="T5907" s="405" t="s">
        <v>32102</v>
      </c>
      <c r="U5907" s="405" t="s">
        <v>319</v>
      </c>
    </row>
    <row r="5908" spans="1:21" x14ac:dyDescent="0.25">
      <c r="A5908" s="405" t="s">
        <v>310</v>
      </c>
      <c r="B5908" s="405" t="s">
        <v>54</v>
      </c>
      <c r="C5908" s="405" t="s">
        <v>327</v>
      </c>
      <c r="D5908" s="405"/>
      <c r="E5908" s="410">
        <v>41471</v>
      </c>
      <c r="F5908" s="410">
        <v>41516</v>
      </c>
      <c r="G5908" s="405" t="s">
        <v>12704</v>
      </c>
      <c r="H5908" s="405">
        <v>772433683</v>
      </c>
      <c r="I5908" s="405"/>
      <c r="J5908" s="405">
        <v>1.0055350000000001</v>
      </c>
      <c r="K5908" s="405">
        <v>34.239035000000001</v>
      </c>
      <c r="L5908" s="405" t="s">
        <v>6866</v>
      </c>
      <c r="M5908" s="405" t="s">
        <v>9514</v>
      </c>
      <c r="N5908" s="405" t="s">
        <v>9529</v>
      </c>
      <c r="O5908" s="405" t="s">
        <v>9668</v>
      </c>
      <c r="P5908" s="405" t="s">
        <v>11930</v>
      </c>
      <c r="Q5908" s="411">
        <v>6</v>
      </c>
      <c r="R5908" s="405" t="s">
        <v>9541</v>
      </c>
      <c r="S5908" s="405" t="s">
        <v>27302</v>
      </c>
      <c r="T5908" s="405" t="s">
        <v>32102</v>
      </c>
      <c r="U5908" s="405" t="s">
        <v>319</v>
      </c>
    </row>
    <row r="5909" spans="1:21" x14ac:dyDescent="0.25">
      <c r="A5909" s="405" t="s">
        <v>310</v>
      </c>
      <c r="B5909" s="405" t="s">
        <v>12671</v>
      </c>
      <c r="C5909" s="405" t="s">
        <v>327</v>
      </c>
      <c r="D5909" s="405"/>
      <c r="E5909" s="410">
        <v>41471</v>
      </c>
      <c r="F5909" s="410">
        <v>41516</v>
      </c>
      <c r="G5909" s="405" t="s">
        <v>12672</v>
      </c>
      <c r="H5909" s="405">
        <v>782379796</v>
      </c>
      <c r="I5909" s="405">
        <v>782377996</v>
      </c>
      <c r="J5909" s="405">
        <v>0.66173700000000002</v>
      </c>
      <c r="K5909" s="405">
        <v>33.193742999999998</v>
      </c>
      <c r="L5909" s="405" t="s">
        <v>6866</v>
      </c>
      <c r="M5909" s="405" t="s">
        <v>9590</v>
      </c>
      <c r="N5909" s="405" t="s">
        <v>542</v>
      </c>
      <c r="O5909" s="405" t="s">
        <v>12673</v>
      </c>
      <c r="P5909" s="405" t="s">
        <v>12674</v>
      </c>
      <c r="Q5909" s="411">
        <v>6</v>
      </c>
      <c r="R5909" s="405" t="s">
        <v>32478</v>
      </c>
      <c r="S5909" s="405" t="s">
        <v>27113</v>
      </c>
      <c r="T5909" s="405" t="s">
        <v>32102</v>
      </c>
      <c r="U5909" s="405" t="s">
        <v>319</v>
      </c>
    </row>
    <row r="5910" spans="1:21" x14ac:dyDescent="0.25">
      <c r="A5910" s="405" t="s">
        <v>310</v>
      </c>
      <c r="B5910" s="405" t="s">
        <v>18687</v>
      </c>
      <c r="C5910" s="405" t="s">
        <v>327</v>
      </c>
      <c r="D5910" s="405"/>
      <c r="E5910" s="410">
        <v>41470</v>
      </c>
      <c r="F5910" s="410">
        <v>41515</v>
      </c>
      <c r="G5910" s="405" t="s">
        <v>18688</v>
      </c>
      <c r="H5910" s="405">
        <v>753300412</v>
      </c>
      <c r="I5910" s="405"/>
      <c r="J5910" s="405">
        <v>2.1395439999999999</v>
      </c>
      <c r="K5910" s="405">
        <v>32.893490999999997</v>
      </c>
      <c r="L5910" s="405" t="s">
        <v>860</v>
      </c>
      <c r="M5910" s="405" t="s">
        <v>18288</v>
      </c>
      <c r="N5910" s="405" t="s">
        <v>18586</v>
      </c>
      <c r="O5910" s="405" t="s">
        <v>18452</v>
      </c>
      <c r="P5910" s="405" t="s">
        <v>18453</v>
      </c>
      <c r="Q5910" s="411">
        <v>13</v>
      </c>
      <c r="R5910" s="405" t="s">
        <v>525</v>
      </c>
      <c r="S5910" s="405" t="s">
        <v>27243</v>
      </c>
      <c r="T5910" s="405" t="s">
        <v>32102</v>
      </c>
      <c r="U5910" s="405" t="s">
        <v>319</v>
      </c>
    </row>
    <row r="5911" spans="1:21" x14ac:dyDescent="0.25">
      <c r="A5911" s="405" t="s">
        <v>310</v>
      </c>
      <c r="B5911" s="405" t="s">
        <v>4145</v>
      </c>
      <c r="C5911" s="405" t="s">
        <v>327</v>
      </c>
      <c r="D5911" s="405"/>
      <c r="E5911" s="410">
        <v>41470</v>
      </c>
      <c r="F5911" s="410">
        <v>41515</v>
      </c>
      <c r="G5911" s="405" t="s">
        <v>4146</v>
      </c>
      <c r="H5911" s="405">
        <v>782500351</v>
      </c>
      <c r="I5911" s="405"/>
      <c r="J5911" s="405">
        <v>0.35607299999999997</v>
      </c>
      <c r="K5911" s="405">
        <v>31.991226999999999</v>
      </c>
      <c r="L5911" s="405" t="s">
        <v>314</v>
      </c>
      <c r="M5911" s="405" t="s">
        <v>675</v>
      </c>
      <c r="N5911" s="405" t="s">
        <v>675</v>
      </c>
      <c r="O5911" s="405" t="s">
        <v>4147</v>
      </c>
      <c r="P5911" s="405" t="s">
        <v>4148</v>
      </c>
      <c r="Q5911" s="411">
        <v>13</v>
      </c>
      <c r="R5911" s="405" t="s">
        <v>32476</v>
      </c>
      <c r="S5911" s="405" t="s">
        <v>27039</v>
      </c>
      <c r="T5911" s="405" t="s">
        <v>32102</v>
      </c>
      <c r="U5911" s="405" t="s">
        <v>319</v>
      </c>
    </row>
    <row r="5912" spans="1:21" x14ac:dyDescent="0.25">
      <c r="A5912" s="405" t="s">
        <v>310</v>
      </c>
      <c r="B5912" s="405" t="s">
        <v>4203</v>
      </c>
      <c r="C5912" s="405" t="s">
        <v>327</v>
      </c>
      <c r="D5912" s="405"/>
      <c r="E5912" s="410">
        <v>41470</v>
      </c>
      <c r="F5912" s="410">
        <v>41515</v>
      </c>
      <c r="G5912" s="405" t="s">
        <v>4204</v>
      </c>
      <c r="H5912" s="405">
        <v>703412057</v>
      </c>
      <c r="I5912" s="405">
        <v>752412057</v>
      </c>
      <c r="J5912" s="405">
        <v>-0.34218700000000002</v>
      </c>
      <c r="K5912" s="405">
        <v>31.667207999999999</v>
      </c>
      <c r="L5912" s="405" t="s">
        <v>314</v>
      </c>
      <c r="M5912" s="405" t="s">
        <v>1189</v>
      </c>
      <c r="N5912" s="405" t="s">
        <v>1481</v>
      </c>
      <c r="O5912" s="405" t="s">
        <v>1581</v>
      </c>
      <c r="P5912" s="405" t="s">
        <v>2025</v>
      </c>
      <c r="Q5912" s="411">
        <v>6</v>
      </c>
      <c r="R5912" s="405" t="s">
        <v>402</v>
      </c>
      <c r="S5912" s="405" t="s">
        <v>27164</v>
      </c>
      <c r="T5912" s="405" t="s">
        <v>32102</v>
      </c>
      <c r="U5912" s="405" t="s">
        <v>319</v>
      </c>
    </row>
    <row r="5913" spans="1:21" x14ac:dyDescent="0.25">
      <c r="A5913" s="405" t="s">
        <v>310</v>
      </c>
      <c r="B5913" s="405" t="s">
        <v>12690</v>
      </c>
      <c r="C5913" s="405" t="s">
        <v>327</v>
      </c>
      <c r="D5913" s="405"/>
      <c r="E5913" s="410">
        <v>41470</v>
      </c>
      <c r="F5913" s="410">
        <v>41515</v>
      </c>
      <c r="G5913" s="405" t="s">
        <v>12691</v>
      </c>
      <c r="H5913" s="405">
        <v>701581227</v>
      </c>
      <c r="I5913" s="405"/>
      <c r="J5913" s="405">
        <v>1.17475</v>
      </c>
      <c r="K5913" s="405">
        <v>33.666693000000002</v>
      </c>
      <c r="L5913" s="405" t="s">
        <v>6866</v>
      </c>
      <c r="M5913" s="405" t="s">
        <v>9509</v>
      </c>
      <c r="N5913" s="405" t="s">
        <v>9509</v>
      </c>
      <c r="O5913" s="405" t="s">
        <v>9857</v>
      </c>
      <c r="P5913" s="405" t="s">
        <v>12692</v>
      </c>
      <c r="Q5913" s="411">
        <v>6</v>
      </c>
      <c r="R5913" s="405" t="s">
        <v>9541</v>
      </c>
      <c r="S5913" s="405" t="s">
        <v>27315</v>
      </c>
      <c r="T5913" s="405" t="s">
        <v>32102</v>
      </c>
      <c r="U5913" s="405" t="s">
        <v>319</v>
      </c>
    </row>
    <row r="5914" spans="1:21" x14ac:dyDescent="0.25">
      <c r="A5914" s="405" t="s">
        <v>310</v>
      </c>
      <c r="B5914" s="405" t="s">
        <v>21286</v>
      </c>
      <c r="C5914" s="405" t="s">
        <v>327</v>
      </c>
      <c r="D5914" s="405"/>
      <c r="E5914" s="410">
        <v>41470</v>
      </c>
      <c r="F5914" s="410">
        <v>41515</v>
      </c>
      <c r="G5914" s="405" t="s">
        <v>21287</v>
      </c>
      <c r="H5914" s="405">
        <v>782346223</v>
      </c>
      <c r="I5914" s="405"/>
      <c r="J5914" s="405">
        <v>0.47726099999999999</v>
      </c>
      <c r="K5914" s="405">
        <v>30.187228000000001</v>
      </c>
      <c r="L5914" s="405" t="s">
        <v>590</v>
      </c>
      <c r="M5914" s="405" t="s">
        <v>20125</v>
      </c>
      <c r="N5914" s="405" t="s">
        <v>20866</v>
      </c>
      <c r="O5914" s="405" t="s">
        <v>21284</v>
      </c>
      <c r="P5914" s="405" t="s">
        <v>21288</v>
      </c>
      <c r="Q5914" s="411">
        <v>6</v>
      </c>
      <c r="R5914" s="405" t="s">
        <v>20774</v>
      </c>
      <c r="S5914" s="405" t="s">
        <v>27116</v>
      </c>
      <c r="T5914" s="405" t="s">
        <v>32102</v>
      </c>
      <c r="U5914" s="405" t="s">
        <v>319</v>
      </c>
    </row>
    <row r="5915" spans="1:21" x14ac:dyDescent="0.25">
      <c r="A5915" s="405" t="s">
        <v>310</v>
      </c>
      <c r="B5915" s="405" t="s">
        <v>18692</v>
      </c>
      <c r="C5915" s="405" t="s">
        <v>327</v>
      </c>
      <c r="D5915" s="405"/>
      <c r="E5915" s="410">
        <v>41469</v>
      </c>
      <c r="F5915" s="410">
        <v>41514</v>
      </c>
      <c r="G5915" s="405" t="s">
        <v>18693</v>
      </c>
      <c r="H5915" s="405">
        <v>772605946</v>
      </c>
      <c r="I5915" s="405">
        <v>753669410</v>
      </c>
      <c r="J5915" s="405">
        <v>1.939484</v>
      </c>
      <c r="K5915" s="405">
        <v>33.138415999999999</v>
      </c>
      <c r="L5915" s="405" t="s">
        <v>860</v>
      </c>
      <c r="M5915" s="405" t="s">
        <v>12189</v>
      </c>
      <c r="N5915" s="405" t="s">
        <v>18270</v>
      </c>
      <c r="O5915" s="405" t="s">
        <v>18632</v>
      </c>
      <c r="P5915" s="405" t="s">
        <v>18694</v>
      </c>
      <c r="Q5915" s="411">
        <v>13</v>
      </c>
      <c r="R5915" s="405" t="s">
        <v>525</v>
      </c>
      <c r="S5915" s="405" t="s">
        <v>27243</v>
      </c>
      <c r="T5915" s="405" t="s">
        <v>32102</v>
      </c>
      <c r="U5915" s="405" t="s">
        <v>319</v>
      </c>
    </row>
    <row r="5916" spans="1:21" x14ac:dyDescent="0.25">
      <c r="A5916" s="405" t="s">
        <v>310</v>
      </c>
      <c r="B5916" s="405" t="s">
        <v>27805</v>
      </c>
      <c r="C5916" s="405" t="s">
        <v>327</v>
      </c>
      <c r="D5916" s="405"/>
      <c r="E5916" s="410">
        <v>41469</v>
      </c>
      <c r="F5916" s="410">
        <v>41514</v>
      </c>
      <c r="G5916" s="405" t="s">
        <v>12658</v>
      </c>
      <c r="H5916" s="405">
        <v>779085777</v>
      </c>
      <c r="I5916" s="405">
        <v>702182131</v>
      </c>
      <c r="J5916" s="405">
        <v>0.91841300000000003</v>
      </c>
      <c r="K5916" s="405">
        <v>34.163550000000001</v>
      </c>
      <c r="L5916" s="405" t="s">
        <v>6866</v>
      </c>
      <c r="M5916" s="405" t="s">
        <v>9514</v>
      </c>
      <c r="N5916" s="405" t="s">
        <v>9529</v>
      </c>
      <c r="O5916" s="405" t="s">
        <v>10567</v>
      </c>
      <c r="P5916" s="405" t="s">
        <v>9923</v>
      </c>
      <c r="Q5916" s="411">
        <v>13</v>
      </c>
      <c r="R5916" s="405" t="s">
        <v>7224</v>
      </c>
      <c r="S5916" s="405" t="s">
        <v>27107</v>
      </c>
      <c r="T5916" s="405" t="s">
        <v>32102</v>
      </c>
      <c r="U5916" s="405" t="s">
        <v>319</v>
      </c>
    </row>
    <row r="5917" spans="1:21" x14ac:dyDescent="0.25">
      <c r="A5917" s="405" t="s">
        <v>310</v>
      </c>
      <c r="B5917" s="405" t="s">
        <v>28059</v>
      </c>
      <c r="C5917" s="405" t="s">
        <v>327</v>
      </c>
      <c r="D5917" s="405"/>
      <c r="E5917" s="410">
        <v>41469</v>
      </c>
      <c r="F5917" s="410">
        <v>41514</v>
      </c>
      <c r="G5917" s="405" t="s">
        <v>4168</v>
      </c>
      <c r="H5917" s="405">
        <v>774803402</v>
      </c>
      <c r="I5917" s="405"/>
      <c r="J5917" s="405">
        <v>5.2719999999999998E-3</v>
      </c>
      <c r="K5917" s="405">
        <v>32.000062999999997</v>
      </c>
      <c r="L5917" s="405" t="s">
        <v>314</v>
      </c>
      <c r="M5917" s="405" t="s">
        <v>321</v>
      </c>
      <c r="N5917" s="405" t="s">
        <v>2136</v>
      </c>
      <c r="O5917" s="405" t="s">
        <v>2436</v>
      </c>
      <c r="P5917" s="405" t="s">
        <v>3971</v>
      </c>
      <c r="Q5917" s="411">
        <v>9</v>
      </c>
      <c r="R5917" s="405" t="s">
        <v>402</v>
      </c>
      <c r="S5917" s="405" t="s">
        <v>27181</v>
      </c>
      <c r="T5917" s="405" t="s">
        <v>32102</v>
      </c>
      <c r="U5917" s="405" t="s">
        <v>319</v>
      </c>
    </row>
    <row r="5918" spans="1:21" x14ac:dyDescent="0.25">
      <c r="A5918" s="405" t="s">
        <v>310</v>
      </c>
      <c r="B5918" s="405" t="s">
        <v>12643</v>
      </c>
      <c r="C5918" s="405" t="s">
        <v>327</v>
      </c>
      <c r="D5918" s="405"/>
      <c r="E5918" s="410">
        <v>41469</v>
      </c>
      <c r="F5918" s="410">
        <v>41514</v>
      </c>
      <c r="G5918" s="405" t="s">
        <v>12644</v>
      </c>
      <c r="H5918" s="405">
        <v>774151801</v>
      </c>
      <c r="I5918" s="405"/>
      <c r="J5918" s="405">
        <v>1.446232</v>
      </c>
      <c r="K5918" s="405">
        <v>33.791992</v>
      </c>
      <c r="L5918" s="405" t="s">
        <v>6866</v>
      </c>
      <c r="M5918" s="405" t="s">
        <v>10012</v>
      </c>
      <c r="N5918" s="405" t="s">
        <v>10012</v>
      </c>
      <c r="O5918" s="405" t="s">
        <v>10012</v>
      </c>
      <c r="P5918" s="405" t="s">
        <v>10365</v>
      </c>
      <c r="Q5918" s="411">
        <v>6</v>
      </c>
      <c r="R5918" s="405" t="s">
        <v>9541</v>
      </c>
      <c r="S5918" s="405" t="s">
        <v>27338</v>
      </c>
      <c r="T5918" s="405" t="s">
        <v>32102</v>
      </c>
      <c r="U5918" s="405" t="s">
        <v>319</v>
      </c>
    </row>
    <row r="5919" spans="1:21" x14ac:dyDescent="0.25">
      <c r="A5919" s="405" t="s">
        <v>310</v>
      </c>
      <c r="B5919" s="405" t="s">
        <v>12621</v>
      </c>
      <c r="C5919" s="405" t="s">
        <v>327</v>
      </c>
      <c r="D5919" s="405"/>
      <c r="E5919" s="410">
        <v>41469</v>
      </c>
      <c r="F5919" s="410">
        <v>41514</v>
      </c>
      <c r="G5919" s="405" t="s">
        <v>12622</v>
      </c>
      <c r="H5919" s="405">
        <v>777221993</v>
      </c>
      <c r="I5919" s="405"/>
      <c r="J5919" s="405">
        <v>1.50562</v>
      </c>
      <c r="K5919" s="405">
        <v>33.98359</v>
      </c>
      <c r="L5919" s="405" t="s">
        <v>6866</v>
      </c>
      <c r="M5919" s="405" t="s">
        <v>10029</v>
      </c>
      <c r="N5919" s="405" t="s">
        <v>10029</v>
      </c>
      <c r="O5919" s="405" t="s">
        <v>10435</v>
      </c>
      <c r="P5919" s="405" t="s">
        <v>12195</v>
      </c>
      <c r="Q5919" s="411">
        <v>6</v>
      </c>
      <c r="R5919" s="405" t="s">
        <v>9541</v>
      </c>
      <c r="S5919" s="405" t="s">
        <v>27297</v>
      </c>
      <c r="T5919" s="405" t="s">
        <v>32102</v>
      </c>
      <c r="U5919" s="405" t="s">
        <v>319</v>
      </c>
    </row>
    <row r="5920" spans="1:21" x14ac:dyDescent="0.25">
      <c r="A5920" s="405" t="s">
        <v>310</v>
      </c>
      <c r="B5920" s="405" t="s">
        <v>12625</v>
      </c>
      <c r="C5920" s="405" t="s">
        <v>327</v>
      </c>
      <c r="D5920" s="405"/>
      <c r="E5920" s="410">
        <v>41469</v>
      </c>
      <c r="F5920" s="410">
        <v>41514</v>
      </c>
      <c r="G5920" s="405" t="s">
        <v>12626</v>
      </c>
      <c r="H5920" s="405">
        <v>781540286</v>
      </c>
      <c r="I5920" s="405"/>
      <c r="J5920" s="405">
        <v>1.524553</v>
      </c>
      <c r="K5920" s="405">
        <v>34.032912000000003</v>
      </c>
      <c r="L5920" s="405" t="s">
        <v>6866</v>
      </c>
      <c r="M5920" s="405" t="s">
        <v>10029</v>
      </c>
      <c r="N5920" s="405" t="s">
        <v>10029</v>
      </c>
      <c r="O5920" s="405" t="s">
        <v>10435</v>
      </c>
      <c r="P5920" s="405" t="s">
        <v>12197</v>
      </c>
      <c r="Q5920" s="411">
        <v>4</v>
      </c>
      <c r="R5920" s="405" t="s">
        <v>7224</v>
      </c>
      <c r="S5920" s="405" t="s">
        <v>27298</v>
      </c>
      <c r="T5920" s="405" t="s">
        <v>32102</v>
      </c>
      <c r="U5920" s="405" t="s">
        <v>319</v>
      </c>
    </row>
    <row r="5921" spans="1:21" x14ac:dyDescent="0.25">
      <c r="A5921" s="405" t="s">
        <v>310</v>
      </c>
      <c r="B5921" s="405" t="s">
        <v>12659</v>
      </c>
      <c r="C5921" s="405" t="s">
        <v>327</v>
      </c>
      <c r="D5921" s="405"/>
      <c r="E5921" s="410">
        <v>41469</v>
      </c>
      <c r="F5921" s="410">
        <v>41514</v>
      </c>
      <c r="G5921" s="405" t="s">
        <v>12660</v>
      </c>
      <c r="H5921" s="405">
        <v>772948320</v>
      </c>
      <c r="I5921" s="405"/>
      <c r="J5921" s="405">
        <v>1.098992</v>
      </c>
      <c r="K5921" s="405">
        <v>34.146698000000001</v>
      </c>
      <c r="L5921" s="405" t="s">
        <v>6866</v>
      </c>
      <c r="M5921" s="405" t="s">
        <v>9514</v>
      </c>
      <c r="N5921" s="405" t="s">
        <v>9529</v>
      </c>
      <c r="O5921" s="405" t="s">
        <v>9608</v>
      </c>
      <c r="P5921" s="405" t="s">
        <v>12661</v>
      </c>
      <c r="Q5921" s="411">
        <v>4</v>
      </c>
      <c r="R5921" s="405" t="s">
        <v>7224</v>
      </c>
      <c r="S5921" s="405" t="s">
        <v>27074</v>
      </c>
      <c r="T5921" s="405" t="s">
        <v>32102</v>
      </c>
      <c r="U5921" s="405" t="s">
        <v>319</v>
      </c>
    </row>
    <row r="5922" spans="1:21" x14ac:dyDescent="0.25">
      <c r="A5922" s="405" t="s">
        <v>310</v>
      </c>
      <c r="B5922" s="405" t="s">
        <v>27581</v>
      </c>
      <c r="C5922" s="405" t="s">
        <v>327</v>
      </c>
      <c r="D5922" s="405"/>
      <c r="E5922" s="410">
        <v>41468</v>
      </c>
      <c r="F5922" s="410">
        <v>41513</v>
      </c>
      <c r="G5922" s="405" t="s">
        <v>21280</v>
      </c>
      <c r="H5922" s="405">
        <v>706213321</v>
      </c>
      <c r="I5922" s="405"/>
      <c r="J5922" s="405">
        <v>-0.66197099999999998</v>
      </c>
      <c r="K5922" s="405">
        <v>30.693887</v>
      </c>
      <c r="L5922" s="405" t="s">
        <v>590</v>
      </c>
      <c r="M5922" s="405" t="s">
        <v>879</v>
      </c>
      <c r="N5922" s="405" t="s">
        <v>880</v>
      </c>
      <c r="O5922" s="405" t="s">
        <v>881</v>
      </c>
      <c r="P5922" s="405" t="s">
        <v>21281</v>
      </c>
      <c r="Q5922" s="411">
        <v>9</v>
      </c>
      <c r="R5922" s="405" t="s">
        <v>333</v>
      </c>
      <c r="S5922" s="405" t="s">
        <v>27051</v>
      </c>
      <c r="T5922" s="405" t="s">
        <v>32102</v>
      </c>
      <c r="U5922" s="405" t="s">
        <v>319</v>
      </c>
    </row>
    <row r="5923" spans="1:21" x14ac:dyDescent="0.25">
      <c r="A5923" s="405" t="s">
        <v>310</v>
      </c>
      <c r="B5923" s="405" t="s">
        <v>28210</v>
      </c>
      <c r="C5923" s="405" t="s">
        <v>327</v>
      </c>
      <c r="D5923" s="405"/>
      <c r="E5923" s="410">
        <v>41468</v>
      </c>
      <c r="F5923" s="410">
        <v>41513</v>
      </c>
      <c r="G5923" s="405" t="s">
        <v>18706</v>
      </c>
      <c r="H5923" s="405">
        <v>70112108</v>
      </c>
      <c r="I5923" s="405">
        <v>785515227</v>
      </c>
      <c r="J5923" s="405">
        <v>2.2473760999999999</v>
      </c>
      <c r="K5923" s="405">
        <v>32.892867899999999</v>
      </c>
      <c r="L5923" s="405" t="s">
        <v>860</v>
      </c>
      <c r="M5923" s="405" t="s">
        <v>18234</v>
      </c>
      <c r="N5923" s="405" t="s">
        <v>18252</v>
      </c>
      <c r="O5923" s="405" t="s">
        <v>18234</v>
      </c>
      <c r="P5923" s="405" t="s">
        <v>18707</v>
      </c>
      <c r="Q5923" s="411">
        <v>6</v>
      </c>
      <c r="R5923" s="405" t="s">
        <v>525</v>
      </c>
      <c r="S5923" s="405" t="s">
        <v>27193</v>
      </c>
      <c r="T5923" s="405" t="s">
        <v>32102</v>
      </c>
      <c r="U5923" s="405" t="s">
        <v>319</v>
      </c>
    </row>
    <row r="5924" spans="1:21" x14ac:dyDescent="0.25">
      <c r="A5924" s="405" t="s">
        <v>310</v>
      </c>
      <c r="B5924" s="405" t="s">
        <v>27475</v>
      </c>
      <c r="C5924" s="405" t="s">
        <v>327</v>
      </c>
      <c r="D5924" s="405"/>
      <c r="E5924" s="410">
        <v>41468</v>
      </c>
      <c r="F5924" s="410">
        <v>41513</v>
      </c>
      <c r="G5924" s="405" t="s">
        <v>18690</v>
      </c>
      <c r="H5924" s="405">
        <v>782512329</v>
      </c>
      <c r="I5924" s="405">
        <v>786038557</v>
      </c>
      <c r="J5924" s="405">
        <v>2.2712783333333335</v>
      </c>
      <c r="K5924" s="405">
        <v>32.857259999999997</v>
      </c>
      <c r="L5924" s="405" t="s">
        <v>860</v>
      </c>
      <c r="M5924" s="405" t="s">
        <v>18234</v>
      </c>
      <c r="N5924" s="405" t="s">
        <v>18252</v>
      </c>
      <c r="O5924" s="405" t="s">
        <v>18234</v>
      </c>
      <c r="P5924" s="405" t="s">
        <v>18691</v>
      </c>
      <c r="Q5924" s="411">
        <v>6</v>
      </c>
      <c r="R5924" s="405" t="s">
        <v>318</v>
      </c>
      <c r="S5924" s="405" t="s">
        <v>27379</v>
      </c>
      <c r="T5924" s="405" t="s">
        <v>32102</v>
      </c>
      <c r="U5924" s="405" t="s">
        <v>319</v>
      </c>
    </row>
    <row r="5925" spans="1:21" x14ac:dyDescent="0.25">
      <c r="A5925" s="405" t="s">
        <v>310</v>
      </c>
      <c r="B5925" s="405" t="s">
        <v>4098</v>
      </c>
      <c r="C5925" s="405" t="s">
        <v>327</v>
      </c>
      <c r="D5925" s="405"/>
      <c r="E5925" s="410">
        <v>41468</v>
      </c>
      <c r="F5925" s="410">
        <v>41513</v>
      </c>
      <c r="G5925" s="405" t="s">
        <v>4099</v>
      </c>
      <c r="H5925" s="405">
        <v>751713257</v>
      </c>
      <c r="I5925" s="405"/>
      <c r="J5925" s="405">
        <v>0.12942699999999999</v>
      </c>
      <c r="K5925" s="405">
        <v>32.168982999999997</v>
      </c>
      <c r="L5925" s="405" t="s">
        <v>314</v>
      </c>
      <c r="M5925" s="405" t="s">
        <v>315</v>
      </c>
      <c r="N5925" s="405" t="s">
        <v>315</v>
      </c>
      <c r="O5925" s="405" t="s">
        <v>2063</v>
      </c>
      <c r="P5925" s="405" t="s">
        <v>4100</v>
      </c>
      <c r="Q5925" s="411">
        <v>6</v>
      </c>
      <c r="R5925" s="405" t="s">
        <v>318</v>
      </c>
      <c r="S5925" s="405" t="s">
        <v>27222</v>
      </c>
      <c r="T5925" s="405" t="s">
        <v>32102</v>
      </c>
      <c r="U5925" s="405" t="s">
        <v>319</v>
      </c>
    </row>
    <row r="5926" spans="1:21" x14ac:dyDescent="0.25">
      <c r="A5926" s="405" t="s">
        <v>310</v>
      </c>
      <c r="B5926" s="405" t="s">
        <v>12715</v>
      </c>
      <c r="C5926" s="405" t="s">
        <v>327</v>
      </c>
      <c r="D5926" s="405"/>
      <c r="E5926" s="410">
        <v>41468</v>
      </c>
      <c r="F5926" s="410">
        <v>41513</v>
      </c>
      <c r="G5926" s="405" t="s">
        <v>12716</v>
      </c>
      <c r="H5926" s="405">
        <v>782378745</v>
      </c>
      <c r="I5926" s="405"/>
      <c r="J5926" s="405">
        <v>0.90897399999999995</v>
      </c>
      <c r="K5926" s="405">
        <v>34.356828</v>
      </c>
      <c r="L5926" s="405" t="s">
        <v>6866</v>
      </c>
      <c r="M5926" s="405" t="s">
        <v>9763</v>
      </c>
      <c r="N5926" s="405" t="s">
        <v>9848</v>
      </c>
      <c r="O5926" s="405" t="s">
        <v>10962</v>
      </c>
      <c r="P5926" s="405" t="s">
        <v>12717</v>
      </c>
      <c r="Q5926" s="411">
        <v>4</v>
      </c>
      <c r="R5926" s="405" t="s">
        <v>7224</v>
      </c>
      <c r="S5926" s="405" t="s">
        <v>27107</v>
      </c>
      <c r="T5926" s="405" t="s">
        <v>32102</v>
      </c>
      <c r="U5926" s="405" t="s">
        <v>319</v>
      </c>
    </row>
    <row r="5927" spans="1:21" x14ac:dyDescent="0.25">
      <c r="A5927" s="405" t="s">
        <v>310</v>
      </c>
      <c r="B5927" s="405" t="s">
        <v>28839</v>
      </c>
      <c r="C5927" s="405" t="s">
        <v>327</v>
      </c>
      <c r="D5927" s="405"/>
      <c r="E5927" s="410">
        <v>41467</v>
      </c>
      <c r="F5927" s="410">
        <v>41512</v>
      </c>
      <c r="G5927" s="405" t="s">
        <v>21346</v>
      </c>
      <c r="H5927" s="405">
        <v>772689787</v>
      </c>
      <c r="I5927" s="405"/>
      <c r="J5927" s="405">
        <v>-0.85702500000000004</v>
      </c>
      <c r="K5927" s="405">
        <v>29.963052999999999</v>
      </c>
      <c r="L5927" s="405" t="s">
        <v>590</v>
      </c>
      <c r="M5927" s="405" t="s">
        <v>19619</v>
      </c>
      <c r="N5927" s="405" t="s">
        <v>19620</v>
      </c>
      <c r="O5927" s="405" t="s">
        <v>2430</v>
      </c>
      <c r="P5927" s="405" t="s">
        <v>21347</v>
      </c>
      <c r="Q5927" s="411">
        <v>13</v>
      </c>
      <c r="R5927" s="405" t="s">
        <v>1527</v>
      </c>
      <c r="S5927" s="405" t="s">
        <v>27161</v>
      </c>
      <c r="T5927" s="405" t="s">
        <v>32102</v>
      </c>
      <c r="U5927" s="405" t="s">
        <v>319</v>
      </c>
    </row>
    <row r="5928" spans="1:21" x14ac:dyDescent="0.25">
      <c r="A5928" s="405" t="s">
        <v>310</v>
      </c>
      <c r="B5928" s="405" t="s">
        <v>28024</v>
      </c>
      <c r="C5928" s="405" t="s">
        <v>327</v>
      </c>
      <c r="D5928" s="405"/>
      <c r="E5928" s="410">
        <v>41467</v>
      </c>
      <c r="F5928" s="410">
        <v>41512</v>
      </c>
      <c r="G5928" s="405" t="s">
        <v>4110</v>
      </c>
      <c r="H5928" s="405">
        <v>752111077</v>
      </c>
      <c r="I5928" s="405"/>
      <c r="J5928" s="405">
        <v>8.0704999999999999E-2</v>
      </c>
      <c r="K5928" s="405">
        <v>31.439131</v>
      </c>
      <c r="L5928" s="405" t="s">
        <v>314</v>
      </c>
      <c r="M5928" s="405" t="s">
        <v>343</v>
      </c>
      <c r="N5928" s="405" t="s">
        <v>344</v>
      </c>
      <c r="O5928" s="405" t="s">
        <v>2546</v>
      </c>
      <c r="P5928" s="405" t="s">
        <v>4111</v>
      </c>
      <c r="Q5928" s="411">
        <v>9</v>
      </c>
      <c r="R5928" s="405" t="s">
        <v>318</v>
      </c>
      <c r="S5928" s="405" t="s">
        <v>27137</v>
      </c>
      <c r="T5928" s="405" t="s">
        <v>32102</v>
      </c>
      <c r="U5928" s="405" t="s">
        <v>319</v>
      </c>
    </row>
    <row r="5929" spans="1:21" x14ac:dyDescent="0.25">
      <c r="A5929" s="405" t="s">
        <v>310</v>
      </c>
      <c r="B5929" s="405" t="s">
        <v>93</v>
      </c>
      <c r="C5929" s="405" t="s">
        <v>327</v>
      </c>
      <c r="D5929" s="405"/>
      <c r="E5929" s="410">
        <v>41467</v>
      </c>
      <c r="F5929" s="410">
        <v>41512</v>
      </c>
      <c r="G5929" s="405" t="s">
        <v>21282</v>
      </c>
      <c r="H5929" s="405">
        <v>776978974</v>
      </c>
      <c r="I5929" s="405"/>
      <c r="J5929" s="405">
        <v>-0.43478299999999998</v>
      </c>
      <c r="K5929" s="405">
        <v>30.560410000000001</v>
      </c>
      <c r="L5929" s="405" t="s">
        <v>590</v>
      </c>
      <c r="M5929" s="405" t="s">
        <v>19614</v>
      </c>
      <c r="N5929" s="405" t="s">
        <v>19615</v>
      </c>
      <c r="O5929" s="405" t="s">
        <v>19650</v>
      </c>
      <c r="P5929" s="405" t="s">
        <v>20763</v>
      </c>
      <c r="Q5929" s="411">
        <v>9</v>
      </c>
      <c r="R5929" s="405" t="s">
        <v>333</v>
      </c>
      <c r="S5929" s="405" t="s">
        <v>27160</v>
      </c>
      <c r="T5929" s="405" t="s">
        <v>32102</v>
      </c>
      <c r="U5929" s="405" t="s">
        <v>319</v>
      </c>
    </row>
    <row r="5930" spans="1:21" x14ac:dyDescent="0.25">
      <c r="A5930" s="405" t="s">
        <v>310</v>
      </c>
      <c r="B5930" s="405" t="s">
        <v>27846</v>
      </c>
      <c r="C5930" s="405" t="s">
        <v>327</v>
      </c>
      <c r="D5930" s="405"/>
      <c r="E5930" s="410">
        <v>41466</v>
      </c>
      <c r="F5930" s="410">
        <v>41511</v>
      </c>
      <c r="G5930" s="405" t="s">
        <v>12710</v>
      </c>
      <c r="H5930" s="405">
        <v>775030277</v>
      </c>
      <c r="I5930" s="405"/>
      <c r="J5930" s="405">
        <v>1.507493</v>
      </c>
      <c r="K5930" s="405">
        <v>33.953327000000002</v>
      </c>
      <c r="L5930" s="405" t="s">
        <v>6866</v>
      </c>
      <c r="M5930" s="405" t="s">
        <v>10029</v>
      </c>
      <c r="N5930" s="405" t="s">
        <v>10030</v>
      </c>
      <c r="O5930" s="405" t="s">
        <v>11728</v>
      </c>
      <c r="P5930" s="405" t="s">
        <v>12711</v>
      </c>
      <c r="Q5930" s="411">
        <v>6</v>
      </c>
      <c r="R5930" s="405" t="s">
        <v>5655</v>
      </c>
      <c r="S5930" s="405" t="s">
        <v>27072</v>
      </c>
      <c r="T5930" s="405" t="s">
        <v>32102</v>
      </c>
      <c r="U5930" s="405" t="s">
        <v>319</v>
      </c>
    </row>
    <row r="5931" spans="1:21" x14ac:dyDescent="0.25">
      <c r="A5931" s="405" t="s">
        <v>310</v>
      </c>
      <c r="B5931" s="405" t="s">
        <v>28071</v>
      </c>
      <c r="C5931" s="405" t="s">
        <v>327</v>
      </c>
      <c r="D5931" s="405"/>
      <c r="E5931" s="410">
        <v>41466</v>
      </c>
      <c r="F5931" s="410">
        <v>41511</v>
      </c>
      <c r="G5931" s="405" t="s">
        <v>4162</v>
      </c>
      <c r="H5931" s="405">
        <v>773877257</v>
      </c>
      <c r="I5931" s="405">
        <v>777296016</v>
      </c>
      <c r="J5931" s="405">
        <v>0.28735300000000003</v>
      </c>
      <c r="K5931" s="405">
        <v>33.140712000000001</v>
      </c>
      <c r="L5931" s="405" t="s">
        <v>314</v>
      </c>
      <c r="M5931" s="405" t="s">
        <v>349</v>
      </c>
      <c r="N5931" s="405" t="s">
        <v>549</v>
      </c>
      <c r="O5931" s="405" t="s">
        <v>1062</v>
      </c>
      <c r="P5931" s="405" t="s">
        <v>2724</v>
      </c>
      <c r="Q5931" s="411">
        <v>6</v>
      </c>
      <c r="R5931" s="405" t="s">
        <v>32478</v>
      </c>
      <c r="S5931" s="405" t="s">
        <v>27211</v>
      </c>
      <c r="T5931" s="405" t="s">
        <v>32102</v>
      </c>
      <c r="U5931" s="405" t="s">
        <v>319</v>
      </c>
    </row>
    <row r="5932" spans="1:21" x14ac:dyDescent="0.25">
      <c r="A5932" s="405" t="s">
        <v>310</v>
      </c>
      <c r="B5932" s="405" t="s">
        <v>4230</v>
      </c>
      <c r="C5932" s="405" t="s">
        <v>327</v>
      </c>
      <c r="D5932" s="405"/>
      <c r="E5932" s="410">
        <v>41466</v>
      </c>
      <c r="F5932" s="410">
        <v>41511</v>
      </c>
      <c r="G5932" s="405" t="s">
        <v>4231</v>
      </c>
      <c r="H5932" s="405">
        <v>775690905</v>
      </c>
      <c r="I5932" s="405"/>
      <c r="J5932" s="405">
        <v>0.64034199999999997</v>
      </c>
      <c r="K5932" s="405">
        <v>31.773422</v>
      </c>
      <c r="L5932" s="405" t="s">
        <v>314</v>
      </c>
      <c r="M5932" s="405" t="s">
        <v>445</v>
      </c>
      <c r="N5932" s="405" t="s">
        <v>570</v>
      </c>
      <c r="O5932" s="405" t="s">
        <v>2925</v>
      </c>
      <c r="P5932" s="405" t="s">
        <v>4232</v>
      </c>
      <c r="Q5932" s="411">
        <v>6</v>
      </c>
      <c r="R5932" s="405" t="s">
        <v>318</v>
      </c>
      <c r="S5932" s="405" t="s">
        <v>27174</v>
      </c>
      <c r="T5932" s="405" t="s">
        <v>32102</v>
      </c>
      <c r="U5932" s="405" t="s">
        <v>319</v>
      </c>
    </row>
    <row r="5933" spans="1:21" x14ac:dyDescent="0.25">
      <c r="A5933" s="405" t="s">
        <v>310</v>
      </c>
      <c r="B5933" s="405" t="s">
        <v>18704</v>
      </c>
      <c r="C5933" s="405" t="s">
        <v>327</v>
      </c>
      <c r="D5933" s="405"/>
      <c r="E5933" s="410">
        <v>41466</v>
      </c>
      <c r="F5933" s="410">
        <v>41511</v>
      </c>
      <c r="G5933" s="405" t="s">
        <v>18705</v>
      </c>
      <c r="H5933" s="405">
        <v>782792443</v>
      </c>
      <c r="I5933" s="405">
        <v>783306302</v>
      </c>
      <c r="J5933" s="405">
        <v>2.2661266666666666</v>
      </c>
      <c r="K5933" s="405">
        <v>32.855381666666666</v>
      </c>
      <c r="L5933" s="405" t="s">
        <v>860</v>
      </c>
      <c r="M5933" s="405" t="s">
        <v>18234</v>
      </c>
      <c r="N5933" s="405" t="s">
        <v>18252</v>
      </c>
      <c r="O5933" s="405" t="s">
        <v>18234</v>
      </c>
      <c r="P5933" s="405" t="s">
        <v>18691</v>
      </c>
      <c r="Q5933" s="411">
        <v>6</v>
      </c>
      <c r="R5933" s="405" t="s">
        <v>318</v>
      </c>
      <c r="S5933" s="405" t="s">
        <v>27359</v>
      </c>
      <c r="T5933" s="405" t="s">
        <v>32102</v>
      </c>
      <c r="U5933" s="405" t="s">
        <v>319</v>
      </c>
    </row>
    <row r="5934" spans="1:21" x14ac:dyDescent="0.25">
      <c r="A5934" s="405" t="s">
        <v>310</v>
      </c>
      <c r="B5934" s="405" t="s">
        <v>28462</v>
      </c>
      <c r="C5934" s="405" t="s">
        <v>327</v>
      </c>
      <c r="D5934" s="405"/>
      <c r="E5934" s="410">
        <v>41465</v>
      </c>
      <c r="F5934" s="410">
        <v>41510</v>
      </c>
      <c r="G5934" s="405" t="s">
        <v>21293</v>
      </c>
      <c r="H5934" s="405">
        <v>772450265</v>
      </c>
      <c r="I5934" s="405">
        <v>706863230</v>
      </c>
      <c r="J5934" s="405">
        <v>-0.123987</v>
      </c>
      <c r="K5934" s="405">
        <v>31.02637</v>
      </c>
      <c r="L5934" s="405" t="s">
        <v>590</v>
      </c>
      <c r="M5934" s="405" t="s">
        <v>19705</v>
      </c>
      <c r="N5934" s="405" t="s">
        <v>19706</v>
      </c>
      <c r="O5934" s="405" t="s">
        <v>21294</v>
      </c>
      <c r="P5934" s="405" t="s">
        <v>21295</v>
      </c>
      <c r="Q5934" s="411">
        <v>9</v>
      </c>
      <c r="R5934" s="405" t="s">
        <v>874</v>
      </c>
      <c r="S5934" s="405" t="s">
        <v>27249</v>
      </c>
      <c r="T5934" s="405" t="s">
        <v>32102</v>
      </c>
      <c r="U5934" s="405" t="s">
        <v>319</v>
      </c>
    </row>
    <row r="5935" spans="1:21" x14ac:dyDescent="0.25">
      <c r="A5935" s="405" t="s">
        <v>310</v>
      </c>
      <c r="B5935" s="405" t="s">
        <v>12712</v>
      </c>
      <c r="C5935" s="405" t="s">
        <v>327</v>
      </c>
      <c r="D5935" s="405"/>
      <c r="E5935" s="410">
        <v>41465</v>
      </c>
      <c r="F5935" s="410">
        <v>41510</v>
      </c>
      <c r="G5935" s="405" t="s">
        <v>12713</v>
      </c>
      <c r="H5935" s="405">
        <v>753343566</v>
      </c>
      <c r="I5935" s="405"/>
      <c r="J5935" s="405">
        <v>0.72661100000000001</v>
      </c>
      <c r="K5935" s="405">
        <v>34.198943999999997</v>
      </c>
      <c r="L5935" s="405" t="s">
        <v>6866</v>
      </c>
      <c r="M5935" s="405" t="s">
        <v>9534</v>
      </c>
      <c r="N5935" s="405" t="s">
        <v>10113</v>
      </c>
      <c r="O5935" s="405" t="s">
        <v>9770</v>
      </c>
      <c r="P5935" s="405" t="s">
        <v>12714</v>
      </c>
      <c r="Q5935" s="411">
        <v>9</v>
      </c>
      <c r="R5935" s="405" t="s">
        <v>7224</v>
      </c>
      <c r="S5935" s="405" t="s">
        <v>27283</v>
      </c>
      <c r="T5935" s="405" t="s">
        <v>32102</v>
      </c>
      <c r="U5935" s="405" t="s">
        <v>319</v>
      </c>
    </row>
    <row r="5936" spans="1:21" x14ac:dyDescent="0.25">
      <c r="A5936" s="405" t="s">
        <v>310</v>
      </c>
      <c r="B5936" s="405" t="s">
        <v>28143</v>
      </c>
      <c r="C5936" s="405" t="s">
        <v>327</v>
      </c>
      <c r="D5936" s="405"/>
      <c r="E5936" s="410">
        <v>41465</v>
      </c>
      <c r="F5936" s="410">
        <v>41510</v>
      </c>
      <c r="G5936" s="405" t="s">
        <v>4160</v>
      </c>
      <c r="H5936" s="405">
        <v>753911286</v>
      </c>
      <c r="I5936" s="405"/>
      <c r="J5936" s="405">
        <v>0.269563</v>
      </c>
      <c r="K5936" s="405">
        <v>33.117688000000001</v>
      </c>
      <c r="L5936" s="405" t="s">
        <v>314</v>
      </c>
      <c r="M5936" s="405" t="s">
        <v>349</v>
      </c>
      <c r="N5936" s="405" t="s">
        <v>473</v>
      </c>
      <c r="O5936" s="405" t="s">
        <v>1062</v>
      </c>
      <c r="P5936" s="405" t="s">
        <v>4161</v>
      </c>
      <c r="Q5936" s="411">
        <v>6</v>
      </c>
      <c r="R5936" s="405" t="s">
        <v>32478</v>
      </c>
      <c r="S5936" s="405" t="s">
        <v>2160</v>
      </c>
      <c r="T5936" s="405" t="s">
        <v>32102</v>
      </c>
      <c r="U5936" s="405" t="s">
        <v>319</v>
      </c>
    </row>
    <row r="5937" spans="1:21" x14ac:dyDescent="0.25">
      <c r="A5937" s="405" t="s">
        <v>310</v>
      </c>
      <c r="B5937" s="405" t="s">
        <v>28946</v>
      </c>
      <c r="C5937" s="405" t="s">
        <v>327</v>
      </c>
      <c r="D5937" s="405"/>
      <c r="E5937" s="410">
        <v>41465</v>
      </c>
      <c r="F5937" s="410">
        <v>41510</v>
      </c>
      <c r="G5937" s="405" t="s">
        <v>4258</v>
      </c>
      <c r="H5937" s="405">
        <v>752876771</v>
      </c>
      <c r="I5937" s="405"/>
      <c r="J5937" s="405">
        <v>1.192428</v>
      </c>
      <c r="K5937" s="405">
        <v>31.564983000000002</v>
      </c>
      <c r="L5937" s="405" t="s">
        <v>314</v>
      </c>
      <c r="M5937" s="405" t="s">
        <v>1360</v>
      </c>
      <c r="N5937" s="405" t="s">
        <v>3545</v>
      </c>
      <c r="O5937" s="405" t="s">
        <v>3545</v>
      </c>
      <c r="P5937" s="405" t="s">
        <v>4259</v>
      </c>
      <c r="Q5937" s="411">
        <v>6</v>
      </c>
      <c r="R5937" s="405" t="s">
        <v>318</v>
      </c>
      <c r="S5937" s="405" t="s">
        <v>27137</v>
      </c>
      <c r="T5937" s="405" t="s">
        <v>32102</v>
      </c>
      <c r="U5937" s="405" t="s">
        <v>319</v>
      </c>
    </row>
    <row r="5938" spans="1:21" x14ac:dyDescent="0.25">
      <c r="A5938" s="405" t="s">
        <v>310</v>
      </c>
      <c r="B5938" s="405" t="s">
        <v>4249</v>
      </c>
      <c r="C5938" s="405" t="s">
        <v>327</v>
      </c>
      <c r="D5938" s="405"/>
      <c r="E5938" s="410">
        <v>41465</v>
      </c>
      <c r="F5938" s="410">
        <v>41510</v>
      </c>
      <c r="G5938" s="405" t="s">
        <v>4250</v>
      </c>
      <c r="H5938" s="405">
        <v>752778166</v>
      </c>
      <c r="I5938" s="405"/>
      <c r="J5938" s="405">
        <v>0.46164699999999997</v>
      </c>
      <c r="K5938" s="405">
        <v>31.687705000000001</v>
      </c>
      <c r="L5938" s="405" t="s">
        <v>314</v>
      </c>
      <c r="M5938" s="405" t="s">
        <v>445</v>
      </c>
      <c r="N5938" s="405" t="s">
        <v>570</v>
      </c>
      <c r="O5938" s="405" t="s">
        <v>2734</v>
      </c>
      <c r="P5938" s="405" t="s">
        <v>4251</v>
      </c>
      <c r="Q5938" s="411">
        <v>6</v>
      </c>
      <c r="R5938" s="405" t="s">
        <v>2060</v>
      </c>
      <c r="S5938" s="405" t="s">
        <v>27226</v>
      </c>
      <c r="T5938" s="405" t="s">
        <v>32102</v>
      </c>
      <c r="U5938" s="405" t="s">
        <v>319</v>
      </c>
    </row>
    <row r="5939" spans="1:21" x14ac:dyDescent="0.25">
      <c r="A5939" s="405" t="s">
        <v>310</v>
      </c>
      <c r="B5939" s="405" t="s">
        <v>30</v>
      </c>
      <c r="C5939" s="405" t="s">
        <v>327</v>
      </c>
      <c r="D5939" s="405"/>
      <c r="E5939" s="410">
        <v>41465</v>
      </c>
      <c r="F5939" s="410">
        <v>41510</v>
      </c>
      <c r="G5939" s="405" t="s">
        <v>21283</v>
      </c>
      <c r="H5939" s="405">
        <v>772610054</v>
      </c>
      <c r="I5939" s="405"/>
      <c r="J5939" s="405">
        <v>0.47455199999999997</v>
      </c>
      <c r="K5939" s="405">
        <v>30.219078</v>
      </c>
      <c r="L5939" s="405" t="s">
        <v>590</v>
      </c>
      <c r="M5939" s="405" t="s">
        <v>20125</v>
      </c>
      <c r="N5939" s="405" t="s">
        <v>20866</v>
      </c>
      <c r="O5939" s="405" t="s">
        <v>21284</v>
      </c>
      <c r="P5939" s="405" t="s">
        <v>21285</v>
      </c>
      <c r="Q5939" s="411">
        <v>6</v>
      </c>
      <c r="R5939" s="405" t="s">
        <v>20774</v>
      </c>
      <c r="S5939" s="405" t="s">
        <v>27412</v>
      </c>
      <c r="T5939" s="405" t="s">
        <v>32102</v>
      </c>
      <c r="U5939" s="405" t="s">
        <v>319</v>
      </c>
    </row>
    <row r="5940" spans="1:21" x14ac:dyDescent="0.25">
      <c r="A5940" s="405" t="s">
        <v>310</v>
      </c>
      <c r="B5940" s="405" t="s">
        <v>12682</v>
      </c>
      <c r="C5940" s="405" t="s">
        <v>327</v>
      </c>
      <c r="D5940" s="405"/>
      <c r="E5940" s="410">
        <v>41465</v>
      </c>
      <c r="F5940" s="410">
        <v>41510</v>
      </c>
      <c r="G5940" s="405" t="s">
        <v>12683</v>
      </c>
      <c r="H5940" s="405">
        <v>783861419</v>
      </c>
      <c r="I5940" s="405"/>
      <c r="J5940" s="405">
        <v>1.203427</v>
      </c>
      <c r="K5940" s="405">
        <v>33.790685000000003</v>
      </c>
      <c r="L5940" s="405" t="s">
        <v>6866</v>
      </c>
      <c r="M5940" s="405" t="s">
        <v>9509</v>
      </c>
      <c r="N5940" s="405" t="s">
        <v>7352</v>
      </c>
      <c r="O5940" s="405" t="s">
        <v>7352</v>
      </c>
      <c r="P5940" s="405" t="s">
        <v>12684</v>
      </c>
      <c r="Q5940" s="411">
        <v>4</v>
      </c>
      <c r="R5940" s="405" t="s">
        <v>7224</v>
      </c>
      <c r="S5940" s="405" t="s">
        <v>27107</v>
      </c>
      <c r="T5940" s="405" t="s">
        <v>32102</v>
      </c>
      <c r="U5940" s="405" t="s">
        <v>319</v>
      </c>
    </row>
    <row r="5941" spans="1:21" x14ac:dyDescent="0.25">
      <c r="A5941" s="405" t="s">
        <v>310</v>
      </c>
      <c r="B5941" s="405" t="s">
        <v>27611</v>
      </c>
      <c r="C5941" s="405" t="s">
        <v>327</v>
      </c>
      <c r="D5941" s="405"/>
      <c r="E5941" s="410">
        <v>41464</v>
      </c>
      <c r="F5941" s="410">
        <v>41509</v>
      </c>
      <c r="G5941" s="405" t="s">
        <v>21304</v>
      </c>
      <c r="H5941" s="405">
        <v>773263771</v>
      </c>
      <c r="I5941" s="405"/>
      <c r="J5941" s="405">
        <v>-0.589445</v>
      </c>
      <c r="K5941" s="405">
        <v>30.692779000000002</v>
      </c>
      <c r="L5941" s="405" t="s">
        <v>590</v>
      </c>
      <c r="M5941" s="405" t="s">
        <v>19614</v>
      </c>
      <c r="N5941" s="405" t="s">
        <v>19873</v>
      </c>
      <c r="O5941" s="405" t="s">
        <v>20180</v>
      </c>
      <c r="P5941" s="405" t="s">
        <v>21305</v>
      </c>
      <c r="Q5941" s="411">
        <v>6</v>
      </c>
      <c r="R5941" s="405" t="s">
        <v>333</v>
      </c>
      <c r="S5941" s="405" t="s">
        <v>27410</v>
      </c>
      <c r="T5941" s="405" t="s">
        <v>32102</v>
      </c>
      <c r="U5941" s="405" t="s">
        <v>319</v>
      </c>
    </row>
    <row r="5942" spans="1:21" x14ac:dyDescent="0.25">
      <c r="A5942" s="405" t="s">
        <v>310</v>
      </c>
      <c r="B5942" s="405" t="s">
        <v>12578</v>
      </c>
      <c r="C5942" s="405" t="s">
        <v>327</v>
      </c>
      <c r="D5942" s="405"/>
      <c r="E5942" s="410">
        <v>41464</v>
      </c>
      <c r="F5942" s="410">
        <v>41509</v>
      </c>
      <c r="G5942" s="405" t="s">
        <v>12579</v>
      </c>
      <c r="H5942" s="405">
        <v>775496653</v>
      </c>
      <c r="I5942" s="405"/>
      <c r="J5942" s="405">
        <v>0.69312799999999997</v>
      </c>
      <c r="K5942" s="405">
        <v>33.923510999999998</v>
      </c>
      <c r="L5942" s="405" t="s">
        <v>6866</v>
      </c>
      <c r="M5942" s="405" t="s">
        <v>9534</v>
      </c>
      <c r="N5942" s="405" t="s">
        <v>9997</v>
      </c>
      <c r="O5942" s="405" t="s">
        <v>10918</v>
      </c>
      <c r="P5942" s="405" t="s">
        <v>12580</v>
      </c>
      <c r="Q5942" s="411">
        <v>6</v>
      </c>
      <c r="R5942" s="405" t="s">
        <v>7224</v>
      </c>
      <c r="S5942" s="405" t="s">
        <v>27306</v>
      </c>
      <c r="T5942" s="405" t="s">
        <v>32102</v>
      </c>
      <c r="U5942" s="405" t="s">
        <v>319</v>
      </c>
    </row>
    <row r="5943" spans="1:21" x14ac:dyDescent="0.25">
      <c r="A5943" s="405" t="s">
        <v>310</v>
      </c>
      <c r="B5943" s="405" t="s">
        <v>12614</v>
      </c>
      <c r="C5943" s="405" t="s">
        <v>327</v>
      </c>
      <c r="D5943" s="405"/>
      <c r="E5943" s="410">
        <v>41464</v>
      </c>
      <c r="F5943" s="410">
        <v>41509</v>
      </c>
      <c r="G5943" s="405" t="s">
        <v>12615</v>
      </c>
      <c r="H5943" s="405">
        <v>776891414</v>
      </c>
      <c r="I5943" s="405"/>
      <c r="J5943" s="405">
        <v>1.5065249999999999</v>
      </c>
      <c r="K5943" s="405">
        <v>34.022571999999997</v>
      </c>
      <c r="L5943" s="405" t="s">
        <v>6866</v>
      </c>
      <c r="M5943" s="405" t="s">
        <v>10029</v>
      </c>
      <c r="N5943" s="405" t="s">
        <v>10029</v>
      </c>
      <c r="O5943" s="405" t="s">
        <v>10435</v>
      </c>
      <c r="P5943" s="405" t="s">
        <v>12616</v>
      </c>
      <c r="Q5943" s="411">
        <v>4</v>
      </c>
      <c r="R5943" s="405" t="s">
        <v>7224</v>
      </c>
      <c r="S5943" s="405" t="s">
        <v>27298</v>
      </c>
      <c r="T5943" s="405" t="s">
        <v>32102</v>
      </c>
      <c r="U5943" s="405" t="s">
        <v>319</v>
      </c>
    </row>
    <row r="5944" spans="1:21" x14ac:dyDescent="0.25">
      <c r="A5944" s="405" t="s">
        <v>310</v>
      </c>
      <c r="B5944" s="405" t="s">
        <v>4134</v>
      </c>
      <c r="C5944" s="405" t="s">
        <v>327</v>
      </c>
      <c r="D5944" s="405"/>
      <c r="E5944" s="410">
        <v>41463</v>
      </c>
      <c r="F5944" s="410">
        <v>41508</v>
      </c>
      <c r="G5944" s="405" t="s">
        <v>4135</v>
      </c>
      <c r="H5944" s="405">
        <v>706857553</v>
      </c>
      <c r="I5944" s="405"/>
      <c r="J5944" s="405">
        <v>0.469883</v>
      </c>
      <c r="K5944" s="405">
        <v>31.811968</v>
      </c>
      <c r="L5944" s="405" t="s">
        <v>314</v>
      </c>
      <c r="M5944" s="405" t="s">
        <v>445</v>
      </c>
      <c r="N5944" s="405" t="s">
        <v>3488</v>
      </c>
      <c r="O5944" s="405" t="s">
        <v>4136</v>
      </c>
      <c r="P5944" s="405" t="s">
        <v>4136</v>
      </c>
      <c r="Q5944" s="411">
        <v>9</v>
      </c>
      <c r="R5944" s="405" t="s">
        <v>32476</v>
      </c>
      <c r="S5944" s="405" t="s">
        <v>27039</v>
      </c>
      <c r="T5944" s="405" t="s">
        <v>32102</v>
      </c>
      <c r="U5944" s="405" t="s">
        <v>319</v>
      </c>
    </row>
    <row r="5945" spans="1:21" x14ac:dyDescent="0.25">
      <c r="A5945" s="405" t="s">
        <v>310</v>
      </c>
      <c r="B5945" s="405" t="s">
        <v>4302</v>
      </c>
      <c r="C5945" s="405" t="s">
        <v>327</v>
      </c>
      <c r="D5945" s="405"/>
      <c r="E5945" s="410">
        <v>41462</v>
      </c>
      <c r="F5945" s="410">
        <v>41507</v>
      </c>
      <c r="G5945" s="405" t="s">
        <v>4303</v>
      </c>
      <c r="H5945" s="405">
        <v>712800727</v>
      </c>
      <c r="I5945" s="405"/>
      <c r="J5945" s="405">
        <v>0.60122299999999995</v>
      </c>
      <c r="K5945" s="405">
        <v>32.440457000000002</v>
      </c>
      <c r="L5945" s="405" t="s">
        <v>314</v>
      </c>
      <c r="M5945" s="405" t="s">
        <v>361</v>
      </c>
      <c r="N5945" s="405" t="s">
        <v>1308</v>
      </c>
      <c r="O5945" s="405" t="s">
        <v>2056</v>
      </c>
      <c r="P5945" s="405" t="s">
        <v>4304</v>
      </c>
      <c r="Q5945" s="411">
        <v>13</v>
      </c>
      <c r="R5945" s="405" t="s">
        <v>353</v>
      </c>
      <c r="S5945" s="405" t="s">
        <v>27049</v>
      </c>
      <c r="T5945" s="405" t="s">
        <v>32102</v>
      </c>
      <c r="U5945" s="405" t="s">
        <v>319</v>
      </c>
    </row>
    <row r="5946" spans="1:21" x14ac:dyDescent="0.25">
      <c r="A5946" s="405" t="s">
        <v>310</v>
      </c>
      <c r="B5946" s="405" t="s">
        <v>4305</v>
      </c>
      <c r="C5946" s="405" t="s">
        <v>327</v>
      </c>
      <c r="D5946" s="405"/>
      <c r="E5946" s="410">
        <v>41462</v>
      </c>
      <c r="F5946" s="410">
        <v>41507</v>
      </c>
      <c r="G5946" s="405" t="s">
        <v>4306</v>
      </c>
      <c r="H5946" s="405">
        <v>772432070</v>
      </c>
      <c r="I5946" s="405"/>
      <c r="J5946" s="405">
        <v>0.418157</v>
      </c>
      <c r="K5946" s="405">
        <v>32.479230000000001</v>
      </c>
      <c r="L5946" s="405" t="s">
        <v>314</v>
      </c>
      <c r="M5946" s="405" t="s">
        <v>361</v>
      </c>
      <c r="N5946" s="405" t="s">
        <v>374</v>
      </c>
      <c r="O5946" s="405" t="s">
        <v>361</v>
      </c>
      <c r="P5946" s="405" t="s">
        <v>4307</v>
      </c>
      <c r="Q5946" s="411">
        <v>13</v>
      </c>
      <c r="R5946" s="405" t="s">
        <v>1263</v>
      </c>
      <c r="S5946" s="405" t="s">
        <v>27210</v>
      </c>
      <c r="T5946" s="405" t="s">
        <v>32102</v>
      </c>
      <c r="U5946" s="405" t="s">
        <v>319</v>
      </c>
    </row>
    <row r="5947" spans="1:21" x14ac:dyDescent="0.25">
      <c r="A5947" s="405" t="s">
        <v>310</v>
      </c>
      <c r="B5947" s="405" t="s">
        <v>4115</v>
      </c>
      <c r="C5947" s="405" t="s">
        <v>327</v>
      </c>
      <c r="D5947" s="405"/>
      <c r="E5947" s="410">
        <v>41462</v>
      </c>
      <c r="F5947" s="410">
        <v>41507</v>
      </c>
      <c r="G5947" s="405" t="s">
        <v>4116</v>
      </c>
      <c r="H5947" s="405">
        <v>775785137</v>
      </c>
      <c r="I5947" s="405"/>
      <c r="J5947" s="405">
        <v>0.168881</v>
      </c>
      <c r="K5947" s="405">
        <v>32.029916999999998</v>
      </c>
      <c r="L5947" s="405" t="s">
        <v>314</v>
      </c>
      <c r="M5947" s="405" t="s">
        <v>339</v>
      </c>
      <c r="N5947" s="405" t="s">
        <v>339</v>
      </c>
      <c r="O5947" s="405" t="s">
        <v>2272</v>
      </c>
      <c r="P5947" s="405" t="s">
        <v>4117</v>
      </c>
      <c r="Q5947" s="411">
        <v>6</v>
      </c>
      <c r="R5947" s="405" t="s">
        <v>318</v>
      </c>
      <c r="S5947" s="405" t="s">
        <v>27134</v>
      </c>
      <c r="T5947" s="405" t="s">
        <v>32102</v>
      </c>
      <c r="U5947" s="405" t="s">
        <v>319</v>
      </c>
    </row>
    <row r="5948" spans="1:21" x14ac:dyDescent="0.25">
      <c r="A5948" s="405" t="s">
        <v>310</v>
      </c>
      <c r="B5948" s="405" t="s">
        <v>12685</v>
      </c>
      <c r="C5948" s="405" t="s">
        <v>327</v>
      </c>
      <c r="D5948" s="405"/>
      <c r="E5948" s="410">
        <v>41462</v>
      </c>
      <c r="F5948" s="410">
        <v>41507</v>
      </c>
      <c r="G5948" s="405" t="s">
        <v>12686</v>
      </c>
      <c r="H5948" s="405">
        <v>780694320</v>
      </c>
      <c r="I5948" s="405"/>
      <c r="J5948" s="405">
        <v>1.205317</v>
      </c>
      <c r="K5948" s="405">
        <v>33.790837000000003</v>
      </c>
      <c r="L5948" s="405" t="s">
        <v>6866</v>
      </c>
      <c r="M5948" s="405" t="s">
        <v>9509</v>
      </c>
      <c r="N5948" s="405" t="s">
        <v>7352</v>
      </c>
      <c r="O5948" s="405" t="s">
        <v>7352</v>
      </c>
      <c r="P5948" s="405" t="s">
        <v>12684</v>
      </c>
      <c r="Q5948" s="411">
        <v>4</v>
      </c>
      <c r="R5948" s="405" t="s">
        <v>7224</v>
      </c>
      <c r="S5948" s="405" t="s">
        <v>27107</v>
      </c>
      <c r="T5948" s="405" t="s">
        <v>32102</v>
      </c>
      <c r="U5948" s="405" t="s">
        <v>319</v>
      </c>
    </row>
    <row r="5949" spans="1:21" x14ac:dyDescent="0.25">
      <c r="A5949" s="405" t="s">
        <v>310</v>
      </c>
      <c r="B5949" s="405" t="s">
        <v>28232</v>
      </c>
      <c r="C5949" s="405" t="s">
        <v>311</v>
      </c>
      <c r="D5949" s="405" t="s">
        <v>1789</v>
      </c>
      <c r="E5949" s="410">
        <v>41462</v>
      </c>
      <c r="F5949" s="410">
        <v>41507</v>
      </c>
      <c r="G5949" s="405" t="s">
        <v>13113</v>
      </c>
      <c r="H5949" s="405">
        <v>779354129</v>
      </c>
      <c r="I5949" s="405"/>
      <c r="J5949" s="405">
        <v>0.81595600000000001</v>
      </c>
      <c r="K5949" s="405">
        <v>34.400255999999999</v>
      </c>
      <c r="L5949" s="405" t="s">
        <v>6866</v>
      </c>
      <c r="M5949" s="405" t="s">
        <v>9763</v>
      </c>
      <c r="N5949" s="405" t="s">
        <v>9848</v>
      </c>
      <c r="O5949" s="405" t="s">
        <v>11008</v>
      </c>
      <c r="P5949" s="405" t="s">
        <v>13114</v>
      </c>
      <c r="Q5949" s="411">
        <v>4</v>
      </c>
      <c r="R5949" s="405" t="s">
        <v>7224</v>
      </c>
      <c r="S5949" s="405" t="s">
        <v>27107</v>
      </c>
      <c r="T5949" s="405" t="s">
        <v>32102</v>
      </c>
      <c r="U5949" s="405" t="s">
        <v>319</v>
      </c>
    </row>
    <row r="5950" spans="1:21" x14ac:dyDescent="0.25">
      <c r="A5950" s="405" t="s">
        <v>310</v>
      </c>
      <c r="B5950" s="405" t="s">
        <v>21334</v>
      </c>
      <c r="C5950" s="405" t="s">
        <v>327</v>
      </c>
      <c r="D5950" s="405"/>
      <c r="E5950" s="410">
        <v>41461</v>
      </c>
      <c r="F5950" s="410">
        <v>41506</v>
      </c>
      <c r="G5950" s="405" t="s">
        <v>21335</v>
      </c>
      <c r="H5950" s="405">
        <v>752663426</v>
      </c>
      <c r="I5950" s="405"/>
      <c r="J5950" s="405">
        <v>7.8320000000000001E-2</v>
      </c>
      <c r="K5950" s="405">
        <v>30.472014000000001</v>
      </c>
      <c r="L5950" s="405" t="s">
        <v>590</v>
      </c>
      <c r="M5950" s="405" t="s">
        <v>870</v>
      </c>
      <c r="N5950" s="405" t="s">
        <v>20193</v>
      </c>
      <c r="O5950" s="405" t="s">
        <v>20487</v>
      </c>
      <c r="P5950" s="405" t="s">
        <v>21336</v>
      </c>
      <c r="Q5950" s="411">
        <v>13</v>
      </c>
      <c r="R5950" s="405" t="s">
        <v>333</v>
      </c>
      <c r="S5950" s="405" t="s">
        <v>27249</v>
      </c>
      <c r="T5950" s="405" t="s">
        <v>32102</v>
      </c>
      <c r="U5950" s="405" t="s">
        <v>319</v>
      </c>
    </row>
    <row r="5951" spans="1:21" x14ac:dyDescent="0.25">
      <c r="A5951" s="405" t="s">
        <v>310</v>
      </c>
      <c r="B5951" s="405" t="s">
        <v>21337</v>
      </c>
      <c r="C5951" s="405" t="s">
        <v>327</v>
      </c>
      <c r="D5951" s="405"/>
      <c r="E5951" s="410">
        <v>41461</v>
      </c>
      <c r="F5951" s="410">
        <v>41506</v>
      </c>
      <c r="G5951" s="405" t="s">
        <v>21338</v>
      </c>
      <c r="H5951" s="405">
        <v>702562909</v>
      </c>
      <c r="I5951" s="405"/>
      <c r="J5951" s="405">
        <v>-1.2281960000000001</v>
      </c>
      <c r="K5951" s="405">
        <v>30.021384999999999</v>
      </c>
      <c r="L5951" s="405" t="s">
        <v>590</v>
      </c>
      <c r="M5951" s="405" t="s">
        <v>5312</v>
      </c>
      <c r="N5951" s="405" t="s">
        <v>20119</v>
      </c>
      <c r="O5951" s="405" t="s">
        <v>20120</v>
      </c>
      <c r="P5951" s="405" t="s">
        <v>21339</v>
      </c>
      <c r="Q5951" s="411">
        <v>13</v>
      </c>
      <c r="R5951" s="405" t="s">
        <v>883</v>
      </c>
      <c r="S5951" s="405" t="s">
        <v>27104</v>
      </c>
      <c r="T5951" s="405" t="s">
        <v>32102</v>
      </c>
      <c r="U5951" s="405" t="s">
        <v>319</v>
      </c>
    </row>
    <row r="5952" spans="1:21" x14ac:dyDescent="0.25">
      <c r="A5952" s="405" t="s">
        <v>310</v>
      </c>
      <c r="B5952" s="405" t="s">
        <v>4255</v>
      </c>
      <c r="C5952" s="405" t="s">
        <v>327</v>
      </c>
      <c r="D5952" s="405"/>
      <c r="E5952" s="410">
        <v>41461</v>
      </c>
      <c r="F5952" s="410">
        <v>41506</v>
      </c>
      <c r="G5952" s="405" t="s">
        <v>4256</v>
      </c>
      <c r="H5952" s="405">
        <v>752308172</v>
      </c>
      <c r="I5952" s="405"/>
      <c r="J5952" s="405">
        <v>0.37498799999999999</v>
      </c>
      <c r="K5952" s="405">
        <v>31.978587999999998</v>
      </c>
      <c r="L5952" s="405" t="s">
        <v>314</v>
      </c>
      <c r="M5952" s="405" t="s">
        <v>675</v>
      </c>
      <c r="N5952" s="405" t="s">
        <v>675</v>
      </c>
      <c r="O5952" s="405" t="s">
        <v>1066</v>
      </c>
      <c r="P5952" s="405" t="s">
        <v>4257</v>
      </c>
      <c r="Q5952" s="411">
        <v>9</v>
      </c>
      <c r="R5952" s="405" t="s">
        <v>32476</v>
      </c>
      <c r="S5952" s="405" t="s">
        <v>27207</v>
      </c>
      <c r="T5952" s="405" t="s">
        <v>32102</v>
      </c>
      <c r="U5952" s="405" t="s">
        <v>319</v>
      </c>
    </row>
    <row r="5953" spans="1:21" x14ac:dyDescent="0.25">
      <c r="A5953" s="405" t="s">
        <v>310</v>
      </c>
      <c r="B5953" s="405" t="s">
        <v>28763</v>
      </c>
      <c r="C5953" s="405" t="s">
        <v>311</v>
      </c>
      <c r="D5953" s="405" t="s">
        <v>1789</v>
      </c>
      <c r="E5953" s="410">
        <v>41461</v>
      </c>
      <c r="F5953" s="410">
        <v>41506</v>
      </c>
      <c r="G5953" s="405" t="s">
        <v>13018</v>
      </c>
      <c r="H5953" s="405">
        <v>782870354</v>
      </c>
      <c r="I5953" s="405"/>
      <c r="J5953" s="405">
        <v>1.542767</v>
      </c>
      <c r="K5953" s="405">
        <v>34.013511999999999</v>
      </c>
      <c r="L5953" s="405" t="s">
        <v>6866</v>
      </c>
      <c r="M5953" s="405" t="s">
        <v>10029</v>
      </c>
      <c r="N5953" s="405" t="s">
        <v>10029</v>
      </c>
      <c r="O5953" s="405" t="s">
        <v>10435</v>
      </c>
      <c r="P5953" s="405" t="s">
        <v>13019</v>
      </c>
      <c r="Q5953" s="411">
        <v>6</v>
      </c>
      <c r="R5953" s="405" t="s">
        <v>5655</v>
      </c>
      <c r="S5953" s="405" t="s">
        <v>27336</v>
      </c>
      <c r="T5953" s="405" t="s">
        <v>32102</v>
      </c>
      <c r="U5953" s="405" t="s">
        <v>319</v>
      </c>
    </row>
    <row r="5954" spans="1:21" x14ac:dyDescent="0.25">
      <c r="A5954" s="405" t="s">
        <v>310</v>
      </c>
      <c r="B5954" s="405" t="s">
        <v>12576</v>
      </c>
      <c r="C5954" s="405" t="s">
        <v>327</v>
      </c>
      <c r="D5954" s="405"/>
      <c r="E5954" s="410">
        <v>41461</v>
      </c>
      <c r="F5954" s="410">
        <v>41506</v>
      </c>
      <c r="G5954" s="405" t="s">
        <v>12577</v>
      </c>
      <c r="H5954" s="405">
        <v>782794974</v>
      </c>
      <c r="I5954" s="405"/>
      <c r="J5954" s="405">
        <v>0.72232200000000002</v>
      </c>
      <c r="K5954" s="405">
        <v>33.967275999999998</v>
      </c>
      <c r="L5954" s="405" t="s">
        <v>6866</v>
      </c>
      <c r="M5954" s="405" t="s">
        <v>9534</v>
      </c>
      <c r="N5954" s="405" t="s">
        <v>9997</v>
      </c>
      <c r="O5954" s="405" t="s">
        <v>10918</v>
      </c>
      <c r="P5954" s="405" t="s">
        <v>11029</v>
      </c>
      <c r="Q5954" s="411">
        <v>6</v>
      </c>
      <c r="R5954" s="405" t="s">
        <v>7224</v>
      </c>
      <c r="S5954" s="405" t="s">
        <v>27283</v>
      </c>
      <c r="T5954" s="405" t="s">
        <v>32102</v>
      </c>
      <c r="U5954" s="405" t="s">
        <v>319</v>
      </c>
    </row>
    <row r="5955" spans="1:21" x14ac:dyDescent="0.25">
      <c r="A5955" s="405" t="s">
        <v>310</v>
      </c>
      <c r="B5955" s="405" t="s">
        <v>18702</v>
      </c>
      <c r="C5955" s="405" t="s">
        <v>327</v>
      </c>
      <c r="D5955" s="405"/>
      <c r="E5955" s="410">
        <v>41461</v>
      </c>
      <c r="F5955" s="410">
        <v>41506</v>
      </c>
      <c r="G5955" s="405" t="s">
        <v>18703</v>
      </c>
      <c r="H5955" s="405">
        <v>781354606</v>
      </c>
      <c r="I5955" s="405">
        <v>782305736</v>
      </c>
      <c r="J5955" s="405">
        <v>2.2328701</v>
      </c>
      <c r="K5955" s="405">
        <v>32.907559200000001</v>
      </c>
      <c r="L5955" s="405" t="s">
        <v>860</v>
      </c>
      <c r="M5955" s="405" t="s">
        <v>18234</v>
      </c>
      <c r="N5955" s="405" t="s">
        <v>18252</v>
      </c>
      <c r="O5955" s="405" t="s">
        <v>18253</v>
      </c>
      <c r="P5955" s="405" t="s">
        <v>18384</v>
      </c>
      <c r="Q5955" s="411">
        <v>6</v>
      </c>
      <c r="R5955" s="405" t="s">
        <v>994</v>
      </c>
      <c r="S5955" s="405" t="s">
        <v>22880</v>
      </c>
      <c r="T5955" s="405" t="s">
        <v>32102</v>
      </c>
      <c r="U5955" s="405" t="s">
        <v>319</v>
      </c>
    </row>
    <row r="5956" spans="1:21" x14ac:dyDescent="0.25">
      <c r="A5956" s="405" t="s">
        <v>310</v>
      </c>
      <c r="B5956" s="405" t="s">
        <v>18715</v>
      </c>
      <c r="C5956" s="405" t="s">
        <v>327</v>
      </c>
      <c r="D5956" s="405"/>
      <c r="E5956" s="410">
        <v>41461</v>
      </c>
      <c r="F5956" s="410">
        <v>41506</v>
      </c>
      <c r="G5956" s="405" t="s">
        <v>18716</v>
      </c>
      <c r="H5956" s="405">
        <v>783252633</v>
      </c>
      <c r="I5956" s="405">
        <v>777194906</v>
      </c>
      <c r="J5956" s="405">
        <v>2.3339180000000002</v>
      </c>
      <c r="K5956" s="405">
        <v>32.691029999999998</v>
      </c>
      <c r="L5956" s="405" t="s">
        <v>860</v>
      </c>
      <c r="M5956" s="405" t="s">
        <v>18288</v>
      </c>
      <c r="N5956" s="405" t="s">
        <v>18681</v>
      </c>
      <c r="O5956" s="405" t="s">
        <v>18681</v>
      </c>
      <c r="P5956" s="405" t="s">
        <v>18717</v>
      </c>
      <c r="Q5956" s="411">
        <v>6</v>
      </c>
      <c r="R5956" s="405" t="s">
        <v>525</v>
      </c>
      <c r="S5956" s="405" t="s">
        <v>27171</v>
      </c>
      <c r="T5956" s="405" t="s">
        <v>32102</v>
      </c>
      <c r="U5956" s="405" t="s">
        <v>319</v>
      </c>
    </row>
    <row r="5957" spans="1:21" x14ac:dyDescent="0.25">
      <c r="A5957" s="405" t="s">
        <v>310</v>
      </c>
      <c r="B5957" s="405" t="s">
        <v>18695</v>
      </c>
      <c r="C5957" s="405" t="s">
        <v>327</v>
      </c>
      <c r="D5957" s="405"/>
      <c r="E5957" s="410">
        <v>41461</v>
      </c>
      <c r="F5957" s="410">
        <v>41506</v>
      </c>
      <c r="G5957" s="405" t="s">
        <v>18696</v>
      </c>
      <c r="H5957" s="405">
        <v>777557033</v>
      </c>
      <c r="I5957" s="405">
        <v>780844275</v>
      </c>
      <c r="J5957" s="405">
        <v>1.7236279999999999</v>
      </c>
      <c r="K5957" s="405">
        <v>32.879178000000003</v>
      </c>
      <c r="L5957" s="405" t="s">
        <v>860</v>
      </c>
      <c r="M5957" s="405" t="s">
        <v>18415</v>
      </c>
      <c r="N5957" s="405" t="s">
        <v>18697</v>
      </c>
      <c r="O5957" s="405" t="s">
        <v>18613</v>
      </c>
      <c r="P5957" s="405" t="s">
        <v>18698</v>
      </c>
      <c r="Q5957" s="411">
        <v>6</v>
      </c>
      <c r="R5957" s="405" t="s">
        <v>525</v>
      </c>
      <c r="S5957" s="405" t="s">
        <v>27193</v>
      </c>
      <c r="T5957" s="405" t="s">
        <v>32102</v>
      </c>
      <c r="U5957" s="405" t="s">
        <v>319</v>
      </c>
    </row>
    <row r="5958" spans="1:21" x14ac:dyDescent="0.25">
      <c r="A5958" s="405" t="s">
        <v>310</v>
      </c>
      <c r="B5958" s="405" t="s">
        <v>12633</v>
      </c>
      <c r="C5958" s="405" t="s">
        <v>327</v>
      </c>
      <c r="D5958" s="405"/>
      <c r="E5958" s="410">
        <v>41461</v>
      </c>
      <c r="F5958" s="410">
        <v>41506</v>
      </c>
      <c r="G5958" s="405" t="s">
        <v>12634</v>
      </c>
      <c r="H5958" s="405">
        <v>777041675</v>
      </c>
      <c r="I5958" s="405"/>
      <c r="J5958" s="405">
        <v>1.5806899999999999</v>
      </c>
      <c r="K5958" s="405">
        <v>34.020792999999998</v>
      </c>
      <c r="L5958" s="405" t="s">
        <v>6866</v>
      </c>
      <c r="M5958" s="405" t="s">
        <v>10029</v>
      </c>
      <c r="N5958" s="405" t="s">
        <v>10029</v>
      </c>
      <c r="O5958" s="405" t="s">
        <v>10435</v>
      </c>
      <c r="P5958" s="405" t="s">
        <v>12632</v>
      </c>
      <c r="Q5958" s="411">
        <v>4</v>
      </c>
      <c r="R5958" s="405" t="s">
        <v>7224</v>
      </c>
      <c r="S5958" s="405" t="s">
        <v>27190</v>
      </c>
      <c r="T5958" s="405" t="s">
        <v>32102</v>
      </c>
      <c r="U5958" s="405" t="s">
        <v>319</v>
      </c>
    </row>
    <row r="5959" spans="1:21" x14ac:dyDescent="0.25">
      <c r="A5959" s="405" t="s">
        <v>310</v>
      </c>
      <c r="B5959" s="405" t="s">
        <v>21307</v>
      </c>
      <c r="C5959" s="405" t="s">
        <v>327</v>
      </c>
      <c r="D5959" s="405"/>
      <c r="E5959" s="410">
        <v>41460</v>
      </c>
      <c r="F5959" s="410">
        <v>41505</v>
      </c>
      <c r="G5959" s="405" t="s">
        <v>21308</v>
      </c>
      <c r="H5959" s="405">
        <v>772617753</v>
      </c>
      <c r="I5959" s="405"/>
      <c r="J5959" s="405">
        <v>0.77101200000000003</v>
      </c>
      <c r="K5959" s="405">
        <v>30.542807</v>
      </c>
      <c r="L5959" s="405" t="s">
        <v>590</v>
      </c>
      <c r="M5959" s="405" t="s">
        <v>20426</v>
      </c>
      <c r="N5959" s="405" t="s">
        <v>10925</v>
      </c>
      <c r="O5959" s="405" t="s">
        <v>20748</v>
      </c>
      <c r="P5959" s="405" t="s">
        <v>21309</v>
      </c>
      <c r="Q5959" s="411">
        <v>9</v>
      </c>
      <c r="R5959" s="405" t="s">
        <v>883</v>
      </c>
      <c r="S5959" s="405" t="s">
        <v>27065</v>
      </c>
      <c r="T5959" s="405" t="s">
        <v>32102</v>
      </c>
      <c r="U5959" s="405" t="s">
        <v>319</v>
      </c>
    </row>
    <row r="5960" spans="1:21" x14ac:dyDescent="0.25">
      <c r="A5960" s="405" t="s">
        <v>310</v>
      </c>
      <c r="B5960" s="405" t="s">
        <v>18699</v>
      </c>
      <c r="C5960" s="405" t="s">
        <v>327</v>
      </c>
      <c r="D5960" s="405"/>
      <c r="E5960" s="410">
        <v>41460</v>
      </c>
      <c r="F5960" s="410">
        <v>41505</v>
      </c>
      <c r="G5960" s="405" t="s">
        <v>18700</v>
      </c>
      <c r="H5960" s="405">
        <v>772979843</v>
      </c>
      <c r="I5960" s="405"/>
      <c r="J5960" s="405">
        <v>2.2229983333333334</v>
      </c>
      <c r="K5960" s="405">
        <v>32.931375000000003</v>
      </c>
      <c r="L5960" s="405" t="s">
        <v>860</v>
      </c>
      <c r="M5960" s="405" t="s">
        <v>18234</v>
      </c>
      <c r="N5960" s="405" t="s">
        <v>18701</v>
      </c>
      <c r="O5960" s="405" t="s">
        <v>18253</v>
      </c>
      <c r="P5960" s="405" t="s">
        <v>18384</v>
      </c>
      <c r="Q5960" s="411">
        <v>6</v>
      </c>
      <c r="R5960" s="405" t="s">
        <v>994</v>
      </c>
      <c r="S5960" s="405" t="s">
        <v>22880</v>
      </c>
      <c r="T5960" s="405" t="s">
        <v>32102</v>
      </c>
      <c r="U5960" s="405" t="s">
        <v>319</v>
      </c>
    </row>
    <row r="5961" spans="1:21" x14ac:dyDescent="0.25">
      <c r="A5961" s="405" t="s">
        <v>310</v>
      </c>
      <c r="B5961" s="405" t="s">
        <v>12718</v>
      </c>
      <c r="C5961" s="405" t="s">
        <v>327</v>
      </c>
      <c r="D5961" s="405"/>
      <c r="E5961" s="410">
        <v>41460</v>
      </c>
      <c r="F5961" s="410">
        <v>41505</v>
      </c>
      <c r="G5961" s="405" t="s">
        <v>12719</v>
      </c>
      <c r="H5961" s="405">
        <v>779964552</v>
      </c>
      <c r="I5961" s="405"/>
      <c r="J5961" s="405">
        <v>0.90603400000000001</v>
      </c>
      <c r="K5961" s="405">
        <v>34.358499999999999</v>
      </c>
      <c r="L5961" s="405" t="s">
        <v>6866</v>
      </c>
      <c r="M5961" s="405" t="s">
        <v>9763</v>
      </c>
      <c r="N5961" s="405" t="s">
        <v>9848</v>
      </c>
      <c r="O5961" s="405" t="s">
        <v>10962</v>
      </c>
      <c r="P5961" s="405" t="s">
        <v>12720</v>
      </c>
      <c r="Q5961" s="411">
        <v>4</v>
      </c>
      <c r="R5961" s="405" t="s">
        <v>7224</v>
      </c>
      <c r="S5961" s="405" t="s">
        <v>27107</v>
      </c>
      <c r="T5961" s="405" t="s">
        <v>32102</v>
      </c>
      <c r="U5961" s="405" t="s">
        <v>319</v>
      </c>
    </row>
    <row r="5962" spans="1:21" x14ac:dyDescent="0.25">
      <c r="A5962" s="405" t="s">
        <v>310</v>
      </c>
      <c r="B5962" s="405" t="s">
        <v>4132</v>
      </c>
      <c r="C5962" s="405" t="s">
        <v>327</v>
      </c>
      <c r="D5962" s="405"/>
      <c r="E5962" s="410">
        <v>41459</v>
      </c>
      <c r="F5962" s="410">
        <v>41504</v>
      </c>
      <c r="G5962" s="405" t="s">
        <v>4133</v>
      </c>
      <c r="H5962" s="405">
        <v>782574388</v>
      </c>
      <c r="I5962" s="405"/>
      <c r="J5962" s="405">
        <v>0.44945299999999999</v>
      </c>
      <c r="K5962" s="405">
        <v>31.468122000000001</v>
      </c>
      <c r="L5962" s="405" t="s">
        <v>314</v>
      </c>
      <c r="M5962" s="405" t="s">
        <v>445</v>
      </c>
      <c r="N5962" s="405" t="s">
        <v>446</v>
      </c>
      <c r="O5962" s="405" t="s">
        <v>447</v>
      </c>
      <c r="P5962" s="405" t="s">
        <v>448</v>
      </c>
      <c r="Q5962" s="411">
        <v>13</v>
      </c>
      <c r="R5962" s="405" t="s">
        <v>318</v>
      </c>
      <c r="S5962" s="405" t="s">
        <v>27201</v>
      </c>
      <c r="T5962" s="405" t="s">
        <v>32102</v>
      </c>
      <c r="U5962" s="405" t="s">
        <v>319</v>
      </c>
    </row>
    <row r="5963" spans="1:21" x14ac:dyDescent="0.25">
      <c r="A5963" s="405" t="s">
        <v>310</v>
      </c>
      <c r="B5963" s="405" t="s">
        <v>28183</v>
      </c>
      <c r="C5963" s="405" t="s">
        <v>327</v>
      </c>
      <c r="D5963" s="405"/>
      <c r="E5963" s="410">
        <v>41459</v>
      </c>
      <c r="F5963" s="410">
        <v>41504</v>
      </c>
      <c r="G5963" s="405" t="s">
        <v>12701</v>
      </c>
      <c r="H5963" s="405">
        <v>785493644</v>
      </c>
      <c r="I5963" s="405"/>
      <c r="J5963" s="405">
        <v>0.98757300000000003</v>
      </c>
      <c r="K5963" s="405">
        <v>34.182205000000003</v>
      </c>
      <c r="L5963" s="405" t="s">
        <v>6866</v>
      </c>
      <c r="M5963" s="405" t="s">
        <v>9514</v>
      </c>
      <c r="N5963" s="405" t="s">
        <v>9529</v>
      </c>
      <c r="O5963" s="405" t="s">
        <v>12702</v>
      </c>
      <c r="P5963" s="405" t="s">
        <v>12703</v>
      </c>
      <c r="Q5963" s="411">
        <v>6</v>
      </c>
      <c r="R5963" s="405" t="s">
        <v>7224</v>
      </c>
      <c r="S5963" s="405" t="s">
        <v>27142</v>
      </c>
      <c r="T5963" s="405" t="s">
        <v>32102</v>
      </c>
      <c r="U5963" s="405" t="s">
        <v>319</v>
      </c>
    </row>
    <row r="5964" spans="1:21" x14ac:dyDescent="0.25">
      <c r="A5964" s="405" t="s">
        <v>310</v>
      </c>
      <c r="B5964" s="405" t="s">
        <v>18935</v>
      </c>
      <c r="C5964" s="405" t="s">
        <v>311</v>
      </c>
      <c r="D5964" s="405" t="s">
        <v>839</v>
      </c>
      <c r="E5964" s="410">
        <v>41459</v>
      </c>
      <c r="F5964" s="410">
        <v>41504</v>
      </c>
      <c r="G5964" s="405" t="s">
        <v>18936</v>
      </c>
      <c r="H5964" s="405">
        <v>772468641</v>
      </c>
      <c r="I5964" s="405"/>
      <c r="J5964" s="405">
        <v>2.238788</v>
      </c>
      <c r="K5964" s="405">
        <v>32.875073999999998</v>
      </c>
      <c r="L5964" s="405" t="s">
        <v>860</v>
      </c>
      <c r="M5964" s="405" t="s">
        <v>18234</v>
      </c>
      <c r="N5964" s="405" t="s">
        <v>18252</v>
      </c>
      <c r="O5964" s="405" t="s">
        <v>18234</v>
      </c>
      <c r="P5964" s="405" t="s">
        <v>18937</v>
      </c>
      <c r="Q5964" s="411">
        <v>6</v>
      </c>
      <c r="R5964" s="405" t="s">
        <v>525</v>
      </c>
      <c r="S5964" s="405" t="s">
        <v>27193</v>
      </c>
      <c r="T5964" s="405" t="s">
        <v>32102</v>
      </c>
      <c r="U5964" s="405" t="s">
        <v>319</v>
      </c>
    </row>
    <row r="5965" spans="1:21" x14ac:dyDescent="0.25">
      <c r="A5965" s="405" t="s">
        <v>310</v>
      </c>
      <c r="B5965" s="405" t="s">
        <v>4122</v>
      </c>
      <c r="C5965" s="405" t="s">
        <v>327</v>
      </c>
      <c r="D5965" s="405"/>
      <c r="E5965" s="410">
        <v>41459</v>
      </c>
      <c r="F5965" s="410">
        <v>41504</v>
      </c>
      <c r="G5965" s="405" t="s">
        <v>4123</v>
      </c>
      <c r="H5965" s="405">
        <v>781500021</v>
      </c>
      <c r="I5965" s="405">
        <v>785991844</v>
      </c>
      <c r="J5965" s="405">
        <v>0.63985999999999998</v>
      </c>
      <c r="K5965" s="405">
        <v>32.931617000000003</v>
      </c>
      <c r="L5965" s="405" t="s">
        <v>314</v>
      </c>
      <c r="M5965" s="405" t="s">
        <v>502</v>
      </c>
      <c r="N5965" s="405" t="s">
        <v>1229</v>
      </c>
      <c r="O5965" s="405" t="s">
        <v>502</v>
      </c>
      <c r="P5965" s="405" t="s">
        <v>336</v>
      </c>
      <c r="Q5965" s="411">
        <v>6</v>
      </c>
      <c r="R5965" s="405" t="s">
        <v>1263</v>
      </c>
      <c r="S5965" s="405" t="s">
        <v>27210</v>
      </c>
      <c r="T5965" s="405" t="s">
        <v>32102</v>
      </c>
      <c r="U5965" s="405" t="s">
        <v>319</v>
      </c>
    </row>
    <row r="5966" spans="1:21" x14ac:dyDescent="0.25">
      <c r="A5966" s="405" t="s">
        <v>310</v>
      </c>
      <c r="B5966" s="405" t="s">
        <v>28814</v>
      </c>
      <c r="C5966" s="405" t="s">
        <v>327</v>
      </c>
      <c r="D5966" s="405"/>
      <c r="E5966" s="410">
        <v>41459</v>
      </c>
      <c r="F5966" s="410">
        <v>41504</v>
      </c>
      <c r="G5966" s="405" t="s">
        <v>21273</v>
      </c>
      <c r="H5966" s="405">
        <v>772962623</v>
      </c>
      <c r="I5966" s="405">
        <v>704279107</v>
      </c>
      <c r="J5966" s="405">
        <v>-0.67276899999999995</v>
      </c>
      <c r="K5966" s="405">
        <v>30.146250999999999</v>
      </c>
      <c r="L5966" s="405" t="s">
        <v>590</v>
      </c>
      <c r="M5966" s="405" t="s">
        <v>19725</v>
      </c>
      <c r="N5966" s="405" t="s">
        <v>19725</v>
      </c>
      <c r="O5966" s="405" t="s">
        <v>20013</v>
      </c>
      <c r="P5966" s="405" t="s">
        <v>21274</v>
      </c>
      <c r="Q5966" s="411">
        <v>6</v>
      </c>
      <c r="R5966" s="405" t="s">
        <v>883</v>
      </c>
      <c r="S5966" s="405" t="s">
        <v>27096</v>
      </c>
      <c r="T5966" s="405" t="s">
        <v>32102</v>
      </c>
      <c r="U5966" s="405" t="s">
        <v>319</v>
      </c>
    </row>
    <row r="5967" spans="1:21" x14ac:dyDescent="0.25">
      <c r="A5967" s="405" t="s">
        <v>310</v>
      </c>
      <c r="B5967" s="405" t="s">
        <v>28350</v>
      </c>
      <c r="C5967" s="405" t="s">
        <v>327</v>
      </c>
      <c r="D5967" s="405"/>
      <c r="E5967" s="410">
        <v>41459</v>
      </c>
      <c r="F5967" s="410">
        <v>41504</v>
      </c>
      <c r="G5967" s="405" t="s">
        <v>12677</v>
      </c>
      <c r="H5967" s="405">
        <v>774696140</v>
      </c>
      <c r="I5967" s="405"/>
      <c r="J5967" s="405">
        <v>1.192982</v>
      </c>
      <c r="K5967" s="405">
        <v>33.741118</v>
      </c>
      <c r="L5967" s="405" t="s">
        <v>6866</v>
      </c>
      <c r="M5967" s="405" t="s">
        <v>9509</v>
      </c>
      <c r="N5967" s="405" t="s">
        <v>9509</v>
      </c>
      <c r="O5967" s="405" t="s">
        <v>9509</v>
      </c>
      <c r="P5967" s="405" t="s">
        <v>12338</v>
      </c>
      <c r="Q5967" s="411">
        <v>4</v>
      </c>
      <c r="R5967" s="405" t="s">
        <v>7224</v>
      </c>
      <c r="S5967" s="405" t="s">
        <v>27107</v>
      </c>
      <c r="T5967" s="405" t="s">
        <v>32102</v>
      </c>
      <c r="U5967" s="405" t="s">
        <v>319</v>
      </c>
    </row>
    <row r="5968" spans="1:21" x14ac:dyDescent="0.25">
      <c r="A5968" s="405" t="s">
        <v>310</v>
      </c>
      <c r="B5968" s="405" t="s">
        <v>12623</v>
      </c>
      <c r="C5968" s="405" t="s">
        <v>327</v>
      </c>
      <c r="D5968" s="405"/>
      <c r="E5968" s="410">
        <v>41458</v>
      </c>
      <c r="F5968" s="410">
        <v>41503</v>
      </c>
      <c r="G5968" s="405" t="s">
        <v>12624</v>
      </c>
      <c r="H5968" s="405">
        <v>782180922</v>
      </c>
      <c r="I5968" s="405"/>
      <c r="J5968" s="405">
        <v>1.530205</v>
      </c>
      <c r="K5968" s="405">
        <v>34.036831999999997</v>
      </c>
      <c r="L5968" s="405" t="s">
        <v>6866</v>
      </c>
      <c r="M5968" s="405" t="s">
        <v>10029</v>
      </c>
      <c r="N5968" s="405" t="s">
        <v>10029</v>
      </c>
      <c r="O5968" s="405" t="s">
        <v>10435</v>
      </c>
      <c r="P5968" s="405" t="s">
        <v>10530</v>
      </c>
      <c r="Q5968" s="411">
        <v>4</v>
      </c>
      <c r="R5968" s="405" t="s">
        <v>7224</v>
      </c>
      <c r="S5968" s="405" t="s">
        <v>27298</v>
      </c>
      <c r="T5968" s="405" t="s">
        <v>32102</v>
      </c>
      <c r="U5968" s="405" t="s">
        <v>319</v>
      </c>
    </row>
    <row r="5969" spans="1:21" x14ac:dyDescent="0.25">
      <c r="A5969" s="405" t="s">
        <v>310</v>
      </c>
      <c r="B5969" s="405" t="s">
        <v>4142</v>
      </c>
      <c r="C5969" s="405" t="s">
        <v>327</v>
      </c>
      <c r="D5969" s="405"/>
      <c r="E5969" s="410">
        <v>41457</v>
      </c>
      <c r="F5969" s="410">
        <v>41502</v>
      </c>
      <c r="G5969" s="405" t="s">
        <v>4143</v>
      </c>
      <c r="H5969" s="405">
        <v>774042580</v>
      </c>
      <c r="I5969" s="405"/>
      <c r="J5969" s="405">
        <v>0.495842</v>
      </c>
      <c r="K5969" s="405">
        <v>31.804120000000001</v>
      </c>
      <c r="L5969" s="405" t="s">
        <v>314</v>
      </c>
      <c r="M5969" s="405" t="s">
        <v>445</v>
      </c>
      <c r="N5969" s="405" t="s">
        <v>3488</v>
      </c>
      <c r="O5969" s="405" t="s">
        <v>4136</v>
      </c>
      <c r="P5969" s="405" t="s">
        <v>4144</v>
      </c>
      <c r="Q5969" s="411">
        <v>9</v>
      </c>
      <c r="R5969" s="405" t="s">
        <v>32476</v>
      </c>
      <c r="S5969" s="405" t="s">
        <v>27039</v>
      </c>
      <c r="T5969" s="405" t="s">
        <v>32102</v>
      </c>
      <c r="U5969" s="405" t="s">
        <v>319</v>
      </c>
    </row>
    <row r="5970" spans="1:21" x14ac:dyDescent="0.25">
      <c r="A5970" s="405" t="s">
        <v>310</v>
      </c>
      <c r="B5970" s="405" t="s">
        <v>27933</v>
      </c>
      <c r="C5970" s="405" t="s">
        <v>327</v>
      </c>
      <c r="D5970" s="405"/>
      <c r="E5970" s="410">
        <v>41457</v>
      </c>
      <c r="F5970" s="410">
        <v>41502</v>
      </c>
      <c r="G5970" s="405" t="s">
        <v>12563</v>
      </c>
      <c r="H5970" s="405">
        <v>774015960</v>
      </c>
      <c r="I5970" s="405"/>
      <c r="J5970" s="405">
        <v>1.11267</v>
      </c>
      <c r="K5970" s="405">
        <v>34.207996999999999</v>
      </c>
      <c r="L5970" s="405" t="s">
        <v>6866</v>
      </c>
      <c r="M5970" s="405" t="s">
        <v>9514</v>
      </c>
      <c r="N5970" s="405" t="s">
        <v>9529</v>
      </c>
      <c r="O5970" s="405" t="s">
        <v>9530</v>
      </c>
      <c r="P5970" s="405" t="s">
        <v>12564</v>
      </c>
      <c r="Q5970" s="411">
        <v>6</v>
      </c>
      <c r="R5970" s="405" t="s">
        <v>7224</v>
      </c>
      <c r="S5970" s="405" t="s">
        <v>27142</v>
      </c>
      <c r="T5970" s="405" t="s">
        <v>32102</v>
      </c>
      <c r="U5970" s="405" t="s">
        <v>319</v>
      </c>
    </row>
    <row r="5971" spans="1:21" x14ac:dyDescent="0.25">
      <c r="A5971" s="405" t="s">
        <v>310</v>
      </c>
      <c r="B5971" s="405" t="s">
        <v>27517</v>
      </c>
      <c r="C5971" s="405" t="s">
        <v>327</v>
      </c>
      <c r="D5971" s="405"/>
      <c r="E5971" s="410">
        <v>41456</v>
      </c>
      <c r="F5971" s="410">
        <v>41501</v>
      </c>
      <c r="G5971" s="405" t="s">
        <v>18689</v>
      </c>
      <c r="H5971" s="405">
        <v>704776127</v>
      </c>
      <c r="I5971" s="405"/>
      <c r="J5971" s="405">
        <v>2.1400229999999998</v>
      </c>
      <c r="K5971" s="405">
        <v>32.899115000000002</v>
      </c>
      <c r="L5971" s="405" t="s">
        <v>860</v>
      </c>
      <c r="M5971" s="405" t="s">
        <v>18288</v>
      </c>
      <c r="N5971" s="405" t="s">
        <v>18289</v>
      </c>
      <c r="O5971" s="405" t="s">
        <v>18452</v>
      </c>
      <c r="P5971" s="405" t="s">
        <v>18453</v>
      </c>
      <c r="Q5971" s="411">
        <v>9</v>
      </c>
      <c r="R5971" s="405" t="s">
        <v>525</v>
      </c>
      <c r="S5971" s="405" t="s">
        <v>27243</v>
      </c>
      <c r="T5971" s="405" t="s">
        <v>32102</v>
      </c>
      <c r="U5971" s="405" t="s">
        <v>319</v>
      </c>
    </row>
    <row r="5972" spans="1:21" x14ac:dyDescent="0.25">
      <c r="A5972" s="405" t="s">
        <v>310</v>
      </c>
      <c r="B5972" s="405" t="s">
        <v>21358</v>
      </c>
      <c r="C5972" s="405" t="s">
        <v>327</v>
      </c>
      <c r="D5972" s="405"/>
      <c r="E5972" s="410">
        <v>41456</v>
      </c>
      <c r="F5972" s="410">
        <v>41501</v>
      </c>
      <c r="G5972" s="405" t="s">
        <v>21359</v>
      </c>
      <c r="H5972" s="405">
        <v>774462086</v>
      </c>
      <c r="I5972" s="405"/>
      <c r="J5972" s="405">
        <v>1.7186983333333337</v>
      </c>
      <c r="K5972" s="405">
        <v>31.691053333333336</v>
      </c>
      <c r="L5972" s="405" t="s">
        <v>590</v>
      </c>
      <c r="M5972" s="405" t="s">
        <v>19608</v>
      </c>
      <c r="N5972" s="405" t="s">
        <v>19762</v>
      </c>
      <c r="O5972" s="405" t="s">
        <v>19784</v>
      </c>
      <c r="P5972" s="405" t="s">
        <v>21360</v>
      </c>
      <c r="Q5972" s="411">
        <v>9</v>
      </c>
      <c r="R5972" s="405" t="s">
        <v>318</v>
      </c>
      <c r="S5972" s="405" t="s">
        <v>22481</v>
      </c>
      <c r="T5972" s="405" t="s">
        <v>32102</v>
      </c>
      <c r="U5972" s="405" t="s">
        <v>319</v>
      </c>
    </row>
    <row r="5973" spans="1:21" x14ac:dyDescent="0.25">
      <c r="A5973" s="405" t="s">
        <v>310</v>
      </c>
      <c r="B5973" s="405" t="s">
        <v>12729</v>
      </c>
      <c r="C5973" s="405" t="s">
        <v>327</v>
      </c>
      <c r="D5973" s="405"/>
      <c r="E5973" s="410">
        <v>41456</v>
      </c>
      <c r="F5973" s="410">
        <v>41501</v>
      </c>
      <c r="G5973" s="405" t="s">
        <v>12730</v>
      </c>
      <c r="H5973" s="405">
        <v>774674619</v>
      </c>
      <c r="I5973" s="405"/>
      <c r="J5973" s="405">
        <v>0.66198299999999999</v>
      </c>
      <c r="K5973" s="405">
        <v>34.256799000000001</v>
      </c>
      <c r="L5973" s="405" t="s">
        <v>6866</v>
      </c>
      <c r="M5973" s="405" t="s">
        <v>9534</v>
      </c>
      <c r="N5973" s="405" t="s">
        <v>10201</v>
      </c>
      <c r="O5973" s="405" t="s">
        <v>12386</v>
      </c>
      <c r="P5973" s="405" t="s">
        <v>12387</v>
      </c>
      <c r="Q5973" s="411">
        <v>6</v>
      </c>
      <c r="R5973" s="405" t="s">
        <v>7224</v>
      </c>
      <c r="S5973" s="405" t="s">
        <v>27142</v>
      </c>
      <c r="T5973" s="405" t="s">
        <v>32102</v>
      </c>
      <c r="U5973" s="405" t="s">
        <v>319</v>
      </c>
    </row>
    <row r="5974" spans="1:21" x14ac:dyDescent="0.25">
      <c r="A5974" s="405" t="s">
        <v>310</v>
      </c>
      <c r="B5974" s="405" t="s">
        <v>18718</v>
      </c>
      <c r="C5974" s="405" t="s">
        <v>327</v>
      </c>
      <c r="D5974" s="405"/>
      <c r="E5974" s="410">
        <v>41456</v>
      </c>
      <c r="F5974" s="410">
        <v>41501</v>
      </c>
      <c r="G5974" s="405" t="s">
        <v>18719</v>
      </c>
      <c r="H5974" s="405">
        <v>758128904</v>
      </c>
      <c r="I5974" s="405"/>
      <c r="J5974" s="405">
        <v>1.958029</v>
      </c>
      <c r="K5974" s="405">
        <v>32.426659000000001</v>
      </c>
      <c r="L5974" s="405" t="s">
        <v>860</v>
      </c>
      <c r="M5974" s="405" t="s">
        <v>861</v>
      </c>
      <c r="N5974" s="405" t="s">
        <v>18440</v>
      </c>
      <c r="O5974" s="405" t="s">
        <v>18441</v>
      </c>
      <c r="P5974" s="405" t="s">
        <v>18720</v>
      </c>
      <c r="Q5974" s="411">
        <v>6</v>
      </c>
      <c r="R5974" s="405" t="s">
        <v>318</v>
      </c>
      <c r="S5974" s="405" t="s">
        <v>27343</v>
      </c>
      <c r="T5974" s="405" t="s">
        <v>32102</v>
      </c>
      <c r="U5974" s="405" t="s">
        <v>319</v>
      </c>
    </row>
    <row r="5975" spans="1:21" x14ac:dyDescent="0.25">
      <c r="A5975" s="405" t="s">
        <v>310</v>
      </c>
      <c r="B5975" s="405" t="s">
        <v>12617</v>
      </c>
      <c r="C5975" s="405" t="s">
        <v>327</v>
      </c>
      <c r="D5975" s="405"/>
      <c r="E5975" s="410">
        <v>41456</v>
      </c>
      <c r="F5975" s="410">
        <v>41501</v>
      </c>
      <c r="G5975" s="405" t="s">
        <v>12618</v>
      </c>
      <c r="H5975" s="405">
        <v>780673135</v>
      </c>
      <c r="I5975" s="405"/>
      <c r="J5975" s="405">
        <v>1.5564849999999999</v>
      </c>
      <c r="K5975" s="405">
        <v>33.961055000000002</v>
      </c>
      <c r="L5975" s="405" t="s">
        <v>6866</v>
      </c>
      <c r="M5975" s="405" t="s">
        <v>10029</v>
      </c>
      <c r="N5975" s="405" t="s">
        <v>10029</v>
      </c>
      <c r="O5975" s="405" t="s">
        <v>10435</v>
      </c>
      <c r="P5975" s="405" t="s">
        <v>12192</v>
      </c>
      <c r="Q5975" s="411">
        <v>4</v>
      </c>
      <c r="R5975" s="405" t="s">
        <v>9541</v>
      </c>
      <c r="S5975" s="405" t="s">
        <v>27314</v>
      </c>
      <c r="T5975" s="405" t="s">
        <v>32102</v>
      </c>
      <c r="U5975" s="405" t="s">
        <v>319</v>
      </c>
    </row>
    <row r="5976" spans="1:21" x14ac:dyDescent="0.25">
      <c r="A5976" s="405" t="s">
        <v>310</v>
      </c>
      <c r="B5976" s="405" t="s">
        <v>4294</v>
      </c>
      <c r="C5976" s="405" t="s">
        <v>327</v>
      </c>
      <c r="D5976" s="405"/>
      <c r="E5976" s="410">
        <v>41455</v>
      </c>
      <c r="F5976" s="410">
        <v>41500</v>
      </c>
      <c r="G5976" s="405" t="s">
        <v>4295</v>
      </c>
      <c r="H5976" s="405">
        <v>752360243</v>
      </c>
      <c r="I5976" s="405"/>
      <c r="J5976" s="405">
        <v>5.7173000000000002E-2</v>
      </c>
      <c r="K5976" s="405">
        <v>32.526440000000001</v>
      </c>
      <c r="L5976" s="405" t="s">
        <v>314</v>
      </c>
      <c r="M5976" s="405" t="s">
        <v>361</v>
      </c>
      <c r="N5976" s="405" t="s">
        <v>639</v>
      </c>
      <c r="O5976" s="405" t="s">
        <v>638</v>
      </c>
      <c r="P5976" s="405" t="s">
        <v>4296</v>
      </c>
      <c r="Q5976" s="411">
        <v>13</v>
      </c>
      <c r="R5976" s="405" t="s">
        <v>318</v>
      </c>
      <c r="S5976" s="405" t="s">
        <v>27137</v>
      </c>
      <c r="T5976" s="405" t="s">
        <v>32102</v>
      </c>
      <c r="U5976" s="405" t="s">
        <v>319</v>
      </c>
    </row>
    <row r="5977" spans="1:21" x14ac:dyDescent="0.25">
      <c r="A5977" s="405" t="s">
        <v>310</v>
      </c>
      <c r="B5977" s="405" t="s">
        <v>4124</v>
      </c>
      <c r="C5977" s="405" t="s">
        <v>327</v>
      </c>
      <c r="D5977" s="405"/>
      <c r="E5977" s="410">
        <v>41455</v>
      </c>
      <c r="F5977" s="410">
        <v>41500</v>
      </c>
      <c r="G5977" s="405" t="s">
        <v>4125</v>
      </c>
      <c r="H5977" s="405">
        <v>704171680</v>
      </c>
      <c r="I5977" s="405"/>
      <c r="J5977" s="405">
        <v>0.37352000000000002</v>
      </c>
      <c r="K5977" s="405">
        <v>32.750497000000003</v>
      </c>
      <c r="L5977" s="405" t="s">
        <v>314</v>
      </c>
      <c r="M5977" s="405" t="s">
        <v>329</v>
      </c>
      <c r="N5977" s="405" t="s">
        <v>330</v>
      </c>
      <c r="O5977" s="405" t="s">
        <v>331</v>
      </c>
      <c r="P5977" s="405" t="s">
        <v>366</v>
      </c>
      <c r="Q5977" s="411">
        <v>13</v>
      </c>
      <c r="R5977" s="405" t="s">
        <v>1263</v>
      </c>
      <c r="S5977" s="405" t="s">
        <v>27154</v>
      </c>
      <c r="T5977" s="405" t="s">
        <v>32102</v>
      </c>
      <c r="U5977" s="405" t="s">
        <v>319</v>
      </c>
    </row>
    <row r="5978" spans="1:21" x14ac:dyDescent="0.25">
      <c r="A5978" s="405" t="s">
        <v>310</v>
      </c>
      <c r="B5978" s="405" t="s">
        <v>4179</v>
      </c>
      <c r="C5978" s="405" t="s">
        <v>327</v>
      </c>
      <c r="D5978" s="405"/>
      <c r="E5978" s="410">
        <v>41455</v>
      </c>
      <c r="F5978" s="410">
        <v>41500</v>
      </c>
      <c r="G5978" s="405" t="s">
        <v>4180</v>
      </c>
      <c r="H5978" s="405">
        <v>712967009</v>
      </c>
      <c r="I5978" s="405"/>
      <c r="J5978" s="405">
        <v>0.116773</v>
      </c>
      <c r="K5978" s="405">
        <v>32.526473000000003</v>
      </c>
      <c r="L5978" s="405" t="s">
        <v>314</v>
      </c>
      <c r="M5978" s="405" t="s">
        <v>361</v>
      </c>
      <c r="N5978" s="405" t="s">
        <v>374</v>
      </c>
      <c r="O5978" s="405" t="s">
        <v>638</v>
      </c>
      <c r="P5978" s="405" t="s">
        <v>4181</v>
      </c>
      <c r="Q5978" s="411">
        <v>13</v>
      </c>
      <c r="R5978" s="405" t="s">
        <v>318</v>
      </c>
      <c r="S5978" s="405" t="s">
        <v>27124</v>
      </c>
      <c r="T5978" s="405" t="s">
        <v>32102</v>
      </c>
      <c r="U5978" s="405" t="s">
        <v>319</v>
      </c>
    </row>
    <row r="5979" spans="1:21" x14ac:dyDescent="0.25">
      <c r="A5979" s="405" t="s">
        <v>310</v>
      </c>
      <c r="B5979" s="405" t="s">
        <v>4192</v>
      </c>
      <c r="C5979" s="405" t="s">
        <v>327</v>
      </c>
      <c r="D5979" s="405"/>
      <c r="E5979" s="410">
        <v>41455</v>
      </c>
      <c r="F5979" s="410">
        <v>41500</v>
      </c>
      <c r="G5979" s="405" t="s">
        <v>4193</v>
      </c>
      <c r="H5979" s="405">
        <v>772522861</v>
      </c>
      <c r="I5979" s="405"/>
      <c r="J5979" s="405">
        <v>0.55833299999999997</v>
      </c>
      <c r="K5979" s="405">
        <v>32.508450000000003</v>
      </c>
      <c r="L5979" s="405" t="s">
        <v>314</v>
      </c>
      <c r="M5979" s="405" t="s">
        <v>361</v>
      </c>
      <c r="N5979" s="405" t="s">
        <v>362</v>
      </c>
      <c r="O5979" s="405" t="s">
        <v>523</v>
      </c>
      <c r="P5979" s="405" t="s">
        <v>4194</v>
      </c>
      <c r="Q5979" s="411">
        <v>13</v>
      </c>
      <c r="R5979" s="405" t="s">
        <v>525</v>
      </c>
      <c r="S5979" s="405" t="s">
        <v>27053</v>
      </c>
      <c r="T5979" s="405" t="s">
        <v>32102</v>
      </c>
      <c r="U5979" s="405" t="s">
        <v>319</v>
      </c>
    </row>
    <row r="5980" spans="1:21" x14ac:dyDescent="0.25">
      <c r="A5980" s="405" t="s">
        <v>310</v>
      </c>
      <c r="B5980" s="405" t="s">
        <v>12645</v>
      </c>
      <c r="C5980" s="405" t="s">
        <v>327</v>
      </c>
      <c r="D5980" s="405"/>
      <c r="E5980" s="410">
        <v>41455</v>
      </c>
      <c r="F5980" s="410">
        <v>41500</v>
      </c>
      <c r="G5980" s="405" t="s">
        <v>12646</v>
      </c>
      <c r="H5980" s="405">
        <v>774986977</v>
      </c>
      <c r="I5980" s="405"/>
      <c r="J5980" s="405">
        <v>1.4735799999999999</v>
      </c>
      <c r="K5980" s="405">
        <v>33.766486999999998</v>
      </c>
      <c r="L5980" s="405" t="s">
        <v>6866</v>
      </c>
      <c r="M5980" s="405" t="s">
        <v>10012</v>
      </c>
      <c r="N5980" s="405" t="s">
        <v>10012</v>
      </c>
      <c r="O5980" s="405" t="s">
        <v>10943</v>
      </c>
      <c r="P5980" s="405" t="s">
        <v>12647</v>
      </c>
      <c r="Q5980" s="411">
        <v>13</v>
      </c>
      <c r="R5980" s="405" t="s">
        <v>9541</v>
      </c>
      <c r="S5980" s="405" t="s">
        <v>27302</v>
      </c>
      <c r="T5980" s="405" t="s">
        <v>32102</v>
      </c>
      <c r="U5980" s="405" t="s">
        <v>319</v>
      </c>
    </row>
    <row r="5981" spans="1:21" x14ac:dyDescent="0.25">
      <c r="A5981" s="405" t="s">
        <v>310</v>
      </c>
      <c r="B5981" s="405" t="s">
        <v>27469</v>
      </c>
      <c r="C5981" s="405" t="s">
        <v>327</v>
      </c>
      <c r="D5981" s="405"/>
      <c r="E5981" s="410">
        <v>41455</v>
      </c>
      <c r="F5981" s="410">
        <v>41500</v>
      </c>
      <c r="G5981" s="405" t="s">
        <v>4239</v>
      </c>
      <c r="H5981" s="405">
        <v>771419298</v>
      </c>
      <c r="I5981" s="405"/>
      <c r="J5981" s="405">
        <v>0.38909700000000003</v>
      </c>
      <c r="K5981" s="405">
        <v>32.609388000000003</v>
      </c>
      <c r="L5981" s="405" t="s">
        <v>314</v>
      </c>
      <c r="M5981" s="405" t="s">
        <v>361</v>
      </c>
      <c r="N5981" s="405" t="s">
        <v>362</v>
      </c>
      <c r="O5981" s="405" t="s">
        <v>363</v>
      </c>
      <c r="P5981" s="405" t="s">
        <v>364</v>
      </c>
      <c r="Q5981" s="411">
        <v>9</v>
      </c>
      <c r="R5981" s="405" t="s">
        <v>318</v>
      </c>
      <c r="S5981" s="405" t="s">
        <v>27124</v>
      </c>
      <c r="T5981" s="405" t="s">
        <v>32102</v>
      </c>
      <c r="U5981" s="405" t="s">
        <v>319</v>
      </c>
    </row>
    <row r="5982" spans="1:21" x14ac:dyDescent="0.25">
      <c r="A5982" s="405" t="s">
        <v>310</v>
      </c>
      <c r="B5982" s="405" t="s">
        <v>28397</v>
      </c>
      <c r="C5982" s="405" t="s">
        <v>327</v>
      </c>
      <c r="D5982" s="405"/>
      <c r="E5982" s="410">
        <v>41455</v>
      </c>
      <c r="F5982" s="410">
        <v>41500</v>
      </c>
      <c r="G5982" s="405" t="s">
        <v>4242</v>
      </c>
      <c r="H5982" s="405">
        <v>772431348</v>
      </c>
      <c r="I5982" s="405"/>
      <c r="J5982" s="405">
        <v>0.46066000000000001</v>
      </c>
      <c r="K5982" s="405">
        <v>32.532874999999997</v>
      </c>
      <c r="L5982" s="405" t="s">
        <v>314</v>
      </c>
      <c r="M5982" s="405" t="s">
        <v>361</v>
      </c>
      <c r="N5982" s="405" t="s">
        <v>362</v>
      </c>
      <c r="O5982" s="405" t="s">
        <v>410</v>
      </c>
      <c r="P5982" s="405" t="s">
        <v>1174</v>
      </c>
      <c r="Q5982" s="411">
        <v>9</v>
      </c>
      <c r="R5982" s="405" t="s">
        <v>525</v>
      </c>
      <c r="S5982" s="405" t="s">
        <v>27153</v>
      </c>
      <c r="T5982" s="405" t="s">
        <v>32102</v>
      </c>
      <c r="U5982" s="405" t="s">
        <v>319</v>
      </c>
    </row>
    <row r="5983" spans="1:21" x14ac:dyDescent="0.25">
      <c r="A5983" s="405" t="s">
        <v>310</v>
      </c>
      <c r="B5983" s="405" t="s">
        <v>28258</v>
      </c>
      <c r="C5983" s="405" t="s">
        <v>327</v>
      </c>
      <c r="D5983" s="405"/>
      <c r="E5983" s="410">
        <v>41455</v>
      </c>
      <c r="F5983" s="410">
        <v>41500</v>
      </c>
      <c r="G5983" s="405" t="s">
        <v>21306</v>
      </c>
      <c r="H5983" s="405">
        <v>703121884</v>
      </c>
      <c r="I5983" s="405"/>
      <c r="J5983" s="405">
        <v>-0.70352199999999998</v>
      </c>
      <c r="K5983" s="405">
        <v>30.723700999999998</v>
      </c>
      <c r="L5983" s="405" t="s">
        <v>590</v>
      </c>
      <c r="M5983" s="405" t="s">
        <v>879</v>
      </c>
      <c r="N5983" s="405" t="s">
        <v>880</v>
      </c>
      <c r="O5983" s="405" t="s">
        <v>881</v>
      </c>
      <c r="P5983" s="405" t="s">
        <v>892</v>
      </c>
      <c r="Q5983" s="411">
        <v>9</v>
      </c>
      <c r="R5983" s="405" t="s">
        <v>333</v>
      </c>
      <c r="S5983" s="405" t="s">
        <v>27173</v>
      </c>
      <c r="T5983" s="405" t="s">
        <v>32102</v>
      </c>
      <c r="U5983" s="405" t="s">
        <v>319</v>
      </c>
    </row>
    <row r="5984" spans="1:21" x14ac:dyDescent="0.25">
      <c r="A5984" s="405" t="s">
        <v>310</v>
      </c>
      <c r="B5984" s="405" t="s">
        <v>4184</v>
      </c>
      <c r="C5984" s="405" t="s">
        <v>327</v>
      </c>
      <c r="D5984" s="405"/>
      <c r="E5984" s="410">
        <v>41455</v>
      </c>
      <c r="F5984" s="410">
        <v>41500</v>
      </c>
      <c r="G5984" s="405" t="s">
        <v>4185</v>
      </c>
      <c r="H5984" s="405">
        <v>772621247</v>
      </c>
      <c r="I5984" s="405"/>
      <c r="J5984" s="405">
        <v>0.416103</v>
      </c>
      <c r="K5984" s="405">
        <v>32.585577000000001</v>
      </c>
      <c r="L5984" s="405" t="s">
        <v>314</v>
      </c>
      <c r="M5984" s="405" t="s">
        <v>361</v>
      </c>
      <c r="N5984" s="405" t="s">
        <v>362</v>
      </c>
      <c r="O5984" s="405" t="s">
        <v>1365</v>
      </c>
      <c r="P5984" s="405" t="s">
        <v>579</v>
      </c>
      <c r="Q5984" s="411">
        <v>9</v>
      </c>
      <c r="R5984" s="405" t="s">
        <v>525</v>
      </c>
      <c r="S5984" s="405" t="s">
        <v>27035</v>
      </c>
      <c r="T5984" s="405" t="s">
        <v>32102</v>
      </c>
      <c r="U5984" s="405" t="s">
        <v>319</v>
      </c>
    </row>
    <row r="5985" spans="1:21" x14ac:dyDescent="0.25">
      <c r="A5985" s="405" t="s">
        <v>310</v>
      </c>
      <c r="B5985" s="405" t="s">
        <v>4208</v>
      </c>
      <c r="C5985" s="405" t="s">
        <v>327</v>
      </c>
      <c r="D5985" s="405"/>
      <c r="E5985" s="410">
        <v>41455</v>
      </c>
      <c r="F5985" s="410">
        <v>41500</v>
      </c>
      <c r="G5985" s="405" t="s">
        <v>4209</v>
      </c>
      <c r="H5985" s="405">
        <v>772423658</v>
      </c>
      <c r="I5985" s="405"/>
      <c r="J5985" s="405">
        <v>0.39943000000000001</v>
      </c>
      <c r="K5985" s="405">
        <v>32.595224999999999</v>
      </c>
      <c r="L5985" s="405" t="s">
        <v>314</v>
      </c>
      <c r="M5985" s="405" t="s">
        <v>992</v>
      </c>
      <c r="N5985" s="405" t="s">
        <v>936</v>
      </c>
      <c r="O5985" s="405" t="s">
        <v>936</v>
      </c>
      <c r="P5985" s="405" t="s">
        <v>993</v>
      </c>
      <c r="Q5985" s="411">
        <v>9</v>
      </c>
      <c r="R5985" s="405" t="s">
        <v>994</v>
      </c>
      <c r="S5985" s="405" t="s">
        <v>27162</v>
      </c>
      <c r="T5985" s="405" t="s">
        <v>32102</v>
      </c>
      <c r="U5985" s="405" t="s">
        <v>319</v>
      </c>
    </row>
    <row r="5986" spans="1:21" x14ac:dyDescent="0.25">
      <c r="A5986" s="405" t="s">
        <v>310</v>
      </c>
      <c r="B5986" s="405" t="s">
        <v>4210</v>
      </c>
      <c r="C5986" s="405" t="s">
        <v>327</v>
      </c>
      <c r="D5986" s="405"/>
      <c r="E5986" s="410">
        <v>41455</v>
      </c>
      <c r="F5986" s="410">
        <v>41500</v>
      </c>
      <c r="G5986" s="405" t="s">
        <v>4211</v>
      </c>
      <c r="H5986" s="405">
        <v>787542241</v>
      </c>
      <c r="I5986" s="405"/>
      <c r="J5986" s="405">
        <v>0.36687799999999998</v>
      </c>
      <c r="K5986" s="405">
        <v>32.519182000000001</v>
      </c>
      <c r="L5986" s="405" t="s">
        <v>314</v>
      </c>
      <c r="M5986" s="405" t="s">
        <v>361</v>
      </c>
      <c r="N5986" s="405" t="s">
        <v>362</v>
      </c>
      <c r="O5986" s="405" t="s">
        <v>361</v>
      </c>
      <c r="P5986" s="405" t="s">
        <v>1290</v>
      </c>
      <c r="Q5986" s="411">
        <v>9</v>
      </c>
      <c r="R5986" s="405" t="s">
        <v>318</v>
      </c>
      <c r="S5986" s="405" t="s">
        <v>27137</v>
      </c>
      <c r="T5986" s="405" t="s">
        <v>32102</v>
      </c>
      <c r="U5986" s="405" t="s">
        <v>319</v>
      </c>
    </row>
    <row r="5987" spans="1:21" x14ac:dyDescent="0.25">
      <c r="A5987" s="405" t="s">
        <v>310</v>
      </c>
      <c r="B5987" s="405" t="s">
        <v>4245</v>
      </c>
      <c r="C5987" s="405" t="s">
        <v>327</v>
      </c>
      <c r="D5987" s="405"/>
      <c r="E5987" s="410">
        <v>41455</v>
      </c>
      <c r="F5987" s="410">
        <v>41500</v>
      </c>
      <c r="G5987" s="405" t="s">
        <v>4246</v>
      </c>
      <c r="H5987" s="405">
        <v>774093204</v>
      </c>
      <c r="I5987" s="405"/>
      <c r="J5987" s="405">
        <v>0.36785899999999999</v>
      </c>
      <c r="K5987" s="405">
        <v>32.816031000000002</v>
      </c>
      <c r="L5987" s="405" t="s">
        <v>314</v>
      </c>
      <c r="M5987" s="405" t="s">
        <v>329</v>
      </c>
      <c r="N5987" s="405" t="s">
        <v>545</v>
      </c>
      <c r="O5987" s="405" t="s">
        <v>546</v>
      </c>
      <c r="P5987" s="405" t="s">
        <v>2776</v>
      </c>
      <c r="Q5987" s="411">
        <v>9</v>
      </c>
      <c r="R5987" s="405" t="s">
        <v>525</v>
      </c>
      <c r="S5987" s="405" t="s">
        <v>22481</v>
      </c>
      <c r="T5987" s="405" t="s">
        <v>32102</v>
      </c>
      <c r="U5987" s="405" t="s">
        <v>319</v>
      </c>
    </row>
    <row r="5988" spans="1:21" x14ac:dyDescent="0.25">
      <c r="A5988" s="405" t="s">
        <v>310</v>
      </c>
      <c r="B5988" s="405" t="s">
        <v>4205</v>
      </c>
      <c r="C5988" s="405" t="s">
        <v>327</v>
      </c>
      <c r="D5988" s="405"/>
      <c r="E5988" s="410">
        <v>41455</v>
      </c>
      <c r="F5988" s="410">
        <v>41500</v>
      </c>
      <c r="G5988" s="405" t="s">
        <v>4206</v>
      </c>
      <c r="H5988" s="405">
        <v>772442994</v>
      </c>
      <c r="I5988" s="405"/>
      <c r="J5988" s="405">
        <v>0.38550200000000001</v>
      </c>
      <c r="K5988" s="405">
        <v>32.574792000000002</v>
      </c>
      <c r="L5988" s="405" t="s">
        <v>314</v>
      </c>
      <c r="M5988" s="405" t="s">
        <v>992</v>
      </c>
      <c r="N5988" s="405" t="s">
        <v>936</v>
      </c>
      <c r="O5988" s="405" t="s">
        <v>936</v>
      </c>
      <c r="P5988" s="405" t="s">
        <v>4207</v>
      </c>
      <c r="Q5988" s="411">
        <v>9</v>
      </c>
      <c r="R5988" s="405" t="s">
        <v>318</v>
      </c>
      <c r="S5988" s="405" t="s">
        <v>27167</v>
      </c>
      <c r="T5988" s="405" t="s">
        <v>32102</v>
      </c>
      <c r="U5988" s="405" t="s">
        <v>319</v>
      </c>
    </row>
    <row r="5989" spans="1:21" x14ac:dyDescent="0.25">
      <c r="A5989" s="405" t="s">
        <v>310</v>
      </c>
      <c r="B5989" s="405" t="s">
        <v>4218</v>
      </c>
      <c r="C5989" s="405" t="s">
        <v>327</v>
      </c>
      <c r="D5989" s="405"/>
      <c r="E5989" s="410">
        <v>41455</v>
      </c>
      <c r="F5989" s="410">
        <v>41500</v>
      </c>
      <c r="G5989" s="405" t="s">
        <v>4219</v>
      </c>
      <c r="H5989" s="405">
        <v>781518023</v>
      </c>
      <c r="I5989" s="405">
        <v>782477325</v>
      </c>
      <c r="J5989" s="405">
        <v>0.44757333333333332</v>
      </c>
      <c r="K5989" s="405">
        <v>32.588181666666664</v>
      </c>
      <c r="L5989" s="405" t="s">
        <v>314</v>
      </c>
      <c r="M5989" s="405" t="s">
        <v>361</v>
      </c>
      <c r="N5989" s="405" t="s">
        <v>362</v>
      </c>
      <c r="O5989" s="405" t="s">
        <v>410</v>
      </c>
      <c r="P5989" s="405" t="s">
        <v>4220</v>
      </c>
      <c r="Q5989" s="411">
        <v>9</v>
      </c>
      <c r="R5989" s="405" t="s">
        <v>525</v>
      </c>
      <c r="S5989" s="405" t="s">
        <v>414</v>
      </c>
      <c r="T5989" s="405" t="s">
        <v>32102</v>
      </c>
      <c r="U5989" s="405" t="s">
        <v>319</v>
      </c>
    </row>
    <row r="5990" spans="1:21" x14ac:dyDescent="0.25">
      <c r="A5990" s="405" t="s">
        <v>310</v>
      </c>
      <c r="B5990" s="405" t="s">
        <v>21289</v>
      </c>
      <c r="C5990" s="405" t="s">
        <v>327</v>
      </c>
      <c r="D5990" s="405"/>
      <c r="E5990" s="410">
        <v>41455</v>
      </c>
      <c r="F5990" s="410">
        <v>41500</v>
      </c>
      <c r="G5990" s="405" t="s">
        <v>21290</v>
      </c>
      <c r="H5990" s="405">
        <v>700536194</v>
      </c>
      <c r="I5990" s="405">
        <v>700774008</v>
      </c>
      <c r="J5990" s="405">
        <v>-0.28559299999999999</v>
      </c>
      <c r="K5990" s="405">
        <v>30.765929</v>
      </c>
      <c r="L5990" s="405" t="s">
        <v>590</v>
      </c>
      <c r="M5990" s="405" t="s">
        <v>19705</v>
      </c>
      <c r="N5990" s="405" t="s">
        <v>19706</v>
      </c>
      <c r="O5990" s="405" t="s">
        <v>21291</v>
      </c>
      <c r="P5990" s="405" t="s">
        <v>21292</v>
      </c>
      <c r="Q5990" s="411">
        <v>9</v>
      </c>
      <c r="R5990" s="405" t="s">
        <v>874</v>
      </c>
      <c r="S5990" s="405" t="s">
        <v>27275</v>
      </c>
      <c r="T5990" s="405" t="s">
        <v>32102</v>
      </c>
      <c r="U5990" s="405" t="s">
        <v>319</v>
      </c>
    </row>
    <row r="5991" spans="1:21" x14ac:dyDescent="0.25">
      <c r="A5991" s="405" t="s">
        <v>310</v>
      </c>
      <c r="B5991" s="405" t="s">
        <v>4171</v>
      </c>
      <c r="C5991" s="405" t="s">
        <v>327</v>
      </c>
      <c r="D5991" s="405"/>
      <c r="E5991" s="410">
        <v>41455</v>
      </c>
      <c r="F5991" s="410">
        <v>41500</v>
      </c>
      <c r="G5991" s="405" t="s">
        <v>4172</v>
      </c>
      <c r="H5991" s="405">
        <v>754805578</v>
      </c>
      <c r="I5991" s="405"/>
      <c r="J5991" s="405">
        <v>0.30250300000000002</v>
      </c>
      <c r="K5991" s="405">
        <v>32.487405000000003</v>
      </c>
      <c r="L5991" s="405" t="s">
        <v>314</v>
      </c>
      <c r="M5991" s="405" t="s">
        <v>361</v>
      </c>
      <c r="N5991" s="405" t="s">
        <v>374</v>
      </c>
      <c r="O5991" s="405" t="s">
        <v>375</v>
      </c>
      <c r="P5991" s="405" t="s">
        <v>4173</v>
      </c>
      <c r="Q5991" s="411">
        <v>9</v>
      </c>
      <c r="R5991" s="405" t="s">
        <v>1263</v>
      </c>
      <c r="S5991" s="405" t="s">
        <v>27210</v>
      </c>
      <c r="T5991" s="405" t="s">
        <v>32102</v>
      </c>
      <c r="U5991" s="405" t="s">
        <v>319</v>
      </c>
    </row>
    <row r="5992" spans="1:21" x14ac:dyDescent="0.25">
      <c r="A5992" s="405" t="s">
        <v>310</v>
      </c>
      <c r="B5992" s="405" t="s">
        <v>27777</v>
      </c>
      <c r="C5992" s="405" t="s">
        <v>327</v>
      </c>
      <c r="D5992" s="405"/>
      <c r="E5992" s="410">
        <v>41455</v>
      </c>
      <c r="F5992" s="410">
        <v>41500</v>
      </c>
      <c r="G5992" s="405" t="s">
        <v>4169</v>
      </c>
      <c r="H5992" s="405">
        <v>752962920</v>
      </c>
      <c r="I5992" s="405"/>
      <c r="J5992" s="405">
        <v>0.19637199999999999</v>
      </c>
      <c r="K5992" s="405">
        <v>32.406170000000003</v>
      </c>
      <c r="L5992" s="405" t="s">
        <v>314</v>
      </c>
      <c r="M5992" s="405" t="s">
        <v>361</v>
      </c>
      <c r="N5992" s="405" t="s">
        <v>2091</v>
      </c>
      <c r="O5992" s="405" t="s">
        <v>1279</v>
      </c>
      <c r="P5992" s="405" t="s">
        <v>4170</v>
      </c>
      <c r="Q5992" s="411">
        <v>6</v>
      </c>
      <c r="R5992" s="405" t="s">
        <v>318</v>
      </c>
      <c r="S5992" s="405" t="s">
        <v>27046</v>
      </c>
      <c r="T5992" s="405" t="s">
        <v>32102</v>
      </c>
      <c r="U5992" s="405" t="s">
        <v>319</v>
      </c>
    </row>
    <row r="5993" spans="1:21" x14ac:dyDescent="0.25">
      <c r="A5993" s="405" t="s">
        <v>310</v>
      </c>
      <c r="B5993" s="405" t="s">
        <v>29011</v>
      </c>
      <c r="C5993" s="405" t="s">
        <v>327</v>
      </c>
      <c r="D5993" s="405"/>
      <c r="E5993" s="410">
        <v>41455</v>
      </c>
      <c r="F5993" s="410">
        <v>41500</v>
      </c>
      <c r="G5993" s="405" t="s">
        <v>4240</v>
      </c>
      <c r="H5993" s="405">
        <v>712862425</v>
      </c>
      <c r="I5993" s="405"/>
      <c r="J5993" s="405">
        <v>0.36155999999999999</v>
      </c>
      <c r="K5993" s="405">
        <v>32.609468</v>
      </c>
      <c r="L5993" s="405" t="s">
        <v>314</v>
      </c>
      <c r="M5993" s="405" t="s">
        <v>992</v>
      </c>
      <c r="N5993" s="405" t="s">
        <v>362</v>
      </c>
      <c r="O5993" s="405" t="s">
        <v>987</v>
      </c>
      <c r="P5993" s="405" t="s">
        <v>4241</v>
      </c>
      <c r="Q5993" s="411">
        <v>6</v>
      </c>
      <c r="R5993" s="405" t="s">
        <v>1263</v>
      </c>
      <c r="S5993" s="405" t="s">
        <v>27164</v>
      </c>
      <c r="T5993" s="405" t="s">
        <v>32102</v>
      </c>
      <c r="U5993" s="405" t="s">
        <v>319</v>
      </c>
    </row>
    <row r="5994" spans="1:21" x14ac:dyDescent="0.25">
      <c r="A5994" s="405" t="s">
        <v>310</v>
      </c>
      <c r="B5994" s="405" t="s">
        <v>4247</v>
      </c>
      <c r="C5994" s="405" t="s">
        <v>327</v>
      </c>
      <c r="D5994" s="405"/>
      <c r="E5994" s="410">
        <v>41455</v>
      </c>
      <c r="F5994" s="410">
        <v>41500</v>
      </c>
      <c r="G5994" s="405" t="s">
        <v>4248</v>
      </c>
      <c r="H5994" s="405">
        <v>781156494</v>
      </c>
      <c r="I5994" s="405">
        <v>752636351</v>
      </c>
      <c r="J5994" s="405">
        <v>0.36400300000000002</v>
      </c>
      <c r="K5994" s="405">
        <v>32.818080000000002</v>
      </c>
      <c r="L5994" s="405" t="s">
        <v>314</v>
      </c>
      <c r="M5994" s="405" t="s">
        <v>329</v>
      </c>
      <c r="N5994" s="405" t="s">
        <v>545</v>
      </c>
      <c r="O5994" s="405" t="s">
        <v>546</v>
      </c>
      <c r="P5994" s="405" t="s">
        <v>2776</v>
      </c>
      <c r="Q5994" s="411">
        <v>6</v>
      </c>
      <c r="R5994" s="405" t="s">
        <v>525</v>
      </c>
      <c r="S5994" s="405" t="s">
        <v>22481</v>
      </c>
      <c r="T5994" s="405" t="s">
        <v>32102</v>
      </c>
      <c r="U5994" s="405" t="s">
        <v>319</v>
      </c>
    </row>
    <row r="5995" spans="1:21" x14ac:dyDescent="0.25">
      <c r="A5995" s="405" t="s">
        <v>310</v>
      </c>
      <c r="B5995" s="405" t="s">
        <v>12630</v>
      </c>
      <c r="C5995" s="405" t="s">
        <v>327</v>
      </c>
      <c r="D5995" s="405"/>
      <c r="E5995" s="410">
        <v>41455</v>
      </c>
      <c r="F5995" s="410">
        <v>41500</v>
      </c>
      <c r="G5995" s="405" t="s">
        <v>12631</v>
      </c>
      <c r="H5995" s="405">
        <v>772561198</v>
      </c>
      <c r="I5995" s="405"/>
      <c r="J5995" s="405">
        <v>1.5793029999999999</v>
      </c>
      <c r="K5995" s="405">
        <v>34.02008</v>
      </c>
      <c r="L5995" s="405" t="s">
        <v>6866</v>
      </c>
      <c r="M5995" s="405" t="s">
        <v>10029</v>
      </c>
      <c r="N5995" s="405" t="s">
        <v>10029</v>
      </c>
      <c r="O5995" s="405" t="s">
        <v>10435</v>
      </c>
      <c r="P5995" s="405" t="s">
        <v>12632</v>
      </c>
      <c r="Q5995" s="411">
        <v>6</v>
      </c>
      <c r="R5995" s="405" t="s">
        <v>7224</v>
      </c>
      <c r="S5995" s="405" t="s">
        <v>27283</v>
      </c>
      <c r="T5995" s="405" t="s">
        <v>32102</v>
      </c>
      <c r="U5995" s="405" t="s">
        <v>319</v>
      </c>
    </row>
    <row r="5996" spans="1:21" x14ac:dyDescent="0.25">
      <c r="A5996" s="405" t="s">
        <v>310</v>
      </c>
      <c r="B5996" s="405" t="s">
        <v>4292</v>
      </c>
      <c r="C5996" s="405" t="s">
        <v>327</v>
      </c>
      <c r="D5996" s="405"/>
      <c r="E5996" s="410">
        <v>41455</v>
      </c>
      <c r="F5996" s="410">
        <v>41500</v>
      </c>
      <c r="G5996" s="405" t="s">
        <v>4293</v>
      </c>
      <c r="H5996" s="405">
        <v>781858648</v>
      </c>
      <c r="I5996" s="405"/>
      <c r="J5996" s="405">
        <v>0.213612</v>
      </c>
      <c r="K5996" s="405">
        <v>32.615279999999998</v>
      </c>
      <c r="L5996" s="405" t="s">
        <v>314</v>
      </c>
      <c r="M5996" s="405" t="s">
        <v>361</v>
      </c>
      <c r="N5996" s="405" t="s">
        <v>362</v>
      </c>
      <c r="O5996" s="405" t="s">
        <v>618</v>
      </c>
      <c r="P5996" s="405" t="s">
        <v>4291</v>
      </c>
      <c r="Q5996" s="411">
        <v>6</v>
      </c>
      <c r="R5996" s="405" t="s">
        <v>1263</v>
      </c>
      <c r="S5996" s="405" t="s">
        <v>27202</v>
      </c>
      <c r="T5996" s="405" t="s">
        <v>32102</v>
      </c>
      <c r="U5996" s="405" t="s">
        <v>319</v>
      </c>
    </row>
    <row r="5997" spans="1:21" x14ac:dyDescent="0.25">
      <c r="A5997" s="405" t="s">
        <v>310</v>
      </c>
      <c r="B5997" s="405" t="s">
        <v>4708</v>
      </c>
      <c r="C5997" s="405" t="s">
        <v>311</v>
      </c>
      <c r="D5997" s="405" t="s">
        <v>839</v>
      </c>
      <c r="E5997" s="410">
        <v>41455</v>
      </c>
      <c r="F5997" s="410">
        <v>41500</v>
      </c>
      <c r="G5997" s="405" t="s">
        <v>4709</v>
      </c>
      <c r="H5997" s="405">
        <v>750612916</v>
      </c>
      <c r="I5997" s="405"/>
      <c r="J5997" s="405">
        <v>0.42954500000000001</v>
      </c>
      <c r="K5997" s="405">
        <v>32.690542000000001</v>
      </c>
      <c r="L5997" s="405" t="s">
        <v>314</v>
      </c>
      <c r="M5997" s="405" t="s">
        <v>329</v>
      </c>
      <c r="N5997" s="405" t="s">
        <v>330</v>
      </c>
      <c r="O5997" s="405" t="s">
        <v>787</v>
      </c>
      <c r="P5997" s="405" t="s">
        <v>4710</v>
      </c>
      <c r="Q5997" s="411">
        <v>6</v>
      </c>
      <c r="R5997" s="405" t="s">
        <v>353</v>
      </c>
      <c r="S5997" s="405" t="s">
        <v>27110</v>
      </c>
      <c r="T5997" s="405" t="s">
        <v>32102</v>
      </c>
      <c r="U5997" s="405" t="s">
        <v>319</v>
      </c>
    </row>
    <row r="5998" spans="1:21" x14ac:dyDescent="0.25">
      <c r="A5998" s="405" t="s">
        <v>310</v>
      </c>
      <c r="B5998" s="405" t="s">
        <v>12597</v>
      </c>
      <c r="C5998" s="405" t="s">
        <v>327</v>
      </c>
      <c r="D5998" s="405"/>
      <c r="E5998" s="410">
        <v>41455</v>
      </c>
      <c r="F5998" s="410">
        <v>41500</v>
      </c>
      <c r="G5998" s="405" t="s">
        <v>12598</v>
      </c>
      <c r="H5998" s="405">
        <v>782588506</v>
      </c>
      <c r="I5998" s="405"/>
      <c r="J5998" s="405">
        <v>1.135008</v>
      </c>
      <c r="K5998" s="405">
        <v>34.204892999999998</v>
      </c>
      <c r="L5998" s="405" t="s">
        <v>6866</v>
      </c>
      <c r="M5998" s="405" t="s">
        <v>9514</v>
      </c>
      <c r="N5998" s="405" t="s">
        <v>9722</v>
      </c>
      <c r="O5998" s="405" t="s">
        <v>9530</v>
      </c>
      <c r="P5998" s="405" t="s">
        <v>10082</v>
      </c>
      <c r="Q5998" s="411">
        <v>6</v>
      </c>
      <c r="R5998" s="405" t="s">
        <v>5655</v>
      </c>
      <c r="S5998" s="405" t="s">
        <v>27336</v>
      </c>
      <c r="T5998" s="405" t="s">
        <v>32102</v>
      </c>
      <c r="U5998" s="405" t="s">
        <v>319</v>
      </c>
    </row>
    <row r="5999" spans="1:21" x14ac:dyDescent="0.25">
      <c r="A5999" s="405" t="s">
        <v>310</v>
      </c>
      <c r="B5999" s="405" t="s">
        <v>12604</v>
      </c>
      <c r="C5999" s="405" t="s">
        <v>327</v>
      </c>
      <c r="D5999" s="405"/>
      <c r="E5999" s="410">
        <v>41455</v>
      </c>
      <c r="F5999" s="410">
        <v>41500</v>
      </c>
      <c r="G5999" s="405" t="s">
        <v>12605</v>
      </c>
      <c r="H5999" s="405">
        <v>774082737</v>
      </c>
      <c r="I5999" s="405"/>
      <c r="J5999" s="405">
        <v>1.48837</v>
      </c>
      <c r="K5999" s="405">
        <v>33.990591999999999</v>
      </c>
      <c r="L5999" s="405" t="s">
        <v>6866</v>
      </c>
      <c r="M5999" s="405" t="s">
        <v>10029</v>
      </c>
      <c r="N5999" s="405" t="s">
        <v>10029</v>
      </c>
      <c r="O5999" s="405" t="s">
        <v>10435</v>
      </c>
      <c r="P5999" s="405" t="s">
        <v>12245</v>
      </c>
      <c r="Q5999" s="411">
        <v>6</v>
      </c>
      <c r="R5999" s="405" t="s">
        <v>9541</v>
      </c>
      <c r="S5999" s="405" t="s">
        <v>27297</v>
      </c>
      <c r="T5999" s="405" t="s">
        <v>32102</v>
      </c>
      <c r="U5999" s="405" t="s">
        <v>319</v>
      </c>
    </row>
    <row r="6000" spans="1:21" x14ac:dyDescent="0.25">
      <c r="A6000" s="405" t="s">
        <v>310</v>
      </c>
      <c r="B6000" s="405" t="s">
        <v>4297</v>
      </c>
      <c r="C6000" s="405" t="s">
        <v>327</v>
      </c>
      <c r="D6000" s="405"/>
      <c r="E6000" s="410">
        <v>41455</v>
      </c>
      <c r="F6000" s="410">
        <v>41500</v>
      </c>
      <c r="G6000" s="405" t="s">
        <v>4298</v>
      </c>
      <c r="H6000" s="405">
        <v>712931998</v>
      </c>
      <c r="I6000" s="405"/>
      <c r="J6000" s="405">
        <v>0.32713199999999998</v>
      </c>
      <c r="K6000" s="405">
        <v>32.5456</v>
      </c>
      <c r="L6000" s="405" t="s">
        <v>314</v>
      </c>
      <c r="M6000" s="405" t="s">
        <v>361</v>
      </c>
      <c r="N6000" s="405" t="s">
        <v>362</v>
      </c>
      <c r="O6000" s="405" t="s">
        <v>2327</v>
      </c>
      <c r="P6000" s="405" t="s">
        <v>4299</v>
      </c>
      <c r="Q6000" s="411">
        <v>6</v>
      </c>
      <c r="R6000" s="405" t="s">
        <v>4176</v>
      </c>
      <c r="S6000" s="405" t="s">
        <v>27059</v>
      </c>
      <c r="T6000" s="405" t="s">
        <v>32102</v>
      </c>
      <c r="U6000" s="405" t="s">
        <v>319</v>
      </c>
    </row>
    <row r="6001" spans="1:21" x14ac:dyDescent="0.25">
      <c r="A6001" s="405" t="s">
        <v>310</v>
      </c>
      <c r="B6001" s="405" t="s">
        <v>4182</v>
      </c>
      <c r="C6001" s="405" t="s">
        <v>327</v>
      </c>
      <c r="D6001" s="405"/>
      <c r="E6001" s="410">
        <v>41455</v>
      </c>
      <c r="F6001" s="410">
        <v>41500</v>
      </c>
      <c r="G6001" s="405" t="s">
        <v>4183</v>
      </c>
      <c r="H6001" s="405">
        <v>779868195</v>
      </c>
      <c r="I6001" s="405"/>
      <c r="J6001" s="405">
        <v>0.28340300000000002</v>
      </c>
      <c r="K6001" s="405">
        <v>32.492372000000003</v>
      </c>
      <c r="L6001" s="405" t="s">
        <v>314</v>
      </c>
      <c r="M6001" s="405" t="s">
        <v>361</v>
      </c>
      <c r="N6001" s="405" t="s">
        <v>374</v>
      </c>
      <c r="O6001" s="405" t="s">
        <v>375</v>
      </c>
      <c r="P6001" s="405" t="s">
        <v>3257</v>
      </c>
      <c r="Q6001" s="411">
        <v>6</v>
      </c>
      <c r="R6001" s="405" t="s">
        <v>525</v>
      </c>
      <c r="S6001" s="405" t="s">
        <v>414</v>
      </c>
      <c r="T6001" s="405" t="s">
        <v>32102</v>
      </c>
      <c r="U6001" s="405" t="s">
        <v>319</v>
      </c>
    </row>
    <row r="6002" spans="1:21" x14ac:dyDescent="0.25">
      <c r="A6002" s="405" t="s">
        <v>310</v>
      </c>
      <c r="B6002" s="405" t="s">
        <v>4233</v>
      </c>
      <c r="C6002" s="405" t="s">
        <v>327</v>
      </c>
      <c r="D6002" s="405"/>
      <c r="E6002" s="410">
        <v>41455</v>
      </c>
      <c r="F6002" s="410">
        <v>41500</v>
      </c>
      <c r="G6002" s="405" t="s">
        <v>4234</v>
      </c>
      <c r="H6002" s="405">
        <v>772635082</v>
      </c>
      <c r="I6002" s="405"/>
      <c r="J6002" s="405">
        <v>0.99578999999999995</v>
      </c>
      <c r="K6002" s="405">
        <v>32.477519999999998</v>
      </c>
      <c r="L6002" s="405" t="s">
        <v>314</v>
      </c>
      <c r="M6002" s="405" t="s">
        <v>959</v>
      </c>
      <c r="N6002" s="405" t="s">
        <v>1308</v>
      </c>
      <c r="O6002" s="405" t="s">
        <v>4235</v>
      </c>
      <c r="P6002" s="405" t="s">
        <v>4236</v>
      </c>
      <c r="Q6002" s="411">
        <v>6</v>
      </c>
      <c r="R6002" s="405" t="s">
        <v>1263</v>
      </c>
      <c r="S6002" s="405" t="s">
        <v>27193</v>
      </c>
      <c r="T6002" s="405" t="s">
        <v>32102</v>
      </c>
      <c r="U6002" s="405" t="s">
        <v>319</v>
      </c>
    </row>
    <row r="6003" spans="1:21" x14ac:dyDescent="0.25">
      <c r="A6003" s="405" t="s">
        <v>310</v>
      </c>
      <c r="B6003" s="405" t="s">
        <v>4282</v>
      </c>
      <c r="C6003" s="405" t="s">
        <v>327</v>
      </c>
      <c r="D6003" s="405"/>
      <c r="E6003" s="410">
        <v>41455</v>
      </c>
      <c r="F6003" s="410">
        <v>41500</v>
      </c>
      <c r="G6003" s="405" t="s">
        <v>4283</v>
      </c>
      <c r="H6003" s="405">
        <v>782763803</v>
      </c>
      <c r="I6003" s="405"/>
      <c r="J6003" s="405">
        <v>0.74402699999999999</v>
      </c>
      <c r="K6003" s="405">
        <v>32.398451999999999</v>
      </c>
      <c r="L6003" s="405" t="s">
        <v>314</v>
      </c>
      <c r="M6003" s="405" t="s">
        <v>2297</v>
      </c>
      <c r="N6003" s="405" t="s">
        <v>1308</v>
      </c>
      <c r="O6003" s="405" t="s">
        <v>4278</v>
      </c>
      <c r="P6003" s="405" t="s">
        <v>4284</v>
      </c>
      <c r="Q6003" s="411">
        <v>6</v>
      </c>
      <c r="R6003" s="405" t="s">
        <v>1263</v>
      </c>
      <c r="S6003" s="405" t="s">
        <v>27178</v>
      </c>
      <c r="T6003" s="405" t="s">
        <v>32102</v>
      </c>
      <c r="U6003" s="405" t="s">
        <v>319</v>
      </c>
    </row>
    <row r="6004" spans="1:21" x14ac:dyDescent="0.25">
      <c r="A6004" s="405" t="s">
        <v>310</v>
      </c>
      <c r="B6004" s="405" t="s">
        <v>4738</v>
      </c>
      <c r="C6004" s="405" t="s">
        <v>311</v>
      </c>
      <c r="D6004" s="405" t="s">
        <v>1789</v>
      </c>
      <c r="E6004" s="410">
        <v>41455</v>
      </c>
      <c r="F6004" s="410">
        <v>41500</v>
      </c>
      <c r="G6004" s="405" t="s">
        <v>4739</v>
      </c>
      <c r="H6004" s="405">
        <v>704989066</v>
      </c>
      <c r="I6004" s="405"/>
      <c r="J6004" s="405">
        <v>0.37360199999999999</v>
      </c>
      <c r="K6004" s="405">
        <v>32.424672000000001</v>
      </c>
      <c r="L6004" s="405" t="s">
        <v>314</v>
      </c>
      <c r="M6004" s="405" t="s">
        <v>361</v>
      </c>
      <c r="N6004" s="405" t="s">
        <v>3398</v>
      </c>
      <c r="O6004" s="405" t="s">
        <v>952</v>
      </c>
      <c r="P6004" s="405" t="s">
        <v>4740</v>
      </c>
      <c r="Q6004" s="411">
        <v>6</v>
      </c>
      <c r="R6004" s="405" t="s">
        <v>353</v>
      </c>
      <c r="S6004" s="405" t="s">
        <v>27110</v>
      </c>
      <c r="T6004" s="405" t="s">
        <v>32102</v>
      </c>
      <c r="U6004" s="405" t="s">
        <v>319</v>
      </c>
    </row>
    <row r="6005" spans="1:21" x14ac:dyDescent="0.25">
      <c r="A6005" s="405" t="s">
        <v>310</v>
      </c>
      <c r="B6005" s="405" t="s">
        <v>4101</v>
      </c>
      <c r="C6005" s="405" t="s">
        <v>327</v>
      </c>
      <c r="D6005" s="405"/>
      <c r="E6005" s="410">
        <v>41455</v>
      </c>
      <c r="F6005" s="410">
        <v>41500</v>
      </c>
      <c r="G6005" s="405" t="s">
        <v>4102</v>
      </c>
      <c r="H6005" s="405">
        <v>705939219</v>
      </c>
      <c r="I6005" s="405">
        <v>773939938</v>
      </c>
      <c r="J6005" s="405">
        <v>0.124913</v>
      </c>
      <c r="K6005" s="405">
        <v>32.168582999999998</v>
      </c>
      <c r="L6005" s="405" t="s">
        <v>314</v>
      </c>
      <c r="M6005" s="405" t="s">
        <v>315</v>
      </c>
      <c r="N6005" s="405" t="s">
        <v>315</v>
      </c>
      <c r="O6005" s="405" t="s">
        <v>2063</v>
      </c>
      <c r="P6005" s="405" t="s">
        <v>821</v>
      </c>
      <c r="Q6005" s="411">
        <v>6</v>
      </c>
      <c r="R6005" s="405" t="s">
        <v>318</v>
      </c>
      <c r="S6005" s="405" t="s">
        <v>27222</v>
      </c>
      <c r="T6005" s="405" t="s">
        <v>32102</v>
      </c>
      <c r="U6005" s="405" t="s">
        <v>319</v>
      </c>
    </row>
    <row r="6006" spans="1:21" x14ac:dyDescent="0.25">
      <c r="A6006" s="405" t="s">
        <v>310</v>
      </c>
      <c r="B6006" s="405" t="s">
        <v>4287</v>
      </c>
      <c r="C6006" s="405" t="s">
        <v>327</v>
      </c>
      <c r="D6006" s="405"/>
      <c r="E6006" s="410">
        <v>41455</v>
      </c>
      <c r="F6006" s="410">
        <v>41500</v>
      </c>
      <c r="G6006" s="405" t="s">
        <v>4288</v>
      </c>
      <c r="H6006" s="405">
        <v>752623160</v>
      </c>
      <c r="I6006" s="405"/>
      <c r="J6006" s="405">
        <v>0.24496200000000001</v>
      </c>
      <c r="K6006" s="405">
        <v>32.590505</v>
      </c>
      <c r="L6006" s="405" t="s">
        <v>314</v>
      </c>
      <c r="M6006" s="405" t="s">
        <v>361</v>
      </c>
      <c r="N6006" s="405" t="s">
        <v>362</v>
      </c>
      <c r="O6006" s="405" t="s">
        <v>618</v>
      </c>
      <c r="P6006" s="405" t="s">
        <v>2648</v>
      </c>
      <c r="Q6006" s="411">
        <v>6</v>
      </c>
      <c r="R6006" s="405" t="s">
        <v>318</v>
      </c>
      <c r="S6006" s="405" t="s">
        <v>27137</v>
      </c>
      <c r="T6006" s="405" t="s">
        <v>32102</v>
      </c>
      <c r="U6006" s="405" t="s">
        <v>319</v>
      </c>
    </row>
    <row r="6007" spans="1:21" x14ac:dyDescent="0.25">
      <c r="A6007" s="405" t="s">
        <v>310</v>
      </c>
      <c r="B6007" s="405" t="s">
        <v>28564</v>
      </c>
      <c r="C6007" s="405" t="s">
        <v>327</v>
      </c>
      <c r="D6007" s="405"/>
      <c r="E6007" s="410">
        <v>41455</v>
      </c>
      <c r="F6007" s="410">
        <v>41500</v>
      </c>
      <c r="G6007" s="405" t="s">
        <v>12560</v>
      </c>
      <c r="H6007" s="405">
        <v>772988143</v>
      </c>
      <c r="I6007" s="405"/>
      <c r="J6007" s="405">
        <v>1.106887</v>
      </c>
      <c r="K6007" s="405">
        <v>34.205022999999997</v>
      </c>
      <c r="L6007" s="405" t="s">
        <v>6866</v>
      </c>
      <c r="M6007" s="405" t="s">
        <v>9514</v>
      </c>
      <c r="N6007" s="405" t="s">
        <v>9529</v>
      </c>
      <c r="O6007" s="405" t="s">
        <v>9530</v>
      </c>
      <c r="P6007" s="405" t="s">
        <v>12561</v>
      </c>
      <c r="Q6007" s="411">
        <v>6</v>
      </c>
      <c r="R6007" s="405" t="s">
        <v>7224</v>
      </c>
      <c r="S6007" s="405" t="s">
        <v>17013</v>
      </c>
      <c r="T6007" s="405" t="s">
        <v>32102</v>
      </c>
      <c r="U6007" s="405" t="s">
        <v>319</v>
      </c>
    </row>
    <row r="6008" spans="1:21" x14ac:dyDescent="0.25">
      <c r="A6008" s="405" t="s">
        <v>310</v>
      </c>
      <c r="B6008" s="405" t="s">
        <v>12628</v>
      </c>
      <c r="C6008" s="405" t="s">
        <v>327</v>
      </c>
      <c r="D6008" s="405"/>
      <c r="E6008" s="410">
        <v>41455</v>
      </c>
      <c r="F6008" s="410">
        <v>41500</v>
      </c>
      <c r="G6008" s="405" t="s">
        <v>12629</v>
      </c>
      <c r="H6008" s="405">
        <v>774806198</v>
      </c>
      <c r="I6008" s="405"/>
      <c r="J6008" s="405">
        <v>1.54871</v>
      </c>
      <c r="K6008" s="405">
        <v>34.010449999999999</v>
      </c>
      <c r="L6008" s="405" t="s">
        <v>6866</v>
      </c>
      <c r="M6008" s="405" t="s">
        <v>10029</v>
      </c>
      <c r="N6008" s="405" t="s">
        <v>10029</v>
      </c>
      <c r="O6008" s="405" t="s">
        <v>10435</v>
      </c>
      <c r="P6008" s="405" t="s">
        <v>12423</v>
      </c>
      <c r="Q6008" s="411">
        <v>6</v>
      </c>
      <c r="R6008" s="405" t="s">
        <v>7224</v>
      </c>
      <c r="S6008" s="405" t="s">
        <v>27298</v>
      </c>
      <c r="T6008" s="405" t="s">
        <v>32102</v>
      </c>
      <c r="U6008" s="405" t="s">
        <v>319</v>
      </c>
    </row>
    <row r="6009" spans="1:21" x14ac:dyDescent="0.25">
      <c r="A6009" s="405" t="s">
        <v>310</v>
      </c>
      <c r="B6009" s="405" t="s">
        <v>12606</v>
      </c>
      <c r="C6009" s="405" t="s">
        <v>327</v>
      </c>
      <c r="D6009" s="405"/>
      <c r="E6009" s="410">
        <v>41455</v>
      </c>
      <c r="F6009" s="410">
        <v>41500</v>
      </c>
      <c r="G6009" s="405" t="s">
        <v>12607</v>
      </c>
      <c r="H6009" s="405">
        <v>782934088</v>
      </c>
      <c r="I6009" s="405"/>
      <c r="J6009" s="405">
        <v>1.4939199999999999</v>
      </c>
      <c r="K6009" s="405">
        <v>33.991323000000001</v>
      </c>
      <c r="L6009" s="405" t="s">
        <v>6866</v>
      </c>
      <c r="M6009" s="405" t="s">
        <v>10029</v>
      </c>
      <c r="N6009" s="405" t="s">
        <v>10029</v>
      </c>
      <c r="O6009" s="405" t="s">
        <v>10435</v>
      </c>
      <c r="P6009" s="405" t="s">
        <v>12245</v>
      </c>
      <c r="Q6009" s="411">
        <v>6</v>
      </c>
      <c r="R6009" s="405" t="s">
        <v>9541</v>
      </c>
      <c r="S6009" s="405" t="s">
        <v>27086</v>
      </c>
      <c r="T6009" s="405" t="s">
        <v>32102</v>
      </c>
      <c r="U6009" s="405" t="s">
        <v>319</v>
      </c>
    </row>
    <row r="6010" spans="1:21" x14ac:dyDescent="0.25">
      <c r="A6010" s="405" t="s">
        <v>310</v>
      </c>
      <c r="B6010" s="405" t="s">
        <v>4276</v>
      </c>
      <c r="C6010" s="405" t="s">
        <v>327</v>
      </c>
      <c r="D6010" s="405"/>
      <c r="E6010" s="410">
        <v>41455</v>
      </c>
      <c r="F6010" s="410">
        <v>41500</v>
      </c>
      <c r="G6010" s="405" t="s">
        <v>4277</v>
      </c>
      <c r="H6010" s="405">
        <v>782817773</v>
      </c>
      <c r="I6010" s="405"/>
      <c r="J6010" s="405">
        <v>0.71770299999999998</v>
      </c>
      <c r="K6010" s="405">
        <v>32.391413</v>
      </c>
      <c r="L6010" s="405" t="s">
        <v>314</v>
      </c>
      <c r="M6010" s="405" t="s">
        <v>2297</v>
      </c>
      <c r="N6010" s="405" t="s">
        <v>2297</v>
      </c>
      <c r="O6010" s="405" t="s">
        <v>4278</v>
      </c>
      <c r="P6010" s="405" t="s">
        <v>4279</v>
      </c>
      <c r="Q6010" s="411">
        <v>6</v>
      </c>
      <c r="R6010" s="405" t="s">
        <v>1263</v>
      </c>
      <c r="S6010" s="405" t="s">
        <v>27178</v>
      </c>
      <c r="T6010" s="405" t="s">
        <v>32102</v>
      </c>
      <c r="U6010" s="405" t="s">
        <v>319</v>
      </c>
    </row>
    <row r="6011" spans="1:21" x14ac:dyDescent="0.25">
      <c r="A6011" s="405" t="s">
        <v>310</v>
      </c>
      <c r="B6011" s="405" t="s">
        <v>4280</v>
      </c>
      <c r="C6011" s="405" t="s">
        <v>327</v>
      </c>
      <c r="D6011" s="405"/>
      <c r="E6011" s="410">
        <v>41455</v>
      </c>
      <c r="F6011" s="410">
        <v>41500</v>
      </c>
      <c r="G6011" s="405" t="s">
        <v>4281</v>
      </c>
      <c r="H6011" s="405">
        <v>773345637</v>
      </c>
      <c r="I6011" s="405"/>
      <c r="J6011" s="405">
        <v>0.73069499999999998</v>
      </c>
      <c r="K6011" s="405">
        <v>32.393447000000002</v>
      </c>
      <c r="L6011" s="405" t="s">
        <v>314</v>
      </c>
      <c r="M6011" s="405" t="s">
        <v>2297</v>
      </c>
      <c r="N6011" s="405" t="s">
        <v>1308</v>
      </c>
      <c r="O6011" s="405" t="s">
        <v>4278</v>
      </c>
      <c r="P6011" s="405" t="s">
        <v>2528</v>
      </c>
      <c r="Q6011" s="411">
        <v>6</v>
      </c>
      <c r="R6011" s="405" t="s">
        <v>1263</v>
      </c>
      <c r="S6011" s="405" t="s">
        <v>27178</v>
      </c>
      <c r="T6011" s="405" t="s">
        <v>32102</v>
      </c>
      <c r="U6011" s="405" t="s">
        <v>319</v>
      </c>
    </row>
    <row r="6012" spans="1:21" x14ac:dyDescent="0.25">
      <c r="A6012" s="405" t="s">
        <v>310</v>
      </c>
      <c r="B6012" s="405" t="s">
        <v>4195</v>
      </c>
      <c r="C6012" s="405" t="s">
        <v>327</v>
      </c>
      <c r="D6012" s="405"/>
      <c r="E6012" s="410">
        <v>41455</v>
      </c>
      <c r="F6012" s="410">
        <v>41500</v>
      </c>
      <c r="G6012" s="405" t="s">
        <v>4196</v>
      </c>
      <c r="H6012" s="405">
        <v>712628467</v>
      </c>
      <c r="I6012" s="405"/>
      <c r="J6012" s="405">
        <v>0.59701700000000002</v>
      </c>
      <c r="K6012" s="405">
        <v>32.476613</v>
      </c>
      <c r="L6012" s="405" t="s">
        <v>314</v>
      </c>
      <c r="M6012" s="405" t="s">
        <v>959</v>
      </c>
      <c r="N6012" s="405" t="s">
        <v>1673</v>
      </c>
      <c r="O6012" s="405" t="s">
        <v>2056</v>
      </c>
      <c r="P6012" s="405" t="s">
        <v>2481</v>
      </c>
      <c r="Q6012" s="411">
        <v>6</v>
      </c>
      <c r="R6012" s="405" t="s">
        <v>1263</v>
      </c>
      <c r="S6012" s="405" t="s">
        <v>27036</v>
      </c>
      <c r="T6012" s="405" t="s">
        <v>32102</v>
      </c>
      <c r="U6012" s="405" t="s">
        <v>319</v>
      </c>
    </row>
    <row r="6013" spans="1:21" x14ac:dyDescent="0.25">
      <c r="A6013" s="405" t="s">
        <v>310</v>
      </c>
      <c r="B6013" s="405" t="s">
        <v>4669</v>
      </c>
      <c r="C6013" s="405" t="s">
        <v>857</v>
      </c>
      <c r="D6013" s="405" t="s">
        <v>1037</v>
      </c>
      <c r="E6013" s="410">
        <v>41455</v>
      </c>
      <c r="F6013" s="410">
        <v>41500</v>
      </c>
      <c r="G6013" s="405" t="s">
        <v>4670</v>
      </c>
      <c r="H6013" s="405">
        <v>772602873</v>
      </c>
      <c r="I6013" s="405"/>
      <c r="J6013" s="405">
        <v>0.71585699999999997</v>
      </c>
      <c r="K6013" s="405">
        <v>32.507767999999999</v>
      </c>
      <c r="L6013" s="405" t="s">
        <v>314</v>
      </c>
      <c r="M6013" s="405" t="s">
        <v>959</v>
      </c>
      <c r="N6013" s="405" t="s">
        <v>1094</v>
      </c>
      <c r="O6013" s="405" t="s">
        <v>1094</v>
      </c>
      <c r="P6013" s="405" t="s">
        <v>1184</v>
      </c>
      <c r="Q6013" s="411">
        <v>6</v>
      </c>
      <c r="R6013" s="405" t="s">
        <v>1263</v>
      </c>
      <c r="S6013" s="405" t="s">
        <v>27211</v>
      </c>
      <c r="T6013" s="405" t="s">
        <v>32102</v>
      </c>
      <c r="U6013" s="405" t="s">
        <v>319</v>
      </c>
    </row>
    <row r="6014" spans="1:21" x14ac:dyDescent="0.25">
      <c r="A6014" s="405" t="s">
        <v>310</v>
      </c>
      <c r="B6014" s="405" t="s">
        <v>4309</v>
      </c>
      <c r="C6014" s="405" t="s">
        <v>327</v>
      </c>
      <c r="D6014" s="405"/>
      <c r="E6014" s="410">
        <v>41455</v>
      </c>
      <c r="F6014" s="410">
        <v>41500</v>
      </c>
      <c r="G6014" s="405" t="s">
        <v>4310</v>
      </c>
      <c r="H6014" s="405">
        <v>752958224</v>
      </c>
      <c r="I6014" s="405"/>
      <c r="J6014" s="405">
        <v>0.46153699999999998</v>
      </c>
      <c r="K6014" s="405">
        <v>32.310633000000003</v>
      </c>
      <c r="L6014" s="405" t="s">
        <v>314</v>
      </c>
      <c r="M6014" s="405" t="s">
        <v>361</v>
      </c>
      <c r="N6014" s="405" t="s">
        <v>374</v>
      </c>
      <c r="O6014" s="405" t="s">
        <v>952</v>
      </c>
      <c r="P6014" s="405" t="s">
        <v>4311</v>
      </c>
      <c r="Q6014" s="411">
        <v>6</v>
      </c>
      <c r="R6014" s="405" t="s">
        <v>318</v>
      </c>
      <c r="S6014" s="405" t="s">
        <v>27034</v>
      </c>
      <c r="T6014" s="405" t="s">
        <v>32102</v>
      </c>
      <c r="U6014" s="405" t="s">
        <v>319</v>
      </c>
    </row>
    <row r="6015" spans="1:21" x14ac:dyDescent="0.25">
      <c r="A6015" s="405" t="s">
        <v>310</v>
      </c>
      <c r="B6015" s="405" t="s">
        <v>4776</v>
      </c>
      <c r="C6015" s="405" t="s">
        <v>311</v>
      </c>
      <c r="D6015" s="405" t="s">
        <v>839</v>
      </c>
      <c r="E6015" s="410">
        <v>41455</v>
      </c>
      <c r="F6015" s="410">
        <v>41500</v>
      </c>
      <c r="G6015" s="405" t="s">
        <v>4777</v>
      </c>
      <c r="H6015" s="405">
        <v>752523644</v>
      </c>
      <c r="I6015" s="405"/>
      <c r="J6015" s="405">
        <v>0.48918499999999998</v>
      </c>
      <c r="K6015" s="405">
        <v>32.481561999999997</v>
      </c>
      <c r="L6015" s="405" t="s">
        <v>314</v>
      </c>
      <c r="M6015" s="405" t="s">
        <v>361</v>
      </c>
      <c r="N6015" s="405" t="s">
        <v>362</v>
      </c>
      <c r="O6015" s="405" t="s">
        <v>523</v>
      </c>
      <c r="P6015" s="405" t="s">
        <v>4778</v>
      </c>
      <c r="Q6015" s="411">
        <v>6</v>
      </c>
      <c r="R6015" s="405" t="s">
        <v>1263</v>
      </c>
      <c r="S6015" s="405" t="s">
        <v>27211</v>
      </c>
      <c r="T6015" s="405" t="s">
        <v>32102</v>
      </c>
      <c r="U6015" s="405" t="s">
        <v>319</v>
      </c>
    </row>
    <row r="6016" spans="1:21" x14ac:dyDescent="0.25">
      <c r="A6016" s="405" t="s">
        <v>310</v>
      </c>
      <c r="B6016" s="405" t="s">
        <v>4270</v>
      </c>
      <c r="C6016" s="405" t="s">
        <v>327</v>
      </c>
      <c r="D6016" s="405"/>
      <c r="E6016" s="410">
        <v>41455</v>
      </c>
      <c r="F6016" s="410">
        <v>41500</v>
      </c>
      <c r="G6016" s="405" t="s">
        <v>4271</v>
      </c>
      <c r="H6016" s="405">
        <v>776861120</v>
      </c>
      <c r="I6016" s="405"/>
      <c r="J6016" s="405">
        <v>0.32420199999999999</v>
      </c>
      <c r="K6016" s="405">
        <v>32.460889999999999</v>
      </c>
      <c r="L6016" s="405" t="s">
        <v>314</v>
      </c>
      <c r="M6016" s="405" t="s">
        <v>361</v>
      </c>
      <c r="N6016" s="405" t="s">
        <v>374</v>
      </c>
      <c r="O6016" s="405" t="s">
        <v>361</v>
      </c>
      <c r="P6016" s="405" t="s">
        <v>4272</v>
      </c>
      <c r="Q6016" s="411">
        <v>6</v>
      </c>
      <c r="R6016" s="405" t="s">
        <v>318</v>
      </c>
      <c r="S6016" s="405" t="s">
        <v>414</v>
      </c>
      <c r="T6016" s="405" t="s">
        <v>32102</v>
      </c>
      <c r="U6016" s="405" t="s">
        <v>319</v>
      </c>
    </row>
    <row r="6017" spans="1:21" x14ac:dyDescent="0.25">
      <c r="A6017" s="405" t="s">
        <v>310</v>
      </c>
      <c r="B6017" s="405" t="s">
        <v>4266</v>
      </c>
      <c r="C6017" s="405" t="s">
        <v>327</v>
      </c>
      <c r="D6017" s="405"/>
      <c r="E6017" s="410">
        <v>41455</v>
      </c>
      <c r="F6017" s="410">
        <v>41500</v>
      </c>
      <c r="G6017" s="405" t="s">
        <v>4267</v>
      </c>
      <c r="H6017" s="405">
        <v>782533919</v>
      </c>
      <c r="I6017" s="405"/>
      <c r="J6017" s="405">
        <v>0.39040333333333332</v>
      </c>
      <c r="K6017" s="405">
        <v>32.541541666666667</v>
      </c>
      <c r="L6017" s="405" t="s">
        <v>314</v>
      </c>
      <c r="M6017" s="405" t="s">
        <v>361</v>
      </c>
      <c r="N6017" s="405" t="s">
        <v>362</v>
      </c>
      <c r="O6017" s="405" t="s">
        <v>4268</v>
      </c>
      <c r="P6017" s="405" t="s">
        <v>4269</v>
      </c>
      <c r="Q6017" s="411">
        <v>6</v>
      </c>
      <c r="R6017" s="405" t="s">
        <v>4176</v>
      </c>
      <c r="S6017" s="405" t="s">
        <v>27228</v>
      </c>
      <c r="T6017" s="405" t="s">
        <v>32102</v>
      </c>
      <c r="U6017" s="405" t="s">
        <v>319</v>
      </c>
    </row>
    <row r="6018" spans="1:21" x14ac:dyDescent="0.25">
      <c r="A6018" s="405" t="s">
        <v>310</v>
      </c>
      <c r="B6018" s="405" t="s">
        <v>12696</v>
      </c>
      <c r="C6018" s="405" t="s">
        <v>327</v>
      </c>
      <c r="D6018" s="405"/>
      <c r="E6018" s="410">
        <v>41455</v>
      </c>
      <c r="F6018" s="410">
        <v>41500</v>
      </c>
      <c r="G6018" s="405" t="s">
        <v>12697</v>
      </c>
      <c r="H6018" s="405">
        <v>773485432</v>
      </c>
      <c r="I6018" s="405"/>
      <c r="J6018" s="405">
        <v>1.1751469999999999</v>
      </c>
      <c r="K6018" s="405">
        <v>33.926537000000003</v>
      </c>
      <c r="L6018" s="405" t="s">
        <v>6866</v>
      </c>
      <c r="M6018" s="405" t="s">
        <v>9509</v>
      </c>
      <c r="N6018" s="405" t="s">
        <v>12491</v>
      </c>
      <c r="O6018" s="405" t="s">
        <v>12492</v>
      </c>
      <c r="P6018" s="405" t="s">
        <v>12698</v>
      </c>
      <c r="Q6018" s="411">
        <v>6</v>
      </c>
      <c r="R6018" s="405" t="s">
        <v>9541</v>
      </c>
      <c r="S6018" s="405" t="s">
        <v>27297</v>
      </c>
      <c r="T6018" s="405" t="s">
        <v>32102</v>
      </c>
      <c r="U6018" s="405" t="s">
        <v>319</v>
      </c>
    </row>
    <row r="6019" spans="1:21" x14ac:dyDescent="0.25">
      <c r="A6019" s="405" t="s">
        <v>310</v>
      </c>
      <c r="B6019" s="405" t="s">
        <v>4174</v>
      </c>
      <c r="C6019" s="405" t="s">
        <v>327</v>
      </c>
      <c r="D6019" s="405"/>
      <c r="E6019" s="410">
        <v>41455</v>
      </c>
      <c r="F6019" s="410">
        <v>41500</v>
      </c>
      <c r="G6019" s="405" t="s">
        <v>4175</v>
      </c>
      <c r="H6019" s="405">
        <v>773857564</v>
      </c>
      <c r="I6019" s="405"/>
      <c r="J6019" s="405">
        <v>0.25497999999999998</v>
      </c>
      <c r="K6019" s="405">
        <v>32.494661999999998</v>
      </c>
      <c r="L6019" s="405" t="s">
        <v>314</v>
      </c>
      <c r="M6019" s="405" t="s">
        <v>361</v>
      </c>
      <c r="N6019" s="405" t="s">
        <v>374</v>
      </c>
      <c r="O6019" s="405" t="s">
        <v>375</v>
      </c>
      <c r="P6019" s="405" t="s">
        <v>1891</v>
      </c>
      <c r="Q6019" s="411">
        <v>6</v>
      </c>
      <c r="R6019" s="405" t="s">
        <v>4176</v>
      </c>
      <c r="S6019" s="405" t="s">
        <v>27228</v>
      </c>
      <c r="T6019" s="405" t="s">
        <v>32102</v>
      </c>
      <c r="U6019" s="405" t="s">
        <v>319</v>
      </c>
    </row>
    <row r="6020" spans="1:21" x14ac:dyDescent="0.25">
      <c r="A6020" s="405" t="s">
        <v>310</v>
      </c>
      <c r="B6020" s="405" t="s">
        <v>4186</v>
      </c>
      <c r="C6020" s="405" t="s">
        <v>327</v>
      </c>
      <c r="D6020" s="405"/>
      <c r="E6020" s="410">
        <v>41455</v>
      </c>
      <c r="F6020" s="410">
        <v>41500</v>
      </c>
      <c r="G6020" s="405" t="s">
        <v>4187</v>
      </c>
      <c r="H6020" s="405">
        <v>752854889</v>
      </c>
      <c r="I6020" s="405"/>
      <c r="J6020" s="405">
        <v>0.31203500000000001</v>
      </c>
      <c r="K6020" s="405">
        <v>32.554291999999997</v>
      </c>
      <c r="L6020" s="405" t="s">
        <v>314</v>
      </c>
      <c r="M6020" s="405" t="s">
        <v>992</v>
      </c>
      <c r="N6020" s="405" t="s">
        <v>2327</v>
      </c>
      <c r="O6020" s="405" t="s">
        <v>4188</v>
      </c>
      <c r="P6020" s="405" t="s">
        <v>4189</v>
      </c>
      <c r="Q6020" s="411">
        <v>6</v>
      </c>
      <c r="R6020" s="405" t="s">
        <v>1263</v>
      </c>
      <c r="S6020" s="405" t="s">
        <v>27178</v>
      </c>
      <c r="T6020" s="405" t="s">
        <v>32102</v>
      </c>
      <c r="U6020" s="405" t="s">
        <v>319</v>
      </c>
    </row>
    <row r="6021" spans="1:21" x14ac:dyDescent="0.25">
      <c r="A6021" s="405" t="s">
        <v>310</v>
      </c>
      <c r="B6021" s="405" t="s">
        <v>27769</v>
      </c>
      <c r="C6021" s="405" t="s">
        <v>327</v>
      </c>
      <c r="D6021" s="405"/>
      <c r="E6021" s="410">
        <v>41455</v>
      </c>
      <c r="F6021" s="410">
        <v>41500</v>
      </c>
      <c r="G6021" s="405" t="s">
        <v>4237</v>
      </c>
      <c r="H6021" s="405">
        <v>777107524</v>
      </c>
      <c r="I6021" s="405"/>
      <c r="J6021" s="405">
        <v>0.67312700000000003</v>
      </c>
      <c r="K6021" s="405">
        <v>32.634523000000002</v>
      </c>
      <c r="L6021" s="405" t="s">
        <v>314</v>
      </c>
      <c r="M6021" s="405" t="s">
        <v>959</v>
      </c>
      <c r="N6021" s="405" t="s">
        <v>1308</v>
      </c>
      <c r="O6021" s="405" t="s">
        <v>960</v>
      </c>
      <c r="P6021" s="405" t="s">
        <v>4238</v>
      </c>
      <c r="Q6021" s="411">
        <v>4</v>
      </c>
      <c r="R6021" s="405" t="s">
        <v>1263</v>
      </c>
      <c r="S6021" s="405" t="s">
        <v>2160</v>
      </c>
      <c r="T6021" s="405" t="s">
        <v>32102</v>
      </c>
      <c r="U6021" s="405" t="s">
        <v>319</v>
      </c>
    </row>
    <row r="6022" spans="1:21" x14ac:dyDescent="0.25">
      <c r="A6022" s="405" t="s">
        <v>310</v>
      </c>
      <c r="B6022" s="405" t="s">
        <v>27890</v>
      </c>
      <c r="C6022" s="405" t="s">
        <v>327</v>
      </c>
      <c r="D6022" s="405"/>
      <c r="E6022" s="410">
        <v>41455</v>
      </c>
      <c r="F6022" s="410">
        <v>41500</v>
      </c>
      <c r="G6022" s="405" t="s">
        <v>4177</v>
      </c>
      <c r="H6022" s="405">
        <v>753968015</v>
      </c>
      <c r="I6022" s="405">
        <v>703810321</v>
      </c>
      <c r="J6022" s="405">
        <v>9.1647000000000006E-2</v>
      </c>
      <c r="K6022" s="405">
        <v>32.488906999999998</v>
      </c>
      <c r="L6022" s="405" t="s">
        <v>314</v>
      </c>
      <c r="M6022" s="405" t="s">
        <v>361</v>
      </c>
      <c r="N6022" s="405" t="s">
        <v>374</v>
      </c>
      <c r="O6022" s="405" t="s">
        <v>638</v>
      </c>
      <c r="P6022" s="405" t="s">
        <v>4178</v>
      </c>
      <c r="Q6022" s="411">
        <v>4</v>
      </c>
      <c r="R6022" s="405" t="s">
        <v>1263</v>
      </c>
      <c r="S6022" s="405" t="s">
        <v>27047</v>
      </c>
      <c r="T6022" s="405" t="s">
        <v>32102</v>
      </c>
      <c r="U6022" s="405" t="s">
        <v>319</v>
      </c>
    </row>
    <row r="6023" spans="1:21" x14ac:dyDescent="0.25">
      <c r="A6023" s="405" t="s">
        <v>310</v>
      </c>
      <c r="B6023" s="405" t="s">
        <v>28225</v>
      </c>
      <c r="C6023" s="405" t="s">
        <v>327</v>
      </c>
      <c r="D6023" s="405"/>
      <c r="E6023" s="410">
        <v>41455</v>
      </c>
      <c r="F6023" s="410">
        <v>41500</v>
      </c>
      <c r="G6023" s="405" t="s">
        <v>12585</v>
      </c>
      <c r="H6023" s="405">
        <v>774607162</v>
      </c>
      <c r="I6023" s="405"/>
      <c r="J6023" s="405">
        <v>0.92349300000000001</v>
      </c>
      <c r="K6023" s="405">
        <v>34.133592</v>
      </c>
      <c r="L6023" s="405" t="s">
        <v>6866</v>
      </c>
      <c r="M6023" s="405" t="s">
        <v>9514</v>
      </c>
      <c r="N6023" s="405" t="s">
        <v>9616</v>
      </c>
      <c r="O6023" s="405" t="s">
        <v>10567</v>
      </c>
      <c r="P6023" s="405" t="s">
        <v>12586</v>
      </c>
      <c r="Q6023" s="411">
        <v>4</v>
      </c>
      <c r="R6023" s="405" t="s">
        <v>7224</v>
      </c>
      <c r="S6023" s="405" t="s">
        <v>17062</v>
      </c>
      <c r="T6023" s="405" t="s">
        <v>32102</v>
      </c>
      <c r="U6023" s="405" t="s">
        <v>319</v>
      </c>
    </row>
    <row r="6024" spans="1:21" x14ac:dyDescent="0.25">
      <c r="A6024" s="405" t="s">
        <v>310</v>
      </c>
      <c r="B6024" s="405" t="s">
        <v>4200</v>
      </c>
      <c r="C6024" s="405" t="s">
        <v>327</v>
      </c>
      <c r="D6024" s="405"/>
      <c r="E6024" s="410">
        <v>41455</v>
      </c>
      <c r="F6024" s="410">
        <v>41500</v>
      </c>
      <c r="G6024" s="405" t="s">
        <v>4201</v>
      </c>
      <c r="H6024" s="405">
        <v>776825294</v>
      </c>
      <c r="I6024" s="405"/>
      <c r="J6024" s="405">
        <v>0.83944700000000005</v>
      </c>
      <c r="K6024" s="405">
        <v>32.499538000000001</v>
      </c>
      <c r="L6024" s="405" t="s">
        <v>314</v>
      </c>
      <c r="M6024" s="405" t="s">
        <v>959</v>
      </c>
      <c r="N6024" s="405" t="s">
        <v>1094</v>
      </c>
      <c r="O6024" s="405" t="s">
        <v>4202</v>
      </c>
      <c r="P6024" s="405" t="s">
        <v>2835</v>
      </c>
      <c r="Q6024" s="411">
        <v>4</v>
      </c>
      <c r="R6024" s="405" t="s">
        <v>1263</v>
      </c>
      <c r="S6024" s="405" t="s">
        <v>2160</v>
      </c>
      <c r="T6024" s="405" t="s">
        <v>32102</v>
      </c>
      <c r="U6024" s="405" t="s">
        <v>319</v>
      </c>
    </row>
    <row r="6025" spans="1:21" x14ac:dyDescent="0.25">
      <c r="A6025" s="405" t="s">
        <v>310</v>
      </c>
      <c r="B6025" s="405" t="s">
        <v>4289</v>
      </c>
      <c r="C6025" s="405" t="s">
        <v>311</v>
      </c>
      <c r="D6025" s="405" t="s">
        <v>33262</v>
      </c>
      <c r="E6025" s="410">
        <v>41455</v>
      </c>
      <c r="F6025" s="410">
        <v>41500</v>
      </c>
      <c r="G6025" s="405" t="s">
        <v>4290</v>
      </c>
      <c r="H6025" s="405">
        <v>781191712</v>
      </c>
      <c r="I6025" s="405"/>
      <c r="J6025" s="405">
        <v>0.203517</v>
      </c>
      <c r="K6025" s="405">
        <v>32.612631999999998</v>
      </c>
      <c r="L6025" s="405" t="s">
        <v>314</v>
      </c>
      <c r="M6025" s="405" t="s">
        <v>361</v>
      </c>
      <c r="N6025" s="405" t="s">
        <v>362</v>
      </c>
      <c r="O6025" s="405" t="s">
        <v>618</v>
      </c>
      <c r="P6025" s="405" t="s">
        <v>4291</v>
      </c>
      <c r="Q6025" s="411">
        <v>4</v>
      </c>
      <c r="R6025" s="405" t="s">
        <v>1263</v>
      </c>
      <c r="S6025" s="405" t="s">
        <v>27202</v>
      </c>
      <c r="T6025" s="405" t="s">
        <v>32102</v>
      </c>
      <c r="U6025" s="405" t="s">
        <v>319</v>
      </c>
    </row>
    <row r="6026" spans="1:21" x14ac:dyDescent="0.25">
      <c r="A6026" s="405" t="s">
        <v>310</v>
      </c>
      <c r="B6026" s="405" t="s">
        <v>21328</v>
      </c>
      <c r="C6026" s="405" t="s">
        <v>327</v>
      </c>
      <c r="D6026" s="405"/>
      <c r="E6026" s="410">
        <v>41454</v>
      </c>
      <c r="F6026" s="410">
        <v>41499</v>
      </c>
      <c r="G6026" s="405" t="s">
        <v>21329</v>
      </c>
      <c r="H6026" s="405">
        <v>772561724</v>
      </c>
      <c r="I6026" s="405"/>
      <c r="J6026" s="405">
        <v>-0.82042199999999998</v>
      </c>
      <c r="K6026" s="405">
        <v>30.075177</v>
      </c>
      <c r="L6026" s="405" t="s">
        <v>590</v>
      </c>
      <c r="M6026" s="405" t="s">
        <v>19659</v>
      </c>
      <c r="N6026" s="405" t="s">
        <v>19604</v>
      </c>
      <c r="O6026" s="405" t="s">
        <v>19660</v>
      </c>
      <c r="P6026" s="405" t="s">
        <v>21330</v>
      </c>
      <c r="Q6026" s="411">
        <v>9</v>
      </c>
      <c r="R6026" s="405" t="s">
        <v>1527</v>
      </c>
      <c r="S6026" s="405" t="s">
        <v>27166</v>
      </c>
      <c r="T6026" s="405" t="s">
        <v>32102</v>
      </c>
      <c r="U6026" s="405" t="s">
        <v>319</v>
      </c>
    </row>
    <row r="6027" spans="1:21" x14ac:dyDescent="0.25">
      <c r="A6027" s="405" t="s">
        <v>310</v>
      </c>
      <c r="B6027" s="405" t="s">
        <v>4112</v>
      </c>
      <c r="C6027" s="405" t="s">
        <v>327</v>
      </c>
      <c r="D6027" s="405"/>
      <c r="E6027" s="410">
        <v>41454</v>
      </c>
      <c r="F6027" s="410">
        <v>41499</v>
      </c>
      <c r="G6027" s="405" t="s">
        <v>4113</v>
      </c>
      <c r="H6027" s="405">
        <v>782636488</v>
      </c>
      <c r="I6027" s="405"/>
      <c r="J6027" s="405">
        <v>0.25842300000000001</v>
      </c>
      <c r="K6027" s="405">
        <v>32.123227</v>
      </c>
      <c r="L6027" s="405" t="s">
        <v>314</v>
      </c>
      <c r="M6027" s="405" t="s">
        <v>339</v>
      </c>
      <c r="N6027" s="405" t="s">
        <v>339</v>
      </c>
      <c r="O6027" s="405" t="s">
        <v>2272</v>
      </c>
      <c r="P6027" s="405" t="s">
        <v>4114</v>
      </c>
      <c r="Q6027" s="411">
        <v>6</v>
      </c>
      <c r="R6027" s="405" t="s">
        <v>318</v>
      </c>
      <c r="S6027" s="405" t="s">
        <v>27167</v>
      </c>
      <c r="T6027" s="405" t="s">
        <v>32102</v>
      </c>
      <c r="U6027" s="405" t="s">
        <v>319</v>
      </c>
    </row>
    <row r="6028" spans="1:21" x14ac:dyDescent="0.25">
      <c r="A6028" s="405" t="s">
        <v>310</v>
      </c>
      <c r="B6028" s="405" t="s">
        <v>4583</v>
      </c>
      <c r="C6028" s="405" t="s">
        <v>311</v>
      </c>
      <c r="D6028" s="405" t="s">
        <v>1789</v>
      </c>
      <c r="E6028" s="410">
        <v>41454</v>
      </c>
      <c r="F6028" s="410">
        <v>41499</v>
      </c>
      <c r="G6028" s="405" t="s">
        <v>4584</v>
      </c>
      <c r="H6028" s="405">
        <v>773084044</v>
      </c>
      <c r="I6028" s="405">
        <v>775973160</v>
      </c>
      <c r="J6028" s="405">
        <v>0.23438400000000001</v>
      </c>
      <c r="K6028" s="405">
        <v>32.091633000000002</v>
      </c>
      <c r="L6028" s="405" t="s">
        <v>314</v>
      </c>
      <c r="M6028" s="405" t="s">
        <v>339</v>
      </c>
      <c r="N6028" s="405" t="s">
        <v>339</v>
      </c>
      <c r="O6028" s="405" t="s">
        <v>2272</v>
      </c>
      <c r="P6028" s="405" t="s">
        <v>4582</v>
      </c>
      <c r="Q6028" s="411">
        <v>6</v>
      </c>
      <c r="R6028" s="405" t="s">
        <v>1263</v>
      </c>
      <c r="S6028" s="405" t="s">
        <v>27206</v>
      </c>
      <c r="T6028" s="405" t="s">
        <v>32102</v>
      </c>
      <c r="U6028" s="405" t="s">
        <v>319</v>
      </c>
    </row>
    <row r="6029" spans="1:21" x14ac:dyDescent="0.25">
      <c r="A6029" s="405" t="s">
        <v>310</v>
      </c>
      <c r="B6029" s="405" t="s">
        <v>4580</v>
      </c>
      <c r="C6029" s="405" t="s">
        <v>311</v>
      </c>
      <c r="D6029" s="405" t="s">
        <v>1789</v>
      </c>
      <c r="E6029" s="410">
        <v>41454</v>
      </c>
      <c r="F6029" s="410">
        <v>41499</v>
      </c>
      <c r="G6029" s="405" t="s">
        <v>4581</v>
      </c>
      <c r="H6029" s="405">
        <v>772450780</v>
      </c>
      <c r="I6029" s="405"/>
      <c r="J6029" s="405">
        <v>0.23483399999999999</v>
      </c>
      <c r="K6029" s="405">
        <v>32.091152000000001</v>
      </c>
      <c r="L6029" s="405" t="s">
        <v>314</v>
      </c>
      <c r="M6029" s="405" t="s">
        <v>339</v>
      </c>
      <c r="N6029" s="405" t="s">
        <v>339</v>
      </c>
      <c r="O6029" s="405" t="s">
        <v>2272</v>
      </c>
      <c r="P6029" s="405" t="s">
        <v>4582</v>
      </c>
      <c r="Q6029" s="411">
        <v>6</v>
      </c>
      <c r="R6029" s="405" t="s">
        <v>1263</v>
      </c>
      <c r="S6029" s="405" t="s">
        <v>27206</v>
      </c>
      <c r="T6029" s="405" t="s">
        <v>32102</v>
      </c>
      <c r="U6029" s="405" t="s">
        <v>319</v>
      </c>
    </row>
    <row r="6030" spans="1:21" x14ac:dyDescent="0.25">
      <c r="A6030" s="405" t="s">
        <v>310</v>
      </c>
      <c r="B6030" s="405" t="s">
        <v>4215</v>
      </c>
      <c r="C6030" s="405" t="s">
        <v>327</v>
      </c>
      <c r="D6030" s="405"/>
      <c r="E6030" s="410">
        <v>41453</v>
      </c>
      <c r="F6030" s="410">
        <v>41498</v>
      </c>
      <c r="G6030" s="405" t="s">
        <v>4216</v>
      </c>
      <c r="H6030" s="405">
        <v>752632204</v>
      </c>
      <c r="I6030" s="405">
        <v>730008269</v>
      </c>
      <c r="J6030" s="405">
        <v>0.26487500000000003</v>
      </c>
      <c r="K6030" s="405">
        <v>32.394125000000003</v>
      </c>
      <c r="L6030" s="405" t="s">
        <v>314</v>
      </c>
      <c r="M6030" s="405" t="s">
        <v>321</v>
      </c>
      <c r="N6030" s="405" t="s">
        <v>322</v>
      </c>
      <c r="O6030" s="405" t="s">
        <v>519</v>
      </c>
      <c r="P6030" s="405" t="s">
        <v>4217</v>
      </c>
      <c r="Q6030" s="411">
        <v>9</v>
      </c>
      <c r="R6030" s="405" t="s">
        <v>32476</v>
      </c>
      <c r="S6030" s="405" t="s">
        <v>27039</v>
      </c>
      <c r="T6030" s="405" t="s">
        <v>32102</v>
      </c>
      <c r="U6030" s="405" t="s">
        <v>319</v>
      </c>
    </row>
    <row r="6031" spans="1:21" x14ac:dyDescent="0.25">
      <c r="A6031" s="405" t="s">
        <v>310</v>
      </c>
      <c r="B6031" s="405" t="s">
        <v>4243</v>
      </c>
      <c r="C6031" s="405" t="s">
        <v>327</v>
      </c>
      <c r="D6031" s="405"/>
      <c r="E6031" s="410">
        <v>41453</v>
      </c>
      <c r="F6031" s="410">
        <v>41498</v>
      </c>
      <c r="G6031" s="405" t="s">
        <v>4244</v>
      </c>
      <c r="H6031" s="405">
        <v>782091411</v>
      </c>
      <c r="I6031" s="405">
        <v>752091411</v>
      </c>
      <c r="J6031" s="405">
        <v>0.34033330000000001</v>
      </c>
      <c r="K6031" s="405">
        <v>32.356058400000002</v>
      </c>
      <c r="L6031" s="405" t="s">
        <v>314</v>
      </c>
      <c r="M6031" s="405" t="s">
        <v>321</v>
      </c>
      <c r="N6031" s="405" t="s">
        <v>322</v>
      </c>
      <c r="O6031" s="405" t="s">
        <v>1017</v>
      </c>
      <c r="P6031" s="405" t="s">
        <v>2550</v>
      </c>
      <c r="Q6031" s="411">
        <v>6</v>
      </c>
      <c r="R6031" s="405" t="s">
        <v>318</v>
      </c>
      <c r="S6031" s="405" t="s">
        <v>27135</v>
      </c>
      <c r="T6031" s="405" t="s">
        <v>32102</v>
      </c>
      <c r="U6031" s="405" t="s">
        <v>319</v>
      </c>
    </row>
    <row r="6032" spans="1:21" x14ac:dyDescent="0.25">
      <c r="A6032" s="405" t="s">
        <v>310</v>
      </c>
      <c r="B6032" s="405" t="s">
        <v>12664</v>
      </c>
      <c r="C6032" s="405" t="s">
        <v>327</v>
      </c>
      <c r="D6032" s="405"/>
      <c r="E6032" s="410">
        <v>41453</v>
      </c>
      <c r="F6032" s="410">
        <v>41498</v>
      </c>
      <c r="G6032" s="405" t="s">
        <v>12665</v>
      </c>
      <c r="H6032" s="405">
        <v>703469858</v>
      </c>
      <c r="I6032" s="405">
        <v>772580599</v>
      </c>
      <c r="J6032" s="405">
        <v>0.96982699999999999</v>
      </c>
      <c r="K6032" s="405">
        <v>34.211272000000001</v>
      </c>
      <c r="L6032" s="405" t="s">
        <v>6866</v>
      </c>
      <c r="M6032" s="405" t="s">
        <v>9514</v>
      </c>
      <c r="N6032" s="405" t="s">
        <v>9529</v>
      </c>
      <c r="O6032" s="405" t="s">
        <v>9668</v>
      </c>
      <c r="P6032" s="405" t="s">
        <v>12666</v>
      </c>
      <c r="Q6032" s="411">
        <v>6</v>
      </c>
      <c r="R6032" s="405" t="s">
        <v>9541</v>
      </c>
      <c r="S6032" s="405" t="s">
        <v>27302</v>
      </c>
      <c r="T6032" s="405" t="s">
        <v>32102</v>
      </c>
      <c r="U6032" s="405" t="s">
        <v>319</v>
      </c>
    </row>
    <row r="6033" spans="1:21" x14ac:dyDescent="0.25">
      <c r="A6033" s="405" t="s">
        <v>310</v>
      </c>
      <c r="B6033" s="405" t="s">
        <v>27695</v>
      </c>
      <c r="C6033" s="405" t="s">
        <v>327</v>
      </c>
      <c r="D6033" s="405"/>
      <c r="E6033" s="410">
        <v>41453</v>
      </c>
      <c r="F6033" s="410">
        <v>41498</v>
      </c>
      <c r="G6033" s="405" t="s">
        <v>12570</v>
      </c>
      <c r="H6033" s="405">
        <v>782514329</v>
      </c>
      <c r="I6033" s="405"/>
      <c r="J6033" s="405">
        <v>0.73641000000000001</v>
      </c>
      <c r="K6033" s="405">
        <v>34.253092000000002</v>
      </c>
      <c r="L6033" s="405" t="s">
        <v>6866</v>
      </c>
      <c r="M6033" s="405" t="s">
        <v>9534</v>
      </c>
      <c r="N6033" s="405" t="s">
        <v>10201</v>
      </c>
      <c r="O6033" s="405" t="s">
        <v>12571</v>
      </c>
      <c r="P6033" s="405" t="s">
        <v>12572</v>
      </c>
      <c r="Q6033" s="411">
        <v>4</v>
      </c>
      <c r="R6033" s="405" t="s">
        <v>7224</v>
      </c>
      <c r="S6033" s="405" t="s">
        <v>27283</v>
      </c>
      <c r="T6033" s="405" t="s">
        <v>32102</v>
      </c>
      <c r="U6033" s="405" t="s">
        <v>319</v>
      </c>
    </row>
    <row r="6034" spans="1:21" x14ac:dyDescent="0.25">
      <c r="A6034" s="405" t="s">
        <v>310</v>
      </c>
      <c r="B6034" s="405" t="s">
        <v>28932</v>
      </c>
      <c r="C6034" s="405" t="s">
        <v>327</v>
      </c>
      <c r="D6034" s="405"/>
      <c r="E6034" s="410">
        <v>41452</v>
      </c>
      <c r="F6034" s="410">
        <v>41497</v>
      </c>
      <c r="G6034" s="405" t="s">
        <v>12565</v>
      </c>
      <c r="H6034" s="405">
        <v>774242422</v>
      </c>
      <c r="I6034" s="405"/>
      <c r="J6034" s="405">
        <v>1.115183</v>
      </c>
      <c r="K6034" s="405">
        <v>34.202131999999999</v>
      </c>
      <c r="L6034" s="405" t="s">
        <v>6866</v>
      </c>
      <c r="M6034" s="405" t="s">
        <v>9514</v>
      </c>
      <c r="N6034" s="405" t="s">
        <v>9529</v>
      </c>
      <c r="O6034" s="405" t="s">
        <v>9530</v>
      </c>
      <c r="P6034" s="405" t="s">
        <v>9530</v>
      </c>
      <c r="Q6034" s="411">
        <v>6</v>
      </c>
      <c r="R6034" s="405" t="s">
        <v>7224</v>
      </c>
      <c r="S6034" s="405" t="s">
        <v>27073</v>
      </c>
      <c r="T6034" s="405" t="s">
        <v>32102</v>
      </c>
      <c r="U6034" s="405" t="s">
        <v>319</v>
      </c>
    </row>
    <row r="6035" spans="1:21" x14ac:dyDescent="0.25">
      <c r="A6035" s="405" t="s">
        <v>310</v>
      </c>
      <c r="B6035" s="405" t="s">
        <v>29063</v>
      </c>
      <c r="C6035" s="405" t="s">
        <v>327</v>
      </c>
      <c r="D6035" s="405"/>
      <c r="E6035" s="410">
        <v>41452</v>
      </c>
      <c r="F6035" s="410">
        <v>41497</v>
      </c>
      <c r="G6035" s="405" t="s">
        <v>12562</v>
      </c>
      <c r="H6035" s="405">
        <v>757475599</v>
      </c>
      <c r="I6035" s="405"/>
      <c r="J6035" s="405">
        <v>1.09989</v>
      </c>
      <c r="K6035" s="405">
        <v>34.196922000000001</v>
      </c>
      <c r="L6035" s="405" t="s">
        <v>6866</v>
      </c>
      <c r="M6035" s="405" t="s">
        <v>9514</v>
      </c>
      <c r="N6035" s="405" t="s">
        <v>9529</v>
      </c>
      <c r="O6035" s="405" t="s">
        <v>9530</v>
      </c>
      <c r="P6035" s="405" t="s">
        <v>11564</v>
      </c>
      <c r="Q6035" s="411">
        <v>6</v>
      </c>
      <c r="R6035" s="405" t="s">
        <v>7224</v>
      </c>
      <c r="S6035" s="405" t="s">
        <v>27142</v>
      </c>
      <c r="T6035" s="405" t="s">
        <v>32102</v>
      </c>
      <c r="U6035" s="405" t="s">
        <v>319</v>
      </c>
    </row>
    <row r="6036" spans="1:21" x14ac:dyDescent="0.25">
      <c r="A6036" s="405" t="s">
        <v>310</v>
      </c>
      <c r="B6036" s="405" t="s">
        <v>4213</v>
      </c>
      <c r="C6036" s="405" t="s">
        <v>327</v>
      </c>
      <c r="D6036" s="405"/>
      <c r="E6036" s="410">
        <v>41452</v>
      </c>
      <c r="F6036" s="410">
        <v>41497</v>
      </c>
      <c r="G6036" s="405" t="s">
        <v>4214</v>
      </c>
      <c r="H6036" s="405">
        <v>781165377</v>
      </c>
      <c r="I6036" s="405"/>
      <c r="J6036" s="405">
        <v>0.30444270000000001</v>
      </c>
      <c r="K6036" s="405">
        <v>33.121971500000001</v>
      </c>
      <c r="L6036" s="405" t="s">
        <v>314</v>
      </c>
      <c r="M6036" s="405" t="s">
        <v>349</v>
      </c>
      <c r="N6036" s="405" t="s">
        <v>349</v>
      </c>
      <c r="O6036" s="405" t="s">
        <v>1062</v>
      </c>
      <c r="P6036" s="405" t="s">
        <v>2918</v>
      </c>
      <c r="Q6036" s="411">
        <v>6</v>
      </c>
      <c r="R6036" s="405" t="s">
        <v>1263</v>
      </c>
      <c r="S6036" s="405" t="s">
        <v>27108</v>
      </c>
      <c r="T6036" s="405" t="s">
        <v>32102</v>
      </c>
      <c r="U6036" s="405" t="s">
        <v>319</v>
      </c>
    </row>
    <row r="6037" spans="1:21" x14ac:dyDescent="0.25">
      <c r="A6037" s="405" t="s">
        <v>310</v>
      </c>
      <c r="B6037" s="405" t="s">
        <v>12592</v>
      </c>
      <c r="C6037" s="405" t="s">
        <v>327</v>
      </c>
      <c r="D6037" s="405"/>
      <c r="E6037" s="410">
        <v>41452</v>
      </c>
      <c r="F6037" s="410">
        <v>41497</v>
      </c>
      <c r="G6037" s="405" t="s">
        <v>12593</v>
      </c>
      <c r="H6037" s="405">
        <v>782241454</v>
      </c>
      <c r="I6037" s="405"/>
      <c r="J6037" s="405">
        <v>0.99183600000000005</v>
      </c>
      <c r="K6037" s="405">
        <v>34.093679000000002</v>
      </c>
      <c r="L6037" s="405" t="s">
        <v>6866</v>
      </c>
      <c r="M6037" s="405" t="s">
        <v>9566</v>
      </c>
      <c r="N6037" s="405" t="s">
        <v>10001</v>
      </c>
      <c r="O6037" s="405" t="s">
        <v>11178</v>
      </c>
      <c r="P6037" s="405" t="s">
        <v>8228</v>
      </c>
      <c r="Q6037" s="411">
        <v>6</v>
      </c>
      <c r="R6037" s="405" t="s">
        <v>9506</v>
      </c>
      <c r="S6037" s="405" t="s">
        <v>27318</v>
      </c>
      <c r="T6037" s="405" t="s">
        <v>32102</v>
      </c>
      <c r="U6037" s="405" t="s">
        <v>319</v>
      </c>
    </row>
    <row r="6038" spans="1:21" x14ac:dyDescent="0.25">
      <c r="A6038" s="405" t="s">
        <v>310</v>
      </c>
      <c r="B6038" s="405" t="s">
        <v>4137</v>
      </c>
      <c r="C6038" s="405" t="s">
        <v>327</v>
      </c>
      <c r="D6038" s="405"/>
      <c r="E6038" s="410">
        <v>41452</v>
      </c>
      <c r="F6038" s="410">
        <v>41497</v>
      </c>
      <c r="G6038" s="405" t="s">
        <v>4138</v>
      </c>
      <c r="H6038" s="405">
        <v>705207976</v>
      </c>
      <c r="I6038" s="405">
        <v>772040260</v>
      </c>
      <c r="J6038" s="405">
        <v>0.474522</v>
      </c>
      <c r="K6038" s="405">
        <v>31.805192999999999</v>
      </c>
      <c r="L6038" s="405" t="s">
        <v>314</v>
      </c>
      <c r="M6038" s="405" t="s">
        <v>445</v>
      </c>
      <c r="N6038" s="405" t="s">
        <v>3488</v>
      </c>
      <c r="O6038" s="405" t="s">
        <v>4136</v>
      </c>
      <c r="P6038" s="405" t="s">
        <v>4139</v>
      </c>
      <c r="Q6038" s="411">
        <v>6</v>
      </c>
      <c r="R6038" s="405" t="s">
        <v>32476</v>
      </c>
      <c r="S6038" s="405" t="s">
        <v>27039</v>
      </c>
      <c r="T6038" s="405" t="s">
        <v>32102</v>
      </c>
      <c r="U6038" s="405" t="s">
        <v>319</v>
      </c>
    </row>
    <row r="6039" spans="1:21" x14ac:dyDescent="0.25">
      <c r="A6039" s="405" t="s">
        <v>310</v>
      </c>
      <c r="B6039" s="405" t="s">
        <v>21299</v>
      </c>
      <c r="C6039" s="405" t="s">
        <v>327</v>
      </c>
      <c r="D6039" s="405"/>
      <c r="E6039" s="410">
        <v>41452</v>
      </c>
      <c r="F6039" s="410">
        <v>41497</v>
      </c>
      <c r="G6039" s="405" t="s">
        <v>21300</v>
      </c>
      <c r="H6039" s="405">
        <v>702700510</v>
      </c>
      <c r="I6039" s="405">
        <v>775260279</v>
      </c>
      <c r="J6039" s="405">
        <v>-0.92368899999999998</v>
      </c>
      <c r="K6039" s="405">
        <v>30.798062000000002</v>
      </c>
      <c r="L6039" s="405" t="s">
        <v>590</v>
      </c>
      <c r="M6039" s="405" t="s">
        <v>879</v>
      </c>
      <c r="N6039" s="405" t="s">
        <v>12376</v>
      </c>
      <c r="O6039" s="405" t="s">
        <v>20176</v>
      </c>
      <c r="P6039" s="405" t="s">
        <v>21025</v>
      </c>
      <c r="Q6039" s="411">
        <v>6</v>
      </c>
      <c r="R6039" s="405" t="s">
        <v>333</v>
      </c>
      <c r="S6039" s="405" t="s">
        <v>27164</v>
      </c>
      <c r="T6039" s="405" t="s">
        <v>32102</v>
      </c>
      <c r="U6039" s="405" t="s">
        <v>319</v>
      </c>
    </row>
    <row r="6040" spans="1:21" x14ac:dyDescent="0.25">
      <c r="A6040" s="405" t="s">
        <v>310</v>
      </c>
      <c r="B6040" s="405" t="s">
        <v>4692</v>
      </c>
      <c r="C6040" s="405" t="s">
        <v>327</v>
      </c>
      <c r="D6040" s="405"/>
      <c r="E6040" s="410">
        <v>41452</v>
      </c>
      <c r="F6040" s="410">
        <v>41497</v>
      </c>
      <c r="G6040" s="405" t="s">
        <v>4693</v>
      </c>
      <c r="H6040" s="405">
        <v>759161373</v>
      </c>
      <c r="I6040" s="405">
        <v>751406430</v>
      </c>
      <c r="J6040" s="405">
        <v>0.60681700000000005</v>
      </c>
      <c r="K6040" s="405">
        <v>31.776641999999999</v>
      </c>
      <c r="L6040" s="405" t="s">
        <v>314</v>
      </c>
      <c r="M6040" s="405" t="s">
        <v>445</v>
      </c>
      <c r="N6040" s="405" t="s">
        <v>570</v>
      </c>
      <c r="O6040" s="405" t="s">
        <v>2925</v>
      </c>
      <c r="P6040" s="405" t="s">
        <v>961</v>
      </c>
      <c r="Q6040" s="411">
        <v>6</v>
      </c>
      <c r="R6040" s="405" t="s">
        <v>318</v>
      </c>
      <c r="S6040" s="405" t="s">
        <v>27174</v>
      </c>
      <c r="T6040" s="405" t="s">
        <v>32102</v>
      </c>
      <c r="U6040" s="405" t="s">
        <v>319</v>
      </c>
    </row>
    <row r="6041" spans="1:21" x14ac:dyDescent="0.25">
      <c r="A6041" s="405" t="s">
        <v>310</v>
      </c>
      <c r="B6041" s="405" t="s">
        <v>28786</v>
      </c>
      <c r="C6041" s="405" t="s">
        <v>327</v>
      </c>
      <c r="D6041" s="405"/>
      <c r="E6041" s="410">
        <v>41452</v>
      </c>
      <c r="F6041" s="410">
        <v>41497</v>
      </c>
      <c r="G6041" s="405" t="s">
        <v>12627</v>
      </c>
      <c r="H6041" s="405">
        <v>783248566</v>
      </c>
      <c r="I6041" s="405"/>
      <c r="J6041" s="405">
        <v>1.5227219999999999</v>
      </c>
      <c r="K6041" s="405">
        <v>34.031578000000003</v>
      </c>
      <c r="L6041" s="405" t="s">
        <v>6866</v>
      </c>
      <c r="M6041" s="405" t="s">
        <v>10029</v>
      </c>
      <c r="N6041" s="405" t="s">
        <v>10029</v>
      </c>
      <c r="O6041" s="405" t="s">
        <v>10435</v>
      </c>
      <c r="P6041" s="405" t="s">
        <v>12197</v>
      </c>
      <c r="Q6041" s="411">
        <v>4</v>
      </c>
      <c r="R6041" s="405" t="s">
        <v>7224</v>
      </c>
      <c r="S6041" s="405" t="s">
        <v>27298</v>
      </c>
      <c r="T6041" s="405" t="s">
        <v>32102</v>
      </c>
      <c r="U6041" s="405" t="s">
        <v>319</v>
      </c>
    </row>
    <row r="6042" spans="1:21" x14ac:dyDescent="0.25">
      <c r="A6042" s="405" t="s">
        <v>310</v>
      </c>
      <c r="B6042" s="405" t="s">
        <v>27601</v>
      </c>
      <c r="C6042" s="405" t="s">
        <v>327</v>
      </c>
      <c r="D6042" s="405"/>
      <c r="E6042" s="410">
        <v>41451</v>
      </c>
      <c r="F6042" s="410">
        <v>41496</v>
      </c>
      <c r="G6042" s="405" t="s">
        <v>12648</v>
      </c>
      <c r="H6042" s="405">
        <v>782690025</v>
      </c>
      <c r="I6042" s="405">
        <v>782596980</v>
      </c>
      <c r="J6042" s="405">
        <v>0.94568459999999999</v>
      </c>
      <c r="K6042" s="405">
        <v>33.124783700000002</v>
      </c>
      <c r="L6042" s="405" t="s">
        <v>6866</v>
      </c>
      <c r="M6042" s="405" t="s">
        <v>3009</v>
      </c>
      <c r="N6042" s="405" t="s">
        <v>9662</v>
      </c>
      <c r="O6042" s="405" t="s">
        <v>12649</v>
      </c>
      <c r="P6042" s="405" t="s">
        <v>12650</v>
      </c>
      <c r="Q6042" s="411">
        <v>9</v>
      </c>
      <c r="R6042" s="405" t="s">
        <v>32478</v>
      </c>
      <c r="S6042" s="405" t="s">
        <v>27054</v>
      </c>
      <c r="T6042" s="405" t="s">
        <v>32102</v>
      </c>
      <c r="U6042" s="405" t="s">
        <v>319</v>
      </c>
    </row>
    <row r="6043" spans="1:21" x14ac:dyDescent="0.25">
      <c r="A6043" s="405" t="s">
        <v>310</v>
      </c>
      <c r="B6043" s="405" t="s">
        <v>4165</v>
      </c>
      <c r="C6043" s="405" t="s">
        <v>327</v>
      </c>
      <c r="D6043" s="405"/>
      <c r="E6043" s="410">
        <v>41451</v>
      </c>
      <c r="F6043" s="410">
        <v>41496</v>
      </c>
      <c r="G6043" s="405" t="s">
        <v>4166</v>
      </c>
      <c r="H6043" s="405">
        <v>779304354</v>
      </c>
      <c r="I6043" s="405"/>
      <c r="J6043" s="405">
        <v>8.6647399999999999E-2</v>
      </c>
      <c r="K6043" s="405">
        <v>32.139909899999999</v>
      </c>
      <c r="L6043" s="405" t="s">
        <v>314</v>
      </c>
      <c r="M6043" s="405" t="s">
        <v>321</v>
      </c>
      <c r="N6043" s="405" t="s">
        <v>322</v>
      </c>
      <c r="O6043" s="405" t="s">
        <v>476</v>
      </c>
      <c r="P6043" s="405" t="s">
        <v>4167</v>
      </c>
      <c r="Q6043" s="411">
        <v>6</v>
      </c>
      <c r="R6043" s="405" t="s">
        <v>1263</v>
      </c>
      <c r="S6043" s="405" t="s">
        <v>27185</v>
      </c>
      <c r="T6043" s="405" t="s">
        <v>32102</v>
      </c>
      <c r="U6043" s="405" t="s">
        <v>319</v>
      </c>
    </row>
    <row r="6044" spans="1:21" x14ac:dyDescent="0.25">
      <c r="A6044" s="405" t="s">
        <v>310</v>
      </c>
      <c r="B6044" s="405" t="s">
        <v>21319</v>
      </c>
      <c r="C6044" s="405" t="s">
        <v>327</v>
      </c>
      <c r="D6044" s="405"/>
      <c r="E6044" s="410">
        <v>41451</v>
      </c>
      <c r="F6044" s="410">
        <v>41496</v>
      </c>
      <c r="G6044" s="405" t="s">
        <v>21320</v>
      </c>
      <c r="H6044" s="405">
        <v>772609805</v>
      </c>
      <c r="I6044" s="405"/>
      <c r="J6044" s="405">
        <v>-1.03078</v>
      </c>
      <c r="K6044" s="405">
        <v>30.102150999999999</v>
      </c>
      <c r="L6044" s="405" t="s">
        <v>590</v>
      </c>
      <c r="M6044" s="405" t="s">
        <v>19659</v>
      </c>
      <c r="N6044" s="405" t="s">
        <v>19677</v>
      </c>
      <c r="O6044" s="405" t="s">
        <v>19726</v>
      </c>
      <c r="P6044" s="405" t="s">
        <v>7901</v>
      </c>
      <c r="Q6044" s="411">
        <v>6</v>
      </c>
      <c r="R6044" s="405" t="s">
        <v>1527</v>
      </c>
      <c r="S6044" s="405" t="s">
        <v>27161</v>
      </c>
      <c r="T6044" s="405" t="s">
        <v>32102</v>
      </c>
      <c r="U6044" s="405" t="s">
        <v>319</v>
      </c>
    </row>
    <row r="6045" spans="1:21" x14ac:dyDescent="0.25">
      <c r="A6045" s="405" t="s">
        <v>310</v>
      </c>
      <c r="B6045" s="405" t="s">
        <v>28834</v>
      </c>
      <c r="C6045" s="405" t="s">
        <v>327</v>
      </c>
      <c r="D6045" s="405"/>
      <c r="E6045" s="410">
        <v>41451</v>
      </c>
      <c r="F6045" s="410">
        <v>41496</v>
      </c>
      <c r="G6045" s="405" t="s">
        <v>18708</v>
      </c>
      <c r="H6045" s="405">
        <v>712621107</v>
      </c>
      <c r="I6045" s="405">
        <v>772373307</v>
      </c>
      <c r="J6045" s="405">
        <v>2.2473760999999999</v>
      </c>
      <c r="K6045" s="405">
        <v>32.892867899999999</v>
      </c>
      <c r="L6045" s="405" t="s">
        <v>860</v>
      </c>
      <c r="M6045" s="405" t="s">
        <v>18234</v>
      </c>
      <c r="N6045" s="405" t="s">
        <v>18252</v>
      </c>
      <c r="O6045" s="405" t="s">
        <v>18234</v>
      </c>
      <c r="P6045" s="405" t="s">
        <v>18546</v>
      </c>
      <c r="Q6045" s="411">
        <v>6</v>
      </c>
      <c r="R6045" s="405" t="s">
        <v>525</v>
      </c>
      <c r="S6045" s="405" t="s">
        <v>27193</v>
      </c>
      <c r="T6045" s="405" t="s">
        <v>32102</v>
      </c>
      <c r="U6045" s="405" t="s">
        <v>319</v>
      </c>
    </row>
    <row r="6046" spans="1:21" x14ac:dyDescent="0.25">
      <c r="A6046" s="405" t="s">
        <v>310</v>
      </c>
      <c r="B6046" s="405" t="s">
        <v>21342</v>
      </c>
      <c r="C6046" s="405" t="s">
        <v>327</v>
      </c>
      <c r="D6046" s="405"/>
      <c r="E6046" s="410">
        <v>41450</v>
      </c>
      <c r="F6046" s="410">
        <v>41495</v>
      </c>
      <c r="G6046" s="405" t="s">
        <v>21343</v>
      </c>
      <c r="H6046" s="405">
        <v>772560107</v>
      </c>
      <c r="I6046" s="405"/>
      <c r="J6046" s="405">
        <v>-0.20691200000000001</v>
      </c>
      <c r="K6046" s="405">
        <v>30.549779999999998</v>
      </c>
      <c r="L6046" s="405" t="s">
        <v>590</v>
      </c>
      <c r="M6046" s="405" t="s">
        <v>870</v>
      </c>
      <c r="N6046" s="405" t="s">
        <v>19841</v>
      </c>
      <c r="O6046" s="405" t="s">
        <v>21344</v>
      </c>
      <c r="P6046" s="405" t="s">
        <v>21345</v>
      </c>
      <c r="Q6046" s="411">
        <v>13</v>
      </c>
      <c r="R6046" s="405" t="s">
        <v>883</v>
      </c>
      <c r="S6046" s="405" t="s">
        <v>27104</v>
      </c>
      <c r="T6046" s="405" t="s">
        <v>32102</v>
      </c>
      <c r="U6046" s="405" t="s">
        <v>319</v>
      </c>
    </row>
    <row r="6047" spans="1:21" x14ac:dyDescent="0.25">
      <c r="A6047" s="405" t="s">
        <v>310</v>
      </c>
      <c r="B6047" s="405" t="s">
        <v>28238</v>
      </c>
      <c r="C6047" s="405" t="s">
        <v>327</v>
      </c>
      <c r="D6047" s="405"/>
      <c r="E6047" s="410">
        <v>41450</v>
      </c>
      <c r="F6047" s="410">
        <v>41495</v>
      </c>
      <c r="G6047" s="405" t="s">
        <v>12566</v>
      </c>
      <c r="H6047" s="405">
        <v>778893912</v>
      </c>
      <c r="I6047" s="405">
        <v>777287054</v>
      </c>
      <c r="J6047" s="405">
        <v>1.1148880000000001</v>
      </c>
      <c r="K6047" s="405">
        <v>34.202266999999999</v>
      </c>
      <c r="L6047" s="405" t="s">
        <v>6866</v>
      </c>
      <c r="M6047" s="405" t="s">
        <v>9514</v>
      </c>
      <c r="N6047" s="405" t="s">
        <v>9529</v>
      </c>
      <c r="O6047" s="405" t="s">
        <v>9530</v>
      </c>
      <c r="P6047" s="405" t="s">
        <v>11792</v>
      </c>
      <c r="Q6047" s="411">
        <v>6</v>
      </c>
      <c r="R6047" s="405" t="s">
        <v>7224</v>
      </c>
      <c r="S6047" s="405" t="s">
        <v>27316</v>
      </c>
      <c r="T6047" s="405" t="s">
        <v>32102</v>
      </c>
      <c r="U6047" s="405" t="s">
        <v>319</v>
      </c>
    </row>
    <row r="6048" spans="1:21" x14ac:dyDescent="0.25">
      <c r="A6048" s="405" t="s">
        <v>310</v>
      </c>
      <c r="B6048" s="405" t="s">
        <v>28766</v>
      </c>
      <c r="C6048" s="405" t="s">
        <v>327</v>
      </c>
      <c r="D6048" s="405"/>
      <c r="E6048" s="410">
        <v>41449</v>
      </c>
      <c r="F6048" s="410">
        <v>41494</v>
      </c>
      <c r="G6048" s="405" t="s">
        <v>12567</v>
      </c>
      <c r="H6048" s="405">
        <v>772533819</v>
      </c>
      <c r="I6048" s="405"/>
      <c r="J6048" s="405">
        <v>0.66295599999999999</v>
      </c>
      <c r="K6048" s="405">
        <v>34.258141999999999</v>
      </c>
      <c r="L6048" s="405" t="s">
        <v>6866</v>
      </c>
      <c r="M6048" s="405" t="s">
        <v>9534</v>
      </c>
      <c r="N6048" s="405" t="s">
        <v>10201</v>
      </c>
      <c r="O6048" s="405" t="s">
        <v>12386</v>
      </c>
      <c r="P6048" s="405" t="s">
        <v>12387</v>
      </c>
      <c r="Q6048" s="411">
        <v>9</v>
      </c>
      <c r="R6048" s="405" t="s">
        <v>7224</v>
      </c>
      <c r="S6048" s="405" t="s">
        <v>27283</v>
      </c>
      <c r="T6048" s="405" t="s">
        <v>32102</v>
      </c>
      <c r="U6048" s="405" t="s">
        <v>319</v>
      </c>
    </row>
    <row r="6049" spans="1:21" x14ac:dyDescent="0.25">
      <c r="A6049" s="405" t="s">
        <v>310</v>
      </c>
      <c r="B6049" s="405" t="s">
        <v>28783</v>
      </c>
      <c r="C6049" s="405" t="s">
        <v>327</v>
      </c>
      <c r="D6049" s="405"/>
      <c r="E6049" s="410">
        <v>41449</v>
      </c>
      <c r="F6049" s="410">
        <v>41494</v>
      </c>
      <c r="G6049" s="405" t="s">
        <v>12678</v>
      </c>
      <c r="H6049" s="405">
        <v>775614076</v>
      </c>
      <c r="I6049" s="405"/>
      <c r="J6049" s="405">
        <v>1.2079500000000001</v>
      </c>
      <c r="K6049" s="405">
        <v>33.782893000000001</v>
      </c>
      <c r="L6049" s="405" t="s">
        <v>6866</v>
      </c>
      <c r="M6049" s="405" t="s">
        <v>9509</v>
      </c>
      <c r="N6049" s="405" t="s">
        <v>7352</v>
      </c>
      <c r="O6049" s="405" t="s">
        <v>7352</v>
      </c>
      <c r="P6049" s="405" t="s">
        <v>12679</v>
      </c>
      <c r="Q6049" s="411">
        <v>6</v>
      </c>
      <c r="R6049" s="405" t="s">
        <v>7224</v>
      </c>
      <c r="S6049" s="405" t="s">
        <v>27107</v>
      </c>
      <c r="T6049" s="405" t="s">
        <v>32102</v>
      </c>
      <c r="U6049" s="405" t="s">
        <v>319</v>
      </c>
    </row>
    <row r="6050" spans="1:21" x14ac:dyDescent="0.25">
      <c r="A6050" s="405" t="s">
        <v>310</v>
      </c>
      <c r="B6050" s="405" t="s">
        <v>29078</v>
      </c>
      <c r="C6050" s="405" t="s">
        <v>327</v>
      </c>
      <c r="D6050" s="405"/>
      <c r="E6050" s="410">
        <v>41449</v>
      </c>
      <c r="F6050" s="410">
        <v>41494</v>
      </c>
      <c r="G6050" s="405" t="s">
        <v>12657</v>
      </c>
      <c r="H6050" s="405">
        <v>773900010</v>
      </c>
      <c r="I6050" s="405"/>
      <c r="J6050" s="405">
        <v>0.92764199999999997</v>
      </c>
      <c r="K6050" s="405">
        <v>34.164327</v>
      </c>
      <c r="L6050" s="405" t="s">
        <v>6866</v>
      </c>
      <c r="M6050" s="405" t="s">
        <v>9514</v>
      </c>
      <c r="N6050" s="405" t="s">
        <v>9616</v>
      </c>
      <c r="O6050" s="405" t="s">
        <v>10567</v>
      </c>
      <c r="P6050" s="405" t="s">
        <v>9924</v>
      </c>
      <c r="Q6050" s="411">
        <v>6</v>
      </c>
      <c r="R6050" s="405" t="s">
        <v>333</v>
      </c>
      <c r="S6050" s="405" t="s">
        <v>27203</v>
      </c>
      <c r="T6050" s="405" t="s">
        <v>32102</v>
      </c>
      <c r="U6050" s="405" t="s">
        <v>319</v>
      </c>
    </row>
    <row r="6051" spans="1:21" x14ac:dyDescent="0.25">
      <c r="A6051" s="405" t="s">
        <v>310</v>
      </c>
      <c r="B6051" s="405" t="s">
        <v>12693</v>
      </c>
      <c r="C6051" s="405" t="s">
        <v>327</v>
      </c>
      <c r="D6051" s="405"/>
      <c r="E6051" s="410">
        <v>41449</v>
      </c>
      <c r="F6051" s="410">
        <v>41494</v>
      </c>
      <c r="G6051" s="405" t="s">
        <v>12694</v>
      </c>
      <c r="H6051" s="405">
        <v>780764696</v>
      </c>
      <c r="I6051" s="405">
        <v>702767359</v>
      </c>
      <c r="J6051" s="405">
        <v>1.029593</v>
      </c>
      <c r="K6051" s="405">
        <v>33.791888</v>
      </c>
      <c r="L6051" s="405" t="s">
        <v>6866</v>
      </c>
      <c r="M6051" s="405" t="s">
        <v>10152</v>
      </c>
      <c r="N6051" s="405" t="s">
        <v>10152</v>
      </c>
      <c r="O6051" s="405" t="s">
        <v>11455</v>
      </c>
      <c r="P6051" s="405" t="s">
        <v>12695</v>
      </c>
      <c r="Q6051" s="411">
        <v>6</v>
      </c>
      <c r="R6051" s="405" t="s">
        <v>9541</v>
      </c>
      <c r="S6051" s="405" t="s">
        <v>27294</v>
      </c>
      <c r="T6051" s="405" t="s">
        <v>32102</v>
      </c>
      <c r="U6051" s="405" t="s">
        <v>319</v>
      </c>
    </row>
    <row r="6052" spans="1:21" x14ac:dyDescent="0.25">
      <c r="A6052" s="405" t="s">
        <v>310</v>
      </c>
      <c r="B6052" s="405" t="s">
        <v>18709</v>
      </c>
      <c r="C6052" s="405" t="s">
        <v>327</v>
      </c>
      <c r="D6052" s="405"/>
      <c r="E6052" s="410">
        <v>41449</v>
      </c>
      <c r="F6052" s="410">
        <v>41494</v>
      </c>
      <c r="G6052" s="405" t="s">
        <v>18710</v>
      </c>
      <c r="H6052" s="405">
        <v>782883295</v>
      </c>
      <c r="I6052" s="405"/>
      <c r="J6052" s="405">
        <v>2.8000910000000001</v>
      </c>
      <c r="K6052" s="405">
        <v>32.282302000000001</v>
      </c>
      <c r="L6052" s="405" t="s">
        <v>860</v>
      </c>
      <c r="M6052" s="405" t="s">
        <v>853</v>
      </c>
      <c r="N6052" s="405" t="s">
        <v>18246</v>
      </c>
      <c r="O6052" s="405" t="s">
        <v>18503</v>
      </c>
      <c r="P6052" s="405" t="s">
        <v>18711</v>
      </c>
      <c r="Q6052" s="411">
        <v>6</v>
      </c>
      <c r="R6052" s="405" t="s">
        <v>994</v>
      </c>
      <c r="S6052" s="405" t="s">
        <v>27162</v>
      </c>
      <c r="T6052" s="405" t="s">
        <v>32102</v>
      </c>
      <c r="U6052" s="405" t="s">
        <v>319</v>
      </c>
    </row>
    <row r="6053" spans="1:21" x14ac:dyDescent="0.25">
      <c r="A6053" s="405" t="s">
        <v>310</v>
      </c>
      <c r="B6053" s="405" t="s">
        <v>28068</v>
      </c>
      <c r="C6053" s="405" t="s">
        <v>327</v>
      </c>
      <c r="D6053" s="405"/>
      <c r="E6053" s="410">
        <v>41448</v>
      </c>
      <c r="F6053" s="410">
        <v>41493</v>
      </c>
      <c r="G6053" s="405" t="s">
        <v>4212</v>
      </c>
      <c r="H6053" s="405">
        <v>774156246</v>
      </c>
      <c r="I6053" s="405">
        <v>751797757</v>
      </c>
      <c r="J6053" s="405">
        <v>0.2823581</v>
      </c>
      <c r="K6053" s="405">
        <v>33.1402158</v>
      </c>
      <c r="L6053" s="405" t="s">
        <v>314</v>
      </c>
      <c r="M6053" s="405" t="s">
        <v>349</v>
      </c>
      <c r="N6053" s="405" t="s">
        <v>349</v>
      </c>
      <c r="O6053" s="405" t="s">
        <v>1062</v>
      </c>
      <c r="P6053" s="405" t="s">
        <v>2724</v>
      </c>
      <c r="Q6053" s="411">
        <v>6</v>
      </c>
      <c r="R6053" s="405" t="s">
        <v>32478</v>
      </c>
      <c r="S6053" s="405" t="s">
        <v>27211</v>
      </c>
      <c r="T6053" s="405" t="s">
        <v>32102</v>
      </c>
      <c r="U6053" s="405" t="s">
        <v>319</v>
      </c>
    </row>
    <row r="6054" spans="1:21" x14ac:dyDescent="0.25">
      <c r="A6054" s="405" t="s">
        <v>310</v>
      </c>
      <c r="B6054" s="405" t="s">
        <v>4107</v>
      </c>
      <c r="C6054" s="405" t="s">
        <v>327</v>
      </c>
      <c r="D6054" s="405"/>
      <c r="E6054" s="410">
        <v>41448</v>
      </c>
      <c r="F6054" s="410">
        <v>41493</v>
      </c>
      <c r="G6054" s="405" t="s">
        <v>4108</v>
      </c>
      <c r="H6054" s="405">
        <v>772845165</v>
      </c>
      <c r="I6054" s="405"/>
      <c r="J6054" s="405">
        <v>0.19470299999999999</v>
      </c>
      <c r="K6054" s="405">
        <v>32.062871999999999</v>
      </c>
      <c r="L6054" s="405" t="s">
        <v>314</v>
      </c>
      <c r="M6054" s="405" t="s">
        <v>339</v>
      </c>
      <c r="N6054" s="405" t="s">
        <v>339</v>
      </c>
      <c r="O6054" s="405" t="s">
        <v>2272</v>
      </c>
      <c r="P6054" s="405" t="s">
        <v>4109</v>
      </c>
      <c r="Q6054" s="411">
        <v>6</v>
      </c>
      <c r="R6054" s="405" t="s">
        <v>1263</v>
      </c>
      <c r="S6054" s="405" t="s">
        <v>27206</v>
      </c>
      <c r="T6054" s="405" t="s">
        <v>32102</v>
      </c>
      <c r="U6054" s="405" t="s">
        <v>319</v>
      </c>
    </row>
    <row r="6055" spans="1:21" x14ac:dyDescent="0.25">
      <c r="A6055" s="405" t="s">
        <v>310</v>
      </c>
      <c r="B6055" s="405" t="s">
        <v>27545</v>
      </c>
      <c r="C6055" s="405" t="s">
        <v>327</v>
      </c>
      <c r="D6055" s="405"/>
      <c r="E6055" s="410">
        <v>41448</v>
      </c>
      <c r="F6055" s="410">
        <v>41493</v>
      </c>
      <c r="G6055" s="405" t="s">
        <v>12573</v>
      </c>
      <c r="H6055" s="405">
        <v>781050839</v>
      </c>
      <c r="I6055" s="405"/>
      <c r="J6055" s="405">
        <v>0.74228700000000003</v>
      </c>
      <c r="K6055" s="405">
        <v>34.264581</v>
      </c>
      <c r="L6055" s="405" t="s">
        <v>6866</v>
      </c>
      <c r="M6055" s="405" t="s">
        <v>9534</v>
      </c>
      <c r="N6055" s="405" t="s">
        <v>10201</v>
      </c>
      <c r="O6055" s="405" t="s">
        <v>12571</v>
      </c>
      <c r="P6055" s="405" t="s">
        <v>12574</v>
      </c>
      <c r="Q6055" s="411">
        <v>4</v>
      </c>
      <c r="R6055" s="405" t="s">
        <v>7224</v>
      </c>
      <c r="S6055" s="405" t="s">
        <v>27306</v>
      </c>
      <c r="T6055" s="405" t="s">
        <v>32102</v>
      </c>
      <c r="U6055" s="405" t="s">
        <v>319</v>
      </c>
    </row>
    <row r="6056" spans="1:21" x14ac:dyDescent="0.25">
      <c r="A6056" s="405" t="s">
        <v>310</v>
      </c>
      <c r="B6056" s="405" t="s">
        <v>13043</v>
      </c>
      <c r="C6056" s="405" t="s">
        <v>311</v>
      </c>
      <c r="D6056" s="405" t="s">
        <v>839</v>
      </c>
      <c r="E6056" s="410">
        <v>41448</v>
      </c>
      <c r="F6056" s="410">
        <v>41493</v>
      </c>
      <c r="G6056" s="405" t="s">
        <v>13044</v>
      </c>
      <c r="H6056" s="405">
        <v>774181303</v>
      </c>
      <c r="I6056" s="405"/>
      <c r="J6056" s="405">
        <v>1.6051299999999999</v>
      </c>
      <c r="K6056" s="405">
        <v>34.007047</v>
      </c>
      <c r="L6056" s="405" t="s">
        <v>6866</v>
      </c>
      <c r="M6056" s="405" t="s">
        <v>10029</v>
      </c>
      <c r="N6056" s="405" t="s">
        <v>10029</v>
      </c>
      <c r="O6056" s="405" t="s">
        <v>10435</v>
      </c>
      <c r="P6056" s="405" t="s">
        <v>13045</v>
      </c>
      <c r="Q6056" s="411">
        <v>4</v>
      </c>
      <c r="R6056" s="405" t="s">
        <v>9541</v>
      </c>
      <c r="S6056" s="405" t="s">
        <v>27314</v>
      </c>
      <c r="T6056" s="405" t="s">
        <v>32102</v>
      </c>
      <c r="U6056" s="405" t="s">
        <v>319</v>
      </c>
    </row>
    <row r="6057" spans="1:21" x14ac:dyDescent="0.25">
      <c r="A6057" s="405" t="s">
        <v>310</v>
      </c>
      <c r="B6057" s="405" t="s">
        <v>28894</v>
      </c>
      <c r="C6057" s="405" t="s">
        <v>327</v>
      </c>
      <c r="D6057" s="405"/>
      <c r="E6057" s="410">
        <v>41447</v>
      </c>
      <c r="F6057" s="410">
        <v>41492</v>
      </c>
      <c r="G6057" s="405" t="s">
        <v>4155</v>
      </c>
      <c r="H6057" s="405">
        <v>753243173</v>
      </c>
      <c r="I6057" s="405">
        <v>775243173</v>
      </c>
      <c r="J6057" s="405">
        <v>0.27018300000000001</v>
      </c>
      <c r="K6057" s="405">
        <v>33.117131999999998</v>
      </c>
      <c r="L6057" s="405" t="s">
        <v>314</v>
      </c>
      <c r="M6057" s="405" t="s">
        <v>349</v>
      </c>
      <c r="N6057" s="405" t="s">
        <v>473</v>
      </c>
      <c r="O6057" s="405" t="s">
        <v>1062</v>
      </c>
      <c r="P6057" s="405" t="s">
        <v>4156</v>
      </c>
      <c r="Q6057" s="411">
        <v>13</v>
      </c>
      <c r="R6057" s="405" t="s">
        <v>32478</v>
      </c>
      <c r="S6057" s="405" t="s">
        <v>27120</v>
      </c>
      <c r="T6057" s="405" t="s">
        <v>32102</v>
      </c>
      <c r="U6057" s="405" t="s">
        <v>319</v>
      </c>
    </row>
    <row r="6058" spans="1:21" x14ac:dyDescent="0.25">
      <c r="A6058" s="405" t="s">
        <v>310</v>
      </c>
      <c r="B6058" s="405" t="s">
        <v>21315</v>
      </c>
      <c r="C6058" s="405" t="s">
        <v>327</v>
      </c>
      <c r="D6058" s="405"/>
      <c r="E6058" s="410">
        <v>41447</v>
      </c>
      <c r="F6058" s="410">
        <v>41492</v>
      </c>
      <c r="G6058" s="405" t="s">
        <v>21316</v>
      </c>
      <c r="H6058" s="405">
        <v>704125444</v>
      </c>
      <c r="I6058" s="405"/>
      <c r="J6058" s="405">
        <v>0.53505199999999997</v>
      </c>
      <c r="K6058" s="405">
        <v>30.775003000000002</v>
      </c>
      <c r="L6058" s="405" t="s">
        <v>590</v>
      </c>
      <c r="M6058" s="405" t="s">
        <v>20426</v>
      </c>
      <c r="N6058" s="405" t="s">
        <v>10925</v>
      </c>
      <c r="O6058" s="405" t="s">
        <v>21317</v>
      </c>
      <c r="P6058" s="405" t="s">
        <v>21318</v>
      </c>
      <c r="Q6058" s="411">
        <v>13</v>
      </c>
      <c r="R6058" s="405" t="s">
        <v>333</v>
      </c>
      <c r="S6058" s="405" t="s">
        <v>27412</v>
      </c>
      <c r="T6058" s="405" t="s">
        <v>32102</v>
      </c>
      <c r="U6058" s="405" t="s">
        <v>319</v>
      </c>
    </row>
    <row r="6059" spans="1:21" x14ac:dyDescent="0.25">
      <c r="A6059" s="405" t="s">
        <v>310</v>
      </c>
      <c r="B6059" s="405" t="s">
        <v>27580</v>
      </c>
      <c r="C6059" s="405" t="s">
        <v>327</v>
      </c>
      <c r="D6059" s="405"/>
      <c r="E6059" s="410">
        <v>41447</v>
      </c>
      <c r="F6059" s="410">
        <v>41492</v>
      </c>
      <c r="G6059" s="405" t="s">
        <v>4631</v>
      </c>
      <c r="H6059" s="405">
        <v>752568970</v>
      </c>
      <c r="I6059" s="405">
        <v>772568907</v>
      </c>
      <c r="J6059" s="405">
        <v>0.257102</v>
      </c>
      <c r="K6059" s="405">
        <v>33.132468000000003</v>
      </c>
      <c r="L6059" s="405" t="s">
        <v>314</v>
      </c>
      <c r="M6059" s="405" t="s">
        <v>349</v>
      </c>
      <c r="N6059" s="405" t="s">
        <v>473</v>
      </c>
      <c r="O6059" s="405" t="s">
        <v>1062</v>
      </c>
      <c r="P6059" s="405" t="s">
        <v>4632</v>
      </c>
      <c r="Q6059" s="411">
        <v>9</v>
      </c>
      <c r="R6059" s="405" t="s">
        <v>32478</v>
      </c>
      <c r="S6059" s="405" t="s">
        <v>27120</v>
      </c>
      <c r="T6059" s="405" t="s">
        <v>32102</v>
      </c>
      <c r="U6059" s="405" t="s">
        <v>319</v>
      </c>
    </row>
    <row r="6060" spans="1:21" x14ac:dyDescent="0.25">
      <c r="A6060" s="405" t="s">
        <v>310</v>
      </c>
      <c r="B6060" s="405" t="s">
        <v>27894</v>
      </c>
      <c r="C6060" s="405" t="s">
        <v>311</v>
      </c>
      <c r="D6060" s="405" t="s">
        <v>312</v>
      </c>
      <c r="E6060" s="410">
        <v>41447</v>
      </c>
      <c r="F6060" s="410">
        <v>41492</v>
      </c>
      <c r="G6060" s="405" t="s">
        <v>21571</v>
      </c>
      <c r="H6060" s="405" t="s">
        <v>21572</v>
      </c>
      <c r="I6060" s="405">
        <v>777747546</v>
      </c>
      <c r="J6060" s="405">
        <v>1.6474901</v>
      </c>
      <c r="K6060" s="405">
        <v>31.516838100000001</v>
      </c>
      <c r="L6060" s="405" t="s">
        <v>590</v>
      </c>
      <c r="M6060" s="405" t="s">
        <v>7300</v>
      </c>
      <c r="N6060" s="405" t="s">
        <v>21573</v>
      </c>
      <c r="O6060" s="405" t="s">
        <v>21574</v>
      </c>
      <c r="P6060" s="405" t="s">
        <v>8926</v>
      </c>
      <c r="Q6060" s="411">
        <v>9</v>
      </c>
      <c r="R6060" s="405" t="s">
        <v>318</v>
      </c>
      <c r="S6060" s="405" t="s">
        <v>27137</v>
      </c>
      <c r="T6060" s="405" t="s">
        <v>32102</v>
      </c>
      <c r="U6060" s="405" t="s">
        <v>319</v>
      </c>
    </row>
    <row r="6061" spans="1:21" x14ac:dyDescent="0.25">
      <c r="A6061" s="405" t="s">
        <v>310</v>
      </c>
      <c r="B6061" s="405" t="s">
        <v>27893</v>
      </c>
      <c r="C6061" s="405" t="s">
        <v>311</v>
      </c>
      <c r="D6061" s="405" t="s">
        <v>14429</v>
      </c>
      <c r="E6061" s="410">
        <v>41447</v>
      </c>
      <c r="F6061" s="410">
        <v>41492</v>
      </c>
      <c r="G6061" s="405" t="s">
        <v>21500</v>
      </c>
      <c r="H6061" s="405">
        <v>777213830</v>
      </c>
      <c r="I6061" s="405"/>
      <c r="J6061" s="405">
        <v>1.543634</v>
      </c>
      <c r="K6061" s="405">
        <v>31.476927</v>
      </c>
      <c r="L6061" s="405" t="s">
        <v>590</v>
      </c>
      <c r="M6061" s="405" t="s">
        <v>7300</v>
      </c>
      <c r="N6061" s="405" t="s">
        <v>19880</v>
      </c>
      <c r="O6061" s="405" t="s">
        <v>19881</v>
      </c>
      <c r="P6061" s="405" t="s">
        <v>9381</v>
      </c>
      <c r="Q6061" s="411">
        <v>9</v>
      </c>
      <c r="R6061" s="405" t="s">
        <v>6397</v>
      </c>
      <c r="S6061" s="405" t="s">
        <v>22880</v>
      </c>
      <c r="T6061" s="405" t="s">
        <v>32102</v>
      </c>
      <c r="U6061" s="405" t="s">
        <v>319</v>
      </c>
    </row>
    <row r="6062" spans="1:21" x14ac:dyDescent="0.25">
      <c r="A6062" s="405" t="s">
        <v>310</v>
      </c>
      <c r="B6062" s="405" t="s">
        <v>21312</v>
      </c>
      <c r="C6062" s="405" t="s">
        <v>327</v>
      </c>
      <c r="D6062" s="405"/>
      <c r="E6062" s="410">
        <v>41447</v>
      </c>
      <c r="F6062" s="410">
        <v>41492</v>
      </c>
      <c r="G6062" s="405" t="s">
        <v>21313</v>
      </c>
      <c r="H6062" s="405">
        <v>784980778</v>
      </c>
      <c r="I6062" s="405"/>
      <c r="J6062" s="405">
        <v>0.58063500000000001</v>
      </c>
      <c r="K6062" s="405">
        <v>30.680457000000001</v>
      </c>
      <c r="L6062" s="405" t="s">
        <v>590</v>
      </c>
      <c r="M6062" s="405" t="s">
        <v>20426</v>
      </c>
      <c r="N6062" s="405" t="s">
        <v>20692</v>
      </c>
      <c r="O6062" s="405" t="s">
        <v>1273</v>
      </c>
      <c r="P6062" s="405" t="s">
        <v>21314</v>
      </c>
      <c r="Q6062" s="411">
        <v>6</v>
      </c>
      <c r="R6062" s="405" t="s">
        <v>883</v>
      </c>
      <c r="S6062" s="405" t="s">
        <v>27173</v>
      </c>
      <c r="T6062" s="405" t="s">
        <v>32102</v>
      </c>
      <c r="U6062" s="405" t="s">
        <v>319</v>
      </c>
    </row>
    <row r="6063" spans="1:21" x14ac:dyDescent="0.25">
      <c r="A6063" s="405" t="s">
        <v>310</v>
      </c>
      <c r="B6063" s="405" t="s">
        <v>20143</v>
      </c>
      <c r="C6063" s="405" t="s">
        <v>327</v>
      </c>
      <c r="D6063" s="405"/>
      <c r="E6063" s="410">
        <v>41447</v>
      </c>
      <c r="F6063" s="410">
        <v>41492</v>
      </c>
      <c r="G6063" s="405" t="s">
        <v>20144</v>
      </c>
      <c r="H6063" s="405">
        <v>758096569</v>
      </c>
      <c r="I6063" s="405"/>
      <c r="J6063" s="405">
        <v>-0.86770700000000001</v>
      </c>
      <c r="K6063" s="405">
        <v>30.665575</v>
      </c>
      <c r="L6063" s="405" t="s">
        <v>590</v>
      </c>
      <c r="M6063" s="405" t="s">
        <v>879</v>
      </c>
      <c r="N6063" s="405" t="s">
        <v>20019</v>
      </c>
      <c r="O6063" s="405" t="s">
        <v>20145</v>
      </c>
      <c r="P6063" s="405" t="s">
        <v>20146</v>
      </c>
      <c r="Q6063" s="411">
        <v>6</v>
      </c>
      <c r="R6063" s="405" t="s">
        <v>333</v>
      </c>
      <c r="S6063" s="405" t="s">
        <v>27401</v>
      </c>
      <c r="T6063" s="405" t="s">
        <v>32102</v>
      </c>
      <c r="U6063" s="405" t="s">
        <v>319</v>
      </c>
    </row>
    <row r="6064" spans="1:21" x14ac:dyDescent="0.25">
      <c r="A6064" s="405" t="s">
        <v>310</v>
      </c>
      <c r="B6064" s="405" t="s">
        <v>21348</v>
      </c>
      <c r="C6064" s="405" t="s">
        <v>327</v>
      </c>
      <c r="D6064" s="405"/>
      <c r="E6064" s="410">
        <v>41447</v>
      </c>
      <c r="F6064" s="410">
        <v>41492</v>
      </c>
      <c r="G6064" s="405" t="s">
        <v>21349</v>
      </c>
      <c r="H6064" s="405">
        <v>752596675</v>
      </c>
      <c r="I6064" s="405"/>
      <c r="J6064" s="405">
        <v>-0.94232800000000005</v>
      </c>
      <c r="K6064" s="405">
        <v>30.957512999999999</v>
      </c>
      <c r="L6064" s="405" t="s">
        <v>590</v>
      </c>
      <c r="M6064" s="405" t="s">
        <v>879</v>
      </c>
      <c r="N6064" s="405" t="s">
        <v>12376</v>
      </c>
      <c r="O6064" s="405" t="s">
        <v>21350</v>
      </c>
      <c r="P6064" s="405" t="s">
        <v>21351</v>
      </c>
      <c r="Q6064" s="411">
        <v>6</v>
      </c>
      <c r="R6064" s="405" t="s">
        <v>1527</v>
      </c>
      <c r="S6064" s="405" t="s">
        <v>27161</v>
      </c>
      <c r="T6064" s="405" t="s">
        <v>32102</v>
      </c>
      <c r="U6064" s="405" t="s">
        <v>319</v>
      </c>
    </row>
    <row r="6065" spans="1:21" x14ac:dyDescent="0.25">
      <c r="A6065" s="405" t="s">
        <v>310</v>
      </c>
      <c r="B6065" s="405" t="s">
        <v>28873</v>
      </c>
      <c r="C6065" s="405" t="s">
        <v>327</v>
      </c>
      <c r="D6065" s="405"/>
      <c r="E6065" s="410">
        <v>41447</v>
      </c>
      <c r="F6065" s="410">
        <v>41492</v>
      </c>
      <c r="G6065" s="405" t="s">
        <v>21275</v>
      </c>
      <c r="H6065" s="405">
        <v>704240620</v>
      </c>
      <c r="I6065" s="405"/>
      <c r="J6065" s="405">
        <v>-0.67576099999999995</v>
      </c>
      <c r="K6065" s="405">
        <v>30.387149999999998</v>
      </c>
      <c r="L6065" s="405" t="s">
        <v>590</v>
      </c>
      <c r="M6065" s="405" t="s">
        <v>19725</v>
      </c>
      <c r="N6065" s="405" t="s">
        <v>19725</v>
      </c>
      <c r="O6065" s="405" t="s">
        <v>21276</v>
      </c>
      <c r="P6065" s="405" t="s">
        <v>21277</v>
      </c>
      <c r="Q6065" s="411">
        <v>6</v>
      </c>
      <c r="R6065" s="405" t="s">
        <v>1527</v>
      </c>
      <c r="S6065" s="405" t="s">
        <v>27161</v>
      </c>
      <c r="T6065" s="405" t="s">
        <v>32102</v>
      </c>
      <c r="U6065" s="405" t="s">
        <v>319</v>
      </c>
    </row>
    <row r="6066" spans="1:21" x14ac:dyDescent="0.25">
      <c r="A6066" s="405" t="s">
        <v>310</v>
      </c>
      <c r="B6066" s="405" t="s">
        <v>12556</v>
      </c>
      <c r="C6066" s="405" t="s">
        <v>327</v>
      </c>
      <c r="D6066" s="405"/>
      <c r="E6066" s="410">
        <v>41447</v>
      </c>
      <c r="F6066" s="410">
        <v>41492</v>
      </c>
      <c r="G6066" s="405" t="s">
        <v>12557</v>
      </c>
      <c r="H6066" s="405">
        <v>782679392</v>
      </c>
      <c r="I6066" s="405">
        <v>782081990</v>
      </c>
      <c r="J6066" s="405">
        <v>1.0204329999999999</v>
      </c>
      <c r="K6066" s="405">
        <v>34.322949999999999</v>
      </c>
      <c r="L6066" s="405" t="s">
        <v>6866</v>
      </c>
      <c r="M6066" s="405" t="s">
        <v>6867</v>
      </c>
      <c r="N6066" s="405" t="s">
        <v>6868</v>
      </c>
      <c r="O6066" s="405" t="s">
        <v>11995</v>
      </c>
      <c r="P6066" s="405" t="s">
        <v>12558</v>
      </c>
      <c r="Q6066" s="411">
        <v>4</v>
      </c>
      <c r="R6066" s="405" t="s">
        <v>7224</v>
      </c>
      <c r="S6066" s="405" t="s">
        <v>17062</v>
      </c>
      <c r="T6066" s="405" t="s">
        <v>32102</v>
      </c>
      <c r="U6066" s="405" t="s">
        <v>319</v>
      </c>
    </row>
    <row r="6067" spans="1:21" x14ac:dyDescent="0.25">
      <c r="A6067" s="405" t="s">
        <v>310</v>
      </c>
      <c r="B6067" s="405" t="s">
        <v>12587</v>
      </c>
      <c r="C6067" s="405" t="s">
        <v>327</v>
      </c>
      <c r="D6067" s="405"/>
      <c r="E6067" s="410">
        <v>41447</v>
      </c>
      <c r="F6067" s="410">
        <v>41492</v>
      </c>
      <c r="G6067" s="405" t="s">
        <v>12588</v>
      </c>
      <c r="H6067" s="405">
        <v>771650680</v>
      </c>
      <c r="I6067" s="405"/>
      <c r="J6067" s="405">
        <v>0.82816000000000001</v>
      </c>
      <c r="K6067" s="405">
        <v>33.901358000000002</v>
      </c>
      <c r="L6067" s="405" t="s">
        <v>6866</v>
      </c>
      <c r="M6067" s="405" t="s">
        <v>9566</v>
      </c>
      <c r="N6067" s="405" t="s">
        <v>9787</v>
      </c>
      <c r="O6067" s="405" t="s">
        <v>12397</v>
      </c>
      <c r="P6067" s="405" t="s">
        <v>12398</v>
      </c>
      <c r="Q6067" s="411">
        <v>4</v>
      </c>
      <c r="R6067" s="405" t="s">
        <v>7224</v>
      </c>
      <c r="S6067" s="405" t="s">
        <v>17013</v>
      </c>
      <c r="T6067" s="405" t="s">
        <v>32102</v>
      </c>
      <c r="U6067" s="405" t="s">
        <v>319</v>
      </c>
    </row>
    <row r="6068" spans="1:21" x14ac:dyDescent="0.25">
      <c r="A6068" s="405" t="s">
        <v>310</v>
      </c>
      <c r="B6068" s="405" t="s">
        <v>12652</v>
      </c>
      <c r="C6068" s="405" t="s">
        <v>327</v>
      </c>
      <c r="D6068" s="405"/>
      <c r="E6068" s="410">
        <v>41446</v>
      </c>
      <c r="F6068" s="410">
        <v>41491</v>
      </c>
      <c r="G6068" s="405" t="s">
        <v>12653</v>
      </c>
      <c r="H6068" s="405">
        <v>777768247</v>
      </c>
      <c r="I6068" s="405"/>
      <c r="J6068" s="405">
        <v>1.444758</v>
      </c>
      <c r="K6068" s="405">
        <v>34.010413</v>
      </c>
      <c r="L6068" s="405" t="s">
        <v>6866</v>
      </c>
      <c r="M6068" s="405" t="s">
        <v>10029</v>
      </c>
      <c r="N6068" s="405" t="s">
        <v>10029</v>
      </c>
      <c r="O6068" s="405" t="s">
        <v>10545</v>
      </c>
      <c r="P6068" s="405" t="s">
        <v>12654</v>
      </c>
      <c r="Q6068" s="411">
        <v>6</v>
      </c>
      <c r="R6068" s="405" t="s">
        <v>7224</v>
      </c>
      <c r="S6068" s="405" t="s">
        <v>27298</v>
      </c>
      <c r="T6068" s="405" t="s">
        <v>32102</v>
      </c>
      <c r="U6068" s="405" t="s">
        <v>319</v>
      </c>
    </row>
    <row r="6069" spans="1:21" x14ac:dyDescent="0.25">
      <c r="A6069" s="405" t="s">
        <v>310</v>
      </c>
      <c r="B6069" s="405" t="s">
        <v>4260</v>
      </c>
      <c r="C6069" s="405" t="s">
        <v>327</v>
      </c>
      <c r="D6069" s="405"/>
      <c r="E6069" s="410">
        <v>41446</v>
      </c>
      <c r="F6069" s="410">
        <v>41491</v>
      </c>
      <c r="G6069" s="405" t="s">
        <v>4261</v>
      </c>
      <c r="H6069" s="405">
        <v>772969640</v>
      </c>
      <c r="I6069" s="405"/>
      <c r="J6069" s="405">
        <v>1.84588</v>
      </c>
      <c r="K6069" s="405">
        <v>32.045349999999999</v>
      </c>
      <c r="L6069" s="405" t="s">
        <v>590</v>
      </c>
      <c r="M6069" s="405" t="s">
        <v>591</v>
      </c>
      <c r="N6069" s="405" t="s">
        <v>4262</v>
      </c>
      <c r="O6069" s="405" t="s">
        <v>591</v>
      </c>
      <c r="P6069" s="405" t="s">
        <v>4263</v>
      </c>
      <c r="Q6069" s="411">
        <v>6</v>
      </c>
      <c r="R6069" s="405" t="s">
        <v>525</v>
      </c>
      <c r="S6069" s="405" t="s">
        <v>27229</v>
      </c>
      <c r="T6069" s="405" t="s">
        <v>32102</v>
      </c>
      <c r="U6069" s="405" t="s">
        <v>319</v>
      </c>
    </row>
    <row r="6070" spans="1:21" x14ac:dyDescent="0.25">
      <c r="A6070" s="405" t="s">
        <v>310</v>
      </c>
      <c r="B6070" s="405" t="s">
        <v>4140</v>
      </c>
      <c r="C6070" s="405" t="s">
        <v>327</v>
      </c>
      <c r="D6070" s="405"/>
      <c r="E6070" s="410">
        <v>41446</v>
      </c>
      <c r="F6070" s="410">
        <v>41491</v>
      </c>
      <c r="G6070" s="405" t="s">
        <v>4141</v>
      </c>
      <c r="H6070" s="405">
        <v>756977951</v>
      </c>
      <c r="I6070" s="405"/>
      <c r="J6070" s="405">
        <v>0.47665299999999999</v>
      </c>
      <c r="K6070" s="405">
        <v>31.803222000000002</v>
      </c>
      <c r="L6070" s="405" t="s">
        <v>314</v>
      </c>
      <c r="M6070" s="405" t="s">
        <v>445</v>
      </c>
      <c r="N6070" s="405" t="s">
        <v>3488</v>
      </c>
      <c r="O6070" s="405" t="s">
        <v>4136</v>
      </c>
      <c r="P6070" s="405" t="s">
        <v>4139</v>
      </c>
      <c r="Q6070" s="411">
        <v>6</v>
      </c>
      <c r="R6070" s="405" t="s">
        <v>32476</v>
      </c>
      <c r="S6070" s="405" t="s">
        <v>27039</v>
      </c>
      <c r="T6070" s="405" t="s">
        <v>32102</v>
      </c>
      <c r="U6070" s="405" t="s">
        <v>319</v>
      </c>
    </row>
    <row r="6071" spans="1:21" x14ac:dyDescent="0.25">
      <c r="A6071" s="405" t="s">
        <v>310</v>
      </c>
      <c r="B6071" s="405" t="s">
        <v>4149</v>
      </c>
      <c r="C6071" s="405" t="s">
        <v>327</v>
      </c>
      <c r="D6071" s="405"/>
      <c r="E6071" s="410">
        <v>41446</v>
      </c>
      <c r="F6071" s="410">
        <v>41491</v>
      </c>
      <c r="G6071" s="405" t="s">
        <v>4150</v>
      </c>
      <c r="H6071" s="405">
        <v>773708919</v>
      </c>
      <c r="I6071" s="405"/>
      <c r="J6071" s="405">
        <v>0.34347299999999997</v>
      </c>
      <c r="K6071" s="405">
        <v>32.039985000000001</v>
      </c>
      <c r="L6071" s="405" t="s">
        <v>314</v>
      </c>
      <c r="M6071" s="405" t="s">
        <v>675</v>
      </c>
      <c r="N6071" s="405" t="s">
        <v>4151</v>
      </c>
      <c r="O6071" s="405" t="s">
        <v>1066</v>
      </c>
      <c r="P6071" s="405" t="s">
        <v>4152</v>
      </c>
      <c r="Q6071" s="411">
        <v>6</v>
      </c>
      <c r="R6071" s="405" t="s">
        <v>32476</v>
      </c>
      <c r="S6071" s="405" t="s">
        <v>27041</v>
      </c>
      <c r="T6071" s="405" t="s">
        <v>32102</v>
      </c>
      <c r="U6071" s="405" t="s">
        <v>319</v>
      </c>
    </row>
    <row r="6072" spans="1:21" x14ac:dyDescent="0.25">
      <c r="A6072" s="405" t="s">
        <v>310</v>
      </c>
      <c r="B6072" s="405" t="s">
        <v>18683</v>
      </c>
      <c r="C6072" s="405" t="s">
        <v>327</v>
      </c>
      <c r="D6072" s="405"/>
      <c r="E6072" s="410">
        <v>41446</v>
      </c>
      <c r="F6072" s="410">
        <v>41491</v>
      </c>
      <c r="G6072" s="405" t="s">
        <v>18684</v>
      </c>
      <c r="H6072" s="405">
        <v>753046770</v>
      </c>
      <c r="I6072" s="405"/>
      <c r="J6072" s="405">
        <v>2.4094639999999998</v>
      </c>
      <c r="K6072" s="405">
        <v>32.726481999999997</v>
      </c>
      <c r="L6072" s="405" t="s">
        <v>860</v>
      </c>
      <c r="M6072" s="405" t="s">
        <v>18288</v>
      </c>
      <c r="N6072" s="405" t="s">
        <v>18685</v>
      </c>
      <c r="O6072" s="405" t="s">
        <v>18681</v>
      </c>
      <c r="P6072" s="405" t="s">
        <v>18686</v>
      </c>
      <c r="Q6072" s="411">
        <v>6</v>
      </c>
      <c r="R6072" s="405" t="s">
        <v>525</v>
      </c>
      <c r="S6072" s="405" t="s">
        <v>27079</v>
      </c>
      <c r="T6072" s="405" t="s">
        <v>32212</v>
      </c>
      <c r="U6072" s="405" t="s">
        <v>2267</v>
      </c>
    </row>
    <row r="6073" spans="1:21" x14ac:dyDescent="0.25">
      <c r="A6073" s="405" t="s">
        <v>310</v>
      </c>
      <c r="B6073" s="405" t="s">
        <v>12699</v>
      </c>
      <c r="C6073" s="405" t="s">
        <v>327</v>
      </c>
      <c r="D6073" s="405"/>
      <c r="E6073" s="410">
        <v>41446</v>
      </c>
      <c r="F6073" s="410">
        <v>41491</v>
      </c>
      <c r="G6073" s="405" t="s">
        <v>12700</v>
      </c>
      <c r="H6073" s="405">
        <v>704434098</v>
      </c>
      <c r="I6073" s="405"/>
      <c r="J6073" s="405">
        <v>0.92554700000000001</v>
      </c>
      <c r="K6073" s="405">
        <v>34.167454999999997</v>
      </c>
      <c r="L6073" s="405" t="s">
        <v>6866</v>
      </c>
      <c r="M6073" s="405" t="s">
        <v>9514</v>
      </c>
      <c r="N6073" s="405" t="s">
        <v>9529</v>
      </c>
      <c r="O6073" s="405" t="s">
        <v>10567</v>
      </c>
      <c r="P6073" s="405" t="s">
        <v>9924</v>
      </c>
      <c r="Q6073" s="411">
        <v>4</v>
      </c>
      <c r="R6073" s="405" t="s">
        <v>7224</v>
      </c>
      <c r="S6073" s="405" t="s">
        <v>27203</v>
      </c>
      <c r="T6073" s="405" t="s">
        <v>32102</v>
      </c>
      <c r="U6073" s="405" t="s">
        <v>319</v>
      </c>
    </row>
    <row r="6074" spans="1:21" x14ac:dyDescent="0.25">
      <c r="A6074" s="405" t="s">
        <v>310</v>
      </c>
      <c r="B6074" s="405" t="s">
        <v>12608</v>
      </c>
      <c r="C6074" s="405" t="s">
        <v>327</v>
      </c>
      <c r="D6074" s="405"/>
      <c r="E6074" s="410">
        <v>41446</v>
      </c>
      <c r="F6074" s="410">
        <v>41491</v>
      </c>
      <c r="G6074" s="405" t="s">
        <v>12609</v>
      </c>
      <c r="H6074" s="405">
        <v>772942347</v>
      </c>
      <c r="I6074" s="405"/>
      <c r="J6074" s="405">
        <v>1.4995670000000001</v>
      </c>
      <c r="K6074" s="405">
        <v>34.011800000000001</v>
      </c>
      <c r="L6074" s="405" t="s">
        <v>6866</v>
      </c>
      <c r="M6074" s="405" t="s">
        <v>10029</v>
      </c>
      <c r="N6074" s="405" t="s">
        <v>10029</v>
      </c>
      <c r="O6074" s="405" t="s">
        <v>10435</v>
      </c>
      <c r="P6074" s="405" t="s">
        <v>12248</v>
      </c>
      <c r="Q6074" s="411">
        <v>4</v>
      </c>
      <c r="R6074" s="405" t="s">
        <v>9541</v>
      </c>
      <c r="S6074" s="405" t="s">
        <v>27338</v>
      </c>
      <c r="T6074" s="405" t="s">
        <v>32102</v>
      </c>
      <c r="U6074" s="405" t="s">
        <v>319</v>
      </c>
    </row>
    <row r="6075" spans="1:21" x14ac:dyDescent="0.25">
      <c r="A6075" s="405" t="s">
        <v>310</v>
      </c>
      <c r="B6075" s="405" t="s">
        <v>12667</v>
      </c>
      <c r="C6075" s="405" t="s">
        <v>327</v>
      </c>
      <c r="D6075" s="405"/>
      <c r="E6075" s="410">
        <v>41445</v>
      </c>
      <c r="F6075" s="410">
        <v>41490</v>
      </c>
      <c r="G6075" s="405" t="s">
        <v>12668</v>
      </c>
      <c r="H6075" s="405">
        <v>772466208</v>
      </c>
      <c r="I6075" s="405"/>
      <c r="J6075" s="405">
        <v>0.59804000000000002</v>
      </c>
      <c r="K6075" s="405">
        <v>33.460773000000003</v>
      </c>
      <c r="L6075" s="405" t="s">
        <v>6866</v>
      </c>
      <c r="M6075" s="405" t="s">
        <v>10853</v>
      </c>
      <c r="N6075" s="405" t="s">
        <v>11650</v>
      </c>
      <c r="O6075" s="405" t="s">
        <v>12669</v>
      </c>
      <c r="P6075" s="405" t="s">
        <v>12670</v>
      </c>
      <c r="Q6075" s="411">
        <v>12</v>
      </c>
      <c r="R6075" s="405" t="s">
        <v>318</v>
      </c>
      <c r="S6075" s="405" t="s">
        <v>6822</v>
      </c>
      <c r="T6075" s="405" t="s">
        <v>32102</v>
      </c>
      <c r="U6075" s="405" t="s">
        <v>319</v>
      </c>
    </row>
    <row r="6076" spans="1:21" x14ac:dyDescent="0.25">
      <c r="A6076" s="405" t="s">
        <v>310</v>
      </c>
      <c r="B6076" s="405" t="s">
        <v>28442</v>
      </c>
      <c r="C6076" s="405" t="s">
        <v>327</v>
      </c>
      <c r="D6076" s="405"/>
      <c r="E6076" s="410">
        <v>41445</v>
      </c>
      <c r="F6076" s="410">
        <v>41490</v>
      </c>
      <c r="G6076" s="405" t="s">
        <v>12559</v>
      </c>
      <c r="H6076" s="405">
        <v>774439890</v>
      </c>
      <c r="I6076" s="405"/>
      <c r="J6076" s="405">
        <v>1.131985</v>
      </c>
      <c r="K6076" s="405">
        <v>34.218232</v>
      </c>
      <c r="L6076" s="405" t="s">
        <v>6866</v>
      </c>
      <c r="M6076" s="405" t="s">
        <v>9514</v>
      </c>
      <c r="N6076" s="405" t="s">
        <v>9529</v>
      </c>
      <c r="O6076" s="405" t="s">
        <v>9530</v>
      </c>
      <c r="P6076" s="405" t="s">
        <v>407</v>
      </c>
      <c r="Q6076" s="411">
        <v>6</v>
      </c>
      <c r="R6076" s="405" t="s">
        <v>5655</v>
      </c>
      <c r="S6076" s="405" t="s">
        <v>27325</v>
      </c>
      <c r="T6076" s="405" t="s">
        <v>32102</v>
      </c>
      <c r="U6076" s="405" t="s">
        <v>319</v>
      </c>
    </row>
    <row r="6077" spans="1:21" x14ac:dyDescent="0.25">
      <c r="A6077" s="405" t="s">
        <v>310</v>
      </c>
      <c r="B6077" s="405" t="s">
        <v>12594</v>
      </c>
      <c r="C6077" s="405" t="s">
        <v>327</v>
      </c>
      <c r="D6077" s="405"/>
      <c r="E6077" s="410">
        <v>41445</v>
      </c>
      <c r="F6077" s="410">
        <v>41490</v>
      </c>
      <c r="G6077" s="405" t="s">
        <v>12595</v>
      </c>
      <c r="H6077" s="405">
        <v>791637103</v>
      </c>
      <c r="I6077" s="405"/>
      <c r="J6077" s="405">
        <v>1.0149250000000001</v>
      </c>
      <c r="K6077" s="405">
        <v>34.076512000000001</v>
      </c>
      <c r="L6077" s="405" t="s">
        <v>6866</v>
      </c>
      <c r="M6077" s="405" t="s">
        <v>9566</v>
      </c>
      <c r="N6077" s="405" t="s">
        <v>10001</v>
      </c>
      <c r="O6077" s="405" t="s">
        <v>11178</v>
      </c>
      <c r="P6077" s="405" t="s">
        <v>12596</v>
      </c>
      <c r="Q6077" s="411">
        <v>6</v>
      </c>
      <c r="R6077" s="405" t="s">
        <v>9506</v>
      </c>
      <c r="S6077" s="405" t="s">
        <v>27318</v>
      </c>
      <c r="T6077" s="405" t="s">
        <v>32102</v>
      </c>
      <c r="U6077" s="405" t="s">
        <v>319</v>
      </c>
    </row>
    <row r="6078" spans="1:21" x14ac:dyDescent="0.25">
      <c r="A6078" s="405" t="s">
        <v>310</v>
      </c>
      <c r="B6078" s="405" t="s">
        <v>4118</v>
      </c>
      <c r="C6078" s="405" t="s">
        <v>327</v>
      </c>
      <c r="D6078" s="405"/>
      <c r="E6078" s="410">
        <v>41445</v>
      </c>
      <c r="F6078" s="410">
        <v>41490</v>
      </c>
      <c r="G6078" s="405" t="s">
        <v>4119</v>
      </c>
      <c r="H6078" s="405">
        <v>772934763</v>
      </c>
      <c r="I6078" s="405">
        <v>751782743</v>
      </c>
      <c r="J6078" s="405">
        <v>-0.40803800000000001</v>
      </c>
      <c r="K6078" s="405">
        <v>31.495553000000001</v>
      </c>
      <c r="L6078" s="405" t="s">
        <v>314</v>
      </c>
      <c r="M6078" s="405" t="s">
        <v>1189</v>
      </c>
      <c r="N6078" s="405" t="s">
        <v>941</v>
      </c>
      <c r="O6078" s="405" t="s">
        <v>1189</v>
      </c>
      <c r="P6078" s="405" t="s">
        <v>3079</v>
      </c>
      <c r="Q6078" s="411">
        <v>6</v>
      </c>
      <c r="R6078" s="405" t="s">
        <v>1263</v>
      </c>
      <c r="S6078" s="405" t="s">
        <v>27041</v>
      </c>
      <c r="T6078" s="405" t="s">
        <v>32102</v>
      </c>
      <c r="U6078" s="405" t="s">
        <v>319</v>
      </c>
    </row>
    <row r="6079" spans="1:21" x14ac:dyDescent="0.25">
      <c r="A6079" s="405" t="s">
        <v>310</v>
      </c>
      <c r="B6079" s="405" t="s">
        <v>4264</v>
      </c>
      <c r="C6079" s="405" t="s">
        <v>327</v>
      </c>
      <c r="D6079" s="405"/>
      <c r="E6079" s="410">
        <v>41445</v>
      </c>
      <c r="F6079" s="410">
        <v>41490</v>
      </c>
      <c r="G6079" s="405" t="s">
        <v>4265</v>
      </c>
      <c r="H6079" s="405">
        <v>775277616</v>
      </c>
      <c r="I6079" s="405"/>
      <c r="J6079" s="405">
        <v>8.6647399999999999E-2</v>
      </c>
      <c r="K6079" s="405">
        <v>32.139909899999999</v>
      </c>
      <c r="L6079" s="405" t="s">
        <v>314</v>
      </c>
      <c r="M6079" s="405" t="s">
        <v>321</v>
      </c>
      <c r="N6079" s="405" t="s">
        <v>322</v>
      </c>
      <c r="O6079" s="405" t="s">
        <v>476</v>
      </c>
      <c r="P6079" s="405" t="s">
        <v>4167</v>
      </c>
      <c r="Q6079" s="411">
        <v>6</v>
      </c>
      <c r="R6079" s="405" t="s">
        <v>318</v>
      </c>
      <c r="S6079" s="405" t="s">
        <v>27064</v>
      </c>
      <c r="T6079" s="405" t="s">
        <v>32102</v>
      </c>
      <c r="U6079" s="405" t="s">
        <v>319</v>
      </c>
    </row>
    <row r="6080" spans="1:21" x14ac:dyDescent="0.25">
      <c r="A6080" s="405" t="s">
        <v>310</v>
      </c>
      <c r="B6080" s="405" t="s">
        <v>28950</v>
      </c>
      <c r="C6080" s="405" t="s">
        <v>327</v>
      </c>
      <c r="D6080" s="405"/>
      <c r="E6080" s="410">
        <v>41445</v>
      </c>
      <c r="F6080" s="410">
        <v>41490</v>
      </c>
      <c r="G6080" s="405" t="s">
        <v>4103</v>
      </c>
      <c r="H6080" s="405">
        <v>782783895</v>
      </c>
      <c r="I6080" s="405"/>
      <c r="J6080" s="405">
        <v>0.12586800000000001</v>
      </c>
      <c r="K6080" s="405">
        <v>32.170850000000002</v>
      </c>
      <c r="L6080" s="405" t="s">
        <v>314</v>
      </c>
      <c r="M6080" s="405" t="s">
        <v>315</v>
      </c>
      <c r="N6080" s="405" t="s">
        <v>315</v>
      </c>
      <c r="O6080" s="405" t="s">
        <v>2063</v>
      </c>
      <c r="P6080" s="405" t="s">
        <v>821</v>
      </c>
      <c r="Q6080" s="411">
        <v>6</v>
      </c>
      <c r="R6080" s="405" t="s">
        <v>318</v>
      </c>
      <c r="S6080" s="405" t="s">
        <v>27222</v>
      </c>
      <c r="T6080" s="405" t="s">
        <v>32102</v>
      </c>
      <c r="U6080" s="405" t="s">
        <v>319</v>
      </c>
    </row>
    <row r="6081" spans="1:21" x14ac:dyDescent="0.25">
      <c r="A6081" s="405" t="s">
        <v>310</v>
      </c>
      <c r="B6081" s="405" t="s">
        <v>4153</v>
      </c>
      <c r="C6081" s="405" t="s">
        <v>327</v>
      </c>
      <c r="D6081" s="405"/>
      <c r="E6081" s="410">
        <v>41444</v>
      </c>
      <c r="F6081" s="410">
        <v>41489</v>
      </c>
      <c r="G6081" s="405" t="s">
        <v>4154</v>
      </c>
      <c r="H6081" s="405">
        <v>702702733</v>
      </c>
      <c r="I6081" s="405"/>
      <c r="J6081" s="405">
        <v>0.34455000000000002</v>
      </c>
      <c r="K6081" s="405">
        <v>32.081831999999999</v>
      </c>
      <c r="L6081" s="405" t="s">
        <v>314</v>
      </c>
      <c r="M6081" s="405" t="s">
        <v>675</v>
      </c>
      <c r="N6081" s="405" t="s">
        <v>1065</v>
      </c>
      <c r="O6081" s="405" t="s">
        <v>1066</v>
      </c>
      <c r="P6081" s="405" t="s">
        <v>1718</v>
      </c>
      <c r="Q6081" s="411">
        <v>6</v>
      </c>
      <c r="R6081" s="405" t="s">
        <v>32476</v>
      </c>
      <c r="S6081" s="405" t="s">
        <v>27210</v>
      </c>
      <c r="T6081" s="405" t="s">
        <v>32102</v>
      </c>
      <c r="U6081" s="405" t="s">
        <v>319</v>
      </c>
    </row>
    <row r="6082" spans="1:21" x14ac:dyDescent="0.25">
      <c r="A6082" s="405" t="s">
        <v>310</v>
      </c>
      <c r="B6082" s="405" t="s">
        <v>12721</v>
      </c>
      <c r="C6082" s="405" t="s">
        <v>327</v>
      </c>
      <c r="D6082" s="405"/>
      <c r="E6082" s="410">
        <v>41444</v>
      </c>
      <c r="F6082" s="410">
        <v>41489</v>
      </c>
      <c r="G6082" s="405" t="s">
        <v>12722</v>
      </c>
      <c r="H6082" s="405">
        <v>772810735</v>
      </c>
      <c r="I6082" s="405"/>
      <c r="J6082" s="405">
        <v>0.90568099999999996</v>
      </c>
      <c r="K6082" s="405">
        <v>34.357937</v>
      </c>
      <c r="L6082" s="405" t="s">
        <v>6866</v>
      </c>
      <c r="M6082" s="405" t="s">
        <v>9763</v>
      </c>
      <c r="N6082" s="405" t="s">
        <v>9848</v>
      </c>
      <c r="O6082" s="405" t="s">
        <v>10962</v>
      </c>
      <c r="P6082" s="405" t="s">
        <v>12723</v>
      </c>
      <c r="Q6082" s="411">
        <v>6</v>
      </c>
      <c r="R6082" s="405" t="s">
        <v>7224</v>
      </c>
      <c r="S6082" s="405" t="s">
        <v>27190</v>
      </c>
      <c r="T6082" s="405" t="s">
        <v>32102</v>
      </c>
      <c r="U6082" s="405" t="s">
        <v>319</v>
      </c>
    </row>
    <row r="6083" spans="1:21" x14ac:dyDescent="0.25">
      <c r="A6083" s="405" t="s">
        <v>310</v>
      </c>
      <c r="B6083" s="405" t="s">
        <v>12635</v>
      </c>
      <c r="C6083" s="405" t="s">
        <v>327</v>
      </c>
      <c r="D6083" s="405"/>
      <c r="E6083" s="410">
        <v>41444</v>
      </c>
      <c r="F6083" s="410">
        <v>41489</v>
      </c>
      <c r="G6083" s="405" t="s">
        <v>12636</v>
      </c>
      <c r="H6083" s="405">
        <v>774005335</v>
      </c>
      <c r="I6083" s="405"/>
      <c r="J6083" s="405">
        <v>1.604808</v>
      </c>
      <c r="K6083" s="405">
        <v>34.014581999999997</v>
      </c>
      <c r="L6083" s="405" t="s">
        <v>6866</v>
      </c>
      <c r="M6083" s="405" t="s">
        <v>10029</v>
      </c>
      <c r="N6083" s="405" t="s">
        <v>10029</v>
      </c>
      <c r="O6083" s="405" t="s">
        <v>10435</v>
      </c>
      <c r="P6083" s="405" t="s">
        <v>12637</v>
      </c>
      <c r="Q6083" s="411">
        <v>4</v>
      </c>
      <c r="R6083" s="405" t="s">
        <v>7224</v>
      </c>
      <c r="S6083" s="405" t="s">
        <v>27298</v>
      </c>
      <c r="T6083" s="405" t="s">
        <v>32102</v>
      </c>
      <c r="U6083" s="405" t="s">
        <v>319</v>
      </c>
    </row>
    <row r="6084" spans="1:21" x14ac:dyDescent="0.25">
      <c r="A6084" s="405" t="s">
        <v>310</v>
      </c>
      <c r="B6084" s="405" t="s">
        <v>27676</v>
      </c>
      <c r="C6084" s="405" t="s">
        <v>327</v>
      </c>
      <c r="D6084" s="405"/>
      <c r="E6084" s="410">
        <v>41443</v>
      </c>
      <c r="F6084" s="410">
        <v>41488</v>
      </c>
      <c r="G6084" s="405" t="s">
        <v>12599</v>
      </c>
      <c r="H6084" s="405">
        <v>772653851</v>
      </c>
      <c r="I6084" s="405"/>
      <c r="J6084" s="405">
        <v>1.5204880000000001</v>
      </c>
      <c r="K6084" s="405">
        <v>33.449207999999999</v>
      </c>
      <c r="L6084" s="405" t="s">
        <v>6866</v>
      </c>
      <c r="M6084" s="405" t="s">
        <v>9658</v>
      </c>
      <c r="N6084" s="405" t="s">
        <v>9658</v>
      </c>
      <c r="O6084" s="405" t="s">
        <v>9659</v>
      </c>
      <c r="P6084" s="405" t="s">
        <v>12600</v>
      </c>
      <c r="Q6084" s="411">
        <v>9</v>
      </c>
      <c r="R6084" s="405" t="s">
        <v>5655</v>
      </c>
      <c r="S6084" s="405" t="s">
        <v>27325</v>
      </c>
      <c r="T6084" s="405" t="s">
        <v>32102</v>
      </c>
      <c r="U6084" s="405" t="s">
        <v>319</v>
      </c>
    </row>
    <row r="6085" spans="1:21" x14ac:dyDescent="0.25">
      <c r="A6085" s="405" t="s">
        <v>310</v>
      </c>
      <c r="B6085" s="405" t="s">
        <v>28105</v>
      </c>
      <c r="C6085" s="405" t="s">
        <v>327</v>
      </c>
      <c r="D6085" s="405"/>
      <c r="E6085" s="410">
        <v>41443</v>
      </c>
      <c r="F6085" s="410">
        <v>41488</v>
      </c>
      <c r="G6085" s="405" t="s">
        <v>12575</v>
      </c>
      <c r="H6085" s="405">
        <v>785646998</v>
      </c>
      <c r="I6085" s="405"/>
      <c r="J6085" s="405">
        <v>1.1032820000000001</v>
      </c>
      <c r="K6085" s="405">
        <v>34.193174999999997</v>
      </c>
      <c r="L6085" s="405" t="s">
        <v>6866</v>
      </c>
      <c r="M6085" s="405" t="s">
        <v>9514</v>
      </c>
      <c r="N6085" s="405" t="s">
        <v>9722</v>
      </c>
      <c r="O6085" s="405" t="s">
        <v>9530</v>
      </c>
      <c r="P6085" s="405" t="s">
        <v>10916</v>
      </c>
      <c r="Q6085" s="411">
        <v>6</v>
      </c>
      <c r="R6085" s="405" t="s">
        <v>7224</v>
      </c>
      <c r="S6085" s="405" t="s">
        <v>27304</v>
      </c>
      <c r="T6085" s="405" t="s">
        <v>32102</v>
      </c>
      <c r="U6085" s="405" t="s">
        <v>319</v>
      </c>
    </row>
    <row r="6086" spans="1:21" x14ac:dyDescent="0.25">
      <c r="A6086" s="405" t="s">
        <v>310</v>
      </c>
      <c r="B6086" s="405" t="s">
        <v>4226</v>
      </c>
      <c r="C6086" s="405" t="s">
        <v>327</v>
      </c>
      <c r="D6086" s="405"/>
      <c r="E6086" s="410">
        <v>41443</v>
      </c>
      <c r="F6086" s="410">
        <v>41488</v>
      </c>
      <c r="G6086" s="405" t="s">
        <v>4227</v>
      </c>
      <c r="H6086" s="405">
        <v>775206847</v>
      </c>
      <c r="I6086" s="405"/>
      <c r="J6086" s="405">
        <v>0.61029999999999995</v>
      </c>
      <c r="K6086" s="405">
        <v>31.779077000000001</v>
      </c>
      <c r="L6086" s="405" t="s">
        <v>314</v>
      </c>
      <c r="M6086" s="405" t="s">
        <v>445</v>
      </c>
      <c r="N6086" s="405" t="s">
        <v>570</v>
      </c>
      <c r="O6086" s="405" t="s">
        <v>2925</v>
      </c>
      <c r="P6086" s="405" t="s">
        <v>961</v>
      </c>
      <c r="Q6086" s="411">
        <v>6</v>
      </c>
      <c r="R6086" s="405" t="s">
        <v>318</v>
      </c>
      <c r="S6086" s="405" t="s">
        <v>27174</v>
      </c>
      <c r="T6086" s="405" t="s">
        <v>32102</v>
      </c>
      <c r="U6086" s="405" t="s">
        <v>319</v>
      </c>
    </row>
    <row r="6087" spans="1:21" x14ac:dyDescent="0.25">
      <c r="A6087" s="405" t="s">
        <v>310</v>
      </c>
      <c r="B6087" s="405" t="s">
        <v>18712</v>
      </c>
      <c r="C6087" s="405" t="s">
        <v>327</v>
      </c>
      <c r="D6087" s="405"/>
      <c r="E6087" s="410">
        <v>41443</v>
      </c>
      <c r="F6087" s="410">
        <v>41488</v>
      </c>
      <c r="G6087" s="405" t="s">
        <v>18713</v>
      </c>
      <c r="H6087" s="405">
        <v>777199679</v>
      </c>
      <c r="I6087" s="405"/>
      <c r="J6087" s="405">
        <v>2.2541910000000001</v>
      </c>
      <c r="K6087" s="405">
        <v>32.923701000000001</v>
      </c>
      <c r="L6087" s="405" t="s">
        <v>860</v>
      </c>
      <c r="M6087" s="405" t="s">
        <v>18234</v>
      </c>
      <c r="N6087" s="405" t="s">
        <v>18701</v>
      </c>
      <c r="O6087" s="405" t="s">
        <v>18714</v>
      </c>
      <c r="P6087" s="405" t="s">
        <v>18459</v>
      </c>
      <c r="Q6087" s="411">
        <v>6</v>
      </c>
      <c r="R6087" s="405" t="s">
        <v>318</v>
      </c>
      <c r="S6087" s="405" t="s">
        <v>27359</v>
      </c>
      <c r="T6087" s="405" t="s">
        <v>32102</v>
      </c>
      <c r="U6087" s="405" t="s">
        <v>319</v>
      </c>
    </row>
    <row r="6088" spans="1:21" x14ac:dyDescent="0.25">
      <c r="A6088" s="405" t="s">
        <v>310</v>
      </c>
      <c r="B6088" s="405" t="s">
        <v>12724</v>
      </c>
      <c r="C6088" s="405" t="s">
        <v>327</v>
      </c>
      <c r="D6088" s="405"/>
      <c r="E6088" s="410">
        <v>41443</v>
      </c>
      <c r="F6088" s="410">
        <v>41488</v>
      </c>
      <c r="G6088" s="405" t="s">
        <v>12725</v>
      </c>
      <c r="H6088" s="405">
        <v>772361042</v>
      </c>
      <c r="I6088" s="405"/>
      <c r="J6088" s="405">
        <v>0.852294</v>
      </c>
      <c r="K6088" s="405">
        <v>34.393067000000002</v>
      </c>
      <c r="L6088" s="405" t="s">
        <v>6866</v>
      </c>
      <c r="M6088" s="405" t="s">
        <v>9763</v>
      </c>
      <c r="N6088" s="405" t="s">
        <v>9848</v>
      </c>
      <c r="O6088" s="405" t="s">
        <v>11471</v>
      </c>
      <c r="P6088" s="405" t="s">
        <v>12726</v>
      </c>
      <c r="Q6088" s="411">
        <v>6</v>
      </c>
      <c r="R6088" s="405" t="s">
        <v>7224</v>
      </c>
      <c r="S6088" s="405" t="s">
        <v>27298</v>
      </c>
      <c r="T6088" s="405" t="s">
        <v>32102</v>
      </c>
      <c r="U6088" s="405" t="s">
        <v>319</v>
      </c>
    </row>
    <row r="6089" spans="1:21" x14ac:dyDescent="0.25">
      <c r="A6089" s="405" t="s">
        <v>310</v>
      </c>
      <c r="B6089" s="405" t="s">
        <v>12687</v>
      </c>
      <c r="C6089" s="405" t="s">
        <v>327</v>
      </c>
      <c r="D6089" s="405"/>
      <c r="E6089" s="410">
        <v>41443</v>
      </c>
      <c r="F6089" s="410">
        <v>41488</v>
      </c>
      <c r="G6089" s="405" t="s">
        <v>12688</v>
      </c>
      <c r="H6089" s="405">
        <v>772403441</v>
      </c>
      <c r="I6089" s="405"/>
      <c r="J6089" s="405">
        <v>1.1900120000000001</v>
      </c>
      <c r="K6089" s="405">
        <v>33.775497999999999</v>
      </c>
      <c r="L6089" s="405" t="s">
        <v>6866</v>
      </c>
      <c r="M6089" s="405" t="s">
        <v>9509</v>
      </c>
      <c r="N6089" s="405" t="s">
        <v>7352</v>
      </c>
      <c r="O6089" s="405" t="s">
        <v>7352</v>
      </c>
      <c r="P6089" s="405" t="s">
        <v>12689</v>
      </c>
      <c r="Q6089" s="411">
        <v>4</v>
      </c>
      <c r="R6089" s="405" t="s">
        <v>7224</v>
      </c>
      <c r="S6089" s="405" t="s">
        <v>27107</v>
      </c>
      <c r="T6089" s="405" t="s">
        <v>32102</v>
      </c>
      <c r="U6089" s="405" t="s">
        <v>319</v>
      </c>
    </row>
    <row r="6090" spans="1:21" x14ac:dyDescent="0.25">
      <c r="A6090" s="405" t="s">
        <v>310</v>
      </c>
      <c r="B6090" s="405" t="s">
        <v>4252</v>
      </c>
      <c r="C6090" s="405" t="s">
        <v>327</v>
      </c>
      <c r="D6090" s="405"/>
      <c r="E6090" s="410">
        <v>41442</v>
      </c>
      <c r="F6090" s="410">
        <v>41487</v>
      </c>
      <c r="G6090" s="405" t="s">
        <v>4253</v>
      </c>
      <c r="H6090" s="405">
        <v>782078440</v>
      </c>
      <c r="I6090" s="405">
        <v>704701137</v>
      </c>
      <c r="J6090" s="405">
        <v>0.50106700000000004</v>
      </c>
      <c r="K6090" s="405">
        <v>31.375768000000001</v>
      </c>
      <c r="L6090" s="405" t="s">
        <v>314</v>
      </c>
      <c r="M6090" s="405" t="s">
        <v>445</v>
      </c>
      <c r="N6090" s="405" t="s">
        <v>446</v>
      </c>
      <c r="O6090" s="405" t="s">
        <v>3235</v>
      </c>
      <c r="P6090" s="405" t="s">
        <v>4254</v>
      </c>
      <c r="Q6090" s="411">
        <v>13</v>
      </c>
      <c r="R6090" s="405" t="s">
        <v>1263</v>
      </c>
      <c r="S6090" s="405" t="s">
        <v>27211</v>
      </c>
      <c r="T6090" s="405" t="s">
        <v>32102</v>
      </c>
      <c r="U6090" s="405" t="s">
        <v>319</v>
      </c>
    </row>
    <row r="6091" spans="1:21" x14ac:dyDescent="0.25">
      <c r="A6091" s="405" t="s">
        <v>310</v>
      </c>
      <c r="B6091" s="405" t="s">
        <v>27504</v>
      </c>
      <c r="C6091" s="405" t="s">
        <v>327</v>
      </c>
      <c r="D6091" s="405"/>
      <c r="E6091" s="410">
        <v>41442</v>
      </c>
      <c r="F6091" s="410">
        <v>41487</v>
      </c>
      <c r="G6091" s="405" t="s">
        <v>12601</v>
      </c>
      <c r="H6091" s="405">
        <v>782550833</v>
      </c>
      <c r="I6091" s="405"/>
      <c r="J6091" s="405">
        <v>1.77033</v>
      </c>
      <c r="K6091" s="405">
        <v>33.250852000000002</v>
      </c>
      <c r="L6091" s="405" t="s">
        <v>6866</v>
      </c>
      <c r="M6091" s="405" t="s">
        <v>12153</v>
      </c>
      <c r="N6091" s="405" t="s">
        <v>12153</v>
      </c>
      <c r="O6091" s="405" t="s">
        <v>12602</v>
      </c>
      <c r="P6091" s="405" t="s">
        <v>12603</v>
      </c>
      <c r="Q6091" s="411">
        <v>9</v>
      </c>
      <c r="R6091" s="405" t="s">
        <v>5655</v>
      </c>
      <c r="S6091" s="405" t="s">
        <v>27336</v>
      </c>
      <c r="T6091" s="405" t="s">
        <v>32102</v>
      </c>
      <c r="U6091" s="405" t="s">
        <v>319</v>
      </c>
    </row>
    <row r="6092" spans="1:21" x14ac:dyDescent="0.25">
      <c r="A6092" s="405" t="s">
        <v>310</v>
      </c>
      <c r="B6092" s="405" t="s">
        <v>4126</v>
      </c>
      <c r="C6092" s="405" t="s">
        <v>327</v>
      </c>
      <c r="D6092" s="405"/>
      <c r="E6092" s="410">
        <v>41442</v>
      </c>
      <c r="F6092" s="410">
        <v>41487</v>
      </c>
      <c r="G6092" s="405" t="s">
        <v>4127</v>
      </c>
      <c r="H6092" s="405">
        <v>772416695</v>
      </c>
      <c r="I6092" s="405">
        <v>702416695</v>
      </c>
      <c r="J6092" s="405">
        <v>0.24476500000000001</v>
      </c>
      <c r="K6092" s="405">
        <v>32.386087000000003</v>
      </c>
      <c r="L6092" s="405" t="s">
        <v>314</v>
      </c>
      <c r="M6092" s="405" t="s">
        <v>321</v>
      </c>
      <c r="N6092" s="405" t="s">
        <v>2472</v>
      </c>
      <c r="O6092" s="405" t="s">
        <v>519</v>
      </c>
      <c r="P6092" s="405" t="s">
        <v>4128</v>
      </c>
      <c r="Q6092" s="411">
        <v>9</v>
      </c>
      <c r="R6092" s="405" t="s">
        <v>318</v>
      </c>
      <c r="S6092" s="405" t="s">
        <v>27135</v>
      </c>
      <c r="T6092" s="405" t="s">
        <v>32102</v>
      </c>
      <c r="U6092" s="405" t="s">
        <v>319</v>
      </c>
    </row>
    <row r="6093" spans="1:21" x14ac:dyDescent="0.25">
      <c r="A6093" s="405" t="s">
        <v>310</v>
      </c>
      <c r="B6093" s="405" t="s">
        <v>4600</v>
      </c>
      <c r="C6093" s="405" t="s">
        <v>311</v>
      </c>
      <c r="D6093" s="405" t="s">
        <v>839</v>
      </c>
      <c r="E6093" s="410">
        <v>41442</v>
      </c>
      <c r="F6093" s="410">
        <v>41487</v>
      </c>
      <c r="G6093" s="405" t="s">
        <v>4601</v>
      </c>
      <c r="H6093" s="405">
        <v>777357725</v>
      </c>
      <c r="I6093" s="405">
        <v>779994905</v>
      </c>
      <c r="J6093" s="405">
        <v>0.44105800000000001</v>
      </c>
      <c r="K6093" s="405">
        <v>31.39791</v>
      </c>
      <c r="L6093" s="405" t="s">
        <v>314</v>
      </c>
      <c r="M6093" s="405" t="s">
        <v>445</v>
      </c>
      <c r="N6093" s="405" t="s">
        <v>446</v>
      </c>
      <c r="O6093" s="405" t="s">
        <v>447</v>
      </c>
      <c r="P6093" s="405" t="s">
        <v>557</v>
      </c>
      <c r="Q6093" s="411">
        <v>9</v>
      </c>
      <c r="R6093" s="405" t="s">
        <v>318</v>
      </c>
      <c r="S6093" s="405" t="s">
        <v>27201</v>
      </c>
      <c r="T6093" s="405" t="s">
        <v>32102</v>
      </c>
      <c r="U6093" s="405" t="s">
        <v>319</v>
      </c>
    </row>
    <row r="6094" spans="1:21" x14ac:dyDescent="0.25">
      <c r="A6094" s="405" t="s">
        <v>310</v>
      </c>
      <c r="B6094" s="405" t="s">
        <v>28955</v>
      </c>
      <c r="C6094" s="405" t="s">
        <v>327</v>
      </c>
      <c r="D6094" s="405"/>
      <c r="E6094" s="410">
        <v>41442</v>
      </c>
      <c r="F6094" s="410">
        <v>41487</v>
      </c>
      <c r="G6094" s="405" t="s">
        <v>4221</v>
      </c>
      <c r="H6094" s="405">
        <v>782181158</v>
      </c>
      <c r="I6094" s="405"/>
      <c r="J6094" s="405">
        <v>0.58720300000000003</v>
      </c>
      <c r="K6094" s="405">
        <v>31.883209999999998</v>
      </c>
      <c r="L6094" s="405" t="s">
        <v>314</v>
      </c>
      <c r="M6094" s="405" t="s">
        <v>445</v>
      </c>
      <c r="N6094" s="405" t="s">
        <v>570</v>
      </c>
      <c r="O6094" s="405" t="s">
        <v>571</v>
      </c>
      <c r="P6094" s="405" t="s">
        <v>4222</v>
      </c>
      <c r="Q6094" s="411">
        <v>6</v>
      </c>
      <c r="R6094" s="405" t="s">
        <v>318</v>
      </c>
      <c r="S6094" s="405" t="s">
        <v>27174</v>
      </c>
      <c r="T6094" s="405" t="s">
        <v>32102</v>
      </c>
      <c r="U6094" s="405" t="s">
        <v>319</v>
      </c>
    </row>
    <row r="6095" spans="1:21" x14ac:dyDescent="0.25">
      <c r="A6095" s="405" t="s">
        <v>310</v>
      </c>
      <c r="B6095" s="405" t="s">
        <v>27657</v>
      </c>
      <c r="C6095" s="405" t="s">
        <v>327</v>
      </c>
      <c r="D6095" s="405"/>
      <c r="E6095" s="410">
        <v>41442</v>
      </c>
      <c r="F6095" s="410">
        <v>41487</v>
      </c>
      <c r="G6095" s="405" t="s">
        <v>21296</v>
      </c>
      <c r="H6095" s="405">
        <v>773974712</v>
      </c>
      <c r="I6095" s="405">
        <v>772843987</v>
      </c>
      <c r="J6095" s="405">
        <v>-0.327372</v>
      </c>
      <c r="K6095" s="405">
        <v>30.525500000000001</v>
      </c>
      <c r="L6095" s="405" t="s">
        <v>590</v>
      </c>
      <c r="M6095" s="405" t="s">
        <v>19614</v>
      </c>
      <c r="N6095" s="405" t="s">
        <v>21297</v>
      </c>
      <c r="O6095" s="405" t="s">
        <v>20112</v>
      </c>
      <c r="P6095" s="405" t="s">
        <v>21298</v>
      </c>
      <c r="Q6095" s="411">
        <v>6</v>
      </c>
      <c r="R6095" s="405" t="s">
        <v>883</v>
      </c>
      <c r="S6095" s="405" t="s">
        <v>27097</v>
      </c>
      <c r="T6095" s="405" t="s">
        <v>32102</v>
      </c>
      <c r="U6095" s="405" t="s">
        <v>319</v>
      </c>
    </row>
    <row r="6096" spans="1:21" x14ac:dyDescent="0.25">
      <c r="A6096" s="405" t="s">
        <v>310</v>
      </c>
      <c r="B6096" s="405" t="s">
        <v>4300</v>
      </c>
      <c r="C6096" s="405" t="s">
        <v>327</v>
      </c>
      <c r="D6096" s="405"/>
      <c r="E6096" s="410">
        <v>41442</v>
      </c>
      <c r="F6096" s="410">
        <v>41487</v>
      </c>
      <c r="G6096" s="405" t="s">
        <v>4301</v>
      </c>
      <c r="H6096" s="405">
        <v>783032136</v>
      </c>
      <c r="I6096" s="405">
        <v>782860783</v>
      </c>
      <c r="J6096" s="405">
        <v>2.0351666666666667E-2</v>
      </c>
      <c r="K6096" s="405">
        <v>32.016856666666662</v>
      </c>
      <c r="L6096" s="405" t="s">
        <v>314</v>
      </c>
      <c r="M6096" s="405" t="s">
        <v>321</v>
      </c>
      <c r="N6096" s="405" t="s">
        <v>322</v>
      </c>
      <c r="O6096" s="405" t="s">
        <v>2436</v>
      </c>
      <c r="P6096" s="405" t="s">
        <v>4071</v>
      </c>
      <c r="Q6096" s="411">
        <v>6</v>
      </c>
      <c r="R6096" s="405" t="s">
        <v>3841</v>
      </c>
      <c r="S6096" s="405" t="s">
        <v>27034</v>
      </c>
      <c r="T6096" s="405" t="s">
        <v>32102</v>
      </c>
      <c r="U6096" s="405" t="s">
        <v>319</v>
      </c>
    </row>
    <row r="6097" spans="1:21" x14ac:dyDescent="0.25">
      <c r="A6097" s="405" t="s">
        <v>310</v>
      </c>
      <c r="B6097" s="405" t="s">
        <v>28036</v>
      </c>
      <c r="C6097" s="405" t="s">
        <v>327</v>
      </c>
      <c r="D6097" s="405"/>
      <c r="E6097" s="410">
        <v>41442</v>
      </c>
      <c r="F6097" s="410">
        <v>41487</v>
      </c>
      <c r="G6097" s="405" t="s">
        <v>12675</v>
      </c>
      <c r="H6097" s="405">
        <v>774020621</v>
      </c>
      <c r="I6097" s="405"/>
      <c r="J6097" s="405">
        <v>0.83124399999999998</v>
      </c>
      <c r="K6097" s="405">
        <v>34.281443000000003</v>
      </c>
      <c r="L6097" s="405" t="s">
        <v>6866</v>
      </c>
      <c r="M6097" s="405" t="s">
        <v>9763</v>
      </c>
      <c r="N6097" s="405" t="s">
        <v>9764</v>
      </c>
      <c r="O6097" s="405" t="s">
        <v>10880</v>
      </c>
      <c r="P6097" s="405" t="s">
        <v>12676</v>
      </c>
      <c r="Q6097" s="411">
        <v>4</v>
      </c>
      <c r="R6097" s="405" t="s">
        <v>7224</v>
      </c>
      <c r="S6097" s="405" t="s">
        <v>27074</v>
      </c>
      <c r="T6097" s="405" t="s">
        <v>32102</v>
      </c>
      <c r="U6097" s="405" t="s">
        <v>319</v>
      </c>
    </row>
    <row r="6098" spans="1:21" x14ac:dyDescent="0.25">
      <c r="A6098" s="405" t="s">
        <v>310</v>
      </c>
      <c r="B6098" s="405" t="s">
        <v>12486</v>
      </c>
      <c r="C6098" s="405" t="s">
        <v>327</v>
      </c>
      <c r="D6098" s="405"/>
      <c r="E6098" s="410">
        <v>41441</v>
      </c>
      <c r="F6098" s="410">
        <v>41486</v>
      </c>
      <c r="G6098" s="405" t="s">
        <v>12487</v>
      </c>
      <c r="H6098" s="405">
        <v>782699354</v>
      </c>
      <c r="I6098" s="405"/>
      <c r="J6098" s="405">
        <v>1.028043</v>
      </c>
      <c r="K6098" s="405">
        <v>33.772202</v>
      </c>
      <c r="L6098" s="405" t="s">
        <v>6866</v>
      </c>
      <c r="M6098" s="405" t="s">
        <v>10152</v>
      </c>
      <c r="N6098" s="405" t="s">
        <v>10152</v>
      </c>
      <c r="O6098" s="405" t="s">
        <v>11455</v>
      </c>
      <c r="P6098" s="405" t="s">
        <v>12488</v>
      </c>
      <c r="Q6098" s="411">
        <v>9</v>
      </c>
      <c r="R6098" s="405" t="s">
        <v>9541</v>
      </c>
      <c r="S6098" s="405" t="s">
        <v>27314</v>
      </c>
      <c r="T6098" s="405" t="s">
        <v>32102</v>
      </c>
      <c r="U6098" s="405" t="s">
        <v>319</v>
      </c>
    </row>
    <row r="6099" spans="1:21" x14ac:dyDescent="0.25">
      <c r="A6099" s="405" t="s">
        <v>310</v>
      </c>
      <c r="B6099" s="405" t="s">
        <v>4092</v>
      </c>
      <c r="C6099" s="405" t="s">
        <v>327</v>
      </c>
      <c r="D6099" s="405"/>
      <c r="E6099" s="410">
        <v>41441</v>
      </c>
      <c r="F6099" s="410">
        <v>41486</v>
      </c>
      <c r="G6099" s="405" t="s">
        <v>4093</v>
      </c>
      <c r="H6099" s="405">
        <v>782086144</v>
      </c>
      <c r="I6099" s="405">
        <v>755366910</v>
      </c>
      <c r="J6099" s="405">
        <v>0.466362</v>
      </c>
      <c r="K6099" s="405">
        <v>33.149096999999998</v>
      </c>
      <c r="L6099" s="405" t="s">
        <v>314</v>
      </c>
      <c r="M6099" s="405" t="s">
        <v>349</v>
      </c>
      <c r="N6099" s="405" t="s">
        <v>405</v>
      </c>
      <c r="O6099" s="405" t="s">
        <v>2107</v>
      </c>
      <c r="P6099" s="405" t="s">
        <v>4094</v>
      </c>
      <c r="Q6099" s="411">
        <v>6</v>
      </c>
      <c r="R6099" s="405" t="s">
        <v>32478</v>
      </c>
      <c r="S6099" s="405" t="s">
        <v>27120</v>
      </c>
      <c r="T6099" s="405" t="s">
        <v>32102</v>
      </c>
      <c r="U6099" s="405" t="s">
        <v>319</v>
      </c>
    </row>
    <row r="6100" spans="1:21" x14ac:dyDescent="0.25">
      <c r="A6100" s="405" t="s">
        <v>310</v>
      </c>
      <c r="B6100" s="405" t="s">
        <v>4077</v>
      </c>
      <c r="C6100" s="405" t="s">
        <v>327</v>
      </c>
      <c r="D6100" s="405"/>
      <c r="E6100" s="410">
        <v>41441</v>
      </c>
      <c r="F6100" s="410">
        <v>41486</v>
      </c>
      <c r="G6100" s="405" t="s">
        <v>4078</v>
      </c>
      <c r="H6100" s="405">
        <v>772617696</v>
      </c>
      <c r="I6100" s="405"/>
      <c r="J6100" s="405">
        <v>-5.6750500000000002E-2</v>
      </c>
      <c r="K6100" s="405">
        <v>31.987147700000001</v>
      </c>
      <c r="L6100" s="405" t="s">
        <v>314</v>
      </c>
      <c r="M6100" s="405" t="s">
        <v>900</v>
      </c>
      <c r="N6100" s="405" t="s">
        <v>900</v>
      </c>
      <c r="O6100" s="405" t="s">
        <v>4079</v>
      </c>
      <c r="P6100" s="405" t="s">
        <v>4080</v>
      </c>
      <c r="Q6100" s="411">
        <v>6</v>
      </c>
      <c r="R6100" s="405" t="s">
        <v>402</v>
      </c>
      <c r="S6100" s="405" t="s">
        <v>27052</v>
      </c>
      <c r="T6100" s="405" t="s">
        <v>32102</v>
      </c>
      <c r="U6100" s="405" t="s">
        <v>319</v>
      </c>
    </row>
    <row r="6101" spans="1:21" x14ac:dyDescent="0.25">
      <c r="A6101" s="405" t="s">
        <v>310</v>
      </c>
      <c r="B6101" s="405" t="s">
        <v>12421</v>
      </c>
      <c r="C6101" s="405" t="s">
        <v>327</v>
      </c>
      <c r="D6101" s="405"/>
      <c r="E6101" s="410">
        <v>41441</v>
      </c>
      <c r="F6101" s="410">
        <v>41486</v>
      </c>
      <c r="G6101" s="405" t="s">
        <v>12422</v>
      </c>
      <c r="H6101" s="405">
        <v>772574022</v>
      </c>
      <c r="I6101" s="405"/>
      <c r="J6101" s="405">
        <v>1.55132</v>
      </c>
      <c r="K6101" s="405">
        <v>34.008232</v>
      </c>
      <c r="L6101" s="405" t="s">
        <v>6866</v>
      </c>
      <c r="M6101" s="405" t="s">
        <v>10029</v>
      </c>
      <c r="N6101" s="405" t="s">
        <v>10029</v>
      </c>
      <c r="O6101" s="405" t="s">
        <v>10435</v>
      </c>
      <c r="P6101" s="405" t="s">
        <v>12423</v>
      </c>
      <c r="Q6101" s="411">
        <v>4</v>
      </c>
      <c r="R6101" s="405" t="s">
        <v>7224</v>
      </c>
      <c r="S6101" s="405" t="s">
        <v>27283</v>
      </c>
      <c r="T6101" s="405" t="s">
        <v>32102</v>
      </c>
      <c r="U6101" s="405" t="s">
        <v>319</v>
      </c>
    </row>
    <row r="6102" spans="1:21" x14ac:dyDescent="0.25">
      <c r="A6102" s="405" t="s">
        <v>310</v>
      </c>
      <c r="B6102" s="405" t="s">
        <v>18653</v>
      </c>
      <c r="C6102" s="405" t="s">
        <v>311</v>
      </c>
      <c r="D6102" s="405" t="s">
        <v>33109</v>
      </c>
      <c r="E6102" s="410">
        <v>41441</v>
      </c>
      <c r="F6102" s="410">
        <v>41486</v>
      </c>
      <c r="G6102" s="405" t="s">
        <v>18654</v>
      </c>
      <c r="H6102" s="405">
        <v>782868676</v>
      </c>
      <c r="I6102" s="405"/>
      <c r="J6102" s="405">
        <v>2.2658033333333334</v>
      </c>
      <c r="K6102" s="405">
        <v>32.884283333333329</v>
      </c>
      <c r="L6102" s="405" t="s">
        <v>860</v>
      </c>
      <c r="M6102" s="405" t="s">
        <v>18234</v>
      </c>
      <c r="N6102" s="405" t="s">
        <v>18655</v>
      </c>
      <c r="O6102" s="405" t="s">
        <v>18545</v>
      </c>
      <c r="P6102" s="405" t="s">
        <v>18600</v>
      </c>
      <c r="Q6102" s="411">
        <v>4</v>
      </c>
      <c r="R6102" s="405" t="s">
        <v>353</v>
      </c>
      <c r="S6102" s="405" t="s">
        <v>27110</v>
      </c>
      <c r="T6102" s="405" t="s">
        <v>32102</v>
      </c>
      <c r="U6102" s="405" t="s">
        <v>319</v>
      </c>
    </row>
    <row r="6103" spans="1:21" x14ac:dyDescent="0.25">
      <c r="A6103" s="405" t="s">
        <v>310</v>
      </c>
      <c r="B6103" s="405" t="s">
        <v>12469</v>
      </c>
      <c r="C6103" s="405" t="s">
        <v>327</v>
      </c>
      <c r="D6103" s="405"/>
      <c r="E6103" s="410">
        <v>41441</v>
      </c>
      <c r="F6103" s="410">
        <v>41486</v>
      </c>
      <c r="G6103" s="405" t="s">
        <v>12470</v>
      </c>
      <c r="H6103" s="405">
        <v>779766783</v>
      </c>
      <c r="I6103" s="405"/>
      <c r="J6103" s="405">
        <v>1.2012400000000001</v>
      </c>
      <c r="K6103" s="405">
        <v>33.785894999999996</v>
      </c>
      <c r="L6103" s="405" t="s">
        <v>6866</v>
      </c>
      <c r="M6103" s="405" t="s">
        <v>9509</v>
      </c>
      <c r="N6103" s="405" t="s">
        <v>7352</v>
      </c>
      <c r="O6103" s="405" t="s">
        <v>7352</v>
      </c>
      <c r="P6103" s="405" t="s">
        <v>12471</v>
      </c>
      <c r="Q6103" s="411">
        <v>4</v>
      </c>
      <c r="R6103" s="405" t="s">
        <v>7224</v>
      </c>
      <c r="S6103" s="405" t="s">
        <v>27107</v>
      </c>
      <c r="T6103" s="405" t="s">
        <v>32102</v>
      </c>
      <c r="U6103" s="405" t="s">
        <v>319</v>
      </c>
    </row>
    <row r="6104" spans="1:21" x14ac:dyDescent="0.25">
      <c r="A6104" s="405" t="s">
        <v>310</v>
      </c>
      <c r="B6104" s="405" t="s">
        <v>21216</v>
      </c>
      <c r="C6104" s="405" t="s">
        <v>327</v>
      </c>
      <c r="D6104" s="405"/>
      <c r="E6104" s="410">
        <v>41440</v>
      </c>
      <c r="F6104" s="410">
        <v>41485</v>
      </c>
      <c r="G6104" s="405" t="s">
        <v>21217</v>
      </c>
      <c r="H6104" s="405">
        <v>702698339</v>
      </c>
      <c r="I6104" s="405"/>
      <c r="J6104" s="405">
        <v>-1.0048189999999999</v>
      </c>
      <c r="K6104" s="405">
        <v>30.099869000000002</v>
      </c>
      <c r="L6104" s="405" t="s">
        <v>590</v>
      </c>
      <c r="M6104" s="405" t="s">
        <v>19659</v>
      </c>
      <c r="N6104" s="405" t="s">
        <v>19677</v>
      </c>
      <c r="O6104" s="405" t="s">
        <v>20548</v>
      </c>
      <c r="P6104" s="405" t="s">
        <v>21218</v>
      </c>
      <c r="Q6104" s="411">
        <v>13</v>
      </c>
      <c r="R6104" s="405" t="s">
        <v>1527</v>
      </c>
      <c r="S6104" s="405" t="s">
        <v>27166</v>
      </c>
      <c r="T6104" s="405" t="s">
        <v>32102</v>
      </c>
      <c r="U6104" s="405" t="s">
        <v>319</v>
      </c>
    </row>
    <row r="6105" spans="1:21" x14ac:dyDescent="0.25">
      <c r="A6105" s="405" t="s">
        <v>310</v>
      </c>
      <c r="B6105" s="405" t="s">
        <v>12474</v>
      </c>
      <c r="C6105" s="405" t="s">
        <v>327</v>
      </c>
      <c r="D6105" s="405"/>
      <c r="E6105" s="410">
        <v>41440</v>
      </c>
      <c r="F6105" s="410">
        <v>41485</v>
      </c>
      <c r="G6105" s="405" t="s">
        <v>12475</v>
      </c>
      <c r="H6105" s="405">
        <v>782151608</v>
      </c>
      <c r="I6105" s="405"/>
      <c r="J6105" s="405">
        <v>1.189595</v>
      </c>
      <c r="K6105" s="405">
        <v>33.621229999999997</v>
      </c>
      <c r="L6105" s="405" t="s">
        <v>6866</v>
      </c>
      <c r="M6105" s="405" t="s">
        <v>9509</v>
      </c>
      <c r="N6105" s="405" t="s">
        <v>9509</v>
      </c>
      <c r="O6105" s="405" t="s">
        <v>9857</v>
      </c>
      <c r="P6105" s="405" t="s">
        <v>12353</v>
      </c>
      <c r="Q6105" s="411">
        <v>9</v>
      </c>
      <c r="R6105" s="405" t="s">
        <v>9541</v>
      </c>
      <c r="S6105" s="405" t="s">
        <v>27294</v>
      </c>
      <c r="T6105" s="405" t="s">
        <v>32102</v>
      </c>
      <c r="U6105" s="405" t="s">
        <v>319</v>
      </c>
    </row>
    <row r="6106" spans="1:21" x14ac:dyDescent="0.25">
      <c r="A6106" s="405" t="s">
        <v>310</v>
      </c>
      <c r="B6106" s="405" t="s">
        <v>27495</v>
      </c>
      <c r="C6106" s="405" t="s">
        <v>327</v>
      </c>
      <c r="D6106" s="405"/>
      <c r="E6106" s="410">
        <v>41440</v>
      </c>
      <c r="F6106" s="410">
        <v>41485</v>
      </c>
      <c r="G6106" s="405" t="s">
        <v>18646</v>
      </c>
      <c r="H6106" s="405">
        <v>756457343</v>
      </c>
      <c r="I6106" s="405"/>
      <c r="J6106" s="405">
        <v>2.2932066666666664</v>
      </c>
      <c r="K6106" s="405">
        <v>32.84545</v>
      </c>
      <c r="L6106" s="405" t="s">
        <v>860</v>
      </c>
      <c r="M6106" s="405" t="s">
        <v>18234</v>
      </c>
      <c r="N6106" s="405" t="s">
        <v>18252</v>
      </c>
      <c r="O6106" s="405" t="s">
        <v>18234</v>
      </c>
      <c r="P6106" s="405" t="s">
        <v>18647</v>
      </c>
      <c r="Q6106" s="411">
        <v>6</v>
      </c>
      <c r="R6106" s="405" t="s">
        <v>525</v>
      </c>
      <c r="S6106" s="405" t="s">
        <v>27243</v>
      </c>
      <c r="T6106" s="405" t="s">
        <v>32102</v>
      </c>
      <c r="U6106" s="405" t="s">
        <v>319</v>
      </c>
    </row>
    <row r="6107" spans="1:21" x14ac:dyDescent="0.25">
      <c r="A6107" s="405" t="s">
        <v>310</v>
      </c>
      <c r="B6107" s="405" t="s">
        <v>28420</v>
      </c>
      <c r="C6107" s="405" t="s">
        <v>327</v>
      </c>
      <c r="D6107" s="405"/>
      <c r="E6107" s="410">
        <v>41440</v>
      </c>
      <c r="F6107" s="410">
        <v>41485</v>
      </c>
      <c r="G6107" s="405" t="s">
        <v>4040</v>
      </c>
      <c r="H6107" s="405">
        <v>777912324</v>
      </c>
      <c r="I6107" s="405">
        <v>753373077</v>
      </c>
      <c r="J6107" s="405">
        <v>-5.6750500000000002E-2</v>
      </c>
      <c r="K6107" s="405">
        <v>31.987147700000001</v>
      </c>
      <c r="L6107" s="405" t="s">
        <v>314</v>
      </c>
      <c r="M6107" s="405" t="s">
        <v>900</v>
      </c>
      <c r="N6107" s="405" t="s">
        <v>900</v>
      </c>
      <c r="O6107" s="405" t="s">
        <v>900</v>
      </c>
      <c r="P6107" s="405" t="s">
        <v>4041</v>
      </c>
      <c r="Q6107" s="411">
        <v>6</v>
      </c>
      <c r="R6107" s="405" t="s">
        <v>402</v>
      </c>
      <c r="S6107" s="405" t="s">
        <v>27139</v>
      </c>
      <c r="T6107" s="405" t="s">
        <v>32102</v>
      </c>
      <c r="U6107" s="405" t="s">
        <v>319</v>
      </c>
    </row>
    <row r="6108" spans="1:21" x14ac:dyDescent="0.25">
      <c r="A6108" s="405" t="s">
        <v>310</v>
      </c>
      <c r="B6108" s="405" t="s">
        <v>4018</v>
      </c>
      <c r="C6108" s="405" t="s">
        <v>327</v>
      </c>
      <c r="D6108" s="405"/>
      <c r="E6108" s="410">
        <v>41440</v>
      </c>
      <c r="F6108" s="410">
        <v>41485</v>
      </c>
      <c r="G6108" s="405" t="s">
        <v>4019</v>
      </c>
      <c r="H6108" s="405">
        <v>772446428</v>
      </c>
      <c r="I6108" s="405">
        <v>752446428</v>
      </c>
      <c r="J6108" s="405">
        <v>-0.35402080000000002</v>
      </c>
      <c r="K6108" s="405">
        <v>31.729536599999999</v>
      </c>
      <c r="L6108" s="405" t="s">
        <v>314</v>
      </c>
      <c r="M6108" s="405" t="s">
        <v>382</v>
      </c>
      <c r="N6108" s="405" t="s">
        <v>988</v>
      </c>
      <c r="O6108" s="405" t="s">
        <v>1020</v>
      </c>
      <c r="P6108" s="405" t="s">
        <v>4020</v>
      </c>
      <c r="Q6108" s="411">
        <v>6</v>
      </c>
      <c r="R6108" s="405" t="s">
        <v>402</v>
      </c>
      <c r="S6108" s="405" t="s">
        <v>27223</v>
      </c>
      <c r="T6108" s="405" t="s">
        <v>32102</v>
      </c>
      <c r="U6108" s="405" t="s">
        <v>319</v>
      </c>
    </row>
    <row r="6109" spans="1:21" x14ac:dyDescent="0.25">
      <c r="A6109" s="405" t="s">
        <v>310</v>
      </c>
      <c r="B6109" s="405" t="s">
        <v>3975</v>
      </c>
      <c r="C6109" s="405" t="s">
        <v>327</v>
      </c>
      <c r="D6109" s="405"/>
      <c r="E6109" s="410">
        <v>41440</v>
      </c>
      <c r="F6109" s="410">
        <v>41485</v>
      </c>
      <c r="G6109" s="405" t="s">
        <v>3976</v>
      </c>
      <c r="H6109" s="405">
        <v>774340844</v>
      </c>
      <c r="I6109" s="405">
        <v>774704624</v>
      </c>
      <c r="J6109" s="405">
        <v>-0.1523572</v>
      </c>
      <c r="K6109" s="405">
        <v>31.813554199999999</v>
      </c>
      <c r="L6109" s="405" t="s">
        <v>314</v>
      </c>
      <c r="M6109" s="405" t="s">
        <v>900</v>
      </c>
      <c r="N6109" s="405" t="s">
        <v>900</v>
      </c>
      <c r="O6109" s="405" t="s">
        <v>900</v>
      </c>
      <c r="P6109" s="405" t="s">
        <v>3977</v>
      </c>
      <c r="Q6109" s="411">
        <v>6</v>
      </c>
      <c r="R6109" s="405" t="s">
        <v>402</v>
      </c>
      <c r="S6109" s="405" t="s">
        <v>27154</v>
      </c>
      <c r="T6109" s="405" t="s">
        <v>32102</v>
      </c>
      <c r="U6109" s="405" t="s">
        <v>319</v>
      </c>
    </row>
    <row r="6110" spans="1:21" x14ac:dyDescent="0.25">
      <c r="A6110" s="405" t="s">
        <v>310</v>
      </c>
      <c r="B6110" s="405" t="s">
        <v>3935</v>
      </c>
      <c r="C6110" s="405" t="s">
        <v>327</v>
      </c>
      <c r="D6110" s="405"/>
      <c r="E6110" s="410">
        <v>41440</v>
      </c>
      <c r="F6110" s="410">
        <v>41485</v>
      </c>
      <c r="G6110" s="405" t="s">
        <v>3936</v>
      </c>
      <c r="H6110" s="405">
        <v>753841563</v>
      </c>
      <c r="I6110" s="405">
        <v>775333988</v>
      </c>
      <c r="J6110" s="405">
        <v>0.66895300000000002</v>
      </c>
      <c r="K6110" s="405">
        <v>32.931117999999998</v>
      </c>
      <c r="L6110" s="405" t="s">
        <v>314</v>
      </c>
      <c r="M6110" s="405" t="s">
        <v>502</v>
      </c>
      <c r="N6110" s="405" t="s">
        <v>1229</v>
      </c>
      <c r="O6110" s="405" t="s">
        <v>502</v>
      </c>
      <c r="P6110" s="405" t="s">
        <v>336</v>
      </c>
      <c r="Q6110" s="411">
        <v>6</v>
      </c>
      <c r="R6110" s="405" t="s">
        <v>1263</v>
      </c>
      <c r="S6110" s="405" t="s">
        <v>27210</v>
      </c>
      <c r="T6110" s="405" t="s">
        <v>32102</v>
      </c>
      <c r="U6110" s="405" t="s">
        <v>319</v>
      </c>
    </row>
    <row r="6111" spans="1:21" x14ac:dyDescent="0.25">
      <c r="A6111" s="405" t="s">
        <v>310</v>
      </c>
      <c r="B6111" s="405" t="s">
        <v>3927</v>
      </c>
      <c r="C6111" s="405" t="s">
        <v>327</v>
      </c>
      <c r="D6111" s="405"/>
      <c r="E6111" s="410">
        <v>41440</v>
      </c>
      <c r="F6111" s="410">
        <v>41485</v>
      </c>
      <c r="G6111" s="405" t="s">
        <v>3928</v>
      </c>
      <c r="H6111" s="405">
        <v>771403208</v>
      </c>
      <c r="I6111" s="405">
        <v>752050731</v>
      </c>
      <c r="J6111" s="405">
        <v>-0.156915</v>
      </c>
      <c r="K6111" s="405">
        <v>31.768287999999998</v>
      </c>
      <c r="L6111" s="405" t="s">
        <v>314</v>
      </c>
      <c r="M6111" s="405" t="s">
        <v>900</v>
      </c>
      <c r="N6111" s="405" t="s">
        <v>900</v>
      </c>
      <c r="O6111" s="405" t="s">
        <v>900</v>
      </c>
      <c r="P6111" s="405" t="s">
        <v>3929</v>
      </c>
      <c r="Q6111" s="411">
        <v>6</v>
      </c>
      <c r="R6111" s="405" t="s">
        <v>402</v>
      </c>
      <c r="S6111" s="405" t="s">
        <v>27139</v>
      </c>
      <c r="T6111" s="405" t="s">
        <v>32102</v>
      </c>
      <c r="U6111" s="405" t="s">
        <v>319</v>
      </c>
    </row>
    <row r="6112" spans="1:21" x14ac:dyDescent="0.25">
      <c r="A6112" s="405" t="s">
        <v>310</v>
      </c>
      <c r="B6112" s="405" t="s">
        <v>12395</v>
      </c>
      <c r="C6112" s="405" t="s">
        <v>327</v>
      </c>
      <c r="D6112" s="405"/>
      <c r="E6112" s="410">
        <v>41440</v>
      </c>
      <c r="F6112" s="410">
        <v>41485</v>
      </c>
      <c r="G6112" s="405" t="s">
        <v>12396</v>
      </c>
      <c r="H6112" s="405">
        <v>756219194</v>
      </c>
      <c r="I6112" s="405"/>
      <c r="J6112" s="405">
        <v>0.82826500000000003</v>
      </c>
      <c r="K6112" s="405">
        <v>33.901656000000003</v>
      </c>
      <c r="L6112" s="405" t="s">
        <v>6866</v>
      </c>
      <c r="M6112" s="405" t="s">
        <v>9566</v>
      </c>
      <c r="N6112" s="405" t="s">
        <v>9787</v>
      </c>
      <c r="O6112" s="405" t="s">
        <v>12397</v>
      </c>
      <c r="P6112" s="405" t="s">
        <v>12398</v>
      </c>
      <c r="Q6112" s="411">
        <v>4</v>
      </c>
      <c r="R6112" s="405" t="s">
        <v>7224</v>
      </c>
      <c r="S6112" s="405" t="s">
        <v>17013</v>
      </c>
      <c r="T6112" s="405" t="s">
        <v>32102</v>
      </c>
      <c r="U6112" s="405" t="s">
        <v>319</v>
      </c>
    </row>
    <row r="6113" spans="1:21" x14ac:dyDescent="0.25">
      <c r="A6113" s="405" t="s">
        <v>310</v>
      </c>
      <c r="B6113" s="405" t="s">
        <v>28911</v>
      </c>
      <c r="C6113" s="405" t="s">
        <v>311</v>
      </c>
      <c r="D6113" s="405" t="s">
        <v>839</v>
      </c>
      <c r="E6113" s="410">
        <v>41439</v>
      </c>
      <c r="F6113" s="410">
        <v>41484</v>
      </c>
      <c r="G6113" s="405" t="s">
        <v>21428</v>
      </c>
      <c r="H6113" s="405">
        <v>772633544</v>
      </c>
      <c r="I6113" s="405"/>
      <c r="J6113" s="405">
        <v>0.65428299999999995</v>
      </c>
      <c r="K6113" s="405">
        <v>30.294585999999999</v>
      </c>
      <c r="L6113" s="405" t="s">
        <v>590</v>
      </c>
      <c r="M6113" s="405" t="s">
        <v>20125</v>
      </c>
      <c r="N6113" s="405" t="s">
        <v>20772</v>
      </c>
      <c r="O6113" s="405" t="s">
        <v>4327</v>
      </c>
      <c r="P6113" s="405" t="s">
        <v>21429</v>
      </c>
      <c r="Q6113" s="411">
        <v>13</v>
      </c>
      <c r="R6113" s="405" t="s">
        <v>20774</v>
      </c>
      <c r="S6113" s="405" t="s">
        <v>27034</v>
      </c>
      <c r="T6113" s="405" t="s">
        <v>32102</v>
      </c>
      <c r="U6113" s="405" t="s">
        <v>319</v>
      </c>
    </row>
    <row r="6114" spans="1:21" x14ac:dyDescent="0.25">
      <c r="A6114" s="405" t="s">
        <v>310</v>
      </c>
      <c r="B6114" s="405" t="s">
        <v>4011</v>
      </c>
      <c r="C6114" s="405" t="s">
        <v>327</v>
      </c>
      <c r="D6114" s="405"/>
      <c r="E6114" s="410">
        <v>41439</v>
      </c>
      <c r="F6114" s="410">
        <v>41484</v>
      </c>
      <c r="G6114" s="405" t="s">
        <v>4012</v>
      </c>
      <c r="H6114" s="405">
        <v>772722684</v>
      </c>
      <c r="I6114" s="405"/>
      <c r="J6114" s="405">
        <v>-0.46031</v>
      </c>
      <c r="K6114" s="405">
        <v>31.775347</v>
      </c>
      <c r="L6114" s="405" t="s">
        <v>314</v>
      </c>
      <c r="M6114" s="405" t="s">
        <v>382</v>
      </c>
      <c r="N6114" s="405" t="s">
        <v>941</v>
      </c>
      <c r="O6114" s="405" t="s">
        <v>1260</v>
      </c>
      <c r="P6114" s="405" t="s">
        <v>3680</v>
      </c>
      <c r="Q6114" s="411">
        <v>13</v>
      </c>
      <c r="R6114" s="405" t="s">
        <v>402</v>
      </c>
      <c r="S6114" s="405" t="s">
        <v>27052</v>
      </c>
      <c r="T6114" s="405" t="s">
        <v>32102</v>
      </c>
      <c r="U6114" s="405" t="s">
        <v>319</v>
      </c>
    </row>
    <row r="6115" spans="1:21" x14ac:dyDescent="0.25">
      <c r="A6115" s="405" t="s">
        <v>310</v>
      </c>
      <c r="B6115" s="405" t="s">
        <v>4013</v>
      </c>
      <c r="C6115" s="405" t="s">
        <v>327</v>
      </c>
      <c r="D6115" s="405"/>
      <c r="E6115" s="410">
        <v>41439</v>
      </c>
      <c r="F6115" s="410">
        <v>41484</v>
      </c>
      <c r="G6115" s="405" t="s">
        <v>4014</v>
      </c>
      <c r="H6115" s="405">
        <v>703228619</v>
      </c>
      <c r="I6115" s="405">
        <v>782552400</v>
      </c>
      <c r="J6115" s="405">
        <v>-0.43008299999999999</v>
      </c>
      <c r="K6115" s="405">
        <v>31.767337000000001</v>
      </c>
      <c r="L6115" s="405" t="s">
        <v>314</v>
      </c>
      <c r="M6115" s="405" t="s">
        <v>382</v>
      </c>
      <c r="N6115" s="405" t="s">
        <v>941</v>
      </c>
      <c r="O6115" s="405" t="s">
        <v>1260</v>
      </c>
      <c r="P6115" s="405" t="s">
        <v>4015</v>
      </c>
      <c r="Q6115" s="411">
        <v>9</v>
      </c>
      <c r="R6115" s="405" t="s">
        <v>402</v>
      </c>
      <c r="S6115" s="405" t="s">
        <v>27052</v>
      </c>
      <c r="T6115" s="405" t="s">
        <v>32102</v>
      </c>
      <c r="U6115" s="405" t="s">
        <v>319</v>
      </c>
    </row>
    <row r="6116" spans="1:21" x14ac:dyDescent="0.25">
      <c r="A6116" s="405" t="s">
        <v>310</v>
      </c>
      <c r="B6116" s="405" t="s">
        <v>4008</v>
      </c>
      <c r="C6116" s="405" t="s">
        <v>327</v>
      </c>
      <c r="D6116" s="405"/>
      <c r="E6116" s="410">
        <v>41439</v>
      </c>
      <c r="F6116" s="410">
        <v>41484</v>
      </c>
      <c r="G6116" s="405" t="s">
        <v>4009</v>
      </c>
      <c r="H6116" s="405">
        <v>774001177</v>
      </c>
      <c r="I6116" s="405">
        <v>775210880</v>
      </c>
      <c r="J6116" s="405">
        <v>-0.28913800000000001</v>
      </c>
      <c r="K6116" s="405">
        <v>31.750762999999999</v>
      </c>
      <c r="L6116" s="405" t="s">
        <v>314</v>
      </c>
      <c r="M6116" s="405" t="s">
        <v>382</v>
      </c>
      <c r="N6116" s="405" t="s">
        <v>941</v>
      </c>
      <c r="O6116" s="405" t="s">
        <v>4010</v>
      </c>
      <c r="P6116" s="405" t="s">
        <v>447</v>
      </c>
      <c r="Q6116" s="411">
        <v>9</v>
      </c>
      <c r="R6116" s="405" t="s">
        <v>402</v>
      </c>
      <c r="S6116" s="405" t="s">
        <v>27181</v>
      </c>
      <c r="T6116" s="405" t="s">
        <v>32102</v>
      </c>
      <c r="U6116" s="405" t="s">
        <v>319</v>
      </c>
    </row>
    <row r="6117" spans="1:21" x14ac:dyDescent="0.25">
      <c r="A6117" s="405" t="s">
        <v>310</v>
      </c>
      <c r="B6117" s="405" t="s">
        <v>3933</v>
      </c>
      <c r="C6117" s="405" t="s">
        <v>327</v>
      </c>
      <c r="D6117" s="405"/>
      <c r="E6117" s="410">
        <v>41439</v>
      </c>
      <c r="F6117" s="410">
        <v>41484</v>
      </c>
      <c r="G6117" s="405" t="s">
        <v>3934</v>
      </c>
      <c r="H6117" s="405">
        <v>782978211</v>
      </c>
      <c r="I6117" s="405">
        <v>776955955</v>
      </c>
      <c r="J6117" s="405">
        <v>-0.57238999999999995</v>
      </c>
      <c r="K6117" s="405">
        <v>31.628267000000001</v>
      </c>
      <c r="L6117" s="405" t="s">
        <v>314</v>
      </c>
      <c r="M6117" s="405" t="s">
        <v>398</v>
      </c>
      <c r="N6117" s="405" t="s">
        <v>399</v>
      </c>
      <c r="O6117" s="405" t="s">
        <v>740</v>
      </c>
      <c r="P6117" s="405" t="s">
        <v>1560</v>
      </c>
      <c r="Q6117" s="411">
        <v>9</v>
      </c>
      <c r="R6117" s="405" t="s">
        <v>1263</v>
      </c>
      <c r="S6117" s="405" t="s">
        <v>27223</v>
      </c>
      <c r="T6117" s="405" t="s">
        <v>32102</v>
      </c>
      <c r="U6117" s="405" t="s">
        <v>319</v>
      </c>
    </row>
    <row r="6118" spans="1:21" x14ac:dyDescent="0.25">
      <c r="A6118" s="405" t="s">
        <v>310</v>
      </c>
      <c r="B6118" s="405" t="s">
        <v>3925</v>
      </c>
      <c r="C6118" s="405" t="s">
        <v>327</v>
      </c>
      <c r="D6118" s="405"/>
      <c r="E6118" s="410">
        <v>41439</v>
      </c>
      <c r="F6118" s="410">
        <v>41484</v>
      </c>
      <c r="G6118" s="405" t="s">
        <v>3926</v>
      </c>
      <c r="H6118" s="405">
        <v>782022647</v>
      </c>
      <c r="I6118" s="405">
        <v>778920755</v>
      </c>
      <c r="J6118" s="405">
        <v>-0.34226580000000001</v>
      </c>
      <c r="K6118" s="405">
        <v>31.724567100000002</v>
      </c>
      <c r="L6118" s="405" t="s">
        <v>314</v>
      </c>
      <c r="M6118" s="405" t="s">
        <v>382</v>
      </c>
      <c r="N6118" s="405" t="s">
        <v>941</v>
      </c>
      <c r="O6118" s="405" t="s">
        <v>1260</v>
      </c>
      <c r="P6118" s="405" t="s">
        <v>3262</v>
      </c>
      <c r="Q6118" s="411">
        <v>9</v>
      </c>
      <c r="R6118" s="405" t="s">
        <v>1263</v>
      </c>
      <c r="S6118" s="405" t="s">
        <v>27221</v>
      </c>
      <c r="T6118" s="405" t="s">
        <v>32102</v>
      </c>
      <c r="U6118" s="405" t="s">
        <v>319</v>
      </c>
    </row>
    <row r="6119" spans="1:21" x14ac:dyDescent="0.25">
      <c r="A6119" s="405" t="s">
        <v>310</v>
      </c>
      <c r="B6119" s="405" t="s">
        <v>4016</v>
      </c>
      <c r="C6119" s="405" t="s">
        <v>327</v>
      </c>
      <c r="D6119" s="405"/>
      <c r="E6119" s="410">
        <v>41439</v>
      </c>
      <c r="F6119" s="410">
        <v>41484</v>
      </c>
      <c r="G6119" s="405" t="s">
        <v>4017</v>
      </c>
      <c r="H6119" s="405">
        <v>77630068</v>
      </c>
      <c r="I6119" s="405"/>
      <c r="J6119" s="405">
        <v>-0.2401134</v>
      </c>
      <c r="K6119" s="405">
        <v>31.7606848</v>
      </c>
      <c r="L6119" s="405" t="s">
        <v>314</v>
      </c>
      <c r="M6119" s="405" t="s">
        <v>900</v>
      </c>
      <c r="N6119" s="405" t="s">
        <v>900</v>
      </c>
      <c r="O6119" s="405" t="s">
        <v>900</v>
      </c>
      <c r="P6119" s="405" t="s">
        <v>3337</v>
      </c>
      <c r="Q6119" s="411">
        <v>6</v>
      </c>
      <c r="R6119" s="405" t="s">
        <v>1263</v>
      </c>
      <c r="S6119" s="405" t="s">
        <v>27221</v>
      </c>
      <c r="T6119" s="405" t="s">
        <v>32102</v>
      </c>
      <c r="U6119" s="405" t="s">
        <v>319</v>
      </c>
    </row>
    <row r="6120" spans="1:21" x14ac:dyDescent="0.25">
      <c r="A6120" s="405" t="s">
        <v>310</v>
      </c>
      <c r="B6120" s="405" t="s">
        <v>12489</v>
      </c>
      <c r="C6120" s="405" t="s">
        <v>327</v>
      </c>
      <c r="D6120" s="405"/>
      <c r="E6120" s="410">
        <v>41439</v>
      </c>
      <c r="F6120" s="410">
        <v>41484</v>
      </c>
      <c r="G6120" s="405" t="s">
        <v>12490</v>
      </c>
      <c r="H6120" s="405">
        <v>773712492</v>
      </c>
      <c r="I6120" s="405">
        <v>783717626</v>
      </c>
      <c r="J6120" s="405">
        <v>1.175222</v>
      </c>
      <c r="K6120" s="405">
        <v>33.926031999999999</v>
      </c>
      <c r="L6120" s="405" t="s">
        <v>6866</v>
      </c>
      <c r="M6120" s="405" t="s">
        <v>9509</v>
      </c>
      <c r="N6120" s="405" t="s">
        <v>12491</v>
      </c>
      <c r="O6120" s="405" t="s">
        <v>12492</v>
      </c>
      <c r="P6120" s="405" t="s">
        <v>12493</v>
      </c>
      <c r="Q6120" s="411">
        <v>6</v>
      </c>
      <c r="R6120" s="405" t="s">
        <v>9541</v>
      </c>
      <c r="S6120" s="405" t="s">
        <v>27297</v>
      </c>
      <c r="T6120" s="405" t="s">
        <v>32102</v>
      </c>
      <c r="U6120" s="405" t="s">
        <v>319</v>
      </c>
    </row>
    <row r="6121" spans="1:21" x14ac:dyDescent="0.25">
      <c r="A6121" s="405" t="s">
        <v>310</v>
      </c>
      <c r="B6121" s="405" t="s">
        <v>4050</v>
      </c>
      <c r="C6121" s="405" t="s">
        <v>327</v>
      </c>
      <c r="D6121" s="405"/>
      <c r="E6121" s="410">
        <v>41438</v>
      </c>
      <c r="F6121" s="410">
        <v>41483</v>
      </c>
      <c r="G6121" s="405" t="s">
        <v>4051</v>
      </c>
      <c r="H6121" s="405">
        <v>703448411</v>
      </c>
      <c r="I6121" s="405"/>
      <c r="J6121" s="405">
        <v>0.42697800000000002</v>
      </c>
      <c r="K6121" s="405">
        <v>31.630445000000002</v>
      </c>
      <c r="L6121" s="405" t="s">
        <v>314</v>
      </c>
      <c r="M6121" s="405" t="s">
        <v>445</v>
      </c>
      <c r="N6121" s="405" t="s">
        <v>570</v>
      </c>
      <c r="O6121" s="405" t="s">
        <v>2734</v>
      </c>
      <c r="P6121" s="405" t="s">
        <v>4052</v>
      </c>
      <c r="Q6121" s="411">
        <v>13</v>
      </c>
      <c r="R6121" s="405" t="s">
        <v>2060</v>
      </c>
      <c r="S6121" s="405" t="s">
        <v>27053</v>
      </c>
      <c r="T6121" s="405" t="s">
        <v>32102</v>
      </c>
      <c r="U6121" s="405" t="s">
        <v>319</v>
      </c>
    </row>
    <row r="6122" spans="1:21" x14ac:dyDescent="0.25">
      <c r="A6122" s="405" t="s">
        <v>310</v>
      </c>
      <c r="B6122" s="405" t="s">
        <v>3957</v>
      </c>
      <c r="C6122" s="405" t="s">
        <v>327</v>
      </c>
      <c r="D6122" s="405"/>
      <c r="E6122" s="410">
        <v>41438</v>
      </c>
      <c r="F6122" s="410">
        <v>41483</v>
      </c>
      <c r="G6122" s="405" t="s">
        <v>3958</v>
      </c>
      <c r="H6122" s="405">
        <v>752540920</v>
      </c>
      <c r="I6122" s="405"/>
      <c r="J6122" s="405">
        <v>0.44850499999999999</v>
      </c>
      <c r="K6122" s="405">
        <v>31.869433000000001</v>
      </c>
      <c r="L6122" s="405" t="s">
        <v>314</v>
      </c>
      <c r="M6122" s="405" t="s">
        <v>445</v>
      </c>
      <c r="N6122" s="405" t="s">
        <v>3488</v>
      </c>
      <c r="O6122" s="405" t="s">
        <v>3489</v>
      </c>
      <c r="P6122" s="405" t="s">
        <v>3956</v>
      </c>
      <c r="Q6122" s="411">
        <v>6</v>
      </c>
      <c r="R6122" s="405" t="s">
        <v>32476</v>
      </c>
      <c r="S6122" s="405" t="s">
        <v>27039</v>
      </c>
      <c r="T6122" s="405" t="s">
        <v>32102</v>
      </c>
      <c r="U6122" s="405" t="s">
        <v>319</v>
      </c>
    </row>
    <row r="6123" spans="1:21" x14ac:dyDescent="0.25">
      <c r="A6123" s="405" t="s">
        <v>310</v>
      </c>
      <c r="B6123" s="405" t="s">
        <v>3961</v>
      </c>
      <c r="C6123" s="405" t="s">
        <v>327</v>
      </c>
      <c r="D6123" s="405"/>
      <c r="E6123" s="410">
        <v>41438</v>
      </c>
      <c r="F6123" s="410">
        <v>41483</v>
      </c>
      <c r="G6123" s="405" t="s">
        <v>3962</v>
      </c>
      <c r="H6123" s="405">
        <v>752883087</v>
      </c>
      <c r="I6123" s="405"/>
      <c r="J6123" s="405">
        <v>0.34334799999999999</v>
      </c>
      <c r="K6123" s="405">
        <v>32.049660000000003</v>
      </c>
      <c r="L6123" s="405" t="s">
        <v>314</v>
      </c>
      <c r="M6123" s="405" t="s">
        <v>675</v>
      </c>
      <c r="N6123" s="405" t="s">
        <v>1065</v>
      </c>
      <c r="O6123" s="405" t="s">
        <v>1066</v>
      </c>
      <c r="P6123" s="405" t="s">
        <v>3963</v>
      </c>
      <c r="Q6123" s="411">
        <v>6</v>
      </c>
      <c r="R6123" s="405" t="s">
        <v>32476</v>
      </c>
      <c r="S6123" s="405" t="s">
        <v>27041</v>
      </c>
      <c r="T6123" s="405" t="s">
        <v>32102</v>
      </c>
      <c r="U6123" s="405" t="s">
        <v>319</v>
      </c>
    </row>
    <row r="6124" spans="1:21" x14ac:dyDescent="0.25">
      <c r="A6124" s="405" t="s">
        <v>310</v>
      </c>
      <c r="B6124" s="405" t="s">
        <v>4526</v>
      </c>
      <c r="C6124" s="405" t="s">
        <v>311</v>
      </c>
      <c r="D6124" s="405" t="s">
        <v>839</v>
      </c>
      <c r="E6124" s="410">
        <v>41438</v>
      </c>
      <c r="F6124" s="410">
        <v>41483</v>
      </c>
      <c r="G6124" s="405" t="s">
        <v>4527</v>
      </c>
      <c r="H6124" s="405">
        <v>752204229</v>
      </c>
      <c r="I6124" s="405"/>
      <c r="J6124" s="405">
        <v>0.412692</v>
      </c>
      <c r="K6124" s="405">
        <v>31.687031999999999</v>
      </c>
      <c r="L6124" s="405" t="s">
        <v>314</v>
      </c>
      <c r="M6124" s="405" t="s">
        <v>445</v>
      </c>
      <c r="N6124" s="405" t="s">
        <v>570</v>
      </c>
      <c r="O6124" s="405" t="s">
        <v>2734</v>
      </c>
      <c r="P6124" s="405" t="s">
        <v>4528</v>
      </c>
      <c r="Q6124" s="411">
        <v>6</v>
      </c>
      <c r="R6124" s="405" t="s">
        <v>2060</v>
      </c>
      <c r="S6124" s="405" t="s">
        <v>27226</v>
      </c>
      <c r="T6124" s="405" t="s">
        <v>32102</v>
      </c>
      <c r="U6124" s="405" t="s">
        <v>319</v>
      </c>
    </row>
    <row r="6125" spans="1:21" x14ac:dyDescent="0.25">
      <c r="A6125" s="405" t="s">
        <v>310</v>
      </c>
      <c r="B6125" s="405" t="s">
        <v>27630</v>
      </c>
      <c r="C6125" s="405" t="s">
        <v>327</v>
      </c>
      <c r="D6125" s="405"/>
      <c r="E6125" s="410">
        <v>41437</v>
      </c>
      <c r="F6125" s="410">
        <v>41482</v>
      </c>
      <c r="G6125" s="405" t="s">
        <v>3967</v>
      </c>
      <c r="H6125" s="405">
        <v>782327456</v>
      </c>
      <c r="I6125" s="405"/>
      <c r="J6125" s="405">
        <v>0.17322333333333334</v>
      </c>
      <c r="K6125" s="405">
        <v>32.261768333333329</v>
      </c>
      <c r="L6125" s="405" t="s">
        <v>314</v>
      </c>
      <c r="M6125" s="405" t="s">
        <v>315</v>
      </c>
      <c r="N6125" s="405" t="s">
        <v>315</v>
      </c>
      <c r="O6125" s="405" t="s">
        <v>2063</v>
      </c>
      <c r="P6125" s="405" t="s">
        <v>3968</v>
      </c>
      <c r="Q6125" s="411">
        <v>6</v>
      </c>
      <c r="R6125" s="405" t="s">
        <v>318</v>
      </c>
      <c r="S6125" s="405" t="s">
        <v>27201</v>
      </c>
      <c r="T6125" s="405" t="s">
        <v>32102</v>
      </c>
      <c r="U6125" s="405" t="s">
        <v>319</v>
      </c>
    </row>
    <row r="6126" spans="1:21" x14ac:dyDescent="0.25">
      <c r="A6126" s="405" t="s">
        <v>310</v>
      </c>
      <c r="B6126" s="405" t="s">
        <v>27888</v>
      </c>
      <c r="C6126" s="405" t="s">
        <v>327</v>
      </c>
      <c r="D6126" s="405"/>
      <c r="E6126" s="410">
        <v>41437</v>
      </c>
      <c r="F6126" s="410">
        <v>41482</v>
      </c>
      <c r="G6126" s="405" t="s">
        <v>18657</v>
      </c>
      <c r="H6126" s="405">
        <v>772394832</v>
      </c>
      <c r="I6126" s="405">
        <v>752394832</v>
      </c>
      <c r="J6126" s="405">
        <v>2.1456697999999998</v>
      </c>
      <c r="K6126" s="405">
        <v>33.117143200000001</v>
      </c>
      <c r="L6126" s="405" t="s">
        <v>860</v>
      </c>
      <c r="M6126" s="405" t="s">
        <v>18234</v>
      </c>
      <c r="N6126" s="405" t="s">
        <v>18250</v>
      </c>
      <c r="O6126" s="405" t="s">
        <v>18658</v>
      </c>
      <c r="P6126" s="405" t="s">
        <v>18659</v>
      </c>
      <c r="Q6126" s="411">
        <v>6</v>
      </c>
      <c r="R6126" s="405" t="s">
        <v>994</v>
      </c>
      <c r="S6126" s="405" t="s">
        <v>27046</v>
      </c>
      <c r="T6126" s="405" t="s">
        <v>32102</v>
      </c>
      <c r="U6126" s="405" t="s">
        <v>319</v>
      </c>
    </row>
    <row r="6127" spans="1:21" x14ac:dyDescent="0.25">
      <c r="A6127" s="405" t="s">
        <v>310</v>
      </c>
      <c r="B6127" s="405" t="s">
        <v>12463</v>
      </c>
      <c r="C6127" s="405" t="s">
        <v>327</v>
      </c>
      <c r="D6127" s="405"/>
      <c r="E6127" s="410">
        <v>41437</v>
      </c>
      <c r="F6127" s="410">
        <v>41482</v>
      </c>
      <c r="G6127" s="405" t="s">
        <v>12464</v>
      </c>
      <c r="H6127" s="405">
        <v>772581286</v>
      </c>
      <c r="I6127" s="405">
        <v>752581286</v>
      </c>
      <c r="J6127" s="405">
        <v>1.203813</v>
      </c>
      <c r="K6127" s="405">
        <v>33.776026999999999</v>
      </c>
      <c r="L6127" s="405" t="s">
        <v>6866</v>
      </c>
      <c r="M6127" s="405" t="s">
        <v>9509</v>
      </c>
      <c r="N6127" s="405" t="s">
        <v>7352</v>
      </c>
      <c r="O6127" s="405" t="s">
        <v>7352</v>
      </c>
      <c r="P6127" s="405" t="s">
        <v>12459</v>
      </c>
      <c r="Q6127" s="411">
        <v>6</v>
      </c>
      <c r="R6127" s="405" t="s">
        <v>7224</v>
      </c>
      <c r="S6127" s="405" t="s">
        <v>27107</v>
      </c>
      <c r="T6127" s="405" t="s">
        <v>32102</v>
      </c>
      <c r="U6127" s="405" t="s">
        <v>319</v>
      </c>
    </row>
    <row r="6128" spans="1:21" x14ac:dyDescent="0.25">
      <c r="A6128" s="405" t="s">
        <v>310</v>
      </c>
      <c r="B6128" s="405" t="s">
        <v>21177</v>
      </c>
      <c r="C6128" s="405" t="s">
        <v>327</v>
      </c>
      <c r="D6128" s="405"/>
      <c r="E6128" s="410">
        <v>41437</v>
      </c>
      <c r="F6128" s="410">
        <v>41482</v>
      </c>
      <c r="G6128" s="405" t="s">
        <v>21178</v>
      </c>
      <c r="H6128" s="405">
        <v>775322074</v>
      </c>
      <c r="I6128" s="405"/>
      <c r="J6128" s="405">
        <v>1.3071870000000001</v>
      </c>
      <c r="K6128" s="405">
        <v>31.122252</v>
      </c>
      <c r="L6128" s="405" t="s">
        <v>590</v>
      </c>
      <c r="M6128" s="405" t="s">
        <v>7300</v>
      </c>
      <c r="N6128" s="405" t="s">
        <v>20450</v>
      </c>
      <c r="O6128" s="405" t="s">
        <v>20931</v>
      </c>
      <c r="P6128" s="405" t="s">
        <v>21179</v>
      </c>
      <c r="Q6128" s="411">
        <v>6</v>
      </c>
      <c r="R6128" s="405" t="s">
        <v>21180</v>
      </c>
      <c r="S6128" s="405" t="s">
        <v>22481</v>
      </c>
      <c r="T6128" s="405" t="s">
        <v>32102</v>
      </c>
      <c r="U6128" s="405" t="s">
        <v>319</v>
      </c>
    </row>
    <row r="6129" spans="1:21" x14ac:dyDescent="0.25">
      <c r="A6129" s="405" t="s">
        <v>310</v>
      </c>
      <c r="B6129" s="405" t="s">
        <v>4081</v>
      </c>
      <c r="C6129" s="405" t="s">
        <v>327</v>
      </c>
      <c r="D6129" s="405"/>
      <c r="E6129" s="410">
        <v>41437</v>
      </c>
      <c r="F6129" s="410">
        <v>41482</v>
      </c>
      <c r="G6129" s="405" t="s">
        <v>4082</v>
      </c>
      <c r="H6129" s="405">
        <v>774223750</v>
      </c>
      <c r="I6129" s="405">
        <v>759402705</v>
      </c>
      <c r="J6129" s="405">
        <v>-8.0583333333333323E-3</v>
      </c>
      <c r="K6129" s="405">
        <v>32.014845000000001</v>
      </c>
      <c r="L6129" s="405" t="s">
        <v>314</v>
      </c>
      <c r="M6129" s="405" t="s">
        <v>321</v>
      </c>
      <c r="N6129" s="405" t="s">
        <v>322</v>
      </c>
      <c r="O6129" s="405" t="s">
        <v>2436</v>
      </c>
      <c r="P6129" s="405" t="s">
        <v>4083</v>
      </c>
      <c r="Q6129" s="411">
        <v>4</v>
      </c>
      <c r="R6129" s="405" t="s">
        <v>402</v>
      </c>
      <c r="S6129" s="405" t="s">
        <v>27139</v>
      </c>
      <c r="T6129" s="405" t="s">
        <v>32102</v>
      </c>
      <c r="U6129" s="405" t="s">
        <v>319</v>
      </c>
    </row>
    <row r="6130" spans="1:21" x14ac:dyDescent="0.25">
      <c r="A6130" s="405" t="s">
        <v>310</v>
      </c>
      <c r="B6130" s="405" t="s">
        <v>3920</v>
      </c>
      <c r="C6130" s="405" t="s">
        <v>327</v>
      </c>
      <c r="D6130" s="405"/>
      <c r="E6130" s="410">
        <v>41436</v>
      </c>
      <c r="F6130" s="410">
        <v>41481</v>
      </c>
      <c r="G6130" s="405" t="s">
        <v>3921</v>
      </c>
      <c r="H6130" s="405">
        <v>778859099</v>
      </c>
      <c r="I6130" s="405"/>
      <c r="J6130" s="405">
        <v>0.11303199999999999</v>
      </c>
      <c r="K6130" s="405">
        <v>32.178016999999997</v>
      </c>
      <c r="L6130" s="405" t="s">
        <v>314</v>
      </c>
      <c r="M6130" s="405" t="s">
        <v>315</v>
      </c>
      <c r="N6130" s="405" t="s">
        <v>315</v>
      </c>
      <c r="O6130" s="405" t="s">
        <v>2063</v>
      </c>
      <c r="P6130" s="405" t="s">
        <v>2064</v>
      </c>
      <c r="Q6130" s="411">
        <v>6</v>
      </c>
      <c r="R6130" s="405" t="s">
        <v>318</v>
      </c>
      <c r="S6130" s="405" t="s">
        <v>27222</v>
      </c>
      <c r="T6130" s="405" t="s">
        <v>32102</v>
      </c>
      <c r="U6130" s="405" t="s">
        <v>319</v>
      </c>
    </row>
    <row r="6131" spans="1:21" x14ac:dyDescent="0.25">
      <c r="A6131" s="405" t="s">
        <v>310</v>
      </c>
      <c r="B6131" s="405" t="s">
        <v>4069</v>
      </c>
      <c r="C6131" s="405" t="s">
        <v>327</v>
      </c>
      <c r="D6131" s="405"/>
      <c r="E6131" s="410">
        <v>41435</v>
      </c>
      <c r="F6131" s="410">
        <v>41480</v>
      </c>
      <c r="G6131" s="405" t="s">
        <v>4070</v>
      </c>
      <c r="H6131" s="405">
        <v>775395422</v>
      </c>
      <c r="I6131" s="405">
        <v>704156539</v>
      </c>
      <c r="J6131" s="405">
        <v>-8.0583333333333323E-3</v>
      </c>
      <c r="K6131" s="405">
        <v>32.014845000000001</v>
      </c>
      <c r="L6131" s="405" t="s">
        <v>314</v>
      </c>
      <c r="M6131" s="405" t="s">
        <v>321</v>
      </c>
      <c r="N6131" s="405" t="s">
        <v>322</v>
      </c>
      <c r="O6131" s="405" t="s">
        <v>2436</v>
      </c>
      <c r="P6131" s="405" t="s">
        <v>4071</v>
      </c>
      <c r="Q6131" s="411">
        <v>13</v>
      </c>
      <c r="R6131" s="405" t="s">
        <v>3841</v>
      </c>
      <c r="S6131" s="405" t="s">
        <v>27034</v>
      </c>
      <c r="T6131" s="405" t="s">
        <v>32102</v>
      </c>
      <c r="U6131" s="405" t="s">
        <v>319</v>
      </c>
    </row>
    <row r="6132" spans="1:21" x14ac:dyDescent="0.25">
      <c r="A6132" s="405" t="s">
        <v>310</v>
      </c>
      <c r="B6132" s="405" t="s">
        <v>27808</v>
      </c>
      <c r="C6132" s="405" t="s">
        <v>327</v>
      </c>
      <c r="D6132" s="405"/>
      <c r="E6132" s="410">
        <v>41435</v>
      </c>
      <c r="F6132" s="410">
        <v>41480</v>
      </c>
      <c r="G6132" s="405" t="s">
        <v>21183</v>
      </c>
      <c r="H6132" s="405">
        <v>772335554</v>
      </c>
      <c r="I6132" s="405">
        <v>782638047</v>
      </c>
      <c r="J6132" s="405">
        <v>0.66912499999999997</v>
      </c>
      <c r="K6132" s="405">
        <v>30.276239</v>
      </c>
      <c r="L6132" s="405" t="s">
        <v>590</v>
      </c>
      <c r="M6132" s="405" t="s">
        <v>20125</v>
      </c>
      <c r="N6132" s="405" t="s">
        <v>20772</v>
      </c>
      <c r="O6132" s="405" t="s">
        <v>3052</v>
      </c>
      <c r="P6132" s="405" t="s">
        <v>20815</v>
      </c>
      <c r="Q6132" s="411">
        <v>9</v>
      </c>
      <c r="R6132" s="405" t="s">
        <v>883</v>
      </c>
      <c r="S6132" s="405" t="s">
        <v>27065</v>
      </c>
      <c r="T6132" s="405" t="s">
        <v>32102</v>
      </c>
      <c r="U6132" s="405" t="s">
        <v>319</v>
      </c>
    </row>
    <row r="6133" spans="1:21" x14ac:dyDescent="0.25">
      <c r="A6133" s="405" t="s">
        <v>310</v>
      </c>
      <c r="B6133" s="405" t="s">
        <v>28714</v>
      </c>
      <c r="C6133" s="405" t="s">
        <v>327</v>
      </c>
      <c r="D6133" s="405"/>
      <c r="E6133" s="410">
        <v>41435</v>
      </c>
      <c r="F6133" s="410">
        <v>41480</v>
      </c>
      <c r="G6133" s="405" t="s">
        <v>12495</v>
      </c>
      <c r="H6133" s="405">
        <v>789625341</v>
      </c>
      <c r="I6133" s="405"/>
      <c r="J6133" s="405">
        <v>1.2571330000000001</v>
      </c>
      <c r="K6133" s="405">
        <v>33.991557</v>
      </c>
      <c r="L6133" s="405" t="s">
        <v>6866</v>
      </c>
      <c r="M6133" s="405" t="s">
        <v>9504</v>
      </c>
      <c r="N6133" s="405" t="s">
        <v>9504</v>
      </c>
      <c r="O6133" s="405" t="s">
        <v>10109</v>
      </c>
      <c r="P6133" s="405" t="s">
        <v>10268</v>
      </c>
      <c r="Q6133" s="411">
        <v>6</v>
      </c>
      <c r="R6133" s="405" t="s">
        <v>7224</v>
      </c>
      <c r="S6133" s="405" t="s">
        <v>27298</v>
      </c>
      <c r="T6133" s="405" t="s">
        <v>32102</v>
      </c>
      <c r="U6133" s="405" t="s">
        <v>319</v>
      </c>
    </row>
    <row r="6134" spans="1:21" x14ac:dyDescent="0.25">
      <c r="A6134" s="405" t="s">
        <v>310</v>
      </c>
      <c r="B6134" s="405" t="s">
        <v>12510</v>
      </c>
      <c r="C6134" s="405" t="s">
        <v>327</v>
      </c>
      <c r="D6134" s="405"/>
      <c r="E6134" s="410">
        <v>41435</v>
      </c>
      <c r="F6134" s="410">
        <v>41480</v>
      </c>
      <c r="G6134" s="405" t="s">
        <v>12511</v>
      </c>
      <c r="H6134" s="405">
        <v>777602697</v>
      </c>
      <c r="I6134" s="405"/>
      <c r="J6134" s="405">
        <v>1.2294929999999999</v>
      </c>
      <c r="K6134" s="405">
        <v>34.802187000000004</v>
      </c>
      <c r="L6134" s="405" t="s">
        <v>6866</v>
      </c>
      <c r="M6134" s="405" t="s">
        <v>10163</v>
      </c>
      <c r="N6134" s="405" t="s">
        <v>10164</v>
      </c>
      <c r="O6134" s="405" t="s">
        <v>12512</v>
      </c>
      <c r="P6134" s="405" t="s">
        <v>12513</v>
      </c>
      <c r="Q6134" s="411">
        <v>6</v>
      </c>
      <c r="R6134" s="405" t="s">
        <v>9506</v>
      </c>
      <c r="S6134" s="405" t="s">
        <v>27184</v>
      </c>
      <c r="T6134" s="405" t="s">
        <v>32102</v>
      </c>
      <c r="U6134" s="405" t="s">
        <v>319</v>
      </c>
    </row>
    <row r="6135" spans="1:21" x14ac:dyDescent="0.25">
      <c r="A6135" s="405" t="s">
        <v>310</v>
      </c>
      <c r="B6135" s="405" t="s">
        <v>12548</v>
      </c>
      <c r="C6135" s="405" t="s">
        <v>327</v>
      </c>
      <c r="D6135" s="405"/>
      <c r="E6135" s="410">
        <v>41435</v>
      </c>
      <c r="F6135" s="410">
        <v>41480</v>
      </c>
      <c r="G6135" s="405" t="s">
        <v>12549</v>
      </c>
      <c r="H6135" s="405">
        <v>776164357</v>
      </c>
      <c r="I6135" s="405"/>
      <c r="J6135" s="405">
        <v>0.53049800000000003</v>
      </c>
      <c r="K6135" s="405">
        <v>33.342396999999998</v>
      </c>
      <c r="L6135" s="405" t="s">
        <v>6866</v>
      </c>
      <c r="M6135" s="405" t="s">
        <v>5411</v>
      </c>
      <c r="N6135" s="405" t="s">
        <v>9774</v>
      </c>
      <c r="O6135" s="405" t="s">
        <v>9775</v>
      </c>
      <c r="P6135" s="405" t="s">
        <v>12550</v>
      </c>
      <c r="Q6135" s="411">
        <v>6</v>
      </c>
      <c r="R6135" s="405" t="s">
        <v>318</v>
      </c>
      <c r="S6135" s="405" t="s">
        <v>27134</v>
      </c>
      <c r="T6135" s="405" t="s">
        <v>32102</v>
      </c>
      <c r="U6135" s="405" t="s">
        <v>319</v>
      </c>
    </row>
    <row r="6136" spans="1:21" x14ac:dyDescent="0.25">
      <c r="A6136" s="405" t="s">
        <v>310</v>
      </c>
      <c r="B6136" s="405" t="s">
        <v>12412</v>
      </c>
      <c r="C6136" s="405" t="s">
        <v>327</v>
      </c>
      <c r="D6136" s="405"/>
      <c r="E6136" s="410">
        <v>41435</v>
      </c>
      <c r="F6136" s="410">
        <v>41480</v>
      </c>
      <c r="G6136" s="405" t="s">
        <v>12413</v>
      </c>
      <c r="H6136" s="405">
        <v>782277933</v>
      </c>
      <c r="I6136" s="405"/>
      <c r="J6136" s="405">
        <v>1.631338</v>
      </c>
      <c r="K6136" s="405">
        <v>33.657012000000002</v>
      </c>
      <c r="L6136" s="405" t="s">
        <v>6866</v>
      </c>
      <c r="M6136" s="405" t="s">
        <v>10515</v>
      </c>
      <c r="N6136" s="405" t="s">
        <v>10515</v>
      </c>
      <c r="O6136" s="405" t="s">
        <v>10516</v>
      </c>
      <c r="P6136" s="405" t="s">
        <v>12414</v>
      </c>
      <c r="Q6136" s="411">
        <v>6</v>
      </c>
      <c r="R6136" s="405" t="s">
        <v>5655</v>
      </c>
      <c r="S6136" s="405" t="s">
        <v>27325</v>
      </c>
      <c r="T6136" s="405" t="s">
        <v>32102</v>
      </c>
      <c r="U6136" s="405" t="s">
        <v>319</v>
      </c>
    </row>
    <row r="6137" spans="1:21" x14ac:dyDescent="0.25">
      <c r="A6137" s="405" t="s">
        <v>310</v>
      </c>
      <c r="B6137" s="405" t="s">
        <v>91</v>
      </c>
      <c r="C6137" s="405" t="s">
        <v>327</v>
      </c>
      <c r="D6137" s="405"/>
      <c r="E6137" s="410">
        <v>41435</v>
      </c>
      <c r="F6137" s="410">
        <v>41480</v>
      </c>
      <c r="G6137" s="405" t="s">
        <v>3972</v>
      </c>
      <c r="H6137" s="405">
        <v>753895465</v>
      </c>
      <c r="I6137" s="405">
        <v>772337422</v>
      </c>
      <c r="J6137" s="405">
        <v>-0.49873800000000001</v>
      </c>
      <c r="K6137" s="405">
        <v>31.491350000000001</v>
      </c>
      <c r="L6137" s="405" t="s">
        <v>314</v>
      </c>
      <c r="M6137" s="405" t="s">
        <v>1189</v>
      </c>
      <c r="N6137" s="405" t="s">
        <v>2556</v>
      </c>
      <c r="O6137" s="405" t="s">
        <v>3973</v>
      </c>
      <c r="P6137" s="405" t="s">
        <v>3974</v>
      </c>
      <c r="Q6137" s="411">
        <v>6</v>
      </c>
      <c r="R6137" s="405" t="s">
        <v>1263</v>
      </c>
      <c r="S6137" s="405" t="s">
        <v>27224</v>
      </c>
      <c r="T6137" s="405" t="s">
        <v>32102</v>
      </c>
      <c r="U6137" s="405" t="s">
        <v>319</v>
      </c>
    </row>
    <row r="6138" spans="1:21" x14ac:dyDescent="0.25">
      <c r="A6138" s="405" t="s">
        <v>310</v>
      </c>
      <c r="B6138" s="405" t="s">
        <v>4042</v>
      </c>
      <c r="C6138" s="405" t="s">
        <v>327</v>
      </c>
      <c r="D6138" s="405"/>
      <c r="E6138" s="410">
        <v>41435</v>
      </c>
      <c r="F6138" s="410">
        <v>41480</v>
      </c>
      <c r="G6138" s="405" t="s">
        <v>4043</v>
      </c>
      <c r="H6138" s="405">
        <v>752308474</v>
      </c>
      <c r="I6138" s="405">
        <v>782308474</v>
      </c>
      <c r="J6138" s="405">
        <v>-0.34226580000000001</v>
      </c>
      <c r="K6138" s="405">
        <v>31.724567100000002</v>
      </c>
      <c r="L6138" s="405" t="s">
        <v>314</v>
      </c>
      <c r="M6138" s="405" t="s">
        <v>382</v>
      </c>
      <c r="N6138" s="405" t="s">
        <v>383</v>
      </c>
      <c r="O6138" s="405" t="s">
        <v>4044</v>
      </c>
      <c r="P6138" s="405" t="s">
        <v>710</v>
      </c>
      <c r="Q6138" s="411">
        <v>6</v>
      </c>
      <c r="R6138" s="405" t="s">
        <v>402</v>
      </c>
      <c r="S6138" s="405" t="s">
        <v>27052</v>
      </c>
      <c r="T6138" s="405" t="s">
        <v>32102</v>
      </c>
      <c r="U6138" s="405" t="s">
        <v>319</v>
      </c>
    </row>
    <row r="6139" spans="1:21" x14ac:dyDescent="0.25">
      <c r="A6139" s="405" t="s">
        <v>310</v>
      </c>
      <c r="B6139" s="405" t="s">
        <v>12543</v>
      </c>
      <c r="C6139" s="405" t="s">
        <v>327</v>
      </c>
      <c r="D6139" s="405"/>
      <c r="E6139" s="410">
        <v>41435</v>
      </c>
      <c r="F6139" s="410">
        <v>41480</v>
      </c>
      <c r="G6139" s="405" t="s">
        <v>12544</v>
      </c>
      <c r="H6139" s="405">
        <v>752622831</v>
      </c>
      <c r="I6139" s="405"/>
      <c r="J6139" s="405">
        <v>0.814612</v>
      </c>
      <c r="K6139" s="405">
        <v>33.905324</v>
      </c>
      <c r="L6139" s="405" t="s">
        <v>6866</v>
      </c>
      <c r="M6139" s="405" t="s">
        <v>9566</v>
      </c>
      <c r="N6139" s="405" t="s">
        <v>9787</v>
      </c>
      <c r="O6139" s="405" t="s">
        <v>11667</v>
      </c>
      <c r="P6139" s="405" t="s">
        <v>12545</v>
      </c>
      <c r="Q6139" s="411">
        <v>6</v>
      </c>
      <c r="R6139" s="405" t="s">
        <v>7224</v>
      </c>
      <c r="S6139" s="405" t="s">
        <v>27298</v>
      </c>
      <c r="T6139" s="405" t="s">
        <v>32102</v>
      </c>
      <c r="U6139" s="405" t="s">
        <v>319</v>
      </c>
    </row>
    <row r="6140" spans="1:21" x14ac:dyDescent="0.25">
      <c r="A6140" s="405" t="s">
        <v>310</v>
      </c>
      <c r="B6140" s="405" t="s">
        <v>12533</v>
      </c>
      <c r="C6140" s="405" t="s">
        <v>327</v>
      </c>
      <c r="D6140" s="405"/>
      <c r="E6140" s="410">
        <v>41435</v>
      </c>
      <c r="F6140" s="410">
        <v>41480</v>
      </c>
      <c r="G6140" s="405" t="s">
        <v>12534</v>
      </c>
      <c r="H6140" s="405">
        <v>773566065</v>
      </c>
      <c r="I6140" s="405"/>
      <c r="J6140" s="405">
        <v>0.90029400000000004</v>
      </c>
      <c r="K6140" s="405">
        <v>34.343820000000001</v>
      </c>
      <c r="L6140" s="405" t="s">
        <v>6866</v>
      </c>
      <c r="M6140" s="405" t="s">
        <v>9763</v>
      </c>
      <c r="N6140" s="405" t="s">
        <v>9848</v>
      </c>
      <c r="O6140" s="405" t="s">
        <v>11333</v>
      </c>
      <c r="P6140" s="405" t="s">
        <v>12116</v>
      </c>
      <c r="Q6140" s="411">
        <v>4</v>
      </c>
      <c r="R6140" s="405" t="s">
        <v>7224</v>
      </c>
      <c r="S6140" s="405" t="s">
        <v>27190</v>
      </c>
      <c r="T6140" s="405" t="s">
        <v>32102</v>
      </c>
      <c r="U6140" s="405" t="s">
        <v>319</v>
      </c>
    </row>
    <row r="6141" spans="1:21" x14ac:dyDescent="0.25">
      <c r="A6141" s="405" t="s">
        <v>310</v>
      </c>
      <c r="B6141" s="405" t="s">
        <v>12384</v>
      </c>
      <c r="C6141" s="405" t="s">
        <v>327</v>
      </c>
      <c r="D6141" s="405"/>
      <c r="E6141" s="410">
        <v>41434</v>
      </c>
      <c r="F6141" s="410">
        <v>41479</v>
      </c>
      <c r="G6141" s="405" t="s">
        <v>12385</v>
      </c>
      <c r="H6141" s="405">
        <v>772467223</v>
      </c>
      <c r="I6141" s="405"/>
      <c r="J6141" s="405">
        <v>0.66092399999999996</v>
      </c>
      <c r="K6141" s="405">
        <v>34.257030999999998</v>
      </c>
      <c r="L6141" s="405" t="s">
        <v>6866</v>
      </c>
      <c r="M6141" s="405" t="s">
        <v>9534</v>
      </c>
      <c r="N6141" s="405" t="s">
        <v>10201</v>
      </c>
      <c r="O6141" s="405" t="s">
        <v>12386</v>
      </c>
      <c r="P6141" s="405" t="s">
        <v>12387</v>
      </c>
      <c r="Q6141" s="411">
        <v>9</v>
      </c>
      <c r="R6141" s="405" t="s">
        <v>7224</v>
      </c>
      <c r="S6141" s="405" t="s">
        <v>27306</v>
      </c>
      <c r="T6141" s="405" t="s">
        <v>32102</v>
      </c>
      <c r="U6141" s="405" t="s">
        <v>319</v>
      </c>
    </row>
    <row r="6142" spans="1:21" x14ac:dyDescent="0.25">
      <c r="A6142" s="405" t="s">
        <v>310</v>
      </c>
      <c r="B6142" s="405" t="s">
        <v>12857</v>
      </c>
      <c r="C6142" s="405" t="s">
        <v>311</v>
      </c>
      <c r="D6142" s="405" t="s">
        <v>839</v>
      </c>
      <c r="E6142" s="410">
        <v>41434</v>
      </c>
      <c r="F6142" s="410">
        <v>41479</v>
      </c>
      <c r="G6142" s="405" t="s">
        <v>12858</v>
      </c>
      <c r="H6142" s="405">
        <v>774269904</v>
      </c>
      <c r="I6142" s="405">
        <v>759172433</v>
      </c>
      <c r="J6142" s="405">
        <v>1.143332</v>
      </c>
      <c r="K6142" s="405">
        <v>33.842599999999997</v>
      </c>
      <c r="L6142" s="405" t="s">
        <v>6866</v>
      </c>
      <c r="M6142" s="405" t="s">
        <v>10152</v>
      </c>
      <c r="N6142" s="405" t="s">
        <v>10153</v>
      </c>
      <c r="O6142" s="405" t="s">
        <v>4432</v>
      </c>
      <c r="P6142" s="405" t="s">
        <v>12266</v>
      </c>
      <c r="Q6142" s="411">
        <v>6</v>
      </c>
      <c r="R6142" s="405" t="s">
        <v>9541</v>
      </c>
      <c r="S6142" s="405" t="s">
        <v>27339</v>
      </c>
      <c r="T6142" s="405" t="s">
        <v>32102</v>
      </c>
      <c r="U6142" s="405" t="s">
        <v>319</v>
      </c>
    </row>
    <row r="6143" spans="1:21" x14ac:dyDescent="0.25">
      <c r="A6143" s="405" t="s">
        <v>310</v>
      </c>
      <c r="B6143" s="405" t="s">
        <v>12799</v>
      </c>
      <c r="C6143" s="405" t="s">
        <v>311</v>
      </c>
      <c r="D6143" s="405" t="s">
        <v>3381</v>
      </c>
      <c r="E6143" s="410">
        <v>41434</v>
      </c>
      <c r="F6143" s="410">
        <v>41479</v>
      </c>
      <c r="G6143" s="405" t="s">
        <v>12800</v>
      </c>
      <c r="H6143" s="405">
        <v>772685874</v>
      </c>
      <c r="I6143" s="405"/>
      <c r="J6143" s="405">
        <v>1.7923720000000001</v>
      </c>
      <c r="K6143" s="405">
        <v>33.842485000000003</v>
      </c>
      <c r="L6143" s="405" t="s">
        <v>6866</v>
      </c>
      <c r="M6143" s="405" t="s">
        <v>10495</v>
      </c>
      <c r="N6143" s="405" t="s">
        <v>10495</v>
      </c>
      <c r="O6143" s="405" t="s">
        <v>11255</v>
      </c>
      <c r="P6143" s="405" t="s">
        <v>12404</v>
      </c>
      <c r="Q6143" s="411">
        <v>4</v>
      </c>
      <c r="R6143" s="405" t="s">
        <v>5655</v>
      </c>
      <c r="S6143" s="405" t="s">
        <v>27324</v>
      </c>
      <c r="T6143" s="405" t="s">
        <v>32102</v>
      </c>
      <c r="U6143" s="405" t="s">
        <v>319</v>
      </c>
    </row>
    <row r="6144" spans="1:21" x14ac:dyDescent="0.25">
      <c r="A6144" s="405" t="s">
        <v>310</v>
      </c>
      <c r="B6144" s="405" t="s">
        <v>12444</v>
      </c>
      <c r="C6144" s="405" t="s">
        <v>327</v>
      </c>
      <c r="D6144" s="405"/>
      <c r="E6144" s="410">
        <v>41434</v>
      </c>
      <c r="F6144" s="410">
        <v>41479</v>
      </c>
      <c r="G6144" s="405" t="s">
        <v>12445</v>
      </c>
      <c r="H6144" s="405">
        <v>775458746</v>
      </c>
      <c r="I6144" s="405"/>
      <c r="J6144" s="405">
        <v>0.98571200000000003</v>
      </c>
      <c r="K6144" s="405">
        <v>34.205972000000003</v>
      </c>
      <c r="L6144" s="405" t="s">
        <v>6866</v>
      </c>
      <c r="M6144" s="405" t="s">
        <v>9514</v>
      </c>
      <c r="N6144" s="405" t="s">
        <v>9529</v>
      </c>
      <c r="O6144" s="405" t="s">
        <v>9668</v>
      </c>
      <c r="P6144" s="405" t="s">
        <v>12446</v>
      </c>
      <c r="Q6144" s="411">
        <v>4</v>
      </c>
      <c r="R6144" s="405" t="s">
        <v>7224</v>
      </c>
      <c r="S6144" s="405" t="s">
        <v>27074</v>
      </c>
      <c r="T6144" s="405" t="s">
        <v>32212</v>
      </c>
      <c r="U6144" s="405" t="s">
        <v>2267</v>
      </c>
    </row>
    <row r="6145" spans="1:21" x14ac:dyDescent="0.25">
      <c r="A6145" s="405" t="s">
        <v>310</v>
      </c>
      <c r="B6145" s="405" t="s">
        <v>28521</v>
      </c>
      <c r="C6145" s="405" t="s">
        <v>327</v>
      </c>
      <c r="D6145" s="405"/>
      <c r="E6145" s="410">
        <v>41433</v>
      </c>
      <c r="F6145" s="410">
        <v>41478</v>
      </c>
      <c r="G6145" s="405" t="s">
        <v>3978</v>
      </c>
      <c r="H6145" s="405">
        <v>774439416</v>
      </c>
      <c r="I6145" s="405">
        <v>712809381</v>
      </c>
      <c r="J6145" s="405">
        <v>0.40649333333333337</v>
      </c>
      <c r="K6145" s="405">
        <v>32.543221666666668</v>
      </c>
      <c r="L6145" s="405" t="s">
        <v>314</v>
      </c>
      <c r="M6145" s="405" t="s">
        <v>361</v>
      </c>
      <c r="N6145" s="405" t="s">
        <v>362</v>
      </c>
      <c r="O6145" s="405" t="s">
        <v>370</v>
      </c>
      <c r="P6145" s="405" t="s">
        <v>3979</v>
      </c>
      <c r="Q6145" s="411">
        <v>9</v>
      </c>
      <c r="R6145" s="405" t="s">
        <v>1263</v>
      </c>
      <c r="S6145" s="405" t="s">
        <v>27223</v>
      </c>
      <c r="T6145" s="405" t="s">
        <v>32102</v>
      </c>
      <c r="U6145" s="405" t="s">
        <v>319</v>
      </c>
    </row>
    <row r="6146" spans="1:21" x14ac:dyDescent="0.25">
      <c r="A6146" s="405" t="s">
        <v>310</v>
      </c>
      <c r="B6146" s="405" t="s">
        <v>3930</v>
      </c>
      <c r="C6146" s="405" t="s">
        <v>327</v>
      </c>
      <c r="D6146" s="405"/>
      <c r="E6146" s="410">
        <v>41433</v>
      </c>
      <c r="F6146" s="410">
        <v>41478</v>
      </c>
      <c r="G6146" s="405" t="s">
        <v>3931</v>
      </c>
      <c r="H6146" s="405">
        <v>775713762</v>
      </c>
      <c r="I6146" s="405">
        <v>788286632</v>
      </c>
      <c r="J6146" s="405">
        <v>-0.13033800000000001</v>
      </c>
      <c r="K6146" s="405">
        <v>31.724167999999999</v>
      </c>
      <c r="L6146" s="405" t="s">
        <v>314</v>
      </c>
      <c r="M6146" s="405" t="s">
        <v>900</v>
      </c>
      <c r="N6146" s="405" t="s">
        <v>900</v>
      </c>
      <c r="O6146" s="405" t="s">
        <v>904</v>
      </c>
      <c r="P6146" s="405" t="s">
        <v>3932</v>
      </c>
      <c r="Q6146" s="411">
        <v>6</v>
      </c>
      <c r="R6146" s="405" t="s">
        <v>1263</v>
      </c>
      <c r="S6146" s="405" t="s">
        <v>27189</v>
      </c>
      <c r="T6146" s="405" t="s">
        <v>32102</v>
      </c>
      <c r="U6146" s="405" t="s">
        <v>319</v>
      </c>
    </row>
    <row r="6147" spans="1:21" x14ac:dyDescent="0.25">
      <c r="A6147" s="405" t="s">
        <v>310</v>
      </c>
      <c r="B6147" s="405" t="s">
        <v>4024</v>
      </c>
      <c r="C6147" s="405" t="s">
        <v>327</v>
      </c>
      <c r="D6147" s="405"/>
      <c r="E6147" s="410">
        <v>41433</v>
      </c>
      <c r="F6147" s="410">
        <v>41478</v>
      </c>
      <c r="G6147" s="405" t="s">
        <v>4025</v>
      </c>
      <c r="H6147" s="405">
        <v>772503971</v>
      </c>
      <c r="I6147" s="405">
        <v>704503971</v>
      </c>
      <c r="J6147" s="405">
        <v>-0.31854969999999999</v>
      </c>
      <c r="K6147" s="405">
        <v>31.7603051</v>
      </c>
      <c r="L6147" s="405" t="s">
        <v>314</v>
      </c>
      <c r="M6147" s="405" t="s">
        <v>382</v>
      </c>
      <c r="N6147" s="405" t="s">
        <v>383</v>
      </c>
      <c r="O6147" s="405" t="s">
        <v>1076</v>
      </c>
      <c r="P6147" s="405" t="s">
        <v>4026</v>
      </c>
      <c r="Q6147" s="411">
        <v>6</v>
      </c>
      <c r="R6147" s="405" t="s">
        <v>402</v>
      </c>
      <c r="S6147" s="405" t="s">
        <v>27052</v>
      </c>
      <c r="T6147" s="405" t="s">
        <v>32102</v>
      </c>
      <c r="U6147" s="405" t="s">
        <v>319</v>
      </c>
    </row>
    <row r="6148" spans="1:21" x14ac:dyDescent="0.25">
      <c r="A6148" s="405" t="s">
        <v>310</v>
      </c>
      <c r="B6148" s="405" t="s">
        <v>3954</v>
      </c>
      <c r="C6148" s="405" t="s">
        <v>327</v>
      </c>
      <c r="D6148" s="405"/>
      <c r="E6148" s="410">
        <v>41433</v>
      </c>
      <c r="F6148" s="410">
        <v>41478</v>
      </c>
      <c r="G6148" s="405" t="s">
        <v>3955</v>
      </c>
      <c r="H6148" s="405">
        <v>755720631</v>
      </c>
      <c r="I6148" s="405"/>
      <c r="J6148" s="405">
        <v>0.43820999999999999</v>
      </c>
      <c r="K6148" s="405">
        <v>31.866395000000001</v>
      </c>
      <c r="L6148" s="405" t="s">
        <v>314</v>
      </c>
      <c r="M6148" s="405" t="s">
        <v>445</v>
      </c>
      <c r="N6148" s="405" t="s">
        <v>3488</v>
      </c>
      <c r="O6148" s="405" t="s">
        <v>3489</v>
      </c>
      <c r="P6148" s="405" t="s">
        <v>3956</v>
      </c>
      <c r="Q6148" s="411">
        <v>6</v>
      </c>
      <c r="R6148" s="405" t="s">
        <v>1263</v>
      </c>
      <c r="S6148" s="405" t="s">
        <v>27039</v>
      </c>
      <c r="T6148" s="405" t="s">
        <v>32102</v>
      </c>
      <c r="U6148" s="405" t="s">
        <v>319</v>
      </c>
    </row>
    <row r="6149" spans="1:21" x14ac:dyDescent="0.25">
      <c r="A6149" s="405" t="s">
        <v>310</v>
      </c>
      <c r="B6149" s="405" t="s">
        <v>12441</v>
      </c>
      <c r="C6149" s="405" t="s">
        <v>327</v>
      </c>
      <c r="D6149" s="405"/>
      <c r="E6149" s="410">
        <v>41433</v>
      </c>
      <c r="F6149" s="410">
        <v>41478</v>
      </c>
      <c r="G6149" s="405" t="s">
        <v>12442</v>
      </c>
      <c r="H6149" s="405">
        <v>78517129</v>
      </c>
      <c r="I6149" s="405"/>
      <c r="J6149" s="405">
        <v>1.031625</v>
      </c>
      <c r="K6149" s="405">
        <v>34.345795000000003</v>
      </c>
      <c r="L6149" s="405" t="s">
        <v>6866</v>
      </c>
      <c r="M6149" s="405" t="s">
        <v>6867</v>
      </c>
      <c r="N6149" s="405" t="s">
        <v>9736</v>
      </c>
      <c r="O6149" s="405" t="s">
        <v>9736</v>
      </c>
      <c r="P6149" s="405" t="s">
        <v>12443</v>
      </c>
      <c r="Q6149" s="411">
        <v>6</v>
      </c>
      <c r="R6149" s="405" t="s">
        <v>7224</v>
      </c>
      <c r="S6149" s="405" t="s">
        <v>27283</v>
      </c>
      <c r="T6149" s="405" t="s">
        <v>32102</v>
      </c>
      <c r="U6149" s="405" t="s">
        <v>319</v>
      </c>
    </row>
    <row r="6150" spans="1:21" x14ac:dyDescent="0.25">
      <c r="A6150" s="405" t="s">
        <v>310</v>
      </c>
      <c r="B6150" s="405" t="s">
        <v>21175</v>
      </c>
      <c r="C6150" s="405" t="s">
        <v>327</v>
      </c>
      <c r="D6150" s="405"/>
      <c r="E6150" s="410">
        <v>41432</v>
      </c>
      <c r="F6150" s="410">
        <v>41477</v>
      </c>
      <c r="G6150" s="405" t="s">
        <v>21176</v>
      </c>
      <c r="H6150" s="405">
        <v>784598778</v>
      </c>
      <c r="I6150" s="405">
        <v>703517762</v>
      </c>
      <c r="J6150" s="405">
        <v>-0.54267799999999999</v>
      </c>
      <c r="K6150" s="405">
        <v>30.153289999999998</v>
      </c>
      <c r="L6150" s="405" t="s">
        <v>590</v>
      </c>
      <c r="M6150" s="405" t="s">
        <v>19625</v>
      </c>
      <c r="N6150" s="405" t="s">
        <v>19626</v>
      </c>
      <c r="O6150" s="405" t="s">
        <v>19979</v>
      </c>
      <c r="P6150" s="405" t="s">
        <v>19979</v>
      </c>
      <c r="Q6150" s="411">
        <v>13</v>
      </c>
      <c r="R6150" s="405" t="s">
        <v>883</v>
      </c>
      <c r="S6150" s="405" t="s">
        <v>27183</v>
      </c>
      <c r="T6150" s="405" t="s">
        <v>32102</v>
      </c>
      <c r="U6150" s="405" t="s">
        <v>319</v>
      </c>
    </row>
    <row r="6151" spans="1:21" x14ac:dyDescent="0.25">
      <c r="A6151" s="405" t="s">
        <v>310</v>
      </c>
      <c r="B6151" s="405" t="s">
        <v>12428</v>
      </c>
      <c r="C6151" s="405" t="s">
        <v>327</v>
      </c>
      <c r="D6151" s="405"/>
      <c r="E6151" s="410">
        <v>41432</v>
      </c>
      <c r="F6151" s="410">
        <v>41477</v>
      </c>
      <c r="G6151" s="405" t="s">
        <v>12429</v>
      </c>
      <c r="H6151" s="405">
        <v>775366440</v>
      </c>
      <c r="I6151" s="405"/>
      <c r="J6151" s="405">
        <v>1.5106200000000001</v>
      </c>
      <c r="K6151" s="405">
        <v>33.812463000000001</v>
      </c>
      <c r="L6151" s="405" t="s">
        <v>6866</v>
      </c>
      <c r="M6151" s="405" t="s">
        <v>10012</v>
      </c>
      <c r="N6151" s="405" t="s">
        <v>10012</v>
      </c>
      <c r="O6151" s="405" t="s">
        <v>10779</v>
      </c>
      <c r="P6151" s="405" t="s">
        <v>12430</v>
      </c>
      <c r="Q6151" s="411">
        <v>6</v>
      </c>
      <c r="R6151" s="405" t="s">
        <v>9541</v>
      </c>
      <c r="S6151" s="405" t="s">
        <v>27321</v>
      </c>
      <c r="T6151" s="405" t="s">
        <v>32102</v>
      </c>
      <c r="U6151" s="405" t="s">
        <v>319</v>
      </c>
    </row>
    <row r="6152" spans="1:21" x14ac:dyDescent="0.25">
      <c r="A6152" s="405" t="s">
        <v>310</v>
      </c>
      <c r="B6152" s="405" t="s">
        <v>27557</v>
      </c>
      <c r="C6152" s="405" t="s">
        <v>327</v>
      </c>
      <c r="D6152" s="405"/>
      <c r="E6152" s="410">
        <v>41432</v>
      </c>
      <c r="F6152" s="410">
        <v>41477</v>
      </c>
      <c r="G6152" s="405" t="s">
        <v>21184</v>
      </c>
      <c r="H6152" s="405">
        <v>782465981</v>
      </c>
      <c r="I6152" s="405"/>
      <c r="J6152" s="405">
        <v>0.60295399999999999</v>
      </c>
      <c r="K6152" s="405">
        <v>30.288611</v>
      </c>
      <c r="L6152" s="405" t="s">
        <v>590</v>
      </c>
      <c r="M6152" s="405" t="s">
        <v>20125</v>
      </c>
      <c r="N6152" s="405" t="s">
        <v>20126</v>
      </c>
      <c r="O6152" s="405" t="s">
        <v>20823</v>
      </c>
      <c r="P6152" s="405" t="s">
        <v>21185</v>
      </c>
      <c r="Q6152" s="411">
        <v>6</v>
      </c>
      <c r="R6152" s="405" t="s">
        <v>21186</v>
      </c>
      <c r="S6152" s="405" t="s">
        <v>27412</v>
      </c>
      <c r="T6152" s="405" t="s">
        <v>32102</v>
      </c>
      <c r="U6152" s="405" t="s">
        <v>319</v>
      </c>
    </row>
    <row r="6153" spans="1:21" x14ac:dyDescent="0.25">
      <c r="A6153" s="405" t="s">
        <v>310</v>
      </c>
      <c r="B6153" s="405" t="s">
        <v>27696</v>
      </c>
      <c r="C6153" s="405" t="s">
        <v>327</v>
      </c>
      <c r="D6153" s="405"/>
      <c r="E6153" s="410">
        <v>41432</v>
      </c>
      <c r="F6153" s="410">
        <v>41477</v>
      </c>
      <c r="G6153" s="405" t="s">
        <v>18627</v>
      </c>
      <c r="H6153" s="405">
        <v>774097776</v>
      </c>
      <c r="I6153" s="405">
        <v>775666190</v>
      </c>
      <c r="J6153" s="405">
        <v>2.0330149999999998</v>
      </c>
      <c r="K6153" s="405">
        <v>32.977274999999999</v>
      </c>
      <c r="L6153" s="405" t="s">
        <v>860</v>
      </c>
      <c r="M6153" s="405" t="s">
        <v>12189</v>
      </c>
      <c r="N6153" s="405" t="s">
        <v>18294</v>
      </c>
      <c r="O6153" s="405" t="s">
        <v>18271</v>
      </c>
      <c r="P6153" s="405" t="s">
        <v>18628</v>
      </c>
      <c r="Q6153" s="411">
        <v>6</v>
      </c>
      <c r="R6153" s="405" t="s">
        <v>318</v>
      </c>
      <c r="S6153" s="405" t="s">
        <v>27359</v>
      </c>
      <c r="T6153" s="405" t="s">
        <v>32102</v>
      </c>
      <c r="U6153" s="405" t="s">
        <v>319</v>
      </c>
    </row>
    <row r="6154" spans="1:21" x14ac:dyDescent="0.25">
      <c r="A6154" s="405" t="s">
        <v>310</v>
      </c>
      <c r="B6154" s="405" t="s">
        <v>12880</v>
      </c>
      <c r="C6154" s="405" t="s">
        <v>311</v>
      </c>
      <c r="D6154" s="405" t="s">
        <v>3381</v>
      </c>
      <c r="E6154" s="410">
        <v>41432</v>
      </c>
      <c r="F6154" s="410">
        <v>41477</v>
      </c>
      <c r="G6154" s="405" t="s">
        <v>12881</v>
      </c>
      <c r="H6154" s="405">
        <v>751705981</v>
      </c>
      <c r="I6154" s="405">
        <v>751074780</v>
      </c>
      <c r="J6154" s="405">
        <v>1.0059629999999999</v>
      </c>
      <c r="K6154" s="405">
        <v>33.777771999999999</v>
      </c>
      <c r="L6154" s="405" t="s">
        <v>6866</v>
      </c>
      <c r="M6154" s="405" t="s">
        <v>10152</v>
      </c>
      <c r="N6154" s="405" t="s">
        <v>10152</v>
      </c>
      <c r="O6154" s="405" t="s">
        <v>11455</v>
      </c>
      <c r="P6154" s="405" t="s">
        <v>12882</v>
      </c>
      <c r="Q6154" s="411">
        <v>6</v>
      </c>
      <c r="R6154" s="405" t="s">
        <v>9541</v>
      </c>
      <c r="S6154" s="405" t="s">
        <v>27314</v>
      </c>
      <c r="T6154" s="405" t="s">
        <v>32102</v>
      </c>
      <c r="U6154" s="405" t="s">
        <v>319</v>
      </c>
    </row>
    <row r="6155" spans="1:21" x14ac:dyDescent="0.25">
      <c r="A6155" s="405" t="s">
        <v>310</v>
      </c>
      <c r="B6155" s="405" t="s">
        <v>4021</v>
      </c>
      <c r="C6155" s="405" t="s">
        <v>327</v>
      </c>
      <c r="D6155" s="405"/>
      <c r="E6155" s="410">
        <v>41431</v>
      </c>
      <c r="F6155" s="410">
        <v>41476</v>
      </c>
      <c r="G6155" s="405" t="s">
        <v>4022</v>
      </c>
      <c r="H6155" s="405">
        <v>772482151</v>
      </c>
      <c r="I6155" s="405"/>
      <c r="J6155" s="405">
        <v>0.36841360000000001</v>
      </c>
      <c r="K6155" s="405">
        <v>32.600276700000002</v>
      </c>
      <c r="L6155" s="405" t="s">
        <v>314</v>
      </c>
      <c r="M6155" s="405" t="s">
        <v>361</v>
      </c>
      <c r="N6155" s="405" t="s">
        <v>362</v>
      </c>
      <c r="O6155" s="405" t="s">
        <v>379</v>
      </c>
      <c r="P6155" s="405" t="s">
        <v>4023</v>
      </c>
      <c r="Q6155" s="411">
        <v>9</v>
      </c>
      <c r="R6155" s="405" t="s">
        <v>318</v>
      </c>
      <c r="S6155" s="405" t="s">
        <v>27136</v>
      </c>
      <c r="T6155" s="405" t="s">
        <v>32102</v>
      </c>
      <c r="U6155" s="405" t="s">
        <v>319</v>
      </c>
    </row>
    <row r="6156" spans="1:21" x14ac:dyDescent="0.25">
      <c r="A6156" s="405" t="s">
        <v>310</v>
      </c>
      <c r="B6156" s="405" t="s">
        <v>4062</v>
      </c>
      <c r="C6156" s="405" t="s">
        <v>327</v>
      </c>
      <c r="D6156" s="405"/>
      <c r="E6156" s="410">
        <v>41431</v>
      </c>
      <c r="F6156" s="410">
        <v>41476</v>
      </c>
      <c r="G6156" s="405" t="s">
        <v>4063</v>
      </c>
      <c r="H6156" s="405">
        <v>784930785</v>
      </c>
      <c r="I6156" s="405"/>
      <c r="J6156" s="405">
        <v>0.29769999999999996</v>
      </c>
      <c r="K6156" s="405">
        <v>33.132083333333334</v>
      </c>
      <c r="L6156" s="405" t="s">
        <v>314</v>
      </c>
      <c r="M6156" s="405" t="s">
        <v>349</v>
      </c>
      <c r="N6156" s="405" t="s">
        <v>349</v>
      </c>
      <c r="O6156" s="405" t="s">
        <v>349</v>
      </c>
      <c r="P6156" s="405" t="s">
        <v>1062</v>
      </c>
      <c r="Q6156" s="411">
        <v>6</v>
      </c>
      <c r="R6156" s="405" t="s">
        <v>1263</v>
      </c>
      <c r="S6156" s="405" t="s">
        <v>27108</v>
      </c>
      <c r="T6156" s="405" t="s">
        <v>32102</v>
      </c>
      <c r="U6156" s="405" t="s">
        <v>319</v>
      </c>
    </row>
    <row r="6157" spans="1:21" x14ac:dyDescent="0.25">
      <c r="A6157" s="405" t="s">
        <v>310</v>
      </c>
      <c r="B6157" s="405" t="s">
        <v>12426</v>
      </c>
      <c r="C6157" s="405" t="s">
        <v>327</v>
      </c>
      <c r="D6157" s="405"/>
      <c r="E6157" s="410">
        <v>41431</v>
      </c>
      <c r="F6157" s="410">
        <v>41476</v>
      </c>
      <c r="G6157" s="405" t="s">
        <v>12427</v>
      </c>
      <c r="H6157" s="405">
        <v>781573275</v>
      </c>
      <c r="I6157" s="405"/>
      <c r="J6157" s="405">
        <v>1.5272479999999999</v>
      </c>
      <c r="K6157" s="405">
        <v>33.819817999999998</v>
      </c>
      <c r="L6157" s="405" t="s">
        <v>6866</v>
      </c>
      <c r="M6157" s="405" t="s">
        <v>10012</v>
      </c>
      <c r="N6157" s="405" t="s">
        <v>10012</v>
      </c>
      <c r="O6157" s="405" t="s">
        <v>10779</v>
      </c>
      <c r="P6157" s="405" t="s">
        <v>10869</v>
      </c>
      <c r="Q6157" s="411">
        <v>6</v>
      </c>
      <c r="R6157" s="405" t="s">
        <v>9541</v>
      </c>
      <c r="S6157" s="405" t="s">
        <v>27314</v>
      </c>
      <c r="T6157" s="405" t="s">
        <v>32102</v>
      </c>
      <c r="U6157" s="405" t="s">
        <v>319</v>
      </c>
    </row>
    <row r="6158" spans="1:21" x14ac:dyDescent="0.25">
      <c r="A6158" s="405" t="s">
        <v>310</v>
      </c>
      <c r="B6158" s="405" t="s">
        <v>3947</v>
      </c>
      <c r="C6158" s="405" t="s">
        <v>327</v>
      </c>
      <c r="D6158" s="405"/>
      <c r="E6158" s="410">
        <v>41431</v>
      </c>
      <c r="F6158" s="410">
        <v>41476</v>
      </c>
      <c r="G6158" s="405" t="s">
        <v>3948</v>
      </c>
      <c r="H6158" s="405">
        <v>783474342</v>
      </c>
      <c r="I6158" s="405"/>
      <c r="J6158" s="405">
        <v>0.444687</v>
      </c>
      <c r="K6158" s="405">
        <v>31.404173</v>
      </c>
      <c r="L6158" s="405" t="s">
        <v>314</v>
      </c>
      <c r="M6158" s="405" t="s">
        <v>445</v>
      </c>
      <c r="N6158" s="405" t="s">
        <v>446</v>
      </c>
      <c r="O6158" s="405" t="s">
        <v>447</v>
      </c>
      <c r="P6158" s="405" t="s">
        <v>2528</v>
      </c>
      <c r="Q6158" s="411">
        <v>6</v>
      </c>
      <c r="R6158" s="405" t="s">
        <v>318</v>
      </c>
      <c r="S6158" s="405" t="s">
        <v>27201</v>
      </c>
      <c r="T6158" s="405" t="s">
        <v>32102</v>
      </c>
      <c r="U6158" s="405" t="s">
        <v>319</v>
      </c>
    </row>
    <row r="6159" spans="1:21" x14ac:dyDescent="0.25">
      <c r="A6159" s="405" t="s">
        <v>310</v>
      </c>
      <c r="B6159" s="405" t="s">
        <v>18664</v>
      </c>
      <c r="C6159" s="405" t="s">
        <v>327</v>
      </c>
      <c r="D6159" s="405"/>
      <c r="E6159" s="410">
        <v>41430</v>
      </c>
      <c r="F6159" s="410">
        <v>41475</v>
      </c>
      <c r="G6159" s="405" t="s">
        <v>18665</v>
      </c>
      <c r="H6159" s="405">
        <v>772901458</v>
      </c>
      <c r="I6159" s="405">
        <v>777769824</v>
      </c>
      <c r="J6159" s="405">
        <v>2.223138333333333</v>
      </c>
      <c r="K6159" s="405">
        <v>32.920740000000002</v>
      </c>
      <c r="L6159" s="405" t="s">
        <v>860</v>
      </c>
      <c r="M6159" s="405" t="s">
        <v>18234</v>
      </c>
      <c r="N6159" s="405" t="s">
        <v>18250</v>
      </c>
      <c r="O6159" s="405" t="s">
        <v>13002</v>
      </c>
      <c r="P6159" s="405" t="s">
        <v>18630</v>
      </c>
      <c r="Q6159" s="411">
        <v>13</v>
      </c>
      <c r="R6159" s="405" t="s">
        <v>525</v>
      </c>
      <c r="S6159" s="405" t="s">
        <v>27179</v>
      </c>
      <c r="T6159" s="405" t="s">
        <v>32102</v>
      </c>
      <c r="U6159" s="405" t="s">
        <v>319</v>
      </c>
    </row>
    <row r="6160" spans="1:21" x14ac:dyDescent="0.25">
      <c r="A6160" s="405" t="s">
        <v>310</v>
      </c>
      <c r="B6160" s="405" t="s">
        <v>27773</v>
      </c>
      <c r="C6160" s="405" t="s">
        <v>857</v>
      </c>
      <c r="D6160" s="405" t="s">
        <v>2515</v>
      </c>
      <c r="E6160" s="410">
        <v>41430</v>
      </c>
      <c r="F6160" s="410">
        <v>41475</v>
      </c>
      <c r="G6160" s="405" t="s">
        <v>4447</v>
      </c>
      <c r="H6160" s="405">
        <v>787305657</v>
      </c>
      <c r="I6160" s="405">
        <v>787991322</v>
      </c>
      <c r="J6160" s="405">
        <v>0.29547000000000001</v>
      </c>
      <c r="K6160" s="405">
        <v>33.133895000000003</v>
      </c>
      <c r="L6160" s="405" t="s">
        <v>314</v>
      </c>
      <c r="M6160" s="405" t="s">
        <v>349</v>
      </c>
      <c r="N6160" s="405" t="s">
        <v>349</v>
      </c>
      <c r="O6160" s="405" t="s">
        <v>1062</v>
      </c>
      <c r="P6160" s="405" t="s">
        <v>2918</v>
      </c>
      <c r="Q6160" s="411">
        <v>6</v>
      </c>
      <c r="R6160" s="405" t="s">
        <v>1263</v>
      </c>
      <c r="S6160" s="405" t="s">
        <v>27189</v>
      </c>
      <c r="T6160" s="405" t="s">
        <v>32102</v>
      </c>
      <c r="U6160" s="405" t="s">
        <v>319</v>
      </c>
    </row>
    <row r="6161" spans="1:21" x14ac:dyDescent="0.25">
      <c r="A6161" s="405" t="s">
        <v>310</v>
      </c>
      <c r="B6161" s="405" t="s">
        <v>28986</v>
      </c>
      <c r="C6161" s="405" t="s">
        <v>327</v>
      </c>
      <c r="D6161" s="405"/>
      <c r="E6161" s="410">
        <v>41429</v>
      </c>
      <c r="F6161" s="410">
        <v>41474</v>
      </c>
      <c r="G6161" s="405" t="s">
        <v>21193</v>
      </c>
      <c r="H6161" s="405">
        <v>772844867</v>
      </c>
      <c r="I6161" s="405"/>
      <c r="J6161" s="405">
        <v>0.21845500000000001</v>
      </c>
      <c r="K6161" s="405">
        <v>30.110423999999998</v>
      </c>
      <c r="L6161" s="405" t="s">
        <v>590</v>
      </c>
      <c r="M6161" s="405" t="s">
        <v>21087</v>
      </c>
      <c r="N6161" s="405" t="s">
        <v>21194</v>
      </c>
      <c r="O6161" s="405" t="s">
        <v>21195</v>
      </c>
      <c r="P6161" s="405" t="s">
        <v>21196</v>
      </c>
      <c r="Q6161" s="411">
        <v>13</v>
      </c>
      <c r="R6161" s="405" t="s">
        <v>20774</v>
      </c>
      <c r="S6161" s="405" t="s">
        <v>27416</v>
      </c>
      <c r="T6161" s="405" t="s">
        <v>32102</v>
      </c>
      <c r="U6161" s="405" t="s">
        <v>319</v>
      </c>
    </row>
    <row r="6162" spans="1:21" x14ac:dyDescent="0.25">
      <c r="A6162" s="405" t="s">
        <v>310</v>
      </c>
      <c r="B6162" s="405" t="s">
        <v>21173</v>
      </c>
      <c r="C6162" s="405" t="s">
        <v>327</v>
      </c>
      <c r="D6162" s="405"/>
      <c r="E6162" s="410">
        <v>41429</v>
      </c>
      <c r="F6162" s="410">
        <v>41474</v>
      </c>
      <c r="G6162" s="405" t="s">
        <v>21174</v>
      </c>
      <c r="H6162" s="405">
        <v>782092225</v>
      </c>
      <c r="I6162" s="405">
        <v>702604702</v>
      </c>
      <c r="J6162" s="405">
        <v>-1.0172060000000001</v>
      </c>
      <c r="K6162" s="405">
        <v>30.58991</v>
      </c>
      <c r="L6162" s="405" t="s">
        <v>590</v>
      </c>
      <c r="M6162" s="405" t="s">
        <v>879</v>
      </c>
      <c r="N6162" s="405" t="s">
        <v>879</v>
      </c>
      <c r="O6162" s="405" t="s">
        <v>20226</v>
      </c>
      <c r="P6162" s="405" t="s">
        <v>20399</v>
      </c>
      <c r="Q6162" s="411">
        <v>13</v>
      </c>
      <c r="R6162" s="405" t="s">
        <v>333</v>
      </c>
      <c r="S6162" s="405" t="s">
        <v>27104</v>
      </c>
      <c r="T6162" s="405" t="s">
        <v>32102</v>
      </c>
      <c r="U6162" s="405" t="s">
        <v>319</v>
      </c>
    </row>
    <row r="6163" spans="1:21" x14ac:dyDescent="0.25">
      <c r="A6163" s="405" t="s">
        <v>310</v>
      </c>
      <c r="B6163" s="405" t="s">
        <v>18897</v>
      </c>
      <c r="C6163" s="405" t="s">
        <v>311</v>
      </c>
      <c r="D6163" s="405" t="s">
        <v>3381</v>
      </c>
      <c r="E6163" s="410">
        <v>41429</v>
      </c>
      <c r="F6163" s="410">
        <v>41474</v>
      </c>
      <c r="G6163" s="405" t="s">
        <v>18898</v>
      </c>
      <c r="H6163" s="405">
        <v>787566160</v>
      </c>
      <c r="I6163" s="405"/>
      <c r="J6163" s="405">
        <v>2.4403640000000002</v>
      </c>
      <c r="K6163" s="405">
        <v>32.823717000000002</v>
      </c>
      <c r="L6163" s="405" t="s">
        <v>860</v>
      </c>
      <c r="M6163" s="405" t="s">
        <v>18288</v>
      </c>
      <c r="N6163" s="405" t="s">
        <v>18685</v>
      </c>
      <c r="O6163" s="405" t="s">
        <v>18482</v>
      </c>
      <c r="P6163" s="405" t="s">
        <v>18396</v>
      </c>
      <c r="Q6163" s="411">
        <v>6</v>
      </c>
      <c r="R6163" s="405" t="s">
        <v>525</v>
      </c>
      <c r="S6163" s="405" t="s">
        <v>27171</v>
      </c>
      <c r="T6163" s="405" t="s">
        <v>32102</v>
      </c>
      <c r="U6163" s="405" t="s">
        <v>319</v>
      </c>
    </row>
    <row r="6164" spans="1:21" x14ac:dyDescent="0.25">
      <c r="A6164" s="405" t="s">
        <v>310</v>
      </c>
      <c r="B6164" s="405" t="s">
        <v>21448</v>
      </c>
      <c r="C6164" s="405" t="s">
        <v>311</v>
      </c>
      <c r="D6164" s="405" t="s">
        <v>839</v>
      </c>
      <c r="E6164" s="410">
        <v>41429</v>
      </c>
      <c r="F6164" s="410">
        <v>41474</v>
      </c>
      <c r="G6164" s="405" t="s">
        <v>21449</v>
      </c>
      <c r="H6164" s="405">
        <v>785499707</v>
      </c>
      <c r="I6164" s="405"/>
      <c r="J6164" s="405">
        <v>-1.0361929999999999</v>
      </c>
      <c r="K6164" s="405">
        <v>30.424340999999998</v>
      </c>
      <c r="L6164" s="405" t="s">
        <v>590</v>
      </c>
      <c r="M6164" s="405" t="s">
        <v>19659</v>
      </c>
      <c r="N6164" s="405" t="s">
        <v>19664</v>
      </c>
      <c r="O6164" s="405" t="s">
        <v>19664</v>
      </c>
      <c r="P6164" s="405" t="s">
        <v>6636</v>
      </c>
      <c r="Q6164" s="411">
        <v>6</v>
      </c>
      <c r="R6164" s="405" t="s">
        <v>967</v>
      </c>
      <c r="S6164" s="405" t="s">
        <v>27401</v>
      </c>
      <c r="T6164" s="405" t="s">
        <v>32102</v>
      </c>
      <c r="U6164" s="405" t="s">
        <v>319</v>
      </c>
    </row>
    <row r="6165" spans="1:21" x14ac:dyDescent="0.25">
      <c r="A6165" s="405" t="s">
        <v>310</v>
      </c>
      <c r="B6165" s="405" t="s">
        <v>3941</v>
      </c>
      <c r="C6165" s="405" t="s">
        <v>327</v>
      </c>
      <c r="D6165" s="405"/>
      <c r="E6165" s="410">
        <v>41429</v>
      </c>
      <c r="F6165" s="410">
        <v>41474</v>
      </c>
      <c r="G6165" s="405" t="s">
        <v>3942</v>
      </c>
      <c r="H6165" s="405">
        <v>772378746</v>
      </c>
      <c r="I6165" s="405"/>
      <c r="J6165" s="405">
        <v>0.30900499999999997</v>
      </c>
      <c r="K6165" s="405">
        <v>32.697603000000001</v>
      </c>
      <c r="L6165" s="405" t="s">
        <v>314</v>
      </c>
      <c r="M6165" s="405" t="s">
        <v>329</v>
      </c>
      <c r="N6165" s="405" t="s">
        <v>330</v>
      </c>
      <c r="O6165" s="405" t="s">
        <v>787</v>
      </c>
      <c r="P6165" s="405" t="s">
        <v>919</v>
      </c>
      <c r="Q6165" s="411">
        <v>6</v>
      </c>
      <c r="R6165" s="405" t="s">
        <v>525</v>
      </c>
      <c r="S6165" s="405" t="s">
        <v>27034</v>
      </c>
      <c r="T6165" s="405" t="s">
        <v>32102</v>
      </c>
      <c r="U6165" s="405" t="s">
        <v>319</v>
      </c>
    </row>
    <row r="6166" spans="1:21" x14ac:dyDescent="0.25">
      <c r="A6166" s="405" t="s">
        <v>310</v>
      </c>
      <c r="B6166" s="405" t="s">
        <v>12450</v>
      </c>
      <c r="C6166" s="405" t="s">
        <v>327</v>
      </c>
      <c r="D6166" s="405"/>
      <c r="E6166" s="410">
        <v>41429</v>
      </c>
      <c r="F6166" s="410">
        <v>41474</v>
      </c>
      <c r="G6166" s="405" t="s">
        <v>12451</v>
      </c>
      <c r="H6166" s="405">
        <v>779960007</v>
      </c>
      <c r="I6166" s="405"/>
      <c r="J6166" s="405">
        <v>0.95426200000000005</v>
      </c>
      <c r="K6166" s="405">
        <v>34.375791999999997</v>
      </c>
      <c r="L6166" s="405" t="s">
        <v>6866</v>
      </c>
      <c r="M6166" s="405" t="s">
        <v>9763</v>
      </c>
      <c r="N6166" s="405" t="s">
        <v>9848</v>
      </c>
      <c r="O6166" s="405" t="s">
        <v>12452</v>
      </c>
      <c r="P6166" s="405" t="s">
        <v>12453</v>
      </c>
      <c r="Q6166" s="411">
        <v>4</v>
      </c>
      <c r="R6166" s="405" t="s">
        <v>7224</v>
      </c>
      <c r="S6166" s="405" t="s">
        <v>27197</v>
      </c>
      <c r="T6166" s="405" t="s">
        <v>32102</v>
      </c>
      <c r="U6166" s="405" t="s">
        <v>319</v>
      </c>
    </row>
    <row r="6167" spans="1:21" x14ac:dyDescent="0.25">
      <c r="A6167" s="405" t="s">
        <v>310</v>
      </c>
      <c r="B6167" s="405" t="s">
        <v>4027</v>
      </c>
      <c r="C6167" s="405" t="s">
        <v>327</v>
      </c>
      <c r="D6167" s="405"/>
      <c r="E6167" s="410">
        <v>41428</v>
      </c>
      <c r="F6167" s="410">
        <v>41473</v>
      </c>
      <c r="G6167" s="405" t="s">
        <v>4028</v>
      </c>
      <c r="H6167" s="405">
        <v>782051502</v>
      </c>
      <c r="I6167" s="405"/>
      <c r="J6167" s="405">
        <v>0.40551979999999999</v>
      </c>
      <c r="K6167" s="405">
        <v>32.544875300000001</v>
      </c>
      <c r="L6167" s="405" t="s">
        <v>314</v>
      </c>
      <c r="M6167" s="405" t="s">
        <v>361</v>
      </c>
      <c r="N6167" s="405" t="s">
        <v>362</v>
      </c>
      <c r="O6167" s="405" t="s">
        <v>4029</v>
      </c>
      <c r="P6167" s="405" t="s">
        <v>3979</v>
      </c>
      <c r="Q6167" s="411">
        <v>6</v>
      </c>
      <c r="R6167" s="405" t="s">
        <v>32476</v>
      </c>
      <c r="S6167" s="405" t="s">
        <v>27059</v>
      </c>
      <c r="T6167" s="405" t="s">
        <v>32102</v>
      </c>
      <c r="U6167" s="405" t="s">
        <v>319</v>
      </c>
    </row>
    <row r="6168" spans="1:21" x14ac:dyDescent="0.25">
      <c r="A6168" s="405" t="s">
        <v>310</v>
      </c>
      <c r="B6168" s="405" t="s">
        <v>18617</v>
      </c>
      <c r="C6168" s="405" t="s">
        <v>327</v>
      </c>
      <c r="D6168" s="405"/>
      <c r="E6168" s="410">
        <v>41428</v>
      </c>
      <c r="F6168" s="410">
        <v>41473</v>
      </c>
      <c r="G6168" s="405" t="s">
        <v>18618</v>
      </c>
      <c r="H6168" s="405">
        <v>782054126</v>
      </c>
      <c r="I6168" s="405"/>
      <c r="J6168" s="405">
        <v>2.495787</v>
      </c>
      <c r="K6168" s="405">
        <v>32.717609000000003</v>
      </c>
      <c r="L6168" s="405" t="s">
        <v>860</v>
      </c>
      <c r="M6168" s="405" t="s">
        <v>18368</v>
      </c>
      <c r="N6168" s="405" t="s">
        <v>18619</v>
      </c>
      <c r="O6168" s="405" t="s">
        <v>18620</v>
      </c>
      <c r="P6168" s="405" t="s">
        <v>18621</v>
      </c>
      <c r="Q6168" s="411">
        <v>6</v>
      </c>
      <c r="R6168" s="405" t="s">
        <v>525</v>
      </c>
      <c r="S6168" s="405" t="s">
        <v>27243</v>
      </c>
      <c r="T6168" s="405" t="s">
        <v>32102</v>
      </c>
      <c r="U6168" s="405" t="s">
        <v>319</v>
      </c>
    </row>
    <row r="6169" spans="1:21" x14ac:dyDescent="0.25">
      <c r="A6169" s="405" t="s">
        <v>310</v>
      </c>
      <c r="B6169" s="405" t="s">
        <v>18672</v>
      </c>
      <c r="C6169" s="405" t="s">
        <v>327</v>
      </c>
      <c r="D6169" s="405"/>
      <c r="E6169" s="410">
        <v>41428</v>
      </c>
      <c r="F6169" s="410">
        <v>41473</v>
      </c>
      <c r="G6169" s="405" t="s">
        <v>18673</v>
      </c>
      <c r="H6169" s="405">
        <v>772242166</v>
      </c>
      <c r="I6169" s="405">
        <v>772242199</v>
      </c>
      <c r="J6169" s="405">
        <v>2.7852350000000001</v>
      </c>
      <c r="K6169" s="405">
        <v>32.286707</v>
      </c>
      <c r="L6169" s="405" t="s">
        <v>860</v>
      </c>
      <c r="M6169" s="405" t="s">
        <v>853</v>
      </c>
      <c r="N6169" s="405" t="s">
        <v>18246</v>
      </c>
      <c r="O6169" s="405" t="s">
        <v>18674</v>
      </c>
      <c r="P6169" s="405" t="s">
        <v>18675</v>
      </c>
      <c r="Q6169" s="411">
        <v>6</v>
      </c>
      <c r="R6169" s="405" t="s">
        <v>994</v>
      </c>
      <c r="S6169" s="405" t="s">
        <v>27162</v>
      </c>
      <c r="T6169" s="405" t="s">
        <v>32102</v>
      </c>
      <c r="U6169" s="405" t="s">
        <v>319</v>
      </c>
    </row>
    <row r="6170" spans="1:21" x14ac:dyDescent="0.25">
      <c r="A6170" s="405" t="s">
        <v>310</v>
      </c>
      <c r="B6170" s="405" t="s">
        <v>12454</v>
      </c>
      <c r="C6170" s="405" t="s">
        <v>327</v>
      </c>
      <c r="D6170" s="405"/>
      <c r="E6170" s="410">
        <v>41428</v>
      </c>
      <c r="F6170" s="410">
        <v>41473</v>
      </c>
      <c r="G6170" s="405" t="s">
        <v>12455</v>
      </c>
      <c r="H6170" s="405">
        <v>773430300</v>
      </c>
      <c r="I6170" s="405"/>
      <c r="J6170" s="405">
        <v>1.217368</v>
      </c>
      <c r="K6170" s="405">
        <v>33.72</v>
      </c>
      <c r="L6170" s="405" t="s">
        <v>6866</v>
      </c>
      <c r="M6170" s="405" t="s">
        <v>9509</v>
      </c>
      <c r="N6170" s="405" t="s">
        <v>9509</v>
      </c>
      <c r="O6170" s="405" t="s">
        <v>9509</v>
      </c>
      <c r="P6170" s="405" t="s">
        <v>12456</v>
      </c>
      <c r="Q6170" s="411">
        <v>4</v>
      </c>
      <c r="R6170" s="405" t="s">
        <v>7224</v>
      </c>
      <c r="S6170" s="405" t="s">
        <v>27302</v>
      </c>
      <c r="T6170" s="405" t="s">
        <v>32102</v>
      </c>
      <c r="U6170" s="405" t="s">
        <v>319</v>
      </c>
    </row>
    <row r="6171" spans="1:21" x14ac:dyDescent="0.25">
      <c r="A6171" s="405" t="s">
        <v>310</v>
      </c>
      <c r="B6171" s="405" t="s">
        <v>3949</v>
      </c>
      <c r="C6171" s="405" t="s">
        <v>327</v>
      </c>
      <c r="D6171" s="405"/>
      <c r="E6171" s="410">
        <v>41427</v>
      </c>
      <c r="F6171" s="410">
        <v>41472</v>
      </c>
      <c r="G6171" s="405" t="s">
        <v>3950</v>
      </c>
      <c r="H6171" s="405">
        <v>703999176</v>
      </c>
      <c r="I6171" s="405"/>
      <c r="J6171" s="405">
        <v>0.58517699999999995</v>
      </c>
      <c r="K6171" s="405">
        <v>31.396626999999999</v>
      </c>
      <c r="L6171" s="405" t="s">
        <v>314</v>
      </c>
      <c r="M6171" s="405" t="s">
        <v>445</v>
      </c>
      <c r="N6171" s="405" t="s">
        <v>2957</v>
      </c>
      <c r="O6171" s="405" t="s">
        <v>2958</v>
      </c>
      <c r="P6171" s="405" t="s">
        <v>3951</v>
      </c>
      <c r="Q6171" s="411">
        <v>9</v>
      </c>
      <c r="R6171" s="405" t="s">
        <v>1263</v>
      </c>
      <c r="S6171" s="405" t="s">
        <v>27133</v>
      </c>
      <c r="T6171" s="405" t="s">
        <v>32102</v>
      </c>
      <c r="U6171" s="405" t="s">
        <v>319</v>
      </c>
    </row>
    <row r="6172" spans="1:21" x14ac:dyDescent="0.25">
      <c r="A6172" s="405" t="s">
        <v>310</v>
      </c>
      <c r="B6172" s="405" t="s">
        <v>27857</v>
      </c>
      <c r="C6172" s="405" t="s">
        <v>327</v>
      </c>
      <c r="D6172" s="405"/>
      <c r="E6172" s="410">
        <v>41427</v>
      </c>
      <c r="F6172" s="410">
        <v>41472</v>
      </c>
      <c r="G6172" s="405" t="s">
        <v>18656</v>
      </c>
      <c r="H6172" s="405">
        <v>772686322</v>
      </c>
      <c r="I6172" s="405">
        <v>772305906</v>
      </c>
      <c r="J6172" s="405">
        <v>2.2328701</v>
      </c>
      <c r="K6172" s="405">
        <v>32.907559200000001</v>
      </c>
      <c r="L6172" s="405" t="s">
        <v>860</v>
      </c>
      <c r="M6172" s="405" t="s">
        <v>18234</v>
      </c>
      <c r="N6172" s="405" t="s">
        <v>18250</v>
      </c>
      <c r="O6172" s="405" t="s">
        <v>4147</v>
      </c>
      <c r="P6172" s="405" t="s">
        <v>18630</v>
      </c>
      <c r="Q6172" s="411">
        <v>6</v>
      </c>
      <c r="R6172" s="405" t="s">
        <v>353</v>
      </c>
      <c r="S6172" s="405" t="s">
        <v>27246</v>
      </c>
      <c r="T6172" s="405" t="s">
        <v>32102</v>
      </c>
      <c r="U6172" s="405" t="s">
        <v>319</v>
      </c>
    </row>
    <row r="6173" spans="1:21" x14ac:dyDescent="0.25">
      <c r="A6173" s="405" t="s">
        <v>310</v>
      </c>
      <c r="B6173" s="405" t="s">
        <v>21212</v>
      </c>
      <c r="C6173" s="405" t="s">
        <v>327</v>
      </c>
      <c r="D6173" s="405"/>
      <c r="E6173" s="410">
        <v>41427</v>
      </c>
      <c r="F6173" s="410">
        <v>41472</v>
      </c>
      <c r="G6173" s="405" t="s">
        <v>21213</v>
      </c>
      <c r="H6173" s="405">
        <v>702192392</v>
      </c>
      <c r="I6173" s="405"/>
      <c r="J6173" s="405">
        <v>0.60252799999999995</v>
      </c>
      <c r="K6173" s="405">
        <v>30.645738999999999</v>
      </c>
      <c r="L6173" s="405" t="s">
        <v>590</v>
      </c>
      <c r="M6173" s="405" t="s">
        <v>20426</v>
      </c>
      <c r="N6173" s="405" t="s">
        <v>10925</v>
      </c>
      <c r="O6173" s="405" t="s">
        <v>21214</v>
      </c>
      <c r="P6173" s="405" t="s">
        <v>21215</v>
      </c>
      <c r="Q6173" s="411">
        <v>6</v>
      </c>
      <c r="R6173" s="405" t="s">
        <v>333</v>
      </c>
      <c r="S6173" s="405" t="s">
        <v>27215</v>
      </c>
      <c r="T6173" s="405" t="s">
        <v>32102</v>
      </c>
      <c r="U6173" s="405" t="s">
        <v>319</v>
      </c>
    </row>
    <row r="6174" spans="1:21" x14ac:dyDescent="0.25">
      <c r="A6174" s="405" t="s">
        <v>310</v>
      </c>
      <c r="B6174" s="405" t="s">
        <v>18642</v>
      </c>
      <c r="C6174" s="405" t="s">
        <v>327</v>
      </c>
      <c r="D6174" s="405"/>
      <c r="E6174" s="410">
        <v>41427</v>
      </c>
      <c r="F6174" s="410">
        <v>41472</v>
      </c>
      <c r="G6174" s="405" t="s">
        <v>18643</v>
      </c>
      <c r="H6174" s="405">
        <v>774206976</v>
      </c>
      <c r="I6174" s="405"/>
      <c r="J6174" s="405">
        <v>1.8568709999999999</v>
      </c>
      <c r="K6174" s="405">
        <v>33.080534</v>
      </c>
      <c r="L6174" s="405" t="s">
        <v>860</v>
      </c>
      <c r="M6174" s="405" t="s">
        <v>12189</v>
      </c>
      <c r="N6174" s="405" t="s">
        <v>18298</v>
      </c>
      <c r="O6174" s="405" t="s">
        <v>18644</v>
      </c>
      <c r="P6174" s="405" t="s">
        <v>18645</v>
      </c>
      <c r="Q6174" s="411">
        <v>6</v>
      </c>
      <c r="R6174" s="405" t="s">
        <v>318</v>
      </c>
      <c r="S6174" s="405" t="s">
        <v>27343</v>
      </c>
      <c r="T6174" s="405" t="s">
        <v>32102</v>
      </c>
      <c r="U6174" s="405" t="s">
        <v>319</v>
      </c>
    </row>
    <row r="6175" spans="1:21" x14ac:dyDescent="0.25">
      <c r="A6175" s="405" t="s">
        <v>310</v>
      </c>
      <c r="B6175" s="405" t="s">
        <v>12811</v>
      </c>
      <c r="C6175" s="405" t="s">
        <v>311</v>
      </c>
      <c r="D6175" s="405" t="s">
        <v>839</v>
      </c>
      <c r="E6175" s="410">
        <v>41427</v>
      </c>
      <c r="F6175" s="410">
        <v>41472</v>
      </c>
      <c r="G6175" s="405" t="s">
        <v>12812</v>
      </c>
      <c r="H6175" s="405">
        <v>782934088</v>
      </c>
      <c r="I6175" s="405"/>
      <c r="J6175" s="405">
        <v>1.4939</v>
      </c>
      <c r="K6175" s="405">
        <v>33.99248</v>
      </c>
      <c r="L6175" s="405" t="s">
        <v>6866</v>
      </c>
      <c r="M6175" s="405" t="s">
        <v>10029</v>
      </c>
      <c r="N6175" s="405" t="s">
        <v>10029</v>
      </c>
      <c r="O6175" s="405" t="s">
        <v>10435</v>
      </c>
      <c r="P6175" s="405" t="s">
        <v>12245</v>
      </c>
      <c r="Q6175" s="411">
        <v>6</v>
      </c>
      <c r="R6175" s="405" t="s">
        <v>9541</v>
      </c>
      <c r="S6175" s="405" t="s">
        <v>27086</v>
      </c>
      <c r="T6175" s="405" t="s">
        <v>32102</v>
      </c>
      <c r="U6175" s="405" t="s">
        <v>319</v>
      </c>
    </row>
    <row r="6176" spans="1:21" x14ac:dyDescent="0.25">
      <c r="A6176" s="405" t="s">
        <v>310</v>
      </c>
      <c r="B6176" s="405" t="s">
        <v>12479</v>
      </c>
      <c r="C6176" s="405" t="s">
        <v>327</v>
      </c>
      <c r="D6176" s="405"/>
      <c r="E6176" s="410">
        <v>41427</v>
      </c>
      <c r="F6176" s="410">
        <v>41472</v>
      </c>
      <c r="G6176" s="405" t="s">
        <v>12480</v>
      </c>
      <c r="H6176" s="405">
        <v>772332219</v>
      </c>
      <c r="I6176" s="405"/>
      <c r="J6176" s="405">
        <v>1.04339</v>
      </c>
      <c r="K6176" s="405">
        <v>33.74091</v>
      </c>
      <c r="L6176" s="405" t="s">
        <v>6866</v>
      </c>
      <c r="M6176" s="405" t="s">
        <v>10152</v>
      </c>
      <c r="N6176" s="405" t="s">
        <v>10152</v>
      </c>
      <c r="O6176" s="405" t="s">
        <v>11455</v>
      </c>
      <c r="P6176" s="405" t="s">
        <v>12481</v>
      </c>
      <c r="Q6176" s="411">
        <v>6</v>
      </c>
      <c r="R6176" s="405" t="s">
        <v>9506</v>
      </c>
      <c r="S6176" s="405" t="s">
        <v>27294</v>
      </c>
      <c r="T6176" s="405" t="s">
        <v>32102</v>
      </c>
      <c r="U6176" s="405" t="s">
        <v>319</v>
      </c>
    </row>
    <row r="6177" spans="1:21" x14ac:dyDescent="0.25">
      <c r="A6177" s="405" t="s">
        <v>310</v>
      </c>
      <c r="B6177" s="405" t="s">
        <v>12476</v>
      </c>
      <c r="C6177" s="405" t="s">
        <v>327</v>
      </c>
      <c r="D6177" s="405"/>
      <c r="E6177" s="410">
        <v>41426</v>
      </c>
      <c r="F6177" s="410">
        <v>41471</v>
      </c>
      <c r="G6177" s="405" t="s">
        <v>12477</v>
      </c>
      <c r="H6177" s="405">
        <v>772576988</v>
      </c>
      <c r="I6177" s="405"/>
      <c r="J6177" s="405">
        <v>1.1794899999999999</v>
      </c>
      <c r="K6177" s="405">
        <v>33.670884999999998</v>
      </c>
      <c r="L6177" s="405" t="s">
        <v>6866</v>
      </c>
      <c r="M6177" s="405" t="s">
        <v>9509</v>
      </c>
      <c r="N6177" s="405" t="s">
        <v>9509</v>
      </c>
      <c r="O6177" s="405" t="s">
        <v>9857</v>
      </c>
      <c r="P6177" s="405" t="s">
        <v>12478</v>
      </c>
      <c r="Q6177" s="411">
        <v>9</v>
      </c>
      <c r="R6177" s="405" t="s">
        <v>9541</v>
      </c>
      <c r="S6177" s="405" t="s">
        <v>27315</v>
      </c>
      <c r="T6177" s="405" t="s">
        <v>32102</v>
      </c>
      <c r="U6177" s="405" t="s">
        <v>319</v>
      </c>
    </row>
    <row r="6178" spans="1:21" x14ac:dyDescent="0.25">
      <c r="A6178" s="405" t="s">
        <v>310</v>
      </c>
      <c r="B6178" s="405" t="s">
        <v>27944</v>
      </c>
      <c r="C6178" s="405" t="s">
        <v>327</v>
      </c>
      <c r="D6178" s="405"/>
      <c r="E6178" s="410">
        <v>41426</v>
      </c>
      <c r="F6178" s="410">
        <v>41471</v>
      </c>
      <c r="G6178" s="405" t="s">
        <v>12472</v>
      </c>
      <c r="H6178" s="405">
        <v>778186664</v>
      </c>
      <c r="I6178" s="405"/>
      <c r="J6178" s="405">
        <v>1.112395</v>
      </c>
      <c r="K6178" s="405">
        <v>33.940873000000003</v>
      </c>
      <c r="L6178" s="405" t="s">
        <v>6866</v>
      </c>
      <c r="M6178" s="405" t="s">
        <v>9676</v>
      </c>
      <c r="N6178" s="405" t="s">
        <v>9676</v>
      </c>
      <c r="O6178" s="405" t="s">
        <v>10148</v>
      </c>
      <c r="P6178" s="405" t="s">
        <v>12473</v>
      </c>
      <c r="Q6178" s="411">
        <v>6</v>
      </c>
      <c r="R6178" s="405" t="s">
        <v>9541</v>
      </c>
      <c r="S6178" s="405" t="s">
        <v>27302</v>
      </c>
      <c r="T6178" s="405" t="s">
        <v>32102</v>
      </c>
      <c r="U6178" s="405" t="s">
        <v>319</v>
      </c>
    </row>
    <row r="6179" spans="1:21" x14ac:dyDescent="0.25">
      <c r="A6179" s="405" t="s">
        <v>310</v>
      </c>
      <c r="B6179" s="405" t="s">
        <v>28909</v>
      </c>
      <c r="C6179" s="405" t="s">
        <v>327</v>
      </c>
      <c r="D6179" s="405"/>
      <c r="E6179" s="410">
        <v>41426</v>
      </c>
      <c r="F6179" s="410">
        <v>41471</v>
      </c>
      <c r="G6179" s="405" t="s">
        <v>18629</v>
      </c>
      <c r="H6179" s="405">
        <v>782981524</v>
      </c>
      <c r="I6179" s="405">
        <v>752614580</v>
      </c>
      <c r="J6179" s="405">
        <v>2.2328701</v>
      </c>
      <c r="K6179" s="405">
        <v>32.907559200000001</v>
      </c>
      <c r="L6179" s="405" t="s">
        <v>860</v>
      </c>
      <c r="M6179" s="405" t="s">
        <v>18234</v>
      </c>
      <c r="N6179" s="405" t="s">
        <v>18250</v>
      </c>
      <c r="O6179" s="405" t="s">
        <v>4147</v>
      </c>
      <c r="P6179" s="405" t="s">
        <v>18630</v>
      </c>
      <c r="Q6179" s="411">
        <v>6</v>
      </c>
      <c r="R6179" s="405" t="s">
        <v>525</v>
      </c>
      <c r="S6179" s="405" t="s">
        <v>27179</v>
      </c>
      <c r="T6179" s="405" t="s">
        <v>32102</v>
      </c>
      <c r="U6179" s="405" t="s">
        <v>319</v>
      </c>
    </row>
    <row r="6180" spans="1:21" x14ac:dyDescent="0.25">
      <c r="A6180" s="405" t="s">
        <v>310</v>
      </c>
      <c r="B6180" s="405" t="s">
        <v>28727</v>
      </c>
      <c r="C6180" s="405" t="s">
        <v>327</v>
      </c>
      <c r="D6180" s="405"/>
      <c r="E6180" s="410">
        <v>41426</v>
      </c>
      <c r="F6180" s="410">
        <v>41471</v>
      </c>
      <c r="G6180" s="405" t="s">
        <v>18660</v>
      </c>
      <c r="H6180" s="405">
        <v>772004342</v>
      </c>
      <c r="I6180" s="405">
        <v>752004342</v>
      </c>
      <c r="J6180" s="405">
        <v>2.2661933333333333</v>
      </c>
      <c r="K6180" s="405">
        <v>32.855261666666671</v>
      </c>
      <c r="L6180" s="405" t="s">
        <v>860</v>
      </c>
      <c r="M6180" s="405" t="s">
        <v>18234</v>
      </c>
      <c r="N6180" s="405" t="s">
        <v>18252</v>
      </c>
      <c r="O6180" s="405" t="s">
        <v>18234</v>
      </c>
      <c r="P6180" s="405" t="s">
        <v>18432</v>
      </c>
      <c r="Q6180" s="411">
        <v>6</v>
      </c>
      <c r="R6180" s="405" t="s">
        <v>318</v>
      </c>
      <c r="S6180" s="405" t="s">
        <v>27359</v>
      </c>
      <c r="T6180" s="405" t="s">
        <v>32102</v>
      </c>
      <c r="U6180" s="405" t="s">
        <v>319</v>
      </c>
    </row>
    <row r="6181" spans="1:21" x14ac:dyDescent="0.25">
      <c r="A6181" s="405" t="s">
        <v>310</v>
      </c>
      <c r="B6181" s="405" t="s">
        <v>28758</v>
      </c>
      <c r="C6181" s="405" t="s">
        <v>327</v>
      </c>
      <c r="D6181" s="405"/>
      <c r="E6181" s="410">
        <v>41426</v>
      </c>
      <c r="F6181" s="410">
        <v>41471</v>
      </c>
      <c r="G6181" s="405" t="s">
        <v>18661</v>
      </c>
      <c r="H6181" s="405">
        <v>772532449</v>
      </c>
      <c r="I6181" s="405">
        <v>752532449</v>
      </c>
      <c r="J6181" s="405">
        <v>2.2468056000000001</v>
      </c>
      <c r="K6181" s="405">
        <v>32.902614100000001</v>
      </c>
      <c r="L6181" s="405" t="s">
        <v>860</v>
      </c>
      <c r="M6181" s="405" t="s">
        <v>18234</v>
      </c>
      <c r="N6181" s="405" t="s">
        <v>18250</v>
      </c>
      <c r="O6181" s="405" t="s">
        <v>4147</v>
      </c>
      <c r="P6181" s="405" t="s">
        <v>18511</v>
      </c>
      <c r="Q6181" s="411">
        <v>6</v>
      </c>
      <c r="R6181" s="405" t="s">
        <v>994</v>
      </c>
      <c r="S6181" s="405" t="s">
        <v>27229</v>
      </c>
      <c r="T6181" s="405" t="s">
        <v>32102</v>
      </c>
      <c r="U6181" s="405" t="s">
        <v>319</v>
      </c>
    </row>
    <row r="6182" spans="1:21" x14ac:dyDescent="0.25">
      <c r="A6182" s="405" t="s">
        <v>310</v>
      </c>
      <c r="B6182" s="405" t="s">
        <v>28765</v>
      </c>
      <c r="C6182" s="405" t="s">
        <v>327</v>
      </c>
      <c r="D6182" s="405"/>
      <c r="E6182" s="410">
        <v>41426</v>
      </c>
      <c r="F6182" s="410">
        <v>41471</v>
      </c>
      <c r="G6182" s="405" t="s">
        <v>18662</v>
      </c>
      <c r="H6182" s="405">
        <v>778704778</v>
      </c>
      <c r="I6182" s="405"/>
      <c r="J6182" s="405">
        <v>2.2124142</v>
      </c>
      <c r="K6182" s="405">
        <v>32.896522400000002</v>
      </c>
      <c r="L6182" s="405" t="s">
        <v>860</v>
      </c>
      <c r="M6182" s="405" t="s">
        <v>18234</v>
      </c>
      <c r="N6182" s="405" t="s">
        <v>18252</v>
      </c>
      <c r="O6182" s="405" t="s">
        <v>18253</v>
      </c>
      <c r="P6182" s="405" t="s">
        <v>18663</v>
      </c>
      <c r="Q6182" s="411">
        <v>6</v>
      </c>
      <c r="R6182" s="405" t="s">
        <v>318</v>
      </c>
      <c r="S6182" s="405" t="s">
        <v>27359</v>
      </c>
      <c r="T6182" s="405" t="s">
        <v>32102</v>
      </c>
      <c r="U6182" s="405" t="s">
        <v>319</v>
      </c>
    </row>
    <row r="6183" spans="1:21" x14ac:dyDescent="0.25">
      <c r="A6183" s="405" t="s">
        <v>310</v>
      </c>
      <c r="B6183" s="405" t="s">
        <v>12402</v>
      </c>
      <c r="C6183" s="405" t="s">
        <v>327</v>
      </c>
      <c r="D6183" s="405"/>
      <c r="E6183" s="410">
        <v>41426</v>
      </c>
      <c r="F6183" s="410">
        <v>41471</v>
      </c>
      <c r="G6183" s="405" t="s">
        <v>12403</v>
      </c>
      <c r="H6183" s="405">
        <v>782498887</v>
      </c>
      <c r="I6183" s="405"/>
      <c r="J6183" s="405">
        <v>1.792338</v>
      </c>
      <c r="K6183" s="405">
        <v>33.843158000000003</v>
      </c>
      <c r="L6183" s="405" t="s">
        <v>6866</v>
      </c>
      <c r="M6183" s="405" t="s">
        <v>10495</v>
      </c>
      <c r="N6183" s="405" t="s">
        <v>10495</v>
      </c>
      <c r="O6183" s="405" t="s">
        <v>11255</v>
      </c>
      <c r="P6183" s="405" t="s">
        <v>12404</v>
      </c>
      <c r="Q6183" s="411">
        <v>6</v>
      </c>
      <c r="R6183" s="405" t="s">
        <v>5655</v>
      </c>
      <c r="S6183" s="405" t="s">
        <v>27324</v>
      </c>
      <c r="T6183" s="405" t="s">
        <v>32102</v>
      </c>
      <c r="U6183" s="405" t="s">
        <v>319</v>
      </c>
    </row>
    <row r="6184" spans="1:21" x14ac:dyDescent="0.25">
      <c r="A6184" s="405" t="s">
        <v>310</v>
      </c>
      <c r="B6184" s="405" t="s">
        <v>28815</v>
      </c>
      <c r="C6184" s="405" t="s">
        <v>327</v>
      </c>
      <c r="D6184" s="405"/>
      <c r="E6184" s="410">
        <v>41425</v>
      </c>
      <c r="F6184" s="410">
        <v>41470</v>
      </c>
      <c r="G6184" s="405" t="s">
        <v>3985</v>
      </c>
      <c r="H6184" s="405">
        <v>702210423</v>
      </c>
      <c r="I6184" s="405"/>
      <c r="J6184" s="405">
        <v>0.57572500000000004</v>
      </c>
      <c r="K6184" s="405">
        <v>32.558231999999997</v>
      </c>
      <c r="L6184" s="405" t="s">
        <v>314</v>
      </c>
      <c r="M6184" s="405" t="s">
        <v>959</v>
      </c>
      <c r="N6184" s="405" t="s">
        <v>1094</v>
      </c>
      <c r="O6184" s="405" t="s">
        <v>2307</v>
      </c>
      <c r="P6184" s="405" t="s">
        <v>3986</v>
      </c>
      <c r="Q6184" s="411">
        <v>13</v>
      </c>
      <c r="R6184" s="405" t="s">
        <v>1263</v>
      </c>
      <c r="S6184" s="405" t="s">
        <v>27211</v>
      </c>
      <c r="T6184" s="405" t="s">
        <v>32102</v>
      </c>
      <c r="U6184" s="405" t="s">
        <v>319</v>
      </c>
    </row>
    <row r="6185" spans="1:21" x14ac:dyDescent="0.25">
      <c r="A6185" s="405" t="s">
        <v>310</v>
      </c>
      <c r="B6185" s="405" t="s">
        <v>4087</v>
      </c>
      <c r="C6185" s="405" t="s">
        <v>327</v>
      </c>
      <c r="D6185" s="405"/>
      <c r="E6185" s="410">
        <v>41425</v>
      </c>
      <c r="F6185" s="410">
        <v>41470</v>
      </c>
      <c r="G6185" s="405" t="s">
        <v>4088</v>
      </c>
      <c r="H6185" s="405">
        <v>704498763</v>
      </c>
      <c r="I6185" s="405"/>
      <c r="J6185" s="405">
        <v>0.28916199999999997</v>
      </c>
      <c r="K6185" s="405">
        <v>32.527546999999998</v>
      </c>
      <c r="L6185" s="405" t="s">
        <v>314</v>
      </c>
      <c r="M6185" s="405" t="s">
        <v>361</v>
      </c>
      <c r="N6185" s="405" t="s">
        <v>362</v>
      </c>
      <c r="O6185" s="405" t="s">
        <v>618</v>
      </c>
      <c r="P6185" s="405" t="s">
        <v>1357</v>
      </c>
      <c r="Q6185" s="411">
        <v>13</v>
      </c>
      <c r="R6185" s="405" t="s">
        <v>318</v>
      </c>
      <c r="S6185" s="405" t="s">
        <v>27041</v>
      </c>
      <c r="T6185" s="405" t="s">
        <v>32102</v>
      </c>
      <c r="U6185" s="405" t="s">
        <v>319</v>
      </c>
    </row>
    <row r="6186" spans="1:21" x14ac:dyDescent="0.25">
      <c r="A6186" s="405" t="s">
        <v>310</v>
      </c>
      <c r="B6186" s="405" t="s">
        <v>4033</v>
      </c>
      <c r="C6186" s="405" t="s">
        <v>327</v>
      </c>
      <c r="D6186" s="405"/>
      <c r="E6186" s="410">
        <v>41425</v>
      </c>
      <c r="F6186" s="410">
        <v>41470</v>
      </c>
      <c r="G6186" s="405" t="s">
        <v>4034</v>
      </c>
      <c r="H6186" s="405">
        <v>772409361</v>
      </c>
      <c r="I6186" s="405"/>
      <c r="J6186" s="405">
        <v>0.441278</v>
      </c>
      <c r="K6186" s="405">
        <v>32.336308000000002</v>
      </c>
      <c r="L6186" s="405" t="s">
        <v>314</v>
      </c>
      <c r="M6186" s="405" t="s">
        <v>361</v>
      </c>
      <c r="N6186" s="405" t="s">
        <v>374</v>
      </c>
      <c r="O6186" s="405" t="s">
        <v>4035</v>
      </c>
      <c r="P6186" s="405" t="s">
        <v>4036</v>
      </c>
      <c r="Q6186" s="411">
        <v>13</v>
      </c>
      <c r="R6186" s="405" t="s">
        <v>1263</v>
      </c>
      <c r="S6186" s="405" t="s">
        <v>27178</v>
      </c>
      <c r="T6186" s="405" t="s">
        <v>32102</v>
      </c>
      <c r="U6186" s="405" t="s">
        <v>319</v>
      </c>
    </row>
    <row r="6187" spans="1:21" x14ac:dyDescent="0.25">
      <c r="A6187" s="405" t="s">
        <v>310</v>
      </c>
      <c r="B6187" s="405" t="s">
        <v>3995</v>
      </c>
      <c r="C6187" s="405" t="s">
        <v>327</v>
      </c>
      <c r="D6187" s="405"/>
      <c r="E6187" s="410">
        <v>41425</v>
      </c>
      <c r="F6187" s="410">
        <v>41470</v>
      </c>
      <c r="G6187" s="405" t="s">
        <v>3996</v>
      </c>
      <c r="H6187" s="405">
        <v>772572322</v>
      </c>
      <c r="I6187" s="405"/>
      <c r="J6187" s="405">
        <v>0.47645799999999999</v>
      </c>
      <c r="K6187" s="405">
        <v>32.5929</v>
      </c>
      <c r="L6187" s="405" t="s">
        <v>314</v>
      </c>
      <c r="M6187" s="405" t="s">
        <v>361</v>
      </c>
      <c r="N6187" s="405" t="s">
        <v>362</v>
      </c>
      <c r="O6187" s="405" t="s">
        <v>433</v>
      </c>
      <c r="P6187" s="405" t="s">
        <v>1855</v>
      </c>
      <c r="Q6187" s="411">
        <v>13</v>
      </c>
      <c r="R6187" s="405" t="s">
        <v>353</v>
      </c>
      <c r="S6187" s="405" t="s">
        <v>27115</v>
      </c>
      <c r="T6187" s="405" t="s">
        <v>32102</v>
      </c>
      <c r="U6187" s="405" t="s">
        <v>319</v>
      </c>
    </row>
    <row r="6188" spans="1:21" x14ac:dyDescent="0.25">
      <c r="A6188" s="405" t="s">
        <v>310</v>
      </c>
      <c r="B6188" s="405" t="s">
        <v>4084</v>
      </c>
      <c r="C6188" s="405" t="s">
        <v>327</v>
      </c>
      <c r="D6188" s="405"/>
      <c r="E6188" s="410">
        <v>41425</v>
      </c>
      <c r="F6188" s="410">
        <v>41470</v>
      </c>
      <c r="G6188" s="405" t="s">
        <v>4085</v>
      </c>
      <c r="H6188" s="405">
        <v>700768634</v>
      </c>
      <c r="I6188" s="405"/>
      <c r="J6188" s="405">
        <v>0.32546700000000001</v>
      </c>
      <c r="K6188" s="405">
        <v>32.539402000000003</v>
      </c>
      <c r="L6188" s="405" t="s">
        <v>314</v>
      </c>
      <c r="M6188" s="405" t="s">
        <v>992</v>
      </c>
      <c r="N6188" s="405" t="s">
        <v>362</v>
      </c>
      <c r="O6188" s="405" t="s">
        <v>2327</v>
      </c>
      <c r="P6188" s="405" t="s">
        <v>4086</v>
      </c>
      <c r="Q6188" s="411">
        <v>9</v>
      </c>
      <c r="R6188" s="405" t="s">
        <v>1263</v>
      </c>
      <c r="S6188" s="405" t="s">
        <v>27210</v>
      </c>
      <c r="T6188" s="405" t="s">
        <v>32102</v>
      </c>
      <c r="U6188" s="405" t="s">
        <v>319</v>
      </c>
    </row>
    <row r="6189" spans="1:21" x14ac:dyDescent="0.25">
      <c r="A6189" s="405" t="s">
        <v>310</v>
      </c>
      <c r="B6189" s="405" t="s">
        <v>3937</v>
      </c>
      <c r="C6189" s="405" t="s">
        <v>327</v>
      </c>
      <c r="D6189" s="405"/>
      <c r="E6189" s="410">
        <v>41425</v>
      </c>
      <c r="F6189" s="410">
        <v>41470</v>
      </c>
      <c r="G6189" s="405" t="s">
        <v>3938</v>
      </c>
      <c r="H6189" s="405">
        <v>752643103</v>
      </c>
      <c r="I6189" s="405"/>
      <c r="J6189" s="405">
        <v>0.38478200000000001</v>
      </c>
      <c r="K6189" s="405">
        <v>32.969645999999997</v>
      </c>
      <c r="L6189" s="405" t="s">
        <v>314</v>
      </c>
      <c r="M6189" s="405" t="s">
        <v>349</v>
      </c>
      <c r="N6189" s="405" t="s">
        <v>3939</v>
      </c>
      <c r="O6189" s="405" t="s">
        <v>351</v>
      </c>
      <c r="P6189" s="405" t="s">
        <v>3940</v>
      </c>
      <c r="Q6189" s="411">
        <v>9</v>
      </c>
      <c r="R6189" s="405" t="s">
        <v>1263</v>
      </c>
      <c r="S6189" s="405" t="s">
        <v>27208</v>
      </c>
      <c r="T6189" s="405" t="s">
        <v>32102</v>
      </c>
      <c r="U6189" s="405" t="s">
        <v>319</v>
      </c>
    </row>
    <row r="6190" spans="1:21" x14ac:dyDescent="0.25">
      <c r="A6190" s="405" t="s">
        <v>310</v>
      </c>
      <c r="B6190" s="405" t="s">
        <v>27928</v>
      </c>
      <c r="C6190" s="405" t="s">
        <v>327</v>
      </c>
      <c r="D6190" s="405"/>
      <c r="E6190" s="410">
        <v>41425</v>
      </c>
      <c r="F6190" s="410">
        <v>41470</v>
      </c>
      <c r="G6190" s="405" t="s">
        <v>3987</v>
      </c>
      <c r="H6190" s="405">
        <v>774402410</v>
      </c>
      <c r="I6190" s="405"/>
      <c r="J6190" s="405">
        <v>0.43734329999999999</v>
      </c>
      <c r="K6190" s="405">
        <v>32.577604299999997</v>
      </c>
      <c r="L6190" s="405" t="s">
        <v>314</v>
      </c>
      <c r="M6190" s="405" t="s">
        <v>361</v>
      </c>
      <c r="N6190" s="405" t="s">
        <v>362</v>
      </c>
      <c r="O6190" s="405" t="s">
        <v>523</v>
      </c>
      <c r="P6190" s="405" t="s">
        <v>2323</v>
      </c>
      <c r="Q6190" s="411">
        <v>6</v>
      </c>
      <c r="R6190" s="405" t="s">
        <v>1263</v>
      </c>
      <c r="S6190" s="405" t="s">
        <v>27164</v>
      </c>
      <c r="T6190" s="405" t="s">
        <v>32102</v>
      </c>
      <c r="U6190" s="405" t="s">
        <v>319</v>
      </c>
    </row>
    <row r="6191" spans="1:21" x14ac:dyDescent="0.25">
      <c r="A6191" s="405" t="s">
        <v>310</v>
      </c>
      <c r="B6191" s="405" t="s">
        <v>28576</v>
      </c>
      <c r="C6191" s="405" t="s">
        <v>311</v>
      </c>
      <c r="D6191" s="405" t="s">
        <v>839</v>
      </c>
      <c r="E6191" s="410">
        <v>41425</v>
      </c>
      <c r="F6191" s="410">
        <v>41470</v>
      </c>
      <c r="G6191" s="405" t="s">
        <v>4407</v>
      </c>
      <c r="H6191" s="405">
        <v>788910292</v>
      </c>
      <c r="I6191" s="405"/>
      <c r="J6191" s="405">
        <v>0.20991099999999999</v>
      </c>
      <c r="K6191" s="405">
        <v>32.018453000000001</v>
      </c>
      <c r="L6191" s="405" t="s">
        <v>314</v>
      </c>
      <c r="M6191" s="405" t="s">
        <v>339</v>
      </c>
      <c r="N6191" s="405" t="s">
        <v>339</v>
      </c>
      <c r="O6191" s="405" t="s">
        <v>2272</v>
      </c>
      <c r="P6191" s="405" t="s">
        <v>3575</v>
      </c>
      <c r="Q6191" s="411">
        <v>6</v>
      </c>
      <c r="R6191" s="405" t="s">
        <v>438</v>
      </c>
      <c r="S6191" s="405" t="s">
        <v>27131</v>
      </c>
      <c r="T6191" s="405" t="s">
        <v>32102</v>
      </c>
      <c r="U6191" s="405" t="s">
        <v>319</v>
      </c>
    </row>
    <row r="6192" spans="1:21" x14ac:dyDescent="0.25">
      <c r="A6192" s="405" t="s">
        <v>310</v>
      </c>
      <c r="B6192" s="405" t="s">
        <v>4030</v>
      </c>
      <c r="C6192" s="405" t="s">
        <v>327</v>
      </c>
      <c r="D6192" s="405"/>
      <c r="E6192" s="410">
        <v>41425</v>
      </c>
      <c r="F6192" s="410">
        <v>41470</v>
      </c>
      <c r="G6192" s="405" t="s">
        <v>4031</v>
      </c>
      <c r="H6192" s="405">
        <v>782584034</v>
      </c>
      <c r="I6192" s="405"/>
      <c r="J6192" s="405">
        <v>0.69511000000000001</v>
      </c>
      <c r="K6192" s="405">
        <v>32.521298000000002</v>
      </c>
      <c r="L6192" s="405" t="s">
        <v>314</v>
      </c>
      <c r="M6192" s="405" t="s">
        <v>959</v>
      </c>
      <c r="N6192" s="405" t="s">
        <v>1308</v>
      </c>
      <c r="O6192" s="405" t="s">
        <v>4032</v>
      </c>
      <c r="P6192" s="405" t="s">
        <v>2096</v>
      </c>
      <c r="Q6192" s="411">
        <v>6</v>
      </c>
      <c r="R6192" s="405" t="s">
        <v>1263</v>
      </c>
      <c r="S6192" s="405" t="s">
        <v>27035</v>
      </c>
      <c r="T6192" s="405" t="s">
        <v>32102</v>
      </c>
      <c r="U6192" s="405" t="s">
        <v>319</v>
      </c>
    </row>
    <row r="6193" spans="1:21" x14ac:dyDescent="0.25">
      <c r="A6193" s="405" t="s">
        <v>310</v>
      </c>
      <c r="B6193" s="405" t="s">
        <v>4089</v>
      </c>
      <c r="C6193" s="405" t="s">
        <v>327</v>
      </c>
      <c r="D6193" s="405"/>
      <c r="E6193" s="410">
        <v>41425</v>
      </c>
      <c r="F6193" s="410">
        <v>41470</v>
      </c>
      <c r="G6193" s="405" t="s">
        <v>4090</v>
      </c>
      <c r="H6193" s="405">
        <v>772008529</v>
      </c>
      <c r="I6193" s="405"/>
      <c r="J6193" s="405">
        <v>0.43754700000000002</v>
      </c>
      <c r="K6193" s="405">
        <v>32.318095</v>
      </c>
      <c r="L6193" s="405" t="s">
        <v>314</v>
      </c>
      <c r="M6193" s="405" t="s">
        <v>361</v>
      </c>
      <c r="N6193" s="405" t="s">
        <v>374</v>
      </c>
      <c r="O6193" s="405" t="s">
        <v>952</v>
      </c>
      <c r="P6193" s="405" t="s">
        <v>4091</v>
      </c>
      <c r="Q6193" s="411">
        <v>6</v>
      </c>
      <c r="R6193" s="405" t="s">
        <v>1263</v>
      </c>
      <c r="S6193" s="405" t="s">
        <v>27227</v>
      </c>
      <c r="T6193" s="405" t="s">
        <v>32102</v>
      </c>
      <c r="U6193" s="405" t="s">
        <v>319</v>
      </c>
    </row>
    <row r="6194" spans="1:21" x14ac:dyDescent="0.25">
      <c r="A6194" s="405" t="s">
        <v>310</v>
      </c>
      <c r="B6194" s="405" t="s">
        <v>28108</v>
      </c>
      <c r="C6194" s="405" t="s">
        <v>327</v>
      </c>
      <c r="D6194" s="405"/>
      <c r="E6194" s="410">
        <v>41425</v>
      </c>
      <c r="F6194" s="410">
        <v>41470</v>
      </c>
      <c r="G6194" s="405" t="s">
        <v>12407</v>
      </c>
      <c r="H6194" s="405">
        <v>776842416</v>
      </c>
      <c r="I6194" s="405"/>
      <c r="J6194" s="405">
        <v>0.96933599999999998</v>
      </c>
      <c r="K6194" s="405">
        <v>34.031610999999998</v>
      </c>
      <c r="L6194" s="405" t="s">
        <v>6866</v>
      </c>
      <c r="M6194" s="405" t="s">
        <v>9566</v>
      </c>
      <c r="N6194" s="405" t="s">
        <v>10001</v>
      </c>
      <c r="O6194" s="405" t="s">
        <v>9932</v>
      </c>
      <c r="P6194" s="405" t="s">
        <v>12408</v>
      </c>
      <c r="Q6194" s="411">
        <v>6</v>
      </c>
      <c r="R6194" s="405" t="s">
        <v>9506</v>
      </c>
      <c r="S6194" s="405" t="s">
        <v>27335</v>
      </c>
      <c r="T6194" s="405" t="s">
        <v>32102</v>
      </c>
      <c r="U6194" s="405" t="s">
        <v>319</v>
      </c>
    </row>
    <row r="6195" spans="1:21" x14ac:dyDescent="0.25">
      <c r="A6195" s="405" t="s">
        <v>310</v>
      </c>
      <c r="B6195" s="405" t="s">
        <v>12907</v>
      </c>
      <c r="C6195" s="405" t="s">
        <v>311</v>
      </c>
      <c r="D6195" s="405" t="s">
        <v>1789</v>
      </c>
      <c r="E6195" s="410">
        <v>41425</v>
      </c>
      <c r="F6195" s="410">
        <v>41470</v>
      </c>
      <c r="G6195" s="405" t="s">
        <v>12908</v>
      </c>
      <c r="H6195" s="405">
        <v>787772797</v>
      </c>
      <c r="I6195" s="405"/>
      <c r="J6195" s="405">
        <v>0.69572199999999995</v>
      </c>
      <c r="K6195" s="405">
        <v>34.170056000000002</v>
      </c>
      <c r="L6195" s="405" t="s">
        <v>6866</v>
      </c>
      <c r="M6195" s="405" t="s">
        <v>9534</v>
      </c>
      <c r="N6195" s="405" t="s">
        <v>10065</v>
      </c>
      <c r="O6195" s="405" t="s">
        <v>9881</v>
      </c>
      <c r="P6195" s="405" t="s">
        <v>12909</v>
      </c>
      <c r="Q6195" s="411">
        <v>6</v>
      </c>
      <c r="R6195" s="405" t="s">
        <v>7224</v>
      </c>
      <c r="S6195" s="405" t="s">
        <v>27309</v>
      </c>
      <c r="T6195" s="405" t="s">
        <v>32102</v>
      </c>
      <c r="U6195" s="405" t="s">
        <v>319</v>
      </c>
    </row>
    <row r="6196" spans="1:21" x14ac:dyDescent="0.25">
      <c r="A6196" s="405" t="s">
        <v>310</v>
      </c>
      <c r="B6196" s="405" t="s">
        <v>12409</v>
      </c>
      <c r="C6196" s="405" t="s">
        <v>327</v>
      </c>
      <c r="D6196" s="405"/>
      <c r="E6196" s="410">
        <v>41425</v>
      </c>
      <c r="F6196" s="410">
        <v>41470</v>
      </c>
      <c r="G6196" s="405" t="s">
        <v>12410</v>
      </c>
      <c r="H6196" s="405">
        <v>772583147</v>
      </c>
      <c r="I6196" s="405">
        <v>776583147</v>
      </c>
      <c r="J6196" s="405">
        <v>1.0021009999999999</v>
      </c>
      <c r="K6196" s="405">
        <v>34.114356000000001</v>
      </c>
      <c r="L6196" s="405" t="s">
        <v>6866</v>
      </c>
      <c r="M6196" s="405" t="s">
        <v>9566</v>
      </c>
      <c r="N6196" s="405" t="s">
        <v>10001</v>
      </c>
      <c r="O6196" s="405" t="s">
        <v>11178</v>
      </c>
      <c r="P6196" s="405" t="s">
        <v>12411</v>
      </c>
      <c r="Q6196" s="411">
        <v>6</v>
      </c>
      <c r="R6196" s="405" t="s">
        <v>9541</v>
      </c>
      <c r="S6196" s="405" t="s">
        <v>27086</v>
      </c>
      <c r="T6196" s="405" t="s">
        <v>32102</v>
      </c>
      <c r="U6196" s="405" t="s">
        <v>319</v>
      </c>
    </row>
    <row r="6197" spans="1:21" x14ac:dyDescent="0.25">
      <c r="A6197" s="405" t="s">
        <v>310</v>
      </c>
      <c r="B6197" s="405" t="s">
        <v>3923</v>
      </c>
      <c r="C6197" s="405" t="s">
        <v>327</v>
      </c>
      <c r="D6197" s="405"/>
      <c r="E6197" s="410">
        <v>41425</v>
      </c>
      <c r="F6197" s="410">
        <v>41470</v>
      </c>
      <c r="G6197" s="405" t="s">
        <v>3924</v>
      </c>
      <c r="H6197" s="405">
        <v>781502910</v>
      </c>
      <c r="I6197" s="405"/>
      <c r="J6197" s="405">
        <v>0.22756499999999999</v>
      </c>
      <c r="K6197" s="405">
        <v>32.067812000000004</v>
      </c>
      <c r="L6197" s="405" t="s">
        <v>314</v>
      </c>
      <c r="M6197" s="405" t="s">
        <v>339</v>
      </c>
      <c r="N6197" s="405" t="s">
        <v>339</v>
      </c>
      <c r="O6197" s="405" t="s">
        <v>2272</v>
      </c>
      <c r="P6197" s="405" t="s">
        <v>3470</v>
      </c>
      <c r="Q6197" s="411">
        <v>6</v>
      </c>
      <c r="R6197" s="405" t="s">
        <v>1263</v>
      </c>
      <c r="S6197" s="405" t="s">
        <v>27206</v>
      </c>
      <c r="T6197" s="405" t="s">
        <v>32102</v>
      </c>
      <c r="U6197" s="405" t="s">
        <v>319</v>
      </c>
    </row>
    <row r="6198" spans="1:21" x14ac:dyDescent="0.25">
      <c r="A6198" s="405" t="s">
        <v>310</v>
      </c>
      <c r="B6198" s="405" t="s">
        <v>3980</v>
      </c>
      <c r="C6198" s="405" t="s">
        <v>327</v>
      </c>
      <c r="D6198" s="405"/>
      <c r="E6198" s="410">
        <v>41425</v>
      </c>
      <c r="F6198" s="410">
        <v>41470</v>
      </c>
      <c r="G6198" s="405" t="s">
        <v>3981</v>
      </c>
      <c r="H6198" s="405">
        <v>776862561</v>
      </c>
      <c r="I6198" s="405"/>
      <c r="J6198" s="405">
        <v>0.59172000000000002</v>
      </c>
      <c r="K6198" s="405">
        <v>32.489584999999998</v>
      </c>
      <c r="L6198" s="405" t="s">
        <v>314</v>
      </c>
      <c r="M6198" s="405" t="s">
        <v>959</v>
      </c>
      <c r="N6198" s="405" t="s">
        <v>3982</v>
      </c>
      <c r="O6198" s="405" t="s">
        <v>3983</v>
      </c>
      <c r="P6198" s="405" t="s">
        <v>3984</v>
      </c>
      <c r="Q6198" s="411">
        <v>6</v>
      </c>
      <c r="R6198" s="405" t="s">
        <v>1263</v>
      </c>
      <c r="S6198" s="405" t="s">
        <v>414</v>
      </c>
      <c r="T6198" s="405" t="s">
        <v>32102</v>
      </c>
      <c r="U6198" s="405" t="s">
        <v>319</v>
      </c>
    </row>
    <row r="6199" spans="1:21" x14ac:dyDescent="0.25">
      <c r="A6199" s="405" t="s">
        <v>310</v>
      </c>
      <c r="B6199" s="405" t="s">
        <v>4095</v>
      </c>
      <c r="C6199" s="405" t="s">
        <v>327</v>
      </c>
      <c r="D6199" s="405"/>
      <c r="E6199" s="410">
        <v>41425</v>
      </c>
      <c r="F6199" s="410">
        <v>41470</v>
      </c>
      <c r="G6199" s="405" t="s">
        <v>4096</v>
      </c>
      <c r="H6199" s="405">
        <v>702572310</v>
      </c>
      <c r="I6199" s="405">
        <v>773464269</v>
      </c>
      <c r="J6199" s="405">
        <v>0.32741700000000001</v>
      </c>
      <c r="K6199" s="405">
        <v>32.469566999999998</v>
      </c>
      <c r="L6199" s="405" t="s">
        <v>314</v>
      </c>
      <c r="M6199" s="405" t="s">
        <v>361</v>
      </c>
      <c r="N6199" s="405" t="s">
        <v>374</v>
      </c>
      <c r="O6199" s="405" t="s">
        <v>361</v>
      </c>
      <c r="P6199" s="405" t="s">
        <v>4097</v>
      </c>
      <c r="Q6199" s="411">
        <v>6</v>
      </c>
      <c r="R6199" s="405" t="s">
        <v>525</v>
      </c>
      <c r="S6199" s="405" t="s">
        <v>27034</v>
      </c>
      <c r="T6199" s="405" t="s">
        <v>32102</v>
      </c>
      <c r="U6199" s="405" t="s">
        <v>319</v>
      </c>
    </row>
    <row r="6200" spans="1:21" x14ac:dyDescent="0.25">
      <c r="A6200" s="405" t="s">
        <v>310</v>
      </c>
      <c r="B6200" s="405" t="s">
        <v>3993</v>
      </c>
      <c r="C6200" s="405" t="s">
        <v>327</v>
      </c>
      <c r="D6200" s="405"/>
      <c r="E6200" s="410">
        <v>41425</v>
      </c>
      <c r="F6200" s="410">
        <v>41470</v>
      </c>
      <c r="G6200" s="405" t="s">
        <v>3994</v>
      </c>
      <c r="H6200" s="405">
        <v>772655370</v>
      </c>
      <c r="I6200" s="405"/>
      <c r="J6200" s="405">
        <v>0.70963500000000002</v>
      </c>
      <c r="K6200" s="405">
        <v>32.564072000000003</v>
      </c>
      <c r="L6200" s="405" t="s">
        <v>314</v>
      </c>
      <c r="M6200" s="405" t="s">
        <v>959</v>
      </c>
      <c r="N6200" s="405" t="s">
        <v>1094</v>
      </c>
      <c r="O6200" s="405" t="s">
        <v>1094</v>
      </c>
      <c r="P6200" s="405" t="s">
        <v>2403</v>
      </c>
      <c r="Q6200" s="411">
        <v>6</v>
      </c>
      <c r="R6200" s="405" t="s">
        <v>1263</v>
      </c>
      <c r="S6200" s="405" t="s">
        <v>27036</v>
      </c>
      <c r="T6200" s="405" t="s">
        <v>32102</v>
      </c>
      <c r="U6200" s="405" t="s">
        <v>319</v>
      </c>
    </row>
    <row r="6201" spans="1:21" x14ac:dyDescent="0.25">
      <c r="A6201" s="405" t="s">
        <v>310</v>
      </c>
      <c r="B6201" s="405" t="s">
        <v>12521</v>
      </c>
      <c r="C6201" s="405" t="s">
        <v>327</v>
      </c>
      <c r="D6201" s="405"/>
      <c r="E6201" s="410">
        <v>41425</v>
      </c>
      <c r="F6201" s="410">
        <v>41470</v>
      </c>
      <c r="G6201" s="405" t="s">
        <v>12522</v>
      </c>
      <c r="H6201" s="405">
        <v>775724105</v>
      </c>
      <c r="I6201" s="405"/>
      <c r="J6201" s="405">
        <v>0.86123700000000003</v>
      </c>
      <c r="K6201" s="405">
        <v>34.394559000000001</v>
      </c>
      <c r="L6201" s="405" t="s">
        <v>6866</v>
      </c>
      <c r="M6201" s="405" t="s">
        <v>9763</v>
      </c>
      <c r="N6201" s="405" t="s">
        <v>11470</v>
      </c>
      <c r="O6201" s="405" t="s">
        <v>1831</v>
      </c>
      <c r="P6201" s="405" t="s">
        <v>12523</v>
      </c>
      <c r="Q6201" s="411">
        <v>6</v>
      </c>
      <c r="R6201" s="405" t="s">
        <v>9541</v>
      </c>
      <c r="S6201" s="405" t="s">
        <v>27294</v>
      </c>
      <c r="T6201" s="405" t="s">
        <v>32102</v>
      </c>
      <c r="U6201" s="405" t="s">
        <v>319</v>
      </c>
    </row>
    <row r="6202" spans="1:21" x14ac:dyDescent="0.25">
      <c r="A6202" s="405" t="s">
        <v>310</v>
      </c>
      <c r="B6202" s="405" t="s">
        <v>28762</v>
      </c>
      <c r="C6202" s="405" t="s">
        <v>327</v>
      </c>
      <c r="D6202" s="405"/>
      <c r="E6202" s="410">
        <v>41425</v>
      </c>
      <c r="F6202" s="410">
        <v>41470</v>
      </c>
      <c r="G6202" s="405" t="s">
        <v>12405</v>
      </c>
      <c r="H6202" s="405">
        <v>783109933</v>
      </c>
      <c r="I6202" s="405">
        <v>783109933</v>
      </c>
      <c r="J6202" s="405">
        <v>1.5449729999999999</v>
      </c>
      <c r="K6202" s="405">
        <v>33.470812000000002</v>
      </c>
      <c r="L6202" s="405" t="s">
        <v>6866</v>
      </c>
      <c r="M6202" s="405" t="s">
        <v>9658</v>
      </c>
      <c r="N6202" s="405" t="s">
        <v>9658</v>
      </c>
      <c r="O6202" s="405" t="s">
        <v>9659</v>
      </c>
      <c r="P6202" s="405" t="s">
        <v>12406</v>
      </c>
      <c r="Q6202" s="411">
        <v>4</v>
      </c>
      <c r="R6202" s="405" t="s">
        <v>5655</v>
      </c>
      <c r="S6202" s="405" t="s">
        <v>27336</v>
      </c>
      <c r="T6202" s="405" t="s">
        <v>32102</v>
      </c>
      <c r="U6202" s="405" t="s">
        <v>319</v>
      </c>
    </row>
    <row r="6203" spans="1:21" x14ac:dyDescent="0.25">
      <c r="A6203" s="405" t="s">
        <v>310</v>
      </c>
      <c r="B6203" s="405" t="s">
        <v>3988</v>
      </c>
      <c r="C6203" s="405" t="s">
        <v>327</v>
      </c>
      <c r="D6203" s="405"/>
      <c r="E6203" s="410">
        <v>41425</v>
      </c>
      <c r="F6203" s="410">
        <v>41470</v>
      </c>
      <c r="G6203" s="405" t="s">
        <v>3989</v>
      </c>
      <c r="H6203" s="405">
        <v>789387360</v>
      </c>
      <c r="I6203" s="405"/>
      <c r="J6203" s="405">
        <v>0.71760299999999999</v>
      </c>
      <c r="K6203" s="405">
        <v>32.510612000000002</v>
      </c>
      <c r="L6203" s="405" t="s">
        <v>314</v>
      </c>
      <c r="M6203" s="405" t="s">
        <v>959</v>
      </c>
      <c r="N6203" s="405" t="s">
        <v>1094</v>
      </c>
      <c r="O6203" s="405" t="s">
        <v>1094</v>
      </c>
      <c r="P6203" s="405" t="s">
        <v>2286</v>
      </c>
      <c r="Q6203" s="411">
        <v>4</v>
      </c>
      <c r="R6203" s="405" t="s">
        <v>1263</v>
      </c>
      <c r="S6203" s="405" t="s">
        <v>27211</v>
      </c>
      <c r="T6203" s="405" t="s">
        <v>32102</v>
      </c>
      <c r="U6203" s="405" t="s">
        <v>319</v>
      </c>
    </row>
    <row r="6204" spans="1:21" x14ac:dyDescent="0.25">
      <c r="A6204" s="405" t="s">
        <v>310</v>
      </c>
      <c r="B6204" s="405" t="s">
        <v>12537</v>
      </c>
      <c r="C6204" s="405" t="s">
        <v>327</v>
      </c>
      <c r="D6204" s="405"/>
      <c r="E6204" s="410">
        <v>41425</v>
      </c>
      <c r="F6204" s="410">
        <v>41470</v>
      </c>
      <c r="G6204" s="405" t="s">
        <v>12538</v>
      </c>
      <c r="H6204" s="405">
        <v>783093139</v>
      </c>
      <c r="I6204" s="405"/>
      <c r="J6204" s="405">
        <v>0.83467599999999997</v>
      </c>
      <c r="K6204" s="405">
        <v>33.888119000000003</v>
      </c>
      <c r="L6204" s="405" t="s">
        <v>6866</v>
      </c>
      <c r="M6204" s="405" t="s">
        <v>9566</v>
      </c>
      <c r="N6204" s="405" t="s">
        <v>9787</v>
      </c>
      <c r="O6204" s="405" t="s">
        <v>11667</v>
      </c>
      <c r="P6204" s="405" t="s">
        <v>12539</v>
      </c>
      <c r="Q6204" s="411">
        <v>4</v>
      </c>
      <c r="R6204" s="405" t="s">
        <v>7224</v>
      </c>
      <c r="S6204" s="405" t="s">
        <v>17013</v>
      </c>
      <c r="T6204" s="405" t="s">
        <v>32102</v>
      </c>
      <c r="U6204" s="405" t="s">
        <v>319</v>
      </c>
    </row>
    <row r="6205" spans="1:21" x14ac:dyDescent="0.25">
      <c r="A6205" s="405" t="s">
        <v>310</v>
      </c>
      <c r="B6205" s="405" t="s">
        <v>12517</v>
      </c>
      <c r="C6205" s="405" t="s">
        <v>327</v>
      </c>
      <c r="D6205" s="405"/>
      <c r="E6205" s="410">
        <v>41425</v>
      </c>
      <c r="F6205" s="410">
        <v>41470</v>
      </c>
      <c r="G6205" s="405" t="s">
        <v>12518</v>
      </c>
      <c r="H6205" s="405">
        <v>784894373</v>
      </c>
      <c r="I6205" s="405"/>
      <c r="J6205" s="405">
        <v>0.85304599999999997</v>
      </c>
      <c r="K6205" s="405">
        <v>34.381864999999998</v>
      </c>
      <c r="L6205" s="405" t="s">
        <v>6866</v>
      </c>
      <c r="M6205" s="405" t="s">
        <v>9763</v>
      </c>
      <c r="N6205" s="405" t="s">
        <v>11470</v>
      </c>
      <c r="O6205" s="405" t="s">
        <v>11471</v>
      </c>
      <c r="P6205" s="405" t="s">
        <v>12180</v>
      </c>
      <c r="Q6205" s="411">
        <v>4</v>
      </c>
      <c r="R6205" s="405" t="s">
        <v>7224</v>
      </c>
      <c r="S6205" s="405" t="s">
        <v>27283</v>
      </c>
      <c r="T6205" s="405" t="s">
        <v>32102</v>
      </c>
      <c r="U6205" s="405" t="s">
        <v>319</v>
      </c>
    </row>
    <row r="6206" spans="1:21" x14ac:dyDescent="0.25">
      <c r="A6206" s="405" t="s">
        <v>310</v>
      </c>
      <c r="B6206" s="405" t="s">
        <v>12524</v>
      </c>
      <c r="C6206" s="405" t="s">
        <v>327</v>
      </c>
      <c r="D6206" s="405"/>
      <c r="E6206" s="410">
        <v>41425</v>
      </c>
      <c r="F6206" s="410">
        <v>41470</v>
      </c>
      <c r="G6206" s="405" t="s">
        <v>12525</v>
      </c>
      <c r="H6206" s="405">
        <v>779838202</v>
      </c>
      <c r="I6206" s="405"/>
      <c r="J6206" s="405">
        <v>0.85114900000000004</v>
      </c>
      <c r="K6206" s="405">
        <v>34.407640999999998</v>
      </c>
      <c r="L6206" s="405" t="s">
        <v>6866</v>
      </c>
      <c r="M6206" s="405" t="s">
        <v>9763</v>
      </c>
      <c r="N6206" s="405" t="s">
        <v>11470</v>
      </c>
      <c r="O6206" s="405" t="s">
        <v>12526</v>
      </c>
      <c r="P6206" s="405" t="s">
        <v>502</v>
      </c>
      <c r="Q6206" s="411">
        <v>4</v>
      </c>
      <c r="R6206" s="405" t="s">
        <v>7224</v>
      </c>
      <c r="S6206" s="405" t="s">
        <v>27316</v>
      </c>
      <c r="T6206" s="405" t="s">
        <v>32102</v>
      </c>
      <c r="U6206" s="405" t="s">
        <v>319</v>
      </c>
    </row>
    <row r="6207" spans="1:21" x14ac:dyDescent="0.25">
      <c r="A6207" s="405" t="s">
        <v>310</v>
      </c>
      <c r="B6207" s="405" t="s">
        <v>4553</v>
      </c>
      <c r="C6207" s="405" t="s">
        <v>311</v>
      </c>
      <c r="D6207" s="405" t="s">
        <v>839</v>
      </c>
      <c r="E6207" s="410">
        <v>41425</v>
      </c>
      <c r="F6207" s="410">
        <v>41470</v>
      </c>
      <c r="G6207" s="405" t="s">
        <v>4554</v>
      </c>
      <c r="H6207" s="405">
        <v>772904180</v>
      </c>
      <c r="I6207" s="405"/>
      <c r="J6207" s="405">
        <v>0.38686300000000001</v>
      </c>
      <c r="K6207" s="405">
        <v>32.559078</v>
      </c>
      <c r="L6207" s="405" t="s">
        <v>314</v>
      </c>
      <c r="M6207" s="405" t="s">
        <v>361</v>
      </c>
      <c r="N6207" s="405" t="s">
        <v>362</v>
      </c>
      <c r="O6207" s="405" t="s">
        <v>469</v>
      </c>
      <c r="P6207" s="405" t="s">
        <v>4555</v>
      </c>
      <c r="Q6207" s="411">
        <v>4</v>
      </c>
      <c r="R6207" s="405" t="s">
        <v>1263</v>
      </c>
      <c r="S6207" s="405" t="s">
        <v>27047</v>
      </c>
      <c r="T6207" s="405" t="s">
        <v>32102</v>
      </c>
      <c r="U6207" s="405" t="s">
        <v>319</v>
      </c>
    </row>
    <row r="6208" spans="1:21" x14ac:dyDescent="0.25">
      <c r="A6208" s="405" t="s">
        <v>310</v>
      </c>
      <c r="B6208" s="405" t="s">
        <v>3990</v>
      </c>
      <c r="C6208" s="405" t="s">
        <v>327</v>
      </c>
      <c r="D6208" s="405"/>
      <c r="E6208" s="410">
        <v>41425</v>
      </c>
      <c r="F6208" s="410">
        <v>41470</v>
      </c>
      <c r="G6208" s="405" t="s">
        <v>3991</v>
      </c>
      <c r="H6208" s="405">
        <v>788444631</v>
      </c>
      <c r="I6208" s="405"/>
      <c r="J6208" s="405">
        <v>0.72491499999999998</v>
      </c>
      <c r="K6208" s="405">
        <v>32.544232000000001</v>
      </c>
      <c r="L6208" s="405" t="s">
        <v>314</v>
      </c>
      <c r="M6208" s="405" t="s">
        <v>959</v>
      </c>
      <c r="N6208" s="405" t="s">
        <v>1308</v>
      </c>
      <c r="O6208" s="405" t="s">
        <v>1094</v>
      </c>
      <c r="P6208" s="405" t="s">
        <v>3992</v>
      </c>
      <c r="Q6208" s="411">
        <v>4</v>
      </c>
      <c r="R6208" s="405" t="s">
        <v>1263</v>
      </c>
      <c r="S6208" s="405" t="s">
        <v>27108</v>
      </c>
      <c r="T6208" s="405" t="s">
        <v>32102</v>
      </c>
      <c r="U6208" s="405" t="s">
        <v>319</v>
      </c>
    </row>
    <row r="6209" spans="1:21" x14ac:dyDescent="0.25">
      <c r="A6209" s="405" t="s">
        <v>310</v>
      </c>
      <c r="B6209" s="405" t="s">
        <v>12827</v>
      </c>
      <c r="C6209" s="405" t="s">
        <v>311</v>
      </c>
      <c r="D6209" s="405" t="s">
        <v>839</v>
      </c>
      <c r="E6209" s="410">
        <v>41424</v>
      </c>
      <c r="F6209" s="410">
        <v>41469</v>
      </c>
      <c r="G6209" s="405" t="s">
        <v>12828</v>
      </c>
      <c r="H6209" s="405">
        <v>772451510</v>
      </c>
      <c r="I6209" s="405"/>
      <c r="J6209" s="405">
        <v>1.506437</v>
      </c>
      <c r="K6209" s="405">
        <v>33.775404999999999</v>
      </c>
      <c r="L6209" s="405" t="s">
        <v>6866</v>
      </c>
      <c r="M6209" s="405" t="s">
        <v>10012</v>
      </c>
      <c r="N6209" s="405" t="s">
        <v>10012</v>
      </c>
      <c r="O6209" s="405" t="s">
        <v>10012</v>
      </c>
      <c r="P6209" s="405" t="s">
        <v>12829</v>
      </c>
      <c r="Q6209" s="411">
        <v>6</v>
      </c>
      <c r="R6209" s="405" t="s">
        <v>5655</v>
      </c>
      <c r="S6209" s="405" t="s">
        <v>27072</v>
      </c>
      <c r="T6209" s="405" t="s">
        <v>32102</v>
      </c>
      <c r="U6209" s="405" t="s">
        <v>319</v>
      </c>
    </row>
    <row r="6210" spans="1:21" x14ac:dyDescent="0.25">
      <c r="A6210" s="405" t="s">
        <v>310</v>
      </c>
      <c r="B6210" s="405" t="s">
        <v>65</v>
      </c>
      <c r="C6210" s="405" t="s">
        <v>327</v>
      </c>
      <c r="D6210" s="405"/>
      <c r="E6210" s="410">
        <v>41424</v>
      </c>
      <c r="F6210" s="410">
        <v>41469</v>
      </c>
      <c r="G6210" s="405" t="s">
        <v>12494</v>
      </c>
      <c r="H6210" s="405">
        <v>783229227</v>
      </c>
      <c r="I6210" s="405"/>
      <c r="J6210" s="405">
        <v>1.0048330000000001</v>
      </c>
      <c r="K6210" s="405">
        <v>33.773899999999998</v>
      </c>
      <c r="L6210" s="405" t="s">
        <v>6866</v>
      </c>
      <c r="M6210" s="405" t="s">
        <v>10152</v>
      </c>
      <c r="N6210" s="405" t="s">
        <v>10152</v>
      </c>
      <c r="O6210" s="405" t="s">
        <v>11455</v>
      </c>
      <c r="P6210" s="405" t="s">
        <v>11455</v>
      </c>
      <c r="Q6210" s="411">
        <v>6</v>
      </c>
      <c r="R6210" s="405" t="s">
        <v>9541</v>
      </c>
      <c r="S6210" s="405" t="s">
        <v>27315</v>
      </c>
      <c r="T6210" s="405" t="s">
        <v>32102</v>
      </c>
      <c r="U6210" s="405" t="s">
        <v>319</v>
      </c>
    </row>
    <row r="6211" spans="1:21" x14ac:dyDescent="0.25">
      <c r="A6211" s="405" t="s">
        <v>310</v>
      </c>
      <c r="B6211" s="405" t="s">
        <v>4518</v>
      </c>
      <c r="C6211" s="405" t="s">
        <v>311</v>
      </c>
      <c r="D6211" s="405" t="s">
        <v>839</v>
      </c>
      <c r="E6211" s="410">
        <v>41424</v>
      </c>
      <c r="F6211" s="410">
        <v>41469</v>
      </c>
      <c r="G6211" s="405" t="s">
        <v>4519</v>
      </c>
      <c r="H6211" s="405">
        <v>705442047</v>
      </c>
      <c r="I6211" s="405"/>
      <c r="J6211" s="405">
        <v>0.40175499999999997</v>
      </c>
      <c r="K6211" s="405">
        <v>31.648033000000002</v>
      </c>
      <c r="L6211" s="405" t="s">
        <v>314</v>
      </c>
      <c r="M6211" s="405" t="s">
        <v>445</v>
      </c>
      <c r="N6211" s="405" t="s">
        <v>570</v>
      </c>
      <c r="O6211" s="405" t="s">
        <v>2734</v>
      </c>
      <c r="P6211" s="405" t="s">
        <v>4049</v>
      </c>
      <c r="Q6211" s="411">
        <v>6</v>
      </c>
      <c r="R6211" s="405" t="s">
        <v>2060</v>
      </c>
      <c r="S6211" s="405" t="s">
        <v>27053</v>
      </c>
      <c r="T6211" s="405" t="s">
        <v>32102</v>
      </c>
      <c r="U6211" s="405" t="s">
        <v>319</v>
      </c>
    </row>
    <row r="6212" spans="1:21" x14ac:dyDescent="0.25">
      <c r="A6212" s="405" t="s">
        <v>310</v>
      </c>
      <c r="B6212" s="405" t="s">
        <v>12399</v>
      </c>
      <c r="C6212" s="405" t="s">
        <v>327</v>
      </c>
      <c r="D6212" s="405"/>
      <c r="E6212" s="410">
        <v>41424</v>
      </c>
      <c r="F6212" s="410">
        <v>41469</v>
      </c>
      <c r="G6212" s="405" t="s">
        <v>12400</v>
      </c>
      <c r="H6212" s="405">
        <v>752955169</v>
      </c>
      <c r="I6212" s="405">
        <v>779918194</v>
      </c>
      <c r="J6212" s="405">
        <v>1.580973</v>
      </c>
      <c r="K6212" s="405">
        <v>33.532587999999997</v>
      </c>
      <c r="L6212" s="405" t="s">
        <v>6866</v>
      </c>
      <c r="M6212" s="405" t="s">
        <v>9658</v>
      </c>
      <c r="N6212" s="405" t="s">
        <v>9658</v>
      </c>
      <c r="O6212" s="405" t="s">
        <v>12037</v>
      </c>
      <c r="P6212" s="405" t="s">
        <v>12401</v>
      </c>
      <c r="Q6212" s="411">
        <v>4</v>
      </c>
      <c r="R6212" s="405" t="s">
        <v>5655</v>
      </c>
      <c r="S6212" s="405" t="s">
        <v>27324</v>
      </c>
      <c r="T6212" s="405" t="s">
        <v>32102</v>
      </c>
      <c r="U6212" s="405" t="s">
        <v>319</v>
      </c>
    </row>
    <row r="6213" spans="1:21" x14ac:dyDescent="0.25">
      <c r="A6213" s="405" t="s">
        <v>310</v>
      </c>
      <c r="B6213" s="405" t="s">
        <v>27974</v>
      </c>
      <c r="C6213" s="405" t="s">
        <v>857</v>
      </c>
      <c r="D6213" s="405" t="s">
        <v>4543</v>
      </c>
      <c r="E6213" s="410">
        <v>41423</v>
      </c>
      <c r="F6213" s="410">
        <v>41468</v>
      </c>
      <c r="G6213" s="405" t="s">
        <v>4544</v>
      </c>
      <c r="H6213" s="405">
        <v>789139657</v>
      </c>
      <c r="I6213" s="405"/>
      <c r="J6213" s="405">
        <v>0.28752499999999998</v>
      </c>
      <c r="K6213" s="405">
        <v>32.965240000000001</v>
      </c>
      <c r="L6213" s="405" t="s">
        <v>314</v>
      </c>
      <c r="M6213" s="405" t="s">
        <v>349</v>
      </c>
      <c r="N6213" s="405" t="s">
        <v>473</v>
      </c>
      <c r="O6213" s="405" t="s">
        <v>349</v>
      </c>
      <c r="P6213" s="405" t="s">
        <v>931</v>
      </c>
      <c r="Q6213" s="411">
        <v>12</v>
      </c>
      <c r="R6213" s="405" t="s">
        <v>318</v>
      </c>
      <c r="S6213" s="405" t="s">
        <v>27120</v>
      </c>
      <c r="T6213" s="405" t="s">
        <v>32102</v>
      </c>
      <c r="U6213" s="405" t="s">
        <v>319</v>
      </c>
    </row>
    <row r="6214" spans="1:21" x14ac:dyDescent="0.25">
      <c r="A6214" s="405" t="s">
        <v>310</v>
      </c>
      <c r="B6214" s="405" t="s">
        <v>4057</v>
      </c>
      <c r="C6214" s="405" t="s">
        <v>327</v>
      </c>
      <c r="D6214" s="405"/>
      <c r="E6214" s="410">
        <v>41423</v>
      </c>
      <c r="F6214" s="410">
        <v>41468</v>
      </c>
      <c r="G6214" s="405" t="s">
        <v>4058</v>
      </c>
      <c r="H6214" s="405">
        <v>772934083</v>
      </c>
      <c r="I6214" s="405"/>
      <c r="J6214" s="405">
        <v>0.44558700000000001</v>
      </c>
      <c r="K6214" s="405">
        <v>31.687673</v>
      </c>
      <c r="L6214" s="405" t="s">
        <v>314</v>
      </c>
      <c r="M6214" s="405" t="s">
        <v>445</v>
      </c>
      <c r="N6214" s="405" t="s">
        <v>570</v>
      </c>
      <c r="O6214" s="405" t="s">
        <v>2734</v>
      </c>
      <c r="P6214" s="405" t="s">
        <v>4059</v>
      </c>
      <c r="Q6214" s="411">
        <v>6</v>
      </c>
      <c r="R6214" s="405" t="s">
        <v>32476</v>
      </c>
      <c r="S6214" s="405" t="s">
        <v>27189</v>
      </c>
      <c r="T6214" s="405" t="s">
        <v>32102</v>
      </c>
      <c r="U6214" s="405" t="s">
        <v>319</v>
      </c>
    </row>
    <row r="6215" spans="1:21" x14ac:dyDescent="0.25">
      <c r="A6215" s="405" t="s">
        <v>310</v>
      </c>
      <c r="B6215" s="405" t="s">
        <v>12540</v>
      </c>
      <c r="C6215" s="405" t="s">
        <v>327</v>
      </c>
      <c r="D6215" s="405"/>
      <c r="E6215" s="410">
        <v>41423</v>
      </c>
      <c r="F6215" s="410">
        <v>41468</v>
      </c>
      <c r="G6215" s="405" t="s">
        <v>12541</v>
      </c>
      <c r="H6215" s="405">
        <v>752889228</v>
      </c>
      <c r="I6215" s="405">
        <v>780230299</v>
      </c>
      <c r="J6215" s="405">
        <v>0.82853600000000005</v>
      </c>
      <c r="K6215" s="405">
        <v>33.88008</v>
      </c>
      <c r="L6215" s="405" t="s">
        <v>6866</v>
      </c>
      <c r="M6215" s="405" t="s">
        <v>9566</v>
      </c>
      <c r="N6215" s="405" t="s">
        <v>9787</v>
      </c>
      <c r="O6215" s="405" t="s">
        <v>11667</v>
      </c>
      <c r="P6215" s="405" t="s">
        <v>12542</v>
      </c>
      <c r="Q6215" s="411">
        <v>4</v>
      </c>
      <c r="R6215" s="405" t="s">
        <v>7224</v>
      </c>
      <c r="S6215" s="405" t="s">
        <v>27298</v>
      </c>
      <c r="T6215" s="405" t="s">
        <v>32102</v>
      </c>
      <c r="U6215" s="405" t="s">
        <v>319</v>
      </c>
    </row>
    <row r="6216" spans="1:21" x14ac:dyDescent="0.25">
      <c r="A6216" s="405" t="s">
        <v>310</v>
      </c>
      <c r="B6216" s="405" t="s">
        <v>4073</v>
      </c>
      <c r="C6216" s="405" t="s">
        <v>327</v>
      </c>
      <c r="D6216" s="405"/>
      <c r="E6216" s="410">
        <v>41422</v>
      </c>
      <c r="F6216" s="410">
        <v>41467</v>
      </c>
      <c r="G6216" s="405" t="s">
        <v>4074</v>
      </c>
      <c r="H6216" s="405">
        <v>752848407</v>
      </c>
      <c r="I6216" s="405"/>
      <c r="J6216" s="405">
        <v>-0.12217699999999999</v>
      </c>
      <c r="K6216" s="405">
        <v>31.300322999999999</v>
      </c>
      <c r="L6216" s="405" t="s">
        <v>314</v>
      </c>
      <c r="M6216" s="405" t="s">
        <v>1805</v>
      </c>
      <c r="N6216" s="405" t="s">
        <v>1805</v>
      </c>
      <c r="O6216" s="405" t="s">
        <v>4075</v>
      </c>
      <c r="P6216" s="405" t="s">
        <v>4076</v>
      </c>
      <c r="Q6216" s="411">
        <v>13</v>
      </c>
      <c r="R6216" s="405" t="s">
        <v>1263</v>
      </c>
      <c r="S6216" s="405" t="s">
        <v>27196</v>
      </c>
      <c r="T6216" s="405" t="s">
        <v>32102</v>
      </c>
      <c r="U6216" s="405" t="s">
        <v>319</v>
      </c>
    </row>
    <row r="6217" spans="1:21" x14ac:dyDescent="0.25">
      <c r="A6217" s="405" t="s">
        <v>310</v>
      </c>
      <c r="B6217" s="405" t="s">
        <v>27736</v>
      </c>
      <c r="C6217" s="405" t="s">
        <v>327</v>
      </c>
      <c r="D6217" s="405"/>
      <c r="E6217" s="410">
        <v>41422</v>
      </c>
      <c r="F6217" s="410">
        <v>41467</v>
      </c>
      <c r="G6217" s="405" t="s">
        <v>18622</v>
      </c>
      <c r="H6217" s="405">
        <v>782248573</v>
      </c>
      <c r="I6217" s="405"/>
      <c r="J6217" s="405">
        <v>2.4664299999999999</v>
      </c>
      <c r="K6217" s="405">
        <v>33.704639999999998</v>
      </c>
      <c r="L6217" s="405" t="s">
        <v>860</v>
      </c>
      <c r="M6217" s="405" t="s">
        <v>18623</v>
      </c>
      <c r="N6217" s="405" t="s">
        <v>18624</v>
      </c>
      <c r="O6217" s="405" t="s">
        <v>18625</v>
      </c>
      <c r="P6217" s="405" t="s">
        <v>18626</v>
      </c>
      <c r="Q6217" s="411">
        <v>6</v>
      </c>
      <c r="R6217" s="405" t="s">
        <v>5655</v>
      </c>
      <c r="S6217" s="405" t="s">
        <v>27072</v>
      </c>
      <c r="T6217" s="405" t="s">
        <v>32102</v>
      </c>
      <c r="U6217" s="405" t="s">
        <v>319</v>
      </c>
    </row>
    <row r="6218" spans="1:21" x14ac:dyDescent="0.25">
      <c r="A6218" s="405" t="s">
        <v>310</v>
      </c>
      <c r="B6218" s="405" t="s">
        <v>12484</v>
      </c>
      <c r="C6218" s="405" t="s">
        <v>327</v>
      </c>
      <c r="D6218" s="405"/>
      <c r="E6218" s="410">
        <v>41422</v>
      </c>
      <c r="F6218" s="410">
        <v>41467</v>
      </c>
      <c r="G6218" s="405" t="s">
        <v>12485</v>
      </c>
      <c r="H6218" s="405">
        <v>779875253</v>
      </c>
      <c r="I6218" s="405"/>
      <c r="J6218" s="405">
        <v>1.046578</v>
      </c>
      <c r="K6218" s="405">
        <v>33.734738</v>
      </c>
      <c r="L6218" s="405" t="s">
        <v>6866</v>
      </c>
      <c r="M6218" s="405" t="s">
        <v>10152</v>
      </c>
      <c r="N6218" s="405" t="s">
        <v>10152</v>
      </c>
      <c r="O6218" s="405" t="s">
        <v>11455</v>
      </c>
      <c r="P6218" s="405" t="s">
        <v>10261</v>
      </c>
      <c r="Q6218" s="411">
        <v>6</v>
      </c>
      <c r="R6218" s="405" t="s">
        <v>9506</v>
      </c>
      <c r="S6218" s="405" t="s">
        <v>27294</v>
      </c>
      <c r="T6218" s="405" t="s">
        <v>32102</v>
      </c>
      <c r="U6218" s="405" t="s">
        <v>319</v>
      </c>
    </row>
    <row r="6219" spans="1:21" x14ac:dyDescent="0.25">
      <c r="A6219" s="405" t="s">
        <v>310</v>
      </c>
      <c r="B6219" s="405" t="s">
        <v>21268</v>
      </c>
      <c r="C6219" s="405" t="s">
        <v>327</v>
      </c>
      <c r="D6219" s="405"/>
      <c r="E6219" s="410">
        <v>41421</v>
      </c>
      <c r="F6219" s="410">
        <v>41466</v>
      </c>
      <c r="G6219" s="405" t="s">
        <v>21269</v>
      </c>
      <c r="H6219" s="405">
        <v>785625766</v>
      </c>
      <c r="I6219" s="405"/>
      <c r="J6219" s="405">
        <v>-0.72886300000000004</v>
      </c>
      <c r="K6219" s="405">
        <v>29.861021999999998</v>
      </c>
      <c r="L6219" s="405" t="s">
        <v>590</v>
      </c>
      <c r="M6219" s="405" t="s">
        <v>19619</v>
      </c>
      <c r="N6219" s="405" t="s">
        <v>19793</v>
      </c>
      <c r="O6219" s="405" t="s">
        <v>6395</v>
      </c>
      <c r="P6219" s="405" t="s">
        <v>21145</v>
      </c>
      <c r="Q6219" s="411">
        <v>9</v>
      </c>
      <c r="R6219" s="405" t="s">
        <v>1527</v>
      </c>
      <c r="S6219" s="405" t="s">
        <v>27161</v>
      </c>
      <c r="T6219" s="405" t="s">
        <v>32102</v>
      </c>
      <c r="U6219" s="405" t="s">
        <v>319</v>
      </c>
    </row>
    <row r="6220" spans="1:21" x14ac:dyDescent="0.25">
      <c r="A6220" s="405" t="s">
        <v>310</v>
      </c>
      <c r="B6220" s="405" t="s">
        <v>21270</v>
      </c>
      <c r="C6220" s="405" t="s">
        <v>327</v>
      </c>
      <c r="D6220" s="405"/>
      <c r="E6220" s="410">
        <v>41421</v>
      </c>
      <c r="F6220" s="410">
        <v>41466</v>
      </c>
      <c r="G6220" s="405" t="s">
        <v>21271</v>
      </c>
      <c r="H6220" s="405">
        <v>772892256</v>
      </c>
      <c r="I6220" s="405">
        <v>782964416</v>
      </c>
      <c r="J6220" s="405">
        <v>-0.52107000000000003</v>
      </c>
      <c r="K6220" s="405">
        <v>30.036283000000001</v>
      </c>
      <c r="L6220" s="405" t="s">
        <v>590</v>
      </c>
      <c r="M6220" s="405" t="s">
        <v>20032</v>
      </c>
      <c r="N6220" s="405" t="s">
        <v>20033</v>
      </c>
      <c r="O6220" s="405" t="s">
        <v>20790</v>
      </c>
      <c r="P6220" s="405" t="s">
        <v>21272</v>
      </c>
      <c r="Q6220" s="411">
        <v>6</v>
      </c>
      <c r="R6220" s="405" t="s">
        <v>19622</v>
      </c>
      <c r="S6220" s="405" t="s">
        <v>27183</v>
      </c>
      <c r="T6220" s="405" t="s">
        <v>32102</v>
      </c>
      <c r="U6220" s="405" t="s">
        <v>319</v>
      </c>
    </row>
    <row r="6221" spans="1:21" x14ac:dyDescent="0.25">
      <c r="A6221" s="405" t="s">
        <v>310</v>
      </c>
      <c r="B6221" s="405" t="s">
        <v>12393</v>
      </c>
      <c r="C6221" s="405" t="s">
        <v>327</v>
      </c>
      <c r="D6221" s="405"/>
      <c r="E6221" s="410">
        <v>41421</v>
      </c>
      <c r="F6221" s="410">
        <v>41466</v>
      </c>
      <c r="G6221" s="405" t="s">
        <v>12394</v>
      </c>
      <c r="H6221" s="405">
        <v>787726200</v>
      </c>
      <c r="I6221" s="405"/>
      <c r="J6221" s="405">
        <v>0.71960400000000002</v>
      </c>
      <c r="K6221" s="405">
        <v>33.881903999999999</v>
      </c>
      <c r="L6221" s="405" t="s">
        <v>6866</v>
      </c>
      <c r="M6221" s="405" t="s">
        <v>9566</v>
      </c>
      <c r="N6221" s="405" t="s">
        <v>9787</v>
      </c>
      <c r="O6221" s="405" t="s">
        <v>9788</v>
      </c>
      <c r="P6221" s="405" t="s">
        <v>6012</v>
      </c>
      <c r="Q6221" s="411">
        <v>6</v>
      </c>
      <c r="R6221" s="405" t="s">
        <v>7224</v>
      </c>
      <c r="S6221" s="405" t="s">
        <v>17013</v>
      </c>
      <c r="T6221" s="405" t="s">
        <v>32102</v>
      </c>
      <c r="U6221" s="405" t="s">
        <v>319</v>
      </c>
    </row>
    <row r="6222" spans="1:21" x14ac:dyDescent="0.25">
      <c r="A6222" s="405" t="s">
        <v>310</v>
      </c>
      <c r="B6222" s="405" t="s">
        <v>27759</v>
      </c>
      <c r="C6222" s="405" t="s">
        <v>327</v>
      </c>
      <c r="D6222" s="405"/>
      <c r="E6222" s="410">
        <v>41420</v>
      </c>
      <c r="F6222" s="410">
        <v>41465</v>
      </c>
      <c r="G6222" s="405" t="s">
        <v>21209</v>
      </c>
      <c r="H6222" s="405">
        <v>701166294</v>
      </c>
      <c r="I6222" s="405">
        <v>701166294</v>
      </c>
      <c r="J6222" s="405">
        <v>-0.81395499999999998</v>
      </c>
      <c r="K6222" s="405">
        <v>30.813362999999999</v>
      </c>
      <c r="L6222" s="405" t="s">
        <v>590</v>
      </c>
      <c r="M6222" s="405" t="s">
        <v>879</v>
      </c>
      <c r="N6222" s="405" t="s">
        <v>879</v>
      </c>
      <c r="O6222" s="405" t="s">
        <v>21210</v>
      </c>
      <c r="P6222" s="405" t="s">
        <v>21211</v>
      </c>
      <c r="Q6222" s="411">
        <v>13</v>
      </c>
      <c r="R6222" s="405" t="s">
        <v>333</v>
      </c>
      <c r="S6222" s="405" t="s">
        <v>27104</v>
      </c>
      <c r="T6222" s="405" t="s">
        <v>32102</v>
      </c>
      <c r="U6222" s="405" t="s">
        <v>319</v>
      </c>
    </row>
    <row r="6223" spans="1:21" x14ac:dyDescent="0.25">
      <c r="A6223" s="405" t="s">
        <v>310</v>
      </c>
      <c r="B6223" s="405" t="s">
        <v>28593</v>
      </c>
      <c r="C6223" s="405" t="s">
        <v>311</v>
      </c>
      <c r="D6223" s="405" t="s">
        <v>839</v>
      </c>
      <c r="E6223" s="410">
        <v>41420</v>
      </c>
      <c r="F6223" s="410">
        <v>41465</v>
      </c>
      <c r="G6223" s="405" t="s">
        <v>4514</v>
      </c>
      <c r="H6223" s="405">
        <v>784161849</v>
      </c>
      <c r="I6223" s="405"/>
      <c r="J6223" s="405">
        <v>0.45032299999999997</v>
      </c>
      <c r="K6223" s="405">
        <v>31.714099999999998</v>
      </c>
      <c r="L6223" s="405" t="s">
        <v>314</v>
      </c>
      <c r="M6223" s="405" t="s">
        <v>445</v>
      </c>
      <c r="N6223" s="405" t="s">
        <v>570</v>
      </c>
      <c r="O6223" s="405" t="s">
        <v>2734</v>
      </c>
      <c r="P6223" s="405" t="s">
        <v>3873</v>
      </c>
      <c r="Q6223" s="411">
        <v>9</v>
      </c>
      <c r="R6223" s="405" t="s">
        <v>32476</v>
      </c>
      <c r="S6223" s="405" t="s">
        <v>27041</v>
      </c>
      <c r="T6223" s="405" t="s">
        <v>32102</v>
      </c>
      <c r="U6223" s="405" t="s">
        <v>319</v>
      </c>
    </row>
    <row r="6224" spans="1:21" x14ac:dyDescent="0.25">
      <c r="A6224" s="405" t="s">
        <v>310</v>
      </c>
      <c r="B6224" s="405" t="s">
        <v>4045</v>
      </c>
      <c r="C6224" s="405" t="s">
        <v>327</v>
      </c>
      <c r="D6224" s="405"/>
      <c r="E6224" s="410">
        <v>41420</v>
      </c>
      <c r="F6224" s="410">
        <v>41465</v>
      </c>
      <c r="G6224" s="405" t="s">
        <v>4046</v>
      </c>
      <c r="H6224" s="405">
        <v>776682249</v>
      </c>
      <c r="I6224" s="405"/>
      <c r="J6224" s="405">
        <v>0.45322499999999999</v>
      </c>
      <c r="K6224" s="405">
        <v>31.712975</v>
      </c>
      <c r="L6224" s="405" t="s">
        <v>314</v>
      </c>
      <c r="M6224" s="405" t="s">
        <v>445</v>
      </c>
      <c r="N6224" s="405" t="s">
        <v>570</v>
      </c>
      <c r="O6224" s="405" t="s">
        <v>2734</v>
      </c>
      <c r="P6224" s="405" t="s">
        <v>3873</v>
      </c>
      <c r="Q6224" s="411">
        <v>6</v>
      </c>
      <c r="R6224" s="405" t="s">
        <v>1263</v>
      </c>
      <c r="S6224" s="405" t="s">
        <v>27189</v>
      </c>
      <c r="T6224" s="405" t="s">
        <v>32102</v>
      </c>
      <c r="U6224" s="405" t="s">
        <v>319</v>
      </c>
    </row>
    <row r="6225" spans="1:21" x14ac:dyDescent="0.25">
      <c r="A6225" s="405" t="s">
        <v>310</v>
      </c>
      <c r="B6225" s="405" t="s">
        <v>28681</v>
      </c>
      <c r="C6225" s="405" t="s">
        <v>327</v>
      </c>
      <c r="D6225" s="405"/>
      <c r="E6225" s="410">
        <v>41419</v>
      </c>
      <c r="F6225" s="410">
        <v>41464</v>
      </c>
      <c r="G6225" s="405" t="s">
        <v>12424</v>
      </c>
      <c r="H6225" s="405">
        <v>774797569</v>
      </c>
      <c r="I6225" s="405"/>
      <c r="J6225" s="405">
        <v>1.5204200000000001</v>
      </c>
      <c r="K6225" s="405">
        <v>33.823146999999999</v>
      </c>
      <c r="L6225" s="405" t="s">
        <v>6866</v>
      </c>
      <c r="M6225" s="405" t="s">
        <v>10012</v>
      </c>
      <c r="N6225" s="405" t="s">
        <v>10012</v>
      </c>
      <c r="O6225" s="405" t="s">
        <v>10779</v>
      </c>
      <c r="P6225" s="405" t="s">
        <v>10869</v>
      </c>
      <c r="Q6225" s="411">
        <v>6</v>
      </c>
      <c r="R6225" s="405" t="s">
        <v>7224</v>
      </c>
      <c r="S6225" s="405" t="s">
        <v>27327</v>
      </c>
      <c r="T6225" s="405" t="s">
        <v>32102</v>
      </c>
      <c r="U6225" s="405" t="s">
        <v>319</v>
      </c>
    </row>
    <row r="6226" spans="1:21" x14ac:dyDescent="0.25">
      <c r="A6226" s="405" t="s">
        <v>310</v>
      </c>
      <c r="B6226" s="405" t="s">
        <v>12842</v>
      </c>
      <c r="C6226" s="405" t="s">
        <v>311</v>
      </c>
      <c r="D6226" s="405" t="s">
        <v>1111</v>
      </c>
      <c r="E6226" s="410">
        <v>41419</v>
      </c>
      <c r="F6226" s="410">
        <v>41464</v>
      </c>
      <c r="G6226" s="405" t="s">
        <v>12843</v>
      </c>
      <c r="H6226" s="405">
        <v>784750364</v>
      </c>
      <c r="I6226" s="405"/>
      <c r="J6226" s="405">
        <v>0.97557899999999997</v>
      </c>
      <c r="K6226" s="405">
        <v>34.333773000000001</v>
      </c>
      <c r="L6226" s="405" t="s">
        <v>6866</v>
      </c>
      <c r="M6226" s="405" t="s">
        <v>9763</v>
      </c>
      <c r="N6226" s="405" t="s">
        <v>9764</v>
      </c>
      <c r="O6226" s="405" t="s">
        <v>11926</v>
      </c>
      <c r="P6226" s="405" t="s">
        <v>11750</v>
      </c>
      <c r="Q6226" s="411">
        <v>6</v>
      </c>
      <c r="R6226" s="405" t="s">
        <v>7224</v>
      </c>
      <c r="S6226" s="405" t="s">
        <v>27306</v>
      </c>
      <c r="T6226" s="405" t="s">
        <v>32102</v>
      </c>
      <c r="U6226" s="405" t="s">
        <v>319</v>
      </c>
    </row>
    <row r="6227" spans="1:21" x14ac:dyDescent="0.25">
      <c r="A6227" s="405" t="s">
        <v>310</v>
      </c>
      <c r="B6227" s="405" t="s">
        <v>12507</v>
      </c>
      <c r="C6227" s="405" t="s">
        <v>327</v>
      </c>
      <c r="D6227" s="405"/>
      <c r="E6227" s="410">
        <v>41419</v>
      </c>
      <c r="F6227" s="410">
        <v>41464</v>
      </c>
      <c r="G6227" s="405" t="s">
        <v>12508</v>
      </c>
      <c r="H6227" s="405">
        <v>753834184</v>
      </c>
      <c r="I6227" s="405"/>
      <c r="J6227" s="405">
        <v>1.2660359999999999</v>
      </c>
      <c r="K6227" s="405">
        <v>34.741174000000001</v>
      </c>
      <c r="L6227" s="405" t="s">
        <v>6866</v>
      </c>
      <c r="M6227" s="405" t="s">
        <v>10163</v>
      </c>
      <c r="N6227" s="405" t="s">
        <v>10164</v>
      </c>
      <c r="O6227" s="405" t="s">
        <v>10168</v>
      </c>
      <c r="P6227" s="405" t="s">
        <v>12509</v>
      </c>
      <c r="Q6227" s="411">
        <v>6</v>
      </c>
      <c r="R6227" s="405" t="s">
        <v>9506</v>
      </c>
      <c r="S6227" s="405" t="s">
        <v>27184</v>
      </c>
      <c r="T6227" s="405" t="s">
        <v>32102</v>
      </c>
      <c r="U6227" s="405" t="s">
        <v>319</v>
      </c>
    </row>
    <row r="6228" spans="1:21" x14ac:dyDescent="0.25">
      <c r="A6228" s="405" t="s">
        <v>310</v>
      </c>
      <c r="B6228" s="405" t="s">
        <v>29122</v>
      </c>
      <c r="C6228" s="405" t="s">
        <v>327</v>
      </c>
      <c r="D6228" s="405"/>
      <c r="E6228" s="410">
        <v>41418</v>
      </c>
      <c r="F6228" s="410">
        <v>41463</v>
      </c>
      <c r="G6228" s="405" t="s">
        <v>18615</v>
      </c>
      <c r="H6228" s="405">
        <v>772640580</v>
      </c>
      <c r="I6228" s="405">
        <v>771449731</v>
      </c>
      <c r="J6228" s="405">
        <v>1.9737579999999999</v>
      </c>
      <c r="K6228" s="405">
        <v>33.080702000000002</v>
      </c>
      <c r="L6228" s="405" t="s">
        <v>860</v>
      </c>
      <c r="M6228" s="405" t="s">
        <v>12189</v>
      </c>
      <c r="N6228" s="405" t="s">
        <v>18270</v>
      </c>
      <c r="O6228" s="405" t="s">
        <v>18271</v>
      </c>
      <c r="P6228" s="405" t="s">
        <v>18616</v>
      </c>
      <c r="Q6228" s="411">
        <v>13</v>
      </c>
      <c r="R6228" s="405" t="s">
        <v>525</v>
      </c>
      <c r="S6228" s="405" t="s">
        <v>27243</v>
      </c>
      <c r="T6228" s="405" t="s">
        <v>32102</v>
      </c>
      <c r="U6228" s="405" t="s">
        <v>319</v>
      </c>
    </row>
    <row r="6229" spans="1:21" x14ac:dyDescent="0.25">
      <c r="A6229" s="405" t="s">
        <v>310</v>
      </c>
      <c r="B6229" s="405" t="s">
        <v>28443</v>
      </c>
      <c r="C6229" s="405" t="s">
        <v>311</v>
      </c>
      <c r="D6229" s="405" t="s">
        <v>1789</v>
      </c>
      <c r="E6229" s="410">
        <v>41418</v>
      </c>
      <c r="F6229" s="410">
        <v>41463</v>
      </c>
      <c r="G6229" s="405" t="s">
        <v>4399</v>
      </c>
      <c r="H6229" s="405">
        <v>774763528</v>
      </c>
      <c r="I6229" s="405"/>
      <c r="J6229" s="405">
        <v>0.60724900000000004</v>
      </c>
      <c r="K6229" s="405">
        <v>33.009587000000003</v>
      </c>
      <c r="L6229" s="405" t="s">
        <v>314</v>
      </c>
      <c r="M6229" s="405" t="s">
        <v>502</v>
      </c>
      <c r="N6229" s="405" t="s">
        <v>503</v>
      </c>
      <c r="O6229" s="405" t="s">
        <v>2179</v>
      </c>
      <c r="P6229" s="405" t="s">
        <v>4400</v>
      </c>
      <c r="Q6229" s="411">
        <v>6</v>
      </c>
      <c r="R6229" s="405" t="s">
        <v>1263</v>
      </c>
      <c r="S6229" s="405" t="s">
        <v>27202</v>
      </c>
      <c r="T6229" s="405" t="s">
        <v>32102</v>
      </c>
      <c r="U6229" s="405" t="s">
        <v>319</v>
      </c>
    </row>
    <row r="6230" spans="1:21" x14ac:dyDescent="0.25">
      <c r="A6230" s="405" t="s">
        <v>310</v>
      </c>
      <c r="B6230" s="405" t="s">
        <v>4005</v>
      </c>
      <c r="C6230" s="405" t="s">
        <v>327</v>
      </c>
      <c r="D6230" s="405"/>
      <c r="E6230" s="410">
        <v>41418</v>
      </c>
      <c r="F6230" s="410">
        <v>41463</v>
      </c>
      <c r="G6230" s="405" t="s">
        <v>4006</v>
      </c>
      <c r="H6230" s="405">
        <v>782101364</v>
      </c>
      <c r="I6230" s="405">
        <v>701639031</v>
      </c>
      <c r="J6230" s="405">
        <v>-0.15300800000000001</v>
      </c>
      <c r="K6230" s="405">
        <v>31.82002</v>
      </c>
      <c r="L6230" s="405" t="s">
        <v>314</v>
      </c>
      <c r="M6230" s="405" t="s">
        <v>900</v>
      </c>
      <c r="N6230" s="405" t="s">
        <v>1119</v>
      </c>
      <c r="O6230" s="405" t="s">
        <v>1302</v>
      </c>
      <c r="P6230" s="405" t="s">
        <v>4007</v>
      </c>
      <c r="Q6230" s="411">
        <v>6</v>
      </c>
      <c r="R6230" s="405" t="s">
        <v>333</v>
      </c>
      <c r="S6230" s="405" t="s">
        <v>414</v>
      </c>
      <c r="T6230" s="405" t="s">
        <v>32102</v>
      </c>
      <c r="U6230" s="405" t="s">
        <v>319</v>
      </c>
    </row>
    <row r="6231" spans="1:21" x14ac:dyDescent="0.25">
      <c r="A6231" s="405" t="s">
        <v>310</v>
      </c>
      <c r="B6231" s="405" t="s">
        <v>12519</v>
      </c>
      <c r="C6231" s="405" t="s">
        <v>327</v>
      </c>
      <c r="D6231" s="405"/>
      <c r="E6231" s="410">
        <v>41418</v>
      </c>
      <c r="F6231" s="410">
        <v>41463</v>
      </c>
      <c r="G6231" s="405" t="s">
        <v>12520</v>
      </c>
      <c r="H6231" s="405">
        <v>774697792</v>
      </c>
      <c r="I6231" s="405"/>
      <c r="J6231" s="405">
        <v>0.85946100000000003</v>
      </c>
      <c r="K6231" s="405">
        <v>34.395000000000003</v>
      </c>
      <c r="L6231" s="405" t="s">
        <v>6866</v>
      </c>
      <c r="M6231" s="405" t="s">
        <v>9763</v>
      </c>
      <c r="N6231" s="405" t="s">
        <v>11470</v>
      </c>
      <c r="O6231" s="405" t="s">
        <v>11471</v>
      </c>
      <c r="P6231" s="405" t="s">
        <v>11953</v>
      </c>
      <c r="Q6231" s="411">
        <v>6</v>
      </c>
      <c r="R6231" s="405" t="s">
        <v>9541</v>
      </c>
      <c r="S6231" s="405" t="s">
        <v>27294</v>
      </c>
      <c r="T6231" s="405" t="s">
        <v>32102</v>
      </c>
      <c r="U6231" s="405" t="s">
        <v>319</v>
      </c>
    </row>
    <row r="6232" spans="1:21" x14ac:dyDescent="0.25">
      <c r="A6232" s="405" t="s">
        <v>310</v>
      </c>
      <c r="B6232" s="405" t="s">
        <v>18670</v>
      </c>
      <c r="C6232" s="405" t="s">
        <v>327</v>
      </c>
      <c r="D6232" s="405"/>
      <c r="E6232" s="410">
        <v>41418</v>
      </c>
      <c r="F6232" s="410">
        <v>41463</v>
      </c>
      <c r="G6232" s="405" t="s">
        <v>18671</v>
      </c>
      <c r="H6232" s="405">
        <v>785879406</v>
      </c>
      <c r="I6232" s="405"/>
      <c r="J6232" s="405">
        <v>2.7403840000000002</v>
      </c>
      <c r="K6232" s="405">
        <v>32.319881000000002</v>
      </c>
      <c r="L6232" s="405" t="s">
        <v>860</v>
      </c>
      <c r="M6232" s="405" t="s">
        <v>853</v>
      </c>
      <c r="N6232" s="405" t="s">
        <v>18311</v>
      </c>
      <c r="O6232" s="405" t="s">
        <v>18307</v>
      </c>
      <c r="P6232" s="405" t="s">
        <v>18307</v>
      </c>
      <c r="Q6232" s="411">
        <v>6</v>
      </c>
      <c r="R6232" s="405" t="s">
        <v>994</v>
      </c>
      <c r="S6232" s="405" t="s">
        <v>27229</v>
      </c>
      <c r="T6232" s="405" t="s">
        <v>32102</v>
      </c>
      <c r="U6232" s="405" t="s">
        <v>319</v>
      </c>
    </row>
    <row r="6233" spans="1:21" x14ac:dyDescent="0.25">
      <c r="A6233" s="405" t="s">
        <v>310</v>
      </c>
      <c r="B6233" s="405" t="s">
        <v>4055</v>
      </c>
      <c r="C6233" s="405" t="s">
        <v>327</v>
      </c>
      <c r="D6233" s="405"/>
      <c r="E6233" s="410">
        <v>41418</v>
      </c>
      <c r="F6233" s="410">
        <v>41463</v>
      </c>
      <c r="G6233" s="405" t="s">
        <v>4056</v>
      </c>
      <c r="H6233" s="405">
        <v>702213175</v>
      </c>
      <c r="I6233" s="405">
        <v>701321631</v>
      </c>
      <c r="J6233" s="405">
        <v>0.43141200000000002</v>
      </c>
      <c r="K6233" s="405">
        <v>31.630980000000001</v>
      </c>
      <c r="L6233" s="405" t="s">
        <v>314</v>
      </c>
      <c r="M6233" s="405" t="s">
        <v>445</v>
      </c>
      <c r="N6233" s="405" t="s">
        <v>570</v>
      </c>
      <c r="O6233" s="405" t="s">
        <v>2734</v>
      </c>
      <c r="P6233" s="405" t="s">
        <v>4052</v>
      </c>
      <c r="Q6233" s="411">
        <v>6</v>
      </c>
      <c r="R6233" s="405" t="s">
        <v>2060</v>
      </c>
      <c r="S6233" s="405" t="s">
        <v>27053</v>
      </c>
      <c r="T6233" s="405" t="s">
        <v>32102</v>
      </c>
      <c r="U6233" s="405" t="s">
        <v>319</v>
      </c>
    </row>
    <row r="6234" spans="1:21" x14ac:dyDescent="0.25">
      <c r="A6234" s="405" t="s">
        <v>310</v>
      </c>
      <c r="B6234" s="405" t="s">
        <v>12501</v>
      </c>
      <c r="C6234" s="405" t="s">
        <v>327</v>
      </c>
      <c r="D6234" s="405"/>
      <c r="E6234" s="410">
        <v>41418</v>
      </c>
      <c r="F6234" s="410">
        <v>41463</v>
      </c>
      <c r="G6234" s="405" t="s">
        <v>12502</v>
      </c>
      <c r="H6234" s="405">
        <v>773365427</v>
      </c>
      <c r="I6234" s="405"/>
      <c r="J6234" s="405">
        <v>1.2523820000000001</v>
      </c>
      <c r="K6234" s="405">
        <v>34.743747999999997</v>
      </c>
      <c r="L6234" s="405" t="s">
        <v>6866</v>
      </c>
      <c r="M6234" s="405" t="s">
        <v>10163</v>
      </c>
      <c r="N6234" s="405" t="s">
        <v>10164</v>
      </c>
      <c r="O6234" s="405" t="s">
        <v>10168</v>
      </c>
      <c r="P6234" s="405" t="s">
        <v>12503</v>
      </c>
      <c r="Q6234" s="411">
        <v>6</v>
      </c>
      <c r="R6234" s="405" t="s">
        <v>9506</v>
      </c>
      <c r="S6234" s="405" t="s">
        <v>27184</v>
      </c>
      <c r="T6234" s="405" t="s">
        <v>32102</v>
      </c>
      <c r="U6234" s="405" t="s">
        <v>319</v>
      </c>
    </row>
    <row r="6235" spans="1:21" x14ac:dyDescent="0.25">
      <c r="A6235" s="405" t="s">
        <v>310</v>
      </c>
      <c r="B6235" s="405" t="s">
        <v>12438</v>
      </c>
      <c r="C6235" s="405" t="s">
        <v>327</v>
      </c>
      <c r="D6235" s="405"/>
      <c r="E6235" s="410">
        <v>41418</v>
      </c>
      <c r="F6235" s="410">
        <v>41463</v>
      </c>
      <c r="G6235" s="405" t="s">
        <v>12439</v>
      </c>
      <c r="H6235" s="405">
        <v>785181674</v>
      </c>
      <c r="I6235" s="405"/>
      <c r="J6235" s="405">
        <v>1.0249520000000001</v>
      </c>
      <c r="K6235" s="405">
        <v>34.276128</v>
      </c>
      <c r="L6235" s="405" t="s">
        <v>6866</v>
      </c>
      <c r="M6235" s="405" t="s">
        <v>9514</v>
      </c>
      <c r="N6235" s="405" t="s">
        <v>9529</v>
      </c>
      <c r="O6235" s="405" t="s">
        <v>11449</v>
      </c>
      <c r="P6235" s="405" t="s">
        <v>12440</v>
      </c>
      <c r="Q6235" s="411">
        <v>4</v>
      </c>
      <c r="R6235" s="405" t="s">
        <v>7224</v>
      </c>
      <c r="S6235" s="405" t="s">
        <v>27298</v>
      </c>
      <c r="T6235" s="405" t="s">
        <v>32102</v>
      </c>
      <c r="U6235" s="405" t="s">
        <v>319</v>
      </c>
    </row>
    <row r="6236" spans="1:21" x14ac:dyDescent="0.25">
      <c r="A6236" s="405" t="s">
        <v>310</v>
      </c>
      <c r="B6236" s="405" t="s">
        <v>21187</v>
      </c>
      <c r="C6236" s="405" t="s">
        <v>327</v>
      </c>
      <c r="D6236" s="405"/>
      <c r="E6236" s="410">
        <v>41417</v>
      </c>
      <c r="F6236" s="410">
        <v>41462</v>
      </c>
      <c r="G6236" s="405" t="s">
        <v>21188</v>
      </c>
      <c r="H6236" s="405">
        <v>783857322</v>
      </c>
      <c r="I6236" s="405"/>
      <c r="J6236" s="405">
        <v>0.58789599999999997</v>
      </c>
      <c r="K6236" s="405">
        <v>30.314374999999998</v>
      </c>
      <c r="L6236" s="405" t="s">
        <v>590</v>
      </c>
      <c r="M6236" s="405" t="s">
        <v>20125</v>
      </c>
      <c r="N6236" s="405" t="s">
        <v>20126</v>
      </c>
      <c r="O6236" s="405" t="s">
        <v>20845</v>
      </c>
      <c r="P6236" s="405" t="s">
        <v>19938</v>
      </c>
      <c r="Q6236" s="411">
        <v>13</v>
      </c>
      <c r="R6236" s="405" t="s">
        <v>883</v>
      </c>
      <c r="S6236" s="405" t="s">
        <v>27065</v>
      </c>
      <c r="T6236" s="405" t="s">
        <v>32102</v>
      </c>
      <c r="U6236" s="405" t="s">
        <v>319</v>
      </c>
    </row>
    <row r="6237" spans="1:21" x14ac:dyDescent="0.25">
      <c r="A6237" s="405" t="s">
        <v>310</v>
      </c>
      <c r="B6237" s="405" t="s">
        <v>27921</v>
      </c>
      <c r="C6237" s="405" t="s">
        <v>311</v>
      </c>
      <c r="D6237" s="405" t="s">
        <v>839</v>
      </c>
      <c r="E6237" s="410">
        <v>41417</v>
      </c>
      <c r="F6237" s="410">
        <v>41462</v>
      </c>
      <c r="G6237" s="405" t="s">
        <v>21496</v>
      </c>
      <c r="H6237" s="405">
        <v>772517106</v>
      </c>
      <c r="I6237" s="405">
        <v>754517106</v>
      </c>
      <c r="J6237" s="405">
        <v>1.4144737999999999</v>
      </c>
      <c r="K6237" s="405">
        <v>31.368636299999999</v>
      </c>
      <c r="L6237" s="405" t="s">
        <v>590</v>
      </c>
      <c r="M6237" s="405" t="s">
        <v>7300</v>
      </c>
      <c r="N6237" s="405" t="s">
        <v>20091</v>
      </c>
      <c r="O6237" s="405" t="s">
        <v>20309</v>
      </c>
      <c r="P6237" s="405" t="s">
        <v>21497</v>
      </c>
      <c r="Q6237" s="411">
        <v>6</v>
      </c>
      <c r="R6237" s="405" t="s">
        <v>318</v>
      </c>
      <c r="S6237" s="405" t="s">
        <v>22481</v>
      </c>
      <c r="T6237" s="405" t="s">
        <v>32102</v>
      </c>
      <c r="U6237" s="405" t="s">
        <v>319</v>
      </c>
    </row>
    <row r="6238" spans="1:21" x14ac:dyDescent="0.25">
      <c r="A6238" s="405" t="s">
        <v>310</v>
      </c>
      <c r="B6238" s="405" t="s">
        <v>18634</v>
      </c>
      <c r="C6238" s="405" t="s">
        <v>327</v>
      </c>
      <c r="D6238" s="405"/>
      <c r="E6238" s="410">
        <v>41417</v>
      </c>
      <c r="F6238" s="410">
        <v>41462</v>
      </c>
      <c r="G6238" s="405" t="s">
        <v>18635</v>
      </c>
      <c r="H6238" s="405">
        <v>772481408</v>
      </c>
      <c r="I6238" s="405"/>
      <c r="J6238" s="405">
        <v>2.0086189999999999</v>
      </c>
      <c r="K6238" s="405">
        <v>33.178747999999999</v>
      </c>
      <c r="L6238" s="405" t="s">
        <v>860</v>
      </c>
      <c r="M6238" s="405" t="s">
        <v>12189</v>
      </c>
      <c r="N6238" s="405" t="s">
        <v>18270</v>
      </c>
      <c r="O6238" s="405" t="s">
        <v>18636</v>
      </c>
      <c r="P6238" s="405" t="s">
        <v>18449</v>
      </c>
      <c r="Q6238" s="411">
        <v>6</v>
      </c>
      <c r="R6238" s="405" t="s">
        <v>318</v>
      </c>
      <c r="S6238" s="405" t="s">
        <v>27343</v>
      </c>
      <c r="T6238" s="405" t="s">
        <v>32102</v>
      </c>
      <c r="U6238" s="405" t="s">
        <v>319</v>
      </c>
    </row>
    <row r="6239" spans="1:21" x14ac:dyDescent="0.25">
      <c r="A6239" s="405" t="s">
        <v>310</v>
      </c>
      <c r="B6239" s="405" t="s">
        <v>18676</v>
      </c>
      <c r="C6239" s="405" t="s">
        <v>327</v>
      </c>
      <c r="D6239" s="405"/>
      <c r="E6239" s="410">
        <v>41417</v>
      </c>
      <c r="F6239" s="410">
        <v>41462</v>
      </c>
      <c r="G6239" s="405" t="s">
        <v>18677</v>
      </c>
      <c r="H6239" s="405">
        <v>781501487</v>
      </c>
      <c r="I6239" s="405"/>
      <c r="J6239" s="405">
        <v>2.8717250000000001</v>
      </c>
      <c r="K6239" s="405">
        <v>32.285243000000001</v>
      </c>
      <c r="L6239" s="405" t="s">
        <v>860</v>
      </c>
      <c r="M6239" s="405" t="s">
        <v>853</v>
      </c>
      <c r="N6239" s="405" t="s">
        <v>18335</v>
      </c>
      <c r="O6239" s="405" t="s">
        <v>18573</v>
      </c>
      <c r="P6239" s="405" t="s">
        <v>18678</v>
      </c>
      <c r="Q6239" s="411">
        <v>6</v>
      </c>
      <c r="R6239" s="405" t="s">
        <v>333</v>
      </c>
      <c r="S6239" s="405" t="s">
        <v>27378</v>
      </c>
      <c r="T6239" s="405" t="s">
        <v>32102</v>
      </c>
      <c r="U6239" s="405" t="s">
        <v>319</v>
      </c>
    </row>
    <row r="6240" spans="1:21" x14ac:dyDescent="0.25">
      <c r="A6240" s="405" t="s">
        <v>310</v>
      </c>
      <c r="B6240" s="405" t="s">
        <v>12460</v>
      </c>
      <c r="C6240" s="405" t="s">
        <v>327</v>
      </c>
      <c r="D6240" s="405"/>
      <c r="E6240" s="410">
        <v>41417</v>
      </c>
      <c r="F6240" s="410">
        <v>41462</v>
      </c>
      <c r="G6240" s="405" t="s">
        <v>12461</v>
      </c>
      <c r="H6240" s="405">
        <v>773754299</v>
      </c>
      <c r="I6240" s="405"/>
      <c r="J6240" s="405">
        <v>1.205678</v>
      </c>
      <c r="K6240" s="405">
        <v>33.750836999999997</v>
      </c>
      <c r="L6240" s="405" t="s">
        <v>6866</v>
      </c>
      <c r="M6240" s="405" t="s">
        <v>9509</v>
      </c>
      <c r="N6240" s="405" t="s">
        <v>7352</v>
      </c>
      <c r="O6240" s="405" t="s">
        <v>7352</v>
      </c>
      <c r="P6240" s="405" t="s">
        <v>12462</v>
      </c>
      <c r="Q6240" s="411">
        <v>4</v>
      </c>
      <c r="R6240" s="405" t="s">
        <v>7224</v>
      </c>
      <c r="S6240" s="405" t="s">
        <v>27107</v>
      </c>
      <c r="T6240" s="405" t="s">
        <v>32102</v>
      </c>
      <c r="U6240" s="405" t="s">
        <v>319</v>
      </c>
    </row>
    <row r="6241" spans="1:21" x14ac:dyDescent="0.25">
      <c r="A6241" s="405" t="s">
        <v>310</v>
      </c>
      <c r="B6241" s="405" t="s">
        <v>28872</v>
      </c>
      <c r="C6241" s="405" t="s">
        <v>327</v>
      </c>
      <c r="D6241" s="405"/>
      <c r="E6241" s="410">
        <v>41416</v>
      </c>
      <c r="F6241" s="410">
        <v>41461</v>
      </c>
      <c r="G6241" s="405" t="s">
        <v>21170</v>
      </c>
      <c r="H6241" s="405">
        <v>702845974</v>
      </c>
      <c r="I6241" s="405"/>
      <c r="J6241" s="405">
        <v>-0.62873800000000002</v>
      </c>
      <c r="K6241" s="405">
        <v>30.215968</v>
      </c>
      <c r="L6241" s="405" t="s">
        <v>590</v>
      </c>
      <c r="M6241" s="405" t="s">
        <v>19725</v>
      </c>
      <c r="N6241" s="405" t="s">
        <v>19725</v>
      </c>
      <c r="O6241" s="405" t="s">
        <v>20013</v>
      </c>
      <c r="P6241" s="405" t="s">
        <v>20997</v>
      </c>
      <c r="Q6241" s="411">
        <v>13</v>
      </c>
      <c r="R6241" s="405" t="s">
        <v>883</v>
      </c>
      <c r="S6241" s="405" t="s">
        <v>27271</v>
      </c>
      <c r="T6241" s="405" t="s">
        <v>32102</v>
      </c>
      <c r="U6241" s="405" t="s">
        <v>319</v>
      </c>
    </row>
    <row r="6242" spans="1:21" x14ac:dyDescent="0.25">
      <c r="A6242" s="405" t="s">
        <v>310</v>
      </c>
      <c r="B6242" s="405" t="s">
        <v>21166</v>
      </c>
      <c r="C6242" s="405" t="s">
        <v>327</v>
      </c>
      <c r="D6242" s="405"/>
      <c r="E6242" s="410">
        <v>41416</v>
      </c>
      <c r="F6242" s="410">
        <v>41461</v>
      </c>
      <c r="G6242" s="405" t="s">
        <v>21167</v>
      </c>
      <c r="H6242" s="405">
        <v>782491773</v>
      </c>
      <c r="I6242" s="405"/>
      <c r="J6242" s="405">
        <v>-0.65804600000000002</v>
      </c>
      <c r="K6242" s="405">
        <v>30.162754</v>
      </c>
      <c r="L6242" s="405" t="s">
        <v>590</v>
      </c>
      <c r="M6242" s="405" t="s">
        <v>19625</v>
      </c>
      <c r="N6242" s="405" t="s">
        <v>19642</v>
      </c>
      <c r="O6242" s="405" t="s">
        <v>21168</v>
      </c>
      <c r="P6242" s="405" t="s">
        <v>21169</v>
      </c>
      <c r="Q6242" s="411">
        <v>9</v>
      </c>
      <c r="R6242" s="405" t="s">
        <v>333</v>
      </c>
      <c r="S6242" s="405" t="s">
        <v>27096</v>
      </c>
      <c r="T6242" s="405" t="s">
        <v>32102</v>
      </c>
      <c r="U6242" s="405" t="s">
        <v>319</v>
      </c>
    </row>
    <row r="6243" spans="1:21" x14ac:dyDescent="0.25">
      <c r="A6243" s="405" t="s">
        <v>310</v>
      </c>
      <c r="B6243" s="405" t="s">
        <v>27510</v>
      </c>
      <c r="C6243" s="405" t="s">
        <v>327</v>
      </c>
      <c r="D6243" s="405"/>
      <c r="E6243" s="410">
        <v>41416</v>
      </c>
      <c r="F6243" s="410">
        <v>41461</v>
      </c>
      <c r="G6243" s="405" t="s">
        <v>18631</v>
      </c>
      <c r="H6243" s="405">
        <v>772360236</v>
      </c>
      <c r="I6243" s="405"/>
      <c r="J6243" s="405">
        <v>1.9563489999999999</v>
      </c>
      <c r="K6243" s="405">
        <v>33.139395999999998</v>
      </c>
      <c r="L6243" s="405" t="s">
        <v>860</v>
      </c>
      <c r="M6243" s="405" t="s">
        <v>12189</v>
      </c>
      <c r="N6243" s="405" t="s">
        <v>18294</v>
      </c>
      <c r="O6243" s="405" t="s">
        <v>18632</v>
      </c>
      <c r="P6243" s="405" t="s">
        <v>18633</v>
      </c>
      <c r="Q6243" s="411">
        <v>6</v>
      </c>
      <c r="R6243" s="405" t="s">
        <v>525</v>
      </c>
      <c r="S6243" s="405" t="s">
        <v>27359</v>
      </c>
      <c r="T6243" s="405" t="s">
        <v>32102</v>
      </c>
      <c r="U6243" s="405" t="s">
        <v>319</v>
      </c>
    </row>
    <row r="6244" spans="1:21" x14ac:dyDescent="0.25">
      <c r="A6244" s="405" t="s">
        <v>310</v>
      </c>
      <c r="B6244" s="405" t="s">
        <v>21171</v>
      </c>
      <c r="C6244" s="405" t="s">
        <v>327</v>
      </c>
      <c r="D6244" s="405"/>
      <c r="E6244" s="410">
        <v>41416</v>
      </c>
      <c r="F6244" s="410">
        <v>41461</v>
      </c>
      <c r="G6244" s="405" t="s">
        <v>21172</v>
      </c>
      <c r="H6244" s="405">
        <v>782165124</v>
      </c>
      <c r="I6244" s="405"/>
      <c r="J6244" s="405">
        <v>-0.67612700000000003</v>
      </c>
      <c r="K6244" s="405">
        <v>30.355664000000001</v>
      </c>
      <c r="L6244" s="405" t="s">
        <v>590</v>
      </c>
      <c r="M6244" s="405" t="s">
        <v>19725</v>
      </c>
      <c r="N6244" s="405" t="s">
        <v>19725</v>
      </c>
      <c r="O6244" s="405" t="s">
        <v>19797</v>
      </c>
      <c r="P6244" s="405" t="s">
        <v>20612</v>
      </c>
      <c r="Q6244" s="411">
        <v>6</v>
      </c>
      <c r="R6244" s="405" t="s">
        <v>1527</v>
      </c>
      <c r="S6244" s="405" t="s">
        <v>27240</v>
      </c>
      <c r="T6244" s="405" t="s">
        <v>32102</v>
      </c>
      <c r="U6244" s="405" t="s">
        <v>319</v>
      </c>
    </row>
    <row r="6245" spans="1:21" x14ac:dyDescent="0.25">
      <c r="A6245" s="405" t="s">
        <v>310</v>
      </c>
      <c r="B6245" s="405" t="s">
        <v>12498</v>
      </c>
      <c r="C6245" s="405" t="s">
        <v>327</v>
      </c>
      <c r="D6245" s="405"/>
      <c r="E6245" s="410">
        <v>41416</v>
      </c>
      <c r="F6245" s="410">
        <v>41461</v>
      </c>
      <c r="G6245" s="405" t="s">
        <v>12499</v>
      </c>
      <c r="H6245" s="405">
        <v>772411714</v>
      </c>
      <c r="I6245" s="405"/>
      <c r="J6245" s="405">
        <v>1.074578</v>
      </c>
      <c r="K6245" s="405">
        <v>34.196975000000002</v>
      </c>
      <c r="L6245" s="405" t="s">
        <v>6866</v>
      </c>
      <c r="M6245" s="405" t="s">
        <v>9514</v>
      </c>
      <c r="N6245" s="405" t="s">
        <v>10236</v>
      </c>
      <c r="O6245" s="405" t="s">
        <v>9516</v>
      </c>
      <c r="P6245" s="405" t="s">
        <v>12500</v>
      </c>
      <c r="Q6245" s="411">
        <v>6</v>
      </c>
      <c r="R6245" s="405" t="s">
        <v>7224</v>
      </c>
      <c r="S6245" s="405" t="s">
        <v>27306</v>
      </c>
      <c r="T6245" s="405" t="s">
        <v>32102</v>
      </c>
      <c r="U6245" s="405" t="s">
        <v>319</v>
      </c>
    </row>
    <row r="6246" spans="1:21" x14ac:dyDescent="0.25">
      <c r="A6246" s="405" t="s">
        <v>310</v>
      </c>
      <c r="B6246" s="405" t="s">
        <v>12535</v>
      </c>
      <c r="C6246" s="405" t="s">
        <v>327</v>
      </c>
      <c r="D6246" s="405"/>
      <c r="E6246" s="410">
        <v>41416</v>
      </c>
      <c r="F6246" s="410">
        <v>41461</v>
      </c>
      <c r="G6246" s="405" t="s">
        <v>12536</v>
      </c>
      <c r="H6246" s="405">
        <v>778346572</v>
      </c>
      <c r="I6246" s="405"/>
      <c r="J6246" s="405">
        <v>0.74177700000000002</v>
      </c>
      <c r="K6246" s="405">
        <v>34.180633</v>
      </c>
      <c r="L6246" s="405" t="s">
        <v>6866</v>
      </c>
      <c r="M6246" s="405" t="s">
        <v>9534</v>
      </c>
      <c r="N6246" s="405" t="s">
        <v>10113</v>
      </c>
      <c r="O6246" s="405" t="s">
        <v>9770</v>
      </c>
      <c r="P6246" s="405" t="s">
        <v>11522</v>
      </c>
      <c r="Q6246" s="411">
        <v>6</v>
      </c>
      <c r="R6246" s="405" t="s">
        <v>7224</v>
      </c>
      <c r="S6246" s="405" t="s">
        <v>27259</v>
      </c>
      <c r="T6246" s="405" t="s">
        <v>32102</v>
      </c>
      <c r="U6246" s="405" t="s">
        <v>319</v>
      </c>
    </row>
    <row r="6247" spans="1:21" x14ac:dyDescent="0.25">
      <c r="A6247" s="405" t="s">
        <v>310</v>
      </c>
      <c r="B6247" s="405" t="s">
        <v>18679</v>
      </c>
      <c r="C6247" s="405" t="s">
        <v>327</v>
      </c>
      <c r="D6247" s="405"/>
      <c r="E6247" s="410">
        <v>41416</v>
      </c>
      <c r="F6247" s="410">
        <v>41461</v>
      </c>
      <c r="G6247" s="405" t="s">
        <v>18680</v>
      </c>
      <c r="H6247" s="405">
        <v>782567044</v>
      </c>
      <c r="I6247" s="405"/>
      <c r="J6247" s="405">
        <v>2.3681239999999999</v>
      </c>
      <c r="K6247" s="405">
        <v>32.696246000000002</v>
      </c>
      <c r="L6247" s="405" t="s">
        <v>860</v>
      </c>
      <c r="M6247" s="405" t="s">
        <v>18288</v>
      </c>
      <c r="N6247" s="405" t="s">
        <v>18681</v>
      </c>
      <c r="O6247" s="405" t="s">
        <v>18681</v>
      </c>
      <c r="P6247" s="405" t="s">
        <v>18682</v>
      </c>
      <c r="Q6247" s="411">
        <v>6</v>
      </c>
      <c r="R6247" s="405" t="s">
        <v>525</v>
      </c>
      <c r="S6247" s="405" t="s">
        <v>27307</v>
      </c>
      <c r="T6247" s="405" t="s">
        <v>32102</v>
      </c>
      <c r="U6247" s="405" t="s">
        <v>319</v>
      </c>
    </row>
    <row r="6248" spans="1:21" x14ac:dyDescent="0.25">
      <c r="A6248" s="405" t="s">
        <v>310</v>
      </c>
      <c r="B6248" s="405" t="s">
        <v>3969</v>
      </c>
      <c r="C6248" s="405" t="s">
        <v>327</v>
      </c>
      <c r="D6248" s="405"/>
      <c r="E6248" s="410">
        <v>41416</v>
      </c>
      <c r="F6248" s="410">
        <v>41461</v>
      </c>
      <c r="G6248" s="405" t="s">
        <v>3970</v>
      </c>
      <c r="H6248" s="405">
        <v>775782705</v>
      </c>
      <c r="I6248" s="405"/>
      <c r="J6248" s="405">
        <v>9.5069999999999998E-3</v>
      </c>
      <c r="K6248" s="405">
        <v>31.999658</v>
      </c>
      <c r="L6248" s="405" t="s">
        <v>314</v>
      </c>
      <c r="M6248" s="405" t="s">
        <v>321</v>
      </c>
      <c r="N6248" s="405" t="s">
        <v>322</v>
      </c>
      <c r="O6248" s="405" t="s">
        <v>2436</v>
      </c>
      <c r="P6248" s="405" t="s">
        <v>3971</v>
      </c>
      <c r="Q6248" s="411">
        <v>6</v>
      </c>
      <c r="R6248" s="405" t="s">
        <v>402</v>
      </c>
      <c r="S6248" s="405" t="s">
        <v>27181</v>
      </c>
      <c r="T6248" s="405" t="s">
        <v>32102</v>
      </c>
      <c r="U6248" s="405" t="s">
        <v>319</v>
      </c>
    </row>
    <row r="6249" spans="1:21" x14ac:dyDescent="0.25">
      <c r="A6249" s="405" t="s">
        <v>310</v>
      </c>
      <c r="B6249" s="405" t="s">
        <v>12390</v>
      </c>
      <c r="C6249" s="405" t="s">
        <v>327</v>
      </c>
      <c r="D6249" s="405"/>
      <c r="E6249" s="410">
        <v>41416</v>
      </c>
      <c r="F6249" s="410">
        <v>41461</v>
      </c>
      <c r="G6249" s="405" t="s">
        <v>12391</v>
      </c>
      <c r="H6249" s="405">
        <v>784093444</v>
      </c>
      <c r="I6249" s="405"/>
      <c r="J6249" s="405">
        <v>1.0066619999999999</v>
      </c>
      <c r="K6249" s="405">
        <v>34.372925000000002</v>
      </c>
      <c r="L6249" s="405" t="s">
        <v>6866</v>
      </c>
      <c r="M6249" s="405" t="s">
        <v>6867</v>
      </c>
      <c r="N6249" s="405" t="s">
        <v>10297</v>
      </c>
      <c r="O6249" s="405" t="s">
        <v>11414</v>
      </c>
      <c r="P6249" s="405" t="s">
        <v>12392</v>
      </c>
      <c r="Q6249" s="411">
        <v>6</v>
      </c>
      <c r="R6249" s="405" t="s">
        <v>7224</v>
      </c>
      <c r="S6249" s="405" t="s">
        <v>27197</v>
      </c>
      <c r="T6249" s="405" t="s">
        <v>32102</v>
      </c>
      <c r="U6249" s="405" t="s">
        <v>319</v>
      </c>
    </row>
    <row r="6250" spans="1:21" x14ac:dyDescent="0.25">
      <c r="A6250" s="405" t="s">
        <v>310</v>
      </c>
      <c r="B6250" s="405" t="s">
        <v>12435</v>
      </c>
      <c r="C6250" s="405" t="s">
        <v>327</v>
      </c>
      <c r="D6250" s="405"/>
      <c r="E6250" s="410">
        <v>41416</v>
      </c>
      <c r="F6250" s="410">
        <v>41461</v>
      </c>
      <c r="G6250" s="405" t="s">
        <v>12436</v>
      </c>
      <c r="H6250" s="405">
        <v>789946101</v>
      </c>
      <c r="I6250" s="405"/>
      <c r="J6250" s="405">
        <v>1.6428069999999999</v>
      </c>
      <c r="K6250" s="405">
        <v>33.832957</v>
      </c>
      <c r="L6250" s="405" t="s">
        <v>6866</v>
      </c>
      <c r="M6250" s="405" t="s">
        <v>10012</v>
      </c>
      <c r="N6250" s="405" t="s">
        <v>10012</v>
      </c>
      <c r="O6250" s="405" t="s">
        <v>10267</v>
      </c>
      <c r="P6250" s="405" t="s">
        <v>12437</v>
      </c>
      <c r="Q6250" s="411">
        <v>4</v>
      </c>
      <c r="R6250" s="405" t="s">
        <v>5655</v>
      </c>
      <c r="S6250" s="405" t="s">
        <v>27340</v>
      </c>
      <c r="T6250" s="405" t="s">
        <v>32102</v>
      </c>
      <c r="U6250" s="405" t="s">
        <v>319</v>
      </c>
    </row>
    <row r="6251" spans="1:21" x14ac:dyDescent="0.25">
      <c r="A6251" s="405" t="s">
        <v>310</v>
      </c>
      <c r="B6251" s="405" t="s">
        <v>4066</v>
      </c>
      <c r="C6251" s="405" t="s">
        <v>327</v>
      </c>
      <c r="D6251" s="405"/>
      <c r="E6251" s="410">
        <v>41415</v>
      </c>
      <c r="F6251" s="410">
        <v>41460</v>
      </c>
      <c r="G6251" s="405" t="s">
        <v>4067</v>
      </c>
      <c r="H6251" s="405">
        <v>772455427</v>
      </c>
      <c r="I6251" s="405"/>
      <c r="J6251" s="405">
        <v>1.522505</v>
      </c>
      <c r="K6251" s="405">
        <v>32.439807000000002</v>
      </c>
      <c r="L6251" s="405" t="s">
        <v>314</v>
      </c>
      <c r="M6251" s="405" t="s">
        <v>2512</v>
      </c>
      <c r="N6251" s="405" t="s">
        <v>2589</v>
      </c>
      <c r="O6251" s="405" t="s">
        <v>3903</v>
      </c>
      <c r="P6251" s="405" t="s">
        <v>4068</v>
      </c>
      <c r="Q6251" s="411">
        <v>13</v>
      </c>
      <c r="R6251" s="405" t="s">
        <v>1263</v>
      </c>
      <c r="S6251" s="405" t="s">
        <v>27047</v>
      </c>
      <c r="T6251" s="405" t="s">
        <v>32102</v>
      </c>
      <c r="U6251" s="405" t="s">
        <v>319</v>
      </c>
    </row>
    <row r="6252" spans="1:21" x14ac:dyDescent="0.25">
      <c r="A6252" s="405" t="s">
        <v>310</v>
      </c>
      <c r="B6252" s="405" t="s">
        <v>21199</v>
      </c>
      <c r="C6252" s="405" t="s">
        <v>327</v>
      </c>
      <c r="D6252" s="405"/>
      <c r="E6252" s="410">
        <v>41415</v>
      </c>
      <c r="F6252" s="410">
        <v>41460</v>
      </c>
      <c r="G6252" s="405" t="s">
        <v>21200</v>
      </c>
      <c r="H6252" s="405">
        <v>782310355</v>
      </c>
      <c r="I6252" s="405"/>
      <c r="J6252" s="405">
        <v>1.6832800000000001</v>
      </c>
      <c r="K6252" s="405">
        <v>31.722526999999999</v>
      </c>
      <c r="L6252" s="405" t="s">
        <v>590</v>
      </c>
      <c r="M6252" s="405" t="s">
        <v>19608</v>
      </c>
      <c r="N6252" s="405" t="s">
        <v>20244</v>
      </c>
      <c r="O6252" s="405" t="s">
        <v>21201</v>
      </c>
      <c r="P6252" s="405" t="s">
        <v>21202</v>
      </c>
      <c r="Q6252" s="411">
        <v>13</v>
      </c>
      <c r="R6252" s="405" t="s">
        <v>318</v>
      </c>
      <c r="S6252" s="405" t="s">
        <v>27126</v>
      </c>
      <c r="T6252" s="405" t="s">
        <v>32102</v>
      </c>
      <c r="U6252" s="405" t="s">
        <v>319</v>
      </c>
    </row>
    <row r="6253" spans="1:21" x14ac:dyDescent="0.25">
      <c r="A6253" s="405" t="s">
        <v>310</v>
      </c>
      <c r="B6253" s="405" t="s">
        <v>21206</v>
      </c>
      <c r="C6253" s="405" t="s">
        <v>327</v>
      </c>
      <c r="D6253" s="405"/>
      <c r="E6253" s="410">
        <v>41415</v>
      </c>
      <c r="F6253" s="410">
        <v>41460</v>
      </c>
      <c r="G6253" s="405" t="s">
        <v>21207</v>
      </c>
      <c r="H6253" s="405">
        <v>772181717</v>
      </c>
      <c r="I6253" s="405"/>
      <c r="J6253" s="405">
        <v>-0.92745900000000003</v>
      </c>
      <c r="K6253" s="405">
        <v>30.789988999999998</v>
      </c>
      <c r="L6253" s="405" t="s">
        <v>590</v>
      </c>
      <c r="M6253" s="405" t="s">
        <v>879</v>
      </c>
      <c r="N6253" s="405" t="s">
        <v>12376</v>
      </c>
      <c r="O6253" s="405" t="s">
        <v>20176</v>
      </c>
      <c r="P6253" s="405" t="s">
        <v>21208</v>
      </c>
      <c r="Q6253" s="411">
        <v>9</v>
      </c>
      <c r="R6253" s="405" t="s">
        <v>333</v>
      </c>
      <c r="S6253" s="405" t="s">
        <v>27041</v>
      </c>
      <c r="T6253" s="405" t="s">
        <v>32102</v>
      </c>
      <c r="U6253" s="405" t="s">
        <v>319</v>
      </c>
    </row>
    <row r="6254" spans="1:21" x14ac:dyDescent="0.25">
      <c r="A6254" s="405" t="s">
        <v>310</v>
      </c>
      <c r="B6254" s="405" t="s">
        <v>3959</v>
      </c>
      <c r="C6254" s="405" t="s">
        <v>327</v>
      </c>
      <c r="D6254" s="405"/>
      <c r="E6254" s="410">
        <v>41415</v>
      </c>
      <c r="F6254" s="410">
        <v>41460</v>
      </c>
      <c r="G6254" s="405" t="s">
        <v>3960</v>
      </c>
      <c r="H6254" s="405">
        <v>774459078</v>
      </c>
      <c r="I6254" s="405"/>
      <c r="J6254" s="405">
        <v>0.188078</v>
      </c>
      <c r="K6254" s="405">
        <v>32.084122000000001</v>
      </c>
      <c r="L6254" s="405" t="s">
        <v>314</v>
      </c>
      <c r="M6254" s="405" t="s">
        <v>315</v>
      </c>
      <c r="N6254" s="405" t="s">
        <v>315</v>
      </c>
      <c r="O6254" s="405" t="s">
        <v>1252</v>
      </c>
      <c r="P6254" s="405" t="s">
        <v>2088</v>
      </c>
      <c r="Q6254" s="411">
        <v>6</v>
      </c>
      <c r="R6254" s="405" t="s">
        <v>318</v>
      </c>
      <c r="S6254" s="405" t="s">
        <v>27188</v>
      </c>
      <c r="T6254" s="405" t="s">
        <v>32102</v>
      </c>
      <c r="U6254" s="405" t="s">
        <v>319</v>
      </c>
    </row>
    <row r="6255" spans="1:21" x14ac:dyDescent="0.25">
      <c r="A6255" s="405" t="s">
        <v>310</v>
      </c>
      <c r="B6255" s="405" t="s">
        <v>28190</v>
      </c>
      <c r="C6255" s="405" t="s">
        <v>327</v>
      </c>
      <c r="D6255" s="405"/>
      <c r="E6255" s="410">
        <v>41415</v>
      </c>
      <c r="F6255" s="410">
        <v>41460</v>
      </c>
      <c r="G6255" s="405" t="s">
        <v>3922</v>
      </c>
      <c r="H6255" s="405">
        <v>782663779</v>
      </c>
      <c r="I6255" s="405"/>
      <c r="J6255" s="405">
        <v>0.312388</v>
      </c>
      <c r="K6255" s="405">
        <v>32.149124999999998</v>
      </c>
      <c r="L6255" s="405" t="s">
        <v>314</v>
      </c>
      <c r="M6255" s="405" t="s">
        <v>675</v>
      </c>
      <c r="N6255" s="405" t="s">
        <v>676</v>
      </c>
      <c r="O6255" s="405" t="s">
        <v>677</v>
      </c>
      <c r="P6255" s="405" t="s">
        <v>677</v>
      </c>
      <c r="Q6255" s="411">
        <v>6</v>
      </c>
      <c r="R6255" s="405" t="s">
        <v>32476</v>
      </c>
      <c r="S6255" s="405" t="s">
        <v>27215</v>
      </c>
      <c r="T6255" s="405" t="s">
        <v>32102</v>
      </c>
      <c r="U6255" s="405" t="s">
        <v>319</v>
      </c>
    </row>
    <row r="6256" spans="1:21" x14ac:dyDescent="0.25">
      <c r="A6256" s="405" t="s">
        <v>310</v>
      </c>
      <c r="B6256" s="405" t="s">
        <v>21197</v>
      </c>
      <c r="C6256" s="405" t="s">
        <v>327</v>
      </c>
      <c r="D6256" s="405"/>
      <c r="E6256" s="410">
        <v>41414</v>
      </c>
      <c r="F6256" s="410">
        <v>41459</v>
      </c>
      <c r="G6256" s="405" t="s">
        <v>21198</v>
      </c>
      <c r="H6256" s="405">
        <v>777003700</v>
      </c>
      <c r="I6256" s="405"/>
      <c r="J6256" s="405">
        <v>-0.15525800000000001</v>
      </c>
      <c r="K6256" s="405">
        <v>30.925370999999998</v>
      </c>
      <c r="L6256" s="405" t="s">
        <v>590</v>
      </c>
      <c r="M6256" s="405" t="s">
        <v>19705</v>
      </c>
      <c r="N6256" s="405" t="s">
        <v>19706</v>
      </c>
      <c r="O6256" s="405" t="s">
        <v>19714</v>
      </c>
      <c r="P6256" s="405" t="s">
        <v>20312</v>
      </c>
      <c r="Q6256" s="411">
        <v>9</v>
      </c>
      <c r="R6256" s="405" t="s">
        <v>874</v>
      </c>
      <c r="S6256" s="405" t="s">
        <v>27164</v>
      </c>
      <c r="T6256" s="405" t="s">
        <v>32102</v>
      </c>
      <c r="U6256" s="405" t="s">
        <v>319</v>
      </c>
    </row>
    <row r="6257" spans="1:21" x14ac:dyDescent="0.25">
      <c r="A6257" s="405" t="s">
        <v>310</v>
      </c>
      <c r="B6257" s="405" t="s">
        <v>27762</v>
      </c>
      <c r="C6257" s="405" t="s">
        <v>327</v>
      </c>
      <c r="D6257" s="405"/>
      <c r="E6257" s="410">
        <v>41414</v>
      </c>
      <c r="F6257" s="410">
        <v>41459</v>
      </c>
      <c r="G6257" s="405" t="s">
        <v>3997</v>
      </c>
      <c r="H6257" s="405">
        <v>772547803</v>
      </c>
      <c r="I6257" s="405">
        <v>702547803</v>
      </c>
      <c r="J6257" s="405">
        <v>-0.38156499999999999</v>
      </c>
      <c r="K6257" s="405">
        <v>31.311878</v>
      </c>
      <c r="L6257" s="405" t="s">
        <v>314</v>
      </c>
      <c r="M6257" s="405" t="s">
        <v>1189</v>
      </c>
      <c r="N6257" s="405" t="s">
        <v>1552</v>
      </c>
      <c r="O6257" s="405" t="s">
        <v>1477</v>
      </c>
      <c r="P6257" s="405" t="s">
        <v>3998</v>
      </c>
      <c r="Q6257" s="411">
        <v>6</v>
      </c>
      <c r="R6257" s="405" t="s">
        <v>1263</v>
      </c>
      <c r="S6257" s="405" t="s">
        <v>27225</v>
      </c>
      <c r="T6257" s="405" t="s">
        <v>32102</v>
      </c>
      <c r="U6257" s="405" t="s">
        <v>319</v>
      </c>
    </row>
    <row r="6258" spans="1:21" x14ac:dyDescent="0.25">
      <c r="A6258" s="405" t="s">
        <v>310</v>
      </c>
      <c r="B6258" s="405" t="s">
        <v>28114</v>
      </c>
      <c r="C6258" s="405" t="s">
        <v>327</v>
      </c>
      <c r="D6258" s="405"/>
      <c r="E6258" s="410">
        <v>41414</v>
      </c>
      <c r="F6258" s="410">
        <v>41459</v>
      </c>
      <c r="G6258" s="405" t="s">
        <v>21260</v>
      </c>
      <c r="H6258" s="405">
        <v>772872020</v>
      </c>
      <c r="I6258" s="405"/>
      <c r="J6258" s="405">
        <v>-1.402693</v>
      </c>
      <c r="K6258" s="405">
        <v>30.004491999999999</v>
      </c>
      <c r="L6258" s="405" t="s">
        <v>590</v>
      </c>
      <c r="M6258" s="405" t="s">
        <v>5312</v>
      </c>
      <c r="N6258" s="405" t="s">
        <v>21256</v>
      </c>
      <c r="O6258" s="405" t="s">
        <v>21261</v>
      </c>
      <c r="P6258" s="405" t="s">
        <v>21257</v>
      </c>
      <c r="Q6258" s="411">
        <v>6</v>
      </c>
      <c r="R6258" s="405" t="s">
        <v>333</v>
      </c>
      <c r="S6258" s="405" t="s">
        <v>27036</v>
      </c>
      <c r="T6258" s="405" t="s">
        <v>32102</v>
      </c>
      <c r="U6258" s="405" t="s">
        <v>319</v>
      </c>
    </row>
    <row r="6259" spans="1:21" x14ac:dyDescent="0.25">
      <c r="A6259" s="405" t="s">
        <v>310</v>
      </c>
      <c r="B6259" s="405" t="s">
        <v>28115</v>
      </c>
      <c r="C6259" s="405" t="s">
        <v>327</v>
      </c>
      <c r="D6259" s="405"/>
      <c r="E6259" s="410">
        <v>41414</v>
      </c>
      <c r="F6259" s="410">
        <v>41459</v>
      </c>
      <c r="G6259" s="405" t="s">
        <v>21262</v>
      </c>
      <c r="H6259" s="405">
        <v>774142953</v>
      </c>
      <c r="I6259" s="405"/>
      <c r="J6259" s="405">
        <v>-1.257916</v>
      </c>
      <c r="K6259" s="405">
        <v>29.97805</v>
      </c>
      <c r="L6259" s="405" t="s">
        <v>590</v>
      </c>
      <c r="M6259" s="405" t="s">
        <v>5312</v>
      </c>
      <c r="N6259" s="405" t="s">
        <v>20080</v>
      </c>
      <c r="O6259" s="405" t="s">
        <v>4147</v>
      </c>
      <c r="P6259" s="405" t="s">
        <v>21263</v>
      </c>
      <c r="Q6259" s="411">
        <v>6</v>
      </c>
      <c r="R6259" s="405" t="s">
        <v>1527</v>
      </c>
      <c r="S6259" s="405" t="s">
        <v>27394</v>
      </c>
      <c r="T6259" s="405" t="s">
        <v>32102</v>
      </c>
      <c r="U6259" s="405" t="s">
        <v>319</v>
      </c>
    </row>
    <row r="6260" spans="1:21" x14ac:dyDescent="0.25">
      <c r="A6260" s="405" t="s">
        <v>310</v>
      </c>
      <c r="B6260" s="405" t="s">
        <v>28999</v>
      </c>
      <c r="C6260" s="405" t="s">
        <v>327</v>
      </c>
      <c r="D6260" s="405"/>
      <c r="E6260" s="410">
        <v>41414</v>
      </c>
      <c r="F6260" s="410">
        <v>41459</v>
      </c>
      <c r="G6260" s="405" t="s">
        <v>21259</v>
      </c>
      <c r="H6260" s="405">
        <v>788912767</v>
      </c>
      <c r="I6260" s="405"/>
      <c r="J6260" s="405">
        <v>-1.420452</v>
      </c>
      <c r="K6260" s="405">
        <v>29.929283000000002</v>
      </c>
      <c r="L6260" s="405" t="s">
        <v>590</v>
      </c>
      <c r="M6260" s="405" t="s">
        <v>5312</v>
      </c>
      <c r="N6260" s="405" t="s">
        <v>21256</v>
      </c>
      <c r="O6260" s="405" t="s">
        <v>19616</v>
      </c>
      <c r="P6260" s="405" t="s">
        <v>19970</v>
      </c>
      <c r="Q6260" s="411">
        <v>6</v>
      </c>
      <c r="R6260" s="405" t="s">
        <v>967</v>
      </c>
      <c r="S6260" s="405" t="s">
        <v>27413</v>
      </c>
      <c r="T6260" s="405" t="s">
        <v>32102</v>
      </c>
      <c r="U6260" s="405" t="s">
        <v>319</v>
      </c>
    </row>
    <row r="6261" spans="1:21" x14ac:dyDescent="0.25">
      <c r="A6261" s="405" t="s">
        <v>310</v>
      </c>
      <c r="B6261" s="405" t="s">
        <v>12551</v>
      </c>
      <c r="C6261" s="405" t="s">
        <v>327</v>
      </c>
      <c r="D6261" s="405"/>
      <c r="E6261" s="410">
        <v>41414</v>
      </c>
      <c r="F6261" s="410">
        <v>41459</v>
      </c>
      <c r="G6261" s="405" t="s">
        <v>12552</v>
      </c>
      <c r="H6261" s="405">
        <v>777068648</v>
      </c>
      <c r="I6261" s="405"/>
      <c r="J6261" s="405">
        <v>0.321737</v>
      </c>
      <c r="K6261" s="405">
        <v>33.628171999999999</v>
      </c>
      <c r="L6261" s="405" t="s">
        <v>6866</v>
      </c>
      <c r="M6261" s="405" t="s">
        <v>5411</v>
      </c>
      <c r="N6261" s="405" t="s">
        <v>12553</v>
      </c>
      <c r="O6261" s="405" t="s">
        <v>12554</v>
      </c>
      <c r="P6261" s="405" t="s">
        <v>12555</v>
      </c>
      <c r="Q6261" s="411">
        <v>6</v>
      </c>
      <c r="R6261" s="405" t="s">
        <v>333</v>
      </c>
      <c r="S6261" s="405" t="s">
        <v>27136</v>
      </c>
      <c r="T6261" s="405" t="s">
        <v>32102</v>
      </c>
      <c r="U6261" s="405" t="s">
        <v>319</v>
      </c>
    </row>
    <row r="6262" spans="1:21" x14ac:dyDescent="0.25">
      <c r="A6262" s="405" t="s">
        <v>310</v>
      </c>
      <c r="B6262" s="405" t="s">
        <v>21254</v>
      </c>
      <c r="C6262" s="405" t="s">
        <v>327</v>
      </c>
      <c r="D6262" s="405"/>
      <c r="E6262" s="410">
        <v>41414</v>
      </c>
      <c r="F6262" s="410">
        <v>41459</v>
      </c>
      <c r="G6262" s="405" t="s">
        <v>21255</v>
      </c>
      <c r="H6262" s="405">
        <v>779791245</v>
      </c>
      <c r="I6262" s="405"/>
      <c r="J6262" s="405">
        <v>-1.3296889999999999</v>
      </c>
      <c r="K6262" s="405">
        <v>29.994727999999999</v>
      </c>
      <c r="L6262" s="405" t="s">
        <v>590</v>
      </c>
      <c r="M6262" s="405" t="s">
        <v>5312</v>
      </c>
      <c r="N6262" s="405" t="s">
        <v>21256</v>
      </c>
      <c r="O6262" s="405" t="s">
        <v>21257</v>
      </c>
      <c r="P6262" s="405" t="s">
        <v>21258</v>
      </c>
      <c r="Q6262" s="411">
        <v>6</v>
      </c>
      <c r="R6262" s="405" t="s">
        <v>883</v>
      </c>
      <c r="S6262" s="405" t="s">
        <v>27408</v>
      </c>
      <c r="T6262" s="405" t="s">
        <v>32102</v>
      </c>
      <c r="U6262" s="405" t="s">
        <v>319</v>
      </c>
    </row>
    <row r="6263" spans="1:21" x14ac:dyDescent="0.25">
      <c r="A6263" s="405" t="s">
        <v>310</v>
      </c>
      <c r="B6263" s="405" t="s">
        <v>28961</v>
      </c>
      <c r="C6263" s="405" t="s">
        <v>327</v>
      </c>
      <c r="D6263" s="405"/>
      <c r="E6263" s="410">
        <v>41414</v>
      </c>
      <c r="F6263" s="410">
        <v>41459</v>
      </c>
      <c r="G6263" s="405" t="s">
        <v>21163</v>
      </c>
      <c r="H6263" s="405">
        <v>783627652</v>
      </c>
      <c r="I6263" s="405"/>
      <c r="J6263" s="405">
        <v>-0.46593600000000002</v>
      </c>
      <c r="K6263" s="405">
        <v>30.319040999999999</v>
      </c>
      <c r="L6263" s="405" t="s">
        <v>590</v>
      </c>
      <c r="M6263" s="405" t="s">
        <v>19725</v>
      </c>
      <c r="N6263" s="405" t="s">
        <v>19725</v>
      </c>
      <c r="O6263" s="405" t="s">
        <v>21164</v>
      </c>
      <c r="P6263" s="405" t="s">
        <v>21165</v>
      </c>
      <c r="Q6263" s="411">
        <v>6</v>
      </c>
      <c r="R6263" s="405" t="s">
        <v>333</v>
      </c>
      <c r="S6263" s="405" t="s">
        <v>27132</v>
      </c>
      <c r="T6263" s="405" t="s">
        <v>32102</v>
      </c>
      <c r="U6263" s="405" t="s">
        <v>319</v>
      </c>
    </row>
    <row r="6264" spans="1:21" x14ac:dyDescent="0.25">
      <c r="A6264" s="405" t="s">
        <v>310</v>
      </c>
      <c r="B6264" s="405" t="s">
        <v>21264</v>
      </c>
      <c r="C6264" s="405" t="s">
        <v>327</v>
      </c>
      <c r="D6264" s="405"/>
      <c r="E6264" s="410">
        <v>41414</v>
      </c>
      <c r="F6264" s="410">
        <v>41459</v>
      </c>
      <c r="G6264" s="405" t="s">
        <v>21265</v>
      </c>
      <c r="H6264" s="405">
        <v>782858646</v>
      </c>
      <c r="I6264" s="405"/>
      <c r="J6264" s="405">
        <v>-1.170472</v>
      </c>
      <c r="K6264" s="405">
        <v>30.066051000000002</v>
      </c>
      <c r="L6264" s="405" t="s">
        <v>590</v>
      </c>
      <c r="M6264" s="405" t="s">
        <v>5312</v>
      </c>
      <c r="N6264" s="405" t="s">
        <v>21266</v>
      </c>
      <c r="O6264" s="405" t="s">
        <v>21267</v>
      </c>
      <c r="P6264" s="405" t="s">
        <v>21083</v>
      </c>
      <c r="Q6264" s="411">
        <v>6</v>
      </c>
      <c r="R6264" s="405" t="s">
        <v>1263</v>
      </c>
      <c r="S6264" s="405" t="s">
        <v>27164</v>
      </c>
      <c r="T6264" s="405" t="s">
        <v>32102</v>
      </c>
      <c r="U6264" s="405" t="s">
        <v>319</v>
      </c>
    </row>
    <row r="6265" spans="1:21" x14ac:dyDescent="0.25">
      <c r="A6265" s="405" t="s">
        <v>310</v>
      </c>
      <c r="B6265" s="405" t="s">
        <v>12457</v>
      </c>
      <c r="C6265" s="405" t="s">
        <v>327</v>
      </c>
      <c r="D6265" s="405"/>
      <c r="E6265" s="410">
        <v>41414</v>
      </c>
      <c r="F6265" s="410">
        <v>41459</v>
      </c>
      <c r="G6265" s="405" t="s">
        <v>12458</v>
      </c>
      <c r="H6265" s="405">
        <v>783524585</v>
      </c>
      <c r="I6265" s="405"/>
      <c r="J6265" s="405">
        <v>1.201292</v>
      </c>
      <c r="K6265" s="405">
        <v>33.765127999999997</v>
      </c>
      <c r="L6265" s="405" t="s">
        <v>6866</v>
      </c>
      <c r="M6265" s="405" t="s">
        <v>9509</v>
      </c>
      <c r="N6265" s="405" t="s">
        <v>7352</v>
      </c>
      <c r="O6265" s="405" t="s">
        <v>7352</v>
      </c>
      <c r="P6265" s="405" t="s">
        <v>12459</v>
      </c>
      <c r="Q6265" s="411">
        <v>4</v>
      </c>
      <c r="R6265" s="405" t="s">
        <v>7224</v>
      </c>
      <c r="S6265" s="405" t="s">
        <v>27107</v>
      </c>
      <c r="T6265" s="405" t="s">
        <v>32102</v>
      </c>
      <c r="U6265" s="405" t="s">
        <v>319</v>
      </c>
    </row>
    <row r="6266" spans="1:21" x14ac:dyDescent="0.25">
      <c r="A6266" s="405" t="s">
        <v>310</v>
      </c>
      <c r="B6266" s="405" t="s">
        <v>21243</v>
      </c>
      <c r="C6266" s="405" t="s">
        <v>327</v>
      </c>
      <c r="D6266" s="405"/>
      <c r="E6266" s="410">
        <v>41413</v>
      </c>
      <c r="F6266" s="410">
        <v>41458</v>
      </c>
      <c r="G6266" s="405" t="s">
        <v>21244</v>
      </c>
      <c r="H6266" s="405">
        <v>703796582</v>
      </c>
      <c r="I6266" s="405"/>
      <c r="J6266" s="405">
        <v>-1.245193</v>
      </c>
      <c r="K6266" s="405">
        <v>30.023873999999999</v>
      </c>
      <c r="L6266" s="405" t="s">
        <v>590</v>
      </c>
      <c r="M6266" s="405" t="s">
        <v>5312</v>
      </c>
      <c r="N6266" s="405" t="s">
        <v>20119</v>
      </c>
      <c r="O6266" s="405" t="s">
        <v>20120</v>
      </c>
      <c r="P6266" s="405" t="s">
        <v>21245</v>
      </c>
      <c r="Q6266" s="411">
        <v>13</v>
      </c>
      <c r="R6266" s="405" t="s">
        <v>883</v>
      </c>
      <c r="S6266" s="405" t="s">
        <v>27104</v>
      </c>
      <c r="T6266" s="405" t="s">
        <v>32102</v>
      </c>
      <c r="U6266" s="405" t="s">
        <v>319</v>
      </c>
    </row>
    <row r="6267" spans="1:21" x14ac:dyDescent="0.25">
      <c r="A6267" s="405" t="s">
        <v>310</v>
      </c>
      <c r="B6267" s="405" t="s">
        <v>21251</v>
      </c>
      <c r="C6267" s="405" t="s">
        <v>327</v>
      </c>
      <c r="D6267" s="405"/>
      <c r="E6267" s="410">
        <v>41413</v>
      </c>
      <c r="F6267" s="410">
        <v>41458</v>
      </c>
      <c r="G6267" s="405" t="s">
        <v>21252</v>
      </c>
      <c r="H6267" s="405">
        <v>702340903</v>
      </c>
      <c r="I6267" s="405"/>
      <c r="J6267" s="405">
        <v>-1.2514639999999999</v>
      </c>
      <c r="K6267" s="405">
        <v>29.979054000000001</v>
      </c>
      <c r="L6267" s="405" t="s">
        <v>590</v>
      </c>
      <c r="M6267" s="405" t="s">
        <v>5312</v>
      </c>
      <c r="N6267" s="405" t="s">
        <v>20080</v>
      </c>
      <c r="O6267" s="405" t="s">
        <v>4147</v>
      </c>
      <c r="P6267" s="405" t="s">
        <v>21253</v>
      </c>
      <c r="Q6267" s="411">
        <v>13</v>
      </c>
      <c r="R6267" s="405" t="s">
        <v>967</v>
      </c>
      <c r="S6267" s="405" t="s">
        <v>27413</v>
      </c>
      <c r="T6267" s="405" t="s">
        <v>32102</v>
      </c>
      <c r="U6267" s="405" t="s">
        <v>319</v>
      </c>
    </row>
    <row r="6268" spans="1:21" x14ac:dyDescent="0.25">
      <c r="A6268" s="405" t="s">
        <v>310</v>
      </c>
      <c r="B6268" s="405" t="s">
        <v>29003</v>
      </c>
      <c r="C6268" s="405" t="s">
        <v>327</v>
      </c>
      <c r="D6268" s="405"/>
      <c r="E6268" s="410">
        <v>41413</v>
      </c>
      <c r="F6268" s="410">
        <v>41458</v>
      </c>
      <c r="G6268" s="405" t="s">
        <v>21249</v>
      </c>
      <c r="H6268" s="405">
        <v>772565969</v>
      </c>
      <c r="I6268" s="405"/>
      <c r="J6268" s="405">
        <v>-1.299744</v>
      </c>
      <c r="K6268" s="405">
        <v>30.047886999999999</v>
      </c>
      <c r="L6268" s="405" t="s">
        <v>590</v>
      </c>
      <c r="M6268" s="405" t="s">
        <v>5312</v>
      </c>
      <c r="N6268" s="405" t="s">
        <v>20119</v>
      </c>
      <c r="O6268" s="405" t="s">
        <v>20120</v>
      </c>
      <c r="P6268" s="405" t="s">
        <v>21250</v>
      </c>
      <c r="Q6268" s="411">
        <v>9</v>
      </c>
      <c r="R6268" s="405" t="s">
        <v>967</v>
      </c>
      <c r="S6268" s="405" t="s">
        <v>27415</v>
      </c>
      <c r="T6268" s="405" t="s">
        <v>32102</v>
      </c>
      <c r="U6268" s="405" t="s">
        <v>319</v>
      </c>
    </row>
    <row r="6269" spans="1:21" x14ac:dyDescent="0.25">
      <c r="A6269" s="405" t="s">
        <v>310</v>
      </c>
      <c r="B6269" s="405" t="s">
        <v>28319</v>
      </c>
      <c r="C6269" s="405" t="s">
        <v>327</v>
      </c>
      <c r="D6269" s="405"/>
      <c r="E6269" s="410">
        <v>41413</v>
      </c>
      <c r="F6269" s="410">
        <v>41458</v>
      </c>
      <c r="G6269" s="405" t="s">
        <v>4072</v>
      </c>
      <c r="H6269" s="405">
        <v>752916110</v>
      </c>
      <c r="I6269" s="405"/>
      <c r="J6269" s="405">
        <v>0.458173</v>
      </c>
      <c r="K6269" s="405">
        <v>33.168478</v>
      </c>
      <c r="L6269" s="405" t="s">
        <v>314</v>
      </c>
      <c r="M6269" s="405" t="s">
        <v>349</v>
      </c>
      <c r="N6269" s="405" t="s">
        <v>405</v>
      </c>
      <c r="O6269" s="405" t="s">
        <v>474</v>
      </c>
      <c r="P6269" s="405" t="s">
        <v>2596</v>
      </c>
      <c r="Q6269" s="411">
        <v>9</v>
      </c>
      <c r="R6269" s="405" t="s">
        <v>525</v>
      </c>
      <c r="S6269" s="405" t="s">
        <v>27079</v>
      </c>
      <c r="T6269" s="405" t="s">
        <v>32102</v>
      </c>
      <c r="U6269" s="405" t="s">
        <v>319</v>
      </c>
    </row>
    <row r="6270" spans="1:21" x14ac:dyDescent="0.25">
      <c r="A6270" s="405" t="s">
        <v>310</v>
      </c>
      <c r="B6270" s="405" t="s">
        <v>12504</v>
      </c>
      <c r="C6270" s="405" t="s">
        <v>327</v>
      </c>
      <c r="D6270" s="405"/>
      <c r="E6270" s="410">
        <v>41413</v>
      </c>
      <c r="F6270" s="410">
        <v>41458</v>
      </c>
      <c r="G6270" s="405" t="s">
        <v>12505</v>
      </c>
      <c r="H6270" s="405">
        <v>772368198</v>
      </c>
      <c r="I6270" s="405"/>
      <c r="J6270" s="405">
        <v>1.268958</v>
      </c>
      <c r="K6270" s="405">
        <v>34.740414000000001</v>
      </c>
      <c r="L6270" s="405" t="s">
        <v>6866</v>
      </c>
      <c r="M6270" s="405" t="s">
        <v>10163</v>
      </c>
      <c r="N6270" s="405" t="s">
        <v>10164</v>
      </c>
      <c r="O6270" s="405" t="s">
        <v>10163</v>
      </c>
      <c r="P6270" s="405" t="s">
        <v>12506</v>
      </c>
      <c r="Q6270" s="411">
        <v>6</v>
      </c>
      <c r="R6270" s="405" t="s">
        <v>9506</v>
      </c>
      <c r="S6270" s="405" t="s">
        <v>27169</v>
      </c>
      <c r="T6270" s="405" t="s">
        <v>32102</v>
      </c>
      <c r="U6270" s="405" t="s">
        <v>319</v>
      </c>
    </row>
    <row r="6271" spans="1:21" x14ac:dyDescent="0.25">
      <c r="A6271" s="405" t="s">
        <v>310</v>
      </c>
      <c r="B6271" s="405" t="s">
        <v>21240</v>
      </c>
      <c r="C6271" s="405" t="s">
        <v>327</v>
      </c>
      <c r="D6271" s="405"/>
      <c r="E6271" s="410">
        <v>41412</v>
      </c>
      <c r="F6271" s="410">
        <v>41457</v>
      </c>
      <c r="G6271" s="405" t="s">
        <v>21241</v>
      </c>
      <c r="H6271" s="405">
        <v>702484739</v>
      </c>
      <c r="I6271" s="405"/>
      <c r="J6271" s="405">
        <v>-1.2586949999999999</v>
      </c>
      <c r="K6271" s="405">
        <v>29.978358</v>
      </c>
      <c r="L6271" s="405" t="s">
        <v>590</v>
      </c>
      <c r="M6271" s="405" t="s">
        <v>5312</v>
      </c>
      <c r="N6271" s="405" t="s">
        <v>20080</v>
      </c>
      <c r="O6271" s="405" t="s">
        <v>16533</v>
      </c>
      <c r="P6271" s="405" t="s">
        <v>21242</v>
      </c>
      <c r="Q6271" s="411">
        <v>9</v>
      </c>
      <c r="R6271" s="405" t="s">
        <v>883</v>
      </c>
      <c r="S6271" s="405" t="s">
        <v>27271</v>
      </c>
      <c r="T6271" s="405" t="s">
        <v>32102</v>
      </c>
      <c r="U6271" s="405" t="s">
        <v>319</v>
      </c>
    </row>
    <row r="6272" spans="1:21" x14ac:dyDescent="0.25">
      <c r="A6272" s="405" t="s">
        <v>310</v>
      </c>
      <c r="B6272" s="405" t="s">
        <v>29048</v>
      </c>
      <c r="C6272" s="405" t="s">
        <v>327</v>
      </c>
      <c r="D6272" s="405"/>
      <c r="E6272" s="410">
        <v>41412</v>
      </c>
      <c r="F6272" s="410">
        <v>41457</v>
      </c>
      <c r="G6272" s="405" t="s">
        <v>4064</v>
      </c>
      <c r="H6272" s="405">
        <v>777867478</v>
      </c>
      <c r="I6272" s="405"/>
      <c r="J6272" s="405">
        <v>0.54035999999999995</v>
      </c>
      <c r="K6272" s="405">
        <v>32.177858000000001</v>
      </c>
      <c r="L6272" s="405" t="s">
        <v>314</v>
      </c>
      <c r="M6272" s="405" t="s">
        <v>675</v>
      </c>
      <c r="N6272" s="405" t="s">
        <v>675</v>
      </c>
      <c r="O6272" s="405" t="s">
        <v>1608</v>
      </c>
      <c r="P6272" s="405" t="s">
        <v>4065</v>
      </c>
      <c r="Q6272" s="411">
        <v>6</v>
      </c>
      <c r="R6272" s="405" t="s">
        <v>1263</v>
      </c>
      <c r="S6272" s="405" t="s">
        <v>27059</v>
      </c>
      <c r="T6272" s="405" t="s">
        <v>32102</v>
      </c>
      <c r="U6272" s="405" t="s">
        <v>319</v>
      </c>
    </row>
    <row r="6273" spans="1:21" x14ac:dyDescent="0.25">
      <c r="A6273" s="405" t="s">
        <v>310</v>
      </c>
      <c r="B6273" s="405" t="s">
        <v>12514</v>
      </c>
      <c r="C6273" s="405" t="s">
        <v>327</v>
      </c>
      <c r="D6273" s="405"/>
      <c r="E6273" s="410">
        <v>41412</v>
      </c>
      <c r="F6273" s="410">
        <v>41457</v>
      </c>
      <c r="G6273" s="405" t="s">
        <v>12515</v>
      </c>
      <c r="H6273" s="405">
        <v>772481852</v>
      </c>
      <c r="I6273" s="405"/>
      <c r="J6273" s="405">
        <v>0.99790299999999998</v>
      </c>
      <c r="K6273" s="405">
        <v>34.335799999999999</v>
      </c>
      <c r="L6273" s="405" t="s">
        <v>6866</v>
      </c>
      <c r="M6273" s="405" t="s">
        <v>9763</v>
      </c>
      <c r="N6273" s="405" t="s">
        <v>9764</v>
      </c>
      <c r="O6273" s="405" t="s">
        <v>1590</v>
      </c>
      <c r="P6273" s="405" t="s">
        <v>12516</v>
      </c>
      <c r="Q6273" s="411">
        <v>6</v>
      </c>
      <c r="R6273" s="405" t="s">
        <v>7224</v>
      </c>
      <c r="S6273" s="405" t="s">
        <v>17013</v>
      </c>
      <c r="T6273" s="405" t="s">
        <v>32102</v>
      </c>
      <c r="U6273" s="405" t="s">
        <v>319</v>
      </c>
    </row>
    <row r="6274" spans="1:21" x14ac:dyDescent="0.25">
      <c r="A6274" s="405" t="s">
        <v>310</v>
      </c>
      <c r="B6274" s="405" t="s">
        <v>12418</v>
      </c>
      <c r="C6274" s="405" t="s">
        <v>327</v>
      </c>
      <c r="D6274" s="405"/>
      <c r="E6274" s="410">
        <v>41412</v>
      </c>
      <c r="F6274" s="410">
        <v>41457</v>
      </c>
      <c r="G6274" s="405" t="s">
        <v>12419</v>
      </c>
      <c r="H6274" s="405">
        <v>777221993</v>
      </c>
      <c r="I6274" s="405"/>
      <c r="J6274" s="405">
        <v>1.507873</v>
      </c>
      <c r="K6274" s="405">
        <v>33.983015000000002</v>
      </c>
      <c r="L6274" s="405" t="s">
        <v>6866</v>
      </c>
      <c r="M6274" s="405" t="s">
        <v>10029</v>
      </c>
      <c r="N6274" s="405" t="s">
        <v>10029</v>
      </c>
      <c r="O6274" s="405" t="s">
        <v>10435</v>
      </c>
      <c r="P6274" s="405" t="s">
        <v>12420</v>
      </c>
      <c r="Q6274" s="411">
        <v>4</v>
      </c>
      <c r="R6274" s="405" t="s">
        <v>9541</v>
      </c>
      <c r="S6274" s="405" t="s">
        <v>27297</v>
      </c>
      <c r="T6274" s="405" t="s">
        <v>32102</v>
      </c>
      <c r="U6274" s="405" t="s">
        <v>319</v>
      </c>
    </row>
    <row r="6275" spans="1:21" x14ac:dyDescent="0.25">
      <c r="A6275" s="405" t="s">
        <v>310</v>
      </c>
      <c r="B6275" s="405" t="s">
        <v>21225</v>
      </c>
      <c r="C6275" s="405" t="s">
        <v>327</v>
      </c>
      <c r="D6275" s="405"/>
      <c r="E6275" s="410">
        <v>41411</v>
      </c>
      <c r="F6275" s="410">
        <v>41456</v>
      </c>
      <c r="G6275" s="405" t="s">
        <v>21226</v>
      </c>
      <c r="H6275" s="405">
        <v>704053319</v>
      </c>
      <c r="I6275" s="405">
        <v>775235579</v>
      </c>
      <c r="J6275" s="405">
        <v>-1.2146330000000001</v>
      </c>
      <c r="K6275" s="405">
        <v>29.950780000000002</v>
      </c>
      <c r="L6275" s="405" t="s">
        <v>590</v>
      </c>
      <c r="M6275" s="405" t="s">
        <v>5312</v>
      </c>
      <c r="N6275" s="405" t="s">
        <v>20499</v>
      </c>
      <c r="O6275" s="405" t="s">
        <v>20554</v>
      </c>
      <c r="P6275" s="405" t="s">
        <v>21227</v>
      </c>
      <c r="Q6275" s="411">
        <v>13</v>
      </c>
      <c r="R6275" s="405" t="s">
        <v>967</v>
      </c>
      <c r="S6275" s="405" t="s">
        <v>27401</v>
      </c>
      <c r="T6275" s="405" t="s">
        <v>32102</v>
      </c>
      <c r="U6275" s="405" t="s">
        <v>319</v>
      </c>
    </row>
    <row r="6276" spans="1:21" x14ac:dyDescent="0.25">
      <c r="A6276" s="405" t="s">
        <v>310</v>
      </c>
      <c r="B6276" s="405" t="s">
        <v>3999</v>
      </c>
      <c r="C6276" s="405" t="s">
        <v>327</v>
      </c>
      <c r="D6276" s="405"/>
      <c r="E6276" s="410">
        <v>41411</v>
      </c>
      <c r="F6276" s="410">
        <v>41456</v>
      </c>
      <c r="G6276" s="405" t="s">
        <v>4000</v>
      </c>
      <c r="H6276" s="405">
        <v>772833460</v>
      </c>
      <c r="I6276" s="405">
        <v>714626237</v>
      </c>
      <c r="J6276" s="405">
        <v>0.39187840000000002</v>
      </c>
      <c r="K6276" s="405">
        <v>32.593651299999998</v>
      </c>
      <c r="L6276" s="405" t="s">
        <v>314</v>
      </c>
      <c r="M6276" s="405" t="s">
        <v>992</v>
      </c>
      <c r="N6276" s="405" t="s">
        <v>362</v>
      </c>
      <c r="O6276" s="405" t="s">
        <v>3043</v>
      </c>
      <c r="P6276" s="405" t="s">
        <v>4001</v>
      </c>
      <c r="Q6276" s="411">
        <v>13</v>
      </c>
      <c r="R6276" s="405" t="s">
        <v>318</v>
      </c>
      <c r="S6276" s="405" t="s">
        <v>27106</v>
      </c>
      <c r="T6276" s="405" t="s">
        <v>32102</v>
      </c>
      <c r="U6276" s="405" t="s">
        <v>319</v>
      </c>
    </row>
    <row r="6277" spans="1:21" x14ac:dyDescent="0.25">
      <c r="A6277" s="405" t="s">
        <v>310</v>
      </c>
      <c r="B6277" s="405" t="s">
        <v>21222</v>
      </c>
      <c r="C6277" s="405" t="s">
        <v>327</v>
      </c>
      <c r="D6277" s="405"/>
      <c r="E6277" s="410">
        <v>41411</v>
      </c>
      <c r="F6277" s="410">
        <v>41456</v>
      </c>
      <c r="G6277" s="405" t="s">
        <v>21223</v>
      </c>
      <c r="H6277" s="405">
        <v>772954010</v>
      </c>
      <c r="I6277" s="405"/>
      <c r="J6277" s="405">
        <v>-1.214866</v>
      </c>
      <c r="K6277" s="405">
        <v>29.940284999999999</v>
      </c>
      <c r="L6277" s="405" t="s">
        <v>590</v>
      </c>
      <c r="M6277" s="405" t="s">
        <v>5312</v>
      </c>
      <c r="N6277" s="405" t="s">
        <v>20499</v>
      </c>
      <c r="O6277" s="405" t="s">
        <v>20554</v>
      </c>
      <c r="P6277" s="405" t="s">
        <v>21224</v>
      </c>
      <c r="Q6277" s="411">
        <v>13</v>
      </c>
      <c r="R6277" s="405" t="s">
        <v>967</v>
      </c>
      <c r="S6277" s="405" t="s">
        <v>27393</v>
      </c>
      <c r="T6277" s="405" t="s">
        <v>32102</v>
      </c>
      <c r="U6277" s="405" t="s">
        <v>319</v>
      </c>
    </row>
    <row r="6278" spans="1:21" x14ac:dyDescent="0.25">
      <c r="A6278" s="405" t="s">
        <v>310</v>
      </c>
      <c r="B6278" s="405" t="s">
        <v>27951</v>
      </c>
      <c r="C6278" s="405" t="s">
        <v>327</v>
      </c>
      <c r="D6278" s="405"/>
      <c r="E6278" s="410">
        <v>41411</v>
      </c>
      <c r="F6278" s="410">
        <v>41456</v>
      </c>
      <c r="G6278" s="405" t="s">
        <v>4060</v>
      </c>
      <c r="H6278" s="405">
        <v>773095851</v>
      </c>
      <c r="I6278" s="405"/>
      <c r="J6278" s="405">
        <v>0.64222699999999999</v>
      </c>
      <c r="K6278" s="405">
        <v>32.095187000000003</v>
      </c>
      <c r="L6278" s="405" t="s">
        <v>314</v>
      </c>
      <c r="M6278" s="405" t="s">
        <v>675</v>
      </c>
      <c r="N6278" s="405" t="s">
        <v>675</v>
      </c>
      <c r="O6278" s="405" t="s">
        <v>814</v>
      </c>
      <c r="P6278" s="405" t="s">
        <v>4061</v>
      </c>
      <c r="Q6278" s="411">
        <v>9</v>
      </c>
      <c r="R6278" s="405" t="s">
        <v>318</v>
      </c>
      <c r="S6278" s="405" t="s">
        <v>27137</v>
      </c>
      <c r="T6278" s="405" t="s">
        <v>32102</v>
      </c>
      <c r="U6278" s="405" t="s">
        <v>319</v>
      </c>
    </row>
    <row r="6279" spans="1:21" x14ac:dyDescent="0.25">
      <c r="A6279" s="405" t="s">
        <v>310</v>
      </c>
      <c r="B6279" s="405" t="s">
        <v>21219</v>
      </c>
      <c r="C6279" s="405" t="s">
        <v>327</v>
      </c>
      <c r="D6279" s="405"/>
      <c r="E6279" s="410">
        <v>41411</v>
      </c>
      <c r="F6279" s="410">
        <v>41456</v>
      </c>
      <c r="G6279" s="405" t="s">
        <v>21220</v>
      </c>
      <c r="H6279" s="405">
        <v>772471226</v>
      </c>
      <c r="I6279" s="405"/>
      <c r="J6279" s="405">
        <v>-1.184666</v>
      </c>
      <c r="K6279" s="405">
        <v>29.926499</v>
      </c>
      <c r="L6279" s="405" t="s">
        <v>590</v>
      </c>
      <c r="M6279" s="405" t="s">
        <v>5312</v>
      </c>
      <c r="N6279" s="405" t="s">
        <v>20499</v>
      </c>
      <c r="O6279" s="405" t="s">
        <v>20500</v>
      </c>
      <c r="P6279" s="405" t="s">
        <v>21221</v>
      </c>
      <c r="Q6279" s="411">
        <v>9</v>
      </c>
      <c r="R6279" s="405" t="s">
        <v>883</v>
      </c>
      <c r="S6279" s="405" t="s">
        <v>27097</v>
      </c>
      <c r="T6279" s="405" t="s">
        <v>32102</v>
      </c>
      <c r="U6279" s="405" t="s">
        <v>319</v>
      </c>
    </row>
    <row r="6280" spans="1:21" x14ac:dyDescent="0.25">
      <c r="A6280" s="405" t="s">
        <v>310</v>
      </c>
      <c r="B6280" s="405" t="s">
        <v>21228</v>
      </c>
      <c r="C6280" s="405" t="s">
        <v>327</v>
      </c>
      <c r="D6280" s="405"/>
      <c r="E6280" s="410">
        <v>41411</v>
      </c>
      <c r="F6280" s="410">
        <v>41456</v>
      </c>
      <c r="G6280" s="405" t="s">
        <v>21229</v>
      </c>
      <c r="H6280" s="405">
        <v>772552992</v>
      </c>
      <c r="I6280" s="405"/>
      <c r="J6280" s="405">
        <v>-1.2333259999999999</v>
      </c>
      <c r="K6280" s="405">
        <v>29.952019</v>
      </c>
      <c r="L6280" s="405" t="s">
        <v>590</v>
      </c>
      <c r="M6280" s="405" t="s">
        <v>5312</v>
      </c>
      <c r="N6280" s="405" t="s">
        <v>20499</v>
      </c>
      <c r="O6280" s="405" t="s">
        <v>20554</v>
      </c>
      <c r="P6280" s="405" t="s">
        <v>21230</v>
      </c>
      <c r="Q6280" s="411">
        <v>6</v>
      </c>
      <c r="R6280" s="405" t="s">
        <v>967</v>
      </c>
      <c r="S6280" s="405" t="s">
        <v>27401</v>
      </c>
      <c r="T6280" s="405" t="s">
        <v>32102</v>
      </c>
      <c r="U6280" s="405" t="s">
        <v>319</v>
      </c>
    </row>
    <row r="6281" spans="1:21" x14ac:dyDescent="0.25">
      <c r="A6281" s="405" t="s">
        <v>310</v>
      </c>
      <c r="B6281" s="405" t="s">
        <v>18666</v>
      </c>
      <c r="C6281" s="405" t="s">
        <v>327</v>
      </c>
      <c r="D6281" s="405"/>
      <c r="E6281" s="410">
        <v>41411</v>
      </c>
      <c r="F6281" s="410">
        <v>41456</v>
      </c>
      <c r="G6281" s="405" t="s">
        <v>18667</v>
      </c>
      <c r="H6281" s="405">
        <v>773971252</v>
      </c>
      <c r="I6281" s="405"/>
      <c r="J6281" s="405">
        <v>2.4604499999999998</v>
      </c>
      <c r="K6281" s="405">
        <v>33.708682000000003</v>
      </c>
      <c r="L6281" s="405" t="s">
        <v>860</v>
      </c>
      <c r="M6281" s="405" t="s">
        <v>18623</v>
      </c>
      <c r="N6281" s="405" t="s">
        <v>18624</v>
      </c>
      <c r="O6281" s="405" t="s">
        <v>18668</v>
      </c>
      <c r="P6281" s="405" t="s">
        <v>18669</v>
      </c>
      <c r="Q6281" s="411">
        <v>6</v>
      </c>
      <c r="R6281" s="405" t="s">
        <v>5655</v>
      </c>
      <c r="S6281" s="405" t="s">
        <v>27072</v>
      </c>
      <c r="T6281" s="405" t="s">
        <v>32102</v>
      </c>
      <c r="U6281" s="405" t="s">
        <v>319</v>
      </c>
    </row>
    <row r="6282" spans="1:21" x14ac:dyDescent="0.25">
      <c r="A6282" s="405" t="s">
        <v>310</v>
      </c>
      <c r="B6282" s="405" t="s">
        <v>12885</v>
      </c>
      <c r="C6282" s="405" t="s">
        <v>311</v>
      </c>
      <c r="D6282" s="405" t="s">
        <v>3381</v>
      </c>
      <c r="E6282" s="410">
        <v>41411</v>
      </c>
      <c r="F6282" s="410">
        <v>41456</v>
      </c>
      <c r="G6282" s="405" t="s">
        <v>12886</v>
      </c>
      <c r="H6282" s="405">
        <v>779386708</v>
      </c>
      <c r="I6282" s="405"/>
      <c r="J6282" s="405">
        <v>1.24319</v>
      </c>
      <c r="K6282" s="405">
        <v>34.036622000000001</v>
      </c>
      <c r="L6282" s="405" t="s">
        <v>6866</v>
      </c>
      <c r="M6282" s="405" t="s">
        <v>9504</v>
      </c>
      <c r="N6282" s="405" t="s">
        <v>9504</v>
      </c>
      <c r="O6282" s="405" t="s">
        <v>10109</v>
      </c>
      <c r="P6282" s="405" t="s">
        <v>12887</v>
      </c>
      <c r="Q6282" s="411">
        <v>6</v>
      </c>
      <c r="R6282" s="405" t="s">
        <v>7224</v>
      </c>
      <c r="S6282" s="405" t="s">
        <v>27298</v>
      </c>
      <c r="T6282" s="405" t="s">
        <v>32102</v>
      </c>
      <c r="U6282" s="405" t="s">
        <v>319</v>
      </c>
    </row>
    <row r="6283" spans="1:21" x14ac:dyDescent="0.25">
      <c r="A6283" s="405" t="s">
        <v>310</v>
      </c>
      <c r="B6283" s="405" t="s">
        <v>21231</v>
      </c>
      <c r="C6283" s="405" t="s">
        <v>311</v>
      </c>
      <c r="D6283" s="405" t="s">
        <v>33086</v>
      </c>
      <c r="E6283" s="410">
        <v>41411</v>
      </c>
      <c r="F6283" s="410">
        <v>41456</v>
      </c>
      <c r="G6283" s="405" t="s">
        <v>21232</v>
      </c>
      <c r="H6283" s="405">
        <v>774025777</v>
      </c>
      <c r="I6283" s="405"/>
      <c r="J6283" s="405">
        <v>-1.2793300000000001</v>
      </c>
      <c r="K6283" s="405">
        <v>29.988225</v>
      </c>
      <c r="L6283" s="405" t="s">
        <v>590</v>
      </c>
      <c r="M6283" s="405" t="s">
        <v>5312</v>
      </c>
      <c r="N6283" s="405" t="s">
        <v>20080</v>
      </c>
      <c r="O6283" s="405" t="s">
        <v>16533</v>
      </c>
      <c r="P6283" s="405" t="s">
        <v>20495</v>
      </c>
      <c r="Q6283" s="411">
        <v>6</v>
      </c>
      <c r="R6283" s="405" t="s">
        <v>1527</v>
      </c>
      <c r="S6283" s="405" t="s">
        <v>27132</v>
      </c>
      <c r="T6283" s="405" t="s">
        <v>32102</v>
      </c>
      <c r="U6283" s="405" t="s">
        <v>319</v>
      </c>
    </row>
    <row r="6284" spans="1:21" x14ac:dyDescent="0.25">
      <c r="A6284" s="405" t="s">
        <v>310</v>
      </c>
      <c r="B6284" s="405" t="s">
        <v>4037</v>
      </c>
      <c r="C6284" s="405" t="s">
        <v>327</v>
      </c>
      <c r="D6284" s="405"/>
      <c r="E6284" s="410">
        <v>41411</v>
      </c>
      <c r="F6284" s="410">
        <v>41456</v>
      </c>
      <c r="G6284" s="405" t="s">
        <v>4038</v>
      </c>
      <c r="H6284" s="405">
        <v>754977799</v>
      </c>
      <c r="I6284" s="405">
        <v>754686917</v>
      </c>
      <c r="J6284" s="405">
        <v>9.8130000000000009E-2</v>
      </c>
      <c r="K6284" s="405">
        <v>32.074863333333333</v>
      </c>
      <c r="L6284" s="405" t="s">
        <v>314</v>
      </c>
      <c r="M6284" s="405" t="s">
        <v>321</v>
      </c>
      <c r="N6284" s="405" t="s">
        <v>322</v>
      </c>
      <c r="O6284" s="405" t="s">
        <v>476</v>
      </c>
      <c r="P6284" s="405" t="s">
        <v>4039</v>
      </c>
      <c r="Q6284" s="411">
        <v>6</v>
      </c>
      <c r="R6284" s="405" t="s">
        <v>318</v>
      </c>
      <c r="S6284" s="405" t="s">
        <v>27137</v>
      </c>
      <c r="T6284" s="405" t="s">
        <v>32102</v>
      </c>
      <c r="U6284" s="405" t="s">
        <v>319</v>
      </c>
    </row>
    <row r="6285" spans="1:21" x14ac:dyDescent="0.25">
      <c r="A6285" s="405" t="s">
        <v>310</v>
      </c>
      <c r="B6285" s="405" t="s">
        <v>21236</v>
      </c>
      <c r="C6285" s="405" t="s">
        <v>327</v>
      </c>
      <c r="D6285" s="405"/>
      <c r="E6285" s="410">
        <v>41411</v>
      </c>
      <c r="F6285" s="410">
        <v>41456</v>
      </c>
      <c r="G6285" s="405" t="s">
        <v>21237</v>
      </c>
      <c r="H6285" s="405">
        <v>772878587</v>
      </c>
      <c r="I6285" s="405"/>
      <c r="J6285" s="405">
        <v>-1.2829200000000001</v>
      </c>
      <c r="K6285" s="405">
        <v>29.704696999999999</v>
      </c>
      <c r="L6285" s="405" t="s">
        <v>590</v>
      </c>
      <c r="M6285" s="405" t="s">
        <v>20070</v>
      </c>
      <c r="N6285" s="405" t="s">
        <v>20071</v>
      </c>
      <c r="O6285" s="405" t="s">
        <v>21238</v>
      </c>
      <c r="P6285" s="405" t="s">
        <v>21239</v>
      </c>
      <c r="Q6285" s="411">
        <v>6</v>
      </c>
      <c r="R6285" s="405" t="s">
        <v>333</v>
      </c>
      <c r="S6285" s="405" t="s">
        <v>27229</v>
      </c>
      <c r="T6285" s="405" t="s">
        <v>32102</v>
      </c>
      <c r="U6285" s="405" t="s">
        <v>319</v>
      </c>
    </row>
    <row r="6286" spans="1:21" x14ac:dyDescent="0.25">
      <c r="A6286" s="405" t="s">
        <v>310</v>
      </c>
      <c r="B6286" s="405" t="s">
        <v>4047</v>
      </c>
      <c r="C6286" s="405" t="s">
        <v>327</v>
      </c>
      <c r="D6286" s="405"/>
      <c r="E6286" s="410">
        <v>41411</v>
      </c>
      <c r="F6286" s="410">
        <v>41456</v>
      </c>
      <c r="G6286" s="405" t="s">
        <v>4048</v>
      </c>
      <c r="H6286" s="405">
        <v>703259059</v>
      </c>
      <c r="I6286" s="405">
        <v>789082868</v>
      </c>
      <c r="J6286" s="405">
        <v>0.39855800000000002</v>
      </c>
      <c r="K6286" s="405">
        <v>31.631671999999998</v>
      </c>
      <c r="L6286" s="405" t="s">
        <v>314</v>
      </c>
      <c r="M6286" s="405" t="s">
        <v>445</v>
      </c>
      <c r="N6286" s="405" t="s">
        <v>570</v>
      </c>
      <c r="O6286" s="405" t="s">
        <v>2734</v>
      </c>
      <c r="P6286" s="405" t="s">
        <v>4049</v>
      </c>
      <c r="Q6286" s="411">
        <v>6</v>
      </c>
      <c r="R6286" s="405" t="s">
        <v>2060</v>
      </c>
      <c r="S6286" s="405" t="s">
        <v>27207</v>
      </c>
      <c r="T6286" s="405" t="s">
        <v>32102</v>
      </c>
      <c r="U6286" s="405" t="s">
        <v>319</v>
      </c>
    </row>
    <row r="6287" spans="1:21" x14ac:dyDescent="0.25">
      <c r="A6287" s="405" t="s">
        <v>310</v>
      </c>
      <c r="B6287" s="405" t="s">
        <v>28749</v>
      </c>
      <c r="C6287" s="405" t="s">
        <v>327</v>
      </c>
      <c r="D6287" s="405"/>
      <c r="E6287" s="410">
        <v>41410</v>
      </c>
      <c r="F6287" s="410">
        <v>41455</v>
      </c>
      <c r="G6287" s="405" t="s">
        <v>18587</v>
      </c>
      <c r="H6287" s="405">
        <v>750490732</v>
      </c>
      <c r="I6287" s="405"/>
      <c r="J6287" s="405">
        <v>1.973079</v>
      </c>
      <c r="K6287" s="405">
        <v>33.073419000000001</v>
      </c>
      <c r="L6287" s="405" t="s">
        <v>860</v>
      </c>
      <c r="M6287" s="405" t="s">
        <v>12189</v>
      </c>
      <c r="N6287" s="405" t="s">
        <v>18270</v>
      </c>
      <c r="O6287" s="405" t="s">
        <v>18588</v>
      </c>
      <c r="P6287" s="405" t="s">
        <v>18589</v>
      </c>
      <c r="Q6287" s="411">
        <v>9</v>
      </c>
      <c r="R6287" s="405" t="s">
        <v>525</v>
      </c>
      <c r="S6287" s="405" t="s">
        <v>27243</v>
      </c>
      <c r="T6287" s="405" t="s">
        <v>32102</v>
      </c>
      <c r="U6287" s="405" t="s">
        <v>319</v>
      </c>
    </row>
    <row r="6288" spans="1:21" x14ac:dyDescent="0.25">
      <c r="A6288" s="405" t="s">
        <v>310</v>
      </c>
      <c r="B6288" s="405" t="s">
        <v>3897</v>
      </c>
      <c r="C6288" s="405" t="s">
        <v>327</v>
      </c>
      <c r="D6288" s="405"/>
      <c r="E6288" s="410">
        <v>41410</v>
      </c>
      <c r="F6288" s="410">
        <v>41455</v>
      </c>
      <c r="G6288" s="405" t="s">
        <v>3898</v>
      </c>
      <c r="H6288" s="405">
        <v>753702937</v>
      </c>
      <c r="I6288" s="405"/>
      <c r="J6288" s="405">
        <v>0.26711333333333337</v>
      </c>
      <c r="K6288" s="405">
        <v>32.377876666666666</v>
      </c>
      <c r="L6288" s="405" t="s">
        <v>314</v>
      </c>
      <c r="M6288" s="405" t="s">
        <v>321</v>
      </c>
      <c r="N6288" s="405" t="s">
        <v>322</v>
      </c>
      <c r="O6288" s="405" t="s">
        <v>519</v>
      </c>
      <c r="P6288" s="405" t="s">
        <v>2240</v>
      </c>
      <c r="Q6288" s="411">
        <v>9</v>
      </c>
      <c r="R6288" s="405" t="s">
        <v>318</v>
      </c>
      <c r="S6288" s="405" t="s">
        <v>27135</v>
      </c>
      <c r="T6288" s="405" t="s">
        <v>32102</v>
      </c>
      <c r="U6288" s="405" t="s">
        <v>319</v>
      </c>
    </row>
    <row r="6289" spans="1:21" x14ac:dyDescent="0.25">
      <c r="A6289" s="405" t="s">
        <v>310</v>
      </c>
      <c r="B6289" s="405" t="s">
        <v>4375</v>
      </c>
      <c r="C6289" s="405" t="s">
        <v>311</v>
      </c>
      <c r="D6289" s="405" t="s">
        <v>1789</v>
      </c>
      <c r="E6289" s="410">
        <v>41410</v>
      </c>
      <c r="F6289" s="410">
        <v>41455</v>
      </c>
      <c r="G6289" s="405" t="s">
        <v>4376</v>
      </c>
      <c r="H6289" s="405">
        <v>703216577</v>
      </c>
      <c r="I6289" s="405"/>
      <c r="J6289" s="405">
        <v>0.58951500000000001</v>
      </c>
      <c r="K6289" s="405">
        <v>31.351402</v>
      </c>
      <c r="L6289" s="405" t="s">
        <v>314</v>
      </c>
      <c r="M6289" s="405" t="s">
        <v>445</v>
      </c>
      <c r="N6289" s="405" t="s">
        <v>446</v>
      </c>
      <c r="O6289" s="405" t="s">
        <v>2953</v>
      </c>
      <c r="P6289" s="405" t="s">
        <v>3459</v>
      </c>
      <c r="Q6289" s="411">
        <v>6</v>
      </c>
      <c r="R6289" s="405" t="s">
        <v>318</v>
      </c>
      <c r="S6289" s="405" t="s">
        <v>27201</v>
      </c>
      <c r="T6289" s="405" t="s">
        <v>32102</v>
      </c>
      <c r="U6289" s="405" t="s">
        <v>319</v>
      </c>
    </row>
    <row r="6290" spans="1:21" x14ac:dyDescent="0.25">
      <c r="A6290" s="405" t="s">
        <v>310</v>
      </c>
      <c r="B6290" s="405" t="s">
        <v>3849</v>
      </c>
      <c r="C6290" s="405" t="s">
        <v>327</v>
      </c>
      <c r="D6290" s="405"/>
      <c r="E6290" s="410">
        <v>41410</v>
      </c>
      <c r="F6290" s="410">
        <v>41455</v>
      </c>
      <c r="G6290" s="405" t="s">
        <v>3850</v>
      </c>
      <c r="H6290" s="405">
        <v>776967114</v>
      </c>
      <c r="I6290" s="405"/>
      <c r="J6290" s="405">
        <v>0.27862166666666671</v>
      </c>
      <c r="K6290" s="405">
        <v>32.474358333333335</v>
      </c>
      <c r="L6290" s="405" t="s">
        <v>314</v>
      </c>
      <c r="M6290" s="405" t="s">
        <v>321</v>
      </c>
      <c r="N6290" s="405" t="s">
        <v>322</v>
      </c>
      <c r="O6290" s="405" t="s">
        <v>996</v>
      </c>
      <c r="P6290" s="405" t="s">
        <v>3851</v>
      </c>
      <c r="Q6290" s="411">
        <v>6</v>
      </c>
      <c r="R6290" s="405" t="s">
        <v>318</v>
      </c>
      <c r="S6290" s="405" t="s">
        <v>27135</v>
      </c>
      <c r="T6290" s="405" t="s">
        <v>32102</v>
      </c>
      <c r="U6290" s="405" t="s">
        <v>319</v>
      </c>
    </row>
    <row r="6291" spans="1:21" x14ac:dyDescent="0.25">
      <c r="A6291" s="405" t="s">
        <v>310</v>
      </c>
      <c r="B6291" s="405" t="s">
        <v>12354</v>
      </c>
      <c r="C6291" s="405" t="s">
        <v>327</v>
      </c>
      <c r="D6291" s="405"/>
      <c r="E6291" s="410">
        <v>41410</v>
      </c>
      <c r="F6291" s="410">
        <v>41455</v>
      </c>
      <c r="G6291" s="405" t="s">
        <v>12355</v>
      </c>
      <c r="H6291" s="405">
        <v>775975781</v>
      </c>
      <c r="I6291" s="405"/>
      <c r="J6291" s="405">
        <v>1.1160369999999999</v>
      </c>
      <c r="K6291" s="405">
        <v>34.168742000000002</v>
      </c>
      <c r="L6291" s="405" t="s">
        <v>6866</v>
      </c>
      <c r="M6291" s="405" t="s">
        <v>9514</v>
      </c>
      <c r="N6291" s="405" t="s">
        <v>9607</v>
      </c>
      <c r="O6291" s="405" t="s">
        <v>9608</v>
      </c>
      <c r="P6291" s="405" t="s">
        <v>12356</v>
      </c>
      <c r="Q6291" s="411">
        <v>6</v>
      </c>
      <c r="R6291" s="405" t="s">
        <v>7224</v>
      </c>
      <c r="S6291" s="405" t="s">
        <v>27316</v>
      </c>
      <c r="T6291" s="405" t="s">
        <v>32102</v>
      </c>
      <c r="U6291" s="405" t="s">
        <v>319</v>
      </c>
    </row>
    <row r="6292" spans="1:21" x14ac:dyDescent="0.25">
      <c r="A6292" s="405" t="s">
        <v>310</v>
      </c>
      <c r="B6292" s="405" t="s">
        <v>21132</v>
      </c>
      <c r="C6292" s="405" t="s">
        <v>327</v>
      </c>
      <c r="D6292" s="405"/>
      <c r="E6292" s="410">
        <v>41410</v>
      </c>
      <c r="F6292" s="410">
        <v>41455</v>
      </c>
      <c r="G6292" s="405" t="s">
        <v>21133</v>
      </c>
      <c r="H6292" s="405">
        <v>772688784</v>
      </c>
      <c r="I6292" s="405"/>
      <c r="J6292" s="405">
        <v>-1.266073</v>
      </c>
      <c r="K6292" s="405">
        <v>29.989115999999999</v>
      </c>
      <c r="L6292" s="405" t="s">
        <v>590</v>
      </c>
      <c r="M6292" s="405" t="s">
        <v>5312</v>
      </c>
      <c r="N6292" s="405" t="s">
        <v>20080</v>
      </c>
      <c r="O6292" s="405" t="s">
        <v>16533</v>
      </c>
      <c r="P6292" s="405" t="s">
        <v>21134</v>
      </c>
      <c r="Q6292" s="411">
        <v>4</v>
      </c>
      <c r="R6292" s="405" t="s">
        <v>438</v>
      </c>
      <c r="S6292" s="405" t="s">
        <v>27415</v>
      </c>
      <c r="T6292" s="405" t="s">
        <v>32102</v>
      </c>
      <c r="U6292" s="405" t="s">
        <v>319</v>
      </c>
    </row>
    <row r="6293" spans="1:21" x14ac:dyDescent="0.25">
      <c r="A6293" s="405" t="s">
        <v>310</v>
      </c>
      <c r="B6293" s="405" t="s">
        <v>27541</v>
      </c>
      <c r="C6293" s="405" t="s">
        <v>311</v>
      </c>
      <c r="D6293" s="405" t="s">
        <v>839</v>
      </c>
      <c r="E6293" s="410">
        <v>41409</v>
      </c>
      <c r="F6293" s="410">
        <v>41454</v>
      </c>
      <c r="G6293" s="405" t="s">
        <v>12727</v>
      </c>
      <c r="H6293" s="405">
        <v>753628853</v>
      </c>
      <c r="I6293" s="405"/>
      <c r="J6293" s="405">
        <v>1.538008</v>
      </c>
      <c r="K6293" s="405">
        <v>33.293418000000003</v>
      </c>
      <c r="L6293" s="405" t="s">
        <v>6866</v>
      </c>
      <c r="M6293" s="405" t="s">
        <v>9658</v>
      </c>
      <c r="N6293" s="405" t="s">
        <v>11057</v>
      </c>
      <c r="O6293" s="405" t="s">
        <v>11058</v>
      </c>
      <c r="P6293" s="405" t="s">
        <v>12728</v>
      </c>
      <c r="Q6293" s="411">
        <v>9</v>
      </c>
      <c r="R6293" s="405" t="s">
        <v>5655</v>
      </c>
      <c r="S6293" s="405" t="s">
        <v>27325</v>
      </c>
      <c r="T6293" s="405" t="s">
        <v>32102</v>
      </c>
      <c r="U6293" s="405" t="s">
        <v>319</v>
      </c>
    </row>
    <row r="6294" spans="1:21" x14ac:dyDescent="0.25">
      <c r="A6294" s="405" t="s">
        <v>310</v>
      </c>
      <c r="B6294" s="405" t="s">
        <v>12315</v>
      </c>
      <c r="C6294" s="405" t="s">
        <v>327</v>
      </c>
      <c r="D6294" s="405"/>
      <c r="E6294" s="410">
        <v>41409</v>
      </c>
      <c r="F6294" s="410">
        <v>41454</v>
      </c>
      <c r="G6294" s="405" t="s">
        <v>12316</v>
      </c>
      <c r="H6294" s="405">
        <v>772400330</v>
      </c>
      <c r="I6294" s="405"/>
      <c r="J6294" s="405">
        <v>1.781425</v>
      </c>
      <c r="K6294" s="405">
        <v>33.926113000000001</v>
      </c>
      <c r="L6294" s="405" t="s">
        <v>6866</v>
      </c>
      <c r="M6294" s="405" t="s">
        <v>11355</v>
      </c>
      <c r="N6294" s="405" t="s">
        <v>11361</v>
      </c>
      <c r="O6294" s="405" t="s">
        <v>11361</v>
      </c>
      <c r="P6294" s="405" t="s">
        <v>12317</v>
      </c>
      <c r="Q6294" s="411">
        <v>9</v>
      </c>
      <c r="R6294" s="405" t="s">
        <v>525</v>
      </c>
      <c r="S6294" s="405" t="s">
        <v>27193</v>
      </c>
      <c r="T6294" s="405" t="s">
        <v>32102</v>
      </c>
      <c r="U6294" s="405" t="s">
        <v>319</v>
      </c>
    </row>
    <row r="6295" spans="1:21" x14ac:dyDescent="0.25">
      <c r="A6295" s="405" t="s">
        <v>310</v>
      </c>
      <c r="B6295" s="405" t="s">
        <v>27478</v>
      </c>
      <c r="C6295" s="405" t="s">
        <v>311</v>
      </c>
      <c r="D6295" s="405" t="s">
        <v>312</v>
      </c>
      <c r="E6295" s="410">
        <v>41409</v>
      </c>
      <c r="F6295" s="410">
        <v>41454</v>
      </c>
      <c r="G6295" s="405" t="s">
        <v>12739</v>
      </c>
      <c r="H6295" s="405">
        <v>751702025</v>
      </c>
      <c r="I6295" s="405"/>
      <c r="J6295" s="405">
        <v>1.5253350000000001</v>
      </c>
      <c r="K6295" s="405">
        <v>33.795672000000003</v>
      </c>
      <c r="L6295" s="405" t="s">
        <v>6866</v>
      </c>
      <c r="M6295" s="405" t="s">
        <v>10012</v>
      </c>
      <c r="N6295" s="405" t="s">
        <v>10012</v>
      </c>
      <c r="O6295" s="405" t="s">
        <v>10779</v>
      </c>
      <c r="P6295" s="405" t="s">
        <v>12740</v>
      </c>
      <c r="Q6295" s="411">
        <v>6</v>
      </c>
      <c r="R6295" s="405" t="s">
        <v>333</v>
      </c>
      <c r="S6295" s="405" t="s">
        <v>27296</v>
      </c>
      <c r="T6295" s="405" t="s">
        <v>32102</v>
      </c>
      <c r="U6295" s="405" t="s">
        <v>319</v>
      </c>
    </row>
    <row r="6296" spans="1:21" x14ac:dyDescent="0.25">
      <c r="A6296" s="405" t="s">
        <v>310</v>
      </c>
      <c r="B6296" s="405" t="s">
        <v>18603</v>
      </c>
      <c r="C6296" s="405" t="s">
        <v>327</v>
      </c>
      <c r="D6296" s="405"/>
      <c r="E6296" s="410">
        <v>41409</v>
      </c>
      <c r="F6296" s="410">
        <v>41454</v>
      </c>
      <c r="G6296" s="405" t="s">
        <v>18604</v>
      </c>
      <c r="H6296" s="405">
        <v>752482189</v>
      </c>
      <c r="I6296" s="405"/>
      <c r="J6296" s="405">
        <v>1.8949100000000001</v>
      </c>
      <c r="K6296" s="405">
        <v>33.165816999999997</v>
      </c>
      <c r="L6296" s="405" t="s">
        <v>860</v>
      </c>
      <c r="M6296" s="405" t="s">
        <v>12189</v>
      </c>
      <c r="N6296" s="405" t="s">
        <v>18294</v>
      </c>
      <c r="O6296" s="405" t="s">
        <v>18605</v>
      </c>
      <c r="P6296" s="405" t="s">
        <v>18606</v>
      </c>
      <c r="Q6296" s="411">
        <v>6</v>
      </c>
      <c r="R6296" s="405" t="s">
        <v>318</v>
      </c>
      <c r="S6296" s="405" t="s">
        <v>27343</v>
      </c>
      <c r="T6296" s="405" t="s">
        <v>32102</v>
      </c>
      <c r="U6296" s="405" t="s">
        <v>319</v>
      </c>
    </row>
    <row r="6297" spans="1:21" x14ac:dyDescent="0.25">
      <c r="A6297" s="405" t="s">
        <v>310</v>
      </c>
      <c r="B6297" s="405" t="s">
        <v>3883</v>
      </c>
      <c r="C6297" s="405" t="s">
        <v>327</v>
      </c>
      <c r="D6297" s="405"/>
      <c r="E6297" s="410">
        <v>41409</v>
      </c>
      <c r="F6297" s="410">
        <v>41454</v>
      </c>
      <c r="G6297" s="405" t="s">
        <v>3884</v>
      </c>
      <c r="H6297" s="405">
        <v>703463101</v>
      </c>
      <c r="I6297" s="405"/>
      <c r="J6297" s="405">
        <v>0.42428500000000002</v>
      </c>
      <c r="K6297" s="405">
        <v>31.630517000000001</v>
      </c>
      <c r="L6297" s="405" t="s">
        <v>314</v>
      </c>
      <c r="M6297" s="405" t="s">
        <v>445</v>
      </c>
      <c r="N6297" s="405" t="s">
        <v>570</v>
      </c>
      <c r="O6297" s="405" t="s">
        <v>2734</v>
      </c>
      <c r="P6297" s="405" t="s">
        <v>3885</v>
      </c>
      <c r="Q6297" s="411">
        <v>6</v>
      </c>
      <c r="R6297" s="405" t="s">
        <v>2060</v>
      </c>
      <c r="S6297" s="405" t="s">
        <v>27053</v>
      </c>
      <c r="T6297" s="405" t="s">
        <v>32102</v>
      </c>
      <c r="U6297" s="405" t="s">
        <v>319</v>
      </c>
    </row>
    <row r="6298" spans="1:21" x14ac:dyDescent="0.25">
      <c r="A6298" s="405" t="s">
        <v>310</v>
      </c>
      <c r="B6298" s="405" t="s">
        <v>3876</v>
      </c>
      <c r="C6298" s="405" t="s">
        <v>327</v>
      </c>
      <c r="D6298" s="405"/>
      <c r="E6298" s="410">
        <v>41409</v>
      </c>
      <c r="F6298" s="410">
        <v>41454</v>
      </c>
      <c r="G6298" s="405" t="s">
        <v>3877</v>
      </c>
      <c r="H6298" s="405">
        <v>701877173</v>
      </c>
      <c r="I6298" s="405"/>
      <c r="J6298" s="405">
        <v>0.45526499999999998</v>
      </c>
      <c r="K6298" s="405">
        <v>31.714151999999999</v>
      </c>
      <c r="L6298" s="405" t="s">
        <v>314</v>
      </c>
      <c r="M6298" s="405" t="s">
        <v>445</v>
      </c>
      <c r="N6298" s="405" t="s">
        <v>570</v>
      </c>
      <c r="O6298" s="405" t="s">
        <v>2734</v>
      </c>
      <c r="P6298" s="405" t="s">
        <v>3873</v>
      </c>
      <c r="Q6298" s="411">
        <v>6</v>
      </c>
      <c r="R6298" s="405" t="s">
        <v>32476</v>
      </c>
      <c r="S6298" s="405" t="s">
        <v>27041</v>
      </c>
      <c r="T6298" s="405" t="s">
        <v>32102</v>
      </c>
      <c r="U6298" s="405" t="s">
        <v>319</v>
      </c>
    </row>
    <row r="6299" spans="1:21" x14ac:dyDescent="0.25">
      <c r="A6299" s="405" t="s">
        <v>310</v>
      </c>
      <c r="B6299" s="405" t="s">
        <v>21137</v>
      </c>
      <c r="C6299" s="405" t="s">
        <v>327</v>
      </c>
      <c r="D6299" s="405"/>
      <c r="E6299" s="410">
        <v>41409</v>
      </c>
      <c r="F6299" s="410">
        <v>41454</v>
      </c>
      <c r="G6299" s="405" t="s">
        <v>21138</v>
      </c>
      <c r="H6299" s="405">
        <v>781427835</v>
      </c>
      <c r="I6299" s="405"/>
      <c r="J6299" s="405">
        <v>-1.1337280000000001</v>
      </c>
      <c r="K6299" s="405">
        <v>30.188275999999998</v>
      </c>
      <c r="L6299" s="405" t="s">
        <v>590</v>
      </c>
      <c r="M6299" s="405" t="s">
        <v>19659</v>
      </c>
      <c r="N6299" s="405" t="s">
        <v>19677</v>
      </c>
      <c r="O6299" s="405" t="s">
        <v>2520</v>
      </c>
      <c r="P6299" s="405" t="s">
        <v>21139</v>
      </c>
      <c r="Q6299" s="411">
        <v>6</v>
      </c>
      <c r="R6299" s="405" t="s">
        <v>1527</v>
      </c>
      <c r="S6299" s="405" t="s">
        <v>27166</v>
      </c>
      <c r="T6299" s="405" t="s">
        <v>32102</v>
      </c>
      <c r="U6299" s="405" t="s">
        <v>319</v>
      </c>
    </row>
    <row r="6300" spans="1:21" x14ac:dyDescent="0.25">
      <c r="A6300" s="405" t="s">
        <v>310</v>
      </c>
      <c r="B6300" s="405" t="s">
        <v>27978</v>
      </c>
      <c r="C6300" s="405" t="s">
        <v>327</v>
      </c>
      <c r="D6300" s="405"/>
      <c r="E6300" s="410">
        <v>41408</v>
      </c>
      <c r="F6300" s="410">
        <v>41453</v>
      </c>
      <c r="G6300" s="405" t="s">
        <v>3830</v>
      </c>
      <c r="H6300" s="405">
        <v>772445468</v>
      </c>
      <c r="I6300" s="405">
        <v>753445468</v>
      </c>
      <c r="J6300" s="405">
        <v>0.46136909999999998</v>
      </c>
      <c r="K6300" s="405">
        <v>32.527550699999999</v>
      </c>
      <c r="L6300" s="405" t="s">
        <v>314</v>
      </c>
      <c r="M6300" s="405" t="s">
        <v>361</v>
      </c>
      <c r="N6300" s="405" t="s">
        <v>362</v>
      </c>
      <c r="O6300" s="405" t="s">
        <v>1752</v>
      </c>
      <c r="P6300" s="405" t="s">
        <v>3831</v>
      </c>
      <c r="Q6300" s="411">
        <v>9</v>
      </c>
      <c r="R6300" s="405" t="s">
        <v>1263</v>
      </c>
      <c r="S6300" s="405" t="s">
        <v>27039</v>
      </c>
      <c r="T6300" s="405" t="s">
        <v>32102</v>
      </c>
      <c r="U6300" s="405" t="s">
        <v>319</v>
      </c>
    </row>
    <row r="6301" spans="1:21" x14ac:dyDescent="0.25">
      <c r="A6301" s="405" t="s">
        <v>310</v>
      </c>
      <c r="B6301" s="405" t="s">
        <v>4312</v>
      </c>
      <c r="C6301" s="405" t="s">
        <v>311</v>
      </c>
      <c r="D6301" s="405" t="s">
        <v>839</v>
      </c>
      <c r="E6301" s="410">
        <v>41408</v>
      </c>
      <c r="F6301" s="410">
        <v>41453</v>
      </c>
      <c r="G6301" s="405" t="s">
        <v>4313</v>
      </c>
      <c r="H6301" s="405">
        <v>702935015</v>
      </c>
      <c r="I6301" s="405">
        <v>701440245</v>
      </c>
      <c r="J6301" s="405">
        <v>-0.423342</v>
      </c>
      <c r="K6301" s="405">
        <v>31.393077999999999</v>
      </c>
      <c r="L6301" s="405" t="s">
        <v>314</v>
      </c>
      <c r="M6301" s="405" t="s">
        <v>1189</v>
      </c>
      <c r="N6301" s="405" t="s">
        <v>2556</v>
      </c>
      <c r="O6301" s="405" t="s">
        <v>1189</v>
      </c>
      <c r="P6301" s="405" t="s">
        <v>4314</v>
      </c>
      <c r="Q6301" s="411">
        <v>9</v>
      </c>
      <c r="R6301" s="405" t="s">
        <v>1263</v>
      </c>
      <c r="S6301" s="405" t="s">
        <v>27053</v>
      </c>
      <c r="T6301" s="405" t="s">
        <v>32102</v>
      </c>
      <c r="U6301" s="405" t="s">
        <v>319</v>
      </c>
    </row>
    <row r="6302" spans="1:21" x14ac:dyDescent="0.25">
      <c r="A6302" s="405" t="s">
        <v>310</v>
      </c>
      <c r="B6302" s="405" t="s">
        <v>28497</v>
      </c>
      <c r="C6302" s="405" t="s">
        <v>327</v>
      </c>
      <c r="D6302" s="405"/>
      <c r="E6302" s="410">
        <v>41408</v>
      </c>
      <c r="F6302" s="410">
        <v>41453</v>
      </c>
      <c r="G6302" s="405" t="s">
        <v>3908</v>
      </c>
      <c r="H6302" s="405">
        <v>787602696</v>
      </c>
      <c r="I6302" s="405"/>
      <c r="J6302" s="405">
        <v>0.520563</v>
      </c>
      <c r="K6302" s="405">
        <v>33.089055000000002</v>
      </c>
      <c r="L6302" s="405" t="s">
        <v>314</v>
      </c>
      <c r="M6302" s="405" t="s">
        <v>349</v>
      </c>
      <c r="N6302" s="405" t="s">
        <v>405</v>
      </c>
      <c r="O6302" s="405" t="s">
        <v>2107</v>
      </c>
      <c r="P6302" s="405" t="s">
        <v>2108</v>
      </c>
      <c r="Q6302" s="411">
        <v>6</v>
      </c>
      <c r="R6302" s="405" t="s">
        <v>402</v>
      </c>
      <c r="S6302" s="405" t="s">
        <v>27052</v>
      </c>
      <c r="T6302" s="405" t="s">
        <v>32102</v>
      </c>
      <c r="U6302" s="405" t="s">
        <v>319</v>
      </c>
    </row>
    <row r="6303" spans="1:21" x14ac:dyDescent="0.25">
      <c r="A6303" s="405" t="s">
        <v>310</v>
      </c>
      <c r="B6303" s="405" t="s">
        <v>12345</v>
      </c>
      <c r="C6303" s="405" t="s">
        <v>327</v>
      </c>
      <c r="D6303" s="405"/>
      <c r="E6303" s="410">
        <v>41408</v>
      </c>
      <c r="F6303" s="410">
        <v>41453</v>
      </c>
      <c r="G6303" s="405" t="s">
        <v>12346</v>
      </c>
      <c r="H6303" s="405">
        <v>782605409</v>
      </c>
      <c r="I6303" s="405"/>
      <c r="J6303" s="405">
        <v>1.1374470000000001</v>
      </c>
      <c r="K6303" s="405">
        <v>33.836947000000002</v>
      </c>
      <c r="L6303" s="405" t="s">
        <v>6866</v>
      </c>
      <c r="M6303" s="405" t="s">
        <v>10152</v>
      </c>
      <c r="N6303" s="405" t="s">
        <v>10153</v>
      </c>
      <c r="O6303" s="405" t="s">
        <v>4432</v>
      </c>
      <c r="P6303" s="405" t="s">
        <v>12266</v>
      </c>
      <c r="Q6303" s="411">
        <v>6</v>
      </c>
      <c r="R6303" s="405" t="s">
        <v>9541</v>
      </c>
      <c r="S6303" s="405" t="s">
        <v>27315</v>
      </c>
      <c r="T6303" s="405" t="s">
        <v>32102</v>
      </c>
      <c r="U6303" s="405" t="s">
        <v>319</v>
      </c>
    </row>
    <row r="6304" spans="1:21" x14ac:dyDescent="0.25">
      <c r="A6304" s="405" t="s">
        <v>310</v>
      </c>
      <c r="B6304" s="405" t="s">
        <v>3772</v>
      </c>
      <c r="C6304" s="405" t="s">
        <v>327</v>
      </c>
      <c r="D6304" s="405"/>
      <c r="E6304" s="410">
        <v>41407</v>
      </c>
      <c r="F6304" s="410">
        <v>41452</v>
      </c>
      <c r="G6304" s="405" t="s">
        <v>3773</v>
      </c>
      <c r="H6304" s="405">
        <v>752811534</v>
      </c>
      <c r="I6304" s="405"/>
      <c r="J6304" s="405">
        <v>-0.19850999999999999</v>
      </c>
      <c r="K6304" s="405">
        <v>31.488240999999999</v>
      </c>
      <c r="L6304" s="405" t="s">
        <v>314</v>
      </c>
      <c r="M6304" s="405" t="s">
        <v>343</v>
      </c>
      <c r="N6304" s="405" t="s">
        <v>344</v>
      </c>
      <c r="O6304" s="405" t="s">
        <v>345</v>
      </c>
      <c r="P6304" s="405" t="s">
        <v>3774</v>
      </c>
      <c r="Q6304" s="411">
        <v>6</v>
      </c>
      <c r="R6304" s="405" t="s">
        <v>318</v>
      </c>
      <c r="S6304" s="405" t="s">
        <v>27167</v>
      </c>
      <c r="T6304" s="405" t="s">
        <v>32102</v>
      </c>
      <c r="U6304" s="405" t="s">
        <v>319</v>
      </c>
    </row>
    <row r="6305" spans="1:21" x14ac:dyDescent="0.25">
      <c r="A6305" s="405" t="s">
        <v>310</v>
      </c>
      <c r="B6305" s="405" t="s">
        <v>21365</v>
      </c>
      <c r="C6305" s="405" t="s">
        <v>311</v>
      </c>
      <c r="D6305" s="405" t="s">
        <v>839</v>
      </c>
      <c r="E6305" s="410">
        <v>41407</v>
      </c>
      <c r="F6305" s="410">
        <v>41452</v>
      </c>
      <c r="G6305" s="405" t="s">
        <v>21366</v>
      </c>
      <c r="H6305" s="405">
        <v>702463250</v>
      </c>
      <c r="I6305" s="405">
        <v>772463250</v>
      </c>
      <c r="J6305" s="405">
        <v>-1.2628379999999999</v>
      </c>
      <c r="K6305" s="405">
        <v>29.984241999999998</v>
      </c>
      <c r="L6305" s="405" t="s">
        <v>590</v>
      </c>
      <c r="M6305" s="405" t="s">
        <v>5312</v>
      </c>
      <c r="N6305" s="405" t="s">
        <v>20080</v>
      </c>
      <c r="O6305" s="405" t="s">
        <v>16533</v>
      </c>
      <c r="P6305" s="405" t="s">
        <v>21367</v>
      </c>
      <c r="Q6305" s="411">
        <v>6</v>
      </c>
      <c r="R6305" s="405" t="s">
        <v>967</v>
      </c>
      <c r="S6305" s="405" t="s">
        <v>27410</v>
      </c>
      <c r="T6305" s="405" t="s">
        <v>32102</v>
      </c>
      <c r="U6305" s="405" t="s">
        <v>319</v>
      </c>
    </row>
    <row r="6306" spans="1:21" x14ac:dyDescent="0.25">
      <c r="A6306" s="405" t="s">
        <v>310</v>
      </c>
      <c r="B6306" s="405" t="s">
        <v>3871</v>
      </c>
      <c r="C6306" s="405" t="s">
        <v>327</v>
      </c>
      <c r="D6306" s="405"/>
      <c r="E6306" s="410">
        <v>41407</v>
      </c>
      <c r="F6306" s="410">
        <v>41452</v>
      </c>
      <c r="G6306" s="405" t="s">
        <v>3872</v>
      </c>
      <c r="H6306" s="405">
        <v>759143567</v>
      </c>
      <c r="I6306" s="405"/>
      <c r="J6306" s="405">
        <v>0.45638000000000001</v>
      </c>
      <c r="K6306" s="405">
        <v>31.712897000000002</v>
      </c>
      <c r="L6306" s="405" t="s">
        <v>314</v>
      </c>
      <c r="M6306" s="405" t="s">
        <v>445</v>
      </c>
      <c r="N6306" s="405" t="s">
        <v>570</v>
      </c>
      <c r="O6306" s="405" t="s">
        <v>2734</v>
      </c>
      <c r="P6306" s="405" t="s">
        <v>3873</v>
      </c>
      <c r="Q6306" s="411">
        <v>6</v>
      </c>
      <c r="R6306" s="405" t="s">
        <v>1263</v>
      </c>
      <c r="S6306" s="405" t="s">
        <v>27189</v>
      </c>
      <c r="T6306" s="405" t="s">
        <v>32102</v>
      </c>
      <c r="U6306" s="405" t="s">
        <v>319</v>
      </c>
    </row>
    <row r="6307" spans="1:21" x14ac:dyDescent="0.25">
      <c r="A6307" s="405" t="s">
        <v>310</v>
      </c>
      <c r="B6307" s="405" t="s">
        <v>28884</v>
      </c>
      <c r="C6307" s="405" t="s">
        <v>327</v>
      </c>
      <c r="D6307" s="405"/>
      <c r="E6307" s="410">
        <v>41407</v>
      </c>
      <c r="F6307" s="410">
        <v>41452</v>
      </c>
      <c r="G6307" s="405" t="s">
        <v>3902</v>
      </c>
      <c r="H6307" s="405">
        <v>785045443</v>
      </c>
      <c r="I6307" s="405"/>
      <c r="J6307" s="405">
        <v>1.4448319999999999</v>
      </c>
      <c r="K6307" s="405">
        <v>32.457267999999999</v>
      </c>
      <c r="L6307" s="405" t="s">
        <v>314</v>
      </c>
      <c r="M6307" s="405" t="s">
        <v>2512</v>
      </c>
      <c r="N6307" s="405" t="s">
        <v>2589</v>
      </c>
      <c r="O6307" s="405" t="s">
        <v>3903</v>
      </c>
      <c r="P6307" s="405" t="s">
        <v>3904</v>
      </c>
      <c r="Q6307" s="411">
        <v>4</v>
      </c>
      <c r="R6307" s="405" t="s">
        <v>32476</v>
      </c>
      <c r="S6307" s="405" t="s">
        <v>27047</v>
      </c>
      <c r="T6307" s="405" t="s">
        <v>32102</v>
      </c>
      <c r="U6307" s="405" t="s">
        <v>319</v>
      </c>
    </row>
    <row r="6308" spans="1:21" x14ac:dyDescent="0.25">
      <c r="A6308" s="405" t="s">
        <v>310</v>
      </c>
      <c r="B6308" s="405" t="s">
        <v>27743</v>
      </c>
      <c r="C6308" s="405" t="s">
        <v>327</v>
      </c>
      <c r="D6308" s="405"/>
      <c r="E6308" s="410">
        <v>41406</v>
      </c>
      <c r="F6308" s="410">
        <v>41451</v>
      </c>
      <c r="G6308" s="405" t="s">
        <v>18598</v>
      </c>
      <c r="H6308" s="405">
        <v>753119911</v>
      </c>
      <c r="I6308" s="405">
        <v>783645323</v>
      </c>
      <c r="J6308" s="405">
        <v>2.2473760999999999</v>
      </c>
      <c r="K6308" s="405">
        <v>32.892867899999999</v>
      </c>
      <c r="L6308" s="405" t="s">
        <v>860</v>
      </c>
      <c r="M6308" s="405" t="s">
        <v>18234</v>
      </c>
      <c r="N6308" s="405" t="s">
        <v>18250</v>
      </c>
      <c r="O6308" s="405" t="s">
        <v>18599</v>
      </c>
      <c r="P6308" s="405" t="s">
        <v>18600</v>
      </c>
      <c r="Q6308" s="411">
        <v>6</v>
      </c>
      <c r="R6308" s="405" t="s">
        <v>353</v>
      </c>
      <c r="S6308" s="405" t="s">
        <v>27110</v>
      </c>
      <c r="T6308" s="405" t="s">
        <v>32102</v>
      </c>
      <c r="U6308" s="405" t="s">
        <v>319</v>
      </c>
    </row>
    <row r="6309" spans="1:21" x14ac:dyDescent="0.25">
      <c r="A6309" s="405" t="s">
        <v>310</v>
      </c>
      <c r="B6309" s="405" t="s">
        <v>27775</v>
      </c>
      <c r="C6309" s="405" t="s">
        <v>327</v>
      </c>
      <c r="D6309" s="405"/>
      <c r="E6309" s="410">
        <v>41406</v>
      </c>
      <c r="F6309" s="410">
        <v>41451</v>
      </c>
      <c r="G6309" s="405" t="s">
        <v>18601</v>
      </c>
      <c r="H6309" s="405">
        <v>783645323</v>
      </c>
      <c r="I6309" s="405">
        <v>751858838</v>
      </c>
      <c r="J6309" s="405">
        <v>2.2656283333333334</v>
      </c>
      <c r="K6309" s="405">
        <v>32.880345000000005</v>
      </c>
      <c r="L6309" s="405" t="s">
        <v>860</v>
      </c>
      <c r="M6309" s="405" t="s">
        <v>18234</v>
      </c>
      <c r="N6309" s="405" t="s">
        <v>18250</v>
      </c>
      <c r="O6309" s="405" t="s">
        <v>18545</v>
      </c>
      <c r="P6309" s="405" t="s">
        <v>18602</v>
      </c>
      <c r="Q6309" s="411">
        <v>6</v>
      </c>
      <c r="R6309" s="405" t="s">
        <v>353</v>
      </c>
      <c r="S6309" s="405" t="s">
        <v>27114</v>
      </c>
      <c r="T6309" s="405" t="s">
        <v>32102</v>
      </c>
      <c r="U6309" s="405" t="s">
        <v>319</v>
      </c>
    </row>
    <row r="6310" spans="1:21" x14ac:dyDescent="0.25">
      <c r="A6310" s="405" t="s">
        <v>310</v>
      </c>
      <c r="B6310" s="405" t="s">
        <v>3754</v>
      </c>
      <c r="C6310" s="405" t="s">
        <v>327</v>
      </c>
      <c r="D6310" s="405"/>
      <c r="E6310" s="410">
        <v>41406</v>
      </c>
      <c r="F6310" s="410">
        <v>41451</v>
      </c>
      <c r="G6310" s="405" t="s">
        <v>3755</v>
      </c>
      <c r="H6310" s="405">
        <v>753693838</v>
      </c>
      <c r="I6310" s="405"/>
      <c r="J6310" s="405">
        <v>0.32965800000000001</v>
      </c>
      <c r="K6310" s="405">
        <v>32.146932999999997</v>
      </c>
      <c r="L6310" s="405" t="s">
        <v>314</v>
      </c>
      <c r="M6310" s="405" t="s">
        <v>675</v>
      </c>
      <c r="N6310" s="405" t="s">
        <v>676</v>
      </c>
      <c r="O6310" s="405" t="s">
        <v>677</v>
      </c>
      <c r="P6310" s="405" t="s">
        <v>3756</v>
      </c>
      <c r="Q6310" s="411">
        <v>6</v>
      </c>
      <c r="R6310" s="405" t="s">
        <v>32476</v>
      </c>
      <c r="S6310" s="405" t="s">
        <v>27215</v>
      </c>
      <c r="T6310" s="405" t="s">
        <v>32102</v>
      </c>
      <c r="U6310" s="405" t="s">
        <v>319</v>
      </c>
    </row>
    <row r="6311" spans="1:21" x14ac:dyDescent="0.25">
      <c r="A6311" s="405" t="s">
        <v>310</v>
      </c>
      <c r="B6311" s="405" t="s">
        <v>28707</v>
      </c>
      <c r="C6311" s="405" t="s">
        <v>327</v>
      </c>
      <c r="D6311" s="405"/>
      <c r="E6311" s="410">
        <v>41406</v>
      </c>
      <c r="F6311" s="410">
        <v>41451</v>
      </c>
      <c r="G6311" s="405" t="s">
        <v>12371</v>
      </c>
      <c r="H6311" s="405">
        <v>789833355</v>
      </c>
      <c r="I6311" s="405"/>
      <c r="J6311" s="405">
        <v>0.54605599999999999</v>
      </c>
      <c r="K6311" s="405">
        <v>34.052056999999998</v>
      </c>
      <c r="L6311" s="405" t="s">
        <v>6866</v>
      </c>
      <c r="M6311" s="405" t="s">
        <v>10390</v>
      </c>
      <c r="N6311" s="405" t="s">
        <v>12174</v>
      </c>
      <c r="O6311" s="405" t="s">
        <v>12372</v>
      </c>
      <c r="P6311" s="405" t="s">
        <v>12016</v>
      </c>
      <c r="Q6311" s="411">
        <v>6</v>
      </c>
      <c r="R6311" s="405" t="s">
        <v>7224</v>
      </c>
      <c r="S6311" s="405" t="s">
        <v>17013</v>
      </c>
      <c r="T6311" s="405" t="s">
        <v>32102</v>
      </c>
      <c r="U6311" s="405" t="s">
        <v>319</v>
      </c>
    </row>
    <row r="6312" spans="1:21" x14ac:dyDescent="0.25">
      <c r="A6312" s="405" t="s">
        <v>310</v>
      </c>
      <c r="B6312" s="405" t="s">
        <v>12357</v>
      </c>
      <c r="C6312" s="405" t="s">
        <v>327</v>
      </c>
      <c r="D6312" s="405"/>
      <c r="E6312" s="410">
        <v>41405</v>
      </c>
      <c r="F6312" s="410">
        <v>41450</v>
      </c>
      <c r="G6312" s="405" t="s">
        <v>12358</v>
      </c>
      <c r="H6312" s="405">
        <v>772329133</v>
      </c>
      <c r="I6312" s="405"/>
      <c r="J6312" s="405">
        <v>1.10117</v>
      </c>
      <c r="K6312" s="405">
        <v>34.185135000000002</v>
      </c>
      <c r="L6312" s="405" t="s">
        <v>6866</v>
      </c>
      <c r="M6312" s="405" t="s">
        <v>9514</v>
      </c>
      <c r="N6312" s="405" t="s">
        <v>9529</v>
      </c>
      <c r="O6312" s="405" t="s">
        <v>9530</v>
      </c>
      <c r="P6312" s="405" t="s">
        <v>12359</v>
      </c>
      <c r="Q6312" s="411">
        <v>13</v>
      </c>
      <c r="R6312" s="405" t="s">
        <v>7224</v>
      </c>
      <c r="S6312" s="405" t="s">
        <v>27283</v>
      </c>
      <c r="T6312" s="405" t="s">
        <v>32102</v>
      </c>
      <c r="U6312" s="405" t="s">
        <v>319</v>
      </c>
    </row>
    <row r="6313" spans="1:21" x14ac:dyDescent="0.25">
      <c r="A6313" s="405" t="s">
        <v>310</v>
      </c>
      <c r="B6313" s="405" t="s">
        <v>28667</v>
      </c>
      <c r="C6313" s="405" t="s">
        <v>327</v>
      </c>
      <c r="D6313" s="405"/>
      <c r="E6313" s="410">
        <v>41405</v>
      </c>
      <c r="F6313" s="410">
        <v>41450</v>
      </c>
      <c r="G6313" s="405" t="s">
        <v>3775</v>
      </c>
      <c r="H6313" s="405">
        <v>787095805</v>
      </c>
      <c r="I6313" s="405"/>
      <c r="J6313" s="405">
        <v>0.24009800000000001</v>
      </c>
      <c r="K6313" s="405">
        <v>32.038798999999997</v>
      </c>
      <c r="L6313" s="405" t="s">
        <v>314</v>
      </c>
      <c r="M6313" s="405" t="s">
        <v>339</v>
      </c>
      <c r="N6313" s="405" t="s">
        <v>339</v>
      </c>
      <c r="O6313" s="405" t="s">
        <v>2272</v>
      </c>
      <c r="P6313" s="405" t="s">
        <v>3776</v>
      </c>
      <c r="Q6313" s="411">
        <v>6</v>
      </c>
      <c r="R6313" s="405" t="s">
        <v>318</v>
      </c>
      <c r="S6313" s="405" t="s">
        <v>27134</v>
      </c>
      <c r="T6313" s="405" t="s">
        <v>32102</v>
      </c>
      <c r="U6313" s="405" t="s">
        <v>319</v>
      </c>
    </row>
    <row r="6314" spans="1:21" x14ac:dyDescent="0.25">
      <c r="A6314" s="405" t="s">
        <v>310</v>
      </c>
      <c r="B6314" s="405" t="s">
        <v>12327</v>
      </c>
      <c r="C6314" s="405" t="s">
        <v>327</v>
      </c>
      <c r="D6314" s="405"/>
      <c r="E6314" s="410">
        <v>41405</v>
      </c>
      <c r="F6314" s="410">
        <v>41450</v>
      </c>
      <c r="G6314" s="405" t="s">
        <v>12328</v>
      </c>
      <c r="H6314" s="405">
        <v>782347272</v>
      </c>
      <c r="I6314" s="405"/>
      <c r="J6314" s="405">
        <v>1.526583</v>
      </c>
      <c r="K6314" s="405">
        <v>33.805627999999999</v>
      </c>
      <c r="L6314" s="405" t="s">
        <v>6866</v>
      </c>
      <c r="M6314" s="405" t="s">
        <v>10012</v>
      </c>
      <c r="N6314" s="405" t="s">
        <v>10012</v>
      </c>
      <c r="O6314" s="405" t="s">
        <v>10779</v>
      </c>
      <c r="P6314" s="405" t="s">
        <v>10403</v>
      </c>
      <c r="Q6314" s="411">
        <v>6</v>
      </c>
      <c r="R6314" s="405" t="s">
        <v>33087</v>
      </c>
      <c r="S6314" s="405" t="s">
        <v>27073</v>
      </c>
      <c r="T6314" s="405" t="s">
        <v>32102</v>
      </c>
      <c r="U6314" s="405" t="s">
        <v>319</v>
      </c>
    </row>
    <row r="6315" spans="1:21" x14ac:dyDescent="0.25">
      <c r="A6315" s="405" t="s">
        <v>310</v>
      </c>
      <c r="B6315" s="405" t="s">
        <v>3803</v>
      </c>
      <c r="C6315" s="405" t="s">
        <v>327</v>
      </c>
      <c r="D6315" s="405"/>
      <c r="E6315" s="410">
        <v>41405</v>
      </c>
      <c r="F6315" s="410">
        <v>41450</v>
      </c>
      <c r="G6315" s="405" t="s">
        <v>3804</v>
      </c>
      <c r="H6315" s="405">
        <v>784516627</v>
      </c>
      <c r="I6315" s="405"/>
      <c r="J6315" s="405">
        <v>0.42518</v>
      </c>
      <c r="K6315" s="405">
        <v>31.390332999999998</v>
      </c>
      <c r="L6315" s="405" t="s">
        <v>314</v>
      </c>
      <c r="M6315" s="405" t="s">
        <v>445</v>
      </c>
      <c r="N6315" s="405" t="s">
        <v>446</v>
      </c>
      <c r="O6315" s="405" t="s">
        <v>447</v>
      </c>
      <c r="P6315" s="405" t="s">
        <v>3805</v>
      </c>
      <c r="Q6315" s="411">
        <v>6</v>
      </c>
      <c r="R6315" s="405" t="s">
        <v>318</v>
      </c>
      <c r="S6315" s="405" t="s">
        <v>27201</v>
      </c>
      <c r="T6315" s="405" t="s">
        <v>32102</v>
      </c>
      <c r="U6315" s="405" t="s">
        <v>319</v>
      </c>
    </row>
    <row r="6316" spans="1:21" x14ac:dyDescent="0.25">
      <c r="A6316" s="405" t="s">
        <v>310</v>
      </c>
      <c r="B6316" s="405" t="s">
        <v>28674</v>
      </c>
      <c r="C6316" s="405" t="s">
        <v>327</v>
      </c>
      <c r="D6316" s="405"/>
      <c r="E6316" s="410">
        <v>41405</v>
      </c>
      <c r="F6316" s="410">
        <v>41450</v>
      </c>
      <c r="G6316" s="405" t="s">
        <v>21065</v>
      </c>
      <c r="H6316" s="405">
        <v>775979883</v>
      </c>
      <c r="I6316" s="405"/>
      <c r="J6316" s="405">
        <v>-0.68259700000000001</v>
      </c>
      <c r="K6316" s="405">
        <v>30.376380000000001</v>
      </c>
      <c r="L6316" s="405" t="s">
        <v>590</v>
      </c>
      <c r="M6316" s="405" t="s">
        <v>19725</v>
      </c>
      <c r="N6316" s="405" t="s">
        <v>19725</v>
      </c>
      <c r="O6316" s="405" t="s">
        <v>19797</v>
      </c>
      <c r="P6316" s="405" t="s">
        <v>21066</v>
      </c>
      <c r="Q6316" s="411">
        <v>6</v>
      </c>
      <c r="R6316" s="405" t="s">
        <v>333</v>
      </c>
      <c r="S6316" s="405" t="s">
        <v>27401</v>
      </c>
      <c r="T6316" s="405" t="s">
        <v>32102</v>
      </c>
      <c r="U6316" s="405" t="s">
        <v>319</v>
      </c>
    </row>
    <row r="6317" spans="1:21" x14ac:dyDescent="0.25">
      <c r="A6317" s="405" t="s">
        <v>310</v>
      </c>
      <c r="B6317" s="405" t="s">
        <v>28095</v>
      </c>
      <c r="C6317" s="405" t="s">
        <v>327</v>
      </c>
      <c r="D6317" s="405"/>
      <c r="E6317" s="410">
        <v>41405</v>
      </c>
      <c r="F6317" s="410">
        <v>41450</v>
      </c>
      <c r="G6317" s="405" t="s">
        <v>12326</v>
      </c>
      <c r="H6317" s="405">
        <v>775198190</v>
      </c>
      <c r="I6317" s="405"/>
      <c r="J6317" s="405">
        <v>1.484477</v>
      </c>
      <c r="K6317" s="405">
        <v>33.994759999999999</v>
      </c>
      <c r="L6317" s="405" t="s">
        <v>6866</v>
      </c>
      <c r="M6317" s="405" t="s">
        <v>10029</v>
      </c>
      <c r="N6317" s="405" t="s">
        <v>10029</v>
      </c>
      <c r="O6317" s="405" t="s">
        <v>10435</v>
      </c>
      <c r="P6317" s="405" t="s">
        <v>12245</v>
      </c>
      <c r="Q6317" s="411">
        <v>4</v>
      </c>
      <c r="R6317" s="405" t="s">
        <v>9541</v>
      </c>
      <c r="S6317" s="405" t="s">
        <v>27320</v>
      </c>
      <c r="T6317" s="405" t="s">
        <v>32102</v>
      </c>
      <c r="U6317" s="405" t="s">
        <v>319</v>
      </c>
    </row>
    <row r="6318" spans="1:21" x14ac:dyDescent="0.25">
      <c r="A6318" s="405" t="s">
        <v>310</v>
      </c>
      <c r="B6318" s="405" t="s">
        <v>12373</v>
      </c>
      <c r="C6318" s="405" t="s">
        <v>327</v>
      </c>
      <c r="D6318" s="405"/>
      <c r="E6318" s="410">
        <v>41404</v>
      </c>
      <c r="F6318" s="410">
        <v>41449</v>
      </c>
      <c r="G6318" s="405" t="s">
        <v>12374</v>
      </c>
      <c r="H6318" s="405">
        <v>773168163</v>
      </c>
      <c r="I6318" s="405"/>
      <c r="J6318" s="405">
        <v>0.59848699999999999</v>
      </c>
      <c r="K6318" s="405">
        <v>33.459727000000001</v>
      </c>
      <c r="L6318" s="405" t="s">
        <v>6866</v>
      </c>
      <c r="M6318" s="405" t="s">
        <v>11128</v>
      </c>
      <c r="N6318" s="405" t="s">
        <v>12375</v>
      </c>
      <c r="O6318" s="405" t="s">
        <v>12376</v>
      </c>
      <c r="P6318" s="405" t="s">
        <v>12377</v>
      </c>
      <c r="Q6318" s="411">
        <v>9</v>
      </c>
      <c r="R6318" s="405" t="s">
        <v>333</v>
      </c>
      <c r="S6318" s="405" t="s">
        <v>27136</v>
      </c>
      <c r="T6318" s="405" t="s">
        <v>32102</v>
      </c>
      <c r="U6318" s="405" t="s">
        <v>319</v>
      </c>
    </row>
    <row r="6319" spans="1:21" x14ac:dyDescent="0.25">
      <c r="A6319" s="405" t="s">
        <v>310</v>
      </c>
      <c r="B6319" s="405" t="s">
        <v>18596</v>
      </c>
      <c r="C6319" s="405" t="s">
        <v>327</v>
      </c>
      <c r="D6319" s="405"/>
      <c r="E6319" s="410">
        <v>41404</v>
      </c>
      <c r="F6319" s="410">
        <v>41449</v>
      </c>
      <c r="G6319" s="405" t="s">
        <v>18597</v>
      </c>
      <c r="H6319" s="405">
        <v>775872788</v>
      </c>
      <c r="I6319" s="405">
        <v>758394039</v>
      </c>
      <c r="J6319" s="405">
        <v>1.8303739999999999</v>
      </c>
      <c r="K6319" s="405">
        <v>33.021607000000003</v>
      </c>
      <c r="L6319" s="405" t="s">
        <v>860</v>
      </c>
      <c r="M6319" s="405" t="s">
        <v>12189</v>
      </c>
      <c r="N6319" s="405" t="s">
        <v>18298</v>
      </c>
      <c r="O6319" s="405" t="s">
        <v>18520</v>
      </c>
      <c r="P6319" s="405" t="s">
        <v>18521</v>
      </c>
      <c r="Q6319" s="411">
        <v>6</v>
      </c>
      <c r="R6319" s="405" t="s">
        <v>318</v>
      </c>
      <c r="S6319" s="405" t="s">
        <v>27359</v>
      </c>
      <c r="T6319" s="405" t="s">
        <v>32102</v>
      </c>
      <c r="U6319" s="405" t="s">
        <v>319</v>
      </c>
    </row>
    <row r="6320" spans="1:21" x14ac:dyDescent="0.25">
      <c r="A6320" s="405" t="s">
        <v>310</v>
      </c>
      <c r="B6320" s="405" t="s">
        <v>12329</v>
      </c>
      <c r="C6320" s="405" t="s">
        <v>327</v>
      </c>
      <c r="D6320" s="405"/>
      <c r="E6320" s="410">
        <v>41404</v>
      </c>
      <c r="F6320" s="410">
        <v>41449</v>
      </c>
      <c r="G6320" s="405" t="s">
        <v>12330</v>
      </c>
      <c r="H6320" s="405">
        <v>778908478</v>
      </c>
      <c r="I6320" s="405"/>
      <c r="J6320" s="405">
        <v>1.133497</v>
      </c>
      <c r="K6320" s="405">
        <v>34.196247</v>
      </c>
      <c r="L6320" s="405" t="s">
        <v>6866</v>
      </c>
      <c r="M6320" s="405" t="s">
        <v>9514</v>
      </c>
      <c r="N6320" s="405" t="s">
        <v>9529</v>
      </c>
      <c r="O6320" s="405" t="s">
        <v>9530</v>
      </c>
      <c r="P6320" s="405" t="s">
        <v>9951</v>
      </c>
      <c r="Q6320" s="411">
        <v>6</v>
      </c>
      <c r="R6320" s="405" t="s">
        <v>7224</v>
      </c>
      <c r="S6320" s="405" t="s">
        <v>27316</v>
      </c>
      <c r="T6320" s="405" t="s">
        <v>32102</v>
      </c>
      <c r="U6320" s="405" t="s">
        <v>319</v>
      </c>
    </row>
    <row r="6321" spans="1:21" x14ac:dyDescent="0.25">
      <c r="A6321" s="405" t="s">
        <v>310</v>
      </c>
      <c r="B6321" s="405" t="s">
        <v>3825</v>
      </c>
      <c r="C6321" s="405" t="s">
        <v>327</v>
      </c>
      <c r="D6321" s="405"/>
      <c r="E6321" s="410">
        <v>41404</v>
      </c>
      <c r="F6321" s="410">
        <v>41449</v>
      </c>
      <c r="G6321" s="405" t="s">
        <v>3826</v>
      </c>
      <c r="H6321" s="405">
        <v>783827172</v>
      </c>
      <c r="I6321" s="405">
        <v>750622654</v>
      </c>
      <c r="J6321" s="405">
        <v>0.22003</v>
      </c>
      <c r="K6321" s="405">
        <v>32.335188333333335</v>
      </c>
      <c r="L6321" s="405" t="s">
        <v>314</v>
      </c>
      <c r="M6321" s="405" t="s">
        <v>321</v>
      </c>
      <c r="N6321" s="405" t="s">
        <v>322</v>
      </c>
      <c r="O6321" s="405" t="s">
        <v>996</v>
      </c>
      <c r="P6321" s="405" t="s">
        <v>961</v>
      </c>
      <c r="Q6321" s="411">
        <v>6</v>
      </c>
      <c r="R6321" s="405" t="s">
        <v>353</v>
      </c>
      <c r="S6321" s="405" t="s">
        <v>27034</v>
      </c>
      <c r="T6321" s="405" t="s">
        <v>32102</v>
      </c>
      <c r="U6321" s="405" t="s">
        <v>319</v>
      </c>
    </row>
    <row r="6322" spans="1:21" x14ac:dyDescent="0.25">
      <c r="A6322" s="405" t="s">
        <v>310</v>
      </c>
      <c r="B6322" s="405" t="s">
        <v>28799</v>
      </c>
      <c r="C6322" s="405" t="s">
        <v>311</v>
      </c>
      <c r="D6322" s="405" t="s">
        <v>3381</v>
      </c>
      <c r="E6322" s="410">
        <v>41404</v>
      </c>
      <c r="F6322" s="410">
        <v>41449</v>
      </c>
      <c r="G6322" s="405" t="s">
        <v>18845</v>
      </c>
      <c r="H6322" s="405">
        <v>772334935</v>
      </c>
      <c r="I6322" s="405"/>
      <c r="J6322" s="405">
        <v>2.2678410000000002</v>
      </c>
      <c r="K6322" s="405">
        <v>32.879953999999998</v>
      </c>
      <c r="L6322" s="405" t="s">
        <v>860</v>
      </c>
      <c r="M6322" s="405" t="s">
        <v>18234</v>
      </c>
      <c r="N6322" s="405" t="s">
        <v>18250</v>
      </c>
      <c r="O6322" s="405" t="s">
        <v>18545</v>
      </c>
      <c r="P6322" s="405" t="s">
        <v>18602</v>
      </c>
      <c r="Q6322" s="411">
        <v>6</v>
      </c>
      <c r="R6322" s="405" t="s">
        <v>318</v>
      </c>
      <c r="S6322" s="405" t="s">
        <v>27125</v>
      </c>
      <c r="T6322" s="405" t="s">
        <v>32102</v>
      </c>
      <c r="U6322" s="405" t="s">
        <v>319</v>
      </c>
    </row>
    <row r="6323" spans="1:21" x14ac:dyDescent="0.25">
      <c r="A6323" s="405" t="s">
        <v>310</v>
      </c>
      <c r="B6323" s="405" t="s">
        <v>12336</v>
      </c>
      <c r="C6323" s="405" t="s">
        <v>327</v>
      </c>
      <c r="D6323" s="405"/>
      <c r="E6323" s="410">
        <v>41404</v>
      </c>
      <c r="F6323" s="410">
        <v>41449</v>
      </c>
      <c r="G6323" s="405" t="s">
        <v>12337</v>
      </c>
      <c r="H6323" s="405">
        <v>789248147</v>
      </c>
      <c r="I6323" s="405"/>
      <c r="J6323" s="405">
        <v>1.188013</v>
      </c>
      <c r="K6323" s="405">
        <v>33.730089999999997</v>
      </c>
      <c r="L6323" s="405" t="s">
        <v>6866</v>
      </c>
      <c r="M6323" s="405" t="s">
        <v>9509</v>
      </c>
      <c r="N6323" s="405" t="s">
        <v>9509</v>
      </c>
      <c r="O6323" s="405" t="s">
        <v>9509</v>
      </c>
      <c r="P6323" s="405" t="s">
        <v>12338</v>
      </c>
      <c r="Q6323" s="411">
        <v>4</v>
      </c>
      <c r="R6323" s="405" t="s">
        <v>7224</v>
      </c>
      <c r="S6323" s="405" t="s">
        <v>27107</v>
      </c>
      <c r="T6323" s="405" t="s">
        <v>32102</v>
      </c>
      <c r="U6323" s="405" t="s">
        <v>319</v>
      </c>
    </row>
    <row r="6324" spans="1:21" x14ac:dyDescent="0.25">
      <c r="A6324" s="405" t="s">
        <v>310</v>
      </c>
      <c r="B6324" s="405" t="s">
        <v>12758</v>
      </c>
      <c r="C6324" s="405" t="s">
        <v>311</v>
      </c>
      <c r="D6324" s="405" t="s">
        <v>839</v>
      </c>
      <c r="E6324" s="410">
        <v>41402</v>
      </c>
      <c r="F6324" s="410">
        <v>41447</v>
      </c>
      <c r="G6324" s="405" t="s">
        <v>12759</v>
      </c>
      <c r="H6324" s="405">
        <v>774282888</v>
      </c>
      <c r="I6324" s="405">
        <v>757282888</v>
      </c>
      <c r="J6324" s="405">
        <v>1.212342</v>
      </c>
      <c r="K6324" s="405">
        <v>33.783650000000002</v>
      </c>
      <c r="L6324" s="405" t="s">
        <v>6866</v>
      </c>
      <c r="M6324" s="405" t="s">
        <v>9509</v>
      </c>
      <c r="N6324" s="405" t="s">
        <v>7352</v>
      </c>
      <c r="O6324" s="405" t="s">
        <v>7352</v>
      </c>
      <c r="P6324" s="405" t="s">
        <v>12684</v>
      </c>
      <c r="Q6324" s="411">
        <v>6</v>
      </c>
      <c r="R6324" s="405" t="s">
        <v>7224</v>
      </c>
      <c r="S6324" s="405" t="s">
        <v>27107</v>
      </c>
      <c r="T6324" s="405" t="s">
        <v>32102</v>
      </c>
      <c r="U6324" s="405" t="s">
        <v>319</v>
      </c>
    </row>
    <row r="6325" spans="1:21" x14ac:dyDescent="0.25">
      <c r="A6325" s="405" t="s">
        <v>310</v>
      </c>
      <c r="B6325" s="405" t="s">
        <v>3890</v>
      </c>
      <c r="C6325" s="405" t="s">
        <v>327</v>
      </c>
      <c r="D6325" s="405"/>
      <c r="E6325" s="410">
        <v>41402</v>
      </c>
      <c r="F6325" s="410">
        <v>41447</v>
      </c>
      <c r="G6325" s="405" t="s">
        <v>3891</v>
      </c>
      <c r="H6325" s="405">
        <v>703759266</v>
      </c>
      <c r="I6325" s="405"/>
      <c r="J6325" s="405">
        <v>0.63774799999999998</v>
      </c>
      <c r="K6325" s="405">
        <v>31.382722999999999</v>
      </c>
      <c r="L6325" s="405" t="s">
        <v>314</v>
      </c>
      <c r="M6325" s="405" t="s">
        <v>445</v>
      </c>
      <c r="N6325" s="405" t="s">
        <v>446</v>
      </c>
      <c r="O6325" s="405" t="s">
        <v>2953</v>
      </c>
      <c r="P6325" s="405" t="s">
        <v>3892</v>
      </c>
      <c r="Q6325" s="411">
        <v>6</v>
      </c>
      <c r="R6325" s="405" t="s">
        <v>318</v>
      </c>
      <c r="S6325" s="405" t="s">
        <v>27201</v>
      </c>
      <c r="T6325" s="405" t="s">
        <v>32102</v>
      </c>
      <c r="U6325" s="405" t="s">
        <v>319</v>
      </c>
    </row>
    <row r="6326" spans="1:21" x14ac:dyDescent="0.25">
      <c r="A6326" s="405" t="s">
        <v>310</v>
      </c>
      <c r="B6326" s="405" t="s">
        <v>12342</v>
      </c>
      <c r="C6326" s="405" t="s">
        <v>327</v>
      </c>
      <c r="D6326" s="405"/>
      <c r="E6326" s="410">
        <v>41402</v>
      </c>
      <c r="F6326" s="410">
        <v>41447</v>
      </c>
      <c r="G6326" s="405" t="s">
        <v>12343</v>
      </c>
      <c r="H6326" s="405">
        <v>783229407</v>
      </c>
      <c r="I6326" s="405"/>
      <c r="J6326" s="405">
        <v>1.2082200000000001</v>
      </c>
      <c r="K6326" s="405">
        <v>33.770158000000002</v>
      </c>
      <c r="L6326" s="405" t="s">
        <v>6866</v>
      </c>
      <c r="M6326" s="405" t="s">
        <v>9509</v>
      </c>
      <c r="N6326" s="405" t="s">
        <v>7352</v>
      </c>
      <c r="O6326" s="405" t="s">
        <v>7352</v>
      </c>
      <c r="P6326" s="405" t="s">
        <v>12344</v>
      </c>
      <c r="Q6326" s="411">
        <v>4</v>
      </c>
      <c r="R6326" s="405" t="s">
        <v>7224</v>
      </c>
      <c r="S6326" s="405" t="s">
        <v>27107</v>
      </c>
      <c r="T6326" s="405" t="s">
        <v>32102</v>
      </c>
      <c r="U6326" s="405" t="s">
        <v>319</v>
      </c>
    </row>
    <row r="6327" spans="1:21" x14ac:dyDescent="0.25">
      <c r="A6327" s="405" t="s">
        <v>310</v>
      </c>
      <c r="B6327" s="405" t="s">
        <v>12321</v>
      </c>
      <c r="C6327" s="405" t="s">
        <v>327</v>
      </c>
      <c r="D6327" s="405"/>
      <c r="E6327" s="410">
        <v>41401</v>
      </c>
      <c r="F6327" s="410">
        <v>41446</v>
      </c>
      <c r="G6327" s="405" t="s">
        <v>12322</v>
      </c>
      <c r="H6327" s="405">
        <v>776414338</v>
      </c>
      <c r="I6327" s="405"/>
      <c r="J6327" s="405">
        <v>0.96879800000000005</v>
      </c>
      <c r="K6327" s="405">
        <v>34.057231999999999</v>
      </c>
      <c r="L6327" s="405" t="s">
        <v>6866</v>
      </c>
      <c r="M6327" s="405" t="s">
        <v>9566</v>
      </c>
      <c r="N6327" s="405" t="s">
        <v>9931</v>
      </c>
      <c r="O6327" s="405" t="s">
        <v>9932</v>
      </c>
      <c r="P6327" s="405" t="s">
        <v>12323</v>
      </c>
      <c r="Q6327" s="411">
        <v>6</v>
      </c>
      <c r="R6327" s="405" t="s">
        <v>9506</v>
      </c>
      <c r="S6327" s="405" t="s">
        <v>27335</v>
      </c>
      <c r="T6327" s="405" t="s">
        <v>32102</v>
      </c>
      <c r="U6327" s="405" t="s">
        <v>319</v>
      </c>
    </row>
    <row r="6328" spans="1:21" x14ac:dyDescent="0.25">
      <c r="A6328" s="405" t="s">
        <v>310</v>
      </c>
      <c r="B6328" s="405" t="s">
        <v>21127</v>
      </c>
      <c r="C6328" s="405" t="s">
        <v>327</v>
      </c>
      <c r="D6328" s="405"/>
      <c r="E6328" s="410">
        <v>41400</v>
      </c>
      <c r="F6328" s="410">
        <v>41445</v>
      </c>
      <c r="G6328" s="405" t="s">
        <v>21128</v>
      </c>
      <c r="H6328" s="405">
        <v>772470436</v>
      </c>
      <c r="I6328" s="405"/>
      <c r="J6328" s="405">
        <v>-0.89591399999999999</v>
      </c>
      <c r="K6328" s="405">
        <v>30.220365000000001</v>
      </c>
      <c r="L6328" s="405" t="s">
        <v>590</v>
      </c>
      <c r="M6328" s="405" t="s">
        <v>19659</v>
      </c>
      <c r="N6328" s="405" t="s">
        <v>19604</v>
      </c>
      <c r="O6328" s="405" t="s">
        <v>19826</v>
      </c>
      <c r="P6328" s="405" t="s">
        <v>21129</v>
      </c>
      <c r="Q6328" s="411">
        <v>13</v>
      </c>
      <c r="R6328" s="405" t="s">
        <v>1527</v>
      </c>
      <c r="S6328" s="405" t="s">
        <v>27393</v>
      </c>
      <c r="T6328" s="405" t="s">
        <v>32102</v>
      </c>
      <c r="U6328" s="405" t="s">
        <v>319</v>
      </c>
    </row>
    <row r="6329" spans="1:21" x14ac:dyDescent="0.25">
      <c r="A6329" s="405" t="s">
        <v>310</v>
      </c>
      <c r="B6329" s="405" t="s">
        <v>12324</v>
      </c>
      <c r="C6329" s="405" t="s">
        <v>327</v>
      </c>
      <c r="D6329" s="405"/>
      <c r="E6329" s="410">
        <v>41400</v>
      </c>
      <c r="F6329" s="410">
        <v>41445</v>
      </c>
      <c r="G6329" s="405" t="s">
        <v>12325</v>
      </c>
      <c r="H6329" s="405">
        <v>772890806</v>
      </c>
      <c r="I6329" s="405"/>
      <c r="J6329" s="405">
        <v>1.491045</v>
      </c>
      <c r="K6329" s="405">
        <v>33.989981999999998</v>
      </c>
      <c r="L6329" s="405" t="s">
        <v>6866</v>
      </c>
      <c r="M6329" s="405" t="s">
        <v>10029</v>
      </c>
      <c r="N6329" s="405" t="s">
        <v>10029</v>
      </c>
      <c r="O6329" s="405" t="s">
        <v>10435</v>
      </c>
      <c r="P6329" s="405" t="s">
        <v>12245</v>
      </c>
      <c r="Q6329" s="411">
        <v>9</v>
      </c>
      <c r="R6329" s="405" t="s">
        <v>9541</v>
      </c>
      <c r="S6329" s="405" t="s">
        <v>27320</v>
      </c>
      <c r="T6329" s="405" t="s">
        <v>32102</v>
      </c>
      <c r="U6329" s="405" t="s">
        <v>319</v>
      </c>
    </row>
    <row r="6330" spans="1:21" x14ac:dyDescent="0.25">
      <c r="A6330" s="405" t="s">
        <v>310</v>
      </c>
      <c r="B6330" s="405" t="s">
        <v>3777</v>
      </c>
      <c r="C6330" s="405" t="s">
        <v>327</v>
      </c>
      <c r="D6330" s="405"/>
      <c r="E6330" s="410">
        <v>41400</v>
      </c>
      <c r="F6330" s="410">
        <v>41445</v>
      </c>
      <c r="G6330" s="405" t="s">
        <v>3778</v>
      </c>
      <c r="H6330" s="405">
        <v>772853063</v>
      </c>
      <c r="I6330" s="405"/>
      <c r="J6330" s="405">
        <v>0.16933999999999999</v>
      </c>
      <c r="K6330" s="405">
        <v>32.061003999999997</v>
      </c>
      <c r="L6330" s="405" t="s">
        <v>314</v>
      </c>
      <c r="M6330" s="405" t="s">
        <v>339</v>
      </c>
      <c r="N6330" s="405" t="s">
        <v>339</v>
      </c>
      <c r="O6330" s="405" t="s">
        <v>2272</v>
      </c>
      <c r="P6330" s="405" t="s">
        <v>3779</v>
      </c>
      <c r="Q6330" s="411">
        <v>6</v>
      </c>
      <c r="R6330" s="405" t="s">
        <v>1263</v>
      </c>
      <c r="S6330" s="405" t="s">
        <v>27206</v>
      </c>
      <c r="T6330" s="405" t="s">
        <v>32102</v>
      </c>
      <c r="U6330" s="405" t="s">
        <v>319</v>
      </c>
    </row>
    <row r="6331" spans="1:21" x14ac:dyDescent="0.25">
      <c r="A6331" s="405" t="s">
        <v>310</v>
      </c>
      <c r="B6331" s="405" t="s">
        <v>28037</v>
      </c>
      <c r="C6331" s="405" t="s">
        <v>327</v>
      </c>
      <c r="D6331" s="405"/>
      <c r="E6331" s="410">
        <v>41399</v>
      </c>
      <c r="F6331" s="410">
        <v>41444</v>
      </c>
      <c r="G6331" s="405" t="s">
        <v>3845</v>
      </c>
      <c r="H6331" s="405">
        <v>789154461</v>
      </c>
      <c r="I6331" s="405"/>
      <c r="J6331" s="405">
        <v>0.34033330000000001</v>
      </c>
      <c r="K6331" s="405">
        <v>32.356058400000002</v>
      </c>
      <c r="L6331" s="405" t="s">
        <v>314</v>
      </c>
      <c r="M6331" s="405" t="s">
        <v>321</v>
      </c>
      <c r="N6331" s="405" t="s">
        <v>322</v>
      </c>
      <c r="O6331" s="405" t="s">
        <v>1017</v>
      </c>
      <c r="P6331" s="405" t="s">
        <v>3846</v>
      </c>
      <c r="Q6331" s="411">
        <v>6</v>
      </c>
      <c r="R6331" s="405" t="s">
        <v>318</v>
      </c>
      <c r="S6331" s="405" t="s">
        <v>27135</v>
      </c>
      <c r="T6331" s="405" t="s">
        <v>32102</v>
      </c>
      <c r="U6331" s="405" t="s">
        <v>319</v>
      </c>
    </row>
    <row r="6332" spans="1:21" x14ac:dyDescent="0.25">
      <c r="A6332" s="405" t="s">
        <v>310</v>
      </c>
      <c r="B6332" s="405" t="s">
        <v>28914</v>
      </c>
      <c r="C6332" s="405" t="s">
        <v>311</v>
      </c>
      <c r="D6332" s="405" t="s">
        <v>312</v>
      </c>
      <c r="E6332" s="410">
        <v>41399</v>
      </c>
      <c r="F6332" s="410">
        <v>41444</v>
      </c>
      <c r="G6332" s="405" t="s">
        <v>12748</v>
      </c>
      <c r="H6332" s="405">
        <v>776841741</v>
      </c>
      <c r="I6332" s="405"/>
      <c r="J6332" s="405">
        <v>0.79142900000000005</v>
      </c>
      <c r="K6332" s="405">
        <v>34.312216999999997</v>
      </c>
      <c r="L6332" s="405" t="s">
        <v>6866</v>
      </c>
      <c r="M6332" s="405" t="s">
        <v>9763</v>
      </c>
      <c r="N6332" s="405" t="s">
        <v>9848</v>
      </c>
      <c r="O6332" s="405" t="s">
        <v>12260</v>
      </c>
      <c r="P6332" s="405" t="s">
        <v>12749</v>
      </c>
      <c r="Q6332" s="411">
        <v>6</v>
      </c>
      <c r="R6332" s="405" t="s">
        <v>7224</v>
      </c>
      <c r="S6332" s="405" t="s">
        <v>27306</v>
      </c>
      <c r="T6332" s="405" t="s">
        <v>32102</v>
      </c>
      <c r="U6332" s="405" t="s">
        <v>319</v>
      </c>
    </row>
    <row r="6333" spans="1:21" x14ac:dyDescent="0.25">
      <c r="A6333" s="405" t="s">
        <v>310</v>
      </c>
      <c r="B6333" s="405" t="s">
        <v>12306</v>
      </c>
      <c r="C6333" s="405" t="s">
        <v>327</v>
      </c>
      <c r="D6333" s="405"/>
      <c r="E6333" s="410">
        <v>41399</v>
      </c>
      <c r="F6333" s="410">
        <v>41444</v>
      </c>
      <c r="G6333" s="405" t="s">
        <v>12307</v>
      </c>
      <c r="H6333" s="405">
        <v>753560719</v>
      </c>
      <c r="I6333" s="405"/>
      <c r="J6333" s="405">
        <v>0.69875200000000004</v>
      </c>
      <c r="K6333" s="405">
        <v>34.163316000000002</v>
      </c>
      <c r="L6333" s="405" t="s">
        <v>6866</v>
      </c>
      <c r="M6333" s="405" t="s">
        <v>9534</v>
      </c>
      <c r="N6333" s="405" t="s">
        <v>10065</v>
      </c>
      <c r="O6333" s="405" t="s">
        <v>9881</v>
      </c>
      <c r="P6333" s="405" t="s">
        <v>12308</v>
      </c>
      <c r="Q6333" s="411">
        <v>6</v>
      </c>
      <c r="R6333" s="405" t="s">
        <v>7224</v>
      </c>
      <c r="S6333" s="405" t="s">
        <v>27309</v>
      </c>
      <c r="T6333" s="405" t="s">
        <v>32102</v>
      </c>
      <c r="U6333" s="405" t="s">
        <v>319</v>
      </c>
    </row>
    <row r="6334" spans="1:21" x14ac:dyDescent="0.25">
      <c r="A6334" s="405" t="s">
        <v>310</v>
      </c>
      <c r="B6334" s="405" t="s">
        <v>12318</v>
      </c>
      <c r="C6334" s="405" t="s">
        <v>327</v>
      </c>
      <c r="D6334" s="405"/>
      <c r="E6334" s="410">
        <v>41399</v>
      </c>
      <c r="F6334" s="410">
        <v>41444</v>
      </c>
      <c r="G6334" s="405" t="s">
        <v>12319</v>
      </c>
      <c r="H6334" s="405">
        <v>782059596</v>
      </c>
      <c r="I6334" s="405"/>
      <c r="J6334" s="405">
        <v>0.81222899999999998</v>
      </c>
      <c r="K6334" s="405">
        <v>34.323019000000002</v>
      </c>
      <c r="L6334" s="405" t="s">
        <v>6866</v>
      </c>
      <c r="M6334" s="405" t="s">
        <v>9763</v>
      </c>
      <c r="N6334" s="405" t="s">
        <v>9848</v>
      </c>
      <c r="O6334" s="405" t="s">
        <v>9993</v>
      </c>
      <c r="P6334" s="405" t="s">
        <v>12320</v>
      </c>
      <c r="Q6334" s="411">
        <v>4</v>
      </c>
      <c r="R6334" s="405" t="s">
        <v>7224</v>
      </c>
      <c r="S6334" s="405" t="s">
        <v>27074</v>
      </c>
      <c r="T6334" s="405" t="s">
        <v>32102</v>
      </c>
      <c r="U6334" s="405" t="s">
        <v>319</v>
      </c>
    </row>
    <row r="6335" spans="1:21" x14ac:dyDescent="0.25">
      <c r="A6335" s="405" t="s">
        <v>310</v>
      </c>
      <c r="B6335" s="405" t="s">
        <v>27979</v>
      </c>
      <c r="C6335" s="405" t="s">
        <v>327</v>
      </c>
      <c r="D6335" s="405"/>
      <c r="E6335" s="410">
        <v>41398</v>
      </c>
      <c r="F6335" s="410">
        <v>41443</v>
      </c>
      <c r="G6335" s="405" t="s">
        <v>3832</v>
      </c>
      <c r="H6335" s="405">
        <v>782524560</v>
      </c>
      <c r="I6335" s="405">
        <v>703506152</v>
      </c>
      <c r="J6335" s="405">
        <v>-0.35402080000000002</v>
      </c>
      <c r="K6335" s="405">
        <v>31.729536599999999</v>
      </c>
      <c r="L6335" s="405" t="s">
        <v>314</v>
      </c>
      <c r="M6335" s="405" t="s">
        <v>382</v>
      </c>
      <c r="N6335" s="405" t="s">
        <v>3833</v>
      </c>
      <c r="O6335" s="405" t="s">
        <v>1518</v>
      </c>
      <c r="P6335" s="405" t="s">
        <v>3834</v>
      </c>
      <c r="Q6335" s="411">
        <v>9</v>
      </c>
      <c r="R6335" s="405" t="s">
        <v>402</v>
      </c>
      <c r="S6335" s="405" t="s">
        <v>27154</v>
      </c>
      <c r="T6335" s="405" t="s">
        <v>32102</v>
      </c>
      <c r="U6335" s="405" t="s">
        <v>319</v>
      </c>
    </row>
    <row r="6336" spans="1:21" x14ac:dyDescent="0.25">
      <c r="A6336" s="405" t="s">
        <v>310</v>
      </c>
      <c r="B6336" s="405" t="s">
        <v>21124</v>
      </c>
      <c r="C6336" s="405" t="s">
        <v>327</v>
      </c>
      <c r="D6336" s="405"/>
      <c r="E6336" s="410">
        <v>41398</v>
      </c>
      <c r="F6336" s="410">
        <v>41443</v>
      </c>
      <c r="G6336" s="405" t="s">
        <v>21125</v>
      </c>
      <c r="H6336" s="405">
        <v>771697468</v>
      </c>
      <c r="I6336" s="405"/>
      <c r="J6336" s="405">
        <v>-1.029226</v>
      </c>
      <c r="K6336" s="405">
        <v>30.092773000000001</v>
      </c>
      <c r="L6336" s="405" t="s">
        <v>590</v>
      </c>
      <c r="M6336" s="405" t="s">
        <v>19659</v>
      </c>
      <c r="N6336" s="405" t="s">
        <v>19677</v>
      </c>
      <c r="O6336" s="405" t="s">
        <v>19726</v>
      </c>
      <c r="P6336" s="405" t="s">
        <v>21126</v>
      </c>
      <c r="Q6336" s="411">
        <v>6</v>
      </c>
      <c r="R6336" s="405" t="s">
        <v>6572</v>
      </c>
      <c r="S6336" s="405" t="s">
        <v>27240</v>
      </c>
      <c r="T6336" s="405" t="s">
        <v>32102</v>
      </c>
      <c r="U6336" s="405" t="s">
        <v>319</v>
      </c>
    </row>
    <row r="6337" spans="1:21" x14ac:dyDescent="0.25">
      <c r="A6337" s="405" t="s">
        <v>310</v>
      </c>
      <c r="B6337" s="405" t="s">
        <v>21120</v>
      </c>
      <c r="C6337" s="405" t="s">
        <v>327</v>
      </c>
      <c r="D6337" s="405"/>
      <c r="E6337" s="410">
        <v>41397</v>
      </c>
      <c r="F6337" s="410">
        <v>41442</v>
      </c>
      <c r="G6337" s="405" t="s">
        <v>21121</v>
      </c>
      <c r="H6337" s="405">
        <v>773414942</v>
      </c>
      <c r="I6337" s="405">
        <v>783871746</v>
      </c>
      <c r="J6337" s="405">
        <v>-0.97575900000000004</v>
      </c>
      <c r="K6337" s="405">
        <v>30.498821</v>
      </c>
      <c r="L6337" s="405" t="s">
        <v>590</v>
      </c>
      <c r="M6337" s="405" t="s">
        <v>19659</v>
      </c>
      <c r="N6337" s="405" t="s">
        <v>19664</v>
      </c>
      <c r="O6337" s="405" t="s">
        <v>21122</v>
      </c>
      <c r="P6337" s="405" t="s">
        <v>21123</v>
      </c>
      <c r="Q6337" s="411">
        <v>13</v>
      </c>
      <c r="R6337" s="405" t="s">
        <v>967</v>
      </c>
      <c r="S6337" s="405" t="s">
        <v>27401</v>
      </c>
      <c r="T6337" s="405" t="s">
        <v>32102</v>
      </c>
      <c r="U6337" s="405" t="s">
        <v>319</v>
      </c>
    </row>
    <row r="6338" spans="1:21" x14ac:dyDescent="0.25">
      <c r="A6338" s="405" t="s">
        <v>310</v>
      </c>
      <c r="B6338" s="405" t="s">
        <v>28852</v>
      </c>
      <c r="C6338" s="405" t="s">
        <v>311</v>
      </c>
      <c r="D6338" s="405" t="s">
        <v>32767</v>
      </c>
      <c r="E6338" s="410">
        <v>41397</v>
      </c>
      <c r="F6338" s="410">
        <v>41442</v>
      </c>
      <c r="G6338" s="405" t="s">
        <v>21356</v>
      </c>
      <c r="H6338" s="405">
        <v>773151633</v>
      </c>
      <c r="I6338" s="405"/>
      <c r="J6338" s="405">
        <v>-0.98630300000000004</v>
      </c>
      <c r="K6338" s="405">
        <v>30.351588</v>
      </c>
      <c r="L6338" s="405" t="s">
        <v>590</v>
      </c>
      <c r="M6338" s="405" t="s">
        <v>19659</v>
      </c>
      <c r="N6338" s="405" t="s">
        <v>19664</v>
      </c>
      <c r="O6338" s="405" t="s">
        <v>19664</v>
      </c>
      <c r="P6338" s="405" t="s">
        <v>21357</v>
      </c>
      <c r="Q6338" s="411">
        <v>9</v>
      </c>
      <c r="R6338" s="405" t="s">
        <v>1527</v>
      </c>
      <c r="S6338" s="405" t="s">
        <v>27393</v>
      </c>
      <c r="T6338" s="405" t="s">
        <v>32102</v>
      </c>
      <c r="U6338" s="405" t="s">
        <v>319</v>
      </c>
    </row>
    <row r="6339" spans="1:21" x14ac:dyDescent="0.25">
      <c r="A6339" s="405" t="s">
        <v>310</v>
      </c>
      <c r="B6339" s="405" t="s">
        <v>28998</v>
      </c>
      <c r="C6339" s="405" t="s">
        <v>311</v>
      </c>
      <c r="D6339" s="405" t="s">
        <v>1789</v>
      </c>
      <c r="E6339" s="410">
        <v>41397</v>
      </c>
      <c r="F6339" s="410">
        <v>41442</v>
      </c>
      <c r="G6339" s="405" t="s">
        <v>21352</v>
      </c>
      <c r="H6339" s="405">
        <v>774357241</v>
      </c>
      <c r="I6339" s="405"/>
      <c r="J6339" s="405">
        <v>-0.95183499999999999</v>
      </c>
      <c r="K6339" s="405">
        <v>30.478413</v>
      </c>
      <c r="L6339" s="405" t="s">
        <v>590</v>
      </c>
      <c r="M6339" s="405" t="s">
        <v>19659</v>
      </c>
      <c r="N6339" s="405" t="s">
        <v>19664</v>
      </c>
      <c r="O6339" s="405" t="s">
        <v>21353</v>
      </c>
      <c r="P6339" s="405" t="s">
        <v>21354</v>
      </c>
      <c r="Q6339" s="411">
        <v>9</v>
      </c>
      <c r="R6339" s="405" t="s">
        <v>6572</v>
      </c>
      <c r="S6339" s="405" t="s">
        <v>27161</v>
      </c>
      <c r="T6339" s="405" t="s">
        <v>32102</v>
      </c>
      <c r="U6339" s="405" t="s">
        <v>319</v>
      </c>
    </row>
    <row r="6340" spans="1:21" x14ac:dyDescent="0.25">
      <c r="A6340" s="405" t="s">
        <v>310</v>
      </c>
      <c r="B6340" s="405" t="s">
        <v>21146</v>
      </c>
      <c r="C6340" s="405" t="s">
        <v>327</v>
      </c>
      <c r="D6340" s="405"/>
      <c r="E6340" s="410">
        <v>41397</v>
      </c>
      <c r="F6340" s="410">
        <v>41442</v>
      </c>
      <c r="G6340" s="405" t="s">
        <v>21147</v>
      </c>
      <c r="H6340" s="405">
        <v>715303149</v>
      </c>
      <c r="I6340" s="405"/>
      <c r="J6340" s="405">
        <v>-0.72065400000000002</v>
      </c>
      <c r="K6340" s="405">
        <v>29.855891</v>
      </c>
      <c r="L6340" s="405" t="s">
        <v>590</v>
      </c>
      <c r="M6340" s="405" t="s">
        <v>19619</v>
      </c>
      <c r="N6340" s="405" t="s">
        <v>19793</v>
      </c>
      <c r="O6340" s="405" t="s">
        <v>6395</v>
      </c>
      <c r="P6340" s="405" t="s">
        <v>21148</v>
      </c>
      <c r="Q6340" s="411">
        <v>9</v>
      </c>
      <c r="R6340" s="405" t="s">
        <v>6572</v>
      </c>
      <c r="S6340" s="405" t="s">
        <v>27166</v>
      </c>
      <c r="T6340" s="405" t="s">
        <v>32102</v>
      </c>
      <c r="U6340" s="405" t="s">
        <v>319</v>
      </c>
    </row>
    <row r="6341" spans="1:21" x14ac:dyDescent="0.25">
      <c r="A6341" s="405" t="s">
        <v>310</v>
      </c>
      <c r="B6341" s="405" t="s">
        <v>21077</v>
      </c>
      <c r="C6341" s="405" t="s">
        <v>327</v>
      </c>
      <c r="D6341" s="405"/>
      <c r="E6341" s="410">
        <v>41397</v>
      </c>
      <c r="F6341" s="410">
        <v>41442</v>
      </c>
      <c r="G6341" s="405" t="s">
        <v>21078</v>
      </c>
      <c r="H6341" s="405">
        <v>782724585</v>
      </c>
      <c r="I6341" s="405"/>
      <c r="J6341" s="405">
        <v>1.64595</v>
      </c>
      <c r="K6341" s="405">
        <v>31.362953000000001</v>
      </c>
      <c r="L6341" s="405" t="s">
        <v>590</v>
      </c>
      <c r="M6341" s="405" t="s">
        <v>7300</v>
      </c>
      <c r="N6341" s="405" t="s">
        <v>21079</v>
      </c>
      <c r="O6341" s="405" t="s">
        <v>21079</v>
      </c>
      <c r="P6341" s="405" t="s">
        <v>21080</v>
      </c>
      <c r="Q6341" s="411">
        <v>9</v>
      </c>
      <c r="R6341" s="405" t="s">
        <v>318</v>
      </c>
      <c r="S6341" s="405" t="s">
        <v>27174</v>
      </c>
      <c r="T6341" s="405" t="s">
        <v>32102</v>
      </c>
      <c r="U6341" s="405" t="s">
        <v>319</v>
      </c>
    </row>
    <row r="6342" spans="1:21" x14ac:dyDescent="0.25">
      <c r="A6342" s="405" t="s">
        <v>310</v>
      </c>
      <c r="B6342" s="405" t="s">
        <v>27815</v>
      </c>
      <c r="C6342" s="405" t="s">
        <v>327</v>
      </c>
      <c r="D6342" s="405"/>
      <c r="E6342" s="410">
        <v>41397</v>
      </c>
      <c r="F6342" s="410">
        <v>41442</v>
      </c>
      <c r="G6342" s="405" t="s">
        <v>3816</v>
      </c>
      <c r="H6342" s="405">
        <v>703488362</v>
      </c>
      <c r="I6342" s="405">
        <v>730272301</v>
      </c>
      <c r="J6342" s="405">
        <v>0.36744759999999999</v>
      </c>
      <c r="K6342" s="405">
        <v>32.7098206</v>
      </c>
      <c r="L6342" s="405" t="s">
        <v>314</v>
      </c>
      <c r="M6342" s="405" t="s">
        <v>329</v>
      </c>
      <c r="N6342" s="405" t="s">
        <v>330</v>
      </c>
      <c r="O6342" s="405" t="s">
        <v>630</v>
      </c>
      <c r="P6342" s="405" t="s">
        <v>3817</v>
      </c>
      <c r="Q6342" s="411">
        <v>6</v>
      </c>
      <c r="R6342" s="405" t="s">
        <v>353</v>
      </c>
      <c r="S6342" s="405" t="s">
        <v>27140</v>
      </c>
      <c r="T6342" s="405" t="s">
        <v>32102</v>
      </c>
      <c r="U6342" s="405" t="s">
        <v>319</v>
      </c>
    </row>
    <row r="6343" spans="1:21" x14ac:dyDescent="0.25">
      <c r="A6343" s="405" t="s">
        <v>310</v>
      </c>
      <c r="B6343" s="405" t="s">
        <v>12527</v>
      </c>
      <c r="C6343" s="405" t="s">
        <v>327</v>
      </c>
      <c r="D6343" s="405"/>
      <c r="E6343" s="410">
        <v>41397</v>
      </c>
      <c r="F6343" s="410">
        <v>41442</v>
      </c>
      <c r="G6343" s="405" t="s">
        <v>12528</v>
      </c>
      <c r="H6343" s="405">
        <v>774525663</v>
      </c>
      <c r="I6343" s="405"/>
      <c r="J6343" s="405">
        <v>0.85082999999999998</v>
      </c>
      <c r="K6343" s="405">
        <v>34.405791999999998</v>
      </c>
      <c r="L6343" s="405" t="s">
        <v>6866</v>
      </c>
      <c r="M6343" s="405" t="s">
        <v>9763</v>
      </c>
      <c r="N6343" s="405" t="s">
        <v>11470</v>
      </c>
      <c r="O6343" s="405" t="s">
        <v>12526</v>
      </c>
      <c r="P6343" s="405" t="s">
        <v>12529</v>
      </c>
      <c r="Q6343" s="411">
        <v>4</v>
      </c>
      <c r="R6343" s="405" t="s">
        <v>7224</v>
      </c>
      <c r="S6343" s="405" t="s">
        <v>27316</v>
      </c>
      <c r="T6343" s="405" t="s">
        <v>32102</v>
      </c>
      <c r="U6343" s="405" t="s">
        <v>319</v>
      </c>
    </row>
    <row r="6344" spans="1:21" x14ac:dyDescent="0.25">
      <c r="A6344" s="405" t="s">
        <v>310</v>
      </c>
      <c r="B6344" s="405" t="s">
        <v>21117</v>
      </c>
      <c r="C6344" s="405" t="s">
        <v>327</v>
      </c>
      <c r="D6344" s="405"/>
      <c r="E6344" s="410">
        <v>41396</v>
      </c>
      <c r="F6344" s="410">
        <v>41441</v>
      </c>
      <c r="G6344" s="405" t="s">
        <v>21118</v>
      </c>
      <c r="H6344" s="405">
        <v>703691516</v>
      </c>
      <c r="I6344" s="405"/>
      <c r="J6344" s="405">
        <v>-0.77154699999999998</v>
      </c>
      <c r="K6344" s="405">
        <v>30.301772</v>
      </c>
      <c r="L6344" s="405" t="s">
        <v>590</v>
      </c>
      <c r="M6344" s="405" t="s">
        <v>19659</v>
      </c>
      <c r="N6344" s="405" t="s">
        <v>19664</v>
      </c>
      <c r="O6344" s="405" t="s">
        <v>19969</v>
      </c>
      <c r="P6344" s="405" t="s">
        <v>21119</v>
      </c>
      <c r="Q6344" s="411">
        <v>9</v>
      </c>
      <c r="R6344" s="405" t="s">
        <v>1527</v>
      </c>
      <c r="S6344" s="405" t="s">
        <v>27399</v>
      </c>
      <c r="T6344" s="405" t="s">
        <v>32102</v>
      </c>
      <c r="U6344" s="405" t="s">
        <v>319</v>
      </c>
    </row>
    <row r="6345" spans="1:21" x14ac:dyDescent="0.25">
      <c r="A6345" s="405" t="s">
        <v>310</v>
      </c>
      <c r="B6345" s="405" t="s">
        <v>28818</v>
      </c>
      <c r="C6345" s="405" t="s">
        <v>311</v>
      </c>
      <c r="D6345" s="405" t="s">
        <v>1789</v>
      </c>
      <c r="E6345" s="410">
        <v>41396</v>
      </c>
      <c r="F6345" s="410">
        <v>41441</v>
      </c>
      <c r="G6345" s="405" t="s">
        <v>18817</v>
      </c>
      <c r="H6345" s="405">
        <v>774578013</v>
      </c>
      <c r="I6345" s="405">
        <v>778472797</v>
      </c>
      <c r="J6345" s="405">
        <v>2.2093910000000001</v>
      </c>
      <c r="K6345" s="405">
        <v>33.121248999999999</v>
      </c>
      <c r="L6345" s="405" t="s">
        <v>860</v>
      </c>
      <c r="M6345" s="405" t="s">
        <v>18234</v>
      </c>
      <c r="N6345" s="405" t="s">
        <v>18252</v>
      </c>
      <c r="O6345" s="405" t="s">
        <v>18260</v>
      </c>
      <c r="P6345" s="405" t="s">
        <v>18818</v>
      </c>
      <c r="Q6345" s="411">
        <v>6</v>
      </c>
      <c r="R6345" s="405" t="s">
        <v>525</v>
      </c>
      <c r="S6345" s="405" t="s">
        <v>27193</v>
      </c>
      <c r="T6345" s="405" t="s">
        <v>32102</v>
      </c>
      <c r="U6345" s="405" t="s">
        <v>319</v>
      </c>
    </row>
    <row r="6346" spans="1:21" x14ac:dyDescent="0.25">
      <c r="A6346" s="405" t="s">
        <v>310</v>
      </c>
      <c r="B6346" s="405" t="s">
        <v>21070</v>
      </c>
      <c r="C6346" s="405" t="s">
        <v>327</v>
      </c>
      <c r="D6346" s="405"/>
      <c r="E6346" s="410">
        <v>41396</v>
      </c>
      <c r="F6346" s="410">
        <v>41441</v>
      </c>
      <c r="G6346" s="405" t="s">
        <v>21071</v>
      </c>
      <c r="H6346" s="405">
        <v>758262999</v>
      </c>
      <c r="I6346" s="405"/>
      <c r="J6346" s="405">
        <v>-0.88502000000000003</v>
      </c>
      <c r="K6346" s="405">
        <v>30.636628000000002</v>
      </c>
      <c r="L6346" s="405" t="s">
        <v>590</v>
      </c>
      <c r="M6346" s="405" t="s">
        <v>879</v>
      </c>
      <c r="N6346" s="405" t="s">
        <v>879</v>
      </c>
      <c r="O6346" s="405" t="s">
        <v>20024</v>
      </c>
      <c r="P6346" s="405" t="s">
        <v>21072</v>
      </c>
      <c r="Q6346" s="411">
        <v>6</v>
      </c>
      <c r="R6346" s="405" t="s">
        <v>333</v>
      </c>
      <c r="S6346" s="405" t="s">
        <v>27183</v>
      </c>
      <c r="T6346" s="405" t="s">
        <v>32102</v>
      </c>
      <c r="U6346" s="405" t="s">
        <v>319</v>
      </c>
    </row>
    <row r="6347" spans="1:21" x14ac:dyDescent="0.25">
      <c r="A6347" s="405" t="s">
        <v>310</v>
      </c>
      <c r="B6347" s="405" t="s">
        <v>28900</v>
      </c>
      <c r="C6347" s="405" t="s">
        <v>327</v>
      </c>
      <c r="D6347" s="405"/>
      <c r="E6347" s="410">
        <v>41395</v>
      </c>
      <c r="F6347" s="410">
        <v>41440</v>
      </c>
      <c r="G6347" s="405" t="s">
        <v>3905</v>
      </c>
      <c r="H6347" s="405">
        <v>782668429</v>
      </c>
      <c r="I6347" s="405"/>
      <c r="J6347" s="405">
        <v>1.3411630000000001</v>
      </c>
      <c r="K6347" s="405">
        <v>32.413274999999999</v>
      </c>
      <c r="L6347" s="405" t="s">
        <v>314</v>
      </c>
      <c r="M6347" s="405" t="s">
        <v>2512</v>
      </c>
      <c r="N6347" s="405" t="s">
        <v>2512</v>
      </c>
      <c r="O6347" s="405" t="s">
        <v>3906</v>
      </c>
      <c r="P6347" s="405" t="s">
        <v>3907</v>
      </c>
      <c r="Q6347" s="411">
        <v>13</v>
      </c>
      <c r="R6347" s="405" t="s">
        <v>32476</v>
      </c>
      <c r="S6347" s="405" t="s">
        <v>27053</v>
      </c>
      <c r="T6347" s="405" t="s">
        <v>32102</v>
      </c>
      <c r="U6347" s="405" t="s">
        <v>319</v>
      </c>
    </row>
    <row r="6348" spans="1:21" x14ac:dyDescent="0.25">
      <c r="A6348" s="405" t="s">
        <v>310</v>
      </c>
      <c r="B6348" s="405" t="s">
        <v>3781</v>
      </c>
      <c r="C6348" s="405" t="s">
        <v>327</v>
      </c>
      <c r="D6348" s="405"/>
      <c r="E6348" s="410">
        <v>41395</v>
      </c>
      <c r="F6348" s="410">
        <v>41440</v>
      </c>
      <c r="G6348" s="405" t="s">
        <v>3782</v>
      </c>
      <c r="H6348" s="405">
        <v>712847258</v>
      </c>
      <c r="I6348" s="405"/>
      <c r="J6348" s="405">
        <v>-0.35426299999999999</v>
      </c>
      <c r="K6348" s="405">
        <v>31.577807</v>
      </c>
      <c r="L6348" s="405" t="s">
        <v>314</v>
      </c>
      <c r="M6348" s="405" t="s">
        <v>1189</v>
      </c>
      <c r="N6348" s="405" t="s">
        <v>1552</v>
      </c>
      <c r="O6348" s="405" t="s">
        <v>1840</v>
      </c>
      <c r="P6348" s="405" t="s">
        <v>3783</v>
      </c>
      <c r="Q6348" s="411">
        <v>9</v>
      </c>
      <c r="R6348" s="405" t="s">
        <v>525</v>
      </c>
      <c r="S6348" s="405" t="s">
        <v>414</v>
      </c>
      <c r="T6348" s="405" t="s">
        <v>32102</v>
      </c>
      <c r="U6348" s="405" t="s">
        <v>319</v>
      </c>
    </row>
    <row r="6349" spans="1:21" x14ac:dyDescent="0.25">
      <c r="A6349" s="405" t="s">
        <v>310</v>
      </c>
      <c r="B6349" s="405" t="s">
        <v>27721</v>
      </c>
      <c r="C6349" s="405" t="s">
        <v>327</v>
      </c>
      <c r="D6349" s="405"/>
      <c r="E6349" s="410">
        <v>41395</v>
      </c>
      <c r="F6349" s="410">
        <v>41440</v>
      </c>
      <c r="G6349" s="405" t="s">
        <v>18639</v>
      </c>
      <c r="H6349" s="405">
        <v>772569388</v>
      </c>
      <c r="I6349" s="405"/>
      <c r="J6349" s="405">
        <v>1.9116299999999999</v>
      </c>
      <c r="K6349" s="405">
        <v>33.162112</v>
      </c>
      <c r="L6349" s="405" t="s">
        <v>860</v>
      </c>
      <c r="M6349" s="405" t="s">
        <v>12189</v>
      </c>
      <c r="N6349" s="405" t="s">
        <v>18270</v>
      </c>
      <c r="O6349" s="405" t="s">
        <v>18640</v>
      </c>
      <c r="P6349" s="405" t="s">
        <v>18641</v>
      </c>
      <c r="Q6349" s="411">
        <v>6</v>
      </c>
      <c r="R6349" s="405" t="s">
        <v>318</v>
      </c>
      <c r="S6349" s="405" t="s">
        <v>27359</v>
      </c>
      <c r="T6349" s="405" t="s">
        <v>32102</v>
      </c>
      <c r="U6349" s="405" t="s">
        <v>319</v>
      </c>
    </row>
    <row r="6350" spans="1:21" x14ac:dyDescent="0.25">
      <c r="A6350" s="405" t="s">
        <v>310</v>
      </c>
      <c r="B6350" s="405" t="s">
        <v>12339</v>
      </c>
      <c r="C6350" s="405" t="s">
        <v>327</v>
      </c>
      <c r="D6350" s="405"/>
      <c r="E6350" s="410">
        <v>41395</v>
      </c>
      <c r="F6350" s="410">
        <v>41440</v>
      </c>
      <c r="G6350" s="405" t="s">
        <v>12340</v>
      </c>
      <c r="H6350" s="405">
        <v>759645698</v>
      </c>
      <c r="I6350" s="405"/>
      <c r="J6350" s="405">
        <v>1.199767</v>
      </c>
      <c r="K6350" s="405">
        <v>33.762636999999998</v>
      </c>
      <c r="L6350" s="405" t="s">
        <v>6866</v>
      </c>
      <c r="M6350" s="405" t="s">
        <v>9509</v>
      </c>
      <c r="N6350" s="405" t="s">
        <v>9509</v>
      </c>
      <c r="O6350" s="405" t="s">
        <v>9509</v>
      </c>
      <c r="P6350" s="405" t="s">
        <v>12341</v>
      </c>
      <c r="Q6350" s="411">
        <v>4</v>
      </c>
      <c r="R6350" s="405" t="s">
        <v>7224</v>
      </c>
      <c r="S6350" s="405" t="s">
        <v>27107</v>
      </c>
      <c r="T6350" s="405" t="s">
        <v>32102</v>
      </c>
      <c r="U6350" s="405" t="s">
        <v>319</v>
      </c>
    </row>
    <row r="6351" spans="1:21" x14ac:dyDescent="0.25">
      <c r="A6351" s="405" t="s">
        <v>310</v>
      </c>
      <c r="B6351" s="405" t="s">
        <v>3860</v>
      </c>
      <c r="C6351" s="405" t="s">
        <v>327</v>
      </c>
      <c r="D6351" s="405"/>
      <c r="E6351" s="410">
        <v>41394</v>
      </c>
      <c r="F6351" s="410">
        <v>41439</v>
      </c>
      <c r="G6351" s="405" t="s">
        <v>3861</v>
      </c>
      <c r="H6351" s="405">
        <v>712314078</v>
      </c>
      <c r="I6351" s="405"/>
      <c r="J6351" s="405">
        <v>0.48088799999999998</v>
      </c>
      <c r="K6351" s="405">
        <v>32.534002999999998</v>
      </c>
      <c r="L6351" s="405" t="s">
        <v>314</v>
      </c>
      <c r="M6351" s="405" t="s">
        <v>361</v>
      </c>
      <c r="N6351" s="405" t="s">
        <v>362</v>
      </c>
      <c r="O6351" s="405" t="s">
        <v>523</v>
      </c>
      <c r="P6351" s="405" t="s">
        <v>3862</v>
      </c>
      <c r="Q6351" s="411">
        <v>13</v>
      </c>
      <c r="R6351" s="405" t="s">
        <v>525</v>
      </c>
      <c r="S6351" s="405" t="s">
        <v>27039</v>
      </c>
      <c r="T6351" s="405" t="s">
        <v>32102</v>
      </c>
      <c r="U6351" s="405" t="s">
        <v>319</v>
      </c>
    </row>
    <row r="6352" spans="1:21" x14ac:dyDescent="0.25">
      <c r="A6352" s="405" t="s">
        <v>310</v>
      </c>
      <c r="B6352" s="405" t="s">
        <v>4393</v>
      </c>
      <c r="C6352" s="405" t="s">
        <v>857</v>
      </c>
      <c r="D6352" s="405" t="s">
        <v>4394</v>
      </c>
      <c r="E6352" s="410">
        <v>41394</v>
      </c>
      <c r="F6352" s="410">
        <v>41439</v>
      </c>
      <c r="G6352" s="405" t="s">
        <v>4395</v>
      </c>
      <c r="H6352" s="405">
        <v>772681078</v>
      </c>
      <c r="I6352" s="405"/>
      <c r="J6352" s="405">
        <v>0.38787700000000003</v>
      </c>
      <c r="K6352" s="405">
        <v>32.381968000000001</v>
      </c>
      <c r="L6352" s="405" t="s">
        <v>314</v>
      </c>
      <c r="M6352" s="405" t="s">
        <v>361</v>
      </c>
      <c r="N6352" s="405" t="s">
        <v>374</v>
      </c>
      <c r="O6352" s="405" t="s">
        <v>4396</v>
      </c>
      <c r="P6352" s="405" t="s">
        <v>1692</v>
      </c>
      <c r="Q6352" s="411">
        <v>13</v>
      </c>
      <c r="R6352" s="405" t="s">
        <v>1263</v>
      </c>
      <c r="S6352" s="405" t="s">
        <v>27039</v>
      </c>
      <c r="T6352" s="405" t="s">
        <v>32102</v>
      </c>
      <c r="U6352" s="405" t="s">
        <v>319</v>
      </c>
    </row>
    <row r="6353" spans="1:21" x14ac:dyDescent="0.25">
      <c r="A6353" s="405" t="s">
        <v>310</v>
      </c>
      <c r="B6353" s="405" t="s">
        <v>3863</v>
      </c>
      <c r="C6353" s="405" t="s">
        <v>327</v>
      </c>
      <c r="D6353" s="405"/>
      <c r="E6353" s="410">
        <v>41394</v>
      </c>
      <c r="F6353" s="410">
        <v>41439</v>
      </c>
      <c r="G6353" s="405" t="s">
        <v>3864</v>
      </c>
      <c r="H6353" s="405">
        <v>775963217</v>
      </c>
      <c r="I6353" s="405"/>
      <c r="J6353" s="405">
        <v>0.25869300000000001</v>
      </c>
      <c r="K6353" s="405">
        <v>32.579684999999998</v>
      </c>
      <c r="L6353" s="405" t="s">
        <v>314</v>
      </c>
      <c r="M6353" s="405" t="s">
        <v>361</v>
      </c>
      <c r="N6353" s="405" t="s">
        <v>362</v>
      </c>
      <c r="O6353" s="405" t="s">
        <v>618</v>
      </c>
      <c r="P6353" s="405" t="s">
        <v>3865</v>
      </c>
      <c r="Q6353" s="411">
        <v>13</v>
      </c>
      <c r="R6353" s="405" t="s">
        <v>525</v>
      </c>
      <c r="S6353" s="405" t="s">
        <v>27136</v>
      </c>
      <c r="T6353" s="405" t="s">
        <v>32102</v>
      </c>
      <c r="U6353" s="405" t="s">
        <v>319</v>
      </c>
    </row>
    <row r="6354" spans="1:21" x14ac:dyDescent="0.25">
      <c r="A6354" s="405" t="s">
        <v>310</v>
      </c>
      <c r="B6354" s="405" t="s">
        <v>27993</v>
      </c>
      <c r="C6354" s="405" t="s">
        <v>327</v>
      </c>
      <c r="D6354" s="405"/>
      <c r="E6354" s="410">
        <v>41394</v>
      </c>
      <c r="F6354" s="410">
        <v>41439</v>
      </c>
      <c r="G6354" s="405" t="s">
        <v>3757</v>
      </c>
      <c r="H6354" s="405">
        <v>772449764</v>
      </c>
      <c r="I6354" s="405"/>
      <c r="J6354" s="405">
        <v>0.16795599999999999</v>
      </c>
      <c r="K6354" s="405">
        <v>31.864436999999999</v>
      </c>
      <c r="L6354" s="405" t="s">
        <v>314</v>
      </c>
      <c r="M6354" s="405" t="s">
        <v>339</v>
      </c>
      <c r="N6354" s="405" t="s">
        <v>339</v>
      </c>
      <c r="O6354" s="405" t="s">
        <v>340</v>
      </c>
      <c r="P6354" s="405" t="s">
        <v>3758</v>
      </c>
      <c r="Q6354" s="411">
        <v>13</v>
      </c>
      <c r="R6354" s="405" t="s">
        <v>318</v>
      </c>
      <c r="S6354" s="405" t="s">
        <v>27202</v>
      </c>
      <c r="T6354" s="405" t="s">
        <v>32102</v>
      </c>
      <c r="U6354" s="405" t="s">
        <v>319</v>
      </c>
    </row>
    <row r="6355" spans="1:21" x14ac:dyDescent="0.25">
      <c r="A6355" s="405" t="s">
        <v>310</v>
      </c>
      <c r="B6355" s="405" t="s">
        <v>21099</v>
      </c>
      <c r="C6355" s="405" t="s">
        <v>327</v>
      </c>
      <c r="D6355" s="405"/>
      <c r="E6355" s="410">
        <v>41394</v>
      </c>
      <c r="F6355" s="410">
        <v>41439</v>
      </c>
      <c r="G6355" s="405" t="s">
        <v>21100</v>
      </c>
      <c r="H6355" s="405">
        <v>752352639</v>
      </c>
      <c r="I6355" s="405"/>
      <c r="J6355" s="405">
        <v>-0.91681800000000002</v>
      </c>
      <c r="K6355" s="405">
        <v>30.784773999999999</v>
      </c>
      <c r="L6355" s="405" t="s">
        <v>590</v>
      </c>
      <c r="M6355" s="405" t="s">
        <v>879</v>
      </c>
      <c r="N6355" s="405" t="s">
        <v>12376</v>
      </c>
      <c r="O6355" s="405" t="s">
        <v>20176</v>
      </c>
      <c r="P6355" s="405" t="s">
        <v>21101</v>
      </c>
      <c r="Q6355" s="411">
        <v>12</v>
      </c>
      <c r="R6355" s="405" t="s">
        <v>333</v>
      </c>
      <c r="S6355" s="405" t="s">
        <v>27164</v>
      </c>
      <c r="T6355" s="405" t="s">
        <v>32102</v>
      </c>
      <c r="U6355" s="405" t="s">
        <v>319</v>
      </c>
    </row>
    <row r="6356" spans="1:21" x14ac:dyDescent="0.25">
      <c r="A6356" s="405" t="s">
        <v>310</v>
      </c>
      <c r="B6356" s="405" t="s">
        <v>27980</v>
      </c>
      <c r="C6356" s="405" t="s">
        <v>311</v>
      </c>
      <c r="D6356" s="405" t="s">
        <v>1142</v>
      </c>
      <c r="E6356" s="410">
        <v>41394</v>
      </c>
      <c r="F6356" s="410">
        <v>41439</v>
      </c>
      <c r="G6356" s="405" t="s">
        <v>4328</v>
      </c>
      <c r="H6356" s="405">
        <v>782969597</v>
      </c>
      <c r="I6356" s="405"/>
      <c r="J6356" s="405">
        <v>0.42630020000000002</v>
      </c>
      <c r="K6356" s="405">
        <v>32.574099099999998</v>
      </c>
      <c r="L6356" s="405" t="s">
        <v>314</v>
      </c>
      <c r="M6356" s="405" t="s">
        <v>361</v>
      </c>
      <c r="N6356" s="405" t="s">
        <v>362</v>
      </c>
      <c r="O6356" s="405" t="s">
        <v>523</v>
      </c>
      <c r="P6356" s="405" t="s">
        <v>3041</v>
      </c>
      <c r="Q6356" s="411">
        <v>9</v>
      </c>
      <c r="R6356" s="405" t="s">
        <v>1263</v>
      </c>
      <c r="S6356" s="405" t="s">
        <v>27039</v>
      </c>
      <c r="T6356" s="405" t="s">
        <v>32102</v>
      </c>
      <c r="U6356" s="405" t="s">
        <v>319</v>
      </c>
    </row>
    <row r="6357" spans="1:21" x14ac:dyDescent="0.25">
      <c r="A6357" s="405" t="s">
        <v>310</v>
      </c>
      <c r="B6357" s="405" t="s">
        <v>28083</v>
      </c>
      <c r="C6357" s="405" t="s">
        <v>327</v>
      </c>
      <c r="D6357" s="405"/>
      <c r="E6357" s="410">
        <v>41394</v>
      </c>
      <c r="F6357" s="410">
        <v>41439</v>
      </c>
      <c r="G6357" s="405" t="s">
        <v>3847</v>
      </c>
      <c r="H6357" s="405">
        <v>772588397</v>
      </c>
      <c r="I6357" s="405"/>
      <c r="J6357" s="405">
        <v>2.8866666666666667E-3</v>
      </c>
      <c r="K6357" s="405">
        <v>32.043714999999999</v>
      </c>
      <c r="L6357" s="405" t="s">
        <v>314</v>
      </c>
      <c r="M6357" s="405" t="s">
        <v>321</v>
      </c>
      <c r="N6357" s="405" t="s">
        <v>322</v>
      </c>
      <c r="O6357" s="405" t="s">
        <v>2436</v>
      </c>
      <c r="P6357" s="405" t="s">
        <v>3848</v>
      </c>
      <c r="Q6357" s="411">
        <v>9</v>
      </c>
      <c r="R6357" s="405" t="s">
        <v>402</v>
      </c>
      <c r="S6357" s="405" t="s">
        <v>27052</v>
      </c>
      <c r="T6357" s="405" t="s">
        <v>32102</v>
      </c>
      <c r="U6357" s="405" t="s">
        <v>319</v>
      </c>
    </row>
    <row r="6358" spans="1:21" x14ac:dyDescent="0.25">
      <c r="A6358" s="405" t="s">
        <v>310</v>
      </c>
      <c r="B6358" s="405" t="s">
        <v>3820</v>
      </c>
      <c r="C6358" s="405" t="s">
        <v>327</v>
      </c>
      <c r="D6358" s="405"/>
      <c r="E6358" s="410">
        <v>41394</v>
      </c>
      <c r="F6358" s="410">
        <v>41439</v>
      </c>
      <c r="G6358" s="405" t="s">
        <v>3821</v>
      </c>
      <c r="H6358" s="405">
        <v>701433619</v>
      </c>
      <c r="I6358" s="405"/>
      <c r="J6358" s="405">
        <v>0.26205499999999998</v>
      </c>
      <c r="K6358" s="405">
        <v>32.426070000000003</v>
      </c>
      <c r="L6358" s="405" t="s">
        <v>314</v>
      </c>
      <c r="M6358" s="405" t="s">
        <v>361</v>
      </c>
      <c r="N6358" s="405" t="s">
        <v>374</v>
      </c>
      <c r="O6358" s="405" t="s">
        <v>375</v>
      </c>
      <c r="P6358" s="405" t="s">
        <v>3822</v>
      </c>
      <c r="Q6358" s="411">
        <v>9</v>
      </c>
      <c r="R6358" s="405" t="s">
        <v>1263</v>
      </c>
      <c r="S6358" s="405" t="s">
        <v>27053</v>
      </c>
      <c r="T6358" s="405" t="s">
        <v>32102</v>
      </c>
      <c r="U6358" s="405" t="s">
        <v>319</v>
      </c>
    </row>
    <row r="6359" spans="1:21" x14ac:dyDescent="0.25">
      <c r="A6359" s="405" t="s">
        <v>310</v>
      </c>
      <c r="B6359" s="405" t="s">
        <v>4354</v>
      </c>
      <c r="C6359" s="405" t="s">
        <v>311</v>
      </c>
      <c r="D6359" s="405" t="s">
        <v>1789</v>
      </c>
      <c r="E6359" s="410">
        <v>41394</v>
      </c>
      <c r="F6359" s="410">
        <v>41439</v>
      </c>
      <c r="G6359" s="405" t="s">
        <v>4355</v>
      </c>
      <c r="H6359" s="405">
        <v>776643883</v>
      </c>
      <c r="I6359" s="405"/>
      <c r="J6359" s="405">
        <v>0.18592500000000001</v>
      </c>
      <c r="K6359" s="405">
        <v>32.491802</v>
      </c>
      <c r="L6359" s="405" t="s">
        <v>314</v>
      </c>
      <c r="M6359" s="405" t="s">
        <v>361</v>
      </c>
      <c r="N6359" s="405" t="s">
        <v>374</v>
      </c>
      <c r="O6359" s="405" t="s">
        <v>2496</v>
      </c>
      <c r="P6359" s="405" t="s">
        <v>4356</v>
      </c>
      <c r="Q6359" s="411">
        <v>9</v>
      </c>
      <c r="R6359" s="405" t="s">
        <v>1263</v>
      </c>
      <c r="S6359" s="405" t="s">
        <v>27036</v>
      </c>
      <c r="T6359" s="405" t="s">
        <v>32102</v>
      </c>
      <c r="U6359" s="405" t="s">
        <v>319</v>
      </c>
    </row>
    <row r="6360" spans="1:21" x14ac:dyDescent="0.25">
      <c r="A6360" s="405" t="s">
        <v>310</v>
      </c>
      <c r="B6360" s="405" t="s">
        <v>22019</v>
      </c>
      <c r="C6360" s="405" t="s">
        <v>327</v>
      </c>
      <c r="D6360" s="405"/>
      <c r="E6360" s="410">
        <v>41394</v>
      </c>
      <c r="F6360" s="410">
        <v>41439</v>
      </c>
      <c r="G6360" s="405" t="s">
        <v>22020</v>
      </c>
      <c r="H6360" s="405">
        <v>773257515</v>
      </c>
      <c r="I6360" s="405">
        <v>782127574</v>
      </c>
      <c r="J6360" s="405">
        <v>-0.62493200000000004</v>
      </c>
      <c r="K6360" s="405">
        <v>30.187374999999999</v>
      </c>
      <c r="L6360" s="405" t="s">
        <v>590</v>
      </c>
      <c r="M6360" s="405" t="s">
        <v>19625</v>
      </c>
      <c r="N6360" s="405" t="s">
        <v>19642</v>
      </c>
      <c r="O6360" s="405" t="s">
        <v>21955</v>
      </c>
      <c r="P6360" s="405" t="s">
        <v>20394</v>
      </c>
      <c r="Q6360" s="411">
        <v>9</v>
      </c>
      <c r="R6360" s="405" t="s">
        <v>874</v>
      </c>
      <c r="S6360" s="405" t="s">
        <v>27098</v>
      </c>
      <c r="T6360" s="405" t="s">
        <v>32102</v>
      </c>
      <c r="U6360" s="405" t="s">
        <v>319</v>
      </c>
    </row>
    <row r="6361" spans="1:21" x14ac:dyDescent="0.25">
      <c r="A6361" s="405" t="s">
        <v>310</v>
      </c>
      <c r="B6361" s="405" t="s">
        <v>27652</v>
      </c>
      <c r="C6361" s="405" t="s">
        <v>327</v>
      </c>
      <c r="D6361" s="405"/>
      <c r="E6361" s="410">
        <v>41394</v>
      </c>
      <c r="F6361" s="410">
        <v>41439</v>
      </c>
      <c r="G6361" s="405" t="s">
        <v>3823</v>
      </c>
      <c r="H6361" s="405">
        <v>772433896</v>
      </c>
      <c r="I6361" s="405"/>
      <c r="J6361" s="405">
        <v>0.25475199999999998</v>
      </c>
      <c r="K6361" s="405">
        <v>32.488447999999998</v>
      </c>
      <c r="L6361" s="405" t="s">
        <v>314</v>
      </c>
      <c r="M6361" s="405" t="s">
        <v>361</v>
      </c>
      <c r="N6361" s="405" t="s">
        <v>374</v>
      </c>
      <c r="O6361" s="405" t="s">
        <v>375</v>
      </c>
      <c r="P6361" s="405" t="s">
        <v>3824</v>
      </c>
      <c r="Q6361" s="411">
        <v>6</v>
      </c>
      <c r="R6361" s="405" t="s">
        <v>318</v>
      </c>
      <c r="S6361" s="405" t="s">
        <v>27124</v>
      </c>
      <c r="T6361" s="405" t="s">
        <v>32102</v>
      </c>
      <c r="U6361" s="405" t="s">
        <v>319</v>
      </c>
    </row>
    <row r="6362" spans="1:21" x14ac:dyDescent="0.25">
      <c r="A6362" s="405" t="s">
        <v>310</v>
      </c>
      <c r="B6362" s="405" t="s">
        <v>28220</v>
      </c>
      <c r="C6362" s="405" t="s">
        <v>311</v>
      </c>
      <c r="D6362" s="405" t="s">
        <v>839</v>
      </c>
      <c r="E6362" s="410">
        <v>41394</v>
      </c>
      <c r="F6362" s="410">
        <v>41439</v>
      </c>
      <c r="G6362" s="405" t="s">
        <v>18831</v>
      </c>
      <c r="H6362" s="405">
        <v>772368568</v>
      </c>
      <c r="I6362" s="405">
        <v>789557074</v>
      </c>
      <c r="J6362" s="405">
        <v>2.2473760999999999</v>
      </c>
      <c r="K6362" s="405">
        <v>32.892867899999999</v>
      </c>
      <c r="L6362" s="405" t="s">
        <v>860</v>
      </c>
      <c r="M6362" s="405" t="s">
        <v>18234</v>
      </c>
      <c r="N6362" s="405" t="s">
        <v>18250</v>
      </c>
      <c r="O6362" s="405" t="s">
        <v>18265</v>
      </c>
      <c r="P6362" s="405" t="s">
        <v>18832</v>
      </c>
      <c r="Q6362" s="411">
        <v>6</v>
      </c>
      <c r="R6362" s="405" t="s">
        <v>525</v>
      </c>
      <c r="S6362" s="405" t="s">
        <v>27243</v>
      </c>
      <c r="T6362" s="405" t="s">
        <v>32102</v>
      </c>
      <c r="U6362" s="405" t="s">
        <v>319</v>
      </c>
    </row>
    <row r="6363" spans="1:21" x14ac:dyDescent="0.25">
      <c r="A6363" s="405" t="s">
        <v>310</v>
      </c>
      <c r="B6363" s="405" t="s">
        <v>28965</v>
      </c>
      <c r="C6363" s="405" t="s">
        <v>327</v>
      </c>
      <c r="D6363" s="405"/>
      <c r="E6363" s="410">
        <v>41394</v>
      </c>
      <c r="F6363" s="410">
        <v>41439</v>
      </c>
      <c r="G6363" s="405" t="s">
        <v>12360</v>
      </c>
      <c r="H6363" s="405">
        <v>782848739</v>
      </c>
      <c r="I6363" s="405">
        <v>702848739</v>
      </c>
      <c r="J6363" s="405">
        <v>1.4123730000000001</v>
      </c>
      <c r="K6363" s="405">
        <v>34.458472999999998</v>
      </c>
      <c r="L6363" s="405" t="s">
        <v>6866</v>
      </c>
      <c r="M6363" s="405" t="s">
        <v>9685</v>
      </c>
      <c r="N6363" s="405" t="s">
        <v>9686</v>
      </c>
      <c r="O6363" s="405" t="s">
        <v>12361</v>
      </c>
      <c r="P6363" s="405" t="s">
        <v>12362</v>
      </c>
      <c r="Q6363" s="411">
        <v>6</v>
      </c>
      <c r="R6363" s="405" t="s">
        <v>9541</v>
      </c>
      <c r="S6363" s="405" t="s">
        <v>27318</v>
      </c>
      <c r="T6363" s="405" t="s">
        <v>32102</v>
      </c>
      <c r="U6363" s="405" t="s">
        <v>319</v>
      </c>
    </row>
    <row r="6364" spans="1:21" x14ac:dyDescent="0.25">
      <c r="A6364" s="405" t="s">
        <v>310</v>
      </c>
      <c r="B6364" s="405" t="s">
        <v>28592</v>
      </c>
      <c r="C6364" s="405" t="s">
        <v>327</v>
      </c>
      <c r="D6364" s="405"/>
      <c r="E6364" s="410">
        <v>41394</v>
      </c>
      <c r="F6364" s="410">
        <v>41439</v>
      </c>
      <c r="G6364" s="405" t="s">
        <v>3767</v>
      </c>
      <c r="H6364" s="405">
        <v>788991365</v>
      </c>
      <c r="I6364" s="405">
        <v>751983619</v>
      </c>
      <c r="J6364" s="405">
        <v>0.21692900000000001</v>
      </c>
      <c r="K6364" s="405">
        <v>32.179566000000001</v>
      </c>
      <c r="L6364" s="405" t="s">
        <v>314</v>
      </c>
      <c r="M6364" s="405" t="s">
        <v>315</v>
      </c>
      <c r="N6364" s="405" t="s">
        <v>718</v>
      </c>
      <c r="O6364" s="405" t="s">
        <v>1411</v>
      </c>
      <c r="P6364" s="405" t="s">
        <v>2140</v>
      </c>
      <c r="Q6364" s="411">
        <v>6</v>
      </c>
      <c r="R6364" s="405" t="s">
        <v>1263</v>
      </c>
      <c r="S6364" s="405" t="s">
        <v>27189</v>
      </c>
      <c r="T6364" s="405" t="s">
        <v>32102</v>
      </c>
      <c r="U6364" s="405" t="s">
        <v>319</v>
      </c>
    </row>
    <row r="6365" spans="1:21" x14ac:dyDescent="0.25">
      <c r="A6365" s="405" t="s">
        <v>310</v>
      </c>
      <c r="B6365" s="405" t="s">
        <v>3866</v>
      </c>
      <c r="C6365" s="405" t="s">
        <v>327</v>
      </c>
      <c r="D6365" s="405"/>
      <c r="E6365" s="410">
        <v>41394</v>
      </c>
      <c r="F6365" s="410">
        <v>41439</v>
      </c>
      <c r="G6365" s="405" t="s">
        <v>3867</v>
      </c>
      <c r="H6365" s="405">
        <v>782349229</v>
      </c>
      <c r="I6365" s="405"/>
      <c r="J6365" s="405">
        <v>0.17396500000000001</v>
      </c>
      <c r="K6365" s="405">
        <v>32.791857999999998</v>
      </c>
      <c r="L6365" s="405" t="s">
        <v>314</v>
      </c>
      <c r="M6365" s="405" t="s">
        <v>329</v>
      </c>
      <c r="N6365" s="405" t="s">
        <v>803</v>
      </c>
      <c r="O6365" s="405" t="s">
        <v>909</v>
      </c>
      <c r="P6365" s="405" t="s">
        <v>3868</v>
      </c>
      <c r="Q6365" s="411">
        <v>6</v>
      </c>
      <c r="R6365" s="405" t="s">
        <v>318</v>
      </c>
      <c r="S6365" s="405" t="s">
        <v>27124</v>
      </c>
      <c r="T6365" s="405" t="s">
        <v>32102</v>
      </c>
      <c r="U6365" s="405" t="s">
        <v>319</v>
      </c>
    </row>
    <row r="6366" spans="1:21" x14ac:dyDescent="0.25">
      <c r="A6366" s="405" t="s">
        <v>310</v>
      </c>
      <c r="B6366" s="405" t="s">
        <v>3827</v>
      </c>
      <c r="C6366" s="405" t="s">
        <v>327</v>
      </c>
      <c r="D6366" s="405"/>
      <c r="E6366" s="410">
        <v>41394</v>
      </c>
      <c r="F6366" s="410">
        <v>41439</v>
      </c>
      <c r="G6366" s="405" t="s">
        <v>3828</v>
      </c>
      <c r="H6366" s="405">
        <v>782016064</v>
      </c>
      <c r="I6366" s="405"/>
      <c r="J6366" s="405">
        <v>0.83885799999999999</v>
      </c>
      <c r="K6366" s="405">
        <v>32.498778000000001</v>
      </c>
      <c r="L6366" s="405" t="s">
        <v>314</v>
      </c>
      <c r="M6366" s="405" t="s">
        <v>959</v>
      </c>
      <c r="N6366" s="405" t="s">
        <v>1094</v>
      </c>
      <c r="O6366" s="405" t="s">
        <v>2834</v>
      </c>
      <c r="P6366" s="405" t="s">
        <v>3829</v>
      </c>
      <c r="Q6366" s="411">
        <v>6</v>
      </c>
      <c r="R6366" s="405" t="s">
        <v>1263</v>
      </c>
      <c r="S6366" s="405" t="s">
        <v>27189</v>
      </c>
      <c r="T6366" s="405" t="s">
        <v>32102</v>
      </c>
      <c r="U6366" s="405" t="s">
        <v>319</v>
      </c>
    </row>
    <row r="6367" spans="1:21" x14ac:dyDescent="0.25">
      <c r="A6367" s="405" t="s">
        <v>310</v>
      </c>
      <c r="B6367" s="405" t="s">
        <v>3759</v>
      </c>
      <c r="C6367" s="405" t="s">
        <v>327</v>
      </c>
      <c r="D6367" s="405"/>
      <c r="E6367" s="410">
        <v>41394</v>
      </c>
      <c r="F6367" s="410">
        <v>41439</v>
      </c>
      <c r="G6367" s="405" t="s">
        <v>3760</v>
      </c>
      <c r="H6367" s="405">
        <v>782922976</v>
      </c>
      <c r="I6367" s="405"/>
      <c r="J6367" s="405">
        <v>0.22811500000000001</v>
      </c>
      <c r="K6367" s="405">
        <v>32.067143000000002</v>
      </c>
      <c r="L6367" s="405" t="s">
        <v>314</v>
      </c>
      <c r="M6367" s="405" t="s">
        <v>339</v>
      </c>
      <c r="N6367" s="405" t="s">
        <v>339</v>
      </c>
      <c r="O6367" s="405" t="s">
        <v>2272</v>
      </c>
      <c r="P6367" s="405" t="s">
        <v>3470</v>
      </c>
      <c r="Q6367" s="411">
        <v>6</v>
      </c>
      <c r="R6367" s="405" t="s">
        <v>1263</v>
      </c>
      <c r="S6367" s="405" t="s">
        <v>27206</v>
      </c>
      <c r="T6367" s="405" t="s">
        <v>32102</v>
      </c>
      <c r="U6367" s="405" t="s">
        <v>319</v>
      </c>
    </row>
    <row r="6368" spans="1:21" x14ac:dyDescent="0.25">
      <c r="A6368" s="405" t="s">
        <v>310</v>
      </c>
      <c r="B6368" s="405" t="s">
        <v>3912</v>
      </c>
      <c r="C6368" s="405" t="s">
        <v>327</v>
      </c>
      <c r="D6368" s="405"/>
      <c r="E6368" s="410">
        <v>41394</v>
      </c>
      <c r="F6368" s="410">
        <v>41439</v>
      </c>
      <c r="G6368" s="405" t="s">
        <v>3913</v>
      </c>
      <c r="H6368" s="405">
        <v>752536071</v>
      </c>
      <c r="I6368" s="405"/>
      <c r="J6368" s="405">
        <v>0.67349800000000004</v>
      </c>
      <c r="K6368" s="405">
        <v>32.554385000000003</v>
      </c>
      <c r="L6368" s="405" t="s">
        <v>314</v>
      </c>
      <c r="M6368" s="405" t="s">
        <v>959</v>
      </c>
      <c r="N6368" s="405" t="s">
        <v>1308</v>
      </c>
      <c r="O6368" s="405" t="s">
        <v>1094</v>
      </c>
      <c r="P6368" s="405" t="s">
        <v>3914</v>
      </c>
      <c r="Q6368" s="411">
        <v>6</v>
      </c>
      <c r="R6368" s="405" t="s">
        <v>1263</v>
      </c>
      <c r="S6368" s="405" t="s">
        <v>27108</v>
      </c>
      <c r="T6368" s="405" t="s">
        <v>32102</v>
      </c>
      <c r="U6368" s="405" t="s">
        <v>319</v>
      </c>
    </row>
    <row r="6369" spans="1:21" x14ac:dyDescent="0.25">
      <c r="A6369" s="405" t="s">
        <v>310</v>
      </c>
      <c r="B6369" s="405" t="s">
        <v>3852</v>
      </c>
      <c r="C6369" s="405" t="s">
        <v>327</v>
      </c>
      <c r="D6369" s="405"/>
      <c r="E6369" s="410">
        <v>41394</v>
      </c>
      <c r="F6369" s="410">
        <v>41439</v>
      </c>
      <c r="G6369" s="405" t="s">
        <v>3853</v>
      </c>
      <c r="H6369" s="405">
        <v>752805149</v>
      </c>
      <c r="I6369" s="405"/>
      <c r="J6369" s="405">
        <v>0.55969000000000002</v>
      </c>
      <c r="K6369" s="405">
        <v>31.820080000000001</v>
      </c>
      <c r="L6369" s="405" t="s">
        <v>314</v>
      </c>
      <c r="M6369" s="405" t="s">
        <v>445</v>
      </c>
      <c r="N6369" s="405" t="s">
        <v>699</v>
      </c>
      <c r="O6369" s="405" t="s">
        <v>571</v>
      </c>
      <c r="P6369" s="405" t="s">
        <v>2929</v>
      </c>
      <c r="Q6369" s="411">
        <v>6</v>
      </c>
      <c r="R6369" s="405" t="s">
        <v>318</v>
      </c>
      <c r="S6369" s="405" t="s">
        <v>27174</v>
      </c>
      <c r="T6369" s="405" t="s">
        <v>32102</v>
      </c>
      <c r="U6369" s="405" t="s">
        <v>319</v>
      </c>
    </row>
    <row r="6370" spans="1:21" x14ac:dyDescent="0.25">
      <c r="A6370" s="405" t="s">
        <v>310</v>
      </c>
      <c r="B6370" s="405" t="s">
        <v>3915</v>
      </c>
      <c r="C6370" s="405" t="s">
        <v>327</v>
      </c>
      <c r="D6370" s="405"/>
      <c r="E6370" s="410">
        <v>41394</v>
      </c>
      <c r="F6370" s="410">
        <v>41439</v>
      </c>
      <c r="G6370" s="405" t="s">
        <v>3916</v>
      </c>
      <c r="H6370" s="405">
        <v>784234364</v>
      </c>
      <c r="I6370" s="405"/>
      <c r="J6370" s="405">
        <v>0.52341199999999999</v>
      </c>
      <c r="K6370" s="405">
        <v>32.435397999999999</v>
      </c>
      <c r="L6370" s="405" t="s">
        <v>314</v>
      </c>
      <c r="M6370" s="405" t="s">
        <v>361</v>
      </c>
      <c r="N6370" s="405" t="s">
        <v>374</v>
      </c>
      <c r="O6370" s="405" t="s">
        <v>427</v>
      </c>
      <c r="P6370" s="405" t="s">
        <v>3917</v>
      </c>
      <c r="Q6370" s="411">
        <v>6</v>
      </c>
      <c r="R6370" s="405" t="s">
        <v>1263</v>
      </c>
      <c r="S6370" s="405" t="s">
        <v>27211</v>
      </c>
      <c r="T6370" s="405" t="s">
        <v>32102</v>
      </c>
      <c r="U6370" s="405" t="s">
        <v>319</v>
      </c>
    </row>
    <row r="6371" spans="1:21" x14ac:dyDescent="0.25">
      <c r="A6371" s="405" t="s">
        <v>310</v>
      </c>
      <c r="B6371" s="405" t="s">
        <v>4388</v>
      </c>
      <c r="C6371" s="405" t="s">
        <v>311</v>
      </c>
      <c r="D6371" s="405" t="s">
        <v>312</v>
      </c>
      <c r="E6371" s="410">
        <v>41394</v>
      </c>
      <c r="F6371" s="410">
        <v>41439</v>
      </c>
      <c r="G6371" s="405" t="s">
        <v>4389</v>
      </c>
      <c r="H6371" s="405">
        <v>785312536</v>
      </c>
      <c r="I6371" s="405"/>
      <c r="J6371" s="405">
        <v>0.72940700000000003</v>
      </c>
      <c r="K6371" s="405">
        <v>32.389597999999999</v>
      </c>
      <c r="L6371" s="405" t="s">
        <v>314</v>
      </c>
      <c r="M6371" s="405" t="s">
        <v>2297</v>
      </c>
      <c r="N6371" s="405" t="s">
        <v>2297</v>
      </c>
      <c r="O6371" s="405" t="s">
        <v>4278</v>
      </c>
      <c r="P6371" s="405" t="s">
        <v>663</v>
      </c>
      <c r="Q6371" s="411">
        <v>6</v>
      </c>
      <c r="R6371" s="405" t="s">
        <v>1263</v>
      </c>
      <c r="S6371" s="405" t="s">
        <v>27178</v>
      </c>
      <c r="T6371" s="405" t="s">
        <v>32102</v>
      </c>
      <c r="U6371" s="405" t="s">
        <v>319</v>
      </c>
    </row>
    <row r="6372" spans="1:21" x14ac:dyDescent="0.25">
      <c r="A6372" s="405" t="s">
        <v>310</v>
      </c>
      <c r="B6372" s="405" t="s">
        <v>3856</v>
      </c>
      <c r="C6372" s="405" t="s">
        <v>327</v>
      </c>
      <c r="D6372" s="405"/>
      <c r="E6372" s="410">
        <v>41394</v>
      </c>
      <c r="F6372" s="410">
        <v>41439</v>
      </c>
      <c r="G6372" s="405" t="s">
        <v>3857</v>
      </c>
      <c r="H6372" s="405">
        <v>753989925</v>
      </c>
      <c r="I6372" s="405"/>
      <c r="J6372" s="405">
        <v>0.64201200000000003</v>
      </c>
      <c r="K6372" s="405">
        <v>32.364575000000002</v>
      </c>
      <c r="L6372" s="405" t="s">
        <v>314</v>
      </c>
      <c r="M6372" s="405" t="s">
        <v>2297</v>
      </c>
      <c r="N6372" s="405" t="s">
        <v>1308</v>
      </c>
      <c r="O6372" s="405" t="s">
        <v>3858</v>
      </c>
      <c r="P6372" s="405" t="s">
        <v>3859</v>
      </c>
      <c r="Q6372" s="411">
        <v>6</v>
      </c>
      <c r="R6372" s="405" t="s">
        <v>1263</v>
      </c>
      <c r="S6372" s="405" t="s">
        <v>27196</v>
      </c>
      <c r="T6372" s="405" t="s">
        <v>32102</v>
      </c>
      <c r="U6372" s="405" t="s">
        <v>319</v>
      </c>
    </row>
    <row r="6373" spans="1:21" x14ac:dyDescent="0.25">
      <c r="A6373" s="405" t="s">
        <v>310</v>
      </c>
      <c r="B6373" s="405" t="s">
        <v>3794</v>
      </c>
      <c r="C6373" s="405" t="s">
        <v>327</v>
      </c>
      <c r="D6373" s="405"/>
      <c r="E6373" s="410">
        <v>41394</v>
      </c>
      <c r="F6373" s="410">
        <v>41439</v>
      </c>
      <c r="G6373" s="405" t="s">
        <v>3795</v>
      </c>
      <c r="H6373" s="405">
        <v>772319516</v>
      </c>
      <c r="I6373" s="405">
        <v>704730506</v>
      </c>
      <c r="J6373" s="405">
        <v>0.60124500000000003</v>
      </c>
      <c r="K6373" s="405">
        <v>32.998187999999999</v>
      </c>
      <c r="L6373" s="405" t="s">
        <v>314</v>
      </c>
      <c r="M6373" s="405" t="s">
        <v>502</v>
      </c>
      <c r="N6373" s="405" t="s">
        <v>503</v>
      </c>
      <c r="O6373" s="405" t="s">
        <v>2179</v>
      </c>
      <c r="P6373" s="405" t="s">
        <v>3796</v>
      </c>
      <c r="Q6373" s="411">
        <v>6</v>
      </c>
      <c r="R6373" s="405" t="s">
        <v>1263</v>
      </c>
      <c r="S6373" s="405" t="s">
        <v>27164</v>
      </c>
      <c r="T6373" s="405" t="s">
        <v>32102</v>
      </c>
      <c r="U6373" s="405" t="s">
        <v>319</v>
      </c>
    </row>
    <row r="6374" spans="1:21" x14ac:dyDescent="0.25">
      <c r="A6374" s="405" t="s">
        <v>310</v>
      </c>
      <c r="B6374" s="405" t="s">
        <v>3763</v>
      </c>
      <c r="C6374" s="405" t="s">
        <v>327</v>
      </c>
      <c r="D6374" s="405"/>
      <c r="E6374" s="410">
        <v>41394</v>
      </c>
      <c r="F6374" s="410">
        <v>41439</v>
      </c>
      <c r="G6374" s="405" t="s">
        <v>3764</v>
      </c>
      <c r="H6374" s="405">
        <v>787321107</v>
      </c>
      <c r="I6374" s="405"/>
      <c r="J6374" s="405">
        <v>0.24875</v>
      </c>
      <c r="K6374" s="405">
        <v>32.059460999999999</v>
      </c>
      <c r="L6374" s="405" t="s">
        <v>314</v>
      </c>
      <c r="M6374" s="405" t="s">
        <v>339</v>
      </c>
      <c r="N6374" s="405" t="s">
        <v>339</v>
      </c>
      <c r="O6374" s="405" t="s">
        <v>2272</v>
      </c>
      <c r="P6374" s="405" t="s">
        <v>3765</v>
      </c>
      <c r="Q6374" s="411">
        <v>6</v>
      </c>
      <c r="R6374" s="405" t="s">
        <v>1263</v>
      </c>
      <c r="S6374" s="405" t="s">
        <v>27039</v>
      </c>
      <c r="T6374" s="405" t="s">
        <v>32102</v>
      </c>
      <c r="U6374" s="405" t="s">
        <v>319</v>
      </c>
    </row>
    <row r="6375" spans="1:21" x14ac:dyDescent="0.25">
      <c r="A6375" s="405" t="s">
        <v>310</v>
      </c>
      <c r="B6375" s="405" t="s">
        <v>3910</v>
      </c>
      <c r="C6375" s="405" t="s">
        <v>327</v>
      </c>
      <c r="D6375" s="405"/>
      <c r="E6375" s="410">
        <v>41394</v>
      </c>
      <c r="F6375" s="410">
        <v>41439</v>
      </c>
      <c r="G6375" s="405" t="s">
        <v>3911</v>
      </c>
      <c r="H6375" s="405">
        <v>787501821</v>
      </c>
      <c r="I6375" s="405"/>
      <c r="J6375" s="405">
        <v>0.719885</v>
      </c>
      <c r="K6375" s="405">
        <v>32.395417999999999</v>
      </c>
      <c r="L6375" s="405" t="s">
        <v>314</v>
      </c>
      <c r="M6375" s="405" t="s">
        <v>2297</v>
      </c>
      <c r="N6375" s="405" t="s">
        <v>1308</v>
      </c>
      <c r="O6375" s="405" t="s">
        <v>2297</v>
      </c>
      <c r="P6375" s="405" t="s">
        <v>2297</v>
      </c>
      <c r="Q6375" s="411">
        <v>6</v>
      </c>
      <c r="R6375" s="405" t="s">
        <v>1263</v>
      </c>
      <c r="S6375" s="405" t="s">
        <v>27178</v>
      </c>
      <c r="T6375" s="405" t="s">
        <v>32102</v>
      </c>
      <c r="U6375" s="405" t="s">
        <v>319</v>
      </c>
    </row>
    <row r="6376" spans="1:21" x14ac:dyDescent="0.25">
      <c r="A6376" s="405" t="s">
        <v>310</v>
      </c>
      <c r="B6376" s="405" t="s">
        <v>12368</v>
      </c>
      <c r="C6376" s="405" t="s">
        <v>327</v>
      </c>
      <c r="D6376" s="405"/>
      <c r="E6376" s="410">
        <v>41394</v>
      </c>
      <c r="F6376" s="410">
        <v>41439</v>
      </c>
      <c r="G6376" s="405" t="s">
        <v>12369</v>
      </c>
      <c r="H6376" s="405">
        <v>776311800</v>
      </c>
      <c r="I6376" s="405"/>
      <c r="J6376" s="405">
        <v>1.030713</v>
      </c>
      <c r="K6376" s="405">
        <v>34.311745000000002</v>
      </c>
      <c r="L6376" s="405" t="s">
        <v>6866</v>
      </c>
      <c r="M6376" s="405" t="s">
        <v>6867</v>
      </c>
      <c r="N6376" s="405" t="s">
        <v>11399</v>
      </c>
      <c r="O6376" s="405" t="s">
        <v>6867</v>
      </c>
      <c r="P6376" s="405" t="s">
        <v>12370</v>
      </c>
      <c r="Q6376" s="411">
        <v>6</v>
      </c>
      <c r="R6376" s="405" t="s">
        <v>7224</v>
      </c>
      <c r="S6376" s="405" t="s">
        <v>27338</v>
      </c>
      <c r="T6376" s="405" t="s">
        <v>32102</v>
      </c>
      <c r="U6376" s="405" t="s">
        <v>319</v>
      </c>
    </row>
    <row r="6377" spans="1:21" x14ac:dyDescent="0.25">
      <c r="A6377" s="405" t="s">
        <v>310</v>
      </c>
      <c r="B6377" s="405" t="s">
        <v>12782</v>
      </c>
      <c r="C6377" s="405" t="s">
        <v>311</v>
      </c>
      <c r="D6377" s="405" t="s">
        <v>3381</v>
      </c>
      <c r="E6377" s="410">
        <v>41394</v>
      </c>
      <c r="F6377" s="410">
        <v>41439</v>
      </c>
      <c r="G6377" s="405" t="s">
        <v>12783</v>
      </c>
      <c r="H6377" s="405">
        <v>775290290</v>
      </c>
      <c r="I6377" s="405"/>
      <c r="J6377" s="405">
        <v>0.84747799999999995</v>
      </c>
      <c r="K6377" s="405">
        <v>34.389147000000001</v>
      </c>
      <c r="L6377" s="405" t="s">
        <v>6866</v>
      </c>
      <c r="M6377" s="405" t="s">
        <v>9763</v>
      </c>
      <c r="N6377" s="405" t="s">
        <v>11470</v>
      </c>
      <c r="O6377" s="405" t="s">
        <v>11471</v>
      </c>
      <c r="P6377" s="405" t="s">
        <v>11953</v>
      </c>
      <c r="Q6377" s="411">
        <v>4</v>
      </c>
      <c r="R6377" s="405" t="s">
        <v>7224</v>
      </c>
      <c r="S6377" s="405" t="s">
        <v>27107</v>
      </c>
      <c r="T6377" s="405" t="s">
        <v>32102</v>
      </c>
      <c r="U6377" s="405" t="s">
        <v>319</v>
      </c>
    </row>
    <row r="6378" spans="1:21" x14ac:dyDescent="0.25">
      <c r="A6378" s="405" t="s">
        <v>310</v>
      </c>
      <c r="B6378" s="405" t="s">
        <v>21160</v>
      </c>
      <c r="C6378" s="405" t="s">
        <v>327</v>
      </c>
      <c r="D6378" s="405"/>
      <c r="E6378" s="410">
        <v>41393</v>
      </c>
      <c r="F6378" s="410">
        <v>41438</v>
      </c>
      <c r="G6378" s="405" t="s">
        <v>21161</v>
      </c>
      <c r="H6378" s="405">
        <v>701579698</v>
      </c>
      <c r="I6378" s="405"/>
      <c r="J6378" s="405">
        <v>-0.55135900000000004</v>
      </c>
      <c r="K6378" s="405">
        <v>30.232918999999999</v>
      </c>
      <c r="L6378" s="405" t="s">
        <v>590</v>
      </c>
      <c r="M6378" s="405" t="s">
        <v>19625</v>
      </c>
      <c r="N6378" s="405" t="s">
        <v>19638</v>
      </c>
      <c r="O6378" s="405" t="s">
        <v>21162</v>
      </c>
      <c r="P6378" s="405" t="s">
        <v>19659</v>
      </c>
      <c r="Q6378" s="411">
        <v>9</v>
      </c>
      <c r="R6378" s="405" t="s">
        <v>333</v>
      </c>
      <c r="S6378" s="405" t="s">
        <v>27173</v>
      </c>
      <c r="T6378" s="405" t="s">
        <v>32102</v>
      </c>
      <c r="U6378" s="405" t="s">
        <v>319</v>
      </c>
    </row>
    <row r="6379" spans="1:21" x14ac:dyDescent="0.25">
      <c r="A6379" s="405" t="s">
        <v>310</v>
      </c>
      <c r="B6379" s="405" t="s">
        <v>28035</v>
      </c>
      <c r="C6379" s="405" t="s">
        <v>327</v>
      </c>
      <c r="D6379" s="405"/>
      <c r="E6379" s="410">
        <v>41393</v>
      </c>
      <c r="F6379" s="410">
        <v>41438</v>
      </c>
      <c r="G6379" s="405" t="s">
        <v>3761</v>
      </c>
      <c r="H6379" s="405">
        <v>772649998</v>
      </c>
      <c r="I6379" s="405"/>
      <c r="J6379" s="405">
        <v>0.18343100000000001</v>
      </c>
      <c r="K6379" s="405">
        <v>32.049472000000002</v>
      </c>
      <c r="L6379" s="405" t="s">
        <v>314</v>
      </c>
      <c r="M6379" s="405" t="s">
        <v>339</v>
      </c>
      <c r="N6379" s="405" t="s">
        <v>339</v>
      </c>
      <c r="O6379" s="405" t="s">
        <v>2272</v>
      </c>
      <c r="P6379" s="405" t="s">
        <v>3762</v>
      </c>
      <c r="Q6379" s="411">
        <v>6</v>
      </c>
      <c r="R6379" s="405" t="s">
        <v>1263</v>
      </c>
      <c r="S6379" s="405" t="s">
        <v>27206</v>
      </c>
      <c r="T6379" s="405" t="s">
        <v>32102</v>
      </c>
      <c r="U6379" s="405" t="s">
        <v>319</v>
      </c>
    </row>
    <row r="6380" spans="1:21" x14ac:dyDescent="0.25">
      <c r="A6380" s="405" t="s">
        <v>310</v>
      </c>
      <c r="B6380" s="405" t="s">
        <v>3874</v>
      </c>
      <c r="C6380" s="405" t="s">
        <v>327</v>
      </c>
      <c r="D6380" s="405"/>
      <c r="E6380" s="410">
        <v>41393</v>
      </c>
      <c r="F6380" s="410">
        <v>41438</v>
      </c>
      <c r="G6380" s="405" t="s">
        <v>3875</v>
      </c>
      <c r="H6380" s="405">
        <v>704400278</v>
      </c>
      <c r="I6380" s="405"/>
      <c r="J6380" s="405">
        <v>0.45849200000000001</v>
      </c>
      <c r="K6380" s="405">
        <v>31.713562</v>
      </c>
      <c r="L6380" s="405" t="s">
        <v>314</v>
      </c>
      <c r="M6380" s="405" t="s">
        <v>445</v>
      </c>
      <c r="N6380" s="405" t="s">
        <v>570</v>
      </c>
      <c r="O6380" s="405" t="s">
        <v>2734</v>
      </c>
      <c r="P6380" s="405" t="s">
        <v>3873</v>
      </c>
      <c r="Q6380" s="411">
        <v>6</v>
      </c>
      <c r="R6380" s="405" t="s">
        <v>32476</v>
      </c>
      <c r="S6380" s="405" t="s">
        <v>27189</v>
      </c>
      <c r="T6380" s="405" t="s">
        <v>32102</v>
      </c>
      <c r="U6380" s="405" t="s">
        <v>319</v>
      </c>
    </row>
    <row r="6381" spans="1:21" x14ac:dyDescent="0.25">
      <c r="A6381" s="405" t="s">
        <v>310</v>
      </c>
      <c r="B6381" s="405" t="s">
        <v>4273</v>
      </c>
      <c r="C6381" s="405" t="s">
        <v>327</v>
      </c>
      <c r="D6381" s="405"/>
      <c r="E6381" s="410">
        <v>41393</v>
      </c>
      <c r="F6381" s="410">
        <v>41438</v>
      </c>
      <c r="G6381" s="405" t="s">
        <v>4274</v>
      </c>
      <c r="H6381" s="405">
        <v>775897323</v>
      </c>
      <c r="I6381" s="405"/>
      <c r="J6381" s="405">
        <v>0.25240000000000001</v>
      </c>
      <c r="K6381" s="405">
        <v>32.137670999999997</v>
      </c>
      <c r="L6381" s="405" t="s">
        <v>314</v>
      </c>
      <c r="M6381" s="405" t="s">
        <v>339</v>
      </c>
      <c r="N6381" s="405" t="s">
        <v>339</v>
      </c>
      <c r="O6381" s="405" t="s">
        <v>2272</v>
      </c>
      <c r="P6381" s="405" t="s">
        <v>4275</v>
      </c>
      <c r="Q6381" s="411">
        <v>6</v>
      </c>
      <c r="R6381" s="405" t="s">
        <v>318</v>
      </c>
      <c r="S6381" s="405" t="s">
        <v>27167</v>
      </c>
      <c r="T6381" s="405" t="s">
        <v>32102</v>
      </c>
      <c r="U6381" s="405" t="s">
        <v>319</v>
      </c>
    </row>
    <row r="6382" spans="1:21" x14ac:dyDescent="0.25">
      <c r="A6382" s="405" t="s">
        <v>310</v>
      </c>
      <c r="B6382" s="405" t="s">
        <v>12312</v>
      </c>
      <c r="C6382" s="405" t="s">
        <v>327</v>
      </c>
      <c r="D6382" s="405"/>
      <c r="E6382" s="410">
        <v>41393</v>
      </c>
      <c r="F6382" s="410">
        <v>41438</v>
      </c>
      <c r="G6382" s="405" t="s">
        <v>12313</v>
      </c>
      <c r="H6382" s="405">
        <v>392965048</v>
      </c>
      <c r="I6382" s="405"/>
      <c r="J6382" s="405">
        <v>1.95458</v>
      </c>
      <c r="K6382" s="405">
        <v>33.963137000000003</v>
      </c>
      <c r="L6382" s="405" t="s">
        <v>6866</v>
      </c>
      <c r="M6382" s="405" t="s">
        <v>11355</v>
      </c>
      <c r="N6382" s="405" t="s">
        <v>11356</v>
      </c>
      <c r="O6382" s="405" t="s">
        <v>11355</v>
      </c>
      <c r="P6382" s="405" t="s">
        <v>12314</v>
      </c>
      <c r="Q6382" s="411">
        <v>6</v>
      </c>
      <c r="R6382" s="405" t="s">
        <v>5655</v>
      </c>
      <c r="S6382" s="405" t="s">
        <v>27072</v>
      </c>
      <c r="T6382" s="405" t="s">
        <v>32102</v>
      </c>
      <c r="U6382" s="405" t="s">
        <v>319</v>
      </c>
    </row>
    <row r="6383" spans="1:21" x14ac:dyDescent="0.25">
      <c r="A6383" s="405" t="s">
        <v>310</v>
      </c>
      <c r="B6383" s="405" t="s">
        <v>27982</v>
      </c>
      <c r="C6383" s="405" t="s">
        <v>327</v>
      </c>
      <c r="D6383" s="405"/>
      <c r="E6383" s="410">
        <v>41392</v>
      </c>
      <c r="F6383" s="410">
        <v>41437</v>
      </c>
      <c r="G6383" s="405" t="s">
        <v>3813</v>
      </c>
      <c r="H6383" s="405">
        <v>773787344</v>
      </c>
      <c r="I6383" s="405">
        <v>752252786</v>
      </c>
      <c r="J6383" s="405">
        <v>-0.26425999999999999</v>
      </c>
      <c r="K6383" s="405">
        <v>31.706741999999998</v>
      </c>
      <c r="L6383" s="405" t="s">
        <v>314</v>
      </c>
      <c r="M6383" s="405" t="s">
        <v>1080</v>
      </c>
      <c r="N6383" s="405" t="s">
        <v>1080</v>
      </c>
      <c r="O6383" s="405" t="s">
        <v>3814</v>
      </c>
      <c r="P6383" s="405" t="s">
        <v>3815</v>
      </c>
      <c r="Q6383" s="411">
        <v>6</v>
      </c>
      <c r="R6383" s="405" t="s">
        <v>1263</v>
      </c>
      <c r="S6383" s="405" t="s">
        <v>2160</v>
      </c>
      <c r="T6383" s="405" t="s">
        <v>32102</v>
      </c>
      <c r="U6383" s="405" t="s">
        <v>319</v>
      </c>
    </row>
    <row r="6384" spans="1:21" x14ac:dyDescent="0.25">
      <c r="A6384" s="405" t="s">
        <v>310</v>
      </c>
      <c r="B6384" s="405" t="s">
        <v>6052</v>
      </c>
      <c r="C6384" s="405" t="s">
        <v>327</v>
      </c>
      <c r="D6384" s="405"/>
      <c r="E6384" s="410">
        <v>41392</v>
      </c>
      <c r="F6384" s="410">
        <v>41437</v>
      </c>
      <c r="G6384" s="405" t="s">
        <v>6053</v>
      </c>
      <c r="H6384" s="405">
        <v>775300450</v>
      </c>
      <c r="I6384" s="405"/>
      <c r="J6384" s="405">
        <v>0.658582</v>
      </c>
      <c r="K6384" s="405">
        <v>31.814543</v>
      </c>
      <c r="L6384" s="405" t="s">
        <v>314</v>
      </c>
      <c r="M6384" s="405" t="s">
        <v>445</v>
      </c>
      <c r="N6384" s="405" t="s">
        <v>570</v>
      </c>
      <c r="O6384" s="405" t="s">
        <v>2213</v>
      </c>
      <c r="P6384" s="405" t="s">
        <v>6054</v>
      </c>
      <c r="Q6384" s="411">
        <v>6</v>
      </c>
      <c r="R6384" s="405" t="s">
        <v>318</v>
      </c>
      <c r="S6384" s="405" t="s">
        <v>27141</v>
      </c>
      <c r="T6384" s="405" t="s">
        <v>32102</v>
      </c>
      <c r="U6384" s="405" t="s">
        <v>319</v>
      </c>
    </row>
    <row r="6385" spans="1:21" x14ac:dyDescent="0.25">
      <c r="A6385" s="405" t="s">
        <v>310</v>
      </c>
      <c r="B6385" s="405" t="s">
        <v>21151</v>
      </c>
      <c r="C6385" s="405" t="s">
        <v>327</v>
      </c>
      <c r="D6385" s="405"/>
      <c r="E6385" s="410">
        <v>41392</v>
      </c>
      <c r="F6385" s="410">
        <v>41437</v>
      </c>
      <c r="G6385" s="405" t="s">
        <v>21152</v>
      </c>
      <c r="H6385" s="405">
        <v>776935053</v>
      </c>
      <c r="I6385" s="405"/>
      <c r="J6385" s="405">
        <v>-0.86438999999999999</v>
      </c>
      <c r="K6385" s="405">
        <v>30.238112999999998</v>
      </c>
      <c r="L6385" s="405" t="s">
        <v>590</v>
      </c>
      <c r="M6385" s="405" t="s">
        <v>19659</v>
      </c>
      <c r="N6385" s="405" t="s">
        <v>19664</v>
      </c>
      <c r="O6385" s="405" t="s">
        <v>19659</v>
      </c>
      <c r="P6385" s="405" t="s">
        <v>19687</v>
      </c>
      <c r="Q6385" s="411">
        <v>6</v>
      </c>
      <c r="R6385" s="405" t="s">
        <v>1527</v>
      </c>
      <c r="S6385" s="405" t="s">
        <v>27161</v>
      </c>
      <c r="T6385" s="405" t="s">
        <v>32102</v>
      </c>
      <c r="U6385" s="405" t="s">
        <v>319</v>
      </c>
    </row>
    <row r="6386" spans="1:21" x14ac:dyDescent="0.25">
      <c r="A6386" s="405" t="s">
        <v>310</v>
      </c>
      <c r="B6386" s="405" t="s">
        <v>3784</v>
      </c>
      <c r="C6386" s="405" t="s">
        <v>327</v>
      </c>
      <c r="D6386" s="405"/>
      <c r="E6386" s="410">
        <v>41392</v>
      </c>
      <c r="F6386" s="410">
        <v>41437</v>
      </c>
      <c r="G6386" s="405" t="s">
        <v>3785</v>
      </c>
      <c r="H6386" s="405">
        <v>753211724</v>
      </c>
      <c r="I6386" s="405"/>
      <c r="J6386" s="405">
        <v>-0.35247200000000001</v>
      </c>
      <c r="K6386" s="405">
        <v>31.674565000000001</v>
      </c>
      <c r="L6386" s="405" t="s">
        <v>314</v>
      </c>
      <c r="M6386" s="405" t="s">
        <v>1189</v>
      </c>
      <c r="N6386" s="405" t="s">
        <v>988</v>
      </c>
      <c r="O6386" s="405" t="s">
        <v>1190</v>
      </c>
      <c r="P6386" s="405" t="s">
        <v>3786</v>
      </c>
      <c r="Q6386" s="411">
        <v>6</v>
      </c>
      <c r="R6386" s="405" t="s">
        <v>1263</v>
      </c>
      <c r="S6386" s="405" t="s">
        <v>27047</v>
      </c>
      <c r="T6386" s="405" t="s">
        <v>32102</v>
      </c>
      <c r="U6386" s="405" t="s">
        <v>319</v>
      </c>
    </row>
    <row r="6387" spans="1:21" x14ac:dyDescent="0.25">
      <c r="A6387" s="405" t="s">
        <v>310</v>
      </c>
      <c r="B6387" s="405" t="s">
        <v>21095</v>
      </c>
      <c r="C6387" s="405" t="s">
        <v>327</v>
      </c>
      <c r="D6387" s="405"/>
      <c r="E6387" s="410">
        <v>41391</v>
      </c>
      <c r="F6387" s="410">
        <v>41436</v>
      </c>
      <c r="G6387" s="405" t="s">
        <v>21096</v>
      </c>
      <c r="H6387" s="405">
        <v>772632043</v>
      </c>
      <c r="I6387" s="405">
        <v>706021345</v>
      </c>
      <c r="J6387" s="405">
        <v>-0.49604399999999998</v>
      </c>
      <c r="K6387" s="405">
        <v>30.711265000000001</v>
      </c>
      <c r="L6387" s="405" t="s">
        <v>590</v>
      </c>
      <c r="M6387" s="405" t="s">
        <v>19614</v>
      </c>
      <c r="N6387" s="405" t="s">
        <v>19873</v>
      </c>
      <c r="O6387" s="405" t="s">
        <v>21097</v>
      </c>
      <c r="P6387" s="405" t="s">
        <v>21098</v>
      </c>
      <c r="Q6387" s="411">
        <v>12</v>
      </c>
      <c r="R6387" s="405" t="s">
        <v>333</v>
      </c>
      <c r="S6387" s="405" t="s">
        <v>27163</v>
      </c>
      <c r="T6387" s="405" t="s">
        <v>32102</v>
      </c>
      <c r="U6387" s="405" t="s">
        <v>319</v>
      </c>
    </row>
    <row r="6388" spans="1:21" x14ac:dyDescent="0.25">
      <c r="A6388" s="405" t="s">
        <v>310</v>
      </c>
      <c r="B6388" s="405" t="s">
        <v>27989</v>
      </c>
      <c r="C6388" s="405" t="s">
        <v>311</v>
      </c>
      <c r="D6388" s="405" t="s">
        <v>839</v>
      </c>
      <c r="E6388" s="410">
        <v>41391</v>
      </c>
      <c r="F6388" s="410">
        <v>41436</v>
      </c>
      <c r="G6388" s="405" t="s">
        <v>21325</v>
      </c>
      <c r="H6388" s="405">
        <v>701110091</v>
      </c>
      <c r="I6388" s="405"/>
      <c r="J6388" s="405">
        <v>-0.76965700000000004</v>
      </c>
      <c r="K6388" s="405">
        <v>30.801019</v>
      </c>
      <c r="L6388" s="405" t="s">
        <v>590</v>
      </c>
      <c r="M6388" s="405" t="s">
        <v>879</v>
      </c>
      <c r="N6388" s="405" t="s">
        <v>879</v>
      </c>
      <c r="O6388" s="405" t="s">
        <v>21326</v>
      </c>
      <c r="P6388" s="405" t="s">
        <v>21327</v>
      </c>
      <c r="Q6388" s="411">
        <v>9</v>
      </c>
      <c r="R6388" s="405" t="s">
        <v>333</v>
      </c>
      <c r="S6388" s="405" t="s">
        <v>27183</v>
      </c>
      <c r="T6388" s="405" t="s">
        <v>32102</v>
      </c>
      <c r="U6388" s="405" t="s">
        <v>319</v>
      </c>
    </row>
    <row r="6389" spans="1:21" x14ac:dyDescent="0.25">
      <c r="A6389" s="405" t="s">
        <v>310</v>
      </c>
      <c r="B6389" s="405" t="s">
        <v>21149</v>
      </c>
      <c r="C6389" s="405" t="s">
        <v>327</v>
      </c>
      <c r="D6389" s="405"/>
      <c r="E6389" s="410">
        <v>41391</v>
      </c>
      <c r="F6389" s="410">
        <v>41436</v>
      </c>
      <c r="G6389" s="405" t="s">
        <v>21150</v>
      </c>
      <c r="H6389" s="405">
        <v>782198064</v>
      </c>
      <c r="I6389" s="405"/>
      <c r="J6389" s="405">
        <v>-0.91164900000000004</v>
      </c>
      <c r="K6389" s="405">
        <v>30.247222000000001</v>
      </c>
      <c r="L6389" s="405" t="s">
        <v>590</v>
      </c>
      <c r="M6389" s="405" t="s">
        <v>19659</v>
      </c>
      <c r="N6389" s="405" t="s">
        <v>19681</v>
      </c>
      <c r="O6389" s="405" t="s">
        <v>4147</v>
      </c>
      <c r="P6389" s="405" t="s">
        <v>19684</v>
      </c>
      <c r="Q6389" s="411">
        <v>9</v>
      </c>
      <c r="R6389" s="405" t="s">
        <v>967</v>
      </c>
      <c r="S6389" s="405" t="s">
        <v>27399</v>
      </c>
      <c r="T6389" s="405" t="s">
        <v>32102</v>
      </c>
      <c r="U6389" s="405" t="s">
        <v>319</v>
      </c>
    </row>
    <row r="6390" spans="1:21" x14ac:dyDescent="0.25">
      <c r="A6390" s="405" t="s">
        <v>310</v>
      </c>
      <c r="B6390" s="405" t="s">
        <v>18833</v>
      </c>
      <c r="C6390" s="405" t="s">
        <v>311</v>
      </c>
      <c r="D6390" s="405" t="s">
        <v>932</v>
      </c>
      <c r="E6390" s="410">
        <v>41391</v>
      </c>
      <c r="F6390" s="410">
        <v>41436</v>
      </c>
      <c r="G6390" s="405" t="s">
        <v>18834</v>
      </c>
      <c r="H6390" s="405">
        <v>772594311</v>
      </c>
      <c r="I6390" s="405"/>
      <c r="J6390" s="405">
        <v>1.62412</v>
      </c>
      <c r="K6390" s="405">
        <v>32.794266</v>
      </c>
      <c r="L6390" s="405" t="s">
        <v>860</v>
      </c>
      <c r="M6390" s="405" t="s">
        <v>18415</v>
      </c>
      <c r="N6390" s="405" t="s">
        <v>5607</v>
      </c>
      <c r="O6390" s="405" t="s">
        <v>18524</v>
      </c>
      <c r="P6390" s="405" t="s">
        <v>18835</v>
      </c>
      <c r="Q6390" s="411">
        <v>6</v>
      </c>
      <c r="R6390" s="405" t="s">
        <v>525</v>
      </c>
      <c r="S6390" s="405" t="s">
        <v>27136</v>
      </c>
      <c r="T6390" s="405" t="s">
        <v>32102</v>
      </c>
      <c r="U6390" s="405" t="s">
        <v>319</v>
      </c>
    </row>
    <row r="6391" spans="1:21" x14ac:dyDescent="0.25">
      <c r="A6391" s="405" t="s">
        <v>310</v>
      </c>
      <c r="B6391" s="405" t="s">
        <v>18584</v>
      </c>
      <c r="C6391" s="405" t="s">
        <v>327</v>
      </c>
      <c r="D6391" s="405"/>
      <c r="E6391" s="410">
        <v>41391</v>
      </c>
      <c r="F6391" s="410">
        <v>41436</v>
      </c>
      <c r="G6391" s="405" t="s">
        <v>18585</v>
      </c>
      <c r="H6391" s="405">
        <v>787972059</v>
      </c>
      <c r="I6391" s="405">
        <v>753300412</v>
      </c>
      <c r="J6391" s="405">
        <v>2.143786</v>
      </c>
      <c r="K6391" s="405">
        <v>32.897182999999998</v>
      </c>
      <c r="L6391" s="405" t="s">
        <v>860</v>
      </c>
      <c r="M6391" s="405" t="s">
        <v>18288</v>
      </c>
      <c r="N6391" s="405" t="s">
        <v>18586</v>
      </c>
      <c r="O6391" s="405" t="s">
        <v>18452</v>
      </c>
      <c r="P6391" s="405" t="s">
        <v>18453</v>
      </c>
      <c r="Q6391" s="411">
        <v>6</v>
      </c>
      <c r="R6391" s="405" t="s">
        <v>525</v>
      </c>
      <c r="S6391" s="405" t="s">
        <v>27243</v>
      </c>
      <c r="T6391" s="405" t="s">
        <v>32102</v>
      </c>
      <c r="U6391" s="405" t="s">
        <v>319</v>
      </c>
    </row>
    <row r="6392" spans="1:21" x14ac:dyDescent="0.25">
      <c r="A6392" s="405" t="s">
        <v>310</v>
      </c>
      <c r="B6392" s="405" t="s">
        <v>28014</v>
      </c>
      <c r="C6392" s="405" t="s">
        <v>327</v>
      </c>
      <c r="D6392" s="405"/>
      <c r="E6392" s="410">
        <v>41390</v>
      </c>
      <c r="F6392" s="410">
        <v>41435</v>
      </c>
      <c r="G6392" s="405" t="s">
        <v>3842</v>
      </c>
      <c r="H6392" s="405">
        <v>784458260</v>
      </c>
      <c r="I6392" s="405"/>
      <c r="J6392" s="405">
        <v>0.34883500000000001</v>
      </c>
      <c r="K6392" s="405">
        <v>32.306375000000003</v>
      </c>
      <c r="L6392" s="405" t="s">
        <v>314</v>
      </c>
      <c r="M6392" s="405" t="s">
        <v>321</v>
      </c>
      <c r="N6392" s="405" t="s">
        <v>322</v>
      </c>
      <c r="O6392" s="405" t="s">
        <v>1017</v>
      </c>
      <c r="P6392" s="405" t="s">
        <v>1017</v>
      </c>
      <c r="Q6392" s="411">
        <v>6</v>
      </c>
      <c r="R6392" s="405" t="s">
        <v>318</v>
      </c>
      <c r="S6392" s="405" t="s">
        <v>27135</v>
      </c>
      <c r="T6392" s="405" t="s">
        <v>32102</v>
      </c>
      <c r="U6392" s="405" t="s">
        <v>319</v>
      </c>
    </row>
    <row r="6393" spans="1:21" x14ac:dyDescent="0.25">
      <c r="A6393" s="405" t="s">
        <v>310</v>
      </c>
      <c r="B6393" s="405" t="s">
        <v>28858</v>
      </c>
      <c r="C6393" s="405" t="s">
        <v>327</v>
      </c>
      <c r="D6393" s="405"/>
      <c r="E6393" s="410">
        <v>41389</v>
      </c>
      <c r="F6393" s="410">
        <v>41434</v>
      </c>
      <c r="G6393" s="405" t="s">
        <v>21130</v>
      </c>
      <c r="H6393" s="405">
        <v>701595628</v>
      </c>
      <c r="I6393" s="405"/>
      <c r="J6393" s="405">
        <v>-0.88036599999999998</v>
      </c>
      <c r="K6393" s="405">
        <v>30.165317000000002</v>
      </c>
      <c r="L6393" s="405" t="s">
        <v>590</v>
      </c>
      <c r="M6393" s="405" t="s">
        <v>19659</v>
      </c>
      <c r="N6393" s="405" t="s">
        <v>19604</v>
      </c>
      <c r="O6393" s="405" t="s">
        <v>19660</v>
      </c>
      <c r="P6393" s="405" t="s">
        <v>21131</v>
      </c>
      <c r="Q6393" s="411">
        <v>13</v>
      </c>
      <c r="R6393" s="405" t="s">
        <v>19622</v>
      </c>
      <c r="S6393" s="405" t="s">
        <v>27116</v>
      </c>
      <c r="T6393" s="405" t="s">
        <v>32102</v>
      </c>
      <c r="U6393" s="405" t="s">
        <v>319</v>
      </c>
    </row>
    <row r="6394" spans="1:21" x14ac:dyDescent="0.25">
      <c r="A6394" s="405" t="s">
        <v>310</v>
      </c>
      <c r="B6394" s="405" t="s">
        <v>28419</v>
      </c>
      <c r="C6394" s="405" t="s">
        <v>311</v>
      </c>
      <c r="D6394" s="405" t="s">
        <v>839</v>
      </c>
      <c r="E6394" s="410">
        <v>41389</v>
      </c>
      <c r="F6394" s="410">
        <v>41434</v>
      </c>
      <c r="G6394" s="405" t="s">
        <v>4308</v>
      </c>
      <c r="H6394" s="405">
        <v>702903595</v>
      </c>
      <c r="I6394" s="405">
        <v>701305995</v>
      </c>
      <c r="J6394" s="405">
        <v>4.862E-3</v>
      </c>
      <c r="K6394" s="405">
        <v>32.000235000000004</v>
      </c>
      <c r="L6394" s="405" t="s">
        <v>314</v>
      </c>
      <c r="M6394" s="405" t="s">
        <v>321</v>
      </c>
      <c r="N6394" s="405" t="s">
        <v>2136</v>
      </c>
      <c r="O6394" s="405" t="s">
        <v>2436</v>
      </c>
      <c r="P6394" s="405" t="s">
        <v>3971</v>
      </c>
      <c r="Q6394" s="411">
        <v>9</v>
      </c>
      <c r="R6394" s="405" t="s">
        <v>402</v>
      </c>
      <c r="S6394" s="405" t="s">
        <v>27181</v>
      </c>
      <c r="T6394" s="405" t="s">
        <v>32102</v>
      </c>
      <c r="U6394" s="405" t="s">
        <v>319</v>
      </c>
    </row>
    <row r="6395" spans="1:21" x14ac:dyDescent="0.25">
      <c r="A6395" s="405" t="s">
        <v>310</v>
      </c>
      <c r="B6395" s="405" t="s">
        <v>21109</v>
      </c>
      <c r="C6395" s="405" t="s">
        <v>327</v>
      </c>
      <c r="D6395" s="405"/>
      <c r="E6395" s="410">
        <v>41389</v>
      </c>
      <c r="F6395" s="410">
        <v>41434</v>
      </c>
      <c r="G6395" s="405" t="s">
        <v>21110</v>
      </c>
      <c r="H6395" s="405">
        <v>772554948</v>
      </c>
      <c r="I6395" s="405"/>
      <c r="J6395" s="405">
        <v>0.47727700000000001</v>
      </c>
      <c r="K6395" s="405">
        <v>33.213186</v>
      </c>
      <c r="L6395" s="405" t="s">
        <v>590</v>
      </c>
      <c r="M6395" s="405" t="s">
        <v>20426</v>
      </c>
      <c r="N6395" s="405" t="s">
        <v>10925</v>
      </c>
      <c r="O6395" s="405" t="s">
        <v>21111</v>
      </c>
      <c r="P6395" s="405" t="s">
        <v>14978</v>
      </c>
      <c r="Q6395" s="411">
        <v>9</v>
      </c>
      <c r="R6395" s="405" t="s">
        <v>883</v>
      </c>
      <c r="S6395" s="405" t="s">
        <v>27065</v>
      </c>
      <c r="T6395" s="405" t="s">
        <v>32102</v>
      </c>
      <c r="U6395" s="405" t="s">
        <v>319</v>
      </c>
    </row>
    <row r="6396" spans="1:21" x14ac:dyDescent="0.25">
      <c r="A6396" s="405" t="s">
        <v>310</v>
      </c>
      <c r="B6396" s="405" t="s">
        <v>12309</v>
      </c>
      <c r="C6396" s="405" t="s">
        <v>327</v>
      </c>
      <c r="D6396" s="405"/>
      <c r="E6396" s="410">
        <v>41389</v>
      </c>
      <c r="F6396" s="410">
        <v>41434</v>
      </c>
      <c r="G6396" s="405" t="s">
        <v>12310</v>
      </c>
      <c r="H6396" s="405">
        <v>772344815</v>
      </c>
      <c r="I6396" s="405"/>
      <c r="J6396" s="405">
        <v>1.9058649999999999</v>
      </c>
      <c r="K6396" s="405">
        <v>33.954672000000002</v>
      </c>
      <c r="L6396" s="405" t="s">
        <v>6866</v>
      </c>
      <c r="M6396" s="405" t="s">
        <v>11355</v>
      </c>
      <c r="N6396" s="405" t="s">
        <v>11356</v>
      </c>
      <c r="O6396" s="405" t="s">
        <v>11426</v>
      </c>
      <c r="P6396" s="405" t="s">
        <v>12311</v>
      </c>
      <c r="Q6396" s="411">
        <v>6</v>
      </c>
      <c r="R6396" s="405" t="s">
        <v>5655</v>
      </c>
      <c r="S6396" s="405" t="s">
        <v>27072</v>
      </c>
      <c r="T6396" s="405" t="s">
        <v>32102</v>
      </c>
      <c r="U6396" s="405" t="s">
        <v>319</v>
      </c>
    </row>
    <row r="6397" spans="1:21" x14ac:dyDescent="0.25">
      <c r="A6397" s="405" t="s">
        <v>310</v>
      </c>
      <c r="B6397" s="405" t="s">
        <v>21153</v>
      </c>
      <c r="C6397" s="405" t="s">
        <v>327</v>
      </c>
      <c r="D6397" s="405"/>
      <c r="E6397" s="410">
        <v>41389</v>
      </c>
      <c r="F6397" s="410">
        <v>41434</v>
      </c>
      <c r="G6397" s="405" t="s">
        <v>21154</v>
      </c>
      <c r="H6397" s="405">
        <v>754265122</v>
      </c>
      <c r="I6397" s="405"/>
      <c r="J6397" s="405">
        <v>1.065488</v>
      </c>
      <c r="K6397" s="405">
        <v>30.926352999999999</v>
      </c>
      <c r="L6397" s="405" t="s">
        <v>590</v>
      </c>
      <c r="M6397" s="405" t="s">
        <v>7488</v>
      </c>
      <c r="N6397" s="405" t="s">
        <v>20804</v>
      </c>
      <c r="O6397" s="405" t="s">
        <v>15979</v>
      </c>
      <c r="P6397" s="405" t="s">
        <v>21053</v>
      </c>
      <c r="Q6397" s="411">
        <v>6</v>
      </c>
      <c r="R6397" s="405" t="s">
        <v>525</v>
      </c>
      <c r="S6397" s="405" t="s">
        <v>27231</v>
      </c>
      <c r="T6397" s="405" t="s">
        <v>32102</v>
      </c>
      <c r="U6397" s="405" t="s">
        <v>319</v>
      </c>
    </row>
    <row r="6398" spans="1:21" x14ac:dyDescent="0.25">
      <c r="A6398" s="405" t="s">
        <v>310</v>
      </c>
      <c r="B6398" s="405" t="s">
        <v>3769</v>
      </c>
      <c r="C6398" s="405" t="s">
        <v>327</v>
      </c>
      <c r="D6398" s="405"/>
      <c r="E6398" s="410">
        <v>41388</v>
      </c>
      <c r="F6398" s="410">
        <v>41433</v>
      </c>
      <c r="G6398" s="405" t="s">
        <v>3770</v>
      </c>
      <c r="H6398" s="405">
        <v>754899568</v>
      </c>
      <c r="I6398" s="405"/>
      <c r="J6398" s="405">
        <v>0.104327</v>
      </c>
      <c r="K6398" s="405">
        <v>31.45645</v>
      </c>
      <c r="L6398" s="405" t="s">
        <v>314</v>
      </c>
      <c r="M6398" s="405" t="s">
        <v>343</v>
      </c>
      <c r="N6398" s="405" t="s">
        <v>344</v>
      </c>
      <c r="O6398" s="405" t="s">
        <v>2546</v>
      </c>
      <c r="P6398" s="405" t="s">
        <v>3771</v>
      </c>
      <c r="Q6398" s="411">
        <v>13</v>
      </c>
      <c r="R6398" s="405" t="s">
        <v>318</v>
      </c>
      <c r="S6398" s="405" t="s">
        <v>27113</v>
      </c>
      <c r="T6398" s="405" t="s">
        <v>32102</v>
      </c>
      <c r="U6398" s="405" t="s">
        <v>319</v>
      </c>
    </row>
    <row r="6399" spans="1:21" x14ac:dyDescent="0.25">
      <c r="A6399" s="405" t="s">
        <v>310</v>
      </c>
      <c r="B6399" s="405" t="s">
        <v>3810</v>
      </c>
      <c r="C6399" s="405" t="s">
        <v>327</v>
      </c>
      <c r="D6399" s="405"/>
      <c r="E6399" s="410">
        <v>41388</v>
      </c>
      <c r="F6399" s="410">
        <v>41433</v>
      </c>
      <c r="G6399" s="405" t="s">
        <v>3811</v>
      </c>
      <c r="H6399" s="405">
        <v>781519168</v>
      </c>
      <c r="I6399" s="405">
        <v>778516231</v>
      </c>
      <c r="J6399" s="405">
        <v>-0.423647</v>
      </c>
      <c r="K6399" s="405">
        <v>31.777654999999999</v>
      </c>
      <c r="L6399" s="405" t="s">
        <v>314</v>
      </c>
      <c r="M6399" s="405" t="s">
        <v>382</v>
      </c>
      <c r="N6399" s="405" t="s">
        <v>941</v>
      </c>
      <c r="O6399" s="405" t="s">
        <v>1260</v>
      </c>
      <c r="P6399" s="405" t="s">
        <v>3812</v>
      </c>
      <c r="Q6399" s="411">
        <v>9</v>
      </c>
      <c r="R6399" s="405" t="s">
        <v>1263</v>
      </c>
      <c r="S6399" s="405" t="s">
        <v>27221</v>
      </c>
      <c r="T6399" s="405" t="s">
        <v>32102</v>
      </c>
      <c r="U6399" s="405" t="s">
        <v>319</v>
      </c>
    </row>
    <row r="6400" spans="1:21" x14ac:dyDescent="0.25">
      <c r="A6400" s="405" t="s">
        <v>310</v>
      </c>
      <c r="B6400" s="405" t="s">
        <v>49</v>
      </c>
      <c r="C6400" s="405" t="s">
        <v>311</v>
      </c>
      <c r="D6400" s="405" t="s">
        <v>312</v>
      </c>
      <c r="E6400" s="410">
        <v>41388</v>
      </c>
      <c r="F6400" s="410">
        <v>41433</v>
      </c>
      <c r="G6400" s="405" t="s">
        <v>18841</v>
      </c>
      <c r="H6400" s="405">
        <v>772588454</v>
      </c>
      <c r="I6400" s="405"/>
      <c r="J6400" s="405">
        <v>2.7865090000000001</v>
      </c>
      <c r="K6400" s="405">
        <v>32.290872999999998</v>
      </c>
      <c r="L6400" s="405" t="s">
        <v>860</v>
      </c>
      <c r="M6400" s="405" t="s">
        <v>853</v>
      </c>
      <c r="N6400" s="405" t="s">
        <v>18246</v>
      </c>
      <c r="O6400" s="405" t="s">
        <v>18503</v>
      </c>
      <c r="P6400" s="405" t="s">
        <v>18675</v>
      </c>
      <c r="Q6400" s="411">
        <v>6</v>
      </c>
      <c r="R6400" s="405" t="s">
        <v>994</v>
      </c>
      <c r="S6400" s="405" t="s">
        <v>27179</v>
      </c>
      <c r="T6400" s="405" t="s">
        <v>32102</v>
      </c>
      <c r="U6400" s="405" t="s">
        <v>319</v>
      </c>
    </row>
    <row r="6401" spans="1:21" x14ac:dyDescent="0.25">
      <c r="A6401" s="405" t="s">
        <v>310</v>
      </c>
      <c r="B6401" s="405" t="s">
        <v>27616</v>
      </c>
      <c r="C6401" s="405" t="s">
        <v>327</v>
      </c>
      <c r="D6401" s="405"/>
      <c r="E6401" s="410">
        <v>41387</v>
      </c>
      <c r="F6401" s="410">
        <v>41432</v>
      </c>
      <c r="G6401" s="405" t="s">
        <v>21086</v>
      </c>
      <c r="H6401" s="405">
        <v>772491504</v>
      </c>
      <c r="I6401" s="405"/>
      <c r="J6401" s="405">
        <v>0.27662599999999998</v>
      </c>
      <c r="K6401" s="405">
        <v>30.106124999999999</v>
      </c>
      <c r="L6401" s="405" t="s">
        <v>590</v>
      </c>
      <c r="M6401" s="405" t="s">
        <v>21087</v>
      </c>
      <c r="N6401" s="405" t="s">
        <v>21088</v>
      </c>
      <c r="O6401" s="405" t="s">
        <v>21089</v>
      </c>
      <c r="P6401" s="405" t="s">
        <v>21090</v>
      </c>
      <c r="Q6401" s="411">
        <v>13</v>
      </c>
      <c r="R6401" s="405" t="s">
        <v>1527</v>
      </c>
      <c r="S6401" s="405" t="s">
        <v>27132</v>
      </c>
      <c r="T6401" s="405" t="s">
        <v>32102</v>
      </c>
      <c r="U6401" s="405" t="s">
        <v>319</v>
      </c>
    </row>
    <row r="6402" spans="1:21" x14ac:dyDescent="0.25">
      <c r="A6402" s="405" t="s">
        <v>310</v>
      </c>
      <c r="B6402" s="405" t="s">
        <v>21091</v>
      </c>
      <c r="C6402" s="405" t="s">
        <v>327</v>
      </c>
      <c r="D6402" s="405"/>
      <c r="E6402" s="410">
        <v>41386</v>
      </c>
      <c r="F6402" s="410">
        <v>41431</v>
      </c>
      <c r="G6402" s="405" t="s">
        <v>21092</v>
      </c>
      <c r="H6402" s="405">
        <v>776535152</v>
      </c>
      <c r="I6402" s="405">
        <v>752535152</v>
      </c>
      <c r="J6402" s="405">
        <v>-0.60703379999999996</v>
      </c>
      <c r="K6402" s="405">
        <v>30.345330000000001</v>
      </c>
      <c r="L6402" s="405" t="s">
        <v>590</v>
      </c>
      <c r="M6402" s="405" t="s">
        <v>19614</v>
      </c>
      <c r="N6402" s="405" t="s">
        <v>19615</v>
      </c>
      <c r="O6402" s="405" t="s">
        <v>21093</v>
      </c>
      <c r="P6402" s="405" t="s">
        <v>21094</v>
      </c>
      <c r="Q6402" s="411">
        <v>13</v>
      </c>
      <c r="R6402" s="405" t="s">
        <v>333</v>
      </c>
      <c r="S6402" s="405" t="s">
        <v>27160</v>
      </c>
      <c r="T6402" s="405" t="s">
        <v>32102</v>
      </c>
      <c r="U6402" s="405" t="s">
        <v>319</v>
      </c>
    </row>
    <row r="6403" spans="1:21" x14ac:dyDescent="0.25">
      <c r="A6403" s="405" t="s">
        <v>310</v>
      </c>
      <c r="B6403" s="405" t="s">
        <v>21310</v>
      </c>
      <c r="C6403" s="405" t="s">
        <v>311</v>
      </c>
      <c r="D6403" s="405" t="s">
        <v>839</v>
      </c>
      <c r="E6403" s="410">
        <v>41386</v>
      </c>
      <c r="F6403" s="410">
        <v>41431</v>
      </c>
      <c r="G6403" s="405" t="s">
        <v>21311</v>
      </c>
      <c r="H6403" s="405">
        <v>772551602</v>
      </c>
      <c r="I6403" s="405"/>
      <c r="J6403" s="405">
        <v>-0.44507999999999998</v>
      </c>
      <c r="K6403" s="405">
        <v>30.545641</v>
      </c>
      <c r="L6403" s="405" t="s">
        <v>590</v>
      </c>
      <c r="M6403" s="405" t="s">
        <v>19614</v>
      </c>
      <c r="N6403" s="405" t="s">
        <v>19615</v>
      </c>
      <c r="O6403" s="405" t="s">
        <v>19650</v>
      </c>
      <c r="P6403" s="405" t="s">
        <v>19650</v>
      </c>
      <c r="Q6403" s="411">
        <v>13</v>
      </c>
      <c r="R6403" s="405" t="s">
        <v>883</v>
      </c>
      <c r="S6403" s="405" t="s">
        <v>27160</v>
      </c>
      <c r="T6403" s="405" t="s">
        <v>32102</v>
      </c>
      <c r="U6403" s="405" t="s">
        <v>319</v>
      </c>
    </row>
    <row r="6404" spans="1:21" x14ac:dyDescent="0.25">
      <c r="A6404" s="405" t="s">
        <v>310</v>
      </c>
      <c r="B6404" s="405" t="s">
        <v>28275</v>
      </c>
      <c r="C6404" s="405" t="s">
        <v>327</v>
      </c>
      <c r="D6404" s="405"/>
      <c r="E6404" s="410">
        <v>41386</v>
      </c>
      <c r="F6404" s="410">
        <v>41431</v>
      </c>
      <c r="G6404" s="405" t="s">
        <v>21155</v>
      </c>
      <c r="H6404" s="405">
        <v>774363179</v>
      </c>
      <c r="I6404" s="405"/>
      <c r="J6404" s="405">
        <v>-0.54994399999999999</v>
      </c>
      <c r="K6404" s="405">
        <v>30.183717999999999</v>
      </c>
      <c r="L6404" s="405" t="s">
        <v>590</v>
      </c>
      <c r="M6404" s="405" t="s">
        <v>19625</v>
      </c>
      <c r="N6404" s="405" t="s">
        <v>19625</v>
      </c>
      <c r="O6404" s="405" t="s">
        <v>21156</v>
      </c>
      <c r="P6404" s="405" t="s">
        <v>21157</v>
      </c>
      <c r="Q6404" s="411">
        <v>9</v>
      </c>
      <c r="R6404" s="405" t="s">
        <v>333</v>
      </c>
      <c r="S6404" s="405" t="s">
        <v>27166</v>
      </c>
      <c r="T6404" s="405" t="s">
        <v>32102</v>
      </c>
      <c r="U6404" s="405" t="s">
        <v>319</v>
      </c>
    </row>
    <row r="6405" spans="1:21" x14ac:dyDescent="0.25">
      <c r="A6405" s="405" t="s">
        <v>310</v>
      </c>
      <c r="B6405" s="405" t="s">
        <v>28112</v>
      </c>
      <c r="C6405" s="405" t="s">
        <v>327</v>
      </c>
      <c r="D6405" s="405"/>
      <c r="E6405" s="410">
        <v>41386</v>
      </c>
      <c r="F6405" s="410">
        <v>41431</v>
      </c>
      <c r="G6405" s="405" t="s">
        <v>21106</v>
      </c>
      <c r="H6405" s="405">
        <v>785871091</v>
      </c>
      <c r="I6405" s="405"/>
      <c r="J6405" s="405">
        <v>0.68955</v>
      </c>
      <c r="K6405" s="405">
        <v>30.664826999999999</v>
      </c>
      <c r="L6405" s="405" t="s">
        <v>590</v>
      </c>
      <c r="M6405" s="405" t="s">
        <v>20426</v>
      </c>
      <c r="N6405" s="405" t="s">
        <v>10925</v>
      </c>
      <c r="O6405" s="405" t="s">
        <v>21107</v>
      </c>
      <c r="P6405" s="405" t="s">
        <v>21108</v>
      </c>
      <c r="Q6405" s="411">
        <v>9</v>
      </c>
      <c r="R6405" s="405" t="s">
        <v>883</v>
      </c>
      <c r="S6405" s="405" t="s">
        <v>27183</v>
      </c>
      <c r="T6405" s="405" t="s">
        <v>32102</v>
      </c>
      <c r="U6405" s="405" t="s">
        <v>319</v>
      </c>
    </row>
    <row r="6406" spans="1:21" x14ac:dyDescent="0.25">
      <c r="A6406" s="405" t="s">
        <v>310</v>
      </c>
      <c r="B6406" s="405" t="s">
        <v>28665</v>
      </c>
      <c r="C6406" s="405" t="s">
        <v>327</v>
      </c>
      <c r="D6406" s="405"/>
      <c r="E6406" s="410">
        <v>41386</v>
      </c>
      <c r="F6406" s="410">
        <v>41431</v>
      </c>
      <c r="G6406" s="405" t="s">
        <v>21102</v>
      </c>
      <c r="H6406" s="405">
        <v>776617080</v>
      </c>
      <c r="I6406" s="405"/>
      <c r="J6406" s="405">
        <v>-0.64932500000000004</v>
      </c>
      <c r="K6406" s="405">
        <v>30.556197000000001</v>
      </c>
      <c r="L6406" s="405" t="s">
        <v>590</v>
      </c>
      <c r="M6406" s="405" t="s">
        <v>19614</v>
      </c>
      <c r="N6406" s="405" t="s">
        <v>19873</v>
      </c>
      <c r="O6406" s="405" t="s">
        <v>19914</v>
      </c>
      <c r="P6406" s="405" t="s">
        <v>21103</v>
      </c>
      <c r="Q6406" s="411">
        <v>9</v>
      </c>
      <c r="R6406" s="405" t="s">
        <v>333</v>
      </c>
      <c r="S6406" s="405" t="s">
        <v>27163</v>
      </c>
      <c r="T6406" s="405" t="s">
        <v>32102</v>
      </c>
      <c r="U6406" s="405" t="s">
        <v>319</v>
      </c>
    </row>
    <row r="6407" spans="1:21" x14ac:dyDescent="0.25">
      <c r="A6407" s="405" t="s">
        <v>310</v>
      </c>
      <c r="B6407" s="405" t="s">
        <v>21112</v>
      </c>
      <c r="C6407" s="405" t="s">
        <v>327</v>
      </c>
      <c r="D6407" s="405"/>
      <c r="E6407" s="410">
        <v>41386</v>
      </c>
      <c r="F6407" s="410">
        <v>41431</v>
      </c>
      <c r="G6407" s="405" t="s">
        <v>21113</v>
      </c>
      <c r="H6407" s="405">
        <v>772613012</v>
      </c>
      <c r="I6407" s="405"/>
      <c r="J6407" s="405">
        <v>0.67361300000000002</v>
      </c>
      <c r="K6407" s="405">
        <v>30.439941000000001</v>
      </c>
      <c r="L6407" s="405" t="s">
        <v>590</v>
      </c>
      <c r="M6407" s="405" t="s">
        <v>20426</v>
      </c>
      <c r="N6407" s="405" t="s">
        <v>10925</v>
      </c>
      <c r="O6407" s="405" t="s">
        <v>20783</v>
      </c>
      <c r="P6407" s="405" t="s">
        <v>20784</v>
      </c>
      <c r="Q6407" s="411">
        <v>9</v>
      </c>
      <c r="R6407" s="405" t="s">
        <v>883</v>
      </c>
      <c r="S6407" s="405" t="s">
        <v>27183</v>
      </c>
      <c r="T6407" s="405" t="s">
        <v>32102</v>
      </c>
      <c r="U6407" s="405" t="s">
        <v>319</v>
      </c>
    </row>
    <row r="6408" spans="1:21" x14ac:dyDescent="0.25">
      <c r="A6408" s="405" t="s">
        <v>310</v>
      </c>
      <c r="B6408" s="405" t="s">
        <v>21135</v>
      </c>
      <c r="C6408" s="405" t="s">
        <v>327</v>
      </c>
      <c r="D6408" s="405"/>
      <c r="E6408" s="410">
        <v>41386</v>
      </c>
      <c r="F6408" s="410">
        <v>41431</v>
      </c>
      <c r="G6408" s="405" t="s">
        <v>21136</v>
      </c>
      <c r="H6408" s="405">
        <v>754885493</v>
      </c>
      <c r="I6408" s="405"/>
      <c r="J6408" s="405">
        <v>7.2184999999999999E-2</v>
      </c>
      <c r="K6408" s="405">
        <v>30.518916000000001</v>
      </c>
      <c r="L6408" s="405" t="s">
        <v>590</v>
      </c>
      <c r="M6408" s="405" t="s">
        <v>870</v>
      </c>
      <c r="N6408" s="405" t="s">
        <v>20193</v>
      </c>
      <c r="O6408" s="405" t="s">
        <v>20487</v>
      </c>
      <c r="P6408" s="405" t="s">
        <v>2600</v>
      </c>
      <c r="Q6408" s="411">
        <v>9</v>
      </c>
      <c r="R6408" s="405" t="s">
        <v>333</v>
      </c>
      <c r="S6408" s="405" t="s">
        <v>27249</v>
      </c>
      <c r="T6408" s="405" t="s">
        <v>32102</v>
      </c>
      <c r="U6408" s="405" t="s">
        <v>319</v>
      </c>
    </row>
    <row r="6409" spans="1:21" x14ac:dyDescent="0.25">
      <c r="A6409" s="405" t="s">
        <v>310</v>
      </c>
      <c r="B6409" s="405" t="s">
        <v>21067</v>
      </c>
      <c r="C6409" s="405" t="s">
        <v>327</v>
      </c>
      <c r="D6409" s="405"/>
      <c r="E6409" s="410">
        <v>41386</v>
      </c>
      <c r="F6409" s="410">
        <v>41431</v>
      </c>
      <c r="G6409" s="405" t="s">
        <v>21068</v>
      </c>
      <c r="H6409" s="405">
        <v>752173199</v>
      </c>
      <c r="I6409" s="405"/>
      <c r="J6409" s="405">
        <v>-0.87246199999999996</v>
      </c>
      <c r="K6409" s="405">
        <v>30.644290000000002</v>
      </c>
      <c r="L6409" s="405" t="s">
        <v>590</v>
      </c>
      <c r="M6409" s="405" t="s">
        <v>879</v>
      </c>
      <c r="N6409" s="405" t="s">
        <v>21069</v>
      </c>
      <c r="O6409" s="405" t="s">
        <v>20145</v>
      </c>
      <c r="P6409" s="405" t="s">
        <v>8710</v>
      </c>
      <c r="Q6409" s="411">
        <v>9</v>
      </c>
      <c r="R6409" s="405" t="s">
        <v>333</v>
      </c>
      <c r="S6409" s="405" t="s">
        <v>27183</v>
      </c>
      <c r="T6409" s="405" t="s">
        <v>32102</v>
      </c>
      <c r="U6409" s="405" t="s">
        <v>319</v>
      </c>
    </row>
    <row r="6410" spans="1:21" x14ac:dyDescent="0.25">
      <c r="A6410" s="405" t="s">
        <v>310</v>
      </c>
      <c r="B6410" s="405" t="s">
        <v>78</v>
      </c>
      <c r="C6410" s="405" t="s">
        <v>327</v>
      </c>
      <c r="D6410" s="405"/>
      <c r="E6410" s="410">
        <v>41386</v>
      </c>
      <c r="F6410" s="410">
        <v>41431</v>
      </c>
      <c r="G6410" s="405" t="s">
        <v>21104</v>
      </c>
      <c r="H6410" s="405">
        <v>777059297</v>
      </c>
      <c r="I6410" s="405"/>
      <c r="J6410" s="405">
        <v>-0.50773999999999997</v>
      </c>
      <c r="K6410" s="405">
        <v>30.590758999999998</v>
      </c>
      <c r="L6410" s="405" t="s">
        <v>590</v>
      </c>
      <c r="M6410" s="405" t="s">
        <v>19614</v>
      </c>
      <c r="N6410" s="405" t="s">
        <v>19615</v>
      </c>
      <c r="O6410" s="405" t="s">
        <v>20063</v>
      </c>
      <c r="P6410" s="405" t="s">
        <v>21105</v>
      </c>
      <c r="Q6410" s="411">
        <v>9</v>
      </c>
      <c r="R6410" s="405" t="s">
        <v>333</v>
      </c>
      <c r="S6410" s="405" t="s">
        <v>27098</v>
      </c>
      <c r="T6410" s="405" t="s">
        <v>32102</v>
      </c>
      <c r="U6410" s="405" t="s">
        <v>319</v>
      </c>
    </row>
    <row r="6411" spans="1:21" x14ac:dyDescent="0.25">
      <c r="A6411" s="405" t="s">
        <v>310</v>
      </c>
      <c r="B6411" s="405" t="s">
        <v>21073</v>
      </c>
      <c r="C6411" s="405" t="s">
        <v>327</v>
      </c>
      <c r="D6411" s="405"/>
      <c r="E6411" s="410">
        <v>41386</v>
      </c>
      <c r="F6411" s="410">
        <v>41431</v>
      </c>
      <c r="G6411" s="405" t="s">
        <v>21074</v>
      </c>
      <c r="H6411" s="405">
        <v>776971700</v>
      </c>
      <c r="I6411" s="405"/>
      <c r="J6411" s="405">
        <v>-0.53275399999999995</v>
      </c>
      <c r="K6411" s="405">
        <v>30.157112000000001</v>
      </c>
      <c r="L6411" s="405" t="s">
        <v>590</v>
      </c>
      <c r="M6411" s="405" t="s">
        <v>19625</v>
      </c>
      <c r="N6411" s="405" t="s">
        <v>19626</v>
      </c>
      <c r="O6411" s="405" t="s">
        <v>21075</v>
      </c>
      <c r="P6411" s="405" t="s">
        <v>21076</v>
      </c>
      <c r="Q6411" s="411">
        <v>9</v>
      </c>
      <c r="R6411" s="405" t="s">
        <v>883</v>
      </c>
      <c r="S6411" s="405" t="s">
        <v>27173</v>
      </c>
      <c r="T6411" s="405" t="s">
        <v>32102</v>
      </c>
      <c r="U6411" s="405" t="s">
        <v>319</v>
      </c>
    </row>
    <row r="6412" spans="1:21" x14ac:dyDescent="0.25">
      <c r="A6412" s="405" t="s">
        <v>310</v>
      </c>
      <c r="B6412" s="405" t="s">
        <v>27781</v>
      </c>
      <c r="C6412" s="405" t="s">
        <v>327</v>
      </c>
      <c r="D6412" s="405"/>
      <c r="E6412" s="410">
        <v>41386</v>
      </c>
      <c r="F6412" s="410">
        <v>41431</v>
      </c>
      <c r="G6412" s="405" t="s">
        <v>21158</v>
      </c>
      <c r="H6412" s="405">
        <v>783813674</v>
      </c>
      <c r="I6412" s="405"/>
      <c r="J6412" s="405">
        <v>-0.52909700000000004</v>
      </c>
      <c r="K6412" s="405">
        <v>30.280719000000001</v>
      </c>
      <c r="L6412" s="405" t="s">
        <v>590</v>
      </c>
      <c r="M6412" s="405" t="s">
        <v>19625</v>
      </c>
      <c r="N6412" s="405" t="s">
        <v>19642</v>
      </c>
      <c r="O6412" s="405" t="s">
        <v>20937</v>
      </c>
      <c r="P6412" s="405" t="s">
        <v>21159</v>
      </c>
      <c r="Q6412" s="411">
        <v>6</v>
      </c>
      <c r="R6412" s="405" t="s">
        <v>883</v>
      </c>
      <c r="S6412" s="405" t="s">
        <v>27271</v>
      </c>
      <c r="T6412" s="405" t="s">
        <v>32102</v>
      </c>
      <c r="U6412" s="405" t="s">
        <v>319</v>
      </c>
    </row>
    <row r="6413" spans="1:21" x14ac:dyDescent="0.25">
      <c r="A6413" s="405" t="s">
        <v>310</v>
      </c>
      <c r="B6413" s="405" t="s">
        <v>21143</v>
      </c>
      <c r="C6413" s="405" t="s">
        <v>327</v>
      </c>
      <c r="D6413" s="405"/>
      <c r="E6413" s="410">
        <v>41385</v>
      </c>
      <c r="F6413" s="410">
        <v>41430</v>
      </c>
      <c r="G6413" s="405" t="s">
        <v>21144</v>
      </c>
      <c r="H6413" s="405">
        <v>772824267</v>
      </c>
      <c r="I6413" s="405"/>
      <c r="J6413" s="405">
        <v>-0.72914100000000004</v>
      </c>
      <c r="K6413" s="405">
        <v>29.856584000000002</v>
      </c>
      <c r="L6413" s="405" t="s">
        <v>590</v>
      </c>
      <c r="M6413" s="405" t="s">
        <v>19619</v>
      </c>
      <c r="N6413" s="405" t="s">
        <v>19793</v>
      </c>
      <c r="O6413" s="405" t="s">
        <v>6395</v>
      </c>
      <c r="P6413" s="405" t="s">
        <v>21145</v>
      </c>
      <c r="Q6413" s="411">
        <v>9</v>
      </c>
      <c r="R6413" s="405" t="s">
        <v>1527</v>
      </c>
      <c r="S6413" s="405" t="s">
        <v>27161</v>
      </c>
      <c r="T6413" s="405" t="s">
        <v>32102</v>
      </c>
      <c r="U6413" s="405" t="s">
        <v>319</v>
      </c>
    </row>
    <row r="6414" spans="1:21" x14ac:dyDescent="0.25">
      <c r="A6414" s="405" t="s">
        <v>310</v>
      </c>
      <c r="B6414" s="405" t="s">
        <v>3838</v>
      </c>
      <c r="C6414" s="405" t="s">
        <v>327</v>
      </c>
      <c r="D6414" s="405"/>
      <c r="E6414" s="410">
        <v>41385</v>
      </c>
      <c r="F6414" s="410">
        <v>41430</v>
      </c>
      <c r="G6414" s="405" t="s">
        <v>3839</v>
      </c>
      <c r="H6414" s="405">
        <v>772563549</v>
      </c>
      <c r="I6414" s="405"/>
      <c r="J6414" s="405">
        <v>-8.0583333333333323E-3</v>
      </c>
      <c r="K6414" s="405">
        <v>32.014845000000001</v>
      </c>
      <c r="L6414" s="405" t="s">
        <v>314</v>
      </c>
      <c r="M6414" s="405" t="s">
        <v>321</v>
      </c>
      <c r="N6414" s="405" t="s">
        <v>322</v>
      </c>
      <c r="O6414" s="405" t="s">
        <v>2436</v>
      </c>
      <c r="P6414" s="405" t="s">
        <v>3840</v>
      </c>
      <c r="Q6414" s="411">
        <v>6</v>
      </c>
      <c r="R6414" s="405" t="s">
        <v>3841</v>
      </c>
      <c r="S6414" s="405" t="s">
        <v>27034</v>
      </c>
      <c r="T6414" s="405" t="s">
        <v>32102</v>
      </c>
      <c r="U6414" s="405" t="s">
        <v>319</v>
      </c>
    </row>
    <row r="6415" spans="1:21" x14ac:dyDescent="0.25">
      <c r="A6415" s="405" t="s">
        <v>310</v>
      </c>
      <c r="B6415" s="405" t="s">
        <v>12302</v>
      </c>
      <c r="C6415" s="405" t="s">
        <v>327</v>
      </c>
      <c r="D6415" s="405"/>
      <c r="E6415" s="410">
        <v>41385</v>
      </c>
      <c r="F6415" s="410">
        <v>41430</v>
      </c>
      <c r="G6415" s="405" t="s">
        <v>12303</v>
      </c>
      <c r="H6415" s="405">
        <v>776948849</v>
      </c>
      <c r="I6415" s="405">
        <v>752948849</v>
      </c>
      <c r="J6415" s="405">
        <v>1.0185219999999999</v>
      </c>
      <c r="K6415" s="405">
        <v>34.192517000000002</v>
      </c>
      <c r="L6415" s="405" t="s">
        <v>6866</v>
      </c>
      <c r="M6415" s="405" t="s">
        <v>9514</v>
      </c>
      <c r="N6415" s="405" t="s">
        <v>9529</v>
      </c>
      <c r="O6415" s="405" t="s">
        <v>9571</v>
      </c>
      <c r="P6415" s="405" t="s">
        <v>12304</v>
      </c>
      <c r="Q6415" s="411">
        <v>4</v>
      </c>
      <c r="R6415" s="405" t="s">
        <v>7224</v>
      </c>
      <c r="S6415" s="405" t="s">
        <v>27304</v>
      </c>
      <c r="T6415" s="405" t="s">
        <v>32102</v>
      </c>
      <c r="U6415" s="405" t="s">
        <v>319</v>
      </c>
    </row>
    <row r="6416" spans="1:21" x14ac:dyDescent="0.25">
      <c r="A6416" s="405" t="s">
        <v>310</v>
      </c>
      <c r="B6416" s="405" t="s">
        <v>21140</v>
      </c>
      <c r="C6416" s="405" t="s">
        <v>327</v>
      </c>
      <c r="D6416" s="405"/>
      <c r="E6416" s="410">
        <v>41384</v>
      </c>
      <c r="F6416" s="410">
        <v>41429</v>
      </c>
      <c r="G6416" s="405" t="s">
        <v>21141</v>
      </c>
      <c r="H6416" s="405">
        <v>756625687</v>
      </c>
      <c r="I6416" s="405">
        <v>782324538</v>
      </c>
      <c r="J6416" s="405">
        <v>-0.84865000000000002</v>
      </c>
      <c r="K6416" s="405">
        <v>30.014341000000002</v>
      </c>
      <c r="L6416" s="405" t="s">
        <v>590</v>
      </c>
      <c r="M6416" s="405" t="s">
        <v>19619</v>
      </c>
      <c r="N6416" s="405" t="s">
        <v>19620</v>
      </c>
      <c r="O6416" s="405" t="s">
        <v>19635</v>
      </c>
      <c r="P6416" s="405" t="s">
        <v>21142</v>
      </c>
      <c r="Q6416" s="411">
        <v>13</v>
      </c>
      <c r="R6416" s="405" t="s">
        <v>1527</v>
      </c>
      <c r="S6416" s="405" t="s">
        <v>27161</v>
      </c>
      <c r="T6416" s="405" t="s">
        <v>32102</v>
      </c>
      <c r="U6416" s="405" t="s">
        <v>319</v>
      </c>
    </row>
    <row r="6417" spans="1:21" x14ac:dyDescent="0.25">
      <c r="A6417" s="405" t="s">
        <v>310</v>
      </c>
      <c r="B6417" s="405" t="s">
        <v>3800</v>
      </c>
      <c r="C6417" s="405" t="s">
        <v>327</v>
      </c>
      <c r="D6417" s="405"/>
      <c r="E6417" s="410">
        <v>41384</v>
      </c>
      <c r="F6417" s="410">
        <v>41429</v>
      </c>
      <c r="G6417" s="405" t="s">
        <v>3801</v>
      </c>
      <c r="H6417" s="405">
        <v>776529647</v>
      </c>
      <c r="I6417" s="405"/>
      <c r="J6417" s="405">
        <v>0.28375299999999998</v>
      </c>
      <c r="K6417" s="405">
        <v>32.407364999999999</v>
      </c>
      <c r="L6417" s="405" t="s">
        <v>314</v>
      </c>
      <c r="M6417" s="405" t="s">
        <v>321</v>
      </c>
      <c r="N6417" s="405" t="s">
        <v>2472</v>
      </c>
      <c r="O6417" s="405" t="s">
        <v>519</v>
      </c>
      <c r="P6417" s="405" t="s">
        <v>3802</v>
      </c>
      <c r="Q6417" s="411">
        <v>9</v>
      </c>
      <c r="R6417" s="405" t="s">
        <v>1263</v>
      </c>
      <c r="S6417" s="405" t="s">
        <v>27035</v>
      </c>
      <c r="T6417" s="405" t="s">
        <v>32102</v>
      </c>
      <c r="U6417" s="405" t="s">
        <v>319</v>
      </c>
    </row>
    <row r="6418" spans="1:21" x14ac:dyDescent="0.25">
      <c r="A6418" s="405" t="s">
        <v>310</v>
      </c>
      <c r="B6418" s="405" t="s">
        <v>18609</v>
      </c>
      <c r="C6418" s="405" t="s">
        <v>327</v>
      </c>
      <c r="D6418" s="405"/>
      <c r="E6418" s="410">
        <v>41384</v>
      </c>
      <c r="F6418" s="410">
        <v>41429</v>
      </c>
      <c r="G6418" s="405" t="s">
        <v>18610</v>
      </c>
      <c r="H6418" s="405">
        <v>752561561</v>
      </c>
      <c r="I6418" s="405">
        <v>772561561</v>
      </c>
      <c r="J6418" s="405">
        <v>1.850446</v>
      </c>
      <c r="K6418" s="405">
        <v>32.351126999999998</v>
      </c>
      <c r="L6418" s="405" t="s">
        <v>860</v>
      </c>
      <c r="M6418" s="405" t="s">
        <v>861</v>
      </c>
      <c r="N6418" s="405" t="s">
        <v>18440</v>
      </c>
      <c r="O6418" s="405" t="s">
        <v>18441</v>
      </c>
      <c r="P6418" s="405" t="s">
        <v>18611</v>
      </c>
      <c r="Q6418" s="411">
        <v>9</v>
      </c>
      <c r="R6418" s="405" t="s">
        <v>318</v>
      </c>
      <c r="S6418" s="405" t="s">
        <v>27125</v>
      </c>
      <c r="T6418" s="405" t="s">
        <v>32102</v>
      </c>
      <c r="U6418" s="405" t="s">
        <v>319</v>
      </c>
    </row>
    <row r="6419" spans="1:21" x14ac:dyDescent="0.25">
      <c r="A6419" s="405" t="s">
        <v>310</v>
      </c>
      <c r="B6419" s="405" t="s">
        <v>29006</v>
      </c>
      <c r="C6419" s="405" t="s">
        <v>327</v>
      </c>
      <c r="D6419" s="405"/>
      <c r="E6419" s="410">
        <v>41384</v>
      </c>
      <c r="F6419" s="410">
        <v>41429</v>
      </c>
      <c r="G6419" s="405" t="s">
        <v>21081</v>
      </c>
      <c r="H6419" s="405">
        <v>751746231</v>
      </c>
      <c r="I6419" s="405">
        <v>788312050</v>
      </c>
      <c r="J6419" s="405">
        <v>0.42719499999999999</v>
      </c>
      <c r="K6419" s="405">
        <v>30.176909999999999</v>
      </c>
      <c r="L6419" s="405" t="s">
        <v>590</v>
      </c>
      <c r="M6419" s="405" t="s">
        <v>20125</v>
      </c>
      <c r="N6419" s="405" t="s">
        <v>20866</v>
      </c>
      <c r="O6419" s="405" t="s">
        <v>21082</v>
      </c>
      <c r="P6419" s="405" t="s">
        <v>21083</v>
      </c>
      <c r="Q6419" s="411">
        <v>6</v>
      </c>
      <c r="R6419" s="405" t="s">
        <v>883</v>
      </c>
      <c r="S6419" s="405" t="s">
        <v>27408</v>
      </c>
      <c r="T6419" s="405" t="s">
        <v>32102</v>
      </c>
      <c r="U6419" s="405" t="s">
        <v>319</v>
      </c>
    </row>
    <row r="6420" spans="1:21" x14ac:dyDescent="0.25">
      <c r="A6420" s="405" t="s">
        <v>310</v>
      </c>
      <c r="B6420" s="405" t="s">
        <v>27745</v>
      </c>
      <c r="C6420" s="405" t="s">
        <v>311</v>
      </c>
      <c r="D6420" s="405" t="s">
        <v>33062</v>
      </c>
      <c r="E6420" s="410">
        <v>41384</v>
      </c>
      <c r="F6420" s="410">
        <v>41429</v>
      </c>
      <c r="G6420" s="405" t="s">
        <v>21331</v>
      </c>
      <c r="H6420" s="405">
        <v>774701063</v>
      </c>
      <c r="I6420" s="405">
        <v>774709856</v>
      </c>
      <c r="J6420" s="405">
        <v>-0.892181</v>
      </c>
      <c r="K6420" s="405">
        <v>31.132444</v>
      </c>
      <c r="L6420" s="405" t="s">
        <v>590</v>
      </c>
      <c r="M6420" s="405" t="s">
        <v>879</v>
      </c>
      <c r="N6420" s="405" t="s">
        <v>12376</v>
      </c>
      <c r="O6420" s="405" t="s">
        <v>21332</v>
      </c>
      <c r="P6420" s="405" t="s">
        <v>21333</v>
      </c>
      <c r="Q6420" s="411">
        <v>6</v>
      </c>
      <c r="R6420" s="405" t="s">
        <v>333</v>
      </c>
      <c r="S6420" s="405" t="s">
        <v>27271</v>
      </c>
      <c r="T6420" s="405" t="s">
        <v>32102</v>
      </c>
      <c r="U6420" s="405" t="s">
        <v>319</v>
      </c>
    </row>
    <row r="6421" spans="1:21" x14ac:dyDescent="0.25">
      <c r="A6421" s="405" t="s">
        <v>310</v>
      </c>
      <c r="B6421" s="405" t="s">
        <v>12331</v>
      </c>
      <c r="C6421" s="405" t="s">
        <v>327</v>
      </c>
      <c r="D6421" s="405"/>
      <c r="E6421" s="410">
        <v>41384</v>
      </c>
      <c r="F6421" s="410">
        <v>41429</v>
      </c>
      <c r="G6421" s="405" t="s">
        <v>12332</v>
      </c>
      <c r="H6421" s="405">
        <v>783379933</v>
      </c>
      <c r="I6421" s="405"/>
      <c r="J6421" s="405">
        <v>0.932948</v>
      </c>
      <c r="K6421" s="405">
        <v>34.144212000000003</v>
      </c>
      <c r="L6421" s="405" t="s">
        <v>6866</v>
      </c>
      <c r="M6421" s="405" t="s">
        <v>9514</v>
      </c>
      <c r="N6421" s="405" t="s">
        <v>9529</v>
      </c>
      <c r="O6421" s="405" t="s">
        <v>9923</v>
      </c>
      <c r="P6421" s="405" t="s">
        <v>9729</v>
      </c>
      <c r="Q6421" s="411">
        <v>6</v>
      </c>
      <c r="R6421" s="405" t="s">
        <v>333</v>
      </c>
      <c r="S6421" s="405" t="s">
        <v>27107</v>
      </c>
      <c r="T6421" s="405" t="s">
        <v>32102</v>
      </c>
      <c r="U6421" s="405" t="s">
        <v>319</v>
      </c>
    </row>
    <row r="6422" spans="1:21" x14ac:dyDescent="0.25">
      <c r="A6422" s="405" t="s">
        <v>310</v>
      </c>
      <c r="B6422" s="405" t="s">
        <v>3899</v>
      </c>
      <c r="C6422" s="405" t="s">
        <v>327</v>
      </c>
      <c r="D6422" s="405"/>
      <c r="E6422" s="410">
        <v>41384</v>
      </c>
      <c r="F6422" s="410">
        <v>41429</v>
      </c>
      <c r="G6422" s="405" t="s">
        <v>3900</v>
      </c>
      <c r="H6422" s="405">
        <v>782126589</v>
      </c>
      <c r="I6422" s="405"/>
      <c r="J6422" s="405">
        <v>1.4512480000000001</v>
      </c>
      <c r="K6422" s="405">
        <v>32.274884999999998</v>
      </c>
      <c r="L6422" s="405" t="s">
        <v>314</v>
      </c>
      <c r="M6422" s="405" t="s">
        <v>2512</v>
      </c>
      <c r="N6422" s="405" t="s">
        <v>2589</v>
      </c>
      <c r="O6422" s="405" t="s">
        <v>2590</v>
      </c>
      <c r="P6422" s="405" t="s">
        <v>3901</v>
      </c>
      <c r="Q6422" s="411">
        <v>6</v>
      </c>
      <c r="R6422" s="405" t="s">
        <v>318</v>
      </c>
      <c r="S6422" s="405" t="s">
        <v>27124</v>
      </c>
      <c r="T6422" s="405" t="s">
        <v>32102</v>
      </c>
      <c r="U6422" s="405" t="s">
        <v>319</v>
      </c>
    </row>
    <row r="6423" spans="1:21" x14ac:dyDescent="0.25">
      <c r="A6423" s="405" t="s">
        <v>310</v>
      </c>
      <c r="B6423" s="405" t="s">
        <v>21114</v>
      </c>
      <c r="C6423" s="405" t="s">
        <v>327</v>
      </c>
      <c r="D6423" s="405"/>
      <c r="E6423" s="410">
        <v>41384</v>
      </c>
      <c r="F6423" s="410">
        <v>41429</v>
      </c>
      <c r="G6423" s="405" t="s">
        <v>21115</v>
      </c>
      <c r="H6423" s="405">
        <v>774686628</v>
      </c>
      <c r="I6423" s="405"/>
      <c r="J6423" s="405">
        <v>0.56482500000000002</v>
      </c>
      <c r="K6423" s="405">
        <v>30.857970000000002</v>
      </c>
      <c r="L6423" s="405" t="s">
        <v>590</v>
      </c>
      <c r="M6423" s="405" t="s">
        <v>20426</v>
      </c>
      <c r="N6423" s="405" t="s">
        <v>20692</v>
      </c>
      <c r="O6423" s="405" t="s">
        <v>21116</v>
      </c>
      <c r="P6423" s="405" t="s">
        <v>21116</v>
      </c>
      <c r="Q6423" s="411">
        <v>6</v>
      </c>
      <c r="R6423" s="405" t="s">
        <v>20774</v>
      </c>
      <c r="S6423" s="405" t="s">
        <v>27415</v>
      </c>
      <c r="T6423" s="405" t="s">
        <v>32102</v>
      </c>
      <c r="U6423" s="405" t="s">
        <v>319</v>
      </c>
    </row>
    <row r="6424" spans="1:21" x14ac:dyDescent="0.25">
      <c r="A6424" s="405" t="s">
        <v>310</v>
      </c>
      <c r="B6424" s="405" t="s">
        <v>12333</v>
      </c>
      <c r="C6424" s="405" t="s">
        <v>327</v>
      </c>
      <c r="D6424" s="405"/>
      <c r="E6424" s="410">
        <v>41384</v>
      </c>
      <c r="F6424" s="410">
        <v>41429</v>
      </c>
      <c r="G6424" s="405" t="s">
        <v>12334</v>
      </c>
      <c r="H6424" s="405">
        <v>785047455</v>
      </c>
      <c r="I6424" s="405"/>
      <c r="J6424" s="405">
        <v>1.1295679999999999</v>
      </c>
      <c r="K6424" s="405">
        <v>34.206139999999998</v>
      </c>
      <c r="L6424" s="405" t="s">
        <v>6866</v>
      </c>
      <c r="M6424" s="405" t="s">
        <v>9514</v>
      </c>
      <c r="N6424" s="405" t="s">
        <v>9529</v>
      </c>
      <c r="O6424" s="405" t="s">
        <v>9530</v>
      </c>
      <c r="P6424" s="405" t="s">
        <v>12335</v>
      </c>
      <c r="Q6424" s="411">
        <v>6</v>
      </c>
      <c r="R6424" s="405" t="s">
        <v>7224</v>
      </c>
      <c r="S6424" s="405" t="s">
        <v>27304</v>
      </c>
      <c r="T6424" s="405" t="s">
        <v>32102</v>
      </c>
      <c r="U6424" s="405" t="s">
        <v>319</v>
      </c>
    </row>
    <row r="6425" spans="1:21" x14ac:dyDescent="0.25">
      <c r="A6425" s="405" t="s">
        <v>310</v>
      </c>
      <c r="B6425" s="405" t="s">
        <v>28746</v>
      </c>
      <c r="C6425" s="405" t="s">
        <v>327</v>
      </c>
      <c r="D6425" s="405"/>
      <c r="E6425" s="410">
        <v>41384</v>
      </c>
      <c r="F6425" s="410">
        <v>41429</v>
      </c>
      <c r="G6425" s="405" t="s">
        <v>18612</v>
      </c>
      <c r="H6425" s="405">
        <v>775711611</v>
      </c>
      <c r="I6425" s="405"/>
      <c r="J6425" s="405">
        <v>1.7624629999999999</v>
      </c>
      <c r="K6425" s="405">
        <v>32.874419000000003</v>
      </c>
      <c r="L6425" s="405" t="s">
        <v>860</v>
      </c>
      <c r="M6425" s="405" t="s">
        <v>18415</v>
      </c>
      <c r="N6425" s="405" t="s">
        <v>5607</v>
      </c>
      <c r="O6425" s="405" t="s">
        <v>18613</v>
      </c>
      <c r="P6425" s="405" t="s">
        <v>18614</v>
      </c>
      <c r="Q6425" s="411">
        <v>6</v>
      </c>
      <c r="R6425" s="405" t="s">
        <v>525</v>
      </c>
      <c r="S6425" s="405" t="s">
        <v>27193</v>
      </c>
      <c r="T6425" s="405" t="s">
        <v>32102</v>
      </c>
      <c r="U6425" s="405" t="s">
        <v>319</v>
      </c>
    </row>
    <row r="6426" spans="1:21" x14ac:dyDescent="0.25">
      <c r="A6426" s="405" t="s">
        <v>310</v>
      </c>
      <c r="B6426" s="405" t="s">
        <v>3808</v>
      </c>
      <c r="C6426" s="405" t="s">
        <v>327</v>
      </c>
      <c r="D6426" s="405"/>
      <c r="E6426" s="410">
        <v>41384</v>
      </c>
      <c r="F6426" s="410">
        <v>41429</v>
      </c>
      <c r="G6426" s="405" t="s">
        <v>3809</v>
      </c>
      <c r="H6426" s="405">
        <v>703890986</v>
      </c>
      <c r="I6426" s="405">
        <v>774648864</v>
      </c>
      <c r="J6426" s="405">
        <v>0.466082</v>
      </c>
      <c r="K6426" s="405">
        <v>31.514802</v>
      </c>
      <c r="L6426" s="405" t="s">
        <v>314</v>
      </c>
      <c r="M6426" s="405" t="s">
        <v>445</v>
      </c>
      <c r="N6426" s="405" t="s">
        <v>446</v>
      </c>
      <c r="O6426" s="405" t="s">
        <v>447</v>
      </c>
      <c r="P6426" s="405" t="s">
        <v>2339</v>
      </c>
      <c r="Q6426" s="411">
        <v>6</v>
      </c>
      <c r="R6426" s="405" t="s">
        <v>318</v>
      </c>
      <c r="S6426" s="405" t="s">
        <v>27201</v>
      </c>
      <c r="T6426" s="405" t="s">
        <v>32102</v>
      </c>
      <c r="U6426" s="405" t="s">
        <v>319</v>
      </c>
    </row>
    <row r="6427" spans="1:21" x14ac:dyDescent="0.25">
      <c r="A6427" s="405" t="s">
        <v>310</v>
      </c>
      <c r="B6427" s="405" t="s">
        <v>4385</v>
      </c>
      <c r="C6427" s="405" t="s">
        <v>311</v>
      </c>
      <c r="D6427" s="405" t="s">
        <v>839</v>
      </c>
      <c r="E6427" s="410">
        <v>41384</v>
      </c>
      <c r="F6427" s="410">
        <v>41429</v>
      </c>
      <c r="G6427" s="405" t="s">
        <v>4386</v>
      </c>
      <c r="H6427" s="405">
        <v>782933620</v>
      </c>
      <c r="I6427" s="405">
        <v>755699588</v>
      </c>
      <c r="J6427" s="405">
        <v>-0.32234666666666667</v>
      </c>
      <c r="K6427" s="405">
        <v>31.792118333333331</v>
      </c>
      <c r="L6427" s="405" t="s">
        <v>314</v>
      </c>
      <c r="M6427" s="405" t="s">
        <v>382</v>
      </c>
      <c r="N6427" s="405" t="s">
        <v>941</v>
      </c>
      <c r="O6427" s="405" t="s">
        <v>1076</v>
      </c>
      <c r="P6427" s="405" t="s">
        <v>4387</v>
      </c>
      <c r="Q6427" s="411">
        <v>6</v>
      </c>
      <c r="R6427" s="405" t="s">
        <v>1263</v>
      </c>
      <c r="S6427" s="405" t="s">
        <v>27216</v>
      </c>
      <c r="T6427" s="405" t="s">
        <v>32102</v>
      </c>
      <c r="U6427" s="405" t="s">
        <v>319</v>
      </c>
    </row>
    <row r="6428" spans="1:21" x14ac:dyDescent="0.25">
      <c r="A6428" s="405" t="s">
        <v>310</v>
      </c>
      <c r="B6428" s="405" t="s">
        <v>3787</v>
      </c>
      <c r="C6428" s="405" t="s">
        <v>327</v>
      </c>
      <c r="D6428" s="405"/>
      <c r="E6428" s="410">
        <v>41384</v>
      </c>
      <c r="F6428" s="410">
        <v>41429</v>
      </c>
      <c r="G6428" s="405" t="s">
        <v>3788</v>
      </c>
      <c r="H6428" s="405">
        <v>753851919</v>
      </c>
      <c r="I6428" s="405"/>
      <c r="J6428" s="405">
        <v>-0.48981999999999998</v>
      </c>
      <c r="K6428" s="405">
        <v>31.598980000000001</v>
      </c>
      <c r="L6428" s="405" t="s">
        <v>314</v>
      </c>
      <c r="M6428" s="405" t="s">
        <v>398</v>
      </c>
      <c r="N6428" s="405" t="s">
        <v>399</v>
      </c>
      <c r="O6428" s="405" t="s">
        <v>1469</v>
      </c>
      <c r="P6428" s="405" t="s">
        <v>1469</v>
      </c>
      <c r="Q6428" s="411">
        <v>6</v>
      </c>
      <c r="R6428" s="405" t="s">
        <v>402</v>
      </c>
      <c r="S6428" s="405" t="s">
        <v>27181</v>
      </c>
      <c r="T6428" s="405" t="s">
        <v>32102</v>
      </c>
      <c r="U6428" s="405" t="s">
        <v>319</v>
      </c>
    </row>
    <row r="6429" spans="1:21" x14ac:dyDescent="0.25">
      <c r="A6429" s="405" t="s">
        <v>310</v>
      </c>
      <c r="B6429" s="405" t="s">
        <v>3797</v>
      </c>
      <c r="C6429" s="405" t="s">
        <v>327</v>
      </c>
      <c r="D6429" s="405"/>
      <c r="E6429" s="410">
        <v>41383</v>
      </c>
      <c r="F6429" s="410">
        <v>41428</v>
      </c>
      <c r="G6429" s="405" t="s">
        <v>3798</v>
      </c>
      <c r="H6429" s="405">
        <v>772205136</v>
      </c>
      <c r="I6429" s="405">
        <v>706120100</v>
      </c>
      <c r="J6429" s="405">
        <v>0.21703500000000001</v>
      </c>
      <c r="K6429" s="405">
        <v>31.668903</v>
      </c>
      <c r="L6429" s="405" t="s">
        <v>314</v>
      </c>
      <c r="M6429" s="405" t="s">
        <v>339</v>
      </c>
      <c r="N6429" s="405" t="s">
        <v>339</v>
      </c>
      <c r="O6429" s="405" t="s">
        <v>1662</v>
      </c>
      <c r="P6429" s="405" t="s">
        <v>3799</v>
      </c>
      <c r="Q6429" s="411">
        <v>13</v>
      </c>
      <c r="R6429" s="405" t="s">
        <v>32476</v>
      </c>
      <c r="S6429" s="405" t="s">
        <v>27120</v>
      </c>
      <c r="T6429" s="405" t="s">
        <v>32102</v>
      </c>
      <c r="U6429" s="405" t="s">
        <v>319</v>
      </c>
    </row>
    <row r="6430" spans="1:21" x14ac:dyDescent="0.25">
      <c r="A6430" s="405" t="s">
        <v>310</v>
      </c>
      <c r="B6430" s="405" t="s">
        <v>18607</v>
      </c>
      <c r="C6430" s="405" t="s">
        <v>327</v>
      </c>
      <c r="D6430" s="405"/>
      <c r="E6430" s="410">
        <v>41383</v>
      </c>
      <c r="F6430" s="410">
        <v>41428</v>
      </c>
      <c r="G6430" s="405" t="s">
        <v>18608</v>
      </c>
      <c r="H6430" s="405">
        <v>784354903</v>
      </c>
      <c r="I6430" s="405"/>
      <c r="J6430" s="405">
        <v>2.340824</v>
      </c>
      <c r="K6430" s="405">
        <v>33.018033000000003</v>
      </c>
      <c r="L6430" s="405" t="s">
        <v>860</v>
      </c>
      <c r="M6430" s="405" t="s">
        <v>18376</v>
      </c>
      <c r="N6430" s="405" t="s">
        <v>16319</v>
      </c>
      <c r="O6430" s="405" t="s">
        <v>18377</v>
      </c>
      <c r="P6430" s="405" t="s">
        <v>18437</v>
      </c>
      <c r="Q6430" s="411">
        <v>6</v>
      </c>
      <c r="R6430" s="405" t="s">
        <v>525</v>
      </c>
      <c r="S6430" s="405" t="s">
        <v>27243</v>
      </c>
      <c r="T6430" s="405" t="s">
        <v>32102</v>
      </c>
      <c r="U6430" s="405" t="s">
        <v>319</v>
      </c>
    </row>
    <row r="6431" spans="1:21" x14ac:dyDescent="0.25">
      <c r="A6431" s="405" t="s">
        <v>310</v>
      </c>
      <c r="B6431" s="405" t="s">
        <v>29023</v>
      </c>
      <c r="C6431" s="405" t="s">
        <v>327</v>
      </c>
      <c r="D6431" s="405"/>
      <c r="E6431" s="410">
        <v>41383</v>
      </c>
      <c r="F6431" s="410">
        <v>41428</v>
      </c>
      <c r="G6431" s="405" t="s">
        <v>12305</v>
      </c>
      <c r="H6431" s="405">
        <v>774439988</v>
      </c>
      <c r="I6431" s="405"/>
      <c r="J6431" s="405">
        <v>1.0442819999999999</v>
      </c>
      <c r="K6431" s="405">
        <v>34.185363000000002</v>
      </c>
      <c r="L6431" s="405" t="s">
        <v>6866</v>
      </c>
      <c r="M6431" s="405" t="s">
        <v>9514</v>
      </c>
      <c r="N6431" s="405" t="s">
        <v>9529</v>
      </c>
      <c r="O6431" s="405" t="s">
        <v>12168</v>
      </c>
      <c r="P6431" s="405" t="s">
        <v>12231</v>
      </c>
      <c r="Q6431" s="411">
        <v>4</v>
      </c>
      <c r="R6431" s="405" t="s">
        <v>7224</v>
      </c>
      <c r="S6431" s="405" t="s">
        <v>17062</v>
      </c>
      <c r="T6431" s="405" t="s">
        <v>32102</v>
      </c>
      <c r="U6431" s="405" t="s">
        <v>319</v>
      </c>
    </row>
    <row r="6432" spans="1:21" x14ac:dyDescent="0.25">
      <c r="A6432" s="405" t="s">
        <v>310</v>
      </c>
      <c r="B6432" s="405" t="s">
        <v>12363</v>
      </c>
      <c r="C6432" s="405" t="s">
        <v>327</v>
      </c>
      <c r="D6432" s="405"/>
      <c r="E6432" s="410">
        <v>41382</v>
      </c>
      <c r="F6432" s="410">
        <v>41427</v>
      </c>
      <c r="G6432" s="405" t="s">
        <v>12364</v>
      </c>
      <c r="H6432" s="405">
        <v>774428045</v>
      </c>
      <c r="I6432" s="405"/>
      <c r="J6432" s="405">
        <v>1.4154629999999999</v>
      </c>
      <c r="K6432" s="405">
        <v>34.479512999999997</v>
      </c>
      <c r="L6432" s="405" t="s">
        <v>6866</v>
      </c>
      <c r="M6432" s="405" t="s">
        <v>9685</v>
      </c>
      <c r="N6432" s="405" t="s">
        <v>9686</v>
      </c>
      <c r="O6432" s="405" t="s">
        <v>12361</v>
      </c>
      <c r="P6432" s="405" t="s">
        <v>12365</v>
      </c>
      <c r="Q6432" s="411">
        <v>6</v>
      </c>
      <c r="R6432" s="405" t="s">
        <v>9541</v>
      </c>
      <c r="S6432" s="405" t="s">
        <v>27332</v>
      </c>
      <c r="T6432" s="405" t="s">
        <v>32102</v>
      </c>
      <c r="U6432" s="405" t="s">
        <v>319</v>
      </c>
    </row>
    <row r="6433" spans="1:21" x14ac:dyDescent="0.25">
      <c r="A6433" s="405" t="s">
        <v>310</v>
      </c>
      <c r="B6433" s="405" t="s">
        <v>3789</v>
      </c>
      <c r="C6433" s="405" t="s">
        <v>327</v>
      </c>
      <c r="D6433" s="405"/>
      <c r="E6433" s="410">
        <v>41381</v>
      </c>
      <c r="F6433" s="410">
        <v>41426</v>
      </c>
      <c r="G6433" s="405" t="s">
        <v>3790</v>
      </c>
      <c r="H6433" s="405">
        <v>752471919</v>
      </c>
      <c r="I6433" s="405">
        <v>753471919</v>
      </c>
      <c r="J6433" s="405">
        <v>-0.66151300000000002</v>
      </c>
      <c r="K6433" s="405">
        <v>31.534585</v>
      </c>
      <c r="L6433" s="405" t="s">
        <v>314</v>
      </c>
      <c r="M6433" s="405" t="s">
        <v>398</v>
      </c>
      <c r="N6433" s="405" t="s">
        <v>399</v>
      </c>
      <c r="O6433" s="405" t="s">
        <v>399</v>
      </c>
      <c r="P6433" s="405" t="s">
        <v>3791</v>
      </c>
      <c r="Q6433" s="411">
        <v>9</v>
      </c>
      <c r="R6433" s="405" t="s">
        <v>1263</v>
      </c>
      <c r="S6433" s="405" t="s">
        <v>27202</v>
      </c>
      <c r="T6433" s="405" t="s">
        <v>32102</v>
      </c>
      <c r="U6433" s="405" t="s">
        <v>319</v>
      </c>
    </row>
    <row r="6434" spans="1:21" x14ac:dyDescent="0.25">
      <c r="A6434" s="405" t="s">
        <v>310</v>
      </c>
      <c r="B6434" s="405" t="s">
        <v>12348</v>
      </c>
      <c r="C6434" s="405" t="s">
        <v>327</v>
      </c>
      <c r="D6434" s="405"/>
      <c r="E6434" s="410">
        <v>41381</v>
      </c>
      <c r="F6434" s="410">
        <v>41426</v>
      </c>
      <c r="G6434" s="405" t="s">
        <v>12349</v>
      </c>
      <c r="H6434" s="405">
        <v>703301815</v>
      </c>
      <c r="I6434" s="405"/>
      <c r="J6434" s="405">
        <v>1.1355519999999999</v>
      </c>
      <c r="K6434" s="405">
        <v>33.847352999999998</v>
      </c>
      <c r="L6434" s="405" t="s">
        <v>6866</v>
      </c>
      <c r="M6434" s="405" t="s">
        <v>10152</v>
      </c>
      <c r="N6434" s="405" t="s">
        <v>10153</v>
      </c>
      <c r="O6434" s="405" t="s">
        <v>4432</v>
      </c>
      <c r="P6434" s="405" t="s">
        <v>12350</v>
      </c>
      <c r="Q6434" s="411">
        <v>6</v>
      </c>
      <c r="R6434" s="405" t="s">
        <v>9541</v>
      </c>
      <c r="S6434" s="405" t="s">
        <v>27315</v>
      </c>
      <c r="T6434" s="405" t="s">
        <v>32102</v>
      </c>
      <c r="U6434" s="405" t="s">
        <v>319</v>
      </c>
    </row>
    <row r="6435" spans="1:21" x14ac:dyDescent="0.25">
      <c r="A6435" s="405" t="s">
        <v>310</v>
      </c>
      <c r="B6435" s="405" t="s">
        <v>3888</v>
      </c>
      <c r="C6435" s="405" t="s">
        <v>327</v>
      </c>
      <c r="D6435" s="405"/>
      <c r="E6435" s="410">
        <v>41381</v>
      </c>
      <c r="F6435" s="410">
        <v>41426</v>
      </c>
      <c r="G6435" s="405" t="s">
        <v>3889</v>
      </c>
      <c r="H6435" s="405">
        <v>772453757</v>
      </c>
      <c r="I6435" s="405">
        <v>701470268</v>
      </c>
      <c r="J6435" s="405">
        <v>0.65141800000000005</v>
      </c>
      <c r="K6435" s="405">
        <v>31.371352000000002</v>
      </c>
      <c r="L6435" s="405" t="s">
        <v>314</v>
      </c>
      <c r="M6435" s="405" t="s">
        <v>445</v>
      </c>
      <c r="N6435" s="405" t="s">
        <v>446</v>
      </c>
      <c r="O6435" s="405" t="s">
        <v>2953</v>
      </c>
      <c r="P6435" s="405" t="s">
        <v>1918</v>
      </c>
      <c r="Q6435" s="411">
        <v>6</v>
      </c>
      <c r="R6435" s="405" t="s">
        <v>318</v>
      </c>
      <c r="S6435" s="405" t="s">
        <v>27167</v>
      </c>
      <c r="T6435" s="405" t="s">
        <v>32102</v>
      </c>
      <c r="U6435" s="405" t="s">
        <v>319</v>
      </c>
    </row>
    <row r="6436" spans="1:21" x14ac:dyDescent="0.25">
      <c r="A6436" s="405" t="s">
        <v>310</v>
      </c>
      <c r="B6436" s="405" t="s">
        <v>12351</v>
      </c>
      <c r="C6436" s="405" t="s">
        <v>327</v>
      </c>
      <c r="D6436" s="405"/>
      <c r="E6436" s="410">
        <v>41381</v>
      </c>
      <c r="F6436" s="410">
        <v>41426</v>
      </c>
      <c r="G6436" s="405" t="s">
        <v>12352</v>
      </c>
      <c r="H6436" s="405">
        <v>772566470</v>
      </c>
      <c r="I6436" s="405"/>
      <c r="J6436" s="405">
        <v>1.187862</v>
      </c>
      <c r="K6436" s="405">
        <v>33.623576999999997</v>
      </c>
      <c r="L6436" s="405" t="s">
        <v>6866</v>
      </c>
      <c r="M6436" s="405" t="s">
        <v>9509</v>
      </c>
      <c r="N6436" s="405" t="s">
        <v>9509</v>
      </c>
      <c r="O6436" s="405" t="s">
        <v>9857</v>
      </c>
      <c r="P6436" s="405" t="s">
        <v>12353</v>
      </c>
      <c r="Q6436" s="411">
        <v>4</v>
      </c>
      <c r="R6436" s="405" t="s">
        <v>9541</v>
      </c>
      <c r="S6436" s="405" t="s">
        <v>27315</v>
      </c>
      <c r="T6436" s="405" t="s">
        <v>32102</v>
      </c>
      <c r="U6436" s="405" t="s">
        <v>319</v>
      </c>
    </row>
    <row r="6437" spans="1:21" x14ac:dyDescent="0.25">
      <c r="A6437" s="405" t="s">
        <v>310</v>
      </c>
      <c r="B6437" s="405" t="s">
        <v>20995</v>
      </c>
      <c r="C6437" s="405" t="s">
        <v>327</v>
      </c>
      <c r="D6437" s="405"/>
      <c r="E6437" s="410">
        <v>41380</v>
      </c>
      <c r="F6437" s="410">
        <v>41425</v>
      </c>
      <c r="G6437" s="405" t="s">
        <v>20996</v>
      </c>
      <c r="H6437" s="405">
        <v>782661495</v>
      </c>
      <c r="I6437" s="405">
        <v>783540772</v>
      </c>
      <c r="J6437" s="405">
        <v>-0.62840300000000004</v>
      </c>
      <c r="K6437" s="405">
        <v>30.216408000000001</v>
      </c>
      <c r="L6437" s="405" t="s">
        <v>590</v>
      </c>
      <c r="M6437" s="405" t="s">
        <v>19725</v>
      </c>
      <c r="N6437" s="405" t="s">
        <v>19725</v>
      </c>
      <c r="O6437" s="405" t="s">
        <v>20013</v>
      </c>
      <c r="P6437" s="405" t="s">
        <v>20997</v>
      </c>
      <c r="Q6437" s="411">
        <v>9</v>
      </c>
      <c r="R6437" s="405" t="s">
        <v>883</v>
      </c>
      <c r="S6437" s="405" t="s">
        <v>27096</v>
      </c>
      <c r="T6437" s="405" t="s">
        <v>32102</v>
      </c>
      <c r="U6437" s="405" t="s">
        <v>319</v>
      </c>
    </row>
    <row r="6438" spans="1:21" x14ac:dyDescent="0.25">
      <c r="A6438" s="405" t="s">
        <v>310</v>
      </c>
      <c r="B6438" s="405" t="s">
        <v>28715</v>
      </c>
      <c r="C6438" s="405" t="s">
        <v>327</v>
      </c>
      <c r="D6438" s="405"/>
      <c r="E6438" s="410">
        <v>41380</v>
      </c>
      <c r="F6438" s="410">
        <v>41425</v>
      </c>
      <c r="G6438" s="405" t="s">
        <v>18559</v>
      </c>
      <c r="H6438" s="405">
        <v>783949594</v>
      </c>
      <c r="I6438" s="405"/>
      <c r="J6438" s="405">
        <v>1.923017</v>
      </c>
      <c r="K6438" s="405">
        <v>33.160131999999997</v>
      </c>
      <c r="L6438" s="405" t="s">
        <v>860</v>
      </c>
      <c r="M6438" s="405" t="s">
        <v>12189</v>
      </c>
      <c r="N6438" s="405" t="s">
        <v>18270</v>
      </c>
      <c r="O6438" s="405" t="s">
        <v>18560</v>
      </c>
      <c r="P6438" s="405" t="s">
        <v>18561</v>
      </c>
      <c r="Q6438" s="411">
        <v>6</v>
      </c>
      <c r="R6438" s="405" t="s">
        <v>318</v>
      </c>
      <c r="S6438" s="405" t="s">
        <v>27359</v>
      </c>
      <c r="T6438" s="405" t="s">
        <v>32102</v>
      </c>
      <c r="U6438" s="405" t="s">
        <v>319</v>
      </c>
    </row>
    <row r="6439" spans="1:21" x14ac:dyDescent="0.25">
      <c r="A6439" s="405" t="s">
        <v>310</v>
      </c>
      <c r="B6439" s="405" t="s">
        <v>4190</v>
      </c>
      <c r="C6439" s="405" t="s">
        <v>311</v>
      </c>
      <c r="D6439" s="405" t="s">
        <v>1789</v>
      </c>
      <c r="E6439" s="410">
        <v>41380</v>
      </c>
      <c r="F6439" s="410">
        <v>41425</v>
      </c>
      <c r="G6439" s="405" t="s">
        <v>4191</v>
      </c>
      <c r="H6439" s="405">
        <v>782000519</v>
      </c>
      <c r="I6439" s="405">
        <v>753744367</v>
      </c>
      <c r="J6439" s="405">
        <v>0.30213999999999996</v>
      </c>
      <c r="K6439" s="405">
        <v>32.30022833333333</v>
      </c>
      <c r="L6439" s="405" t="s">
        <v>314</v>
      </c>
      <c r="M6439" s="405" t="s">
        <v>321</v>
      </c>
      <c r="N6439" s="405" t="s">
        <v>322</v>
      </c>
      <c r="O6439" s="405" t="s">
        <v>1017</v>
      </c>
      <c r="P6439" s="405" t="s">
        <v>1017</v>
      </c>
      <c r="Q6439" s="411">
        <v>6</v>
      </c>
      <c r="R6439" s="405" t="s">
        <v>318</v>
      </c>
      <c r="S6439" s="405" t="s">
        <v>27135</v>
      </c>
      <c r="T6439" s="405" t="s">
        <v>32102</v>
      </c>
      <c r="U6439" s="405" t="s">
        <v>319</v>
      </c>
    </row>
    <row r="6440" spans="1:21" x14ac:dyDescent="0.25">
      <c r="A6440" s="405" t="s">
        <v>310</v>
      </c>
      <c r="B6440" s="405" t="s">
        <v>3614</v>
      </c>
      <c r="C6440" s="405" t="s">
        <v>327</v>
      </c>
      <c r="D6440" s="405"/>
      <c r="E6440" s="410">
        <v>41380</v>
      </c>
      <c r="F6440" s="410">
        <v>41425</v>
      </c>
      <c r="G6440" s="405" t="s">
        <v>3615</v>
      </c>
      <c r="H6440" s="405">
        <v>701489834</v>
      </c>
      <c r="I6440" s="405">
        <v>702523655</v>
      </c>
      <c r="J6440" s="405">
        <v>-0.329793</v>
      </c>
      <c r="K6440" s="405">
        <v>31.652598000000001</v>
      </c>
      <c r="L6440" s="405" t="s">
        <v>314</v>
      </c>
      <c r="M6440" s="405" t="s">
        <v>1189</v>
      </c>
      <c r="N6440" s="405" t="s">
        <v>941</v>
      </c>
      <c r="O6440" s="405" t="s">
        <v>1190</v>
      </c>
      <c r="P6440" s="405" t="s">
        <v>3616</v>
      </c>
      <c r="Q6440" s="411">
        <v>6</v>
      </c>
      <c r="R6440" s="405" t="s">
        <v>402</v>
      </c>
      <c r="S6440" s="405" t="s">
        <v>27164</v>
      </c>
      <c r="T6440" s="405" t="s">
        <v>32102</v>
      </c>
      <c r="U6440" s="405" t="s">
        <v>319</v>
      </c>
    </row>
    <row r="6441" spans="1:21" x14ac:dyDescent="0.25">
      <c r="A6441" s="405" t="s">
        <v>310</v>
      </c>
      <c r="B6441" s="405" t="s">
        <v>12232</v>
      </c>
      <c r="C6441" s="405" t="s">
        <v>327</v>
      </c>
      <c r="D6441" s="405"/>
      <c r="E6441" s="410">
        <v>41380</v>
      </c>
      <c r="F6441" s="410">
        <v>41425</v>
      </c>
      <c r="G6441" s="405" t="s">
        <v>12233</v>
      </c>
      <c r="H6441" s="405">
        <v>779062025</v>
      </c>
      <c r="I6441" s="405">
        <v>755201513</v>
      </c>
      <c r="J6441" s="405">
        <v>0.83230400000000004</v>
      </c>
      <c r="K6441" s="405">
        <v>33.887199000000003</v>
      </c>
      <c r="L6441" s="405" t="s">
        <v>6866</v>
      </c>
      <c r="M6441" s="405" t="s">
        <v>9566</v>
      </c>
      <c r="N6441" s="405" t="s">
        <v>9787</v>
      </c>
      <c r="O6441" s="405" t="s">
        <v>11667</v>
      </c>
      <c r="P6441" s="405" t="s">
        <v>12234</v>
      </c>
      <c r="Q6441" s="411">
        <v>4</v>
      </c>
      <c r="R6441" s="405" t="s">
        <v>7224</v>
      </c>
      <c r="S6441" s="405" t="s">
        <v>27298</v>
      </c>
      <c r="T6441" s="405" t="s">
        <v>32102</v>
      </c>
      <c r="U6441" s="405" t="s">
        <v>319</v>
      </c>
    </row>
    <row r="6442" spans="1:21" x14ac:dyDescent="0.25">
      <c r="A6442" s="405" t="s">
        <v>310</v>
      </c>
      <c r="B6442" s="405" t="s">
        <v>3648</v>
      </c>
      <c r="C6442" s="405" t="s">
        <v>327</v>
      </c>
      <c r="D6442" s="405"/>
      <c r="E6442" s="410">
        <v>41380</v>
      </c>
      <c r="F6442" s="410">
        <v>41425</v>
      </c>
      <c r="G6442" s="405" t="s">
        <v>3649</v>
      </c>
      <c r="H6442" s="405">
        <v>772508238</v>
      </c>
      <c r="I6442" s="405"/>
      <c r="J6442" s="405">
        <v>0.3638902</v>
      </c>
      <c r="K6442" s="405">
        <v>32.574214300000001</v>
      </c>
      <c r="L6442" s="405" t="s">
        <v>314</v>
      </c>
      <c r="M6442" s="405" t="s">
        <v>992</v>
      </c>
      <c r="N6442" s="405" t="s">
        <v>3650</v>
      </c>
      <c r="O6442" s="405" t="s">
        <v>3650</v>
      </c>
      <c r="P6442" s="405" t="s">
        <v>3651</v>
      </c>
      <c r="Q6442" s="411">
        <v>4</v>
      </c>
      <c r="R6442" s="405" t="s">
        <v>353</v>
      </c>
      <c r="S6442" s="405" t="s">
        <v>27110</v>
      </c>
      <c r="T6442" s="405" t="s">
        <v>32102</v>
      </c>
      <c r="U6442" s="405" t="s">
        <v>319</v>
      </c>
    </row>
    <row r="6443" spans="1:21" x14ac:dyDescent="0.25">
      <c r="A6443" s="405" t="s">
        <v>310</v>
      </c>
      <c r="B6443" s="405" t="s">
        <v>12655</v>
      </c>
      <c r="C6443" s="405" t="s">
        <v>311</v>
      </c>
      <c r="D6443" s="405" t="s">
        <v>1789</v>
      </c>
      <c r="E6443" s="410">
        <v>41380</v>
      </c>
      <c r="F6443" s="410">
        <v>41425</v>
      </c>
      <c r="G6443" s="405" t="s">
        <v>12656</v>
      </c>
      <c r="H6443" s="405">
        <v>784158050</v>
      </c>
      <c r="I6443" s="405">
        <v>782699687</v>
      </c>
      <c r="J6443" s="405">
        <v>1.659632</v>
      </c>
      <c r="K6443" s="405">
        <v>33.840879999999999</v>
      </c>
      <c r="L6443" s="405" t="s">
        <v>6866</v>
      </c>
      <c r="M6443" s="405" t="s">
        <v>10012</v>
      </c>
      <c r="N6443" s="405" t="s">
        <v>10012</v>
      </c>
      <c r="O6443" s="405" t="s">
        <v>10267</v>
      </c>
      <c r="P6443" s="405" t="s">
        <v>12437</v>
      </c>
      <c r="Q6443" s="411">
        <v>4</v>
      </c>
      <c r="R6443" s="405" t="s">
        <v>7224</v>
      </c>
      <c r="S6443" s="405" t="s">
        <v>27298</v>
      </c>
      <c r="T6443" s="405" t="s">
        <v>32102</v>
      </c>
      <c r="U6443" s="405" t="s">
        <v>319</v>
      </c>
    </row>
    <row r="6444" spans="1:21" x14ac:dyDescent="0.25">
      <c r="A6444" s="405" t="s">
        <v>310</v>
      </c>
      <c r="B6444" s="405" t="s">
        <v>12707</v>
      </c>
      <c r="C6444" s="405" t="s">
        <v>857</v>
      </c>
      <c r="D6444" s="405" t="s">
        <v>33263</v>
      </c>
      <c r="E6444" s="410">
        <v>41380</v>
      </c>
      <c r="F6444" s="410">
        <v>41425</v>
      </c>
      <c r="G6444" s="405" t="s">
        <v>12708</v>
      </c>
      <c r="H6444" s="405">
        <v>772555361</v>
      </c>
      <c r="I6444" s="405">
        <v>787809880</v>
      </c>
      <c r="J6444" s="405">
        <v>0.925068</v>
      </c>
      <c r="K6444" s="405">
        <v>34.361524000000003</v>
      </c>
      <c r="L6444" s="405" t="s">
        <v>6866</v>
      </c>
      <c r="M6444" s="405" t="s">
        <v>9763</v>
      </c>
      <c r="N6444" s="405" t="s">
        <v>9848</v>
      </c>
      <c r="O6444" s="405" t="s">
        <v>11406</v>
      </c>
      <c r="P6444" s="405" t="s">
        <v>12709</v>
      </c>
      <c r="Q6444" s="411">
        <v>4</v>
      </c>
      <c r="R6444" s="405" t="s">
        <v>7224</v>
      </c>
      <c r="S6444" s="405" t="s">
        <v>17062</v>
      </c>
      <c r="T6444" s="405" t="s">
        <v>32102</v>
      </c>
      <c r="U6444" s="405" t="s">
        <v>319</v>
      </c>
    </row>
    <row r="6445" spans="1:21" x14ac:dyDescent="0.25">
      <c r="A6445" s="405" t="s">
        <v>310</v>
      </c>
      <c r="B6445" s="405" t="s">
        <v>21246</v>
      </c>
      <c r="C6445" s="405" t="s">
        <v>857</v>
      </c>
      <c r="D6445" s="405" t="s">
        <v>1037</v>
      </c>
      <c r="E6445" s="410">
        <v>41379</v>
      </c>
      <c r="F6445" s="410">
        <v>41424</v>
      </c>
      <c r="G6445" s="405" t="s">
        <v>21247</v>
      </c>
      <c r="H6445" s="405">
        <v>753328840</v>
      </c>
      <c r="I6445" s="405">
        <v>779631066</v>
      </c>
      <c r="J6445" s="405">
        <v>3.9292000000000001E-2</v>
      </c>
      <c r="K6445" s="405">
        <v>30.502545999999999</v>
      </c>
      <c r="L6445" s="405" t="s">
        <v>590</v>
      </c>
      <c r="M6445" s="405" t="s">
        <v>870</v>
      </c>
      <c r="N6445" s="405" t="s">
        <v>871</v>
      </c>
      <c r="O6445" s="405" t="s">
        <v>21017</v>
      </c>
      <c r="P6445" s="405" t="s">
        <v>21248</v>
      </c>
      <c r="Q6445" s="411">
        <v>9</v>
      </c>
      <c r="R6445" s="405" t="s">
        <v>874</v>
      </c>
      <c r="S6445" s="405" t="s">
        <v>27063</v>
      </c>
      <c r="T6445" s="405" t="s">
        <v>32102</v>
      </c>
      <c r="U6445" s="405" t="s">
        <v>319</v>
      </c>
    </row>
    <row r="6446" spans="1:21" x14ac:dyDescent="0.25">
      <c r="A6446" s="405" t="s">
        <v>310</v>
      </c>
      <c r="B6446" s="405" t="s">
        <v>21020</v>
      </c>
      <c r="C6446" s="405" t="s">
        <v>327</v>
      </c>
      <c r="D6446" s="405"/>
      <c r="E6446" s="410">
        <v>41379</v>
      </c>
      <c r="F6446" s="410">
        <v>41424</v>
      </c>
      <c r="G6446" s="405" t="s">
        <v>21021</v>
      </c>
      <c r="H6446" s="405">
        <v>783245582</v>
      </c>
      <c r="I6446" s="405"/>
      <c r="J6446" s="405">
        <v>-1.0815E-2</v>
      </c>
      <c r="K6446" s="405">
        <v>30.576737000000001</v>
      </c>
      <c r="L6446" s="405" t="s">
        <v>590</v>
      </c>
      <c r="M6446" s="405" t="s">
        <v>870</v>
      </c>
      <c r="N6446" s="405" t="s">
        <v>871</v>
      </c>
      <c r="O6446" s="405" t="s">
        <v>21022</v>
      </c>
      <c r="P6446" s="405" t="s">
        <v>21023</v>
      </c>
      <c r="Q6446" s="411">
        <v>6</v>
      </c>
      <c r="R6446" s="405" t="s">
        <v>874</v>
      </c>
      <c r="S6446" s="405" t="s">
        <v>27063</v>
      </c>
      <c r="T6446" s="405" t="s">
        <v>32102</v>
      </c>
      <c r="U6446" s="405" t="s">
        <v>319</v>
      </c>
    </row>
    <row r="6447" spans="1:21" x14ac:dyDescent="0.25">
      <c r="A6447" s="405" t="s">
        <v>310</v>
      </c>
      <c r="B6447" s="405" t="s">
        <v>21015</v>
      </c>
      <c r="C6447" s="405" t="s">
        <v>327</v>
      </c>
      <c r="D6447" s="405"/>
      <c r="E6447" s="410">
        <v>41379</v>
      </c>
      <c r="F6447" s="410">
        <v>41424</v>
      </c>
      <c r="G6447" s="405" t="s">
        <v>21016</v>
      </c>
      <c r="H6447" s="405">
        <v>754425507</v>
      </c>
      <c r="I6447" s="405"/>
      <c r="J6447" s="405">
        <v>4.2368999999999997E-2</v>
      </c>
      <c r="K6447" s="405">
        <v>30.508341999999999</v>
      </c>
      <c r="L6447" s="405" t="s">
        <v>590</v>
      </c>
      <c r="M6447" s="405" t="s">
        <v>870</v>
      </c>
      <c r="N6447" s="405" t="s">
        <v>871</v>
      </c>
      <c r="O6447" s="405" t="s">
        <v>21017</v>
      </c>
      <c r="P6447" s="405" t="s">
        <v>20951</v>
      </c>
      <c r="Q6447" s="411">
        <v>6</v>
      </c>
      <c r="R6447" s="405" t="s">
        <v>874</v>
      </c>
      <c r="S6447" s="405" t="s">
        <v>27164</v>
      </c>
      <c r="T6447" s="405" t="s">
        <v>32102</v>
      </c>
      <c r="U6447" s="405" t="s">
        <v>319</v>
      </c>
    </row>
    <row r="6448" spans="1:21" x14ac:dyDescent="0.25">
      <c r="A6448" s="405" t="s">
        <v>310</v>
      </c>
      <c r="B6448" s="405" t="s">
        <v>12243</v>
      </c>
      <c r="C6448" s="405" t="s">
        <v>327</v>
      </c>
      <c r="D6448" s="405"/>
      <c r="E6448" s="410">
        <v>41379</v>
      </c>
      <c r="F6448" s="410">
        <v>41424</v>
      </c>
      <c r="G6448" s="405" t="s">
        <v>12244</v>
      </c>
      <c r="H6448" s="405">
        <v>772947637</v>
      </c>
      <c r="I6448" s="405">
        <v>702947637</v>
      </c>
      <c r="J6448" s="405">
        <v>1.490043</v>
      </c>
      <c r="K6448" s="405">
        <v>33.989339999999999</v>
      </c>
      <c r="L6448" s="405" t="s">
        <v>6866</v>
      </c>
      <c r="M6448" s="405" t="s">
        <v>10029</v>
      </c>
      <c r="N6448" s="405" t="s">
        <v>10029</v>
      </c>
      <c r="O6448" s="405" t="s">
        <v>10435</v>
      </c>
      <c r="P6448" s="405" t="s">
        <v>12245</v>
      </c>
      <c r="Q6448" s="411">
        <v>6</v>
      </c>
      <c r="R6448" s="405" t="s">
        <v>9541</v>
      </c>
      <c r="S6448" s="405" t="s">
        <v>27297</v>
      </c>
      <c r="T6448" s="405" t="s">
        <v>32102</v>
      </c>
      <c r="U6448" s="405" t="s">
        <v>319</v>
      </c>
    </row>
    <row r="6449" spans="1:21" x14ac:dyDescent="0.25">
      <c r="A6449" s="405" t="s">
        <v>310</v>
      </c>
      <c r="B6449" s="405" t="s">
        <v>12249</v>
      </c>
      <c r="C6449" s="405" t="s">
        <v>327</v>
      </c>
      <c r="D6449" s="405"/>
      <c r="E6449" s="410">
        <v>41379</v>
      </c>
      <c r="F6449" s="410">
        <v>41424</v>
      </c>
      <c r="G6449" s="405" t="s">
        <v>12250</v>
      </c>
      <c r="H6449" s="405">
        <v>772606757</v>
      </c>
      <c r="I6449" s="405"/>
      <c r="J6449" s="405">
        <v>1.466958</v>
      </c>
      <c r="K6449" s="405">
        <v>33.817602999999998</v>
      </c>
      <c r="L6449" s="405" t="s">
        <v>6866</v>
      </c>
      <c r="M6449" s="405" t="s">
        <v>10012</v>
      </c>
      <c r="N6449" s="405" t="s">
        <v>10012</v>
      </c>
      <c r="O6449" s="405" t="s">
        <v>10012</v>
      </c>
      <c r="P6449" s="405" t="s">
        <v>12205</v>
      </c>
      <c r="Q6449" s="411">
        <v>6</v>
      </c>
      <c r="R6449" s="405" t="s">
        <v>9541</v>
      </c>
      <c r="S6449" s="405" t="s">
        <v>27294</v>
      </c>
      <c r="T6449" s="405" t="s">
        <v>32102</v>
      </c>
      <c r="U6449" s="405" t="s">
        <v>319</v>
      </c>
    </row>
    <row r="6450" spans="1:21" x14ac:dyDescent="0.25">
      <c r="A6450" s="405" t="s">
        <v>310</v>
      </c>
      <c r="B6450" s="405" t="s">
        <v>21048</v>
      </c>
      <c r="C6450" s="405" t="s">
        <v>327</v>
      </c>
      <c r="D6450" s="405"/>
      <c r="E6450" s="410">
        <v>41378</v>
      </c>
      <c r="F6450" s="410">
        <v>41423</v>
      </c>
      <c r="G6450" s="405" t="s">
        <v>21049</v>
      </c>
      <c r="H6450" s="405">
        <v>782501266</v>
      </c>
      <c r="I6450" s="405"/>
      <c r="J6450" s="405">
        <v>-0.78445600000000004</v>
      </c>
      <c r="K6450" s="405">
        <v>29.933630000000001</v>
      </c>
      <c r="L6450" s="405" t="s">
        <v>590</v>
      </c>
      <c r="M6450" s="405" t="s">
        <v>19619</v>
      </c>
      <c r="N6450" s="405" t="s">
        <v>19765</v>
      </c>
      <c r="O6450" s="405" t="s">
        <v>6748</v>
      </c>
      <c r="P6450" s="405" t="s">
        <v>21050</v>
      </c>
      <c r="Q6450" s="411">
        <v>9</v>
      </c>
      <c r="R6450" s="405" t="s">
        <v>883</v>
      </c>
      <c r="S6450" s="405" t="s">
        <v>27414</v>
      </c>
      <c r="T6450" s="405" t="s">
        <v>32102</v>
      </c>
      <c r="U6450" s="405" t="s">
        <v>319</v>
      </c>
    </row>
    <row r="6451" spans="1:21" x14ac:dyDescent="0.25">
      <c r="A6451" s="405" t="s">
        <v>310</v>
      </c>
      <c r="B6451" s="405" t="s">
        <v>3598</v>
      </c>
      <c r="C6451" s="405" t="s">
        <v>327</v>
      </c>
      <c r="D6451" s="405"/>
      <c r="E6451" s="410">
        <v>41378</v>
      </c>
      <c r="F6451" s="410">
        <v>41423</v>
      </c>
      <c r="G6451" s="405" t="s">
        <v>3599</v>
      </c>
      <c r="H6451" s="405">
        <v>752648477</v>
      </c>
      <c r="I6451" s="405"/>
      <c r="J6451" s="405">
        <v>0.49448700000000001</v>
      </c>
      <c r="K6451" s="405">
        <v>31.599734999999999</v>
      </c>
      <c r="L6451" s="405" t="s">
        <v>314</v>
      </c>
      <c r="M6451" s="405" t="s">
        <v>445</v>
      </c>
      <c r="N6451" s="405" t="s">
        <v>446</v>
      </c>
      <c r="O6451" s="405" t="s">
        <v>447</v>
      </c>
      <c r="P6451" s="405" t="s">
        <v>3600</v>
      </c>
      <c r="Q6451" s="411">
        <v>6</v>
      </c>
      <c r="R6451" s="405" t="s">
        <v>318</v>
      </c>
      <c r="S6451" s="405" t="s">
        <v>27201</v>
      </c>
      <c r="T6451" s="405" t="s">
        <v>32102</v>
      </c>
      <c r="U6451" s="405" t="s">
        <v>319</v>
      </c>
    </row>
    <row r="6452" spans="1:21" x14ac:dyDescent="0.25">
      <c r="A6452" s="405" t="s">
        <v>310</v>
      </c>
      <c r="B6452" s="405" t="s">
        <v>3686</v>
      </c>
      <c r="C6452" s="405" t="s">
        <v>327</v>
      </c>
      <c r="D6452" s="405"/>
      <c r="E6452" s="410">
        <v>41378</v>
      </c>
      <c r="F6452" s="410">
        <v>41423</v>
      </c>
      <c r="G6452" s="405" t="s">
        <v>3687</v>
      </c>
      <c r="H6452" s="405">
        <v>752770964</v>
      </c>
      <c r="I6452" s="405"/>
      <c r="J6452" s="405">
        <v>0.55850299999999997</v>
      </c>
      <c r="K6452" s="405">
        <v>31.820097000000001</v>
      </c>
      <c r="L6452" s="405" t="s">
        <v>314</v>
      </c>
      <c r="M6452" s="405" t="s">
        <v>445</v>
      </c>
      <c r="N6452" s="405" t="s">
        <v>699</v>
      </c>
      <c r="O6452" s="405" t="s">
        <v>571</v>
      </c>
      <c r="P6452" s="405" t="s">
        <v>3688</v>
      </c>
      <c r="Q6452" s="411">
        <v>6</v>
      </c>
      <c r="R6452" s="405" t="s">
        <v>318</v>
      </c>
      <c r="S6452" s="405" t="s">
        <v>27174</v>
      </c>
      <c r="T6452" s="405" t="s">
        <v>32102</v>
      </c>
      <c r="U6452" s="405" t="s">
        <v>319</v>
      </c>
    </row>
    <row r="6453" spans="1:21" x14ac:dyDescent="0.25">
      <c r="A6453" s="405" t="s">
        <v>310</v>
      </c>
      <c r="B6453" s="405" t="s">
        <v>28422</v>
      </c>
      <c r="C6453" s="405" t="s">
        <v>327</v>
      </c>
      <c r="D6453" s="405"/>
      <c r="E6453" s="410">
        <v>41378</v>
      </c>
      <c r="F6453" s="410">
        <v>41423</v>
      </c>
      <c r="G6453" s="405" t="s">
        <v>12219</v>
      </c>
      <c r="H6453" s="405">
        <v>772666982</v>
      </c>
      <c r="I6453" s="405"/>
      <c r="J6453" s="405">
        <v>1.0443929999999999</v>
      </c>
      <c r="K6453" s="405">
        <v>34.185312000000003</v>
      </c>
      <c r="L6453" s="405" t="s">
        <v>6866</v>
      </c>
      <c r="M6453" s="405" t="s">
        <v>9514</v>
      </c>
      <c r="N6453" s="405" t="s">
        <v>9529</v>
      </c>
      <c r="O6453" s="405" t="s">
        <v>12168</v>
      </c>
      <c r="P6453" s="405" t="s">
        <v>12220</v>
      </c>
      <c r="Q6453" s="411">
        <v>4</v>
      </c>
      <c r="R6453" s="405" t="s">
        <v>7224</v>
      </c>
      <c r="S6453" s="405" t="s">
        <v>17062</v>
      </c>
      <c r="T6453" s="405" t="s">
        <v>32102</v>
      </c>
      <c r="U6453" s="405" t="s">
        <v>319</v>
      </c>
    </row>
    <row r="6454" spans="1:21" x14ac:dyDescent="0.25">
      <c r="A6454" s="405" t="s">
        <v>310</v>
      </c>
      <c r="B6454" s="405" t="s">
        <v>3728</v>
      </c>
      <c r="C6454" s="405" t="s">
        <v>327</v>
      </c>
      <c r="D6454" s="405"/>
      <c r="E6454" s="410">
        <v>41378</v>
      </c>
      <c r="F6454" s="410">
        <v>41423</v>
      </c>
      <c r="G6454" s="405" t="s">
        <v>3729</v>
      </c>
      <c r="H6454" s="405">
        <v>773520380</v>
      </c>
      <c r="I6454" s="405"/>
      <c r="J6454" s="405">
        <v>-0.29356300000000002</v>
      </c>
      <c r="K6454" s="405">
        <v>32.145102999999999</v>
      </c>
      <c r="L6454" s="405" t="s">
        <v>314</v>
      </c>
      <c r="M6454" s="405" t="s">
        <v>694</v>
      </c>
      <c r="N6454" s="405" t="s">
        <v>3730</v>
      </c>
      <c r="O6454" s="405" t="s">
        <v>3730</v>
      </c>
      <c r="P6454" s="405" t="s">
        <v>3731</v>
      </c>
      <c r="Q6454" s="411">
        <v>4</v>
      </c>
      <c r="R6454" s="405" t="s">
        <v>1263</v>
      </c>
      <c r="S6454" s="405" t="s">
        <v>27210</v>
      </c>
      <c r="T6454" s="405" t="s">
        <v>32102</v>
      </c>
      <c r="U6454" s="405" t="s">
        <v>319</v>
      </c>
    </row>
    <row r="6455" spans="1:21" x14ac:dyDescent="0.25">
      <c r="A6455" s="405" t="s">
        <v>310</v>
      </c>
      <c r="B6455" s="405" t="s">
        <v>12267</v>
      </c>
      <c r="C6455" s="405" t="s">
        <v>327</v>
      </c>
      <c r="D6455" s="405"/>
      <c r="E6455" s="410">
        <v>41378</v>
      </c>
      <c r="F6455" s="410">
        <v>41423</v>
      </c>
      <c r="G6455" s="405" t="s">
        <v>12268</v>
      </c>
      <c r="H6455" s="405">
        <v>757207279</v>
      </c>
      <c r="I6455" s="405"/>
      <c r="J6455" s="405">
        <v>1.1059479999999999</v>
      </c>
      <c r="K6455" s="405">
        <v>33.831601999999997</v>
      </c>
      <c r="L6455" s="405" t="s">
        <v>6866</v>
      </c>
      <c r="M6455" s="405" t="s">
        <v>10152</v>
      </c>
      <c r="N6455" s="405" t="s">
        <v>10153</v>
      </c>
      <c r="O6455" s="405" t="s">
        <v>4432</v>
      </c>
      <c r="P6455" s="405" t="s">
        <v>12269</v>
      </c>
      <c r="Q6455" s="411">
        <v>4</v>
      </c>
      <c r="R6455" s="405" t="s">
        <v>9506</v>
      </c>
      <c r="S6455" s="405" t="s">
        <v>27294</v>
      </c>
      <c r="T6455" s="405" t="s">
        <v>32102</v>
      </c>
      <c r="U6455" s="405" t="s">
        <v>319</v>
      </c>
    </row>
    <row r="6456" spans="1:21" x14ac:dyDescent="0.25">
      <c r="A6456" s="405" t="s">
        <v>310</v>
      </c>
      <c r="B6456" s="405" t="s">
        <v>28084</v>
      </c>
      <c r="C6456" s="405" t="s">
        <v>327</v>
      </c>
      <c r="D6456" s="405"/>
      <c r="E6456" s="410">
        <v>41377</v>
      </c>
      <c r="F6456" s="410">
        <v>41422</v>
      </c>
      <c r="G6456" s="405" t="s">
        <v>3681</v>
      </c>
      <c r="H6456" s="405">
        <v>782450810</v>
      </c>
      <c r="I6456" s="405"/>
      <c r="J6456" s="405">
        <v>0.26487500000000003</v>
      </c>
      <c r="K6456" s="405">
        <v>32.394125000000003</v>
      </c>
      <c r="L6456" s="405" t="s">
        <v>314</v>
      </c>
      <c r="M6456" s="405" t="s">
        <v>321</v>
      </c>
      <c r="N6456" s="405" t="s">
        <v>322</v>
      </c>
      <c r="O6456" s="405" t="s">
        <v>519</v>
      </c>
      <c r="P6456" s="405" t="s">
        <v>3682</v>
      </c>
      <c r="Q6456" s="411">
        <v>13</v>
      </c>
      <c r="R6456" s="405" t="s">
        <v>32476</v>
      </c>
      <c r="S6456" s="405" t="s">
        <v>27210</v>
      </c>
      <c r="T6456" s="405" t="s">
        <v>32102</v>
      </c>
      <c r="U6456" s="405" t="s">
        <v>319</v>
      </c>
    </row>
    <row r="6457" spans="1:21" x14ac:dyDescent="0.25">
      <c r="A6457" s="405" t="s">
        <v>310</v>
      </c>
      <c r="B6457" s="405" t="s">
        <v>21011</v>
      </c>
      <c r="C6457" s="405" t="s">
        <v>327</v>
      </c>
      <c r="D6457" s="405"/>
      <c r="E6457" s="410">
        <v>41377</v>
      </c>
      <c r="F6457" s="410">
        <v>41422</v>
      </c>
      <c r="G6457" s="405" t="s">
        <v>21012</v>
      </c>
      <c r="H6457" s="405">
        <v>772690838</v>
      </c>
      <c r="I6457" s="405"/>
      <c r="J6457" s="405">
        <v>-0.12048499999999999</v>
      </c>
      <c r="K6457" s="405">
        <v>30.547830999999999</v>
      </c>
      <c r="L6457" s="405" t="s">
        <v>590</v>
      </c>
      <c r="M6457" s="405" t="s">
        <v>870</v>
      </c>
      <c r="N6457" s="405" t="s">
        <v>20382</v>
      </c>
      <c r="O6457" s="405" t="s">
        <v>21013</v>
      </c>
      <c r="P6457" s="405" t="s">
        <v>21014</v>
      </c>
      <c r="Q6457" s="411">
        <v>13</v>
      </c>
      <c r="R6457" s="405" t="s">
        <v>874</v>
      </c>
      <c r="S6457" s="405" t="s">
        <v>27063</v>
      </c>
      <c r="T6457" s="405" t="s">
        <v>32102</v>
      </c>
      <c r="U6457" s="405" t="s">
        <v>319</v>
      </c>
    </row>
    <row r="6458" spans="1:21" x14ac:dyDescent="0.25">
      <c r="A6458" s="405" t="s">
        <v>310</v>
      </c>
      <c r="B6458" s="405" t="s">
        <v>21008</v>
      </c>
      <c r="C6458" s="405" t="s">
        <v>327</v>
      </c>
      <c r="D6458" s="405"/>
      <c r="E6458" s="410">
        <v>41377</v>
      </c>
      <c r="F6458" s="410">
        <v>41422</v>
      </c>
      <c r="G6458" s="405" t="s">
        <v>21009</v>
      </c>
      <c r="H6458" s="405">
        <v>702210047</v>
      </c>
      <c r="I6458" s="405"/>
      <c r="J6458" s="405">
        <v>-0.12657599999999999</v>
      </c>
      <c r="K6458" s="405">
        <v>30.685344000000001</v>
      </c>
      <c r="L6458" s="405" t="s">
        <v>590</v>
      </c>
      <c r="M6458" s="405" t="s">
        <v>19705</v>
      </c>
      <c r="N6458" s="405" t="s">
        <v>2250</v>
      </c>
      <c r="O6458" s="405" t="s">
        <v>2250</v>
      </c>
      <c r="P6458" s="405" t="s">
        <v>21010</v>
      </c>
      <c r="Q6458" s="411">
        <v>13</v>
      </c>
      <c r="R6458" s="405" t="s">
        <v>874</v>
      </c>
      <c r="S6458" s="405" t="s">
        <v>27063</v>
      </c>
      <c r="T6458" s="405" t="s">
        <v>32102</v>
      </c>
      <c r="U6458" s="405" t="s">
        <v>319</v>
      </c>
    </row>
    <row r="6459" spans="1:21" x14ac:dyDescent="0.25">
      <c r="A6459" s="405" t="s">
        <v>310</v>
      </c>
      <c r="B6459" s="405" t="s">
        <v>21233</v>
      </c>
      <c r="C6459" s="405" t="s">
        <v>857</v>
      </c>
      <c r="D6459" s="405" t="s">
        <v>921</v>
      </c>
      <c r="E6459" s="410">
        <v>41377</v>
      </c>
      <c r="F6459" s="410">
        <v>41422</v>
      </c>
      <c r="G6459" s="405" t="s">
        <v>21234</v>
      </c>
      <c r="H6459" s="405">
        <v>779614264</v>
      </c>
      <c r="I6459" s="405"/>
      <c r="J6459" s="405">
        <v>-0.132081</v>
      </c>
      <c r="K6459" s="405">
        <v>30.692936</v>
      </c>
      <c r="L6459" s="405" t="s">
        <v>590</v>
      </c>
      <c r="M6459" s="405" t="s">
        <v>19705</v>
      </c>
      <c r="N6459" s="405" t="s">
        <v>2250</v>
      </c>
      <c r="O6459" s="405" t="s">
        <v>2250</v>
      </c>
      <c r="P6459" s="405" t="s">
        <v>21235</v>
      </c>
      <c r="Q6459" s="411">
        <v>9</v>
      </c>
      <c r="R6459" s="405" t="s">
        <v>874</v>
      </c>
      <c r="S6459" s="405" t="s">
        <v>27205</v>
      </c>
      <c r="T6459" s="405" t="s">
        <v>32102</v>
      </c>
      <c r="U6459" s="405" t="s">
        <v>319</v>
      </c>
    </row>
    <row r="6460" spans="1:21" x14ac:dyDescent="0.25">
      <c r="A6460" s="405" t="s">
        <v>310</v>
      </c>
      <c r="B6460" s="405" t="s">
        <v>27968</v>
      </c>
      <c r="C6460" s="405" t="s">
        <v>311</v>
      </c>
      <c r="D6460" s="405" t="s">
        <v>1789</v>
      </c>
      <c r="E6460" s="410">
        <v>41377</v>
      </c>
      <c r="F6460" s="410">
        <v>41422</v>
      </c>
      <c r="G6460" s="405" t="s">
        <v>4104</v>
      </c>
      <c r="H6460" s="405">
        <v>773939312</v>
      </c>
      <c r="I6460" s="405"/>
      <c r="J6460" s="405">
        <v>0.22182499999999999</v>
      </c>
      <c r="K6460" s="405">
        <v>32.072591000000003</v>
      </c>
      <c r="L6460" s="405" t="s">
        <v>314</v>
      </c>
      <c r="M6460" s="405" t="s">
        <v>339</v>
      </c>
      <c r="N6460" s="405" t="s">
        <v>339</v>
      </c>
      <c r="O6460" s="405" t="s">
        <v>2272</v>
      </c>
      <c r="P6460" s="405" t="s">
        <v>3470</v>
      </c>
      <c r="Q6460" s="411">
        <v>6</v>
      </c>
      <c r="R6460" s="405" t="s">
        <v>1263</v>
      </c>
      <c r="S6460" s="405" t="s">
        <v>27206</v>
      </c>
      <c r="T6460" s="405" t="s">
        <v>32102</v>
      </c>
      <c r="U6460" s="405" t="s">
        <v>319</v>
      </c>
    </row>
    <row r="6461" spans="1:21" x14ac:dyDescent="0.25">
      <c r="A6461" s="405" t="s">
        <v>310</v>
      </c>
      <c r="B6461" s="405" t="s">
        <v>3692</v>
      </c>
      <c r="C6461" s="405" t="s">
        <v>327</v>
      </c>
      <c r="D6461" s="405"/>
      <c r="E6461" s="410">
        <v>41377</v>
      </c>
      <c r="F6461" s="410">
        <v>41422</v>
      </c>
      <c r="G6461" s="405" t="s">
        <v>3693</v>
      </c>
      <c r="H6461" s="405">
        <v>777505183</v>
      </c>
      <c r="I6461" s="405"/>
      <c r="J6461" s="405">
        <v>0.58434799999999998</v>
      </c>
      <c r="K6461" s="405">
        <v>31.842758</v>
      </c>
      <c r="L6461" s="405" t="s">
        <v>314</v>
      </c>
      <c r="M6461" s="405" t="s">
        <v>445</v>
      </c>
      <c r="N6461" s="405" t="s">
        <v>570</v>
      </c>
      <c r="O6461" s="405" t="s">
        <v>571</v>
      </c>
      <c r="P6461" s="405" t="s">
        <v>2831</v>
      </c>
      <c r="Q6461" s="411">
        <v>6</v>
      </c>
      <c r="R6461" s="405" t="s">
        <v>318</v>
      </c>
      <c r="S6461" s="405" t="s">
        <v>27152</v>
      </c>
      <c r="T6461" s="405" t="s">
        <v>32102</v>
      </c>
      <c r="U6461" s="405" t="s">
        <v>319</v>
      </c>
    </row>
    <row r="6462" spans="1:21" x14ac:dyDescent="0.25">
      <c r="A6462" s="405" t="s">
        <v>310</v>
      </c>
      <c r="B6462" s="405" t="s">
        <v>3573</v>
      </c>
      <c r="C6462" s="405" t="s">
        <v>327</v>
      </c>
      <c r="D6462" s="405"/>
      <c r="E6462" s="410">
        <v>41377</v>
      </c>
      <c r="F6462" s="410">
        <v>41422</v>
      </c>
      <c r="G6462" s="405" t="s">
        <v>3574</v>
      </c>
      <c r="H6462" s="405">
        <v>781131980</v>
      </c>
      <c r="I6462" s="405"/>
      <c r="J6462" s="405">
        <v>0.20682700000000001</v>
      </c>
      <c r="K6462" s="405">
        <v>32.026156999999998</v>
      </c>
      <c r="L6462" s="405" t="s">
        <v>314</v>
      </c>
      <c r="M6462" s="405" t="s">
        <v>339</v>
      </c>
      <c r="N6462" s="405" t="s">
        <v>339</v>
      </c>
      <c r="O6462" s="405" t="s">
        <v>2272</v>
      </c>
      <c r="P6462" s="405" t="s">
        <v>3575</v>
      </c>
      <c r="Q6462" s="411">
        <v>6</v>
      </c>
      <c r="R6462" s="405" t="s">
        <v>438</v>
      </c>
      <c r="S6462" s="405" t="s">
        <v>27131</v>
      </c>
      <c r="T6462" s="405" t="s">
        <v>32102</v>
      </c>
      <c r="U6462" s="405" t="s">
        <v>319</v>
      </c>
    </row>
    <row r="6463" spans="1:21" x14ac:dyDescent="0.25">
      <c r="A6463" s="405" t="s">
        <v>310</v>
      </c>
      <c r="B6463" s="405" t="s">
        <v>28797</v>
      </c>
      <c r="C6463" s="405" t="s">
        <v>327</v>
      </c>
      <c r="D6463" s="405"/>
      <c r="E6463" s="410">
        <v>41377</v>
      </c>
      <c r="F6463" s="410">
        <v>41422</v>
      </c>
      <c r="G6463" s="405" t="s">
        <v>12235</v>
      </c>
      <c r="H6463" s="405">
        <v>782277802</v>
      </c>
      <c r="I6463" s="405"/>
      <c r="J6463" s="405">
        <v>1.6185400000000001</v>
      </c>
      <c r="K6463" s="405">
        <v>33.281168000000001</v>
      </c>
      <c r="L6463" s="405" t="s">
        <v>6866</v>
      </c>
      <c r="M6463" s="405" t="s">
        <v>9658</v>
      </c>
      <c r="N6463" s="405" t="s">
        <v>11057</v>
      </c>
      <c r="O6463" s="405" t="s">
        <v>11058</v>
      </c>
      <c r="P6463" s="405" t="s">
        <v>12236</v>
      </c>
      <c r="Q6463" s="411">
        <v>4</v>
      </c>
      <c r="R6463" s="405" t="s">
        <v>5655</v>
      </c>
      <c r="S6463" s="405" t="s">
        <v>27325</v>
      </c>
      <c r="T6463" s="405" t="s">
        <v>32102</v>
      </c>
      <c r="U6463" s="405" t="s">
        <v>319</v>
      </c>
    </row>
    <row r="6464" spans="1:21" x14ac:dyDescent="0.25">
      <c r="A6464" s="405" t="s">
        <v>310</v>
      </c>
      <c r="B6464" s="405" t="s">
        <v>27636</v>
      </c>
      <c r="C6464" s="405" t="s">
        <v>327</v>
      </c>
      <c r="D6464" s="405"/>
      <c r="E6464" s="410">
        <v>41376</v>
      </c>
      <c r="F6464" s="410">
        <v>41421</v>
      </c>
      <c r="G6464" s="405" t="s">
        <v>3676</v>
      </c>
      <c r="H6464" s="405">
        <v>702490199</v>
      </c>
      <c r="I6464" s="405"/>
      <c r="J6464" s="405">
        <v>-0.33347500000000002</v>
      </c>
      <c r="K6464" s="405">
        <v>31.791399999999999</v>
      </c>
      <c r="L6464" s="405" t="s">
        <v>314</v>
      </c>
      <c r="M6464" s="405" t="s">
        <v>900</v>
      </c>
      <c r="N6464" s="405" t="s">
        <v>941</v>
      </c>
      <c r="O6464" s="405" t="s">
        <v>1076</v>
      </c>
      <c r="P6464" s="405" t="s">
        <v>3677</v>
      </c>
      <c r="Q6464" s="411">
        <v>13</v>
      </c>
      <c r="R6464" s="405" t="s">
        <v>402</v>
      </c>
      <c r="S6464" s="405" t="s">
        <v>27154</v>
      </c>
      <c r="T6464" s="405" t="s">
        <v>32102</v>
      </c>
      <c r="U6464" s="405" t="s">
        <v>319</v>
      </c>
    </row>
    <row r="6465" spans="1:21" x14ac:dyDescent="0.25">
      <c r="A6465" s="405" t="s">
        <v>310</v>
      </c>
      <c r="B6465" s="405" t="s">
        <v>18578</v>
      </c>
      <c r="C6465" s="405" t="s">
        <v>327</v>
      </c>
      <c r="D6465" s="405"/>
      <c r="E6465" s="410">
        <v>41376</v>
      </c>
      <c r="F6465" s="410">
        <v>41421</v>
      </c>
      <c r="G6465" s="405" t="s">
        <v>18579</v>
      </c>
      <c r="H6465" s="405">
        <v>778210107</v>
      </c>
      <c r="I6465" s="405"/>
      <c r="J6465" s="405">
        <v>2.0569099999999998</v>
      </c>
      <c r="K6465" s="405">
        <v>32.754187000000002</v>
      </c>
      <c r="L6465" s="405" t="s">
        <v>860</v>
      </c>
      <c r="M6465" s="405" t="s">
        <v>861</v>
      </c>
      <c r="N6465" s="405" t="s">
        <v>18302</v>
      </c>
      <c r="O6465" s="405" t="s">
        <v>18580</v>
      </c>
      <c r="P6465" s="405" t="s">
        <v>18581</v>
      </c>
      <c r="Q6465" s="411">
        <v>13</v>
      </c>
      <c r="R6465" s="405" t="s">
        <v>525</v>
      </c>
      <c r="S6465" s="405" t="s">
        <v>27179</v>
      </c>
      <c r="T6465" s="405" t="s">
        <v>32102</v>
      </c>
      <c r="U6465" s="405" t="s">
        <v>319</v>
      </c>
    </row>
    <row r="6466" spans="1:21" x14ac:dyDescent="0.25">
      <c r="A6466" s="405" t="s">
        <v>310</v>
      </c>
      <c r="B6466" s="405" t="s">
        <v>3623</v>
      </c>
      <c r="C6466" s="405" t="s">
        <v>327</v>
      </c>
      <c r="D6466" s="405"/>
      <c r="E6466" s="410">
        <v>41376</v>
      </c>
      <c r="F6466" s="410">
        <v>41421</v>
      </c>
      <c r="G6466" s="405" t="s">
        <v>3624</v>
      </c>
      <c r="H6466" s="405">
        <v>752229585</v>
      </c>
      <c r="I6466" s="405">
        <v>772538199</v>
      </c>
      <c r="J6466" s="405">
        <v>-8.6548E-2</v>
      </c>
      <c r="K6466" s="405">
        <v>32.042195</v>
      </c>
      <c r="L6466" s="405" t="s">
        <v>314</v>
      </c>
      <c r="M6466" s="405" t="s">
        <v>321</v>
      </c>
      <c r="N6466" s="405" t="s">
        <v>322</v>
      </c>
      <c r="O6466" s="405" t="s">
        <v>2436</v>
      </c>
      <c r="P6466" s="405" t="s">
        <v>3625</v>
      </c>
      <c r="Q6466" s="411">
        <v>13</v>
      </c>
      <c r="R6466" s="405" t="s">
        <v>1263</v>
      </c>
      <c r="S6466" s="405" t="s">
        <v>27134</v>
      </c>
      <c r="T6466" s="405" t="s">
        <v>32102</v>
      </c>
      <c r="U6466" s="405" t="s">
        <v>319</v>
      </c>
    </row>
    <row r="6467" spans="1:21" x14ac:dyDescent="0.25">
      <c r="A6467" s="405" t="s">
        <v>310</v>
      </c>
      <c r="B6467" s="405" t="s">
        <v>27881</v>
      </c>
      <c r="C6467" s="405" t="s">
        <v>327</v>
      </c>
      <c r="D6467" s="405"/>
      <c r="E6467" s="410">
        <v>41376</v>
      </c>
      <c r="F6467" s="410">
        <v>41421</v>
      </c>
      <c r="G6467" s="405" t="s">
        <v>3620</v>
      </c>
      <c r="H6467" s="405">
        <v>753414401</v>
      </c>
      <c r="I6467" s="405">
        <v>772659276</v>
      </c>
      <c r="J6467" s="405">
        <v>-8.0216999999999997E-2</v>
      </c>
      <c r="K6467" s="405">
        <v>31.968112999999999</v>
      </c>
      <c r="L6467" s="405" t="s">
        <v>314</v>
      </c>
      <c r="M6467" s="405" t="s">
        <v>900</v>
      </c>
      <c r="N6467" s="405" t="s">
        <v>1119</v>
      </c>
      <c r="O6467" s="405" t="s">
        <v>3621</v>
      </c>
      <c r="P6467" s="405" t="s">
        <v>3622</v>
      </c>
      <c r="Q6467" s="411">
        <v>9</v>
      </c>
      <c r="R6467" s="405" t="s">
        <v>402</v>
      </c>
      <c r="S6467" s="405" t="s">
        <v>27181</v>
      </c>
      <c r="T6467" s="405" t="s">
        <v>32102</v>
      </c>
      <c r="U6467" s="405" t="s">
        <v>319</v>
      </c>
    </row>
    <row r="6468" spans="1:21" x14ac:dyDescent="0.25">
      <c r="A6468" s="405" t="s">
        <v>310</v>
      </c>
      <c r="B6468" s="405" t="s">
        <v>3668</v>
      </c>
      <c r="C6468" s="405" t="s">
        <v>327</v>
      </c>
      <c r="D6468" s="405"/>
      <c r="E6468" s="410">
        <v>41376</v>
      </c>
      <c r="F6468" s="410">
        <v>41421</v>
      </c>
      <c r="G6468" s="405" t="s">
        <v>3669</v>
      </c>
      <c r="H6468" s="405">
        <v>778687482</v>
      </c>
      <c r="I6468" s="405">
        <v>758521848</v>
      </c>
      <c r="J6468" s="405">
        <v>-1.695E-2</v>
      </c>
      <c r="K6468" s="405">
        <v>31.777947999999999</v>
      </c>
      <c r="L6468" s="405" t="s">
        <v>314</v>
      </c>
      <c r="M6468" s="405" t="s">
        <v>900</v>
      </c>
      <c r="N6468" s="405" t="s">
        <v>1119</v>
      </c>
      <c r="O6468" s="405" t="s">
        <v>3670</v>
      </c>
      <c r="P6468" s="405" t="s">
        <v>3671</v>
      </c>
      <c r="Q6468" s="411">
        <v>9</v>
      </c>
      <c r="R6468" s="405" t="s">
        <v>1263</v>
      </c>
      <c r="S6468" s="405" t="s">
        <v>5986</v>
      </c>
      <c r="T6468" s="405" t="s">
        <v>32102</v>
      </c>
      <c r="U6468" s="405" t="s">
        <v>319</v>
      </c>
    </row>
    <row r="6469" spans="1:21" x14ac:dyDescent="0.25">
      <c r="A6469" s="405" t="s">
        <v>310</v>
      </c>
      <c r="B6469" s="405" t="s">
        <v>3659</v>
      </c>
      <c r="C6469" s="405" t="s">
        <v>327</v>
      </c>
      <c r="D6469" s="405"/>
      <c r="E6469" s="410">
        <v>41376</v>
      </c>
      <c r="F6469" s="410">
        <v>41421</v>
      </c>
      <c r="G6469" s="405" t="s">
        <v>3660</v>
      </c>
      <c r="H6469" s="405">
        <v>771804935</v>
      </c>
      <c r="I6469" s="405">
        <v>771804935</v>
      </c>
      <c r="J6469" s="405">
        <v>-0.70565199999999995</v>
      </c>
      <c r="K6469" s="405">
        <v>31.611453000000001</v>
      </c>
      <c r="L6469" s="405" t="s">
        <v>314</v>
      </c>
      <c r="M6469" s="405" t="s">
        <v>398</v>
      </c>
      <c r="N6469" s="405" t="s">
        <v>399</v>
      </c>
      <c r="O6469" s="405" t="s">
        <v>1585</v>
      </c>
      <c r="P6469" s="405" t="s">
        <v>3661</v>
      </c>
      <c r="Q6469" s="411">
        <v>9</v>
      </c>
      <c r="R6469" s="405" t="s">
        <v>1263</v>
      </c>
      <c r="S6469" s="405" t="s">
        <v>27047</v>
      </c>
      <c r="T6469" s="405" t="s">
        <v>32102</v>
      </c>
      <c r="U6469" s="405" t="s">
        <v>319</v>
      </c>
    </row>
    <row r="6470" spans="1:21" x14ac:dyDescent="0.25">
      <c r="A6470" s="405" t="s">
        <v>310</v>
      </c>
      <c r="B6470" s="405" t="s">
        <v>28483</v>
      </c>
      <c r="C6470" s="405" t="s">
        <v>327</v>
      </c>
      <c r="D6470" s="405"/>
      <c r="E6470" s="410">
        <v>41376</v>
      </c>
      <c r="F6470" s="410">
        <v>41421</v>
      </c>
      <c r="G6470" s="405" t="s">
        <v>12221</v>
      </c>
      <c r="H6470" s="405">
        <v>781073295</v>
      </c>
      <c r="I6470" s="405"/>
      <c r="J6470" s="405">
        <v>1.0936520000000001</v>
      </c>
      <c r="K6470" s="405">
        <v>34.192976999999999</v>
      </c>
      <c r="L6470" s="405" t="s">
        <v>6866</v>
      </c>
      <c r="M6470" s="405" t="s">
        <v>9514</v>
      </c>
      <c r="N6470" s="405" t="s">
        <v>9529</v>
      </c>
      <c r="O6470" s="405" t="s">
        <v>9530</v>
      </c>
      <c r="P6470" s="405" t="s">
        <v>9563</v>
      </c>
      <c r="Q6470" s="411">
        <v>6</v>
      </c>
      <c r="R6470" s="405" t="s">
        <v>7224</v>
      </c>
      <c r="S6470" s="405" t="s">
        <v>17062</v>
      </c>
      <c r="T6470" s="405" t="s">
        <v>32102</v>
      </c>
      <c r="U6470" s="405" t="s">
        <v>319</v>
      </c>
    </row>
    <row r="6471" spans="1:21" x14ac:dyDescent="0.25">
      <c r="A6471" s="405" t="s">
        <v>310</v>
      </c>
      <c r="B6471" s="405" t="s">
        <v>28619</v>
      </c>
      <c r="C6471" s="405" t="s">
        <v>327</v>
      </c>
      <c r="D6471" s="405"/>
      <c r="E6471" s="410">
        <v>41376</v>
      </c>
      <c r="F6471" s="410">
        <v>41421</v>
      </c>
      <c r="G6471" s="405" t="s">
        <v>3583</v>
      </c>
      <c r="H6471" s="405">
        <v>772609461</v>
      </c>
      <c r="I6471" s="405"/>
      <c r="J6471" s="405">
        <v>-0.30934899999999999</v>
      </c>
      <c r="K6471" s="405">
        <v>31.559623999999999</v>
      </c>
      <c r="L6471" s="405" t="s">
        <v>314</v>
      </c>
      <c r="M6471" s="405" t="s">
        <v>343</v>
      </c>
      <c r="N6471" s="405" t="s">
        <v>344</v>
      </c>
      <c r="O6471" s="405" t="s">
        <v>345</v>
      </c>
      <c r="P6471" s="405" t="s">
        <v>3584</v>
      </c>
      <c r="Q6471" s="411">
        <v>6</v>
      </c>
      <c r="R6471" s="405" t="s">
        <v>318</v>
      </c>
      <c r="S6471" s="405" t="s">
        <v>27113</v>
      </c>
      <c r="T6471" s="405" t="s">
        <v>32102</v>
      </c>
      <c r="U6471" s="405" t="s">
        <v>319</v>
      </c>
    </row>
    <row r="6472" spans="1:21" x14ac:dyDescent="0.25">
      <c r="A6472" s="405" t="s">
        <v>310</v>
      </c>
      <c r="B6472" s="405" t="s">
        <v>28948</v>
      </c>
      <c r="C6472" s="405" t="s">
        <v>327</v>
      </c>
      <c r="D6472" s="405"/>
      <c r="E6472" s="410">
        <v>41376</v>
      </c>
      <c r="F6472" s="410">
        <v>41421</v>
      </c>
      <c r="G6472" s="405" t="s">
        <v>3571</v>
      </c>
      <c r="H6472" s="405">
        <v>774066036</v>
      </c>
      <c r="I6472" s="405">
        <v>752066036</v>
      </c>
      <c r="J6472" s="405">
        <v>0.165802</v>
      </c>
      <c r="K6472" s="405">
        <v>32.187224999999998</v>
      </c>
      <c r="L6472" s="405" t="s">
        <v>314</v>
      </c>
      <c r="M6472" s="405" t="s">
        <v>315</v>
      </c>
      <c r="N6472" s="405" t="s">
        <v>315</v>
      </c>
      <c r="O6472" s="405" t="s">
        <v>2063</v>
      </c>
      <c r="P6472" s="405" t="s">
        <v>3572</v>
      </c>
      <c r="Q6472" s="411">
        <v>6</v>
      </c>
      <c r="R6472" s="405" t="s">
        <v>318</v>
      </c>
      <c r="S6472" s="405" t="s">
        <v>27188</v>
      </c>
      <c r="T6472" s="405" t="s">
        <v>32102</v>
      </c>
      <c r="U6472" s="405" t="s">
        <v>319</v>
      </c>
    </row>
    <row r="6473" spans="1:21" x14ac:dyDescent="0.25">
      <c r="A6473" s="405" t="s">
        <v>310</v>
      </c>
      <c r="B6473" s="405" t="s">
        <v>3672</v>
      </c>
      <c r="C6473" s="405" t="s">
        <v>327</v>
      </c>
      <c r="D6473" s="405"/>
      <c r="E6473" s="410">
        <v>41376</v>
      </c>
      <c r="F6473" s="410">
        <v>41421</v>
      </c>
      <c r="G6473" s="405" t="s">
        <v>3673</v>
      </c>
      <c r="H6473" s="405">
        <v>772531146</v>
      </c>
      <c r="I6473" s="405">
        <v>772863151</v>
      </c>
      <c r="J6473" s="405">
        <v>-0.17963699999999999</v>
      </c>
      <c r="K6473" s="405">
        <v>31.853197000000002</v>
      </c>
      <c r="L6473" s="405" t="s">
        <v>314</v>
      </c>
      <c r="M6473" s="405" t="s">
        <v>900</v>
      </c>
      <c r="N6473" s="405" t="s">
        <v>1119</v>
      </c>
      <c r="O6473" s="405" t="s">
        <v>1302</v>
      </c>
      <c r="P6473" s="405" t="s">
        <v>1225</v>
      </c>
      <c r="Q6473" s="411">
        <v>6</v>
      </c>
      <c r="R6473" s="405" t="s">
        <v>318</v>
      </c>
      <c r="S6473" s="405" t="s">
        <v>27139</v>
      </c>
      <c r="T6473" s="405" t="s">
        <v>32102</v>
      </c>
      <c r="U6473" s="405" t="s">
        <v>319</v>
      </c>
    </row>
    <row r="6474" spans="1:21" x14ac:dyDescent="0.25">
      <c r="A6474" s="405" t="s">
        <v>310</v>
      </c>
      <c r="B6474" s="405" t="s">
        <v>3678</v>
      </c>
      <c r="C6474" s="405" t="s">
        <v>327</v>
      </c>
      <c r="D6474" s="405"/>
      <c r="E6474" s="410">
        <v>41376</v>
      </c>
      <c r="F6474" s="410">
        <v>41421</v>
      </c>
      <c r="G6474" s="405" t="s">
        <v>3679</v>
      </c>
      <c r="H6474" s="405">
        <v>772771808</v>
      </c>
      <c r="I6474" s="405"/>
      <c r="J6474" s="405">
        <v>-0.45389299999999999</v>
      </c>
      <c r="K6474" s="405">
        <v>31.747337000000002</v>
      </c>
      <c r="L6474" s="405" t="s">
        <v>314</v>
      </c>
      <c r="M6474" s="405" t="s">
        <v>382</v>
      </c>
      <c r="N6474" s="405" t="s">
        <v>941</v>
      </c>
      <c r="O6474" s="405" t="s">
        <v>1260</v>
      </c>
      <c r="P6474" s="405" t="s">
        <v>3680</v>
      </c>
      <c r="Q6474" s="411">
        <v>6</v>
      </c>
      <c r="R6474" s="405" t="s">
        <v>1263</v>
      </c>
      <c r="S6474" s="405" t="s">
        <v>5986</v>
      </c>
      <c r="T6474" s="405" t="s">
        <v>32102</v>
      </c>
      <c r="U6474" s="405" t="s">
        <v>319</v>
      </c>
    </row>
    <row r="6475" spans="1:21" x14ac:dyDescent="0.25">
      <c r="A6475" s="405" t="s">
        <v>310</v>
      </c>
      <c r="B6475" s="405" t="s">
        <v>28529</v>
      </c>
      <c r="C6475" s="405" t="s">
        <v>857</v>
      </c>
      <c r="D6475" s="405" t="s">
        <v>4223</v>
      </c>
      <c r="E6475" s="410">
        <v>41376</v>
      </c>
      <c r="F6475" s="410">
        <v>41421</v>
      </c>
      <c r="G6475" s="405" t="s">
        <v>4224</v>
      </c>
      <c r="H6475" s="405">
        <v>775231780</v>
      </c>
      <c r="I6475" s="405"/>
      <c r="J6475" s="405">
        <v>1.250963</v>
      </c>
      <c r="K6475" s="405">
        <v>32.715232999999998</v>
      </c>
      <c r="L6475" s="405" t="s">
        <v>314</v>
      </c>
      <c r="M6475" s="405" t="s">
        <v>2512</v>
      </c>
      <c r="N6475" s="405" t="s">
        <v>2512</v>
      </c>
      <c r="O6475" s="405" t="s">
        <v>4225</v>
      </c>
      <c r="P6475" s="405" t="s">
        <v>687</v>
      </c>
      <c r="Q6475" s="411">
        <v>4</v>
      </c>
      <c r="R6475" s="405" t="s">
        <v>32476</v>
      </c>
      <c r="S6475" s="405" t="s">
        <v>27052</v>
      </c>
      <c r="T6475" s="405" t="s">
        <v>32102</v>
      </c>
      <c r="U6475" s="405" t="s">
        <v>319</v>
      </c>
    </row>
    <row r="6476" spans="1:21" x14ac:dyDescent="0.25">
      <c r="A6476" s="405" t="s">
        <v>310</v>
      </c>
      <c r="B6476" s="405" t="s">
        <v>12222</v>
      </c>
      <c r="C6476" s="405" t="s">
        <v>327</v>
      </c>
      <c r="D6476" s="405"/>
      <c r="E6476" s="410">
        <v>41376</v>
      </c>
      <c r="F6476" s="410">
        <v>41421</v>
      </c>
      <c r="G6476" s="405" t="s">
        <v>12223</v>
      </c>
      <c r="H6476" s="405">
        <v>785332110</v>
      </c>
      <c r="I6476" s="405">
        <v>785343517</v>
      </c>
      <c r="J6476" s="405">
        <v>1.011522</v>
      </c>
      <c r="K6476" s="405">
        <v>34.328809999999997</v>
      </c>
      <c r="L6476" s="405" t="s">
        <v>6866</v>
      </c>
      <c r="M6476" s="405" t="s">
        <v>6867</v>
      </c>
      <c r="N6476" s="405" t="s">
        <v>6868</v>
      </c>
      <c r="O6476" s="405" t="s">
        <v>11995</v>
      </c>
      <c r="P6476" s="405" t="s">
        <v>4023</v>
      </c>
      <c r="Q6476" s="411">
        <v>4</v>
      </c>
      <c r="R6476" s="405" t="s">
        <v>7224</v>
      </c>
      <c r="S6476" s="405" t="s">
        <v>17062</v>
      </c>
      <c r="T6476" s="405" t="s">
        <v>32102</v>
      </c>
      <c r="U6476" s="405" t="s">
        <v>319</v>
      </c>
    </row>
    <row r="6477" spans="1:21" x14ac:dyDescent="0.25">
      <c r="A6477" s="405" t="s">
        <v>310</v>
      </c>
      <c r="B6477" s="405" t="s">
        <v>21004</v>
      </c>
      <c r="C6477" s="405" t="s">
        <v>327</v>
      </c>
      <c r="D6477" s="405"/>
      <c r="E6477" s="410">
        <v>41375</v>
      </c>
      <c r="F6477" s="410">
        <v>41420</v>
      </c>
      <c r="G6477" s="405" t="s">
        <v>21005</v>
      </c>
      <c r="H6477" s="405">
        <v>751357167</v>
      </c>
      <c r="I6477" s="405">
        <v>782156066</v>
      </c>
      <c r="J6477" s="405">
        <v>-3.7117999999999998E-2</v>
      </c>
      <c r="K6477" s="405">
        <v>30.752496000000001</v>
      </c>
      <c r="L6477" s="405" t="s">
        <v>590</v>
      </c>
      <c r="M6477" s="405" t="s">
        <v>19705</v>
      </c>
      <c r="N6477" s="405" t="s">
        <v>2250</v>
      </c>
      <c r="O6477" s="405" t="s">
        <v>21006</v>
      </c>
      <c r="P6477" s="405" t="s">
        <v>21007</v>
      </c>
      <c r="Q6477" s="411">
        <v>12</v>
      </c>
      <c r="R6477" s="405" t="s">
        <v>874</v>
      </c>
      <c r="S6477" s="405" t="s">
        <v>27163</v>
      </c>
      <c r="T6477" s="405" t="s">
        <v>32102</v>
      </c>
      <c r="U6477" s="405" t="s">
        <v>319</v>
      </c>
    </row>
    <row r="6478" spans="1:21" x14ac:dyDescent="0.25">
      <c r="A6478" s="405" t="s">
        <v>310</v>
      </c>
      <c r="B6478" s="405" t="s">
        <v>12281</v>
      </c>
      <c r="C6478" s="405" t="s">
        <v>327</v>
      </c>
      <c r="D6478" s="405"/>
      <c r="E6478" s="410">
        <v>41375</v>
      </c>
      <c r="F6478" s="410">
        <v>41420</v>
      </c>
      <c r="G6478" s="405" t="s">
        <v>12282</v>
      </c>
      <c r="H6478" s="405">
        <v>758764176</v>
      </c>
      <c r="I6478" s="405"/>
      <c r="J6478" s="405">
        <v>1.3930290000000001</v>
      </c>
      <c r="K6478" s="405">
        <v>34.493051000000001</v>
      </c>
      <c r="L6478" s="405" t="s">
        <v>6866</v>
      </c>
      <c r="M6478" s="405" t="s">
        <v>9705</v>
      </c>
      <c r="N6478" s="405" t="s">
        <v>9705</v>
      </c>
      <c r="O6478" s="405" t="s">
        <v>9706</v>
      </c>
      <c r="P6478" s="405" t="s">
        <v>11944</v>
      </c>
      <c r="Q6478" s="411">
        <v>6</v>
      </c>
      <c r="R6478" s="405" t="s">
        <v>10303</v>
      </c>
      <c r="S6478" s="405" t="s">
        <v>27335</v>
      </c>
      <c r="T6478" s="405" t="s">
        <v>32102</v>
      </c>
      <c r="U6478" s="405" t="s">
        <v>319</v>
      </c>
    </row>
    <row r="6479" spans="1:21" x14ac:dyDescent="0.25">
      <c r="A6479" s="405" t="s">
        <v>310</v>
      </c>
      <c r="B6479" s="405" t="s">
        <v>27940</v>
      </c>
      <c r="C6479" s="405" t="s">
        <v>327</v>
      </c>
      <c r="D6479" s="405"/>
      <c r="E6479" s="410">
        <v>41374</v>
      </c>
      <c r="F6479" s="410">
        <v>41419</v>
      </c>
      <c r="G6479" s="405" t="s">
        <v>21047</v>
      </c>
      <c r="H6479" s="405">
        <v>702821248</v>
      </c>
      <c r="I6479" s="405"/>
      <c r="J6479" s="405">
        <v>-0.85866699999999996</v>
      </c>
      <c r="K6479" s="405">
        <v>29.910993999999999</v>
      </c>
      <c r="L6479" s="405" t="s">
        <v>590</v>
      </c>
      <c r="M6479" s="405" t="s">
        <v>19619</v>
      </c>
      <c r="N6479" s="405" t="s">
        <v>19620</v>
      </c>
      <c r="O6479" s="405" t="s">
        <v>2430</v>
      </c>
      <c r="P6479" s="405" t="s">
        <v>19630</v>
      </c>
      <c r="Q6479" s="411">
        <v>9</v>
      </c>
      <c r="R6479" s="405" t="s">
        <v>333</v>
      </c>
      <c r="S6479" s="405" t="s">
        <v>27275</v>
      </c>
      <c r="T6479" s="405" t="s">
        <v>32102</v>
      </c>
      <c r="U6479" s="405" t="s">
        <v>319</v>
      </c>
    </row>
    <row r="6480" spans="1:21" x14ac:dyDescent="0.25">
      <c r="A6480" s="405" t="s">
        <v>310</v>
      </c>
      <c r="B6480" s="405" t="s">
        <v>29091</v>
      </c>
      <c r="C6480" s="405" t="s">
        <v>327</v>
      </c>
      <c r="D6480" s="405"/>
      <c r="E6480" s="410">
        <v>41374</v>
      </c>
      <c r="F6480" s="410">
        <v>41419</v>
      </c>
      <c r="G6480" s="405" t="s">
        <v>12259</v>
      </c>
      <c r="H6480" s="405">
        <v>782859211</v>
      </c>
      <c r="I6480" s="405"/>
      <c r="J6480" s="405">
        <v>0.78972299999999995</v>
      </c>
      <c r="K6480" s="405">
        <v>34.306939</v>
      </c>
      <c r="L6480" s="405" t="s">
        <v>6866</v>
      </c>
      <c r="M6480" s="405" t="s">
        <v>9763</v>
      </c>
      <c r="N6480" s="405" t="s">
        <v>9848</v>
      </c>
      <c r="O6480" s="405" t="s">
        <v>12260</v>
      </c>
      <c r="P6480" s="405" t="s">
        <v>12261</v>
      </c>
      <c r="Q6480" s="411">
        <v>6</v>
      </c>
      <c r="R6480" s="405" t="s">
        <v>7224</v>
      </c>
      <c r="S6480" s="405" t="s">
        <v>27074</v>
      </c>
      <c r="T6480" s="405" t="s">
        <v>32102</v>
      </c>
      <c r="U6480" s="405" t="s">
        <v>319</v>
      </c>
    </row>
    <row r="6481" spans="1:21" x14ac:dyDescent="0.25">
      <c r="A6481" s="405" t="s">
        <v>310</v>
      </c>
      <c r="B6481" s="405" t="s">
        <v>12262</v>
      </c>
      <c r="C6481" s="405" t="s">
        <v>327</v>
      </c>
      <c r="D6481" s="405"/>
      <c r="E6481" s="410">
        <v>41374</v>
      </c>
      <c r="F6481" s="410">
        <v>41419</v>
      </c>
      <c r="G6481" s="405" t="s">
        <v>12263</v>
      </c>
      <c r="H6481" s="405">
        <v>782974180</v>
      </c>
      <c r="I6481" s="405"/>
      <c r="J6481" s="405">
        <v>0.97955000000000003</v>
      </c>
      <c r="K6481" s="405">
        <v>34.334161999999999</v>
      </c>
      <c r="L6481" s="405" t="s">
        <v>6866</v>
      </c>
      <c r="M6481" s="405" t="s">
        <v>9763</v>
      </c>
      <c r="N6481" s="405" t="s">
        <v>9764</v>
      </c>
      <c r="O6481" s="405" t="s">
        <v>11926</v>
      </c>
      <c r="P6481" s="405" t="s">
        <v>11927</v>
      </c>
      <c r="Q6481" s="411">
        <v>6</v>
      </c>
      <c r="R6481" s="405" t="s">
        <v>7224</v>
      </c>
      <c r="S6481" s="405" t="s">
        <v>27107</v>
      </c>
      <c r="T6481" s="405" t="s">
        <v>32102</v>
      </c>
      <c r="U6481" s="405" t="s">
        <v>319</v>
      </c>
    </row>
    <row r="6482" spans="1:21" x14ac:dyDescent="0.25">
      <c r="A6482" s="405" t="s">
        <v>310</v>
      </c>
      <c r="B6482" s="405" t="s">
        <v>12289</v>
      </c>
      <c r="C6482" s="405" t="s">
        <v>327</v>
      </c>
      <c r="D6482" s="405"/>
      <c r="E6482" s="410">
        <v>41374</v>
      </c>
      <c r="F6482" s="410">
        <v>41419</v>
      </c>
      <c r="G6482" s="405" t="s">
        <v>12290</v>
      </c>
      <c r="H6482" s="405">
        <v>756454375</v>
      </c>
      <c r="I6482" s="405"/>
      <c r="J6482" s="405">
        <v>0.32058199999999998</v>
      </c>
      <c r="K6482" s="405">
        <v>34.046233999999998</v>
      </c>
      <c r="L6482" s="405" t="s">
        <v>6866</v>
      </c>
      <c r="M6482" s="405" t="s">
        <v>10390</v>
      </c>
      <c r="N6482" s="405" t="s">
        <v>10391</v>
      </c>
      <c r="O6482" s="405" t="s">
        <v>12291</v>
      </c>
      <c r="P6482" s="405" t="s">
        <v>12292</v>
      </c>
      <c r="Q6482" s="411">
        <v>6</v>
      </c>
      <c r="R6482" s="405" t="s">
        <v>7224</v>
      </c>
      <c r="S6482" s="405" t="s">
        <v>27204</v>
      </c>
      <c r="T6482" s="405" t="s">
        <v>32102</v>
      </c>
      <c r="U6482" s="405" t="s">
        <v>319</v>
      </c>
    </row>
    <row r="6483" spans="1:21" x14ac:dyDescent="0.25">
      <c r="A6483" s="405" t="s">
        <v>310</v>
      </c>
      <c r="B6483" s="405" t="s">
        <v>3695</v>
      </c>
      <c r="C6483" s="405" t="s">
        <v>327</v>
      </c>
      <c r="D6483" s="405"/>
      <c r="E6483" s="410">
        <v>41374</v>
      </c>
      <c r="F6483" s="410">
        <v>41419</v>
      </c>
      <c r="G6483" s="405" t="s">
        <v>3696</v>
      </c>
      <c r="H6483" s="405">
        <v>774601638</v>
      </c>
      <c r="I6483" s="405"/>
      <c r="J6483" s="405">
        <v>0.61031199999999997</v>
      </c>
      <c r="K6483" s="405">
        <v>31.804974999999999</v>
      </c>
      <c r="L6483" s="405" t="s">
        <v>314</v>
      </c>
      <c r="M6483" s="405" t="s">
        <v>445</v>
      </c>
      <c r="N6483" s="405" t="s">
        <v>570</v>
      </c>
      <c r="O6483" s="405" t="s">
        <v>2925</v>
      </c>
      <c r="P6483" s="405" t="s">
        <v>2929</v>
      </c>
      <c r="Q6483" s="411">
        <v>6</v>
      </c>
      <c r="R6483" s="405" t="s">
        <v>318</v>
      </c>
      <c r="S6483" s="405" t="s">
        <v>27141</v>
      </c>
      <c r="T6483" s="405" t="s">
        <v>32102</v>
      </c>
      <c r="U6483" s="405" t="s">
        <v>319</v>
      </c>
    </row>
    <row r="6484" spans="1:21" x14ac:dyDescent="0.25">
      <c r="A6484" s="405" t="s">
        <v>310</v>
      </c>
      <c r="B6484" s="405" t="s">
        <v>12299</v>
      </c>
      <c r="C6484" s="405" t="s">
        <v>327</v>
      </c>
      <c r="D6484" s="405"/>
      <c r="E6484" s="410">
        <v>41374</v>
      </c>
      <c r="F6484" s="410">
        <v>41419</v>
      </c>
      <c r="G6484" s="405" t="s">
        <v>12300</v>
      </c>
      <c r="H6484" s="405">
        <v>772547860</v>
      </c>
      <c r="I6484" s="405"/>
      <c r="J6484" s="405">
        <v>0.89103399999999999</v>
      </c>
      <c r="K6484" s="405">
        <v>34.358814000000002</v>
      </c>
      <c r="L6484" s="405" t="s">
        <v>6866</v>
      </c>
      <c r="M6484" s="405" t="s">
        <v>9763</v>
      </c>
      <c r="N6484" s="405" t="s">
        <v>9848</v>
      </c>
      <c r="O6484" s="405" t="s">
        <v>10962</v>
      </c>
      <c r="P6484" s="405" t="s">
        <v>12301</v>
      </c>
      <c r="Q6484" s="411">
        <v>4</v>
      </c>
      <c r="R6484" s="405" t="s">
        <v>7224</v>
      </c>
      <c r="S6484" s="405" t="s">
        <v>27283</v>
      </c>
      <c r="T6484" s="405" t="s">
        <v>32102</v>
      </c>
      <c r="U6484" s="405" t="s">
        <v>319</v>
      </c>
    </row>
    <row r="6485" spans="1:21" x14ac:dyDescent="0.25">
      <c r="A6485" s="405" t="s">
        <v>310</v>
      </c>
      <c r="B6485" s="405" t="s">
        <v>18562</v>
      </c>
      <c r="C6485" s="405" t="s">
        <v>327</v>
      </c>
      <c r="D6485" s="405"/>
      <c r="E6485" s="410">
        <v>41373</v>
      </c>
      <c r="F6485" s="410">
        <v>41418</v>
      </c>
      <c r="G6485" s="405" t="s">
        <v>18563</v>
      </c>
      <c r="H6485" s="405">
        <v>392942542</v>
      </c>
      <c r="I6485" s="405"/>
      <c r="J6485" s="405">
        <v>2.2124275</v>
      </c>
      <c r="K6485" s="405">
        <v>32.8964462</v>
      </c>
      <c r="L6485" s="405" t="s">
        <v>860</v>
      </c>
      <c r="M6485" s="405" t="s">
        <v>18234</v>
      </c>
      <c r="N6485" s="405" t="s">
        <v>18252</v>
      </c>
      <c r="O6485" s="405" t="s">
        <v>18564</v>
      </c>
      <c r="P6485" s="405" t="s">
        <v>18565</v>
      </c>
      <c r="Q6485" s="411">
        <v>9</v>
      </c>
      <c r="R6485" s="405" t="s">
        <v>525</v>
      </c>
      <c r="S6485" s="405" t="s">
        <v>27375</v>
      </c>
      <c r="T6485" s="405" t="s">
        <v>32102</v>
      </c>
      <c r="U6485" s="405" t="s">
        <v>319</v>
      </c>
    </row>
    <row r="6486" spans="1:21" x14ac:dyDescent="0.25">
      <c r="A6486" s="405" t="s">
        <v>310</v>
      </c>
      <c r="B6486" s="405" t="s">
        <v>3720</v>
      </c>
      <c r="C6486" s="405" t="s">
        <v>327</v>
      </c>
      <c r="D6486" s="405"/>
      <c r="E6486" s="410">
        <v>41373</v>
      </c>
      <c r="F6486" s="410">
        <v>41418</v>
      </c>
      <c r="G6486" s="405" t="s">
        <v>3721</v>
      </c>
      <c r="H6486" s="405">
        <v>772458483</v>
      </c>
      <c r="I6486" s="405"/>
      <c r="J6486" s="405">
        <v>0.39089499999999999</v>
      </c>
      <c r="K6486" s="405">
        <v>32.965082000000002</v>
      </c>
      <c r="L6486" s="405" t="s">
        <v>314</v>
      </c>
      <c r="M6486" s="405" t="s">
        <v>349</v>
      </c>
      <c r="N6486" s="405" t="s">
        <v>3722</v>
      </c>
      <c r="O6486" s="405" t="s">
        <v>349</v>
      </c>
      <c r="P6486" s="405" t="s">
        <v>3723</v>
      </c>
      <c r="Q6486" s="411">
        <v>9</v>
      </c>
      <c r="R6486" s="405" t="s">
        <v>1263</v>
      </c>
      <c r="S6486" s="405" t="s">
        <v>27208</v>
      </c>
      <c r="T6486" s="405" t="s">
        <v>32102</v>
      </c>
      <c r="U6486" s="405" t="s">
        <v>319</v>
      </c>
    </row>
    <row r="6487" spans="1:21" x14ac:dyDescent="0.25">
      <c r="A6487" s="405" t="s">
        <v>310</v>
      </c>
      <c r="B6487" s="405" t="s">
        <v>3724</v>
      </c>
      <c r="C6487" s="405" t="s">
        <v>327</v>
      </c>
      <c r="D6487" s="405"/>
      <c r="E6487" s="410">
        <v>41372</v>
      </c>
      <c r="F6487" s="410">
        <v>41417</v>
      </c>
      <c r="G6487" s="405" t="s">
        <v>3725</v>
      </c>
      <c r="H6487" s="405">
        <v>752343419</v>
      </c>
      <c r="I6487" s="405"/>
      <c r="J6487" s="405">
        <v>-0.27693499999999999</v>
      </c>
      <c r="K6487" s="405">
        <v>31.231368</v>
      </c>
      <c r="L6487" s="405" t="s">
        <v>314</v>
      </c>
      <c r="M6487" s="405" t="s">
        <v>1805</v>
      </c>
      <c r="N6487" s="405" t="s">
        <v>1805</v>
      </c>
      <c r="O6487" s="405" t="s">
        <v>3726</v>
      </c>
      <c r="P6487" s="405" t="s">
        <v>3727</v>
      </c>
      <c r="Q6487" s="411">
        <v>9</v>
      </c>
      <c r="R6487" s="405" t="s">
        <v>1263</v>
      </c>
      <c r="S6487" s="405" t="s">
        <v>27036</v>
      </c>
      <c r="T6487" s="405" t="s">
        <v>32102</v>
      </c>
      <c r="U6487" s="405" t="s">
        <v>319</v>
      </c>
    </row>
    <row r="6488" spans="1:21" x14ac:dyDescent="0.25">
      <c r="A6488" s="405" t="s">
        <v>310</v>
      </c>
      <c r="B6488" s="405" t="s">
        <v>3665</v>
      </c>
      <c r="C6488" s="405" t="s">
        <v>327</v>
      </c>
      <c r="D6488" s="405"/>
      <c r="E6488" s="410">
        <v>41372</v>
      </c>
      <c r="F6488" s="410">
        <v>41417</v>
      </c>
      <c r="G6488" s="405" t="s">
        <v>3666</v>
      </c>
      <c r="H6488" s="405">
        <v>788293229</v>
      </c>
      <c r="I6488" s="405"/>
      <c r="J6488" s="405">
        <v>-1.4187999999999999E-2</v>
      </c>
      <c r="K6488" s="405">
        <v>31.801092000000001</v>
      </c>
      <c r="L6488" s="405" t="s">
        <v>314</v>
      </c>
      <c r="M6488" s="405" t="s">
        <v>900</v>
      </c>
      <c r="N6488" s="405" t="s">
        <v>1119</v>
      </c>
      <c r="O6488" s="405" t="s">
        <v>3520</v>
      </c>
      <c r="P6488" s="405" t="s">
        <v>3667</v>
      </c>
      <c r="Q6488" s="411">
        <v>9</v>
      </c>
      <c r="R6488" s="405" t="s">
        <v>1263</v>
      </c>
      <c r="S6488" s="405" t="s">
        <v>27117</v>
      </c>
      <c r="T6488" s="405" t="s">
        <v>32102</v>
      </c>
      <c r="U6488" s="405" t="s">
        <v>319</v>
      </c>
    </row>
    <row r="6489" spans="1:21" x14ac:dyDescent="0.25">
      <c r="A6489" s="405" t="s">
        <v>310</v>
      </c>
      <c r="B6489" s="405" t="s">
        <v>3705</v>
      </c>
      <c r="C6489" s="405" t="s">
        <v>327</v>
      </c>
      <c r="D6489" s="405"/>
      <c r="E6489" s="410">
        <v>41372</v>
      </c>
      <c r="F6489" s="410">
        <v>41417</v>
      </c>
      <c r="G6489" s="405" t="s">
        <v>3706</v>
      </c>
      <c r="H6489" s="405">
        <v>774477444</v>
      </c>
      <c r="I6489" s="405">
        <v>703592424</v>
      </c>
      <c r="J6489" s="405">
        <v>0.50069300000000005</v>
      </c>
      <c r="K6489" s="405">
        <v>32.692802999999998</v>
      </c>
      <c r="L6489" s="405" t="s">
        <v>314</v>
      </c>
      <c r="M6489" s="405" t="s">
        <v>329</v>
      </c>
      <c r="N6489" s="405" t="s">
        <v>545</v>
      </c>
      <c r="O6489" s="405" t="s">
        <v>336</v>
      </c>
      <c r="P6489" s="405" t="s">
        <v>3707</v>
      </c>
      <c r="Q6489" s="411">
        <v>9</v>
      </c>
      <c r="R6489" s="405" t="s">
        <v>318</v>
      </c>
      <c r="S6489" s="405" t="s">
        <v>6822</v>
      </c>
      <c r="T6489" s="405" t="s">
        <v>32102</v>
      </c>
      <c r="U6489" s="405" t="s">
        <v>319</v>
      </c>
    </row>
    <row r="6490" spans="1:21" x14ac:dyDescent="0.25">
      <c r="A6490" s="405" t="s">
        <v>310</v>
      </c>
      <c r="B6490" s="405" t="s">
        <v>28446</v>
      </c>
      <c r="C6490" s="405" t="s">
        <v>327</v>
      </c>
      <c r="D6490" s="405"/>
      <c r="E6490" s="410">
        <v>41372</v>
      </c>
      <c r="F6490" s="410">
        <v>41417</v>
      </c>
      <c r="G6490" s="405" t="s">
        <v>12251</v>
      </c>
      <c r="H6490" s="405">
        <v>782486538</v>
      </c>
      <c r="I6490" s="405"/>
      <c r="J6490" s="405">
        <v>1.025123</v>
      </c>
      <c r="K6490" s="405">
        <v>34.373531999999997</v>
      </c>
      <c r="L6490" s="405" t="s">
        <v>6866</v>
      </c>
      <c r="M6490" s="405" t="s">
        <v>6867</v>
      </c>
      <c r="N6490" s="405" t="s">
        <v>12252</v>
      </c>
      <c r="O6490" s="405" t="s">
        <v>12252</v>
      </c>
      <c r="P6490" s="405" t="s">
        <v>12253</v>
      </c>
      <c r="Q6490" s="411">
        <v>6</v>
      </c>
      <c r="R6490" s="405" t="s">
        <v>7224</v>
      </c>
      <c r="S6490" s="405" t="s">
        <v>27190</v>
      </c>
      <c r="T6490" s="405" t="s">
        <v>32102</v>
      </c>
      <c r="U6490" s="405" t="s">
        <v>319</v>
      </c>
    </row>
    <row r="6491" spans="1:21" x14ac:dyDescent="0.25">
      <c r="A6491" s="405" t="s">
        <v>310</v>
      </c>
      <c r="B6491" s="405" t="s">
        <v>27863</v>
      </c>
      <c r="C6491" s="405" t="s">
        <v>327</v>
      </c>
      <c r="D6491" s="405"/>
      <c r="E6491" s="410">
        <v>41372</v>
      </c>
      <c r="F6491" s="410">
        <v>41417</v>
      </c>
      <c r="G6491" s="405" t="s">
        <v>21024</v>
      </c>
      <c r="H6491" s="405">
        <v>703867629</v>
      </c>
      <c r="I6491" s="405"/>
      <c r="J6491" s="405">
        <v>-0.90938300000000005</v>
      </c>
      <c r="K6491" s="405">
        <v>30.799519</v>
      </c>
      <c r="L6491" s="405" t="s">
        <v>590</v>
      </c>
      <c r="M6491" s="405" t="s">
        <v>879</v>
      </c>
      <c r="N6491" s="405" t="s">
        <v>12376</v>
      </c>
      <c r="O6491" s="405" t="s">
        <v>20176</v>
      </c>
      <c r="P6491" s="405" t="s">
        <v>21025</v>
      </c>
      <c r="Q6491" s="411">
        <v>6</v>
      </c>
      <c r="R6491" s="405" t="s">
        <v>333</v>
      </c>
      <c r="S6491" s="405" t="s">
        <v>27164</v>
      </c>
      <c r="T6491" s="405" t="s">
        <v>32102</v>
      </c>
      <c r="U6491" s="405" t="s">
        <v>319</v>
      </c>
    </row>
    <row r="6492" spans="1:21" x14ac:dyDescent="0.25">
      <c r="A6492" s="405" t="s">
        <v>310</v>
      </c>
      <c r="B6492" s="405" t="s">
        <v>12224</v>
      </c>
      <c r="C6492" s="405" t="s">
        <v>327</v>
      </c>
      <c r="D6492" s="405"/>
      <c r="E6492" s="410">
        <v>41372</v>
      </c>
      <c r="F6492" s="410">
        <v>41417</v>
      </c>
      <c r="G6492" s="405" t="s">
        <v>12225</v>
      </c>
      <c r="H6492" s="405">
        <v>784135728</v>
      </c>
      <c r="I6492" s="405">
        <v>7741135728</v>
      </c>
      <c r="J6492" s="405">
        <v>1.0242070000000001</v>
      </c>
      <c r="K6492" s="405">
        <v>34.373596999999997</v>
      </c>
      <c r="L6492" s="405" t="s">
        <v>6866</v>
      </c>
      <c r="M6492" s="405" t="s">
        <v>6867</v>
      </c>
      <c r="N6492" s="405" t="s">
        <v>6868</v>
      </c>
      <c r="O6492" s="405" t="s">
        <v>12226</v>
      </c>
      <c r="P6492" s="405" t="s">
        <v>12227</v>
      </c>
      <c r="Q6492" s="411">
        <v>6</v>
      </c>
      <c r="R6492" s="405" t="s">
        <v>7224</v>
      </c>
      <c r="S6492" s="405" t="s">
        <v>17013</v>
      </c>
      <c r="T6492" s="405" t="s">
        <v>32102</v>
      </c>
      <c r="U6492" s="405" t="s">
        <v>319</v>
      </c>
    </row>
    <row r="6493" spans="1:21" x14ac:dyDescent="0.25">
      <c r="A6493" s="405" t="s">
        <v>310</v>
      </c>
      <c r="B6493" s="405" t="s">
        <v>28630</v>
      </c>
      <c r="C6493" s="405" t="s">
        <v>327</v>
      </c>
      <c r="D6493" s="405"/>
      <c r="E6493" s="410">
        <v>41371</v>
      </c>
      <c r="F6493" s="410">
        <v>41416</v>
      </c>
      <c r="G6493" s="405" t="s">
        <v>12280</v>
      </c>
      <c r="H6493" s="405">
        <v>776905721</v>
      </c>
      <c r="I6493" s="405"/>
      <c r="J6493" s="405">
        <v>1.0766800000000001</v>
      </c>
      <c r="K6493" s="405">
        <v>34.192301</v>
      </c>
      <c r="L6493" s="405" t="s">
        <v>6866</v>
      </c>
      <c r="M6493" s="405" t="s">
        <v>9514</v>
      </c>
      <c r="N6493" s="405" t="s">
        <v>9529</v>
      </c>
      <c r="O6493" s="405" t="s">
        <v>9530</v>
      </c>
      <c r="P6493" s="405" t="s">
        <v>11489</v>
      </c>
      <c r="Q6493" s="411">
        <v>6</v>
      </c>
      <c r="R6493" s="405" t="s">
        <v>7224</v>
      </c>
      <c r="S6493" s="405" t="s">
        <v>27086</v>
      </c>
      <c r="T6493" s="405" t="s">
        <v>32102</v>
      </c>
      <c r="U6493" s="405" t="s">
        <v>319</v>
      </c>
    </row>
    <row r="6494" spans="1:21" x14ac:dyDescent="0.25">
      <c r="A6494" s="405" t="s">
        <v>310</v>
      </c>
      <c r="B6494" s="405" t="s">
        <v>20998</v>
      </c>
      <c r="C6494" s="405" t="s">
        <v>327</v>
      </c>
      <c r="D6494" s="405"/>
      <c r="E6494" s="410">
        <v>41371</v>
      </c>
      <c r="F6494" s="410">
        <v>41416</v>
      </c>
      <c r="G6494" s="405" t="s">
        <v>20999</v>
      </c>
      <c r="H6494" s="405">
        <v>752523820</v>
      </c>
      <c r="I6494" s="405">
        <v>772523820</v>
      </c>
      <c r="J6494" s="405">
        <v>-0.506332</v>
      </c>
      <c r="K6494" s="405">
        <v>30.073442</v>
      </c>
      <c r="L6494" s="405" t="s">
        <v>590</v>
      </c>
      <c r="M6494" s="405" t="s">
        <v>19625</v>
      </c>
      <c r="N6494" s="405" t="s">
        <v>19642</v>
      </c>
      <c r="O6494" s="405" t="s">
        <v>19639</v>
      </c>
      <c r="P6494" s="405" t="s">
        <v>21000</v>
      </c>
      <c r="Q6494" s="411">
        <v>6</v>
      </c>
      <c r="R6494" s="405" t="s">
        <v>883</v>
      </c>
      <c r="S6494" s="405" t="s">
        <v>27183</v>
      </c>
      <c r="T6494" s="405" t="s">
        <v>32102</v>
      </c>
      <c r="U6494" s="405" t="s">
        <v>319</v>
      </c>
    </row>
    <row r="6495" spans="1:21" x14ac:dyDescent="0.25">
      <c r="A6495" s="405" t="s">
        <v>310</v>
      </c>
      <c r="B6495" s="405" t="s">
        <v>18566</v>
      </c>
      <c r="C6495" s="405" t="s">
        <v>327</v>
      </c>
      <c r="D6495" s="405"/>
      <c r="E6495" s="410">
        <v>41371</v>
      </c>
      <c r="F6495" s="410">
        <v>41416</v>
      </c>
      <c r="G6495" s="405" t="s">
        <v>18567</v>
      </c>
      <c r="H6495" s="405">
        <v>772688024</v>
      </c>
      <c r="I6495" s="405">
        <v>781916862</v>
      </c>
      <c r="J6495" s="405">
        <v>2.2329466999999998</v>
      </c>
      <c r="K6495" s="405">
        <v>32.907523300000001</v>
      </c>
      <c r="L6495" s="405" t="s">
        <v>860</v>
      </c>
      <c r="M6495" s="405" t="s">
        <v>18234</v>
      </c>
      <c r="N6495" s="405" t="s">
        <v>18250</v>
      </c>
      <c r="O6495" s="405" t="s">
        <v>4147</v>
      </c>
      <c r="P6495" s="405" t="s">
        <v>18511</v>
      </c>
      <c r="Q6495" s="411">
        <v>6</v>
      </c>
      <c r="R6495" s="405" t="s">
        <v>318</v>
      </c>
      <c r="S6495" s="405" t="s">
        <v>27359</v>
      </c>
      <c r="T6495" s="405" t="s">
        <v>32102</v>
      </c>
      <c r="U6495" s="405" t="s">
        <v>319</v>
      </c>
    </row>
    <row r="6496" spans="1:21" x14ac:dyDescent="0.25">
      <c r="A6496" s="405" t="s">
        <v>310</v>
      </c>
      <c r="B6496" s="405" t="s">
        <v>12638</v>
      </c>
      <c r="C6496" s="405" t="s">
        <v>327</v>
      </c>
      <c r="D6496" s="405"/>
      <c r="E6496" s="410">
        <v>41371</v>
      </c>
      <c r="F6496" s="410">
        <v>41416</v>
      </c>
      <c r="G6496" s="405" t="s">
        <v>12639</v>
      </c>
      <c r="H6496" s="405">
        <v>787169075</v>
      </c>
      <c r="I6496" s="405"/>
      <c r="J6496" s="405">
        <v>0.91540100000000002</v>
      </c>
      <c r="K6496" s="405">
        <v>34.271653000000001</v>
      </c>
      <c r="L6496" s="405" t="s">
        <v>6866</v>
      </c>
      <c r="M6496" s="405" t="s">
        <v>9763</v>
      </c>
      <c r="N6496" s="405" t="s">
        <v>9764</v>
      </c>
      <c r="O6496" s="405" t="s">
        <v>9792</v>
      </c>
      <c r="P6496" s="405" t="s">
        <v>9799</v>
      </c>
      <c r="Q6496" s="411">
        <v>6</v>
      </c>
      <c r="R6496" s="405" t="s">
        <v>7224</v>
      </c>
      <c r="S6496" s="405" t="s">
        <v>27204</v>
      </c>
      <c r="T6496" s="405" t="s">
        <v>32102</v>
      </c>
      <c r="U6496" s="405" t="s">
        <v>319</v>
      </c>
    </row>
    <row r="6497" spans="1:21" x14ac:dyDescent="0.25">
      <c r="A6497" s="405" t="s">
        <v>310</v>
      </c>
      <c r="B6497" s="405" t="s">
        <v>12640</v>
      </c>
      <c r="C6497" s="405" t="s">
        <v>311</v>
      </c>
      <c r="D6497" s="405" t="s">
        <v>1111</v>
      </c>
      <c r="E6497" s="410">
        <v>41370</v>
      </c>
      <c r="F6497" s="410">
        <v>41415</v>
      </c>
      <c r="G6497" s="405" t="s">
        <v>12641</v>
      </c>
      <c r="H6497" s="405">
        <v>774311737</v>
      </c>
      <c r="I6497" s="405"/>
      <c r="J6497" s="405">
        <v>1.9685969999999999</v>
      </c>
      <c r="K6497" s="405">
        <v>34.066670000000002</v>
      </c>
      <c r="L6497" s="405" t="s">
        <v>6866</v>
      </c>
      <c r="M6497" s="405" t="s">
        <v>11355</v>
      </c>
      <c r="N6497" s="405" t="s">
        <v>11356</v>
      </c>
      <c r="O6497" s="405" t="s">
        <v>11356</v>
      </c>
      <c r="P6497" s="405" t="s">
        <v>12642</v>
      </c>
      <c r="Q6497" s="411">
        <v>6</v>
      </c>
      <c r="R6497" s="405" t="s">
        <v>5655</v>
      </c>
      <c r="S6497" s="405" t="s">
        <v>27072</v>
      </c>
      <c r="T6497" s="405" t="s">
        <v>32102</v>
      </c>
      <c r="U6497" s="405" t="s">
        <v>319</v>
      </c>
    </row>
    <row r="6498" spans="1:21" x14ac:dyDescent="0.25">
      <c r="A6498" s="405" t="s">
        <v>310</v>
      </c>
      <c r="B6498" s="405" t="s">
        <v>12270</v>
      </c>
      <c r="C6498" s="405" t="s">
        <v>327</v>
      </c>
      <c r="D6498" s="405"/>
      <c r="E6498" s="410">
        <v>41370</v>
      </c>
      <c r="F6498" s="410">
        <v>41415</v>
      </c>
      <c r="G6498" s="405" t="s">
        <v>12271</v>
      </c>
      <c r="H6498" s="405">
        <v>757207279</v>
      </c>
      <c r="I6498" s="405"/>
      <c r="J6498" s="405">
        <v>1.1067530000000001</v>
      </c>
      <c r="K6498" s="405">
        <v>33.836750000000002</v>
      </c>
      <c r="L6498" s="405" t="s">
        <v>6866</v>
      </c>
      <c r="M6498" s="405" t="s">
        <v>10152</v>
      </c>
      <c r="N6498" s="405" t="s">
        <v>10153</v>
      </c>
      <c r="O6498" s="405" t="s">
        <v>4432</v>
      </c>
      <c r="P6498" s="405" t="s">
        <v>12272</v>
      </c>
      <c r="Q6498" s="411">
        <v>6</v>
      </c>
      <c r="R6498" s="405" t="s">
        <v>9541</v>
      </c>
      <c r="S6498" s="405" t="s">
        <v>27338</v>
      </c>
      <c r="T6498" s="405" t="s">
        <v>32102</v>
      </c>
      <c r="U6498" s="405" t="s">
        <v>319</v>
      </c>
    </row>
    <row r="6499" spans="1:21" x14ac:dyDescent="0.25">
      <c r="A6499" s="405" t="s">
        <v>310</v>
      </c>
      <c r="B6499" s="405" t="s">
        <v>46</v>
      </c>
      <c r="C6499" s="405" t="s">
        <v>327</v>
      </c>
      <c r="D6499" s="405"/>
      <c r="E6499" s="410">
        <v>41369</v>
      </c>
      <c r="F6499" s="410">
        <v>41414</v>
      </c>
      <c r="G6499" s="405" t="s">
        <v>3713</v>
      </c>
      <c r="H6499" s="405">
        <v>772308657</v>
      </c>
      <c r="I6499" s="405"/>
      <c r="J6499" s="405">
        <v>0.39050800000000002</v>
      </c>
      <c r="K6499" s="405">
        <v>32.053252999999998</v>
      </c>
      <c r="L6499" s="405" t="s">
        <v>314</v>
      </c>
      <c r="M6499" s="405" t="s">
        <v>675</v>
      </c>
      <c r="N6499" s="405" t="s">
        <v>3714</v>
      </c>
      <c r="O6499" s="405" t="s">
        <v>1066</v>
      </c>
      <c r="P6499" s="405" t="s">
        <v>3715</v>
      </c>
      <c r="Q6499" s="411">
        <v>12</v>
      </c>
      <c r="R6499" s="405" t="s">
        <v>353</v>
      </c>
      <c r="S6499" s="405" t="s">
        <v>27051</v>
      </c>
      <c r="T6499" s="405" t="s">
        <v>32102</v>
      </c>
      <c r="U6499" s="405" t="s">
        <v>319</v>
      </c>
    </row>
    <row r="6500" spans="1:21" x14ac:dyDescent="0.25">
      <c r="A6500" s="405" t="s">
        <v>310</v>
      </c>
      <c r="B6500" s="405" t="s">
        <v>27713</v>
      </c>
      <c r="C6500" s="405" t="s">
        <v>327</v>
      </c>
      <c r="D6500" s="405"/>
      <c r="E6500" s="410">
        <v>41369</v>
      </c>
      <c r="F6500" s="410">
        <v>41414</v>
      </c>
      <c r="G6500" s="405" t="s">
        <v>18301</v>
      </c>
      <c r="H6500" s="405">
        <v>773579499</v>
      </c>
      <c r="I6500" s="405"/>
      <c r="J6500" s="405">
        <v>1.7758069999999999</v>
      </c>
      <c r="K6500" s="405">
        <v>32.639052</v>
      </c>
      <c r="L6500" s="405" t="s">
        <v>860</v>
      </c>
      <c r="M6500" s="405" t="s">
        <v>861</v>
      </c>
      <c r="N6500" s="405" t="s">
        <v>18302</v>
      </c>
      <c r="O6500" s="405" t="s">
        <v>18303</v>
      </c>
      <c r="P6500" s="405" t="s">
        <v>18304</v>
      </c>
      <c r="Q6500" s="411">
        <v>6</v>
      </c>
      <c r="R6500" s="405" t="s">
        <v>525</v>
      </c>
      <c r="S6500" s="405" t="s">
        <v>27079</v>
      </c>
      <c r="T6500" s="405" t="s">
        <v>32102</v>
      </c>
      <c r="U6500" s="405" t="s">
        <v>319</v>
      </c>
    </row>
    <row r="6501" spans="1:21" x14ac:dyDescent="0.25">
      <c r="A6501" s="405" t="s">
        <v>310</v>
      </c>
      <c r="B6501" s="405" t="s">
        <v>3662</v>
      </c>
      <c r="C6501" s="405" t="s">
        <v>327</v>
      </c>
      <c r="D6501" s="405"/>
      <c r="E6501" s="410">
        <v>41369</v>
      </c>
      <c r="F6501" s="410">
        <v>41414</v>
      </c>
      <c r="G6501" s="405" t="s">
        <v>3663</v>
      </c>
      <c r="H6501" s="405">
        <v>706090034</v>
      </c>
      <c r="I6501" s="405">
        <v>753134940</v>
      </c>
      <c r="J6501" s="405">
        <v>-0.35399720000000001</v>
      </c>
      <c r="K6501" s="405">
        <v>31.729342200000001</v>
      </c>
      <c r="L6501" s="405" t="s">
        <v>314</v>
      </c>
      <c r="M6501" s="405" t="s">
        <v>382</v>
      </c>
      <c r="N6501" s="405" t="s">
        <v>941</v>
      </c>
      <c r="O6501" s="405" t="s">
        <v>1260</v>
      </c>
      <c r="P6501" s="405" t="s">
        <v>3664</v>
      </c>
      <c r="Q6501" s="411">
        <v>6</v>
      </c>
      <c r="R6501" s="405" t="s">
        <v>402</v>
      </c>
      <c r="S6501" s="405" t="s">
        <v>27139</v>
      </c>
      <c r="T6501" s="405" t="s">
        <v>32102</v>
      </c>
      <c r="U6501" s="405" t="s">
        <v>319</v>
      </c>
    </row>
    <row r="6502" spans="1:21" x14ac:dyDescent="0.25">
      <c r="A6502" s="405" t="s">
        <v>310</v>
      </c>
      <c r="B6502" s="405" t="s">
        <v>21044</v>
      </c>
      <c r="C6502" s="405" t="s">
        <v>327</v>
      </c>
      <c r="D6502" s="405"/>
      <c r="E6502" s="410">
        <v>41369</v>
      </c>
      <c r="F6502" s="410">
        <v>41414</v>
      </c>
      <c r="G6502" s="405" t="s">
        <v>21045</v>
      </c>
      <c r="H6502" s="405">
        <v>779450134</v>
      </c>
      <c r="I6502" s="405"/>
      <c r="J6502" s="405">
        <v>-0.81084800000000001</v>
      </c>
      <c r="K6502" s="405">
        <v>30.112148000000001</v>
      </c>
      <c r="L6502" s="405" t="s">
        <v>590</v>
      </c>
      <c r="M6502" s="405" t="s">
        <v>19659</v>
      </c>
      <c r="N6502" s="405" t="s">
        <v>19604</v>
      </c>
      <c r="O6502" s="405" t="s">
        <v>19660</v>
      </c>
      <c r="P6502" s="405" t="s">
        <v>21046</v>
      </c>
      <c r="Q6502" s="411">
        <v>6</v>
      </c>
      <c r="R6502" s="405" t="s">
        <v>1527</v>
      </c>
      <c r="S6502" s="405" t="s">
        <v>27240</v>
      </c>
      <c r="T6502" s="405" t="s">
        <v>32102</v>
      </c>
      <c r="U6502" s="405" t="s">
        <v>319</v>
      </c>
    </row>
    <row r="6503" spans="1:21" x14ac:dyDescent="0.25">
      <c r="A6503" s="405" t="s">
        <v>310</v>
      </c>
      <c r="B6503" s="405" t="s">
        <v>3567</v>
      </c>
      <c r="C6503" s="405" t="s">
        <v>327</v>
      </c>
      <c r="D6503" s="405"/>
      <c r="E6503" s="410">
        <v>41369</v>
      </c>
      <c r="F6503" s="410">
        <v>41414</v>
      </c>
      <c r="G6503" s="405" t="s">
        <v>3568</v>
      </c>
      <c r="H6503" s="405">
        <v>777942811</v>
      </c>
      <c r="I6503" s="405"/>
      <c r="J6503" s="405">
        <v>0.58474499999999996</v>
      </c>
      <c r="K6503" s="405">
        <v>31.843150000000001</v>
      </c>
      <c r="L6503" s="405" t="s">
        <v>314</v>
      </c>
      <c r="M6503" s="405" t="s">
        <v>445</v>
      </c>
      <c r="N6503" s="405" t="s">
        <v>570</v>
      </c>
      <c r="O6503" s="405" t="s">
        <v>571</v>
      </c>
      <c r="P6503" s="405" t="s">
        <v>2831</v>
      </c>
      <c r="Q6503" s="411">
        <v>6</v>
      </c>
      <c r="R6503" s="405" t="s">
        <v>318</v>
      </c>
      <c r="S6503" s="405" t="s">
        <v>27152</v>
      </c>
      <c r="T6503" s="405" t="s">
        <v>32102</v>
      </c>
      <c r="U6503" s="405" t="s">
        <v>319</v>
      </c>
    </row>
    <row r="6504" spans="1:21" x14ac:dyDescent="0.25">
      <c r="A6504" s="405" t="s">
        <v>310</v>
      </c>
      <c r="B6504" s="405" t="s">
        <v>21031</v>
      </c>
      <c r="C6504" s="405" t="s">
        <v>327</v>
      </c>
      <c r="D6504" s="405"/>
      <c r="E6504" s="410">
        <v>41368</v>
      </c>
      <c r="F6504" s="410">
        <v>41413</v>
      </c>
      <c r="G6504" s="405" t="s">
        <v>21032</v>
      </c>
      <c r="H6504" s="405">
        <v>782308405</v>
      </c>
      <c r="I6504" s="405">
        <v>752308405</v>
      </c>
      <c r="J6504" s="405">
        <v>0.61833700000000003</v>
      </c>
      <c r="K6504" s="405">
        <v>30.589941</v>
      </c>
      <c r="L6504" s="405" t="s">
        <v>590</v>
      </c>
      <c r="M6504" s="405" t="s">
        <v>20426</v>
      </c>
      <c r="N6504" s="405" t="s">
        <v>21033</v>
      </c>
      <c r="O6504" s="405" t="s">
        <v>20533</v>
      </c>
      <c r="P6504" s="405" t="s">
        <v>21034</v>
      </c>
      <c r="Q6504" s="411">
        <v>9</v>
      </c>
      <c r="R6504" s="405" t="s">
        <v>333</v>
      </c>
      <c r="S6504" s="405" t="s">
        <v>27412</v>
      </c>
      <c r="T6504" s="405" t="s">
        <v>32102</v>
      </c>
      <c r="U6504" s="405" t="s">
        <v>319</v>
      </c>
    </row>
    <row r="6505" spans="1:21" x14ac:dyDescent="0.25">
      <c r="A6505" s="405" t="s">
        <v>310</v>
      </c>
      <c r="B6505" s="405" t="s">
        <v>12240</v>
      </c>
      <c r="C6505" s="405" t="s">
        <v>327</v>
      </c>
      <c r="D6505" s="405"/>
      <c r="E6505" s="410">
        <v>41368</v>
      </c>
      <c r="F6505" s="410">
        <v>41413</v>
      </c>
      <c r="G6505" s="405" t="s">
        <v>12241</v>
      </c>
      <c r="H6505" s="405">
        <v>752535381</v>
      </c>
      <c r="I6505" s="405"/>
      <c r="J6505" s="405">
        <v>1.4734480000000001</v>
      </c>
      <c r="K6505" s="405">
        <v>33.970689999999998</v>
      </c>
      <c r="L6505" s="405" t="s">
        <v>6866</v>
      </c>
      <c r="M6505" s="405" t="s">
        <v>10029</v>
      </c>
      <c r="N6505" s="405" t="s">
        <v>10030</v>
      </c>
      <c r="O6505" s="405" t="s">
        <v>10031</v>
      </c>
      <c r="P6505" s="405" t="s">
        <v>12242</v>
      </c>
      <c r="Q6505" s="411">
        <v>6</v>
      </c>
      <c r="R6505" s="405" t="s">
        <v>9541</v>
      </c>
      <c r="S6505" s="405" t="s">
        <v>27320</v>
      </c>
      <c r="T6505" s="405" t="s">
        <v>32102</v>
      </c>
      <c r="U6505" s="405" t="s">
        <v>319</v>
      </c>
    </row>
    <row r="6506" spans="1:21" x14ac:dyDescent="0.25">
      <c r="A6506" s="405" t="s">
        <v>310</v>
      </c>
      <c r="B6506" s="405" t="s">
        <v>18556</v>
      </c>
      <c r="C6506" s="405" t="s">
        <v>327</v>
      </c>
      <c r="D6506" s="405"/>
      <c r="E6506" s="410">
        <v>41368</v>
      </c>
      <c r="F6506" s="410">
        <v>41413</v>
      </c>
      <c r="G6506" s="405" t="s">
        <v>18557</v>
      </c>
      <c r="H6506" s="405">
        <v>787567957</v>
      </c>
      <c r="I6506" s="405"/>
      <c r="J6506" s="405">
        <v>2.243042</v>
      </c>
      <c r="K6506" s="405">
        <v>33.103133</v>
      </c>
      <c r="L6506" s="405" t="s">
        <v>860</v>
      </c>
      <c r="M6506" s="405" t="s">
        <v>18234</v>
      </c>
      <c r="N6506" s="405" t="s">
        <v>18252</v>
      </c>
      <c r="O6506" s="405" t="s">
        <v>18260</v>
      </c>
      <c r="P6506" s="405" t="s">
        <v>18558</v>
      </c>
      <c r="Q6506" s="411">
        <v>6</v>
      </c>
      <c r="R6506" s="405" t="s">
        <v>318</v>
      </c>
      <c r="S6506" s="405" t="s">
        <v>27378</v>
      </c>
      <c r="T6506" s="405" t="s">
        <v>32102</v>
      </c>
      <c r="U6506" s="405" t="s">
        <v>319</v>
      </c>
    </row>
    <row r="6507" spans="1:21" x14ac:dyDescent="0.25">
      <c r="A6507" s="405" t="s">
        <v>310</v>
      </c>
      <c r="B6507" s="405" t="s">
        <v>3718</v>
      </c>
      <c r="C6507" s="405" t="s">
        <v>327</v>
      </c>
      <c r="D6507" s="405"/>
      <c r="E6507" s="410">
        <v>41368</v>
      </c>
      <c r="F6507" s="410">
        <v>41413</v>
      </c>
      <c r="G6507" s="405" t="s">
        <v>3719</v>
      </c>
      <c r="H6507" s="405">
        <v>706706022</v>
      </c>
      <c r="I6507" s="405">
        <v>701363003</v>
      </c>
      <c r="J6507" s="405">
        <v>-0.33650839999999999</v>
      </c>
      <c r="K6507" s="405">
        <v>31.7429296</v>
      </c>
      <c r="L6507" s="405" t="s">
        <v>314</v>
      </c>
      <c r="M6507" s="405" t="s">
        <v>382</v>
      </c>
      <c r="N6507" s="405" t="s">
        <v>383</v>
      </c>
      <c r="O6507" s="405" t="s">
        <v>384</v>
      </c>
      <c r="P6507" s="405" t="s">
        <v>680</v>
      </c>
      <c r="Q6507" s="411">
        <v>6</v>
      </c>
      <c r="R6507" s="405" t="s">
        <v>402</v>
      </c>
      <c r="S6507" s="405" t="s">
        <v>27154</v>
      </c>
      <c r="T6507" s="405" t="s">
        <v>32102</v>
      </c>
      <c r="U6507" s="405" t="s">
        <v>319</v>
      </c>
    </row>
    <row r="6508" spans="1:21" x14ac:dyDescent="0.25">
      <c r="A6508" s="405" t="s">
        <v>310</v>
      </c>
      <c r="B6508" s="405" t="s">
        <v>12296</v>
      </c>
      <c r="C6508" s="405" t="s">
        <v>327</v>
      </c>
      <c r="D6508" s="405"/>
      <c r="E6508" s="410">
        <v>41367</v>
      </c>
      <c r="F6508" s="410">
        <v>41412</v>
      </c>
      <c r="G6508" s="405" t="s">
        <v>12297</v>
      </c>
      <c r="H6508" s="405">
        <v>772441412</v>
      </c>
      <c r="I6508" s="405"/>
      <c r="J6508" s="405">
        <v>0.70724699999999996</v>
      </c>
      <c r="K6508" s="405">
        <v>34.201659999999997</v>
      </c>
      <c r="L6508" s="405" t="s">
        <v>6866</v>
      </c>
      <c r="M6508" s="405" t="s">
        <v>9534</v>
      </c>
      <c r="N6508" s="405" t="s">
        <v>10201</v>
      </c>
      <c r="O6508" s="405" t="s">
        <v>10202</v>
      </c>
      <c r="P6508" s="405" t="s">
        <v>12298</v>
      </c>
      <c r="Q6508" s="411">
        <v>13</v>
      </c>
      <c r="R6508" s="405" t="s">
        <v>7224</v>
      </c>
      <c r="S6508" s="405" t="s">
        <v>27259</v>
      </c>
      <c r="T6508" s="405" t="s">
        <v>32102</v>
      </c>
      <c r="U6508" s="405" t="s">
        <v>319</v>
      </c>
    </row>
    <row r="6509" spans="1:21" x14ac:dyDescent="0.25">
      <c r="A6509" s="405" t="s">
        <v>310</v>
      </c>
      <c r="B6509" s="405" t="s">
        <v>28770</v>
      </c>
      <c r="C6509" s="405" t="s">
        <v>327</v>
      </c>
      <c r="D6509" s="405"/>
      <c r="E6509" s="410">
        <v>41367</v>
      </c>
      <c r="F6509" s="410">
        <v>41412</v>
      </c>
      <c r="G6509" s="405" t="s">
        <v>12293</v>
      </c>
      <c r="H6509" s="405">
        <v>782991327</v>
      </c>
      <c r="I6509" s="405"/>
      <c r="J6509" s="405">
        <v>0.30735600000000002</v>
      </c>
      <c r="K6509" s="405">
        <v>34.038482000000002</v>
      </c>
      <c r="L6509" s="405" t="s">
        <v>6866</v>
      </c>
      <c r="M6509" s="405" t="s">
        <v>10390</v>
      </c>
      <c r="N6509" s="405" t="s">
        <v>10391</v>
      </c>
      <c r="O6509" s="405" t="s">
        <v>12291</v>
      </c>
      <c r="P6509" s="405" t="s">
        <v>12292</v>
      </c>
      <c r="Q6509" s="411">
        <v>6</v>
      </c>
      <c r="R6509" s="405" t="s">
        <v>7224</v>
      </c>
      <c r="S6509" s="405" t="s">
        <v>27204</v>
      </c>
      <c r="T6509" s="405" t="s">
        <v>32102</v>
      </c>
      <c r="U6509" s="405" t="s">
        <v>319</v>
      </c>
    </row>
    <row r="6510" spans="1:21" x14ac:dyDescent="0.25">
      <c r="A6510" s="405" t="s">
        <v>310</v>
      </c>
      <c r="B6510" s="405" t="s">
        <v>12705</v>
      </c>
      <c r="C6510" s="405" t="s">
        <v>311</v>
      </c>
      <c r="D6510" s="405" t="s">
        <v>1111</v>
      </c>
      <c r="E6510" s="410">
        <v>41367</v>
      </c>
      <c r="F6510" s="410">
        <v>41412</v>
      </c>
      <c r="G6510" s="405" t="s">
        <v>12706</v>
      </c>
      <c r="H6510" s="405">
        <v>782844890</v>
      </c>
      <c r="I6510" s="405"/>
      <c r="J6510" s="405">
        <v>0.889934</v>
      </c>
      <c r="K6510" s="405">
        <v>34.358770999999997</v>
      </c>
      <c r="L6510" s="405" t="s">
        <v>6866</v>
      </c>
      <c r="M6510" s="405" t="s">
        <v>9763</v>
      </c>
      <c r="N6510" s="405" t="s">
        <v>9848</v>
      </c>
      <c r="O6510" s="405" t="s">
        <v>10962</v>
      </c>
      <c r="P6510" s="405" t="s">
        <v>12301</v>
      </c>
      <c r="Q6510" s="411">
        <v>4</v>
      </c>
      <c r="R6510" s="405" t="s">
        <v>7224</v>
      </c>
      <c r="S6510" s="405" t="s">
        <v>27074</v>
      </c>
      <c r="T6510" s="405" t="s">
        <v>32102</v>
      </c>
      <c r="U6510" s="405" t="s">
        <v>319</v>
      </c>
    </row>
    <row r="6511" spans="1:21" x14ac:dyDescent="0.25">
      <c r="A6511" s="405" t="s">
        <v>310</v>
      </c>
      <c r="B6511" s="405" t="s">
        <v>28136</v>
      </c>
      <c r="C6511" s="405" t="s">
        <v>327</v>
      </c>
      <c r="D6511" s="405"/>
      <c r="E6511" s="410">
        <v>41366</v>
      </c>
      <c r="F6511" s="410">
        <v>41411</v>
      </c>
      <c r="G6511" s="405" t="s">
        <v>21059</v>
      </c>
      <c r="H6511" s="405">
        <v>772499517</v>
      </c>
      <c r="I6511" s="405"/>
      <c r="J6511" s="405">
        <v>-0.49936199999999997</v>
      </c>
      <c r="K6511" s="405">
        <v>30.060365999999998</v>
      </c>
      <c r="L6511" s="405" t="s">
        <v>590</v>
      </c>
      <c r="M6511" s="405" t="s">
        <v>19625</v>
      </c>
      <c r="N6511" s="405" t="s">
        <v>19642</v>
      </c>
      <c r="O6511" s="405" t="s">
        <v>19639</v>
      </c>
      <c r="P6511" s="405" t="s">
        <v>21060</v>
      </c>
      <c r="Q6511" s="411">
        <v>6</v>
      </c>
      <c r="R6511" s="405" t="s">
        <v>883</v>
      </c>
      <c r="S6511" s="405" t="s">
        <v>27173</v>
      </c>
      <c r="T6511" s="405" t="s">
        <v>32102</v>
      </c>
      <c r="U6511" s="405" t="s">
        <v>319</v>
      </c>
    </row>
    <row r="6512" spans="1:21" x14ac:dyDescent="0.25">
      <c r="A6512" s="405" t="s">
        <v>310</v>
      </c>
      <c r="B6512" s="405" t="s">
        <v>3610</v>
      </c>
      <c r="C6512" s="405" t="s">
        <v>327</v>
      </c>
      <c r="D6512" s="405"/>
      <c r="E6512" s="410">
        <v>41366</v>
      </c>
      <c r="F6512" s="410">
        <v>41411</v>
      </c>
      <c r="G6512" s="405" t="s">
        <v>3611</v>
      </c>
      <c r="H6512" s="405">
        <v>785861681</v>
      </c>
      <c r="I6512" s="405"/>
      <c r="J6512" s="405">
        <v>0.19911300000000001</v>
      </c>
      <c r="K6512" s="405">
        <v>32.12847</v>
      </c>
      <c r="L6512" s="405" t="s">
        <v>314</v>
      </c>
      <c r="M6512" s="405" t="s">
        <v>315</v>
      </c>
      <c r="N6512" s="405" t="s">
        <v>315</v>
      </c>
      <c r="O6512" s="405" t="s">
        <v>1252</v>
      </c>
      <c r="P6512" s="405" t="s">
        <v>3609</v>
      </c>
      <c r="Q6512" s="411">
        <v>6</v>
      </c>
      <c r="R6512" s="405" t="s">
        <v>318</v>
      </c>
      <c r="S6512" s="405" t="s">
        <v>27188</v>
      </c>
      <c r="T6512" s="405" t="s">
        <v>32102</v>
      </c>
      <c r="U6512" s="405" t="s">
        <v>319</v>
      </c>
    </row>
    <row r="6513" spans="1:21" x14ac:dyDescent="0.25">
      <c r="A6513" s="405" t="s">
        <v>310</v>
      </c>
      <c r="B6513" s="405" t="s">
        <v>28276</v>
      </c>
      <c r="C6513" s="405" t="s">
        <v>327</v>
      </c>
      <c r="D6513" s="405"/>
      <c r="E6513" s="410">
        <v>41365</v>
      </c>
      <c r="F6513" s="410">
        <v>41410</v>
      </c>
      <c r="G6513" s="405" t="s">
        <v>18554</v>
      </c>
      <c r="H6513" s="405">
        <v>777114041</v>
      </c>
      <c r="I6513" s="405"/>
      <c r="J6513" s="405">
        <v>2.2023090000000001</v>
      </c>
      <c r="K6513" s="405">
        <v>33.115167</v>
      </c>
      <c r="L6513" s="405" t="s">
        <v>860</v>
      </c>
      <c r="M6513" s="405" t="s">
        <v>18234</v>
      </c>
      <c r="N6513" s="405" t="s">
        <v>18252</v>
      </c>
      <c r="O6513" s="405" t="s">
        <v>18260</v>
      </c>
      <c r="P6513" s="405" t="s">
        <v>18555</v>
      </c>
      <c r="Q6513" s="411">
        <v>6</v>
      </c>
      <c r="R6513" s="405" t="s">
        <v>318</v>
      </c>
      <c r="S6513" s="405" t="s">
        <v>27343</v>
      </c>
      <c r="T6513" s="405" t="s">
        <v>32102</v>
      </c>
      <c r="U6513" s="405" t="s">
        <v>319</v>
      </c>
    </row>
    <row r="6514" spans="1:21" x14ac:dyDescent="0.25">
      <c r="A6514" s="405" t="s">
        <v>310</v>
      </c>
      <c r="B6514" s="405" t="s">
        <v>12237</v>
      </c>
      <c r="C6514" s="405" t="s">
        <v>327</v>
      </c>
      <c r="D6514" s="405"/>
      <c r="E6514" s="410">
        <v>41365</v>
      </c>
      <c r="F6514" s="410">
        <v>41410</v>
      </c>
      <c r="G6514" s="405" t="s">
        <v>12238</v>
      </c>
      <c r="H6514" s="405">
        <v>772448433</v>
      </c>
      <c r="I6514" s="405"/>
      <c r="J6514" s="405">
        <v>1.443012</v>
      </c>
      <c r="K6514" s="405">
        <v>33.929302</v>
      </c>
      <c r="L6514" s="405" t="s">
        <v>6866</v>
      </c>
      <c r="M6514" s="405" t="s">
        <v>10029</v>
      </c>
      <c r="N6514" s="405" t="s">
        <v>10030</v>
      </c>
      <c r="O6514" s="405" t="s">
        <v>10031</v>
      </c>
      <c r="P6514" s="405" t="s">
        <v>12239</v>
      </c>
      <c r="Q6514" s="411">
        <v>6</v>
      </c>
      <c r="R6514" s="405" t="s">
        <v>9541</v>
      </c>
      <c r="S6514" s="405" t="s">
        <v>27331</v>
      </c>
      <c r="T6514" s="405" t="s">
        <v>32102</v>
      </c>
      <c r="U6514" s="405" t="s">
        <v>319</v>
      </c>
    </row>
    <row r="6515" spans="1:21" x14ac:dyDescent="0.25">
      <c r="A6515" s="405" t="s">
        <v>310</v>
      </c>
      <c r="B6515" s="405" t="s">
        <v>12680</v>
      </c>
      <c r="C6515" s="405" t="s">
        <v>311</v>
      </c>
      <c r="D6515" s="405" t="s">
        <v>3381</v>
      </c>
      <c r="E6515" s="410">
        <v>41365</v>
      </c>
      <c r="F6515" s="410">
        <v>41410</v>
      </c>
      <c r="G6515" s="405" t="s">
        <v>12681</v>
      </c>
      <c r="H6515" s="405">
        <v>772873748</v>
      </c>
      <c r="I6515" s="405"/>
      <c r="J6515" s="405">
        <v>1.0188470000000001</v>
      </c>
      <c r="K6515" s="405">
        <v>33.884258000000003</v>
      </c>
      <c r="L6515" s="405" t="s">
        <v>6866</v>
      </c>
      <c r="M6515" s="405" t="s">
        <v>10152</v>
      </c>
      <c r="N6515" s="405" t="s">
        <v>10153</v>
      </c>
      <c r="O6515" s="405" t="s">
        <v>12165</v>
      </c>
      <c r="P6515" s="405" t="s">
        <v>12165</v>
      </c>
      <c r="Q6515" s="411">
        <v>6</v>
      </c>
      <c r="R6515" s="405" t="s">
        <v>9541</v>
      </c>
      <c r="S6515" s="405" t="s">
        <v>27314</v>
      </c>
      <c r="T6515" s="405" t="s">
        <v>32102</v>
      </c>
      <c r="U6515" s="405" t="s">
        <v>319</v>
      </c>
    </row>
    <row r="6516" spans="1:21" x14ac:dyDescent="0.25">
      <c r="A6516" s="405" t="s">
        <v>310</v>
      </c>
      <c r="B6516" s="405" t="s">
        <v>28153</v>
      </c>
      <c r="C6516" s="405" t="s">
        <v>327</v>
      </c>
      <c r="D6516" s="405"/>
      <c r="E6516" s="410">
        <v>41364</v>
      </c>
      <c r="F6516" s="410">
        <v>41409</v>
      </c>
      <c r="G6516" s="405" t="s">
        <v>3637</v>
      </c>
      <c r="H6516" s="405">
        <v>772420645</v>
      </c>
      <c r="I6516" s="405"/>
      <c r="J6516" s="405">
        <v>0.17780299999999999</v>
      </c>
      <c r="K6516" s="405">
        <v>32.547207999999998</v>
      </c>
      <c r="L6516" s="405" t="s">
        <v>314</v>
      </c>
      <c r="M6516" s="405" t="s">
        <v>361</v>
      </c>
      <c r="N6516" s="405" t="s">
        <v>2496</v>
      </c>
      <c r="O6516" s="405" t="s">
        <v>374</v>
      </c>
      <c r="P6516" s="405" t="s">
        <v>3638</v>
      </c>
      <c r="Q6516" s="411">
        <v>13</v>
      </c>
      <c r="R6516" s="405" t="s">
        <v>525</v>
      </c>
      <c r="S6516" s="405" t="s">
        <v>27153</v>
      </c>
      <c r="T6516" s="405" t="s">
        <v>32102</v>
      </c>
      <c r="U6516" s="405" t="s">
        <v>319</v>
      </c>
    </row>
    <row r="6517" spans="1:21" x14ac:dyDescent="0.25">
      <c r="A6517" s="405" t="s">
        <v>310</v>
      </c>
      <c r="B6517" s="405" t="s">
        <v>3749</v>
      </c>
      <c r="C6517" s="405" t="s">
        <v>327</v>
      </c>
      <c r="D6517" s="405"/>
      <c r="E6517" s="410">
        <v>41364</v>
      </c>
      <c r="F6517" s="410">
        <v>41409</v>
      </c>
      <c r="G6517" s="405" t="s">
        <v>3750</v>
      </c>
      <c r="H6517" s="405">
        <v>772449669</v>
      </c>
      <c r="I6517" s="405"/>
      <c r="J6517" s="405">
        <v>0.86594499999999996</v>
      </c>
      <c r="K6517" s="405">
        <v>32.304834999999997</v>
      </c>
      <c r="L6517" s="405" t="s">
        <v>314</v>
      </c>
      <c r="M6517" s="405" t="s">
        <v>2297</v>
      </c>
      <c r="N6517" s="405" t="s">
        <v>1308</v>
      </c>
      <c r="O6517" s="405" t="s">
        <v>3751</v>
      </c>
      <c r="P6517" s="405" t="s">
        <v>336</v>
      </c>
      <c r="Q6517" s="411">
        <v>13</v>
      </c>
      <c r="R6517" s="405" t="s">
        <v>1263</v>
      </c>
      <c r="S6517" s="405" t="s">
        <v>27189</v>
      </c>
      <c r="T6517" s="405" t="s">
        <v>32102</v>
      </c>
      <c r="U6517" s="405" t="s">
        <v>319</v>
      </c>
    </row>
    <row r="6518" spans="1:21" x14ac:dyDescent="0.25">
      <c r="A6518" s="405" t="s">
        <v>310</v>
      </c>
      <c r="B6518" s="405" t="s">
        <v>3702</v>
      </c>
      <c r="C6518" s="405" t="s">
        <v>327</v>
      </c>
      <c r="D6518" s="405"/>
      <c r="E6518" s="410">
        <v>41364</v>
      </c>
      <c r="F6518" s="410">
        <v>41409</v>
      </c>
      <c r="G6518" s="405" t="s">
        <v>3703</v>
      </c>
      <c r="H6518" s="405">
        <v>752797499</v>
      </c>
      <c r="I6518" s="405"/>
      <c r="J6518" s="405">
        <v>0.13906199999999999</v>
      </c>
      <c r="K6518" s="405">
        <v>32.574477999999999</v>
      </c>
      <c r="L6518" s="405" t="s">
        <v>314</v>
      </c>
      <c r="M6518" s="405" t="s">
        <v>361</v>
      </c>
      <c r="N6518" s="405" t="s">
        <v>374</v>
      </c>
      <c r="O6518" s="405" t="s">
        <v>2496</v>
      </c>
      <c r="P6518" s="405" t="s">
        <v>3704</v>
      </c>
      <c r="Q6518" s="411">
        <v>13</v>
      </c>
      <c r="R6518" s="405" t="s">
        <v>353</v>
      </c>
      <c r="S6518" s="405" t="s">
        <v>27051</v>
      </c>
      <c r="T6518" s="405" t="s">
        <v>32102</v>
      </c>
      <c r="U6518" s="405" t="s">
        <v>319</v>
      </c>
    </row>
    <row r="6519" spans="1:21" x14ac:dyDescent="0.25">
      <c r="A6519" s="405" t="s">
        <v>310</v>
      </c>
      <c r="B6519" s="405" t="s">
        <v>3652</v>
      </c>
      <c r="C6519" s="405" t="s">
        <v>327</v>
      </c>
      <c r="D6519" s="405"/>
      <c r="E6519" s="410">
        <v>41364</v>
      </c>
      <c r="F6519" s="410">
        <v>41409</v>
      </c>
      <c r="G6519" s="405" t="s">
        <v>3653</v>
      </c>
      <c r="H6519" s="405">
        <v>772503853</v>
      </c>
      <c r="I6519" s="405"/>
      <c r="J6519" s="405">
        <v>0.44749</v>
      </c>
      <c r="K6519" s="405">
        <v>32.509520000000002</v>
      </c>
      <c r="L6519" s="405" t="s">
        <v>314</v>
      </c>
      <c r="M6519" s="405" t="s">
        <v>361</v>
      </c>
      <c r="N6519" s="405" t="s">
        <v>362</v>
      </c>
      <c r="O6519" s="405" t="s">
        <v>523</v>
      </c>
      <c r="P6519" s="405" t="s">
        <v>3334</v>
      </c>
      <c r="Q6519" s="411">
        <v>13</v>
      </c>
      <c r="R6519" s="405" t="s">
        <v>1263</v>
      </c>
      <c r="S6519" s="405" t="s">
        <v>27047</v>
      </c>
      <c r="T6519" s="405" t="s">
        <v>32102</v>
      </c>
      <c r="U6519" s="405" t="s">
        <v>319</v>
      </c>
    </row>
    <row r="6520" spans="1:21" x14ac:dyDescent="0.25">
      <c r="A6520" s="405" t="s">
        <v>310</v>
      </c>
      <c r="B6520" s="405" t="s">
        <v>3612</v>
      </c>
      <c r="C6520" s="405" t="s">
        <v>327</v>
      </c>
      <c r="D6520" s="405"/>
      <c r="E6520" s="410">
        <v>41364</v>
      </c>
      <c r="F6520" s="410">
        <v>41409</v>
      </c>
      <c r="G6520" s="405" t="s">
        <v>3613</v>
      </c>
      <c r="H6520" s="405">
        <v>702817213</v>
      </c>
      <c r="I6520" s="405"/>
      <c r="J6520" s="405">
        <v>8.7309999999999999E-2</v>
      </c>
      <c r="K6520" s="405">
        <v>32.51249</v>
      </c>
      <c r="L6520" s="405" t="s">
        <v>314</v>
      </c>
      <c r="M6520" s="405" t="s">
        <v>361</v>
      </c>
      <c r="N6520" s="405" t="s">
        <v>374</v>
      </c>
      <c r="O6520" s="405" t="s">
        <v>638</v>
      </c>
      <c r="P6520" s="405" t="s">
        <v>639</v>
      </c>
      <c r="Q6520" s="411">
        <v>13</v>
      </c>
      <c r="R6520" s="405" t="s">
        <v>525</v>
      </c>
      <c r="S6520" s="405" t="s">
        <v>414</v>
      </c>
      <c r="T6520" s="405" t="s">
        <v>32102</v>
      </c>
      <c r="U6520" s="405" t="s">
        <v>319</v>
      </c>
    </row>
    <row r="6521" spans="1:21" x14ac:dyDescent="0.25">
      <c r="A6521" s="405" t="s">
        <v>310</v>
      </c>
      <c r="B6521" s="405" t="s">
        <v>3633</v>
      </c>
      <c r="C6521" s="405" t="s">
        <v>327</v>
      </c>
      <c r="D6521" s="405"/>
      <c r="E6521" s="410">
        <v>41364</v>
      </c>
      <c r="F6521" s="410">
        <v>41409</v>
      </c>
      <c r="G6521" s="405" t="s">
        <v>3634</v>
      </c>
      <c r="H6521" s="405">
        <v>772420645</v>
      </c>
      <c r="I6521" s="405"/>
      <c r="J6521" s="405">
        <v>0.17782300000000001</v>
      </c>
      <c r="K6521" s="405">
        <v>32.547145</v>
      </c>
      <c r="L6521" s="405" t="s">
        <v>314</v>
      </c>
      <c r="M6521" s="405" t="s">
        <v>361</v>
      </c>
      <c r="N6521" s="405" t="s">
        <v>3635</v>
      </c>
      <c r="O6521" s="405" t="s">
        <v>374</v>
      </c>
      <c r="P6521" s="405" t="s">
        <v>3636</v>
      </c>
      <c r="Q6521" s="411">
        <v>13</v>
      </c>
      <c r="R6521" s="405" t="s">
        <v>525</v>
      </c>
      <c r="S6521" s="405" t="s">
        <v>27206</v>
      </c>
      <c r="T6521" s="405" t="s">
        <v>32102</v>
      </c>
      <c r="U6521" s="405" t="s">
        <v>319</v>
      </c>
    </row>
    <row r="6522" spans="1:21" x14ac:dyDescent="0.25">
      <c r="A6522" s="405" t="s">
        <v>310</v>
      </c>
      <c r="B6522" s="405" t="s">
        <v>4129</v>
      </c>
      <c r="C6522" s="405" t="s">
        <v>311</v>
      </c>
      <c r="D6522" s="405" t="s">
        <v>839</v>
      </c>
      <c r="E6522" s="410">
        <v>41364</v>
      </c>
      <c r="F6522" s="410">
        <v>41409</v>
      </c>
      <c r="G6522" s="405" t="s">
        <v>4130</v>
      </c>
      <c r="H6522" s="405">
        <v>752970814</v>
      </c>
      <c r="I6522" s="405"/>
      <c r="J6522" s="405">
        <v>0.50157300000000005</v>
      </c>
      <c r="K6522" s="405">
        <v>32.460661999999999</v>
      </c>
      <c r="L6522" s="405" t="s">
        <v>314</v>
      </c>
      <c r="M6522" s="405" t="s">
        <v>361</v>
      </c>
      <c r="N6522" s="405" t="s">
        <v>362</v>
      </c>
      <c r="O6522" s="405" t="s">
        <v>523</v>
      </c>
      <c r="P6522" s="405" t="s">
        <v>4131</v>
      </c>
      <c r="Q6522" s="411">
        <v>9</v>
      </c>
      <c r="R6522" s="405" t="s">
        <v>1263</v>
      </c>
      <c r="S6522" s="405" t="s">
        <v>27164</v>
      </c>
      <c r="T6522" s="405" t="s">
        <v>32102</v>
      </c>
      <c r="U6522" s="405" t="s">
        <v>319</v>
      </c>
    </row>
    <row r="6523" spans="1:21" x14ac:dyDescent="0.25">
      <c r="A6523" s="405" t="s">
        <v>310</v>
      </c>
      <c r="B6523" s="405" t="s">
        <v>4157</v>
      </c>
      <c r="C6523" s="405" t="s">
        <v>857</v>
      </c>
      <c r="D6523" s="405" t="s">
        <v>1037</v>
      </c>
      <c r="E6523" s="410">
        <v>41364</v>
      </c>
      <c r="F6523" s="410">
        <v>41409</v>
      </c>
      <c r="G6523" s="405" t="s">
        <v>4158</v>
      </c>
      <c r="H6523" s="405">
        <v>772593776</v>
      </c>
      <c r="I6523" s="405"/>
      <c r="J6523" s="405">
        <v>0.74275800000000003</v>
      </c>
      <c r="K6523" s="405">
        <v>32.545177000000002</v>
      </c>
      <c r="L6523" s="405" t="s">
        <v>314</v>
      </c>
      <c r="M6523" s="405" t="s">
        <v>959</v>
      </c>
      <c r="N6523" s="405" t="s">
        <v>1094</v>
      </c>
      <c r="O6523" s="405" t="s">
        <v>1094</v>
      </c>
      <c r="P6523" s="405" t="s">
        <v>4159</v>
      </c>
      <c r="Q6523" s="411">
        <v>9</v>
      </c>
      <c r="R6523" s="405" t="s">
        <v>1263</v>
      </c>
      <c r="S6523" s="405" t="s">
        <v>27053</v>
      </c>
      <c r="T6523" s="405" t="s">
        <v>32102</v>
      </c>
      <c r="U6523" s="405" t="s">
        <v>319</v>
      </c>
    </row>
    <row r="6524" spans="1:21" x14ac:dyDescent="0.25">
      <c r="A6524" s="405" t="s">
        <v>310</v>
      </c>
      <c r="B6524" s="405" t="s">
        <v>3585</v>
      </c>
      <c r="C6524" s="405" t="s">
        <v>327</v>
      </c>
      <c r="D6524" s="405"/>
      <c r="E6524" s="410">
        <v>41364</v>
      </c>
      <c r="F6524" s="410">
        <v>41409</v>
      </c>
      <c r="G6524" s="405" t="s">
        <v>3586</v>
      </c>
      <c r="H6524" s="405">
        <v>753263409</v>
      </c>
      <c r="I6524" s="405"/>
      <c r="J6524" s="405">
        <v>0.90235799999999999</v>
      </c>
      <c r="K6524" s="405">
        <v>32.922477000000001</v>
      </c>
      <c r="L6524" s="405" t="s">
        <v>314</v>
      </c>
      <c r="M6524" s="405" t="s">
        <v>502</v>
      </c>
      <c r="N6524" s="405" t="s">
        <v>428</v>
      </c>
      <c r="O6524" s="405" t="s">
        <v>2864</v>
      </c>
      <c r="P6524" s="405" t="s">
        <v>3587</v>
      </c>
      <c r="Q6524" s="411">
        <v>9</v>
      </c>
      <c r="R6524" s="405" t="s">
        <v>1263</v>
      </c>
      <c r="S6524" s="405" t="s">
        <v>27190</v>
      </c>
      <c r="T6524" s="405" t="s">
        <v>32102</v>
      </c>
      <c r="U6524" s="405" t="s">
        <v>319</v>
      </c>
    </row>
    <row r="6525" spans="1:21" x14ac:dyDescent="0.25">
      <c r="A6525" s="405" t="s">
        <v>310</v>
      </c>
      <c r="B6525" s="405" t="s">
        <v>12283</v>
      </c>
      <c r="C6525" s="405" t="s">
        <v>327</v>
      </c>
      <c r="D6525" s="405"/>
      <c r="E6525" s="410">
        <v>41364</v>
      </c>
      <c r="F6525" s="410">
        <v>41409</v>
      </c>
      <c r="G6525" s="405" t="s">
        <v>12284</v>
      </c>
      <c r="H6525" s="405">
        <v>775025311</v>
      </c>
      <c r="I6525" s="405"/>
      <c r="J6525" s="405">
        <v>0.99130499999999999</v>
      </c>
      <c r="K6525" s="405">
        <v>34.331474999999998</v>
      </c>
      <c r="L6525" s="405" t="s">
        <v>6866</v>
      </c>
      <c r="M6525" s="405" t="s">
        <v>9763</v>
      </c>
      <c r="N6525" s="405" t="s">
        <v>9764</v>
      </c>
      <c r="O6525" s="405" t="s">
        <v>12285</v>
      </c>
      <c r="P6525" s="405" t="s">
        <v>12286</v>
      </c>
      <c r="Q6525" s="411">
        <v>9</v>
      </c>
      <c r="R6525" s="405" t="s">
        <v>7224</v>
      </c>
      <c r="S6525" s="405" t="s">
        <v>27197</v>
      </c>
      <c r="T6525" s="405" t="s">
        <v>32102</v>
      </c>
      <c r="U6525" s="405" t="s">
        <v>319</v>
      </c>
    </row>
    <row r="6526" spans="1:21" x14ac:dyDescent="0.25">
      <c r="A6526" s="405" t="s">
        <v>310</v>
      </c>
      <c r="B6526" s="405" t="s">
        <v>3626</v>
      </c>
      <c r="C6526" s="405" t="s">
        <v>327</v>
      </c>
      <c r="D6526" s="405"/>
      <c r="E6526" s="410">
        <v>41364</v>
      </c>
      <c r="F6526" s="410">
        <v>41409</v>
      </c>
      <c r="G6526" s="405" t="s">
        <v>3627</v>
      </c>
      <c r="H6526" s="405">
        <v>772825444</v>
      </c>
      <c r="I6526" s="405"/>
      <c r="J6526" s="405">
        <v>0.27568999999999999</v>
      </c>
      <c r="K6526" s="405">
        <v>32.502296999999999</v>
      </c>
      <c r="L6526" s="405" t="s">
        <v>314</v>
      </c>
      <c r="M6526" s="405" t="s">
        <v>361</v>
      </c>
      <c r="N6526" s="405" t="s">
        <v>374</v>
      </c>
      <c r="O6526" s="405" t="s">
        <v>375</v>
      </c>
      <c r="P6526" s="405" t="s">
        <v>1881</v>
      </c>
      <c r="Q6526" s="411">
        <v>9</v>
      </c>
      <c r="R6526" s="405" t="s">
        <v>1263</v>
      </c>
      <c r="S6526" s="405" t="s">
        <v>27211</v>
      </c>
      <c r="T6526" s="405" t="s">
        <v>32102</v>
      </c>
      <c r="U6526" s="405" t="s">
        <v>319</v>
      </c>
    </row>
    <row r="6527" spans="1:21" x14ac:dyDescent="0.25">
      <c r="A6527" s="405" t="s">
        <v>310</v>
      </c>
      <c r="B6527" s="405" t="s">
        <v>3741</v>
      </c>
      <c r="C6527" s="405" t="s">
        <v>327</v>
      </c>
      <c r="D6527" s="405"/>
      <c r="E6527" s="410">
        <v>41364</v>
      </c>
      <c r="F6527" s="410">
        <v>41409</v>
      </c>
      <c r="G6527" s="405" t="s">
        <v>3742</v>
      </c>
      <c r="H6527" s="405">
        <v>772925676</v>
      </c>
      <c r="I6527" s="405"/>
      <c r="J6527" s="405">
        <v>0.101663</v>
      </c>
      <c r="K6527" s="405">
        <v>32.472670000000001</v>
      </c>
      <c r="L6527" s="405" t="s">
        <v>314</v>
      </c>
      <c r="M6527" s="405" t="s">
        <v>361</v>
      </c>
      <c r="N6527" s="405" t="s">
        <v>374</v>
      </c>
      <c r="O6527" s="405" t="s">
        <v>638</v>
      </c>
      <c r="P6527" s="405" t="s">
        <v>3743</v>
      </c>
      <c r="Q6527" s="411">
        <v>9</v>
      </c>
      <c r="R6527" s="405" t="s">
        <v>874</v>
      </c>
      <c r="S6527" s="405" t="s">
        <v>27220</v>
      </c>
      <c r="T6527" s="405" t="s">
        <v>32102</v>
      </c>
      <c r="U6527" s="405" t="s">
        <v>319</v>
      </c>
    </row>
    <row r="6528" spans="1:21" x14ac:dyDescent="0.25">
      <c r="A6528" s="405" t="s">
        <v>310</v>
      </c>
      <c r="B6528" s="405" t="s">
        <v>3699</v>
      </c>
      <c r="C6528" s="405" t="s">
        <v>327</v>
      </c>
      <c r="D6528" s="405"/>
      <c r="E6528" s="410">
        <v>41364</v>
      </c>
      <c r="F6528" s="410">
        <v>41409</v>
      </c>
      <c r="G6528" s="405" t="s">
        <v>3700</v>
      </c>
      <c r="H6528" s="405">
        <v>782325786</v>
      </c>
      <c r="I6528" s="405"/>
      <c r="J6528" s="405">
        <v>0.54312300000000002</v>
      </c>
      <c r="K6528" s="405">
        <v>32.464390000000002</v>
      </c>
      <c r="L6528" s="405" t="s">
        <v>314</v>
      </c>
      <c r="M6528" s="405" t="s">
        <v>361</v>
      </c>
      <c r="N6528" s="405" t="s">
        <v>362</v>
      </c>
      <c r="O6528" s="405" t="s">
        <v>523</v>
      </c>
      <c r="P6528" s="405" t="s">
        <v>3701</v>
      </c>
      <c r="Q6528" s="411">
        <v>9</v>
      </c>
      <c r="R6528" s="405" t="s">
        <v>1263</v>
      </c>
      <c r="S6528" s="405" t="s">
        <v>27036</v>
      </c>
      <c r="T6528" s="405" t="s">
        <v>32102</v>
      </c>
      <c r="U6528" s="405" t="s">
        <v>319</v>
      </c>
    </row>
    <row r="6529" spans="1:21" x14ac:dyDescent="0.25">
      <c r="A6529" s="405" t="s">
        <v>310</v>
      </c>
      <c r="B6529" s="405" t="s">
        <v>28310</v>
      </c>
      <c r="C6529" s="405" t="s">
        <v>327</v>
      </c>
      <c r="D6529" s="405"/>
      <c r="E6529" s="410">
        <v>41364</v>
      </c>
      <c r="F6529" s="410">
        <v>41409</v>
      </c>
      <c r="G6529" s="405" t="s">
        <v>3577</v>
      </c>
      <c r="H6529" s="405">
        <v>779000591</v>
      </c>
      <c r="I6529" s="405"/>
      <c r="J6529" s="405">
        <v>0.21990299999999999</v>
      </c>
      <c r="K6529" s="405">
        <v>32.065691999999999</v>
      </c>
      <c r="L6529" s="405" t="s">
        <v>314</v>
      </c>
      <c r="M6529" s="405" t="s">
        <v>339</v>
      </c>
      <c r="N6529" s="405" t="s">
        <v>339</v>
      </c>
      <c r="O6529" s="405" t="s">
        <v>2272</v>
      </c>
      <c r="P6529" s="405" t="s">
        <v>3470</v>
      </c>
      <c r="Q6529" s="411">
        <v>6</v>
      </c>
      <c r="R6529" s="405" t="s">
        <v>1263</v>
      </c>
      <c r="S6529" s="405" t="s">
        <v>27206</v>
      </c>
      <c r="T6529" s="405" t="s">
        <v>32102</v>
      </c>
      <c r="U6529" s="405" t="s">
        <v>319</v>
      </c>
    </row>
    <row r="6530" spans="1:21" x14ac:dyDescent="0.25">
      <c r="A6530" s="405" t="s">
        <v>310</v>
      </c>
      <c r="B6530" s="405" t="s">
        <v>28595</v>
      </c>
      <c r="C6530" s="405" t="s">
        <v>327</v>
      </c>
      <c r="D6530" s="405"/>
      <c r="E6530" s="410">
        <v>41364</v>
      </c>
      <c r="F6530" s="410">
        <v>41409</v>
      </c>
      <c r="G6530" s="405" t="s">
        <v>3576</v>
      </c>
      <c r="H6530" s="405">
        <v>776012026</v>
      </c>
      <c r="I6530" s="405">
        <v>788499876</v>
      </c>
      <c r="J6530" s="405">
        <v>0.22598699999999999</v>
      </c>
      <c r="K6530" s="405">
        <v>32.051349999999999</v>
      </c>
      <c r="L6530" s="405" t="s">
        <v>314</v>
      </c>
      <c r="M6530" s="405" t="s">
        <v>339</v>
      </c>
      <c r="N6530" s="405" t="s">
        <v>339</v>
      </c>
      <c r="O6530" s="405" t="s">
        <v>2272</v>
      </c>
      <c r="P6530" s="405" t="s">
        <v>2272</v>
      </c>
      <c r="Q6530" s="411">
        <v>6</v>
      </c>
      <c r="R6530" s="405" t="s">
        <v>1263</v>
      </c>
      <c r="S6530" s="405" t="s">
        <v>27202</v>
      </c>
      <c r="T6530" s="405" t="s">
        <v>32102</v>
      </c>
      <c r="U6530" s="405" t="s">
        <v>319</v>
      </c>
    </row>
    <row r="6531" spans="1:21" x14ac:dyDescent="0.25">
      <c r="A6531" s="405" t="s">
        <v>310</v>
      </c>
      <c r="B6531" s="405" t="s">
        <v>3752</v>
      </c>
      <c r="C6531" s="405" t="s">
        <v>327</v>
      </c>
      <c r="D6531" s="405"/>
      <c r="E6531" s="410">
        <v>41364</v>
      </c>
      <c r="F6531" s="410">
        <v>41409</v>
      </c>
      <c r="G6531" s="405" t="s">
        <v>3753</v>
      </c>
      <c r="H6531" s="405">
        <v>789646507</v>
      </c>
      <c r="I6531" s="405"/>
      <c r="J6531" s="405">
        <v>0.50281299999999995</v>
      </c>
      <c r="K6531" s="405">
        <v>32.452697000000001</v>
      </c>
      <c r="L6531" s="405" t="s">
        <v>314</v>
      </c>
      <c r="M6531" s="405" t="s">
        <v>361</v>
      </c>
      <c r="N6531" s="405" t="s">
        <v>362</v>
      </c>
      <c r="O6531" s="405" t="s">
        <v>523</v>
      </c>
      <c r="P6531" s="405" t="s">
        <v>2323</v>
      </c>
      <c r="Q6531" s="411">
        <v>6</v>
      </c>
      <c r="R6531" s="405" t="s">
        <v>1263</v>
      </c>
      <c r="S6531" s="405" t="s">
        <v>27039</v>
      </c>
      <c r="T6531" s="405" t="s">
        <v>32102</v>
      </c>
      <c r="U6531" s="405" t="s">
        <v>319</v>
      </c>
    </row>
    <row r="6532" spans="1:21" x14ac:dyDescent="0.25">
      <c r="A6532" s="405" t="s">
        <v>310</v>
      </c>
      <c r="B6532" s="405" t="s">
        <v>27615</v>
      </c>
      <c r="C6532" s="405" t="s">
        <v>311</v>
      </c>
      <c r="D6532" s="405" t="s">
        <v>312</v>
      </c>
      <c r="E6532" s="410">
        <v>41364</v>
      </c>
      <c r="F6532" s="410">
        <v>41409</v>
      </c>
      <c r="G6532" s="405" t="s">
        <v>4105</v>
      </c>
      <c r="H6532" s="405">
        <v>705448314</v>
      </c>
      <c r="I6532" s="405"/>
      <c r="J6532" s="405">
        <v>0.13725100000000001</v>
      </c>
      <c r="K6532" s="405">
        <v>31.824093000000001</v>
      </c>
      <c r="L6532" s="405" t="s">
        <v>314</v>
      </c>
      <c r="M6532" s="405" t="s">
        <v>339</v>
      </c>
      <c r="N6532" s="405" t="s">
        <v>339</v>
      </c>
      <c r="O6532" s="405" t="s">
        <v>1948</v>
      </c>
      <c r="P6532" s="405" t="s">
        <v>4106</v>
      </c>
      <c r="Q6532" s="411">
        <v>6</v>
      </c>
      <c r="R6532" s="405" t="s">
        <v>1263</v>
      </c>
      <c r="S6532" s="405" t="s">
        <v>27120</v>
      </c>
      <c r="T6532" s="405" t="s">
        <v>32102</v>
      </c>
      <c r="U6532" s="405" t="s">
        <v>319</v>
      </c>
    </row>
    <row r="6533" spans="1:21" x14ac:dyDescent="0.25">
      <c r="A6533" s="405" t="s">
        <v>310</v>
      </c>
      <c r="B6533" s="405" t="s">
        <v>3630</v>
      </c>
      <c r="C6533" s="405" t="s">
        <v>327</v>
      </c>
      <c r="D6533" s="405"/>
      <c r="E6533" s="410">
        <v>41364</v>
      </c>
      <c r="F6533" s="410">
        <v>41409</v>
      </c>
      <c r="G6533" s="405" t="s">
        <v>3631</v>
      </c>
      <c r="H6533" s="405">
        <v>773562561</v>
      </c>
      <c r="I6533" s="405"/>
      <c r="J6533" s="405">
        <v>0.36779000000000001</v>
      </c>
      <c r="K6533" s="405">
        <v>32.471992</v>
      </c>
      <c r="L6533" s="405" t="s">
        <v>314</v>
      </c>
      <c r="M6533" s="405" t="s">
        <v>361</v>
      </c>
      <c r="N6533" s="405" t="s">
        <v>374</v>
      </c>
      <c r="O6533" s="405" t="s">
        <v>361</v>
      </c>
      <c r="P6533" s="405" t="s">
        <v>3632</v>
      </c>
      <c r="Q6533" s="411">
        <v>6</v>
      </c>
      <c r="R6533" s="405" t="s">
        <v>1263</v>
      </c>
      <c r="S6533" s="405" t="s">
        <v>27208</v>
      </c>
      <c r="T6533" s="405" t="s">
        <v>32102</v>
      </c>
      <c r="U6533" s="405" t="s">
        <v>319</v>
      </c>
    </row>
    <row r="6534" spans="1:21" x14ac:dyDescent="0.25">
      <c r="A6534" s="405" t="s">
        <v>310</v>
      </c>
      <c r="B6534" s="405" t="s">
        <v>3641</v>
      </c>
      <c r="C6534" s="405" t="s">
        <v>327</v>
      </c>
      <c r="D6534" s="405"/>
      <c r="E6534" s="410">
        <v>41364</v>
      </c>
      <c r="F6534" s="410">
        <v>41409</v>
      </c>
      <c r="G6534" s="405" t="s">
        <v>3642</v>
      </c>
      <c r="H6534" s="405">
        <v>783966695</v>
      </c>
      <c r="I6534" s="405"/>
      <c r="J6534" s="405">
        <v>0.64908500000000002</v>
      </c>
      <c r="K6534" s="405">
        <v>32.407152000000004</v>
      </c>
      <c r="L6534" s="405" t="s">
        <v>314</v>
      </c>
      <c r="M6534" s="405" t="s">
        <v>959</v>
      </c>
      <c r="N6534" s="405" t="s">
        <v>1912</v>
      </c>
      <c r="O6534" s="405" t="s">
        <v>2056</v>
      </c>
      <c r="P6534" s="405" t="s">
        <v>3643</v>
      </c>
      <c r="Q6534" s="411">
        <v>6</v>
      </c>
      <c r="R6534" s="405" t="s">
        <v>1263</v>
      </c>
      <c r="S6534" s="405" t="s">
        <v>27036</v>
      </c>
      <c r="T6534" s="405" t="s">
        <v>32102</v>
      </c>
      <c r="U6534" s="405" t="s">
        <v>319</v>
      </c>
    </row>
    <row r="6535" spans="1:21" x14ac:dyDescent="0.25">
      <c r="A6535" s="405" t="s">
        <v>310</v>
      </c>
      <c r="B6535" s="405" t="s">
        <v>3683</v>
      </c>
      <c r="C6535" s="405" t="s">
        <v>327</v>
      </c>
      <c r="D6535" s="405"/>
      <c r="E6535" s="410">
        <v>41364</v>
      </c>
      <c r="F6535" s="410">
        <v>41409</v>
      </c>
      <c r="G6535" s="405" t="s">
        <v>3684</v>
      </c>
      <c r="H6535" s="405">
        <v>772456010</v>
      </c>
      <c r="I6535" s="405"/>
      <c r="J6535" s="405">
        <v>0.42455759999999998</v>
      </c>
      <c r="K6535" s="405">
        <v>32.570936500000002</v>
      </c>
      <c r="L6535" s="405" t="s">
        <v>314</v>
      </c>
      <c r="M6535" s="405" t="s">
        <v>992</v>
      </c>
      <c r="N6535" s="405" t="s">
        <v>3412</v>
      </c>
      <c r="O6535" s="405" t="s">
        <v>3409</v>
      </c>
      <c r="P6535" s="405" t="s">
        <v>3685</v>
      </c>
      <c r="Q6535" s="411">
        <v>6</v>
      </c>
      <c r="R6535" s="405" t="s">
        <v>1263</v>
      </c>
      <c r="S6535" s="405" t="s">
        <v>27036</v>
      </c>
      <c r="T6535" s="405" t="s">
        <v>32102</v>
      </c>
      <c r="U6535" s="405" t="s">
        <v>319</v>
      </c>
    </row>
    <row r="6536" spans="1:21" x14ac:dyDescent="0.25">
      <c r="A6536" s="405" t="s">
        <v>310</v>
      </c>
      <c r="B6536" s="405" t="s">
        <v>3654</v>
      </c>
      <c r="C6536" s="405" t="s">
        <v>327</v>
      </c>
      <c r="D6536" s="405"/>
      <c r="E6536" s="410">
        <v>41364</v>
      </c>
      <c r="F6536" s="410">
        <v>41409</v>
      </c>
      <c r="G6536" s="405" t="s">
        <v>3655</v>
      </c>
      <c r="H6536" s="405">
        <v>782674720</v>
      </c>
      <c r="I6536" s="405"/>
      <c r="J6536" s="405">
        <v>0.40019700000000002</v>
      </c>
      <c r="K6536" s="405">
        <v>32.503030000000003</v>
      </c>
      <c r="L6536" s="405" t="s">
        <v>314</v>
      </c>
      <c r="M6536" s="405" t="s">
        <v>361</v>
      </c>
      <c r="N6536" s="405" t="s">
        <v>374</v>
      </c>
      <c r="O6536" s="405" t="s">
        <v>361</v>
      </c>
      <c r="P6536" s="405" t="s">
        <v>3656</v>
      </c>
      <c r="Q6536" s="411">
        <v>6</v>
      </c>
      <c r="R6536" s="405" t="s">
        <v>1263</v>
      </c>
      <c r="S6536" s="405" t="s">
        <v>27178</v>
      </c>
      <c r="T6536" s="405" t="s">
        <v>32102</v>
      </c>
      <c r="U6536" s="405" t="s">
        <v>319</v>
      </c>
    </row>
    <row r="6537" spans="1:21" x14ac:dyDescent="0.25">
      <c r="A6537" s="405" t="s">
        <v>310</v>
      </c>
      <c r="B6537" s="405" t="s">
        <v>28484</v>
      </c>
      <c r="C6537" s="405" t="s">
        <v>327</v>
      </c>
      <c r="D6537" s="405"/>
      <c r="E6537" s="410">
        <v>41364</v>
      </c>
      <c r="F6537" s="410">
        <v>41409</v>
      </c>
      <c r="G6537" s="405" t="s">
        <v>12287</v>
      </c>
      <c r="H6537" s="405">
        <v>782498176</v>
      </c>
      <c r="I6537" s="405"/>
      <c r="J6537" s="405">
        <v>1.001889</v>
      </c>
      <c r="K6537" s="405">
        <v>34.334220000000002</v>
      </c>
      <c r="L6537" s="405" t="s">
        <v>6866</v>
      </c>
      <c r="M6537" s="405" t="s">
        <v>9763</v>
      </c>
      <c r="N6537" s="405" t="s">
        <v>9764</v>
      </c>
      <c r="O6537" s="405" t="s">
        <v>1590</v>
      </c>
      <c r="P6537" s="405" t="s">
        <v>12288</v>
      </c>
      <c r="Q6537" s="411">
        <v>6</v>
      </c>
      <c r="R6537" s="405" t="s">
        <v>7224</v>
      </c>
      <c r="S6537" s="405" t="s">
        <v>27197</v>
      </c>
      <c r="T6537" s="405" t="s">
        <v>32102</v>
      </c>
      <c r="U6537" s="405" t="s">
        <v>319</v>
      </c>
    </row>
    <row r="6538" spans="1:21" x14ac:dyDescent="0.25">
      <c r="A6538" s="405" t="s">
        <v>310</v>
      </c>
      <c r="B6538" s="405" t="s">
        <v>3739</v>
      </c>
      <c r="C6538" s="405" t="s">
        <v>327</v>
      </c>
      <c r="D6538" s="405"/>
      <c r="E6538" s="410">
        <v>41364</v>
      </c>
      <c r="F6538" s="410">
        <v>41409</v>
      </c>
      <c r="G6538" s="405" t="s">
        <v>3740</v>
      </c>
      <c r="H6538" s="405">
        <v>783999423</v>
      </c>
      <c r="I6538" s="405"/>
      <c r="J6538" s="405">
        <v>0.52692499999999998</v>
      </c>
      <c r="K6538" s="405">
        <v>32.468156999999998</v>
      </c>
      <c r="L6538" s="405" t="s">
        <v>314</v>
      </c>
      <c r="M6538" s="405" t="s">
        <v>361</v>
      </c>
      <c r="N6538" s="405" t="s">
        <v>362</v>
      </c>
      <c r="O6538" s="405" t="s">
        <v>523</v>
      </c>
      <c r="P6538" s="405" t="s">
        <v>1249</v>
      </c>
      <c r="Q6538" s="411">
        <v>6</v>
      </c>
      <c r="R6538" s="405" t="s">
        <v>1263</v>
      </c>
      <c r="S6538" s="405" t="s">
        <v>27164</v>
      </c>
      <c r="T6538" s="405" t="s">
        <v>32102</v>
      </c>
      <c r="U6538" s="405" t="s">
        <v>319</v>
      </c>
    </row>
    <row r="6539" spans="1:21" x14ac:dyDescent="0.25">
      <c r="A6539" s="405" t="s">
        <v>310</v>
      </c>
      <c r="B6539" s="405" t="s">
        <v>3644</v>
      </c>
      <c r="C6539" s="405" t="s">
        <v>327</v>
      </c>
      <c r="D6539" s="405"/>
      <c r="E6539" s="410">
        <v>41364</v>
      </c>
      <c r="F6539" s="410">
        <v>41409</v>
      </c>
      <c r="G6539" s="405" t="s">
        <v>3645</v>
      </c>
      <c r="H6539" s="405">
        <v>772379834</v>
      </c>
      <c r="I6539" s="405"/>
      <c r="J6539" s="405">
        <v>0.66481500000000004</v>
      </c>
      <c r="K6539" s="405">
        <v>32.408835000000003</v>
      </c>
      <c r="L6539" s="405" t="s">
        <v>314</v>
      </c>
      <c r="M6539" s="405" t="s">
        <v>959</v>
      </c>
      <c r="N6539" s="405" t="s">
        <v>1094</v>
      </c>
      <c r="O6539" s="405" t="s">
        <v>2056</v>
      </c>
      <c r="P6539" s="405" t="s">
        <v>3643</v>
      </c>
      <c r="Q6539" s="411">
        <v>6</v>
      </c>
      <c r="R6539" s="405" t="s">
        <v>1263</v>
      </c>
      <c r="S6539" s="405" t="s">
        <v>27036</v>
      </c>
      <c r="T6539" s="405" t="s">
        <v>32102</v>
      </c>
      <c r="U6539" s="405" t="s">
        <v>319</v>
      </c>
    </row>
    <row r="6540" spans="1:21" x14ac:dyDescent="0.25">
      <c r="A6540" s="405" t="s">
        <v>310</v>
      </c>
      <c r="B6540" s="405" t="s">
        <v>3736</v>
      </c>
      <c r="C6540" s="405" t="s">
        <v>327</v>
      </c>
      <c r="D6540" s="405"/>
      <c r="E6540" s="410">
        <v>41364</v>
      </c>
      <c r="F6540" s="410">
        <v>41409</v>
      </c>
      <c r="G6540" s="405" t="s">
        <v>3737</v>
      </c>
      <c r="H6540" s="405">
        <v>712995800</v>
      </c>
      <c r="I6540" s="405"/>
      <c r="J6540" s="405">
        <v>0.28846500000000003</v>
      </c>
      <c r="K6540" s="405">
        <v>32.452722000000001</v>
      </c>
      <c r="L6540" s="405" t="s">
        <v>314</v>
      </c>
      <c r="M6540" s="405" t="s">
        <v>361</v>
      </c>
      <c r="N6540" s="405" t="s">
        <v>374</v>
      </c>
      <c r="O6540" s="405" t="s">
        <v>375</v>
      </c>
      <c r="P6540" s="405" t="s">
        <v>3738</v>
      </c>
      <c r="Q6540" s="411">
        <v>6</v>
      </c>
      <c r="R6540" s="405" t="s">
        <v>1263</v>
      </c>
      <c r="S6540" s="405" t="s">
        <v>27208</v>
      </c>
      <c r="T6540" s="405" t="s">
        <v>32102</v>
      </c>
      <c r="U6540" s="405" t="s">
        <v>319</v>
      </c>
    </row>
    <row r="6541" spans="1:21" x14ac:dyDescent="0.25">
      <c r="A6541" s="405" t="s">
        <v>310</v>
      </c>
      <c r="B6541" s="405" t="s">
        <v>3734</v>
      </c>
      <c r="C6541" s="405" t="s">
        <v>327</v>
      </c>
      <c r="D6541" s="405"/>
      <c r="E6541" s="410">
        <v>41364</v>
      </c>
      <c r="F6541" s="410">
        <v>41409</v>
      </c>
      <c r="G6541" s="405" t="s">
        <v>3735</v>
      </c>
      <c r="H6541" s="405">
        <v>772646865</v>
      </c>
      <c r="I6541" s="405"/>
      <c r="J6541" s="405">
        <v>0.39614199999999999</v>
      </c>
      <c r="K6541" s="405">
        <v>32.559387999999998</v>
      </c>
      <c r="L6541" s="405" t="s">
        <v>314</v>
      </c>
      <c r="M6541" s="405" t="s">
        <v>361</v>
      </c>
      <c r="N6541" s="405" t="s">
        <v>362</v>
      </c>
      <c r="O6541" s="405" t="s">
        <v>410</v>
      </c>
      <c r="P6541" s="405" t="s">
        <v>2769</v>
      </c>
      <c r="Q6541" s="411">
        <v>6</v>
      </c>
      <c r="R6541" s="405" t="s">
        <v>1263</v>
      </c>
      <c r="S6541" s="405" t="s">
        <v>27208</v>
      </c>
      <c r="T6541" s="405" t="s">
        <v>32102</v>
      </c>
      <c r="U6541" s="405" t="s">
        <v>319</v>
      </c>
    </row>
    <row r="6542" spans="1:21" x14ac:dyDescent="0.25">
      <c r="A6542" s="405" t="s">
        <v>310</v>
      </c>
      <c r="B6542" s="405" t="s">
        <v>3591</v>
      </c>
      <c r="C6542" s="405" t="s">
        <v>327</v>
      </c>
      <c r="D6542" s="405"/>
      <c r="E6542" s="410">
        <v>41364</v>
      </c>
      <c r="F6542" s="410">
        <v>41409</v>
      </c>
      <c r="G6542" s="405" t="s">
        <v>3592</v>
      </c>
      <c r="H6542" s="405">
        <v>786583926</v>
      </c>
      <c r="I6542" s="405"/>
      <c r="J6542" s="405">
        <v>0.74974799999999997</v>
      </c>
      <c r="K6542" s="405">
        <v>32.958731999999998</v>
      </c>
      <c r="L6542" s="405" t="s">
        <v>314</v>
      </c>
      <c r="M6542" s="405" t="s">
        <v>502</v>
      </c>
      <c r="N6542" s="405" t="s">
        <v>1229</v>
      </c>
      <c r="O6542" s="405" t="s">
        <v>3593</v>
      </c>
      <c r="P6542" s="405" t="s">
        <v>3594</v>
      </c>
      <c r="Q6542" s="411">
        <v>6</v>
      </c>
      <c r="R6542" s="405" t="s">
        <v>402</v>
      </c>
      <c r="S6542" s="405" t="s">
        <v>27052</v>
      </c>
      <c r="T6542" s="405" t="s">
        <v>32102</v>
      </c>
      <c r="U6542" s="405" t="s">
        <v>319</v>
      </c>
    </row>
    <row r="6543" spans="1:21" x14ac:dyDescent="0.25">
      <c r="A6543" s="405" t="s">
        <v>310</v>
      </c>
      <c r="B6543" s="405" t="s">
        <v>12246</v>
      </c>
      <c r="C6543" s="405" t="s">
        <v>327</v>
      </c>
      <c r="D6543" s="405"/>
      <c r="E6543" s="410">
        <v>41364</v>
      </c>
      <c r="F6543" s="410">
        <v>41409</v>
      </c>
      <c r="G6543" s="405" t="s">
        <v>12247</v>
      </c>
      <c r="H6543" s="405">
        <v>773921776</v>
      </c>
      <c r="I6543" s="405"/>
      <c r="J6543" s="405">
        <v>1.498235</v>
      </c>
      <c r="K6543" s="405">
        <v>34.014003000000002</v>
      </c>
      <c r="L6543" s="405" t="s">
        <v>6866</v>
      </c>
      <c r="M6543" s="405" t="s">
        <v>10029</v>
      </c>
      <c r="N6543" s="405" t="s">
        <v>10029</v>
      </c>
      <c r="O6543" s="405" t="s">
        <v>10435</v>
      </c>
      <c r="P6543" s="405" t="s">
        <v>12248</v>
      </c>
      <c r="Q6543" s="411">
        <v>4</v>
      </c>
      <c r="R6543" s="405" t="s">
        <v>7224</v>
      </c>
      <c r="S6543" s="405" t="s">
        <v>27298</v>
      </c>
      <c r="T6543" s="405" t="s">
        <v>32102</v>
      </c>
      <c r="U6543" s="405" t="s">
        <v>319</v>
      </c>
    </row>
    <row r="6544" spans="1:21" x14ac:dyDescent="0.25">
      <c r="A6544" s="405" t="s">
        <v>310</v>
      </c>
      <c r="B6544" s="405" t="s">
        <v>4163</v>
      </c>
      <c r="C6544" s="405" t="s">
        <v>311</v>
      </c>
      <c r="D6544" s="405" t="s">
        <v>839</v>
      </c>
      <c r="E6544" s="410">
        <v>41364</v>
      </c>
      <c r="F6544" s="410">
        <v>41409</v>
      </c>
      <c r="G6544" s="405" t="s">
        <v>4164</v>
      </c>
      <c r="H6544" s="405">
        <v>776823800</v>
      </c>
      <c r="I6544" s="405"/>
      <c r="J6544" s="405">
        <v>0.73646199999999995</v>
      </c>
      <c r="K6544" s="405">
        <v>32.541325000000001</v>
      </c>
      <c r="L6544" s="405" t="s">
        <v>314</v>
      </c>
      <c r="M6544" s="405" t="s">
        <v>959</v>
      </c>
      <c r="N6544" s="405" t="s">
        <v>1308</v>
      </c>
      <c r="O6544" s="405" t="s">
        <v>1094</v>
      </c>
      <c r="P6544" s="405" t="s">
        <v>4159</v>
      </c>
      <c r="Q6544" s="411">
        <v>4</v>
      </c>
      <c r="R6544" s="405" t="s">
        <v>1263</v>
      </c>
      <c r="S6544" s="405" t="s">
        <v>27108</v>
      </c>
      <c r="T6544" s="405" t="s">
        <v>32102</v>
      </c>
      <c r="U6544" s="405" t="s">
        <v>319</v>
      </c>
    </row>
    <row r="6545" spans="1:21" x14ac:dyDescent="0.25">
      <c r="A6545" s="405" t="s">
        <v>310</v>
      </c>
      <c r="B6545" s="405" t="s">
        <v>3708</v>
      </c>
      <c r="C6545" s="405" t="s">
        <v>327</v>
      </c>
      <c r="D6545" s="405"/>
      <c r="E6545" s="410">
        <v>41362</v>
      </c>
      <c r="F6545" s="410">
        <v>41407</v>
      </c>
      <c r="G6545" s="405" t="s">
        <v>3709</v>
      </c>
      <c r="H6545" s="405">
        <v>752890129</v>
      </c>
      <c r="I6545" s="405"/>
      <c r="J6545" s="405">
        <v>0.369168</v>
      </c>
      <c r="K6545" s="405">
        <v>31.607537000000001</v>
      </c>
      <c r="L6545" s="405" t="s">
        <v>314</v>
      </c>
      <c r="M6545" s="405" t="s">
        <v>445</v>
      </c>
      <c r="N6545" s="405" t="s">
        <v>570</v>
      </c>
      <c r="O6545" s="405" t="s">
        <v>2734</v>
      </c>
      <c r="P6545" s="405" t="s">
        <v>3710</v>
      </c>
      <c r="Q6545" s="411">
        <v>9</v>
      </c>
      <c r="R6545" s="405" t="s">
        <v>2060</v>
      </c>
      <c r="S6545" s="405" t="s">
        <v>27207</v>
      </c>
      <c r="T6545" s="405" t="s">
        <v>32102</v>
      </c>
      <c r="U6545" s="405" t="s">
        <v>319</v>
      </c>
    </row>
    <row r="6546" spans="1:21" x14ac:dyDescent="0.25">
      <c r="A6546" s="405" t="s">
        <v>310</v>
      </c>
      <c r="B6546" s="405" t="s">
        <v>28460</v>
      </c>
      <c r="C6546" s="405" t="s">
        <v>311</v>
      </c>
      <c r="D6546" s="405" t="s">
        <v>312</v>
      </c>
      <c r="E6546" s="410">
        <v>41362</v>
      </c>
      <c r="F6546" s="410">
        <v>41407</v>
      </c>
      <c r="G6546" s="405" t="s">
        <v>21278</v>
      </c>
      <c r="H6546" s="405">
        <v>772328313</v>
      </c>
      <c r="I6546" s="405"/>
      <c r="J6546" s="405">
        <v>1.0565899999999999</v>
      </c>
      <c r="K6546" s="405">
        <v>30.928108000000002</v>
      </c>
      <c r="L6546" s="405" t="s">
        <v>590</v>
      </c>
      <c r="M6546" s="405" t="s">
        <v>7488</v>
      </c>
      <c r="N6546" s="405" t="s">
        <v>20804</v>
      </c>
      <c r="O6546" s="405" t="s">
        <v>15979</v>
      </c>
      <c r="P6546" s="405" t="s">
        <v>21279</v>
      </c>
      <c r="Q6546" s="411">
        <v>6</v>
      </c>
      <c r="R6546" s="405" t="s">
        <v>525</v>
      </c>
      <c r="S6546" s="405" t="s">
        <v>22481</v>
      </c>
      <c r="T6546" s="405" t="s">
        <v>32102</v>
      </c>
      <c r="U6546" s="405" t="s">
        <v>319</v>
      </c>
    </row>
    <row r="6547" spans="1:21" x14ac:dyDescent="0.25">
      <c r="A6547" s="405" t="s">
        <v>310</v>
      </c>
      <c r="B6547" s="405" t="s">
        <v>3580</v>
      </c>
      <c r="C6547" s="405" t="s">
        <v>327</v>
      </c>
      <c r="D6547" s="405"/>
      <c r="E6547" s="410">
        <v>41362</v>
      </c>
      <c r="F6547" s="410">
        <v>41407</v>
      </c>
      <c r="G6547" s="405" t="s">
        <v>3581</v>
      </c>
      <c r="H6547" s="405">
        <v>787494856</v>
      </c>
      <c r="I6547" s="405"/>
      <c r="J6547" s="405">
        <v>0.14269999999999999</v>
      </c>
      <c r="K6547" s="405">
        <v>31.801143</v>
      </c>
      <c r="L6547" s="405" t="s">
        <v>314</v>
      </c>
      <c r="M6547" s="405" t="s">
        <v>339</v>
      </c>
      <c r="N6547" s="405" t="s">
        <v>339</v>
      </c>
      <c r="O6547" s="405" t="s">
        <v>1948</v>
      </c>
      <c r="P6547" s="405" t="s">
        <v>3582</v>
      </c>
      <c r="Q6547" s="411">
        <v>6</v>
      </c>
      <c r="R6547" s="405" t="s">
        <v>1263</v>
      </c>
      <c r="S6547" s="405" t="s">
        <v>27202</v>
      </c>
      <c r="T6547" s="405" t="s">
        <v>32102</v>
      </c>
      <c r="U6547" s="405" t="s">
        <v>319</v>
      </c>
    </row>
    <row r="6548" spans="1:21" x14ac:dyDescent="0.25">
      <c r="A6548" s="405" t="s">
        <v>310</v>
      </c>
      <c r="B6548" s="405" t="s">
        <v>3578</v>
      </c>
      <c r="C6548" s="405" t="s">
        <v>327</v>
      </c>
      <c r="D6548" s="405"/>
      <c r="E6548" s="410">
        <v>41361</v>
      </c>
      <c r="F6548" s="410">
        <v>41406</v>
      </c>
      <c r="G6548" s="405" t="s">
        <v>3579</v>
      </c>
      <c r="H6548" s="405">
        <v>773380706</v>
      </c>
      <c r="I6548" s="405"/>
      <c r="J6548" s="405">
        <v>0.21820700000000001</v>
      </c>
      <c r="K6548" s="405">
        <v>32.072378999999998</v>
      </c>
      <c r="L6548" s="405" t="s">
        <v>314</v>
      </c>
      <c r="M6548" s="405" t="s">
        <v>339</v>
      </c>
      <c r="N6548" s="405" t="s">
        <v>339</v>
      </c>
      <c r="O6548" s="405" t="s">
        <v>2272</v>
      </c>
      <c r="P6548" s="405" t="s">
        <v>3470</v>
      </c>
      <c r="Q6548" s="411">
        <v>6</v>
      </c>
      <c r="R6548" s="405" t="s">
        <v>318</v>
      </c>
      <c r="S6548" s="405" t="s">
        <v>27188</v>
      </c>
      <c r="T6548" s="405" t="s">
        <v>32102</v>
      </c>
      <c r="U6548" s="405" t="s">
        <v>319</v>
      </c>
    </row>
    <row r="6549" spans="1:21" x14ac:dyDescent="0.25">
      <c r="A6549" s="405" t="s">
        <v>310</v>
      </c>
      <c r="B6549" s="405" t="s">
        <v>12257</v>
      </c>
      <c r="C6549" s="405" t="s">
        <v>327</v>
      </c>
      <c r="D6549" s="405"/>
      <c r="E6549" s="410">
        <v>41361</v>
      </c>
      <c r="F6549" s="410">
        <v>41406</v>
      </c>
      <c r="G6549" s="405" t="s">
        <v>12258</v>
      </c>
      <c r="H6549" s="405">
        <v>777979422</v>
      </c>
      <c r="I6549" s="405"/>
      <c r="J6549" s="405">
        <v>1.0179720000000001</v>
      </c>
      <c r="K6549" s="405">
        <v>34.321342000000001</v>
      </c>
      <c r="L6549" s="405" t="s">
        <v>6866</v>
      </c>
      <c r="M6549" s="405" t="s">
        <v>6867</v>
      </c>
      <c r="N6549" s="405" t="s">
        <v>6868</v>
      </c>
      <c r="O6549" s="405" t="s">
        <v>10075</v>
      </c>
      <c r="P6549" s="405" t="s">
        <v>11996</v>
      </c>
      <c r="Q6549" s="411">
        <v>4</v>
      </c>
      <c r="R6549" s="405" t="s">
        <v>7224</v>
      </c>
      <c r="S6549" s="405" t="s">
        <v>27203</v>
      </c>
      <c r="T6549" s="405" t="s">
        <v>32102</v>
      </c>
      <c r="U6549" s="405" t="s">
        <v>319</v>
      </c>
    </row>
    <row r="6550" spans="1:21" x14ac:dyDescent="0.25">
      <c r="A6550" s="405" t="s">
        <v>310</v>
      </c>
      <c r="B6550" s="405" t="s">
        <v>21040</v>
      </c>
      <c r="C6550" s="405" t="s">
        <v>327</v>
      </c>
      <c r="D6550" s="405"/>
      <c r="E6550" s="410">
        <v>41360</v>
      </c>
      <c r="F6550" s="410">
        <v>41405</v>
      </c>
      <c r="G6550" s="405" t="s">
        <v>21041</v>
      </c>
      <c r="H6550" s="405">
        <v>773401570</v>
      </c>
      <c r="I6550" s="405"/>
      <c r="J6550" s="405">
        <v>-2.0721E-2</v>
      </c>
      <c r="K6550" s="405">
        <v>30.479997999999998</v>
      </c>
      <c r="L6550" s="405" t="s">
        <v>590</v>
      </c>
      <c r="M6550" s="405" t="s">
        <v>870</v>
      </c>
      <c r="N6550" s="405" t="s">
        <v>20193</v>
      </c>
      <c r="O6550" s="405" t="s">
        <v>872</v>
      </c>
      <c r="P6550" s="405" t="s">
        <v>21042</v>
      </c>
      <c r="Q6550" s="411">
        <v>9</v>
      </c>
      <c r="R6550" s="405" t="s">
        <v>333</v>
      </c>
      <c r="S6550" s="405" t="s">
        <v>27249</v>
      </c>
      <c r="T6550" s="405" t="s">
        <v>32102</v>
      </c>
      <c r="U6550" s="405" t="s">
        <v>319</v>
      </c>
    </row>
    <row r="6551" spans="1:21" x14ac:dyDescent="0.25">
      <c r="A6551" s="405" t="s">
        <v>310</v>
      </c>
      <c r="B6551" s="405" t="s">
        <v>21037</v>
      </c>
      <c r="C6551" s="405" t="s">
        <v>327</v>
      </c>
      <c r="D6551" s="405"/>
      <c r="E6551" s="410">
        <v>41360</v>
      </c>
      <c r="F6551" s="410">
        <v>41405</v>
      </c>
      <c r="G6551" s="405" t="s">
        <v>21038</v>
      </c>
      <c r="H6551" s="405">
        <v>701484901</v>
      </c>
      <c r="I6551" s="405"/>
      <c r="J6551" s="405">
        <v>0.625224</v>
      </c>
      <c r="K6551" s="405">
        <v>30.579916000000001</v>
      </c>
      <c r="L6551" s="405" t="s">
        <v>590</v>
      </c>
      <c r="M6551" s="405" t="s">
        <v>20426</v>
      </c>
      <c r="N6551" s="405" t="s">
        <v>20692</v>
      </c>
      <c r="O6551" s="405" t="s">
        <v>20533</v>
      </c>
      <c r="P6551" s="405" t="s">
        <v>21039</v>
      </c>
      <c r="Q6551" s="411">
        <v>9</v>
      </c>
      <c r="R6551" s="405" t="s">
        <v>333</v>
      </c>
      <c r="S6551" s="405" t="s">
        <v>27065</v>
      </c>
      <c r="T6551" s="405" t="s">
        <v>32102</v>
      </c>
      <c r="U6551" s="405" t="s">
        <v>319</v>
      </c>
    </row>
    <row r="6552" spans="1:21" x14ac:dyDescent="0.25">
      <c r="A6552" s="405" t="s">
        <v>310</v>
      </c>
      <c r="B6552" s="405" t="s">
        <v>21026</v>
      </c>
      <c r="C6552" s="405" t="s">
        <v>327</v>
      </c>
      <c r="D6552" s="405"/>
      <c r="E6552" s="410">
        <v>41360</v>
      </c>
      <c r="F6552" s="410">
        <v>41405</v>
      </c>
      <c r="G6552" s="405" t="s">
        <v>21027</v>
      </c>
      <c r="H6552" s="405">
        <v>772666221</v>
      </c>
      <c r="I6552" s="405"/>
      <c r="J6552" s="405">
        <v>-0.63602899999999996</v>
      </c>
      <c r="K6552" s="405">
        <v>30.608765999999999</v>
      </c>
      <c r="L6552" s="405" t="s">
        <v>590</v>
      </c>
      <c r="M6552" s="405" t="s">
        <v>19614</v>
      </c>
      <c r="N6552" s="405" t="s">
        <v>19873</v>
      </c>
      <c r="O6552" s="405" t="s">
        <v>20138</v>
      </c>
      <c r="P6552" s="405" t="s">
        <v>892</v>
      </c>
      <c r="Q6552" s="411">
        <v>6</v>
      </c>
      <c r="R6552" s="405" t="s">
        <v>333</v>
      </c>
      <c r="S6552" s="405" t="s">
        <v>27401</v>
      </c>
      <c r="T6552" s="405" t="s">
        <v>32102</v>
      </c>
      <c r="U6552" s="405" t="s">
        <v>319</v>
      </c>
    </row>
    <row r="6553" spans="1:21" x14ac:dyDescent="0.25">
      <c r="A6553" s="405" t="s">
        <v>310</v>
      </c>
      <c r="B6553" s="405" t="s">
        <v>12276</v>
      </c>
      <c r="C6553" s="405" t="s">
        <v>327</v>
      </c>
      <c r="D6553" s="405"/>
      <c r="E6553" s="410">
        <v>41360</v>
      </c>
      <c r="F6553" s="410">
        <v>41405</v>
      </c>
      <c r="G6553" s="405" t="s">
        <v>12277</v>
      </c>
      <c r="H6553" s="405">
        <v>785604582</v>
      </c>
      <c r="I6553" s="405"/>
      <c r="J6553" s="405">
        <v>1.0810120000000001</v>
      </c>
      <c r="K6553" s="405">
        <v>33.790255000000002</v>
      </c>
      <c r="L6553" s="405" t="s">
        <v>6866</v>
      </c>
      <c r="M6553" s="405" t="s">
        <v>10152</v>
      </c>
      <c r="N6553" s="405" t="s">
        <v>10152</v>
      </c>
      <c r="O6553" s="405" t="s">
        <v>12278</v>
      </c>
      <c r="P6553" s="405" t="s">
        <v>12279</v>
      </c>
      <c r="Q6553" s="411">
        <v>6</v>
      </c>
      <c r="R6553" s="405" t="s">
        <v>9541</v>
      </c>
      <c r="S6553" s="405" t="s">
        <v>27302</v>
      </c>
      <c r="T6553" s="405" t="s">
        <v>32102</v>
      </c>
      <c r="U6553" s="405" t="s">
        <v>319</v>
      </c>
    </row>
    <row r="6554" spans="1:21" x14ac:dyDescent="0.25">
      <c r="A6554" s="405" t="s">
        <v>310</v>
      </c>
      <c r="B6554" s="405" t="s">
        <v>28845</v>
      </c>
      <c r="C6554" s="405" t="s">
        <v>327</v>
      </c>
      <c r="D6554" s="405"/>
      <c r="E6554" s="410">
        <v>41358</v>
      </c>
      <c r="F6554" s="410">
        <v>41403</v>
      </c>
      <c r="G6554" s="405" t="s">
        <v>21043</v>
      </c>
      <c r="H6554" s="405">
        <v>700161200</v>
      </c>
      <c r="I6554" s="405"/>
      <c r="J6554" s="405">
        <v>-0.93557500000000005</v>
      </c>
      <c r="K6554" s="405">
        <v>30.162680999999999</v>
      </c>
      <c r="L6554" s="405" t="s">
        <v>590</v>
      </c>
      <c r="M6554" s="405" t="s">
        <v>19659</v>
      </c>
      <c r="N6554" s="405" t="s">
        <v>19677</v>
      </c>
      <c r="O6554" s="405" t="s">
        <v>20555</v>
      </c>
      <c r="P6554" s="405" t="s">
        <v>19736</v>
      </c>
      <c r="Q6554" s="411">
        <v>13</v>
      </c>
      <c r="R6554" s="405" t="s">
        <v>967</v>
      </c>
      <c r="S6554" s="405" t="s">
        <v>27413</v>
      </c>
      <c r="T6554" s="405" t="s">
        <v>32102</v>
      </c>
      <c r="U6554" s="405" t="s">
        <v>319</v>
      </c>
    </row>
    <row r="6555" spans="1:21" x14ac:dyDescent="0.25">
      <c r="A6555" s="405" t="s">
        <v>310</v>
      </c>
      <c r="B6555" s="405" t="s">
        <v>3595</v>
      </c>
      <c r="C6555" s="405" t="s">
        <v>327</v>
      </c>
      <c r="D6555" s="405"/>
      <c r="E6555" s="410">
        <v>41358</v>
      </c>
      <c r="F6555" s="410">
        <v>41403</v>
      </c>
      <c r="G6555" s="405" t="s">
        <v>3596</v>
      </c>
      <c r="H6555" s="405">
        <v>701417477</v>
      </c>
      <c r="I6555" s="405"/>
      <c r="J6555" s="405">
        <v>0.53449500000000005</v>
      </c>
      <c r="K6555" s="405">
        <v>31.455577999999999</v>
      </c>
      <c r="L6555" s="405" t="s">
        <v>314</v>
      </c>
      <c r="M6555" s="405" t="s">
        <v>445</v>
      </c>
      <c r="N6555" s="405" t="s">
        <v>446</v>
      </c>
      <c r="O6555" s="405" t="s">
        <v>447</v>
      </c>
      <c r="P6555" s="405" t="s">
        <v>3597</v>
      </c>
      <c r="Q6555" s="411">
        <v>13</v>
      </c>
      <c r="R6555" s="405" t="s">
        <v>318</v>
      </c>
      <c r="S6555" s="405" t="s">
        <v>27201</v>
      </c>
      <c r="T6555" s="405" t="s">
        <v>32102</v>
      </c>
      <c r="U6555" s="405" t="s">
        <v>319</v>
      </c>
    </row>
    <row r="6556" spans="1:21" x14ac:dyDescent="0.25">
      <c r="A6556" s="405" t="s">
        <v>310</v>
      </c>
      <c r="B6556" s="405" t="s">
        <v>18570</v>
      </c>
      <c r="C6556" s="405" t="s">
        <v>327</v>
      </c>
      <c r="D6556" s="405"/>
      <c r="E6556" s="410">
        <v>41358</v>
      </c>
      <c r="F6556" s="410">
        <v>41403</v>
      </c>
      <c r="G6556" s="405" t="s">
        <v>18571</v>
      </c>
      <c r="H6556" s="405">
        <v>781486830</v>
      </c>
      <c r="I6556" s="405">
        <v>782500808</v>
      </c>
      <c r="J6556" s="405">
        <v>2.8118439999999998</v>
      </c>
      <c r="K6556" s="405">
        <v>32.286507999999998</v>
      </c>
      <c r="L6556" s="405" t="s">
        <v>860</v>
      </c>
      <c r="M6556" s="405" t="s">
        <v>853</v>
      </c>
      <c r="N6556" s="405" t="s">
        <v>18572</v>
      </c>
      <c r="O6556" s="405" t="s">
        <v>18573</v>
      </c>
      <c r="P6556" s="405" t="s">
        <v>18574</v>
      </c>
      <c r="Q6556" s="411">
        <v>6</v>
      </c>
      <c r="R6556" s="405" t="s">
        <v>994</v>
      </c>
      <c r="S6556" s="405" t="s">
        <v>27378</v>
      </c>
      <c r="T6556" s="405" t="s">
        <v>32102</v>
      </c>
      <c r="U6556" s="405" t="s">
        <v>319</v>
      </c>
    </row>
    <row r="6557" spans="1:21" x14ac:dyDescent="0.25">
      <c r="A6557" s="405" t="s">
        <v>310</v>
      </c>
      <c r="B6557" s="405" t="s">
        <v>21606</v>
      </c>
      <c r="C6557" s="405" t="s">
        <v>327</v>
      </c>
      <c r="D6557" s="405"/>
      <c r="E6557" s="410">
        <v>41358</v>
      </c>
      <c r="F6557" s="410">
        <v>41403</v>
      </c>
      <c r="G6557" s="405" t="s">
        <v>21607</v>
      </c>
      <c r="H6557" s="405">
        <v>782176609</v>
      </c>
      <c r="I6557" s="405"/>
      <c r="J6557" s="405">
        <v>6.6867999999999997E-2</v>
      </c>
      <c r="K6557" s="405">
        <v>30.418417999999999</v>
      </c>
      <c r="L6557" s="405" t="s">
        <v>590</v>
      </c>
      <c r="M6557" s="405" t="s">
        <v>19720</v>
      </c>
      <c r="N6557" s="405" t="s">
        <v>20439</v>
      </c>
      <c r="O6557" s="405" t="s">
        <v>20439</v>
      </c>
      <c r="P6557" s="405" t="s">
        <v>21608</v>
      </c>
      <c r="Q6557" s="411">
        <v>6</v>
      </c>
      <c r="R6557" s="405" t="s">
        <v>402</v>
      </c>
      <c r="S6557" s="405" t="s">
        <v>27098</v>
      </c>
      <c r="T6557" s="405" t="s">
        <v>32102</v>
      </c>
      <c r="U6557" s="405" t="s">
        <v>319</v>
      </c>
    </row>
    <row r="6558" spans="1:21" x14ac:dyDescent="0.25">
      <c r="A6558" s="405" t="s">
        <v>310</v>
      </c>
      <c r="B6558" s="405" t="s">
        <v>3601</v>
      </c>
      <c r="C6558" s="405" t="s">
        <v>327</v>
      </c>
      <c r="D6558" s="405"/>
      <c r="E6558" s="410">
        <v>41358</v>
      </c>
      <c r="F6558" s="410">
        <v>41403</v>
      </c>
      <c r="G6558" s="405" t="s">
        <v>3602</v>
      </c>
      <c r="H6558" s="405">
        <v>777170223</v>
      </c>
      <c r="I6558" s="405"/>
      <c r="J6558" s="405">
        <v>0.37296200000000002</v>
      </c>
      <c r="K6558" s="405">
        <v>32.294752000000003</v>
      </c>
      <c r="L6558" s="405" t="s">
        <v>314</v>
      </c>
      <c r="M6558" s="405" t="s">
        <v>321</v>
      </c>
      <c r="N6558" s="405" t="s">
        <v>2472</v>
      </c>
      <c r="O6558" s="405" t="s">
        <v>2473</v>
      </c>
      <c r="P6558" s="405" t="s">
        <v>3603</v>
      </c>
      <c r="Q6558" s="411">
        <v>6</v>
      </c>
      <c r="R6558" s="405" t="s">
        <v>318</v>
      </c>
      <c r="S6558" s="405" t="s">
        <v>27135</v>
      </c>
      <c r="T6558" s="405" t="s">
        <v>32102</v>
      </c>
      <c r="U6558" s="405" t="s">
        <v>319</v>
      </c>
    </row>
    <row r="6559" spans="1:21" x14ac:dyDescent="0.25">
      <c r="A6559" s="405" t="s">
        <v>310</v>
      </c>
      <c r="B6559" s="405" t="s">
        <v>3639</v>
      </c>
      <c r="C6559" s="405" t="s">
        <v>327</v>
      </c>
      <c r="D6559" s="405"/>
      <c r="E6559" s="410">
        <v>41357</v>
      </c>
      <c r="F6559" s="410">
        <v>41402</v>
      </c>
      <c r="G6559" s="405" t="s">
        <v>3640</v>
      </c>
      <c r="H6559" s="405">
        <v>772316082</v>
      </c>
      <c r="I6559" s="405"/>
      <c r="J6559" s="405">
        <v>0.68016799999999999</v>
      </c>
      <c r="K6559" s="405">
        <v>32.52458</v>
      </c>
      <c r="L6559" s="405" t="s">
        <v>314</v>
      </c>
      <c r="M6559" s="405" t="s">
        <v>959</v>
      </c>
      <c r="N6559" s="405" t="s">
        <v>1094</v>
      </c>
      <c r="O6559" s="405" t="s">
        <v>1094</v>
      </c>
      <c r="P6559" s="405" t="s">
        <v>3109</v>
      </c>
      <c r="Q6559" s="411">
        <v>9</v>
      </c>
      <c r="R6559" s="405" t="s">
        <v>1263</v>
      </c>
      <c r="S6559" s="405" t="s">
        <v>27047</v>
      </c>
      <c r="T6559" s="405" t="s">
        <v>32102</v>
      </c>
      <c r="U6559" s="405" t="s">
        <v>319</v>
      </c>
    </row>
    <row r="6560" spans="1:21" x14ac:dyDescent="0.25">
      <c r="A6560" s="405" t="s">
        <v>310</v>
      </c>
      <c r="B6560" s="405" t="s">
        <v>28805</v>
      </c>
      <c r="C6560" s="405" t="s">
        <v>327</v>
      </c>
      <c r="D6560" s="405"/>
      <c r="E6560" s="410">
        <v>41357</v>
      </c>
      <c r="F6560" s="410">
        <v>41402</v>
      </c>
      <c r="G6560" s="405" t="s">
        <v>18552</v>
      </c>
      <c r="H6560" s="405">
        <v>775783848</v>
      </c>
      <c r="I6560" s="405"/>
      <c r="J6560" s="405">
        <v>1.99292</v>
      </c>
      <c r="K6560" s="405">
        <v>33.003729999999997</v>
      </c>
      <c r="L6560" s="405" t="s">
        <v>860</v>
      </c>
      <c r="M6560" s="405" t="s">
        <v>12189</v>
      </c>
      <c r="N6560" s="405" t="s">
        <v>18270</v>
      </c>
      <c r="O6560" s="405" t="s">
        <v>18271</v>
      </c>
      <c r="P6560" s="405" t="s">
        <v>18553</v>
      </c>
      <c r="Q6560" s="411">
        <v>6</v>
      </c>
      <c r="R6560" s="405" t="s">
        <v>318</v>
      </c>
      <c r="S6560" s="405" t="s">
        <v>27359</v>
      </c>
      <c r="T6560" s="405" t="s">
        <v>32102</v>
      </c>
      <c r="U6560" s="405" t="s">
        <v>319</v>
      </c>
    </row>
    <row r="6561" spans="1:21" x14ac:dyDescent="0.25">
      <c r="A6561" s="405" t="s">
        <v>310</v>
      </c>
      <c r="B6561" s="405" t="s">
        <v>18547</v>
      </c>
      <c r="C6561" s="405" t="s">
        <v>327</v>
      </c>
      <c r="D6561" s="405"/>
      <c r="E6561" s="410">
        <v>41357</v>
      </c>
      <c r="F6561" s="410">
        <v>41402</v>
      </c>
      <c r="G6561" s="405" t="s">
        <v>18548</v>
      </c>
      <c r="H6561" s="405">
        <v>787722980</v>
      </c>
      <c r="I6561" s="405"/>
      <c r="J6561" s="405">
        <v>2.040082</v>
      </c>
      <c r="K6561" s="405">
        <v>33.107993999999998</v>
      </c>
      <c r="L6561" s="405" t="s">
        <v>860</v>
      </c>
      <c r="M6561" s="405" t="s">
        <v>12189</v>
      </c>
      <c r="N6561" s="405" t="s">
        <v>18270</v>
      </c>
      <c r="O6561" s="405" t="s">
        <v>18295</v>
      </c>
      <c r="P6561" s="405" t="s">
        <v>18549</v>
      </c>
      <c r="Q6561" s="411">
        <v>6</v>
      </c>
      <c r="R6561" s="405" t="s">
        <v>318</v>
      </c>
      <c r="S6561" s="405" t="s">
        <v>27343</v>
      </c>
      <c r="T6561" s="405" t="s">
        <v>32102</v>
      </c>
      <c r="U6561" s="405" t="s">
        <v>319</v>
      </c>
    </row>
    <row r="6562" spans="1:21" x14ac:dyDescent="0.25">
      <c r="A6562" s="405" t="s">
        <v>310</v>
      </c>
      <c r="B6562" s="405" t="s">
        <v>18575</v>
      </c>
      <c r="C6562" s="405" t="s">
        <v>327</v>
      </c>
      <c r="D6562" s="405"/>
      <c r="E6562" s="410">
        <v>41357</v>
      </c>
      <c r="F6562" s="410">
        <v>41402</v>
      </c>
      <c r="G6562" s="405" t="s">
        <v>18576</v>
      </c>
      <c r="H6562" s="405">
        <v>701615331</v>
      </c>
      <c r="I6562" s="405"/>
      <c r="J6562" s="405">
        <v>2.77088</v>
      </c>
      <c r="K6562" s="405">
        <v>32.333866999999998</v>
      </c>
      <c r="L6562" s="405" t="s">
        <v>860</v>
      </c>
      <c r="M6562" s="405" t="s">
        <v>853</v>
      </c>
      <c r="N6562" s="405" t="s">
        <v>18311</v>
      </c>
      <c r="O6562" s="405" t="s">
        <v>18307</v>
      </c>
      <c r="P6562" s="405" t="s">
        <v>18577</v>
      </c>
      <c r="Q6562" s="411">
        <v>6</v>
      </c>
      <c r="R6562" s="405" t="s">
        <v>333</v>
      </c>
      <c r="S6562" s="405" t="s">
        <v>27127</v>
      </c>
      <c r="T6562" s="405" t="s">
        <v>32102</v>
      </c>
      <c r="U6562" s="405" t="s">
        <v>319</v>
      </c>
    </row>
    <row r="6563" spans="1:21" x14ac:dyDescent="0.25">
      <c r="A6563" s="405" t="s">
        <v>310</v>
      </c>
      <c r="B6563" s="405" t="s">
        <v>27896</v>
      </c>
      <c r="C6563" s="405" t="s">
        <v>327</v>
      </c>
      <c r="D6563" s="405"/>
      <c r="E6563" s="410">
        <v>41357</v>
      </c>
      <c r="F6563" s="410">
        <v>41402</v>
      </c>
      <c r="G6563" s="405" t="s">
        <v>21028</v>
      </c>
      <c r="H6563" s="405">
        <v>392945019</v>
      </c>
      <c r="I6563" s="405"/>
      <c r="J6563" s="405">
        <v>-0.39747300000000002</v>
      </c>
      <c r="K6563" s="405">
        <v>30.536048999999998</v>
      </c>
      <c r="L6563" s="405" t="s">
        <v>590</v>
      </c>
      <c r="M6563" s="405" t="s">
        <v>19614</v>
      </c>
      <c r="N6563" s="405" t="s">
        <v>19615</v>
      </c>
      <c r="O6563" s="405" t="s">
        <v>21029</v>
      </c>
      <c r="P6563" s="405" t="s">
        <v>21030</v>
      </c>
      <c r="Q6563" s="411">
        <v>6</v>
      </c>
      <c r="R6563" s="405" t="s">
        <v>333</v>
      </c>
      <c r="S6563" s="405" t="s">
        <v>27160</v>
      </c>
      <c r="T6563" s="405" t="s">
        <v>32102</v>
      </c>
      <c r="U6563" s="405" t="s">
        <v>319</v>
      </c>
    </row>
    <row r="6564" spans="1:21" x14ac:dyDescent="0.25">
      <c r="A6564" s="405" t="s">
        <v>310</v>
      </c>
      <c r="B6564" s="405" t="s">
        <v>12273</v>
      </c>
      <c r="C6564" s="405" t="s">
        <v>327</v>
      </c>
      <c r="D6564" s="405"/>
      <c r="E6564" s="410">
        <v>41357</v>
      </c>
      <c r="F6564" s="410">
        <v>41402</v>
      </c>
      <c r="G6564" s="405" t="s">
        <v>12274</v>
      </c>
      <c r="H6564" s="405">
        <v>781717790</v>
      </c>
      <c r="I6564" s="405"/>
      <c r="J6564" s="405">
        <v>1.2796019999999999</v>
      </c>
      <c r="K6564" s="405">
        <v>33.770417000000002</v>
      </c>
      <c r="L6564" s="405" t="s">
        <v>6866</v>
      </c>
      <c r="M6564" s="405" t="s">
        <v>9509</v>
      </c>
      <c r="N6564" s="405" t="s">
        <v>10036</v>
      </c>
      <c r="O6564" s="405" t="s">
        <v>11285</v>
      </c>
      <c r="P6564" s="405" t="s">
        <v>12275</v>
      </c>
      <c r="Q6564" s="411">
        <v>6</v>
      </c>
      <c r="R6564" s="405" t="s">
        <v>9541</v>
      </c>
      <c r="S6564" s="405" t="s">
        <v>27314</v>
      </c>
      <c r="T6564" s="405" t="s">
        <v>32102</v>
      </c>
      <c r="U6564" s="405" t="s">
        <v>319</v>
      </c>
    </row>
    <row r="6565" spans="1:21" x14ac:dyDescent="0.25">
      <c r="A6565" s="405" t="s">
        <v>310</v>
      </c>
      <c r="B6565" s="405" t="s">
        <v>12254</v>
      </c>
      <c r="C6565" s="405" t="s">
        <v>327</v>
      </c>
      <c r="D6565" s="405"/>
      <c r="E6565" s="410">
        <v>41356</v>
      </c>
      <c r="F6565" s="410">
        <v>41401</v>
      </c>
      <c r="G6565" s="405" t="s">
        <v>12255</v>
      </c>
      <c r="H6565" s="405">
        <v>774092288</v>
      </c>
      <c r="I6565" s="405"/>
      <c r="J6565" s="405">
        <v>0.99929500000000004</v>
      </c>
      <c r="K6565" s="405">
        <v>34.251134999999998</v>
      </c>
      <c r="L6565" s="405" t="s">
        <v>6866</v>
      </c>
      <c r="M6565" s="405" t="s">
        <v>9514</v>
      </c>
      <c r="N6565" s="405" t="s">
        <v>9529</v>
      </c>
      <c r="O6565" s="405" t="s">
        <v>11449</v>
      </c>
      <c r="P6565" s="405" t="s">
        <v>12256</v>
      </c>
      <c r="Q6565" s="411">
        <v>4</v>
      </c>
      <c r="R6565" s="405" t="s">
        <v>7224</v>
      </c>
      <c r="S6565" s="405" t="s">
        <v>27074</v>
      </c>
      <c r="T6565" s="405" t="s">
        <v>32102</v>
      </c>
      <c r="U6565" s="405" t="s">
        <v>319</v>
      </c>
    </row>
    <row r="6566" spans="1:21" x14ac:dyDescent="0.25">
      <c r="A6566" s="405" t="s">
        <v>310</v>
      </c>
      <c r="B6566" s="405" t="s">
        <v>28984</v>
      </c>
      <c r="C6566" s="405" t="s">
        <v>327</v>
      </c>
      <c r="D6566" s="405"/>
      <c r="E6566" s="410">
        <v>41355</v>
      </c>
      <c r="F6566" s="410">
        <v>41400</v>
      </c>
      <c r="G6566" s="405" t="s">
        <v>21063</v>
      </c>
      <c r="H6566" s="405">
        <v>772459373</v>
      </c>
      <c r="I6566" s="405"/>
      <c r="J6566" s="405">
        <v>-0.54983599999999999</v>
      </c>
      <c r="K6566" s="405">
        <v>30.179241000000001</v>
      </c>
      <c r="L6566" s="405" t="s">
        <v>590</v>
      </c>
      <c r="M6566" s="405" t="s">
        <v>19625</v>
      </c>
      <c r="N6566" s="405" t="s">
        <v>19978</v>
      </c>
      <c r="O6566" s="405" t="s">
        <v>7426</v>
      </c>
      <c r="P6566" s="405" t="s">
        <v>21064</v>
      </c>
      <c r="Q6566" s="411">
        <v>9</v>
      </c>
      <c r="R6566" s="405" t="s">
        <v>883</v>
      </c>
      <c r="S6566" s="405" t="s">
        <v>27096</v>
      </c>
      <c r="T6566" s="405" t="s">
        <v>32102</v>
      </c>
      <c r="U6566" s="405" t="s">
        <v>319</v>
      </c>
    </row>
    <row r="6567" spans="1:21" x14ac:dyDescent="0.25">
      <c r="A6567" s="405" t="s">
        <v>310</v>
      </c>
      <c r="B6567" s="405" t="s">
        <v>21061</v>
      </c>
      <c r="C6567" s="405" t="s">
        <v>327</v>
      </c>
      <c r="D6567" s="405"/>
      <c r="E6567" s="410">
        <v>41355</v>
      </c>
      <c r="F6567" s="410">
        <v>41400</v>
      </c>
      <c r="G6567" s="405" t="s">
        <v>21062</v>
      </c>
      <c r="H6567" s="405">
        <v>782737723</v>
      </c>
      <c r="I6567" s="405"/>
      <c r="J6567" s="405">
        <v>-0.62402599999999997</v>
      </c>
      <c r="K6567" s="405">
        <v>30.291813999999999</v>
      </c>
      <c r="L6567" s="405" t="s">
        <v>590</v>
      </c>
      <c r="M6567" s="405" t="s">
        <v>19725</v>
      </c>
      <c r="N6567" s="405" t="s">
        <v>19725</v>
      </c>
      <c r="O6567" s="405" t="s">
        <v>19797</v>
      </c>
      <c r="P6567" s="405" t="s">
        <v>5271</v>
      </c>
      <c r="Q6567" s="411">
        <v>9</v>
      </c>
      <c r="R6567" s="405" t="s">
        <v>883</v>
      </c>
      <c r="S6567" s="405" t="s">
        <v>27271</v>
      </c>
      <c r="T6567" s="405" t="s">
        <v>32102</v>
      </c>
      <c r="U6567" s="405" t="s">
        <v>319</v>
      </c>
    </row>
    <row r="6568" spans="1:21" x14ac:dyDescent="0.25">
      <c r="A6568" s="405" t="s">
        <v>310</v>
      </c>
      <c r="B6568" s="405" t="s">
        <v>3607</v>
      </c>
      <c r="C6568" s="405" t="s">
        <v>327</v>
      </c>
      <c r="D6568" s="405"/>
      <c r="E6568" s="410">
        <v>41355</v>
      </c>
      <c r="F6568" s="410">
        <v>41400</v>
      </c>
      <c r="G6568" s="405" t="s">
        <v>3608</v>
      </c>
      <c r="H6568" s="405">
        <v>756116283</v>
      </c>
      <c r="I6568" s="405"/>
      <c r="J6568" s="405">
        <v>0.19876199999999999</v>
      </c>
      <c r="K6568" s="405">
        <v>32.127248000000002</v>
      </c>
      <c r="L6568" s="405" t="s">
        <v>314</v>
      </c>
      <c r="M6568" s="405" t="s">
        <v>315</v>
      </c>
      <c r="N6568" s="405" t="s">
        <v>315</v>
      </c>
      <c r="O6568" s="405" t="s">
        <v>1252</v>
      </c>
      <c r="P6568" s="405" t="s">
        <v>3609</v>
      </c>
      <c r="Q6568" s="411">
        <v>6</v>
      </c>
      <c r="R6568" s="405" t="s">
        <v>318</v>
      </c>
      <c r="S6568" s="405" t="s">
        <v>27188</v>
      </c>
      <c r="T6568" s="405" t="s">
        <v>32102</v>
      </c>
      <c r="U6568" s="405" t="s">
        <v>319</v>
      </c>
    </row>
    <row r="6569" spans="1:21" x14ac:dyDescent="0.25">
      <c r="A6569" s="405" t="s">
        <v>310</v>
      </c>
      <c r="B6569" s="405" t="s">
        <v>28341</v>
      </c>
      <c r="C6569" s="405" t="s">
        <v>327</v>
      </c>
      <c r="D6569" s="405"/>
      <c r="E6569" s="410">
        <v>41354</v>
      </c>
      <c r="F6569" s="410">
        <v>41399</v>
      </c>
      <c r="G6569" s="405" t="s">
        <v>21054</v>
      </c>
      <c r="H6569" s="405">
        <v>772435726</v>
      </c>
      <c r="I6569" s="405"/>
      <c r="J6569" s="405">
        <v>1.0551379999999999</v>
      </c>
      <c r="K6569" s="405">
        <v>30.921873000000001</v>
      </c>
      <c r="L6569" s="405" t="s">
        <v>590</v>
      </c>
      <c r="M6569" s="405" t="s">
        <v>7488</v>
      </c>
      <c r="N6569" s="405" t="s">
        <v>20804</v>
      </c>
      <c r="O6569" s="405" t="s">
        <v>20990</v>
      </c>
      <c r="P6569" s="405" t="s">
        <v>21055</v>
      </c>
      <c r="Q6569" s="411">
        <v>6</v>
      </c>
      <c r="R6569" s="405" t="s">
        <v>525</v>
      </c>
      <c r="S6569" s="405" t="s">
        <v>27035</v>
      </c>
      <c r="T6569" s="405" t="s">
        <v>32102</v>
      </c>
      <c r="U6569" s="405" t="s">
        <v>319</v>
      </c>
    </row>
    <row r="6570" spans="1:21" x14ac:dyDescent="0.25">
      <c r="A6570" s="405" t="s">
        <v>310</v>
      </c>
      <c r="B6570" s="405" t="s">
        <v>29104</v>
      </c>
      <c r="C6570" s="405" t="s">
        <v>327</v>
      </c>
      <c r="D6570" s="405"/>
      <c r="E6570" s="410">
        <v>41354</v>
      </c>
      <c r="F6570" s="410">
        <v>41399</v>
      </c>
      <c r="G6570" s="405" t="s">
        <v>12230</v>
      </c>
      <c r="H6570" s="405">
        <v>777883791</v>
      </c>
      <c r="I6570" s="405"/>
      <c r="J6570" s="405">
        <v>1.0442180000000001</v>
      </c>
      <c r="K6570" s="405">
        <v>34.186480000000003</v>
      </c>
      <c r="L6570" s="405" t="s">
        <v>6866</v>
      </c>
      <c r="M6570" s="405" t="s">
        <v>6867</v>
      </c>
      <c r="N6570" s="405" t="s">
        <v>9529</v>
      </c>
      <c r="O6570" s="405" t="s">
        <v>12168</v>
      </c>
      <c r="P6570" s="405" t="s">
        <v>12231</v>
      </c>
      <c r="Q6570" s="411">
        <v>6</v>
      </c>
      <c r="R6570" s="405" t="s">
        <v>7224</v>
      </c>
      <c r="S6570" s="405" t="s">
        <v>17062</v>
      </c>
      <c r="T6570" s="405" t="s">
        <v>32102</v>
      </c>
      <c r="U6570" s="405" t="s">
        <v>319</v>
      </c>
    </row>
    <row r="6571" spans="1:21" x14ac:dyDescent="0.25">
      <c r="A6571" s="405" t="s">
        <v>310</v>
      </c>
      <c r="B6571" s="405" t="s">
        <v>21001</v>
      </c>
      <c r="C6571" s="405" t="s">
        <v>327</v>
      </c>
      <c r="D6571" s="405"/>
      <c r="E6571" s="410">
        <v>41353</v>
      </c>
      <c r="F6571" s="410">
        <v>41398</v>
      </c>
      <c r="G6571" s="405" t="s">
        <v>21002</v>
      </c>
      <c r="H6571" s="405">
        <v>774822828</v>
      </c>
      <c r="I6571" s="405">
        <v>751822828</v>
      </c>
      <c r="J6571" s="405">
        <v>0.72684400000000005</v>
      </c>
      <c r="K6571" s="405">
        <v>30.346637999999999</v>
      </c>
      <c r="L6571" s="405" t="s">
        <v>590</v>
      </c>
      <c r="M6571" s="405" t="s">
        <v>20125</v>
      </c>
      <c r="N6571" s="405" t="s">
        <v>20126</v>
      </c>
      <c r="O6571" s="405" t="s">
        <v>20862</v>
      </c>
      <c r="P6571" s="405" t="s">
        <v>21003</v>
      </c>
      <c r="Q6571" s="411">
        <v>9</v>
      </c>
      <c r="R6571" s="405" t="s">
        <v>20774</v>
      </c>
      <c r="S6571" s="405" t="s">
        <v>27409</v>
      </c>
      <c r="T6571" s="405" t="s">
        <v>32102</v>
      </c>
      <c r="U6571" s="405" t="s">
        <v>319</v>
      </c>
    </row>
    <row r="6572" spans="1:21" x14ac:dyDescent="0.25">
      <c r="A6572" s="405" t="s">
        <v>310</v>
      </c>
      <c r="B6572" s="405" t="s">
        <v>3711</v>
      </c>
      <c r="C6572" s="405" t="s">
        <v>327</v>
      </c>
      <c r="D6572" s="405"/>
      <c r="E6572" s="410">
        <v>41353</v>
      </c>
      <c r="F6572" s="410">
        <v>41398</v>
      </c>
      <c r="G6572" s="405" t="s">
        <v>3712</v>
      </c>
      <c r="H6572" s="405">
        <v>702690734</v>
      </c>
      <c r="I6572" s="405">
        <v>703120713</v>
      </c>
      <c r="J6572" s="405">
        <v>0.59440199999999999</v>
      </c>
      <c r="K6572" s="405">
        <v>31.349160000000001</v>
      </c>
      <c r="L6572" s="405" t="s">
        <v>314</v>
      </c>
      <c r="M6572" s="405" t="s">
        <v>445</v>
      </c>
      <c r="N6572" s="405" t="s">
        <v>446</v>
      </c>
      <c r="O6572" s="405" t="s">
        <v>2953</v>
      </c>
      <c r="P6572" s="405" t="s">
        <v>3459</v>
      </c>
      <c r="Q6572" s="411">
        <v>9</v>
      </c>
      <c r="R6572" s="405" t="s">
        <v>318</v>
      </c>
      <c r="S6572" s="405" t="s">
        <v>27054</v>
      </c>
      <c r="T6572" s="405" t="s">
        <v>32102</v>
      </c>
      <c r="U6572" s="405" t="s">
        <v>319</v>
      </c>
    </row>
    <row r="6573" spans="1:21" x14ac:dyDescent="0.25">
      <c r="A6573" s="405" t="s">
        <v>310</v>
      </c>
      <c r="B6573" s="405" t="s">
        <v>28254</v>
      </c>
      <c r="C6573" s="405" t="s">
        <v>327</v>
      </c>
      <c r="D6573" s="405"/>
      <c r="E6573" s="410">
        <v>41353</v>
      </c>
      <c r="F6573" s="410">
        <v>41398</v>
      </c>
      <c r="G6573" s="405" t="s">
        <v>3694</v>
      </c>
      <c r="H6573" s="405">
        <v>752336841</v>
      </c>
      <c r="I6573" s="405"/>
      <c r="J6573" s="405">
        <v>0.43601699999999999</v>
      </c>
      <c r="K6573" s="405">
        <v>32.578427300000001</v>
      </c>
      <c r="L6573" s="405" t="s">
        <v>314</v>
      </c>
      <c r="M6573" s="405" t="s">
        <v>361</v>
      </c>
      <c r="N6573" s="405" t="s">
        <v>374</v>
      </c>
      <c r="O6573" s="405" t="s">
        <v>361</v>
      </c>
      <c r="P6573" s="405" t="s">
        <v>3425</v>
      </c>
      <c r="Q6573" s="411">
        <v>6</v>
      </c>
      <c r="R6573" s="405" t="s">
        <v>1263</v>
      </c>
      <c r="S6573" s="405" t="s">
        <v>27198</v>
      </c>
      <c r="T6573" s="405" t="s">
        <v>32102</v>
      </c>
      <c r="U6573" s="405" t="s">
        <v>319</v>
      </c>
    </row>
    <row r="6574" spans="1:21" x14ac:dyDescent="0.25">
      <c r="A6574" s="405" t="s">
        <v>310</v>
      </c>
      <c r="B6574" s="405" t="s">
        <v>18568</v>
      </c>
      <c r="C6574" s="405" t="s">
        <v>327</v>
      </c>
      <c r="D6574" s="405"/>
      <c r="E6574" s="410">
        <v>41353</v>
      </c>
      <c r="F6574" s="410">
        <v>41398</v>
      </c>
      <c r="G6574" s="405" t="s">
        <v>18569</v>
      </c>
      <c r="H6574" s="405">
        <v>778119466</v>
      </c>
      <c r="I6574" s="405"/>
      <c r="J6574" s="405">
        <v>2.740462</v>
      </c>
      <c r="K6574" s="405">
        <v>32.310485999999997</v>
      </c>
      <c r="L6574" s="405" t="s">
        <v>860</v>
      </c>
      <c r="M6574" s="405" t="s">
        <v>853</v>
      </c>
      <c r="N6574" s="405" t="s">
        <v>18311</v>
      </c>
      <c r="O6574" s="405" t="s">
        <v>18307</v>
      </c>
      <c r="P6574" s="405" t="s">
        <v>18307</v>
      </c>
      <c r="Q6574" s="411">
        <v>6</v>
      </c>
      <c r="R6574" s="405" t="s">
        <v>994</v>
      </c>
      <c r="S6574" s="405" t="s">
        <v>27162</v>
      </c>
      <c r="T6574" s="405" t="s">
        <v>32102</v>
      </c>
      <c r="U6574" s="405" t="s">
        <v>319</v>
      </c>
    </row>
    <row r="6575" spans="1:21" x14ac:dyDescent="0.25">
      <c r="A6575" s="405" t="s">
        <v>310</v>
      </c>
      <c r="B6575" s="405" t="s">
        <v>3732</v>
      </c>
      <c r="C6575" s="405" t="s">
        <v>327</v>
      </c>
      <c r="D6575" s="405"/>
      <c r="E6575" s="410">
        <v>41352</v>
      </c>
      <c r="F6575" s="410">
        <v>41397</v>
      </c>
      <c r="G6575" s="405" t="s">
        <v>3733</v>
      </c>
      <c r="H6575" s="405">
        <v>772621569</v>
      </c>
      <c r="I6575" s="405"/>
      <c r="J6575" s="405">
        <v>-0.29646299999999998</v>
      </c>
      <c r="K6575" s="405">
        <v>32.147098</v>
      </c>
      <c r="L6575" s="405" t="s">
        <v>314</v>
      </c>
      <c r="M6575" s="405" t="s">
        <v>694</v>
      </c>
      <c r="N6575" s="405" t="s">
        <v>3730</v>
      </c>
      <c r="O6575" s="405" t="s">
        <v>3730</v>
      </c>
      <c r="P6575" s="405" t="s">
        <v>3731</v>
      </c>
      <c r="Q6575" s="411">
        <v>9</v>
      </c>
      <c r="R6575" s="405" t="s">
        <v>1263</v>
      </c>
      <c r="S6575" s="405" t="s">
        <v>27210</v>
      </c>
      <c r="T6575" s="405" t="s">
        <v>32102</v>
      </c>
      <c r="U6575" s="405" t="s">
        <v>319</v>
      </c>
    </row>
    <row r="6576" spans="1:21" x14ac:dyDescent="0.25">
      <c r="A6576" s="405" t="s">
        <v>310</v>
      </c>
      <c r="B6576" s="405" t="s">
        <v>21051</v>
      </c>
      <c r="C6576" s="405" t="s">
        <v>327</v>
      </c>
      <c r="D6576" s="405"/>
      <c r="E6576" s="410">
        <v>41351</v>
      </c>
      <c r="F6576" s="410">
        <v>41396</v>
      </c>
      <c r="G6576" s="405" t="s">
        <v>21052</v>
      </c>
      <c r="H6576" s="405">
        <v>785669923</v>
      </c>
      <c r="I6576" s="405"/>
      <c r="J6576" s="405">
        <v>1.0695779999999999</v>
      </c>
      <c r="K6576" s="405">
        <v>30.926846999999999</v>
      </c>
      <c r="L6576" s="405" t="s">
        <v>590</v>
      </c>
      <c r="M6576" s="405" t="s">
        <v>7488</v>
      </c>
      <c r="N6576" s="405" t="s">
        <v>20804</v>
      </c>
      <c r="O6576" s="405" t="s">
        <v>15979</v>
      </c>
      <c r="P6576" s="405" t="s">
        <v>21053</v>
      </c>
      <c r="Q6576" s="411">
        <v>6</v>
      </c>
      <c r="R6576" s="405" t="s">
        <v>525</v>
      </c>
      <c r="S6576" s="405" t="s">
        <v>22481</v>
      </c>
      <c r="T6576" s="405" t="s">
        <v>32102</v>
      </c>
      <c r="U6576" s="405" t="s">
        <v>319</v>
      </c>
    </row>
    <row r="6577" spans="1:21" x14ac:dyDescent="0.25">
      <c r="A6577" s="405" t="s">
        <v>310</v>
      </c>
      <c r="B6577" s="405" t="s">
        <v>28930</v>
      </c>
      <c r="C6577" s="405" t="s">
        <v>311</v>
      </c>
      <c r="D6577" s="405" t="s">
        <v>839</v>
      </c>
      <c r="E6577" s="410">
        <v>41351</v>
      </c>
      <c r="F6577" s="410">
        <v>41396</v>
      </c>
      <c r="G6577" s="405" t="s">
        <v>4228</v>
      </c>
      <c r="H6577" s="405">
        <v>772307406</v>
      </c>
      <c r="I6577" s="405"/>
      <c r="J6577" s="405">
        <v>0.36382666666666663</v>
      </c>
      <c r="K6577" s="405">
        <v>32.287419999999997</v>
      </c>
      <c r="L6577" s="405" t="s">
        <v>314</v>
      </c>
      <c r="M6577" s="405" t="s">
        <v>321</v>
      </c>
      <c r="N6577" s="405" t="s">
        <v>322</v>
      </c>
      <c r="O6577" s="405" t="s">
        <v>1017</v>
      </c>
      <c r="P6577" s="405" t="s">
        <v>4229</v>
      </c>
      <c r="Q6577" s="411">
        <v>6</v>
      </c>
      <c r="R6577" s="405" t="s">
        <v>318</v>
      </c>
      <c r="S6577" s="405" t="s">
        <v>27135</v>
      </c>
      <c r="T6577" s="405" t="s">
        <v>32102</v>
      </c>
      <c r="U6577" s="405" t="s">
        <v>319</v>
      </c>
    </row>
    <row r="6578" spans="1:21" x14ac:dyDescent="0.25">
      <c r="A6578" s="405" t="s">
        <v>310</v>
      </c>
      <c r="B6578" s="405" t="s">
        <v>28211</v>
      </c>
      <c r="C6578" s="405" t="s">
        <v>327</v>
      </c>
      <c r="D6578" s="405"/>
      <c r="E6578" s="410">
        <v>41350</v>
      </c>
      <c r="F6578" s="410">
        <v>41395</v>
      </c>
      <c r="G6578" s="405" t="s">
        <v>4197</v>
      </c>
      <c r="H6578" s="405">
        <v>782495594</v>
      </c>
      <c r="I6578" s="405"/>
      <c r="J6578" s="405">
        <v>8.6647399999999999E-2</v>
      </c>
      <c r="K6578" s="405">
        <v>32.139909899999999</v>
      </c>
      <c r="L6578" s="405" t="s">
        <v>314</v>
      </c>
      <c r="M6578" s="405" t="s">
        <v>321</v>
      </c>
      <c r="N6578" s="405" t="s">
        <v>322</v>
      </c>
      <c r="O6578" s="405" t="s">
        <v>476</v>
      </c>
      <c r="P6578" s="405" t="s">
        <v>2810</v>
      </c>
      <c r="Q6578" s="411">
        <v>6</v>
      </c>
      <c r="R6578" s="405" t="s">
        <v>318</v>
      </c>
      <c r="S6578" s="405" t="s">
        <v>27167</v>
      </c>
      <c r="T6578" s="405" t="s">
        <v>32102</v>
      </c>
      <c r="U6578" s="405" t="s">
        <v>319</v>
      </c>
    </row>
    <row r="6579" spans="1:21" x14ac:dyDescent="0.25">
      <c r="A6579" s="405" t="s">
        <v>310</v>
      </c>
      <c r="B6579" s="405" t="s">
        <v>27847</v>
      </c>
      <c r="C6579" s="405" t="s">
        <v>327</v>
      </c>
      <c r="D6579" s="405"/>
      <c r="E6579" s="410">
        <v>41350</v>
      </c>
      <c r="F6579" s="410">
        <v>41395</v>
      </c>
      <c r="G6579" s="405" t="s">
        <v>18550</v>
      </c>
      <c r="H6579" s="405">
        <v>778105266</v>
      </c>
      <c r="I6579" s="405"/>
      <c r="J6579" s="405">
        <v>1.9821230000000001</v>
      </c>
      <c r="K6579" s="405">
        <v>33.003641999999999</v>
      </c>
      <c r="L6579" s="405" t="s">
        <v>860</v>
      </c>
      <c r="M6579" s="405" t="s">
        <v>12189</v>
      </c>
      <c r="N6579" s="405" t="s">
        <v>18298</v>
      </c>
      <c r="O6579" s="405" t="s">
        <v>18271</v>
      </c>
      <c r="P6579" s="405" t="s">
        <v>18551</v>
      </c>
      <c r="Q6579" s="411">
        <v>6</v>
      </c>
      <c r="R6579" s="405" t="s">
        <v>318</v>
      </c>
      <c r="S6579" s="405" t="s">
        <v>27359</v>
      </c>
      <c r="T6579" s="405" t="s">
        <v>32102</v>
      </c>
      <c r="U6579" s="405" t="s">
        <v>319</v>
      </c>
    </row>
    <row r="6580" spans="1:21" x14ac:dyDescent="0.25">
      <c r="A6580" s="405" t="s">
        <v>310</v>
      </c>
      <c r="B6580" s="405" t="s">
        <v>12264</v>
      </c>
      <c r="C6580" s="405" t="s">
        <v>327</v>
      </c>
      <c r="D6580" s="405"/>
      <c r="E6580" s="410">
        <v>41350</v>
      </c>
      <c r="F6580" s="410">
        <v>41395</v>
      </c>
      <c r="G6580" s="405" t="s">
        <v>12265</v>
      </c>
      <c r="H6580" s="405">
        <v>758328223</v>
      </c>
      <c r="I6580" s="405"/>
      <c r="J6580" s="405">
        <v>1.143913</v>
      </c>
      <c r="K6580" s="405">
        <v>33.840035</v>
      </c>
      <c r="L6580" s="405" t="s">
        <v>6866</v>
      </c>
      <c r="M6580" s="405" t="s">
        <v>10152</v>
      </c>
      <c r="N6580" s="405" t="s">
        <v>10153</v>
      </c>
      <c r="O6580" s="405" t="s">
        <v>4432</v>
      </c>
      <c r="P6580" s="405" t="s">
        <v>12266</v>
      </c>
      <c r="Q6580" s="411">
        <v>6</v>
      </c>
      <c r="R6580" s="405" t="s">
        <v>9541</v>
      </c>
      <c r="S6580" s="405" t="s">
        <v>27339</v>
      </c>
      <c r="T6580" s="405" t="s">
        <v>32102</v>
      </c>
      <c r="U6580" s="405" t="s">
        <v>319</v>
      </c>
    </row>
    <row r="6581" spans="1:21" x14ac:dyDescent="0.25">
      <c r="A6581" s="405" t="s">
        <v>310</v>
      </c>
      <c r="B6581" s="405" t="s">
        <v>3569</v>
      </c>
      <c r="C6581" s="405" t="s">
        <v>327</v>
      </c>
      <c r="D6581" s="405"/>
      <c r="E6581" s="410">
        <v>41350</v>
      </c>
      <c r="F6581" s="410">
        <v>41395</v>
      </c>
      <c r="G6581" s="405" t="s">
        <v>3570</v>
      </c>
      <c r="H6581" s="405">
        <v>778114418</v>
      </c>
      <c r="I6581" s="405"/>
      <c r="J6581" s="405">
        <v>0.65820800000000002</v>
      </c>
      <c r="K6581" s="405">
        <v>32.159284999999997</v>
      </c>
      <c r="L6581" s="405" t="s">
        <v>314</v>
      </c>
      <c r="M6581" s="405" t="s">
        <v>675</v>
      </c>
      <c r="N6581" s="405" t="s">
        <v>1065</v>
      </c>
      <c r="O6581" s="405" t="s">
        <v>814</v>
      </c>
      <c r="P6581" s="405" t="s">
        <v>2490</v>
      </c>
      <c r="Q6581" s="411">
        <v>4</v>
      </c>
      <c r="R6581" s="405" t="s">
        <v>318</v>
      </c>
      <c r="S6581" s="405" t="s">
        <v>27137</v>
      </c>
      <c r="T6581" s="405" t="s">
        <v>32102</v>
      </c>
      <c r="U6581" s="405" t="s">
        <v>319</v>
      </c>
    </row>
    <row r="6582" spans="1:21" x14ac:dyDescent="0.25">
      <c r="A6582" s="405" t="s">
        <v>310</v>
      </c>
      <c r="B6582" s="405" t="s">
        <v>28365</v>
      </c>
      <c r="C6582" s="405" t="s">
        <v>327</v>
      </c>
      <c r="D6582" s="405"/>
      <c r="E6582" s="410">
        <v>41349</v>
      </c>
      <c r="F6582" s="410">
        <v>41394</v>
      </c>
      <c r="G6582" s="405" t="s">
        <v>3540</v>
      </c>
      <c r="H6582" s="405">
        <v>703138531</v>
      </c>
      <c r="I6582" s="405"/>
      <c r="J6582" s="405">
        <v>0.375583</v>
      </c>
      <c r="K6582" s="405">
        <v>31.609256999999999</v>
      </c>
      <c r="L6582" s="405" t="s">
        <v>314</v>
      </c>
      <c r="M6582" s="405" t="s">
        <v>445</v>
      </c>
      <c r="N6582" s="405" t="s">
        <v>570</v>
      </c>
      <c r="O6582" s="405" t="s">
        <v>2734</v>
      </c>
      <c r="P6582" s="405" t="s">
        <v>3541</v>
      </c>
      <c r="Q6582" s="411">
        <v>9</v>
      </c>
      <c r="R6582" s="405" t="s">
        <v>2060</v>
      </c>
      <c r="S6582" s="405" t="s">
        <v>27207</v>
      </c>
      <c r="T6582" s="405" t="s">
        <v>32102</v>
      </c>
      <c r="U6582" s="405" t="s">
        <v>319</v>
      </c>
    </row>
    <row r="6583" spans="1:21" x14ac:dyDescent="0.25">
      <c r="A6583" s="405" t="s">
        <v>310</v>
      </c>
      <c r="B6583" s="405" t="s">
        <v>12203</v>
      </c>
      <c r="C6583" s="405" t="s">
        <v>327</v>
      </c>
      <c r="D6583" s="405"/>
      <c r="E6583" s="410">
        <v>41349</v>
      </c>
      <c r="F6583" s="410">
        <v>41394</v>
      </c>
      <c r="G6583" s="405" t="s">
        <v>12204</v>
      </c>
      <c r="H6583" s="405">
        <v>784896763</v>
      </c>
      <c r="I6583" s="405"/>
      <c r="J6583" s="405">
        <v>1.475487</v>
      </c>
      <c r="K6583" s="405">
        <v>33.816704999999999</v>
      </c>
      <c r="L6583" s="405" t="s">
        <v>6866</v>
      </c>
      <c r="M6583" s="405" t="s">
        <v>10012</v>
      </c>
      <c r="N6583" s="405" t="s">
        <v>10012</v>
      </c>
      <c r="O6583" s="405" t="s">
        <v>10012</v>
      </c>
      <c r="P6583" s="405" t="s">
        <v>12205</v>
      </c>
      <c r="Q6583" s="411">
        <v>6</v>
      </c>
      <c r="R6583" s="405" t="s">
        <v>9541</v>
      </c>
      <c r="S6583" s="405" t="s">
        <v>27302</v>
      </c>
      <c r="T6583" s="405" t="s">
        <v>32102</v>
      </c>
      <c r="U6583" s="405" t="s">
        <v>319</v>
      </c>
    </row>
    <row r="6584" spans="1:21" x14ac:dyDescent="0.25">
      <c r="A6584" s="405" t="s">
        <v>310</v>
      </c>
      <c r="B6584" s="405" t="s">
        <v>28843</v>
      </c>
      <c r="C6584" s="405" t="s">
        <v>327</v>
      </c>
      <c r="D6584" s="405"/>
      <c r="E6584" s="410">
        <v>41348</v>
      </c>
      <c r="F6584" s="410">
        <v>41393</v>
      </c>
      <c r="G6584" s="405" t="s">
        <v>20965</v>
      </c>
      <c r="H6584" s="405">
        <v>772480062</v>
      </c>
      <c r="I6584" s="405">
        <v>702480062</v>
      </c>
      <c r="J6584" s="405">
        <v>0.58521900000000004</v>
      </c>
      <c r="K6584" s="405">
        <v>30.214466000000002</v>
      </c>
      <c r="L6584" s="405" t="s">
        <v>590</v>
      </c>
      <c r="M6584" s="405" t="s">
        <v>20125</v>
      </c>
      <c r="N6584" s="405" t="s">
        <v>20866</v>
      </c>
      <c r="O6584" s="405" t="s">
        <v>20966</v>
      </c>
      <c r="P6584" s="405" t="s">
        <v>15197</v>
      </c>
      <c r="Q6584" s="411">
        <v>9</v>
      </c>
      <c r="R6584" s="405" t="s">
        <v>1263</v>
      </c>
      <c r="S6584" s="405" t="s">
        <v>27409</v>
      </c>
      <c r="T6584" s="405" t="s">
        <v>32102</v>
      </c>
      <c r="U6584" s="405" t="s">
        <v>319</v>
      </c>
    </row>
    <row r="6585" spans="1:21" x14ac:dyDescent="0.25">
      <c r="A6585" s="405" t="s">
        <v>310</v>
      </c>
      <c r="B6585" s="405" t="s">
        <v>20975</v>
      </c>
      <c r="C6585" s="405" t="s">
        <v>327</v>
      </c>
      <c r="D6585" s="405"/>
      <c r="E6585" s="410">
        <v>41348</v>
      </c>
      <c r="F6585" s="410">
        <v>41393</v>
      </c>
      <c r="G6585" s="405" t="s">
        <v>20976</v>
      </c>
      <c r="H6585" s="405">
        <v>702460872</v>
      </c>
      <c r="I6585" s="405"/>
      <c r="J6585" s="405">
        <v>-0.74640600000000001</v>
      </c>
      <c r="K6585" s="405">
        <v>30.33381</v>
      </c>
      <c r="L6585" s="405" t="s">
        <v>590</v>
      </c>
      <c r="M6585" s="405" t="s">
        <v>19659</v>
      </c>
      <c r="N6585" s="405" t="s">
        <v>19664</v>
      </c>
      <c r="O6585" s="405" t="s">
        <v>19969</v>
      </c>
      <c r="P6585" s="405" t="s">
        <v>20977</v>
      </c>
      <c r="Q6585" s="411">
        <v>6</v>
      </c>
      <c r="R6585" s="405" t="s">
        <v>1527</v>
      </c>
      <c r="S6585" s="405" t="s">
        <v>27401</v>
      </c>
      <c r="T6585" s="405" t="s">
        <v>32102</v>
      </c>
      <c r="U6585" s="405" t="s">
        <v>319</v>
      </c>
    </row>
    <row r="6586" spans="1:21" x14ac:dyDescent="0.25">
      <c r="A6586" s="405" t="s">
        <v>310</v>
      </c>
      <c r="B6586" s="405" t="s">
        <v>12198</v>
      </c>
      <c r="C6586" s="405" t="s">
        <v>327</v>
      </c>
      <c r="D6586" s="405"/>
      <c r="E6586" s="410">
        <v>41348</v>
      </c>
      <c r="F6586" s="410">
        <v>41393</v>
      </c>
      <c r="G6586" s="405" t="s">
        <v>12199</v>
      </c>
      <c r="H6586" s="405">
        <v>703915904</v>
      </c>
      <c r="I6586" s="405"/>
      <c r="J6586" s="405">
        <v>1.1055029999999999</v>
      </c>
      <c r="K6586" s="405">
        <v>33.784207000000002</v>
      </c>
      <c r="L6586" s="405" t="s">
        <v>6866</v>
      </c>
      <c r="M6586" s="405" t="s">
        <v>9509</v>
      </c>
      <c r="N6586" s="405" t="s">
        <v>9509</v>
      </c>
      <c r="O6586" s="405" t="s">
        <v>9510</v>
      </c>
      <c r="P6586" s="405" t="s">
        <v>12200</v>
      </c>
      <c r="Q6586" s="411">
        <v>6</v>
      </c>
      <c r="R6586" s="405" t="s">
        <v>9541</v>
      </c>
      <c r="S6586" s="405" t="s">
        <v>27297</v>
      </c>
      <c r="T6586" s="405" t="s">
        <v>32102</v>
      </c>
      <c r="U6586" s="405" t="s">
        <v>319</v>
      </c>
    </row>
    <row r="6587" spans="1:21" x14ac:dyDescent="0.25">
      <c r="A6587" s="405" t="s">
        <v>310</v>
      </c>
      <c r="B6587" s="405" t="s">
        <v>18514</v>
      </c>
      <c r="C6587" s="405" t="s">
        <v>327</v>
      </c>
      <c r="D6587" s="405"/>
      <c r="E6587" s="410">
        <v>41348</v>
      </c>
      <c r="F6587" s="410">
        <v>41393</v>
      </c>
      <c r="G6587" s="405" t="s">
        <v>18515</v>
      </c>
      <c r="H6587" s="405">
        <v>775710624</v>
      </c>
      <c r="I6587" s="405">
        <v>751466922</v>
      </c>
      <c r="J6587" s="405">
        <v>2.2840150000000001</v>
      </c>
      <c r="K6587" s="405">
        <v>32.850895000000001</v>
      </c>
      <c r="L6587" s="405" t="s">
        <v>860</v>
      </c>
      <c r="M6587" s="405" t="s">
        <v>18234</v>
      </c>
      <c r="N6587" s="405" t="s">
        <v>18252</v>
      </c>
      <c r="O6587" s="405" t="s">
        <v>18234</v>
      </c>
      <c r="P6587" s="405" t="s">
        <v>18516</v>
      </c>
      <c r="Q6587" s="411">
        <v>6</v>
      </c>
      <c r="R6587" s="405" t="s">
        <v>525</v>
      </c>
      <c r="S6587" s="405" t="s">
        <v>27171</v>
      </c>
      <c r="T6587" s="405" t="s">
        <v>32102</v>
      </c>
      <c r="U6587" s="405" t="s">
        <v>319</v>
      </c>
    </row>
    <row r="6588" spans="1:21" x14ac:dyDescent="0.25">
      <c r="A6588" s="405" t="s">
        <v>310</v>
      </c>
      <c r="B6588" s="405" t="s">
        <v>12211</v>
      </c>
      <c r="C6588" s="405" t="s">
        <v>327</v>
      </c>
      <c r="D6588" s="405"/>
      <c r="E6588" s="410">
        <v>41347</v>
      </c>
      <c r="F6588" s="410">
        <v>41392</v>
      </c>
      <c r="G6588" s="405" t="s">
        <v>12212</v>
      </c>
      <c r="H6588" s="405">
        <v>758166139</v>
      </c>
      <c r="I6588" s="405"/>
      <c r="J6588" s="405">
        <v>1.0841400000000001</v>
      </c>
      <c r="K6588" s="405">
        <v>33.879976999999997</v>
      </c>
      <c r="L6588" s="405" t="s">
        <v>6866</v>
      </c>
      <c r="M6588" s="405" t="s">
        <v>10152</v>
      </c>
      <c r="N6588" s="405" t="s">
        <v>10153</v>
      </c>
      <c r="O6588" s="405" t="s">
        <v>10154</v>
      </c>
      <c r="P6588" s="405" t="s">
        <v>12213</v>
      </c>
      <c r="Q6588" s="411">
        <v>6</v>
      </c>
      <c r="R6588" s="405" t="s">
        <v>9541</v>
      </c>
      <c r="S6588" s="405" t="s">
        <v>27302</v>
      </c>
      <c r="T6588" s="405" t="s">
        <v>32102</v>
      </c>
      <c r="U6588" s="405" t="s">
        <v>319</v>
      </c>
    </row>
    <row r="6589" spans="1:21" x14ac:dyDescent="0.25">
      <c r="A6589" s="405" t="s">
        <v>310</v>
      </c>
      <c r="B6589" s="405" t="s">
        <v>20992</v>
      </c>
      <c r="C6589" s="405" t="s">
        <v>327</v>
      </c>
      <c r="D6589" s="405"/>
      <c r="E6589" s="410">
        <v>41347</v>
      </c>
      <c r="F6589" s="410">
        <v>41392</v>
      </c>
      <c r="G6589" s="405" t="s">
        <v>20993</v>
      </c>
      <c r="H6589" s="405">
        <v>752636749</v>
      </c>
      <c r="I6589" s="405"/>
      <c r="J6589" s="405">
        <v>1.05105</v>
      </c>
      <c r="K6589" s="405">
        <v>30.911725000000001</v>
      </c>
      <c r="L6589" s="405" t="s">
        <v>590</v>
      </c>
      <c r="M6589" s="405" t="s">
        <v>7488</v>
      </c>
      <c r="N6589" s="405" t="s">
        <v>20804</v>
      </c>
      <c r="O6589" s="405" t="s">
        <v>15979</v>
      </c>
      <c r="P6589" s="405" t="s">
        <v>20994</v>
      </c>
      <c r="Q6589" s="411">
        <v>6</v>
      </c>
      <c r="R6589" s="405" t="s">
        <v>525</v>
      </c>
      <c r="S6589" s="405" t="s">
        <v>27035</v>
      </c>
      <c r="T6589" s="405" t="s">
        <v>32102</v>
      </c>
      <c r="U6589" s="405" t="s">
        <v>319</v>
      </c>
    </row>
    <row r="6590" spans="1:21" x14ac:dyDescent="0.25">
      <c r="A6590" s="405" t="s">
        <v>310</v>
      </c>
      <c r="B6590" s="405" t="s">
        <v>18776</v>
      </c>
      <c r="C6590" s="405" t="s">
        <v>311</v>
      </c>
      <c r="D6590" s="405" t="s">
        <v>6092</v>
      </c>
      <c r="E6590" s="410">
        <v>41347</v>
      </c>
      <c r="F6590" s="410">
        <v>41392</v>
      </c>
      <c r="G6590" s="405" t="s">
        <v>18777</v>
      </c>
      <c r="H6590" s="405">
        <v>783758724</v>
      </c>
      <c r="I6590" s="405">
        <v>777074789</v>
      </c>
      <c r="J6590" s="405">
        <v>2.8506429999999998</v>
      </c>
      <c r="K6590" s="405">
        <v>32.284039999999997</v>
      </c>
      <c r="L6590" s="405" t="s">
        <v>860</v>
      </c>
      <c r="M6590" s="405" t="s">
        <v>853</v>
      </c>
      <c r="N6590" s="405" t="s">
        <v>18335</v>
      </c>
      <c r="O6590" s="405" t="s">
        <v>18573</v>
      </c>
      <c r="P6590" s="405" t="s">
        <v>18778</v>
      </c>
      <c r="Q6590" s="411">
        <v>6</v>
      </c>
      <c r="R6590" s="405" t="s">
        <v>994</v>
      </c>
      <c r="S6590" s="405" t="s">
        <v>27125</v>
      </c>
      <c r="T6590" s="405" t="s">
        <v>32102</v>
      </c>
      <c r="U6590" s="405" t="s">
        <v>319</v>
      </c>
    </row>
    <row r="6591" spans="1:21" x14ac:dyDescent="0.25">
      <c r="A6591" s="405" t="s">
        <v>310</v>
      </c>
      <c r="B6591" s="405" t="s">
        <v>18533</v>
      </c>
      <c r="C6591" s="405" t="s">
        <v>327</v>
      </c>
      <c r="D6591" s="405"/>
      <c r="E6591" s="410">
        <v>41347</v>
      </c>
      <c r="F6591" s="410">
        <v>41392</v>
      </c>
      <c r="G6591" s="405" t="s">
        <v>18534</v>
      </c>
      <c r="H6591" s="405">
        <v>772533825</v>
      </c>
      <c r="I6591" s="405">
        <v>793290905</v>
      </c>
      <c r="J6591" s="405">
        <v>2.7531599999999998</v>
      </c>
      <c r="K6591" s="405">
        <v>32.292285</v>
      </c>
      <c r="L6591" s="405" t="s">
        <v>860</v>
      </c>
      <c r="M6591" s="405" t="s">
        <v>853</v>
      </c>
      <c r="N6591" s="405" t="s">
        <v>18246</v>
      </c>
      <c r="O6591" s="405" t="s">
        <v>18247</v>
      </c>
      <c r="P6591" s="405" t="s">
        <v>18535</v>
      </c>
      <c r="Q6591" s="411">
        <v>6</v>
      </c>
      <c r="R6591" s="405" t="s">
        <v>525</v>
      </c>
      <c r="S6591" s="405" t="s">
        <v>27377</v>
      </c>
      <c r="T6591" s="405" t="s">
        <v>32102</v>
      </c>
      <c r="U6591" s="405" t="s">
        <v>319</v>
      </c>
    </row>
    <row r="6592" spans="1:21" x14ac:dyDescent="0.25">
      <c r="A6592" s="405" t="s">
        <v>310</v>
      </c>
      <c r="B6592" s="405" t="s">
        <v>3473</v>
      </c>
      <c r="C6592" s="405" t="s">
        <v>327</v>
      </c>
      <c r="D6592" s="405"/>
      <c r="E6592" s="410">
        <v>41346</v>
      </c>
      <c r="F6592" s="410">
        <v>41391</v>
      </c>
      <c r="G6592" s="405" t="s">
        <v>3474</v>
      </c>
      <c r="H6592" s="405">
        <v>758039768</v>
      </c>
      <c r="I6592" s="405"/>
      <c r="J6592" s="405">
        <v>1.0269E-2</v>
      </c>
      <c r="K6592" s="405">
        <v>31.533923000000001</v>
      </c>
      <c r="L6592" s="405" t="s">
        <v>314</v>
      </c>
      <c r="M6592" s="405" t="s">
        <v>343</v>
      </c>
      <c r="N6592" s="405" t="s">
        <v>344</v>
      </c>
      <c r="O6592" s="405" t="s">
        <v>2546</v>
      </c>
      <c r="P6592" s="405" t="s">
        <v>3475</v>
      </c>
      <c r="Q6592" s="411">
        <v>13</v>
      </c>
      <c r="R6592" s="405" t="s">
        <v>318</v>
      </c>
      <c r="S6592" s="405" t="s">
        <v>27113</v>
      </c>
      <c r="T6592" s="405" t="s">
        <v>32102</v>
      </c>
      <c r="U6592" s="405" t="s">
        <v>319</v>
      </c>
    </row>
    <row r="6593" spans="1:21" x14ac:dyDescent="0.25">
      <c r="A6593" s="405" t="s">
        <v>310</v>
      </c>
      <c r="B6593" s="405" t="s">
        <v>3460</v>
      </c>
      <c r="C6593" s="405" t="s">
        <v>327</v>
      </c>
      <c r="D6593" s="405"/>
      <c r="E6593" s="410">
        <v>41346</v>
      </c>
      <c r="F6593" s="410">
        <v>41391</v>
      </c>
      <c r="G6593" s="405" t="s">
        <v>3461</v>
      </c>
      <c r="H6593" s="405">
        <v>777033257</v>
      </c>
      <c r="I6593" s="405">
        <v>782756006</v>
      </c>
      <c r="J6593" s="405">
        <v>0.31372</v>
      </c>
      <c r="K6593" s="405">
        <v>32.156601999999999</v>
      </c>
      <c r="L6593" s="405" t="s">
        <v>314</v>
      </c>
      <c r="M6593" s="405" t="s">
        <v>675</v>
      </c>
      <c r="N6593" s="405" t="s">
        <v>676</v>
      </c>
      <c r="O6593" s="405" t="s">
        <v>677</v>
      </c>
      <c r="P6593" s="405" t="s">
        <v>2371</v>
      </c>
      <c r="Q6593" s="411">
        <v>6</v>
      </c>
      <c r="R6593" s="405" t="s">
        <v>32476</v>
      </c>
      <c r="S6593" s="405" t="s">
        <v>27215</v>
      </c>
      <c r="T6593" s="405" t="s">
        <v>32102</v>
      </c>
      <c r="U6593" s="405" t="s">
        <v>319</v>
      </c>
    </row>
    <row r="6594" spans="1:21" x14ac:dyDescent="0.25">
      <c r="A6594" s="405" t="s">
        <v>310</v>
      </c>
      <c r="B6594" s="405" t="s">
        <v>3495</v>
      </c>
      <c r="C6594" s="405" t="s">
        <v>327</v>
      </c>
      <c r="D6594" s="405"/>
      <c r="E6594" s="410">
        <v>41346</v>
      </c>
      <c r="F6594" s="410">
        <v>41391</v>
      </c>
      <c r="G6594" s="405" t="s">
        <v>3496</v>
      </c>
      <c r="H6594" s="405">
        <v>754866100</v>
      </c>
      <c r="I6594" s="405"/>
      <c r="J6594" s="405">
        <v>0.18662200000000001</v>
      </c>
      <c r="K6594" s="405">
        <v>32.084209999999999</v>
      </c>
      <c r="L6594" s="405" t="s">
        <v>314</v>
      </c>
      <c r="M6594" s="405" t="s">
        <v>315</v>
      </c>
      <c r="N6594" s="405" t="s">
        <v>315</v>
      </c>
      <c r="O6594" s="405" t="s">
        <v>1252</v>
      </c>
      <c r="P6594" s="405" t="s">
        <v>2088</v>
      </c>
      <c r="Q6594" s="411">
        <v>6</v>
      </c>
      <c r="R6594" s="405" t="s">
        <v>318</v>
      </c>
      <c r="S6594" s="405" t="s">
        <v>27188</v>
      </c>
      <c r="T6594" s="405" t="s">
        <v>32102</v>
      </c>
      <c r="U6594" s="405" t="s">
        <v>319</v>
      </c>
    </row>
    <row r="6595" spans="1:21" x14ac:dyDescent="0.25">
      <c r="A6595" s="405" t="s">
        <v>310</v>
      </c>
      <c r="B6595" s="405" t="s">
        <v>20967</v>
      </c>
      <c r="C6595" s="405" t="s">
        <v>327</v>
      </c>
      <c r="D6595" s="405"/>
      <c r="E6595" s="410">
        <v>41345</v>
      </c>
      <c r="F6595" s="410">
        <v>41390</v>
      </c>
      <c r="G6595" s="405" t="s">
        <v>20968</v>
      </c>
      <c r="H6595" s="405">
        <v>775896164</v>
      </c>
      <c r="I6595" s="405">
        <v>78841991</v>
      </c>
      <c r="J6595" s="405">
        <v>0.15337999999999999</v>
      </c>
      <c r="K6595" s="405">
        <v>30.418527999999998</v>
      </c>
      <c r="L6595" s="405" t="s">
        <v>590</v>
      </c>
      <c r="M6595" s="405" t="s">
        <v>19720</v>
      </c>
      <c r="N6595" s="405" t="s">
        <v>20297</v>
      </c>
      <c r="O6595" s="405" t="s">
        <v>20439</v>
      </c>
      <c r="P6595" s="405" t="s">
        <v>20969</v>
      </c>
      <c r="Q6595" s="411">
        <v>13</v>
      </c>
      <c r="R6595" s="405" t="s">
        <v>883</v>
      </c>
      <c r="S6595" s="405" t="s">
        <v>27183</v>
      </c>
      <c r="T6595" s="405" t="s">
        <v>32102</v>
      </c>
      <c r="U6595" s="405" t="s">
        <v>319</v>
      </c>
    </row>
    <row r="6596" spans="1:21" x14ac:dyDescent="0.25">
      <c r="A6596" s="405" t="s">
        <v>310</v>
      </c>
      <c r="B6596" s="405" t="s">
        <v>3518</v>
      </c>
      <c r="C6596" s="405" t="s">
        <v>327</v>
      </c>
      <c r="D6596" s="405"/>
      <c r="E6596" s="410">
        <v>41345</v>
      </c>
      <c r="F6596" s="410">
        <v>41390</v>
      </c>
      <c r="G6596" s="405" t="s">
        <v>3519</v>
      </c>
      <c r="H6596" s="405">
        <v>751220582</v>
      </c>
      <c r="I6596" s="405"/>
      <c r="J6596" s="405">
        <v>-6.7819999999999998E-3</v>
      </c>
      <c r="K6596" s="405">
        <v>31.7456</v>
      </c>
      <c r="L6596" s="405" t="s">
        <v>314</v>
      </c>
      <c r="M6596" s="405" t="s">
        <v>900</v>
      </c>
      <c r="N6596" s="405" t="s">
        <v>1119</v>
      </c>
      <c r="O6596" s="405" t="s">
        <v>3520</v>
      </c>
      <c r="P6596" s="405" t="s">
        <v>3521</v>
      </c>
      <c r="Q6596" s="411">
        <v>9</v>
      </c>
      <c r="R6596" s="405" t="s">
        <v>1263</v>
      </c>
      <c r="S6596" s="405" t="s">
        <v>27218</v>
      </c>
      <c r="T6596" s="405" t="s">
        <v>32102</v>
      </c>
      <c r="U6596" s="405" t="s">
        <v>319</v>
      </c>
    </row>
    <row r="6597" spans="1:21" x14ac:dyDescent="0.25">
      <c r="A6597" s="405" t="s">
        <v>310</v>
      </c>
      <c r="B6597" s="405" t="s">
        <v>3501</v>
      </c>
      <c r="C6597" s="405" t="s">
        <v>327</v>
      </c>
      <c r="D6597" s="405"/>
      <c r="E6597" s="410">
        <v>41345</v>
      </c>
      <c r="F6597" s="410">
        <v>41390</v>
      </c>
      <c r="G6597" s="405" t="s">
        <v>3502</v>
      </c>
      <c r="H6597" s="405">
        <v>758802473</v>
      </c>
      <c r="I6597" s="405"/>
      <c r="J6597" s="405">
        <v>-8.4805000000000005E-2</v>
      </c>
      <c r="K6597" s="405">
        <v>31.979502</v>
      </c>
      <c r="L6597" s="405" t="s">
        <v>314</v>
      </c>
      <c r="M6597" s="405" t="s">
        <v>900</v>
      </c>
      <c r="N6597" s="405" t="s">
        <v>1119</v>
      </c>
      <c r="O6597" s="405" t="s">
        <v>2436</v>
      </c>
      <c r="P6597" s="405" t="s">
        <v>3503</v>
      </c>
      <c r="Q6597" s="411">
        <v>9</v>
      </c>
      <c r="R6597" s="405" t="s">
        <v>1263</v>
      </c>
      <c r="S6597" s="405" t="s">
        <v>27045</v>
      </c>
      <c r="T6597" s="405" t="s">
        <v>32102</v>
      </c>
      <c r="U6597" s="405" t="s">
        <v>319</v>
      </c>
    </row>
    <row r="6598" spans="1:21" x14ac:dyDescent="0.25">
      <c r="A6598" s="405" t="s">
        <v>310</v>
      </c>
      <c r="B6598" s="405" t="s">
        <v>28747</v>
      </c>
      <c r="C6598" s="405" t="s">
        <v>327</v>
      </c>
      <c r="D6598" s="405"/>
      <c r="E6598" s="410">
        <v>41345</v>
      </c>
      <c r="F6598" s="410">
        <v>41390</v>
      </c>
      <c r="G6598" s="405" t="s">
        <v>18487</v>
      </c>
      <c r="H6598" s="405">
        <v>777172012</v>
      </c>
      <c r="I6598" s="405"/>
      <c r="J6598" s="405">
        <v>2.8239480000000001</v>
      </c>
      <c r="K6598" s="405">
        <v>32.189647999999998</v>
      </c>
      <c r="L6598" s="405" t="s">
        <v>860</v>
      </c>
      <c r="M6598" s="405" t="s">
        <v>15041</v>
      </c>
      <c r="N6598" s="405" t="s">
        <v>18488</v>
      </c>
      <c r="O6598" s="405" t="s">
        <v>18489</v>
      </c>
      <c r="P6598" s="405" t="s">
        <v>18490</v>
      </c>
      <c r="Q6598" s="411">
        <v>6</v>
      </c>
      <c r="R6598" s="405" t="s">
        <v>525</v>
      </c>
      <c r="S6598" s="405" t="s">
        <v>27375</v>
      </c>
      <c r="T6598" s="405" t="s">
        <v>32102</v>
      </c>
      <c r="U6598" s="405" t="s">
        <v>319</v>
      </c>
    </row>
    <row r="6599" spans="1:21" x14ac:dyDescent="0.25">
      <c r="A6599" s="405" t="s">
        <v>310</v>
      </c>
      <c r="B6599" s="405" t="s">
        <v>18509</v>
      </c>
      <c r="C6599" s="405" t="s">
        <v>311</v>
      </c>
      <c r="D6599" s="405" t="s">
        <v>3381</v>
      </c>
      <c r="E6599" s="410">
        <v>41345</v>
      </c>
      <c r="F6599" s="410">
        <v>41390</v>
      </c>
      <c r="G6599" s="405" t="s">
        <v>18510</v>
      </c>
      <c r="H6599" s="405">
        <v>783196770</v>
      </c>
      <c r="I6599" s="405"/>
      <c r="J6599" s="405">
        <v>2.2208266666666665</v>
      </c>
      <c r="K6599" s="405">
        <v>32.914893333333332</v>
      </c>
      <c r="L6599" s="405" t="s">
        <v>860</v>
      </c>
      <c r="M6599" s="405" t="s">
        <v>18234</v>
      </c>
      <c r="N6599" s="405" t="s">
        <v>18250</v>
      </c>
      <c r="O6599" s="405" t="s">
        <v>4147</v>
      </c>
      <c r="P6599" s="405" t="s">
        <v>18511</v>
      </c>
      <c r="Q6599" s="411">
        <v>6</v>
      </c>
      <c r="R6599" s="405" t="s">
        <v>318</v>
      </c>
      <c r="S6599" s="405" t="s">
        <v>27343</v>
      </c>
      <c r="T6599" s="405" t="s">
        <v>32102</v>
      </c>
      <c r="U6599" s="405" t="s">
        <v>319</v>
      </c>
    </row>
    <row r="6600" spans="1:21" x14ac:dyDescent="0.25">
      <c r="A6600" s="405" t="s">
        <v>310</v>
      </c>
      <c r="B6600" s="405" t="s">
        <v>27528</v>
      </c>
      <c r="C6600" s="405" t="s">
        <v>327</v>
      </c>
      <c r="D6600" s="405"/>
      <c r="E6600" s="410">
        <v>41344</v>
      </c>
      <c r="F6600" s="410">
        <v>41389</v>
      </c>
      <c r="G6600" s="405" t="s">
        <v>12196</v>
      </c>
      <c r="H6600" s="405">
        <v>789516874</v>
      </c>
      <c r="I6600" s="405"/>
      <c r="J6600" s="405">
        <v>1.4933620000000001</v>
      </c>
      <c r="K6600" s="405">
        <v>34.033642</v>
      </c>
      <c r="L6600" s="405" t="s">
        <v>6866</v>
      </c>
      <c r="M6600" s="405" t="s">
        <v>10029</v>
      </c>
      <c r="N6600" s="405" t="s">
        <v>10029</v>
      </c>
      <c r="O6600" s="405" t="s">
        <v>10435</v>
      </c>
      <c r="P6600" s="405" t="s">
        <v>12197</v>
      </c>
      <c r="Q6600" s="411">
        <v>6</v>
      </c>
      <c r="R6600" s="405" t="s">
        <v>7224</v>
      </c>
      <c r="S6600" s="405" t="s">
        <v>27298</v>
      </c>
      <c r="T6600" s="405" t="s">
        <v>32102</v>
      </c>
      <c r="U6600" s="405" t="s">
        <v>319</v>
      </c>
    </row>
    <row r="6601" spans="1:21" x14ac:dyDescent="0.25">
      <c r="A6601" s="405" t="s">
        <v>310</v>
      </c>
      <c r="B6601" s="405" t="s">
        <v>3543</v>
      </c>
      <c r="C6601" s="405" t="s">
        <v>327</v>
      </c>
      <c r="D6601" s="405"/>
      <c r="E6601" s="410">
        <v>41343</v>
      </c>
      <c r="F6601" s="410">
        <v>41388</v>
      </c>
      <c r="G6601" s="405" t="s">
        <v>3544</v>
      </c>
      <c r="H6601" s="405">
        <v>772846581</v>
      </c>
      <c r="I6601" s="405"/>
      <c r="J6601" s="405">
        <v>1.1788069999999999</v>
      </c>
      <c r="K6601" s="405">
        <v>31.868368</v>
      </c>
      <c r="L6601" s="405" t="s">
        <v>314</v>
      </c>
      <c r="M6601" s="405" t="s">
        <v>1360</v>
      </c>
      <c r="N6601" s="405" t="s">
        <v>3545</v>
      </c>
      <c r="O6601" s="405" t="s">
        <v>1360</v>
      </c>
      <c r="P6601" s="405" t="s">
        <v>3546</v>
      </c>
      <c r="Q6601" s="411">
        <v>9</v>
      </c>
      <c r="R6601" s="405" t="s">
        <v>438</v>
      </c>
      <c r="S6601" s="405" t="s">
        <v>27131</v>
      </c>
      <c r="T6601" s="405" t="s">
        <v>32102</v>
      </c>
      <c r="U6601" s="405" t="s">
        <v>319</v>
      </c>
    </row>
    <row r="6602" spans="1:21" x14ac:dyDescent="0.25">
      <c r="A6602" s="405" t="s">
        <v>310</v>
      </c>
      <c r="B6602" s="405" t="s">
        <v>3457</v>
      </c>
      <c r="C6602" s="405" t="s">
        <v>327</v>
      </c>
      <c r="D6602" s="405"/>
      <c r="E6602" s="410">
        <v>41343</v>
      </c>
      <c r="F6602" s="410">
        <v>41388</v>
      </c>
      <c r="G6602" s="405" t="s">
        <v>3458</v>
      </c>
      <c r="H6602" s="405">
        <v>705041124</v>
      </c>
      <c r="I6602" s="405"/>
      <c r="J6602" s="405">
        <v>0.588812</v>
      </c>
      <c r="K6602" s="405">
        <v>31.351693000000001</v>
      </c>
      <c r="L6602" s="405" t="s">
        <v>314</v>
      </c>
      <c r="M6602" s="405" t="s">
        <v>445</v>
      </c>
      <c r="N6602" s="405" t="s">
        <v>446</v>
      </c>
      <c r="O6602" s="405" t="s">
        <v>2953</v>
      </c>
      <c r="P6602" s="405" t="s">
        <v>3459</v>
      </c>
      <c r="Q6602" s="411">
        <v>6</v>
      </c>
      <c r="R6602" s="405" t="s">
        <v>318</v>
      </c>
      <c r="S6602" s="405" t="s">
        <v>27054</v>
      </c>
      <c r="T6602" s="405" t="s">
        <v>32102</v>
      </c>
      <c r="U6602" s="405" t="s">
        <v>319</v>
      </c>
    </row>
    <row r="6603" spans="1:21" x14ac:dyDescent="0.25">
      <c r="A6603" s="405" t="s">
        <v>310</v>
      </c>
      <c r="B6603" s="405" t="s">
        <v>3527</v>
      </c>
      <c r="C6603" s="405" t="s">
        <v>327</v>
      </c>
      <c r="D6603" s="405"/>
      <c r="E6603" s="410">
        <v>41343</v>
      </c>
      <c r="F6603" s="410">
        <v>41388</v>
      </c>
      <c r="G6603" s="405" t="s">
        <v>3528</v>
      </c>
      <c r="H6603" s="405">
        <v>772361498</v>
      </c>
      <c r="I6603" s="405"/>
      <c r="J6603" s="405">
        <v>0.44524789999999997</v>
      </c>
      <c r="K6603" s="405">
        <v>32.563257299999997</v>
      </c>
      <c r="L6603" s="405" t="s">
        <v>314</v>
      </c>
      <c r="M6603" s="405" t="s">
        <v>361</v>
      </c>
      <c r="N6603" s="405" t="s">
        <v>370</v>
      </c>
      <c r="O6603" s="405" t="s">
        <v>370</v>
      </c>
      <c r="P6603" s="405" t="s">
        <v>3529</v>
      </c>
      <c r="Q6603" s="411">
        <v>6</v>
      </c>
      <c r="R6603" s="405" t="s">
        <v>1263</v>
      </c>
      <c r="S6603" s="405" t="s">
        <v>27039</v>
      </c>
      <c r="T6603" s="405" t="s">
        <v>32102</v>
      </c>
      <c r="U6603" s="405" t="s">
        <v>319</v>
      </c>
    </row>
    <row r="6604" spans="1:21" x14ac:dyDescent="0.25">
      <c r="A6604" s="405" t="s">
        <v>310</v>
      </c>
      <c r="B6604" s="405" t="s">
        <v>3550</v>
      </c>
      <c r="C6604" s="405" t="s">
        <v>327</v>
      </c>
      <c r="D6604" s="405"/>
      <c r="E6604" s="410">
        <v>41343</v>
      </c>
      <c r="F6604" s="410">
        <v>41388</v>
      </c>
      <c r="G6604" s="405" t="s">
        <v>3551</v>
      </c>
      <c r="H6604" s="405">
        <v>778957198</v>
      </c>
      <c r="I6604" s="405">
        <v>702503626</v>
      </c>
      <c r="J6604" s="405">
        <v>0.2823581</v>
      </c>
      <c r="K6604" s="405">
        <v>33.1402158</v>
      </c>
      <c r="L6604" s="405" t="s">
        <v>314</v>
      </c>
      <c r="M6604" s="405" t="s">
        <v>349</v>
      </c>
      <c r="N6604" s="405" t="s">
        <v>349</v>
      </c>
      <c r="O6604" s="405" t="s">
        <v>1062</v>
      </c>
      <c r="P6604" s="405" t="s">
        <v>2822</v>
      </c>
      <c r="Q6604" s="411">
        <v>6</v>
      </c>
      <c r="R6604" s="405" t="s">
        <v>333</v>
      </c>
      <c r="S6604" s="405" t="s">
        <v>27120</v>
      </c>
      <c r="T6604" s="405" t="s">
        <v>32102</v>
      </c>
      <c r="U6604" s="405" t="s">
        <v>319</v>
      </c>
    </row>
    <row r="6605" spans="1:21" x14ac:dyDescent="0.25">
      <c r="A6605" s="405" t="s">
        <v>310</v>
      </c>
      <c r="B6605" s="405" t="s">
        <v>3486</v>
      </c>
      <c r="C6605" s="405" t="s">
        <v>327</v>
      </c>
      <c r="D6605" s="405"/>
      <c r="E6605" s="410">
        <v>41343</v>
      </c>
      <c r="F6605" s="410">
        <v>41388</v>
      </c>
      <c r="G6605" s="405" t="s">
        <v>3487</v>
      </c>
      <c r="H6605" s="405">
        <v>772658996</v>
      </c>
      <c r="I6605" s="405"/>
      <c r="J6605" s="405">
        <v>0.47024500000000002</v>
      </c>
      <c r="K6605" s="405">
        <v>31.889462999999999</v>
      </c>
      <c r="L6605" s="405" t="s">
        <v>314</v>
      </c>
      <c r="M6605" s="405" t="s">
        <v>445</v>
      </c>
      <c r="N6605" s="405" t="s">
        <v>3488</v>
      </c>
      <c r="O6605" s="405" t="s">
        <v>3489</v>
      </c>
      <c r="P6605" s="405" t="s">
        <v>3490</v>
      </c>
      <c r="Q6605" s="411">
        <v>6</v>
      </c>
      <c r="R6605" s="405" t="s">
        <v>318</v>
      </c>
      <c r="S6605" s="405" t="s">
        <v>27201</v>
      </c>
      <c r="T6605" s="405" t="s">
        <v>32102</v>
      </c>
      <c r="U6605" s="405" t="s">
        <v>319</v>
      </c>
    </row>
    <row r="6606" spans="1:21" x14ac:dyDescent="0.25">
      <c r="A6606" s="405" t="s">
        <v>310</v>
      </c>
      <c r="B6606" s="405" t="s">
        <v>3498</v>
      </c>
      <c r="C6606" s="405" t="s">
        <v>327</v>
      </c>
      <c r="D6606" s="405"/>
      <c r="E6606" s="410">
        <v>41342</v>
      </c>
      <c r="F6606" s="410">
        <v>41387</v>
      </c>
      <c r="G6606" s="405" t="s">
        <v>3499</v>
      </c>
      <c r="H6606" s="405">
        <v>705680673</v>
      </c>
      <c r="I6606" s="405">
        <v>778833482</v>
      </c>
      <c r="J6606" s="405">
        <v>-0.42707200000000001</v>
      </c>
      <c r="K6606" s="405">
        <v>31.714887000000001</v>
      </c>
      <c r="L6606" s="405" t="s">
        <v>314</v>
      </c>
      <c r="M6606" s="405" t="s">
        <v>382</v>
      </c>
      <c r="N6606" s="405" t="s">
        <v>941</v>
      </c>
      <c r="O6606" s="405" t="s">
        <v>1260</v>
      </c>
      <c r="P6606" s="405" t="s">
        <v>3500</v>
      </c>
      <c r="Q6606" s="411">
        <v>9</v>
      </c>
      <c r="R6606" s="405" t="s">
        <v>1263</v>
      </c>
      <c r="S6606" s="405" t="s">
        <v>27217</v>
      </c>
      <c r="T6606" s="405" t="s">
        <v>32102</v>
      </c>
      <c r="U6606" s="405" t="s">
        <v>319</v>
      </c>
    </row>
    <row r="6607" spans="1:21" x14ac:dyDescent="0.25">
      <c r="A6607" s="405" t="s">
        <v>310</v>
      </c>
      <c r="B6607" s="405" t="s">
        <v>20970</v>
      </c>
      <c r="C6607" s="405" t="s">
        <v>327</v>
      </c>
      <c r="D6607" s="405"/>
      <c r="E6607" s="410">
        <v>41342</v>
      </c>
      <c r="F6607" s="410">
        <v>41387</v>
      </c>
      <c r="G6607" s="405" t="s">
        <v>20971</v>
      </c>
      <c r="H6607" s="405">
        <v>715751664</v>
      </c>
      <c r="I6607" s="405"/>
      <c r="J6607" s="405">
        <v>-0.13502</v>
      </c>
      <c r="K6607" s="405">
        <v>31.036543000000002</v>
      </c>
      <c r="L6607" s="405" t="s">
        <v>590</v>
      </c>
      <c r="M6607" s="405" t="s">
        <v>19705</v>
      </c>
      <c r="N6607" s="405" t="s">
        <v>19706</v>
      </c>
      <c r="O6607" s="405" t="s">
        <v>1412</v>
      </c>
      <c r="P6607" s="405" t="s">
        <v>1412</v>
      </c>
      <c r="Q6607" s="411">
        <v>9</v>
      </c>
      <c r="R6607" s="405" t="s">
        <v>874</v>
      </c>
      <c r="S6607" s="405" t="s">
        <v>27249</v>
      </c>
      <c r="T6607" s="405" t="s">
        <v>32102</v>
      </c>
      <c r="U6607" s="405" t="s">
        <v>319</v>
      </c>
    </row>
    <row r="6608" spans="1:21" x14ac:dyDescent="0.25">
      <c r="A6608" s="405" t="s">
        <v>310</v>
      </c>
      <c r="B6608" s="405" t="s">
        <v>12190</v>
      </c>
      <c r="C6608" s="405" t="s">
        <v>327</v>
      </c>
      <c r="D6608" s="405"/>
      <c r="E6608" s="410">
        <v>41341</v>
      </c>
      <c r="F6608" s="410">
        <v>41386</v>
      </c>
      <c r="G6608" s="405" t="s">
        <v>12191</v>
      </c>
      <c r="H6608" s="405">
        <v>772953042</v>
      </c>
      <c r="I6608" s="405">
        <v>706907466</v>
      </c>
      <c r="J6608" s="405">
        <v>1.547733</v>
      </c>
      <c r="K6608" s="405">
        <v>33.955419999999997</v>
      </c>
      <c r="L6608" s="405" t="s">
        <v>6866</v>
      </c>
      <c r="M6608" s="405" t="s">
        <v>10029</v>
      </c>
      <c r="N6608" s="405" t="s">
        <v>10029</v>
      </c>
      <c r="O6608" s="405" t="s">
        <v>10435</v>
      </c>
      <c r="P6608" s="405" t="s">
        <v>12192</v>
      </c>
      <c r="Q6608" s="411">
        <v>6</v>
      </c>
      <c r="R6608" s="405" t="s">
        <v>5655</v>
      </c>
      <c r="S6608" s="405" t="s">
        <v>27072</v>
      </c>
      <c r="T6608" s="405" t="s">
        <v>32102</v>
      </c>
      <c r="U6608" s="405" t="s">
        <v>319</v>
      </c>
    </row>
    <row r="6609" spans="1:21" x14ac:dyDescent="0.25">
      <c r="A6609" s="405" t="s">
        <v>310</v>
      </c>
      <c r="B6609" s="405" t="s">
        <v>3547</v>
      </c>
      <c r="C6609" s="405" t="s">
        <v>327</v>
      </c>
      <c r="D6609" s="405"/>
      <c r="E6609" s="410">
        <v>41340</v>
      </c>
      <c r="F6609" s="410">
        <v>41385</v>
      </c>
      <c r="G6609" s="405" t="s">
        <v>3548</v>
      </c>
      <c r="H6609" s="405">
        <v>772418833</v>
      </c>
      <c r="I6609" s="405"/>
      <c r="J6609" s="405">
        <v>1.193338</v>
      </c>
      <c r="K6609" s="405">
        <v>31.792417</v>
      </c>
      <c r="L6609" s="405" t="s">
        <v>314</v>
      </c>
      <c r="M6609" s="405" t="s">
        <v>1360</v>
      </c>
      <c r="N6609" s="405" t="s">
        <v>3545</v>
      </c>
      <c r="O6609" s="405" t="s">
        <v>1360</v>
      </c>
      <c r="P6609" s="405" t="s">
        <v>3549</v>
      </c>
      <c r="Q6609" s="411">
        <v>6</v>
      </c>
      <c r="R6609" s="405" t="s">
        <v>438</v>
      </c>
      <c r="S6609" s="405" t="s">
        <v>27128</v>
      </c>
      <c r="T6609" s="405" t="s">
        <v>32102</v>
      </c>
      <c r="U6609" s="405" t="s">
        <v>319</v>
      </c>
    </row>
    <row r="6610" spans="1:21" x14ac:dyDescent="0.25">
      <c r="A6610" s="405" t="s">
        <v>310</v>
      </c>
      <c r="B6610" s="405" t="s">
        <v>18491</v>
      </c>
      <c r="C6610" s="405" t="s">
        <v>327</v>
      </c>
      <c r="D6610" s="405"/>
      <c r="E6610" s="410">
        <v>41340</v>
      </c>
      <c r="F6610" s="410">
        <v>41385</v>
      </c>
      <c r="G6610" s="405" t="s">
        <v>18492</v>
      </c>
      <c r="H6610" s="405">
        <v>778206219</v>
      </c>
      <c r="I6610" s="405"/>
      <c r="J6610" s="405">
        <v>1.9698199999999999</v>
      </c>
      <c r="K6610" s="405">
        <v>32.996113000000001</v>
      </c>
      <c r="L6610" s="405" t="s">
        <v>860</v>
      </c>
      <c r="M6610" s="405" t="s">
        <v>12189</v>
      </c>
      <c r="N6610" s="405" t="s">
        <v>18270</v>
      </c>
      <c r="O6610" s="405" t="s">
        <v>18271</v>
      </c>
      <c r="P6610" s="405" t="s">
        <v>18493</v>
      </c>
      <c r="Q6610" s="411">
        <v>6</v>
      </c>
      <c r="R6610" s="405" t="s">
        <v>525</v>
      </c>
      <c r="S6610" s="405" t="s">
        <v>27243</v>
      </c>
      <c r="T6610" s="405" t="s">
        <v>32102</v>
      </c>
      <c r="U6610" s="405" t="s">
        <v>319</v>
      </c>
    </row>
    <row r="6611" spans="1:21" x14ac:dyDescent="0.25">
      <c r="A6611" s="405" t="s">
        <v>310</v>
      </c>
      <c r="B6611" s="405" t="s">
        <v>29001</v>
      </c>
      <c r="C6611" s="405" t="s">
        <v>327</v>
      </c>
      <c r="D6611" s="405"/>
      <c r="E6611" s="410">
        <v>41338</v>
      </c>
      <c r="F6611" s="410">
        <v>41383</v>
      </c>
      <c r="G6611" s="405" t="s">
        <v>20982</v>
      </c>
      <c r="H6611" s="405">
        <v>702108107</v>
      </c>
      <c r="I6611" s="405">
        <v>781198036</v>
      </c>
      <c r="J6611" s="405">
        <v>-1.134531</v>
      </c>
      <c r="K6611" s="405">
        <v>30.237670000000001</v>
      </c>
      <c r="L6611" s="405" t="s">
        <v>590</v>
      </c>
      <c r="M6611" s="405" t="s">
        <v>19659</v>
      </c>
      <c r="N6611" s="405" t="s">
        <v>19677</v>
      </c>
      <c r="O6611" s="405" t="s">
        <v>2520</v>
      </c>
      <c r="P6611" s="405" t="s">
        <v>19678</v>
      </c>
      <c r="Q6611" s="411">
        <v>9</v>
      </c>
      <c r="R6611" s="405" t="s">
        <v>1527</v>
      </c>
      <c r="S6611" s="405" t="s">
        <v>27399</v>
      </c>
      <c r="T6611" s="405" t="s">
        <v>32102</v>
      </c>
      <c r="U6611" s="405" t="s">
        <v>319</v>
      </c>
    </row>
    <row r="6612" spans="1:21" x14ac:dyDescent="0.25">
      <c r="A6612" s="405" t="s">
        <v>310</v>
      </c>
      <c r="B6612" s="405" t="s">
        <v>28942</v>
      </c>
      <c r="C6612" s="405" t="s">
        <v>327</v>
      </c>
      <c r="D6612" s="405"/>
      <c r="E6612" s="410">
        <v>41338</v>
      </c>
      <c r="F6612" s="410">
        <v>41383</v>
      </c>
      <c r="G6612" s="405" t="s">
        <v>3464</v>
      </c>
      <c r="H6612" s="405">
        <v>774493457</v>
      </c>
      <c r="I6612" s="405"/>
      <c r="J6612" s="405">
        <v>0.26546799999999998</v>
      </c>
      <c r="K6612" s="405">
        <v>32.176853000000001</v>
      </c>
      <c r="L6612" s="405" t="s">
        <v>314</v>
      </c>
      <c r="M6612" s="405" t="s">
        <v>675</v>
      </c>
      <c r="N6612" s="405" t="s">
        <v>676</v>
      </c>
      <c r="O6612" s="405" t="s">
        <v>677</v>
      </c>
      <c r="P6612" s="405" t="s">
        <v>3465</v>
      </c>
      <c r="Q6612" s="411">
        <v>9</v>
      </c>
      <c r="R6612" s="405" t="s">
        <v>32476</v>
      </c>
      <c r="S6612" s="405" t="s">
        <v>27206</v>
      </c>
      <c r="T6612" s="405" t="s">
        <v>32102</v>
      </c>
      <c r="U6612" s="405" t="s">
        <v>319</v>
      </c>
    </row>
    <row r="6613" spans="1:21" x14ac:dyDescent="0.25">
      <c r="A6613" s="405" t="s">
        <v>310</v>
      </c>
      <c r="B6613" s="405" t="s">
        <v>12214</v>
      </c>
      <c r="C6613" s="405" t="s">
        <v>327</v>
      </c>
      <c r="D6613" s="405"/>
      <c r="E6613" s="410">
        <v>41338</v>
      </c>
      <c r="F6613" s="410">
        <v>41383</v>
      </c>
      <c r="G6613" s="405" t="s">
        <v>12215</v>
      </c>
      <c r="H6613" s="405">
        <v>784661218</v>
      </c>
      <c r="I6613" s="405"/>
      <c r="J6613" s="405">
        <v>0.90477200000000002</v>
      </c>
      <c r="K6613" s="405">
        <v>34.354331000000002</v>
      </c>
      <c r="L6613" s="405" t="s">
        <v>6866</v>
      </c>
      <c r="M6613" s="405" t="s">
        <v>9763</v>
      </c>
      <c r="N6613" s="405" t="s">
        <v>9848</v>
      </c>
      <c r="O6613" s="405" t="s">
        <v>10962</v>
      </c>
      <c r="P6613" s="405" t="s">
        <v>11680</v>
      </c>
      <c r="Q6613" s="411">
        <v>4</v>
      </c>
      <c r="R6613" s="405" t="s">
        <v>7224</v>
      </c>
      <c r="S6613" s="405" t="s">
        <v>27204</v>
      </c>
      <c r="T6613" s="405" t="s">
        <v>32102</v>
      </c>
      <c r="U6613" s="405" t="s">
        <v>319</v>
      </c>
    </row>
    <row r="6614" spans="1:21" x14ac:dyDescent="0.25">
      <c r="A6614" s="405" t="s">
        <v>310</v>
      </c>
      <c r="B6614" s="405" t="s">
        <v>12589</v>
      </c>
      <c r="C6614" s="405" t="s">
        <v>311</v>
      </c>
      <c r="D6614" s="405" t="s">
        <v>1789</v>
      </c>
      <c r="E6614" s="410">
        <v>41338</v>
      </c>
      <c r="F6614" s="410">
        <v>41383</v>
      </c>
      <c r="G6614" s="405" t="s">
        <v>12590</v>
      </c>
      <c r="H6614" s="405">
        <v>774239205</v>
      </c>
      <c r="I6614" s="405"/>
      <c r="J6614" s="405">
        <v>0.79197099999999998</v>
      </c>
      <c r="K6614" s="405">
        <v>34.333869999999997</v>
      </c>
      <c r="L6614" s="405" t="s">
        <v>6866</v>
      </c>
      <c r="M6614" s="405" t="s">
        <v>9763</v>
      </c>
      <c r="N6614" s="405" t="s">
        <v>9848</v>
      </c>
      <c r="O6614" s="405" t="s">
        <v>9993</v>
      </c>
      <c r="P6614" s="405" t="s">
        <v>12591</v>
      </c>
      <c r="Q6614" s="411">
        <v>4</v>
      </c>
      <c r="R6614" s="405" t="s">
        <v>7224</v>
      </c>
      <c r="S6614" s="405" t="s">
        <v>27074</v>
      </c>
      <c r="T6614" s="405" t="s">
        <v>32102</v>
      </c>
      <c r="U6614" s="405" t="s">
        <v>319</v>
      </c>
    </row>
    <row r="6615" spans="1:21" x14ac:dyDescent="0.25">
      <c r="A6615" s="405" t="s">
        <v>310</v>
      </c>
      <c r="B6615" s="405" t="s">
        <v>3462</v>
      </c>
      <c r="C6615" s="405" t="s">
        <v>327</v>
      </c>
      <c r="D6615" s="405"/>
      <c r="E6615" s="410">
        <v>41337</v>
      </c>
      <c r="F6615" s="410">
        <v>41382</v>
      </c>
      <c r="G6615" s="405" t="s">
        <v>3463</v>
      </c>
      <c r="H6615" s="405">
        <v>783977162</v>
      </c>
      <c r="I6615" s="405"/>
      <c r="J6615" s="405">
        <v>0.31168499999999999</v>
      </c>
      <c r="K6615" s="405">
        <v>32.158937999999999</v>
      </c>
      <c r="L6615" s="405" t="s">
        <v>314</v>
      </c>
      <c r="M6615" s="405" t="s">
        <v>675</v>
      </c>
      <c r="N6615" s="405" t="s">
        <v>676</v>
      </c>
      <c r="O6615" s="405" t="s">
        <v>677</v>
      </c>
      <c r="P6615" s="405" t="s">
        <v>2371</v>
      </c>
      <c r="Q6615" s="411">
        <v>6</v>
      </c>
      <c r="R6615" s="405" t="s">
        <v>32476</v>
      </c>
      <c r="S6615" s="405" t="s">
        <v>27215</v>
      </c>
      <c r="T6615" s="405" t="s">
        <v>32102</v>
      </c>
      <c r="U6615" s="405" t="s">
        <v>319</v>
      </c>
    </row>
    <row r="6616" spans="1:21" x14ac:dyDescent="0.25">
      <c r="A6616" s="405" t="s">
        <v>310</v>
      </c>
      <c r="B6616" s="405" t="s">
        <v>27626</v>
      </c>
      <c r="C6616" s="405" t="s">
        <v>311</v>
      </c>
      <c r="D6616" s="405" t="s">
        <v>312</v>
      </c>
      <c r="E6616" s="410">
        <v>41337</v>
      </c>
      <c r="F6616" s="410">
        <v>41382</v>
      </c>
      <c r="G6616" s="405" t="s">
        <v>21181</v>
      </c>
      <c r="H6616" s="405">
        <v>772677363</v>
      </c>
      <c r="I6616" s="405"/>
      <c r="J6616" s="405">
        <v>0.63731700000000002</v>
      </c>
      <c r="K6616" s="405">
        <v>30.260839000000001</v>
      </c>
      <c r="L6616" s="405" t="s">
        <v>590</v>
      </c>
      <c r="M6616" s="405" t="s">
        <v>20125</v>
      </c>
      <c r="N6616" s="405" t="s">
        <v>20126</v>
      </c>
      <c r="O6616" s="405" t="s">
        <v>20823</v>
      </c>
      <c r="P6616" s="405" t="s">
        <v>21182</v>
      </c>
      <c r="Q6616" s="411">
        <v>4</v>
      </c>
      <c r="R6616" s="405" t="s">
        <v>1263</v>
      </c>
      <c r="S6616" s="405" t="s">
        <v>27210</v>
      </c>
      <c r="T6616" s="405" t="s">
        <v>32102</v>
      </c>
      <c r="U6616" s="405" t="s">
        <v>319</v>
      </c>
    </row>
    <row r="6617" spans="1:21" x14ac:dyDescent="0.25">
      <c r="A6617" s="405" t="s">
        <v>310</v>
      </c>
      <c r="B6617" s="405" t="s">
        <v>28463</v>
      </c>
      <c r="C6617" s="405" t="s">
        <v>327</v>
      </c>
      <c r="D6617" s="405"/>
      <c r="E6617" s="410">
        <v>41336</v>
      </c>
      <c r="F6617" s="410">
        <v>41381</v>
      </c>
      <c r="G6617" s="405" t="s">
        <v>20985</v>
      </c>
      <c r="H6617" s="405">
        <v>753193050</v>
      </c>
      <c r="I6617" s="405"/>
      <c r="J6617" s="405">
        <v>-0.74714499999999995</v>
      </c>
      <c r="K6617" s="405">
        <v>29.832055</v>
      </c>
      <c r="L6617" s="405" t="s">
        <v>590</v>
      </c>
      <c r="M6617" s="405" t="s">
        <v>19619</v>
      </c>
      <c r="N6617" s="405" t="s">
        <v>19793</v>
      </c>
      <c r="O6617" s="405" t="s">
        <v>6395</v>
      </c>
      <c r="P6617" s="405" t="s">
        <v>19827</v>
      </c>
      <c r="Q6617" s="411">
        <v>9</v>
      </c>
      <c r="R6617" s="405" t="s">
        <v>1527</v>
      </c>
      <c r="S6617" s="405" t="s">
        <v>27161</v>
      </c>
      <c r="T6617" s="405" t="s">
        <v>32102</v>
      </c>
      <c r="U6617" s="405" t="s">
        <v>319</v>
      </c>
    </row>
    <row r="6618" spans="1:21" x14ac:dyDescent="0.25">
      <c r="A6618" s="405" t="s">
        <v>310</v>
      </c>
      <c r="B6618" s="405" t="s">
        <v>18785</v>
      </c>
      <c r="C6618" s="405" t="s">
        <v>311</v>
      </c>
      <c r="D6618" s="405" t="s">
        <v>3381</v>
      </c>
      <c r="E6618" s="410">
        <v>41336</v>
      </c>
      <c r="F6618" s="410">
        <v>41381</v>
      </c>
      <c r="G6618" s="405" t="s">
        <v>18786</v>
      </c>
      <c r="H6618" s="405">
        <v>772651545</v>
      </c>
      <c r="I6618" s="405">
        <v>752561561</v>
      </c>
      <c r="J6618" s="405">
        <v>1.854293</v>
      </c>
      <c r="K6618" s="405">
        <v>32.353942000000004</v>
      </c>
      <c r="L6618" s="405" t="s">
        <v>860</v>
      </c>
      <c r="M6618" s="405" t="s">
        <v>861</v>
      </c>
      <c r="N6618" s="405" t="s">
        <v>18440</v>
      </c>
      <c r="O6618" s="405" t="s">
        <v>18441</v>
      </c>
      <c r="P6618" s="405" t="s">
        <v>18538</v>
      </c>
      <c r="Q6618" s="411">
        <v>6</v>
      </c>
      <c r="R6618" s="405" t="s">
        <v>318</v>
      </c>
      <c r="S6618" s="405" t="s">
        <v>27125</v>
      </c>
      <c r="T6618" s="405" t="s">
        <v>32102</v>
      </c>
      <c r="U6618" s="405" t="s">
        <v>319</v>
      </c>
    </row>
    <row r="6619" spans="1:21" x14ac:dyDescent="0.25">
      <c r="A6619" s="405" t="s">
        <v>310</v>
      </c>
      <c r="B6619" s="405" t="s">
        <v>18522</v>
      </c>
      <c r="C6619" s="405" t="s">
        <v>327</v>
      </c>
      <c r="D6619" s="405"/>
      <c r="E6619" s="410">
        <v>41335</v>
      </c>
      <c r="F6619" s="410">
        <v>41380</v>
      </c>
      <c r="G6619" s="405" t="s">
        <v>18523</v>
      </c>
      <c r="H6619" s="405">
        <v>772414050</v>
      </c>
      <c r="I6619" s="405"/>
      <c r="J6619" s="405">
        <v>1.6377409999999999</v>
      </c>
      <c r="K6619" s="405">
        <v>32.750945000000002</v>
      </c>
      <c r="L6619" s="405" t="s">
        <v>860</v>
      </c>
      <c r="M6619" s="405" t="s">
        <v>18415</v>
      </c>
      <c r="N6619" s="405" t="s">
        <v>5607</v>
      </c>
      <c r="O6619" s="405" t="s">
        <v>18524</v>
      </c>
      <c r="P6619" s="405" t="s">
        <v>18525</v>
      </c>
      <c r="Q6619" s="411">
        <v>13</v>
      </c>
      <c r="R6619" s="405" t="s">
        <v>525</v>
      </c>
      <c r="S6619" s="405" t="s">
        <v>27193</v>
      </c>
      <c r="T6619" s="405" t="s">
        <v>32102</v>
      </c>
      <c r="U6619" s="405" t="s">
        <v>319</v>
      </c>
    </row>
    <row r="6620" spans="1:21" x14ac:dyDescent="0.25">
      <c r="A6620" s="405" t="s">
        <v>310</v>
      </c>
      <c r="B6620" s="405" t="s">
        <v>12187</v>
      </c>
      <c r="C6620" s="405" t="s">
        <v>327</v>
      </c>
      <c r="D6620" s="405"/>
      <c r="E6620" s="410">
        <v>41335</v>
      </c>
      <c r="F6620" s="410">
        <v>41380</v>
      </c>
      <c r="G6620" s="405" t="s">
        <v>12188</v>
      </c>
      <c r="H6620" s="405">
        <v>777001805</v>
      </c>
      <c r="I6620" s="405">
        <v>757001805</v>
      </c>
      <c r="J6620" s="405">
        <v>1.731365</v>
      </c>
      <c r="K6620" s="405">
        <v>33.678117</v>
      </c>
      <c r="L6620" s="405" t="s">
        <v>6866</v>
      </c>
      <c r="M6620" s="405" t="s">
        <v>10515</v>
      </c>
      <c r="N6620" s="405" t="s">
        <v>10515</v>
      </c>
      <c r="O6620" s="405" t="s">
        <v>10645</v>
      </c>
      <c r="P6620" s="405" t="s">
        <v>12189</v>
      </c>
      <c r="Q6620" s="411">
        <v>6</v>
      </c>
      <c r="R6620" s="405" t="s">
        <v>5655</v>
      </c>
      <c r="S6620" s="405" t="s">
        <v>27190</v>
      </c>
      <c r="T6620" s="405" t="s">
        <v>32102</v>
      </c>
      <c r="U6620" s="405" t="s">
        <v>319</v>
      </c>
    </row>
    <row r="6621" spans="1:21" x14ac:dyDescent="0.25">
      <c r="A6621" s="405" t="s">
        <v>310</v>
      </c>
      <c r="B6621" s="405" t="s">
        <v>18536</v>
      </c>
      <c r="C6621" s="405" t="s">
        <v>327</v>
      </c>
      <c r="D6621" s="405"/>
      <c r="E6621" s="410">
        <v>41335</v>
      </c>
      <c r="F6621" s="410">
        <v>41380</v>
      </c>
      <c r="G6621" s="405" t="s">
        <v>18537</v>
      </c>
      <c r="H6621" s="405">
        <v>758945864</v>
      </c>
      <c r="I6621" s="405">
        <v>751652787</v>
      </c>
      <c r="J6621" s="405">
        <v>1.829132</v>
      </c>
      <c r="K6621" s="405">
        <v>32.335675000000002</v>
      </c>
      <c r="L6621" s="405" t="s">
        <v>860</v>
      </c>
      <c r="M6621" s="405" t="s">
        <v>861</v>
      </c>
      <c r="N6621" s="405" t="s">
        <v>18440</v>
      </c>
      <c r="O6621" s="405" t="s">
        <v>18441</v>
      </c>
      <c r="P6621" s="405" t="s">
        <v>18538</v>
      </c>
      <c r="Q6621" s="411">
        <v>4</v>
      </c>
      <c r="R6621" s="405" t="s">
        <v>525</v>
      </c>
      <c r="S6621" s="405" t="s">
        <v>27243</v>
      </c>
      <c r="T6621" s="405" t="s">
        <v>32102</v>
      </c>
      <c r="U6621" s="405" t="s">
        <v>319</v>
      </c>
    </row>
    <row r="6622" spans="1:21" x14ac:dyDescent="0.25">
      <c r="A6622" s="405" t="s">
        <v>310</v>
      </c>
      <c r="B6622" s="405" t="s">
        <v>29043</v>
      </c>
      <c r="C6622" s="405" t="s">
        <v>327</v>
      </c>
      <c r="D6622" s="405"/>
      <c r="E6622" s="410">
        <v>41334</v>
      </c>
      <c r="F6622" s="410">
        <v>41379</v>
      </c>
      <c r="G6622" s="405" t="s">
        <v>12208</v>
      </c>
      <c r="H6622" s="405">
        <v>777266782</v>
      </c>
      <c r="I6622" s="405"/>
      <c r="J6622" s="405">
        <v>1.227355</v>
      </c>
      <c r="K6622" s="405">
        <v>34.245153000000002</v>
      </c>
      <c r="L6622" s="405" t="s">
        <v>6866</v>
      </c>
      <c r="M6622" s="405" t="s">
        <v>9575</v>
      </c>
      <c r="N6622" s="405" t="s">
        <v>9852</v>
      </c>
      <c r="O6622" s="405" t="s">
        <v>10884</v>
      </c>
      <c r="P6622" s="405" t="s">
        <v>12209</v>
      </c>
      <c r="Q6622" s="411">
        <v>6</v>
      </c>
      <c r="R6622" s="405" t="s">
        <v>7224</v>
      </c>
      <c r="S6622" s="405" t="s">
        <v>27283</v>
      </c>
      <c r="T6622" s="405" t="s">
        <v>32102</v>
      </c>
      <c r="U6622" s="405" t="s">
        <v>319</v>
      </c>
    </row>
    <row r="6623" spans="1:21" x14ac:dyDescent="0.25">
      <c r="A6623" s="405" t="s">
        <v>310</v>
      </c>
      <c r="B6623" s="405" t="s">
        <v>4002</v>
      </c>
      <c r="C6623" s="405" t="s">
        <v>311</v>
      </c>
      <c r="D6623" s="405" t="s">
        <v>839</v>
      </c>
      <c r="E6623" s="410">
        <v>41334</v>
      </c>
      <c r="F6623" s="410">
        <v>41379</v>
      </c>
      <c r="G6623" s="405" t="s">
        <v>4003</v>
      </c>
      <c r="H6623" s="405">
        <v>776586021</v>
      </c>
      <c r="I6623" s="405"/>
      <c r="J6623" s="405">
        <v>0.42895</v>
      </c>
      <c r="K6623" s="405">
        <v>31.528590000000001</v>
      </c>
      <c r="L6623" s="405" t="s">
        <v>314</v>
      </c>
      <c r="M6623" s="405" t="s">
        <v>445</v>
      </c>
      <c r="N6623" s="405" t="s">
        <v>446</v>
      </c>
      <c r="O6623" s="405" t="s">
        <v>447</v>
      </c>
      <c r="P6623" s="405" t="s">
        <v>4004</v>
      </c>
      <c r="Q6623" s="411">
        <v>6</v>
      </c>
      <c r="R6623" s="405" t="s">
        <v>318</v>
      </c>
      <c r="S6623" s="405" t="s">
        <v>27201</v>
      </c>
      <c r="T6623" s="405" t="s">
        <v>32102</v>
      </c>
      <c r="U6623" s="405" t="s">
        <v>319</v>
      </c>
    </row>
    <row r="6624" spans="1:21" x14ac:dyDescent="0.25">
      <c r="A6624" s="405" t="s">
        <v>310</v>
      </c>
      <c r="B6624" s="405" t="s">
        <v>12182</v>
      </c>
      <c r="C6624" s="405" t="s">
        <v>327</v>
      </c>
      <c r="D6624" s="405"/>
      <c r="E6624" s="410">
        <v>41334</v>
      </c>
      <c r="F6624" s="410">
        <v>41379</v>
      </c>
      <c r="G6624" s="405" t="s">
        <v>12183</v>
      </c>
      <c r="H6624" s="405">
        <v>783160621</v>
      </c>
      <c r="I6624" s="405"/>
      <c r="J6624" s="405">
        <v>2.0047649999999999</v>
      </c>
      <c r="K6624" s="405">
        <v>34.051386999999998</v>
      </c>
      <c r="L6624" s="405" t="s">
        <v>6866</v>
      </c>
      <c r="M6624" s="405" t="s">
        <v>11355</v>
      </c>
      <c r="N6624" s="405" t="s">
        <v>11356</v>
      </c>
      <c r="O6624" s="405" t="s">
        <v>11356</v>
      </c>
      <c r="P6624" s="405" t="s">
        <v>12184</v>
      </c>
      <c r="Q6624" s="411">
        <v>6</v>
      </c>
      <c r="R6624" s="405" t="s">
        <v>5655</v>
      </c>
      <c r="S6624" s="405" t="s">
        <v>27337</v>
      </c>
      <c r="T6624" s="405" t="s">
        <v>32102</v>
      </c>
      <c r="U6624" s="405" t="s">
        <v>319</v>
      </c>
    </row>
    <row r="6625" spans="1:21" x14ac:dyDescent="0.25">
      <c r="A6625" s="405" t="s">
        <v>310</v>
      </c>
      <c r="B6625" s="405" t="s">
        <v>18543</v>
      </c>
      <c r="C6625" s="405" t="s">
        <v>327</v>
      </c>
      <c r="D6625" s="405"/>
      <c r="E6625" s="410">
        <v>41334</v>
      </c>
      <c r="F6625" s="410">
        <v>41379</v>
      </c>
      <c r="G6625" s="405" t="s">
        <v>18544</v>
      </c>
      <c r="H6625" s="405">
        <v>781708609</v>
      </c>
      <c r="I6625" s="405"/>
      <c r="J6625" s="405">
        <v>2.266092</v>
      </c>
      <c r="K6625" s="405">
        <v>32.879696000000003</v>
      </c>
      <c r="L6625" s="405" t="s">
        <v>860</v>
      </c>
      <c r="M6625" s="405" t="s">
        <v>18234</v>
      </c>
      <c r="N6625" s="405" t="s">
        <v>18545</v>
      </c>
      <c r="O6625" s="405" t="s">
        <v>18545</v>
      </c>
      <c r="P6625" s="405" t="s">
        <v>18546</v>
      </c>
      <c r="Q6625" s="411">
        <v>6</v>
      </c>
      <c r="R6625" s="405" t="s">
        <v>525</v>
      </c>
      <c r="S6625" s="405" t="s">
        <v>27243</v>
      </c>
      <c r="T6625" s="405" t="s">
        <v>32102</v>
      </c>
      <c r="U6625" s="405" t="s">
        <v>319</v>
      </c>
    </row>
    <row r="6626" spans="1:21" x14ac:dyDescent="0.25">
      <c r="A6626" s="405" t="s">
        <v>310</v>
      </c>
      <c r="B6626" s="405" t="s">
        <v>12610</v>
      </c>
      <c r="C6626" s="405" t="s">
        <v>311</v>
      </c>
      <c r="D6626" s="405" t="s">
        <v>1789</v>
      </c>
      <c r="E6626" s="410">
        <v>41334</v>
      </c>
      <c r="F6626" s="410">
        <v>41379</v>
      </c>
      <c r="G6626" s="405" t="s">
        <v>12611</v>
      </c>
      <c r="H6626" s="405">
        <v>772612240</v>
      </c>
      <c r="I6626" s="405"/>
      <c r="J6626" s="405">
        <v>1.6812549999999999</v>
      </c>
      <c r="K6626" s="405">
        <v>33.013376999999998</v>
      </c>
      <c r="L6626" s="405" t="s">
        <v>6866</v>
      </c>
      <c r="M6626" s="405" t="s">
        <v>12153</v>
      </c>
      <c r="N6626" s="405" t="s">
        <v>12153</v>
      </c>
      <c r="O6626" s="405" t="s">
        <v>12612</v>
      </c>
      <c r="P6626" s="405" t="s">
        <v>12613</v>
      </c>
      <c r="Q6626" s="411">
        <v>6</v>
      </c>
      <c r="R6626" s="405" t="s">
        <v>5655</v>
      </c>
      <c r="S6626" s="405" t="s">
        <v>27336</v>
      </c>
      <c r="T6626" s="405" t="s">
        <v>32102</v>
      </c>
      <c r="U6626" s="405" t="s">
        <v>319</v>
      </c>
    </row>
    <row r="6627" spans="1:21" x14ac:dyDescent="0.25">
      <c r="A6627" s="405" t="s">
        <v>310</v>
      </c>
      <c r="B6627" s="405" t="s">
        <v>28386</v>
      </c>
      <c r="C6627" s="405" t="s">
        <v>857</v>
      </c>
      <c r="D6627" s="405" t="s">
        <v>4053</v>
      </c>
      <c r="E6627" s="410">
        <v>41333</v>
      </c>
      <c r="F6627" s="410">
        <v>41378</v>
      </c>
      <c r="G6627" s="405" t="s">
        <v>4054</v>
      </c>
      <c r="H6627" s="405">
        <v>776132325</v>
      </c>
      <c r="I6627" s="405"/>
      <c r="J6627" s="405">
        <v>0.44369666666666668</v>
      </c>
      <c r="K6627" s="405">
        <v>32.589154999999998</v>
      </c>
      <c r="L6627" s="405" t="s">
        <v>314</v>
      </c>
      <c r="M6627" s="405" t="s">
        <v>361</v>
      </c>
      <c r="N6627" s="405" t="s">
        <v>362</v>
      </c>
      <c r="O6627" s="405" t="s">
        <v>410</v>
      </c>
      <c r="P6627" s="405" t="s">
        <v>1337</v>
      </c>
      <c r="Q6627" s="411">
        <v>13</v>
      </c>
      <c r="R6627" s="405" t="s">
        <v>525</v>
      </c>
      <c r="S6627" s="405" t="s">
        <v>27153</v>
      </c>
      <c r="T6627" s="405" t="s">
        <v>32102</v>
      </c>
      <c r="U6627" s="405" t="s">
        <v>319</v>
      </c>
    </row>
    <row r="6628" spans="1:21" x14ac:dyDescent="0.25">
      <c r="A6628" s="405" t="s">
        <v>310</v>
      </c>
      <c r="B6628" s="405" t="s">
        <v>3557</v>
      </c>
      <c r="C6628" s="405" t="s">
        <v>327</v>
      </c>
      <c r="D6628" s="405"/>
      <c r="E6628" s="410">
        <v>41333</v>
      </c>
      <c r="F6628" s="410">
        <v>41378</v>
      </c>
      <c r="G6628" s="405" t="s">
        <v>3558</v>
      </c>
      <c r="H6628" s="405">
        <v>772909266</v>
      </c>
      <c r="I6628" s="405"/>
      <c r="J6628" s="405">
        <v>0.85479799999999995</v>
      </c>
      <c r="K6628" s="405">
        <v>32.303375000000003</v>
      </c>
      <c r="L6628" s="405" t="s">
        <v>314</v>
      </c>
      <c r="M6628" s="405" t="s">
        <v>2297</v>
      </c>
      <c r="N6628" s="405" t="s">
        <v>1308</v>
      </c>
      <c r="O6628" s="405" t="s">
        <v>3559</v>
      </c>
      <c r="P6628" s="405" t="s">
        <v>336</v>
      </c>
      <c r="Q6628" s="411">
        <v>13</v>
      </c>
      <c r="R6628" s="405" t="s">
        <v>1263</v>
      </c>
      <c r="S6628" s="405" t="s">
        <v>27047</v>
      </c>
      <c r="T6628" s="405" t="s">
        <v>32102</v>
      </c>
      <c r="U6628" s="405" t="s">
        <v>319</v>
      </c>
    </row>
    <row r="6629" spans="1:21" x14ac:dyDescent="0.25">
      <c r="A6629" s="405" t="s">
        <v>310</v>
      </c>
      <c r="B6629" s="405" t="s">
        <v>3515</v>
      </c>
      <c r="C6629" s="405" t="s">
        <v>327</v>
      </c>
      <c r="D6629" s="405"/>
      <c r="E6629" s="410">
        <v>41333</v>
      </c>
      <c r="F6629" s="410">
        <v>41378</v>
      </c>
      <c r="G6629" s="405" t="s">
        <v>3516</v>
      </c>
      <c r="H6629" s="405">
        <v>772962748</v>
      </c>
      <c r="I6629" s="405"/>
      <c r="J6629" s="405">
        <v>0.51064699999999996</v>
      </c>
      <c r="K6629" s="405">
        <v>32.496777999999999</v>
      </c>
      <c r="L6629" s="405" t="s">
        <v>314</v>
      </c>
      <c r="M6629" s="405" t="s">
        <v>361</v>
      </c>
      <c r="N6629" s="405" t="s">
        <v>362</v>
      </c>
      <c r="O6629" s="405" t="s">
        <v>523</v>
      </c>
      <c r="P6629" s="405" t="s">
        <v>1994</v>
      </c>
      <c r="Q6629" s="411">
        <v>13</v>
      </c>
      <c r="R6629" s="405" t="s">
        <v>1263</v>
      </c>
      <c r="S6629" s="405" t="s">
        <v>27120</v>
      </c>
      <c r="T6629" s="405" t="s">
        <v>32102</v>
      </c>
      <c r="U6629" s="405" t="s">
        <v>319</v>
      </c>
    </row>
    <row r="6630" spans="1:21" x14ac:dyDescent="0.25">
      <c r="A6630" s="405" t="s">
        <v>310</v>
      </c>
      <c r="B6630" s="405" t="s">
        <v>3560</v>
      </c>
      <c r="C6630" s="405" t="s">
        <v>327</v>
      </c>
      <c r="D6630" s="405"/>
      <c r="E6630" s="410">
        <v>41333</v>
      </c>
      <c r="F6630" s="410">
        <v>41378</v>
      </c>
      <c r="G6630" s="405" t="s">
        <v>3561</v>
      </c>
      <c r="H6630" s="405">
        <v>772413587</v>
      </c>
      <c r="I6630" s="405"/>
      <c r="J6630" s="405">
        <v>0.38198500000000002</v>
      </c>
      <c r="K6630" s="405">
        <v>32.014662000000001</v>
      </c>
      <c r="L6630" s="405" t="s">
        <v>314</v>
      </c>
      <c r="M6630" s="405" t="s">
        <v>675</v>
      </c>
      <c r="N6630" s="405" t="s">
        <v>1065</v>
      </c>
      <c r="O6630" s="405" t="s">
        <v>1066</v>
      </c>
      <c r="P6630" s="405" t="s">
        <v>3562</v>
      </c>
      <c r="Q6630" s="411">
        <v>13</v>
      </c>
      <c r="R6630" s="405" t="s">
        <v>353</v>
      </c>
      <c r="S6630" s="405" t="s">
        <v>27051</v>
      </c>
      <c r="T6630" s="405" t="s">
        <v>32102</v>
      </c>
      <c r="U6630" s="405" t="s">
        <v>319</v>
      </c>
    </row>
    <row r="6631" spans="1:21" x14ac:dyDescent="0.25">
      <c r="A6631" s="405" t="s">
        <v>310</v>
      </c>
      <c r="B6631" s="405" t="s">
        <v>3537</v>
      </c>
      <c r="C6631" s="405" t="s">
        <v>327</v>
      </c>
      <c r="D6631" s="405"/>
      <c r="E6631" s="410">
        <v>41333</v>
      </c>
      <c r="F6631" s="410">
        <v>41378</v>
      </c>
      <c r="G6631" s="405" t="s">
        <v>3538</v>
      </c>
      <c r="H6631" s="405">
        <v>772601068</v>
      </c>
      <c r="I6631" s="405"/>
      <c r="J6631" s="405">
        <v>0.49659500000000001</v>
      </c>
      <c r="K6631" s="405">
        <v>32.525278333333333</v>
      </c>
      <c r="L6631" s="405" t="s">
        <v>314</v>
      </c>
      <c r="M6631" s="405" t="s">
        <v>361</v>
      </c>
      <c r="N6631" s="405" t="s">
        <v>362</v>
      </c>
      <c r="O6631" s="405" t="s">
        <v>523</v>
      </c>
      <c r="P6631" s="405" t="s">
        <v>3539</v>
      </c>
      <c r="Q6631" s="411">
        <v>13</v>
      </c>
      <c r="R6631" s="405" t="s">
        <v>1263</v>
      </c>
      <c r="S6631" s="405" t="s">
        <v>27120</v>
      </c>
      <c r="T6631" s="405" t="s">
        <v>32102</v>
      </c>
      <c r="U6631" s="405" t="s">
        <v>319</v>
      </c>
    </row>
    <row r="6632" spans="1:21" x14ac:dyDescent="0.25">
      <c r="A6632" s="405" t="s">
        <v>310</v>
      </c>
      <c r="B6632" s="405" t="s">
        <v>27996</v>
      </c>
      <c r="C6632" s="405" t="s">
        <v>327</v>
      </c>
      <c r="D6632" s="405"/>
      <c r="E6632" s="410">
        <v>41333</v>
      </c>
      <c r="F6632" s="410">
        <v>41378</v>
      </c>
      <c r="G6632" s="405" t="s">
        <v>3517</v>
      </c>
      <c r="H6632" s="405">
        <v>785025438</v>
      </c>
      <c r="I6632" s="405"/>
      <c r="J6632" s="405">
        <v>0.46987666666666666</v>
      </c>
      <c r="K6632" s="405">
        <v>32.528838333333333</v>
      </c>
      <c r="L6632" s="405" t="s">
        <v>314</v>
      </c>
      <c r="M6632" s="405" t="s">
        <v>361</v>
      </c>
      <c r="N6632" s="405" t="s">
        <v>1906</v>
      </c>
      <c r="O6632" s="405" t="s">
        <v>523</v>
      </c>
      <c r="P6632" s="405" t="s">
        <v>524</v>
      </c>
      <c r="Q6632" s="411">
        <v>6</v>
      </c>
      <c r="R6632" s="405" t="s">
        <v>2060</v>
      </c>
      <c r="S6632" s="405" t="s">
        <v>27207</v>
      </c>
      <c r="T6632" s="405" t="s">
        <v>32102</v>
      </c>
      <c r="U6632" s="405" t="s">
        <v>319</v>
      </c>
    </row>
    <row r="6633" spans="1:21" x14ac:dyDescent="0.25">
      <c r="A6633" s="405" t="s">
        <v>310</v>
      </c>
      <c r="B6633" s="405" t="s">
        <v>28335</v>
      </c>
      <c r="C6633" s="405" t="s">
        <v>327</v>
      </c>
      <c r="D6633" s="405"/>
      <c r="E6633" s="410">
        <v>41333</v>
      </c>
      <c r="F6633" s="410">
        <v>41378</v>
      </c>
      <c r="G6633" s="405" t="s">
        <v>12181</v>
      </c>
      <c r="H6633" s="405">
        <v>751902852</v>
      </c>
      <c r="I6633" s="405"/>
      <c r="J6633" s="405">
        <v>1.1026499999999999</v>
      </c>
      <c r="K6633" s="405">
        <v>34.195622</v>
      </c>
      <c r="L6633" s="405" t="s">
        <v>6866</v>
      </c>
      <c r="M6633" s="405" t="s">
        <v>9514</v>
      </c>
      <c r="N6633" s="405" t="s">
        <v>9529</v>
      </c>
      <c r="O6633" s="405" t="s">
        <v>9530</v>
      </c>
      <c r="P6633" s="405" t="s">
        <v>11564</v>
      </c>
      <c r="Q6633" s="411">
        <v>6</v>
      </c>
      <c r="R6633" s="405" t="s">
        <v>7224</v>
      </c>
      <c r="S6633" s="405" t="s">
        <v>17062</v>
      </c>
      <c r="T6633" s="405" t="s">
        <v>32102</v>
      </c>
      <c r="U6633" s="405" t="s">
        <v>319</v>
      </c>
    </row>
    <row r="6634" spans="1:21" x14ac:dyDescent="0.25">
      <c r="A6634" s="405" t="s">
        <v>310</v>
      </c>
      <c r="B6634" s="405" t="s">
        <v>28541</v>
      </c>
      <c r="C6634" s="405" t="s">
        <v>327</v>
      </c>
      <c r="D6634" s="405"/>
      <c r="E6634" s="410">
        <v>41333</v>
      </c>
      <c r="F6634" s="410">
        <v>41378</v>
      </c>
      <c r="G6634" s="405" t="s">
        <v>3542</v>
      </c>
      <c r="H6634" s="405">
        <v>701885702</v>
      </c>
      <c r="I6634" s="405"/>
      <c r="J6634" s="405">
        <v>0.31722499999999998</v>
      </c>
      <c r="K6634" s="405">
        <v>32.432244999999995</v>
      </c>
      <c r="L6634" s="405" t="s">
        <v>314</v>
      </c>
      <c r="M6634" s="405" t="s">
        <v>361</v>
      </c>
      <c r="N6634" s="405" t="s">
        <v>374</v>
      </c>
      <c r="O6634" s="405" t="s">
        <v>374</v>
      </c>
      <c r="P6634" s="405" t="s">
        <v>3425</v>
      </c>
      <c r="Q6634" s="411">
        <v>6</v>
      </c>
      <c r="R6634" s="405" t="s">
        <v>1263</v>
      </c>
      <c r="S6634" s="405" t="s">
        <v>27211</v>
      </c>
      <c r="T6634" s="405" t="s">
        <v>32102</v>
      </c>
      <c r="U6634" s="405" t="s">
        <v>319</v>
      </c>
    </row>
    <row r="6635" spans="1:21" x14ac:dyDescent="0.25">
      <c r="A6635" s="405" t="s">
        <v>310</v>
      </c>
      <c r="B6635" s="405" t="s">
        <v>3534</v>
      </c>
      <c r="C6635" s="405" t="s">
        <v>327</v>
      </c>
      <c r="D6635" s="405"/>
      <c r="E6635" s="410">
        <v>41333</v>
      </c>
      <c r="F6635" s="410">
        <v>41378</v>
      </c>
      <c r="G6635" s="405" t="s">
        <v>3535</v>
      </c>
      <c r="H6635" s="405">
        <v>782809867</v>
      </c>
      <c r="I6635" s="405"/>
      <c r="J6635" s="405">
        <v>0.33744800000000003</v>
      </c>
      <c r="K6635" s="405">
        <v>32.834598</v>
      </c>
      <c r="L6635" s="405" t="s">
        <v>314</v>
      </c>
      <c r="M6635" s="405" t="s">
        <v>329</v>
      </c>
      <c r="N6635" s="405" t="s">
        <v>803</v>
      </c>
      <c r="O6635" s="405" t="s">
        <v>653</v>
      </c>
      <c r="P6635" s="405" t="s">
        <v>3536</v>
      </c>
      <c r="Q6635" s="411">
        <v>6</v>
      </c>
      <c r="R6635" s="405" t="s">
        <v>318</v>
      </c>
      <c r="S6635" s="405" t="s">
        <v>27219</v>
      </c>
      <c r="T6635" s="405" t="s">
        <v>32102</v>
      </c>
      <c r="U6635" s="405" t="s">
        <v>319</v>
      </c>
    </row>
    <row r="6636" spans="1:21" x14ac:dyDescent="0.25">
      <c r="A6636" s="405" t="s">
        <v>310</v>
      </c>
      <c r="B6636" s="405" t="s">
        <v>3513</v>
      </c>
      <c r="C6636" s="405" t="s">
        <v>327</v>
      </c>
      <c r="D6636" s="405"/>
      <c r="E6636" s="410">
        <v>41333</v>
      </c>
      <c r="F6636" s="410">
        <v>41378</v>
      </c>
      <c r="G6636" s="405" t="s">
        <v>3514</v>
      </c>
      <c r="H6636" s="405">
        <v>774355401</v>
      </c>
      <c r="I6636" s="405"/>
      <c r="J6636" s="405">
        <v>6.6547999999999996E-2</v>
      </c>
      <c r="K6636" s="405">
        <v>32.518754999999999</v>
      </c>
      <c r="L6636" s="405" t="s">
        <v>314</v>
      </c>
      <c r="M6636" s="405" t="s">
        <v>361</v>
      </c>
      <c r="N6636" s="405" t="s">
        <v>374</v>
      </c>
      <c r="O6636" s="405" t="s">
        <v>638</v>
      </c>
      <c r="P6636" s="405" t="s">
        <v>639</v>
      </c>
      <c r="Q6636" s="411">
        <v>6</v>
      </c>
      <c r="R6636" s="405" t="s">
        <v>353</v>
      </c>
      <c r="S6636" s="405" t="s">
        <v>27106</v>
      </c>
      <c r="T6636" s="405" t="s">
        <v>32102</v>
      </c>
      <c r="U6636" s="405" t="s">
        <v>319</v>
      </c>
    </row>
    <row r="6637" spans="1:21" x14ac:dyDescent="0.25">
      <c r="A6637" s="405" t="s">
        <v>310</v>
      </c>
      <c r="B6637" s="405" t="s">
        <v>3552</v>
      </c>
      <c r="C6637" s="405" t="s">
        <v>327</v>
      </c>
      <c r="D6637" s="405"/>
      <c r="E6637" s="410">
        <v>41333</v>
      </c>
      <c r="F6637" s="410">
        <v>41378</v>
      </c>
      <c r="G6637" s="405" t="s">
        <v>3553</v>
      </c>
      <c r="H6637" s="405">
        <v>772828881</v>
      </c>
      <c r="I6637" s="405"/>
      <c r="J6637" s="405">
        <v>0.46331699999999998</v>
      </c>
      <c r="K6637" s="405">
        <v>32.566434999999998</v>
      </c>
      <c r="L6637" s="405" t="s">
        <v>314</v>
      </c>
      <c r="M6637" s="405" t="s">
        <v>361</v>
      </c>
      <c r="N6637" s="405" t="s">
        <v>362</v>
      </c>
      <c r="O6637" s="405" t="s">
        <v>410</v>
      </c>
      <c r="P6637" s="405" t="s">
        <v>3554</v>
      </c>
      <c r="Q6637" s="411">
        <v>6</v>
      </c>
      <c r="R6637" s="405" t="s">
        <v>1263</v>
      </c>
      <c r="S6637" s="405" t="s">
        <v>27164</v>
      </c>
      <c r="T6637" s="405" t="s">
        <v>32102</v>
      </c>
      <c r="U6637" s="405" t="s">
        <v>319</v>
      </c>
    </row>
    <row r="6638" spans="1:21" x14ac:dyDescent="0.25">
      <c r="A6638" s="405" t="s">
        <v>310</v>
      </c>
      <c r="B6638" s="405" t="s">
        <v>3509</v>
      </c>
      <c r="C6638" s="405" t="s">
        <v>327</v>
      </c>
      <c r="D6638" s="405"/>
      <c r="E6638" s="410">
        <v>41333</v>
      </c>
      <c r="F6638" s="410">
        <v>41378</v>
      </c>
      <c r="G6638" s="405" t="s">
        <v>3510</v>
      </c>
      <c r="H6638" s="405">
        <v>772885652</v>
      </c>
      <c r="I6638" s="405"/>
      <c r="J6638" s="405">
        <v>0.31513799999999997</v>
      </c>
      <c r="K6638" s="405">
        <v>32.528239999999997</v>
      </c>
      <c r="L6638" s="405" t="s">
        <v>314</v>
      </c>
      <c r="M6638" s="405" t="s">
        <v>992</v>
      </c>
      <c r="N6638" s="405" t="s">
        <v>362</v>
      </c>
      <c r="O6638" s="405" t="s">
        <v>3511</v>
      </c>
      <c r="P6638" s="405" t="s">
        <v>3512</v>
      </c>
      <c r="Q6638" s="411">
        <v>6</v>
      </c>
      <c r="R6638" s="405" t="s">
        <v>1263</v>
      </c>
      <c r="S6638" s="405" t="s">
        <v>27036</v>
      </c>
      <c r="T6638" s="405" t="s">
        <v>32102</v>
      </c>
      <c r="U6638" s="405" t="s">
        <v>319</v>
      </c>
    </row>
    <row r="6639" spans="1:21" x14ac:dyDescent="0.25">
      <c r="A6639" s="405" t="s">
        <v>310</v>
      </c>
      <c r="B6639" s="405" t="s">
        <v>3532</v>
      </c>
      <c r="C6639" s="405" t="s">
        <v>327</v>
      </c>
      <c r="D6639" s="405"/>
      <c r="E6639" s="410">
        <v>41333</v>
      </c>
      <c r="F6639" s="410">
        <v>41378</v>
      </c>
      <c r="G6639" s="405" t="s">
        <v>3533</v>
      </c>
      <c r="H6639" s="405">
        <v>784781189</v>
      </c>
      <c r="I6639" s="405"/>
      <c r="J6639" s="405">
        <v>0.51157300000000006</v>
      </c>
      <c r="K6639" s="405">
        <v>32.450800000000001</v>
      </c>
      <c r="L6639" s="405" t="s">
        <v>314</v>
      </c>
      <c r="M6639" s="405" t="s">
        <v>361</v>
      </c>
      <c r="N6639" s="405" t="s">
        <v>362</v>
      </c>
      <c r="O6639" s="405" t="s">
        <v>523</v>
      </c>
      <c r="P6639" s="405" t="s">
        <v>1071</v>
      </c>
      <c r="Q6639" s="411">
        <v>6</v>
      </c>
      <c r="R6639" s="405" t="s">
        <v>1263</v>
      </c>
      <c r="S6639" s="405" t="s">
        <v>27211</v>
      </c>
      <c r="T6639" s="405" t="s">
        <v>32102</v>
      </c>
      <c r="U6639" s="405" t="s">
        <v>319</v>
      </c>
    </row>
    <row r="6640" spans="1:21" x14ac:dyDescent="0.25">
      <c r="A6640" s="405" t="s">
        <v>310</v>
      </c>
      <c r="B6640" s="405" t="s">
        <v>3471</v>
      </c>
      <c r="C6640" s="405" t="s">
        <v>327</v>
      </c>
      <c r="D6640" s="405"/>
      <c r="E6640" s="410">
        <v>41333</v>
      </c>
      <c r="F6640" s="410">
        <v>41378</v>
      </c>
      <c r="G6640" s="405" t="s">
        <v>3472</v>
      </c>
      <c r="H6640" s="405">
        <v>779669192</v>
      </c>
      <c r="I6640" s="405"/>
      <c r="J6640" s="405">
        <v>0.204094</v>
      </c>
      <c r="K6640" s="405">
        <v>32.119441000000002</v>
      </c>
      <c r="L6640" s="405" t="s">
        <v>314</v>
      </c>
      <c r="M6640" s="405" t="s">
        <v>315</v>
      </c>
      <c r="N6640" s="405" t="s">
        <v>718</v>
      </c>
      <c r="O6640" s="405" t="s">
        <v>1411</v>
      </c>
      <c r="P6640" s="405" t="s">
        <v>1412</v>
      </c>
      <c r="Q6640" s="411">
        <v>6</v>
      </c>
      <c r="R6640" s="405" t="s">
        <v>318</v>
      </c>
      <c r="S6640" s="405" t="s">
        <v>27188</v>
      </c>
      <c r="T6640" s="405" t="s">
        <v>32102</v>
      </c>
      <c r="U6640" s="405" t="s">
        <v>319</v>
      </c>
    </row>
    <row r="6641" spans="1:21" x14ac:dyDescent="0.25">
      <c r="A6641" s="405" t="s">
        <v>310</v>
      </c>
      <c r="B6641" s="405" t="s">
        <v>3506</v>
      </c>
      <c r="C6641" s="405" t="s">
        <v>327</v>
      </c>
      <c r="D6641" s="405"/>
      <c r="E6641" s="410">
        <v>41333</v>
      </c>
      <c r="F6641" s="410">
        <v>41378</v>
      </c>
      <c r="G6641" s="405" t="s">
        <v>3507</v>
      </c>
      <c r="H6641" s="405">
        <v>705795535</v>
      </c>
      <c r="I6641" s="405"/>
      <c r="J6641" s="405">
        <v>0.64673700000000001</v>
      </c>
      <c r="K6641" s="405">
        <v>32.561427999999999</v>
      </c>
      <c r="L6641" s="405" t="s">
        <v>314</v>
      </c>
      <c r="M6641" s="405" t="s">
        <v>959</v>
      </c>
      <c r="N6641" s="405" t="s">
        <v>960</v>
      </c>
      <c r="O6641" s="405" t="s">
        <v>961</v>
      </c>
      <c r="P6641" s="405" t="s">
        <v>3508</v>
      </c>
      <c r="Q6641" s="411">
        <v>6</v>
      </c>
      <c r="R6641" s="405" t="s">
        <v>318</v>
      </c>
      <c r="S6641" s="405" t="s">
        <v>27149</v>
      </c>
      <c r="T6641" s="405" t="s">
        <v>32102</v>
      </c>
      <c r="U6641" s="405" t="s">
        <v>319</v>
      </c>
    </row>
    <row r="6642" spans="1:21" x14ac:dyDescent="0.25">
      <c r="A6642" s="405" t="s">
        <v>310</v>
      </c>
      <c r="B6642" s="405" t="s">
        <v>12193</v>
      </c>
      <c r="C6642" s="405" t="s">
        <v>327</v>
      </c>
      <c r="D6642" s="405"/>
      <c r="E6642" s="410">
        <v>41332</v>
      </c>
      <c r="F6642" s="410">
        <v>41377</v>
      </c>
      <c r="G6642" s="405" t="s">
        <v>12194</v>
      </c>
      <c r="H6642" s="405">
        <v>789239907</v>
      </c>
      <c r="I6642" s="405"/>
      <c r="J6642" s="405">
        <v>1.5022850000000001</v>
      </c>
      <c r="K6642" s="405">
        <v>33.993532999999999</v>
      </c>
      <c r="L6642" s="405" t="s">
        <v>6866</v>
      </c>
      <c r="M6642" s="405" t="s">
        <v>10029</v>
      </c>
      <c r="N6642" s="405" t="s">
        <v>10029</v>
      </c>
      <c r="O6642" s="405" t="s">
        <v>10435</v>
      </c>
      <c r="P6642" s="405" t="s">
        <v>12195</v>
      </c>
      <c r="Q6642" s="411">
        <v>6</v>
      </c>
      <c r="R6642" s="405" t="s">
        <v>9541</v>
      </c>
      <c r="S6642" s="405" t="s">
        <v>27297</v>
      </c>
      <c r="T6642" s="405" t="s">
        <v>32102</v>
      </c>
      <c r="U6642" s="405" t="s">
        <v>319</v>
      </c>
    </row>
    <row r="6643" spans="1:21" x14ac:dyDescent="0.25">
      <c r="A6643" s="405" t="s">
        <v>310</v>
      </c>
      <c r="B6643" s="405" t="s">
        <v>3522</v>
      </c>
      <c r="C6643" s="405" t="s">
        <v>327</v>
      </c>
      <c r="D6643" s="405"/>
      <c r="E6643" s="410">
        <v>41331</v>
      </c>
      <c r="F6643" s="410">
        <v>41376</v>
      </c>
      <c r="G6643" s="405" t="s">
        <v>3523</v>
      </c>
      <c r="H6643" s="405">
        <v>772920139</v>
      </c>
      <c r="I6643" s="405"/>
      <c r="J6643" s="405">
        <v>0.10844819999999999</v>
      </c>
      <c r="K6643" s="405">
        <v>32.171925299999998</v>
      </c>
      <c r="L6643" s="405" t="s">
        <v>314</v>
      </c>
      <c r="M6643" s="405" t="s">
        <v>321</v>
      </c>
      <c r="N6643" s="405" t="s">
        <v>322</v>
      </c>
      <c r="O6643" s="405" t="s">
        <v>1023</v>
      </c>
      <c r="P6643" s="405" t="s">
        <v>3524</v>
      </c>
      <c r="Q6643" s="411">
        <v>6</v>
      </c>
      <c r="R6643" s="405" t="s">
        <v>438</v>
      </c>
      <c r="S6643" s="405" t="s">
        <v>27131</v>
      </c>
      <c r="T6643" s="405" t="s">
        <v>32102</v>
      </c>
      <c r="U6643" s="405" t="s">
        <v>319</v>
      </c>
    </row>
    <row r="6644" spans="1:21" x14ac:dyDescent="0.25">
      <c r="A6644" s="405" t="s">
        <v>310</v>
      </c>
      <c r="B6644" s="405" t="s">
        <v>12206</v>
      </c>
      <c r="C6644" s="405" t="s">
        <v>327</v>
      </c>
      <c r="D6644" s="405"/>
      <c r="E6644" s="410">
        <v>41331</v>
      </c>
      <c r="F6644" s="410">
        <v>41376</v>
      </c>
      <c r="G6644" s="405" t="s">
        <v>12207</v>
      </c>
      <c r="H6644" s="405">
        <v>712182301</v>
      </c>
      <c r="I6644" s="405"/>
      <c r="J6644" s="405">
        <v>1.0413479999999999</v>
      </c>
      <c r="K6644" s="405">
        <v>34.171306999999999</v>
      </c>
      <c r="L6644" s="405" t="s">
        <v>6866</v>
      </c>
      <c r="M6644" s="405" t="s">
        <v>9514</v>
      </c>
      <c r="N6644" s="405" t="s">
        <v>9529</v>
      </c>
      <c r="O6644" s="405" t="s">
        <v>9780</v>
      </c>
      <c r="P6644" s="405" t="s">
        <v>6277</v>
      </c>
      <c r="Q6644" s="411">
        <v>6</v>
      </c>
      <c r="R6644" s="405" t="s">
        <v>7224</v>
      </c>
      <c r="S6644" s="405" t="s">
        <v>17013</v>
      </c>
      <c r="T6644" s="405" t="s">
        <v>32102</v>
      </c>
      <c r="U6644" s="405" t="s">
        <v>319</v>
      </c>
    </row>
    <row r="6645" spans="1:21" x14ac:dyDescent="0.25">
      <c r="A6645" s="405" t="s">
        <v>310</v>
      </c>
      <c r="B6645" s="405" t="s">
        <v>28712</v>
      </c>
      <c r="C6645" s="405" t="s">
        <v>327</v>
      </c>
      <c r="D6645" s="405"/>
      <c r="E6645" s="410">
        <v>41331</v>
      </c>
      <c r="F6645" s="410">
        <v>41376</v>
      </c>
      <c r="G6645" s="405" t="s">
        <v>18508</v>
      </c>
      <c r="H6645" s="405">
        <v>753978910</v>
      </c>
      <c r="I6645" s="405">
        <v>756681336</v>
      </c>
      <c r="J6645" s="405">
        <v>2.2199316666666666</v>
      </c>
      <c r="K6645" s="405">
        <v>32.926984999999995</v>
      </c>
      <c r="L6645" s="405" t="s">
        <v>860</v>
      </c>
      <c r="M6645" s="405" t="s">
        <v>18234</v>
      </c>
      <c r="N6645" s="405" t="s">
        <v>18252</v>
      </c>
      <c r="O6645" s="405" t="s">
        <v>18253</v>
      </c>
      <c r="P6645" s="405" t="s">
        <v>18434</v>
      </c>
      <c r="Q6645" s="411">
        <v>6</v>
      </c>
      <c r="R6645" s="405" t="s">
        <v>525</v>
      </c>
      <c r="S6645" s="405" t="s">
        <v>27079</v>
      </c>
      <c r="T6645" s="405" t="s">
        <v>32102</v>
      </c>
      <c r="U6645" s="405" t="s">
        <v>319</v>
      </c>
    </row>
    <row r="6646" spans="1:21" x14ac:dyDescent="0.25">
      <c r="A6646" s="405" t="s">
        <v>310</v>
      </c>
      <c r="B6646" s="405" t="s">
        <v>3476</v>
      </c>
      <c r="C6646" s="405" t="s">
        <v>327</v>
      </c>
      <c r="D6646" s="405"/>
      <c r="E6646" s="410">
        <v>41329</v>
      </c>
      <c r="F6646" s="410">
        <v>41374</v>
      </c>
      <c r="G6646" s="405" t="s">
        <v>3477</v>
      </c>
      <c r="H6646" s="405">
        <v>774521722</v>
      </c>
      <c r="I6646" s="405">
        <v>788317665</v>
      </c>
      <c r="J6646" s="405">
        <v>-0.54192700000000005</v>
      </c>
      <c r="K6646" s="405">
        <v>31.645572999999999</v>
      </c>
      <c r="L6646" s="405" t="s">
        <v>314</v>
      </c>
      <c r="M6646" s="405" t="s">
        <v>398</v>
      </c>
      <c r="N6646" s="405" t="s">
        <v>399</v>
      </c>
      <c r="O6646" s="405" t="s">
        <v>740</v>
      </c>
      <c r="P6646" s="405" t="s">
        <v>3288</v>
      </c>
      <c r="Q6646" s="411">
        <v>6</v>
      </c>
      <c r="R6646" s="405" t="s">
        <v>402</v>
      </c>
      <c r="S6646" s="405" t="s">
        <v>27052</v>
      </c>
      <c r="T6646" s="405" t="s">
        <v>32102</v>
      </c>
      <c r="U6646" s="405" t="s">
        <v>319</v>
      </c>
    </row>
    <row r="6647" spans="1:21" x14ac:dyDescent="0.25">
      <c r="A6647" s="405" t="s">
        <v>310</v>
      </c>
      <c r="B6647" s="405" t="s">
        <v>28657</v>
      </c>
      <c r="C6647" s="405" t="s">
        <v>311</v>
      </c>
      <c r="D6647" s="405" t="s">
        <v>839</v>
      </c>
      <c r="E6647" s="410">
        <v>41327</v>
      </c>
      <c r="F6647" s="410">
        <v>41372</v>
      </c>
      <c r="G6647" s="405" t="s">
        <v>21191</v>
      </c>
      <c r="H6647" s="405">
        <v>780972449</v>
      </c>
      <c r="I6647" s="405"/>
      <c r="J6647" s="405">
        <v>-0.23519000000000001</v>
      </c>
      <c r="K6647" s="405">
        <v>30.606947000000002</v>
      </c>
      <c r="L6647" s="405" t="s">
        <v>590</v>
      </c>
      <c r="M6647" s="405" t="s">
        <v>19614</v>
      </c>
      <c r="N6647" s="405" t="s">
        <v>21192</v>
      </c>
      <c r="O6647" s="405" t="s">
        <v>20108</v>
      </c>
      <c r="P6647" s="405" t="s">
        <v>20155</v>
      </c>
      <c r="Q6647" s="411">
        <v>9</v>
      </c>
      <c r="R6647" s="405" t="s">
        <v>333</v>
      </c>
      <c r="S6647" s="405" t="s">
        <v>27397</v>
      </c>
      <c r="T6647" s="405" t="s">
        <v>32102</v>
      </c>
      <c r="U6647" s="405" t="s">
        <v>319</v>
      </c>
    </row>
    <row r="6648" spans="1:21" x14ac:dyDescent="0.25">
      <c r="A6648" s="405" t="s">
        <v>310</v>
      </c>
      <c r="B6648" s="405" t="s">
        <v>28700</v>
      </c>
      <c r="C6648" s="405" t="s">
        <v>311</v>
      </c>
      <c r="D6648" s="405" t="s">
        <v>839</v>
      </c>
      <c r="E6648" s="410">
        <v>41327</v>
      </c>
      <c r="F6648" s="410">
        <v>41372</v>
      </c>
      <c r="G6648" s="405" t="s">
        <v>12619</v>
      </c>
      <c r="H6648" s="405">
        <v>782878860</v>
      </c>
      <c r="I6648" s="405"/>
      <c r="J6648" s="405">
        <v>1.268135</v>
      </c>
      <c r="K6648" s="405">
        <v>34.085763</v>
      </c>
      <c r="L6648" s="405" t="s">
        <v>6866</v>
      </c>
      <c r="M6648" s="405" t="s">
        <v>9504</v>
      </c>
      <c r="N6648" s="405" t="s">
        <v>9504</v>
      </c>
      <c r="O6648" s="405" t="s">
        <v>9504</v>
      </c>
      <c r="P6648" s="405" t="s">
        <v>12620</v>
      </c>
      <c r="Q6648" s="411">
        <v>6</v>
      </c>
      <c r="R6648" s="405" t="s">
        <v>9541</v>
      </c>
      <c r="S6648" s="405" t="s">
        <v>27297</v>
      </c>
      <c r="T6648" s="405" t="s">
        <v>32102</v>
      </c>
      <c r="U6648" s="405" t="s">
        <v>319</v>
      </c>
    </row>
    <row r="6649" spans="1:21" x14ac:dyDescent="0.25">
      <c r="A6649" s="405" t="s">
        <v>310</v>
      </c>
      <c r="B6649" s="405" t="s">
        <v>20972</v>
      </c>
      <c r="C6649" s="405" t="s">
        <v>327</v>
      </c>
      <c r="D6649" s="405"/>
      <c r="E6649" s="410">
        <v>41327</v>
      </c>
      <c r="F6649" s="410">
        <v>41372</v>
      </c>
      <c r="G6649" s="405" t="s">
        <v>20973</v>
      </c>
      <c r="H6649" s="405">
        <v>784027960</v>
      </c>
      <c r="I6649" s="405"/>
      <c r="J6649" s="405">
        <v>0.55839799999999995</v>
      </c>
      <c r="K6649" s="405">
        <v>30.676385</v>
      </c>
      <c r="L6649" s="405" t="s">
        <v>590</v>
      </c>
      <c r="M6649" s="405" t="s">
        <v>20426</v>
      </c>
      <c r="N6649" s="405" t="s">
        <v>20692</v>
      </c>
      <c r="O6649" s="405" t="s">
        <v>20744</v>
      </c>
      <c r="P6649" s="405" t="s">
        <v>20974</v>
      </c>
      <c r="Q6649" s="411">
        <v>6</v>
      </c>
      <c r="R6649" s="405" t="s">
        <v>883</v>
      </c>
      <c r="S6649" s="405" t="s">
        <v>27408</v>
      </c>
      <c r="T6649" s="405" t="s">
        <v>32102</v>
      </c>
      <c r="U6649" s="405" t="s">
        <v>319</v>
      </c>
    </row>
    <row r="6650" spans="1:21" x14ac:dyDescent="0.25">
      <c r="A6650" s="405" t="s">
        <v>310</v>
      </c>
      <c r="B6650" s="405" t="s">
        <v>27584</v>
      </c>
      <c r="C6650" s="405" t="s">
        <v>327</v>
      </c>
      <c r="D6650" s="405"/>
      <c r="E6650" s="410">
        <v>41327</v>
      </c>
      <c r="F6650" s="410">
        <v>41372</v>
      </c>
      <c r="G6650" s="405" t="s">
        <v>20960</v>
      </c>
      <c r="H6650" s="405">
        <v>788424322</v>
      </c>
      <c r="I6650" s="405"/>
      <c r="J6650" s="405">
        <v>-0.67893599999999998</v>
      </c>
      <c r="K6650" s="405">
        <v>30.150268000000001</v>
      </c>
      <c r="L6650" s="405" t="s">
        <v>590</v>
      </c>
      <c r="M6650" s="405" t="s">
        <v>19725</v>
      </c>
      <c r="N6650" s="405" t="s">
        <v>19725</v>
      </c>
      <c r="O6650" s="405" t="s">
        <v>20013</v>
      </c>
      <c r="P6650" s="405" t="s">
        <v>20961</v>
      </c>
      <c r="Q6650" s="411">
        <v>6</v>
      </c>
      <c r="R6650" s="405" t="s">
        <v>333</v>
      </c>
      <c r="S6650" s="405" t="s">
        <v>27096</v>
      </c>
      <c r="T6650" s="405" t="s">
        <v>32102</v>
      </c>
      <c r="U6650" s="405" t="s">
        <v>319</v>
      </c>
    </row>
    <row r="6651" spans="1:21" x14ac:dyDescent="0.25">
      <c r="A6651" s="405" t="s">
        <v>310</v>
      </c>
      <c r="B6651" s="405" t="s">
        <v>12216</v>
      </c>
      <c r="C6651" s="405" t="s">
        <v>327</v>
      </c>
      <c r="D6651" s="405"/>
      <c r="E6651" s="410">
        <v>41327</v>
      </c>
      <c r="F6651" s="410">
        <v>41372</v>
      </c>
      <c r="G6651" s="405" t="s">
        <v>12217</v>
      </c>
      <c r="H6651" s="405">
        <v>782692597</v>
      </c>
      <c r="I6651" s="405"/>
      <c r="J6651" s="405">
        <v>0.88083400000000001</v>
      </c>
      <c r="K6651" s="405">
        <v>34.382558000000003</v>
      </c>
      <c r="L6651" s="405" t="s">
        <v>6866</v>
      </c>
      <c r="M6651" s="405" t="s">
        <v>9763</v>
      </c>
      <c r="N6651" s="405" t="s">
        <v>9848</v>
      </c>
      <c r="O6651" s="405" t="s">
        <v>1831</v>
      </c>
      <c r="P6651" s="405" t="s">
        <v>12218</v>
      </c>
      <c r="Q6651" s="411">
        <v>6</v>
      </c>
      <c r="R6651" s="405" t="s">
        <v>9541</v>
      </c>
      <c r="S6651" s="405" t="s">
        <v>27294</v>
      </c>
      <c r="T6651" s="405" t="s">
        <v>32102</v>
      </c>
      <c r="U6651" s="405" t="s">
        <v>319</v>
      </c>
    </row>
    <row r="6652" spans="1:21" x14ac:dyDescent="0.25">
      <c r="A6652" s="405" t="s">
        <v>310</v>
      </c>
      <c r="B6652" s="405" t="s">
        <v>18541</v>
      </c>
      <c r="C6652" s="405" t="s">
        <v>327</v>
      </c>
      <c r="D6652" s="405"/>
      <c r="E6652" s="410">
        <v>41326</v>
      </c>
      <c r="F6652" s="410">
        <v>41371</v>
      </c>
      <c r="G6652" s="405" t="s">
        <v>18542</v>
      </c>
      <c r="H6652" s="405">
        <v>772648508</v>
      </c>
      <c r="I6652" s="405"/>
      <c r="J6652" s="405">
        <v>1.8206310000000001</v>
      </c>
      <c r="K6652" s="405">
        <v>32.316471999999997</v>
      </c>
      <c r="L6652" s="405" t="s">
        <v>860</v>
      </c>
      <c r="M6652" s="405" t="s">
        <v>861</v>
      </c>
      <c r="N6652" s="405" t="s">
        <v>18440</v>
      </c>
      <c r="O6652" s="405" t="s">
        <v>18441</v>
      </c>
      <c r="P6652" s="405" t="s">
        <v>18486</v>
      </c>
      <c r="Q6652" s="411">
        <v>9</v>
      </c>
      <c r="R6652" s="405" t="s">
        <v>525</v>
      </c>
      <c r="S6652" s="405" t="s">
        <v>27243</v>
      </c>
      <c r="T6652" s="405" t="s">
        <v>32102</v>
      </c>
      <c r="U6652" s="405" t="s">
        <v>319</v>
      </c>
    </row>
    <row r="6653" spans="1:21" x14ac:dyDescent="0.25">
      <c r="A6653" s="405" t="s">
        <v>310</v>
      </c>
      <c r="B6653" s="405" t="s">
        <v>18526</v>
      </c>
      <c r="C6653" s="405" t="s">
        <v>327</v>
      </c>
      <c r="D6653" s="405"/>
      <c r="E6653" s="410">
        <v>41326</v>
      </c>
      <c r="F6653" s="410">
        <v>41371</v>
      </c>
      <c r="G6653" s="405" t="s">
        <v>18527</v>
      </c>
      <c r="H6653" s="405">
        <v>772519719</v>
      </c>
      <c r="I6653" s="405">
        <v>756519719</v>
      </c>
      <c r="J6653" s="405">
        <v>1.989778</v>
      </c>
      <c r="K6653" s="405">
        <v>32.908005000000003</v>
      </c>
      <c r="L6653" s="405" t="s">
        <v>860</v>
      </c>
      <c r="M6653" s="405" t="s">
        <v>12189</v>
      </c>
      <c r="N6653" s="405" t="s">
        <v>18294</v>
      </c>
      <c r="O6653" s="405" t="s">
        <v>18528</v>
      </c>
      <c r="P6653" s="405" t="s">
        <v>18529</v>
      </c>
      <c r="Q6653" s="411">
        <v>6</v>
      </c>
      <c r="R6653" s="405" t="s">
        <v>318</v>
      </c>
      <c r="S6653" s="405" t="s">
        <v>27359</v>
      </c>
      <c r="T6653" s="405" t="s">
        <v>32102</v>
      </c>
      <c r="U6653" s="405" t="s">
        <v>319</v>
      </c>
    </row>
    <row r="6654" spans="1:21" x14ac:dyDescent="0.25">
      <c r="A6654" s="405" t="s">
        <v>310</v>
      </c>
      <c r="B6654" s="405" t="s">
        <v>3563</v>
      </c>
      <c r="C6654" s="405" t="s">
        <v>327</v>
      </c>
      <c r="D6654" s="405"/>
      <c r="E6654" s="410">
        <v>41325</v>
      </c>
      <c r="F6654" s="410">
        <v>41370</v>
      </c>
      <c r="G6654" s="405" t="s">
        <v>3564</v>
      </c>
      <c r="H6654" s="405">
        <v>782944280</v>
      </c>
      <c r="I6654" s="405"/>
      <c r="J6654" s="405">
        <v>0.97070500000000004</v>
      </c>
      <c r="K6654" s="405">
        <v>31.73875</v>
      </c>
      <c r="L6654" s="405" t="s">
        <v>314</v>
      </c>
      <c r="M6654" s="405" t="s">
        <v>1360</v>
      </c>
      <c r="N6654" s="405" t="s">
        <v>1361</v>
      </c>
      <c r="O6654" s="405" t="s">
        <v>3565</v>
      </c>
      <c r="P6654" s="405" t="s">
        <v>3566</v>
      </c>
      <c r="Q6654" s="411">
        <v>13</v>
      </c>
      <c r="R6654" s="405" t="s">
        <v>1263</v>
      </c>
      <c r="S6654" s="405" t="s">
        <v>27206</v>
      </c>
      <c r="T6654" s="405" t="s">
        <v>32102</v>
      </c>
      <c r="U6654" s="405" t="s">
        <v>319</v>
      </c>
    </row>
    <row r="6655" spans="1:21" x14ac:dyDescent="0.25">
      <c r="A6655" s="405" t="s">
        <v>310</v>
      </c>
      <c r="B6655" s="405" t="s">
        <v>27613</v>
      </c>
      <c r="C6655" s="405" t="s">
        <v>327</v>
      </c>
      <c r="D6655" s="405"/>
      <c r="E6655" s="410">
        <v>41325</v>
      </c>
      <c r="F6655" s="410">
        <v>41370</v>
      </c>
      <c r="G6655" s="405" t="s">
        <v>20964</v>
      </c>
      <c r="H6655" s="405">
        <v>772399292</v>
      </c>
      <c r="I6655" s="405">
        <v>787058437</v>
      </c>
      <c r="J6655" s="405">
        <v>1.6408049999999998</v>
      </c>
      <c r="K6655" s="405">
        <v>31.745163333333334</v>
      </c>
      <c r="L6655" s="405" t="s">
        <v>590</v>
      </c>
      <c r="M6655" s="405" t="s">
        <v>19608</v>
      </c>
      <c r="N6655" s="405" t="s">
        <v>19609</v>
      </c>
      <c r="O6655" s="405" t="s">
        <v>20478</v>
      </c>
      <c r="P6655" s="405" t="s">
        <v>20384</v>
      </c>
      <c r="Q6655" s="411">
        <v>9</v>
      </c>
      <c r="R6655" s="405" t="s">
        <v>318</v>
      </c>
      <c r="S6655" s="405" t="s">
        <v>27125</v>
      </c>
      <c r="T6655" s="405" t="s">
        <v>32102</v>
      </c>
      <c r="U6655" s="405" t="s">
        <v>319</v>
      </c>
    </row>
    <row r="6656" spans="1:21" x14ac:dyDescent="0.25">
      <c r="A6656" s="405" t="s">
        <v>310</v>
      </c>
      <c r="B6656" s="405" t="s">
        <v>20986</v>
      </c>
      <c r="C6656" s="405" t="s">
        <v>327</v>
      </c>
      <c r="D6656" s="405"/>
      <c r="E6656" s="410">
        <v>41325</v>
      </c>
      <c r="F6656" s="410">
        <v>41370</v>
      </c>
      <c r="G6656" s="405" t="s">
        <v>20987</v>
      </c>
      <c r="H6656" s="405">
        <v>773470742</v>
      </c>
      <c r="I6656" s="405"/>
      <c r="J6656" s="405">
        <v>1.7145466666666669</v>
      </c>
      <c r="K6656" s="405">
        <v>31.717108333333332</v>
      </c>
      <c r="L6656" s="405" t="s">
        <v>590</v>
      </c>
      <c r="M6656" s="405" t="s">
        <v>19608</v>
      </c>
      <c r="N6656" s="405" t="s">
        <v>19783</v>
      </c>
      <c r="O6656" s="405" t="s">
        <v>19784</v>
      </c>
      <c r="P6656" s="405" t="s">
        <v>19785</v>
      </c>
      <c r="Q6656" s="411">
        <v>9</v>
      </c>
      <c r="R6656" s="405" t="s">
        <v>994</v>
      </c>
      <c r="S6656" s="405" t="s">
        <v>27231</v>
      </c>
      <c r="T6656" s="405" t="s">
        <v>32102</v>
      </c>
      <c r="U6656" s="405" t="s">
        <v>319</v>
      </c>
    </row>
    <row r="6657" spans="1:21" x14ac:dyDescent="0.25">
      <c r="A6657" s="405" t="s">
        <v>310</v>
      </c>
      <c r="B6657" s="405" t="s">
        <v>28734</v>
      </c>
      <c r="C6657" s="405" t="s">
        <v>311</v>
      </c>
      <c r="D6657" s="405" t="s">
        <v>839</v>
      </c>
      <c r="E6657" s="410">
        <v>41325</v>
      </c>
      <c r="F6657" s="410">
        <v>41370</v>
      </c>
      <c r="G6657" s="405" t="s">
        <v>12584</v>
      </c>
      <c r="H6657" s="405">
        <v>772564563</v>
      </c>
      <c r="I6657" s="405"/>
      <c r="J6657" s="405">
        <v>1.0732600000000001</v>
      </c>
      <c r="K6657" s="405">
        <v>34.188110000000002</v>
      </c>
      <c r="L6657" s="405" t="s">
        <v>6866</v>
      </c>
      <c r="M6657" s="405" t="s">
        <v>9514</v>
      </c>
      <c r="N6657" s="405" t="s">
        <v>9722</v>
      </c>
      <c r="O6657" s="405" t="s">
        <v>11663</v>
      </c>
      <c r="P6657" s="405" t="s">
        <v>11664</v>
      </c>
      <c r="Q6657" s="411">
        <v>6</v>
      </c>
      <c r="R6657" s="405" t="s">
        <v>7224</v>
      </c>
      <c r="S6657" s="405" t="s">
        <v>27306</v>
      </c>
      <c r="T6657" s="405" t="s">
        <v>32102</v>
      </c>
      <c r="U6657" s="405" t="s">
        <v>319</v>
      </c>
    </row>
    <row r="6658" spans="1:21" x14ac:dyDescent="0.25">
      <c r="A6658" s="405" t="s">
        <v>310</v>
      </c>
      <c r="B6658" s="405" t="s">
        <v>28713</v>
      </c>
      <c r="C6658" s="405" t="s">
        <v>327</v>
      </c>
      <c r="D6658" s="405"/>
      <c r="E6658" s="410">
        <v>41325</v>
      </c>
      <c r="F6658" s="410">
        <v>41370</v>
      </c>
      <c r="G6658" s="405" t="s">
        <v>18494</v>
      </c>
      <c r="H6658" s="405">
        <v>777111057</v>
      </c>
      <c r="I6658" s="405">
        <v>788733040</v>
      </c>
      <c r="J6658" s="405">
        <v>1.7344759999999999</v>
      </c>
      <c r="K6658" s="405">
        <v>33.044494999999998</v>
      </c>
      <c r="L6658" s="405" t="s">
        <v>860</v>
      </c>
      <c r="M6658" s="405" t="s">
        <v>12189</v>
      </c>
      <c r="N6658" s="405" t="s">
        <v>18298</v>
      </c>
      <c r="O6658" s="405" t="s">
        <v>18299</v>
      </c>
      <c r="P6658" s="405" t="s">
        <v>18495</v>
      </c>
      <c r="Q6658" s="411">
        <v>6</v>
      </c>
      <c r="R6658" s="405" t="s">
        <v>318</v>
      </c>
      <c r="S6658" s="405" t="s">
        <v>27359</v>
      </c>
      <c r="T6658" s="405" t="s">
        <v>32102</v>
      </c>
      <c r="U6658" s="405" t="s">
        <v>319</v>
      </c>
    </row>
    <row r="6659" spans="1:21" x14ac:dyDescent="0.25">
      <c r="A6659" s="405" t="s">
        <v>310</v>
      </c>
      <c r="B6659" s="405" t="s">
        <v>27513</v>
      </c>
      <c r="C6659" s="405" t="s">
        <v>327</v>
      </c>
      <c r="D6659" s="405"/>
      <c r="E6659" s="410">
        <v>41325</v>
      </c>
      <c r="F6659" s="410">
        <v>41370</v>
      </c>
      <c r="G6659" s="405" t="s">
        <v>12201</v>
      </c>
      <c r="H6659" s="405">
        <v>782482216</v>
      </c>
      <c r="I6659" s="405"/>
      <c r="J6659" s="405">
        <v>1.0986020000000001</v>
      </c>
      <c r="K6659" s="405">
        <v>33.77946</v>
      </c>
      <c r="L6659" s="405" t="s">
        <v>6866</v>
      </c>
      <c r="M6659" s="405" t="s">
        <v>9509</v>
      </c>
      <c r="N6659" s="405" t="s">
        <v>9509</v>
      </c>
      <c r="O6659" s="405" t="s">
        <v>12202</v>
      </c>
      <c r="P6659" s="405" t="s">
        <v>12200</v>
      </c>
      <c r="Q6659" s="411">
        <v>6</v>
      </c>
      <c r="R6659" s="405" t="s">
        <v>9541</v>
      </c>
      <c r="S6659" s="405" t="s">
        <v>27302</v>
      </c>
      <c r="T6659" s="405" t="s">
        <v>32102</v>
      </c>
      <c r="U6659" s="405" t="s">
        <v>319</v>
      </c>
    </row>
    <row r="6660" spans="1:21" x14ac:dyDescent="0.25">
      <c r="A6660" s="405" t="s">
        <v>310</v>
      </c>
      <c r="B6660" s="405" t="s">
        <v>18498</v>
      </c>
      <c r="C6660" s="405" t="s">
        <v>327</v>
      </c>
      <c r="D6660" s="405"/>
      <c r="E6660" s="410">
        <v>41325</v>
      </c>
      <c r="F6660" s="410">
        <v>41370</v>
      </c>
      <c r="G6660" s="405" t="s">
        <v>18499</v>
      </c>
      <c r="H6660" s="405">
        <v>706487641</v>
      </c>
      <c r="I6660" s="405"/>
      <c r="J6660" s="405">
        <v>2.3639830000000002</v>
      </c>
      <c r="K6660" s="405">
        <v>34.531829999999999</v>
      </c>
      <c r="L6660" s="405" t="s">
        <v>860</v>
      </c>
      <c r="M6660" s="405" t="s">
        <v>16584</v>
      </c>
      <c r="N6660" s="405" t="s">
        <v>16614</v>
      </c>
      <c r="O6660" s="405" t="s">
        <v>16586</v>
      </c>
      <c r="P6660" s="405" t="s">
        <v>18500</v>
      </c>
      <c r="Q6660" s="411">
        <v>6</v>
      </c>
      <c r="R6660" s="405" t="s">
        <v>7224</v>
      </c>
      <c r="S6660" s="405" t="s">
        <v>27283</v>
      </c>
      <c r="T6660" s="405" t="s">
        <v>32102</v>
      </c>
      <c r="U6660" s="405" t="s">
        <v>319</v>
      </c>
    </row>
    <row r="6661" spans="1:21" x14ac:dyDescent="0.25">
      <c r="A6661" s="405" t="s">
        <v>310</v>
      </c>
      <c r="B6661" s="405" t="s">
        <v>3530</v>
      </c>
      <c r="C6661" s="405" t="s">
        <v>327</v>
      </c>
      <c r="D6661" s="405"/>
      <c r="E6661" s="410">
        <v>41324</v>
      </c>
      <c r="F6661" s="410">
        <v>41369</v>
      </c>
      <c r="G6661" s="405" t="s">
        <v>3531</v>
      </c>
      <c r="H6661" s="405">
        <v>758514240</v>
      </c>
      <c r="I6661" s="405"/>
      <c r="J6661" s="405">
        <v>0.69785200000000003</v>
      </c>
      <c r="K6661" s="405">
        <v>31.788447000000001</v>
      </c>
      <c r="L6661" s="405" t="s">
        <v>314</v>
      </c>
      <c r="M6661" s="405" t="s">
        <v>445</v>
      </c>
      <c r="N6661" s="405" t="s">
        <v>570</v>
      </c>
      <c r="O6661" s="405" t="s">
        <v>2213</v>
      </c>
      <c r="P6661" s="405" t="s">
        <v>3419</v>
      </c>
      <c r="Q6661" s="411">
        <v>6</v>
      </c>
      <c r="R6661" s="405" t="s">
        <v>318</v>
      </c>
      <c r="S6661" s="405" t="s">
        <v>27174</v>
      </c>
      <c r="T6661" s="405" t="s">
        <v>32102</v>
      </c>
      <c r="U6661" s="405" t="s">
        <v>319</v>
      </c>
    </row>
    <row r="6662" spans="1:21" x14ac:dyDescent="0.25">
      <c r="A6662" s="405" t="s">
        <v>310</v>
      </c>
      <c r="B6662" s="405" t="s">
        <v>21189</v>
      </c>
      <c r="C6662" s="405" t="s">
        <v>311</v>
      </c>
      <c r="D6662" s="405" t="s">
        <v>1111</v>
      </c>
      <c r="E6662" s="410">
        <v>41323</v>
      </c>
      <c r="F6662" s="410">
        <v>41368</v>
      </c>
      <c r="G6662" s="405" t="s">
        <v>21190</v>
      </c>
      <c r="H6662" s="405">
        <v>772357166</v>
      </c>
      <c r="I6662" s="405"/>
      <c r="J6662" s="405">
        <v>-0.52117800000000003</v>
      </c>
      <c r="K6662" s="405">
        <v>30.755493000000001</v>
      </c>
      <c r="L6662" s="405" t="s">
        <v>590</v>
      </c>
      <c r="M6662" s="405" t="s">
        <v>19614</v>
      </c>
      <c r="N6662" s="405" t="s">
        <v>19615</v>
      </c>
      <c r="O6662" s="405" t="s">
        <v>20253</v>
      </c>
      <c r="P6662" s="405" t="s">
        <v>20253</v>
      </c>
      <c r="Q6662" s="411">
        <v>6</v>
      </c>
      <c r="R6662" s="405" t="s">
        <v>883</v>
      </c>
      <c r="S6662" s="405" t="s">
        <v>27160</v>
      </c>
      <c r="T6662" s="405" t="s">
        <v>32102</v>
      </c>
      <c r="U6662" s="405" t="s">
        <v>319</v>
      </c>
    </row>
    <row r="6663" spans="1:21" x14ac:dyDescent="0.25">
      <c r="A6663" s="405" t="s">
        <v>310</v>
      </c>
      <c r="B6663" s="405" t="s">
        <v>28704</v>
      </c>
      <c r="C6663" s="405" t="s">
        <v>311</v>
      </c>
      <c r="D6663" s="405" t="s">
        <v>1789</v>
      </c>
      <c r="E6663" s="410">
        <v>41323</v>
      </c>
      <c r="F6663" s="410">
        <v>41368</v>
      </c>
      <c r="G6663" s="405" t="s">
        <v>12581</v>
      </c>
      <c r="H6663" s="405">
        <v>782243135</v>
      </c>
      <c r="I6663" s="405"/>
      <c r="J6663" s="405">
        <v>0.73855400000000004</v>
      </c>
      <c r="K6663" s="405">
        <v>34.184057000000003</v>
      </c>
      <c r="L6663" s="405" t="s">
        <v>6866</v>
      </c>
      <c r="M6663" s="405" t="s">
        <v>9534</v>
      </c>
      <c r="N6663" s="405" t="s">
        <v>9927</v>
      </c>
      <c r="O6663" s="405" t="s">
        <v>9770</v>
      </c>
      <c r="P6663" s="405" t="s">
        <v>10343</v>
      </c>
      <c r="Q6663" s="411">
        <v>4</v>
      </c>
      <c r="R6663" s="405" t="s">
        <v>7224</v>
      </c>
      <c r="S6663" s="405" t="s">
        <v>27204</v>
      </c>
      <c r="T6663" s="405" t="s">
        <v>32102</v>
      </c>
      <c r="U6663" s="405" t="s">
        <v>319</v>
      </c>
    </row>
    <row r="6664" spans="1:21" x14ac:dyDescent="0.25">
      <c r="A6664" s="405" t="s">
        <v>310</v>
      </c>
      <c r="B6664" s="405" t="s">
        <v>20978</v>
      </c>
      <c r="C6664" s="405" t="s">
        <v>327</v>
      </c>
      <c r="D6664" s="405"/>
      <c r="E6664" s="410">
        <v>41322</v>
      </c>
      <c r="F6664" s="410">
        <v>41367</v>
      </c>
      <c r="G6664" s="405" t="s">
        <v>20979</v>
      </c>
      <c r="H6664" s="405">
        <v>752527283</v>
      </c>
      <c r="I6664" s="405"/>
      <c r="J6664" s="405">
        <v>2.0209000000000001E-2</v>
      </c>
      <c r="K6664" s="405">
        <v>30.465353</v>
      </c>
      <c r="L6664" s="405" t="s">
        <v>590</v>
      </c>
      <c r="M6664" s="405" t="s">
        <v>870</v>
      </c>
      <c r="N6664" s="405" t="s">
        <v>20980</v>
      </c>
      <c r="O6664" s="405" t="s">
        <v>872</v>
      </c>
      <c r="P6664" s="405" t="s">
        <v>20981</v>
      </c>
      <c r="Q6664" s="411">
        <v>9</v>
      </c>
      <c r="R6664" s="405" t="s">
        <v>333</v>
      </c>
      <c r="S6664" s="405" t="s">
        <v>27172</v>
      </c>
      <c r="T6664" s="405" t="s">
        <v>32102</v>
      </c>
      <c r="U6664" s="405" t="s">
        <v>319</v>
      </c>
    </row>
    <row r="6665" spans="1:21" x14ac:dyDescent="0.25">
      <c r="A6665" s="405" t="s">
        <v>310</v>
      </c>
      <c r="B6665" s="405" t="s">
        <v>28867</v>
      </c>
      <c r="C6665" s="405" t="s">
        <v>327</v>
      </c>
      <c r="D6665" s="405"/>
      <c r="E6665" s="410">
        <v>41322</v>
      </c>
      <c r="F6665" s="410">
        <v>41367</v>
      </c>
      <c r="G6665" s="405" t="s">
        <v>18497</v>
      </c>
      <c r="H6665" s="405">
        <v>777852403</v>
      </c>
      <c r="I6665" s="405"/>
      <c r="J6665" s="405">
        <v>2.5241250000000002</v>
      </c>
      <c r="K6665" s="405">
        <v>34.359912999999999</v>
      </c>
      <c r="L6665" s="405" t="s">
        <v>860</v>
      </c>
      <c r="M6665" s="405" t="s">
        <v>16584</v>
      </c>
      <c r="N6665" s="405" t="s">
        <v>16614</v>
      </c>
      <c r="O6665" s="405" t="s">
        <v>18206</v>
      </c>
      <c r="P6665" s="405" t="s">
        <v>18202</v>
      </c>
      <c r="Q6665" s="411">
        <v>6</v>
      </c>
      <c r="R6665" s="405" t="s">
        <v>7224</v>
      </c>
      <c r="S6665" s="405" t="s">
        <v>17062</v>
      </c>
      <c r="T6665" s="405" t="s">
        <v>32102</v>
      </c>
      <c r="U6665" s="405" t="s">
        <v>319</v>
      </c>
    </row>
    <row r="6666" spans="1:21" x14ac:dyDescent="0.25">
      <c r="A6666" s="405" t="s">
        <v>310</v>
      </c>
      <c r="B6666" s="405" t="s">
        <v>21203</v>
      </c>
      <c r="C6666" s="405" t="s">
        <v>311</v>
      </c>
      <c r="D6666" s="405" t="s">
        <v>839</v>
      </c>
      <c r="E6666" s="410">
        <v>41322</v>
      </c>
      <c r="F6666" s="410">
        <v>41367</v>
      </c>
      <c r="G6666" s="405" t="s">
        <v>21204</v>
      </c>
      <c r="H6666" s="405">
        <v>779116666</v>
      </c>
      <c r="I6666" s="405">
        <v>703168499</v>
      </c>
      <c r="J6666" s="405">
        <v>-0.84009900000000004</v>
      </c>
      <c r="K6666" s="405">
        <v>30.147406</v>
      </c>
      <c r="L6666" s="405" t="s">
        <v>590</v>
      </c>
      <c r="M6666" s="405" t="s">
        <v>19659</v>
      </c>
      <c r="N6666" s="405" t="s">
        <v>19604</v>
      </c>
      <c r="O6666" s="405" t="s">
        <v>20582</v>
      </c>
      <c r="P6666" s="405" t="s">
        <v>21205</v>
      </c>
      <c r="Q6666" s="411">
        <v>6</v>
      </c>
      <c r="R6666" s="405" t="s">
        <v>19622</v>
      </c>
      <c r="S6666" s="405" t="s">
        <v>27116</v>
      </c>
      <c r="T6666" s="405" t="s">
        <v>32102</v>
      </c>
      <c r="U6666" s="405" t="s">
        <v>319</v>
      </c>
    </row>
    <row r="6667" spans="1:21" x14ac:dyDescent="0.25">
      <c r="A6667" s="405" t="s">
        <v>310</v>
      </c>
      <c r="B6667" s="405" t="s">
        <v>90</v>
      </c>
      <c r="C6667" s="405" t="s">
        <v>327</v>
      </c>
      <c r="D6667" s="405"/>
      <c r="E6667" s="410">
        <v>41322</v>
      </c>
      <c r="F6667" s="410">
        <v>41367</v>
      </c>
      <c r="G6667" s="405" t="s">
        <v>3504</v>
      </c>
      <c r="H6667" s="405">
        <v>772517698</v>
      </c>
      <c r="I6667" s="405">
        <v>701517698</v>
      </c>
      <c r="J6667" s="405">
        <v>-0.35541299999999998</v>
      </c>
      <c r="K6667" s="405">
        <v>31.736743000000001</v>
      </c>
      <c r="L6667" s="405" t="s">
        <v>314</v>
      </c>
      <c r="M6667" s="405" t="s">
        <v>382</v>
      </c>
      <c r="N6667" s="405" t="s">
        <v>383</v>
      </c>
      <c r="O6667" s="405" t="s">
        <v>3505</v>
      </c>
      <c r="P6667" s="405" t="s">
        <v>1787</v>
      </c>
      <c r="Q6667" s="411">
        <v>6</v>
      </c>
      <c r="R6667" s="405" t="s">
        <v>1263</v>
      </c>
      <c r="S6667" s="405" t="s">
        <v>27041</v>
      </c>
      <c r="T6667" s="405" t="s">
        <v>32102</v>
      </c>
      <c r="U6667" s="405" t="s">
        <v>319</v>
      </c>
    </row>
    <row r="6668" spans="1:21" x14ac:dyDescent="0.25">
      <c r="A6668" s="405" t="s">
        <v>310</v>
      </c>
      <c r="B6668" s="405" t="s">
        <v>20988</v>
      </c>
      <c r="C6668" s="405" t="s">
        <v>327</v>
      </c>
      <c r="D6668" s="405"/>
      <c r="E6668" s="410">
        <v>41322</v>
      </c>
      <c r="F6668" s="410">
        <v>41367</v>
      </c>
      <c r="G6668" s="405" t="s">
        <v>20989</v>
      </c>
      <c r="H6668" s="405">
        <v>774700951</v>
      </c>
      <c r="I6668" s="405"/>
      <c r="J6668" s="405">
        <v>1.0663480000000001</v>
      </c>
      <c r="K6668" s="405">
        <v>30.916007</v>
      </c>
      <c r="L6668" s="405" t="s">
        <v>590</v>
      </c>
      <c r="M6668" s="405" t="s">
        <v>7488</v>
      </c>
      <c r="N6668" s="405" t="s">
        <v>20804</v>
      </c>
      <c r="O6668" s="405" t="s">
        <v>20990</v>
      </c>
      <c r="P6668" s="405" t="s">
        <v>20991</v>
      </c>
      <c r="Q6668" s="411">
        <v>6</v>
      </c>
      <c r="R6668" s="405" t="s">
        <v>525</v>
      </c>
      <c r="S6668" s="405" t="s">
        <v>22481</v>
      </c>
      <c r="T6668" s="405" t="s">
        <v>32102</v>
      </c>
      <c r="U6668" s="405" t="s">
        <v>319</v>
      </c>
    </row>
    <row r="6669" spans="1:21" x14ac:dyDescent="0.25">
      <c r="A6669" s="405" t="s">
        <v>310</v>
      </c>
      <c r="B6669" s="405" t="s">
        <v>3555</v>
      </c>
      <c r="C6669" s="405" t="s">
        <v>327</v>
      </c>
      <c r="D6669" s="405"/>
      <c r="E6669" s="410">
        <v>41322</v>
      </c>
      <c r="F6669" s="410">
        <v>41367</v>
      </c>
      <c r="G6669" s="405" t="s">
        <v>3556</v>
      </c>
      <c r="H6669" s="405">
        <v>712741830</v>
      </c>
      <c r="I6669" s="405"/>
      <c r="J6669" s="405">
        <v>0.41084510000000002</v>
      </c>
      <c r="K6669" s="405">
        <v>32.559432700000002</v>
      </c>
      <c r="L6669" s="405" t="s">
        <v>314</v>
      </c>
      <c r="M6669" s="405" t="s">
        <v>361</v>
      </c>
      <c r="N6669" s="405" t="s">
        <v>370</v>
      </c>
      <c r="O6669" s="405" t="s">
        <v>370</v>
      </c>
      <c r="P6669" s="405" t="s">
        <v>2705</v>
      </c>
      <c r="Q6669" s="411">
        <v>6</v>
      </c>
      <c r="R6669" s="405" t="s">
        <v>318</v>
      </c>
      <c r="S6669" s="405" t="s">
        <v>27046</v>
      </c>
      <c r="T6669" s="405" t="s">
        <v>32102</v>
      </c>
      <c r="U6669" s="405" t="s">
        <v>319</v>
      </c>
    </row>
    <row r="6670" spans="1:21" x14ac:dyDescent="0.25">
      <c r="A6670" s="405" t="s">
        <v>310</v>
      </c>
      <c r="B6670" s="405" t="s">
        <v>27878</v>
      </c>
      <c r="C6670" s="405" t="s">
        <v>327</v>
      </c>
      <c r="D6670" s="405"/>
      <c r="E6670" s="410">
        <v>41321</v>
      </c>
      <c r="F6670" s="410">
        <v>41366</v>
      </c>
      <c r="G6670" s="405" t="s">
        <v>3497</v>
      </c>
      <c r="H6670" s="405">
        <v>702317964</v>
      </c>
      <c r="I6670" s="405">
        <v>772317964</v>
      </c>
      <c r="J6670" s="405">
        <v>-0.34331699999999998</v>
      </c>
      <c r="K6670" s="405">
        <v>31.762998</v>
      </c>
      <c r="L6670" s="405" t="s">
        <v>314</v>
      </c>
      <c r="M6670" s="405" t="s">
        <v>382</v>
      </c>
      <c r="N6670" s="405" t="s">
        <v>941</v>
      </c>
      <c r="O6670" s="405" t="s">
        <v>942</v>
      </c>
      <c r="P6670" s="405" t="s">
        <v>943</v>
      </c>
      <c r="Q6670" s="411">
        <v>6</v>
      </c>
      <c r="R6670" s="405" t="s">
        <v>1263</v>
      </c>
      <c r="S6670" s="405" t="s">
        <v>27216</v>
      </c>
      <c r="T6670" s="405" t="s">
        <v>32102</v>
      </c>
      <c r="U6670" s="405" t="s">
        <v>319</v>
      </c>
    </row>
    <row r="6671" spans="1:21" x14ac:dyDescent="0.25">
      <c r="A6671" s="405" t="s">
        <v>310</v>
      </c>
      <c r="B6671" s="405" t="s">
        <v>28866</v>
      </c>
      <c r="C6671" s="405" t="s">
        <v>327</v>
      </c>
      <c r="D6671" s="405"/>
      <c r="E6671" s="410">
        <v>41321</v>
      </c>
      <c r="F6671" s="410">
        <v>41366</v>
      </c>
      <c r="G6671" s="405" t="s">
        <v>18496</v>
      </c>
      <c r="H6671" s="405">
        <v>787027192</v>
      </c>
      <c r="I6671" s="405"/>
      <c r="J6671" s="405">
        <v>2.5261149999999999</v>
      </c>
      <c r="K6671" s="405">
        <v>34.361218000000001</v>
      </c>
      <c r="L6671" s="405" t="s">
        <v>860</v>
      </c>
      <c r="M6671" s="405" t="s">
        <v>16584</v>
      </c>
      <c r="N6671" s="405" t="s">
        <v>16614</v>
      </c>
      <c r="O6671" s="405" t="s">
        <v>18206</v>
      </c>
      <c r="P6671" s="405" t="s">
        <v>18202</v>
      </c>
      <c r="Q6671" s="411">
        <v>6</v>
      </c>
      <c r="R6671" s="405" t="s">
        <v>7224</v>
      </c>
      <c r="S6671" s="405" t="s">
        <v>17013</v>
      </c>
      <c r="T6671" s="405" t="s">
        <v>32102</v>
      </c>
      <c r="U6671" s="405" t="s">
        <v>319</v>
      </c>
    </row>
    <row r="6672" spans="1:21" x14ac:dyDescent="0.25">
      <c r="A6672" s="405" t="s">
        <v>310</v>
      </c>
      <c r="B6672" s="405" t="s">
        <v>28819</v>
      </c>
      <c r="C6672" s="405" t="s">
        <v>327</v>
      </c>
      <c r="D6672" s="405"/>
      <c r="E6672" s="410">
        <v>41320</v>
      </c>
      <c r="F6672" s="410">
        <v>41365</v>
      </c>
      <c r="G6672" s="405" t="s">
        <v>20962</v>
      </c>
      <c r="H6672" s="405">
        <v>772450355</v>
      </c>
      <c r="I6672" s="405"/>
      <c r="J6672" s="405">
        <v>-0.69713599999999998</v>
      </c>
      <c r="K6672" s="405">
        <v>30.624158000000001</v>
      </c>
      <c r="L6672" s="405" t="s">
        <v>590</v>
      </c>
      <c r="M6672" s="405" t="s">
        <v>19614</v>
      </c>
      <c r="N6672" s="405" t="s">
        <v>19873</v>
      </c>
      <c r="O6672" s="405" t="s">
        <v>20138</v>
      </c>
      <c r="P6672" s="405" t="s">
        <v>20963</v>
      </c>
      <c r="Q6672" s="411">
        <v>13</v>
      </c>
      <c r="R6672" s="405" t="s">
        <v>1527</v>
      </c>
      <c r="S6672" s="405" t="s">
        <v>27166</v>
      </c>
      <c r="T6672" s="405" t="s">
        <v>32102</v>
      </c>
      <c r="U6672" s="405" t="s">
        <v>319</v>
      </c>
    </row>
    <row r="6673" spans="1:21" x14ac:dyDescent="0.25">
      <c r="A6673" s="405" t="s">
        <v>310</v>
      </c>
      <c r="B6673" s="405" t="s">
        <v>28571</v>
      </c>
      <c r="C6673" s="405" t="s">
        <v>327</v>
      </c>
      <c r="D6673" s="405"/>
      <c r="E6673" s="410">
        <v>41320</v>
      </c>
      <c r="F6673" s="410">
        <v>41365</v>
      </c>
      <c r="G6673" s="405" t="s">
        <v>3469</v>
      </c>
      <c r="H6673" s="405">
        <v>772370822</v>
      </c>
      <c r="I6673" s="405"/>
      <c r="J6673" s="405">
        <v>0.22026299999999999</v>
      </c>
      <c r="K6673" s="405">
        <v>32.071371999999997</v>
      </c>
      <c r="L6673" s="405" t="s">
        <v>314</v>
      </c>
      <c r="M6673" s="405" t="s">
        <v>339</v>
      </c>
      <c r="N6673" s="405" t="s">
        <v>339</v>
      </c>
      <c r="O6673" s="405" t="s">
        <v>2272</v>
      </c>
      <c r="P6673" s="405" t="s">
        <v>3470</v>
      </c>
      <c r="Q6673" s="411">
        <v>6</v>
      </c>
      <c r="R6673" s="405" t="s">
        <v>1263</v>
      </c>
      <c r="S6673" s="405" t="s">
        <v>27206</v>
      </c>
      <c r="T6673" s="405" t="s">
        <v>32102</v>
      </c>
      <c r="U6673" s="405" t="s">
        <v>319</v>
      </c>
    </row>
    <row r="6674" spans="1:21" x14ac:dyDescent="0.25">
      <c r="A6674" s="405" t="s">
        <v>310</v>
      </c>
      <c r="B6674" s="405" t="s">
        <v>12185</v>
      </c>
      <c r="C6674" s="405" t="s">
        <v>327</v>
      </c>
      <c r="D6674" s="405"/>
      <c r="E6674" s="410">
        <v>41320</v>
      </c>
      <c r="F6674" s="410">
        <v>41365</v>
      </c>
      <c r="G6674" s="405" t="s">
        <v>12186</v>
      </c>
      <c r="H6674" s="405">
        <v>772947226</v>
      </c>
      <c r="I6674" s="405"/>
      <c r="J6674" s="405">
        <v>1.960183</v>
      </c>
      <c r="K6674" s="405">
        <v>33.988422</v>
      </c>
      <c r="L6674" s="405" t="s">
        <v>6866</v>
      </c>
      <c r="M6674" s="405" t="s">
        <v>11355</v>
      </c>
      <c r="N6674" s="405" t="s">
        <v>11356</v>
      </c>
      <c r="O6674" s="405" t="s">
        <v>11355</v>
      </c>
      <c r="P6674" s="405" t="s">
        <v>12136</v>
      </c>
      <c r="Q6674" s="411">
        <v>6</v>
      </c>
      <c r="R6674" s="405" t="s">
        <v>5655</v>
      </c>
      <c r="S6674" s="405" t="s">
        <v>27341</v>
      </c>
      <c r="T6674" s="405" t="s">
        <v>32102</v>
      </c>
      <c r="U6674" s="405" t="s">
        <v>319</v>
      </c>
    </row>
    <row r="6675" spans="1:21" x14ac:dyDescent="0.25">
      <c r="A6675" s="405" t="s">
        <v>310</v>
      </c>
      <c r="B6675" s="405" t="s">
        <v>18530</v>
      </c>
      <c r="C6675" s="405" t="s">
        <v>327</v>
      </c>
      <c r="D6675" s="405"/>
      <c r="E6675" s="410">
        <v>41320</v>
      </c>
      <c r="F6675" s="410">
        <v>41365</v>
      </c>
      <c r="G6675" s="405" t="s">
        <v>18531</v>
      </c>
      <c r="H6675" s="405">
        <v>779750926</v>
      </c>
      <c r="I6675" s="405">
        <v>779888269</v>
      </c>
      <c r="J6675" s="405">
        <v>2.7837149999999999</v>
      </c>
      <c r="K6675" s="405">
        <v>32.288338000000003</v>
      </c>
      <c r="L6675" s="405" t="s">
        <v>860</v>
      </c>
      <c r="M6675" s="405" t="s">
        <v>853</v>
      </c>
      <c r="N6675" s="405" t="s">
        <v>18246</v>
      </c>
      <c r="O6675" s="405" t="s">
        <v>18503</v>
      </c>
      <c r="P6675" s="405" t="s">
        <v>18532</v>
      </c>
      <c r="Q6675" s="411">
        <v>6</v>
      </c>
      <c r="R6675" s="405" t="s">
        <v>994</v>
      </c>
      <c r="S6675" s="405" t="s">
        <v>27162</v>
      </c>
      <c r="T6675" s="405" t="s">
        <v>32102</v>
      </c>
      <c r="U6675" s="405" t="s">
        <v>319</v>
      </c>
    </row>
    <row r="6676" spans="1:21" x14ac:dyDescent="0.25">
      <c r="A6676" s="405" t="s">
        <v>310</v>
      </c>
      <c r="B6676" s="405" t="s">
        <v>3482</v>
      </c>
      <c r="C6676" s="405" t="s">
        <v>327</v>
      </c>
      <c r="D6676" s="405"/>
      <c r="E6676" s="410">
        <v>41320</v>
      </c>
      <c r="F6676" s="410">
        <v>41365</v>
      </c>
      <c r="G6676" s="405" t="s">
        <v>3483</v>
      </c>
      <c r="H6676" s="405">
        <v>771449202</v>
      </c>
      <c r="I6676" s="405"/>
      <c r="J6676" s="405">
        <v>0.65530699999999997</v>
      </c>
      <c r="K6676" s="405">
        <v>31.456939999999999</v>
      </c>
      <c r="L6676" s="405" t="s">
        <v>314</v>
      </c>
      <c r="M6676" s="405" t="s">
        <v>445</v>
      </c>
      <c r="N6676" s="405" t="s">
        <v>446</v>
      </c>
      <c r="O6676" s="405" t="s">
        <v>3484</v>
      </c>
      <c r="P6676" s="405" t="s">
        <v>3485</v>
      </c>
      <c r="Q6676" s="411">
        <v>6</v>
      </c>
      <c r="R6676" s="405" t="s">
        <v>1263</v>
      </c>
      <c r="S6676" s="405" t="s">
        <v>27133</v>
      </c>
      <c r="T6676" s="405" t="s">
        <v>32102</v>
      </c>
      <c r="U6676" s="405" t="s">
        <v>319</v>
      </c>
    </row>
    <row r="6677" spans="1:21" x14ac:dyDescent="0.25">
      <c r="A6677" s="405" t="s">
        <v>310</v>
      </c>
      <c r="B6677" s="405" t="s">
        <v>3478</v>
      </c>
      <c r="C6677" s="405" t="s">
        <v>327</v>
      </c>
      <c r="D6677" s="405"/>
      <c r="E6677" s="410">
        <v>41320</v>
      </c>
      <c r="F6677" s="410">
        <v>41365</v>
      </c>
      <c r="G6677" s="405" t="s">
        <v>3479</v>
      </c>
      <c r="H6677" s="405">
        <v>772093385</v>
      </c>
      <c r="I6677" s="405"/>
      <c r="J6677" s="405">
        <v>-0.64281999999999995</v>
      </c>
      <c r="K6677" s="405">
        <v>31.35962</v>
      </c>
      <c r="L6677" s="405" t="s">
        <v>314</v>
      </c>
      <c r="M6677" s="405" t="s">
        <v>398</v>
      </c>
      <c r="N6677" s="405" t="s">
        <v>2791</v>
      </c>
      <c r="O6677" s="405" t="s">
        <v>2758</v>
      </c>
      <c r="P6677" s="405" t="s">
        <v>3480</v>
      </c>
      <c r="Q6677" s="411">
        <v>4</v>
      </c>
      <c r="R6677" s="405" t="s">
        <v>402</v>
      </c>
      <c r="S6677" s="405" t="s">
        <v>27170</v>
      </c>
      <c r="T6677" s="405" t="s">
        <v>32102</v>
      </c>
      <c r="U6677" s="405" t="s">
        <v>319</v>
      </c>
    </row>
    <row r="6678" spans="1:21" x14ac:dyDescent="0.25">
      <c r="A6678" s="405" t="s">
        <v>310</v>
      </c>
      <c r="B6678" s="405" t="s">
        <v>3918</v>
      </c>
      <c r="C6678" s="405" t="s">
        <v>311</v>
      </c>
      <c r="D6678" s="405" t="s">
        <v>312</v>
      </c>
      <c r="E6678" s="410">
        <v>41319</v>
      </c>
      <c r="F6678" s="410">
        <v>41364</v>
      </c>
      <c r="G6678" s="405" t="s">
        <v>3919</v>
      </c>
      <c r="H6678" s="405">
        <v>772440532</v>
      </c>
      <c r="I6678" s="405">
        <v>702190685</v>
      </c>
      <c r="J6678" s="405">
        <v>-0.32992199999999999</v>
      </c>
      <c r="K6678" s="405">
        <v>31.685737</v>
      </c>
      <c r="L6678" s="405" t="s">
        <v>314</v>
      </c>
      <c r="M6678" s="405" t="s">
        <v>1189</v>
      </c>
      <c r="N6678" s="405" t="s">
        <v>1481</v>
      </c>
      <c r="O6678" s="405" t="s">
        <v>1581</v>
      </c>
      <c r="P6678" s="405" t="s">
        <v>1482</v>
      </c>
      <c r="Q6678" s="411">
        <v>9</v>
      </c>
      <c r="R6678" s="405" t="s">
        <v>318</v>
      </c>
      <c r="S6678" s="405" t="s">
        <v>27167</v>
      </c>
      <c r="T6678" s="405" t="s">
        <v>32102</v>
      </c>
      <c r="U6678" s="405" t="s">
        <v>319</v>
      </c>
    </row>
    <row r="6679" spans="1:21" x14ac:dyDescent="0.25">
      <c r="A6679" s="405" t="s">
        <v>310</v>
      </c>
      <c r="B6679" s="405" t="s">
        <v>3396</v>
      </c>
      <c r="C6679" s="405" t="s">
        <v>327</v>
      </c>
      <c r="D6679" s="405"/>
      <c r="E6679" s="410">
        <v>41319</v>
      </c>
      <c r="F6679" s="410">
        <v>41364</v>
      </c>
      <c r="G6679" s="405" t="s">
        <v>3397</v>
      </c>
      <c r="H6679" s="405">
        <v>772473617</v>
      </c>
      <c r="I6679" s="405"/>
      <c r="J6679" s="405">
        <v>0.24209800000000001</v>
      </c>
      <c r="K6679" s="405">
        <v>32.43092</v>
      </c>
      <c r="L6679" s="405" t="s">
        <v>314</v>
      </c>
      <c r="M6679" s="405" t="s">
        <v>361</v>
      </c>
      <c r="N6679" s="405" t="s">
        <v>3398</v>
      </c>
      <c r="O6679" s="405" t="s">
        <v>375</v>
      </c>
      <c r="P6679" s="405" t="s">
        <v>3399</v>
      </c>
      <c r="Q6679" s="411">
        <v>9</v>
      </c>
      <c r="R6679" s="405" t="s">
        <v>318</v>
      </c>
      <c r="S6679" s="405" t="s">
        <v>27124</v>
      </c>
      <c r="T6679" s="405" t="s">
        <v>32102</v>
      </c>
      <c r="U6679" s="405" t="s">
        <v>319</v>
      </c>
    </row>
    <row r="6680" spans="1:21" x14ac:dyDescent="0.25">
      <c r="A6680" s="405" t="s">
        <v>310</v>
      </c>
      <c r="B6680" s="405" t="s">
        <v>27848</v>
      </c>
      <c r="C6680" s="405" t="s">
        <v>327</v>
      </c>
      <c r="D6680" s="405"/>
      <c r="E6680" s="410">
        <v>41319</v>
      </c>
      <c r="F6680" s="410">
        <v>41364</v>
      </c>
      <c r="G6680" s="405" t="s">
        <v>12166</v>
      </c>
      <c r="H6680" s="405">
        <v>776885326</v>
      </c>
      <c r="I6680" s="405"/>
      <c r="J6680" s="405">
        <v>1.279922</v>
      </c>
      <c r="K6680" s="405">
        <v>34.093147000000002</v>
      </c>
      <c r="L6680" s="405" t="s">
        <v>6866</v>
      </c>
      <c r="M6680" s="405" t="s">
        <v>9504</v>
      </c>
      <c r="N6680" s="405" t="s">
        <v>9504</v>
      </c>
      <c r="O6680" s="405" t="s">
        <v>9504</v>
      </c>
      <c r="P6680" s="405" t="s">
        <v>10417</v>
      </c>
      <c r="Q6680" s="411">
        <v>6</v>
      </c>
      <c r="R6680" s="405" t="s">
        <v>9541</v>
      </c>
      <c r="S6680" s="405" t="s">
        <v>27297</v>
      </c>
      <c r="T6680" s="405" t="s">
        <v>32102</v>
      </c>
      <c r="U6680" s="405" t="s">
        <v>319</v>
      </c>
    </row>
    <row r="6681" spans="1:21" x14ac:dyDescent="0.25">
      <c r="A6681" s="405" t="s">
        <v>310</v>
      </c>
      <c r="B6681" s="405" t="s">
        <v>20933</v>
      </c>
      <c r="C6681" s="405" t="s">
        <v>327</v>
      </c>
      <c r="D6681" s="405"/>
      <c r="E6681" s="410">
        <v>41319</v>
      </c>
      <c r="F6681" s="410">
        <v>41364</v>
      </c>
      <c r="G6681" s="405" t="s">
        <v>20934</v>
      </c>
      <c r="H6681" s="405">
        <v>783863128</v>
      </c>
      <c r="I6681" s="405"/>
      <c r="J6681" s="405">
        <v>-0.56685200000000002</v>
      </c>
      <c r="K6681" s="405">
        <v>30.118058999999999</v>
      </c>
      <c r="L6681" s="405" t="s">
        <v>590</v>
      </c>
      <c r="M6681" s="405" t="s">
        <v>19625</v>
      </c>
      <c r="N6681" s="405" t="s">
        <v>19642</v>
      </c>
      <c r="O6681" s="405" t="s">
        <v>19639</v>
      </c>
      <c r="P6681" s="405" t="s">
        <v>20935</v>
      </c>
      <c r="Q6681" s="411">
        <v>6</v>
      </c>
      <c r="R6681" s="405" t="s">
        <v>883</v>
      </c>
      <c r="S6681" s="405" t="s">
        <v>27065</v>
      </c>
      <c r="T6681" s="405" t="s">
        <v>32102</v>
      </c>
      <c r="U6681" s="405" t="s">
        <v>319</v>
      </c>
    </row>
    <row r="6682" spans="1:21" x14ac:dyDescent="0.25">
      <c r="A6682" s="405" t="s">
        <v>310</v>
      </c>
      <c r="B6682" s="405" t="s">
        <v>18463</v>
      </c>
      <c r="C6682" s="405" t="s">
        <v>327</v>
      </c>
      <c r="D6682" s="405"/>
      <c r="E6682" s="410">
        <v>41319</v>
      </c>
      <c r="F6682" s="410">
        <v>41364</v>
      </c>
      <c r="G6682" s="405" t="s">
        <v>18464</v>
      </c>
      <c r="H6682" s="405">
        <v>772554089</v>
      </c>
      <c r="I6682" s="405"/>
      <c r="J6682" s="405">
        <v>2.44136</v>
      </c>
      <c r="K6682" s="405">
        <v>34.479737999999998</v>
      </c>
      <c r="L6682" s="405" t="s">
        <v>860</v>
      </c>
      <c r="M6682" s="405" t="s">
        <v>16584</v>
      </c>
      <c r="N6682" s="405" t="s">
        <v>16614</v>
      </c>
      <c r="O6682" s="405" t="s">
        <v>18465</v>
      </c>
      <c r="P6682" s="405" t="s">
        <v>18466</v>
      </c>
      <c r="Q6682" s="411">
        <v>6</v>
      </c>
      <c r="R6682" s="405" t="s">
        <v>5655</v>
      </c>
      <c r="S6682" s="405" t="s">
        <v>27323</v>
      </c>
      <c r="T6682" s="405" t="s">
        <v>32102</v>
      </c>
      <c r="U6682" s="405" t="s">
        <v>319</v>
      </c>
    </row>
    <row r="6683" spans="1:21" x14ac:dyDescent="0.25">
      <c r="A6683" s="405" t="s">
        <v>310</v>
      </c>
      <c r="B6683" s="405" t="s">
        <v>12170</v>
      </c>
      <c r="C6683" s="405" t="s">
        <v>327</v>
      </c>
      <c r="D6683" s="405"/>
      <c r="E6683" s="410">
        <v>41319</v>
      </c>
      <c r="F6683" s="410">
        <v>41364</v>
      </c>
      <c r="G6683" s="405" t="s">
        <v>12171</v>
      </c>
      <c r="H6683" s="405">
        <v>774004826</v>
      </c>
      <c r="I6683" s="405"/>
      <c r="J6683" s="405">
        <v>1.6315649999999999</v>
      </c>
      <c r="K6683" s="405">
        <v>34.014628000000002</v>
      </c>
      <c r="L6683" s="405" t="s">
        <v>6866</v>
      </c>
      <c r="M6683" s="405" t="s">
        <v>10029</v>
      </c>
      <c r="N6683" s="405" t="s">
        <v>10029</v>
      </c>
      <c r="O6683" s="405" t="s">
        <v>10435</v>
      </c>
      <c r="P6683" s="405" t="s">
        <v>12172</v>
      </c>
      <c r="Q6683" s="411">
        <v>6</v>
      </c>
      <c r="R6683" s="405" t="s">
        <v>7224</v>
      </c>
      <c r="S6683" s="405" t="s">
        <v>27298</v>
      </c>
      <c r="T6683" s="405" t="s">
        <v>32102</v>
      </c>
      <c r="U6683" s="405" t="s">
        <v>319</v>
      </c>
    </row>
    <row r="6684" spans="1:21" x14ac:dyDescent="0.25">
      <c r="A6684" s="405" t="s">
        <v>310</v>
      </c>
      <c r="B6684" s="405" t="s">
        <v>27535</v>
      </c>
      <c r="C6684" s="405" t="s">
        <v>327</v>
      </c>
      <c r="D6684" s="405"/>
      <c r="E6684" s="410">
        <v>41317</v>
      </c>
      <c r="F6684" s="410">
        <v>41362</v>
      </c>
      <c r="G6684" s="405" t="s">
        <v>20947</v>
      </c>
      <c r="H6684" s="405">
        <v>772508484</v>
      </c>
      <c r="I6684" s="405"/>
      <c r="J6684" s="405">
        <v>-0.715117</v>
      </c>
      <c r="K6684" s="405">
        <v>29.955338000000001</v>
      </c>
      <c r="L6684" s="405" t="s">
        <v>590</v>
      </c>
      <c r="M6684" s="405" t="s">
        <v>19619</v>
      </c>
      <c r="N6684" s="405" t="s">
        <v>19793</v>
      </c>
      <c r="O6684" s="405" t="s">
        <v>20033</v>
      </c>
      <c r="P6684" s="405" t="s">
        <v>20948</v>
      </c>
      <c r="Q6684" s="411">
        <v>13</v>
      </c>
      <c r="R6684" s="405" t="s">
        <v>353</v>
      </c>
      <c r="S6684" s="405" t="s">
        <v>27051</v>
      </c>
      <c r="T6684" s="405" t="s">
        <v>32102</v>
      </c>
      <c r="U6684" s="405" t="s">
        <v>319</v>
      </c>
    </row>
    <row r="6685" spans="1:21" x14ac:dyDescent="0.25">
      <c r="A6685" s="405" t="s">
        <v>310</v>
      </c>
      <c r="B6685" s="405" t="s">
        <v>3393</v>
      </c>
      <c r="C6685" s="405" t="s">
        <v>327</v>
      </c>
      <c r="D6685" s="405"/>
      <c r="E6685" s="410">
        <v>41317</v>
      </c>
      <c r="F6685" s="410">
        <v>41362</v>
      </c>
      <c r="G6685" s="405" t="s">
        <v>3394</v>
      </c>
      <c r="H6685" s="405">
        <v>701406130</v>
      </c>
      <c r="I6685" s="405"/>
      <c r="J6685" s="405">
        <v>-0.54059199999999996</v>
      </c>
      <c r="K6685" s="405">
        <v>31.643352</v>
      </c>
      <c r="L6685" s="405" t="s">
        <v>314</v>
      </c>
      <c r="M6685" s="405" t="s">
        <v>398</v>
      </c>
      <c r="N6685" s="405" t="s">
        <v>399</v>
      </c>
      <c r="O6685" s="405" t="s">
        <v>740</v>
      </c>
      <c r="P6685" s="405" t="s">
        <v>3395</v>
      </c>
      <c r="Q6685" s="411">
        <v>6</v>
      </c>
      <c r="R6685" s="405" t="s">
        <v>402</v>
      </c>
      <c r="S6685" s="405" t="s">
        <v>27052</v>
      </c>
      <c r="T6685" s="405" t="s">
        <v>32102</v>
      </c>
      <c r="U6685" s="405" t="s">
        <v>319</v>
      </c>
    </row>
    <row r="6686" spans="1:21" x14ac:dyDescent="0.25">
      <c r="A6686" s="405" t="s">
        <v>310</v>
      </c>
      <c r="B6686" s="405" t="s">
        <v>12151</v>
      </c>
      <c r="C6686" s="405" t="s">
        <v>327</v>
      </c>
      <c r="D6686" s="405"/>
      <c r="E6686" s="410">
        <v>41316</v>
      </c>
      <c r="F6686" s="410">
        <v>41361</v>
      </c>
      <c r="G6686" s="405" t="s">
        <v>12152</v>
      </c>
      <c r="H6686" s="405">
        <v>712848183</v>
      </c>
      <c r="I6686" s="405"/>
      <c r="J6686" s="405">
        <v>1.6740379999999999</v>
      </c>
      <c r="K6686" s="405">
        <v>33.025212000000003</v>
      </c>
      <c r="L6686" s="405" t="s">
        <v>6866</v>
      </c>
      <c r="M6686" s="405" t="s">
        <v>12153</v>
      </c>
      <c r="N6686" s="405" t="s">
        <v>12153</v>
      </c>
      <c r="O6686" s="405" t="s">
        <v>12154</v>
      </c>
      <c r="P6686" s="405" t="s">
        <v>12155</v>
      </c>
      <c r="Q6686" s="411">
        <v>9</v>
      </c>
      <c r="R6686" s="405" t="s">
        <v>5655</v>
      </c>
      <c r="S6686" s="405" t="s">
        <v>27336</v>
      </c>
      <c r="T6686" s="405" t="s">
        <v>32102</v>
      </c>
      <c r="U6686" s="405" t="s">
        <v>319</v>
      </c>
    </row>
    <row r="6687" spans="1:21" x14ac:dyDescent="0.25">
      <c r="A6687" s="405" t="s">
        <v>310</v>
      </c>
      <c r="B6687" s="405" t="s">
        <v>3390</v>
      </c>
      <c r="C6687" s="405" t="s">
        <v>327</v>
      </c>
      <c r="D6687" s="405"/>
      <c r="E6687" s="410">
        <v>41316</v>
      </c>
      <c r="F6687" s="410">
        <v>41361</v>
      </c>
      <c r="G6687" s="405" t="s">
        <v>3391</v>
      </c>
      <c r="H6687" s="405">
        <v>752536419</v>
      </c>
      <c r="I6687" s="405"/>
      <c r="J6687" s="405">
        <v>-0.35737799999999997</v>
      </c>
      <c r="K6687" s="405">
        <v>31.671171999999999</v>
      </c>
      <c r="L6687" s="405" t="s">
        <v>314</v>
      </c>
      <c r="M6687" s="405" t="s">
        <v>1189</v>
      </c>
      <c r="N6687" s="405" t="s">
        <v>3392</v>
      </c>
      <c r="O6687" s="405" t="s">
        <v>1418</v>
      </c>
      <c r="P6687" s="405" t="s">
        <v>3319</v>
      </c>
      <c r="Q6687" s="411">
        <v>6</v>
      </c>
      <c r="R6687" s="405" t="s">
        <v>1263</v>
      </c>
      <c r="S6687" s="405" t="s">
        <v>27213</v>
      </c>
      <c r="T6687" s="405" t="s">
        <v>32102</v>
      </c>
      <c r="U6687" s="405" t="s">
        <v>319</v>
      </c>
    </row>
    <row r="6688" spans="1:21" x14ac:dyDescent="0.25">
      <c r="A6688" s="405" t="s">
        <v>310</v>
      </c>
      <c r="B6688" s="405" t="s">
        <v>20939</v>
      </c>
      <c r="C6688" s="405" t="s">
        <v>327</v>
      </c>
      <c r="D6688" s="405"/>
      <c r="E6688" s="410">
        <v>41316</v>
      </c>
      <c r="F6688" s="410">
        <v>41361</v>
      </c>
      <c r="G6688" s="405" t="s">
        <v>20940</v>
      </c>
      <c r="H6688" s="405">
        <v>701314165</v>
      </c>
      <c r="I6688" s="405"/>
      <c r="J6688" s="405">
        <v>-0.54897399999999996</v>
      </c>
      <c r="K6688" s="405">
        <v>30.109613</v>
      </c>
      <c r="L6688" s="405" t="s">
        <v>590</v>
      </c>
      <c r="M6688" s="405" t="s">
        <v>19625</v>
      </c>
      <c r="N6688" s="405" t="s">
        <v>19642</v>
      </c>
      <c r="O6688" s="405" t="s">
        <v>19639</v>
      </c>
      <c r="P6688" s="405" t="s">
        <v>20941</v>
      </c>
      <c r="Q6688" s="411">
        <v>6</v>
      </c>
      <c r="R6688" s="405" t="s">
        <v>883</v>
      </c>
      <c r="S6688" s="405" t="s">
        <v>27408</v>
      </c>
      <c r="T6688" s="405" t="s">
        <v>32102</v>
      </c>
      <c r="U6688" s="405" t="s">
        <v>319</v>
      </c>
    </row>
    <row r="6689" spans="1:21" x14ac:dyDescent="0.25">
      <c r="A6689" s="405" t="s">
        <v>310</v>
      </c>
      <c r="B6689" s="405" t="s">
        <v>18461</v>
      </c>
      <c r="C6689" s="405" t="s">
        <v>327</v>
      </c>
      <c r="D6689" s="405"/>
      <c r="E6689" s="410">
        <v>41316</v>
      </c>
      <c r="F6689" s="410">
        <v>41361</v>
      </c>
      <c r="G6689" s="405" t="s">
        <v>18462</v>
      </c>
      <c r="H6689" s="405">
        <v>784745737</v>
      </c>
      <c r="I6689" s="405"/>
      <c r="J6689" s="405">
        <v>2.5343719999999998</v>
      </c>
      <c r="K6689" s="405">
        <v>34.446738000000003</v>
      </c>
      <c r="L6689" s="405" t="s">
        <v>860</v>
      </c>
      <c r="M6689" s="405" t="s">
        <v>16584</v>
      </c>
      <c r="N6689" s="405" t="s">
        <v>16614</v>
      </c>
      <c r="O6689" s="405" t="s">
        <v>18206</v>
      </c>
      <c r="P6689" s="405" t="s">
        <v>18206</v>
      </c>
      <c r="Q6689" s="411">
        <v>6</v>
      </c>
      <c r="R6689" s="405" t="s">
        <v>7224</v>
      </c>
      <c r="S6689" s="405" t="s">
        <v>27142</v>
      </c>
      <c r="T6689" s="405" t="s">
        <v>32102</v>
      </c>
      <c r="U6689" s="405" t="s">
        <v>319</v>
      </c>
    </row>
    <row r="6690" spans="1:21" x14ac:dyDescent="0.25">
      <c r="A6690" s="405" t="s">
        <v>310</v>
      </c>
      <c r="B6690" s="405" t="s">
        <v>12160</v>
      </c>
      <c r="C6690" s="405" t="s">
        <v>327</v>
      </c>
      <c r="D6690" s="405"/>
      <c r="E6690" s="410">
        <v>41315</v>
      </c>
      <c r="F6690" s="410">
        <v>41360</v>
      </c>
      <c r="G6690" s="405" t="s">
        <v>12161</v>
      </c>
      <c r="H6690" s="405">
        <v>785658239</v>
      </c>
      <c r="I6690" s="405"/>
      <c r="J6690" s="405">
        <v>1.253233</v>
      </c>
      <c r="K6690" s="405">
        <v>33.734057999999997</v>
      </c>
      <c r="L6690" s="405" t="s">
        <v>6866</v>
      </c>
      <c r="M6690" s="405" t="s">
        <v>9509</v>
      </c>
      <c r="N6690" s="405" t="s">
        <v>10036</v>
      </c>
      <c r="O6690" s="405" t="s">
        <v>11285</v>
      </c>
      <c r="P6690" s="405" t="s">
        <v>12162</v>
      </c>
      <c r="Q6690" s="411">
        <v>6</v>
      </c>
      <c r="R6690" s="405" t="s">
        <v>9541</v>
      </c>
      <c r="S6690" s="405" t="s">
        <v>27302</v>
      </c>
      <c r="T6690" s="405" t="s">
        <v>32102</v>
      </c>
      <c r="U6690" s="405" t="s">
        <v>319</v>
      </c>
    </row>
    <row r="6691" spans="1:21" x14ac:dyDescent="0.25">
      <c r="A6691" s="405" t="s">
        <v>310</v>
      </c>
      <c r="B6691" s="405" t="s">
        <v>18473</v>
      </c>
      <c r="C6691" s="405" t="s">
        <v>327</v>
      </c>
      <c r="D6691" s="405"/>
      <c r="E6691" s="410">
        <v>41315</v>
      </c>
      <c r="F6691" s="410">
        <v>41360</v>
      </c>
      <c r="G6691" s="405" t="s">
        <v>18474</v>
      </c>
      <c r="H6691" s="405">
        <v>789577948</v>
      </c>
      <c r="I6691" s="405"/>
      <c r="J6691" s="405">
        <v>2.3683879999999999</v>
      </c>
      <c r="K6691" s="405">
        <v>34.528398000000003</v>
      </c>
      <c r="L6691" s="405" t="s">
        <v>860</v>
      </c>
      <c r="M6691" s="405" t="s">
        <v>16584</v>
      </c>
      <c r="N6691" s="405" t="s">
        <v>16614</v>
      </c>
      <c r="O6691" s="405" t="s">
        <v>16586</v>
      </c>
      <c r="P6691" s="405" t="s">
        <v>18475</v>
      </c>
      <c r="Q6691" s="411">
        <v>6</v>
      </c>
      <c r="R6691" s="405" t="s">
        <v>5655</v>
      </c>
      <c r="S6691" s="405" t="s">
        <v>27322</v>
      </c>
      <c r="T6691" s="405" t="s">
        <v>32102</v>
      </c>
      <c r="U6691" s="405" t="s">
        <v>319</v>
      </c>
    </row>
    <row r="6692" spans="1:21" x14ac:dyDescent="0.25">
      <c r="A6692" s="405" t="s">
        <v>310</v>
      </c>
      <c r="B6692" s="405" t="s">
        <v>18467</v>
      </c>
      <c r="C6692" s="405" t="s">
        <v>327</v>
      </c>
      <c r="D6692" s="405"/>
      <c r="E6692" s="410">
        <v>41315</v>
      </c>
      <c r="F6692" s="410">
        <v>41360</v>
      </c>
      <c r="G6692" s="405" t="s">
        <v>18468</v>
      </c>
      <c r="H6692" s="405">
        <v>787905849</v>
      </c>
      <c r="I6692" s="405"/>
      <c r="J6692" s="405">
        <v>2.4446620000000001</v>
      </c>
      <c r="K6692" s="405">
        <v>34.477958000000001</v>
      </c>
      <c r="L6692" s="405" t="s">
        <v>860</v>
      </c>
      <c r="M6692" s="405" t="s">
        <v>16584</v>
      </c>
      <c r="N6692" s="405" t="s">
        <v>16614</v>
      </c>
      <c r="O6692" s="405" t="s">
        <v>18465</v>
      </c>
      <c r="P6692" s="405" t="s">
        <v>18469</v>
      </c>
      <c r="Q6692" s="411">
        <v>6</v>
      </c>
      <c r="R6692" s="405" t="s">
        <v>9541</v>
      </c>
      <c r="S6692" s="405" t="s">
        <v>27294</v>
      </c>
      <c r="T6692" s="405" t="s">
        <v>32102</v>
      </c>
      <c r="U6692" s="405" t="s">
        <v>319</v>
      </c>
    </row>
    <row r="6693" spans="1:21" x14ac:dyDescent="0.25">
      <c r="A6693" s="405" t="s">
        <v>310</v>
      </c>
      <c r="B6693" s="405" t="s">
        <v>27675</v>
      </c>
      <c r="C6693" s="405" t="s">
        <v>327</v>
      </c>
      <c r="D6693" s="405"/>
      <c r="E6693" s="410">
        <v>41314</v>
      </c>
      <c r="F6693" s="410">
        <v>41359</v>
      </c>
      <c r="G6693" s="405" t="s">
        <v>18460</v>
      </c>
      <c r="H6693" s="405">
        <v>772253290</v>
      </c>
      <c r="I6693" s="405"/>
      <c r="J6693" s="405">
        <v>2.556422</v>
      </c>
      <c r="K6693" s="405">
        <v>34.369791999999997</v>
      </c>
      <c r="L6693" s="405" t="s">
        <v>860</v>
      </c>
      <c r="M6693" s="405" t="s">
        <v>16584</v>
      </c>
      <c r="N6693" s="405" t="s">
        <v>16614</v>
      </c>
      <c r="O6693" s="405" t="s">
        <v>18206</v>
      </c>
      <c r="P6693" s="405" t="s">
        <v>18206</v>
      </c>
      <c r="Q6693" s="411">
        <v>6</v>
      </c>
      <c r="R6693" s="405" t="s">
        <v>7224</v>
      </c>
      <c r="S6693" s="405" t="s">
        <v>27306</v>
      </c>
      <c r="T6693" s="405" t="s">
        <v>32102</v>
      </c>
      <c r="U6693" s="405" t="s">
        <v>319</v>
      </c>
    </row>
    <row r="6694" spans="1:21" x14ac:dyDescent="0.25">
      <c r="A6694" s="405" t="s">
        <v>310</v>
      </c>
      <c r="B6694" s="405" t="s">
        <v>27690</v>
      </c>
      <c r="C6694" s="405" t="s">
        <v>327</v>
      </c>
      <c r="D6694" s="405"/>
      <c r="E6694" s="410">
        <v>41314</v>
      </c>
      <c r="F6694" s="410">
        <v>41359</v>
      </c>
      <c r="G6694" s="405" t="s">
        <v>20958</v>
      </c>
      <c r="H6694" s="405">
        <v>702552132</v>
      </c>
      <c r="I6694" s="405"/>
      <c r="J6694" s="405">
        <v>-0.46717399999999998</v>
      </c>
      <c r="K6694" s="405">
        <v>30.424517000000002</v>
      </c>
      <c r="L6694" s="405" t="s">
        <v>590</v>
      </c>
      <c r="M6694" s="405" t="s">
        <v>19725</v>
      </c>
      <c r="N6694" s="405" t="s">
        <v>19725</v>
      </c>
      <c r="O6694" s="405" t="s">
        <v>20611</v>
      </c>
      <c r="P6694" s="405" t="s">
        <v>20959</v>
      </c>
      <c r="Q6694" s="411">
        <v>6</v>
      </c>
      <c r="R6694" s="405" t="s">
        <v>874</v>
      </c>
      <c r="S6694" s="405" t="s">
        <v>27271</v>
      </c>
      <c r="T6694" s="405" t="s">
        <v>32102</v>
      </c>
      <c r="U6694" s="405" t="s">
        <v>319</v>
      </c>
    </row>
    <row r="6695" spans="1:21" x14ac:dyDescent="0.25">
      <c r="A6695" s="405" t="s">
        <v>310</v>
      </c>
      <c r="B6695" s="405" t="s">
        <v>28574</v>
      </c>
      <c r="C6695" s="405" t="s">
        <v>327</v>
      </c>
      <c r="D6695" s="405"/>
      <c r="E6695" s="410">
        <v>41314</v>
      </c>
      <c r="F6695" s="410">
        <v>41359</v>
      </c>
      <c r="G6695" s="405" t="s">
        <v>3376</v>
      </c>
      <c r="H6695" s="405">
        <v>782944797</v>
      </c>
      <c r="I6695" s="405">
        <v>755944797</v>
      </c>
      <c r="J6695" s="405">
        <v>0.25140800000000002</v>
      </c>
      <c r="K6695" s="405">
        <v>31.892067000000001</v>
      </c>
      <c r="L6695" s="405" t="s">
        <v>314</v>
      </c>
      <c r="M6695" s="405" t="s">
        <v>675</v>
      </c>
      <c r="N6695" s="405" t="s">
        <v>676</v>
      </c>
      <c r="O6695" s="405" t="s">
        <v>1921</v>
      </c>
      <c r="P6695" s="405" t="s">
        <v>1921</v>
      </c>
      <c r="Q6695" s="411">
        <v>6</v>
      </c>
      <c r="R6695" s="405" t="s">
        <v>438</v>
      </c>
      <c r="S6695" s="405" t="s">
        <v>27131</v>
      </c>
      <c r="T6695" s="405" t="s">
        <v>32102</v>
      </c>
      <c r="U6695" s="405" t="s">
        <v>319</v>
      </c>
    </row>
    <row r="6696" spans="1:21" x14ac:dyDescent="0.25">
      <c r="A6696" s="405" t="s">
        <v>310</v>
      </c>
      <c r="B6696" s="405" t="s">
        <v>20955</v>
      </c>
      <c r="C6696" s="405" t="s">
        <v>327</v>
      </c>
      <c r="D6696" s="405"/>
      <c r="E6696" s="410">
        <v>41313</v>
      </c>
      <c r="F6696" s="410">
        <v>41358</v>
      </c>
      <c r="G6696" s="405" t="s">
        <v>20956</v>
      </c>
      <c r="H6696" s="405">
        <v>783309323</v>
      </c>
      <c r="I6696" s="405"/>
      <c r="J6696" s="405">
        <v>1.0791200000000001</v>
      </c>
      <c r="K6696" s="405">
        <v>30.914625000000001</v>
      </c>
      <c r="L6696" s="405" t="s">
        <v>590</v>
      </c>
      <c r="M6696" s="405" t="s">
        <v>7488</v>
      </c>
      <c r="N6696" s="405" t="s">
        <v>20804</v>
      </c>
      <c r="O6696" s="405" t="s">
        <v>15979</v>
      </c>
      <c r="P6696" s="405" t="s">
        <v>20957</v>
      </c>
      <c r="Q6696" s="411">
        <v>6</v>
      </c>
      <c r="R6696" s="405" t="s">
        <v>525</v>
      </c>
      <c r="S6696" s="405" t="s">
        <v>22481</v>
      </c>
      <c r="T6696" s="405" t="s">
        <v>32102</v>
      </c>
      <c r="U6696" s="405" t="s">
        <v>319</v>
      </c>
    </row>
    <row r="6697" spans="1:21" x14ac:dyDescent="0.25">
      <c r="A6697" s="405" t="s">
        <v>310</v>
      </c>
      <c r="B6697" s="405" t="s">
        <v>12146</v>
      </c>
      <c r="C6697" s="405" t="s">
        <v>327</v>
      </c>
      <c r="D6697" s="405"/>
      <c r="E6697" s="410">
        <v>41313</v>
      </c>
      <c r="F6697" s="410">
        <v>41358</v>
      </c>
      <c r="G6697" s="405" t="s">
        <v>12147</v>
      </c>
      <c r="H6697" s="405">
        <v>780735209</v>
      </c>
      <c r="I6697" s="405"/>
      <c r="J6697" s="405">
        <v>1.566173</v>
      </c>
      <c r="K6697" s="405">
        <v>33.952528000000001</v>
      </c>
      <c r="L6697" s="405" t="s">
        <v>6866</v>
      </c>
      <c r="M6697" s="405" t="s">
        <v>10029</v>
      </c>
      <c r="N6697" s="405" t="s">
        <v>10029</v>
      </c>
      <c r="O6697" s="405" t="s">
        <v>10435</v>
      </c>
      <c r="P6697" s="405" t="s">
        <v>12148</v>
      </c>
      <c r="Q6697" s="411">
        <v>6</v>
      </c>
      <c r="R6697" s="405" t="s">
        <v>7224</v>
      </c>
      <c r="S6697" s="405" t="s">
        <v>27298</v>
      </c>
      <c r="T6697" s="405" t="s">
        <v>32102</v>
      </c>
      <c r="U6697" s="405" t="s">
        <v>319</v>
      </c>
    </row>
    <row r="6698" spans="1:21" x14ac:dyDescent="0.25">
      <c r="A6698" s="405" t="s">
        <v>310</v>
      </c>
      <c r="B6698" s="405" t="s">
        <v>28487</v>
      </c>
      <c r="C6698" s="405" t="s">
        <v>327</v>
      </c>
      <c r="D6698" s="405"/>
      <c r="E6698" s="410">
        <v>41312</v>
      </c>
      <c r="F6698" s="410">
        <v>41357</v>
      </c>
      <c r="G6698" s="405" t="s">
        <v>20952</v>
      </c>
      <c r="H6698" s="405">
        <v>772556287</v>
      </c>
      <c r="I6698" s="405"/>
      <c r="J6698" s="405">
        <v>1.7705445</v>
      </c>
      <c r="K6698" s="405">
        <v>31.834380299999999</v>
      </c>
      <c r="L6698" s="405" t="s">
        <v>590</v>
      </c>
      <c r="M6698" s="405" t="s">
        <v>19608</v>
      </c>
      <c r="N6698" s="405" t="s">
        <v>19609</v>
      </c>
      <c r="O6698" s="405" t="s">
        <v>20953</v>
      </c>
      <c r="P6698" s="405" t="s">
        <v>20954</v>
      </c>
      <c r="Q6698" s="411">
        <v>9</v>
      </c>
      <c r="R6698" s="405" t="s">
        <v>318</v>
      </c>
      <c r="S6698" s="405" t="s">
        <v>27126</v>
      </c>
      <c r="T6698" s="405" t="s">
        <v>32102</v>
      </c>
      <c r="U6698" s="405" t="s">
        <v>319</v>
      </c>
    </row>
    <row r="6699" spans="1:21" x14ac:dyDescent="0.25">
      <c r="A6699" s="405" t="s">
        <v>310</v>
      </c>
      <c r="B6699" s="405" t="s">
        <v>18738</v>
      </c>
      <c r="C6699" s="405" t="s">
        <v>311</v>
      </c>
      <c r="D6699" s="405" t="s">
        <v>1789</v>
      </c>
      <c r="E6699" s="410">
        <v>41312</v>
      </c>
      <c r="F6699" s="410">
        <v>41357</v>
      </c>
      <c r="G6699" s="405" t="s">
        <v>18739</v>
      </c>
      <c r="H6699" s="405">
        <v>789596562</v>
      </c>
      <c r="I6699" s="405">
        <v>778423016</v>
      </c>
      <c r="J6699" s="405">
        <v>2.7849849999999998</v>
      </c>
      <c r="K6699" s="405">
        <v>32.293885000000003</v>
      </c>
      <c r="L6699" s="405" t="s">
        <v>860</v>
      </c>
      <c r="M6699" s="405" t="s">
        <v>853</v>
      </c>
      <c r="N6699" s="405" t="s">
        <v>18246</v>
      </c>
      <c r="O6699" s="405" t="s">
        <v>18740</v>
      </c>
      <c r="P6699" s="405" t="s">
        <v>18737</v>
      </c>
      <c r="Q6699" s="411">
        <v>6</v>
      </c>
      <c r="R6699" s="405" t="s">
        <v>994</v>
      </c>
      <c r="S6699" s="405" t="s">
        <v>27162</v>
      </c>
      <c r="T6699" s="405" t="s">
        <v>32102</v>
      </c>
      <c r="U6699" s="405" t="s">
        <v>319</v>
      </c>
    </row>
    <row r="6700" spans="1:21" x14ac:dyDescent="0.25">
      <c r="A6700" s="405" t="s">
        <v>310</v>
      </c>
      <c r="B6700" s="405" t="s">
        <v>12156</v>
      </c>
      <c r="C6700" s="405" t="s">
        <v>327</v>
      </c>
      <c r="D6700" s="405"/>
      <c r="E6700" s="410">
        <v>41311</v>
      </c>
      <c r="F6700" s="410">
        <v>41356</v>
      </c>
      <c r="G6700" s="405" t="s">
        <v>12157</v>
      </c>
      <c r="H6700" s="405">
        <v>782423752</v>
      </c>
      <c r="I6700" s="405"/>
      <c r="J6700" s="405">
        <v>0.36336499999999999</v>
      </c>
      <c r="K6700" s="405">
        <v>33.891897999999998</v>
      </c>
      <c r="L6700" s="405" t="s">
        <v>6866</v>
      </c>
      <c r="M6700" s="405" t="s">
        <v>5437</v>
      </c>
      <c r="N6700" s="405" t="s">
        <v>11071</v>
      </c>
      <c r="O6700" s="405" t="s">
        <v>12158</v>
      </c>
      <c r="P6700" s="405" t="s">
        <v>12159</v>
      </c>
      <c r="Q6700" s="411">
        <v>6</v>
      </c>
      <c r="R6700" s="405" t="s">
        <v>7224</v>
      </c>
      <c r="S6700" s="405" t="s">
        <v>27204</v>
      </c>
      <c r="T6700" s="405" t="s">
        <v>32102</v>
      </c>
      <c r="U6700" s="405" t="s">
        <v>319</v>
      </c>
    </row>
    <row r="6701" spans="1:21" x14ac:dyDescent="0.25">
      <c r="A6701" s="405" t="s">
        <v>310</v>
      </c>
      <c r="B6701" s="405" t="s">
        <v>28774</v>
      </c>
      <c r="C6701" s="405" t="s">
        <v>327</v>
      </c>
      <c r="D6701" s="405"/>
      <c r="E6701" s="410">
        <v>41311</v>
      </c>
      <c r="F6701" s="410">
        <v>41356</v>
      </c>
      <c r="G6701" s="405" t="s">
        <v>12149</v>
      </c>
      <c r="H6701" s="405">
        <v>752307025</v>
      </c>
      <c r="I6701" s="405"/>
      <c r="J6701" s="405">
        <v>1.569007</v>
      </c>
      <c r="K6701" s="405">
        <v>34.04186</v>
      </c>
      <c r="L6701" s="405" t="s">
        <v>6866</v>
      </c>
      <c r="M6701" s="405" t="s">
        <v>10029</v>
      </c>
      <c r="N6701" s="405" t="s">
        <v>10029</v>
      </c>
      <c r="O6701" s="405" t="s">
        <v>10435</v>
      </c>
      <c r="P6701" s="405" t="s">
        <v>12150</v>
      </c>
      <c r="Q6701" s="411">
        <v>4</v>
      </c>
      <c r="R6701" s="405" t="s">
        <v>7224</v>
      </c>
      <c r="S6701" s="405" t="s">
        <v>27190</v>
      </c>
      <c r="T6701" s="405" t="s">
        <v>32102</v>
      </c>
      <c r="U6701" s="405" t="s">
        <v>319</v>
      </c>
    </row>
    <row r="6702" spans="1:21" x14ac:dyDescent="0.25">
      <c r="A6702" s="405" t="s">
        <v>310</v>
      </c>
      <c r="B6702" s="405" t="s">
        <v>18470</v>
      </c>
      <c r="C6702" s="405" t="s">
        <v>327</v>
      </c>
      <c r="D6702" s="405"/>
      <c r="E6702" s="410">
        <v>41310</v>
      </c>
      <c r="F6702" s="410">
        <v>41355</v>
      </c>
      <c r="G6702" s="405" t="s">
        <v>18471</v>
      </c>
      <c r="H6702" s="405">
        <v>782614122</v>
      </c>
      <c r="I6702" s="405"/>
      <c r="J6702" s="405">
        <v>2.3844129999999999</v>
      </c>
      <c r="K6702" s="405">
        <v>34.508997000000001</v>
      </c>
      <c r="L6702" s="405" t="s">
        <v>860</v>
      </c>
      <c r="M6702" s="405" t="s">
        <v>16584</v>
      </c>
      <c r="N6702" s="405" t="s">
        <v>16614</v>
      </c>
      <c r="O6702" s="405" t="s">
        <v>16586</v>
      </c>
      <c r="P6702" s="405" t="s">
        <v>18472</v>
      </c>
      <c r="Q6702" s="411">
        <v>6</v>
      </c>
      <c r="R6702" s="405" t="s">
        <v>9541</v>
      </c>
      <c r="S6702" s="405" t="s">
        <v>27086</v>
      </c>
      <c r="T6702" s="405" t="s">
        <v>32102</v>
      </c>
      <c r="U6702" s="405" t="s">
        <v>319</v>
      </c>
    </row>
    <row r="6703" spans="1:21" x14ac:dyDescent="0.25">
      <c r="A6703" s="405" t="s">
        <v>310</v>
      </c>
      <c r="B6703" s="405" t="s">
        <v>18479</v>
      </c>
      <c r="C6703" s="405" t="s">
        <v>327</v>
      </c>
      <c r="D6703" s="405"/>
      <c r="E6703" s="410">
        <v>41310</v>
      </c>
      <c r="F6703" s="410">
        <v>41355</v>
      </c>
      <c r="G6703" s="405" t="s">
        <v>18480</v>
      </c>
      <c r="H6703" s="405">
        <v>789052343</v>
      </c>
      <c r="I6703" s="405">
        <v>784803336</v>
      </c>
      <c r="J6703" s="405">
        <v>2.4330660000000002</v>
      </c>
      <c r="K6703" s="405">
        <v>32.801698999999999</v>
      </c>
      <c r="L6703" s="405" t="s">
        <v>860</v>
      </c>
      <c r="M6703" s="405" t="s">
        <v>18288</v>
      </c>
      <c r="N6703" s="405" t="s">
        <v>18481</v>
      </c>
      <c r="O6703" s="405" t="s">
        <v>18482</v>
      </c>
      <c r="P6703" s="405" t="s">
        <v>18483</v>
      </c>
      <c r="Q6703" s="411">
        <v>6</v>
      </c>
      <c r="R6703" s="405" t="s">
        <v>353</v>
      </c>
      <c r="S6703" s="405" t="s">
        <v>27246</v>
      </c>
      <c r="T6703" s="405" t="s">
        <v>32102</v>
      </c>
      <c r="U6703" s="405" t="s">
        <v>319</v>
      </c>
    </row>
    <row r="6704" spans="1:21" x14ac:dyDescent="0.25">
      <c r="A6704" s="405" t="s">
        <v>310</v>
      </c>
      <c r="B6704" s="405" t="s">
        <v>28826</v>
      </c>
      <c r="C6704" s="405" t="s">
        <v>327</v>
      </c>
      <c r="D6704" s="405"/>
      <c r="E6704" s="410">
        <v>41310</v>
      </c>
      <c r="F6704" s="410">
        <v>41355</v>
      </c>
      <c r="G6704" s="405" t="s">
        <v>12141</v>
      </c>
      <c r="H6704" s="405">
        <v>779065074</v>
      </c>
      <c r="I6704" s="405"/>
      <c r="J6704" s="405">
        <v>0.81393300000000002</v>
      </c>
      <c r="K6704" s="405">
        <v>34.329202000000002</v>
      </c>
      <c r="L6704" s="405" t="s">
        <v>6866</v>
      </c>
      <c r="M6704" s="405" t="s">
        <v>9763</v>
      </c>
      <c r="N6704" s="405" t="s">
        <v>9848</v>
      </c>
      <c r="O6704" s="405" t="s">
        <v>9993</v>
      </c>
      <c r="P6704" s="405" t="s">
        <v>12142</v>
      </c>
      <c r="Q6704" s="411">
        <v>4</v>
      </c>
      <c r="R6704" s="405" t="s">
        <v>7224</v>
      </c>
      <c r="S6704" s="405" t="s">
        <v>27074</v>
      </c>
      <c r="T6704" s="405" t="s">
        <v>32102</v>
      </c>
      <c r="U6704" s="405" t="s">
        <v>319</v>
      </c>
    </row>
    <row r="6705" spans="1:21" x14ac:dyDescent="0.25">
      <c r="A6705" s="405" t="s">
        <v>310</v>
      </c>
      <c r="B6705" s="405" t="s">
        <v>12163</v>
      </c>
      <c r="C6705" s="405" t="s">
        <v>327</v>
      </c>
      <c r="D6705" s="405"/>
      <c r="E6705" s="410">
        <v>41309</v>
      </c>
      <c r="F6705" s="410">
        <v>41354</v>
      </c>
      <c r="G6705" s="405" t="s">
        <v>12164</v>
      </c>
      <c r="H6705" s="405">
        <v>704670484</v>
      </c>
      <c r="I6705" s="405">
        <v>704670484</v>
      </c>
      <c r="J6705" s="405">
        <v>1.0172600000000001</v>
      </c>
      <c r="K6705" s="405">
        <v>33.884467000000001</v>
      </c>
      <c r="L6705" s="405" t="s">
        <v>6866</v>
      </c>
      <c r="M6705" s="405" t="s">
        <v>10152</v>
      </c>
      <c r="N6705" s="405" t="s">
        <v>10153</v>
      </c>
      <c r="O6705" s="405" t="s">
        <v>12165</v>
      </c>
      <c r="P6705" s="405" t="s">
        <v>12165</v>
      </c>
      <c r="Q6705" s="411">
        <v>12</v>
      </c>
      <c r="R6705" s="405" t="s">
        <v>9541</v>
      </c>
      <c r="S6705" s="405" t="s">
        <v>27314</v>
      </c>
      <c r="T6705" s="405" t="s">
        <v>32102</v>
      </c>
      <c r="U6705" s="405" t="s">
        <v>319</v>
      </c>
    </row>
    <row r="6706" spans="1:21" x14ac:dyDescent="0.25">
      <c r="A6706" s="405" t="s">
        <v>310</v>
      </c>
      <c r="B6706" s="405" t="s">
        <v>18476</v>
      </c>
      <c r="C6706" s="405" t="s">
        <v>327</v>
      </c>
      <c r="D6706" s="405"/>
      <c r="E6706" s="410">
        <v>41309</v>
      </c>
      <c r="F6706" s="410">
        <v>41354</v>
      </c>
      <c r="G6706" s="405" t="s">
        <v>18477</v>
      </c>
      <c r="H6706" s="405">
        <v>752207575</v>
      </c>
      <c r="I6706" s="405"/>
      <c r="J6706" s="405">
        <v>2.2142439999999999</v>
      </c>
      <c r="K6706" s="405">
        <v>32.882776999999997</v>
      </c>
      <c r="L6706" s="405" t="s">
        <v>860</v>
      </c>
      <c r="M6706" s="405" t="s">
        <v>18234</v>
      </c>
      <c r="N6706" s="405" t="s">
        <v>18252</v>
      </c>
      <c r="O6706" s="405" t="s">
        <v>18253</v>
      </c>
      <c r="P6706" s="405" t="s">
        <v>18478</v>
      </c>
      <c r="Q6706" s="411">
        <v>6</v>
      </c>
      <c r="R6706" s="405" t="s">
        <v>525</v>
      </c>
      <c r="S6706" s="405" t="s">
        <v>27243</v>
      </c>
      <c r="T6706" s="405" t="s">
        <v>32102</v>
      </c>
      <c r="U6706" s="405" t="s">
        <v>319</v>
      </c>
    </row>
    <row r="6707" spans="1:21" x14ac:dyDescent="0.25">
      <c r="A6707" s="405" t="s">
        <v>310</v>
      </c>
      <c r="B6707" s="405" t="s">
        <v>28099</v>
      </c>
      <c r="C6707" s="405" t="s">
        <v>327</v>
      </c>
      <c r="D6707" s="405"/>
      <c r="E6707" s="410">
        <v>41309</v>
      </c>
      <c r="F6707" s="410">
        <v>41354</v>
      </c>
      <c r="G6707" s="405" t="s">
        <v>12173</v>
      </c>
      <c r="H6707" s="405">
        <v>789159917</v>
      </c>
      <c r="I6707" s="405"/>
      <c r="J6707" s="405">
        <v>0.52154299999999998</v>
      </c>
      <c r="K6707" s="405">
        <v>34.088841000000002</v>
      </c>
      <c r="L6707" s="405" t="s">
        <v>6866</v>
      </c>
      <c r="M6707" s="405" t="s">
        <v>10390</v>
      </c>
      <c r="N6707" s="405" t="s">
        <v>12174</v>
      </c>
      <c r="O6707" s="405" t="s">
        <v>12103</v>
      </c>
      <c r="P6707" s="405" t="s">
        <v>12175</v>
      </c>
      <c r="Q6707" s="411">
        <v>4</v>
      </c>
      <c r="R6707" s="405" t="s">
        <v>7224</v>
      </c>
      <c r="S6707" s="405" t="s">
        <v>27204</v>
      </c>
      <c r="T6707" s="405" t="s">
        <v>32102</v>
      </c>
      <c r="U6707" s="405" t="s">
        <v>319</v>
      </c>
    </row>
    <row r="6708" spans="1:21" x14ac:dyDescent="0.25">
      <c r="A6708" s="405" t="s">
        <v>310</v>
      </c>
      <c r="B6708" s="405" t="s">
        <v>28654</v>
      </c>
      <c r="C6708" s="405" t="s">
        <v>311</v>
      </c>
      <c r="D6708" s="405" t="s">
        <v>839</v>
      </c>
      <c r="E6708" s="410">
        <v>41308</v>
      </c>
      <c r="F6708" s="410">
        <v>41353</v>
      </c>
      <c r="G6708" s="405" t="s">
        <v>12568</v>
      </c>
      <c r="H6708" s="405">
        <v>774353477</v>
      </c>
      <c r="I6708" s="405"/>
      <c r="J6708" s="405">
        <v>1.0809200000000001</v>
      </c>
      <c r="K6708" s="405">
        <v>33.790277000000003</v>
      </c>
      <c r="L6708" s="405" t="s">
        <v>6866</v>
      </c>
      <c r="M6708" s="405" t="s">
        <v>10152</v>
      </c>
      <c r="N6708" s="405" t="s">
        <v>10152</v>
      </c>
      <c r="O6708" s="405" t="s">
        <v>12278</v>
      </c>
      <c r="P6708" s="405" t="s">
        <v>12569</v>
      </c>
      <c r="Q6708" s="411">
        <v>6</v>
      </c>
      <c r="R6708" s="405" t="s">
        <v>9541</v>
      </c>
      <c r="S6708" s="405" t="s">
        <v>27302</v>
      </c>
      <c r="T6708" s="405" t="s">
        <v>32102</v>
      </c>
      <c r="U6708" s="405" t="s">
        <v>319</v>
      </c>
    </row>
    <row r="6709" spans="1:21" x14ac:dyDescent="0.25">
      <c r="A6709" s="405" t="s">
        <v>310</v>
      </c>
      <c r="B6709" s="405" t="s">
        <v>27602</v>
      </c>
      <c r="C6709" s="405" t="s">
        <v>327</v>
      </c>
      <c r="D6709" s="405"/>
      <c r="E6709" s="410">
        <v>41307</v>
      </c>
      <c r="F6709" s="410">
        <v>41352</v>
      </c>
      <c r="G6709" s="405" t="s">
        <v>18454</v>
      </c>
      <c r="H6709" s="405">
        <v>773235754</v>
      </c>
      <c r="I6709" s="405">
        <v>772898994</v>
      </c>
      <c r="J6709" s="405">
        <v>2.0247289999999998</v>
      </c>
      <c r="K6709" s="405">
        <v>33.002046999999997</v>
      </c>
      <c r="L6709" s="405" t="s">
        <v>860</v>
      </c>
      <c r="M6709" s="405" t="s">
        <v>12189</v>
      </c>
      <c r="N6709" s="405" t="s">
        <v>18294</v>
      </c>
      <c r="O6709" s="405" t="s">
        <v>18271</v>
      </c>
      <c r="P6709" s="405" t="s">
        <v>18427</v>
      </c>
      <c r="Q6709" s="411">
        <v>13</v>
      </c>
      <c r="R6709" s="405" t="s">
        <v>994</v>
      </c>
      <c r="S6709" s="405" t="s">
        <v>27079</v>
      </c>
      <c r="T6709" s="405" t="s">
        <v>32102</v>
      </c>
      <c r="U6709" s="405" t="s">
        <v>319</v>
      </c>
    </row>
    <row r="6710" spans="1:21" x14ac:dyDescent="0.25">
      <c r="A6710" s="405" t="s">
        <v>310</v>
      </c>
      <c r="B6710" s="405" t="s">
        <v>18450</v>
      </c>
      <c r="C6710" s="405" t="s">
        <v>327</v>
      </c>
      <c r="D6710" s="405"/>
      <c r="E6710" s="410">
        <v>41307</v>
      </c>
      <c r="F6710" s="410">
        <v>41352</v>
      </c>
      <c r="G6710" s="405" t="s">
        <v>18451</v>
      </c>
      <c r="H6710" s="405">
        <v>753300412</v>
      </c>
      <c r="I6710" s="405"/>
      <c r="J6710" s="405">
        <v>2.1519119999999998</v>
      </c>
      <c r="K6710" s="405">
        <v>32.896160999999999</v>
      </c>
      <c r="L6710" s="405" t="s">
        <v>860</v>
      </c>
      <c r="M6710" s="405" t="s">
        <v>18288</v>
      </c>
      <c r="N6710" s="405" t="s">
        <v>18289</v>
      </c>
      <c r="O6710" s="405" t="s">
        <v>18452</v>
      </c>
      <c r="P6710" s="405" t="s">
        <v>18453</v>
      </c>
      <c r="Q6710" s="411">
        <v>13</v>
      </c>
      <c r="R6710" s="405" t="s">
        <v>525</v>
      </c>
      <c r="S6710" s="405" t="s">
        <v>27243</v>
      </c>
      <c r="T6710" s="405" t="s">
        <v>32102</v>
      </c>
      <c r="U6710" s="405" t="s">
        <v>319</v>
      </c>
    </row>
    <row r="6711" spans="1:21" x14ac:dyDescent="0.25">
      <c r="A6711" s="405" t="s">
        <v>310</v>
      </c>
      <c r="B6711" s="405" t="s">
        <v>18457</v>
      </c>
      <c r="C6711" s="405" t="s">
        <v>327</v>
      </c>
      <c r="D6711" s="405"/>
      <c r="E6711" s="410">
        <v>41307</v>
      </c>
      <c r="F6711" s="410">
        <v>41352</v>
      </c>
      <c r="G6711" s="405" t="s">
        <v>18458</v>
      </c>
      <c r="H6711" s="405">
        <v>781708161</v>
      </c>
      <c r="I6711" s="405">
        <v>772349520</v>
      </c>
      <c r="J6711" s="405">
        <v>2.2639533333333333</v>
      </c>
      <c r="K6711" s="405">
        <v>32.918945000000001</v>
      </c>
      <c r="L6711" s="405" t="s">
        <v>860</v>
      </c>
      <c r="M6711" s="405" t="s">
        <v>18234</v>
      </c>
      <c r="N6711" s="405" t="s">
        <v>18235</v>
      </c>
      <c r="O6711" s="405" t="s">
        <v>18420</v>
      </c>
      <c r="P6711" s="405" t="s">
        <v>18459</v>
      </c>
      <c r="Q6711" s="411">
        <v>6</v>
      </c>
      <c r="R6711" s="405" t="s">
        <v>525</v>
      </c>
      <c r="S6711" s="405" t="s">
        <v>27243</v>
      </c>
      <c r="T6711" s="405" t="s">
        <v>32102</v>
      </c>
      <c r="U6711" s="405" t="s">
        <v>319</v>
      </c>
    </row>
    <row r="6712" spans="1:21" x14ac:dyDescent="0.25">
      <c r="A6712" s="405" t="s">
        <v>310</v>
      </c>
      <c r="B6712" s="405" t="s">
        <v>18734</v>
      </c>
      <c r="C6712" s="405" t="s">
        <v>327</v>
      </c>
      <c r="D6712" s="405"/>
      <c r="E6712" s="410">
        <v>41307</v>
      </c>
      <c r="F6712" s="410">
        <v>41352</v>
      </c>
      <c r="G6712" s="405" t="s">
        <v>18735</v>
      </c>
      <c r="H6712" s="405">
        <v>777104042</v>
      </c>
      <c r="I6712" s="405"/>
      <c r="J6712" s="405">
        <v>2.7849200000000001</v>
      </c>
      <c r="K6712" s="405">
        <v>32.294325999999998</v>
      </c>
      <c r="L6712" s="405" t="s">
        <v>860</v>
      </c>
      <c r="M6712" s="405" t="s">
        <v>853</v>
      </c>
      <c r="N6712" s="405" t="s">
        <v>18246</v>
      </c>
      <c r="O6712" s="405" t="s">
        <v>18736</v>
      </c>
      <c r="P6712" s="405" t="s">
        <v>18737</v>
      </c>
      <c r="Q6712" s="411">
        <v>6</v>
      </c>
      <c r="R6712" s="405" t="s">
        <v>994</v>
      </c>
      <c r="S6712" s="405" t="s">
        <v>27162</v>
      </c>
      <c r="T6712" s="405" t="s">
        <v>32102</v>
      </c>
      <c r="U6712" s="405" t="s">
        <v>319</v>
      </c>
    </row>
    <row r="6713" spans="1:21" x14ac:dyDescent="0.25">
      <c r="A6713" s="405" t="s">
        <v>310</v>
      </c>
      <c r="B6713" s="405" t="s">
        <v>28086</v>
      </c>
      <c r="C6713" s="405" t="s">
        <v>327</v>
      </c>
      <c r="D6713" s="405"/>
      <c r="E6713" s="410">
        <v>41306</v>
      </c>
      <c r="F6713" s="410">
        <v>41351</v>
      </c>
      <c r="G6713" s="405" t="s">
        <v>3909</v>
      </c>
      <c r="H6713" s="405">
        <v>772348278</v>
      </c>
      <c r="I6713" s="405"/>
      <c r="J6713" s="405">
        <v>0.222277</v>
      </c>
      <c r="K6713" s="405">
        <v>32.070264999999999</v>
      </c>
      <c r="L6713" s="405" t="s">
        <v>314</v>
      </c>
      <c r="M6713" s="405" t="s">
        <v>339</v>
      </c>
      <c r="N6713" s="405" t="s">
        <v>339</v>
      </c>
      <c r="O6713" s="405" t="s">
        <v>2272</v>
      </c>
      <c r="P6713" s="405" t="s">
        <v>3470</v>
      </c>
      <c r="Q6713" s="411">
        <v>9</v>
      </c>
      <c r="R6713" s="405" t="s">
        <v>1263</v>
      </c>
      <c r="S6713" s="405" t="s">
        <v>27206</v>
      </c>
      <c r="T6713" s="405" t="s">
        <v>32102</v>
      </c>
      <c r="U6713" s="405" t="s">
        <v>319</v>
      </c>
    </row>
    <row r="6714" spans="1:21" x14ac:dyDescent="0.25">
      <c r="A6714" s="405" t="s">
        <v>310</v>
      </c>
      <c r="B6714" s="405" t="s">
        <v>18455</v>
      </c>
      <c r="C6714" s="405" t="s">
        <v>327</v>
      </c>
      <c r="D6714" s="405"/>
      <c r="E6714" s="410">
        <v>41306</v>
      </c>
      <c r="F6714" s="410">
        <v>41351</v>
      </c>
      <c r="G6714" s="405" t="s">
        <v>18456</v>
      </c>
      <c r="H6714" s="405">
        <v>782364595</v>
      </c>
      <c r="I6714" s="405"/>
      <c r="J6714" s="405">
        <v>2.2157439999999999</v>
      </c>
      <c r="K6714" s="405">
        <v>33.091130999999997</v>
      </c>
      <c r="L6714" s="405" t="s">
        <v>860</v>
      </c>
      <c r="M6714" s="405" t="s">
        <v>18234</v>
      </c>
      <c r="N6714" s="405" t="s">
        <v>18252</v>
      </c>
      <c r="O6714" s="405" t="s">
        <v>18260</v>
      </c>
      <c r="P6714" s="405" t="s">
        <v>18282</v>
      </c>
      <c r="Q6714" s="411">
        <v>6</v>
      </c>
      <c r="R6714" s="405" t="s">
        <v>994</v>
      </c>
      <c r="S6714" s="405" t="s">
        <v>27079</v>
      </c>
      <c r="T6714" s="405" t="s">
        <v>32102</v>
      </c>
      <c r="U6714" s="405" t="s">
        <v>319</v>
      </c>
    </row>
    <row r="6715" spans="1:21" x14ac:dyDescent="0.25">
      <c r="A6715" s="405" t="s">
        <v>310</v>
      </c>
      <c r="B6715" s="405" t="s">
        <v>29139</v>
      </c>
      <c r="C6715" s="405" t="s">
        <v>327</v>
      </c>
      <c r="D6715" s="405"/>
      <c r="E6715" s="410">
        <v>41305</v>
      </c>
      <c r="F6715" s="410">
        <v>41350</v>
      </c>
      <c r="G6715" s="405" t="s">
        <v>3402</v>
      </c>
      <c r="H6715" s="405">
        <v>773206042</v>
      </c>
      <c r="I6715" s="405"/>
      <c r="J6715" s="405">
        <v>0.31974170000000002</v>
      </c>
      <c r="K6715" s="405">
        <v>32.621220600000001</v>
      </c>
      <c r="L6715" s="405" t="s">
        <v>314</v>
      </c>
      <c r="M6715" s="405" t="s">
        <v>361</v>
      </c>
      <c r="N6715" s="405" t="s">
        <v>433</v>
      </c>
      <c r="O6715" s="405" t="s">
        <v>433</v>
      </c>
      <c r="P6715" s="405" t="s">
        <v>3403</v>
      </c>
      <c r="Q6715" s="411">
        <v>13</v>
      </c>
      <c r="R6715" s="405" t="s">
        <v>353</v>
      </c>
      <c r="S6715" s="405" t="s">
        <v>27115</v>
      </c>
      <c r="T6715" s="405" t="s">
        <v>32102</v>
      </c>
      <c r="U6715" s="405" t="s">
        <v>319</v>
      </c>
    </row>
    <row r="6716" spans="1:21" x14ac:dyDescent="0.25">
      <c r="A6716" s="405" t="s">
        <v>310</v>
      </c>
      <c r="B6716" s="405" t="s">
        <v>3451</v>
      </c>
      <c r="C6716" s="405" t="s">
        <v>327</v>
      </c>
      <c r="D6716" s="405"/>
      <c r="E6716" s="410">
        <v>41305</v>
      </c>
      <c r="F6716" s="410">
        <v>41350</v>
      </c>
      <c r="G6716" s="405" t="s">
        <v>3452</v>
      </c>
      <c r="H6716" s="405">
        <v>782681735</v>
      </c>
      <c r="I6716" s="405"/>
      <c r="J6716" s="405">
        <v>0.41749999999999998</v>
      </c>
      <c r="K6716" s="405">
        <v>32.326037999999997</v>
      </c>
      <c r="L6716" s="405" t="s">
        <v>314</v>
      </c>
      <c r="M6716" s="405" t="s">
        <v>361</v>
      </c>
      <c r="N6716" s="405" t="s">
        <v>374</v>
      </c>
      <c r="O6716" s="405" t="s">
        <v>952</v>
      </c>
      <c r="P6716" s="405" t="s">
        <v>3453</v>
      </c>
      <c r="Q6716" s="411">
        <v>13</v>
      </c>
      <c r="R6716" s="405" t="s">
        <v>1263</v>
      </c>
      <c r="S6716" s="405" t="s">
        <v>27189</v>
      </c>
      <c r="T6716" s="405" t="s">
        <v>32102</v>
      </c>
      <c r="U6716" s="405" t="s">
        <v>319</v>
      </c>
    </row>
    <row r="6717" spans="1:21" x14ac:dyDescent="0.25">
      <c r="A6717" s="405" t="s">
        <v>310</v>
      </c>
      <c r="B6717" s="405" t="s">
        <v>27634</v>
      </c>
      <c r="C6717" s="405" t="s">
        <v>327</v>
      </c>
      <c r="D6717" s="405"/>
      <c r="E6717" s="410">
        <v>41305</v>
      </c>
      <c r="F6717" s="410">
        <v>41350</v>
      </c>
      <c r="G6717" s="405" t="s">
        <v>3411</v>
      </c>
      <c r="H6717" s="405">
        <v>772618295</v>
      </c>
      <c r="I6717" s="405"/>
      <c r="J6717" s="405">
        <v>0.35786500000000004</v>
      </c>
      <c r="K6717" s="405">
        <v>32.6066</v>
      </c>
      <c r="L6717" s="405" t="s">
        <v>314</v>
      </c>
      <c r="M6717" s="405" t="s">
        <v>992</v>
      </c>
      <c r="N6717" s="405" t="s">
        <v>987</v>
      </c>
      <c r="O6717" s="405" t="s">
        <v>987</v>
      </c>
      <c r="P6717" s="405" t="s">
        <v>3412</v>
      </c>
      <c r="Q6717" s="411">
        <v>9</v>
      </c>
      <c r="R6717" s="405" t="s">
        <v>525</v>
      </c>
      <c r="S6717" s="405" t="s">
        <v>27171</v>
      </c>
      <c r="T6717" s="405" t="s">
        <v>32102</v>
      </c>
      <c r="U6717" s="405" t="s">
        <v>319</v>
      </c>
    </row>
    <row r="6718" spans="1:21" x14ac:dyDescent="0.25">
      <c r="A6718" s="405" t="s">
        <v>310</v>
      </c>
      <c r="B6718" s="405" t="s">
        <v>3448</v>
      </c>
      <c r="C6718" s="405" t="s">
        <v>327</v>
      </c>
      <c r="D6718" s="405"/>
      <c r="E6718" s="410">
        <v>41305</v>
      </c>
      <c r="F6718" s="410">
        <v>41350</v>
      </c>
      <c r="G6718" s="405" t="s">
        <v>3449</v>
      </c>
      <c r="H6718" s="405">
        <v>752971900</v>
      </c>
      <c r="I6718" s="405"/>
      <c r="J6718" s="405">
        <v>0.69759800000000005</v>
      </c>
      <c r="K6718" s="405">
        <v>32.476275000000001</v>
      </c>
      <c r="L6718" s="405" t="s">
        <v>314</v>
      </c>
      <c r="M6718" s="405" t="s">
        <v>2297</v>
      </c>
      <c r="N6718" s="405" t="s">
        <v>1308</v>
      </c>
      <c r="O6718" s="405" t="s">
        <v>2297</v>
      </c>
      <c r="P6718" s="405" t="s">
        <v>3450</v>
      </c>
      <c r="Q6718" s="411">
        <v>9</v>
      </c>
      <c r="R6718" s="405" t="s">
        <v>1263</v>
      </c>
      <c r="S6718" s="405" t="s">
        <v>27178</v>
      </c>
      <c r="T6718" s="405" t="s">
        <v>32102</v>
      </c>
      <c r="U6718" s="405" t="s">
        <v>319</v>
      </c>
    </row>
    <row r="6719" spans="1:21" x14ac:dyDescent="0.25">
      <c r="A6719" s="405" t="s">
        <v>310</v>
      </c>
      <c r="B6719" s="405" t="s">
        <v>3415</v>
      </c>
      <c r="C6719" s="405" t="s">
        <v>327</v>
      </c>
      <c r="D6719" s="405"/>
      <c r="E6719" s="410">
        <v>41305</v>
      </c>
      <c r="F6719" s="410">
        <v>41350</v>
      </c>
      <c r="G6719" s="405" t="s">
        <v>3416</v>
      </c>
      <c r="H6719" s="405">
        <v>705102224</v>
      </c>
      <c r="I6719" s="405"/>
      <c r="J6719" s="405">
        <v>7.8090000000000007E-2</v>
      </c>
      <c r="K6719" s="405">
        <v>32.511597000000002</v>
      </c>
      <c r="L6719" s="405" t="s">
        <v>314</v>
      </c>
      <c r="M6719" s="405" t="s">
        <v>361</v>
      </c>
      <c r="N6719" s="405" t="s">
        <v>1682</v>
      </c>
      <c r="O6719" s="405" t="s">
        <v>638</v>
      </c>
      <c r="P6719" s="405" t="s">
        <v>1683</v>
      </c>
      <c r="Q6719" s="411">
        <v>9</v>
      </c>
      <c r="R6719" s="405" t="s">
        <v>525</v>
      </c>
      <c r="S6719" s="405" t="s">
        <v>27214</v>
      </c>
      <c r="T6719" s="405" t="s">
        <v>32102</v>
      </c>
      <c r="U6719" s="405" t="s">
        <v>319</v>
      </c>
    </row>
    <row r="6720" spans="1:21" x14ac:dyDescent="0.25">
      <c r="A6720" s="405" t="s">
        <v>310</v>
      </c>
      <c r="B6720" s="405" t="s">
        <v>3413</v>
      </c>
      <c r="C6720" s="405" t="s">
        <v>327</v>
      </c>
      <c r="D6720" s="405"/>
      <c r="E6720" s="410">
        <v>41305</v>
      </c>
      <c r="F6720" s="410">
        <v>41350</v>
      </c>
      <c r="G6720" s="405" t="s">
        <v>3414</v>
      </c>
      <c r="H6720" s="405">
        <v>772492322</v>
      </c>
      <c r="I6720" s="405"/>
      <c r="J6720" s="405">
        <v>0.67238799999999999</v>
      </c>
      <c r="K6720" s="405">
        <v>32.511626999999997</v>
      </c>
      <c r="L6720" s="405" t="s">
        <v>314</v>
      </c>
      <c r="M6720" s="405" t="s">
        <v>959</v>
      </c>
      <c r="N6720" s="405" t="s">
        <v>1094</v>
      </c>
      <c r="O6720" s="405" t="s">
        <v>1094</v>
      </c>
      <c r="P6720" s="405" t="s">
        <v>2648</v>
      </c>
      <c r="Q6720" s="411">
        <v>9</v>
      </c>
      <c r="R6720" s="405" t="s">
        <v>1263</v>
      </c>
      <c r="S6720" s="405" t="s">
        <v>27039</v>
      </c>
      <c r="T6720" s="405" t="s">
        <v>32102</v>
      </c>
      <c r="U6720" s="405" t="s">
        <v>319</v>
      </c>
    </row>
    <row r="6721" spans="1:21" x14ac:dyDescent="0.25">
      <c r="A6721" s="405" t="s">
        <v>310</v>
      </c>
      <c r="B6721" s="405" t="s">
        <v>3444</v>
      </c>
      <c r="C6721" s="405" t="s">
        <v>327</v>
      </c>
      <c r="D6721" s="405"/>
      <c r="E6721" s="410">
        <v>41305</v>
      </c>
      <c r="F6721" s="410">
        <v>41350</v>
      </c>
      <c r="G6721" s="405" t="s">
        <v>3445</v>
      </c>
      <c r="H6721" s="405">
        <v>753118332</v>
      </c>
      <c r="I6721" s="405"/>
      <c r="J6721" s="405">
        <v>0.50931999999999999</v>
      </c>
      <c r="K6721" s="405">
        <v>32.435749999999999</v>
      </c>
      <c r="L6721" s="405" t="s">
        <v>314</v>
      </c>
      <c r="M6721" s="405" t="s">
        <v>361</v>
      </c>
      <c r="N6721" s="405" t="s">
        <v>362</v>
      </c>
      <c r="O6721" s="405" t="s">
        <v>523</v>
      </c>
      <c r="P6721" s="405" t="s">
        <v>3446</v>
      </c>
      <c r="Q6721" s="411">
        <v>9</v>
      </c>
      <c r="R6721" s="405" t="s">
        <v>1263</v>
      </c>
      <c r="S6721" s="405" t="s">
        <v>27196</v>
      </c>
      <c r="T6721" s="405" t="s">
        <v>32102</v>
      </c>
      <c r="U6721" s="405" t="s">
        <v>319</v>
      </c>
    </row>
    <row r="6722" spans="1:21" x14ac:dyDescent="0.25">
      <c r="A6722" s="405" t="s">
        <v>310</v>
      </c>
      <c r="B6722" s="405" t="s">
        <v>28949</v>
      </c>
      <c r="C6722" s="405" t="s">
        <v>327</v>
      </c>
      <c r="D6722" s="405"/>
      <c r="E6722" s="410">
        <v>41305</v>
      </c>
      <c r="F6722" s="410">
        <v>41350</v>
      </c>
      <c r="G6722" s="405" t="s">
        <v>3447</v>
      </c>
      <c r="H6722" s="405">
        <v>712889969</v>
      </c>
      <c r="I6722" s="405"/>
      <c r="J6722" s="405">
        <v>0.53261666666666663</v>
      </c>
      <c r="K6722" s="405">
        <v>32.597966666666672</v>
      </c>
      <c r="L6722" s="405" t="s">
        <v>314</v>
      </c>
      <c r="M6722" s="405" t="s">
        <v>361</v>
      </c>
      <c r="N6722" s="405" t="s">
        <v>362</v>
      </c>
      <c r="O6722" s="405" t="s">
        <v>433</v>
      </c>
      <c r="P6722" s="405" t="s">
        <v>2993</v>
      </c>
      <c r="Q6722" s="411">
        <v>9</v>
      </c>
      <c r="R6722" s="405" t="s">
        <v>353</v>
      </c>
      <c r="S6722" s="405" t="s">
        <v>27115</v>
      </c>
      <c r="T6722" s="405" t="s">
        <v>32102</v>
      </c>
      <c r="U6722" s="405" t="s">
        <v>319</v>
      </c>
    </row>
    <row r="6723" spans="1:21" x14ac:dyDescent="0.25">
      <c r="A6723" s="405" t="s">
        <v>310</v>
      </c>
      <c r="B6723" s="405" t="s">
        <v>27485</v>
      </c>
      <c r="C6723" s="405" t="s">
        <v>327</v>
      </c>
      <c r="D6723" s="405"/>
      <c r="E6723" s="410">
        <v>41305</v>
      </c>
      <c r="F6723" s="410">
        <v>41350</v>
      </c>
      <c r="G6723" s="405" t="s">
        <v>3404</v>
      </c>
      <c r="H6723" s="405">
        <v>782314502</v>
      </c>
      <c r="I6723" s="405"/>
      <c r="J6723" s="405">
        <v>0.31722499999999998</v>
      </c>
      <c r="K6723" s="405">
        <v>32.432244999999995</v>
      </c>
      <c r="L6723" s="405" t="s">
        <v>314</v>
      </c>
      <c r="M6723" s="405" t="s">
        <v>361</v>
      </c>
      <c r="N6723" s="405" t="s">
        <v>374</v>
      </c>
      <c r="O6723" s="405" t="s">
        <v>374</v>
      </c>
      <c r="P6723" s="405" t="s">
        <v>3405</v>
      </c>
      <c r="Q6723" s="411">
        <v>6</v>
      </c>
      <c r="R6723" s="405" t="s">
        <v>1263</v>
      </c>
      <c r="S6723" s="405" t="s">
        <v>27036</v>
      </c>
      <c r="T6723" s="405" t="s">
        <v>32102</v>
      </c>
      <c r="U6723" s="405" t="s">
        <v>319</v>
      </c>
    </row>
    <row r="6724" spans="1:21" x14ac:dyDescent="0.25">
      <c r="A6724" s="405" t="s">
        <v>310</v>
      </c>
      <c r="B6724" s="405" t="s">
        <v>27830</v>
      </c>
      <c r="C6724" s="405" t="s">
        <v>311</v>
      </c>
      <c r="D6724" s="405" t="s">
        <v>1789</v>
      </c>
      <c r="E6724" s="410">
        <v>41305</v>
      </c>
      <c r="F6724" s="410">
        <v>41350</v>
      </c>
      <c r="G6724" s="405" t="s">
        <v>3943</v>
      </c>
      <c r="H6724" s="405">
        <v>701361158</v>
      </c>
      <c r="I6724" s="405"/>
      <c r="J6724" s="405">
        <v>0.270368</v>
      </c>
      <c r="K6724" s="405">
        <v>32.600887999999998</v>
      </c>
      <c r="L6724" s="405" t="s">
        <v>314</v>
      </c>
      <c r="M6724" s="405" t="s">
        <v>992</v>
      </c>
      <c r="N6724" s="405" t="s">
        <v>362</v>
      </c>
      <c r="O6724" s="405" t="s">
        <v>618</v>
      </c>
      <c r="P6724" s="405" t="s">
        <v>3944</v>
      </c>
      <c r="Q6724" s="411">
        <v>6</v>
      </c>
      <c r="R6724" s="405" t="s">
        <v>318</v>
      </c>
      <c r="S6724" s="405" t="s">
        <v>414</v>
      </c>
      <c r="T6724" s="405" t="s">
        <v>32102</v>
      </c>
      <c r="U6724" s="405" t="s">
        <v>319</v>
      </c>
    </row>
    <row r="6725" spans="1:21" x14ac:dyDescent="0.25">
      <c r="A6725" s="405" t="s">
        <v>310</v>
      </c>
      <c r="B6725" s="405" t="s">
        <v>28129</v>
      </c>
      <c r="C6725" s="405" t="s">
        <v>311</v>
      </c>
      <c r="D6725" s="405" t="s">
        <v>33088</v>
      </c>
      <c r="E6725" s="410">
        <v>41305</v>
      </c>
      <c r="F6725" s="410">
        <v>41350</v>
      </c>
      <c r="G6725" s="405" t="s">
        <v>3945</v>
      </c>
      <c r="H6725" s="405">
        <v>752366953</v>
      </c>
      <c r="I6725" s="405">
        <v>782325623</v>
      </c>
      <c r="J6725" s="405">
        <v>0.28043499999999999</v>
      </c>
      <c r="K6725" s="405">
        <v>32.835124999999998</v>
      </c>
      <c r="L6725" s="405" t="s">
        <v>314</v>
      </c>
      <c r="M6725" s="405" t="s">
        <v>329</v>
      </c>
      <c r="N6725" s="405" t="s">
        <v>803</v>
      </c>
      <c r="O6725" s="405" t="s">
        <v>653</v>
      </c>
      <c r="P6725" s="405" t="s">
        <v>3946</v>
      </c>
      <c r="Q6725" s="411">
        <v>6</v>
      </c>
      <c r="R6725" s="405" t="s">
        <v>318</v>
      </c>
      <c r="S6725" s="405" t="s">
        <v>27124</v>
      </c>
      <c r="T6725" s="405" t="s">
        <v>32102</v>
      </c>
      <c r="U6725" s="405" t="s">
        <v>319</v>
      </c>
    </row>
    <row r="6726" spans="1:21" x14ac:dyDescent="0.25">
      <c r="A6726" s="405" t="s">
        <v>310</v>
      </c>
      <c r="B6726" s="405" t="s">
        <v>28697</v>
      </c>
      <c r="C6726" s="405" t="s">
        <v>327</v>
      </c>
      <c r="D6726" s="405"/>
      <c r="E6726" s="410">
        <v>41305</v>
      </c>
      <c r="F6726" s="410">
        <v>41350</v>
      </c>
      <c r="G6726" s="405" t="s">
        <v>12137</v>
      </c>
      <c r="H6726" s="405">
        <v>782366622</v>
      </c>
      <c r="I6726" s="405"/>
      <c r="J6726" s="405">
        <v>1.8135030000000001</v>
      </c>
      <c r="K6726" s="405">
        <v>33.712764999999997</v>
      </c>
      <c r="L6726" s="405" t="s">
        <v>6866</v>
      </c>
      <c r="M6726" s="405" t="s">
        <v>10515</v>
      </c>
      <c r="N6726" s="405" t="s">
        <v>10515</v>
      </c>
      <c r="O6726" s="405" t="s">
        <v>10645</v>
      </c>
      <c r="P6726" s="405" t="s">
        <v>11155</v>
      </c>
      <c r="Q6726" s="411">
        <v>6</v>
      </c>
      <c r="R6726" s="405" t="s">
        <v>5655</v>
      </c>
      <c r="S6726" s="405" t="s">
        <v>27182</v>
      </c>
      <c r="T6726" s="405" t="s">
        <v>32102</v>
      </c>
      <c r="U6726" s="405" t="s">
        <v>319</v>
      </c>
    </row>
    <row r="6727" spans="1:21" x14ac:dyDescent="0.25">
      <c r="A6727" s="405" t="s">
        <v>310</v>
      </c>
      <c r="B6727" s="405" t="s">
        <v>3406</v>
      </c>
      <c r="C6727" s="405" t="s">
        <v>327</v>
      </c>
      <c r="D6727" s="405"/>
      <c r="E6727" s="410">
        <v>41305</v>
      </c>
      <c r="F6727" s="410">
        <v>41350</v>
      </c>
      <c r="G6727" s="405" t="s">
        <v>3407</v>
      </c>
      <c r="H6727" s="405">
        <v>775712777</v>
      </c>
      <c r="I6727" s="405"/>
      <c r="J6727" s="405">
        <v>0.31974170000000002</v>
      </c>
      <c r="K6727" s="405">
        <v>32.621220600000001</v>
      </c>
      <c r="L6727" s="405" t="s">
        <v>314</v>
      </c>
      <c r="M6727" s="405" t="s">
        <v>992</v>
      </c>
      <c r="N6727" s="405" t="s">
        <v>3408</v>
      </c>
      <c r="O6727" s="405" t="s">
        <v>3409</v>
      </c>
      <c r="P6727" s="405" t="s">
        <v>3410</v>
      </c>
      <c r="Q6727" s="411">
        <v>6</v>
      </c>
      <c r="R6727" s="405" t="s">
        <v>525</v>
      </c>
      <c r="S6727" s="405" t="s">
        <v>27153</v>
      </c>
      <c r="T6727" s="405" t="s">
        <v>32102</v>
      </c>
      <c r="U6727" s="405" t="s">
        <v>319</v>
      </c>
    </row>
    <row r="6728" spans="1:21" x14ac:dyDescent="0.25">
      <c r="A6728" s="405" t="s">
        <v>310</v>
      </c>
      <c r="B6728" s="405" t="s">
        <v>3454</v>
      </c>
      <c r="C6728" s="405" t="s">
        <v>327</v>
      </c>
      <c r="D6728" s="405"/>
      <c r="E6728" s="410">
        <v>41305</v>
      </c>
      <c r="F6728" s="410">
        <v>41350</v>
      </c>
      <c r="G6728" s="405" t="s">
        <v>3455</v>
      </c>
      <c r="H6728" s="405">
        <v>772542141</v>
      </c>
      <c r="I6728" s="405"/>
      <c r="J6728" s="405">
        <v>0.44287500000000002</v>
      </c>
      <c r="K6728" s="405">
        <v>32.424934999999998</v>
      </c>
      <c r="L6728" s="405" t="s">
        <v>314</v>
      </c>
      <c r="M6728" s="405" t="s">
        <v>361</v>
      </c>
      <c r="N6728" s="405" t="s">
        <v>374</v>
      </c>
      <c r="O6728" s="405" t="s">
        <v>361</v>
      </c>
      <c r="P6728" s="405" t="s">
        <v>3456</v>
      </c>
      <c r="Q6728" s="411">
        <v>6</v>
      </c>
      <c r="R6728" s="405" t="s">
        <v>1263</v>
      </c>
      <c r="S6728" s="405" t="s">
        <v>27185</v>
      </c>
      <c r="T6728" s="405" t="s">
        <v>32102</v>
      </c>
      <c r="U6728" s="405" t="s">
        <v>319</v>
      </c>
    </row>
    <row r="6729" spans="1:21" x14ac:dyDescent="0.25">
      <c r="A6729" s="405" t="s">
        <v>310</v>
      </c>
      <c r="B6729" s="405" t="s">
        <v>12139</v>
      </c>
      <c r="C6729" s="405" t="s">
        <v>327</v>
      </c>
      <c r="D6729" s="405"/>
      <c r="E6729" s="410">
        <v>41305</v>
      </c>
      <c r="F6729" s="410">
        <v>41350</v>
      </c>
      <c r="G6729" s="405" t="s">
        <v>12140</v>
      </c>
      <c r="H6729" s="405">
        <v>782363629</v>
      </c>
      <c r="I6729" s="405"/>
      <c r="J6729" s="405">
        <v>1.8116319999999999</v>
      </c>
      <c r="K6729" s="405">
        <v>33.712617000000002</v>
      </c>
      <c r="L6729" s="405" t="s">
        <v>6866</v>
      </c>
      <c r="M6729" s="405" t="s">
        <v>10515</v>
      </c>
      <c r="N6729" s="405" t="s">
        <v>10515</v>
      </c>
      <c r="O6729" s="405" t="s">
        <v>10645</v>
      </c>
      <c r="P6729" s="405" t="s">
        <v>11155</v>
      </c>
      <c r="Q6729" s="411">
        <v>6</v>
      </c>
      <c r="R6729" s="405" t="s">
        <v>5655</v>
      </c>
      <c r="S6729" s="405" t="s">
        <v>27324</v>
      </c>
      <c r="T6729" s="405" t="s">
        <v>32102</v>
      </c>
      <c r="U6729" s="405" t="s">
        <v>319</v>
      </c>
    </row>
    <row r="6730" spans="1:21" x14ac:dyDescent="0.25">
      <c r="A6730" s="405" t="s">
        <v>310</v>
      </c>
      <c r="B6730" s="405" t="s">
        <v>3377</v>
      </c>
      <c r="C6730" s="405" t="s">
        <v>327</v>
      </c>
      <c r="D6730" s="405"/>
      <c r="E6730" s="410">
        <v>41305</v>
      </c>
      <c r="F6730" s="410">
        <v>41350</v>
      </c>
      <c r="G6730" s="405" t="s">
        <v>3378</v>
      </c>
      <c r="H6730" s="405">
        <v>789396441</v>
      </c>
      <c r="I6730" s="405"/>
      <c r="J6730" s="405">
        <v>0.155524</v>
      </c>
      <c r="K6730" s="405">
        <v>31.854838000000001</v>
      </c>
      <c r="L6730" s="405" t="s">
        <v>314</v>
      </c>
      <c r="M6730" s="405" t="s">
        <v>339</v>
      </c>
      <c r="N6730" s="405" t="s">
        <v>339</v>
      </c>
      <c r="O6730" s="405" t="s">
        <v>1948</v>
      </c>
      <c r="P6730" s="405" t="s">
        <v>3379</v>
      </c>
      <c r="Q6730" s="411">
        <v>6</v>
      </c>
      <c r="R6730" s="405" t="s">
        <v>1263</v>
      </c>
      <c r="S6730" s="405" t="s">
        <v>27211</v>
      </c>
      <c r="T6730" s="405" t="s">
        <v>32102</v>
      </c>
      <c r="U6730" s="405" t="s">
        <v>319</v>
      </c>
    </row>
    <row r="6731" spans="1:21" x14ac:dyDescent="0.25">
      <c r="A6731" s="405" t="s">
        <v>310</v>
      </c>
      <c r="B6731" s="405" t="s">
        <v>5257</v>
      </c>
      <c r="C6731" s="405" t="s">
        <v>327</v>
      </c>
      <c r="D6731" s="405"/>
      <c r="E6731" s="410">
        <v>41305</v>
      </c>
      <c r="F6731" s="410">
        <v>41350</v>
      </c>
      <c r="G6731" s="405" t="s">
        <v>5258</v>
      </c>
      <c r="H6731" s="405">
        <v>782159601</v>
      </c>
      <c r="I6731" s="405"/>
      <c r="J6731" s="405">
        <v>0.17759</v>
      </c>
      <c r="K6731" s="405">
        <v>31.862950000000001</v>
      </c>
      <c r="L6731" s="405" t="s">
        <v>314</v>
      </c>
      <c r="M6731" s="405" t="s">
        <v>339</v>
      </c>
      <c r="N6731" s="405" t="s">
        <v>339</v>
      </c>
      <c r="O6731" s="405" t="s">
        <v>340</v>
      </c>
      <c r="P6731" s="405" t="s">
        <v>3758</v>
      </c>
      <c r="Q6731" s="411">
        <v>6</v>
      </c>
      <c r="R6731" s="405" t="s">
        <v>318</v>
      </c>
      <c r="S6731" s="405" t="s">
        <v>27201</v>
      </c>
      <c r="T6731" s="405" t="s">
        <v>32102</v>
      </c>
      <c r="U6731" s="405" t="s">
        <v>319</v>
      </c>
    </row>
    <row r="6732" spans="1:21" x14ac:dyDescent="0.25">
      <c r="A6732" s="405" t="s">
        <v>310</v>
      </c>
      <c r="B6732" s="405" t="s">
        <v>3423</v>
      </c>
      <c r="C6732" s="405" t="s">
        <v>327</v>
      </c>
      <c r="D6732" s="405"/>
      <c r="E6732" s="410">
        <v>41305</v>
      </c>
      <c r="F6732" s="410">
        <v>41350</v>
      </c>
      <c r="G6732" s="405" t="s">
        <v>3424</v>
      </c>
      <c r="H6732" s="405">
        <v>774135725</v>
      </c>
      <c r="I6732" s="405"/>
      <c r="J6732" s="405">
        <v>0.31722499999999998</v>
      </c>
      <c r="K6732" s="405">
        <v>32.432244999999995</v>
      </c>
      <c r="L6732" s="405" t="s">
        <v>314</v>
      </c>
      <c r="M6732" s="405" t="s">
        <v>361</v>
      </c>
      <c r="N6732" s="405" t="s">
        <v>374</v>
      </c>
      <c r="O6732" s="405" t="s">
        <v>374</v>
      </c>
      <c r="P6732" s="405" t="s">
        <v>3425</v>
      </c>
      <c r="Q6732" s="411">
        <v>6</v>
      </c>
      <c r="R6732" s="405" t="s">
        <v>1263</v>
      </c>
      <c r="S6732" s="405" t="s">
        <v>27211</v>
      </c>
      <c r="T6732" s="405" t="s">
        <v>32102</v>
      </c>
      <c r="U6732" s="405" t="s">
        <v>319</v>
      </c>
    </row>
    <row r="6733" spans="1:21" x14ac:dyDescent="0.25">
      <c r="A6733" s="405" t="s">
        <v>310</v>
      </c>
      <c r="B6733" s="405" t="s">
        <v>3385</v>
      </c>
      <c r="C6733" s="405" t="s">
        <v>327</v>
      </c>
      <c r="D6733" s="405"/>
      <c r="E6733" s="410">
        <v>41305</v>
      </c>
      <c r="F6733" s="410">
        <v>41350</v>
      </c>
      <c r="G6733" s="405" t="s">
        <v>3386</v>
      </c>
      <c r="H6733" s="405">
        <v>702086313</v>
      </c>
      <c r="I6733" s="405"/>
      <c r="J6733" s="405">
        <v>0.12378400000000001</v>
      </c>
      <c r="K6733" s="405">
        <v>31.774386</v>
      </c>
      <c r="L6733" s="405" t="s">
        <v>314</v>
      </c>
      <c r="M6733" s="405" t="s">
        <v>339</v>
      </c>
      <c r="N6733" s="405" t="s">
        <v>339</v>
      </c>
      <c r="O6733" s="405" t="s">
        <v>1948</v>
      </c>
      <c r="P6733" s="405" t="s">
        <v>3387</v>
      </c>
      <c r="Q6733" s="411">
        <v>6</v>
      </c>
      <c r="R6733" s="405" t="s">
        <v>1263</v>
      </c>
      <c r="S6733" s="405" t="s">
        <v>27039</v>
      </c>
      <c r="T6733" s="405" t="s">
        <v>32102</v>
      </c>
      <c r="U6733" s="405" t="s">
        <v>319</v>
      </c>
    </row>
    <row r="6734" spans="1:21" x14ac:dyDescent="0.25">
      <c r="A6734" s="405" t="s">
        <v>310</v>
      </c>
      <c r="B6734" s="405" t="s">
        <v>28451</v>
      </c>
      <c r="C6734" s="405" t="s">
        <v>327</v>
      </c>
      <c r="D6734" s="405"/>
      <c r="E6734" s="410">
        <v>41304</v>
      </c>
      <c r="F6734" s="410">
        <v>41349</v>
      </c>
      <c r="G6734" s="405" t="s">
        <v>12167</v>
      </c>
      <c r="H6734" s="405">
        <v>772946212</v>
      </c>
      <c r="I6734" s="405"/>
      <c r="J6734" s="405">
        <v>1.065153</v>
      </c>
      <c r="K6734" s="405">
        <v>34.208137999999998</v>
      </c>
      <c r="L6734" s="405" t="s">
        <v>6866</v>
      </c>
      <c r="M6734" s="405" t="s">
        <v>9514</v>
      </c>
      <c r="N6734" s="405" t="s">
        <v>9616</v>
      </c>
      <c r="O6734" s="405" t="s">
        <v>12168</v>
      </c>
      <c r="P6734" s="405" t="s">
        <v>12169</v>
      </c>
      <c r="Q6734" s="411">
        <v>6</v>
      </c>
      <c r="R6734" s="405" t="s">
        <v>7224</v>
      </c>
      <c r="S6734" s="405" t="s">
        <v>17013</v>
      </c>
      <c r="T6734" s="405" t="s">
        <v>32102</v>
      </c>
      <c r="U6734" s="405" t="s">
        <v>319</v>
      </c>
    </row>
    <row r="6735" spans="1:21" x14ac:dyDescent="0.25">
      <c r="A6735" s="405" t="s">
        <v>310</v>
      </c>
      <c r="B6735" s="405" t="s">
        <v>3952</v>
      </c>
      <c r="C6735" s="405" t="s">
        <v>857</v>
      </c>
      <c r="D6735" s="405" t="s">
        <v>33089</v>
      </c>
      <c r="E6735" s="410">
        <v>41304</v>
      </c>
      <c r="F6735" s="410">
        <v>41349</v>
      </c>
      <c r="G6735" s="405" t="s">
        <v>3953</v>
      </c>
      <c r="H6735" s="405">
        <v>774195843</v>
      </c>
      <c r="I6735" s="405">
        <v>759798006</v>
      </c>
      <c r="J6735" s="405">
        <v>0.21491499999999999</v>
      </c>
      <c r="K6735" s="405">
        <v>32.343283333333339</v>
      </c>
      <c r="L6735" s="405" t="s">
        <v>314</v>
      </c>
      <c r="M6735" s="405" t="s">
        <v>321</v>
      </c>
      <c r="N6735" s="405" t="s">
        <v>322</v>
      </c>
      <c r="O6735" s="405" t="s">
        <v>476</v>
      </c>
      <c r="P6735" s="405" t="s">
        <v>2869</v>
      </c>
      <c r="Q6735" s="411">
        <v>6</v>
      </c>
      <c r="R6735" s="405" t="s">
        <v>318</v>
      </c>
      <c r="S6735" s="405" t="s">
        <v>27064</v>
      </c>
      <c r="T6735" s="405" t="s">
        <v>32102</v>
      </c>
      <c r="U6735" s="405" t="s">
        <v>319</v>
      </c>
    </row>
    <row r="6736" spans="1:21" x14ac:dyDescent="0.25">
      <c r="A6736" s="405" t="s">
        <v>310</v>
      </c>
      <c r="B6736" s="405" t="s">
        <v>20942</v>
      </c>
      <c r="C6736" s="405" t="s">
        <v>327</v>
      </c>
      <c r="D6736" s="405"/>
      <c r="E6736" s="410">
        <v>41302</v>
      </c>
      <c r="F6736" s="410">
        <v>41347</v>
      </c>
      <c r="G6736" s="405" t="s">
        <v>20943</v>
      </c>
      <c r="H6736" s="405">
        <v>704406644</v>
      </c>
      <c r="I6736" s="405"/>
      <c r="J6736" s="405">
        <v>1.5390200000000001</v>
      </c>
      <c r="K6736" s="405">
        <v>31.352048</v>
      </c>
      <c r="L6736" s="405" t="s">
        <v>590</v>
      </c>
      <c r="M6736" s="405" t="s">
        <v>7300</v>
      </c>
      <c r="N6736" s="405" t="s">
        <v>19880</v>
      </c>
      <c r="O6736" s="405" t="s">
        <v>20508</v>
      </c>
      <c r="P6736" s="405" t="s">
        <v>20944</v>
      </c>
      <c r="Q6736" s="411">
        <v>13</v>
      </c>
      <c r="R6736" s="405" t="s">
        <v>525</v>
      </c>
      <c r="S6736" s="405" t="s">
        <v>27231</v>
      </c>
      <c r="T6736" s="405" t="s">
        <v>32102</v>
      </c>
      <c r="U6736" s="405" t="s">
        <v>319</v>
      </c>
    </row>
    <row r="6737" spans="1:21" x14ac:dyDescent="0.25">
      <c r="A6737" s="405" t="s">
        <v>310</v>
      </c>
      <c r="B6737" s="405" t="s">
        <v>3428</v>
      </c>
      <c r="C6737" s="405" t="s">
        <v>327</v>
      </c>
      <c r="D6737" s="405"/>
      <c r="E6737" s="410">
        <v>41302</v>
      </c>
      <c r="F6737" s="410">
        <v>41347</v>
      </c>
      <c r="G6737" s="405" t="s">
        <v>3429</v>
      </c>
      <c r="H6737" s="405">
        <v>701050403</v>
      </c>
      <c r="I6737" s="405"/>
      <c r="J6737" s="405">
        <v>0.51249199999999995</v>
      </c>
      <c r="K6737" s="405">
        <v>31.651672000000001</v>
      </c>
      <c r="L6737" s="405" t="s">
        <v>314</v>
      </c>
      <c r="M6737" s="405" t="s">
        <v>445</v>
      </c>
      <c r="N6737" s="405" t="s">
        <v>570</v>
      </c>
      <c r="O6737" s="405" t="s">
        <v>2734</v>
      </c>
      <c r="P6737" s="405" t="s">
        <v>2735</v>
      </c>
      <c r="Q6737" s="411">
        <v>9</v>
      </c>
      <c r="R6737" s="405" t="s">
        <v>1263</v>
      </c>
      <c r="S6737" s="405" t="s">
        <v>27039</v>
      </c>
      <c r="T6737" s="405" t="s">
        <v>32102</v>
      </c>
      <c r="U6737" s="405" t="s">
        <v>319</v>
      </c>
    </row>
    <row r="6738" spans="1:21" x14ac:dyDescent="0.25">
      <c r="A6738" s="405" t="s">
        <v>310</v>
      </c>
      <c r="B6738" s="405" t="s">
        <v>3432</v>
      </c>
      <c r="C6738" s="405" t="s">
        <v>327</v>
      </c>
      <c r="D6738" s="405"/>
      <c r="E6738" s="410">
        <v>41301</v>
      </c>
      <c r="F6738" s="410">
        <v>41346</v>
      </c>
      <c r="G6738" s="405" t="s">
        <v>3433</v>
      </c>
      <c r="H6738" s="405">
        <v>775887738</v>
      </c>
      <c r="I6738" s="405"/>
      <c r="J6738" s="405">
        <v>0.65329199999999998</v>
      </c>
      <c r="K6738" s="405">
        <v>31.839666999999999</v>
      </c>
      <c r="L6738" s="405" t="s">
        <v>314</v>
      </c>
      <c r="M6738" s="405" t="s">
        <v>445</v>
      </c>
      <c r="N6738" s="405" t="s">
        <v>570</v>
      </c>
      <c r="O6738" s="405" t="s">
        <v>2213</v>
      </c>
      <c r="P6738" s="405" t="s">
        <v>3434</v>
      </c>
      <c r="Q6738" s="411">
        <v>6</v>
      </c>
      <c r="R6738" s="405" t="s">
        <v>318</v>
      </c>
      <c r="S6738" s="405" t="s">
        <v>27174</v>
      </c>
      <c r="T6738" s="405" t="s">
        <v>32102</v>
      </c>
      <c r="U6738" s="405" t="s">
        <v>319</v>
      </c>
    </row>
    <row r="6739" spans="1:21" x14ac:dyDescent="0.25">
      <c r="A6739" s="405" t="s">
        <v>310</v>
      </c>
      <c r="B6739" s="405" t="s">
        <v>20949</v>
      </c>
      <c r="C6739" s="405" t="s">
        <v>327</v>
      </c>
      <c r="D6739" s="405"/>
      <c r="E6739" s="410">
        <v>41300</v>
      </c>
      <c r="F6739" s="410">
        <v>41345</v>
      </c>
      <c r="G6739" s="405" t="s">
        <v>20950</v>
      </c>
      <c r="H6739" s="405">
        <v>789281070</v>
      </c>
      <c r="I6739" s="405"/>
      <c r="J6739" s="405">
        <v>-0.71283700000000005</v>
      </c>
      <c r="K6739" s="405">
        <v>29.849633000000001</v>
      </c>
      <c r="L6739" s="405" t="s">
        <v>590</v>
      </c>
      <c r="M6739" s="405" t="s">
        <v>19619</v>
      </c>
      <c r="N6739" s="405" t="s">
        <v>19793</v>
      </c>
      <c r="O6739" s="405" t="s">
        <v>6395</v>
      </c>
      <c r="P6739" s="405" t="s">
        <v>20951</v>
      </c>
      <c r="Q6739" s="411">
        <v>6</v>
      </c>
      <c r="R6739" s="405" t="s">
        <v>1527</v>
      </c>
      <c r="S6739" s="405" t="s">
        <v>27161</v>
      </c>
      <c r="T6739" s="405" t="s">
        <v>32102</v>
      </c>
      <c r="U6739" s="405" t="s">
        <v>319</v>
      </c>
    </row>
    <row r="6740" spans="1:21" x14ac:dyDescent="0.25">
      <c r="A6740" s="405" t="s">
        <v>310</v>
      </c>
      <c r="B6740" s="405" t="s">
        <v>28471</v>
      </c>
      <c r="C6740" s="405" t="s">
        <v>327</v>
      </c>
      <c r="D6740" s="405"/>
      <c r="E6740" s="410">
        <v>41299</v>
      </c>
      <c r="F6740" s="410">
        <v>41344</v>
      </c>
      <c r="G6740" s="405" t="s">
        <v>3430</v>
      </c>
      <c r="H6740" s="405">
        <v>706406336</v>
      </c>
      <c r="I6740" s="405"/>
      <c r="J6740" s="405">
        <v>0.53112000000000004</v>
      </c>
      <c r="K6740" s="405">
        <v>31.351486999999999</v>
      </c>
      <c r="L6740" s="405" t="s">
        <v>314</v>
      </c>
      <c r="M6740" s="405" t="s">
        <v>445</v>
      </c>
      <c r="N6740" s="405" t="s">
        <v>446</v>
      </c>
      <c r="O6740" s="405" t="s">
        <v>3235</v>
      </c>
      <c r="P6740" s="405" t="s">
        <v>3431</v>
      </c>
      <c r="Q6740" s="411">
        <v>6</v>
      </c>
      <c r="R6740" s="405" t="s">
        <v>318</v>
      </c>
      <c r="S6740" s="405" t="s">
        <v>27174</v>
      </c>
      <c r="T6740" s="405" t="s">
        <v>32102</v>
      </c>
      <c r="U6740" s="405" t="s">
        <v>319</v>
      </c>
    </row>
    <row r="6741" spans="1:21" x14ac:dyDescent="0.25">
      <c r="A6741" s="405" t="s">
        <v>310</v>
      </c>
      <c r="B6741" s="405" t="s">
        <v>28679</v>
      </c>
      <c r="C6741" s="405" t="s">
        <v>311</v>
      </c>
      <c r="D6741" s="405" t="s">
        <v>3381</v>
      </c>
      <c r="E6741" s="410">
        <v>41299</v>
      </c>
      <c r="F6741" s="410">
        <v>41344</v>
      </c>
      <c r="G6741" s="405" t="s">
        <v>12546</v>
      </c>
      <c r="H6741" s="405">
        <v>772557909</v>
      </c>
      <c r="I6741" s="405"/>
      <c r="J6741" s="405">
        <v>1.611998</v>
      </c>
      <c r="K6741" s="405">
        <v>33.308027000000003</v>
      </c>
      <c r="L6741" s="405" t="s">
        <v>6866</v>
      </c>
      <c r="M6741" s="405" t="s">
        <v>9658</v>
      </c>
      <c r="N6741" s="405" t="s">
        <v>11057</v>
      </c>
      <c r="O6741" s="405" t="s">
        <v>11058</v>
      </c>
      <c r="P6741" s="405" t="s">
        <v>12547</v>
      </c>
      <c r="Q6741" s="411">
        <v>6</v>
      </c>
      <c r="R6741" s="405" t="s">
        <v>5655</v>
      </c>
      <c r="S6741" s="405" t="s">
        <v>27323</v>
      </c>
      <c r="T6741" s="405" t="s">
        <v>32102</v>
      </c>
      <c r="U6741" s="405" t="s">
        <v>319</v>
      </c>
    </row>
    <row r="6742" spans="1:21" x14ac:dyDescent="0.25">
      <c r="A6742" s="405" t="s">
        <v>310</v>
      </c>
      <c r="B6742" s="405" t="s">
        <v>28672</v>
      </c>
      <c r="C6742" s="405" t="s">
        <v>327</v>
      </c>
      <c r="D6742" s="405"/>
      <c r="E6742" s="410">
        <v>41295</v>
      </c>
      <c r="F6742" s="410">
        <v>41340</v>
      </c>
      <c r="G6742" s="405" t="s">
        <v>20945</v>
      </c>
      <c r="H6742" s="405">
        <v>700645019</v>
      </c>
      <c r="I6742" s="405"/>
      <c r="J6742" s="405">
        <v>-0.127417</v>
      </c>
      <c r="K6742" s="405">
        <v>31.081835999999999</v>
      </c>
      <c r="L6742" s="405" t="s">
        <v>590</v>
      </c>
      <c r="M6742" s="405" t="s">
        <v>19705</v>
      </c>
      <c r="N6742" s="405" t="s">
        <v>19706</v>
      </c>
      <c r="O6742" s="405" t="s">
        <v>1412</v>
      </c>
      <c r="P6742" s="405" t="s">
        <v>20946</v>
      </c>
      <c r="Q6742" s="411">
        <v>9</v>
      </c>
      <c r="R6742" s="405" t="s">
        <v>874</v>
      </c>
      <c r="S6742" s="405" t="s">
        <v>27249</v>
      </c>
      <c r="T6742" s="405" t="s">
        <v>32102</v>
      </c>
      <c r="U6742" s="405" t="s">
        <v>319</v>
      </c>
    </row>
    <row r="6743" spans="1:21" x14ac:dyDescent="0.25">
      <c r="A6743" s="405" t="s">
        <v>310</v>
      </c>
      <c r="B6743" s="405" t="s">
        <v>12178</v>
      </c>
      <c r="C6743" s="405" t="s">
        <v>327</v>
      </c>
      <c r="D6743" s="405"/>
      <c r="E6743" s="410">
        <v>41295</v>
      </c>
      <c r="F6743" s="410">
        <v>41340</v>
      </c>
      <c r="G6743" s="405" t="s">
        <v>12179</v>
      </c>
      <c r="H6743" s="405">
        <v>779065645</v>
      </c>
      <c r="I6743" s="405"/>
      <c r="J6743" s="405">
        <v>0.85216899999999995</v>
      </c>
      <c r="K6743" s="405">
        <v>34.384870999999997</v>
      </c>
      <c r="L6743" s="405" t="s">
        <v>6866</v>
      </c>
      <c r="M6743" s="405" t="s">
        <v>9763</v>
      </c>
      <c r="N6743" s="405" t="s">
        <v>11470</v>
      </c>
      <c r="O6743" s="405" t="s">
        <v>11471</v>
      </c>
      <c r="P6743" s="405" t="s">
        <v>12180</v>
      </c>
      <c r="Q6743" s="411">
        <v>4</v>
      </c>
      <c r="R6743" s="405" t="s">
        <v>7224</v>
      </c>
      <c r="S6743" s="405" t="s">
        <v>27107</v>
      </c>
      <c r="T6743" s="405" t="s">
        <v>32102</v>
      </c>
      <c r="U6743" s="405" t="s">
        <v>319</v>
      </c>
    </row>
    <row r="6744" spans="1:21" x14ac:dyDescent="0.25">
      <c r="A6744" s="405" t="s">
        <v>310</v>
      </c>
      <c r="B6744" s="405" t="s">
        <v>18484</v>
      </c>
      <c r="C6744" s="405" t="s">
        <v>327</v>
      </c>
      <c r="D6744" s="405"/>
      <c r="E6744" s="410">
        <v>41294</v>
      </c>
      <c r="F6744" s="410">
        <v>41339</v>
      </c>
      <c r="G6744" s="405" t="s">
        <v>18485</v>
      </c>
      <c r="H6744" s="405">
        <v>753611330</v>
      </c>
      <c r="I6744" s="405"/>
      <c r="J6744" s="405">
        <v>1.8227679999999999</v>
      </c>
      <c r="K6744" s="405">
        <v>32.325792999999997</v>
      </c>
      <c r="L6744" s="405" t="s">
        <v>860</v>
      </c>
      <c r="M6744" s="405" t="s">
        <v>861</v>
      </c>
      <c r="N6744" s="405" t="s">
        <v>18440</v>
      </c>
      <c r="O6744" s="405" t="s">
        <v>18441</v>
      </c>
      <c r="P6744" s="405" t="s">
        <v>18486</v>
      </c>
      <c r="Q6744" s="411">
        <v>9</v>
      </c>
      <c r="R6744" s="405" t="s">
        <v>525</v>
      </c>
      <c r="S6744" s="405" t="s">
        <v>27193</v>
      </c>
      <c r="T6744" s="405" t="s">
        <v>32102</v>
      </c>
      <c r="U6744" s="405" t="s">
        <v>319</v>
      </c>
    </row>
    <row r="6745" spans="1:21" x14ac:dyDescent="0.25">
      <c r="A6745" s="405" t="s">
        <v>310</v>
      </c>
      <c r="B6745" s="405" t="s">
        <v>3438</v>
      </c>
      <c r="C6745" s="405" t="s">
        <v>327</v>
      </c>
      <c r="D6745" s="405"/>
      <c r="E6745" s="410">
        <v>41294</v>
      </c>
      <c r="F6745" s="410">
        <v>41339</v>
      </c>
      <c r="G6745" s="405" t="s">
        <v>3439</v>
      </c>
      <c r="H6745" s="405">
        <v>702219255</v>
      </c>
      <c r="I6745" s="405"/>
      <c r="J6745" s="405">
        <v>0.488703</v>
      </c>
      <c r="K6745" s="405">
        <v>31.239322999999999</v>
      </c>
      <c r="L6745" s="405" t="s">
        <v>314</v>
      </c>
      <c r="M6745" s="405" t="s">
        <v>445</v>
      </c>
      <c r="N6745" s="405" t="s">
        <v>2528</v>
      </c>
      <c r="O6745" s="405" t="s">
        <v>3128</v>
      </c>
      <c r="P6745" s="405" t="s">
        <v>3440</v>
      </c>
      <c r="Q6745" s="411">
        <v>6</v>
      </c>
      <c r="R6745" s="405" t="s">
        <v>318</v>
      </c>
      <c r="S6745" s="405" t="s">
        <v>27054</v>
      </c>
      <c r="T6745" s="405" t="s">
        <v>32102</v>
      </c>
      <c r="U6745" s="405" t="s">
        <v>319</v>
      </c>
    </row>
    <row r="6746" spans="1:21" x14ac:dyDescent="0.25">
      <c r="A6746" s="405" t="s">
        <v>310</v>
      </c>
      <c r="B6746" s="405" t="s">
        <v>12143</v>
      </c>
      <c r="C6746" s="405" t="s">
        <v>857</v>
      </c>
      <c r="D6746" s="405" t="s">
        <v>33090</v>
      </c>
      <c r="E6746" s="410">
        <v>41294</v>
      </c>
      <c r="F6746" s="410">
        <v>41339</v>
      </c>
      <c r="G6746" s="405" t="s">
        <v>12144</v>
      </c>
      <c r="H6746" s="405">
        <v>772455076</v>
      </c>
      <c r="I6746" s="405">
        <v>782396378</v>
      </c>
      <c r="J6746" s="405">
        <v>1.7189920000000001</v>
      </c>
      <c r="K6746" s="405">
        <v>33.604039999999998</v>
      </c>
      <c r="L6746" s="405" t="s">
        <v>6866</v>
      </c>
      <c r="M6746" s="405" t="s">
        <v>10515</v>
      </c>
      <c r="N6746" s="405" t="s">
        <v>10765</v>
      </c>
      <c r="O6746" s="405" t="s">
        <v>9881</v>
      </c>
      <c r="P6746" s="405" t="s">
        <v>12145</v>
      </c>
      <c r="Q6746" s="411">
        <v>6</v>
      </c>
      <c r="R6746" s="405" t="s">
        <v>5655</v>
      </c>
      <c r="S6746" s="405" t="s">
        <v>27072</v>
      </c>
      <c r="T6746" s="405" t="s">
        <v>32102</v>
      </c>
      <c r="U6746" s="405" t="s">
        <v>319</v>
      </c>
    </row>
    <row r="6747" spans="1:21" x14ac:dyDescent="0.25">
      <c r="A6747" s="405" t="s">
        <v>310</v>
      </c>
      <c r="B6747" s="405" t="s">
        <v>18741</v>
      </c>
      <c r="C6747" s="405" t="s">
        <v>311</v>
      </c>
      <c r="D6747" s="405" t="s">
        <v>312</v>
      </c>
      <c r="E6747" s="410">
        <v>41294</v>
      </c>
      <c r="F6747" s="410">
        <v>41339</v>
      </c>
      <c r="G6747" s="405" t="s">
        <v>18742</v>
      </c>
      <c r="H6747" s="405">
        <v>782600742</v>
      </c>
      <c r="I6747" s="405">
        <v>772526793</v>
      </c>
      <c r="J6747" s="405">
        <v>2.7450519999999998</v>
      </c>
      <c r="K6747" s="405">
        <v>32.380859999999998</v>
      </c>
      <c r="L6747" s="405" t="s">
        <v>860</v>
      </c>
      <c r="M6747" s="405" t="s">
        <v>853</v>
      </c>
      <c r="N6747" s="405" t="s">
        <v>18311</v>
      </c>
      <c r="O6747" s="405" t="s">
        <v>18307</v>
      </c>
      <c r="P6747" s="405" t="s">
        <v>18743</v>
      </c>
      <c r="Q6747" s="411">
        <v>6</v>
      </c>
      <c r="R6747" s="405" t="s">
        <v>994</v>
      </c>
      <c r="S6747" s="405" t="s">
        <v>27079</v>
      </c>
      <c r="T6747" s="405" t="s">
        <v>32102</v>
      </c>
      <c r="U6747" s="405" t="s">
        <v>319</v>
      </c>
    </row>
    <row r="6748" spans="1:21" x14ac:dyDescent="0.25">
      <c r="A6748" s="405" t="s">
        <v>310</v>
      </c>
      <c r="B6748" s="405" t="s">
        <v>18447</v>
      </c>
      <c r="C6748" s="405" t="s">
        <v>327</v>
      </c>
      <c r="D6748" s="405"/>
      <c r="E6748" s="410">
        <v>41292</v>
      </c>
      <c r="F6748" s="410">
        <v>41337</v>
      </c>
      <c r="G6748" s="405" t="s">
        <v>18448</v>
      </c>
      <c r="H6748" s="405">
        <v>777214481</v>
      </c>
      <c r="I6748" s="405"/>
      <c r="J6748" s="405">
        <v>2.386504</v>
      </c>
      <c r="K6748" s="405">
        <v>33.061715</v>
      </c>
      <c r="L6748" s="405" t="s">
        <v>860</v>
      </c>
      <c r="M6748" s="405" t="s">
        <v>18376</v>
      </c>
      <c r="N6748" s="405" t="s">
        <v>16319</v>
      </c>
      <c r="O6748" s="405" t="s">
        <v>18377</v>
      </c>
      <c r="P6748" s="405" t="s">
        <v>18449</v>
      </c>
      <c r="Q6748" s="411">
        <v>6</v>
      </c>
      <c r="R6748" s="405" t="s">
        <v>318</v>
      </c>
      <c r="S6748" s="405" t="s">
        <v>27343</v>
      </c>
      <c r="T6748" s="405" t="s">
        <v>32102</v>
      </c>
      <c r="U6748" s="405" t="s">
        <v>319</v>
      </c>
    </row>
    <row r="6749" spans="1:21" x14ac:dyDescent="0.25">
      <c r="A6749" s="405" t="s">
        <v>310</v>
      </c>
      <c r="B6749" s="405" t="s">
        <v>3417</v>
      </c>
      <c r="C6749" s="405" t="s">
        <v>327</v>
      </c>
      <c r="D6749" s="405"/>
      <c r="E6749" s="410">
        <v>41291</v>
      </c>
      <c r="F6749" s="410">
        <v>41336</v>
      </c>
      <c r="G6749" s="405" t="s">
        <v>3418</v>
      </c>
      <c r="H6749" s="405">
        <v>751863336</v>
      </c>
      <c r="I6749" s="405"/>
      <c r="J6749" s="405">
        <v>0.69591800000000004</v>
      </c>
      <c r="K6749" s="405">
        <v>31.794312000000001</v>
      </c>
      <c r="L6749" s="405" t="s">
        <v>314</v>
      </c>
      <c r="M6749" s="405" t="s">
        <v>445</v>
      </c>
      <c r="N6749" s="405" t="s">
        <v>570</v>
      </c>
      <c r="O6749" s="405" t="s">
        <v>2213</v>
      </c>
      <c r="P6749" s="405" t="s">
        <v>3419</v>
      </c>
      <c r="Q6749" s="411">
        <v>4</v>
      </c>
      <c r="R6749" s="405" t="s">
        <v>32476</v>
      </c>
      <c r="S6749" s="405" t="s">
        <v>27189</v>
      </c>
      <c r="T6749" s="405" t="s">
        <v>32102</v>
      </c>
      <c r="U6749" s="405" t="s">
        <v>319</v>
      </c>
    </row>
    <row r="6750" spans="1:21" x14ac:dyDescent="0.25">
      <c r="A6750" s="405" t="s">
        <v>310</v>
      </c>
      <c r="B6750" s="405" t="s">
        <v>28146</v>
      </c>
      <c r="C6750" s="405" t="s">
        <v>311</v>
      </c>
      <c r="D6750" s="405" t="s">
        <v>1789</v>
      </c>
      <c r="E6750" s="410">
        <v>41290</v>
      </c>
      <c r="F6750" s="410">
        <v>41335</v>
      </c>
      <c r="G6750" s="405" t="s">
        <v>3964</v>
      </c>
      <c r="H6750" s="405">
        <v>778106067</v>
      </c>
      <c r="I6750" s="405"/>
      <c r="J6750" s="405">
        <v>0.99491200000000002</v>
      </c>
      <c r="K6750" s="405">
        <v>31.617826999999998</v>
      </c>
      <c r="L6750" s="405" t="s">
        <v>314</v>
      </c>
      <c r="M6750" s="405" t="s">
        <v>1360</v>
      </c>
      <c r="N6750" s="405" t="s">
        <v>1361</v>
      </c>
      <c r="O6750" s="405" t="s">
        <v>3965</v>
      </c>
      <c r="P6750" s="405" t="s">
        <v>3966</v>
      </c>
      <c r="Q6750" s="411">
        <v>9</v>
      </c>
      <c r="R6750" s="405" t="s">
        <v>32476</v>
      </c>
      <c r="S6750" s="405" t="s">
        <v>27185</v>
      </c>
      <c r="T6750" s="405" t="s">
        <v>32102</v>
      </c>
      <c r="U6750" s="405" t="s">
        <v>319</v>
      </c>
    </row>
    <row r="6751" spans="1:21" x14ac:dyDescent="0.25">
      <c r="A6751" s="405" t="s">
        <v>310</v>
      </c>
      <c r="B6751" s="405" t="s">
        <v>12134</v>
      </c>
      <c r="C6751" s="405" t="s">
        <v>327</v>
      </c>
      <c r="D6751" s="405"/>
      <c r="E6751" s="410">
        <v>41290</v>
      </c>
      <c r="F6751" s="410">
        <v>41335</v>
      </c>
      <c r="G6751" s="405" t="s">
        <v>12135</v>
      </c>
      <c r="H6751" s="405">
        <v>782611974</v>
      </c>
      <c r="I6751" s="405"/>
      <c r="J6751" s="405">
        <v>1.9590019999999999</v>
      </c>
      <c r="K6751" s="405">
        <v>33.986628000000003</v>
      </c>
      <c r="L6751" s="405" t="s">
        <v>6866</v>
      </c>
      <c r="M6751" s="405" t="s">
        <v>11355</v>
      </c>
      <c r="N6751" s="405" t="s">
        <v>11356</v>
      </c>
      <c r="O6751" s="405" t="s">
        <v>11355</v>
      </c>
      <c r="P6751" s="405" t="s">
        <v>12136</v>
      </c>
      <c r="Q6751" s="411">
        <v>6</v>
      </c>
      <c r="R6751" s="405" t="s">
        <v>5655</v>
      </c>
      <c r="S6751" s="405" t="s">
        <v>27072</v>
      </c>
      <c r="T6751" s="405" t="s">
        <v>32102</v>
      </c>
      <c r="U6751" s="405" t="s">
        <v>319</v>
      </c>
    </row>
    <row r="6752" spans="1:21" x14ac:dyDescent="0.25">
      <c r="A6752" s="405" t="s">
        <v>310</v>
      </c>
      <c r="B6752" s="405" t="s">
        <v>28655</v>
      </c>
      <c r="C6752" s="405" t="s">
        <v>327</v>
      </c>
      <c r="D6752" s="405"/>
      <c r="E6752" s="410">
        <v>41289</v>
      </c>
      <c r="F6752" s="410">
        <v>41334</v>
      </c>
      <c r="G6752" s="405" t="s">
        <v>3442</v>
      </c>
      <c r="H6752" s="405">
        <v>702023716</v>
      </c>
      <c r="I6752" s="405"/>
      <c r="J6752" s="405">
        <v>0.47237200000000001</v>
      </c>
      <c r="K6752" s="405">
        <v>31.231262999999998</v>
      </c>
      <c r="L6752" s="405" t="s">
        <v>314</v>
      </c>
      <c r="M6752" s="405" t="s">
        <v>445</v>
      </c>
      <c r="N6752" s="405" t="s">
        <v>2528</v>
      </c>
      <c r="O6752" s="405" t="s">
        <v>3241</v>
      </c>
      <c r="P6752" s="405" t="s">
        <v>3443</v>
      </c>
      <c r="Q6752" s="411">
        <v>6</v>
      </c>
      <c r="R6752" s="405" t="s">
        <v>32476</v>
      </c>
      <c r="S6752" s="405" t="s">
        <v>27053</v>
      </c>
      <c r="T6752" s="405" t="s">
        <v>32102</v>
      </c>
      <c r="U6752" s="405" t="s">
        <v>319</v>
      </c>
    </row>
    <row r="6753" spans="1:21" x14ac:dyDescent="0.25">
      <c r="A6753" s="405" t="s">
        <v>310</v>
      </c>
      <c r="B6753" s="405" t="s">
        <v>3388</v>
      </c>
      <c r="C6753" s="405" t="s">
        <v>327</v>
      </c>
      <c r="D6753" s="405"/>
      <c r="E6753" s="410">
        <v>41289</v>
      </c>
      <c r="F6753" s="410">
        <v>41334</v>
      </c>
      <c r="G6753" s="405" t="s">
        <v>3389</v>
      </c>
      <c r="H6753" s="405">
        <v>772545752</v>
      </c>
      <c r="I6753" s="405"/>
      <c r="J6753" s="405">
        <v>0.21029100000000001</v>
      </c>
      <c r="K6753" s="405">
        <v>32.057425000000002</v>
      </c>
      <c r="L6753" s="405" t="s">
        <v>314</v>
      </c>
      <c r="M6753" s="405" t="s">
        <v>339</v>
      </c>
      <c r="N6753" s="405" t="s">
        <v>339</v>
      </c>
      <c r="O6753" s="405" t="s">
        <v>2272</v>
      </c>
      <c r="P6753" s="405" t="s">
        <v>3006</v>
      </c>
      <c r="Q6753" s="411">
        <v>6</v>
      </c>
      <c r="R6753" s="405" t="s">
        <v>1263</v>
      </c>
      <c r="S6753" s="405" t="s">
        <v>27206</v>
      </c>
      <c r="T6753" s="405" t="s">
        <v>32102</v>
      </c>
      <c r="U6753" s="405" t="s">
        <v>319</v>
      </c>
    </row>
    <row r="6754" spans="1:21" x14ac:dyDescent="0.25">
      <c r="A6754" s="405" t="s">
        <v>310</v>
      </c>
      <c r="B6754" s="405" t="s">
        <v>27661</v>
      </c>
      <c r="C6754" s="405" t="s">
        <v>327</v>
      </c>
      <c r="D6754" s="405"/>
      <c r="E6754" s="410">
        <v>41288</v>
      </c>
      <c r="F6754" s="410">
        <v>41333</v>
      </c>
      <c r="G6754" s="405" t="s">
        <v>20791</v>
      </c>
      <c r="H6754" s="405">
        <v>771613745</v>
      </c>
      <c r="I6754" s="405">
        <v>757540129</v>
      </c>
      <c r="J6754" s="405">
        <v>-0.48485499999999998</v>
      </c>
      <c r="K6754" s="405">
        <v>30.313903</v>
      </c>
      <c r="L6754" s="405" t="s">
        <v>590</v>
      </c>
      <c r="M6754" s="405" t="s">
        <v>19725</v>
      </c>
      <c r="N6754" s="405" t="s">
        <v>19725</v>
      </c>
      <c r="O6754" s="405" t="s">
        <v>20792</v>
      </c>
      <c r="P6754" s="405" t="s">
        <v>20793</v>
      </c>
      <c r="Q6754" s="411">
        <v>6</v>
      </c>
      <c r="R6754" s="405" t="s">
        <v>333</v>
      </c>
      <c r="S6754" s="405" t="s">
        <v>27104</v>
      </c>
      <c r="T6754" s="405" t="s">
        <v>32102</v>
      </c>
      <c r="U6754" s="405" t="s">
        <v>319</v>
      </c>
    </row>
    <row r="6755" spans="1:21" x14ac:dyDescent="0.25">
      <c r="A6755" s="405" t="s">
        <v>310</v>
      </c>
      <c r="B6755" s="405" t="s">
        <v>12100</v>
      </c>
      <c r="C6755" s="405" t="s">
        <v>327</v>
      </c>
      <c r="D6755" s="405"/>
      <c r="E6755" s="410">
        <v>41288</v>
      </c>
      <c r="F6755" s="410">
        <v>41333</v>
      </c>
      <c r="G6755" s="405" t="s">
        <v>12101</v>
      </c>
      <c r="H6755" s="405">
        <v>779464858</v>
      </c>
      <c r="I6755" s="405"/>
      <c r="J6755" s="405">
        <v>0.51972499999999999</v>
      </c>
      <c r="K6755" s="405">
        <v>34.116604000000002</v>
      </c>
      <c r="L6755" s="405" t="s">
        <v>6866</v>
      </c>
      <c r="M6755" s="405" t="s">
        <v>10390</v>
      </c>
      <c r="N6755" s="405" t="s">
        <v>12102</v>
      </c>
      <c r="O6755" s="405" t="s">
        <v>12103</v>
      </c>
      <c r="P6755" s="405" t="s">
        <v>12104</v>
      </c>
      <c r="Q6755" s="411">
        <v>6</v>
      </c>
      <c r="R6755" s="405" t="s">
        <v>7224</v>
      </c>
      <c r="S6755" s="405" t="s">
        <v>17013</v>
      </c>
      <c r="T6755" s="405" t="s">
        <v>32102</v>
      </c>
      <c r="U6755" s="405" t="s">
        <v>319</v>
      </c>
    </row>
    <row r="6756" spans="1:21" x14ac:dyDescent="0.25">
      <c r="A6756" s="405" t="s">
        <v>310</v>
      </c>
      <c r="B6756" s="405" t="s">
        <v>20801</v>
      </c>
      <c r="C6756" s="405" t="s">
        <v>327</v>
      </c>
      <c r="D6756" s="405"/>
      <c r="E6756" s="410">
        <v>41287</v>
      </c>
      <c r="F6756" s="410">
        <v>41332</v>
      </c>
      <c r="G6756" s="405" t="s">
        <v>20802</v>
      </c>
      <c r="H6756" s="405">
        <v>777665097</v>
      </c>
      <c r="I6756" s="405">
        <v>781641448</v>
      </c>
      <c r="J6756" s="405">
        <v>1.021452</v>
      </c>
      <c r="K6756" s="405">
        <v>30.920646999999999</v>
      </c>
      <c r="L6756" s="405" t="s">
        <v>590</v>
      </c>
      <c r="M6756" s="405" t="s">
        <v>20803</v>
      </c>
      <c r="N6756" s="405" t="s">
        <v>20804</v>
      </c>
      <c r="O6756" s="405" t="s">
        <v>15979</v>
      </c>
      <c r="P6756" s="405" t="s">
        <v>19621</v>
      </c>
      <c r="Q6756" s="411">
        <v>6</v>
      </c>
      <c r="R6756" s="405" t="s">
        <v>525</v>
      </c>
      <c r="S6756" s="405" t="s">
        <v>22481</v>
      </c>
      <c r="T6756" s="405" t="s">
        <v>32102</v>
      </c>
      <c r="U6756" s="405" t="s">
        <v>319</v>
      </c>
    </row>
    <row r="6757" spans="1:21" x14ac:dyDescent="0.25">
      <c r="A6757" s="405" t="s">
        <v>310</v>
      </c>
      <c r="B6757" s="405" t="s">
        <v>3355</v>
      </c>
      <c r="C6757" s="405" t="s">
        <v>327</v>
      </c>
      <c r="D6757" s="405"/>
      <c r="E6757" s="410">
        <v>41287</v>
      </c>
      <c r="F6757" s="410">
        <v>41332</v>
      </c>
      <c r="G6757" s="405" t="s">
        <v>3356</v>
      </c>
      <c r="H6757" s="405">
        <v>786912368</v>
      </c>
      <c r="I6757" s="405"/>
      <c r="J6757" s="405">
        <v>6.8916666666666668E-2</v>
      </c>
      <c r="K6757" s="405">
        <v>32.101233333333333</v>
      </c>
      <c r="L6757" s="405" t="s">
        <v>314</v>
      </c>
      <c r="M6757" s="405" t="s">
        <v>321</v>
      </c>
      <c r="N6757" s="405" t="s">
        <v>322</v>
      </c>
      <c r="O6757" s="405" t="s">
        <v>476</v>
      </c>
      <c r="P6757" s="405" t="s">
        <v>3357</v>
      </c>
      <c r="Q6757" s="411">
        <v>6</v>
      </c>
      <c r="R6757" s="405" t="s">
        <v>318</v>
      </c>
      <c r="S6757" s="405" t="s">
        <v>27167</v>
      </c>
      <c r="T6757" s="405" t="s">
        <v>32102</v>
      </c>
      <c r="U6757" s="405" t="s">
        <v>319</v>
      </c>
    </row>
    <row r="6758" spans="1:21" x14ac:dyDescent="0.25">
      <c r="A6758" s="405" t="s">
        <v>310</v>
      </c>
      <c r="B6758" s="405" t="s">
        <v>3302</v>
      </c>
      <c r="C6758" s="405" t="s">
        <v>327</v>
      </c>
      <c r="D6758" s="405"/>
      <c r="E6758" s="410">
        <v>41287</v>
      </c>
      <c r="F6758" s="410">
        <v>41332</v>
      </c>
      <c r="G6758" s="405" t="s">
        <v>3303</v>
      </c>
      <c r="H6758" s="405">
        <v>704089484</v>
      </c>
      <c r="I6758" s="405"/>
      <c r="J6758" s="405">
        <v>0.70789299999999999</v>
      </c>
      <c r="K6758" s="405">
        <v>32.897385</v>
      </c>
      <c r="L6758" s="405" t="s">
        <v>314</v>
      </c>
      <c r="M6758" s="405" t="s">
        <v>502</v>
      </c>
      <c r="N6758" s="405" t="s">
        <v>2610</v>
      </c>
      <c r="O6758" s="405" t="s">
        <v>3304</v>
      </c>
      <c r="P6758" s="405" t="s">
        <v>3181</v>
      </c>
      <c r="Q6758" s="411">
        <v>6</v>
      </c>
      <c r="R6758" s="405" t="s">
        <v>1263</v>
      </c>
      <c r="S6758" s="405" t="s">
        <v>27164</v>
      </c>
      <c r="T6758" s="405" t="s">
        <v>32102</v>
      </c>
      <c r="U6758" s="405" t="s">
        <v>319</v>
      </c>
    </row>
    <row r="6759" spans="1:21" x14ac:dyDescent="0.25">
      <c r="A6759" s="405" t="s">
        <v>310</v>
      </c>
      <c r="B6759" s="405" t="s">
        <v>3335</v>
      </c>
      <c r="C6759" s="405" t="s">
        <v>327</v>
      </c>
      <c r="D6759" s="405"/>
      <c r="E6759" s="410">
        <v>41286</v>
      </c>
      <c r="F6759" s="410">
        <v>41331</v>
      </c>
      <c r="G6759" s="405" t="s">
        <v>3336</v>
      </c>
      <c r="H6759" s="405">
        <v>782957781</v>
      </c>
      <c r="I6759" s="405"/>
      <c r="J6759" s="405">
        <v>-0.22217700000000001</v>
      </c>
      <c r="K6759" s="405">
        <v>31.751442000000001</v>
      </c>
      <c r="L6759" s="405" t="s">
        <v>314</v>
      </c>
      <c r="M6759" s="405" t="s">
        <v>900</v>
      </c>
      <c r="N6759" s="405" t="s">
        <v>1119</v>
      </c>
      <c r="O6759" s="405" t="s">
        <v>1120</v>
      </c>
      <c r="P6759" s="405" t="s">
        <v>3337</v>
      </c>
      <c r="Q6759" s="411">
        <v>13</v>
      </c>
      <c r="R6759" s="405" t="s">
        <v>1263</v>
      </c>
      <c r="S6759" s="405" t="s">
        <v>27045</v>
      </c>
      <c r="T6759" s="405" t="s">
        <v>32102</v>
      </c>
      <c r="U6759" s="405" t="s">
        <v>319</v>
      </c>
    </row>
    <row r="6760" spans="1:21" x14ac:dyDescent="0.25">
      <c r="A6760" s="405" t="s">
        <v>310</v>
      </c>
      <c r="B6760" s="405" t="s">
        <v>20872</v>
      </c>
      <c r="C6760" s="405" t="s">
        <v>327</v>
      </c>
      <c r="D6760" s="405"/>
      <c r="E6760" s="410">
        <v>41286</v>
      </c>
      <c r="F6760" s="410">
        <v>41331</v>
      </c>
      <c r="G6760" s="405" t="s">
        <v>20873</v>
      </c>
      <c r="H6760" s="405">
        <v>772468114</v>
      </c>
      <c r="I6760" s="405">
        <v>752798214</v>
      </c>
      <c r="J6760" s="405">
        <v>0.397005</v>
      </c>
      <c r="K6760" s="405">
        <v>30.246528000000001</v>
      </c>
      <c r="L6760" s="405" t="s">
        <v>590</v>
      </c>
      <c r="M6760" s="405" t="s">
        <v>20125</v>
      </c>
      <c r="N6760" s="405" t="s">
        <v>20866</v>
      </c>
      <c r="O6760" s="405" t="s">
        <v>20868</v>
      </c>
      <c r="P6760" s="405" t="s">
        <v>20871</v>
      </c>
      <c r="Q6760" s="411">
        <v>9</v>
      </c>
      <c r="R6760" s="405" t="s">
        <v>883</v>
      </c>
      <c r="S6760" s="405" t="s">
        <v>27183</v>
      </c>
      <c r="T6760" s="405" t="s">
        <v>32102</v>
      </c>
      <c r="U6760" s="405" t="s">
        <v>319</v>
      </c>
    </row>
    <row r="6761" spans="1:21" x14ac:dyDescent="0.25">
      <c r="A6761" s="405" t="s">
        <v>310</v>
      </c>
      <c r="B6761" s="405" t="s">
        <v>3286</v>
      </c>
      <c r="C6761" s="405" t="s">
        <v>327</v>
      </c>
      <c r="D6761" s="405"/>
      <c r="E6761" s="410">
        <v>41286</v>
      </c>
      <c r="F6761" s="410">
        <v>41331</v>
      </c>
      <c r="G6761" s="405" t="s">
        <v>3287</v>
      </c>
      <c r="H6761" s="405">
        <v>773946215</v>
      </c>
      <c r="I6761" s="405">
        <v>752935373</v>
      </c>
      <c r="J6761" s="405">
        <v>-0.54760799999999998</v>
      </c>
      <c r="K6761" s="405">
        <v>31.646585000000002</v>
      </c>
      <c r="L6761" s="405" t="s">
        <v>314</v>
      </c>
      <c r="M6761" s="405" t="s">
        <v>398</v>
      </c>
      <c r="N6761" s="405" t="s">
        <v>399</v>
      </c>
      <c r="O6761" s="405" t="s">
        <v>740</v>
      </c>
      <c r="P6761" s="405" t="s">
        <v>3288</v>
      </c>
      <c r="Q6761" s="411">
        <v>9</v>
      </c>
      <c r="R6761" s="405" t="s">
        <v>402</v>
      </c>
      <c r="S6761" s="405" t="s">
        <v>27052</v>
      </c>
      <c r="T6761" s="405" t="s">
        <v>32102</v>
      </c>
      <c r="U6761" s="405" t="s">
        <v>319</v>
      </c>
    </row>
    <row r="6762" spans="1:21" x14ac:dyDescent="0.25">
      <c r="A6762" s="405" t="s">
        <v>310</v>
      </c>
      <c r="B6762" s="405" t="s">
        <v>3835</v>
      </c>
      <c r="C6762" s="405" t="s">
        <v>311</v>
      </c>
      <c r="D6762" s="405" t="s">
        <v>1789</v>
      </c>
      <c r="E6762" s="410">
        <v>41286</v>
      </c>
      <c r="F6762" s="410">
        <v>41331</v>
      </c>
      <c r="G6762" s="405" t="s">
        <v>3836</v>
      </c>
      <c r="H6762" s="405">
        <v>753037592</v>
      </c>
      <c r="I6762" s="405">
        <v>7785889392</v>
      </c>
      <c r="J6762" s="405">
        <v>0.644702</v>
      </c>
      <c r="K6762" s="405">
        <v>32.975200000000001</v>
      </c>
      <c r="L6762" s="405" t="s">
        <v>314</v>
      </c>
      <c r="M6762" s="405" t="s">
        <v>502</v>
      </c>
      <c r="N6762" s="405" t="s">
        <v>503</v>
      </c>
      <c r="O6762" s="405" t="s">
        <v>504</v>
      </c>
      <c r="P6762" s="405" t="s">
        <v>3837</v>
      </c>
      <c r="Q6762" s="411">
        <v>6</v>
      </c>
      <c r="R6762" s="405" t="s">
        <v>402</v>
      </c>
      <c r="S6762" s="405" t="s">
        <v>27052</v>
      </c>
      <c r="T6762" s="405" t="s">
        <v>32102</v>
      </c>
      <c r="U6762" s="405" t="s">
        <v>319</v>
      </c>
    </row>
    <row r="6763" spans="1:21" x14ac:dyDescent="0.25">
      <c r="A6763" s="405" t="s">
        <v>310</v>
      </c>
      <c r="B6763" s="405" t="s">
        <v>12114</v>
      </c>
      <c r="C6763" s="405" t="s">
        <v>327</v>
      </c>
      <c r="D6763" s="405"/>
      <c r="E6763" s="410">
        <v>41286</v>
      </c>
      <c r="F6763" s="410">
        <v>41331</v>
      </c>
      <c r="G6763" s="405" t="s">
        <v>12115</v>
      </c>
      <c r="H6763" s="405">
        <v>777393474</v>
      </c>
      <c r="I6763" s="405">
        <v>779284522</v>
      </c>
      <c r="J6763" s="405">
        <v>0.90181</v>
      </c>
      <c r="K6763" s="405">
        <v>34.344363000000001</v>
      </c>
      <c r="L6763" s="405" t="s">
        <v>6866</v>
      </c>
      <c r="M6763" s="405" t="s">
        <v>9763</v>
      </c>
      <c r="N6763" s="405" t="s">
        <v>9848</v>
      </c>
      <c r="O6763" s="405" t="s">
        <v>11333</v>
      </c>
      <c r="P6763" s="405" t="s">
        <v>12116</v>
      </c>
      <c r="Q6763" s="411">
        <v>4</v>
      </c>
      <c r="R6763" s="405" t="s">
        <v>7224</v>
      </c>
      <c r="S6763" s="405" t="s">
        <v>27107</v>
      </c>
      <c r="T6763" s="405" t="s">
        <v>32102</v>
      </c>
      <c r="U6763" s="405" t="s">
        <v>319</v>
      </c>
    </row>
    <row r="6764" spans="1:21" x14ac:dyDescent="0.25">
      <c r="A6764" s="405" t="s">
        <v>310</v>
      </c>
      <c r="B6764" s="405" t="s">
        <v>12107</v>
      </c>
      <c r="C6764" s="405" t="s">
        <v>327</v>
      </c>
      <c r="D6764" s="405"/>
      <c r="E6764" s="410">
        <v>41286</v>
      </c>
      <c r="F6764" s="410">
        <v>41331</v>
      </c>
      <c r="G6764" s="405" t="s">
        <v>12108</v>
      </c>
      <c r="H6764" s="405">
        <v>782223179</v>
      </c>
      <c r="I6764" s="405"/>
      <c r="J6764" s="405">
        <v>0.89795700000000001</v>
      </c>
      <c r="K6764" s="405">
        <v>34.344307000000001</v>
      </c>
      <c r="L6764" s="405" t="s">
        <v>6866</v>
      </c>
      <c r="M6764" s="405" t="s">
        <v>9763</v>
      </c>
      <c r="N6764" s="405" t="s">
        <v>9848</v>
      </c>
      <c r="O6764" s="405" t="s">
        <v>11333</v>
      </c>
      <c r="P6764" s="405" t="s">
        <v>12109</v>
      </c>
      <c r="Q6764" s="411">
        <v>4</v>
      </c>
      <c r="R6764" s="405" t="s">
        <v>7224</v>
      </c>
      <c r="S6764" s="405" t="s">
        <v>27283</v>
      </c>
      <c r="T6764" s="405" t="s">
        <v>32102</v>
      </c>
      <c r="U6764" s="405" t="s">
        <v>319</v>
      </c>
    </row>
    <row r="6765" spans="1:21" x14ac:dyDescent="0.25">
      <c r="A6765" s="405" t="s">
        <v>310</v>
      </c>
      <c r="B6765" s="405" t="s">
        <v>3292</v>
      </c>
      <c r="C6765" s="405" t="s">
        <v>327</v>
      </c>
      <c r="D6765" s="405"/>
      <c r="E6765" s="410">
        <v>41286</v>
      </c>
      <c r="F6765" s="410">
        <v>41331</v>
      </c>
      <c r="G6765" s="405" t="s">
        <v>3293</v>
      </c>
      <c r="H6765" s="405">
        <v>773272374</v>
      </c>
      <c r="I6765" s="405"/>
      <c r="J6765" s="405">
        <v>-0.64021300000000003</v>
      </c>
      <c r="K6765" s="405">
        <v>31.407333000000001</v>
      </c>
      <c r="L6765" s="405" t="s">
        <v>314</v>
      </c>
      <c r="M6765" s="405" t="s">
        <v>398</v>
      </c>
      <c r="N6765" s="405" t="s">
        <v>2791</v>
      </c>
      <c r="O6765" s="405" t="s">
        <v>2758</v>
      </c>
      <c r="P6765" s="405" t="s">
        <v>3294</v>
      </c>
      <c r="Q6765" s="411">
        <v>4</v>
      </c>
      <c r="R6765" s="405" t="s">
        <v>1263</v>
      </c>
      <c r="S6765" s="405" t="s">
        <v>27202</v>
      </c>
      <c r="T6765" s="405" t="s">
        <v>32102</v>
      </c>
      <c r="U6765" s="405" t="s">
        <v>319</v>
      </c>
    </row>
    <row r="6766" spans="1:21" x14ac:dyDescent="0.25">
      <c r="A6766" s="405" t="s">
        <v>310</v>
      </c>
      <c r="B6766" s="405" t="s">
        <v>12110</v>
      </c>
      <c r="C6766" s="405" t="s">
        <v>327</v>
      </c>
      <c r="D6766" s="405"/>
      <c r="E6766" s="410">
        <v>41286</v>
      </c>
      <c r="F6766" s="410">
        <v>41331</v>
      </c>
      <c r="G6766" s="405" t="s">
        <v>12111</v>
      </c>
      <c r="H6766" s="405">
        <v>777352887</v>
      </c>
      <c r="I6766" s="405"/>
      <c r="J6766" s="405">
        <v>0.89937900000000004</v>
      </c>
      <c r="K6766" s="405">
        <v>34.344330999999997</v>
      </c>
      <c r="L6766" s="405" t="s">
        <v>6866</v>
      </c>
      <c r="M6766" s="405" t="s">
        <v>9763</v>
      </c>
      <c r="N6766" s="405" t="s">
        <v>9848</v>
      </c>
      <c r="O6766" s="405" t="s">
        <v>11333</v>
      </c>
      <c r="P6766" s="405" t="s">
        <v>12109</v>
      </c>
      <c r="Q6766" s="411">
        <v>4</v>
      </c>
      <c r="R6766" s="405" t="s">
        <v>7224</v>
      </c>
      <c r="S6766" s="405" t="s">
        <v>27304</v>
      </c>
      <c r="T6766" s="405" t="s">
        <v>32102</v>
      </c>
      <c r="U6766" s="405" t="s">
        <v>319</v>
      </c>
    </row>
    <row r="6767" spans="1:21" x14ac:dyDescent="0.25">
      <c r="A6767" s="405" t="s">
        <v>310</v>
      </c>
      <c r="B6767" s="405" t="s">
        <v>12112</v>
      </c>
      <c r="C6767" s="405" t="s">
        <v>327</v>
      </c>
      <c r="D6767" s="405"/>
      <c r="E6767" s="410">
        <v>41286</v>
      </c>
      <c r="F6767" s="410">
        <v>41331</v>
      </c>
      <c r="G6767" s="405" t="s">
        <v>12113</v>
      </c>
      <c r="H6767" s="405">
        <v>784611796</v>
      </c>
      <c r="I6767" s="405">
        <v>779190934</v>
      </c>
      <c r="J6767" s="405">
        <v>0.89954400000000001</v>
      </c>
      <c r="K6767" s="405">
        <v>34.343901000000002</v>
      </c>
      <c r="L6767" s="405" t="s">
        <v>6866</v>
      </c>
      <c r="M6767" s="405" t="s">
        <v>9763</v>
      </c>
      <c r="N6767" s="405" t="s">
        <v>9848</v>
      </c>
      <c r="O6767" s="405" t="s">
        <v>11333</v>
      </c>
      <c r="P6767" s="405" t="s">
        <v>12109</v>
      </c>
      <c r="Q6767" s="411">
        <v>4</v>
      </c>
      <c r="R6767" s="405" t="s">
        <v>7224</v>
      </c>
      <c r="S6767" s="405" t="s">
        <v>17062</v>
      </c>
      <c r="T6767" s="405" t="s">
        <v>32102</v>
      </c>
      <c r="U6767" s="405" t="s">
        <v>319</v>
      </c>
    </row>
    <row r="6768" spans="1:21" x14ac:dyDescent="0.25">
      <c r="A6768" s="405" t="s">
        <v>310</v>
      </c>
      <c r="B6768" s="405" t="s">
        <v>27902</v>
      </c>
      <c r="C6768" s="405" t="s">
        <v>327</v>
      </c>
      <c r="D6768" s="405"/>
      <c r="E6768" s="410">
        <v>41285</v>
      </c>
      <c r="F6768" s="410">
        <v>41330</v>
      </c>
      <c r="G6768" s="405" t="s">
        <v>3325</v>
      </c>
      <c r="H6768" s="405">
        <v>772662081</v>
      </c>
      <c r="I6768" s="405"/>
      <c r="J6768" s="405">
        <v>3.8181E-2</v>
      </c>
      <c r="K6768" s="405">
        <v>32.077401700000003</v>
      </c>
      <c r="L6768" s="405" t="s">
        <v>314</v>
      </c>
      <c r="M6768" s="405" t="s">
        <v>321</v>
      </c>
      <c r="N6768" s="405" t="s">
        <v>322</v>
      </c>
      <c r="O6768" s="405" t="s">
        <v>476</v>
      </c>
      <c r="P6768" s="405" t="s">
        <v>3326</v>
      </c>
      <c r="Q6768" s="411">
        <v>6</v>
      </c>
      <c r="R6768" s="405" t="s">
        <v>318</v>
      </c>
      <c r="S6768" s="405" t="s">
        <v>27064</v>
      </c>
      <c r="T6768" s="405" t="s">
        <v>32102</v>
      </c>
      <c r="U6768" s="405" t="s">
        <v>319</v>
      </c>
    </row>
    <row r="6769" spans="1:21" x14ac:dyDescent="0.25">
      <c r="A6769" s="405" t="s">
        <v>310</v>
      </c>
      <c r="B6769" s="405" t="s">
        <v>3317</v>
      </c>
      <c r="C6769" s="405" t="s">
        <v>327</v>
      </c>
      <c r="D6769" s="405"/>
      <c r="E6769" s="410">
        <v>41285</v>
      </c>
      <c r="F6769" s="410">
        <v>41330</v>
      </c>
      <c r="G6769" s="405" t="s">
        <v>3318</v>
      </c>
      <c r="H6769" s="405">
        <v>787350296</v>
      </c>
      <c r="I6769" s="405"/>
      <c r="J6769" s="405">
        <v>0.62170700000000001</v>
      </c>
      <c r="K6769" s="405">
        <v>33.041629999999998</v>
      </c>
      <c r="L6769" s="405" t="s">
        <v>314</v>
      </c>
      <c r="M6769" s="405" t="s">
        <v>502</v>
      </c>
      <c r="N6769" s="405" t="s">
        <v>503</v>
      </c>
      <c r="O6769" s="405" t="s">
        <v>2179</v>
      </c>
      <c r="P6769" s="405" t="s">
        <v>3319</v>
      </c>
      <c r="Q6769" s="411">
        <v>6</v>
      </c>
      <c r="R6769" s="405" t="s">
        <v>402</v>
      </c>
      <c r="S6769" s="405" t="s">
        <v>27052</v>
      </c>
      <c r="T6769" s="405" t="s">
        <v>32102</v>
      </c>
      <c r="U6769" s="405" t="s">
        <v>319</v>
      </c>
    </row>
    <row r="6770" spans="1:21" x14ac:dyDescent="0.25">
      <c r="A6770" s="405" t="s">
        <v>310</v>
      </c>
      <c r="B6770" s="405" t="s">
        <v>12120</v>
      </c>
      <c r="C6770" s="405" t="s">
        <v>327</v>
      </c>
      <c r="D6770" s="405"/>
      <c r="E6770" s="410">
        <v>41285</v>
      </c>
      <c r="F6770" s="410">
        <v>41330</v>
      </c>
      <c r="G6770" s="405" t="s">
        <v>12121</v>
      </c>
      <c r="H6770" s="405">
        <v>779780992</v>
      </c>
      <c r="I6770" s="405"/>
      <c r="J6770" s="405">
        <v>0.84946999999999995</v>
      </c>
      <c r="K6770" s="405">
        <v>34.245032000000002</v>
      </c>
      <c r="L6770" s="405" t="s">
        <v>6866</v>
      </c>
      <c r="M6770" s="405" t="s">
        <v>9763</v>
      </c>
      <c r="N6770" s="405" t="s">
        <v>9764</v>
      </c>
      <c r="O6770" s="405" t="s">
        <v>11120</v>
      </c>
      <c r="P6770" s="405" t="s">
        <v>12122</v>
      </c>
      <c r="Q6770" s="411">
        <v>4</v>
      </c>
      <c r="R6770" s="405" t="s">
        <v>7224</v>
      </c>
      <c r="S6770" s="405" t="s">
        <v>27204</v>
      </c>
      <c r="T6770" s="405" t="s">
        <v>32102</v>
      </c>
      <c r="U6770" s="405" t="s">
        <v>319</v>
      </c>
    </row>
    <row r="6771" spans="1:21" x14ac:dyDescent="0.25">
      <c r="A6771" s="405" t="s">
        <v>310</v>
      </c>
      <c r="B6771" s="412" t="s">
        <v>32128</v>
      </c>
      <c r="C6771" s="413" t="s">
        <v>327</v>
      </c>
      <c r="D6771" s="413"/>
      <c r="E6771" s="412" t="s">
        <v>32129</v>
      </c>
      <c r="F6771" s="414">
        <v>45215</v>
      </c>
      <c r="G6771" s="412" t="s">
        <v>32130</v>
      </c>
      <c r="H6771" s="406" t="s">
        <v>32131</v>
      </c>
      <c r="I6771" s="406" t="s">
        <v>32132</v>
      </c>
      <c r="J6771" s="408">
        <v>-0.29067500000000002</v>
      </c>
      <c r="K6771" s="408">
        <v>31.78425</v>
      </c>
      <c r="L6771" s="406" t="s">
        <v>314</v>
      </c>
      <c r="M6771" s="406" t="s">
        <v>1080</v>
      </c>
      <c r="N6771" s="406" t="s">
        <v>1080</v>
      </c>
      <c r="O6771" s="406" t="s">
        <v>32133</v>
      </c>
      <c r="P6771" s="406" t="s">
        <v>1080</v>
      </c>
      <c r="Q6771" s="409">
        <v>45</v>
      </c>
      <c r="R6771" s="406" t="s">
        <v>32101</v>
      </c>
      <c r="S6771" s="406" t="s">
        <v>32134</v>
      </c>
      <c r="T6771" s="405" t="s">
        <v>32102</v>
      </c>
      <c r="U6771" s="405" t="s">
        <v>319</v>
      </c>
    </row>
    <row r="6772" spans="1:21" x14ac:dyDescent="0.25">
      <c r="A6772" s="405" t="s">
        <v>310</v>
      </c>
      <c r="B6772" s="405" t="s">
        <v>27668</v>
      </c>
      <c r="C6772" s="405" t="s">
        <v>327</v>
      </c>
      <c r="D6772" s="405"/>
      <c r="E6772" s="410">
        <v>41283</v>
      </c>
      <c r="F6772" s="410">
        <v>41328</v>
      </c>
      <c r="G6772" s="405" t="s">
        <v>3323</v>
      </c>
      <c r="H6772" s="405">
        <v>782617187</v>
      </c>
      <c r="I6772" s="405">
        <v>754283470</v>
      </c>
      <c r="J6772" s="405">
        <v>0.27862166666666671</v>
      </c>
      <c r="K6772" s="405">
        <v>32.474358333333335</v>
      </c>
      <c r="L6772" s="405" t="s">
        <v>314</v>
      </c>
      <c r="M6772" s="405" t="s">
        <v>321</v>
      </c>
      <c r="N6772" s="405" t="s">
        <v>322</v>
      </c>
      <c r="O6772" s="405" t="s">
        <v>996</v>
      </c>
      <c r="P6772" s="405" t="s">
        <v>3324</v>
      </c>
      <c r="Q6772" s="411">
        <v>6</v>
      </c>
      <c r="R6772" s="405" t="s">
        <v>318</v>
      </c>
      <c r="S6772" s="405" t="s">
        <v>27064</v>
      </c>
      <c r="T6772" s="405" t="s">
        <v>32102</v>
      </c>
      <c r="U6772" s="405" t="s">
        <v>319</v>
      </c>
    </row>
    <row r="6773" spans="1:21" x14ac:dyDescent="0.25">
      <c r="A6773" s="405" t="s">
        <v>310</v>
      </c>
      <c r="B6773" s="405" t="s">
        <v>18422</v>
      </c>
      <c r="C6773" s="405" t="s">
        <v>327</v>
      </c>
      <c r="D6773" s="405"/>
      <c r="E6773" s="410">
        <v>41283</v>
      </c>
      <c r="F6773" s="410">
        <v>41328</v>
      </c>
      <c r="G6773" s="405" t="s">
        <v>18423</v>
      </c>
      <c r="H6773" s="405">
        <v>777929808</v>
      </c>
      <c r="I6773" s="405">
        <v>774729506</v>
      </c>
      <c r="J6773" s="405">
        <v>2.2204093999999999</v>
      </c>
      <c r="K6773" s="405">
        <v>32.898563500000002</v>
      </c>
      <c r="L6773" s="405" t="s">
        <v>860</v>
      </c>
      <c r="M6773" s="405" t="s">
        <v>18234</v>
      </c>
      <c r="N6773" s="405" t="s">
        <v>18252</v>
      </c>
      <c r="O6773" s="405" t="s">
        <v>18253</v>
      </c>
      <c r="P6773" s="405" t="s">
        <v>18424</v>
      </c>
      <c r="Q6773" s="411">
        <v>6</v>
      </c>
      <c r="R6773" s="405" t="s">
        <v>994</v>
      </c>
      <c r="S6773" s="405" t="s">
        <v>27375</v>
      </c>
      <c r="T6773" s="405" t="s">
        <v>32102</v>
      </c>
      <c r="U6773" s="405" t="s">
        <v>319</v>
      </c>
    </row>
    <row r="6774" spans="1:21" x14ac:dyDescent="0.25">
      <c r="A6774" s="405" t="s">
        <v>310</v>
      </c>
      <c r="B6774" s="405" t="s">
        <v>12026</v>
      </c>
      <c r="C6774" s="405" t="s">
        <v>327</v>
      </c>
      <c r="D6774" s="405"/>
      <c r="E6774" s="410">
        <v>41283</v>
      </c>
      <c r="F6774" s="410">
        <v>41328</v>
      </c>
      <c r="G6774" s="405" t="s">
        <v>12027</v>
      </c>
      <c r="H6774" s="405">
        <v>752622232</v>
      </c>
      <c r="I6774" s="405"/>
      <c r="J6774" s="405">
        <v>0.84826599999999996</v>
      </c>
      <c r="K6774" s="405">
        <v>33.899602999999999</v>
      </c>
      <c r="L6774" s="405" t="s">
        <v>6866</v>
      </c>
      <c r="M6774" s="405" t="s">
        <v>9566</v>
      </c>
      <c r="N6774" s="405" t="s">
        <v>9787</v>
      </c>
      <c r="O6774" s="405" t="s">
        <v>11667</v>
      </c>
      <c r="P6774" s="405" t="s">
        <v>12028</v>
      </c>
      <c r="Q6774" s="411">
        <v>6</v>
      </c>
      <c r="R6774" s="405" t="s">
        <v>7224</v>
      </c>
      <c r="S6774" s="405" t="s">
        <v>27298</v>
      </c>
      <c r="T6774" s="405" t="s">
        <v>32102</v>
      </c>
      <c r="U6774" s="405" t="s">
        <v>319</v>
      </c>
    </row>
    <row r="6775" spans="1:21" x14ac:dyDescent="0.25">
      <c r="A6775" s="405" t="s">
        <v>310</v>
      </c>
      <c r="B6775" s="405" t="s">
        <v>12433</v>
      </c>
      <c r="C6775" s="405" t="s">
        <v>311</v>
      </c>
      <c r="D6775" s="405" t="s">
        <v>1789</v>
      </c>
      <c r="E6775" s="410">
        <v>41283</v>
      </c>
      <c r="F6775" s="410">
        <v>41328</v>
      </c>
      <c r="G6775" s="405" t="s">
        <v>12434</v>
      </c>
      <c r="H6775" s="405">
        <v>782546173</v>
      </c>
      <c r="I6775" s="405"/>
      <c r="J6775" s="405">
        <v>1.999322</v>
      </c>
      <c r="K6775" s="405">
        <v>34.042603</v>
      </c>
      <c r="L6775" s="405" t="s">
        <v>6866</v>
      </c>
      <c r="M6775" s="405" t="s">
        <v>11355</v>
      </c>
      <c r="N6775" s="405" t="s">
        <v>11356</v>
      </c>
      <c r="O6775" s="405" t="s">
        <v>11356</v>
      </c>
      <c r="P6775" s="405" t="s">
        <v>12184</v>
      </c>
      <c r="Q6775" s="411">
        <v>6</v>
      </c>
      <c r="R6775" s="405" t="s">
        <v>5655</v>
      </c>
      <c r="S6775" s="405" t="s">
        <v>27337</v>
      </c>
      <c r="T6775" s="405" t="s">
        <v>32102</v>
      </c>
      <c r="U6775" s="405" t="s">
        <v>319</v>
      </c>
    </row>
    <row r="6776" spans="1:21" x14ac:dyDescent="0.25">
      <c r="A6776" s="405" t="s">
        <v>310</v>
      </c>
      <c r="B6776" s="405" t="s">
        <v>28647</v>
      </c>
      <c r="C6776" s="405" t="s">
        <v>327</v>
      </c>
      <c r="D6776" s="405"/>
      <c r="E6776" s="410">
        <v>41283</v>
      </c>
      <c r="F6776" s="410">
        <v>41328</v>
      </c>
      <c r="G6776" s="405" t="s">
        <v>3248</v>
      </c>
      <c r="H6776" s="405">
        <v>779330215</v>
      </c>
      <c r="I6776" s="405"/>
      <c r="J6776" s="405">
        <v>0.28487000000000001</v>
      </c>
      <c r="K6776" s="405">
        <v>32.157620000000001</v>
      </c>
      <c r="L6776" s="405" t="s">
        <v>314</v>
      </c>
      <c r="M6776" s="405" t="s">
        <v>675</v>
      </c>
      <c r="N6776" s="405" t="s">
        <v>676</v>
      </c>
      <c r="O6776" s="405" t="s">
        <v>677</v>
      </c>
      <c r="P6776" s="405" t="s">
        <v>1310</v>
      </c>
      <c r="Q6776" s="411">
        <v>6</v>
      </c>
      <c r="R6776" s="405" t="s">
        <v>32476</v>
      </c>
      <c r="S6776" s="405" t="s">
        <v>27211</v>
      </c>
      <c r="T6776" s="405" t="s">
        <v>32102</v>
      </c>
      <c r="U6776" s="405" t="s">
        <v>319</v>
      </c>
    </row>
    <row r="6777" spans="1:21" x14ac:dyDescent="0.25">
      <c r="A6777" s="405" t="s">
        <v>310</v>
      </c>
      <c r="B6777" s="405" t="s">
        <v>12105</v>
      </c>
      <c r="C6777" s="405" t="s">
        <v>327</v>
      </c>
      <c r="D6777" s="405"/>
      <c r="E6777" s="410">
        <v>41283</v>
      </c>
      <c r="F6777" s="410">
        <v>41328</v>
      </c>
      <c r="G6777" s="405" t="s">
        <v>12106</v>
      </c>
      <c r="H6777" s="405">
        <v>778191521</v>
      </c>
      <c r="I6777" s="405"/>
      <c r="J6777" s="405">
        <v>0.89776500000000004</v>
      </c>
      <c r="K6777" s="405">
        <v>34.341589999999997</v>
      </c>
      <c r="L6777" s="405" t="s">
        <v>6866</v>
      </c>
      <c r="M6777" s="405" t="s">
        <v>9763</v>
      </c>
      <c r="N6777" s="405" t="s">
        <v>9848</v>
      </c>
      <c r="O6777" s="405" t="s">
        <v>11333</v>
      </c>
      <c r="P6777" s="405" t="s">
        <v>11766</v>
      </c>
      <c r="Q6777" s="411">
        <v>4</v>
      </c>
      <c r="R6777" s="405" t="s">
        <v>7224</v>
      </c>
      <c r="S6777" s="405" t="s">
        <v>27204</v>
      </c>
      <c r="T6777" s="405" t="s">
        <v>32102</v>
      </c>
      <c r="U6777" s="405" t="s">
        <v>319</v>
      </c>
    </row>
    <row r="6778" spans="1:21" x14ac:dyDescent="0.25">
      <c r="A6778" s="405" t="s">
        <v>310</v>
      </c>
      <c r="B6778" s="405" t="s">
        <v>3364</v>
      </c>
      <c r="C6778" s="405" t="s">
        <v>327</v>
      </c>
      <c r="D6778" s="405"/>
      <c r="E6778" s="410">
        <v>41282</v>
      </c>
      <c r="F6778" s="410">
        <v>41327</v>
      </c>
      <c r="G6778" s="405" t="s">
        <v>3365</v>
      </c>
      <c r="H6778" s="405">
        <v>772947403</v>
      </c>
      <c r="I6778" s="405">
        <v>752947403</v>
      </c>
      <c r="J6778" s="405">
        <v>-0.18503666666666665</v>
      </c>
      <c r="K6778" s="405">
        <v>31.721106666666667</v>
      </c>
      <c r="L6778" s="405" t="s">
        <v>314</v>
      </c>
      <c r="M6778" s="405" t="s">
        <v>900</v>
      </c>
      <c r="N6778" s="405" t="s">
        <v>900</v>
      </c>
      <c r="O6778" s="405" t="s">
        <v>900</v>
      </c>
      <c r="P6778" s="405" t="s">
        <v>3366</v>
      </c>
      <c r="Q6778" s="411">
        <v>9</v>
      </c>
      <c r="R6778" s="405" t="s">
        <v>1263</v>
      </c>
      <c r="S6778" s="405" t="s">
        <v>27212</v>
      </c>
      <c r="T6778" s="405" t="s">
        <v>32102</v>
      </c>
      <c r="U6778" s="405" t="s">
        <v>319</v>
      </c>
    </row>
    <row r="6779" spans="1:21" x14ac:dyDescent="0.25">
      <c r="A6779" s="405" t="s">
        <v>310</v>
      </c>
      <c r="B6779" s="405" t="s">
        <v>27778</v>
      </c>
      <c r="C6779" s="405" t="s">
        <v>327</v>
      </c>
      <c r="D6779" s="405"/>
      <c r="E6779" s="410">
        <v>41281</v>
      </c>
      <c r="F6779" s="410">
        <v>41326</v>
      </c>
      <c r="G6779" s="405" t="s">
        <v>20794</v>
      </c>
      <c r="H6779" s="405">
        <v>772899960</v>
      </c>
      <c r="I6779" s="405">
        <v>702899960</v>
      </c>
      <c r="J6779" s="405">
        <v>-0.58603400000000005</v>
      </c>
      <c r="K6779" s="405">
        <v>30.385538</v>
      </c>
      <c r="L6779" s="405" t="s">
        <v>590</v>
      </c>
      <c r="M6779" s="405" t="s">
        <v>19725</v>
      </c>
      <c r="N6779" s="405" t="s">
        <v>20795</v>
      </c>
      <c r="O6779" s="405" t="s">
        <v>20796</v>
      </c>
      <c r="P6779" s="405" t="s">
        <v>19647</v>
      </c>
      <c r="Q6779" s="411">
        <v>13</v>
      </c>
      <c r="R6779" s="405" t="s">
        <v>883</v>
      </c>
      <c r="S6779" s="405" t="s">
        <v>27065</v>
      </c>
      <c r="T6779" s="405" t="s">
        <v>32102</v>
      </c>
      <c r="U6779" s="405" t="s">
        <v>319</v>
      </c>
    </row>
    <row r="6780" spans="1:21" x14ac:dyDescent="0.25">
      <c r="A6780" s="405" t="s">
        <v>310</v>
      </c>
      <c r="B6780" s="405" t="s">
        <v>20883</v>
      </c>
      <c r="C6780" s="405" t="s">
        <v>327</v>
      </c>
      <c r="D6780" s="405"/>
      <c r="E6780" s="410">
        <v>41281</v>
      </c>
      <c r="F6780" s="410">
        <v>41326</v>
      </c>
      <c r="G6780" s="405" t="s">
        <v>20884</v>
      </c>
      <c r="H6780" s="405">
        <v>779077596</v>
      </c>
      <c r="I6780" s="405">
        <v>773290648</v>
      </c>
      <c r="J6780" s="405">
        <v>1.6511434</v>
      </c>
      <c r="K6780" s="405">
        <v>31.516480999999999</v>
      </c>
      <c r="L6780" s="405" t="s">
        <v>590</v>
      </c>
      <c r="M6780" s="405" t="s">
        <v>19608</v>
      </c>
      <c r="N6780" s="405" t="s">
        <v>20218</v>
      </c>
      <c r="O6780" s="405" t="s">
        <v>20219</v>
      </c>
      <c r="P6780" s="405" t="s">
        <v>20885</v>
      </c>
      <c r="Q6780" s="411">
        <v>9</v>
      </c>
      <c r="R6780" s="405" t="s">
        <v>318</v>
      </c>
      <c r="S6780" s="405" t="s">
        <v>22880</v>
      </c>
      <c r="T6780" s="405" t="s">
        <v>32102</v>
      </c>
      <c r="U6780" s="405" t="s">
        <v>319</v>
      </c>
    </row>
    <row r="6781" spans="1:21" x14ac:dyDescent="0.25">
      <c r="A6781" s="405" t="s">
        <v>310</v>
      </c>
      <c r="B6781" s="405" t="s">
        <v>18418</v>
      </c>
      <c r="C6781" s="405" t="s">
        <v>327</v>
      </c>
      <c r="D6781" s="405"/>
      <c r="E6781" s="410">
        <v>41281</v>
      </c>
      <c r="F6781" s="410">
        <v>41326</v>
      </c>
      <c r="G6781" s="405" t="s">
        <v>18419</v>
      </c>
      <c r="H6781" s="405">
        <v>782673032</v>
      </c>
      <c r="I6781" s="405">
        <v>776339580</v>
      </c>
      <c r="J6781" s="405">
        <v>2.2643533333333332</v>
      </c>
      <c r="K6781" s="405">
        <v>32.918258333333334</v>
      </c>
      <c r="L6781" s="405" t="s">
        <v>860</v>
      </c>
      <c r="M6781" s="405" t="s">
        <v>18234</v>
      </c>
      <c r="N6781" s="405" t="s">
        <v>18250</v>
      </c>
      <c r="O6781" s="405" t="s">
        <v>18420</v>
      </c>
      <c r="P6781" s="405" t="s">
        <v>18421</v>
      </c>
      <c r="Q6781" s="411">
        <v>6</v>
      </c>
      <c r="R6781" s="405" t="s">
        <v>525</v>
      </c>
      <c r="S6781" s="405" t="s">
        <v>27243</v>
      </c>
      <c r="T6781" s="405" t="s">
        <v>32102</v>
      </c>
      <c r="U6781" s="405" t="s">
        <v>319</v>
      </c>
    </row>
    <row r="6782" spans="1:21" x14ac:dyDescent="0.25">
      <c r="A6782" s="405" t="s">
        <v>310</v>
      </c>
      <c r="B6782" s="405" t="s">
        <v>18430</v>
      </c>
      <c r="C6782" s="405" t="s">
        <v>327</v>
      </c>
      <c r="D6782" s="405"/>
      <c r="E6782" s="410">
        <v>41280</v>
      </c>
      <c r="F6782" s="410">
        <v>41325</v>
      </c>
      <c r="G6782" s="405" t="s">
        <v>18431</v>
      </c>
      <c r="H6782" s="405">
        <v>779254407</v>
      </c>
      <c r="I6782" s="405"/>
      <c r="J6782" s="405">
        <v>2.2835931</v>
      </c>
      <c r="K6782" s="405">
        <v>32.805880600000002</v>
      </c>
      <c r="L6782" s="405" t="s">
        <v>860</v>
      </c>
      <c r="M6782" s="405" t="s">
        <v>18234</v>
      </c>
      <c r="N6782" s="405" t="s">
        <v>18252</v>
      </c>
      <c r="O6782" s="405" t="s">
        <v>18234</v>
      </c>
      <c r="P6782" s="405" t="s">
        <v>18432</v>
      </c>
      <c r="Q6782" s="411">
        <v>9</v>
      </c>
      <c r="R6782" s="405" t="s">
        <v>525</v>
      </c>
      <c r="S6782" s="405" t="s">
        <v>27171</v>
      </c>
      <c r="T6782" s="405" t="s">
        <v>32102</v>
      </c>
      <c r="U6782" s="405" t="s">
        <v>319</v>
      </c>
    </row>
    <row r="6783" spans="1:21" x14ac:dyDescent="0.25">
      <c r="A6783" s="405" t="s">
        <v>310</v>
      </c>
      <c r="B6783" s="405" t="s">
        <v>3893</v>
      </c>
      <c r="C6783" s="405" t="s">
        <v>311</v>
      </c>
      <c r="D6783" s="405" t="s">
        <v>839</v>
      </c>
      <c r="E6783" s="410">
        <v>41280</v>
      </c>
      <c r="F6783" s="410">
        <v>41325</v>
      </c>
      <c r="G6783" s="405" t="s">
        <v>3894</v>
      </c>
      <c r="H6783" s="405">
        <v>772595510</v>
      </c>
      <c r="I6783" s="405"/>
      <c r="J6783" s="405">
        <v>0.34905333333333333</v>
      </c>
      <c r="K6783" s="405">
        <v>32.613944999999994</v>
      </c>
      <c r="L6783" s="405" t="s">
        <v>314</v>
      </c>
      <c r="M6783" s="405" t="s">
        <v>992</v>
      </c>
      <c r="N6783" s="405" t="s">
        <v>2327</v>
      </c>
      <c r="O6783" s="405" t="s">
        <v>3895</v>
      </c>
      <c r="P6783" s="405" t="s">
        <v>3896</v>
      </c>
      <c r="Q6783" s="411">
        <v>9</v>
      </c>
      <c r="R6783" s="405" t="s">
        <v>525</v>
      </c>
      <c r="S6783" s="405" t="s">
        <v>27136</v>
      </c>
      <c r="T6783" s="405" t="s">
        <v>32102</v>
      </c>
      <c r="U6783" s="405" t="s">
        <v>319</v>
      </c>
    </row>
    <row r="6784" spans="1:21" x14ac:dyDescent="0.25">
      <c r="A6784" s="405" t="s">
        <v>310</v>
      </c>
      <c r="B6784" s="405" t="s">
        <v>12079</v>
      </c>
      <c r="C6784" s="405" t="s">
        <v>327</v>
      </c>
      <c r="D6784" s="405"/>
      <c r="E6784" s="410">
        <v>41280</v>
      </c>
      <c r="F6784" s="410">
        <v>41325</v>
      </c>
      <c r="G6784" s="405" t="s">
        <v>12080</v>
      </c>
      <c r="H6784" s="405">
        <v>780393624</v>
      </c>
      <c r="I6784" s="405"/>
      <c r="J6784" s="405">
        <v>1.344862</v>
      </c>
      <c r="K6784" s="405">
        <v>34.659509</v>
      </c>
      <c r="L6784" s="405" t="s">
        <v>6866</v>
      </c>
      <c r="M6784" s="405" t="s">
        <v>10163</v>
      </c>
      <c r="N6784" s="405" t="s">
        <v>10164</v>
      </c>
      <c r="O6784" s="405" t="s">
        <v>12081</v>
      </c>
      <c r="P6784" s="405" t="s">
        <v>12082</v>
      </c>
      <c r="Q6784" s="411">
        <v>6</v>
      </c>
      <c r="R6784" s="405" t="s">
        <v>9506</v>
      </c>
      <c r="S6784" s="405" t="s">
        <v>27169</v>
      </c>
      <c r="T6784" s="405" t="s">
        <v>32102</v>
      </c>
      <c r="U6784" s="405" t="s">
        <v>319</v>
      </c>
    </row>
    <row r="6785" spans="1:21" x14ac:dyDescent="0.25">
      <c r="A6785" s="405" t="s">
        <v>310</v>
      </c>
      <c r="B6785" s="405" t="s">
        <v>20880</v>
      </c>
      <c r="C6785" s="405" t="s">
        <v>327</v>
      </c>
      <c r="D6785" s="405"/>
      <c r="E6785" s="410">
        <v>41279</v>
      </c>
      <c r="F6785" s="410">
        <v>41324</v>
      </c>
      <c r="G6785" s="405" t="s">
        <v>20881</v>
      </c>
      <c r="H6785" s="405">
        <v>752983556</v>
      </c>
      <c r="I6785" s="405"/>
      <c r="J6785" s="405">
        <v>-0.54351400000000005</v>
      </c>
      <c r="K6785" s="405">
        <v>30.635635000000001</v>
      </c>
      <c r="L6785" s="405" t="s">
        <v>590</v>
      </c>
      <c r="M6785" s="405" t="s">
        <v>19614</v>
      </c>
      <c r="N6785" s="405" t="s">
        <v>19873</v>
      </c>
      <c r="O6785" s="405" t="s">
        <v>20619</v>
      </c>
      <c r="P6785" s="405" t="s">
        <v>20882</v>
      </c>
      <c r="Q6785" s="411">
        <v>13</v>
      </c>
      <c r="R6785" s="405" t="s">
        <v>333</v>
      </c>
      <c r="S6785" s="405" t="s">
        <v>27410</v>
      </c>
      <c r="T6785" s="405" t="s">
        <v>32102</v>
      </c>
      <c r="U6785" s="405" t="s">
        <v>319</v>
      </c>
    </row>
    <row r="6786" spans="1:21" x14ac:dyDescent="0.25">
      <c r="A6786" s="405" t="s">
        <v>310</v>
      </c>
      <c r="B6786" s="405" t="s">
        <v>12496</v>
      </c>
      <c r="C6786" s="405" t="s">
        <v>311</v>
      </c>
      <c r="D6786" s="405" t="s">
        <v>1789</v>
      </c>
      <c r="E6786" s="410">
        <v>41279</v>
      </c>
      <c r="F6786" s="410">
        <v>41324</v>
      </c>
      <c r="G6786" s="405" t="s">
        <v>12497</v>
      </c>
      <c r="H6786" s="405">
        <v>772865180</v>
      </c>
      <c r="I6786" s="405"/>
      <c r="J6786" s="405">
        <v>0.69059400000000004</v>
      </c>
      <c r="K6786" s="405">
        <v>34.078088000000001</v>
      </c>
      <c r="L6786" s="405" t="s">
        <v>6866</v>
      </c>
      <c r="M6786" s="405" t="s">
        <v>9534</v>
      </c>
      <c r="N6786" s="405" t="s">
        <v>10113</v>
      </c>
      <c r="O6786" s="405" t="s">
        <v>10114</v>
      </c>
      <c r="P6786" s="405" t="s">
        <v>6201</v>
      </c>
      <c r="Q6786" s="411">
        <v>6</v>
      </c>
      <c r="R6786" s="405" t="s">
        <v>7224</v>
      </c>
      <c r="S6786" s="405" t="s">
        <v>27204</v>
      </c>
      <c r="T6786" s="405" t="s">
        <v>32102</v>
      </c>
      <c r="U6786" s="405" t="s">
        <v>319</v>
      </c>
    </row>
    <row r="6787" spans="1:21" x14ac:dyDescent="0.25">
      <c r="A6787" s="405" t="s">
        <v>310</v>
      </c>
      <c r="B6787" s="405" t="s">
        <v>12053</v>
      </c>
      <c r="C6787" s="405" t="s">
        <v>327</v>
      </c>
      <c r="D6787" s="405"/>
      <c r="E6787" s="410">
        <v>41279</v>
      </c>
      <c r="F6787" s="410">
        <v>41324</v>
      </c>
      <c r="G6787" s="405" t="s">
        <v>12054</v>
      </c>
      <c r="H6787" s="405">
        <v>774693985</v>
      </c>
      <c r="I6787" s="405"/>
      <c r="J6787" s="405">
        <v>1.484118</v>
      </c>
      <c r="K6787" s="405">
        <v>33.925694</v>
      </c>
      <c r="L6787" s="405" t="s">
        <v>6866</v>
      </c>
      <c r="M6787" s="405" t="s">
        <v>10029</v>
      </c>
      <c r="N6787" s="405" t="s">
        <v>10029</v>
      </c>
      <c r="O6787" s="405" t="s">
        <v>11388</v>
      </c>
      <c r="P6787" s="405" t="s">
        <v>12055</v>
      </c>
      <c r="Q6787" s="411">
        <v>6</v>
      </c>
      <c r="R6787" s="405" t="s">
        <v>9541</v>
      </c>
      <c r="S6787" s="405" t="s">
        <v>27321</v>
      </c>
      <c r="T6787" s="405" t="s">
        <v>32102</v>
      </c>
      <c r="U6787" s="405" t="s">
        <v>319</v>
      </c>
    </row>
    <row r="6788" spans="1:21" x14ac:dyDescent="0.25">
      <c r="A6788" s="405" t="s">
        <v>310</v>
      </c>
      <c r="B6788" s="405" t="s">
        <v>12117</v>
      </c>
      <c r="C6788" s="405" t="s">
        <v>327</v>
      </c>
      <c r="D6788" s="405"/>
      <c r="E6788" s="410">
        <v>41279</v>
      </c>
      <c r="F6788" s="410">
        <v>41324</v>
      </c>
      <c r="G6788" s="405" t="s">
        <v>12118</v>
      </c>
      <c r="H6788" s="405">
        <v>771325163</v>
      </c>
      <c r="I6788" s="405"/>
      <c r="J6788" s="405">
        <v>0.90429499999999996</v>
      </c>
      <c r="K6788" s="405">
        <v>34.340328</v>
      </c>
      <c r="L6788" s="405" t="s">
        <v>6866</v>
      </c>
      <c r="M6788" s="405" t="s">
        <v>9763</v>
      </c>
      <c r="N6788" s="405" t="s">
        <v>9848</v>
      </c>
      <c r="O6788" s="405" t="s">
        <v>11333</v>
      </c>
      <c r="P6788" s="405" t="s">
        <v>12119</v>
      </c>
      <c r="Q6788" s="411">
        <v>4</v>
      </c>
      <c r="R6788" s="405" t="s">
        <v>7224</v>
      </c>
      <c r="S6788" s="405" t="s">
        <v>27107</v>
      </c>
      <c r="T6788" s="405" t="s">
        <v>32102</v>
      </c>
      <c r="U6788" s="405" t="s">
        <v>319</v>
      </c>
    </row>
    <row r="6789" spans="1:21" x14ac:dyDescent="0.25">
      <c r="A6789" s="405" t="s">
        <v>310</v>
      </c>
      <c r="B6789" s="405" t="s">
        <v>12123</v>
      </c>
      <c r="C6789" s="405" t="s">
        <v>327</v>
      </c>
      <c r="D6789" s="405"/>
      <c r="E6789" s="410">
        <v>41278</v>
      </c>
      <c r="F6789" s="410">
        <v>41323</v>
      </c>
      <c r="G6789" s="405" t="s">
        <v>12124</v>
      </c>
      <c r="H6789" s="405">
        <v>752318999</v>
      </c>
      <c r="I6789" s="405"/>
      <c r="J6789" s="405">
        <v>0.628382</v>
      </c>
      <c r="K6789" s="405">
        <v>33.317144999999996</v>
      </c>
      <c r="L6789" s="405" t="s">
        <v>6866</v>
      </c>
      <c r="M6789" s="405" t="s">
        <v>9590</v>
      </c>
      <c r="N6789" s="405" t="s">
        <v>9591</v>
      </c>
      <c r="O6789" s="405" t="s">
        <v>11964</v>
      </c>
      <c r="P6789" s="405" t="s">
        <v>12125</v>
      </c>
      <c r="Q6789" s="411">
        <v>9</v>
      </c>
      <c r="R6789" s="405" t="s">
        <v>318</v>
      </c>
      <c r="S6789" s="405" t="s">
        <v>27134</v>
      </c>
      <c r="T6789" s="405" t="s">
        <v>32102</v>
      </c>
      <c r="U6789" s="405" t="s">
        <v>319</v>
      </c>
    </row>
    <row r="6790" spans="1:21" x14ac:dyDescent="0.25">
      <c r="A6790" s="405" t="s">
        <v>310</v>
      </c>
      <c r="B6790" s="405" t="s">
        <v>3289</v>
      </c>
      <c r="C6790" s="405" t="s">
        <v>327</v>
      </c>
      <c r="D6790" s="405"/>
      <c r="E6790" s="410">
        <v>41278</v>
      </c>
      <c r="F6790" s="410">
        <v>41323</v>
      </c>
      <c r="G6790" s="405" t="s">
        <v>3290</v>
      </c>
      <c r="H6790" s="405">
        <v>777490182</v>
      </c>
      <c r="I6790" s="405"/>
      <c r="J6790" s="405">
        <v>-0.648787</v>
      </c>
      <c r="K6790" s="405">
        <v>31.368175000000001</v>
      </c>
      <c r="L6790" s="405" t="s">
        <v>314</v>
      </c>
      <c r="M6790" s="405" t="s">
        <v>398</v>
      </c>
      <c r="N6790" s="405" t="s">
        <v>2791</v>
      </c>
      <c r="O6790" s="405" t="s">
        <v>2758</v>
      </c>
      <c r="P6790" s="405" t="s">
        <v>3291</v>
      </c>
      <c r="Q6790" s="411">
        <v>4</v>
      </c>
      <c r="R6790" s="405" t="s">
        <v>1263</v>
      </c>
      <c r="S6790" s="405" t="s">
        <v>27202</v>
      </c>
      <c r="T6790" s="405" t="s">
        <v>32102</v>
      </c>
      <c r="U6790" s="405" t="s">
        <v>319</v>
      </c>
    </row>
    <row r="6791" spans="1:21" x14ac:dyDescent="0.25">
      <c r="A6791" s="405" t="s">
        <v>310</v>
      </c>
      <c r="B6791" s="405" t="s">
        <v>28155</v>
      </c>
      <c r="C6791" s="405" t="s">
        <v>311</v>
      </c>
      <c r="D6791" s="405" t="s">
        <v>839</v>
      </c>
      <c r="E6791" s="410">
        <v>41276</v>
      </c>
      <c r="F6791" s="410">
        <v>41321</v>
      </c>
      <c r="G6791" s="405" t="s">
        <v>3766</v>
      </c>
      <c r="H6791" s="405">
        <v>772930662</v>
      </c>
      <c r="I6791" s="405"/>
      <c r="J6791" s="405">
        <v>0.218913</v>
      </c>
      <c r="K6791" s="405">
        <v>32.071745999999997</v>
      </c>
      <c r="L6791" s="405" t="s">
        <v>314</v>
      </c>
      <c r="M6791" s="405" t="s">
        <v>339</v>
      </c>
      <c r="N6791" s="405" t="s">
        <v>339</v>
      </c>
      <c r="O6791" s="405" t="s">
        <v>2272</v>
      </c>
      <c r="P6791" s="405" t="s">
        <v>3470</v>
      </c>
      <c r="Q6791" s="411">
        <v>6</v>
      </c>
      <c r="R6791" s="405" t="s">
        <v>1263</v>
      </c>
      <c r="S6791" s="405" t="s">
        <v>27206</v>
      </c>
      <c r="T6791" s="405" t="s">
        <v>32102</v>
      </c>
      <c r="U6791" s="405" t="s">
        <v>319</v>
      </c>
    </row>
    <row r="6792" spans="1:21" x14ac:dyDescent="0.25">
      <c r="A6792" s="405" t="s">
        <v>310</v>
      </c>
      <c r="B6792" s="405" t="s">
        <v>18435</v>
      </c>
      <c r="C6792" s="405" t="s">
        <v>327</v>
      </c>
      <c r="D6792" s="405"/>
      <c r="E6792" s="410">
        <v>41276</v>
      </c>
      <c r="F6792" s="410">
        <v>41321</v>
      </c>
      <c r="G6792" s="405" t="s">
        <v>18436</v>
      </c>
      <c r="H6792" s="405">
        <v>786492711</v>
      </c>
      <c r="I6792" s="405">
        <v>758388314</v>
      </c>
      <c r="J6792" s="405">
        <v>2.3406950000000002</v>
      </c>
      <c r="K6792" s="405">
        <v>33.016691999999999</v>
      </c>
      <c r="L6792" s="405" t="s">
        <v>860</v>
      </c>
      <c r="M6792" s="405" t="s">
        <v>18376</v>
      </c>
      <c r="N6792" s="405" t="s">
        <v>16319</v>
      </c>
      <c r="O6792" s="405" t="s">
        <v>18377</v>
      </c>
      <c r="P6792" s="405" t="s">
        <v>18437</v>
      </c>
      <c r="Q6792" s="411">
        <v>6</v>
      </c>
      <c r="R6792" s="405" t="s">
        <v>318</v>
      </c>
      <c r="S6792" s="405" t="s">
        <v>27343</v>
      </c>
      <c r="T6792" s="405" t="s">
        <v>32102</v>
      </c>
      <c r="U6792" s="405" t="s">
        <v>319</v>
      </c>
    </row>
    <row r="6793" spans="1:21" x14ac:dyDescent="0.25">
      <c r="A6793" s="405" t="s">
        <v>310</v>
      </c>
      <c r="B6793" s="405" t="s">
        <v>18443</v>
      </c>
      <c r="C6793" s="405" t="s">
        <v>327</v>
      </c>
      <c r="D6793" s="405"/>
      <c r="E6793" s="410">
        <v>41275</v>
      </c>
      <c r="F6793" s="410">
        <v>41320</v>
      </c>
      <c r="G6793" s="405" t="s">
        <v>18444</v>
      </c>
      <c r="H6793" s="405">
        <v>773223333</v>
      </c>
      <c r="I6793" s="405"/>
      <c r="J6793" s="405">
        <v>1.7723230000000001</v>
      </c>
      <c r="K6793" s="405">
        <v>32.369821999999999</v>
      </c>
      <c r="L6793" s="405" t="s">
        <v>860</v>
      </c>
      <c r="M6793" s="405" t="s">
        <v>861</v>
      </c>
      <c r="N6793" s="405" t="s">
        <v>18440</v>
      </c>
      <c r="O6793" s="405" t="s">
        <v>18445</v>
      </c>
      <c r="P6793" s="405" t="s">
        <v>18446</v>
      </c>
      <c r="Q6793" s="411">
        <v>13</v>
      </c>
      <c r="R6793" s="405" t="s">
        <v>525</v>
      </c>
      <c r="S6793" s="405" t="s">
        <v>27193</v>
      </c>
      <c r="T6793" s="405" t="s">
        <v>32102</v>
      </c>
      <c r="U6793" s="405" t="s">
        <v>319</v>
      </c>
    </row>
    <row r="6794" spans="1:21" x14ac:dyDescent="0.25">
      <c r="A6794" s="405" t="s">
        <v>310</v>
      </c>
      <c r="B6794" s="405" t="s">
        <v>18428</v>
      </c>
      <c r="C6794" s="405" t="s">
        <v>327</v>
      </c>
      <c r="D6794" s="405"/>
      <c r="E6794" s="410">
        <v>41275</v>
      </c>
      <c r="F6794" s="410">
        <v>41320</v>
      </c>
      <c r="G6794" s="405" t="s">
        <v>18429</v>
      </c>
      <c r="H6794" s="405">
        <v>777112348</v>
      </c>
      <c r="I6794" s="405">
        <v>781828703</v>
      </c>
      <c r="J6794" s="405">
        <v>2.0293619999999999</v>
      </c>
      <c r="K6794" s="405">
        <v>32.998434000000003</v>
      </c>
      <c r="L6794" s="405" t="s">
        <v>860</v>
      </c>
      <c r="M6794" s="405" t="s">
        <v>12189</v>
      </c>
      <c r="N6794" s="405" t="s">
        <v>18270</v>
      </c>
      <c r="O6794" s="405" t="s">
        <v>18271</v>
      </c>
      <c r="P6794" s="405" t="s">
        <v>18427</v>
      </c>
      <c r="Q6794" s="411">
        <v>6</v>
      </c>
      <c r="R6794" s="405" t="s">
        <v>525</v>
      </c>
      <c r="S6794" s="405" t="s">
        <v>27171</v>
      </c>
      <c r="T6794" s="405" t="s">
        <v>32102</v>
      </c>
      <c r="U6794" s="405" t="s">
        <v>319</v>
      </c>
    </row>
    <row r="6795" spans="1:21" x14ac:dyDescent="0.25">
      <c r="A6795" s="405" t="s">
        <v>310</v>
      </c>
      <c r="B6795" s="405" t="s">
        <v>18438</v>
      </c>
      <c r="C6795" s="405" t="s">
        <v>327</v>
      </c>
      <c r="D6795" s="405"/>
      <c r="E6795" s="410">
        <v>41275</v>
      </c>
      <c r="F6795" s="410">
        <v>41320</v>
      </c>
      <c r="G6795" s="405" t="s">
        <v>18439</v>
      </c>
      <c r="H6795" s="405">
        <v>752676268</v>
      </c>
      <c r="I6795" s="405">
        <v>772714611</v>
      </c>
      <c r="J6795" s="405">
        <v>1.938161</v>
      </c>
      <c r="K6795" s="405">
        <v>32.418281</v>
      </c>
      <c r="L6795" s="405" t="s">
        <v>860</v>
      </c>
      <c r="M6795" s="405" t="s">
        <v>861</v>
      </c>
      <c r="N6795" s="405" t="s">
        <v>18440</v>
      </c>
      <c r="O6795" s="405" t="s">
        <v>18441</v>
      </c>
      <c r="P6795" s="405" t="s">
        <v>18442</v>
      </c>
      <c r="Q6795" s="411">
        <v>6</v>
      </c>
      <c r="R6795" s="405" t="s">
        <v>525</v>
      </c>
      <c r="S6795" s="405" t="s">
        <v>27079</v>
      </c>
      <c r="T6795" s="405" t="s">
        <v>32102</v>
      </c>
      <c r="U6795" s="405" t="s">
        <v>319</v>
      </c>
    </row>
    <row r="6796" spans="1:21" x14ac:dyDescent="0.25">
      <c r="A6796" s="405" t="s">
        <v>310</v>
      </c>
      <c r="B6796" s="405" t="s">
        <v>28736</v>
      </c>
      <c r="C6796" s="405" t="s">
        <v>327</v>
      </c>
      <c r="D6796" s="405"/>
      <c r="E6796" s="410">
        <v>41275</v>
      </c>
      <c r="F6796" s="410">
        <v>41320</v>
      </c>
      <c r="G6796" s="405" t="s">
        <v>18433</v>
      </c>
      <c r="H6796" s="405">
        <v>750344890</v>
      </c>
      <c r="I6796" s="405"/>
      <c r="J6796" s="405">
        <v>2.2328730000000001</v>
      </c>
      <c r="K6796" s="405">
        <v>32.907463700000001</v>
      </c>
      <c r="L6796" s="405" t="s">
        <v>860</v>
      </c>
      <c r="M6796" s="405" t="s">
        <v>18234</v>
      </c>
      <c r="N6796" s="405" t="s">
        <v>18252</v>
      </c>
      <c r="O6796" s="405" t="s">
        <v>18253</v>
      </c>
      <c r="P6796" s="405" t="s">
        <v>18434</v>
      </c>
      <c r="Q6796" s="411">
        <v>6</v>
      </c>
      <c r="R6796" s="405" t="s">
        <v>525</v>
      </c>
      <c r="S6796" s="405" t="s">
        <v>27171</v>
      </c>
      <c r="T6796" s="405" t="s">
        <v>32102</v>
      </c>
      <c r="U6796" s="405" t="s">
        <v>319</v>
      </c>
    </row>
    <row r="6797" spans="1:21" x14ac:dyDescent="0.25">
      <c r="A6797" s="405" t="s">
        <v>310</v>
      </c>
      <c r="B6797" s="405" t="s">
        <v>27554</v>
      </c>
      <c r="C6797" s="405" t="s">
        <v>857</v>
      </c>
      <c r="D6797" s="405" t="s">
        <v>32479</v>
      </c>
      <c r="E6797" s="410">
        <v>41274</v>
      </c>
      <c r="F6797" s="410">
        <v>41319</v>
      </c>
      <c r="G6797" s="405" t="s">
        <v>21018</v>
      </c>
      <c r="H6797" s="405">
        <v>772985170</v>
      </c>
      <c r="I6797" s="405">
        <v>771470821</v>
      </c>
      <c r="J6797" s="405">
        <v>1.6408049999999998</v>
      </c>
      <c r="K6797" s="405">
        <v>31.745163333333334</v>
      </c>
      <c r="L6797" s="405" t="s">
        <v>590</v>
      </c>
      <c r="M6797" s="405" t="s">
        <v>19608</v>
      </c>
      <c r="N6797" s="405" t="s">
        <v>19783</v>
      </c>
      <c r="O6797" s="405" t="s">
        <v>19780</v>
      </c>
      <c r="P6797" s="405" t="s">
        <v>21019</v>
      </c>
      <c r="Q6797" s="411">
        <v>13</v>
      </c>
      <c r="R6797" s="405" t="s">
        <v>994</v>
      </c>
      <c r="S6797" s="405" t="s">
        <v>27079</v>
      </c>
      <c r="T6797" s="405" t="s">
        <v>32102</v>
      </c>
      <c r="U6797" s="405" t="s">
        <v>319</v>
      </c>
    </row>
    <row r="6798" spans="1:21" x14ac:dyDescent="0.25">
      <c r="A6798" s="405" t="s">
        <v>310</v>
      </c>
      <c r="B6798" s="405" t="s">
        <v>20869</v>
      </c>
      <c r="C6798" s="405" t="s">
        <v>327</v>
      </c>
      <c r="D6798" s="405"/>
      <c r="E6798" s="410">
        <v>41274</v>
      </c>
      <c r="F6798" s="410">
        <v>41319</v>
      </c>
      <c r="G6798" s="405" t="s">
        <v>20870</v>
      </c>
      <c r="H6798" s="405">
        <v>772997160</v>
      </c>
      <c r="I6798" s="405"/>
      <c r="J6798" s="405">
        <v>0.39000699999999999</v>
      </c>
      <c r="K6798" s="405">
        <v>30.254183000000001</v>
      </c>
      <c r="L6798" s="405" t="s">
        <v>590</v>
      </c>
      <c r="M6798" s="405" t="s">
        <v>20125</v>
      </c>
      <c r="N6798" s="405" t="s">
        <v>20866</v>
      </c>
      <c r="O6798" s="405" t="s">
        <v>20868</v>
      </c>
      <c r="P6798" s="405" t="s">
        <v>20871</v>
      </c>
      <c r="Q6798" s="411">
        <v>13</v>
      </c>
      <c r="R6798" s="405" t="s">
        <v>883</v>
      </c>
      <c r="S6798" s="405" t="s">
        <v>27183</v>
      </c>
      <c r="T6798" s="405" t="s">
        <v>32102</v>
      </c>
      <c r="U6798" s="405" t="s">
        <v>319</v>
      </c>
    </row>
    <row r="6799" spans="1:21" x14ac:dyDescent="0.25">
      <c r="A6799" s="405" t="s">
        <v>310</v>
      </c>
      <c r="B6799" s="405" t="s">
        <v>3305</v>
      </c>
      <c r="C6799" s="405" t="s">
        <v>327</v>
      </c>
      <c r="D6799" s="405"/>
      <c r="E6799" s="410">
        <v>41274</v>
      </c>
      <c r="F6799" s="410">
        <v>41319</v>
      </c>
      <c r="G6799" s="405" t="s">
        <v>3306</v>
      </c>
      <c r="H6799" s="405">
        <v>782445157</v>
      </c>
      <c r="I6799" s="405"/>
      <c r="J6799" s="405">
        <v>0.65735200000000005</v>
      </c>
      <c r="K6799" s="405">
        <v>32.997779999999999</v>
      </c>
      <c r="L6799" s="405" t="s">
        <v>314</v>
      </c>
      <c r="M6799" s="405" t="s">
        <v>502</v>
      </c>
      <c r="N6799" s="405" t="s">
        <v>3307</v>
      </c>
      <c r="O6799" s="405" t="s">
        <v>504</v>
      </c>
      <c r="P6799" s="405" t="s">
        <v>3308</v>
      </c>
      <c r="Q6799" s="411">
        <v>13</v>
      </c>
      <c r="R6799" s="405" t="s">
        <v>1263</v>
      </c>
      <c r="S6799" s="405" t="s">
        <v>27164</v>
      </c>
      <c r="T6799" s="405" t="s">
        <v>32102</v>
      </c>
      <c r="U6799" s="405" t="s">
        <v>319</v>
      </c>
    </row>
    <row r="6800" spans="1:21" x14ac:dyDescent="0.25">
      <c r="A6800" s="405" t="s">
        <v>310</v>
      </c>
      <c r="B6800" s="405" t="s">
        <v>3260</v>
      </c>
      <c r="C6800" s="405" t="s">
        <v>327</v>
      </c>
      <c r="D6800" s="405"/>
      <c r="E6800" s="410">
        <v>41274</v>
      </c>
      <c r="F6800" s="410">
        <v>41319</v>
      </c>
      <c r="G6800" s="405" t="s">
        <v>3261</v>
      </c>
      <c r="H6800" s="405">
        <v>782601925</v>
      </c>
      <c r="I6800" s="405"/>
      <c r="J6800" s="405">
        <v>0.161083</v>
      </c>
      <c r="K6800" s="405">
        <v>31.890682000000002</v>
      </c>
      <c r="L6800" s="405" t="s">
        <v>314</v>
      </c>
      <c r="M6800" s="405" t="s">
        <v>339</v>
      </c>
      <c r="N6800" s="405" t="s">
        <v>339</v>
      </c>
      <c r="O6800" s="405" t="s">
        <v>340</v>
      </c>
      <c r="P6800" s="405" t="s">
        <v>3262</v>
      </c>
      <c r="Q6800" s="411">
        <v>13</v>
      </c>
      <c r="R6800" s="405" t="s">
        <v>318</v>
      </c>
      <c r="S6800" s="405" t="s">
        <v>27181</v>
      </c>
      <c r="T6800" s="405" t="s">
        <v>32102</v>
      </c>
      <c r="U6800" s="405" t="s">
        <v>319</v>
      </c>
    </row>
    <row r="6801" spans="1:21" x14ac:dyDescent="0.25">
      <c r="A6801" s="405" t="s">
        <v>310</v>
      </c>
      <c r="B6801" s="405" t="s">
        <v>3332</v>
      </c>
      <c r="C6801" s="405" t="s">
        <v>327</v>
      </c>
      <c r="D6801" s="405"/>
      <c r="E6801" s="410">
        <v>41274</v>
      </c>
      <c r="F6801" s="410">
        <v>41319</v>
      </c>
      <c r="G6801" s="405" t="s">
        <v>3333</v>
      </c>
      <c r="H6801" s="405">
        <v>702837855</v>
      </c>
      <c r="I6801" s="405"/>
      <c r="J6801" s="405">
        <v>0.45606799999999997</v>
      </c>
      <c r="K6801" s="405">
        <v>32.513258</v>
      </c>
      <c r="L6801" s="405" t="s">
        <v>314</v>
      </c>
      <c r="M6801" s="405" t="s">
        <v>361</v>
      </c>
      <c r="N6801" s="405" t="s">
        <v>362</v>
      </c>
      <c r="O6801" s="405" t="s">
        <v>523</v>
      </c>
      <c r="P6801" s="405" t="s">
        <v>3334</v>
      </c>
      <c r="Q6801" s="411">
        <v>13</v>
      </c>
      <c r="R6801" s="405" t="s">
        <v>1263</v>
      </c>
      <c r="S6801" s="405" t="s">
        <v>27207</v>
      </c>
      <c r="T6801" s="405" t="s">
        <v>32102</v>
      </c>
      <c r="U6801" s="405" t="s">
        <v>319</v>
      </c>
    </row>
    <row r="6802" spans="1:21" x14ac:dyDescent="0.25">
      <c r="A6802" s="405" t="s">
        <v>310</v>
      </c>
      <c r="B6802" s="405" t="s">
        <v>3886</v>
      </c>
      <c r="C6802" s="405" t="s">
        <v>311</v>
      </c>
      <c r="D6802" s="405" t="s">
        <v>1789</v>
      </c>
      <c r="E6802" s="410">
        <v>41274</v>
      </c>
      <c r="F6802" s="410">
        <v>41319</v>
      </c>
      <c r="G6802" s="405" t="s">
        <v>3887</v>
      </c>
      <c r="H6802" s="405">
        <v>772421166</v>
      </c>
      <c r="I6802" s="405">
        <v>702717338</v>
      </c>
      <c r="J6802" s="405">
        <v>0.344385</v>
      </c>
      <c r="K6802" s="405">
        <v>32.722222000000002</v>
      </c>
      <c r="L6802" s="405" t="s">
        <v>314</v>
      </c>
      <c r="M6802" s="405" t="s">
        <v>329</v>
      </c>
      <c r="N6802" s="405" t="s">
        <v>330</v>
      </c>
      <c r="O6802" s="405" t="s">
        <v>630</v>
      </c>
      <c r="P6802" s="405" t="s">
        <v>622</v>
      </c>
      <c r="Q6802" s="411">
        <v>13</v>
      </c>
      <c r="R6802" s="405" t="s">
        <v>402</v>
      </c>
      <c r="S6802" s="405" t="s">
        <v>27052</v>
      </c>
      <c r="T6802" s="405" t="s">
        <v>32102</v>
      </c>
      <c r="U6802" s="405" t="s">
        <v>319</v>
      </c>
    </row>
    <row r="6803" spans="1:21" x14ac:dyDescent="0.25">
      <c r="A6803" s="405" t="s">
        <v>310</v>
      </c>
      <c r="B6803" s="405" t="s">
        <v>3276</v>
      </c>
      <c r="C6803" s="405" t="s">
        <v>327</v>
      </c>
      <c r="D6803" s="405"/>
      <c r="E6803" s="410">
        <v>41274</v>
      </c>
      <c r="F6803" s="410">
        <v>41319</v>
      </c>
      <c r="G6803" s="405" t="s">
        <v>3277</v>
      </c>
      <c r="H6803" s="405">
        <v>751095851</v>
      </c>
      <c r="I6803" s="405"/>
      <c r="J6803" s="405">
        <v>-0.22802900000000001</v>
      </c>
      <c r="K6803" s="405">
        <v>31.346588000000001</v>
      </c>
      <c r="L6803" s="405" t="s">
        <v>314</v>
      </c>
      <c r="M6803" s="405" t="s">
        <v>343</v>
      </c>
      <c r="N6803" s="405" t="s">
        <v>344</v>
      </c>
      <c r="O6803" s="405" t="s">
        <v>727</v>
      </c>
      <c r="P6803" s="405" t="s">
        <v>3278</v>
      </c>
      <c r="Q6803" s="411">
        <v>13</v>
      </c>
      <c r="R6803" s="405" t="s">
        <v>525</v>
      </c>
      <c r="S6803" s="405" t="s">
        <v>27035</v>
      </c>
      <c r="T6803" s="405" t="s">
        <v>32102</v>
      </c>
      <c r="U6803" s="405" t="s">
        <v>319</v>
      </c>
    </row>
    <row r="6804" spans="1:21" x14ac:dyDescent="0.25">
      <c r="A6804" s="405" t="s">
        <v>310</v>
      </c>
      <c r="B6804" s="405" t="s">
        <v>3279</v>
      </c>
      <c r="C6804" s="405" t="s">
        <v>327</v>
      </c>
      <c r="D6804" s="405"/>
      <c r="E6804" s="410">
        <v>41274</v>
      </c>
      <c r="F6804" s="410">
        <v>41319</v>
      </c>
      <c r="G6804" s="405" t="s">
        <v>3280</v>
      </c>
      <c r="H6804" s="405">
        <v>782265335</v>
      </c>
      <c r="I6804" s="405"/>
      <c r="J6804" s="405">
        <v>-0.252336</v>
      </c>
      <c r="K6804" s="405">
        <v>31.350860000000001</v>
      </c>
      <c r="L6804" s="405" t="s">
        <v>314</v>
      </c>
      <c r="M6804" s="405" t="s">
        <v>343</v>
      </c>
      <c r="N6804" s="405" t="s">
        <v>344</v>
      </c>
      <c r="O6804" s="405" t="s">
        <v>727</v>
      </c>
      <c r="P6804" s="405" t="s">
        <v>727</v>
      </c>
      <c r="Q6804" s="411">
        <v>13</v>
      </c>
      <c r="R6804" s="405" t="s">
        <v>1263</v>
      </c>
      <c r="S6804" s="405" t="s">
        <v>27206</v>
      </c>
      <c r="T6804" s="405" t="s">
        <v>32102</v>
      </c>
      <c r="U6804" s="405" t="s">
        <v>319</v>
      </c>
    </row>
    <row r="6805" spans="1:21" x14ac:dyDescent="0.25">
      <c r="A6805" s="405" t="s">
        <v>310</v>
      </c>
      <c r="B6805" s="405" t="s">
        <v>3309</v>
      </c>
      <c r="C6805" s="405" t="s">
        <v>327</v>
      </c>
      <c r="D6805" s="405"/>
      <c r="E6805" s="410">
        <v>41274</v>
      </c>
      <c r="F6805" s="410">
        <v>41319</v>
      </c>
      <c r="G6805" s="405" t="s">
        <v>3310</v>
      </c>
      <c r="H6805" s="405">
        <v>772631087</v>
      </c>
      <c r="I6805" s="405"/>
      <c r="J6805" s="405">
        <v>0.71630199999999999</v>
      </c>
      <c r="K6805" s="405">
        <v>32.933183</v>
      </c>
      <c r="L6805" s="405" t="s">
        <v>314</v>
      </c>
      <c r="M6805" s="405" t="s">
        <v>502</v>
      </c>
      <c r="N6805" s="405" t="s">
        <v>1229</v>
      </c>
      <c r="O6805" s="405" t="s">
        <v>502</v>
      </c>
      <c r="P6805" s="405" t="s">
        <v>3311</v>
      </c>
      <c r="Q6805" s="411">
        <v>13</v>
      </c>
      <c r="R6805" s="405" t="s">
        <v>318</v>
      </c>
      <c r="S6805" s="405" t="s">
        <v>27141</v>
      </c>
      <c r="T6805" s="405" t="s">
        <v>32102</v>
      </c>
      <c r="U6805" s="405" t="s">
        <v>319</v>
      </c>
    </row>
    <row r="6806" spans="1:21" x14ac:dyDescent="0.25">
      <c r="A6806" s="405" t="s">
        <v>310</v>
      </c>
      <c r="B6806" s="405" t="s">
        <v>3284</v>
      </c>
      <c r="C6806" s="405" t="s">
        <v>327</v>
      </c>
      <c r="D6806" s="405"/>
      <c r="E6806" s="410">
        <v>41274</v>
      </c>
      <c r="F6806" s="410">
        <v>41319</v>
      </c>
      <c r="G6806" s="405" t="s">
        <v>3285</v>
      </c>
      <c r="H6806" s="405">
        <v>782949091</v>
      </c>
      <c r="I6806" s="405"/>
      <c r="J6806" s="405">
        <v>1.7311E-2</v>
      </c>
      <c r="K6806" s="405">
        <v>31.493092000000001</v>
      </c>
      <c r="L6806" s="405" t="s">
        <v>314</v>
      </c>
      <c r="M6806" s="405" t="s">
        <v>343</v>
      </c>
      <c r="N6806" s="405" t="s">
        <v>344</v>
      </c>
      <c r="O6806" s="405" t="s">
        <v>2546</v>
      </c>
      <c r="P6806" s="405" t="s">
        <v>3160</v>
      </c>
      <c r="Q6806" s="411">
        <v>13</v>
      </c>
      <c r="R6806" s="405" t="s">
        <v>318</v>
      </c>
      <c r="S6806" s="405" t="s">
        <v>27152</v>
      </c>
      <c r="T6806" s="405" t="s">
        <v>32102</v>
      </c>
      <c r="U6806" s="405" t="s">
        <v>319</v>
      </c>
    </row>
    <row r="6807" spans="1:21" x14ac:dyDescent="0.25">
      <c r="A6807" s="405" t="s">
        <v>310</v>
      </c>
      <c r="B6807" s="405" t="s">
        <v>12064</v>
      </c>
      <c r="C6807" s="405" t="s">
        <v>327</v>
      </c>
      <c r="D6807" s="405"/>
      <c r="E6807" s="410">
        <v>41274</v>
      </c>
      <c r="F6807" s="410">
        <v>41319</v>
      </c>
      <c r="G6807" s="405" t="s">
        <v>12065</v>
      </c>
      <c r="H6807" s="405">
        <v>782508033</v>
      </c>
      <c r="I6807" s="405"/>
      <c r="J6807" s="405">
        <v>0.61629679999999998</v>
      </c>
      <c r="K6807" s="405">
        <v>33.479163100000001</v>
      </c>
      <c r="L6807" s="405" t="s">
        <v>6866</v>
      </c>
      <c r="M6807" s="405" t="s">
        <v>9590</v>
      </c>
      <c r="N6807" s="405" t="s">
        <v>542</v>
      </c>
      <c r="O6807" s="405" t="s">
        <v>12066</v>
      </c>
      <c r="P6807" s="405" t="s">
        <v>2617</v>
      </c>
      <c r="Q6807" s="411">
        <v>13</v>
      </c>
      <c r="R6807" s="405" t="s">
        <v>318</v>
      </c>
      <c r="S6807" s="405" t="s">
        <v>27188</v>
      </c>
      <c r="T6807" s="405" t="s">
        <v>32102</v>
      </c>
      <c r="U6807" s="405" t="s">
        <v>319</v>
      </c>
    </row>
    <row r="6808" spans="1:21" x14ac:dyDescent="0.25">
      <c r="A6808" s="405" t="s">
        <v>310</v>
      </c>
      <c r="B6808" s="405" t="s">
        <v>28144</v>
      </c>
      <c r="C6808" s="405" t="s">
        <v>311</v>
      </c>
      <c r="D6808" s="405" t="s">
        <v>839</v>
      </c>
      <c r="E6808" s="410">
        <v>41274</v>
      </c>
      <c r="F6808" s="410">
        <v>41319</v>
      </c>
      <c r="G6808" s="405" t="s">
        <v>3806</v>
      </c>
      <c r="H6808" s="405">
        <v>701094148</v>
      </c>
      <c r="I6808" s="405"/>
      <c r="J6808" s="405">
        <v>0.66846300000000003</v>
      </c>
      <c r="K6808" s="405">
        <v>32.936261999999999</v>
      </c>
      <c r="L6808" s="405" t="s">
        <v>314</v>
      </c>
      <c r="M6808" s="405" t="s">
        <v>502</v>
      </c>
      <c r="N6808" s="405" t="s">
        <v>2610</v>
      </c>
      <c r="O6808" s="405" t="s">
        <v>502</v>
      </c>
      <c r="P6808" s="405" t="s">
        <v>336</v>
      </c>
      <c r="Q6808" s="411">
        <v>12</v>
      </c>
      <c r="R6808" s="405" t="s">
        <v>318</v>
      </c>
      <c r="S6808" s="405" t="s">
        <v>27113</v>
      </c>
      <c r="T6808" s="405" t="s">
        <v>32102</v>
      </c>
      <c r="U6808" s="405" t="s">
        <v>319</v>
      </c>
    </row>
    <row r="6809" spans="1:21" x14ac:dyDescent="0.25">
      <c r="A6809" s="405" t="s">
        <v>310</v>
      </c>
      <c r="B6809" s="405" t="s">
        <v>28331</v>
      </c>
      <c r="C6809" s="405" t="s">
        <v>327</v>
      </c>
      <c r="D6809" s="405"/>
      <c r="E6809" s="410">
        <v>41274</v>
      </c>
      <c r="F6809" s="410">
        <v>41319</v>
      </c>
      <c r="G6809" s="405" t="s">
        <v>20850</v>
      </c>
      <c r="H6809" s="405">
        <v>779794224</v>
      </c>
      <c r="I6809" s="405">
        <v>782390743</v>
      </c>
      <c r="J6809" s="405">
        <v>0.55929200000000001</v>
      </c>
      <c r="K6809" s="405">
        <v>30.280218999999999</v>
      </c>
      <c r="L6809" s="405" t="s">
        <v>590</v>
      </c>
      <c r="M6809" s="405" t="s">
        <v>20125</v>
      </c>
      <c r="N6809" s="405" t="s">
        <v>20126</v>
      </c>
      <c r="O6809" s="405" t="s">
        <v>20135</v>
      </c>
      <c r="P6809" s="405" t="s">
        <v>20846</v>
      </c>
      <c r="Q6809" s="411">
        <v>12</v>
      </c>
      <c r="R6809" s="405" t="s">
        <v>874</v>
      </c>
      <c r="S6809" s="405" t="s">
        <v>27183</v>
      </c>
      <c r="T6809" s="405" t="s">
        <v>32102</v>
      </c>
      <c r="U6809" s="405" t="s">
        <v>319</v>
      </c>
    </row>
    <row r="6810" spans="1:21" x14ac:dyDescent="0.25">
      <c r="A6810" s="405" t="s">
        <v>310</v>
      </c>
      <c r="B6810" s="405" t="s">
        <v>21056</v>
      </c>
      <c r="C6810" s="405" t="s">
        <v>327</v>
      </c>
      <c r="D6810" s="405"/>
      <c r="E6810" s="410">
        <v>41274</v>
      </c>
      <c r="F6810" s="410">
        <v>41319</v>
      </c>
      <c r="G6810" s="405" t="s">
        <v>20842</v>
      </c>
      <c r="H6810" s="405">
        <v>782548714</v>
      </c>
      <c r="I6810" s="405">
        <v>773708502</v>
      </c>
      <c r="J6810" s="405">
        <v>0.56911599999999996</v>
      </c>
      <c r="K6810" s="405">
        <v>30.31691</v>
      </c>
      <c r="L6810" s="405" t="s">
        <v>590</v>
      </c>
      <c r="M6810" s="405" t="s">
        <v>20125</v>
      </c>
      <c r="N6810" s="405" t="s">
        <v>20126</v>
      </c>
      <c r="O6810" s="405" t="s">
        <v>20135</v>
      </c>
      <c r="P6810" s="405" t="s">
        <v>20843</v>
      </c>
      <c r="Q6810" s="411">
        <v>12</v>
      </c>
      <c r="R6810" s="405" t="s">
        <v>883</v>
      </c>
      <c r="S6810" s="405" t="s">
        <v>27183</v>
      </c>
      <c r="T6810" s="405" t="s">
        <v>32102</v>
      </c>
      <c r="U6810" s="405" t="s">
        <v>319</v>
      </c>
    </row>
    <row r="6811" spans="1:21" x14ac:dyDescent="0.25">
      <c r="A6811" s="405" t="s">
        <v>310</v>
      </c>
      <c r="B6811" s="405" t="s">
        <v>27552</v>
      </c>
      <c r="C6811" s="405" t="s">
        <v>327</v>
      </c>
      <c r="D6811" s="405"/>
      <c r="E6811" s="410">
        <v>41274</v>
      </c>
      <c r="F6811" s="410">
        <v>41319</v>
      </c>
      <c r="G6811" s="405" t="s">
        <v>3295</v>
      </c>
      <c r="H6811" s="405">
        <v>772448367</v>
      </c>
      <c r="I6811" s="405"/>
      <c r="J6811" s="405">
        <v>0.69019299999999995</v>
      </c>
      <c r="K6811" s="405">
        <v>32.920164999999997</v>
      </c>
      <c r="L6811" s="405" t="s">
        <v>314</v>
      </c>
      <c r="M6811" s="405" t="s">
        <v>502</v>
      </c>
      <c r="N6811" s="405" t="s">
        <v>2610</v>
      </c>
      <c r="O6811" s="405" t="s">
        <v>502</v>
      </c>
      <c r="P6811" s="405" t="s">
        <v>3296</v>
      </c>
      <c r="Q6811" s="411">
        <v>12</v>
      </c>
      <c r="R6811" s="405" t="s">
        <v>318</v>
      </c>
      <c r="S6811" s="405" t="s">
        <v>27113</v>
      </c>
      <c r="T6811" s="405" t="s">
        <v>32102</v>
      </c>
      <c r="U6811" s="405" t="s">
        <v>319</v>
      </c>
    </row>
    <row r="6812" spans="1:21" x14ac:dyDescent="0.25">
      <c r="A6812" s="405" t="s">
        <v>310</v>
      </c>
      <c r="B6812" s="405" t="s">
        <v>20914</v>
      </c>
      <c r="C6812" s="405" t="s">
        <v>327</v>
      </c>
      <c r="D6812" s="405"/>
      <c r="E6812" s="410">
        <v>41274</v>
      </c>
      <c r="F6812" s="410">
        <v>41319</v>
      </c>
      <c r="G6812" s="405" t="s">
        <v>20915</v>
      </c>
      <c r="H6812" s="405">
        <v>752827608</v>
      </c>
      <c r="I6812" s="405"/>
      <c r="J6812" s="405">
        <v>-0.84518499999999996</v>
      </c>
      <c r="K6812" s="405">
        <v>30.272480000000002</v>
      </c>
      <c r="L6812" s="405" t="s">
        <v>590</v>
      </c>
      <c r="M6812" s="405" t="s">
        <v>19659</v>
      </c>
      <c r="N6812" s="405" t="s">
        <v>19681</v>
      </c>
      <c r="O6812" s="405" t="s">
        <v>9881</v>
      </c>
      <c r="P6812" s="405" t="s">
        <v>20589</v>
      </c>
      <c r="Q6812" s="411">
        <v>12</v>
      </c>
      <c r="R6812" s="405" t="s">
        <v>967</v>
      </c>
      <c r="S6812" s="405" t="s">
        <v>27399</v>
      </c>
      <c r="T6812" s="405" t="s">
        <v>32102</v>
      </c>
      <c r="U6812" s="405" t="s">
        <v>319</v>
      </c>
    </row>
    <row r="6813" spans="1:21" x14ac:dyDescent="0.25">
      <c r="A6813" s="405" t="s">
        <v>310</v>
      </c>
      <c r="B6813" s="405" t="s">
        <v>27919</v>
      </c>
      <c r="C6813" s="405" t="s">
        <v>311</v>
      </c>
      <c r="D6813" s="405" t="s">
        <v>1789</v>
      </c>
      <c r="E6813" s="410">
        <v>41274</v>
      </c>
      <c r="F6813" s="410">
        <v>41319</v>
      </c>
      <c r="G6813" s="405" t="s">
        <v>21057</v>
      </c>
      <c r="H6813" s="405">
        <v>772491435</v>
      </c>
      <c r="I6813" s="405"/>
      <c r="J6813" s="405">
        <v>0.58574599999999999</v>
      </c>
      <c r="K6813" s="405">
        <v>30.311532</v>
      </c>
      <c r="L6813" s="405" t="s">
        <v>590</v>
      </c>
      <c r="M6813" s="405" t="s">
        <v>20125</v>
      </c>
      <c r="N6813" s="405" t="s">
        <v>20126</v>
      </c>
      <c r="O6813" s="405" t="s">
        <v>20837</v>
      </c>
      <c r="P6813" s="405" t="s">
        <v>21058</v>
      </c>
      <c r="Q6813" s="411">
        <v>12</v>
      </c>
      <c r="R6813" s="405" t="s">
        <v>883</v>
      </c>
      <c r="S6813" s="405" t="s">
        <v>27183</v>
      </c>
      <c r="T6813" s="405" t="s">
        <v>32102</v>
      </c>
      <c r="U6813" s="405" t="s">
        <v>319</v>
      </c>
    </row>
    <row r="6814" spans="1:21" x14ac:dyDescent="0.25">
      <c r="A6814" s="405" t="s">
        <v>310</v>
      </c>
      <c r="B6814" s="405" t="s">
        <v>12039</v>
      </c>
      <c r="C6814" s="405" t="s">
        <v>327</v>
      </c>
      <c r="D6814" s="405"/>
      <c r="E6814" s="410">
        <v>41274</v>
      </c>
      <c r="F6814" s="410">
        <v>41319</v>
      </c>
      <c r="G6814" s="405" t="s">
        <v>12040</v>
      </c>
      <c r="H6814" s="405">
        <v>772302470</v>
      </c>
      <c r="I6814" s="405">
        <v>752479774</v>
      </c>
      <c r="J6814" s="405">
        <v>0.93592900000000001</v>
      </c>
      <c r="K6814" s="405">
        <v>33.132122600000002</v>
      </c>
      <c r="L6814" s="405" t="s">
        <v>6866</v>
      </c>
      <c r="M6814" s="405" t="s">
        <v>3009</v>
      </c>
      <c r="N6814" s="405" t="s">
        <v>9662</v>
      </c>
      <c r="O6814" s="405" t="s">
        <v>9663</v>
      </c>
      <c r="P6814" s="405" t="s">
        <v>12041</v>
      </c>
      <c r="Q6814" s="411">
        <v>12</v>
      </c>
      <c r="R6814" s="405" t="s">
        <v>318</v>
      </c>
      <c r="S6814" s="405" t="s">
        <v>6822</v>
      </c>
      <c r="T6814" s="405" t="s">
        <v>32102</v>
      </c>
      <c r="U6814" s="405" t="s">
        <v>319</v>
      </c>
    </row>
    <row r="6815" spans="1:21" x14ac:dyDescent="0.25">
      <c r="A6815" s="405" t="s">
        <v>310</v>
      </c>
      <c r="B6815" s="405" t="s">
        <v>3352</v>
      </c>
      <c r="C6815" s="405" t="s">
        <v>327</v>
      </c>
      <c r="D6815" s="405"/>
      <c r="E6815" s="410">
        <v>41274</v>
      </c>
      <c r="F6815" s="410">
        <v>41319</v>
      </c>
      <c r="G6815" s="405" t="s">
        <v>3353</v>
      </c>
      <c r="H6815" s="405">
        <v>392962736</v>
      </c>
      <c r="I6815" s="405">
        <v>392962736</v>
      </c>
      <c r="J6815" s="405">
        <v>0.68737999999999999</v>
      </c>
      <c r="K6815" s="405">
        <v>32.884348000000003</v>
      </c>
      <c r="L6815" s="405" t="s">
        <v>314</v>
      </c>
      <c r="M6815" s="405" t="s">
        <v>502</v>
      </c>
      <c r="N6815" s="405" t="s">
        <v>2610</v>
      </c>
      <c r="O6815" s="405" t="s">
        <v>502</v>
      </c>
      <c r="P6815" s="405" t="s">
        <v>3354</v>
      </c>
      <c r="Q6815" s="411">
        <v>12</v>
      </c>
      <c r="R6815" s="405" t="s">
        <v>318</v>
      </c>
      <c r="S6815" s="405" t="s">
        <v>27113</v>
      </c>
      <c r="T6815" s="405" t="s">
        <v>32102</v>
      </c>
      <c r="U6815" s="405" t="s">
        <v>319</v>
      </c>
    </row>
    <row r="6816" spans="1:21" x14ac:dyDescent="0.25">
      <c r="A6816" s="405" t="s">
        <v>310</v>
      </c>
      <c r="B6816" s="405" t="s">
        <v>3312</v>
      </c>
      <c r="C6816" s="405" t="s">
        <v>327</v>
      </c>
      <c r="D6816" s="405"/>
      <c r="E6816" s="410">
        <v>41274</v>
      </c>
      <c r="F6816" s="410">
        <v>41319</v>
      </c>
      <c r="G6816" s="405" t="s">
        <v>3313</v>
      </c>
      <c r="H6816" s="405">
        <v>773327385</v>
      </c>
      <c r="I6816" s="405"/>
      <c r="J6816" s="405">
        <v>0.70938800000000002</v>
      </c>
      <c r="K6816" s="405">
        <v>32.900292999999998</v>
      </c>
      <c r="L6816" s="405" t="s">
        <v>314</v>
      </c>
      <c r="M6816" s="405" t="s">
        <v>502</v>
      </c>
      <c r="N6816" s="405" t="s">
        <v>1229</v>
      </c>
      <c r="O6816" s="405" t="s">
        <v>502</v>
      </c>
      <c r="P6816" s="405" t="s">
        <v>3181</v>
      </c>
      <c r="Q6816" s="411">
        <v>12</v>
      </c>
      <c r="R6816" s="405" t="s">
        <v>318</v>
      </c>
      <c r="S6816" s="405" t="s">
        <v>27113</v>
      </c>
      <c r="T6816" s="405" t="s">
        <v>32102</v>
      </c>
      <c r="U6816" s="405" t="s">
        <v>319</v>
      </c>
    </row>
    <row r="6817" spans="1:21" x14ac:dyDescent="0.25">
      <c r="A6817" s="405" t="s">
        <v>310</v>
      </c>
      <c r="B6817" s="405" t="s">
        <v>27706</v>
      </c>
      <c r="C6817" s="405" t="s">
        <v>311</v>
      </c>
      <c r="D6817" s="405" t="s">
        <v>312</v>
      </c>
      <c r="E6817" s="410">
        <v>41274</v>
      </c>
      <c r="F6817" s="410">
        <v>41319</v>
      </c>
      <c r="G6817" s="405" t="s">
        <v>3869</v>
      </c>
      <c r="H6817" s="405">
        <v>772878865</v>
      </c>
      <c r="I6817" s="405"/>
      <c r="J6817" s="405">
        <v>0.25124299999999999</v>
      </c>
      <c r="K6817" s="405">
        <v>32.882413</v>
      </c>
      <c r="L6817" s="405" t="s">
        <v>314</v>
      </c>
      <c r="M6817" s="405" t="s">
        <v>329</v>
      </c>
      <c r="N6817" s="405" t="s">
        <v>803</v>
      </c>
      <c r="O6817" s="405" t="s">
        <v>653</v>
      </c>
      <c r="P6817" s="405" t="s">
        <v>3870</v>
      </c>
      <c r="Q6817" s="411">
        <v>9</v>
      </c>
      <c r="R6817" s="405" t="s">
        <v>1263</v>
      </c>
      <c r="S6817" s="405" t="s">
        <v>27208</v>
      </c>
      <c r="T6817" s="405" t="s">
        <v>32102</v>
      </c>
      <c r="U6817" s="405" t="s">
        <v>319</v>
      </c>
    </row>
    <row r="6818" spans="1:21" x14ac:dyDescent="0.25">
      <c r="A6818" s="405" t="s">
        <v>310</v>
      </c>
      <c r="B6818" s="405" t="s">
        <v>27915</v>
      </c>
      <c r="C6818" s="405" t="s">
        <v>327</v>
      </c>
      <c r="D6818" s="405"/>
      <c r="E6818" s="410">
        <v>41274</v>
      </c>
      <c r="F6818" s="410">
        <v>41319</v>
      </c>
      <c r="G6818" s="405" t="s">
        <v>20919</v>
      </c>
      <c r="H6818" s="405">
        <v>701196841</v>
      </c>
      <c r="I6818" s="405"/>
      <c r="J6818" s="405">
        <v>-0.84585200000000005</v>
      </c>
      <c r="K6818" s="405">
        <v>30.235861</v>
      </c>
      <c r="L6818" s="405" t="s">
        <v>590</v>
      </c>
      <c r="M6818" s="405" t="s">
        <v>19659</v>
      </c>
      <c r="N6818" s="405" t="s">
        <v>19664</v>
      </c>
      <c r="O6818" s="405" t="s">
        <v>19659</v>
      </c>
      <c r="P6818" s="405" t="s">
        <v>20920</v>
      </c>
      <c r="Q6818" s="411">
        <v>9</v>
      </c>
      <c r="R6818" s="405" t="s">
        <v>967</v>
      </c>
      <c r="S6818" s="405" t="s">
        <v>27401</v>
      </c>
      <c r="T6818" s="405" t="s">
        <v>32102</v>
      </c>
      <c r="U6818" s="405" t="s">
        <v>319</v>
      </c>
    </row>
    <row r="6819" spans="1:21" x14ac:dyDescent="0.25">
      <c r="A6819" s="405" t="s">
        <v>310</v>
      </c>
      <c r="B6819" s="405" t="s">
        <v>28376</v>
      </c>
      <c r="C6819" s="405" t="s">
        <v>311</v>
      </c>
      <c r="D6819" s="405" t="s">
        <v>1789</v>
      </c>
      <c r="E6819" s="410">
        <v>41274</v>
      </c>
      <c r="F6819" s="410">
        <v>41319</v>
      </c>
      <c r="G6819" s="405" t="s">
        <v>3768</v>
      </c>
      <c r="H6819" s="405">
        <v>775131226</v>
      </c>
      <c r="I6819" s="405"/>
      <c r="J6819" s="405">
        <v>0.121604</v>
      </c>
      <c r="K6819" s="405">
        <v>31.840920000000001</v>
      </c>
      <c r="L6819" s="405" t="s">
        <v>314</v>
      </c>
      <c r="M6819" s="405" t="s">
        <v>339</v>
      </c>
      <c r="N6819" s="405" t="s">
        <v>339</v>
      </c>
      <c r="O6819" s="405" t="s">
        <v>1948</v>
      </c>
      <c r="P6819" s="405" t="s">
        <v>3265</v>
      </c>
      <c r="Q6819" s="411">
        <v>9</v>
      </c>
      <c r="R6819" s="405" t="s">
        <v>1263</v>
      </c>
      <c r="S6819" s="405" t="s">
        <v>27120</v>
      </c>
      <c r="T6819" s="405" t="s">
        <v>32102</v>
      </c>
      <c r="U6819" s="405" t="s">
        <v>319</v>
      </c>
    </row>
    <row r="6820" spans="1:21" x14ac:dyDescent="0.25">
      <c r="A6820" s="405" t="s">
        <v>310</v>
      </c>
      <c r="B6820" s="405" t="s">
        <v>28423</v>
      </c>
      <c r="C6820" s="405" t="s">
        <v>311</v>
      </c>
      <c r="D6820" s="405" t="s">
        <v>1789</v>
      </c>
      <c r="E6820" s="410">
        <v>41274</v>
      </c>
      <c r="F6820" s="410">
        <v>41319</v>
      </c>
      <c r="G6820" s="405" t="s">
        <v>3807</v>
      </c>
      <c r="H6820" s="405">
        <v>782408286</v>
      </c>
      <c r="I6820" s="405"/>
      <c r="J6820" s="405">
        <v>0.69272599999999995</v>
      </c>
      <c r="K6820" s="405">
        <v>32.905903000000002</v>
      </c>
      <c r="L6820" s="405" t="s">
        <v>314</v>
      </c>
      <c r="M6820" s="405" t="s">
        <v>502</v>
      </c>
      <c r="N6820" s="405" t="s">
        <v>1229</v>
      </c>
      <c r="O6820" s="405" t="s">
        <v>502</v>
      </c>
      <c r="P6820" s="405" t="s">
        <v>3354</v>
      </c>
      <c r="Q6820" s="411">
        <v>9</v>
      </c>
      <c r="R6820" s="405" t="s">
        <v>318</v>
      </c>
      <c r="S6820" s="405" t="s">
        <v>27141</v>
      </c>
      <c r="T6820" s="405" t="s">
        <v>32102</v>
      </c>
      <c r="U6820" s="405" t="s">
        <v>319</v>
      </c>
    </row>
    <row r="6821" spans="1:21" x14ac:dyDescent="0.25">
      <c r="A6821" s="405" t="s">
        <v>310</v>
      </c>
      <c r="B6821" s="405" t="s">
        <v>28632</v>
      </c>
      <c r="C6821" s="405" t="s">
        <v>311</v>
      </c>
      <c r="D6821" s="405" t="s">
        <v>839</v>
      </c>
      <c r="E6821" s="410">
        <v>41274</v>
      </c>
      <c r="F6821" s="410">
        <v>41319</v>
      </c>
      <c r="G6821" s="405" t="s">
        <v>21035</v>
      </c>
      <c r="H6821" s="405">
        <v>772566664</v>
      </c>
      <c r="I6821" s="405"/>
      <c r="J6821" s="405">
        <v>0.68601500000000004</v>
      </c>
      <c r="K6821" s="405">
        <v>30.281748</v>
      </c>
      <c r="L6821" s="405" t="s">
        <v>590</v>
      </c>
      <c r="M6821" s="405" t="s">
        <v>20125</v>
      </c>
      <c r="N6821" s="405" t="s">
        <v>20126</v>
      </c>
      <c r="O6821" s="405" t="s">
        <v>20585</v>
      </c>
      <c r="P6821" s="405" t="s">
        <v>21036</v>
      </c>
      <c r="Q6821" s="411">
        <v>9</v>
      </c>
      <c r="R6821" s="405" t="s">
        <v>20774</v>
      </c>
      <c r="S6821" s="405" t="s">
        <v>27127</v>
      </c>
      <c r="T6821" s="405" t="s">
        <v>32102</v>
      </c>
      <c r="U6821" s="405" t="s">
        <v>319</v>
      </c>
    </row>
    <row r="6822" spans="1:21" x14ac:dyDescent="0.25">
      <c r="A6822" s="405" t="s">
        <v>310</v>
      </c>
      <c r="B6822" s="405" t="s">
        <v>28860</v>
      </c>
      <c r="C6822" s="405" t="s">
        <v>327</v>
      </c>
      <c r="D6822" s="405"/>
      <c r="E6822" s="410">
        <v>41274</v>
      </c>
      <c r="F6822" s="410">
        <v>41319</v>
      </c>
      <c r="G6822" s="405" t="s">
        <v>20805</v>
      </c>
      <c r="H6822" s="405">
        <v>782583088</v>
      </c>
      <c r="I6822" s="405"/>
      <c r="J6822" s="405">
        <v>-0.78080099999999997</v>
      </c>
      <c r="K6822" s="405">
        <v>30.130095000000001</v>
      </c>
      <c r="L6822" s="405" t="s">
        <v>590</v>
      </c>
      <c r="M6822" s="405" t="s">
        <v>19659</v>
      </c>
      <c r="N6822" s="405" t="s">
        <v>19604</v>
      </c>
      <c r="O6822" s="405" t="s">
        <v>20263</v>
      </c>
      <c r="P6822" s="405" t="s">
        <v>20806</v>
      </c>
      <c r="Q6822" s="411">
        <v>9</v>
      </c>
      <c r="R6822" s="405" t="s">
        <v>1527</v>
      </c>
      <c r="S6822" s="405" t="s">
        <v>27161</v>
      </c>
      <c r="T6822" s="405" t="s">
        <v>32102</v>
      </c>
      <c r="U6822" s="405" t="s">
        <v>319</v>
      </c>
    </row>
    <row r="6823" spans="1:21" x14ac:dyDescent="0.25">
      <c r="A6823" s="405" t="s">
        <v>310</v>
      </c>
      <c r="B6823" s="405" t="s">
        <v>28886</v>
      </c>
      <c r="C6823" s="405" t="s">
        <v>327</v>
      </c>
      <c r="D6823" s="405"/>
      <c r="E6823" s="410">
        <v>41274</v>
      </c>
      <c r="F6823" s="410">
        <v>41319</v>
      </c>
      <c r="G6823" s="405" t="s">
        <v>3300</v>
      </c>
      <c r="H6823" s="405">
        <v>772524116</v>
      </c>
      <c r="I6823" s="405"/>
      <c r="J6823" s="405">
        <v>0.73206800000000005</v>
      </c>
      <c r="K6823" s="405">
        <v>32.913735000000003</v>
      </c>
      <c r="L6823" s="405" t="s">
        <v>314</v>
      </c>
      <c r="M6823" s="405" t="s">
        <v>502</v>
      </c>
      <c r="N6823" s="405" t="s">
        <v>1229</v>
      </c>
      <c r="O6823" s="405" t="s">
        <v>502</v>
      </c>
      <c r="P6823" s="405" t="s">
        <v>1567</v>
      </c>
      <c r="Q6823" s="411">
        <v>9</v>
      </c>
      <c r="R6823" s="405" t="s">
        <v>318</v>
      </c>
      <c r="S6823" s="405" t="s">
        <v>27152</v>
      </c>
      <c r="T6823" s="405" t="s">
        <v>32102</v>
      </c>
      <c r="U6823" s="405" t="s">
        <v>319</v>
      </c>
    </row>
    <row r="6824" spans="1:21" x14ac:dyDescent="0.25">
      <c r="A6824" s="405" t="s">
        <v>310</v>
      </c>
      <c r="B6824" s="405" t="s">
        <v>3878</v>
      </c>
      <c r="C6824" s="405" t="s">
        <v>311</v>
      </c>
      <c r="D6824" s="405" t="s">
        <v>839</v>
      </c>
      <c r="E6824" s="410">
        <v>41274</v>
      </c>
      <c r="F6824" s="410">
        <v>41319</v>
      </c>
      <c r="G6824" s="405" t="s">
        <v>3879</v>
      </c>
      <c r="H6824" s="405">
        <v>784650742</v>
      </c>
      <c r="I6824" s="405">
        <v>752878864</v>
      </c>
      <c r="J6824" s="405">
        <v>0.337673</v>
      </c>
      <c r="K6824" s="405">
        <v>32.714992000000002</v>
      </c>
      <c r="L6824" s="405" t="s">
        <v>314</v>
      </c>
      <c r="M6824" s="405" t="s">
        <v>329</v>
      </c>
      <c r="N6824" s="405" t="s">
        <v>330</v>
      </c>
      <c r="O6824" s="405" t="s">
        <v>630</v>
      </c>
      <c r="P6824" s="405" t="s">
        <v>3215</v>
      </c>
      <c r="Q6824" s="411">
        <v>9</v>
      </c>
      <c r="R6824" s="405" t="s">
        <v>1263</v>
      </c>
      <c r="S6824" s="405" t="s">
        <v>27208</v>
      </c>
      <c r="T6824" s="405" t="s">
        <v>32102</v>
      </c>
      <c r="U6824" s="405" t="s">
        <v>319</v>
      </c>
    </row>
    <row r="6825" spans="1:21" x14ac:dyDescent="0.25">
      <c r="A6825" s="405" t="s">
        <v>310</v>
      </c>
      <c r="B6825" s="405" t="s">
        <v>3338</v>
      </c>
      <c r="C6825" s="405" t="s">
        <v>327</v>
      </c>
      <c r="D6825" s="405"/>
      <c r="E6825" s="410">
        <v>41274</v>
      </c>
      <c r="F6825" s="410">
        <v>41319</v>
      </c>
      <c r="G6825" s="405" t="s">
        <v>3339</v>
      </c>
      <c r="H6825" s="405">
        <v>782961534</v>
      </c>
      <c r="I6825" s="405"/>
      <c r="J6825" s="405">
        <v>0.54705800000000004</v>
      </c>
      <c r="K6825" s="405">
        <v>31.737577999999999</v>
      </c>
      <c r="L6825" s="405" t="s">
        <v>314</v>
      </c>
      <c r="M6825" s="405" t="s">
        <v>445</v>
      </c>
      <c r="N6825" s="405" t="s">
        <v>699</v>
      </c>
      <c r="O6825" s="405" t="s">
        <v>571</v>
      </c>
      <c r="P6825" s="405" t="s">
        <v>3340</v>
      </c>
      <c r="Q6825" s="411">
        <v>9</v>
      </c>
      <c r="R6825" s="405" t="s">
        <v>438</v>
      </c>
      <c r="S6825" s="405" t="s">
        <v>27131</v>
      </c>
      <c r="T6825" s="405" t="s">
        <v>32102</v>
      </c>
      <c r="U6825" s="405" t="s">
        <v>319</v>
      </c>
    </row>
    <row r="6826" spans="1:21" x14ac:dyDescent="0.25">
      <c r="A6826" s="405" t="s">
        <v>310</v>
      </c>
      <c r="B6826" s="405" t="s">
        <v>20886</v>
      </c>
      <c r="C6826" s="405" t="s">
        <v>327</v>
      </c>
      <c r="D6826" s="405"/>
      <c r="E6826" s="410">
        <v>41274</v>
      </c>
      <c r="F6826" s="410">
        <v>41319</v>
      </c>
      <c r="G6826" s="405" t="s">
        <v>20887</v>
      </c>
      <c r="H6826" s="405">
        <v>772450002</v>
      </c>
      <c r="I6826" s="405"/>
      <c r="J6826" s="405">
        <v>0.62829299999999999</v>
      </c>
      <c r="K6826" s="405">
        <v>30.58051</v>
      </c>
      <c r="L6826" s="405" t="s">
        <v>590</v>
      </c>
      <c r="M6826" s="405" t="s">
        <v>20426</v>
      </c>
      <c r="N6826" s="405" t="s">
        <v>10925</v>
      </c>
      <c r="O6826" s="405" t="s">
        <v>20537</v>
      </c>
      <c r="P6826" s="405" t="s">
        <v>20888</v>
      </c>
      <c r="Q6826" s="411">
        <v>9</v>
      </c>
      <c r="R6826" s="405" t="s">
        <v>333</v>
      </c>
      <c r="S6826" s="405" t="s">
        <v>27104</v>
      </c>
      <c r="T6826" s="405" t="s">
        <v>32102</v>
      </c>
      <c r="U6826" s="405" t="s">
        <v>319</v>
      </c>
    </row>
    <row r="6827" spans="1:21" x14ac:dyDescent="0.25">
      <c r="A6827" s="405" t="s">
        <v>310</v>
      </c>
      <c r="B6827" s="405" t="s">
        <v>27748</v>
      </c>
      <c r="C6827" s="405" t="s">
        <v>327</v>
      </c>
      <c r="D6827" s="405"/>
      <c r="E6827" s="410">
        <v>41274</v>
      </c>
      <c r="F6827" s="410">
        <v>41319</v>
      </c>
      <c r="G6827" s="405" t="s">
        <v>3301</v>
      </c>
      <c r="H6827" s="405">
        <v>782864470</v>
      </c>
      <c r="I6827" s="405"/>
      <c r="J6827" s="405">
        <v>0.73413200000000001</v>
      </c>
      <c r="K6827" s="405">
        <v>32.913775000000001</v>
      </c>
      <c r="L6827" s="405" t="s">
        <v>314</v>
      </c>
      <c r="M6827" s="405" t="s">
        <v>502</v>
      </c>
      <c r="N6827" s="405" t="s">
        <v>2610</v>
      </c>
      <c r="O6827" s="405" t="s">
        <v>502</v>
      </c>
      <c r="P6827" s="405" t="s">
        <v>1567</v>
      </c>
      <c r="Q6827" s="411">
        <v>9</v>
      </c>
      <c r="R6827" s="405" t="s">
        <v>318</v>
      </c>
      <c r="S6827" s="405" t="s">
        <v>27152</v>
      </c>
      <c r="T6827" s="405" t="s">
        <v>32102</v>
      </c>
      <c r="U6827" s="405" t="s">
        <v>319</v>
      </c>
    </row>
    <row r="6828" spans="1:21" x14ac:dyDescent="0.25">
      <c r="A6828" s="405" t="s">
        <v>310</v>
      </c>
      <c r="B6828" s="405" t="s">
        <v>3854</v>
      </c>
      <c r="C6828" s="405" t="s">
        <v>311</v>
      </c>
      <c r="D6828" s="405" t="s">
        <v>1789</v>
      </c>
      <c r="E6828" s="410">
        <v>41274</v>
      </c>
      <c r="F6828" s="410">
        <v>41319</v>
      </c>
      <c r="G6828" s="405" t="s">
        <v>3855</v>
      </c>
      <c r="H6828" s="405">
        <v>705006530</v>
      </c>
      <c r="I6828" s="405"/>
      <c r="J6828" s="405">
        <v>0.39914699999999997</v>
      </c>
      <c r="K6828" s="405">
        <v>32.506070000000001</v>
      </c>
      <c r="L6828" s="405" t="s">
        <v>314</v>
      </c>
      <c r="M6828" s="405" t="s">
        <v>361</v>
      </c>
      <c r="N6828" s="405" t="s">
        <v>374</v>
      </c>
      <c r="O6828" s="405" t="s">
        <v>361</v>
      </c>
      <c r="P6828" s="405" t="s">
        <v>2668</v>
      </c>
      <c r="Q6828" s="411">
        <v>9</v>
      </c>
      <c r="R6828" s="405" t="s">
        <v>1263</v>
      </c>
      <c r="S6828" s="405" t="s">
        <v>27178</v>
      </c>
      <c r="T6828" s="405" t="s">
        <v>32102</v>
      </c>
      <c r="U6828" s="405" t="s">
        <v>319</v>
      </c>
    </row>
    <row r="6829" spans="1:21" x14ac:dyDescent="0.25">
      <c r="A6829" s="405" t="s">
        <v>310</v>
      </c>
      <c r="B6829" s="405" t="s">
        <v>3327</v>
      </c>
      <c r="C6829" s="405" t="s">
        <v>327</v>
      </c>
      <c r="D6829" s="405"/>
      <c r="E6829" s="410">
        <v>41274</v>
      </c>
      <c r="F6829" s="410">
        <v>41319</v>
      </c>
      <c r="G6829" s="405" t="s">
        <v>3328</v>
      </c>
      <c r="H6829" s="405">
        <v>776370860</v>
      </c>
      <c r="I6829" s="405"/>
      <c r="J6829" s="405">
        <v>0.45933000000000002</v>
      </c>
      <c r="K6829" s="405">
        <v>32.514223000000001</v>
      </c>
      <c r="L6829" s="405" t="s">
        <v>314</v>
      </c>
      <c r="M6829" s="405" t="s">
        <v>361</v>
      </c>
      <c r="N6829" s="405" t="s">
        <v>362</v>
      </c>
      <c r="O6829" s="405" t="s">
        <v>523</v>
      </c>
      <c r="P6829" s="405" t="s">
        <v>3329</v>
      </c>
      <c r="Q6829" s="411">
        <v>9</v>
      </c>
      <c r="R6829" s="405" t="s">
        <v>1263</v>
      </c>
      <c r="S6829" s="405" t="s">
        <v>27047</v>
      </c>
      <c r="T6829" s="405" t="s">
        <v>32102</v>
      </c>
      <c r="U6829" s="405" t="s">
        <v>319</v>
      </c>
    </row>
    <row r="6830" spans="1:21" x14ac:dyDescent="0.25">
      <c r="A6830" s="405" t="s">
        <v>310</v>
      </c>
      <c r="B6830" s="405" t="s">
        <v>20911</v>
      </c>
      <c r="C6830" s="405" t="s">
        <v>327</v>
      </c>
      <c r="D6830" s="405"/>
      <c r="E6830" s="410">
        <v>41274</v>
      </c>
      <c r="F6830" s="410">
        <v>41319</v>
      </c>
      <c r="G6830" s="405" t="s">
        <v>20912</v>
      </c>
      <c r="H6830" s="405">
        <v>772577949</v>
      </c>
      <c r="I6830" s="405"/>
      <c r="J6830" s="405">
        <v>-0.78175099999999997</v>
      </c>
      <c r="K6830" s="405">
        <v>29.931978000000001</v>
      </c>
      <c r="L6830" s="405" t="s">
        <v>590</v>
      </c>
      <c r="M6830" s="405" t="s">
        <v>19619</v>
      </c>
      <c r="N6830" s="405" t="s">
        <v>19765</v>
      </c>
      <c r="O6830" s="405" t="s">
        <v>6748</v>
      </c>
      <c r="P6830" s="405" t="s">
        <v>20913</v>
      </c>
      <c r="Q6830" s="411">
        <v>9</v>
      </c>
      <c r="R6830" s="405" t="s">
        <v>333</v>
      </c>
      <c r="S6830" s="405" t="s">
        <v>27127</v>
      </c>
      <c r="T6830" s="405" t="s">
        <v>32102</v>
      </c>
      <c r="U6830" s="405" t="s">
        <v>319</v>
      </c>
    </row>
    <row r="6831" spans="1:21" x14ac:dyDescent="0.25">
      <c r="A6831" s="405" t="s">
        <v>310</v>
      </c>
      <c r="B6831" s="405" t="s">
        <v>27922</v>
      </c>
      <c r="C6831" s="405" t="s">
        <v>311</v>
      </c>
      <c r="D6831" s="405" t="s">
        <v>312</v>
      </c>
      <c r="E6831" s="410">
        <v>41274</v>
      </c>
      <c r="F6831" s="410">
        <v>41319</v>
      </c>
      <c r="G6831" s="405" t="s">
        <v>12465</v>
      </c>
      <c r="H6831" s="405">
        <v>752610302</v>
      </c>
      <c r="I6831" s="405"/>
      <c r="J6831" s="405">
        <v>0.4513373</v>
      </c>
      <c r="K6831" s="405">
        <v>33.222805899999997</v>
      </c>
      <c r="L6831" s="405" t="s">
        <v>6866</v>
      </c>
      <c r="M6831" s="405" t="s">
        <v>9590</v>
      </c>
      <c r="N6831" s="405" t="s">
        <v>12466</v>
      </c>
      <c r="O6831" s="405" t="s">
        <v>12467</v>
      </c>
      <c r="P6831" s="405" t="s">
        <v>12468</v>
      </c>
      <c r="Q6831" s="411">
        <v>9</v>
      </c>
      <c r="R6831" s="405" t="s">
        <v>318</v>
      </c>
      <c r="S6831" s="405" t="s">
        <v>27174</v>
      </c>
      <c r="T6831" s="405" t="s">
        <v>32102</v>
      </c>
      <c r="U6831" s="405" t="s">
        <v>319</v>
      </c>
    </row>
    <row r="6832" spans="1:21" x14ac:dyDescent="0.25">
      <c r="A6832" s="405" t="s">
        <v>310</v>
      </c>
      <c r="B6832" s="405" t="s">
        <v>27959</v>
      </c>
      <c r="C6832" s="405" t="s">
        <v>857</v>
      </c>
      <c r="D6832" s="405" t="s">
        <v>21084</v>
      </c>
      <c r="E6832" s="410">
        <v>41274</v>
      </c>
      <c r="F6832" s="410">
        <v>41319</v>
      </c>
      <c r="G6832" s="405" t="s">
        <v>21085</v>
      </c>
      <c r="H6832" s="405">
        <v>784680907</v>
      </c>
      <c r="I6832" s="405"/>
      <c r="J6832" s="405">
        <v>0.73535600000000001</v>
      </c>
      <c r="K6832" s="405">
        <v>30.343900999999999</v>
      </c>
      <c r="L6832" s="405" t="s">
        <v>590</v>
      </c>
      <c r="M6832" s="405" t="s">
        <v>20125</v>
      </c>
      <c r="N6832" s="405" t="s">
        <v>20126</v>
      </c>
      <c r="O6832" s="405" t="s">
        <v>20127</v>
      </c>
      <c r="P6832" s="405" t="s">
        <v>20863</v>
      </c>
      <c r="Q6832" s="411">
        <v>9</v>
      </c>
      <c r="R6832" s="405" t="s">
        <v>883</v>
      </c>
      <c r="S6832" s="405" t="s">
        <v>27097</v>
      </c>
      <c r="T6832" s="405" t="s">
        <v>32102</v>
      </c>
      <c r="U6832" s="405" t="s">
        <v>319</v>
      </c>
    </row>
    <row r="6833" spans="1:21" x14ac:dyDescent="0.25">
      <c r="A6833" s="405" t="s">
        <v>310</v>
      </c>
      <c r="B6833" s="405" t="s">
        <v>20825</v>
      </c>
      <c r="C6833" s="405" t="s">
        <v>327</v>
      </c>
      <c r="D6833" s="405"/>
      <c r="E6833" s="410">
        <v>41274</v>
      </c>
      <c r="F6833" s="410">
        <v>41319</v>
      </c>
      <c r="G6833" s="405" t="s">
        <v>20826</v>
      </c>
      <c r="H6833" s="405">
        <v>785743040</v>
      </c>
      <c r="I6833" s="405"/>
      <c r="J6833" s="405">
        <v>0.62731499999999996</v>
      </c>
      <c r="K6833" s="405">
        <v>30.248888000000001</v>
      </c>
      <c r="L6833" s="405" t="s">
        <v>590</v>
      </c>
      <c r="M6833" s="405" t="s">
        <v>20125</v>
      </c>
      <c r="N6833" s="405" t="s">
        <v>20772</v>
      </c>
      <c r="O6833" s="405" t="s">
        <v>4793</v>
      </c>
      <c r="P6833" s="405" t="s">
        <v>20827</v>
      </c>
      <c r="Q6833" s="411">
        <v>9</v>
      </c>
      <c r="R6833" s="405" t="s">
        <v>20774</v>
      </c>
      <c r="S6833" s="405" t="s">
        <v>27127</v>
      </c>
      <c r="T6833" s="405" t="s">
        <v>32102</v>
      </c>
      <c r="U6833" s="405" t="s">
        <v>319</v>
      </c>
    </row>
    <row r="6834" spans="1:21" x14ac:dyDescent="0.25">
      <c r="A6834" s="405" t="s">
        <v>310</v>
      </c>
      <c r="B6834" s="405" t="s">
        <v>27985</v>
      </c>
      <c r="C6834" s="405" t="s">
        <v>327</v>
      </c>
      <c r="D6834" s="405"/>
      <c r="E6834" s="410">
        <v>41274</v>
      </c>
      <c r="F6834" s="410">
        <v>41319</v>
      </c>
      <c r="G6834" s="405" t="s">
        <v>20807</v>
      </c>
      <c r="H6834" s="405">
        <v>783520632</v>
      </c>
      <c r="I6834" s="405"/>
      <c r="J6834" s="405">
        <v>-0.85447200000000001</v>
      </c>
      <c r="K6834" s="405">
        <v>29.754321999999998</v>
      </c>
      <c r="L6834" s="405" t="s">
        <v>590</v>
      </c>
      <c r="M6834" s="405" t="s">
        <v>20808</v>
      </c>
      <c r="N6834" s="405" t="s">
        <v>20809</v>
      </c>
      <c r="O6834" s="405" t="s">
        <v>20810</v>
      </c>
      <c r="P6834" s="405" t="s">
        <v>20763</v>
      </c>
      <c r="Q6834" s="411">
        <v>9</v>
      </c>
      <c r="R6834" s="405" t="s">
        <v>874</v>
      </c>
      <c r="S6834" s="405" t="s">
        <v>27098</v>
      </c>
      <c r="T6834" s="405" t="s">
        <v>32102</v>
      </c>
      <c r="U6834" s="405" t="s">
        <v>319</v>
      </c>
    </row>
    <row r="6835" spans="1:21" x14ac:dyDescent="0.25">
      <c r="A6835" s="405" t="s">
        <v>310</v>
      </c>
      <c r="B6835" s="405" t="s">
        <v>20908</v>
      </c>
      <c r="C6835" s="405" t="s">
        <v>327</v>
      </c>
      <c r="D6835" s="405"/>
      <c r="E6835" s="410">
        <v>41274</v>
      </c>
      <c r="F6835" s="410">
        <v>41319</v>
      </c>
      <c r="G6835" s="405" t="s">
        <v>20909</v>
      </c>
      <c r="H6835" s="405">
        <v>779301324</v>
      </c>
      <c r="I6835" s="405"/>
      <c r="J6835" s="405">
        <v>-0.85541599999999995</v>
      </c>
      <c r="K6835" s="405">
        <v>30.040914999999998</v>
      </c>
      <c r="L6835" s="405" t="s">
        <v>590</v>
      </c>
      <c r="M6835" s="405" t="s">
        <v>19619</v>
      </c>
      <c r="N6835" s="405" t="s">
        <v>19620</v>
      </c>
      <c r="O6835" s="405" t="s">
        <v>19635</v>
      </c>
      <c r="P6835" s="405" t="s">
        <v>20910</v>
      </c>
      <c r="Q6835" s="411">
        <v>9</v>
      </c>
      <c r="R6835" s="405" t="s">
        <v>1527</v>
      </c>
      <c r="S6835" s="405" t="s">
        <v>27132</v>
      </c>
      <c r="T6835" s="405" t="s">
        <v>32102</v>
      </c>
      <c r="U6835" s="405" t="s">
        <v>319</v>
      </c>
    </row>
    <row r="6836" spans="1:21" x14ac:dyDescent="0.25">
      <c r="A6836" s="405" t="s">
        <v>310</v>
      </c>
      <c r="B6836" s="405" t="s">
        <v>27994</v>
      </c>
      <c r="C6836" s="405" t="s">
        <v>327</v>
      </c>
      <c r="D6836" s="405"/>
      <c r="E6836" s="410">
        <v>41274</v>
      </c>
      <c r="F6836" s="410">
        <v>41319</v>
      </c>
      <c r="G6836" s="405" t="s">
        <v>20865</v>
      </c>
      <c r="H6836" s="405">
        <v>702312296</v>
      </c>
      <c r="I6836" s="405"/>
      <c r="J6836" s="405">
        <v>0.38366400000000001</v>
      </c>
      <c r="K6836" s="405">
        <v>30.215326000000001</v>
      </c>
      <c r="L6836" s="405" t="s">
        <v>590</v>
      </c>
      <c r="M6836" s="405" t="s">
        <v>20125</v>
      </c>
      <c r="N6836" s="405" t="s">
        <v>20866</v>
      </c>
      <c r="O6836" s="405" t="s">
        <v>20867</v>
      </c>
      <c r="P6836" s="405" t="s">
        <v>20868</v>
      </c>
      <c r="Q6836" s="411">
        <v>9</v>
      </c>
      <c r="R6836" s="405" t="s">
        <v>883</v>
      </c>
      <c r="S6836" s="405" t="s">
        <v>27183</v>
      </c>
      <c r="T6836" s="405" t="s">
        <v>32102</v>
      </c>
      <c r="U6836" s="405" t="s">
        <v>319</v>
      </c>
    </row>
    <row r="6837" spans="1:21" x14ac:dyDescent="0.25">
      <c r="A6837" s="405" t="s">
        <v>310</v>
      </c>
      <c r="B6837" s="405" t="s">
        <v>20893</v>
      </c>
      <c r="C6837" s="405" t="s">
        <v>327</v>
      </c>
      <c r="D6837" s="405"/>
      <c r="E6837" s="410">
        <v>41274</v>
      </c>
      <c r="F6837" s="410">
        <v>41319</v>
      </c>
      <c r="G6837" s="405" t="s">
        <v>20894</v>
      </c>
      <c r="H6837" s="405">
        <v>772650051</v>
      </c>
      <c r="I6837" s="405"/>
      <c r="J6837" s="405">
        <v>-0.87692000000000003</v>
      </c>
      <c r="K6837" s="405">
        <v>29.958487999999999</v>
      </c>
      <c r="L6837" s="405" t="s">
        <v>590</v>
      </c>
      <c r="M6837" s="405" t="s">
        <v>19619</v>
      </c>
      <c r="N6837" s="405" t="s">
        <v>19620</v>
      </c>
      <c r="O6837" s="405" t="s">
        <v>2430</v>
      </c>
      <c r="P6837" s="405" t="s">
        <v>19633</v>
      </c>
      <c r="Q6837" s="411">
        <v>9</v>
      </c>
      <c r="R6837" s="405" t="s">
        <v>333</v>
      </c>
      <c r="S6837" s="405" t="s">
        <v>27127</v>
      </c>
      <c r="T6837" s="405" t="s">
        <v>32102</v>
      </c>
      <c r="U6837" s="405" t="s">
        <v>319</v>
      </c>
    </row>
    <row r="6838" spans="1:21" x14ac:dyDescent="0.25">
      <c r="A6838" s="405" t="s">
        <v>310</v>
      </c>
      <c r="B6838" s="405" t="s">
        <v>20897</v>
      </c>
      <c r="C6838" s="405" t="s">
        <v>327</v>
      </c>
      <c r="D6838" s="405"/>
      <c r="E6838" s="410">
        <v>41274</v>
      </c>
      <c r="F6838" s="410">
        <v>41319</v>
      </c>
      <c r="G6838" s="405" t="s">
        <v>20898</v>
      </c>
      <c r="H6838" s="405">
        <v>772507715</v>
      </c>
      <c r="I6838" s="405">
        <v>750507710</v>
      </c>
      <c r="J6838" s="405">
        <v>-0.84488200000000002</v>
      </c>
      <c r="K6838" s="405">
        <v>29.972178</v>
      </c>
      <c r="L6838" s="405" t="s">
        <v>590</v>
      </c>
      <c r="M6838" s="405" t="s">
        <v>19619</v>
      </c>
      <c r="N6838" s="405" t="s">
        <v>19620</v>
      </c>
      <c r="O6838" s="405" t="s">
        <v>2430</v>
      </c>
      <c r="P6838" s="405" t="s">
        <v>7093</v>
      </c>
      <c r="Q6838" s="411">
        <v>9</v>
      </c>
      <c r="R6838" s="405" t="s">
        <v>19622</v>
      </c>
      <c r="S6838" s="405" t="s">
        <v>27116</v>
      </c>
      <c r="T6838" s="405" t="s">
        <v>32102</v>
      </c>
      <c r="U6838" s="405" t="s">
        <v>319</v>
      </c>
    </row>
    <row r="6839" spans="1:21" x14ac:dyDescent="0.25">
      <c r="A6839" s="405" t="s">
        <v>310</v>
      </c>
      <c r="B6839" s="405" t="s">
        <v>20921</v>
      </c>
      <c r="C6839" s="405" t="s">
        <v>327</v>
      </c>
      <c r="D6839" s="405"/>
      <c r="E6839" s="410">
        <v>41274</v>
      </c>
      <c r="F6839" s="410">
        <v>41319</v>
      </c>
      <c r="G6839" s="405" t="s">
        <v>20922</v>
      </c>
      <c r="H6839" s="405">
        <v>772826411</v>
      </c>
      <c r="I6839" s="405"/>
      <c r="J6839" s="405">
        <v>1.8572280000000001</v>
      </c>
      <c r="K6839" s="405">
        <v>32.052635000000002</v>
      </c>
      <c r="L6839" s="405" t="s">
        <v>590</v>
      </c>
      <c r="M6839" s="405" t="s">
        <v>591</v>
      </c>
      <c r="N6839" s="405" t="s">
        <v>592</v>
      </c>
      <c r="O6839" s="405" t="s">
        <v>591</v>
      </c>
      <c r="P6839" s="405" t="s">
        <v>20923</v>
      </c>
      <c r="Q6839" s="411">
        <v>9</v>
      </c>
      <c r="R6839" s="405" t="s">
        <v>994</v>
      </c>
      <c r="S6839" s="405" t="s">
        <v>27375</v>
      </c>
      <c r="T6839" s="405" t="s">
        <v>32102</v>
      </c>
      <c r="U6839" s="405" t="s">
        <v>319</v>
      </c>
    </row>
    <row r="6840" spans="1:21" x14ac:dyDescent="0.25">
      <c r="A6840" s="405" t="s">
        <v>310</v>
      </c>
      <c r="B6840" s="405" t="s">
        <v>28094</v>
      </c>
      <c r="C6840" s="405" t="s">
        <v>327</v>
      </c>
      <c r="D6840" s="405"/>
      <c r="E6840" s="410">
        <v>41274</v>
      </c>
      <c r="F6840" s="410">
        <v>41319</v>
      </c>
      <c r="G6840" s="405" t="s">
        <v>20861</v>
      </c>
      <c r="H6840" s="405">
        <v>772636338</v>
      </c>
      <c r="I6840" s="405"/>
      <c r="J6840" s="405">
        <v>0.74017100000000002</v>
      </c>
      <c r="K6840" s="405">
        <v>30.334841999999998</v>
      </c>
      <c r="L6840" s="405" t="s">
        <v>590</v>
      </c>
      <c r="M6840" s="405" t="s">
        <v>20125</v>
      </c>
      <c r="N6840" s="405" t="s">
        <v>20126</v>
      </c>
      <c r="O6840" s="405" t="s">
        <v>20862</v>
      </c>
      <c r="P6840" s="405" t="s">
        <v>20863</v>
      </c>
      <c r="Q6840" s="411">
        <v>9</v>
      </c>
      <c r="R6840" s="405" t="s">
        <v>883</v>
      </c>
      <c r="S6840" s="405" t="s">
        <v>27097</v>
      </c>
      <c r="T6840" s="405" t="s">
        <v>32102</v>
      </c>
      <c r="U6840" s="405" t="s">
        <v>319</v>
      </c>
    </row>
    <row r="6841" spans="1:21" x14ac:dyDescent="0.25">
      <c r="A6841" s="405" t="s">
        <v>310</v>
      </c>
      <c r="B6841" s="405" t="s">
        <v>20902</v>
      </c>
      <c r="C6841" s="405" t="s">
        <v>327</v>
      </c>
      <c r="D6841" s="405"/>
      <c r="E6841" s="410">
        <v>41274</v>
      </c>
      <c r="F6841" s="410">
        <v>41319</v>
      </c>
      <c r="G6841" s="405" t="s">
        <v>20903</v>
      </c>
      <c r="H6841" s="405">
        <v>785131893</v>
      </c>
      <c r="I6841" s="405"/>
      <c r="J6841" s="405">
        <v>-0.81996500000000005</v>
      </c>
      <c r="K6841" s="405">
        <v>30.037713</v>
      </c>
      <c r="L6841" s="405" t="s">
        <v>590</v>
      </c>
      <c r="M6841" s="405" t="s">
        <v>19619</v>
      </c>
      <c r="N6841" s="405" t="s">
        <v>19620</v>
      </c>
      <c r="O6841" s="405" t="s">
        <v>19635</v>
      </c>
      <c r="P6841" s="405" t="s">
        <v>20904</v>
      </c>
      <c r="Q6841" s="411">
        <v>9</v>
      </c>
      <c r="R6841" s="405" t="s">
        <v>1527</v>
      </c>
      <c r="S6841" s="405" t="s">
        <v>27161</v>
      </c>
      <c r="T6841" s="405" t="s">
        <v>32102</v>
      </c>
      <c r="U6841" s="405" t="s">
        <v>319</v>
      </c>
    </row>
    <row r="6842" spans="1:21" x14ac:dyDescent="0.25">
      <c r="A6842" s="405" t="s">
        <v>310</v>
      </c>
      <c r="B6842" s="405" t="s">
        <v>3792</v>
      </c>
      <c r="C6842" s="405" t="s">
        <v>311</v>
      </c>
      <c r="D6842" s="405" t="s">
        <v>1789</v>
      </c>
      <c r="E6842" s="410">
        <v>41274</v>
      </c>
      <c r="F6842" s="410">
        <v>41319</v>
      </c>
      <c r="G6842" s="405" t="s">
        <v>3793</v>
      </c>
      <c r="H6842" s="405">
        <v>752457168</v>
      </c>
      <c r="I6842" s="405"/>
      <c r="J6842" s="405">
        <v>1.9456999999999999E-2</v>
      </c>
      <c r="K6842" s="405">
        <v>31.495784</v>
      </c>
      <c r="L6842" s="405" t="s">
        <v>314</v>
      </c>
      <c r="M6842" s="405" t="s">
        <v>343</v>
      </c>
      <c r="N6842" s="405" t="s">
        <v>3162</v>
      </c>
      <c r="O6842" s="405" t="s">
        <v>2546</v>
      </c>
      <c r="P6842" s="405" t="s">
        <v>3160</v>
      </c>
      <c r="Q6842" s="411">
        <v>9</v>
      </c>
      <c r="R6842" s="405" t="s">
        <v>318</v>
      </c>
      <c r="S6842" s="405" t="s">
        <v>27152</v>
      </c>
      <c r="T6842" s="405" t="s">
        <v>32102</v>
      </c>
      <c r="U6842" s="405" t="s">
        <v>319</v>
      </c>
    </row>
    <row r="6843" spans="1:21" x14ac:dyDescent="0.25">
      <c r="A6843" s="405" t="s">
        <v>310</v>
      </c>
      <c r="B6843" s="405" t="s">
        <v>20899</v>
      </c>
      <c r="C6843" s="405" t="s">
        <v>327</v>
      </c>
      <c r="D6843" s="405"/>
      <c r="E6843" s="410">
        <v>41274</v>
      </c>
      <c r="F6843" s="410">
        <v>41319</v>
      </c>
      <c r="G6843" s="405" t="s">
        <v>20900</v>
      </c>
      <c r="H6843" s="405">
        <v>784905496</v>
      </c>
      <c r="I6843" s="405">
        <v>772192803</v>
      </c>
      <c r="J6843" s="405">
        <v>-0.83743800000000002</v>
      </c>
      <c r="K6843" s="405">
        <v>30.036377999999999</v>
      </c>
      <c r="L6843" s="405" t="s">
        <v>590</v>
      </c>
      <c r="M6843" s="405" t="s">
        <v>19619</v>
      </c>
      <c r="N6843" s="405" t="s">
        <v>19620</v>
      </c>
      <c r="O6843" s="405" t="s">
        <v>19635</v>
      </c>
      <c r="P6843" s="405" t="s">
        <v>20901</v>
      </c>
      <c r="Q6843" s="411">
        <v>9</v>
      </c>
      <c r="R6843" s="405" t="s">
        <v>1527</v>
      </c>
      <c r="S6843" s="405" t="s">
        <v>27161</v>
      </c>
      <c r="T6843" s="405" t="s">
        <v>32102</v>
      </c>
      <c r="U6843" s="405" t="s">
        <v>319</v>
      </c>
    </row>
    <row r="6844" spans="1:21" x14ac:dyDescent="0.25">
      <c r="A6844" s="405" t="s">
        <v>310</v>
      </c>
      <c r="B6844" s="405" t="s">
        <v>12070</v>
      </c>
      <c r="C6844" s="405" t="s">
        <v>327</v>
      </c>
      <c r="D6844" s="405"/>
      <c r="E6844" s="410">
        <v>41274</v>
      </c>
      <c r="F6844" s="410">
        <v>41319</v>
      </c>
      <c r="G6844" s="405" t="s">
        <v>12071</v>
      </c>
      <c r="H6844" s="405">
        <v>772483020</v>
      </c>
      <c r="I6844" s="405"/>
      <c r="J6844" s="405">
        <v>0.61633389999999999</v>
      </c>
      <c r="K6844" s="405">
        <v>33.479194800000002</v>
      </c>
      <c r="L6844" s="405" t="s">
        <v>6866</v>
      </c>
      <c r="M6844" s="405" t="s">
        <v>9590</v>
      </c>
      <c r="N6844" s="405" t="s">
        <v>9591</v>
      </c>
      <c r="O6844" s="405" t="s">
        <v>9592</v>
      </c>
      <c r="P6844" s="405" t="s">
        <v>12072</v>
      </c>
      <c r="Q6844" s="411">
        <v>9</v>
      </c>
      <c r="R6844" s="405" t="s">
        <v>333</v>
      </c>
      <c r="S6844" s="405" t="s">
        <v>6822</v>
      </c>
      <c r="T6844" s="405" t="s">
        <v>32102</v>
      </c>
      <c r="U6844" s="405" t="s">
        <v>319</v>
      </c>
    </row>
    <row r="6845" spans="1:21" x14ac:dyDescent="0.25">
      <c r="A6845" s="405" t="s">
        <v>310</v>
      </c>
      <c r="B6845" s="405" t="s">
        <v>3258</v>
      </c>
      <c r="C6845" s="405" t="s">
        <v>327</v>
      </c>
      <c r="D6845" s="405"/>
      <c r="E6845" s="410">
        <v>41274</v>
      </c>
      <c r="F6845" s="410">
        <v>41319</v>
      </c>
      <c r="G6845" s="405" t="s">
        <v>3259</v>
      </c>
      <c r="H6845" s="405">
        <v>772411960</v>
      </c>
      <c r="I6845" s="405"/>
      <c r="J6845" s="405">
        <v>0.17466899999999999</v>
      </c>
      <c r="K6845" s="405">
        <v>31.905885000000001</v>
      </c>
      <c r="L6845" s="405" t="s">
        <v>314</v>
      </c>
      <c r="M6845" s="405" t="s">
        <v>339</v>
      </c>
      <c r="N6845" s="405" t="s">
        <v>339</v>
      </c>
      <c r="O6845" s="405" t="s">
        <v>341</v>
      </c>
      <c r="P6845" s="405" t="s">
        <v>341</v>
      </c>
      <c r="Q6845" s="411">
        <v>9</v>
      </c>
      <c r="R6845" s="405" t="s">
        <v>318</v>
      </c>
      <c r="S6845" s="405" t="s">
        <v>27137</v>
      </c>
      <c r="T6845" s="405" t="s">
        <v>32102</v>
      </c>
      <c r="U6845" s="405" t="s">
        <v>319</v>
      </c>
    </row>
    <row r="6846" spans="1:21" x14ac:dyDescent="0.25">
      <c r="A6846" s="405" t="s">
        <v>310</v>
      </c>
      <c r="B6846" s="405" t="s">
        <v>20813</v>
      </c>
      <c r="C6846" s="405" t="s">
        <v>327</v>
      </c>
      <c r="D6846" s="405"/>
      <c r="E6846" s="410">
        <v>41274</v>
      </c>
      <c r="F6846" s="410">
        <v>41319</v>
      </c>
      <c r="G6846" s="405" t="s">
        <v>20814</v>
      </c>
      <c r="H6846" s="405">
        <v>782747747</v>
      </c>
      <c r="I6846" s="405"/>
      <c r="J6846" s="405">
        <v>0.67604600000000004</v>
      </c>
      <c r="K6846" s="405">
        <v>30.276859000000002</v>
      </c>
      <c r="L6846" s="405" t="s">
        <v>590</v>
      </c>
      <c r="M6846" s="405" t="s">
        <v>20125</v>
      </c>
      <c r="N6846" s="405" t="s">
        <v>20772</v>
      </c>
      <c r="O6846" s="405" t="s">
        <v>9881</v>
      </c>
      <c r="P6846" s="405" t="s">
        <v>20815</v>
      </c>
      <c r="Q6846" s="411">
        <v>9</v>
      </c>
      <c r="R6846" s="405" t="s">
        <v>20774</v>
      </c>
      <c r="S6846" s="405" t="s">
        <v>27127</v>
      </c>
      <c r="T6846" s="405" t="s">
        <v>32102</v>
      </c>
      <c r="U6846" s="405" t="s">
        <v>319</v>
      </c>
    </row>
    <row r="6847" spans="1:21" x14ac:dyDescent="0.25">
      <c r="A6847" s="405" t="s">
        <v>310</v>
      </c>
      <c r="B6847" s="405" t="s">
        <v>3281</v>
      </c>
      <c r="C6847" s="405" t="s">
        <v>327</v>
      </c>
      <c r="D6847" s="405"/>
      <c r="E6847" s="410">
        <v>41274</v>
      </c>
      <c r="F6847" s="410">
        <v>41319</v>
      </c>
      <c r="G6847" s="405" t="s">
        <v>3282</v>
      </c>
      <c r="H6847" s="405">
        <v>782016532</v>
      </c>
      <c r="I6847" s="405"/>
      <c r="J6847" s="405">
        <v>-3.5226E-2</v>
      </c>
      <c r="K6847" s="405">
        <v>31.434062999999998</v>
      </c>
      <c r="L6847" s="405" t="s">
        <v>314</v>
      </c>
      <c r="M6847" s="405" t="s">
        <v>343</v>
      </c>
      <c r="N6847" s="405" t="s">
        <v>344</v>
      </c>
      <c r="O6847" s="405" t="s">
        <v>2546</v>
      </c>
      <c r="P6847" s="405" t="s">
        <v>3283</v>
      </c>
      <c r="Q6847" s="411">
        <v>9</v>
      </c>
      <c r="R6847" s="405" t="s">
        <v>318</v>
      </c>
      <c r="S6847" s="405" t="s">
        <v>27137</v>
      </c>
      <c r="T6847" s="405" t="s">
        <v>32102</v>
      </c>
      <c r="U6847" s="405" t="s">
        <v>319</v>
      </c>
    </row>
    <row r="6848" spans="1:21" x14ac:dyDescent="0.25">
      <c r="A6848" s="405" t="s">
        <v>310</v>
      </c>
      <c r="B6848" s="405" t="s">
        <v>12083</v>
      </c>
      <c r="C6848" s="405" t="s">
        <v>327</v>
      </c>
      <c r="D6848" s="405"/>
      <c r="E6848" s="410">
        <v>41274</v>
      </c>
      <c r="F6848" s="410">
        <v>41319</v>
      </c>
      <c r="G6848" s="405" t="s">
        <v>12084</v>
      </c>
      <c r="H6848" s="405">
        <v>778566510</v>
      </c>
      <c r="I6848" s="405"/>
      <c r="J6848" s="405">
        <v>1.2321530000000001</v>
      </c>
      <c r="K6848" s="405">
        <v>34.755374000000003</v>
      </c>
      <c r="L6848" s="405" t="s">
        <v>6866</v>
      </c>
      <c r="M6848" s="405" t="s">
        <v>10163</v>
      </c>
      <c r="N6848" s="405" t="s">
        <v>10164</v>
      </c>
      <c r="O6848" s="405" t="s">
        <v>10165</v>
      </c>
      <c r="P6848" s="405" t="s">
        <v>12085</v>
      </c>
      <c r="Q6848" s="411">
        <v>9</v>
      </c>
      <c r="R6848" s="405" t="s">
        <v>9506</v>
      </c>
      <c r="S6848" s="405" t="s">
        <v>27184</v>
      </c>
      <c r="T6848" s="405" t="s">
        <v>32102</v>
      </c>
      <c r="U6848" s="405" t="s">
        <v>319</v>
      </c>
    </row>
    <row r="6849" spans="1:21" x14ac:dyDescent="0.25">
      <c r="A6849" s="405" t="s">
        <v>310</v>
      </c>
      <c r="B6849" s="405" t="s">
        <v>27918</v>
      </c>
      <c r="C6849" s="405" t="s">
        <v>327</v>
      </c>
      <c r="D6849" s="405"/>
      <c r="E6849" s="410">
        <v>41274</v>
      </c>
      <c r="F6849" s="410">
        <v>41319</v>
      </c>
      <c r="G6849" s="405" t="s">
        <v>20924</v>
      </c>
      <c r="H6849" s="405">
        <v>782376863</v>
      </c>
      <c r="I6849" s="405"/>
      <c r="J6849" s="405">
        <v>1.8389770000000001</v>
      </c>
      <c r="K6849" s="405">
        <v>32.036233000000003</v>
      </c>
      <c r="L6849" s="405" t="s">
        <v>590</v>
      </c>
      <c r="M6849" s="405" t="s">
        <v>591</v>
      </c>
      <c r="N6849" s="405" t="s">
        <v>4262</v>
      </c>
      <c r="O6849" s="405" t="s">
        <v>591</v>
      </c>
      <c r="P6849" s="405" t="s">
        <v>20925</v>
      </c>
      <c r="Q6849" s="411">
        <v>6</v>
      </c>
      <c r="R6849" s="405" t="s">
        <v>994</v>
      </c>
      <c r="S6849" s="405" t="s">
        <v>27193</v>
      </c>
      <c r="T6849" s="405" t="s">
        <v>32102</v>
      </c>
      <c r="U6849" s="405" t="s">
        <v>319</v>
      </c>
    </row>
    <row r="6850" spans="1:21" x14ac:dyDescent="0.25">
      <c r="A6850" s="405" t="s">
        <v>310</v>
      </c>
      <c r="B6850" s="405" t="s">
        <v>28142</v>
      </c>
      <c r="C6850" s="405" t="s">
        <v>327</v>
      </c>
      <c r="D6850" s="405"/>
      <c r="E6850" s="410">
        <v>41274</v>
      </c>
      <c r="F6850" s="410">
        <v>41319</v>
      </c>
      <c r="G6850" s="405" t="s">
        <v>3341</v>
      </c>
      <c r="H6850" s="405">
        <v>786597844</v>
      </c>
      <c r="I6850" s="405"/>
      <c r="J6850" s="405">
        <v>0.71614299999999997</v>
      </c>
      <c r="K6850" s="405">
        <v>31.789619999999999</v>
      </c>
      <c r="L6850" s="405" t="s">
        <v>314</v>
      </c>
      <c r="M6850" s="405" t="s">
        <v>445</v>
      </c>
      <c r="N6850" s="405" t="s">
        <v>570</v>
      </c>
      <c r="O6850" s="405" t="s">
        <v>2213</v>
      </c>
      <c r="P6850" s="405" t="s">
        <v>3342</v>
      </c>
      <c r="Q6850" s="411">
        <v>6</v>
      </c>
      <c r="R6850" s="405" t="s">
        <v>32476</v>
      </c>
      <c r="S6850" s="405" t="s">
        <v>27036</v>
      </c>
      <c r="T6850" s="405" t="s">
        <v>32102</v>
      </c>
      <c r="U6850" s="405" t="s">
        <v>319</v>
      </c>
    </row>
    <row r="6851" spans="1:21" x14ac:dyDescent="0.25">
      <c r="A6851" s="405" t="s">
        <v>310</v>
      </c>
      <c r="B6851" s="405" t="s">
        <v>28558</v>
      </c>
      <c r="C6851" s="405" t="s">
        <v>327</v>
      </c>
      <c r="D6851" s="405"/>
      <c r="E6851" s="410">
        <v>41274</v>
      </c>
      <c r="F6851" s="410">
        <v>41319</v>
      </c>
      <c r="G6851" s="405" t="s">
        <v>12025</v>
      </c>
      <c r="H6851" s="405">
        <v>782709713</v>
      </c>
      <c r="I6851" s="405"/>
      <c r="J6851" s="405">
        <v>1.0966670000000001</v>
      </c>
      <c r="K6851" s="405">
        <v>34.194913</v>
      </c>
      <c r="L6851" s="405" t="s">
        <v>6866</v>
      </c>
      <c r="M6851" s="405" t="s">
        <v>9514</v>
      </c>
      <c r="N6851" s="405" t="s">
        <v>9529</v>
      </c>
      <c r="O6851" s="405" t="s">
        <v>9530</v>
      </c>
      <c r="P6851" s="405" t="s">
        <v>9563</v>
      </c>
      <c r="Q6851" s="411">
        <v>6</v>
      </c>
      <c r="R6851" s="405" t="s">
        <v>9541</v>
      </c>
      <c r="S6851" s="405" t="s">
        <v>17062</v>
      </c>
      <c r="T6851" s="405" t="s">
        <v>32102</v>
      </c>
      <c r="U6851" s="405" t="s">
        <v>319</v>
      </c>
    </row>
    <row r="6852" spans="1:21" x14ac:dyDescent="0.25">
      <c r="A6852" s="405" t="s">
        <v>310</v>
      </c>
      <c r="B6852" s="405" t="s">
        <v>28691</v>
      </c>
      <c r="C6852" s="405" t="s">
        <v>311</v>
      </c>
      <c r="D6852" s="405" t="s">
        <v>1789</v>
      </c>
      <c r="E6852" s="410">
        <v>41274</v>
      </c>
      <c r="F6852" s="410">
        <v>41319</v>
      </c>
      <c r="G6852" s="405" t="s">
        <v>12425</v>
      </c>
      <c r="H6852" s="405">
        <v>785321253</v>
      </c>
      <c r="I6852" s="405"/>
      <c r="J6852" s="405">
        <v>0.86909599999999998</v>
      </c>
      <c r="K6852" s="405">
        <v>34.010700999999997</v>
      </c>
      <c r="L6852" s="405" t="s">
        <v>6866</v>
      </c>
      <c r="M6852" s="405" t="s">
        <v>9534</v>
      </c>
      <c r="N6852" s="405" t="s">
        <v>10085</v>
      </c>
      <c r="O6852" s="405" t="s">
        <v>10817</v>
      </c>
      <c r="P6852" s="405" t="s">
        <v>10818</v>
      </c>
      <c r="Q6852" s="411">
        <v>6</v>
      </c>
      <c r="R6852" s="405" t="s">
        <v>9541</v>
      </c>
      <c r="S6852" s="405" t="s">
        <v>27311</v>
      </c>
      <c r="T6852" s="405" t="s">
        <v>32102</v>
      </c>
      <c r="U6852" s="405" t="s">
        <v>319</v>
      </c>
    </row>
    <row r="6853" spans="1:21" x14ac:dyDescent="0.25">
      <c r="A6853" s="405" t="s">
        <v>310</v>
      </c>
      <c r="B6853" s="405" t="s">
        <v>28118</v>
      </c>
      <c r="C6853" s="405" t="s">
        <v>857</v>
      </c>
      <c r="D6853" s="405" t="s">
        <v>1037</v>
      </c>
      <c r="E6853" s="410">
        <v>41274</v>
      </c>
      <c r="F6853" s="410">
        <v>41319</v>
      </c>
      <c r="G6853" s="405" t="s">
        <v>3780</v>
      </c>
      <c r="H6853" s="405">
        <v>758506723</v>
      </c>
      <c r="I6853" s="405"/>
      <c r="J6853" s="405">
        <v>0.20488200000000001</v>
      </c>
      <c r="K6853" s="405">
        <v>32.117797000000003</v>
      </c>
      <c r="L6853" s="405" t="s">
        <v>314</v>
      </c>
      <c r="M6853" s="405" t="s">
        <v>315</v>
      </c>
      <c r="N6853" s="405" t="s">
        <v>718</v>
      </c>
      <c r="O6853" s="405" t="s">
        <v>1411</v>
      </c>
      <c r="P6853" s="405" t="s">
        <v>1412</v>
      </c>
      <c r="Q6853" s="411">
        <v>6</v>
      </c>
      <c r="R6853" s="405" t="s">
        <v>318</v>
      </c>
      <c r="S6853" s="405" t="s">
        <v>27137</v>
      </c>
      <c r="T6853" s="405" t="s">
        <v>32102</v>
      </c>
      <c r="U6853" s="405" t="s">
        <v>319</v>
      </c>
    </row>
    <row r="6854" spans="1:21" x14ac:dyDescent="0.25">
      <c r="A6854" s="405" t="s">
        <v>310</v>
      </c>
      <c r="B6854" s="405" t="s">
        <v>28357</v>
      </c>
      <c r="C6854" s="405" t="s">
        <v>327</v>
      </c>
      <c r="D6854" s="405"/>
      <c r="E6854" s="410">
        <v>41274</v>
      </c>
      <c r="F6854" s="410">
        <v>41319</v>
      </c>
      <c r="G6854" s="405" t="s">
        <v>20822</v>
      </c>
      <c r="H6854" s="405">
        <v>772642362</v>
      </c>
      <c r="I6854" s="405"/>
      <c r="J6854" s="405">
        <v>0.61843499999999996</v>
      </c>
      <c r="K6854" s="405">
        <v>30.252330000000001</v>
      </c>
      <c r="L6854" s="405" t="s">
        <v>590</v>
      </c>
      <c r="M6854" s="405" t="s">
        <v>20125</v>
      </c>
      <c r="N6854" s="405" t="s">
        <v>20126</v>
      </c>
      <c r="O6854" s="405" t="s">
        <v>20823</v>
      </c>
      <c r="P6854" s="405" t="s">
        <v>20824</v>
      </c>
      <c r="Q6854" s="411">
        <v>6</v>
      </c>
      <c r="R6854" s="405" t="s">
        <v>20774</v>
      </c>
      <c r="S6854" s="405" t="s">
        <v>27127</v>
      </c>
      <c r="T6854" s="405" t="s">
        <v>32102</v>
      </c>
      <c r="U6854" s="405" t="s">
        <v>319</v>
      </c>
    </row>
    <row r="6855" spans="1:21" x14ac:dyDescent="0.25">
      <c r="A6855" s="405" t="s">
        <v>310</v>
      </c>
      <c r="B6855" s="405" t="s">
        <v>28822</v>
      </c>
      <c r="C6855" s="405" t="s">
        <v>327</v>
      </c>
      <c r="D6855" s="405"/>
      <c r="E6855" s="410">
        <v>41274</v>
      </c>
      <c r="F6855" s="410">
        <v>41319</v>
      </c>
      <c r="G6855" s="405" t="s">
        <v>20858</v>
      </c>
      <c r="H6855" s="405">
        <v>704880647</v>
      </c>
      <c r="I6855" s="405"/>
      <c r="J6855" s="405">
        <v>0.62408600000000003</v>
      </c>
      <c r="K6855" s="405">
        <v>30.271360000000001</v>
      </c>
      <c r="L6855" s="405" t="s">
        <v>590</v>
      </c>
      <c r="M6855" s="405" t="s">
        <v>20125</v>
      </c>
      <c r="N6855" s="405" t="s">
        <v>20772</v>
      </c>
      <c r="O6855" s="405" t="s">
        <v>4793</v>
      </c>
      <c r="P6855" s="405" t="s">
        <v>20859</v>
      </c>
      <c r="Q6855" s="411">
        <v>6</v>
      </c>
      <c r="R6855" s="405" t="s">
        <v>874</v>
      </c>
      <c r="S6855" s="405" t="s">
        <v>27163</v>
      </c>
      <c r="T6855" s="405" t="s">
        <v>32102</v>
      </c>
      <c r="U6855" s="405" t="s">
        <v>319</v>
      </c>
    </row>
    <row r="6856" spans="1:21" x14ac:dyDescent="0.25">
      <c r="A6856" s="405" t="s">
        <v>310</v>
      </c>
      <c r="B6856" s="405" t="s">
        <v>28854</v>
      </c>
      <c r="C6856" s="405" t="s">
        <v>327</v>
      </c>
      <c r="D6856" s="405"/>
      <c r="E6856" s="410">
        <v>41274</v>
      </c>
      <c r="F6856" s="410">
        <v>41319</v>
      </c>
      <c r="G6856" s="405" t="s">
        <v>20860</v>
      </c>
      <c r="H6856" s="405">
        <v>702579348</v>
      </c>
      <c r="I6856" s="405"/>
      <c r="J6856" s="405">
        <v>0.60706400000000005</v>
      </c>
      <c r="K6856" s="405">
        <v>30.276675999999998</v>
      </c>
      <c r="L6856" s="405" t="s">
        <v>590</v>
      </c>
      <c r="M6856" s="405" t="s">
        <v>20125</v>
      </c>
      <c r="N6856" s="405" t="s">
        <v>20126</v>
      </c>
      <c r="O6856" s="405" t="s">
        <v>20823</v>
      </c>
      <c r="P6856" s="405" t="s">
        <v>3230</v>
      </c>
      <c r="Q6856" s="411">
        <v>6</v>
      </c>
      <c r="R6856" s="405" t="s">
        <v>874</v>
      </c>
      <c r="S6856" s="405" t="s">
        <v>27163</v>
      </c>
      <c r="T6856" s="405" t="s">
        <v>32102</v>
      </c>
      <c r="U6856" s="405" t="s">
        <v>319</v>
      </c>
    </row>
    <row r="6857" spans="1:21" x14ac:dyDescent="0.25">
      <c r="A6857" s="405" t="s">
        <v>310</v>
      </c>
      <c r="B6857" s="405" t="s">
        <v>20838</v>
      </c>
      <c r="C6857" s="405" t="s">
        <v>327</v>
      </c>
      <c r="D6857" s="405"/>
      <c r="E6857" s="410">
        <v>41274</v>
      </c>
      <c r="F6857" s="410">
        <v>41319</v>
      </c>
      <c r="G6857" s="405" t="s">
        <v>20839</v>
      </c>
      <c r="H6857" s="405">
        <v>772503040</v>
      </c>
      <c r="I6857" s="405"/>
      <c r="J6857" s="405">
        <v>0.59698899999999999</v>
      </c>
      <c r="K6857" s="405">
        <v>30.315985999999999</v>
      </c>
      <c r="L6857" s="405" t="s">
        <v>590</v>
      </c>
      <c r="M6857" s="405" t="s">
        <v>20125</v>
      </c>
      <c r="N6857" s="405" t="s">
        <v>20126</v>
      </c>
      <c r="O6857" s="405" t="s">
        <v>20840</v>
      </c>
      <c r="P6857" s="405" t="s">
        <v>20841</v>
      </c>
      <c r="Q6857" s="411">
        <v>6</v>
      </c>
      <c r="R6857" s="405" t="s">
        <v>883</v>
      </c>
      <c r="S6857" s="405" t="s">
        <v>27183</v>
      </c>
      <c r="T6857" s="405" t="s">
        <v>32102</v>
      </c>
      <c r="U6857" s="405" t="s">
        <v>319</v>
      </c>
    </row>
    <row r="6858" spans="1:21" x14ac:dyDescent="0.25">
      <c r="A6858" s="405" t="s">
        <v>310</v>
      </c>
      <c r="B6858" s="405" t="s">
        <v>3367</v>
      </c>
      <c r="C6858" s="405" t="s">
        <v>327</v>
      </c>
      <c r="D6858" s="405"/>
      <c r="E6858" s="410">
        <v>41274</v>
      </c>
      <c r="F6858" s="410">
        <v>41319</v>
      </c>
      <c r="G6858" s="405" t="s">
        <v>3368</v>
      </c>
      <c r="H6858" s="405">
        <v>772639854</v>
      </c>
      <c r="I6858" s="405"/>
      <c r="J6858" s="405">
        <v>0.45031500000000002</v>
      </c>
      <c r="K6858" s="405">
        <v>32.536284999999999</v>
      </c>
      <c r="L6858" s="405" t="s">
        <v>314</v>
      </c>
      <c r="M6858" s="405" t="s">
        <v>361</v>
      </c>
      <c r="N6858" s="405" t="s">
        <v>362</v>
      </c>
      <c r="O6858" s="405" t="s">
        <v>410</v>
      </c>
      <c r="P6858" s="405" t="s">
        <v>1174</v>
      </c>
      <c r="Q6858" s="411">
        <v>6</v>
      </c>
      <c r="R6858" s="405" t="s">
        <v>318</v>
      </c>
      <c r="S6858" s="405" t="s">
        <v>27129</v>
      </c>
      <c r="T6858" s="405" t="s">
        <v>32102</v>
      </c>
      <c r="U6858" s="405" t="s">
        <v>319</v>
      </c>
    </row>
    <row r="6859" spans="1:21" x14ac:dyDescent="0.25">
      <c r="A6859" s="405" t="s">
        <v>310</v>
      </c>
      <c r="B6859" s="405" t="s">
        <v>3350</v>
      </c>
      <c r="C6859" s="405" t="s">
        <v>327</v>
      </c>
      <c r="D6859" s="405"/>
      <c r="E6859" s="410">
        <v>41274</v>
      </c>
      <c r="F6859" s="410">
        <v>41319</v>
      </c>
      <c r="G6859" s="405" t="s">
        <v>3351</v>
      </c>
      <c r="H6859" s="405">
        <v>772422522</v>
      </c>
      <c r="I6859" s="405"/>
      <c r="J6859" s="405">
        <v>0.37826799999999999</v>
      </c>
      <c r="K6859" s="405">
        <v>32.661608000000001</v>
      </c>
      <c r="L6859" s="405" t="s">
        <v>314</v>
      </c>
      <c r="M6859" s="405" t="s">
        <v>329</v>
      </c>
      <c r="N6859" s="405" t="s">
        <v>330</v>
      </c>
      <c r="O6859" s="405" t="s">
        <v>600</v>
      </c>
      <c r="P6859" s="405" t="s">
        <v>2749</v>
      </c>
      <c r="Q6859" s="411">
        <v>6</v>
      </c>
      <c r="R6859" s="405" t="s">
        <v>318</v>
      </c>
      <c r="S6859" s="405" t="s">
        <v>27167</v>
      </c>
      <c r="T6859" s="405" t="s">
        <v>32102</v>
      </c>
      <c r="U6859" s="405" t="s">
        <v>319</v>
      </c>
    </row>
    <row r="6860" spans="1:21" x14ac:dyDescent="0.25">
      <c r="A6860" s="405" t="s">
        <v>310</v>
      </c>
      <c r="B6860" s="405" t="s">
        <v>20905</v>
      </c>
      <c r="C6860" s="405" t="s">
        <v>327</v>
      </c>
      <c r="D6860" s="405"/>
      <c r="E6860" s="410">
        <v>41274</v>
      </c>
      <c r="F6860" s="410">
        <v>41319</v>
      </c>
      <c r="G6860" s="405" t="s">
        <v>20906</v>
      </c>
      <c r="H6860" s="405">
        <v>775999848</v>
      </c>
      <c r="I6860" s="405"/>
      <c r="J6860" s="405">
        <v>-0.87951599999999996</v>
      </c>
      <c r="K6860" s="405">
        <v>30.009985</v>
      </c>
      <c r="L6860" s="405" t="s">
        <v>590</v>
      </c>
      <c r="M6860" s="405" t="s">
        <v>19619</v>
      </c>
      <c r="N6860" s="405" t="s">
        <v>19620</v>
      </c>
      <c r="O6860" s="405" t="s">
        <v>19635</v>
      </c>
      <c r="P6860" s="405" t="s">
        <v>20907</v>
      </c>
      <c r="Q6860" s="411">
        <v>6</v>
      </c>
      <c r="R6860" s="405" t="s">
        <v>333</v>
      </c>
      <c r="S6860" s="405" t="s">
        <v>27127</v>
      </c>
      <c r="T6860" s="405" t="s">
        <v>32102</v>
      </c>
      <c r="U6860" s="405" t="s">
        <v>319</v>
      </c>
    </row>
    <row r="6861" spans="1:21" x14ac:dyDescent="0.25">
      <c r="A6861" s="405" t="s">
        <v>310</v>
      </c>
      <c r="B6861" s="405" t="s">
        <v>27558</v>
      </c>
      <c r="C6861" s="405" t="s">
        <v>327</v>
      </c>
      <c r="D6861" s="405"/>
      <c r="E6861" s="410">
        <v>41274</v>
      </c>
      <c r="F6861" s="410">
        <v>41319</v>
      </c>
      <c r="G6861" s="405" t="s">
        <v>20844</v>
      </c>
      <c r="H6861" s="405">
        <v>782502380</v>
      </c>
      <c r="I6861" s="405"/>
      <c r="J6861" s="405">
        <v>0.56122399999999995</v>
      </c>
      <c r="K6861" s="405">
        <v>30.306090000000001</v>
      </c>
      <c r="L6861" s="405" t="s">
        <v>590</v>
      </c>
      <c r="M6861" s="405" t="s">
        <v>20125</v>
      </c>
      <c r="N6861" s="405" t="s">
        <v>20126</v>
      </c>
      <c r="O6861" s="405" t="s">
        <v>20845</v>
      </c>
      <c r="P6861" s="405" t="s">
        <v>20846</v>
      </c>
      <c r="Q6861" s="411">
        <v>6</v>
      </c>
      <c r="R6861" s="405" t="s">
        <v>874</v>
      </c>
      <c r="S6861" s="405" t="s">
        <v>27172</v>
      </c>
      <c r="T6861" s="405" t="s">
        <v>32102</v>
      </c>
      <c r="U6861" s="405" t="s">
        <v>319</v>
      </c>
    </row>
    <row r="6862" spans="1:21" x14ac:dyDescent="0.25">
      <c r="A6862" s="405" t="s">
        <v>310</v>
      </c>
      <c r="B6862" s="405" t="s">
        <v>20889</v>
      </c>
      <c r="C6862" s="405" t="s">
        <v>327</v>
      </c>
      <c r="D6862" s="405"/>
      <c r="E6862" s="410">
        <v>41274</v>
      </c>
      <c r="F6862" s="410">
        <v>41319</v>
      </c>
      <c r="G6862" s="405" t="s">
        <v>20890</v>
      </c>
      <c r="H6862" s="405">
        <v>777913364</v>
      </c>
      <c r="I6862" s="405"/>
      <c r="J6862" s="405">
        <v>0.59772599999999998</v>
      </c>
      <c r="K6862" s="405">
        <v>30.565407</v>
      </c>
      <c r="L6862" s="405" t="s">
        <v>590</v>
      </c>
      <c r="M6862" s="405" t="s">
        <v>20426</v>
      </c>
      <c r="N6862" s="405" t="s">
        <v>20427</v>
      </c>
      <c r="O6862" s="405" t="s">
        <v>20891</v>
      </c>
      <c r="P6862" s="405" t="s">
        <v>20892</v>
      </c>
      <c r="Q6862" s="411">
        <v>6</v>
      </c>
      <c r="R6862" s="405" t="s">
        <v>333</v>
      </c>
      <c r="S6862" s="405" t="s">
        <v>27411</v>
      </c>
      <c r="T6862" s="405" t="s">
        <v>32102</v>
      </c>
      <c r="U6862" s="405" t="s">
        <v>319</v>
      </c>
    </row>
    <row r="6863" spans="1:21" x14ac:dyDescent="0.25">
      <c r="A6863" s="405" t="s">
        <v>310</v>
      </c>
      <c r="B6863" s="405" t="s">
        <v>12073</v>
      </c>
      <c r="C6863" s="405" t="s">
        <v>327</v>
      </c>
      <c r="D6863" s="405"/>
      <c r="E6863" s="410">
        <v>41274</v>
      </c>
      <c r="F6863" s="410">
        <v>41319</v>
      </c>
      <c r="G6863" s="405" t="s">
        <v>12074</v>
      </c>
      <c r="H6863" s="405">
        <v>782011242</v>
      </c>
      <c r="I6863" s="405"/>
      <c r="J6863" s="405">
        <v>0.63715690000000003</v>
      </c>
      <c r="K6863" s="405">
        <v>33.573677400000001</v>
      </c>
      <c r="L6863" s="405" t="s">
        <v>6866</v>
      </c>
      <c r="M6863" s="405" t="s">
        <v>5345</v>
      </c>
      <c r="N6863" s="405" t="s">
        <v>12058</v>
      </c>
      <c r="O6863" s="405" t="s">
        <v>5345</v>
      </c>
      <c r="P6863" s="405" t="s">
        <v>12075</v>
      </c>
      <c r="Q6863" s="411">
        <v>6</v>
      </c>
      <c r="R6863" s="405" t="s">
        <v>7224</v>
      </c>
      <c r="S6863" s="405" t="s">
        <v>27259</v>
      </c>
      <c r="T6863" s="405" t="s">
        <v>32102</v>
      </c>
      <c r="U6863" s="405" t="s">
        <v>319</v>
      </c>
    </row>
    <row r="6864" spans="1:21" x14ac:dyDescent="0.25">
      <c r="A6864" s="405" t="s">
        <v>310</v>
      </c>
      <c r="B6864" s="405" t="s">
        <v>12126</v>
      </c>
      <c r="C6864" s="405" t="s">
        <v>327</v>
      </c>
      <c r="D6864" s="405"/>
      <c r="E6864" s="410">
        <v>41274</v>
      </c>
      <c r="F6864" s="410">
        <v>41319</v>
      </c>
      <c r="G6864" s="405" t="s">
        <v>12127</v>
      </c>
      <c r="H6864" s="405">
        <v>779348527</v>
      </c>
      <c r="I6864" s="405"/>
      <c r="J6864" s="405">
        <v>0.59800500000000001</v>
      </c>
      <c r="K6864" s="405">
        <v>33.460895000000001</v>
      </c>
      <c r="L6864" s="405" t="s">
        <v>6866</v>
      </c>
      <c r="M6864" s="405" t="s">
        <v>1120</v>
      </c>
      <c r="N6864" s="405" t="s">
        <v>11134</v>
      </c>
      <c r="O6864" s="405" t="s">
        <v>11135</v>
      </c>
      <c r="P6864" s="405" t="s">
        <v>12128</v>
      </c>
      <c r="Q6864" s="411">
        <v>6</v>
      </c>
      <c r="R6864" s="405" t="s">
        <v>333</v>
      </c>
      <c r="S6864" s="405" t="s">
        <v>27259</v>
      </c>
      <c r="T6864" s="405" t="s">
        <v>32102</v>
      </c>
      <c r="U6864" s="405" t="s">
        <v>319</v>
      </c>
    </row>
    <row r="6865" spans="1:21" x14ac:dyDescent="0.25">
      <c r="A6865" s="405" t="s">
        <v>310</v>
      </c>
      <c r="B6865" s="405" t="s">
        <v>20855</v>
      </c>
      <c r="C6865" s="405" t="s">
        <v>327</v>
      </c>
      <c r="D6865" s="405"/>
      <c r="E6865" s="410">
        <v>41274</v>
      </c>
      <c r="F6865" s="410">
        <v>41319</v>
      </c>
      <c r="G6865" s="405" t="s">
        <v>20856</v>
      </c>
      <c r="H6865" s="405">
        <v>773770689</v>
      </c>
      <c r="I6865" s="405"/>
      <c r="J6865" s="405">
        <v>0.80861799999999995</v>
      </c>
      <c r="K6865" s="405">
        <v>30.407405000000001</v>
      </c>
      <c r="L6865" s="405" t="s">
        <v>590</v>
      </c>
      <c r="M6865" s="405" t="s">
        <v>20125</v>
      </c>
      <c r="N6865" s="405" t="s">
        <v>20126</v>
      </c>
      <c r="O6865" s="405" t="s">
        <v>20857</v>
      </c>
      <c r="P6865" s="405" t="s">
        <v>19808</v>
      </c>
      <c r="Q6865" s="411">
        <v>6</v>
      </c>
      <c r="R6865" s="405" t="s">
        <v>874</v>
      </c>
      <c r="S6865" s="405" t="s">
        <v>27172</v>
      </c>
      <c r="T6865" s="405" t="s">
        <v>32102</v>
      </c>
      <c r="U6865" s="405" t="s">
        <v>319</v>
      </c>
    </row>
    <row r="6866" spans="1:21" x14ac:dyDescent="0.25">
      <c r="A6866" s="405" t="s">
        <v>310</v>
      </c>
      <c r="B6866" s="405" t="s">
        <v>20851</v>
      </c>
      <c r="C6866" s="405" t="s">
        <v>327</v>
      </c>
      <c r="D6866" s="405"/>
      <c r="E6866" s="410">
        <v>41274</v>
      </c>
      <c r="F6866" s="410">
        <v>41319</v>
      </c>
      <c r="G6866" s="405" t="s">
        <v>20852</v>
      </c>
      <c r="H6866" s="405">
        <v>772937894</v>
      </c>
      <c r="I6866" s="405"/>
      <c r="J6866" s="405">
        <v>0.65230500000000002</v>
      </c>
      <c r="K6866" s="405">
        <v>30.34656</v>
      </c>
      <c r="L6866" s="405" t="s">
        <v>590</v>
      </c>
      <c r="M6866" s="405" t="s">
        <v>20125</v>
      </c>
      <c r="N6866" s="405" t="s">
        <v>20126</v>
      </c>
      <c r="O6866" s="405" t="s">
        <v>20853</v>
      </c>
      <c r="P6866" s="405" t="s">
        <v>20854</v>
      </c>
      <c r="Q6866" s="411">
        <v>6</v>
      </c>
      <c r="R6866" s="405" t="s">
        <v>883</v>
      </c>
      <c r="S6866" s="405" t="s">
        <v>27097</v>
      </c>
      <c r="T6866" s="405" t="s">
        <v>32102</v>
      </c>
      <c r="U6866" s="405" t="s">
        <v>319</v>
      </c>
    </row>
    <row r="6867" spans="1:21" x14ac:dyDescent="0.25">
      <c r="A6867" s="405" t="s">
        <v>310</v>
      </c>
      <c r="B6867" s="405" t="s">
        <v>12096</v>
      </c>
      <c r="C6867" s="405" t="s">
        <v>327</v>
      </c>
      <c r="D6867" s="405"/>
      <c r="E6867" s="410">
        <v>41274</v>
      </c>
      <c r="F6867" s="410">
        <v>41319</v>
      </c>
      <c r="G6867" s="405" t="s">
        <v>12097</v>
      </c>
      <c r="H6867" s="405">
        <v>787412624</v>
      </c>
      <c r="I6867" s="405"/>
      <c r="J6867" s="405">
        <v>0.927033</v>
      </c>
      <c r="K6867" s="405">
        <v>34.289859999999997</v>
      </c>
      <c r="L6867" s="405" t="s">
        <v>6866</v>
      </c>
      <c r="M6867" s="405" t="s">
        <v>9763</v>
      </c>
      <c r="N6867" s="405" t="s">
        <v>9764</v>
      </c>
      <c r="O6867" s="405" t="s">
        <v>9765</v>
      </c>
      <c r="P6867" s="405" t="s">
        <v>6012</v>
      </c>
      <c r="Q6867" s="411">
        <v>6</v>
      </c>
      <c r="R6867" s="405" t="s">
        <v>7224</v>
      </c>
      <c r="S6867" s="405" t="s">
        <v>27190</v>
      </c>
      <c r="T6867" s="405" t="s">
        <v>32102</v>
      </c>
      <c r="U6867" s="405" t="s">
        <v>319</v>
      </c>
    </row>
    <row r="6868" spans="1:21" x14ac:dyDescent="0.25">
      <c r="A6868" s="405" t="s">
        <v>310</v>
      </c>
      <c r="B6868" s="405" t="s">
        <v>3297</v>
      </c>
      <c r="C6868" s="405" t="s">
        <v>327</v>
      </c>
      <c r="D6868" s="405"/>
      <c r="E6868" s="410">
        <v>41274</v>
      </c>
      <c r="F6868" s="410">
        <v>41319</v>
      </c>
      <c r="G6868" s="405" t="s">
        <v>3298</v>
      </c>
      <c r="H6868" s="405">
        <v>772567003</v>
      </c>
      <c r="I6868" s="405"/>
      <c r="J6868" s="405">
        <v>0.70975299999999997</v>
      </c>
      <c r="K6868" s="405">
        <v>32.906616999999997</v>
      </c>
      <c r="L6868" s="405" t="s">
        <v>314</v>
      </c>
      <c r="M6868" s="405" t="s">
        <v>502</v>
      </c>
      <c r="N6868" s="405" t="s">
        <v>2610</v>
      </c>
      <c r="O6868" s="405" t="s">
        <v>2611</v>
      </c>
      <c r="P6868" s="405" t="s">
        <v>3299</v>
      </c>
      <c r="Q6868" s="411">
        <v>6</v>
      </c>
      <c r="R6868" s="405" t="s">
        <v>353</v>
      </c>
      <c r="S6868" s="405" t="s">
        <v>27110</v>
      </c>
      <c r="T6868" s="405" t="s">
        <v>32102</v>
      </c>
      <c r="U6868" s="405" t="s">
        <v>319</v>
      </c>
    </row>
    <row r="6869" spans="1:21" x14ac:dyDescent="0.25">
      <c r="A6869" s="405" t="s">
        <v>310</v>
      </c>
      <c r="B6869" s="405" t="s">
        <v>12086</v>
      </c>
      <c r="C6869" s="405" t="s">
        <v>327</v>
      </c>
      <c r="D6869" s="405"/>
      <c r="E6869" s="410">
        <v>41274</v>
      </c>
      <c r="F6869" s="410">
        <v>41319</v>
      </c>
      <c r="G6869" s="405" t="s">
        <v>12087</v>
      </c>
      <c r="H6869" s="405">
        <v>754250802</v>
      </c>
      <c r="I6869" s="405"/>
      <c r="J6869" s="405">
        <v>0.63715690000000003</v>
      </c>
      <c r="K6869" s="405">
        <v>33.573677400000001</v>
      </c>
      <c r="L6869" s="405" t="s">
        <v>6866</v>
      </c>
      <c r="M6869" s="405" t="s">
        <v>5345</v>
      </c>
      <c r="N6869" s="405" t="s">
        <v>12058</v>
      </c>
      <c r="O6869" s="405" t="s">
        <v>5345</v>
      </c>
      <c r="P6869" s="405" t="s">
        <v>12075</v>
      </c>
      <c r="Q6869" s="411">
        <v>6</v>
      </c>
      <c r="R6869" s="405" t="s">
        <v>7224</v>
      </c>
      <c r="S6869" s="405" t="s">
        <v>27259</v>
      </c>
      <c r="T6869" s="405" t="s">
        <v>32102</v>
      </c>
      <c r="U6869" s="405" t="s">
        <v>319</v>
      </c>
    </row>
    <row r="6870" spans="1:21" x14ac:dyDescent="0.25">
      <c r="A6870" s="405" t="s">
        <v>310</v>
      </c>
      <c r="B6870" s="405" t="s">
        <v>12042</v>
      </c>
      <c r="C6870" s="405" t="s">
        <v>327</v>
      </c>
      <c r="D6870" s="405"/>
      <c r="E6870" s="410">
        <v>41274</v>
      </c>
      <c r="F6870" s="410">
        <v>41319</v>
      </c>
      <c r="G6870" s="405" t="s">
        <v>12043</v>
      </c>
      <c r="H6870" s="405">
        <v>781516944</v>
      </c>
      <c r="I6870" s="405"/>
      <c r="J6870" s="405">
        <v>0.99384099999999997</v>
      </c>
      <c r="K6870" s="405">
        <v>34.033887</v>
      </c>
      <c r="L6870" s="405" t="s">
        <v>6866</v>
      </c>
      <c r="M6870" s="405" t="s">
        <v>9566</v>
      </c>
      <c r="N6870" s="405" t="s">
        <v>10001</v>
      </c>
      <c r="O6870" s="405" t="s">
        <v>9932</v>
      </c>
      <c r="P6870" s="405" t="s">
        <v>12044</v>
      </c>
      <c r="Q6870" s="411">
        <v>6</v>
      </c>
      <c r="R6870" s="405" t="s">
        <v>9541</v>
      </c>
      <c r="S6870" s="405" t="s">
        <v>27300</v>
      </c>
      <c r="T6870" s="405" t="s">
        <v>32102</v>
      </c>
      <c r="U6870" s="405" t="s">
        <v>319</v>
      </c>
    </row>
    <row r="6871" spans="1:21" x14ac:dyDescent="0.25">
      <c r="A6871" s="405" t="s">
        <v>310</v>
      </c>
      <c r="B6871" s="405" t="s">
        <v>12047</v>
      </c>
      <c r="C6871" s="405" t="s">
        <v>327</v>
      </c>
      <c r="D6871" s="405"/>
      <c r="E6871" s="410">
        <v>41274</v>
      </c>
      <c r="F6871" s="410">
        <v>41319</v>
      </c>
      <c r="G6871" s="405" t="s">
        <v>12048</v>
      </c>
      <c r="H6871" s="405">
        <v>772997891</v>
      </c>
      <c r="I6871" s="405">
        <v>704322643</v>
      </c>
      <c r="J6871" s="405">
        <v>1.6689430000000001</v>
      </c>
      <c r="K6871" s="405">
        <v>33.631017999999997</v>
      </c>
      <c r="L6871" s="405" t="s">
        <v>6866</v>
      </c>
      <c r="M6871" s="405" t="s">
        <v>10515</v>
      </c>
      <c r="N6871" s="405" t="s">
        <v>10515</v>
      </c>
      <c r="O6871" s="405" t="s">
        <v>10516</v>
      </c>
      <c r="P6871" s="405" t="s">
        <v>12049</v>
      </c>
      <c r="Q6871" s="411">
        <v>6</v>
      </c>
      <c r="R6871" s="405" t="s">
        <v>5655</v>
      </c>
      <c r="S6871" s="405" t="s">
        <v>27324</v>
      </c>
      <c r="T6871" s="405" t="s">
        <v>32102</v>
      </c>
      <c r="U6871" s="405" t="s">
        <v>319</v>
      </c>
    </row>
    <row r="6872" spans="1:21" x14ac:dyDescent="0.25">
      <c r="A6872" s="405" t="s">
        <v>310</v>
      </c>
      <c r="B6872" s="405" t="s">
        <v>27720</v>
      </c>
      <c r="C6872" s="405" t="s">
        <v>311</v>
      </c>
      <c r="D6872" s="405" t="s">
        <v>1789</v>
      </c>
      <c r="E6872" s="410">
        <v>41274</v>
      </c>
      <c r="F6872" s="410">
        <v>41319</v>
      </c>
      <c r="G6872" s="405" t="s">
        <v>12447</v>
      </c>
      <c r="H6872" s="405">
        <v>772620379</v>
      </c>
      <c r="I6872" s="405"/>
      <c r="J6872" s="405">
        <v>1.8433170000000001</v>
      </c>
      <c r="K6872" s="405">
        <v>33.377201999999997</v>
      </c>
      <c r="L6872" s="405" t="s">
        <v>6866</v>
      </c>
      <c r="M6872" s="405" t="s">
        <v>12153</v>
      </c>
      <c r="N6872" s="405" t="s">
        <v>10377</v>
      </c>
      <c r="O6872" s="405" t="s">
        <v>12448</v>
      </c>
      <c r="P6872" s="405" t="s">
        <v>12449</v>
      </c>
      <c r="Q6872" s="411">
        <v>6</v>
      </c>
      <c r="R6872" s="405" t="s">
        <v>5655</v>
      </c>
      <c r="S6872" s="405" t="s">
        <v>27337</v>
      </c>
      <c r="T6872" s="405" t="s">
        <v>32102</v>
      </c>
      <c r="U6872" s="405" t="s">
        <v>319</v>
      </c>
    </row>
    <row r="6873" spans="1:21" x14ac:dyDescent="0.25">
      <c r="A6873" s="405" t="s">
        <v>310</v>
      </c>
      <c r="B6873" s="405" t="s">
        <v>12129</v>
      </c>
      <c r="C6873" s="405" t="s">
        <v>327</v>
      </c>
      <c r="D6873" s="405"/>
      <c r="E6873" s="410">
        <v>41274</v>
      </c>
      <c r="F6873" s="410">
        <v>41319</v>
      </c>
      <c r="G6873" s="405" t="s">
        <v>12130</v>
      </c>
      <c r="H6873" s="405">
        <v>774989604</v>
      </c>
      <c r="I6873" s="405"/>
      <c r="J6873" s="405">
        <v>0.51226000000000005</v>
      </c>
      <c r="K6873" s="405">
        <v>33.135939999999998</v>
      </c>
      <c r="L6873" s="405" t="s">
        <v>6866</v>
      </c>
      <c r="M6873" s="405" t="s">
        <v>9590</v>
      </c>
      <c r="N6873" s="405" t="s">
        <v>12131</v>
      </c>
      <c r="O6873" s="405" t="s">
        <v>12132</v>
      </c>
      <c r="P6873" s="405" t="s">
        <v>12133</v>
      </c>
      <c r="Q6873" s="411">
        <v>6</v>
      </c>
      <c r="R6873" s="405" t="s">
        <v>333</v>
      </c>
      <c r="S6873" s="405" t="s">
        <v>27137</v>
      </c>
      <c r="T6873" s="405" t="s">
        <v>32102</v>
      </c>
      <c r="U6873" s="405" t="s">
        <v>319</v>
      </c>
    </row>
    <row r="6874" spans="1:21" x14ac:dyDescent="0.25">
      <c r="A6874" s="405" t="s">
        <v>310</v>
      </c>
      <c r="B6874" s="405" t="s">
        <v>27763</v>
      </c>
      <c r="C6874" s="405" t="s">
        <v>327</v>
      </c>
      <c r="D6874" s="405"/>
      <c r="E6874" s="410">
        <v>41274</v>
      </c>
      <c r="F6874" s="410">
        <v>41319</v>
      </c>
      <c r="G6874" s="405" t="s">
        <v>3316</v>
      </c>
      <c r="H6874" s="405">
        <v>782337433</v>
      </c>
      <c r="I6874" s="405"/>
      <c r="J6874" s="405">
        <v>0.59199500000000005</v>
      </c>
      <c r="K6874" s="405">
        <v>33.038052</v>
      </c>
      <c r="L6874" s="405" t="s">
        <v>314</v>
      </c>
      <c r="M6874" s="405" t="s">
        <v>502</v>
      </c>
      <c r="N6874" s="405" t="s">
        <v>503</v>
      </c>
      <c r="O6874" s="405" t="s">
        <v>2179</v>
      </c>
      <c r="P6874" s="405" t="s">
        <v>961</v>
      </c>
      <c r="Q6874" s="411">
        <v>6</v>
      </c>
      <c r="R6874" s="405" t="s">
        <v>1263</v>
      </c>
      <c r="S6874" s="405" t="s">
        <v>27211</v>
      </c>
      <c r="T6874" s="405" t="s">
        <v>32102</v>
      </c>
      <c r="U6874" s="405" t="s">
        <v>319</v>
      </c>
    </row>
    <row r="6875" spans="1:21" x14ac:dyDescent="0.25">
      <c r="A6875" s="405" t="s">
        <v>310</v>
      </c>
      <c r="B6875" s="405" t="s">
        <v>12029</v>
      </c>
      <c r="C6875" s="405" t="s">
        <v>327</v>
      </c>
      <c r="D6875" s="405"/>
      <c r="E6875" s="410">
        <v>41274</v>
      </c>
      <c r="F6875" s="410">
        <v>41319</v>
      </c>
      <c r="G6875" s="405" t="s">
        <v>12030</v>
      </c>
      <c r="H6875" s="405">
        <v>783233184</v>
      </c>
      <c r="I6875" s="405"/>
      <c r="J6875" s="405">
        <v>0.99327100000000002</v>
      </c>
      <c r="K6875" s="405">
        <v>34.095326999999997</v>
      </c>
      <c r="L6875" s="405" t="s">
        <v>6866</v>
      </c>
      <c r="M6875" s="405" t="s">
        <v>9566</v>
      </c>
      <c r="N6875" s="405" t="s">
        <v>10001</v>
      </c>
      <c r="O6875" s="405" t="s">
        <v>11178</v>
      </c>
      <c r="P6875" s="405" t="s">
        <v>12031</v>
      </c>
      <c r="Q6875" s="411">
        <v>6</v>
      </c>
      <c r="R6875" s="405" t="s">
        <v>9506</v>
      </c>
      <c r="S6875" s="405" t="s">
        <v>27332</v>
      </c>
      <c r="T6875" s="405" t="s">
        <v>32102</v>
      </c>
      <c r="U6875" s="405" t="s">
        <v>319</v>
      </c>
    </row>
    <row r="6876" spans="1:21" x14ac:dyDescent="0.25">
      <c r="A6876" s="405" t="s">
        <v>310</v>
      </c>
      <c r="B6876" s="405" t="s">
        <v>12056</v>
      </c>
      <c r="C6876" s="405" t="s">
        <v>327</v>
      </c>
      <c r="D6876" s="405"/>
      <c r="E6876" s="410">
        <v>41274</v>
      </c>
      <c r="F6876" s="410">
        <v>41319</v>
      </c>
      <c r="G6876" s="405" t="s">
        <v>12057</v>
      </c>
      <c r="H6876" s="405">
        <v>774400751</v>
      </c>
      <c r="I6876" s="405"/>
      <c r="J6876" s="405">
        <v>0.63715690000000003</v>
      </c>
      <c r="K6876" s="405">
        <v>33.573677400000001</v>
      </c>
      <c r="L6876" s="405" t="s">
        <v>6866</v>
      </c>
      <c r="M6876" s="405" t="s">
        <v>5345</v>
      </c>
      <c r="N6876" s="405" t="s">
        <v>12058</v>
      </c>
      <c r="O6876" s="405" t="s">
        <v>5345</v>
      </c>
      <c r="P6876" s="405" t="s">
        <v>12059</v>
      </c>
      <c r="Q6876" s="411">
        <v>6</v>
      </c>
      <c r="R6876" s="405" t="s">
        <v>318</v>
      </c>
      <c r="S6876" s="405" t="s">
        <v>27174</v>
      </c>
      <c r="T6876" s="405" t="s">
        <v>32102</v>
      </c>
      <c r="U6876" s="405" t="s">
        <v>319</v>
      </c>
    </row>
    <row r="6877" spans="1:21" x14ac:dyDescent="0.25">
      <c r="A6877" s="405" t="s">
        <v>310</v>
      </c>
      <c r="B6877" s="405" t="s">
        <v>20847</v>
      </c>
      <c r="C6877" s="405" t="s">
        <v>327</v>
      </c>
      <c r="D6877" s="405"/>
      <c r="E6877" s="410">
        <v>41274</v>
      </c>
      <c r="F6877" s="410">
        <v>41319</v>
      </c>
      <c r="G6877" s="405" t="s">
        <v>20848</v>
      </c>
      <c r="H6877" s="405">
        <v>772493861</v>
      </c>
      <c r="I6877" s="405">
        <v>777289685</v>
      </c>
      <c r="J6877" s="405">
        <v>0.54836300000000004</v>
      </c>
      <c r="K6877" s="405">
        <v>30.300249000000001</v>
      </c>
      <c r="L6877" s="405" t="s">
        <v>590</v>
      </c>
      <c r="M6877" s="405" t="s">
        <v>20125</v>
      </c>
      <c r="N6877" s="405" t="s">
        <v>20126</v>
      </c>
      <c r="O6877" s="405" t="s">
        <v>20135</v>
      </c>
      <c r="P6877" s="405" t="s">
        <v>20849</v>
      </c>
      <c r="Q6877" s="411">
        <v>6</v>
      </c>
      <c r="R6877" s="405" t="s">
        <v>883</v>
      </c>
      <c r="S6877" s="405" t="s">
        <v>27183</v>
      </c>
      <c r="T6877" s="405" t="s">
        <v>32102</v>
      </c>
      <c r="U6877" s="405" t="s">
        <v>319</v>
      </c>
    </row>
    <row r="6878" spans="1:21" x14ac:dyDescent="0.25">
      <c r="A6878" s="405" t="s">
        <v>310</v>
      </c>
      <c r="B6878" s="405" t="s">
        <v>20828</v>
      </c>
      <c r="C6878" s="405" t="s">
        <v>327</v>
      </c>
      <c r="D6878" s="405"/>
      <c r="E6878" s="410">
        <v>41274</v>
      </c>
      <c r="F6878" s="410">
        <v>41319</v>
      </c>
      <c r="G6878" s="405" t="s">
        <v>20829</v>
      </c>
      <c r="H6878" s="405">
        <v>782812031</v>
      </c>
      <c r="I6878" s="405"/>
      <c r="J6878" s="405">
        <v>0.61436400000000002</v>
      </c>
      <c r="K6878" s="405">
        <v>30.268158</v>
      </c>
      <c r="L6878" s="405" t="s">
        <v>590</v>
      </c>
      <c r="M6878" s="405" t="s">
        <v>20125</v>
      </c>
      <c r="N6878" s="405" t="s">
        <v>20126</v>
      </c>
      <c r="O6878" s="405" t="s">
        <v>20823</v>
      </c>
      <c r="P6878" s="405" t="s">
        <v>20155</v>
      </c>
      <c r="Q6878" s="411">
        <v>6</v>
      </c>
      <c r="R6878" s="405" t="s">
        <v>874</v>
      </c>
      <c r="S6878" s="405" t="s">
        <v>27163</v>
      </c>
      <c r="T6878" s="405" t="s">
        <v>32102</v>
      </c>
      <c r="U6878" s="405" t="s">
        <v>319</v>
      </c>
    </row>
    <row r="6879" spans="1:21" x14ac:dyDescent="0.25">
      <c r="A6879" s="405" t="s">
        <v>310</v>
      </c>
      <c r="B6879" s="405" t="s">
        <v>20819</v>
      </c>
      <c r="C6879" s="405" t="s">
        <v>327</v>
      </c>
      <c r="D6879" s="405"/>
      <c r="E6879" s="410">
        <v>41274</v>
      </c>
      <c r="F6879" s="410">
        <v>41319</v>
      </c>
      <c r="G6879" s="405" t="s">
        <v>20820</v>
      </c>
      <c r="H6879" s="405">
        <v>772682351</v>
      </c>
      <c r="I6879" s="405">
        <v>702682351</v>
      </c>
      <c r="J6879" s="405">
        <v>0.62603200000000003</v>
      </c>
      <c r="K6879" s="405">
        <v>30.265764999999998</v>
      </c>
      <c r="L6879" s="405" t="s">
        <v>590</v>
      </c>
      <c r="M6879" s="405" t="s">
        <v>20125</v>
      </c>
      <c r="N6879" s="405" t="s">
        <v>20772</v>
      </c>
      <c r="O6879" s="405" t="s">
        <v>4793</v>
      </c>
      <c r="P6879" s="405" t="s">
        <v>20821</v>
      </c>
      <c r="Q6879" s="411">
        <v>6</v>
      </c>
      <c r="R6879" s="405" t="s">
        <v>874</v>
      </c>
      <c r="S6879" s="405" t="s">
        <v>27163</v>
      </c>
      <c r="T6879" s="405" t="s">
        <v>32102</v>
      </c>
      <c r="U6879" s="405" t="s">
        <v>319</v>
      </c>
    </row>
    <row r="6880" spans="1:21" x14ac:dyDescent="0.25">
      <c r="A6880" s="405" t="s">
        <v>310</v>
      </c>
      <c r="B6880" s="405" t="s">
        <v>28048</v>
      </c>
      <c r="C6880" s="405" t="s">
        <v>327</v>
      </c>
      <c r="D6880" s="405"/>
      <c r="E6880" s="410">
        <v>41274</v>
      </c>
      <c r="F6880" s="410">
        <v>41319</v>
      </c>
      <c r="G6880" s="405" t="s">
        <v>20811</v>
      </c>
      <c r="H6880" s="405">
        <v>772897769</v>
      </c>
      <c r="I6880" s="405"/>
      <c r="J6880" s="405">
        <v>-0.77293299999999998</v>
      </c>
      <c r="K6880" s="405">
        <v>29.92661</v>
      </c>
      <c r="L6880" s="405" t="s">
        <v>590</v>
      </c>
      <c r="M6880" s="405" t="s">
        <v>19619</v>
      </c>
      <c r="N6880" s="405" t="s">
        <v>19765</v>
      </c>
      <c r="O6880" s="405" t="s">
        <v>10466</v>
      </c>
      <c r="P6880" s="405" t="s">
        <v>20812</v>
      </c>
      <c r="Q6880" s="411">
        <v>6</v>
      </c>
      <c r="R6880" s="405" t="s">
        <v>967</v>
      </c>
      <c r="S6880" s="405" t="s">
        <v>27401</v>
      </c>
      <c r="T6880" s="405" t="s">
        <v>32102</v>
      </c>
      <c r="U6880" s="405" t="s">
        <v>319</v>
      </c>
    </row>
    <row r="6881" spans="1:21" x14ac:dyDescent="0.25">
      <c r="A6881" s="405" t="s">
        <v>310</v>
      </c>
      <c r="B6881" s="405" t="s">
        <v>3320</v>
      </c>
      <c r="C6881" s="405" t="s">
        <v>327</v>
      </c>
      <c r="D6881" s="405"/>
      <c r="E6881" s="410">
        <v>41274</v>
      </c>
      <c r="F6881" s="410">
        <v>41319</v>
      </c>
      <c r="G6881" s="405" t="s">
        <v>3321</v>
      </c>
      <c r="H6881" s="405">
        <v>772621354</v>
      </c>
      <c r="I6881" s="405"/>
      <c r="J6881" s="405">
        <v>0.68764700000000001</v>
      </c>
      <c r="K6881" s="405">
        <v>32.916471000000001</v>
      </c>
      <c r="L6881" s="405" t="s">
        <v>314</v>
      </c>
      <c r="M6881" s="405" t="s">
        <v>502</v>
      </c>
      <c r="N6881" s="405" t="s">
        <v>1229</v>
      </c>
      <c r="O6881" s="405" t="s">
        <v>502</v>
      </c>
      <c r="P6881" s="405" t="s">
        <v>3322</v>
      </c>
      <c r="Q6881" s="411">
        <v>6</v>
      </c>
      <c r="R6881" s="405" t="s">
        <v>318</v>
      </c>
      <c r="S6881" s="405" t="s">
        <v>27113</v>
      </c>
      <c r="T6881" s="405" t="s">
        <v>32102</v>
      </c>
      <c r="U6881" s="405" t="s">
        <v>319</v>
      </c>
    </row>
    <row r="6882" spans="1:21" x14ac:dyDescent="0.25">
      <c r="A6882" s="405" t="s">
        <v>310</v>
      </c>
      <c r="B6882" s="405" t="s">
        <v>3359</v>
      </c>
      <c r="C6882" s="405" t="s">
        <v>327</v>
      </c>
      <c r="D6882" s="405"/>
      <c r="E6882" s="410">
        <v>41274</v>
      </c>
      <c r="F6882" s="410">
        <v>41319</v>
      </c>
      <c r="G6882" s="405" t="s">
        <v>3360</v>
      </c>
      <c r="H6882" s="405">
        <v>701633481</v>
      </c>
      <c r="I6882" s="405"/>
      <c r="J6882" s="405">
        <v>0.28731800000000002</v>
      </c>
      <c r="K6882" s="405">
        <v>31.584676999999999</v>
      </c>
      <c r="L6882" s="405" t="s">
        <v>314</v>
      </c>
      <c r="M6882" s="405" t="s">
        <v>339</v>
      </c>
      <c r="N6882" s="405" t="s">
        <v>339</v>
      </c>
      <c r="O6882" s="405" t="s">
        <v>1662</v>
      </c>
      <c r="P6882" s="405" t="s">
        <v>3361</v>
      </c>
      <c r="Q6882" s="411">
        <v>6</v>
      </c>
      <c r="R6882" s="405" t="s">
        <v>318</v>
      </c>
      <c r="S6882" s="405" t="s">
        <v>27141</v>
      </c>
      <c r="T6882" s="405" t="s">
        <v>32102</v>
      </c>
      <c r="U6882" s="405" t="s">
        <v>319</v>
      </c>
    </row>
    <row r="6883" spans="1:21" x14ac:dyDescent="0.25">
      <c r="A6883" s="405" t="s">
        <v>310</v>
      </c>
      <c r="B6883" s="405" t="s">
        <v>3271</v>
      </c>
      <c r="C6883" s="405" t="s">
        <v>327</v>
      </c>
      <c r="D6883" s="405"/>
      <c r="E6883" s="410">
        <v>41274</v>
      </c>
      <c r="F6883" s="410">
        <v>41319</v>
      </c>
      <c r="G6883" s="405" t="s">
        <v>3272</v>
      </c>
      <c r="H6883" s="405">
        <v>750970893</v>
      </c>
      <c r="I6883" s="405"/>
      <c r="J6883" s="405">
        <v>0.210228</v>
      </c>
      <c r="K6883" s="405">
        <v>32.119922000000003</v>
      </c>
      <c r="L6883" s="405" t="s">
        <v>314</v>
      </c>
      <c r="M6883" s="405" t="s">
        <v>315</v>
      </c>
      <c r="N6883" s="405" t="s">
        <v>718</v>
      </c>
      <c r="O6883" s="405" t="s">
        <v>1411</v>
      </c>
      <c r="P6883" s="405" t="s">
        <v>1412</v>
      </c>
      <c r="Q6883" s="411">
        <v>6</v>
      </c>
      <c r="R6883" s="405" t="s">
        <v>318</v>
      </c>
      <c r="S6883" s="405" t="s">
        <v>27137</v>
      </c>
      <c r="T6883" s="405" t="s">
        <v>32102</v>
      </c>
      <c r="U6883" s="405" t="s">
        <v>319</v>
      </c>
    </row>
    <row r="6884" spans="1:21" x14ac:dyDescent="0.25">
      <c r="A6884" s="405" t="s">
        <v>310</v>
      </c>
      <c r="B6884" s="405" t="s">
        <v>20832</v>
      </c>
      <c r="C6884" s="405" t="s">
        <v>327</v>
      </c>
      <c r="D6884" s="405"/>
      <c r="E6884" s="410">
        <v>41274</v>
      </c>
      <c r="F6884" s="410">
        <v>41319</v>
      </c>
      <c r="G6884" s="405" t="s">
        <v>20833</v>
      </c>
      <c r="H6884" s="405">
        <v>779594608</v>
      </c>
      <c r="I6884" s="405"/>
      <c r="J6884" s="405">
        <v>0.59098799999999996</v>
      </c>
      <c r="K6884" s="405">
        <v>30.307471</v>
      </c>
      <c r="L6884" s="405" t="s">
        <v>590</v>
      </c>
      <c r="M6884" s="405" t="s">
        <v>20125</v>
      </c>
      <c r="N6884" s="405" t="s">
        <v>20126</v>
      </c>
      <c r="O6884" s="405" t="s">
        <v>20834</v>
      </c>
      <c r="P6884" s="405" t="s">
        <v>13529</v>
      </c>
      <c r="Q6884" s="411">
        <v>6</v>
      </c>
      <c r="R6884" s="405" t="s">
        <v>883</v>
      </c>
      <c r="S6884" s="405" t="s">
        <v>27172</v>
      </c>
      <c r="T6884" s="405" t="s">
        <v>32102</v>
      </c>
      <c r="U6884" s="405" t="s">
        <v>319</v>
      </c>
    </row>
    <row r="6885" spans="1:21" x14ac:dyDescent="0.25">
      <c r="A6885" s="405" t="s">
        <v>310</v>
      </c>
      <c r="B6885" s="405" t="s">
        <v>20816</v>
      </c>
      <c r="C6885" s="405" t="s">
        <v>327</v>
      </c>
      <c r="D6885" s="405"/>
      <c r="E6885" s="410">
        <v>41274</v>
      </c>
      <c r="F6885" s="410">
        <v>41319</v>
      </c>
      <c r="G6885" s="405" t="s">
        <v>20817</v>
      </c>
      <c r="H6885" s="405">
        <v>782972928</v>
      </c>
      <c r="I6885" s="405"/>
      <c r="J6885" s="405">
        <v>0.67087600000000003</v>
      </c>
      <c r="K6885" s="405">
        <v>30.275458</v>
      </c>
      <c r="L6885" s="405" t="s">
        <v>590</v>
      </c>
      <c r="M6885" s="405" t="s">
        <v>20125</v>
      </c>
      <c r="N6885" s="405" t="s">
        <v>20772</v>
      </c>
      <c r="O6885" s="405" t="s">
        <v>11545</v>
      </c>
      <c r="P6885" s="405" t="s">
        <v>20815</v>
      </c>
      <c r="Q6885" s="411">
        <v>6</v>
      </c>
      <c r="R6885" s="405" t="s">
        <v>20774</v>
      </c>
      <c r="S6885" s="405" t="s">
        <v>27127</v>
      </c>
      <c r="T6885" s="405" t="s">
        <v>32102</v>
      </c>
      <c r="U6885" s="405" t="s">
        <v>319</v>
      </c>
    </row>
    <row r="6886" spans="1:21" x14ac:dyDescent="0.25">
      <c r="A6886" s="405" t="s">
        <v>310</v>
      </c>
      <c r="B6886" s="405" t="s">
        <v>12092</v>
      </c>
      <c r="C6886" s="405" t="s">
        <v>327</v>
      </c>
      <c r="D6886" s="405"/>
      <c r="E6886" s="410">
        <v>41274</v>
      </c>
      <c r="F6886" s="410">
        <v>41319</v>
      </c>
      <c r="G6886" s="405" t="s">
        <v>12093</v>
      </c>
      <c r="H6886" s="405">
        <v>782659698</v>
      </c>
      <c r="I6886" s="405"/>
      <c r="J6886" s="405">
        <v>0.90986299999999998</v>
      </c>
      <c r="K6886" s="405">
        <v>34.272519000000003</v>
      </c>
      <c r="L6886" s="405" t="s">
        <v>6866</v>
      </c>
      <c r="M6886" s="405" t="s">
        <v>9763</v>
      </c>
      <c r="N6886" s="405" t="s">
        <v>9764</v>
      </c>
      <c r="O6886" s="405" t="s">
        <v>9792</v>
      </c>
      <c r="P6886" s="405" t="s">
        <v>1895</v>
      </c>
      <c r="Q6886" s="411">
        <v>6</v>
      </c>
      <c r="R6886" s="405" t="s">
        <v>7224</v>
      </c>
      <c r="S6886" s="405" t="s">
        <v>27074</v>
      </c>
      <c r="T6886" s="405" t="s">
        <v>32102</v>
      </c>
      <c r="U6886" s="405" t="s">
        <v>319</v>
      </c>
    </row>
    <row r="6887" spans="1:21" x14ac:dyDescent="0.25">
      <c r="A6887" s="405" t="s">
        <v>310</v>
      </c>
      <c r="B6887" s="405" t="s">
        <v>10</v>
      </c>
      <c r="C6887" s="405" t="s">
        <v>327</v>
      </c>
      <c r="D6887" s="405"/>
      <c r="E6887" s="410">
        <v>41274</v>
      </c>
      <c r="F6887" s="410">
        <v>41319</v>
      </c>
      <c r="G6887" s="405" t="s">
        <v>12045</v>
      </c>
      <c r="H6887" s="405">
        <v>772876937</v>
      </c>
      <c r="I6887" s="405"/>
      <c r="J6887" s="405">
        <v>1.7434069999999999</v>
      </c>
      <c r="K6887" s="405">
        <v>33.597898000000001</v>
      </c>
      <c r="L6887" s="405" t="s">
        <v>6866</v>
      </c>
      <c r="M6887" s="405" t="s">
        <v>10515</v>
      </c>
      <c r="N6887" s="405" t="s">
        <v>10515</v>
      </c>
      <c r="O6887" s="405" t="s">
        <v>10526</v>
      </c>
      <c r="P6887" s="405" t="s">
        <v>12046</v>
      </c>
      <c r="Q6887" s="411">
        <v>6</v>
      </c>
      <c r="R6887" s="405" t="s">
        <v>5655</v>
      </c>
      <c r="S6887" s="405" t="s">
        <v>27072</v>
      </c>
      <c r="T6887" s="405" t="s">
        <v>32102</v>
      </c>
      <c r="U6887" s="405" t="s">
        <v>319</v>
      </c>
    </row>
    <row r="6888" spans="1:21" x14ac:dyDescent="0.25">
      <c r="A6888" s="405" t="s">
        <v>310</v>
      </c>
      <c r="B6888" s="405" t="s">
        <v>20916</v>
      </c>
      <c r="C6888" s="405" t="s">
        <v>327</v>
      </c>
      <c r="D6888" s="405"/>
      <c r="E6888" s="410">
        <v>41274</v>
      </c>
      <c r="F6888" s="410">
        <v>41319</v>
      </c>
      <c r="G6888" s="405" t="s">
        <v>20917</v>
      </c>
      <c r="H6888" s="405">
        <v>701022810</v>
      </c>
      <c r="I6888" s="405"/>
      <c r="J6888" s="405">
        <v>-0.84570999999999996</v>
      </c>
      <c r="K6888" s="405">
        <v>30.249441999999998</v>
      </c>
      <c r="L6888" s="405" t="s">
        <v>590</v>
      </c>
      <c r="M6888" s="405" t="s">
        <v>19659</v>
      </c>
      <c r="N6888" s="405" t="s">
        <v>19664</v>
      </c>
      <c r="O6888" s="405" t="s">
        <v>19659</v>
      </c>
      <c r="P6888" s="405" t="s">
        <v>20918</v>
      </c>
      <c r="Q6888" s="411">
        <v>6</v>
      </c>
      <c r="R6888" s="405" t="s">
        <v>1527</v>
      </c>
      <c r="S6888" s="405" t="s">
        <v>27166</v>
      </c>
      <c r="T6888" s="405" t="s">
        <v>32102</v>
      </c>
      <c r="U6888" s="405" t="s">
        <v>319</v>
      </c>
    </row>
    <row r="6889" spans="1:21" x14ac:dyDescent="0.25">
      <c r="A6889" s="405" t="s">
        <v>310</v>
      </c>
      <c r="B6889" s="405" t="s">
        <v>12060</v>
      </c>
      <c r="C6889" s="405" t="s">
        <v>327</v>
      </c>
      <c r="D6889" s="405"/>
      <c r="E6889" s="410">
        <v>41274</v>
      </c>
      <c r="F6889" s="410">
        <v>41319</v>
      </c>
      <c r="G6889" s="405" t="s">
        <v>12061</v>
      </c>
      <c r="H6889" s="405">
        <v>754858092</v>
      </c>
      <c r="I6889" s="405"/>
      <c r="J6889" s="405">
        <v>0.63715690000000003</v>
      </c>
      <c r="K6889" s="405">
        <v>33.573677400000001</v>
      </c>
      <c r="L6889" s="405" t="s">
        <v>6866</v>
      </c>
      <c r="M6889" s="405" t="s">
        <v>5345</v>
      </c>
      <c r="N6889" s="405" t="s">
        <v>5345</v>
      </c>
      <c r="O6889" s="405" t="s">
        <v>12062</v>
      </c>
      <c r="P6889" s="405" t="s">
        <v>12063</v>
      </c>
      <c r="Q6889" s="411">
        <v>6</v>
      </c>
      <c r="R6889" s="405" t="s">
        <v>7224</v>
      </c>
      <c r="S6889" s="405" t="s">
        <v>27259</v>
      </c>
      <c r="T6889" s="405" t="s">
        <v>32102</v>
      </c>
      <c r="U6889" s="405" t="s">
        <v>319</v>
      </c>
    </row>
    <row r="6890" spans="1:21" x14ac:dyDescent="0.25">
      <c r="A6890" s="405" t="s">
        <v>310</v>
      </c>
      <c r="B6890" s="405" t="s">
        <v>20929</v>
      </c>
      <c r="C6890" s="405" t="s">
        <v>327</v>
      </c>
      <c r="D6890" s="405"/>
      <c r="E6890" s="410">
        <v>41274</v>
      </c>
      <c r="F6890" s="410">
        <v>41319</v>
      </c>
      <c r="G6890" s="405" t="s">
        <v>20930</v>
      </c>
      <c r="H6890" s="405">
        <v>784443626</v>
      </c>
      <c r="I6890" s="405">
        <v>775235696</v>
      </c>
      <c r="J6890" s="405">
        <v>1.3256333</v>
      </c>
      <c r="K6890" s="405">
        <v>31.306771999999999</v>
      </c>
      <c r="L6890" s="405" t="s">
        <v>590</v>
      </c>
      <c r="M6890" s="405" t="s">
        <v>7300</v>
      </c>
      <c r="N6890" s="405" t="s">
        <v>20450</v>
      </c>
      <c r="O6890" s="405" t="s">
        <v>20931</v>
      </c>
      <c r="P6890" s="405" t="s">
        <v>20932</v>
      </c>
      <c r="Q6890" s="411">
        <v>6</v>
      </c>
      <c r="R6890" s="405" t="s">
        <v>6397</v>
      </c>
      <c r="S6890" s="405" t="s">
        <v>22481</v>
      </c>
      <c r="T6890" s="405" t="s">
        <v>32102</v>
      </c>
      <c r="U6890" s="405" t="s">
        <v>319</v>
      </c>
    </row>
    <row r="6891" spans="1:21" x14ac:dyDescent="0.25">
      <c r="A6891" s="405" t="s">
        <v>310</v>
      </c>
      <c r="B6891" s="405" t="s">
        <v>3252</v>
      </c>
      <c r="C6891" s="405" t="s">
        <v>327</v>
      </c>
      <c r="D6891" s="405"/>
      <c r="E6891" s="410">
        <v>41274</v>
      </c>
      <c r="F6891" s="410">
        <v>41319</v>
      </c>
      <c r="G6891" s="405" t="s">
        <v>3253</v>
      </c>
      <c r="H6891" s="405">
        <v>756203462</v>
      </c>
      <c r="I6891" s="405">
        <v>706710125</v>
      </c>
      <c r="J6891" s="405">
        <v>0.27116499999999999</v>
      </c>
      <c r="K6891" s="405">
        <v>32.280313999999997</v>
      </c>
      <c r="L6891" s="405" t="s">
        <v>314</v>
      </c>
      <c r="M6891" s="405" t="s">
        <v>315</v>
      </c>
      <c r="N6891" s="405" t="s">
        <v>315</v>
      </c>
      <c r="O6891" s="405" t="s">
        <v>719</v>
      </c>
      <c r="P6891" s="405" t="s">
        <v>3254</v>
      </c>
      <c r="Q6891" s="411">
        <v>6</v>
      </c>
      <c r="R6891" s="405" t="s">
        <v>318</v>
      </c>
      <c r="S6891" s="405" t="s">
        <v>27064</v>
      </c>
      <c r="T6891" s="405" t="s">
        <v>32102</v>
      </c>
      <c r="U6891" s="405" t="s">
        <v>319</v>
      </c>
    </row>
    <row r="6892" spans="1:21" x14ac:dyDescent="0.25">
      <c r="A6892" s="405" t="s">
        <v>310</v>
      </c>
      <c r="B6892" s="405" t="s">
        <v>12088</v>
      </c>
      <c r="C6892" s="405" t="s">
        <v>327</v>
      </c>
      <c r="D6892" s="405"/>
      <c r="E6892" s="410">
        <v>41274</v>
      </c>
      <c r="F6892" s="410">
        <v>41319</v>
      </c>
      <c r="G6892" s="405" t="s">
        <v>12089</v>
      </c>
      <c r="H6892" s="405">
        <v>782906157</v>
      </c>
      <c r="I6892" s="405"/>
      <c r="J6892" s="405">
        <v>0.61629679999999998</v>
      </c>
      <c r="K6892" s="405">
        <v>33.479163100000001</v>
      </c>
      <c r="L6892" s="405" t="s">
        <v>6866</v>
      </c>
      <c r="M6892" s="405" t="s">
        <v>9590</v>
      </c>
      <c r="N6892" s="405" t="s">
        <v>542</v>
      </c>
      <c r="O6892" s="405" t="s">
        <v>12090</v>
      </c>
      <c r="P6892" s="405" t="s">
        <v>12091</v>
      </c>
      <c r="Q6892" s="411">
        <v>6</v>
      </c>
      <c r="R6892" s="405" t="s">
        <v>318</v>
      </c>
      <c r="S6892" s="405" t="s">
        <v>27124</v>
      </c>
      <c r="T6892" s="405" t="s">
        <v>32102</v>
      </c>
      <c r="U6892" s="405" t="s">
        <v>319</v>
      </c>
    </row>
    <row r="6893" spans="1:21" x14ac:dyDescent="0.25">
      <c r="A6893" s="405" t="s">
        <v>310</v>
      </c>
      <c r="B6893" s="405" t="s">
        <v>20835</v>
      </c>
      <c r="C6893" s="405" t="s">
        <v>327</v>
      </c>
      <c r="D6893" s="405"/>
      <c r="E6893" s="410">
        <v>41274</v>
      </c>
      <c r="F6893" s="410">
        <v>41319</v>
      </c>
      <c r="G6893" s="405" t="s">
        <v>20836</v>
      </c>
      <c r="H6893" s="405">
        <v>772663039</v>
      </c>
      <c r="I6893" s="405"/>
      <c r="J6893" s="405">
        <v>0.597414</v>
      </c>
      <c r="K6893" s="405">
        <v>30.314150999999999</v>
      </c>
      <c r="L6893" s="405" t="s">
        <v>590</v>
      </c>
      <c r="M6893" s="405" t="s">
        <v>20125</v>
      </c>
      <c r="N6893" s="405" t="s">
        <v>20126</v>
      </c>
      <c r="O6893" s="405" t="s">
        <v>20837</v>
      </c>
      <c r="P6893" s="405" t="s">
        <v>20098</v>
      </c>
      <c r="Q6893" s="411">
        <v>6</v>
      </c>
      <c r="R6893" s="405" t="s">
        <v>883</v>
      </c>
      <c r="S6893" s="405" t="s">
        <v>27183</v>
      </c>
      <c r="T6893" s="405" t="s">
        <v>32102</v>
      </c>
      <c r="U6893" s="405" t="s">
        <v>319</v>
      </c>
    </row>
    <row r="6894" spans="1:21" x14ac:dyDescent="0.25">
      <c r="A6894" s="405" t="s">
        <v>310</v>
      </c>
      <c r="B6894" s="405" t="s">
        <v>12022</v>
      </c>
      <c r="C6894" s="405" t="s">
        <v>327</v>
      </c>
      <c r="D6894" s="405"/>
      <c r="E6894" s="410">
        <v>41274</v>
      </c>
      <c r="F6894" s="410">
        <v>41319</v>
      </c>
      <c r="G6894" s="405" t="s">
        <v>12023</v>
      </c>
      <c r="H6894" s="405">
        <v>772337143</v>
      </c>
      <c r="I6894" s="405"/>
      <c r="J6894" s="405">
        <v>0.70390699999999995</v>
      </c>
      <c r="K6894" s="405">
        <v>33.951042999999999</v>
      </c>
      <c r="L6894" s="405" t="s">
        <v>6866</v>
      </c>
      <c r="M6894" s="405" t="s">
        <v>9534</v>
      </c>
      <c r="N6894" s="405" t="s">
        <v>9997</v>
      </c>
      <c r="O6894" s="405" t="s">
        <v>10918</v>
      </c>
      <c r="P6894" s="405" t="s">
        <v>12024</v>
      </c>
      <c r="Q6894" s="411">
        <v>6</v>
      </c>
      <c r="R6894" s="405" t="s">
        <v>7224</v>
      </c>
      <c r="S6894" s="405" t="s">
        <v>27310</v>
      </c>
      <c r="T6894" s="405" t="s">
        <v>32102</v>
      </c>
      <c r="U6894" s="405" t="s">
        <v>319</v>
      </c>
    </row>
    <row r="6895" spans="1:21" x14ac:dyDescent="0.25">
      <c r="A6895" s="405" t="s">
        <v>310</v>
      </c>
      <c r="B6895" s="405" t="s">
        <v>20927</v>
      </c>
      <c r="C6895" s="405" t="s">
        <v>327</v>
      </c>
      <c r="D6895" s="405"/>
      <c r="E6895" s="410">
        <v>41274</v>
      </c>
      <c r="F6895" s="410">
        <v>41319</v>
      </c>
      <c r="G6895" s="405" t="s">
        <v>20928</v>
      </c>
      <c r="H6895" s="405">
        <v>772402081</v>
      </c>
      <c r="I6895" s="405">
        <v>704515037</v>
      </c>
      <c r="J6895" s="405">
        <v>1.8265130000000001</v>
      </c>
      <c r="K6895" s="405">
        <v>32.014125</v>
      </c>
      <c r="L6895" s="405" t="s">
        <v>590</v>
      </c>
      <c r="M6895" s="405" t="s">
        <v>591</v>
      </c>
      <c r="N6895" s="405" t="s">
        <v>848</v>
      </c>
      <c r="O6895" s="405" t="s">
        <v>849</v>
      </c>
      <c r="P6895" s="405" t="s">
        <v>8784</v>
      </c>
      <c r="Q6895" s="411">
        <v>6</v>
      </c>
      <c r="R6895" s="405" t="s">
        <v>994</v>
      </c>
      <c r="S6895" s="405" t="s">
        <v>27079</v>
      </c>
      <c r="T6895" s="405" t="s">
        <v>32102</v>
      </c>
      <c r="U6895" s="405" t="s">
        <v>319</v>
      </c>
    </row>
    <row r="6896" spans="1:21" x14ac:dyDescent="0.25">
      <c r="A6896" s="405" t="s">
        <v>310</v>
      </c>
      <c r="B6896" s="405" t="s">
        <v>12050</v>
      </c>
      <c r="C6896" s="405" t="s">
        <v>327</v>
      </c>
      <c r="D6896" s="405"/>
      <c r="E6896" s="410">
        <v>41274</v>
      </c>
      <c r="F6896" s="410">
        <v>41319</v>
      </c>
      <c r="G6896" s="405" t="s">
        <v>12051</v>
      </c>
      <c r="H6896" s="405">
        <v>774073600</v>
      </c>
      <c r="I6896" s="405"/>
      <c r="J6896" s="405">
        <v>1.574165</v>
      </c>
      <c r="K6896" s="405">
        <v>33.880324999999999</v>
      </c>
      <c r="L6896" s="405" t="s">
        <v>6866</v>
      </c>
      <c r="M6896" s="405" t="s">
        <v>10012</v>
      </c>
      <c r="N6896" s="405" t="s">
        <v>10012</v>
      </c>
      <c r="O6896" s="405" t="s">
        <v>10779</v>
      </c>
      <c r="P6896" s="405" t="s">
        <v>12052</v>
      </c>
      <c r="Q6896" s="411">
        <v>6</v>
      </c>
      <c r="R6896" s="405" t="s">
        <v>7224</v>
      </c>
      <c r="S6896" s="405" t="s">
        <v>27259</v>
      </c>
      <c r="T6896" s="405" t="s">
        <v>32102</v>
      </c>
      <c r="U6896" s="405" t="s">
        <v>319</v>
      </c>
    </row>
    <row r="6897" spans="1:21" x14ac:dyDescent="0.25">
      <c r="A6897" s="405" t="s">
        <v>310</v>
      </c>
      <c r="B6897" s="405" t="s">
        <v>3346</v>
      </c>
      <c r="C6897" s="405" t="s">
        <v>327</v>
      </c>
      <c r="D6897" s="405"/>
      <c r="E6897" s="410">
        <v>41274</v>
      </c>
      <c r="F6897" s="410">
        <v>41319</v>
      </c>
      <c r="G6897" s="405" t="s">
        <v>3347</v>
      </c>
      <c r="H6897" s="405">
        <v>772877167</v>
      </c>
      <c r="I6897" s="405"/>
      <c r="J6897" s="405">
        <v>0.35785800000000001</v>
      </c>
      <c r="K6897" s="405">
        <v>32.775689999999997</v>
      </c>
      <c r="L6897" s="405" t="s">
        <v>314</v>
      </c>
      <c r="M6897" s="405" t="s">
        <v>329</v>
      </c>
      <c r="N6897" s="405" t="s">
        <v>545</v>
      </c>
      <c r="O6897" s="405" t="s">
        <v>546</v>
      </c>
      <c r="P6897" s="405" t="s">
        <v>547</v>
      </c>
      <c r="Q6897" s="411">
        <v>6</v>
      </c>
      <c r="R6897" s="405" t="s">
        <v>318</v>
      </c>
      <c r="S6897" s="405" t="s">
        <v>27113</v>
      </c>
      <c r="T6897" s="405" t="s">
        <v>32102</v>
      </c>
      <c r="U6897" s="405" t="s">
        <v>319</v>
      </c>
    </row>
    <row r="6898" spans="1:21" x14ac:dyDescent="0.25">
      <c r="A6898" s="405" t="s">
        <v>310</v>
      </c>
      <c r="B6898" s="405" t="s">
        <v>3314</v>
      </c>
      <c r="C6898" s="405" t="s">
        <v>327</v>
      </c>
      <c r="D6898" s="405"/>
      <c r="E6898" s="410">
        <v>41274</v>
      </c>
      <c r="F6898" s="410">
        <v>41319</v>
      </c>
      <c r="G6898" s="405" t="s">
        <v>3315</v>
      </c>
      <c r="H6898" s="405">
        <v>712934852</v>
      </c>
      <c r="I6898" s="405"/>
      <c r="J6898" s="405">
        <v>0.58519600000000005</v>
      </c>
      <c r="K6898" s="405">
        <v>33.020330000000001</v>
      </c>
      <c r="L6898" s="405" t="s">
        <v>314</v>
      </c>
      <c r="M6898" s="405" t="s">
        <v>502</v>
      </c>
      <c r="N6898" s="405" t="s">
        <v>503</v>
      </c>
      <c r="O6898" s="405" t="s">
        <v>2179</v>
      </c>
      <c r="P6898" s="405" t="s">
        <v>2466</v>
      </c>
      <c r="Q6898" s="411">
        <v>6</v>
      </c>
      <c r="R6898" s="405" t="s">
        <v>1263</v>
      </c>
      <c r="S6898" s="405" t="s">
        <v>27110</v>
      </c>
      <c r="T6898" s="405" t="s">
        <v>32102</v>
      </c>
      <c r="U6898" s="405" t="s">
        <v>319</v>
      </c>
    </row>
    <row r="6899" spans="1:21" x14ac:dyDescent="0.25">
      <c r="A6899" s="405" t="s">
        <v>310</v>
      </c>
      <c r="B6899" s="405" t="s">
        <v>12067</v>
      </c>
      <c r="C6899" s="405" t="s">
        <v>327</v>
      </c>
      <c r="D6899" s="405"/>
      <c r="E6899" s="410">
        <v>41274</v>
      </c>
      <c r="F6899" s="410">
        <v>41319</v>
      </c>
      <c r="G6899" s="405" t="s">
        <v>12068</v>
      </c>
      <c r="H6899" s="405">
        <v>771383817</v>
      </c>
      <c r="I6899" s="405"/>
      <c r="J6899" s="405">
        <v>0.63715690000000003</v>
      </c>
      <c r="K6899" s="405">
        <v>33.573677400000001</v>
      </c>
      <c r="L6899" s="405" t="s">
        <v>6866</v>
      </c>
      <c r="M6899" s="405" t="s">
        <v>5345</v>
      </c>
      <c r="N6899" s="405" t="s">
        <v>5345</v>
      </c>
      <c r="O6899" s="405" t="s">
        <v>12062</v>
      </c>
      <c r="P6899" s="405" t="s">
        <v>12069</v>
      </c>
      <c r="Q6899" s="411">
        <v>6</v>
      </c>
      <c r="R6899" s="405" t="s">
        <v>7224</v>
      </c>
      <c r="S6899" s="405" t="s">
        <v>27259</v>
      </c>
      <c r="T6899" s="405" t="s">
        <v>32102</v>
      </c>
      <c r="U6899" s="405" t="s">
        <v>319</v>
      </c>
    </row>
    <row r="6900" spans="1:21" x14ac:dyDescent="0.25">
      <c r="A6900" s="405" t="s">
        <v>310</v>
      </c>
      <c r="B6900" s="405" t="s">
        <v>3880</v>
      </c>
      <c r="C6900" s="405" t="s">
        <v>311</v>
      </c>
      <c r="D6900" s="405" t="s">
        <v>1789</v>
      </c>
      <c r="E6900" s="410">
        <v>41274</v>
      </c>
      <c r="F6900" s="410">
        <v>41319</v>
      </c>
      <c r="G6900" s="405" t="s">
        <v>3881</v>
      </c>
      <c r="H6900" s="405">
        <v>777661341</v>
      </c>
      <c r="I6900" s="405"/>
      <c r="J6900" s="405">
        <v>0.48660599999999998</v>
      </c>
      <c r="K6900" s="405">
        <v>32.745486</v>
      </c>
      <c r="L6900" s="405" t="s">
        <v>314</v>
      </c>
      <c r="M6900" s="405" t="s">
        <v>329</v>
      </c>
      <c r="N6900" s="405" t="s">
        <v>545</v>
      </c>
      <c r="O6900" s="405" t="s">
        <v>336</v>
      </c>
      <c r="P6900" s="405" t="s">
        <v>3882</v>
      </c>
      <c r="Q6900" s="411">
        <v>6</v>
      </c>
      <c r="R6900" s="405" t="s">
        <v>1263</v>
      </c>
      <c r="S6900" s="405" t="s">
        <v>27139</v>
      </c>
      <c r="T6900" s="405" t="s">
        <v>32102</v>
      </c>
      <c r="U6900" s="405" t="s">
        <v>319</v>
      </c>
    </row>
    <row r="6901" spans="1:21" x14ac:dyDescent="0.25">
      <c r="A6901" s="405" t="s">
        <v>310</v>
      </c>
      <c r="B6901" s="405" t="s">
        <v>12020</v>
      </c>
      <c r="C6901" s="405" t="s">
        <v>327</v>
      </c>
      <c r="D6901" s="405"/>
      <c r="E6901" s="410">
        <v>41274</v>
      </c>
      <c r="F6901" s="410">
        <v>41319</v>
      </c>
      <c r="G6901" s="405" t="s">
        <v>12021</v>
      </c>
      <c r="H6901" s="405">
        <v>772412579</v>
      </c>
      <c r="I6901" s="405"/>
      <c r="J6901" s="405">
        <v>1.0917969999999999</v>
      </c>
      <c r="K6901" s="405">
        <v>34.190438</v>
      </c>
      <c r="L6901" s="405" t="s">
        <v>6866</v>
      </c>
      <c r="M6901" s="405" t="s">
        <v>9514</v>
      </c>
      <c r="N6901" s="405" t="s">
        <v>9530</v>
      </c>
      <c r="O6901" s="405" t="s">
        <v>9530</v>
      </c>
      <c r="P6901" s="405" t="s">
        <v>9890</v>
      </c>
      <c r="Q6901" s="411">
        <v>6</v>
      </c>
      <c r="R6901" s="405" t="s">
        <v>5655</v>
      </c>
      <c r="S6901" s="405" t="s">
        <v>27323</v>
      </c>
      <c r="T6901" s="405" t="s">
        <v>32102</v>
      </c>
      <c r="U6901" s="405" t="s">
        <v>319</v>
      </c>
    </row>
    <row r="6902" spans="1:21" x14ac:dyDescent="0.25">
      <c r="A6902" s="405" t="s">
        <v>310</v>
      </c>
      <c r="B6902" s="405" t="s">
        <v>3263</v>
      </c>
      <c r="C6902" s="405" t="s">
        <v>327</v>
      </c>
      <c r="D6902" s="405"/>
      <c r="E6902" s="410">
        <v>41274</v>
      </c>
      <c r="F6902" s="410">
        <v>41319</v>
      </c>
      <c r="G6902" s="405" t="s">
        <v>3264</v>
      </c>
      <c r="H6902" s="405">
        <v>779705866</v>
      </c>
      <c r="I6902" s="405"/>
      <c r="J6902" s="405">
        <v>0.12203</v>
      </c>
      <c r="K6902" s="405">
        <v>31.839452000000001</v>
      </c>
      <c r="L6902" s="405" t="s">
        <v>314</v>
      </c>
      <c r="M6902" s="405" t="s">
        <v>339</v>
      </c>
      <c r="N6902" s="405" t="s">
        <v>339</v>
      </c>
      <c r="O6902" s="405" t="s">
        <v>1948</v>
      </c>
      <c r="P6902" s="405" t="s">
        <v>3265</v>
      </c>
      <c r="Q6902" s="411">
        <v>6</v>
      </c>
      <c r="R6902" s="405" t="s">
        <v>318</v>
      </c>
      <c r="S6902" s="405" t="s">
        <v>27181</v>
      </c>
      <c r="T6902" s="405" t="s">
        <v>32102</v>
      </c>
      <c r="U6902" s="405" t="s">
        <v>319</v>
      </c>
    </row>
    <row r="6903" spans="1:21" x14ac:dyDescent="0.25">
      <c r="A6903" s="405" t="s">
        <v>310</v>
      </c>
      <c r="B6903" s="405" t="s">
        <v>3249</v>
      </c>
      <c r="C6903" s="405" t="s">
        <v>327</v>
      </c>
      <c r="D6903" s="405"/>
      <c r="E6903" s="410">
        <v>41274</v>
      </c>
      <c r="F6903" s="410">
        <v>41319</v>
      </c>
      <c r="G6903" s="405" t="s">
        <v>3250</v>
      </c>
      <c r="H6903" s="405">
        <v>772524052</v>
      </c>
      <c r="I6903" s="405"/>
      <c r="J6903" s="405">
        <v>0.325548</v>
      </c>
      <c r="K6903" s="405">
        <v>32.143442</v>
      </c>
      <c r="L6903" s="405" t="s">
        <v>314</v>
      </c>
      <c r="M6903" s="405" t="s">
        <v>675</v>
      </c>
      <c r="N6903" s="405" t="s">
        <v>3251</v>
      </c>
      <c r="O6903" s="405" t="s">
        <v>677</v>
      </c>
      <c r="P6903" s="405" t="s">
        <v>2117</v>
      </c>
      <c r="Q6903" s="411">
        <v>6</v>
      </c>
      <c r="R6903" s="405" t="s">
        <v>32476</v>
      </c>
      <c r="S6903" s="405" t="s">
        <v>27154</v>
      </c>
      <c r="T6903" s="405" t="s">
        <v>32102</v>
      </c>
      <c r="U6903" s="405" t="s">
        <v>319</v>
      </c>
    </row>
    <row r="6904" spans="1:21" x14ac:dyDescent="0.25">
      <c r="A6904" s="405" t="s">
        <v>310</v>
      </c>
      <c r="B6904" s="405" t="s">
        <v>3269</v>
      </c>
      <c r="C6904" s="405" t="s">
        <v>327</v>
      </c>
      <c r="D6904" s="405"/>
      <c r="E6904" s="410">
        <v>41274</v>
      </c>
      <c r="F6904" s="410">
        <v>41319</v>
      </c>
      <c r="G6904" s="405" t="s">
        <v>3270</v>
      </c>
      <c r="H6904" s="405">
        <v>780795475</v>
      </c>
      <c r="I6904" s="405"/>
      <c r="J6904" s="405">
        <v>0.24852299999999999</v>
      </c>
      <c r="K6904" s="405">
        <v>32.048842999999998</v>
      </c>
      <c r="L6904" s="405" t="s">
        <v>314</v>
      </c>
      <c r="M6904" s="405" t="s">
        <v>339</v>
      </c>
      <c r="N6904" s="405" t="s">
        <v>339</v>
      </c>
      <c r="O6904" s="405" t="s">
        <v>2272</v>
      </c>
      <c r="P6904" s="405" t="s">
        <v>2273</v>
      </c>
      <c r="Q6904" s="411">
        <v>6</v>
      </c>
      <c r="R6904" s="405" t="s">
        <v>1263</v>
      </c>
      <c r="S6904" s="405" t="s">
        <v>27120</v>
      </c>
      <c r="T6904" s="405" t="s">
        <v>32102</v>
      </c>
      <c r="U6904" s="405" t="s">
        <v>319</v>
      </c>
    </row>
    <row r="6905" spans="1:21" x14ac:dyDescent="0.25">
      <c r="A6905" s="405" t="s">
        <v>310</v>
      </c>
      <c r="B6905" s="405" t="s">
        <v>3369</v>
      </c>
      <c r="C6905" s="405" t="s">
        <v>327</v>
      </c>
      <c r="D6905" s="405"/>
      <c r="E6905" s="410">
        <v>41274</v>
      </c>
      <c r="F6905" s="410">
        <v>41319</v>
      </c>
      <c r="G6905" s="405" t="s">
        <v>3370</v>
      </c>
      <c r="H6905" s="405">
        <v>755437976</v>
      </c>
      <c r="I6905" s="405"/>
      <c r="J6905" s="405">
        <v>0.25963999999999998</v>
      </c>
      <c r="K6905" s="405">
        <v>32.541801999999997</v>
      </c>
      <c r="L6905" s="405" t="s">
        <v>314</v>
      </c>
      <c r="M6905" s="405" t="s">
        <v>361</v>
      </c>
      <c r="N6905" s="405" t="s">
        <v>362</v>
      </c>
      <c r="O6905" s="405" t="s">
        <v>618</v>
      </c>
      <c r="P6905" s="405" t="s">
        <v>3371</v>
      </c>
      <c r="Q6905" s="411">
        <v>6</v>
      </c>
      <c r="R6905" s="405" t="s">
        <v>353</v>
      </c>
      <c r="S6905" s="405" t="s">
        <v>27041</v>
      </c>
      <c r="T6905" s="405" t="s">
        <v>32102</v>
      </c>
      <c r="U6905" s="405" t="s">
        <v>319</v>
      </c>
    </row>
    <row r="6906" spans="1:21" x14ac:dyDescent="0.25">
      <c r="A6906" s="405" t="s">
        <v>310</v>
      </c>
      <c r="B6906" s="405" t="s">
        <v>12098</v>
      </c>
      <c r="C6906" s="405" t="s">
        <v>327</v>
      </c>
      <c r="D6906" s="405"/>
      <c r="E6906" s="410">
        <v>41274</v>
      </c>
      <c r="F6906" s="410">
        <v>41319</v>
      </c>
      <c r="G6906" s="405" t="s">
        <v>12099</v>
      </c>
      <c r="H6906" s="405">
        <v>772626896</v>
      </c>
      <c r="I6906" s="405"/>
      <c r="J6906" s="405">
        <v>0.96051200000000003</v>
      </c>
      <c r="K6906" s="405">
        <v>34.295845999999997</v>
      </c>
      <c r="L6906" s="405" t="s">
        <v>6866</v>
      </c>
      <c r="M6906" s="405" t="s">
        <v>9763</v>
      </c>
      <c r="N6906" s="405" t="s">
        <v>9764</v>
      </c>
      <c r="O6906" s="405" t="s">
        <v>10118</v>
      </c>
      <c r="P6906" s="405" t="s">
        <v>9691</v>
      </c>
      <c r="Q6906" s="411">
        <v>6</v>
      </c>
      <c r="R6906" s="405" t="s">
        <v>7224</v>
      </c>
      <c r="S6906" s="405" t="s">
        <v>27197</v>
      </c>
      <c r="T6906" s="405" t="s">
        <v>32102</v>
      </c>
      <c r="U6906" s="405" t="s">
        <v>319</v>
      </c>
    </row>
    <row r="6907" spans="1:21" x14ac:dyDescent="0.25">
      <c r="A6907" s="405" t="s">
        <v>310</v>
      </c>
      <c r="B6907" s="405" t="s">
        <v>12076</v>
      </c>
      <c r="C6907" s="405" t="s">
        <v>327</v>
      </c>
      <c r="D6907" s="405"/>
      <c r="E6907" s="410">
        <v>41274</v>
      </c>
      <c r="F6907" s="410">
        <v>41319</v>
      </c>
      <c r="G6907" s="405" t="s">
        <v>12077</v>
      </c>
      <c r="H6907" s="405">
        <v>771457286</v>
      </c>
      <c r="I6907" s="405"/>
      <c r="J6907" s="405">
        <v>1.2099500000000001</v>
      </c>
      <c r="K6907" s="405">
        <v>34.338856</v>
      </c>
      <c r="L6907" s="405" t="s">
        <v>6866</v>
      </c>
      <c r="M6907" s="405" t="s">
        <v>9575</v>
      </c>
      <c r="N6907" s="405" t="s">
        <v>9629</v>
      </c>
      <c r="O6907" s="405" t="s">
        <v>9630</v>
      </c>
      <c r="P6907" s="405" t="s">
        <v>12078</v>
      </c>
      <c r="Q6907" s="411">
        <v>6</v>
      </c>
      <c r="R6907" s="405" t="s">
        <v>9541</v>
      </c>
      <c r="S6907" s="405" t="s">
        <v>27086</v>
      </c>
      <c r="T6907" s="405" t="s">
        <v>32102</v>
      </c>
      <c r="U6907" s="405" t="s">
        <v>319</v>
      </c>
    </row>
    <row r="6908" spans="1:21" x14ac:dyDescent="0.25">
      <c r="A6908" s="405" t="s">
        <v>310</v>
      </c>
      <c r="B6908" s="405" t="s">
        <v>12094</v>
      </c>
      <c r="C6908" s="405" t="s">
        <v>327</v>
      </c>
      <c r="D6908" s="405"/>
      <c r="E6908" s="410">
        <v>41274</v>
      </c>
      <c r="F6908" s="410">
        <v>41319</v>
      </c>
      <c r="G6908" s="405" t="s">
        <v>12095</v>
      </c>
      <c r="H6908" s="405">
        <v>782479726</v>
      </c>
      <c r="I6908" s="405"/>
      <c r="J6908" s="405">
        <v>0.92545500000000003</v>
      </c>
      <c r="K6908" s="405">
        <v>34.281616</v>
      </c>
      <c r="L6908" s="405" t="s">
        <v>6866</v>
      </c>
      <c r="M6908" s="405" t="s">
        <v>9763</v>
      </c>
      <c r="N6908" s="405" t="s">
        <v>9764</v>
      </c>
      <c r="O6908" s="405" t="s">
        <v>9792</v>
      </c>
      <c r="P6908" s="405" t="s">
        <v>10234</v>
      </c>
      <c r="Q6908" s="411">
        <v>6</v>
      </c>
      <c r="R6908" s="405" t="s">
        <v>7224</v>
      </c>
      <c r="S6908" s="405" t="s">
        <v>27190</v>
      </c>
      <c r="T6908" s="405" t="s">
        <v>32102</v>
      </c>
      <c r="U6908" s="405" t="s">
        <v>319</v>
      </c>
    </row>
    <row r="6909" spans="1:21" x14ac:dyDescent="0.25">
      <c r="A6909" s="405" t="s">
        <v>310</v>
      </c>
      <c r="B6909" s="405" t="s">
        <v>12431</v>
      </c>
      <c r="C6909" s="405" t="s">
        <v>327</v>
      </c>
      <c r="D6909" s="405"/>
      <c r="E6909" s="410">
        <v>41274</v>
      </c>
      <c r="F6909" s="410">
        <v>41319</v>
      </c>
      <c r="G6909" s="405" t="s">
        <v>12432</v>
      </c>
      <c r="H6909" s="405">
        <v>774655180</v>
      </c>
      <c r="I6909" s="405"/>
      <c r="J6909" s="405">
        <v>0.91150100000000001</v>
      </c>
      <c r="K6909" s="405">
        <v>34.274135000000001</v>
      </c>
      <c r="L6909" s="405" t="s">
        <v>6866</v>
      </c>
      <c r="M6909" s="405" t="s">
        <v>9763</v>
      </c>
      <c r="N6909" s="405" t="s">
        <v>9764</v>
      </c>
      <c r="O6909" s="405" t="s">
        <v>9792</v>
      </c>
      <c r="P6909" s="405" t="s">
        <v>9799</v>
      </c>
      <c r="Q6909" s="411">
        <v>6</v>
      </c>
      <c r="R6909" s="405" t="s">
        <v>7224</v>
      </c>
      <c r="S6909" s="405" t="s">
        <v>27316</v>
      </c>
      <c r="T6909" s="405" t="s">
        <v>32102</v>
      </c>
      <c r="U6909" s="405" t="s">
        <v>319</v>
      </c>
    </row>
    <row r="6910" spans="1:21" x14ac:dyDescent="0.25">
      <c r="A6910" s="405" t="s">
        <v>310</v>
      </c>
      <c r="B6910" s="405" t="s">
        <v>3348</v>
      </c>
      <c r="C6910" s="405" t="s">
        <v>327</v>
      </c>
      <c r="D6910" s="405"/>
      <c r="E6910" s="410">
        <v>41274</v>
      </c>
      <c r="F6910" s="410">
        <v>41319</v>
      </c>
      <c r="G6910" s="405" t="s">
        <v>3349</v>
      </c>
      <c r="H6910" s="405">
        <v>757837816</v>
      </c>
      <c r="I6910" s="405">
        <v>702837826</v>
      </c>
      <c r="J6910" s="405">
        <v>0.35373300000000002</v>
      </c>
      <c r="K6910" s="405">
        <v>32.776823999999998</v>
      </c>
      <c r="L6910" s="405" t="s">
        <v>314</v>
      </c>
      <c r="M6910" s="405" t="s">
        <v>329</v>
      </c>
      <c r="N6910" s="405" t="s">
        <v>330</v>
      </c>
      <c r="O6910" s="405" t="s">
        <v>331</v>
      </c>
      <c r="P6910" s="405" t="s">
        <v>508</v>
      </c>
      <c r="Q6910" s="411">
        <v>6</v>
      </c>
      <c r="R6910" s="405" t="s">
        <v>318</v>
      </c>
      <c r="S6910" s="405" t="s">
        <v>27035</v>
      </c>
      <c r="T6910" s="405" t="s">
        <v>32102</v>
      </c>
      <c r="U6910" s="405" t="s">
        <v>319</v>
      </c>
    </row>
    <row r="6911" spans="1:21" x14ac:dyDescent="0.25">
      <c r="A6911" s="405" t="s">
        <v>310</v>
      </c>
      <c r="B6911" s="405" t="s">
        <v>3343</v>
      </c>
      <c r="C6911" s="405" t="s">
        <v>327</v>
      </c>
      <c r="D6911" s="405"/>
      <c r="E6911" s="410">
        <v>41274</v>
      </c>
      <c r="F6911" s="410">
        <v>41319</v>
      </c>
      <c r="G6911" s="405" t="s">
        <v>3344</v>
      </c>
      <c r="H6911" s="405">
        <v>777682613</v>
      </c>
      <c r="I6911" s="405">
        <v>778235227</v>
      </c>
      <c r="J6911" s="405">
        <v>0.60039200000000004</v>
      </c>
      <c r="K6911" s="405">
        <v>32.688358000000001</v>
      </c>
      <c r="L6911" s="405" t="s">
        <v>314</v>
      </c>
      <c r="M6911" s="405" t="s">
        <v>329</v>
      </c>
      <c r="N6911" s="405" t="s">
        <v>528</v>
      </c>
      <c r="O6911" s="405" t="s">
        <v>2228</v>
      </c>
      <c r="P6911" s="405" t="s">
        <v>3345</v>
      </c>
      <c r="Q6911" s="411">
        <v>4</v>
      </c>
      <c r="R6911" s="405" t="s">
        <v>318</v>
      </c>
      <c r="S6911" s="405" t="s">
        <v>27036</v>
      </c>
      <c r="T6911" s="405" t="s">
        <v>32102</v>
      </c>
      <c r="U6911" s="405" t="s">
        <v>319</v>
      </c>
    </row>
    <row r="6912" spans="1:21" x14ac:dyDescent="0.25">
      <c r="A6912" s="405" t="s">
        <v>310</v>
      </c>
      <c r="B6912" s="405" t="s">
        <v>3372</v>
      </c>
      <c r="C6912" s="405" t="s">
        <v>327</v>
      </c>
      <c r="D6912" s="405"/>
      <c r="E6912" s="410">
        <v>41274</v>
      </c>
      <c r="F6912" s="410">
        <v>41319</v>
      </c>
      <c r="G6912" s="405" t="s">
        <v>3373</v>
      </c>
      <c r="H6912" s="405">
        <v>712523301</v>
      </c>
      <c r="I6912" s="405"/>
      <c r="J6912" s="405">
        <v>0.49139699999999997</v>
      </c>
      <c r="K6912" s="405">
        <v>32.506352999999997</v>
      </c>
      <c r="L6912" s="405" t="s">
        <v>314</v>
      </c>
      <c r="M6912" s="405" t="s">
        <v>361</v>
      </c>
      <c r="N6912" s="405" t="s">
        <v>362</v>
      </c>
      <c r="O6912" s="405" t="s">
        <v>523</v>
      </c>
      <c r="P6912" s="405" t="s">
        <v>364</v>
      </c>
      <c r="Q6912" s="411">
        <v>4</v>
      </c>
      <c r="R6912" s="405" t="s">
        <v>525</v>
      </c>
      <c r="S6912" s="405" t="s">
        <v>27171</v>
      </c>
      <c r="T6912" s="405" t="s">
        <v>32102</v>
      </c>
      <c r="U6912" s="405" t="s">
        <v>319</v>
      </c>
    </row>
    <row r="6913" spans="1:21" x14ac:dyDescent="0.25">
      <c r="A6913" s="405" t="s">
        <v>310</v>
      </c>
      <c r="B6913" s="405" t="s">
        <v>12530</v>
      </c>
      <c r="C6913" s="405" t="s">
        <v>311</v>
      </c>
      <c r="D6913" s="405" t="s">
        <v>839</v>
      </c>
      <c r="E6913" s="410">
        <v>41274</v>
      </c>
      <c r="F6913" s="410">
        <v>41319</v>
      </c>
      <c r="G6913" s="405" t="s">
        <v>12531</v>
      </c>
      <c r="H6913" s="405">
        <v>772570207</v>
      </c>
      <c r="I6913" s="405"/>
      <c r="J6913" s="405">
        <v>0.85884899999999997</v>
      </c>
      <c r="K6913" s="405">
        <v>34.376787</v>
      </c>
      <c r="L6913" s="405" t="s">
        <v>6866</v>
      </c>
      <c r="M6913" s="405" t="s">
        <v>9763</v>
      </c>
      <c r="N6913" s="405" t="s">
        <v>9848</v>
      </c>
      <c r="O6913" s="405" t="s">
        <v>11471</v>
      </c>
      <c r="P6913" s="405" t="s">
        <v>12532</v>
      </c>
      <c r="Q6913" s="411">
        <v>4</v>
      </c>
      <c r="R6913" s="405" t="s">
        <v>7224</v>
      </c>
      <c r="S6913" s="405" t="s">
        <v>27107</v>
      </c>
      <c r="T6913" s="405" t="s">
        <v>32102</v>
      </c>
      <c r="U6913" s="405" t="s">
        <v>319</v>
      </c>
    </row>
    <row r="6914" spans="1:21" x14ac:dyDescent="0.25">
      <c r="A6914" s="405" t="s">
        <v>310</v>
      </c>
      <c r="B6914" s="405" t="s">
        <v>3266</v>
      </c>
      <c r="C6914" s="405" t="s">
        <v>327</v>
      </c>
      <c r="D6914" s="405"/>
      <c r="E6914" s="410">
        <v>41274</v>
      </c>
      <c r="F6914" s="410">
        <v>41319</v>
      </c>
      <c r="G6914" s="405" t="s">
        <v>3267</v>
      </c>
      <c r="H6914" s="405">
        <v>702966612</v>
      </c>
      <c r="I6914" s="405"/>
      <c r="J6914" s="405">
        <v>0.132212</v>
      </c>
      <c r="K6914" s="405">
        <v>31.815733999999999</v>
      </c>
      <c r="L6914" s="405" t="s">
        <v>314</v>
      </c>
      <c r="M6914" s="405" t="s">
        <v>339</v>
      </c>
      <c r="N6914" s="405" t="s">
        <v>339</v>
      </c>
      <c r="O6914" s="405" t="s">
        <v>1948</v>
      </c>
      <c r="P6914" s="405" t="s">
        <v>3268</v>
      </c>
      <c r="Q6914" s="411">
        <v>4</v>
      </c>
      <c r="R6914" s="405" t="s">
        <v>1263</v>
      </c>
      <c r="S6914" s="405" t="s">
        <v>27190</v>
      </c>
      <c r="T6914" s="405" t="s">
        <v>32102</v>
      </c>
      <c r="U6914" s="405" t="s">
        <v>319</v>
      </c>
    </row>
    <row r="6915" spans="1:21" x14ac:dyDescent="0.25">
      <c r="A6915" s="405" t="s">
        <v>310</v>
      </c>
      <c r="B6915" s="405" t="s">
        <v>12032</v>
      </c>
      <c r="C6915" s="405" t="s">
        <v>327</v>
      </c>
      <c r="D6915" s="405"/>
      <c r="E6915" s="410">
        <v>41273</v>
      </c>
      <c r="F6915" s="410">
        <v>41318</v>
      </c>
      <c r="G6915" s="405" t="s">
        <v>12033</v>
      </c>
      <c r="H6915" s="405">
        <v>757325594</v>
      </c>
      <c r="I6915" s="405"/>
      <c r="J6915" s="405">
        <v>2.014945</v>
      </c>
      <c r="K6915" s="405">
        <v>33.968623000000001</v>
      </c>
      <c r="L6915" s="405" t="s">
        <v>6866</v>
      </c>
      <c r="M6915" s="405" t="s">
        <v>11355</v>
      </c>
      <c r="N6915" s="405" t="s">
        <v>11356</v>
      </c>
      <c r="O6915" s="405" t="s">
        <v>11356</v>
      </c>
      <c r="P6915" s="405" t="s">
        <v>12034</v>
      </c>
      <c r="Q6915" s="411">
        <v>6</v>
      </c>
      <c r="R6915" s="405" t="s">
        <v>5655</v>
      </c>
      <c r="S6915" s="405" t="s">
        <v>27182</v>
      </c>
      <c r="T6915" s="405" t="s">
        <v>32102</v>
      </c>
      <c r="U6915" s="405" t="s">
        <v>319</v>
      </c>
    </row>
    <row r="6916" spans="1:21" x14ac:dyDescent="0.25">
      <c r="A6916" s="405" t="s">
        <v>310</v>
      </c>
      <c r="B6916" s="405" t="s">
        <v>28096</v>
      </c>
      <c r="C6916" s="405" t="s">
        <v>327</v>
      </c>
      <c r="D6916" s="405"/>
      <c r="E6916" s="410">
        <v>41267</v>
      </c>
      <c r="F6916" s="410">
        <v>41312</v>
      </c>
      <c r="G6916" s="405" t="s">
        <v>3246</v>
      </c>
      <c r="H6916" s="405">
        <v>773272385</v>
      </c>
      <c r="I6916" s="405"/>
      <c r="J6916" s="405">
        <v>0.47486299999999998</v>
      </c>
      <c r="K6916" s="405">
        <v>31.201858000000001</v>
      </c>
      <c r="L6916" s="405" t="s">
        <v>314</v>
      </c>
      <c r="M6916" s="405" t="s">
        <v>445</v>
      </c>
      <c r="N6916" s="405" t="s">
        <v>2528</v>
      </c>
      <c r="O6916" s="405" t="s">
        <v>3241</v>
      </c>
      <c r="P6916" s="405" t="s">
        <v>3247</v>
      </c>
      <c r="Q6916" s="411">
        <v>9</v>
      </c>
      <c r="R6916" s="405" t="s">
        <v>32476</v>
      </c>
      <c r="S6916" s="405" t="s">
        <v>27053</v>
      </c>
      <c r="T6916" s="405" t="s">
        <v>32102</v>
      </c>
      <c r="U6916" s="405" t="s">
        <v>319</v>
      </c>
    </row>
    <row r="6917" spans="1:21" x14ac:dyDescent="0.25">
      <c r="A6917" s="405" t="s">
        <v>310</v>
      </c>
      <c r="B6917" s="405" t="s">
        <v>77</v>
      </c>
      <c r="C6917" s="405" t="s">
        <v>327</v>
      </c>
      <c r="D6917" s="405"/>
      <c r="E6917" s="410">
        <v>41266</v>
      </c>
      <c r="F6917" s="410">
        <v>41311</v>
      </c>
      <c r="G6917" s="405" t="s">
        <v>20797</v>
      </c>
      <c r="H6917" s="405">
        <v>774436240</v>
      </c>
      <c r="I6917" s="405"/>
      <c r="J6917" s="405">
        <v>-0.59853100000000004</v>
      </c>
      <c r="K6917" s="405">
        <v>30.628515</v>
      </c>
      <c r="L6917" s="405" t="s">
        <v>590</v>
      </c>
      <c r="M6917" s="405" t="s">
        <v>19614</v>
      </c>
      <c r="N6917" s="405" t="s">
        <v>19873</v>
      </c>
      <c r="O6917" s="405" t="s">
        <v>19893</v>
      </c>
      <c r="P6917" s="405" t="s">
        <v>20798</v>
      </c>
      <c r="Q6917" s="411">
        <v>13</v>
      </c>
      <c r="R6917" s="405" t="s">
        <v>333</v>
      </c>
      <c r="S6917" s="405" t="s">
        <v>27104</v>
      </c>
      <c r="T6917" s="405" t="s">
        <v>32102</v>
      </c>
      <c r="U6917" s="405" t="s">
        <v>319</v>
      </c>
    </row>
    <row r="6918" spans="1:21" x14ac:dyDescent="0.25">
      <c r="A6918" s="405" t="s">
        <v>310</v>
      </c>
      <c r="B6918" s="405" t="s">
        <v>12035</v>
      </c>
      <c r="C6918" s="405" t="s">
        <v>327</v>
      </c>
      <c r="D6918" s="405"/>
      <c r="E6918" s="410">
        <v>41266</v>
      </c>
      <c r="F6918" s="410">
        <v>41311</v>
      </c>
      <c r="G6918" s="405" t="s">
        <v>12036</v>
      </c>
      <c r="H6918" s="405">
        <v>786470402</v>
      </c>
      <c r="I6918" s="405">
        <v>782505773</v>
      </c>
      <c r="J6918" s="405">
        <v>1.5933470000000001</v>
      </c>
      <c r="K6918" s="405">
        <v>33.521355</v>
      </c>
      <c r="L6918" s="405" t="s">
        <v>6866</v>
      </c>
      <c r="M6918" s="405" t="s">
        <v>9658</v>
      </c>
      <c r="N6918" s="405" t="s">
        <v>9658</v>
      </c>
      <c r="O6918" s="405" t="s">
        <v>12037</v>
      </c>
      <c r="P6918" s="405" t="s">
        <v>12038</v>
      </c>
      <c r="Q6918" s="411">
        <v>6</v>
      </c>
      <c r="R6918" s="405" t="s">
        <v>5655</v>
      </c>
      <c r="S6918" s="405" t="s">
        <v>27324</v>
      </c>
      <c r="T6918" s="405" t="s">
        <v>32102</v>
      </c>
      <c r="U6918" s="405" t="s">
        <v>319</v>
      </c>
    </row>
    <row r="6919" spans="1:21" x14ac:dyDescent="0.25">
      <c r="A6919" s="405" t="s">
        <v>310</v>
      </c>
      <c r="B6919" s="405" t="s">
        <v>12482</v>
      </c>
      <c r="C6919" s="405" t="s">
        <v>311</v>
      </c>
      <c r="D6919" s="405" t="s">
        <v>839</v>
      </c>
      <c r="E6919" s="410">
        <v>41265</v>
      </c>
      <c r="F6919" s="410">
        <v>41310</v>
      </c>
      <c r="G6919" s="405" t="s">
        <v>12483</v>
      </c>
      <c r="H6919" s="405">
        <v>781472890</v>
      </c>
      <c r="I6919" s="405"/>
      <c r="J6919" s="405">
        <v>1.2543299999999999</v>
      </c>
      <c r="K6919" s="405">
        <v>33.739375000000003</v>
      </c>
      <c r="L6919" s="405" t="s">
        <v>6866</v>
      </c>
      <c r="M6919" s="405" t="s">
        <v>9509</v>
      </c>
      <c r="N6919" s="405" t="s">
        <v>10036</v>
      </c>
      <c r="O6919" s="405" t="s">
        <v>11285</v>
      </c>
      <c r="P6919" s="405" t="s">
        <v>12162</v>
      </c>
      <c r="Q6919" s="411">
        <v>6</v>
      </c>
      <c r="R6919" s="405" t="s">
        <v>9541</v>
      </c>
      <c r="S6919" s="405" t="s">
        <v>27339</v>
      </c>
      <c r="T6919" s="405" t="s">
        <v>32102</v>
      </c>
      <c r="U6919" s="405" t="s">
        <v>319</v>
      </c>
    </row>
    <row r="6920" spans="1:21" x14ac:dyDescent="0.25">
      <c r="A6920" s="405" t="s">
        <v>310</v>
      </c>
      <c r="B6920" s="405" t="s">
        <v>3362</v>
      </c>
      <c r="C6920" s="405" t="s">
        <v>327</v>
      </c>
      <c r="D6920" s="405"/>
      <c r="E6920" s="410">
        <v>41265</v>
      </c>
      <c r="F6920" s="410">
        <v>41310</v>
      </c>
      <c r="G6920" s="405" t="s">
        <v>3363</v>
      </c>
      <c r="H6920" s="405">
        <v>782800082</v>
      </c>
      <c r="I6920" s="405"/>
      <c r="J6920" s="405">
        <v>-0.393397</v>
      </c>
      <c r="K6920" s="405">
        <v>31.14105</v>
      </c>
      <c r="L6920" s="405" t="s">
        <v>314</v>
      </c>
      <c r="M6920" s="405" t="s">
        <v>1805</v>
      </c>
      <c r="N6920" s="405" t="s">
        <v>1805</v>
      </c>
      <c r="O6920" s="405" t="s">
        <v>1805</v>
      </c>
      <c r="P6920" s="405" t="s">
        <v>2528</v>
      </c>
      <c r="Q6920" s="411">
        <v>6</v>
      </c>
      <c r="R6920" s="405" t="s">
        <v>874</v>
      </c>
      <c r="S6920" s="405" t="s">
        <v>27205</v>
      </c>
      <c r="T6920" s="405" t="s">
        <v>32102</v>
      </c>
      <c r="U6920" s="405" t="s">
        <v>319</v>
      </c>
    </row>
    <row r="6921" spans="1:21" x14ac:dyDescent="0.25">
      <c r="A6921" s="405" t="s">
        <v>310</v>
      </c>
      <c r="B6921" s="405" t="s">
        <v>28109</v>
      </c>
      <c r="C6921" s="405" t="s">
        <v>327</v>
      </c>
      <c r="D6921" s="405"/>
      <c r="E6921" s="410">
        <v>41261</v>
      </c>
      <c r="F6921" s="410">
        <v>41306</v>
      </c>
      <c r="G6921" s="405" t="s">
        <v>20830</v>
      </c>
      <c r="H6921" s="405">
        <v>772961594</v>
      </c>
      <c r="I6921" s="405"/>
      <c r="J6921" s="405">
        <v>1.6579644</v>
      </c>
      <c r="K6921" s="405">
        <v>31.709802199999999</v>
      </c>
      <c r="L6921" s="405" t="s">
        <v>590</v>
      </c>
      <c r="M6921" s="405" t="s">
        <v>19608</v>
      </c>
      <c r="N6921" s="405" t="s">
        <v>20218</v>
      </c>
      <c r="O6921" s="405" t="s">
        <v>20219</v>
      </c>
      <c r="P6921" s="405" t="s">
        <v>20831</v>
      </c>
      <c r="Q6921" s="411">
        <v>9</v>
      </c>
      <c r="R6921" s="405" t="s">
        <v>318</v>
      </c>
      <c r="S6921" s="405" t="s">
        <v>27126</v>
      </c>
      <c r="T6921" s="405" t="s">
        <v>32102</v>
      </c>
      <c r="U6921" s="405" t="s">
        <v>319</v>
      </c>
    </row>
    <row r="6922" spans="1:21" x14ac:dyDescent="0.25">
      <c r="A6922" s="405" t="s">
        <v>310</v>
      </c>
      <c r="B6922" s="405" t="s">
        <v>3818</v>
      </c>
      <c r="C6922" s="405" t="s">
        <v>311</v>
      </c>
      <c r="D6922" s="405" t="s">
        <v>839</v>
      </c>
      <c r="E6922" s="410">
        <v>41261</v>
      </c>
      <c r="F6922" s="410">
        <v>41306</v>
      </c>
      <c r="G6922" s="405" t="s">
        <v>3819</v>
      </c>
      <c r="H6922" s="405">
        <v>782328521</v>
      </c>
      <c r="I6922" s="405"/>
      <c r="J6922" s="405">
        <v>-1.5302E-3</v>
      </c>
      <c r="K6922" s="405">
        <v>32.038789999999999</v>
      </c>
      <c r="L6922" s="405" t="s">
        <v>314</v>
      </c>
      <c r="M6922" s="405" t="s">
        <v>321</v>
      </c>
      <c r="N6922" s="405" t="s">
        <v>322</v>
      </c>
      <c r="O6922" s="405" t="s">
        <v>476</v>
      </c>
      <c r="P6922" s="405" t="s">
        <v>2381</v>
      </c>
      <c r="Q6922" s="411">
        <v>6</v>
      </c>
      <c r="R6922" s="405" t="s">
        <v>318</v>
      </c>
      <c r="S6922" s="405" t="s">
        <v>27135</v>
      </c>
      <c r="T6922" s="405" t="s">
        <v>32102</v>
      </c>
      <c r="U6922" s="405" t="s">
        <v>319</v>
      </c>
    </row>
    <row r="6923" spans="1:21" x14ac:dyDescent="0.25">
      <c r="A6923" s="405" t="s">
        <v>310</v>
      </c>
      <c r="B6923" s="405" t="s">
        <v>3843</v>
      </c>
      <c r="C6923" s="405" t="s">
        <v>311</v>
      </c>
      <c r="D6923" s="405" t="s">
        <v>312</v>
      </c>
      <c r="E6923" s="410">
        <v>41261</v>
      </c>
      <c r="F6923" s="410">
        <v>41306</v>
      </c>
      <c r="G6923" s="405" t="s">
        <v>3844</v>
      </c>
      <c r="H6923" s="405">
        <v>755211328</v>
      </c>
      <c r="I6923" s="405"/>
      <c r="J6923" s="405">
        <v>0.18875500000000001</v>
      </c>
      <c r="K6923" s="405">
        <v>32.118920000000003</v>
      </c>
      <c r="L6923" s="405" t="s">
        <v>314</v>
      </c>
      <c r="M6923" s="405" t="s">
        <v>315</v>
      </c>
      <c r="N6923" s="405" t="s">
        <v>315</v>
      </c>
      <c r="O6923" s="405" t="s">
        <v>1252</v>
      </c>
      <c r="P6923" s="405" t="s">
        <v>1252</v>
      </c>
      <c r="Q6923" s="411">
        <v>6</v>
      </c>
      <c r="R6923" s="405" t="s">
        <v>438</v>
      </c>
      <c r="S6923" s="405" t="s">
        <v>27131</v>
      </c>
      <c r="T6923" s="405" t="s">
        <v>32102</v>
      </c>
      <c r="U6923" s="405" t="s">
        <v>319</v>
      </c>
    </row>
    <row r="6924" spans="1:21" x14ac:dyDescent="0.25">
      <c r="A6924" s="405" t="s">
        <v>310</v>
      </c>
      <c r="B6924" s="405" t="s">
        <v>18425</v>
      </c>
      <c r="C6924" s="405" t="s">
        <v>327</v>
      </c>
      <c r="D6924" s="405"/>
      <c r="E6924" s="410">
        <v>41261</v>
      </c>
      <c r="F6924" s="410">
        <v>41306</v>
      </c>
      <c r="G6924" s="405" t="s">
        <v>18426</v>
      </c>
      <c r="H6924" s="405">
        <v>774164811</v>
      </c>
      <c r="I6924" s="405"/>
      <c r="J6924" s="405">
        <v>2.0216599999999998</v>
      </c>
      <c r="K6924" s="405">
        <v>32.993966</v>
      </c>
      <c r="L6924" s="405" t="s">
        <v>860</v>
      </c>
      <c r="M6924" s="405" t="s">
        <v>12189</v>
      </c>
      <c r="N6924" s="405" t="s">
        <v>18270</v>
      </c>
      <c r="O6924" s="405" t="s">
        <v>18271</v>
      </c>
      <c r="P6924" s="405" t="s">
        <v>18427</v>
      </c>
      <c r="Q6924" s="411">
        <v>6</v>
      </c>
      <c r="R6924" s="405" t="s">
        <v>525</v>
      </c>
      <c r="S6924" s="405" t="s">
        <v>27243</v>
      </c>
      <c r="T6924" s="405" t="s">
        <v>32102</v>
      </c>
      <c r="U6924" s="405" t="s">
        <v>319</v>
      </c>
    </row>
    <row r="6925" spans="1:21" x14ac:dyDescent="0.25">
      <c r="A6925" s="405" t="s">
        <v>310</v>
      </c>
      <c r="B6925" s="405" t="s">
        <v>28158</v>
      </c>
      <c r="C6925" s="405" t="s">
        <v>327</v>
      </c>
      <c r="D6925" s="405"/>
      <c r="E6925" s="410">
        <v>41260</v>
      </c>
      <c r="F6925" s="410">
        <v>41305</v>
      </c>
      <c r="G6925" s="405" t="s">
        <v>11976</v>
      </c>
      <c r="H6925" s="405">
        <v>786908024</v>
      </c>
      <c r="I6925" s="405"/>
      <c r="J6925" s="405">
        <v>0.79031300000000004</v>
      </c>
      <c r="K6925" s="405">
        <v>33.969973000000003</v>
      </c>
      <c r="L6925" s="405" t="s">
        <v>6866</v>
      </c>
      <c r="M6925" s="405" t="s">
        <v>9534</v>
      </c>
      <c r="N6925" s="405" t="s">
        <v>10085</v>
      </c>
      <c r="O6925" s="405" t="s">
        <v>10922</v>
      </c>
      <c r="P6925" s="405" t="s">
        <v>11977</v>
      </c>
      <c r="Q6925" s="411">
        <v>6</v>
      </c>
      <c r="R6925" s="405" t="s">
        <v>7224</v>
      </c>
      <c r="S6925" s="405" t="s">
        <v>27298</v>
      </c>
      <c r="T6925" s="405" t="s">
        <v>32102</v>
      </c>
      <c r="U6925" s="405" t="s">
        <v>319</v>
      </c>
    </row>
    <row r="6926" spans="1:21" x14ac:dyDescent="0.25">
      <c r="A6926" s="405" t="s">
        <v>310</v>
      </c>
      <c r="B6926" s="405" t="s">
        <v>3233</v>
      </c>
      <c r="C6926" s="405" t="s">
        <v>327</v>
      </c>
      <c r="D6926" s="405"/>
      <c r="E6926" s="410">
        <v>41260</v>
      </c>
      <c r="F6926" s="410">
        <v>41305</v>
      </c>
      <c r="G6926" s="405" t="s">
        <v>3234</v>
      </c>
      <c r="H6926" s="405">
        <v>772683869</v>
      </c>
      <c r="I6926" s="405"/>
      <c r="J6926" s="405">
        <v>0.53695000000000004</v>
      </c>
      <c r="K6926" s="405">
        <v>31.370066999999999</v>
      </c>
      <c r="L6926" s="405" t="s">
        <v>314</v>
      </c>
      <c r="M6926" s="405" t="s">
        <v>445</v>
      </c>
      <c r="N6926" s="405" t="s">
        <v>446</v>
      </c>
      <c r="O6926" s="405" t="s">
        <v>3235</v>
      </c>
      <c r="P6926" s="405" t="s">
        <v>3236</v>
      </c>
      <c r="Q6926" s="411">
        <v>6</v>
      </c>
      <c r="R6926" s="405" t="s">
        <v>318</v>
      </c>
      <c r="S6926" s="405" t="s">
        <v>27054</v>
      </c>
      <c r="T6926" s="405" t="s">
        <v>32102</v>
      </c>
      <c r="U6926" s="405" t="s">
        <v>319</v>
      </c>
    </row>
    <row r="6927" spans="1:21" x14ac:dyDescent="0.25">
      <c r="A6927" s="405" t="s">
        <v>310</v>
      </c>
      <c r="B6927" s="405" t="s">
        <v>3697</v>
      </c>
      <c r="C6927" s="405" t="s">
        <v>311</v>
      </c>
      <c r="D6927" s="405" t="s">
        <v>839</v>
      </c>
      <c r="E6927" s="410">
        <v>41260</v>
      </c>
      <c r="F6927" s="410">
        <v>41305</v>
      </c>
      <c r="G6927" s="405" t="s">
        <v>3698</v>
      </c>
      <c r="H6927" s="405">
        <v>772318628</v>
      </c>
      <c r="I6927" s="405"/>
      <c r="J6927" s="405">
        <v>0.28234166666666666</v>
      </c>
      <c r="K6927" s="405">
        <v>32.407401666666672</v>
      </c>
      <c r="L6927" s="405" t="s">
        <v>314</v>
      </c>
      <c r="M6927" s="405" t="s">
        <v>321</v>
      </c>
      <c r="N6927" s="405" t="s">
        <v>322</v>
      </c>
      <c r="O6927" s="405" t="s">
        <v>519</v>
      </c>
      <c r="P6927" s="405" t="s">
        <v>576</v>
      </c>
      <c r="Q6927" s="411">
        <v>6</v>
      </c>
      <c r="R6927" s="405" t="s">
        <v>318</v>
      </c>
      <c r="S6927" s="405" t="s">
        <v>27046</v>
      </c>
      <c r="T6927" s="405" t="s">
        <v>32102</v>
      </c>
      <c r="U6927" s="405" t="s">
        <v>319</v>
      </c>
    </row>
    <row r="6928" spans="1:21" x14ac:dyDescent="0.25">
      <c r="A6928" s="405" t="s">
        <v>310</v>
      </c>
      <c r="B6928" s="405" t="s">
        <v>12415</v>
      </c>
      <c r="C6928" s="405" t="s">
        <v>311</v>
      </c>
      <c r="D6928" s="405" t="s">
        <v>1789</v>
      </c>
      <c r="E6928" s="410">
        <v>41260</v>
      </c>
      <c r="F6928" s="410">
        <v>41305</v>
      </c>
      <c r="G6928" s="405" t="s">
        <v>12416</v>
      </c>
      <c r="H6928" s="405">
        <v>776816110</v>
      </c>
      <c r="I6928" s="405"/>
      <c r="J6928" s="405">
        <v>0.86922500000000003</v>
      </c>
      <c r="K6928" s="405">
        <v>34.364016999999997</v>
      </c>
      <c r="L6928" s="405" t="s">
        <v>6866</v>
      </c>
      <c r="M6928" s="405" t="s">
        <v>9763</v>
      </c>
      <c r="N6928" s="405" t="s">
        <v>9848</v>
      </c>
      <c r="O6928" s="405" t="s">
        <v>10122</v>
      </c>
      <c r="P6928" s="405" t="s">
        <v>12417</v>
      </c>
      <c r="Q6928" s="411">
        <v>4</v>
      </c>
      <c r="R6928" s="405" t="s">
        <v>7224</v>
      </c>
      <c r="S6928" s="405" t="s">
        <v>17062</v>
      </c>
      <c r="T6928" s="405" t="s">
        <v>32102</v>
      </c>
      <c r="U6928" s="405" t="s">
        <v>319</v>
      </c>
    </row>
    <row r="6929" spans="1:21" x14ac:dyDescent="0.25">
      <c r="A6929" s="405" t="s">
        <v>310</v>
      </c>
      <c r="B6929" s="405" t="s">
        <v>3199</v>
      </c>
      <c r="C6929" s="405" t="s">
        <v>327</v>
      </c>
      <c r="D6929" s="405"/>
      <c r="E6929" s="410">
        <v>41259</v>
      </c>
      <c r="F6929" s="410">
        <v>41304</v>
      </c>
      <c r="G6929" s="405" t="s">
        <v>3200</v>
      </c>
      <c r="H6929" s="405">
        <v>772360924</v>
      </c>
      <c r="I6929" s="405">
        <v>73560924</v>
      </c>
      <c r="J6929" s="405">
        <v>0.39868749999999997</v>
      </c>
      <c r="K6929" s="405">
        <v>32.579081500000001</v>
      </c>
      <c r="L6929" s="405" t="s">
        <v>314</v>
      </c>
      <c r="M6929" s="405" t="s">
        <v>361</v>
      </c>
      <c r="N6929" s="405" t="s">
        <v>1165</v>
      </c>
      <c r="O6929" s="405" t="s">
        <v>370</v>
      </c>
      <c r="P6929" s="405" t="s">
        <v>2705</v>
      </c>
      <c r="Q6929" s="411">
        <v>13</v>
      </c>
      <c r="R6929" s="405" t="s">
        <v>353</v>
      </c>
      <c r="S6929" s="405" t="s">
        <v>27115</v>
      </c>
      <c r="T6929" s="405" t="s">
        <v>32102</v>
      </c>
      <c r="U6929" s="405" t="s">
        <v>319</v>
      </c>
    </row>
    <row r="6930" spans="1:21" x14ac:dyDescent="0.25">
      <c r="A6930" s="405" t="s">
        <v>310</v>
      </c>
      <c r="B6930" s="405" t="s">
        <v>28684</v>
      </c>
      <c r="C6930" s="405" t="s">
        <v>327</v>
      </c>
      <c r="D6930" s="405"/>
      <c r="E6930" s="410">
        <v>41259</v>
      </c>
      <c r="F6930" s="410">
        <v>41304</v>
      </c>
      <c r="G6930" s="405" t="s">
        <v>11978</v>
      </c>
      <c r="H6930" s="405">
        <v>776121292</v>
      </c>
      <c r="I6930" s="405"/>
      <c r="J6930" s="405">
        <v>0.78749899999999995</v>
      </c>
      <c r="K6930" s="405">
        <v>33.963731000000003</v>
      </c>
      <c r="L6930" s="405" t="s">
        <v>6866</v>
      </c>
      <c r="M6930" s="405" t="s">
        <v>9534</v>
      </c>
      <c r="N6930" s="405" t="s">
        <v>10085</v>
      </c>
      <c r="O6930" s="405" t="s">
        <v>10922</v>
      </c>
      <c r="P6930" s="405" t="s">
        <v>11979</v>
      </c>
      <c r="Q6930" s="411">
        <v>6</v>
      </c>
      <c r="R6930" s="405" t="s">
        <v>7224</v>
      </c>
      <c r="S6930" s="405" t="s">
        <v>27298</v>
      </c>
      <c r="T6930" s="405" t="s">
        <v>32102</v>
      </c>
      <c r="U6930" s="405" t="s">
        <v>319</v>
      </c>
    </row>
    <row r="6931" spans="1:21" x14ac:dyDescent="0.25">
      <c r="A6931" s="405" t="s">
        <v>310</v>
      </c>
      <c r="B6931" s="405" t="s">
        <v>3219</v>
      </c>
      <c r="C6931" s="405" t="s">
        <v>327</v>
      </c>
      <c r="D6931" s="405"/>
      <c r="E6931" s="410">
        <v>41259</v>
      </c>
      <c r="F6931" s="410">
        <v>41304</v>
      </c>
      <c r="G6931" s="405" t="s">
        <v>3220</v>
      </c>
      <c r="H6931" s="405">
        <v>754512766</v>
      </c>
      <c r="I6931" s="405"/>
      <c r="J6931" s="405">
        <v>0.65480000000000005</v>
      </c>
      <c r="K6931" s="405">
        <v>31.801245000000002</v>
      </c>
      <c r="L6931" s="405" t="s">
        <v>314</v>
      </c>
      <c r="M6931" s="405" t="s">
        <v>445</v>
      </c>
      <c r="N6931" s="405" t="s">
        <v>570</v>
      </c>
      <c r="O6931" s="405" t="s">
        <v>2213</v>
      </c>
      <c r="P6931" s="405" t="s">
        <v>2731</v>
      </c>
      <c r="Q6931" s="411">
        <v>6</v>
      </c>
      <c r="R6931" s="405" t="s">
        <v>318</v>
      </c>
      <c r="S6931" s="405" t="s">
        <v>27141</v>
      </c>
      <c r="T6931" s="405" t="s">
        <v>32102</v>
      </c>
      <c r="U6931" s="405" t="s">
        <v>319</v>
      </c>
    </row>
    <row r="6932" spans="1:21" x14ac:dyDescent="0.25">
      <c r="A6932" s="405" t="s">
        <v>310</v>
      </c>
      <c r="B6932" s="405" t="s">
        <v>3190</v>
      </c>
      <c r="C6932" s="405" t="s">
        <v>327</v>
      </c>
      <c r="D6932" s="405"/>
      <c r="E6932" s="410">
        <v>41259</v>
      </c>
      <c r="F6932" s="410">
        <v>41304</v>
      </c>
      <c r="G6932" s="405" t="s">
        <v>3191</v>
      </c>
      <c r="H6932" s="405">
        <v>793929988</v>
      </c>
      <c r="I6932" s="405">
        <v>705341782</v>
      </c>
      <c r="J6932" s="405">
        <v>7.2510000000000005E-2</v>
      </c>
      <c r="K6932" s="405">
        <v>31.927430000000001</v>
      </c>
      <c r="L6932" s="405" t="s">
        <v>314</v>
      </c>
      <c r="M6932" s="405" t="s">
        <v>315</v>
      </c>
      <c r="N6932" s="405" t="s">
        <v>315</v>
      </c>
      <c r="O6932" s="405" t="s">
        <v>913</v>
      </c>
      <c r="P6932" s="405" t="s">
        <v>3192</v>
      </c>
      <c r="Q6932" s="411">
        <v>4</v>
      </c>
      <c r="R6932" s="405" t="s">
        <v>318</v>
      </c>
      <c r="S6932" s="405" t="s">
        <v>27046</v>
      </c>
      <c r="T6932" s="405" t="s">
        <v>32102</v>
      </c>
      <c r="U6932" s="405" t="s">
        <v>319</v>
      </c>
    </row>
    <row r="6933" spans="1:21" x14ac:dyDescent="0.25">
      <c r="A6933" s="405" t="s">
        <v>310</v>
      </c>
      <c r="B6933" s="405" t="s">
        <v>20766</v>
      </c>
      <c r="C6933" s="405" t="s">
        <v>327</v>
      </c>
      <c r="D6933" s="405"/>
      <c r="E6933" s="410">
        <v>41258</v>
      </c>
      <c r="F6933" s="410">
        <v>41303</v>
      </c>
      <c r="G6933" s="405" t="s">
        <v>20767</v>
      </c>
      <c r="H6933" s="405">
        <v>775890295</v>
      </c>
      <c r="I6933" s="405">
        <v>772566964</v>
      </c>
      <c r="J6933" s="405">
        <v>1.6884779000000001</v>
      </c>
      <c r="K6933" s="405">
        <v>31.7067379</v>
      </c>
      <c r="L6933" s="405" t="s">
        <v>590</v>
      </c>
      <c r="M6933" s="405" t="s">
        <v>19608</v>
      </c>
      <c r="N6933" s="405" t="s">
        <v>19783</v>
      </c>
      <c r="O6933" s="405" t="s">
        <v>20289</v>
      </c>
      <c r="P6933" s="405" t="s">
        <v>20768</v>
      </c>
      <c r="Q6933" s="411">
        <v>9</v>
      </c>
      <c r="R6933" s="405" t="s">
        <v>318</v>
      </c>
      <c r="S6933" s="405" t="s">
        <v>27126</v>
      </c>
      <c r="T6933" s="405" t="s">
        <v>32102</v>
      </c>
      <c r="U6933" s="405" t="s">
        <v>319</v>
      </c>
    </row>
    <row r="6934" spans="1:21" x14ac:dyDescent="0.25">
      <c r="A6934" s="405" t="s">
        <v>310</v>
      </c>
      <c r="B6934" s="405" t="s">
        <v>11973</v>
      </c>
      <c r="C6934" s="405" t="s">
        <v>327</v>
      </c>
      <c r="D6934" s="405"/>
      <c r="E6934" s="410">
        <v>41258</v>
      </c>
      <c r="F6934" s="410">
        <v>41303</v>
      </c>
      <c r="G6934" s="405" t="s">
        <v>11974</v>
      </c>
      <c r="H6934" s="405">
        <v>704723586</v>
      </c>
      <c r="I6934" s="405"/>
      <c r="J6934" s="405">
        <v>0.79790399999999995</v>
      </c>
      <c r="K6934" s="405">
        <v>33.932479000000001</v>
      </c>
      <c r="L6934" s="405" t="s">
        <v>6866</v>
      </c>
      <c r="M6934" s="405" t="s">
        <v>9534</v>
      </c>
      <c r="N6934" s="405" t="s">
        <v>10085</v>
      </c>
      <c r="O6934" s="405" t="s">
        <v>10922</v>
      </c>
      <c r="P6934" s="405" t="s">
        <v>11975</v>
      </c>
      <c r="Q6934" s="411">
        <v>6</v>
      </c>
      <c r="R6934" s="405" t="s">
        <v>7224</v>
      </c>
      <c r="S6934" s="405" t="s">
        <v>27197</v>
      </c>
      <c r="T6934" s="405" t="s">
        <v>32102</v>
      </c>
      <c r="U6934" s="405" t="s">
        <v>319</v>
      </c>
    </row>
    <row r="6935" spans="1:21" x14ac:dyDescent="0.25">
      <c r="A6935" s="405" t="s">
        <v>310</v>
      </c>
      <c r="B6935" s="405" t="s">
        <v>12011</v>
      </c>
      <c r="C6935" s="405" t="s">
        <v>327</v>
      </c>
      <c r="D6935" s="405"/>
      <c r="E6935" s="410">
        <v>41257</v>
      </c>
      <c r="F6935" s="410">
        <v>41302</v>
      </c>
      <c r="G6935" s="405" t="s">
        <v>12012</v>
      </c>
      <c r="H6935" s="405">
        <v>751366375</v>
      </c>
      <c r="I6935" s="405">
        <v>782093188</v>
      </c>
      <c r="J6935" s="405">
        <v>1.251638</v>
      </c>
      <c r="K6935" s="405">
        <v>33.732757999999997</v>
      </c>
      <c r="L6935" s="405" t="s">
        <v>6866</v>
      </c>
      <c r="M6935" s="405" t="s">
        <v>9509</v>
      </c>
      <c r="N6935" s="405" t="s">
        <v>10036</v>
      </c>
      <c r="O6935" s="405" t="s">
        <v>11285</v>
      </c>
      <c r="P6935" s="405" t="s">
        <v>12013</v>
      </c>
      <c r="Q6935" s="411">
        <v>6</v>
      </c>
      <c r="R6935" s="405" t="s">
        <v>9541</v>
      </c>
      <c r="S6935" s="405" t="s">
        <v>27339</v>
      </c>
      <c r="T6935" s="405" t="s">
        <v>32102</v>
      </c>
      <c r="U6935" s="405" t="s">
        <v>319</v>
      </c>
    </row>
    <row r="6936" spans="1:21" x14ac:dyDescent="0.25">
      <c r="A6936" s="405" t="s">
        <v>310</v>
      </c>
      <c r="B6936" s="405" t="s">
        <v>3243</v>
      </c>
      <c r="C6936" s="405" t="s">
        <v>327</v>
      </c>
      <c r="D6936" s="405"/>
      <c r="E6936" s="410">
        <v>41256</v>
      </c>
      <c r="F6936" s="410">
        <v>41301</v>
      </c>
      <c r="G6936" s="405" t="s">
        <v>3244</v>
      </c>
      <c r="H6936" s="405">
        <v>751565926</v>
      </c>
      <c r="I6936" s="405"/>
      <c r="J6936" s="405">
        <v>-0.32278299999999999</v>
      </c>
      <c r="K6936" s="405">
        <v>32.285316999999999</v>
      </c>
      <c r="L6936" s="405" t="s">
        <v>314</v>
      </c>
      <c r="M6936" s="405" t="s">
        <v>694</v>
      </c>
      <c r="N6936" s="405" t="s">
        <v>694</v>
      </c>
      <c r="O6936" s="405" t="s">
        <v>3245</v>
      </c>
      <c r="P6936" s="405" t="s">
        <v>3245</v>
      </c>
      <c r="Q6936" s="411">
        <v>6</v>
      </c>
      <c r="R6936" s="405" t="s">
        <v>1263</v>
      </c>
      <c r="S6936" s="405" t="s">
        <v>27210</v>
      </c>
      <c r="T6936" s="405" t="s">
        <v>32102</v>
      </c>
      <c r="U6936" s="405" t="s">
        <v>319</v>
      </c>
    </row>
    <row r="6937" spans="1:21" x14ac:dyDescent="0.25">
      <c r="A6937" s="405" t="s">
        <v>310</v>
      </c>
      <c r="B6937" s="405" t="s">
        <v>28416</v>
      </c>
      <c r="C6937" s="405" t="s">
        <v>327</v>
      </c>
      <c r="D6937" s="405"/>
      <c r="E6937" s="410">
        <v>41255</v>
      </c>
      <c r="F6937" s="410">
        <v>41300</v>
      </c>
      <c r="G6937" s="405" t="s">
        <v>3204</v>
      </c>
      <c r="H6937" s="405">
        <v>754568499</v>
      </c>
      <c r="I6937" s="405"/>
      <c r="J6937" s="405">
        <v>0.34033330000000001</v>
      </c>
      <c r="K6937" s="405">
        <v>32.356058400000002</v>
      </c>
      <c r="L6937" s="405" t="s">
        <v>314</v>
      </c>
      <c r="M6937" s="405" t="s">
        <v>321</v>
      </c>
      <c r="N6937" s="405" t="s">
        <v>322</v>
      </c>
      <c r="O6937" s="405" t="s">
        <v>1017</v>
      </c>
      <c r="P6937" s="405" t="s">
        <v>3118</v>
      </c>
      <c r="Q6937" s="411">
        <v>6</v>
      </c>
      <c r="R6937" s="405" t="s">
        <v>402</v>
      </c>
      <c r="S6937" s="405" t="s">
        <v>27139</v>
      </c>
      <c r="T6937" s="405" t="s">
        <v>32102</v>
      </c>
      <c r="U6937" s="405" t="s">
        <v>319</v>
      </c>
    </row>
    <row r="6938" spans="1:21" x14ac:dyDescent="0.25">
      <c r="A6938" s="405" t="s">
        <v>310</v>
      </c>
      <c r="B6938" s="405" t="s">
        <v>28993</v>
      </c>
      <c r="C6938" s="405" t="s">
        <v>327</v>
      </c>
      <c r="D6938" s="405"/>
      <c r="E6938" s="410">
        <v>41254</v>
      </c>
      <c r="F6938" s="410">
        <v>41299</v>
      </c>
      <c r="G6938" s="405" t="s">
        <v>3161</v>
      </c>
      <c r="H6938" s="405">
        <v>752365047</v>
      </c>
      <c r="I6938" s="405"/>
      <c r="J6938" s="405">
        <v>9.8379999999999995E-3</v>
      </c>
      <c r="K6938" s="405">
        <v>31.471108999999998</v>
      </c>
      <c r="L6938" s="405" t="s">
        <v>314</v>
      </c>
      <c r="M6938" s="405" t="s">
        <v>343</v>
      </c>
      <c r="N6938" s="405" t="s">
        <v>3162</v>
      </c>
      <c r="O6938" s="405" t="s">
        <v>2546</v>
      </c>
      <c r="P6938" s="405" t="s">
        <v>3160</v>
      </c>
      <c r="Q6938" s="411">
        <v>13</v>
      </c>
      <c r="R6938" s="405" t="s">
        <v>318</v>
      </c>
      <c r="S6938" s="405" t="s">
        <v>27113</v>
      </c>
      <c r="T6938" s="405" t="s">
        <v>32102</v>
      </c>
      <c r="U6938" s="405" t="s">
        <v>319</v>
      </c>
    </row>
    <row r="6939" spans="1:21" x14ac:dyDescent="0.25">
      <c r="A6939" s="405" t="s">
        <v>310</v>
      </c>
      <c r="B6939" s="405" t="s">
        <v>28637</v>
      </c>
      <c r="C6939" s="405" t="s">
        <v>327</v>
      </c>
      <c r="D6939" s="405"/>
      <c r="E6939" s="410">
        <v>41254</v>
      </c>
      <c r="F6939" s="410">
        <v>41299</v>
      </c>
      <c r="G6939" s="405" t="s">
        <v>11966</v>
      </c>
      <c r="H6939" s="405">
        <v>751593440</v>
      </c>
      <c r="I6939" s="405">
        <v>776593440</v>
      </c>
      <c r="J6939" s="405">
        <v>1.098357</v>
      </c>
      <c r="K6939" s="405">
        <v>34.190682000000002</v>
      </c>
      <c r="L6939" s="405" t="s">
        <v>6866</v>
      </c>
      <c r="M6939" s="405" t="s">
        <v>9514</v>
      </c>
      <c r="N6939" s="405" t="s">
        <v>9529</v>
      </c>
      <c r="O6939" s="405" t="s">
        <v>9530</v>
      </c>
      <c r="P6939" s="405" t="s">
        <v>11967</v>
      </c>
      <c r="Q6939" s="411">
        <v>6</v>
      </c>
      <c r="R6939" s="405" t="s">
        <v>7224</v>
      </c>
      <c r="S6939" s="405" t="s">
        <v>17062</v>
      </c>
      <c r="T6939" s="405" t="s">
        <v>32102</v>
      </c>
      <c r="U6939" s="405" t="s">
        <v>319</v>
      </c>
    </row>
    <row r="6940" spans="1:21" x14ac:dyDescent="0.25">
      <c r="A6940" s="405" t="s">
        <v>310</v>
      </c>
      <c r="B6940" s="405" t="s">
        <v>28491</v>
      </c>
      <c r="C6940" s="405" t="s">
        <v>327</v>
      </c>
      <c r="D6940" s="405"/>
      <c r="E6940" s="410">
        <v>41253</v>
      </c>
      <c r="F6940" s="410">
        <v>41298</v>
      </c>
      <c r="G6940" s="405" t="s">
        <v>12388</v>
      </c>
      <c r="H6940" s="405">
        <v>781836899</v>
      </c>
      <c r="I6940" s="405"/>
      <c r="J6940" s="405">
        <v>1.0229170000000001</v>
      </c>
      <c r="K6940" s="405">
        <v>34.321368</v>
      </c>
      <c r="L6940" s="405" t="s">
        <v>6866</v>
      </c>
      <c r="M6940" s="405" t="s">
        <v>6867</v>
      </c>
      <c r="N6940" s="405" t="s">
        <v>6867</v>
      </c>
      <c r="O6940" s="405" t="s">
        <v>10443</v>
      </c>
      <c r="P6940" s="405" t="s">
        <v>12389</v>
      </c>
      <c r="Q6940" s="411">
        <v>4</v>
      </c>
      <c r="R6940" s="405" t="s">
        <v>7224</v>
      </c>
      <c r="S6940" s="405" t="s">
        <v>27197</v>
      </c>
      <c r="T6940" s="405" t="s">
        <v>32102</v>
      </c>
      <c r="U6940" s="405" t="s">
        <v>319</v>
      </c>
    </row>
    <row r="6941" spans="1:21" hidden="1" x14ac:dyDescent="0.25">
      <c r="A6941" s="405" t="s">
        <v>310</v>
      </c>
      <c r="B6941" s="405" t="s">
        <v>3004</v>
      </c>
      <c r="C6941" s="405" t="s">
        <v>327</v>
      </c>
      <c r="D6941" s="405"/>
      <c r="E6941" s="410">
        <v>41252</v>
      </c>
      <c r="F6941" s="410">
        <v>41267</v>
      </c>
      <c r="G6941" s="405" t="s">
        <v>3005</v>
      </c>
      <c r="H6941" s="405">
        <v>774228988</v>
      </c>
      <c r="I6941" s="405"/>
      <c r="J6941" s="405">
        <v>0.21315999999999999</v>
      </c>
      <c r="K6941" s="405">
        <v>32.058655999999999</v>
      </c>
      <c r="L6941" s="405" t="s">
        <v>314</v>
      </c>
      <c r="M6941" s="405" t="s">
        <v>339</v>
      </c>
      <c r="N6941" s="405" t="s">
        <v>339</v>
      </c>
      <c r="O6941" s="405" t="s">
        <v>2272</v>
      </c>
      <c r="P6941" s="405" t="s">
        <v>3006</v>
      </c>
      <c r="Q6941" s="411">
        <v>6</v>
      </c>
      <c r="R6941" s="405" t="s">
        <v>1263</v>
      </c>
      <c r="S6941" s="405" t="s">
        <v>27206</v>
      </c>
      <c r="T6941" s="405" t="s">
        <v>32102</v>
      </c>
      <c r="U6941" s="405" t="s">
        <v>319</v>
      </c>
    </row>
    <row r="6942" spans="1:21" x14ac:dyDescent="0.25">
      <c r="A6942" s="405" t="s">
        <v>310</v>
      </c>
      <c r="B6942" s="405" t="s">
        <v>29106</v>
      </c>
      <c r="C6942" s="405" t="s">
        <v>327</v>
      </c>
      <c r="D6942" s="405"/>
      <c r="E6942" s="410">
        <v>41251</v>
      </c>
      <c r="F6942" s="410">
        <v>41296</v>
      </c>
      <c r="G6942" s="405" t="s">
        <v>11991</v>
      </c>
      <c r="H6942" s="405">
        <v>782560777</v>
      </c>
      <c r="I6942" s="405"/>
      <c r="J6942" s="405">
        <v>0.98294199999999998</v>
      </c>
      <c r="K6942" s="405">
        <v>34.230069999999998</v>
      </c>
      <c r="L6942" s="405" t="s">
        <v>6866</v>
      </c>
      <c r="M6942" s="405" t="s">
        <v>9514</v>
      </c>
      <c r="N6942" s="405" t="s">
        <v>9529</v>
      </c>
      <c r="O6942" s="405" t="s">
        <v>9668</v>
      </c>
      <c r="P6942" s="405" t="s">
        <v>11992</v>
      </c>
      <c r="Q6942" s="411">
        <v>6</v>
      </c>
      <c r="R6942" s="405" t="s">
        <v>7224</v>
      </c>
      <c r="S6942" s="405" t="s">
        <v>27302</v>
      </c>
      <c r="T6942" s="405" t="s">
        <v>32102</v>
      </c>
      <c r="U6942" s="405" t="s">
        <v>319</v>
      </c>
    </row>
    <row r="6943" spans="1:21" x14ac:dyDescent="0.25">
      <c r="A6943" s="405" t="s">
        <v>310</v>
      </c>
      <c r="B6943" s="405" t="s">
        <v>18403</v>
      </c>
      <c r="C6943" s="405" t="s">
        <v>327</v>
      </c>
      <c r="D6943" s="405"/>
      <c r="E6943" s="410">
        <v>41251</v>
      </c>
      <c r="F6943" s="410">
        <v>41296</v>
      </c>
      <c r="G6943" s="405" t="s">
        <v>18404</v>
      </c>
      <c r="H6943" s="405">
        <v>782208018</v>
      </c>
      <c r="I6943" s="405"/>
      <c r="J6943" s="405">
        <v>2.2124275</v>
      </c>
      <c r="K6943" s="405">
        <v>32.8964462</v>
      </c>
      <c r="L6943" s="405" t="s">
        <v>860</v>
      </c>
      <c r="M6943" s="405" t="s">
        <v>18234</v>
      </c>
      <c r="N6943" s="405" t="s">
        <v>18252</v>
      </c>
      <c r="O6943" s="405" t="s">
        <v>18253</v>
      </c>
      <c r="P6943" s="405" t="s">
        <v>18405</v>
      </c>
      <c r="Q6943" s="411">
        <v>6</v>
      </c>
      <c r="R6943" s="405" t="s">
        <v>994</v>
      </c>
      <c r="S6943" s="405" t="s">
        <v>27193</v>
      </c>
      <c r="T6943" s="405" t="s">
        <v>32102</v>
      </c>
      <c r="U6943" s="405" t="s">
        <v>319</v>
      </c>
    </row>
    <row r="6944" spans="1:21" x14ac:dyDescent="0.25">
      <c r="A6944" s="405" t="s">
        <v>310</v>
      </c>
      <c r="B6944" s="405" t="s">
        <v>27895</v>
      </c>
      <c r="C6944" s="405" t="s">
        <v>327</v>
      </c>
      <c r="D6944" s="405"/>
      <c r="E6944" s="410">
        <v>41250</v>
      </c>
      <c r="F6944" s="410">
        <v>41295</v>
      </c>
      <c r="G6944" s="405" t="s">
        <v>3657</v>
      </c>
      <c r="H6944" s="405">
        <v>755941410</v>
      </c>
      <c r="I6944" s="405"/>
      <c r="J6944" s="405">
        <v>8.5124199999999997E-2</v>
      </c>
      <c r="K6944" s="405">
        <v>32.136607300000001</v>
      </c>
      <c r="L6944" s="405" t="s">
        <v>314</v>
      </c>
      <c r="M6944" s="405" t="s">
        <v>321</v>
      </c>
      <c r="N6944" s="405" t="s">
        <v>322</v>
      </c>
      <c r="O6944" s="405" t="s">
        <v>1023</v>
      </c>
      <c r="P6944" s="405" t="s">
        <v>3658</v>
      </c>
      <c r="Q6944" s="411">
        <v>9</v>
      </c>
      <c r="R6944" s="405" t="s">
        <v>438</v>
      </c>
      <c r="S6944" s="405" t="s">
        <v>27131</v>
      </c>
      <c r="T6944" s="405" t="s">
        <v>32102</v>
      </c>
      <c r="U6944" s="405" t="s">
        <v>319</v>
      </c>
    </row>
    <row r="6945" spans="1:21" x14ac:dyDescent="0.25">
      <c r="A6945" s="405" t="s">
        <v>310</v>
      </c>
      <c r="B6945" s="405" t="s">
        <v>3221</v>
      </c>
      <c r="C6945" s="405" t="s">
        <v>327</v>
      </c>
      <c r="D6945" s="405"/>
      <c r="E6945" s="410">
        <v>41250</v>
      </c>
      <c r="F6945" s="410">
        <v>41295</v>
      </c>
      <c r="G6945" s="405" t="s">
        <v>3222</v>
      </c>
      <c r="H6945" s="405">
        <v>787284995</v>
      </c>
      <c r="I6945" s="405"/>
      <c r="J6945" s="405">
        <v>0.55197499999999999</v>
      </c>
      <c r="K6945" s="405">
        <v>32.834068000000002</v>
      </c>
      <c r="L6945" s="405" t="s">
        <v>314</v>
      </c>
      <c r="M6945" s="405" t="s">
        <v>329</v>
      </c>
      <c r="N6945" s="405" t="s">
        <v>528</v>
      </c>
      <c r="O6945" s="405" t="s">
        <v>1596</v>
      </c>
      <c r="P6945" s="405" t="s">
        <v>3223</v>
      </c>
      <c r="Q6945" s="411">
        <v>9</v>
      </c>
      <c r="R6945" s="405" t="s">
        <v>318</v>
      </c>
      <c r="S6945" s="405" t="s">
        <v>27188</v>
      </c>
      <c r="T6945" s="405" t="s">
        <v>32102</v>
      </c>
      <c r="U6945" s="405" t="s">
        <v>319</v>
      </c>
    </row>
    <row r="6946" spans="1:21" x14ac:dyDescent="0.25">
      <c r="A6946" s="405" t="s">
        <v>310</v>
      </c>
      <c r="B6946" s="405" t="s">
        <v>3195</v>
      </c>
      <c r="C6946" s="405" t="s">
        <v>327</v>
      </c>
      <c r="D6946" s="405"/>
      <c r="E6946" s="410">
        <v>41250</v>
      </c>
      <c r="F6946" s="410">
        <v>41295</v>
      </c>
      <c r="G6946" s="405" t="s">
        <v>3196</v>
      </c>
      <c r="H6946" s="405">
        <v>772636717</v>
      </c>
      <c r="I6946" s="405">
        <v>702636717</v>
      </c>
      <c r="J6946" s="405">
        <v>0.55424200000000001</v>
      </c>
      <c r="K6946" s="405">
        <v>31.399352</v>
      </c>
      <c r="L6946" s="405" t="s">
        <v>314</v>
      </c>
      <c r="M6946" s="405" t="s">
        <v>445</v>
      </c>
      <c r="N6946" s="405" t="s">
        <v>2957</v>
      </c>
      <c r="O6946" s="405" t="s">
        <v>3197</v>
      </c>
      <c r="P6946" s="405" t="s">
        <v>3198</v>
      </c>
      <c r="Q6946" s="411">
        <v>6</v>
      </c>
      <c r="R6946" s="405" t="s">
        <v>318</v>
      </c>
      <c r="S6946" s="405" t="s">
        <v>27195</v>
      </c>
      <c r="T6946" s="405" t="s">
        <v>32102</v>
      </c>
      <c r="U6946" s="405" t="s">
        <v>319</v>
      </c>
    </row>
    <row r="6947" spans="1:21" x14ac:dyDescent="0.25">
      <c r="A6947" s="405" t="s">
        <v>310</v>
      </c>
      <c r="B6947" s="405" t="s">
        <v>3216</v>
      </c>
      <c r="C6947" s="405" t="s">
        <v>327</v>
      </c>
      <c r="D6947" s="405"/>
      <c r="E6947" s="410">
        <v>41250</v>
      </c>
      <c r="F6947" s="410">
        <v>41295</v>
      </c>
      <c r="G6947" s="405" t="s">
        <v>3217</v>
      </c>
      <c r="H6947" s="405">
        <v>784108108</v>
      </c>
      <c r="I6947" s="405"/>
      <c r="J6947" s="405">
        <v>0.68501699999999999</v>
      </c>
      <c r="K6947" s="405">
        <v>31.890492999999999</v>
      </c>
      <c r="L6947" s="405" t="s">
        <v>314</v>
      </c>
      <c r="M6947" s="405" t="s">
        <v>445</v>
      </c>
      <c r="N6947" s="405" t="s">
        <v>570</v>
      </c>
      <c r="O6947" s="405" t="s">
        <v>2213</v>
      </c>
      <c r="P6947" s="405" t="s">
        <v>3218</v>
      </c>
      <c r="Q6947" s="411">
        <v>6</v>
      </c>
      <c r="R6947" s="405" t="s">
        <v>318</v>
      </c>
      <c r="S6947" s="405" t="s">
        <v>27141</v>
      </c>
      <c r="T6947" s="405" t="s">
        <v>32102</v>
      </c>
      <c r="U6947" s="405" t="s">
        <v>319</v>
      </c>
    </row>
    <row r="6948" spans="1:21" x14ac:dyDescent="0.25">
      <c r="A6948" s="405" t="s">
        <v>310</v>
      </c>
      <c r="B6948" s="405" t="s">
        <v>12017</v>
      </c>
      <c r="C6948" s="405" t="s">
        <v>327</v>
      </c>
      <c r="D6948" s="405"/>
      <c r="E6948" s="410">
        <v>41248</v>
      </c>
      <c r="F6948" s="410">
        <v>41293</v>
      </c>
      <c r="G6948" s="405" t="s">
        <v>12018</v>
      </c>
      <c r="H6948" s="405">
        <v>779462700</v>
      </c>
      <c r="I6948" s="405"/>
      <c r="J6948" s="405">
        <v>0.85184099999999996</v>
      </c>
      <c r="K6948" s="405">
        <v>34.392386000000002</v>
      </c>
      <c r="L6948" s="405" t="s">
        <v>6866</v>
      </c>
      <c r="M6948" s="405" t="s">
        <v>9763</v>
      </c>
      <c r="N6948" s="405" t="s">
        <v>11470</v>
      </c>
      <c r="O6948" s="405" t="s">
        <v>11471</v>
      </c>
      <c r="P6948" s="405" t="s">
        <v>12019</v>
      </c>
      <c r="Q6948" s="411">
        <v>6</v>
      </c>
      <c r="R6948" s="405" t="s">
        <v>9541</v>
      </c>
      <c r="S6948" s="405" t="s">
        <v>27315</v>
      </c>
      <c r="T6948" s="405" t="s">
        <v>32102</v>
      </c>
      <c r="U6948" s="405" t="s">
        <v>319</v>
      </c>
    </row>
    <row r="6949" spans="1:21" x14ac:dyDescent="0.25">
      <c r="A6949" s="405" t="s">
        <v>310</v>
      </c>
      <c r="B6949" s="405" t="s">
        <v>28641</v>
      </c>
      <c r="C6949" s="405" t="s">
        <v>327</v>
      </c>
      <c r="D6949" s="405"/>
      <c r="E6949" s="410">
        <v>41247</v>
      </c>
      <c r="F6949" s="410">
        <v>41292</v>
      </c>
      <c r="G6949" s="405" t="s">
        <v>3159</v>
      </c>
      <c r="H6949" s="405">
        <v>753124379</v>
      </c>
      <c r="I6949" s="405"/>
      <c r="J6949" s="405">
        <v>1.6048E-2</v>
      </c>
      <c r="K6949" s="405">
        <v>31.484940000000002</v>
      </c>
      <c r="L6949" s="405" t="s">
        <v>314</v>
      </c>
      <c r="M6949" s="405" t="s">
        <v>343</v>
      </c>
      <c r="N6949" s="405" t="s">
        <v>344</v>
      </c>
      <c r="O6949" s="405" t="s">
        <v>2546</v>
      </c>
      <c r="P6949" s="405" t="s">
        <v>3160</v>
      </c>
      <c r="Q6949" s="411">
        <v>9</v>
      </c>
      <c r="R6949" s="405" t="s">
        <v>318</v>
      </c>
      <c r="S6949" s="405" t="s">
        <v>27046</v>
      </c>
      <c r="T6949" s="405" t="s">
        <v>32102</v>
      </c>
      <c r="U6949" s="405" t="s">
        <v>319</v>
      </c>
    </row>
    <row r="6950" spans="1:21" x14ac:dyDescent="0.25">
      <c r="A6950" s="405" t="s">
        <v>310</v>
      </c>
      <c r="B6950" s="405" t="s">
        <v>18413</v>
      </c>
      <c r="C6950" s="405" t="s">
        <v>327</v>
      </c>
      <c r="D6950" s="405"/>
      <c r="E6950" s="410">
        <v>41247</v>
      </c>
      <c r="F6950" s="410">
        <v>41292</v>
      </c>
      <c r="G6950" s="405" t="s">
        <v>18414</v>
      </c>
      <c r="H6950" s="405">
        <v>752364598</v>
      </c>
      <c r="I6950" s="405">
        <v>776364598</v>
      </c>
      <c r="J6950" s="405">
        <v>1.666458</v>
      </c>
      <c r="K6950" s="405">
        <v>32.784506999999998</v>
      </c>
      <c r="L6950" s="405" t="s">
        <v>860</v>
      </c>
      <c r="M6950" s="405" t="s">
        <v>18415</v>
      </c>
      <c r="N6950" s="405" t="s">
        <v>5607</v>
      </c>
      <c r="O6950" s="405" t="s">
        <v>18416</v>
      </c>
      <c r="P6950" s="405" t="s">
        <v>18417</v>
      </c>
      <c r="Q6950" s="411">
        <v>9</v>
      </c>
      <c r="R6950" s="405" t="s">
        <v>318</v>
      </c>
      <c r="S6950" s="405" t="s">
        <v>27359</v>
      </c>
      <c r="T6950" s="405" t="s">
        <v>32102</v>
      </c>
      <c r="U6950" s="405" t="s">
        <v>319</v>
      </c>
    </row>
    <row r="6951" spans="1:21" x14ac:dyDescent="0.25">
      <c r="A6951" s="405" t="s">
        <v>310</v>
      </c>
      <c r="B6951" s="405" t="s">
        <v>3744</v>
      </c>
      <c r="C6951" s="405" t="s">
        <v>327</v>
      </c>
      <c r="D6951" s="405"/>
      <c r="E6951" s="410">
        <v>41247</v>
      </c>
      <c r="F6951" s="410">
        <v>41292</v>
      </c>
      <c r="G6951" s="405" t="s">
        <v>3745</v>
      </c>
      <c r="H6951" s="405">
        <v>773471545</v>
      </c>
      <c r="I6951" s="405"/>
      <c r="J6951" s="405">
        <v>0.60415799999999997</v>
      </c>
      <c r="K6951" s="405">
        <v>31.917587000000001</v>
      </c>
      <c r="L6951" s="405" t="s">
        <v>314</v>
      </c>
      <c r="M6951" s="405" t="s">
        <v>675</v>
      </c>
      <c r="N6951" s="405" t="s">
        <v>675</v>
      </c>
      <c r="O6951" s="405" t="s">
        <v>1711</v>
      </c>
      <c r="P6951" s="405" t="s">
        <v>3746</v>
      </c>
      <c r="Q6951" s="411">
        <v>6</v>
      </c>
      <c r="R6951" s="405" t="s">
        <v>318</v>
      </c>
      <c r="S6951" s="405" t="s">
        <v>27174</v>
      </c>
      <c r="T6951" s="405" t="s">
        <v>32102</v>
      </c>
      <c r="U6951" s="405" t="s">
        <v>319</v>
      </c>
    </row>
    <row r="6952" spans="1:21" x14ac:dyDescent="0.25">
      <c r="A6952" s="405" t="s">
        <v>310</v>
      </c>
      <c r="B6952" s="405" t="s">
        <v>11993</v>
      </c>
      <c r="C6952" s="405" t="s">
        <v>327</v>
      </c>
      <c r="D6952" s="405"/>
      <c r="E6952" s="410">
        <v>41247</v>
      </c>
      <c r="F6952" s="410">
        <v>41292</v>
      </c>
      <c r="G6952" s="405" t="s">
        <v>11994</v>
      </c>
      <c r="H6952" s="405">
        <v>753340775</v>
      </c>
      <c r="I6952" s="405"/>
      <c r="J6952" s="405">
        <v>1.0182450000000001</v>
      </c>
      <c r="K6952" s="405">
        <v>34.322602000000003</v>
      </c>
      <c r="L6952" s="405" t="s">
        <v>6866</v>
      </c>
      <c r="M6952" s="405" t="s">
        <v>6867</v>
      </c>
      <c r="N6952" s="405" t="s">
        <v>6868</v>
      </c>
      <c r="O6952" s="405" t="s">
        <v>11995</v>
      </c>
      <c r="P6952" s="405" t="s">
        <v>11996</v>
      </c>
      <c r="Q6952" s="411">
        <v>6</v>
      </c>
      <c r="R6952" s="405" t="s">
        <v>7224</v>
      </c>
      <c r="S6952" s="405" t="s">
        <v>27298</v>
      </c>
      <c r="T6952" s="405" t="s">
        <v>32102</v>
      </c>
      <c r="U6952" s="405" t="s">
        <v>319</v>
      </c>
    </row>
    <row r="6953" spans="1:21" x14ac:dyDescent="0.25">
      <c r="A6953" s="405" t="s">
        <v>310</v>
      </c>
      <c r="B6953" s="405" t="s">
        <v>12014</v>
      </c>
      <c r="C6953" s="405" t="s">
        <v>327</v>
      </c>
      <c r="D6953" s="405"/>
      <c r="E6953" s="410">
        <v>41247</v>
      </c>
      <c r="F6953" s="410">
        <v>41292</v>
      </c>
      <c r="G6953" s="405" t="s">
        <v>12015</v>
      </c>
      <c r="H6953" s="405">
        <v>783325473</v>
      </c>
      <c r="I6953" s="405"/>
      <c r="J6953" s="405">
        <v>0.85532699999999995</v>
      </c>
      <c r="K6953" s="405">
        <v>34.380826999999996</v>
      </c>
      <c r="L6953" s="405" t="s">
        <v>6866</v>
      </c>
      <c r="M6953" s="405" t="s">
        <v>9763</v>
      </c>
      <c r="N6953" s="405" t="s">
        <v>11470</v>
      </c>
      <c r="O6953" s="405" t="s">
        <v>11471</v>
      </c>
      <c r="P6953" s="405" t="s">
        <v>12016</v>
      </c>
      <c r="Q6953" s="411">
        <v>4</v>
      </c>
      <c r="R6953" s="405" t="s">
        <v>7224</v>
      </c>
      <c r="S6953" s="405" t="s">
        <v>27107</v>
      </c>
      <c r="T6953" s="405" t="s">
        <v>32102</v>
      </c>
      <c r="U6953" s="405" t="s">
        <v>319</v>
      </c>
    </row>
    <row r="6954" spans="1:21" x14ac:dyDescent="0.25">
      <c r="A6954" s="405" t="s">
        <v>310</v>
      </c>
      <c r="B6954" s="405" t="s">
        <v>28340</v>
      </c>
      <c r="C6954" s="405" t="s">
        <v>311</v>
      </c>
      <c r="D6954" s="405" t="s">
        <v>1111</v>
      </c>
      <c r="E6954" s="410">
        <v>41246</v>
      </c>
      <c r="F6954" s="410">
        <v>41291</v>
      </c>
      <c r="G6954" s="405" t="s">
        <v>20983</v>
      </c>
      <c r="H6954" s="405">
        <v>705159747</v>
      </c>
      <c r="I6954" s="405"/>
      <c r="J6954" s="405">
        <v>0.5806</v>
      </c>
      <c r="K6954" s="405">
        <v>30.229102000000001</v>
      </c>
      <c r="L6954" s="405" t="s">
        <v>590</v>
      </c>
      <c r="M6954" s="405" t="s">
        <v>20125</v>
      </c>
      <c r="N6954" s="405" t="s">
        <v>20866</v>
      </c>
      <c r="O6954" s="405" t="s">
        <v>20966</v>
      </c>
      <c r="P6954" s="405" t="s">
        <v>20984</v>
      </c>
      <c r="Q6954" s="411">
        <v>9</v>
      </c>
      <c r="R6954" s="405" t="s">
        <v>20774</v>
      </c>
      <c r="S6954" s="405" t="s">
        <v>27409</v>
      </c>
      <c r="T6954" s="405" t="s">
        <v>32102</v>
      </c>
      <c r="U6954" s="405" t="s">
        <v>319</v>
      </c>
    </row>
    <row r="6955" spans="1:21" x14ac:dyDescent="0.25">
      <c r="A6955" s="405" t="s">
        <v>310</v>
      </c>
      <c r="B6955" s="405" t="s">
        <v>28879</v>
      </c>
      <c r="C6955" s="405" t="s">
        <v>327</v>
      </c>
      <c r="D6955" s="405"/>
      <c r="E6955" s="410">
        <v>41243</v>
      </c>
      <c r="F6955" s="410">
        <v>41288</v>
      </c>
      <c r="G6955" s="405" t="s">
        <v>3179</v>
      </c>
      <c r="H6955" s="405">
        <v>772401198</v>
      </c>
      <c r="I6955" s="405"/>
      <c r="J6955" s="405">
        <v>0.712113</v>
      </c>
      <c r="K6955" s="405">
        <v>32.903187000000003</v>
      </c>
      <c r="L6955" s="405" t="s">
        <v>314</v>
      </c>
      <c r="M6955" s="405" t="s">
        <v>502</v>
      </c>
      <c r="N6955" s="405" t="s">
        <v>2610</v>
      </c>
      <c r="O6955" s="405" t="s">
        <v>3180</v>
      </c>
      <c r="P6955" s="405" t="s">
        <v>3181</v>
      </c>
      <c r="Q6955" s="411">
        <v>13</v>
      </c>
      <c r="R6955" s="405" t="s">
        <v>318</v>
      </c>
      <c r="S6955" s="405" t="s">
        <v>27141</v>
      </c>
      <c r="T6955" s="405" t="s">
        <v>32102</v>
      </c>
      <c r="U6955" s="405" t="s">
        <v>319</v>
      </c>
    </row>
    <row r="6956" spans="1:21" x14ac:dyDescent="0.25">
      <c r="A6956" s="405" t="s">
        <v>310</v>
      </c>
      <c r="B6956" s="405" t="s">
        <v>20775</v>
      </c>
      <c r="C6956" s="405" t="s">
        <v>327</v>
      </c>
      <c r="D6956" s="405"/>
      <c r="E6956" s="410">
        <v>41243</v>
      </c>
      <c r="F6956" s="410">
        <v>41288</v>
      </c>
      <c r="G6956" s="405" t="s">
        <v>20776</v>
      </c>
      <c r="H6956" s="405">
        <v>772935362</v>
      </c>
      <c r="I6956" s="405"/>
      <c r="J6956" s="405">
        <v>-9.9239999999999995E-2</v>
      </c>
      <c r="K6956" s="405">
        <v>30.692862999999999</v>
      </c>
      <c r="L6956" s="405" t="s">
        <v>590</v>
      </c>
      <c r="M6956" s="405" t="s">
        <v>19705</v>
      </c>
      <c r="N6956" s="405" t="s">
        <v>2250</v>
      </c>
      <c r="O6956" s="405" t="s">
        <v>2250</v>
      </c>
      <c r="P6956" s="405" t="s">
        <v>20379</v>
      </c>
      <c r="Q6956" s="411">
        <v>9</v>
      </c>
      <c r="R6956" s="405" t="s">
        <v>874</v>
      </c>
      <c r="S6956" s="405" t="s">
        <v>27205</v>
      </c>
      <c r="T6956" s="405" t="s">
        <v>32102</v>
      </c>
      <c r="U6956" s="405" t="s">
        <v>319</v>
      </c>
    </row>
    <row r="6957" spans="1:21" x14ac:dyDescent="0.25">
      <c r="A6957" s="405" t="s">
        <v>310</v>
      </c>
      <c r="B6957" s="405" t="s">
        <v>3182</v>
      </c>
      <c r="C6957" s="405" t="s">
        <v>327</v>
      </c>
      <c r="D6957" s="405"/>
      <c r="E6957" s="410">
        <v>41243</v>
      </c>
      <c r="F6957" s="410">
        <v>41288</v>
      </c>
      <c r="G6957" s="405" t="s">
        <v>3183</v>
      </c>
      <c r="H6957" s="405">
        <v>774571262</v>
      </c>
      <c r="I6957" s="405"/>
      <c r="J6957" s="405">
        <v>0.71162199999999998</v>
      </c>
      <c r="K6957" s="405">
        <v>32.914811999999998</v>
      </c>
      <c r="L6957" s="405" t="s">
        <v>314</v>
      </c>
      <c r="M6957" s="405" t="s">
        <v>502</v>
      </c>
      <c r="N6957" s="405" t="s">
        <v>2610</v>
      </c>
      <c r="O6957" s="405" t="s">
        <v>502</v>
      </c>
      <c r="P6957" s="405" t="s">
        <v>2612</v>
      </c>
      <c r="Q6957" s="411">
        <v>9</v>
      </c>
      <c r="R6957" s="405" t="s">
        <v>1263</v>
      </c>
      <c r="S6957" s="405" t="s">
        <v>27110</v>
      </c>
      <c r="T6957" s="405" t="s">
        <v>32102</v>
      </c>
      <c r="U6957" s="405" t="s">
        <v>319</v>
      </c>
    </row>
    <row r="6958" spans="1:21" x14ac:dyDescent="0.25">
      <c r="A6958" s="405" t="s">
        <v>310</v>
      </c>
      <c r="B6958" s="405" t="s">
        <v>28119</v>
      </c>
      <c r="C6958" s="405" t="s">
        <v>327</v>
      </c>
      <c r="D6958" s="405"/>
      <c r="E6958" s="410">
        <v>41243</v>
      </c>
      <c r="F6958" s="410">
        <v>41288</v>
      </c>
      <c r="G6958" s="405" t="s">
        <v>3167</v>
      </c>
      <c r="H6958" s="405">
        <v>774868519</v>
      </c>
      <c r="I6958" s="405">
        <v>773615611</v>
      </c>
      <c r="J6958" s="405">
        <v>0.26583833333333334</v>
      </c>
      <c r="K6958" s="405">
        <v>32.433663333333335</v>
      </c>
      <c r="L6958" s="405" t="s">
        <v>314</v>
      </c>
      <c r="M6958" s="405" t="s">
        <v>321</v>
      </c>
      <c r="N6958" s="405" t="s">
        <v>322</v>
      </c>
      <c r="O6958" s="405" t="s">
        <v>996</v>
      </c>
      <c r="P6958" s="405" t="s">
        <v>3168</v>
      </c>
      <c r="Q6958" s="411">
        <v>6</v>
      </c>
      <c r="R6958" s="405" t="s">
        <v>318</v>
      </c>
      <c r="S6958" s="405" t="s">
        <v>27201</v>
      </c>
      <c r="T6958" s="405" t="s">
        <v>32102</v>
      </c>
      <c r="U6958" s="405" t="s">
        <v>319</v>
      </c>
    </row>
    <row r="6959" spans="1:21" x14ac:dyDescent="0.25">
      <c r="A6959" s="405" t="s">
        <v>310</v>
      </c>
      <c r="B6959" s="405" t="s">
        <v>29121</v>
      </c>
      <c r="C6959" s="405" t="s">
        <v>327</v>
      </c>
      <c r="D6959" s="405"/>
      <c r="E6959" s="410">
        <v>41243</v>
      </c>
      <c r="F6959" s="410">
        <v>41288</v>
      </c>
      <c r="G6959" s="405" t="s">
        <v>3184</v>
      </c>
      <c r="H6959" s="405">
        <v>752464055</v>
      </c>
      <c r="I6959" s="405"/>
      <c r="J6959" s="405">
        <v>0.575623</v>
      </c>
      <c r="K6959" s="405">
        <v>33.038978</v>
      </c>
      <c r="L6959" s="405" t="s">
        <v>314</v>
      </c>
      <c r="M6959" s="405" t="s">
        <v>502</v>
      </c>
      <c r="N6959" s="405" t="s">
        <v>503</v>
      </c>
      <c r="O6959" s="405" t="s">
        <v>2179</v>
      </c>
      <c r="P6959" s="405" t="s">
        <v>2698</v>
      </c>
      <c r="Q6959" s="411">
        <v>6</v>
      </c>
      <c r="R6959" s="405" t="s">
        <v>1263</v>
      </c>
      <c r="S6959" s="405" t="s">
        <v>27209</v>
      </c>
      <c r="T6959" s="405" t="s">
        <v>32102</v>
      </c>
      <c r="U6959" s="405" t="s">
        <v>319</v>
      </c>
    </row>
    <row r="6960" spans="1:21" x14ac:dyDescent="0.25">
      <c r="A6960" s="405" t="s">
        <v>310</v>
      </c>
      <c r="B6960" s="405" t="s">
        <v>3207</v>
      </c>
      <c r="C6960" s="405" t="s">
        <v>327</v>
      </c>
      <c r="D6960" s="405"/>
      <c r="E6960" s="410">
        <v>41243</v>
      </c>
      <c r="F6960" s="410">
        <v>41288</v>
      </c>
      <c r="G6960" s="405" t="s">
        <v>3208</v>
      </c>
      <c r="H6960" s="405">
        <v>756838854</v>
      </c>
      <c r="I6960" s="405">
        <v>750872863</v>
      </c>
      <c r="J6960" s="405">
        <v>0.17629700000000001</v>
      </c>
      <c r="K6960" s="405">
        <v>32.372112000000001</v>
      </c>
      <c r="L6960" s="405" t="s">
        <v>314</v>
      </c>
      <c r="M6960" s="405" t="s">
        <v>361</v>
      </c>
      <c r="N6960" s="405" t="s">
        <v>374</v>
      </c>
      <c r="O6960" s="405" t="s">
        <v>2091</v>
      </c>
      <c r="P6960" s="405" t="s">
        <v>2092</v>
      </c>
      <c r="Q6960" s="411">
        <v>6</v>
      </c>
      <c r="R6960" s="405" t="s">
        <v>318</v>
      </c>
      <c r="S6960" s="405" t="s">
        <v>27046</v>
      </c>
      <c r="T6960" s="405" t="s">
        <v>32102</v>
      </c>
      <c r="U6960" s="405" t="s">
        <v>319</v>
      </c>
    </row>
    <row r="6961" spans="1:21" x14ac:dyDescent="0.25">
      <c r="A6961" s="405" t="s">
        <v>310</v>
      </c>
      <c r="B6961" s="405" t="s">
        <v>11982</v>
      </c>
      <c r="C6961" s="405" t="s">
        <v>327</v>
      </c>
      <c r="D6961" s="405"/>
      <c r="E6961" s="410">
        <v>41243</v>
      </c>
      <c r="F6961" s="410">
        <v>41288</v>
      </c>
      <c r="G6961" s="405" t="s">
        <v>11983</v>
      </c>
      <c r="H6961" s="405">
        <v>772894015</v>
      </c>
      <c r="I6961" s="405"/>
      <c r="J6961" s="405">
        <v>0.90991299999999997</v>
      </c>
      <c r="K6961" s="405">
        <v>34.228870000000001</v>
      </c>
      <c r="L6961" s="405" t="s">
        <v>6866</v>
      </c>
      <c r="M6961" s="405" t="s">
        <v>9763</v>
      </c>
      <c r="N6961" s="405" t="s">
        <v>9764</v>
      </c>
      <c r="O6961" s="405" t="s">
        <v>11680</v>
      </c>
      <c r="P6961" s="405" t="s">
        <v>11984</v>
      </c>
      <c r="Q6961" s="411">
        <v>6</v>
      </c>
      <c r="R6961" s="405" t="s">
        <v>7224</v>
      </c>
      <c r="S6961" s="405" t="s">
        <v>27074</v>
      </c>
      <c r="T6961" s="405" t="s">
        <v>32102</v>
      </c>
      <c r="U6961" s="405" t="s">
        <v>319</v>
      </c>
    </row>
    <row r="6962" spans="1:21" x14ac:dyDescent="0.25">
      <c r="A6962" s="405" t="s">
        <v>310</v>
      </c>
      <c r="B6962" s="405" t="s">
        <v>3193</v>
      </c>
      <c r="C6962" s="405" t="s">
        <v>327</v>
      </c>
      <c r="D6962" s="405"/>
      <c r="E6962" s="410">
        <v>41243</v>
      </c>
      <c r="F6962" s="410">
        <v>41288</v>
      </c>
      <c r="G6962" s="405" t="s">
        <v>3194</v>
      </c>
      <c r="H6962" s="405">
        <v>772190080</v>
      </c>
      <c r="I6962" s="405">
        <v>730390080</v>
      </c>
      <c r="J6962" s="405">
        <v>0.17322333333333334</v>
      </c>
      <c r="K6962" s="405">
        <v>32.261768333333329</v>
      </c>
      <c r="L6962" s="405" t="s">
        <v>314</v>
      </c>
      <c r="M6962" s="405" t="s">
        <v>315</v>
      </c>
      <c r="N6962" s="405" t="s">
        <v>315</v>
      </c>
      <c r="O6962" s="405" t="s">
        <v>2063</v>
      </c>
      <c r="P6962" s="405" t="s">
        <v>2991</v>
      </c>
      <c r="Q6962" s="411">
        <v>6</v>
      </c>
      <c r="R6962" s="405" t="s">
        <v>318</v>
      </c>
      <c r="S6962" s="405" t="s">
        <v>27188</v>
      </c>
      <c r="T6962" s="405" t="s">
        <v>32102</v>
      </c>
      <c r="U6962" s="405" t="s">
        <v>319</v>
      </c>
    </row>
    <row r="6963" spans="1:21" x14ac:dyDescent="0.25">
      <c r="A6963" s="405" t="s">
        <v>310</v>
      </c>
      <c r="B6963" s="405" t="s">
        <v>3224</v>
      </c>
      <c r="C6963" s="405" t="s">
        <v>327</v>
      </c>
      <c r="D6963" s="405"/>
      <c r="E6963" s="410">
        <v>41243</v>
      </c>
      <c r="F6963" s="410">
        <v>41288</v>
      </c>
      <c r="G6963" s="405" t="s">
        <v>3225</v>
      </c>
      <c r="H6963" s="405">
        <v>701982901</v>
      </c>
      <c r="I6963" s="405"/>
      <c r="J6963" s="405">
        <v>0.35362500000000002</v>
      </c>
      <c r="K6963" s="405">
        <v>32.783586</v>
      </c>
      <c r="L6963" s="405" t="s">
        <v>314</v>
      </c>
      <c r="M6963" s="405" t="s">
        <v>329</v>
      </c>
      <c r="N6963" s="405" t="s">
        <v>330</v>
      </c>
      <c r="O6963" s="405" t="s">
        <v>331</v>
      </c>
      <c r="P6963" s="405" t="s">
        <v>331</v>
      </c>
      <c r="Q6963" s="411">
        <v>6</v>
      </c>
      <c r="R6963" s="405" t="s">
        <v>353</v>
      </c>
      <c r="S6963" s="405" t="s">
        <v>27049</v>
      </c>
      <c r="T6963" s="405" t="s">
        <v>32102</v>
      </c>
      <c r="U6963" s="405" t="s">
        <v>319</v>
      </c>
    </row>
    <row r="6964" spans="1:21" x14ac:dyDescent="0.25">
      <c r="A6964" s="405" t="s">
        <v>310</v>
      </c>
      <c r="B6964" s="405" t="s">
        <v>11980</v>
      </c>
      <c r="C6964" s="405" t="s">
        <v>327</v>
      </c>
      <c r="D6964" s="405"/>
      <c r="E6964" s="410">
        <v>41243</v>
      </c>
      <c r="F6964" s="410">
        <v>41288</v>
      </c>
      <c r="G6964" s="405" t="s">
        <v>11981</v>
      </c>
      <c r="H6964" s="405">
        <v>782297708</v>
      </c>
      <c r="I6964" s="405"/>
      <c r="J6964" s="405">
        <v>0.85964399999999996</v>
      </c>
      <c r="K6964" s="405">
        <v>33.980189000000003</v>
      </c>
      <c r="L6964" s="405" t="s">
        <v>6866</v>
      </c>
      <c r="M6964" s="405" t="s">
        <v>9534</v>
      </c>
      <c r="N6964" s="405" t="s">
        <v>10085</v>
      </c>
      <c r="O6964" s="405" t="s">
        <v>10817</v>
      </c>
      <c r="P6964" s="405" t="s">
        <v>11799</v>
      </c>
      <c r="Q6964" s="411">
        <v>6</v>
      </c>
      <c r="R6964" s="405" t="s">
        <v>7224</v>
      </c>
      <c r="S6964" s="405" t="s">
        <v>27298</v>
      </c>
      <c r="T6964" s="405" t="s">
        <v>32102</v>
      </c>
      <c r="U6964" s="405" t="s">
        <v>319</v>
      </c>
    </row>
    <row r="6965" spans="1:21" x14ac:dyDescent="0.25">
      <c r="A6965" s="405" t="s">
        <v>310</v>
      </c>
      <c r="B6965" s="405" t="s">
        <v>3153</v>
      </c>
      <c r="C6965" s="405" t="s">
        <v>327</v>
      </c>
      <c r="D6965" s="405"/>
      <c r="E6965" s="410">
        <v>41243</v>
      </c>
      <c r="F6965" s="410">
        <v>41288</v>
      </c>
      <c r="G6965" s="405" t="s">
        <v>3154</v>
      </c>
      <c r="H6965" s="405">
        <v>772920922</v>
      </c>
      <c r="I6965" s="405"/>
      <c r="J6965" s="405">
        <v>0.24599099999999999</v>
      </c>
      <c r="K6965" s="405">
        <v>32.169761999999999</v>
      </c>
      <c r="L6965" s="405" t="s">
        <v>314</v>
      </c>
      <c r="M6965" s="405" t="s">
        <v>315</v>
      </c>
      <c r="N6965" s="405" t="s">
        <v>315</v>
      </c>
      <c r="O6965" s="405" t="s">
        <v>1411</v>
      </c>
      <c r="P6965" s="405" t="s">
        <v>3155</v>
      </c>
      <c r="Q6965" s="411">
        <v>6</v>
      </c>
      <c r="R6965" s="405" t="s">
        <v>318</v>
      </c>
      <c r="S6965" s="405" t="s">
        <v>27167</v>
      </c>
      <c r="T6965" s="405" t="s">
        <v>32102</v>
      </c>
      <c r="U6965" s="405" t="s">
        <v>319</v>
      </c>
    </row>
    <row r="6966" spans="1:21" x14ac:dyDescent="0.25">
      <c r="A6966" s="405" t="s">
        <v>310</v>
      </c>
      <c r="B6966" s="405" t="s">
        <v>3716</v>
      </c>
      <c r="C6966" s="405" t="s">
        <v>311</v>
      </c>
      <c r="D6966" s="405" t="s">
        <v>1789</v>
      </c>
      <c r="E6966" s="410">
        <v>41243</v>
      </c>
      <c r="F6966" s="410">
        <v>41288</v>
      </c>
      <c r="G6966" s="405" t="s">
        <v>3717</v>
      </c>
      <c r="H6966" s="405">
        <v>782979093</v>
      </c>
      <c r="I6966" s="405"/>
      <c r="J6966" s="405">
        <v>0.40674700000000003</v>
      </c>
      <c r="K6966" s="405">
        <v>32.513809999999999</v>
      </c>
      <c r="L6966" s="405" t="s">
        <v>314</v>
      </c>
      <c r="M6966" s="405" t="s">
        <v>361</v>
      </c>
      <c r="N6966" s="405" t="s">
        <v>374</v>
      </c>
      <c r="O6966" s="405" t="s">
        <v>361</v>
      </c>
      <c r="P6966" s="405" t="s">
        <v>2668</v>
      </c>
      <c r="Q6966" s="411">
        <v>4</v>
      </c>
      <c r="R6966" s="405" t="s">
        <v>1263</v>
      </c>
      <c r="S6966" s="405" t="s">
        <v>27210</v>
      </c>
      <c r="T6966" s="405" t="s">
        <v>32102</v>
      </c>
      <c r="U6966" s="405" t="s">
        <v>319</v>
      </c>
    </row>
    <row r="6967" spans="1:21" x14ac:dyDescent="0.25">
      <c r="A6967" s="405" t="s">
        <v>310</v>
      </c>
      <c r="B6967" s="405" t="s">
        <v>11997</v>
      </c>
      <c r="C6967" s="405" t="s">
        <v>327</v>
      </c>
      <c r="D6967" s="405"/>
      <c r="E6967" s="410">
        <v>41243</v>
      </c>
      <c r="F6967" s="410">
        <v>41288</v>
      </c>
      <c r="G6967" s="405" t="s">
        <v>11998</v>
      </c>
      <c r="H6967" s="405">
        <v>788345308</v>
      </c>
      <c r="I6967" s="405">
        <v>785762195</v>
      </c>
      <c r="J6967" s="405">
        <v>1.0146550000000001</v>
      </c>
      <c r="K6967" s="405">
        <v>34.318437000000003</v>
      </c>
      <c r="L6967" s="405" t="s">
        <v>6866</v>
      </c>
      <c r="M6967" s="405" t="s">
        <v>6867</v>
      </c>
      <c r="N6967" s="405" t="s">
        <v>6868</v>
      </c>
      <c r="O6967" s="405" t="s">
        <v>6867</v>
      </c>
      <c r="P6967" s="405" t="s">
        <v>11999</v>
      </c>
      <c r="Q6967" s="411">
        <v>4</v>
      </c>
      <c r="R6967" s="405" t="s">
        <v>7224</v>
      </c>
      <c r="S6967" s="405" t="s">
        <v>27197</v>
      </c>
      <c r="T6967" s="405" t="s">
        <v>32102</v>
      </c>
      <c r="U6967" s="405" t="s">
        <v>319</v>
      </c>
    </row>
    <row r="6968" spans="1:21" x14ac:dyDescent="0.25">
      <c r="A6968" s="405" t="s">
        <v>310</v>
      </c>
      <c r="B6968" s="405" t="s">
        <v>11985</v>
      </c>
      <c r="C6968" s="405" t="s">
        <v>327</v>
      </c>
      <c r="D6968" s="405"/>
      <c r="E6968" s="410">
        <v>41243</v>
      </c>
      <c r="F6968" s="410">
        <v>41288</v>
      </c>
      <c r="G6968" s="405" t="s">
        <v>11986</v>
      </c>
      <c r="H6968" s="405">
        <v>772894015</v>
      </c>
      <c r="I6968" s="405"/>
      <c r="J6968" s="405">
        <v>0.92033100000000001</v>
      </c>
      <c r="K6968" s="405">
        <v>34.234994999999998</v>
      </c>
      <c r="L6968" s="405" t="s">
        <v>6866</v>
      </c>
      <c r="M6968" s="405" t="s">
        <v>9763</v>
      </c>
      <c r="N6968" s="405" t="s">
        <v>9764</v>
      </c>
      <c r="O6968" s="405" t="s">
        <v>11680</v>
      </c>
      <c r="P6968" s="405" t="s">
        <v>11987</v>
      </c>
      <c r="Q6968" s="411">
        <v>4</v>
      </c>
      <c r="R6968" s="405" t="s">
        <v>7224</v>
      </c>
      <c r="S6968" s="405" t="s">
        <v>27074</v>
      </c>
      <c r="T6968" s="405" t="s">
        <v>32102</v>
      </c>
      <c r="U6968" s="405" t="s">
        <v>319</v>
      </c>
    </row>
    <row r="6969" spans="1:21" x14ac:dyDescent="0.25">
      <c r="A6969" s="405" t="s">
        <v>310</v>
      </c>
      <c r="B6969" s="405" t="s">
        <v>20764</v>
      </c>
      <c r="C6969" s="405" t="s">
        <v>327</v>
      </c>
      <c r="D6969" s="405"/>
      <c r="E6969" s="410">
        <v>41242</v>
      </c>
      <c r="F6969" s="410">
        <v>41287</v>
      </c>
      <c r="G6969" s="405" t="s">
        <v>20765</v>
      </c>
      <c r="H6969" s="405">
        <v>701357585</v>
      </c>
      <c r="I6969" s="405"/>
      <c r="J6969" s="405">
        <v>-0.45272000000000001</v>
      </c>
      <c r="K6969" s="405">
        <v>30.427669999999999</v>
      </c>
      <c r="L6969" s="405" t="s">
        <v>590</v>
      </c>
      <c r="M6969" s="405" t="s">
        <v>19725</v>
      </c>
      <c r="N6969" s="405" t="s">
        <v>19725</v>
      </c>
      <c r="O6969" s="405" t="s">
        <v>19943</v>
      </c>
      <c r="P6969" s="405" t="s">
        <v>892</v>
      </c>
      <c r="Q6969" s="411">
        <v>9</v>
      </c>
      <c r="R6969" s="405" t="s">
        <v>333</v>
      </c>
      <c r="S6969" s="405" t="s">
        <v>27173</v>
      </c>
      <c r="T6969" s="405" t="s">
        <v>32102</v>
      </c>
      <c r="U6969" s="405" t="s">
        <v>319</v>
      </c>
    </row>
    <row r="6970" spans="1:21" x14ac:dyDescent="0.25">
      <c r="A6970" s="405" t="s">
        <v>310</v>
      </c>
      <c r="B6970" s="405" t="s">
        <v>3226</v>
      </c>
      <c r="C6970" s="405" t="s">
        <v>327</v>
      </c>
      <c r="D6970" s="405"/>
      <c r="E6970" s="410">
        <v>41242</v>
      </c>
      <c r="F6970" s="410">
        <v>41287</v>
      </c>
      <c r="G6970" s="405" t="s">
        <v>3227</v>
      </c>
      <c r="H6970" s="405">
        <v>773493205</v>
      </c>
      <c r="I6970" s="405"/>
      <c r="J6970" s="405">
        <v>0.50929500000000005</v>
      </c>
      <c r="K6970" s="405">
        <v>31.654855000000001</v>
      </c>
      <c r="L6970" s="405" t="s">
        <v>314</v>
      </c>
      <c r="M6970" s="405" t="s">
        <v>445</v>
      </c>
      <c r="N6970" s="405" t="s">
        <v>570</v>
      </c>
      <c r="O6970" s="405" t="s">
        <v>2734</v>
      </c>
      <c r="P6970" s="405" t="s">
        <v>2735</v>
      </c>
      <c r="Q6970" s="411">
        <v>6</v>
      </c>
      <c r="R6970" s="405" t="s">
        <v>525</v>
      </c>
      <c r="S6970" s="405" t="s">
        <v>27200</v>
      </c>
      <c r="T6970" s="405" t="s">
        <v>32102</v>
      </c>
      <c r="U6970" s="405" t="s">
        <v>319</v>
      </c>
    </row>
    <row r="6971" spans="1:21" x14ac:dyDescent="0.25">
      <c r="A6971" s="405" t="s">
        <v>310</v>
      </c>
      <c r="B6971" s="405" t="s">
        <v>28236</v>
      </c>
      <c r="C6971" s="405" t="s">
        <v>311</v>
      </c>
      <c r="D6971" s="405" t="s">
        <v>839</v>
      </c>
      <c r="E6971" s="410">
        <v>41242</v>
      </c>
      <c r="F6971" s="410">
        <v>41287</v>
      </c>
      <c r="G6971" s="405" t="s">
        <v>12347</v>
      </c>
      <c r="H6971" s="405">
        <v>772443202</v>
      </c>
      <c r="I6971" s="405"/>
      <c r="J6971" s="405">
        <v>1.1166700000000001</v>
      </c>
      <c r="K6971" s="405">
        <v>34.211264999999997</v>
      </c>
      <c r="L6971" s="405" t="s">
        <v>6866</v>
      </c>
      <c r="M6971" s="405" t="s">
        <v>9514</v>
      </c>
      <c r="N6971" s="405" t="s">
        <v>9529</v>
      </c>
      <c r="O6971" s="405" t="s">
        <v>9530</v>
      </c>
      <c r="P6971" s="405" t="s">
        <v>9683</v>
      </c>
      <c r="Q6971" s="411">
        <v>6</v>
      </c>
      <c r="R6971" s="405" t="s">
        <v>10303</v>
      </c>
      <c r="S6971" s="405" t="s">
        <v>27341</v>
      </c>
      <c r="T6971" s="405" t="s">
        <v>32102</v>
      </c>
      <c r="U6971" s="405" t="s">
        <v>319</v>
      </c>
    </row>
    <row r="6972" spans="1:21" x14ac:dyDescent="0.25">
      <c r="A6972" s="405" t="s">
        <v>310</v>
      </c>
      <c r="B6972" s="405" t="s">
        <v>12380</v>
      </c>
      <c r="C6972" s="405" t="s">
        <v>311</v>
      </c>
      <c r="D6972" s="405" t="s">
        <v>12381</v>
      </c>
      <c r="E6972" s="410">
        <v>41242</v>
      </c>
      <c r="F6972" s="410">
        <v>41287</v>
      </c>
      <c r="G6972" s="405" t="s">
        <v>12382</v>
      </c>
      <c r="H6972" s="405">
        <v>788001047</v>
      </c>
      <c r="I6972" s="405"/>
      <c r="J6972" s="405">
        <v>1.73688</v>
      </c>
      <c r="K6972" s="405">
        <v>33.757629999999999</v>
      </c>
      <c r="L6972" s="405" t="s">
        <v>6866</v>
      </c>
      <c r="M6972" s="405" t="s">
        <v>10515</v>
      </c>
      <c r="N6972" s="405" t="s">
        <v>10515</v>
      </c>
      <c r="O6972" s="405" t="s">
        <v>10645</v>
      </c>
      <c r="P6972" s="405" t="s">
        <v>12383</v>
      </c>
      <c r="Q6972" s="411">
        <v>6</v>
      </c>
      <c r="R6972" s="405" t="s">
        <v>5655</v>
      </c>
      <c r="S6972" s="405" t="s">
        <v>27072</v>
      </c>
      <c r="T6972" s="405" t="s">
        <v>32102</v>
      </c>
      <c r="U6972" s="405" t="s">
        <v>319</v>
      </c>
    </row>
    <row r="6973" spans="1:21" x14ac:dyDescent="0.25">
      <c r="A6973" s="405" t="s">
        <v>310</v>
      </c>
      <c r="B6973" s="405" t="s">
        <v>11988</v>
      </c>
      <c r="C6973" s="405" t="s">
        <v>327</v>
      </c>
      <c r="D6973" s="405"/>
      <c r="E6973" s="410">
        <v>41242</v>
      </c>
      <c r="F6973" s="410">
        <v>41287</v>
      </c>
      <c r="G6973" s="405" t="s">
        <v>11989</v>
      </c>
      <c r="H6973" s="405">
        <v>773176254</v>
      </c>
      <c r="I6973" s="405">
        <v>772967325</v>
      </c>
      <c r="J6973" s="405">
        <v>2.1624720000000002</v>
      </c>
      <c r="K6973" s="405">
        <v>33.581558000000001</v>
      </c>
      <c r="L6973" s="405" t="s">
        <v>6866</v>
      </c>
      <c r="M6973" s="405" t="s">
        <v>10495</v>
      </c>
      <c r="N6973" s="405" t="s">
        <v>11495</v>
      </c>
      <c r="O6973" s="405" t="s">
        <v>11496</v>
      </c>
      <c r="P6973" s="405" t="s">
        <v>11990</v>
      </c>
      <c r="Q6973" s="411">
        <v>6</v>
      </c>
      <c r="R6973" s="405" t="s">
        <v>5655</v>
      </c>
      <c r="S6973" s="405" t="s">
        <v>27323</v>
      </c>
      <c r="T6973" s="405" t="s">
        <v>32102</v>
      </c>
      <c r="U6973" s="405" t="s">
        <v>319</v>
      </c>
    </row>
    <row r="6974" spans="1:21" x14ac:dyDescent="0.25">
      <c r="A6974" s="405" t="s">
        <v>310</v>
      </c>
      <c r="B6974" s="405" t="s">
        <v>3156</v>
      </c>
      <c r="C6974" s="405" t="s">
        <v>327</v>
      </c>
      <c r="D6974" s="405"/>
      <c r="E6974" s="410">
        <v>41241</v>
      </c>
      <c r="F6974" s="410">
        <v>41286</v>
      </c>
      <c r="G6974" s="405" t="s">
        <v>3157</v>
      </c>
      <c r="H6974" s="405">
        <v>777023709</v>
      </c>
      <c r="I6974" s="405"/>
      <c r="J6974" s="405">
        <v>0.207956</v>
      </c>
      <c r="K6974" s="405">
        <v>32.056170999999999</v>
      </c>
      <c r="L6974" s="405" t="s">
        <v>314</v>
      </c>
      <c r="M6974" s="405" t="s">
        <v>339</v>
      </c>
      <c r="N6974" s="405" t="s">
        <v>339</v>
      </c>
      <c r="O6974" s="405" t="s">
        <v>2272</v>
      </c>
      <c r="P6974" s="405" t="s">
        <v>3006</v>
      </c>
      <c r="Q6974" s="411">
        <v>4</v>
      </c>
      <c r="R6974" s="405" t="s">
        <v>1263</v>
      </c>
      <c r="S6974" s="405" t="s">
        <v>27206</v>
      </c>
      <c r="T6974" s="405" t="s">
        <v>32102</v>
      </c>
      <c r="U6974" s="405" t="s">
        <v>319</v>
      </c>
    </row>
    <row r="6975" spans="1:21" x14ac:dyDescent="0.25">
      <c r="A6975" s="405" t="s">
        <v>310</v>
      </c>
      <c r="B6975" s="405" t="s">
        <v>29088</v>
      </c>
      <c r="C6975" s="405" t="s">
        <v>327</v>
      </c>
      <c r="D6975" s="405"/>
      <c r="E6975" s="410">
        <v>41240</v>
      </c>
      <c r="F6975" s="410">
        <v>41285</v>
      </c>
      <c r="G6975" s="405" t="s">
        <v>11972</v>
      </c>
      <c r="H6975" s="405">
        <v>773975140</v>
      </c>
      <c r="I6975" s="405"/>
      <c r="J6975" s="405">
        <v>1.1586369999999999</v>
      </c>
      <c r="K6975" s="405">
        <v>34.201407000000003</v>
      </c>
      <c r="L6975" s="405" t="s">
        <v>6866</v>
      </c>
      <c r="M6975" s="405" t="s">
        <v>9514</v>
      </c>
      <c r="N6975" s="405" t="s">
        <v>9722</v>
      </c>
      <c r="O6975" s="405" t="s">
        <v>9530</v>
      </c>
      <c r="P6975" s="405" t="s">
        <v>9895</v>
      </c>
      <c r="Q6975" s="411">
        <v>6</v>
      </c>
      <c r="R6975" s="405" t="s">
        <v>333</v>
      </c>
      <c r="S6975" s="405" t="s">
        <v>27303</v>
      </c>
      <c r="T6975" s="405" t="s">
        <v>32102</v>
      </c>
      <c r="U6975" s="405" t="s">
        <v>319</v>
      </c>
    </row>
    <row r="6976" spans="1:21" x14ac:dyDescent="0.25">
      <c r="A6976" s="405" t="s">
        <v>310</v>
      </c>
      <c r="B6976" s="405" t="s">
        <v>18400</v>
      </c>
      <c r="C6976" s="405" t="s">
        <v>327</v>
      </c>
      <c r="D6976" s="405"/>
      <c r="E6976" s="410">
        <v>41240</v>
      </c>
      <c r="F6976" s="410">
        <v>41285</v>
      </c>
      <c r="G6976" s="405" t="s">
        <v>18401</v>
      </c>
      <c r="H6976" s="405">
        <v>780575834</v>
      </c>
      <c r="I6976" s="405">
        <v>773687967</v>
      </c>
      <c r="J6976" s="405">
        <v>2.2259000000000002</v>
      </c>
      <c r="K6976" s="405">
        <v>32.907406666666667</v>
      </c>
      <c r="L6976" s="405" t="s">
        <v>860</v>
      </c>
      <c r="M6976" s="405" t="s">
        <v>18234</v>
      </c>
      <c r="N6976" s="405" t="s">
        <v>18252</v>
      </c>
      <c r="O6976" s="405" t="s">
        <v>4147</v>
      </c>
      <c r="P6976" s="405" t="s">
        <v>18402</v>
      </c>
      <c r="Q6976" s="411">
        <v>6</v>
      </c>
      <c r="R6976" s="405" t="s">
        <v>994</v>
      </c>
      <c r="S6976" s="405" t="s">
        <v>27243</v>
      </c>
      <c r="T6976" s="405" t="s">
        <v>32102</v>
      </c>
      <c r="U6976" s="405" t="s">
        <v>319</v>
      </c>
    </row>
    <row r="6977" spans="1:21" x14ac:dyDescent="0.25">
      <c r="A6977" s="405" t="s">
        <v>310</v>
      </c>
      <c r="B6977" s="405" t="s">
        <v>3172</v>
      </c>
      <c r="C6977" s="405" t="s">
        <v>327</v>
      </c>
      <c r="D6977" s="405"/>
      <c r="E6977" s="410">
        <v>41239</v>
      </c>
      <c r="F6977" s="410">
        <v>41284</v>
      </c>
      <c r="G6977" s="405" t="s">
        <v>3173</v>
      </c>
      <c r="H6977" s="405">
        <v>772446640</v>
      </c>
      <c r="I6977" s="405"/>
      <c r="J6977" s="405">
        <v>9.6886666666666663E-2</v>
      </c>
      <c r="K6977" s="405">
        <v>32.097749999999998</v>
      </c>
      <c r="L6977" s="405" t="s">
        <v>314</v>
      </c>
      <c r="M6977" s="405" t="s">
        <v>321</v>
      </c>
      <c r="N6977" s="405" t="s">
        <v>322</v>
      </c>
      <c r="O6977" s="405" t="s">
        <v>476</v>
      </c>
      <c r="P6977" s="405" t="s">
        <v>3174</v>
      </c>
      <c r="Q6977" s="411">
        <v>6</v>
      </c>
      <c r="R6977" s="405" t="s">
        <v>318</v>
      </c>
      <c r="S6977" s="405" t="s">
        <v>27064</v>
      </c>
      <c r="T6977" s="405" t="s">
        <v>32102</v>
      </c>
      <c r="U6977" s="405" t="s">
        <v>319</v>
      </c>
    </row>
    <row r="6978" spans="1:21" x14ac:dyDescent="0.25">
      <c r="A6978" s="405" t="s">
        <v>310</v>
      </c>
      <c r="B6978" s="405" t="s">
        <v>3228</v>
      </c>
      <c r="C6978" s="405" t="s">
        <v>327</v>
      </c>
      <c r="D6978" s="405"/>
      <c r="E6978" s="410">
        <v>41238</v>
      </c>
      <c r="F6978" s="410">
        <v>41283</v>
      </c>
      <c r="G6978" s="405" t="s">
        <v>3229</v>
      </c>
      <c r="H6978" s="405">
        <v>774473791</v>
      </c>
      <c r="I6978" s="405">
        <v>705740294</v>
      </c>
      <c r="J6978" s="405">
        <v>0.68622499999999997</v>
      </c>
      <c r="K6978" s="405">
        <v>31.353072999999998</v>
      </c>
      <c r="L6978" s="405" t="s">
        <v>314</v>
      </c>
      <c r="M6978" s="405" t="s">
        <v>445</v>
      </c>
      <c r="N6978" s="405" t="s">
        <v>446</v>
      </c>
      <c r="O6978" s="405" t="s">
        <v>2953</v>
      </c>
      <c r="P6978" s="405" t="s">
        <v>3230</v>
      </c>
      <c r="Q6978" s="411">
        <v>6</v>
      </c>
      <c r="R6978" s="405" t="s">
        <v>318</v>
      </c>
      <c r="S6978" s="405" t="s">
        <v>27054</v>
      </c>
      <c r="T6978" s="405" t="s">
        <v>32102</v>
      </c>
      <c r="U6978" s="405" t="s">
        <v>319</v>
      </c>
    </row>
    <row r="6979" spans="1:21" x14ac:dyDescent="0.25">
      <c r="A6979" s="405" t="s">
        <v>310</v>
      </c>
      <c r="B6979" s="405" t="s">
        <v>3747</v>
      </c>
      <c r="C6979" s="405" t="s">
        <v>327</v>
      </c>
      <c r="D6979" s="405"/>
      <c r="E6979" s="410">
        <v>41238</v>
      </c>
      <c r="F6979" s="410">
        <v>41283</v>
      </c>
      <c r="G6979" s="405" t="s">
        <v>3748</v>
      </c>
      <c r="H6979" s="405">
        <v>774601601</v>
      </c>
      <c r="I6979" s="405">
        <v>757601601</v>
      </c>
      <c r="J6979" s="405">
        <v>0.60641699999999998</v>
      </c>
      <c r="K6979" s="405">
        <v>31.905778000000002</v>
      </c>
      <c r="L6979" s="405" t="s">
        <v>314</v>
      </c>
      <c r="M6979" s="405" t="s">
        <v>675</v>
      </c>
      <c r="N6979" s="405" t="s">
        <v>675</v>
      </c>
      <c r="O6979" s="405" t="s">
        <v>1711</v>
      </c>
      <c r="P6979" s="405" t="s">
        <v>3746</v>
      </c>
      <c r="Q6979" s="411">
        <v>6</v>
      </c>
      <c r="R6979" s="405" t="s">
        <v>318</v>
      </c>
      <c r="S6979" s="405" t="s">
        <v>27174</v>
      </c>
      <c r="T6979" s="405" t="s">
        <v>32102</v>
      </c>
      <c r="U6979" s="405" t="s">
        <v>319</v>
      </c>
    </row>
    <row r="6980" spans="1:21" x14ac:dyDescent="0.25">
      <c r="A6980" s="405" t="s">
        <v>310</v>
      </c>
      <c r="B6980" s="405" t="s">
        <v>28929</v>
      </c>
      <c r="C6980" s="405" t="s">
        <v>327</v>
      </c>
      <c r="D6980" s="405"/>
      <c r="E6980" s="410">
        <v>41236</v>
      </c>
      <c r="F6980" s="410">
        <v>41281</v>
      </c>
      <c r="G6980" s="405" t="s">
        <v>3146</v>
      </c>
      <c r="H6980" s="405">
        <v>712950581</v>
      </c>
      <c r="I6980" s="405">
        <v>782402200</v>
      </c>
      <c r="J6980" s="405">
        <v>0.27148</v>
      </c>
      <c r="K6980" s="405">
        <v>32.399300000000004</v>
      </c>
      <c r="L6980" s="405" t="s">
        <v>314</v>
      </c>
      <c r="M6980" s="405" t="s">
        <v>321</v>
      </c>
      <c r="N6980" s="405" t="s">
        <v>322</v>
      </c>
      <c r="O6980" s="405" t="s">
        <v>519</v>
      </c>
      <c r="P6980" s="405" t="s">
        <v>3147</v>
      </c>
      <c r="Q6980" s="411">
        <v>9</v>
      </c>
      <c r="R6980" s="405" t="s">
        <v>318</v>
      </c>
      <c r="S6980" s="405" t="s">
        <v>27046</v>
      </c>
      <c r="T6980" s="405" t="s">
        <v>32102</v>
      </c>
      <c r="U6980" s="405" t="s">
        <v>319</v>
      </c>
    </row>
    <row r="6981" spans="1:21" x14ac:dyDescent="0.25">
      <c r="A6981" s="405" t="s">
        <v>310</v>
      </c>
      <c r="B6981" s="405" t="s">
        <v>12005</v>
      </c>
      <c r="C6981" s="405" t="s">
        <v>327</v>
      </c>
      <c r="D6981" s="405"/>
      <c r="E6981" s="410">
        <v>41236</v>
      </c>
      <c r="F6981" s="410">
        <v>41281</v>
      </c>
      <c r="G6981" s="405" t="s">
        <v>12006</v>
      </c>
      <c r="H6981" s="405">
        <v>779450411</v>
      </c>
      <c r="I6981" s="405"/>
      <c r="J6981" s="405">
        <v>1.1064929999999999</v>
      </c>
      <c r="K6981" s="405">
        <v>33.900638000000001</v>
      </c>
      <c r="L6981" s="405" t="s">
        <v>6866</v>
      </c>
      <c r="M6981" s="405" t="s">
        <v>10152</v>
      </c>
      <c r="N6981" s="405" t="s">
        <v>10153</v>
      </c>
      <c r="O6981" s="405" t="s">
        <v>10154</v>
      </c>
      <c r="P6981" s="405" t="s">
        <v>12007</v>
      </c>
      <c r="Q6981" s="411">
        <v>6</v>
      </c>
      <c r="R6981" s="405" t="s">
        <v>9541</v>
      </c>
      <c r="S6981" s="405" t="s">
        <v>27302</v>
      </c>
      <c r="T6981" s="405" t="s">
        <v>32102</v>
      </c>
      <c r="U6981" s="405" t="s">
        <v>319</v>
      </c>
    </row>
    <row r="6982" spans="1:21" x14ac:dyDescent="0.25">
      <c r="A6982" s="405" t="s">
        <v>310</v>
      </c>
      <c r="B6982" s="405" t="s">
        <v>3239</v>
      </c>
      <c r="C6982" s="405" t="s">
        <v>327</v>
      </c>
      <c r="D6982" s="405"/>
      <c r="E6982" s="410">
        <v>41236</v>
      </c>
      <c r="F6982" s="410">
        <v>41281</v>
      </c>
      <c r="G6982" s="405" t="s">
        <v>3240</v>
      </c>
      <c r="H6982" s="405">
        <v>774212492</v>
      </c>
      <c r="I6982" s="405"/>
      <c r="J6982" s="405">
        <v>0.47758</v>
      </c>
      <c r="K6982" s="405">
        <v>31.197385000000001</v>
      </c>
      <c r="L6982" s="405" t="s">
        <v>314</v>
      </c>
      <c r="M6982" s="405" t="s">
        <v>445</v>
      </c>
      <c r="N6982" s="405" t="s">
        <v>2528</v>
      </c>
      <c r="O6982" s="405" t="s">
        <v>3241</v>
      </c>
      <c r="P6982" s="405" t="s">
        <v>3242</v>
      </c>
      <c r="Q6982" s="411">
        <v>6</v>
      </c>
      <c r="R6982" s="405" t="s">
        <v>318</v>
      </c>
      <c r="S6982" s="405" t="s">
        <v>27054</v>
      </c>
      <c r="T6982" s="405" t="s">
        <v>32102</v>
      </c>
      <c r="U6982" s="405" t="s">
        <v>319</v>
      </c>
    </row>
    <row r="6983" spans="1:21" x14ac:dyDescent="0.25">
      <c r="A6983" s="405" t="s">
        <v>310</v>
      </c>
      <c r="B6983" s="405" t="s">
        <v>12378</v>
      </c>
      <c r="C6983" s="405" t="s">
        <v>311</v>
      </c>
      <c r="D6983" s="405" t="s">
        <v>1789</v>
      </c>
      <c r="E6983" s="410">
        <v>41236</v>
      </c>
      <c r="F6983" s="410">
        <v>41281</v>
      </c>
      <c r="G6983" s="405" t="s">
        <v>12379</v>
      </c>
      <c r="H6983" s="405">
        <v>775376659</v>
      </c>
      <c r="I6983" s="405"/>
      <c r="J6983" s="405">
        <v>1.9692449999999999</v>
      </c>
      <c r="K6983" s="405">
        <v>33.991377</v>
      </c>
      <c r="L6983" s="405" t="s">
        <v>6866</v>
      </c>
      <c r="M6983" s="405" t="s">
        <v>11355</v>
      </c>
      <c r="N6983" s="405" t="s">
        <v>11356</v>
      </c>
      <c r="O6983" s="405" t="s">
        <v>11355</v>
      </c>
      <c r="P6983" s="405" t="s">
        <v>12136</v>
      </c>
      <c r="Q6983" s="411">
        <v>4</v>
      </c>
      <c r="R6983" s="405" t="s">
        <v>5655</v>
      </c>
      <c r="S6983" s="405" t="s">
        <v>27337</v>
      </c>
      <c r="T6983" s="405" t="s">
        <v>32102</v>
      </c>
      <c r="U6983" s="405" t="s">
        <v>319</v>
      </c>
    </row>
    <row r="6984" spans="1:21" x14ac:dyDescent="0.25">
      <c r="A6984" s="405" t="s">
        <v>310</v>
      </c>
      <c r="B6984" s="405" t="s">
        <v>27776</v>
      </c>
      <c r="C6984" s="405" t="s">
        <v>327</v>
      </c>
      <c r="D6984" s="405"/>
      <c r="E6984" s="410">
        <v>41235</v>
      </c>
      <c r="F6984" s="410">
        <v>41280</v>
      </c>
      <c r="G6984" s="405" t="s">
        <v>20789</v>
      </c>
      <c r="H6984" s="405">
        <v>772681686</v>
      </c>
      <c r="I6984" s="405">
        <v>704681685</v>
      </c>
      <c r="J6984" s="405">
        <v>-0.52964800000000001</v>
      </c>
      <c r="K6984" s="405">
        <v>30.030484999999999</v>
      </c>
      <c r="L6984" s="405" t="s">
        <v>590</v>
      </c>
      <c r="M6984" s="405" t="s">
        <v>20032</v>
      </c>
      <c r="N6984" s="405" t="s">
        <v>20033</v>
      </c>
      <c r="O6984" s="405" t="s">
        <v>20790</v>
      </c>
      <c r="P6984" s="405" t="s">
        <v>20392</v>
      </c>
      <c r="Q6984" s="411">
        <v>12</v>
      </c>
      <c r="R6984" s="405" t="s">
        <v>19622</v>
      </c>
      <c r="S6984" s="405" t="s">
        <v>27183</v>
      </c>
      <c r="T6984" s="405" t="s">
        <v>32102</v>
      </c>
      <c r="U6984" s="405" t="s">
        <v>319</v>
      </c>
    </row>
    <row r="6985" spans="1:21" x14ac:dyDescent="0.25">
      <c r="A6985" s="405" t="s">
        <v>310</v>
      </c>
      <c r="B6985" s="405" t="s">
        <v>29125</v>
      </c>
      <c r="C6985" s="405" t="s">
        <v>327</v>
      </c>
      <c r="D6985" s="405"/>
      <c r="E6985" s="410">
        <v>41235</v>
      </c>
      <c r="F6985" s="410">
        <v>41280</v>
      </c>
      <c r="G6985" s="405" t="s">
        <v>20787</v>
      </c>
      <c r="H6985" s="405">
        <v>777884321</v>
      </c>
      <c r="I6985" s="405"/>
      <c r="J6985" s="405">
        <v>-0.472354</v>
      </c>
      <c r="K6985" s="405">
        <v>30.397151000000001</v>
      </c>
      <c r="L6985" s="405" t="s">
        <v>590</v>
      </c>
      <c r="M6985" s="405" t="s">
        <v>19725</v>
      </c>
      <c r="N6985" s="405" t="s">
        <v>19725</v>
      </c>
      <c r="O6985" s="405" t="s">
        <v>19938</v>
      </c>
      <c r="P6985" s="405" t="s">
        <v>20788</v>
      </c>
      <c r="Q6985" s="411">
        <v>9</v>
      </c>
      <c r="R6985" s="405" t="s">
        <v>19622</v>
      </c>
      <c r="S6985" s="405" t="s">
        <v>27183</v>
      </c>
      <c r="T6985" s="405" t="s">
        <v>32102</v>
      </c>
      <c r="U6985" s="405" t="s">
        <v>319</v>
      </c>
    </row>
    <row r="6986" spans="1:21" x14ac:dyDescent="0.25">
      <c r="A6986" s="405" t="s">
        <v>310</v>
      </c>
      <c r="B6986" s="405" t="s">
        <v>20761</v>
      </c>
      <c r="C6986" s="405" t="s">
        <v>327</v>
      </c>
      <c r="D6986" s="405"/>
      <c r="E6986" s="410">
        <v>41235</v>
      </c>
      <c r="F6986" s="410">
        <v>41280</v>
      </c>
      <c r="G6986" s="405" t="s">
        <v>20762</v>
      </c>
      <c r="H6986" s="405">
        <v>789581925</v>
      </c>
      <c r="I6986" s="405"/>
      <c r="J6986" s="405">
        <v>-0.64907899999999996</v>
      </c>
      <c r="K6986" s="405">
        <v>30.277964999999998</v>
      </c>
      <c r="L6986" s="405" t="s">
        <v>590</v>
      </c>
      <c r="M6986" s="405" t="s">
        <v>19725</v>
      </c>
      <c r="N6986" s="405" t="s">
        <v>19725</v>
      </c>
      <c r="O6986" s="405" t="s">
        <v>20013</v>
      </c>
      <c r="P6986" s="405" t="s">
        <v>20763</v>
      </c>
      <c r="Q6986" s="411">
        <v>9</v>
      </c>
      <c r="R6986" s="405" t="s">
        <v>333</v>
      </c>
      <c r="S6986" s="405" t="s">
        <v>27116</v>
      </c>
      <c r="T6986" s="405" t="s">
        <v>32102</v>
      </c>
      <c r="U6986" s="405" t="s">
        <v>319</v>
      </c>
    </row>
    <row r="6987" spans="1:21" x14ac:dyDescent="0.25">
      <c r="A6987" s="405" t="s">
        <v>310</v>
      </c>
      <c r="B6987" s="405" t="s">
        <v>28121</v>
      </c>
      <c r="C6987" s="405" t="s">
        <v>327</v>
      </c>
      <c r="D6987" s="405"/>
      <c r="E6987" s="410">
        <v>41235</v>
      </c>
      <c r="F6987" s="410">
        <v>41280</v>
      </c>
      <c r="G6987" s="405" t="s">
        <v>20771</v>
      </c>
      <c r="H6987" s="405">
        <v>772437816</v>
      </c>
      <c r="I6987" s="405">
        <v>702590080</v>
      </c>
      <c r="J6987" s="405">
        <v>0.68137499999999995</v>
      </c>
      <c r="K6987" s="405">
        <v>30.257297000000001</v>
      </c>
      <c r="L6987" s="405" t="s">
        <v>590</v>
      </c>
      <c r="M6987" s="405" t="s">
        <v>20125</v>
      </c>
      <c r="N6987" s="405" t="s">
        <v>20772</v>
      </c>
      <c r="O6987" s="405" t="s">
        <v>3052</v>
      </c>
      <c r="P6987" s="405" t="s">
        <v>20773</v>
      </c>
      <c r="Q6987" s="411">
        <v>6</v>
      </c>
      <c r="R6987" s="405" t="s">
        <v>20774</v>
      </c>
      <c r="S6987" s="405" t="s">
        <v>27127</v>
      </c>
      <c r="T6987" s="405" t="s">
        <v>32102</v>
      </c>
      <c r="U6987" s="405" t="s">
        <v>319</v>
      </c>
    </row>
    <row r="6988" spans="1:21" x14ac:dyDescent="0.25">
      <c r="A6988" s="405" t="s">
        <v>310</v>
      </c>
      <c r="B6988" s="405" t="s">
        <v>18410</v>
      </c>
      <c r="C6988" s="405" t="s">
        <v>327</v>
      </c>
      <c r="D6988" s="405"/>
      <c r="E6988" s="410">
        <v>41235</v>
      </c>
      <c r="F6988" s="410">
        <v>41280</v>
      </c>
      <c r="G6988" s="405" t="s">
        <v>18411</v>
      </c>
      <c r="H6988" s="405">
        <v>788955246</v>
      </c>
      <c r="I6988" s="405"/>
      <c r="J6988" s="405">
        <v>2.4007139999999998</v>
      </c>
      <c r="K6988" s="405">
        <v>33.041752000000002</v>
      </c>
      <c r="L6988" s="405" t="s">
        <v>860</v>
      </c>
      <c r="M6988" s="405" t="s">
        <v>18376</v>
      </c>
      <c r="N6988" s="405" t="s">
        <v>16319</v>
      </c>
      <c r="O6988" s="405" t="s">
        <v>18377</v>
      </c>
      <c r="P6988" s="405" t="s">
        <v>18412</v>
      </c>
      <c r="Q6988" s="411">
        <v>6</v>
      </c>
      <c r="R6988" s="405" t="s">
        <v>318</v>
      </c>
      <c r="S6988" s="405" t="s">
        <v>27343</v>
      </c>
      <c r="T6988" s="405" t="s">
        <v>32102</v>
      </c>
      <c r="U6988" s="405" t="s">
        <v>319</v>
      </c>
    </row>
    <row r="6989" spans="1:21" x14ac:dyDescent="0.25">
      <c r="A6989" s="405" t="s">
        <v>310</v>
      </c>
      <c r="B6989" s="405" t="s">
        <v>3210</v>
      </c>
      <c r="C6989" s="405" t="s">
        <v>327</v>
      </c>
      <c r="D6989" s="405"/>
      <c r="E6989" s="410">
        <v>41234</v>
      </c>
      <c r="F6989" s="410">
        <v>41279</v>
      </c>
      <c r="G6989" s="405" t="s">
        <v>3211</v>
      </c>
      <c r="H6989" s="405">
        <v>700319785</v>
      </c>
      <c r="I6989" s="405">
        <v>701217269</v>
      </c>
      <c r="J6989" s="405">
        <v>-0.35226000000000002</v>
      </c>
      <c r="K6989" s="405">
        <v>31.628651999999999</v>
      </c>
      <c r="L6989" s="405" t="s">
        <v>314</v>
      </c>
      <c r="M6989" s="405" t="s">
        <v>1189</v>
      </c>
      <c r="N6989" s="405" t="s">
        <v>1481</v>
      </c>
      <c r="O6989" s="405" t="s">
        <v>1418</v>
      </c>
      <c r="P6989" s="405" t="s">
        <v>3212</v>
      </c>
      <c r="Q6989" s="411">
        <v>9</v>
      </c>
      <c r="R6989" s="405" t="s">
        <v>874</v>
      </c>
      <c r="S6989" s="405" t="s">
        <v>27098</v>
      </c>
      <c r="T6989" s="405" t="s">
        <v>32102</v>
      </c>
      <c r="U6989" s="405" t="s">
        <v>319</v>
      </c>
    </row>
    <row r="6990" spans="1:21" x14ac:dyDescent="0.25">
      <c r="A6990" s="405" t="s">
        <v>310</v>
      </c>
      <c r="B6990" s="405" t="s">
        <v>27796</v>
      </c>
      <c r="C6990" s="405" t="s">
        <v>327</v>
      </c>
      <c r="D6990" s="405"/>
      <c r="E6990" s="410">
        <v>41234</v>
      </c>
      <c r="F6990" s="410">
        <v>41279</v>
      </c>
      <c r="G6990" s="405" t="s">
        <v>12003</v>
      </c>
      <c r="H6990" s="405">
        <v>772360085</v>
      </c>
      <c r="I6990" s="405"/>
      <c r="J6990" s="405">
        <v>1.2844850000000001</v>
      </c>
      <c r="K6990" s="405">
        <v>34.281964000000002</v>
      </c>
      <c r="L6990" s="405" t="s">
        <v>6866</v>
      </c>
      <c r="M6990" s="405" t="s">
        <v>9550</v>
      </c>
      <c r="N6990" s="405" t="s">
        <v>9550</v>
      </c>
      <c r="O6990" s="405" t="s">
        <v>9869</v>
      </c>
      <c r="P6990" s="405" t="s">
        <v>12004</v>
      </c>
      <c r="Q6990" s="411">
        <v>6</v>
      </c>
      <c r="R6990" s="405" t="s">
        <v>9541</v>
      </c>
      <c r="S6990" s="405" t="s">
        <v>27086</v>
      </c>
      <c r="T6990" s="405" t="s">
        <v>32102</v>
      </c>
      <c r="U6990" s="405" t="s">
        <v>319</v>
      </c>
    </row>
    <row r="6991" spans="1:21" x14ac:dyDescent="0.25">
      <c r="A6991" s="405" t="s">
        <v>310</v>
      </c>
      <c r="B6991" s="405" t="s">
        <v>3205</v>
      </c>
      <c r="C6991" s="405" t="s">
        <v>327</v>
      </c>
      <c r="D6991" s="405"/>
      <c r="E6991" s="410">
        <v>41234</v>
      </c>
      <c r="F6991" s="410">
        <v>41279</v>
      </c>
      <c r="G6991" s="405" t="s">
        <v>3206</v>
      </c>
      <c r="H6991" s="405">
        <v>772628292</v>
      </c>
      <c r="I6991" s="405"/>
      <c r="J6991" s="405">
        <v>0.11732833333333333</v>
      </c>
      <c r="K6991" s="405">
        <v>32.182196666666663</v>
      </c>
      <c r="L6991" s="405" t="s">
        <v>314</v>
      </c>
      <c r="M6991" s="405" t="s">
        <v>315</v>
      </c>
      <c r="N6991" s="405" t="s">
        <v>315</v>
      </c>
      <c r="O6991" s="405" t="s">
        <v>2063</v>
      </c>
      <c r="P6991" s="405" t="s">
        <v>2064</v>
      </c>
      <c r="Q6991" s="411">
        <v>6</v>
      </c>
      <c r="R6991" s="405" t="s">
        <v>318</v>
      </c>
      <c r="S6991" s="405" t="s">
        <v>27188</v>
      </c>
      <c r="T6991" s="405" t="s">
        <v>32102</v>
      </c>
      <c r="U6991" s="405" t="s">
        <v>319</v>
      </c>
    </row>
    <row r="6992" spans="1:21" x14ac:dyDescent="0.25">
      <c r="A6992" s="405" t="s">
        <v>310</v>
      </c>
      <c r="B6992" s="405" t="s">
        <v>27924</v>
      </c>
      <c r="C6992" s="405" t="s">
        <v>327</v>
      </c>
      <c r="D6992" s="405"/>
      <c r="E6992" s="410">
        <v>41233</v>
      </c>
      <c r="F6992" s="410">
        <v>41278</v>
      </c>
      <c r="G6992" s="405" t="s">
        <v>20785</v>
      </c>
      <c r="H6992" s="405">
        <v>772970632</v>
      </c>
      <c r="I6992" s="405"/>
      <c r="J6992" s="405">
        <v>-0.95870500000000003</v>
      </c>
      <c r="K6992" s="405">
        <v>30.199511000000001</v>
      </c>
      <c r="L6992" s="405" t="s">
        <v>590</v>
      </c>
      <c r="M6992" s="405" t="s">
        <v>19659</v>
      </c>
      <c r="N6992" s="405" t="s">
        <v>19677</v>
      </c>
      <c r="O6992" s="405" t="s">
        <v>20207</v>
      </c>
      <c r="P6992" s="405" t="s">
        <v>20786</v>
      </c>
      <c r="Q6992" s="411">
        <v>13</v>
      </c>
      <c r="R6992" s="405" t="s">
        <v>1527</v>
      </c>
      <c r="S6992" s="405" t="s">
        <v>27166</v>
      </c>
      <c r="T6992" s="405" t="s">
        <v>32102</v>
      </c>
      <c r="U6992" s="405" t="s">
        <v>319</v>
      </c>
    </row>
    <row r="6993" spans="1:21" x14ac:dyDescent="0.25">
      <c r="A6993" s="405" t="s">
        <v>310</v>
      </c>
      <c r="B6993" s="405" t="s">
        <v>18406</v>
      </c>
      <c r="C6993" s="405" t="s">
        <v>327</v>
      </c>
      <c r="D6993" s="405"/>
      <c r="E6993" s="410">
        <v>41233</v>
      </c>
      <c r="F6993" s="410">
        <v>41278</v>
      </c>
      <c r="G6993" s="405" t="s">
        <v>18407</v>
      </c>
      <c r="H6993" s="405">
        <v>772348631</v>
      </c>
      <c r="I6993" s="405"/>
      <c r="J6993" s="405">
        <v>2.2839070000000001</v>
      </c>
      <c r="K6993" s="405">
        <v>32.882952000000003</v>
      </c>
      <c r="L6993" s="405" t="s">
        <v>860</v>
      </c>
      <c r="M6993" s="405" t="s">
        <v>18234</v>
      </c>
      <c r="N6993" s="405" t="s">
        <v>18252</v>
      </c>
      <c r="O6993" s="405" t="s">
        <v>18408</v>
      </c>
      <c r="P6993" s="405" t="s">
        <v>18409</v>
      </c>
      <c r="Q6993" s="411">
        <v>12</v>
      </c>
      <c r="R6993" s="405" t="s">
        <v>525</v>
      </c>
      <c r="S6993" s="405" t="s">
        <v>27179</v>
      </c>
      <c r="T6993" s="405" t="s">
        <v>32102</v>
      </c>
      <c r="U6993" s="405" t="s">
        <v>319</v>
      </c>
    </row>
    <row r="6994" spans="1:21" x14ac:dyDescent="0.25">
      <c r="A6994" s="405" t="s">
        <v>310</v>
      </c>
      <c r="B6994" s="405" t="s">
        <v>20769</v>
      </c>
      <c r="C6994" s="405" t="s">
        <v>327</v>
      </c>
      <c r="D6994" s="405"/>
      <c r="E6994" s="410">
        <v>41233</v>
      </c>
      <c r="F6994" s="410">
        <v>41278</v>
      </c>
      <c r="G6994" s="405" t="s">
        <v>20770</v>
      </c>
      <c r="H6994" s="405">
        <v>772393176</v>
      </c>
      <c r="I6994" s="405">
        <v>782750754</v>
      </c>
      <c r="J6994" s="405">
        <v>1.4239322999999999</v>
      </c>
      <c r="K6994" s="405">
        <v>31.343262299999999</v>
      </c>
      <c r="L6994" s="405" t="s">
        <v>590</v>
      </c>
      <c r="M6994" s="405" t="s">
        <v>7300</v>
      </c>
      <c r="N6994" s="405" t="s">
        <v>20091</v>
      </c>
      <c r="O6994" s="405" t="s">
        <v>20512</v>
      </c>
      <c r="P6994" s="405" t="s">
        <v>1456</v>
      </c>
      <c r="Q6994" s="411">
        <v>9</v>
      </c>
      <c r="R6994" s="405" t="s">
        <v>525</v>
      </c>
      <c r="S6994" s="405" t="s">
        <v>27148</v>
      </c>
      <c r="T6994" s="405" t="s">
        <v>32102</v>
      </c>
      <c r="U6994" s="405" t="s">
        <v>319</v>
      </c>
    </row>
    <row r="6995" spans="1:21" x14ac:dyDescent="0.25">
      <c r="A6995" s="405" t="s">
        <v>310</v>
      </c>
      <c r="B6995" s="405" t="s">
        <v>20777</v>
      </c>
      <c r="C6995" s="405" t="s">
        <v>327</v>
      </c>
      <c r="D6995" s="405"/>
      <c r="E6995" s="410">
        <v>41233</v>
      </c>
      <c r="F6995" s="410">
        <v>41278</v>
      </c>
      <c r="G6995" s="405" t="s">
        <v>20778</v>
      </c>
      <c r="H6995" s="405">
        <v>772414947</v>
      </c>
      <c r="I6995" s="405">
        <v>782902499</v>
      </c>
      <c r="J6995" s="405">
        <v>1.4234568999999999</v>
      </c>
      <c r="K6995" s="405">
        <v>31.344223</v>
      </c>
      <c r="L6995" s="405" t="s">
        <v>590</v>
      </c>
      <c r="M6995" s="405" t="s">
        <v>7300</v>
      </c>
      <c r="N6995" s="405" t="s">
        <v>20091</v>
      </c>
      <c r="O6995" s="405" t="s">
        <v>20779</v>
      </c>
      <c r="P6995" s="405" t="s">
        <v>20780</v>
      </c>
      <c r="Q6995" s="411">
        <v>9</v>
      </c>
      <c r="R6995" s="405" t="s">
        <v>525</v>
      </c>
      <c r="S6995" s="405" t="s">
        <v>27200</v>
      </c>
      <c r="T6995" s="405" t="s">
        <v>32102</v>
      </c>
      <c r="U6995" s="405" t="s">
        <v>319</v>
      </c>
    </row>
    <row r="6996" spans="1:21" x14ac:dyDescent="0.25">
      <c r="A6996" s="405" t="s">
        <v>310</v>
      </c>
      <c r="B6996" s="405" t="s">
        <v>28741</v>
      </c>
      <c r="C6996" s="405" t="s">
        <v>311</v>
      </c>
      <c r="D6996" s="405" t="s">
        <v>1789</v>
      </c>
      <c r="E6996" s="410">
        <v>41233</v>
      </c>
      <c r="F6996" s="410">
        <v>41278</v>
      </c>
      <c r="G6996" s="405" t="s">
        <v>12366</v>
      </c>
      <c r="H6996" s="405">
        <v>754100643</v>
      </c>
      <c r="I6996" s="405"/>
      <c r="J6996" s="405">
        <v>0.78178499999999995</v>
      </c>
      <c r="K6996" s="405">
        <v>33.951740999999998</v>
      </c>
      <c r="L6996" s="405" t="s">
        <v>6866</v>
      </c>
      <c r="M6996" s="405" t="s">
        <v>9534</v>
      </c>
      <c r="N6996" s="405" t="s">
        <v>10085</v>
      </c>
      <c r="O6996" s="405" t="s">
        <v>10922</v>
      </c>
      <c r="P6996" s="405" t="s">
        <v>12367</v>
      </c>
      <c r="Q6996" s="411">
        <v>6</v>
      </c>
      <c r="R6996" s="405" t="s">
        <v>7224</v>
      </c>
      <c r="S6996" s="405" t="s">
        <v>27204</v>
      </c>
      <c r="T6996" s="405" t="s">
        <v>32102</v>
      </c>
      <c r="U6996" s="405" t="s">
        <v>319</v>
      </c>
    </row>
    <row r="6997" spans="1:21" x14ac:dyDescent="0.25">
      <c r="A6997" s="405" t="s">
        <v>310</v>
      </c>
      <c r="B6997" s="405" t="s">
        <v>3231</v>
      </c>
      <c r="C6997" s="405" t="s">
        <v>327</v>
      </c>
      <c r="D6997" s="405"/>
      <c r="E6997" s="410">
        <v>41233</v>
      </c>
      <c r="F6997" s="410">
        <v>41278</v>
      </c>
      <c r="G6997" s="405" t="s">
        <v>3232</v>
      </c>
      <c r="H6997" s="405">
        <v>706354564</v>
      </c>
      <c r="I6997" s="405"/>
      <c r="J6997" s="405">
        <v>0.64609000000000005</v>
      </c>
      <c r="K6997" s="405">
        <v>31.376182</v>
      </c>
      <c r="L6997" s="405" t="s">
        <v>314</v>
      </c>
      <c r="M6997" s="405" t="s">
        <v>445</v>
      </c>
      <c r="N6997" s="405" t="s">
        <v>446</v>
      </c>
      <c r="O6997" s="405" t="s">
        <v>2953</v>
      </c>
      <c r="P6997" s="405" t="s">
        <v>1918</v>
      </c>
      <c r="Q6997" s="411">
        <v>6</v>
      </c>
      <c r="R6997" s="405" t="s">
        <v>318</v>
      </c>
      <c r="S6997" s="405" t="s">
        <v>27195</v>
      </c>
      <c r="T6997" s="405" t="s">
        <v>32102</v>
      </c>
      <c r="U6997" s="405" t="s">
        <v>319</v>
      </c>
    </row>
    <row r="6998" spans="1:21" x14ac:dyDescent="0.25">
      <c r="A6998" s="405" t="s">
        <v>310</v>
      </c>
      <c r="B6998" s="405" t="s">
        <v>28039</v>
      </c>
      <c r="C6998" s="405" t="s">
        <v>327</v>
      </c>
      <c r="D6998" s="405"/>
      <c r="E6998" s="410">
        <v>41233</v>
      </c>
      <c r="F6998" s="410">
        <v>41278</v>
      </c>
      <c r="G6998" s="405" t="s">
        <v>3674</v>
      </c>
      <c r="H6998" s="405">
        <v>782645370</v>
      </c>
      <c r="I6998" s="405"/>
      <c r="J6998" s="405">
        <v>0.1804316</v>
      </c>
      <c r="K6998" s="405">
        <v>32.2794393</v>
      </c>
      <c r="L6998" s="405" t="s">
        <v>314</v>
      </c>
      <c r="M6998" s="405" t="s">
        <v>321</v>
      </c>
      <c r="N6998" s="405" t="s">
        <v>322</v>
      </c>
      <c r="O6998" s="405" t="s">
        <v>1023</v>
      </c>
      <c r="P6998" s="405" t="s">
        <v>3675</v>
      </c>
      <c r="Q6998" s="411">
        <v>6</v>
      </c>
      <c r="R6998" s="405" t="s">
        <v>318</v>
      </c>
      <c r="S6998" s="405" t="s">
        <v>27054</v>
      </c>
      <c r="T6998" s="405" t="s">
        <v>32102</v>
      </c>
      <c r="U6998" s="405" t="s">
        <v>319</v>
      </c>
    </row>
    <row r="6999" spans="1:21" x14ac:dyDescent="0.25">
      <c r="A6999" s="405" t="s">
        <v>310</v>
      </c>
      <c r="B6999" s="405" t="s">
        <v>3213</v>
      </c>
      <c r="C6999" s="405" t="s">
        <v>327</v>
      </c>
      <c r="D6999" s="405"/>
      <c r="E6999" s="410">
        <v>41233</v>
      </c>
      <c r="F6999" s="410">
        <v>41278</v>
      </c>
      <c r="G6999" s="405" t="s">
        <v>3214</v>
      </c>
      <c r="H6999" s="405">
        <v>758713083</v>
      </c>
      <c r="I6999" s="405"/>
      <c r="J6999" s="405">
        <v>0.63785000000000003</v>
      </c>
      <c r="K6999" s="405">
        <v>31.864899999999999</v>
      </c>
      <c r="L6999" s="405" t="s">
        <v>314</v>
      </c>
      <c r="M6999" s="405" t="s">
        <v>445</v>
      </c>
      <c r="N6999" s="405" t="s">
        <v>570</v>
      </c>
      <c r="O6999" s="405" t="s">
        <v>2213</v>
      </c>
      <c r="P6999" s="405" t="s">
        <v>3215</v>
      </c>
      <c r="Q6999" s="411">
        <v>6</v>
      </c>
      <c r="R6999" s="405" t="s">
        <v>318</v>
      </c>
      <c r="S6999" s="405" t="s">
        <v>27174</v>
      </c>
      <c r="T6999" s="405" t="s">
        <v>32102</v>
      </c>
      <c r="U6999" s="405" t="s">
        <v>319</v>
      </c>
    </row>
    <row r="7000" spans="1:21" x14ac:dyDescent="0.25">
      <c r="A7000" s="405" t="s">
        <v>310</v>
      </c>
      <c r="B7000" s="405" t="s">
        <v>3201</v>
      </c>
      <c r="C7000" s="405" t="s">
        <v>327</v>
      </c>
      <c r="D7000" s="405"/>
      <c r="E7000" s="410">
        <v>41233</v>
      </c>
      <c r="F7000" s="410">
        <v>41278</v>
      </c>
      <c r="G7000" s="405" t="s">
        <v>3202</v>
      </c>
      <c r="H7000" s="405">
        <v>752855868</v>
      </c>
      <c r="I7000" s="405"/>
      <c r="J7000" s="405">
        <v>0.34845480000000001</v>
      </c>
      <c r="K7000" s="405">
        <v>32.327532699999999</v>
      </c>
      <c r="L7000" s="405" t="s">
        <v>314</v>
      </c>
      <c r="M7000" s="405" t="s">
        <v>321</v>
      </c>
      <c r="N7000" s="405" t="s">
        <v>322</v>
      </c>
      <c r="O7000" s="405" t="s">
        <v>1017</v>
      </c>
      <c r="P7000" s="405" t="s">
        <v>3203</v>
      </c>
      <c r="Q7000" s="411">
        <v>6</v>
      </c>
      <c r="R7000" s="405" t="s">
        <v>318</v>
      </c>
      <c r="S7000" s="405" t="s">
        <v>27139</v>
      </c>
      <c r="T7000" s="405" t="s">
        <v>32102</v>
      </c>
      <c r="U7000" s="405" t="s">
        <v>319</v>
      </c>
    </row>
    <row r="7001" spans="1:21" x14ac:dyDescent="0.25">
      <c r="A7001" s="405" t="s">
        <v>310</v>
      </c>
      <c r="B7001" s="405" t="s">
        <v>12000</v>
      </c>
      <c r="C7001" s="405" t="s">
        <v>327</v>
      </c>
      <c r="D7001" s="405"/>
      <c r="E7001" s="410">
        <v>41233</v>
      </c>
      <c r="F7001" s="410">
        <v>41278</v>
      </c>
      <c r="G7001" s="405" t="s">
        <v>12001</v>
      </c>
      <c r="H7001" s="405">
        <v>778801195</v>
      </c>
      <c r="I7001" s="405"/>
      <c r="J7001" s="405">
        <v>1.161497</v>
      </c>
      <c r="K7001" s="405">
        <v>34.217726999999996</v>
      </c>
      <c r="L7001" s="405" t="s">
        <v>6866</v>
      </c>
      <c r="M7001" s="405" t="s">
        <v>9514</v>
      </c>
      <c r="N7001" s="405" t="s">
        <v>9529</v>
      </c>
      <c r="O7001" s="405" t="s">
        <v>9530</v>
      </c>
      <c r="P7001" s="405" t="s">
        <v>12002</v>
      </c>
      <c r="Q7001" s="411">
        <v>6</v>
      </c>
      <c r="R7001" s="405" t="s">
        <v>9541</v>
      </c>
      <c r="S7001" s="405" t="s">
        <v>27342</v>
      </c>
      <c r="T7001" s="405" t="s">
        <v>32102</v>
      </c>
      <c r="U7001" s="405" t="s">
        <v>319</v>
      </c>
    </row>
    <row r="7002" spans="1:21" x14ac:dyDescent="0.25">
      <c r="A7002" s="405" t="s">
        <v>310</v>
      </c>
      <c r="B7002" s="405" t="s">
        <v>27962</v>
      </c>
      <c r="C7002" s="405" t="s">
        <v>327</v>
      </c>
      <c r="D7002" s="405"/>
      <c r="E7002" s="410">
        <v>41233</v>
      </c>
      <c r="F7002" s="410">
        <v>41278</v>
      </c>
      <c r="G7002" s="405" t="s">
        <v>3158</v>
      </c>
      <c r="H7002" s="405">
        <v>711223800</v>
      </c>
      <c r="I7002" s="405"/>
      <c r="J7002" s="405">
        <v>0.4520864</v>
      </c>
      <c r="K7002" s="405">
        <v>32.540279300000002</v>
      </c>
      <c r="L7002" s="405" t="s">
        <v>314</v>
      </c>
      <c r="M7002" s="405" t="s">
        <v>361</v>
      </c>
      <c r="N7002" s="405" t="s">
        <v>370</v>
      </c>
      <c r="O7002" s="405" t="s">
        <v>370</v>
      </c>
      <c r="P7002" s="405" t="s">
        <v>1165</v>
      </c>
      <c r="Q7002" s="411">
        <v>4</v>
      </c>
      <c r="R7002" s="405" t="s">
        <v>1263</v>
      </c>
      <c r="S7002" s="405" t="s">
        <v>27207</v>
      </c>
      <c r="T7002" s="405" t="s">
        <v>32102</v>
      </c>
      <c r="U7002" s="405" t="s">
        <v>319</v>
      </c>
    </row>
    <row r="7003" spans="1:21" x14ac:dyDescent="0.25">
      <c r="A7003" s="405" t="s">
        <v>310</v>
      </c>
      <c r="B7003" s="405" t="s">
        <v>28598</v>
      </c>
      <c r="C7003" s="405" t="s">
        <v>857</v>
      </c>
      <c r="D7003" s="405" t="s">
        <v>921</v>
      </c>
      <c r="E7003" s="410">
        <v>41231</v>
      </c>
      <c r="F7003" s="410">
        <v>41276</v>
      </c>
      <c r="G7003" s="405" t="s">
        <v>3689</v>
      </c>
      <c r="H7003" s="405">
        <v>751824330</v>
      </c>
      <c r="I7003" s="405">
        <v>788985960</v>
      </c>
      <c r="J7003" s="405">
        <v>0.35409639999999998</v>
      </c>
      <c r="K7003" s="405">
        <v>31.729536499999998</v>
      </c>
      <c r="L7003" s="405" t="s">
        <v>314</v>
      </c>
      <c r="M7003" s="405" t="s">
        <v>382</v>
      </c>
      <c r="N7003" s="405" t="s">
        <v>988</v>
      </c>
      <c r="O7003" s="405" t="s">
        <v>3690</v>
      </c>
      <c r="P7003" s="405" t="s">
        <v>3691</v>
      </c>
      <c r="Q7003" s="411">
        <v>12</v>
      </c>
      <c r="R7003" s="405" t="s">
        <v>402</v>
      </c>
      <c r="S7003" s="405" t="s">
        <v>27121</v>
      </c>
      <c r="T7003" s="405" t="s">
        <v>32102</v>
      </c>
      <c r="U7003" s="405" t="s">
        <v>319</v>
      </c>
    </row>
    <row r="7004" spans="1:21" x14ac:dyDescent="0.25">
      <c r="A7004" s="405" t="s">
        <v>310</v>
      </c>
      <c r="B7004" s="405" t="s">
        <v>20781</v>
      </c>
      <c r="C7004" s="405" t="s">
        <v>327</v>
      </c>
      <c r="D7004" s="405"/>
      <c r="E7004" s="410">
        <v>41231</v>
      </c>
      <c r="F7004" s="410">
        <v>41276</v>
      </c>
      <c r="G7004" s="405" t="s">
        <v>20782</v>
      </c>
      <c r="H7004" s="405">
        <v>774821473</v>
      </c>
      <c r="I7004" s="405">
        <v>772556208</v>
      </c>
      <c r="J7004" s="405">
        <v>0.66795199999999999</v>
      </c>
      <c r="K7004" s="405">
        <v>30.437456999999998</v>
      </c>
      <c r="L7004" s="405" t="s">
        <v>590</v>
      </c>
      <c r="M7004" s="405" t="s">
        <v>20426</v>
      </c>
      <c r="N7004" s="405" t="s">
        <v>10925</v>
      </c>
      <c r="O7004" s="405" t="s">
        <v>20783</v>
      </c>
      <c r="P7004" s="405" t="s">
        <v>20784</v>
      </c>
      <c r="Q7004" s="411">
        <v>6</v>
      </c>
      <c r="R7004" s="405" t="s">
        <v>333</v>
      </c>
      <c r="S7004" s="405" t="s">
        <v>27065</v>
      </c>
      <c r="T7004" s="405" t="s">
        <v>32102</v>
      </c>
      <c r="U7004" s="405" t="s">
        <v>319</v>
      </c>
    </row>
    <row r="7005" spans="1:21" x14ac:dyDescent="0.25">
      <c r="A7005" s="405" t="s">
        <v>310</v>
      </c>
      <c r="B7005" s="405" t="s">
        <v>11968</v>
      </c>
      <c r="C7005" s="405" t="s">
        <v>327</v>
      </c>
      <c r="D7005" s="405"/>
      <c r="E7005" s="410">
        <v>41231</v>
      </c>
      <c r="F7005" s="410">
        <v>41276</v>
      </c>
      <c r="G7005" s="405" t="s">
        <v>11969</v>
      </c>
      <c r="H7005" s="405" t="s">
        <v>11970</v>
      </c>
      <c r="I7005" s="405"/>
      <c r="J7005" s="405">
        <v>1.1012649999999999</v>
      </c>
      <c r="K7005" s="405">
        <v>34.218558000000002</v>
      </c>
      <c r="L7005" s="405" t="s">
        <v>6866</v>
      </c>
      <c r="M7005" s="405" t="s">
        <v>9514</v>
      </c>
      <c r="N7005" s="405" t="s">
        <v>9529</v>
      </c>
      <c r="O7005" s="405" t="s">
        <v>10614</v>
      </c>
      <c r="P7005" s="405" t="s">
        <v>11971</v>
      </c>
      <c r="Q7005" s="411">
        <v>6</v>
      </c>
      <c r="R7005" s="405" t="s">
        <v>7224</v>
      </c>
      <c r="S7005" s="405" t="s">
        <v>17062</v>
      </c>
      <c r="T7005" s="405" t="s">
        <v>32102</v>
      </c>
      <c r="U7005" s="405" t="s">
        <v>319</v>
      </c>
    </row>
    <row r="7006" spans="1:21" hidden="1" x14ac:dyDescent="0.25">
      <c r="A7006" s="405" t="s">
        <v>310</v>
      </c>
      <c r="B7006" s="405" t="s">
        <v>3628</v>
      </c>
      <c r="C7006" s="405" t="s">
        <v>857</v>
      </c>
      <c r="D7006" s="405" t="s">
        <v>4630</v>
      </c>
      <c r="E7006" s="410">
        <v>41229</v>
      </c>
      <c r="F7006" s="410">
        <v>41274</v>
      </c>
      <c r="G7006" s="405" t="s">
        <v>3629</v>
      </c>
      <c r="H7006" s="405">
        <v>701920192</v>
      </c>
      <c r="I7006" s="405">
        <v>776920192</v>
      </c>
      <c r="J7006" s="405">
        <v>0.49543799999999999</v>
      </c>
      <c r="K7006" s="405">
        <v>31.239407</v>
      </c>
      <c r="L7006" s="405" t="s">
        <v>314</v>
      </c>
      <c r="M7006" s="405" t="s">
        <v>445</v>
      </c>
      <c r="N7006" s="405" t="s">
        <v>2528</v>
      </c>
      <c r="O7006" s="405" t="s">
        <v>3128</v>
      </c>
      <c r="P7006" s="405" t="s">
        <v>3440</v>
      </c>
      <c r="Q7006" s="411">
        <v>6</v>
      </c>
      <c r="R7006" s="405" t="s">
        <v>318</v>
      </c>
      <c r="S7006" s="405" t="s">
        <v>27174</v>
      </c>
      <c r="T7006" s="405" t="s">
        <v>32102</v>
      </c>
      <c r="U7006" s="405" t="s">
        <v>319</v>
      </c>
    </row>
    <row r="7007" spans="1:21" hidden="1" x14ac:dyDescent="0.25">
      <c r="A7007" s="405" t="s">
        <v>310</v>
      </c>
      <c r="B7007" s="405" t="s">
        <v>3030</v>
      </c>
      <c r="C7007" s="405" t="s">
        <v>327</v>
      </c>
      <c r="D7007" s="405"/>
      <c r="E7007" s="410">
        <v>41228</v>
      </c>
      <c r="F7007" s="410">
        <v>41273</v>
      </c>
      <c r="G7007" s="405" t="s">
        <v>3031</v>
      </c>
      <c r="H7007" s="405">
        <v>784201988</v>
      </c>
      <c r="I7007" s="405"/>
      <c r="J7007" s="405">
        <v>6.8916666666666668E-2</v>
      </c>
      <c r="K7007" s="405">
        <v>32.101233333333333</v>
      </c>
      <c r="L7007" s="405" t="s">
        <v>314</v>
      </c>
      <c r="M7007" s="405" t="s">
        <v>321</v>
      </c>
      <c r="N7007" s="405" t="s">
        <v>322</v>
      </c>
      <c r="O7007" s="405" t="s">
        <v>476</v>
      </c>
      <c r="P7007" s="405" t="s">
        <v>1895</v>
      </c>
      <c r="Q7007" s="411">
        <v>9</v>
      </c>
      <c r="R7007" s="405" t="s">
        <v>318</v>
      </c>
      <c r="S7007" s="405" t="s">
        <v>27134</v>
      </c>
      <c r="T7007" s="405" t="s">
        <v>32102</v>
      </c>
      <c r="U7007" s="405" t="s">
        <v>319</v>
      </c>
    </row>
    <row r="7008" spans="1:21" hidden="1" x14ac:dyDescent="0.25">
      <c r="A7008" s="405" t="s">
        <v>310</v>
      </c>
      <c r="B7008" s="405" t="s">
        <v>3124</v>
      </c>
      <c r="C7008" s="405" t="s">
        <v>327</v>
      </c>
      <c r="D7008" s="405"/>
      <c r="E7008" s="410">
        <v>41228</v>
      </c>
      <c r="F7008" s="410">
        <v>41273</v>
      </c>
      <c r="G7008" s="405" t="s">
        <v>3125</v>
      </c>
      <c r="H7008" s="405">
        <v>773929708</v>
      </c>
      <c r="I7008" s="405"/>
      <c r="J7008" s="405">
        <v>0.68381999999999998</v>
      </c>
      <c r="K7008" s="405">
        <v>31.349867</v>
      </c>
      <c r="L7008" s="405" t="s">
        <v>314</v>
      </c>
      <c r="M7008" s="405" t="s">
        <v>445</v>
      </c>
      <c r="N7008" s="405" t="s">
        <v>446</v>
      </c>
      <c r="O7008" s="405" t="s">
        <v>2953</v>
      </c>
      <c r="P7008" s="405" t="s">
        <v>2953</v>
      </c>
      <c r="Q7008" s="411">
        <v>6</v>
      </c>
      <c r="R7008" s="405" t="s">
        <v>318</v>
      </c>
      <c r="S7008" s="405" t="s">
        <v>27054</v>
      </c>
      <c r="T7008" s="405" t="s">
        <v>32102</v>
      </c>
      <c r="U7008" s="405" t="s">
        <v>319</v>
      </c>
    </row>
    <row r="7009" spans="1:21" hidden="1" x14ac:dyDescent="0.25">
      <c r="A7009" s="405" t="s">
        <v>310</v>
      </c>
      <c r="B7009" s="405" t="s">
        <v>11962</v>
      </c>
      <c r="C7009" s="405" t="s">
        <v>327</v>
      </c>
      <c r="D7009" s="405"/>
      <c r="E7009" s="410">
        <v>41228</v>
      </c>
      <c r="F7009" s="410">
        <v>41273</v>
      </c>
      <c r="G7009" s="405" t="s">
        <v>11963</v>
      </c>
      <c r="H7009" s="405">
        <v>772952554</v>
      </c>
      <c r="I7009" s="405">
        <v>774462575</v>
      </c>
      <c r="J7009" s="405">
        <v>0.57403800000000005</v>
      </c>
      <c r="K7009" s="405">
        <v>33.311255000000003</v>
      </c>
      <c r="L7009" s="405" t="s">
        <v>6866</v>
      </c>
      <c r="M7009" s="405" t="s">
        <v>9590</v>
      </c>
      <c r="N7009" s="405" t="s">
        <v>9591</v>
      </c>
      <c r="O7009" s="405" t="s">
        <v>11964</v>
      </c>
      <c r="P7009" s="405" t="s">
        <v>11965</v>
      </c>
      <c r="Q7009" s="411">
        <v>6</v>
      </c>
      <c r="R7009" s="405" t="s">
        <v>318</v>
      </c>
      <c r="S7009" s="405" t="s">
        <v>27134</v>
      </c>
      <c r="T7009" s="405" t="s">
        <v>32102</v>
      </c>
      <c r="U7009" s="405" t="s">
        <v>319</v>
      </c>
    </row>
    <row r="7010" spans="1:21" hidden="1" x14ac:dyDescent="0.25">
      <c r="A7010" s="405" t="s">
        <v>310</v>
      </c>
      <c r="B7010" s="405" t="s">
        <v>11895</v>
      </c>
      <c r="C7010" s="405" t="s">
        <v>327</v>
      </c>
      <c r="D7010" s="405"/>
      <c r="E7010" s="410">
        <v>41228</v>
      </c>
      <c r="F7010" s="410">
        <v>41273</v>
      </c>
      <c r="G7010" s="405" t="s">
        <v>11896</v>
      </c>
      <c r="H7010" s="405">
        <v>782329391</v>
      </c>
      <c r="I7010" s="405">
        <v>753329391</v>
      </c>
      <c r="J7010" s="405">
        <v>0.79538600000000004</v>
      </c>
      <c r="K7010" s="405">
        <v>33.942320000000002</v>
      </c>
      <c r="L7010" s="405" t="s">
        <v>6866</v>
      </c>
      <c r="M7010" s="405" t="s">
        <v>9534</v>
      </c>
      <c r="N7010" s="405" t="s">
        <v>10085</v>
      </c>
      <c r="O7010" s="405" t="s">
        <v>10922</v>
      </c>
      <c r="P7010" s="405" t="s">
        <v>11897</v>
      </c>
      <c r="Q7010" s="411">
        <v>6</v>
      </c>
      <c r="R7010" s="405" t="s">
        <v>7224</v>
      </c>
      <c r="S7010" s="405" t="s">
        <v>27259</v>
      </c>
      <c r="T7010" s="405" t="s">
        <v>32102</v>
      </c>
      <c r="U7010" s="405" t="s">
        <v>319</v>
      </c>
    </row>
    <row r="7011" spans="1:21" hidden="1" x14ac:dyDescent="0.25">
      <c r="A7011" s="405" t="s">
        <v>310</v>
      </c>
      <c r="B7011" s="405" t="s">
        <v>29054</v>
      </c>
      <c r="C7011" s="405" t="s">
        <v>327</v>
      </c>
      <c r="D7011" s="405"/>
      <c r="E7011" s="410">
        <v>41227</v>
      </c>
      <c r="F7011" s="410">
        <v>41272</v>
      </c>
      <c r="G7011" s="405" t="s">
        <v>3078</v>
      </c>
      <c r="H7011" s="405">
        <v>757273452</v>
      </c>
      <c r="I7011" s="405"/>
      <c r="J7011" s="405">
        <v>0.34033330000000001</v>
      </c>
      <c r="K7011" s="405">
        <v>32.356058400000002</v>
      </c>
      <c r="L7011" s="405" t="s">
        <v>314</v>
      </c>
      <c r="M7011" s="405" t="s">
        <v>321</v>
      </c>
      <c r="N7011" s="405" t="s">
        <v>322</v>
      </c>
      <c r="O7011" s="405" t="s">
        <v>1017</v>
      </c>
      <c r="P7011" s="405" t="s">
        <v>3079</v>
      </c>
      <c r="Q7011" s="411">
        <v>6</v>
      </c>
      <c r="R7011" s="405" t="s">
        <v>318</v>
      </c>
      <c r="S7011" s="405" t="s">
        <v>27134</v>
      </c>
      <c r="T7011" s="405" t="s">
        <v>32102</v>
      </c>
      <c r="U7011" s="405" t="s">
        <v>319</v>
      </c>
    </row>
    <row r="7012" spans="1:21" hidden="1" x14ac:dyDescent="0.25">
      <c r="A7012" s="405" t="s">
        <v>310</v>
      </c>
      <c r="B7012" s="405" t="s">
        <v>3020</v>
      </c>
      <c r="C7012" s="405" t="s">
        <v>327</v>
      </c>
      <c r="D7012" s="405"/>
      <c r="E7012" s="410">
        <v>41227</v>
      </c>
      <c r="F7012" s="410">
        <v>41272</v>
      </c>
      <c r="G7012" s="405" t="s">
        <v>3021</v>
      </c>
      <c r="H7012" s="405">
        <v>752540110</v>
      </c>
      <c r="I7012" s="405">
        <v>776540119</v>
      </c>
      <c r="J7012" s="405">
        <v>-0.32788699999999998</v>
      </c>
      <c r="K7012" s="405">
        <v>31.497157999999999</v>
      </c>
      <c r="L7012" s="405" t="s">
        <v>314</v>
      </c>
      <c r="M7012" s="405" t="s">
        <v>1189</v>
      </c>
      <c r="N7012" s="405" t="s">
        <v>2556</v>
      </c>
      <c r="O7012" s="405" t="s">
        <v>1189</v>
      </c>
      <c r="P7012" s="405" t="s">
        <v>3022</v>
      </c>
      <c r="Q7012" s="411">
        <v>6</v>
      </c>
      <c r="R7012" s="405" t="s">
        <v>1263</v>
      </c>
      <c r="S7012" s="405" t="s">
        <v>27189</v>
      </c>
      <c r="T7012" s="405" t="s">
        <v>32102</v>
      </c>
      <c r="U7012" s="405" t="s">
        <v>319</v>
      </c>
    </row>
    <row r="7013" spans="1:21" hidden="1" x14ac:dyDescent="0.25">
      <c r="A7013" s="405" t="s">
        <v>310</v>
      </c>
      <c r="B7013" s="405" t="s">
        <v>11931</v>
      </c>
      <c r="C7013" s="405" t="s">
        <v>327</v>
      </c>
      <c r="D7013" s="405"/>
      <c r="E7013" s="410">
        <v>41227</v>
      </c>
      <c r="F7013" s="410">
        <v>41272</v>
      </c>
      <c r="G7013" s="405" t="s">
        <v>11932</v>
      </c>
      <c r="H7013" s="405">
        <v>782364995</v>
      </c>
      <c r="I7013" s="405"/>
      <c r="J7013" s="405">
        <v>0.98940300000000003</v>
      </c>
      <c r="K7013" s="405">
        <v>34.139136999999998</v>
      </c>
      <c r="L7013" s="405" t="s">
        <v>6866</v>
      </c>
      <c r="M7013" s="405" t="s">
        <v>9514</v>
      </c>
      <c r="N7013" s="405" t="s">
        <v>9529</v>
      </c>
      <c r="O7013" s="405" t="s">
        <v>9603</v>
      </c>
      <c r="P7013" s="405" t="s">
        <v>11933</v>
      </c>
      <c r="Q7013" s="411">
        <v>6</v>
      </c>
      <c r="R7013" s="405" t="s">
        <v>7224</v>
      </c>
      <c r="S7013" s="405" t="s">
        <v>17013</v>
      </c>
      <c r="T7013" s="405" t="s">
        <v>32102</v>
      </c>
      <c r="U7013" s="405" t="s">
        <v>319</v>
      </c>
    </row>
    <row r="7014" spans="1:21" hidden="1" x14ac:dyDescent="0.25">
      <c r="A7014" s="405" t="s">
        <v>310</v>
      </c>
      <c r="B7014" s="405" t="s">
        <v>27772</v>
      </c>
      <c r="C7014" s="405" t="s">
        <v>327</v>
      </c>
      <c r="D7014" s="405"/>
      <c r="E7014" s="410">
        <v>41226</v>
      </c>
      <c r="F7014" s="410">
        <v>41271</v>
      </c>
      <c r="G7014" s="405" t="s">
        <v>3135</v>
      </c>
      <c r="H7014" s="405">
        <v>772472874</v>
      </c>
      <c r="I7014" s="405">
        <v>754472874</v>
      </c>
      <c r="J7014" s="405">
        <v>1.0052080000000001</v>
      </c>
      <c r="K7014" s="405">
        <v>32.554428000000001</v>
      </c>
      <c r="L7014" s="405" t="s">
        <v>314</v>
      </c>
      <c r="M7014" s="405" t="s">
        <v>2512</v>
      </c>
      <c r="N7014" s="405" t="s">
        <v>2512</v>
      </c>
      <c r="O7014" s="405" t="s">
        <v>2513</v>
      </c>
      <c r="P7014" s="405" t="s">
        <v>3134</v>
      </c>
      <c r="Q7014" s="411">
        <v>9</v>
      </c>
      <c r="R7014" s="405" t="s">
        <v>32476</v>
      </c>
      <c r="S7014" s="405" t="s">
        <v>27193</v>
      </c>
      <c r="T7014" s="405" t="s">
        <v>32102</v>
      </c>
      <c r="U7014" s="405" t="s">
        <v>319</v>
      </c>
    </row>
    <row r="7015" spans="1:21" hidden="1" x14ac:dyDescent="0.25">
      <c r="A7015" s="405" t="s">
        <v>310</v>
      </c>
      <c r="B7015" s="405" t="s">
        <v>20751</v>
      </c>
      <c r="C7015" s="405" t="s">
        <v>327</v>
      </c>
      <c r="D7015" s="405"/>
      <c r="E7015" s="410">
        <v>41225</v>
      </c>
      <c r="F7015" s="410">
        <v>41270</v>
      </c>
      <c r="G7015" s="405" t="s">
        <v>20752</v>
      </c>
      <c r="H7015" s="405">
        <v>772323970</v>
      </c>
      <c r="I7015" s="405"/>
      <c r="J7015" s="405">
        <v>-0.78647599999999995</v>
      </c>
      <c r="K7015" s="405">
        <v>29.912275999999999</v>
      </c>
      <c r="L7015" s="405" t="s">
        <v>590</v>
      </c>
      <c r="M7015" s="405" t="s">
        <v>19619</v>
      </c>
      <c r="N7015" s="405" t="s">
        <v>19765</v>
      </c>
      <c r="O7015" s="405" t="s">
        <v>20753</v>
      </c>
      <c r="P7015" s="405" t="s">
        <v>20754</v>
      </c>
      <c r="Q7015" s="411">
        <v>9</v>
      </c>
      <c r="R7015" s="405" t="s">
        <v>883</v>
      </c>
      <c r="S7015" s="405" t="s">
        <v>27116</v>
      </c>
      <c r="T7015" s="405" t="s">
        <v>32102</v>
      </c>
      <c r="U7015" s="405" t="s">
        <v>319</v>
      </c>
    </row>
    <row r="7016" spans="1:21" hidden="1" x14ac:dyDescent="0.25">
      <c r="A7016" s="405" t="s">
        <v>310</v>
      </c>
      <c r="B7016" s="405" t="s">
        <v>28899</v>
      </c>
      <c r="C7016" s="405" t="s">
        <v>327</v>
      </c>
      <c r="D7016" s="405"/>
      <c r="E7016" s="410">
        <v>41225</v>
      </c>
      <c r="F7016" s="410">
        <v>41270</v>
      </c>
      <c r="G7016" s="405" t="s">
        <v>3002</v>
      </c>
      <c r="H7016" s="405">
        <v>772822795</v>
      </c>
      <c r="I7016" s="405">
        <v>773414385</v>
      </c>
      <c r="J7016" s="405">
        <v>0.243781</v>
      </c>
      <c r="K7016" s="405">
        <v>32.155259000000001</v>
      </c>
      <c r="L7016" s="405" t="s">
        <v>314</v>
      </c>
      <c r="M7016" s="405" t="s">
        <v>315</v>
      </c>
      <c r="N7016" s="405" t="s">
        <v>315</v>
      </c>
      <c r="O7016" s="405" t="s">
        <v>1411</v>
      </c>
      <c r="P7016" s="405" t="s">
        <v>3003</v>
      </c>
      <c r="Q7016" s="411">
        <v>6</v>
      </c>
      <c r="R7016" s="405" t="s">
        <v>318</v>
      </c>
      <c r="S7016" s="405" t="s">
        <v>27167</v>
      </c>
      <c r="T7016" s="405" t="s">
        <v>32102</v>
      </c>
      <c r="U7016" s="405" t="s">
        <v>319</v>
      </c>
    </row>
    <row r="7017" spans="1:21" hidden="1" x14ac:dyDescent="0.25">
      <c r="A7017" s="405" t="s">
        <v>310</v>
      </c>
      <c r="B7017" s="405" t="s">
        <v>3139</v>
      </c>
      <c r="C7017" s="405" t="s">
        <v>327</v>
      </c>
      <c r="D7017" s="405"/>
      <c r="E7017" s="410">
        <v>41225</v>
      </c>
      <c r="F7017" s="410">
        <v>41270</v>
      </c>
      <c r="G7017" s="405" t="s">
        <v>3140</v>
      </c>
      <c r="H7017" s="405">
        <v>782529086</v>
      </c>
      <c r="I7017" s="405"/>
      <c r="J7017" s="405">
        <v>-0.38758199999999998</v>
      </c>
      <c r="K7017" s="405">
        <v>31.149145000000001</v>
      </c>
      <c r="L7017" s="405" t="s">
        <v>314</v>
      </c>
      <c r="M7017" s="405" t="s">
        <v>1805</v>
      </c>
      <c r="N7017" s="405" t="s">
        <v>1805</v>
      </c>
      <c r="O7017" s="405" t="s">
        <v>1805</v>
      </c>
      <c r="P7017" s="405" t="s">
        <v>2528</v>
      </c>
      <c r="Q7017" s="411">
        <v>6</v>
      </c>
      <c r="R7017" s="405" t="s">
        <v>874</v>
      </c>
      <c r="S7017" s="405" t="s">
        <v>27205</v>
      </c>
      <c r="T7017" s="405" t="s">
        <v>32102</v>
      </c>
      <c r="U7017" s="405" t="s">
        <v>319</v>
      </c>
    </row>
    <row r="7018" spans="1:21" hidden="1" x14ac:dyDescent="0.25">
      <c r="A7018" s="405" t="s">
        <v>310</v>
      </c>
      <c r="B7018" s="405" t="s">
        <v>3037</v>
      </c>
      <c r="C7018" s="405" t="s">
        <v>327</v>
      </c>
      <c r="D7018" s="405"/>
      <c r="E7018" s="410">
        <v>41225</v>
      </c>
      <c r="F7018" s="410">
        <v>41270</v>
      </c>
      <c r="G7018" s="405" t="s">
        <v>3038</v>
      </c>
      <c r="H7018" s="405">
        <v>775295170</v>
      </c>
      <c r="I7018" s="405"/>
      <c r="J7018" s="405">
        <v>0.60716800000000004</v>
      </c>
      <c r="K7018" s="405">
        <v>33.009421000000003</v>
      </c>
      <c r="L7018" s="405" t="s">
        <v>314</v>
      </c>
      <c r="M7018" s="405" t="s">
        <v>502</v>
      </c>
      <c r="N7018" s="405" t="s">
        <v>503</v>
      </c>
      <c r="O7018" s="405" t="s">
        <v>2179</v>
      </c>
      <c r="P7018" s="405" t="s">
        <v>1096</v>
      </c>
      <c r="Q7018" s="411">
        <v>6</v>
      </c>
      <c r="R7018" s="405" t="s">
        <v>1263</v>
      </c>
      <c r="S7018" s="405" t="s">
        <v>27199</v>
      </c>
      <c r="T7018" s="405" t="s">
        <v>32102</v>
      </c>
      <c r="U7018" s="405" t="s">
        <v>319</v>
      </c>
    </row>
    <row r="7019" spans="1:21" hidden="1" x14ac:dyDescent="0.25">
      <c r="A7019" s="405" t="s">
        <v>310</v>
      </c>
      <c r="B7019" s="405" t="s">
        <v>3045</v>
      </c>
      <c r="C7019" s="405" t="s">
        <v>327</v>
      </c>
      <c r="D7019" s="405"/>
      <c r="E7019" s="410">
        <v>41225</v>
      </c>
      <c r="F7019" s="410">
        <v>41270</v>
      </c>
      <c r="G7019" s="405" t="s">
        <v>3046</v>
      </c>
      <c r="H7019" s="405">
        <v>782319318</v>
      </c>
      <c r="I7019" s="405">
        <v>752319318</v>
      </c>
      <c r="J7019" s="405">
        <v>0.36382666666666663</v>
      </c>
      <c r="K7019" s="405">
        <v>32.287419999999997</v>
      </c>
      <c r="L7019" s="405" t="s">
        <v>314</v>
      </c>
      <c r="M7019" s="405" t="s">
        <v>321</v>
      </c>
      <c r="N7019" s="405" t="s">
        <v>322</v>
      </c>
      <c r="O7019" s="405" t="s">
        <v>1017</v>
      </c>
      <c r="P7019" s="405" t="s">
        <v>956</v>
      </c>
      <c r="Q7019" s="411">
        <v>6</v>
      </c>
      <c r="R7019" s="405" t="s">
        <v>402</v>
      </c>
      <c r="S7019" s="405" t="s">
        <v>27139</v>
      </c>
      <c r="T7019" s="405" t="s">
        <v>32102</v>
      </c>
      <c r="U7019" s="405" t="s">
        <v>319</v>
      </c>
    </row>
    <row r="7020" spans="1:21" hidden="1" x14ac:dyDescent="0.25">
      <c r="A7020" s="405" t="s">
        <v>310</v>
      </c>
      <c r="B7020" s="405" t="s">
        <v>2989</v>
      </c>
      <c r="C7020" s="405" t="s">
        <v>327</v>
      </c>
      <c r="D7020" s="405"/>
      <c r="E7020" s="410">
        <v>41224</v>
      </c>
      <c r="F7020" s="410">
        <v>41269</v>
      </c>
      <c r="G7020" s="405" t="s">
        <v>2990</v>
      </c>
      <c r="H7020" s="405">
        <v>772656239</v>
      </c>
      <c r="I7020" s="405"/>
      <c r="J7020" s="405">
        <v>0.17322333333333334</v>
      </c>
      <c r="K7020" s="405">
        <v>32.261768333333329</v>
      </c>
      <c r="L7020" s="405" t="s">
        <v>314</v>
      </c>
      <c r="M7020" s="405" t="s">
        <v>315</v>
      </c>
      <c r="N7020" s="405" t="s">
        <v>315</v>
      </c>
      <c r="O7020" s="405" t="s">
        <v>2063</v>
      </c>
      <c r="P7020" s="405" t="s">
        <v>2991</v>
      </c>
      <c r="Q7020" s="411">
        <v>6</v>
      </c>
      <c r="R7020" s="405" t="s">
        <v>318</v>
      </c>
      <c r="S7020" s="405" t="s">
        <v>27064</v>
      </c>
      <c r="T7020" s="405" t="s">
        <v>32102</v>
      </c>
      <c r="U7020" s="405" t="s">
        <v>319</v>
      </c>
    </row>
    <row r="7021" spans="1:21" hidden="1" x14ac:dyDescent="0.25">
      <c r="A7021" s="405" t="s">
        <v>310</v>
      </c>
      <c r="B7021" s="405" t="s">
        <v>18397</v>
      </c>
      <c r="C7021" s="405" t="s">
        <v>327</v>
      </c>
      <c r="D7021" s="405"/>
      <c r="E7021" s="410">
        <v>41224</v>
      </c>
      <c r="F7021" s="410">
        <v>41269</v>
      </c>
      <c r="G7021" s="405" t="s">
        <v>18398</v>
      </c>
      <c r="H7021" s="405">
        <v>779510441</v>
      </c>
      <c r="I7021" s="405"/>
      <c r="J7021" s="405">
        <v>2.3952279999999999</v>
      </c>
      <c r="K7021" s="405">
        <v>33.034951</v>
      </c>
      <c r="L7021" s="405" t="s">
        <v>860</v>
      </c>
      <c r="M7021" s="405" t="s">
        <v>18376</v>
      </c>
      <c r="N7021" s="405" t="s">
        <v>16319</v>
      </c>
      <c r="O7021" s="405" t="s">
        <v>18377</v>
      </c>
      <c r="P7021" s="405" t="s">
        <v>18399</v>
      </c>
      <c r="Q7021" s="411">
        <v>6</v>
      </c>
      <c r="R7021" s="405" t="s">
        <v>318</v>
      </c>
      <c r="S7021" s="405" t="s">
        <v>27343</v>
      </c>
      <c r="T7021" s="405" t="s">
        <v>32102</v>
      </c>
      <c r="U7021" s="405" t="s">
        <v>319</v>
      </c>
    </row>
    <row r="7022" spans="1:21" hidden="1" x14ac:dyDescent="0.25">
      <c r="A7022" s="405" t="s">
        <v>310</v>
      </c>
      <c r="B7022" s="405" t="s">
        <v>28796</v>
      </c>
      <c r="C7022" s="405" t="s">
        <v>327</v>
      </c>
      <c r="D7022" s="405"/>
      <c r="E7022" s="410">
        <v>41223</v>
      </c>
      <c r="F7022" s="410">
        <v>41268</v>
      </c>
      <c r="G7022" s="405" t="s">
        <v>11888</v>
      </c>
      <c r="H7022" s="405">
        <v>757126129</v>
      </c>
      <c r="I7022" s="405"/>
      <c r="J7022" s="405">
        <v>0.85204599999999997</v>
      </c>
      <c r="K7022" s="405">
        <v>34.001106</v>
      </c>
      <c r="L7022" s="405" t="s">
        <v>6866</v>
      </c>
      <c r="M7022" s="405" t="s">
        <v>9534</v>
      </c>
      <c r="N7022" s="405" t="s">
        <v>10085</v>
      </c>
      <c r="O7022" s="405" t="s">
        <v>10817</v>
      </c>
      <c r="P7022" s="405" t="s">
        <v>10828</v>
      </c>
      <c r="Q7022" s="411">
        <v>6</v>
      </c>
      <c r="R7022" s="405" t="s">
        <v>7224</v>
      </c>
      <c r="S7022" s="405" t="s">
        <v>27302</v>
      </c>
      <c r="T7022" s="405" t="s">
        <v>32102</v>
      </c>
      <c r="U7022" s="405" t="s">
        <v>319</v>
      </c>
    </row>
    <row r="7023" spans="1:21" hidden="1" x14ac:dyDescent="0.25">
      <c r="A7023" s="405" t="s">
        <v>310</v>
      </c>
      <c r="B7023" s="405" t="s">
        <v>11959</v>
      </c>
      <c r="C7023" s="405" t="s">
        <v>327</v>
      </c>
      <c r="D7023" s="405"/>
      <c r="E7023" s="410">
        <v>41222</v>
      </c>
      <c r="F7023" s="410">
        <v>41267</v>
      </c>
      <c r="G7023" s="405" t="s">
        <v>11960</v>
      </c>
      <c r="H7023" s="405">
        <v>786949473</v>
      </c>
      <c r="I7023" s="405"/>
      <c r="J7023" s="405">
        <v>0.88167300000000004</v>
      </c>
      <c r="K7023" s="405">
        <v>34.257426000000002</v>
      </c>
      <c r="L7023" s="405" t="s">
        <v>6866</v>
      </c>
      <c r="M7023" s="405" t="s">
        <v>9763</v>
      </c>
      <c r="N7023" s="405" t="s">
        <v>9764</v>
      </c>
      <c r="O7023" s="405" t="s">
        <v>11120</v>
      </c>
      <c r="P7023" s="405" t="s">
        <v>11961</v>
      </c>
      <c r="Q7023" s="411">
        <v>6</v>
      </c>
      <c r="R7023" s="405" t="s">
        <v>7224</v>
      </c>
      <c r="S7023" s="405" t="s">
        <v>27304</v>
      </c>
      <c r="T7023" s="405" t="s">
        <v>32102</v>
      </c>
      <c r="U7023" s="405" t="s">
        <v>319</v>
      </c>
    </row>
    <row r="7024" spans="1:21" hidden="1" x14ac:dyDescent="0.25">
      <c r="A7024" s="405" t="s">
        <v>310</v>
      </c>
      <c r="B7024" s="405" t="s">
        <v>28566</v>
      </c>
      <c r="C7024" s="405" t="s">
        <v>327</v>
      </c>
      <c r="D7024" s="405"/>
      <c r="E7024" s="410">
        <v>41221</v>
      </c>
      <c r="F7024" s="410">
        <v>41266</v>
      </c>
      <c r="G7024" s="405" t="s">
        <v>3130</v>
      </c>
      <c r="H7024" s="405">
        <v>785430117</v>
      </c>
      <c r="I7024" s="405"/>
      <c r="J7024" s="405">
        <v>0.48924200000000001</v>
      </c>
      <c r="K7024" s="405">
        <v>31.229120000000002</v>
      </c>
      <c r="L7024" s="405" t="s">
        <v>314</v>
      </c>
      <c r="M7024" s="405" t="s">
        <v>445</v>
      </c>
      <c r="N7024" s="405" t="s">
        <v>2528</v>
      </c>
      <c r="O7024" s="405" t="s">
        <v>3128</v>
      </c>
      <c r="P7024" s="405" t="s">
        <v>1881</v>
      </c>
      <c r="Q7024" s="411">
        <v>6</v>
      </c>
      <c r="R7024" s="405" t="s">
        <v>318</v>
      </c>
      <c r="S7024" s="405" t="s">
        <v>27174</v>
      </c>
      <c r="T7024" s="405" t="s">
        <v>32102</v>
      </c>
      <c r="U7024" s="405" t="s">
        <v>319</v>
      </c>
    </row>
    <row r="7025" spans="1:21" hidden="1" x14ac:dyDescent="0.25">
      <c r="A7025" s="405" t="s">
        <v>310</v>
      </c>
      <c r="B7025" s="405" t="s">
        <v>11901</v>
      </c>
      <c r="C7025" s="405" t="s">
        <v>327</v>
      </c>
      <c r="D7025" s="405"/>
      <c r="E7025" s="410">
        <v>41221</v>
      </c>
      <c r="F7025" s="410">
        <v>41266</v>
      </c>
      <c r="G7025" s="405" t="s">
        <v>11902</v>
      </c>
      <c r="H7025" s="405">
        <v>700890535</v>
      </c>
      <c r="I7025" s="405"/>
      <c r="J7025" s="405">
        <v>1.080263</v>
      </c>
      <c r="K7025" s="405">
        <v>34.16404</v>
      </c>
      <c r="L7025" s="405" t="s">
        <v>6866</v>
      </c>
      <c r="M7025" s="405" t="s">
        <v>9514</v>
      </c>
      <c r="N7025" s="405" t="s">
        <v>10236</v>
      </c>
      <c r="O7025" s="405" t="s">
        <v>11903</v>
      </c>
      <c r="P7025" s="405" t="s">
        <v>11904</v>
      </c>
      <c r="Q7025" s="411">
        <v>6</v>
      </c>
      <c r="R7025" s="405" t="s">
        <v>9541</v>
      </c>
      <c r="S7025" s="405" t="s">
        <v>27296</v>
      </c>
      <c r="T7025" s="405" t="s">
        <v>32102</v>
      </c>
      <c r="U7025" s="405" t="s">
        <v>319</v>
      </c>
    </row>
    <row r="7026" spans="1:21" hidden="1" x14ac:dyDescent="0.25">
      <c r="A7026" s="405" t="s">
        <v>310</v>
      </c>
      <c r="B7026" s="405" t="s">
        <v>11916</v>
      </c>
      <c r="C7026" s="405" t="s">
        <v>327</v>
      </c>
      <c r="D7026" s="405"/>
      <c r="E7026" s="410">
        <v>41221</v>
      </c>
      <c r="F7026" s="410">
        <v>41266</v>
      </c>
      <c r="G7026" s="405" t="s">
        <v>11917</v>
      </c>
      <c r="H7026" s="405">
        <v>778195949</v>
      </c>
      <c r="I7026" s="405">
        <v>782717487</v>
      </c>
      <c r="J7026" s="405">
        <v>0.93336549999999996</v>
      </c>
      <c r="K7026" s="405">
        <v>33.130796099999998</v>
      </c>
      <c r="L7026" s="405" t="s">
        <v>6866</v>
      </c>
      <c r="M7026" s="405" t="s">
        <v>3009</v>
      </c>
      <c r="N7026" s="405" t="s">
        <v>9842</v>
      </c>
      <c r="O7026" s="405" t="s">
        <v>10016</v>
      </c>
      <c r="P7026" s="405" t="s">
        <v>11918</v>
      </c>
      <c r="Q7026" s="411">
        <v>4</v>
      </c>
      <c r="R7026" s="405" t="s">
        <v>32478</v>
      </c>
      <c r="S7026" s="405" t="s">
        <v>27124</v>
      </c>
      <c r="T7026" s="405" t="s">
        <v>32102</v>
      </c>
      <c r="U7026" s="405" t="s">
        <v>319</v>
      </c>
    </row>
    <row r="7027" spans="1:21" hidden="1" x14ac:dyDescent="0.25">
      <c r="A7027" s="405" t="s">
        <v>310</v>
      </c>
      <c r="B7027" s="405" t="s">
        <v>3032</v>
      </c>
      <c r="C7027" s="405" t="s">
        <v>327</v>
      </c>
      <c r="D7027" s="405"/>
      <c r="E7027" s="410">
        <v>41219</v>
      </c>
      <c r="F7027" s="410">
        <v>41264</v>
      </c>
      <c r="G7027" s="405" t="s">
        <v>3033</v>
      </c>
      <c r="H7027" s="405">
        <v>712192678</v>
      </c>
      <c r="I7027" s="405">
        <v>789533973</v>
      </c>
      <c r="J7027" s="405">
        <v>0.60716800000000004</v>
      </c>
      <c r="K7027" s="405">
        <v>33.009421000000003</v>
      </c>
      <c r="L7027" s="405" t="s">
        <v>314</v>
      </c>
      <c r="M7027" s="405" t="s">
        <v>502</v>
      </c>
      <c r="N7027" s="405" t="s">
        <v>503</v>
      </c>
      <c r="O7027" s="405" t="s">
        <v>2179</v>
      </c>
      <c r="P7027" s="405" t="s">
        <v>3034</v>
      </c>
      <c r="Q7027" s="411">
        <v>6</v>
      </c>
      <c r="R7027" s="405" t="s">
        <v>1263</v>
      </c>
      <c r="S7027" s="405" t="s">
        <v>27110</v>
      </c>
      <c r="T7027" s="405" t="s">
        <v>32102</v>
      </c>
      <c r="U7027" s="405" t="s">
        <v>319</v>
      </c>
    </row>
    <row r="7028" spans="1:21" hidden="1" x14ac:dyDescent="0.25">
      <c r="A7028" s="405" t="s">
        <v>310</v>
      </c>
      <c r="B7028" s="405" t="s">
        <v>3076</v>
      </c>
      <c r="C7028" s="405" t="s">
        <v>327</v>
      </c>
      <c r="D7028" s="405"/>
      <c r="E7028" s="410">
        <v>41218</v>
      </c>
      <c r="F7028" s="410">
        <v>41263</v>
      </c>
      <c r="G7028" s="405" t="s">
        <v>3077</v>
      </c>
      <c r="H7028" s="405">
        <v>772413891</v>
      </c>
      <c r="I7028" s="405">
        <v>752413891</v>
      </c>
      <c r="J7028" s="405">
        <v>0.36298740000000002</v>
      </c>
      <c r="K7028" s="405">
        <v>32.735253499999999</v>
      </c>
      <c r="L7028" s="405" t="s">
        <v>314</v>
      </c>
      <c r="M7028" s="405" t="s">
        <v>329</v>
      </c>
      <c r="N7028" s="405" t="s">
        <v>330</v>
      </c>
      <c r="O7028" s="405" t="s">
        <v>706</v>
      </c>
      <c r="P7028" s="405" t="s">
        <v>784</v>
      </c>
      <c r="Q7028" s="411">
        <v>4</v>
      </c>
      <c r="R7028" s="405" t="s">
        <v>353</v>
      </c>
      <c r="S7028" s="405" t="s">
        <v>27110</v>
      </c>
      <c r="T7028" s="405" t="s">
        <v>32102</v>
      </c>
      <c r="U7028" s="405" t="s">
        <v>319</v>
      </c>
    </row>
    <row r="7029" spans="1:21" hidden="1" x14ac:dyDescent="0.25">
      <c r="A7029" s="405" t="s">
        <v>310</v>
      </c>
      <c r="B7029" s="405" t="s">
        <v>29035</v>
      </c>
      <c r="C7029" s="405" t="s">
        <v>327</v>
      </c>
      <c r="D7029" s="405"/>
      <c r="E7029" s="410">
        <v>41217</v>
      </c>
      <c r="F7029" s="410">
        <v>41262</v>
      </c>
      <c r="G7029" s="405" t="s">
        <v>11925</v>
      </c>
      <c r="H7029" s="405">
        <v>782706678</v>
      </c>
      <c r="I7029" s="405"/>
      <c r="J7029" s="405">
        <v>0.974078</v>
      </c>
      <c r="K7029" s="405">
        <v>34.332796999999999</v>
      </c>
      <c r="L7029" s="405" t="s">
        <v>6866</v>
      </c>
      <c r="M7029" s="405" t="s">
        <v>9763</v>
      </c>
      <c r="N7029" s="405" t="s">
        <v>9764</v>
      </c>
      <c r="O7029" s="405" t="s">
        <v>11926</v>
      </c>
      <c r="P7029" s="405" t="s">
        <v>11927</v>
      </c>
      <c r="Q7029" s="411">
        <v>9</v>
      </c>
      <c r="R7029" s="405" t="s">
        <v>7224</v>
      </c>
      <c r="S7029" s="405" t="s">
        <v>27074</v>
      </c>
      <c r="T7029" s="405" t="s">
        <v>32102</v>
      </c>
      <c r="U7029" s="405" t="s">
        <v>319</v>
      </c>
    </row>
    <row r="7030" spans="1:21" hidden="1" x14ac:dyDescent="0.25">
      <c r="A7030" s="405" t="s">
        <v>310</v>
      </c>
      <c r="B7030" s="405" t="s">
        <v>20755</v>
      </c>
      <c r="C7030" s="405" t="s">
        <v>327</v>
      </c>
      <c r="D7030" s="405"/>
      <c r="E7030" s="410">
        <v>41216</v>
      </c>
      <c r="F7030" s="410">
        <v>41261</v>
      </c>
      <c r="G7030" s="405" t="s">
        <v>20756</v>
      </c>
      <c r="H7030" s="405">
        <v>785117193</v>
      </c>
      <c r="I7030" s="405"/>
      <c r="J7030" s="405">
        <v>0.29571700000000001</v>
      </c>
      <c r="K7030" s="405">
        <v>30.959119000000001</v>
      </c>
      <c r="L7030" s="405" t="s">
        <v>590</v>
      </c>
      <c r="M7030" s="405" t="s">
        <v>20757</v>
      </c>
      <c r="N7030" s="405" t="s">
        <v>20758</v>
      </c>
      <c r="O7030" s="405" t="s">
        <v>20759</v>
      </c>
      <c r="P7030" s="405" t="s">
        <v>20760</v>
      </c>
      <c r="Q7030" s="411">
        <v>13</v>
      </c>
      <c r="R7030" s="405" t="s">
        <v>883</v>
      </c>
      <c r="S7030" s="405" t="s">
        <v>27183</v>
      </c>
      <c r="T7030" s="405" t="s">
        <v>32102</v>
      </c>
      <c r="U7030" s="405" t="s">
        <v>319</v>
      </c>
    </row>
    <row r="7031" spans="1:21" hidden="1" x14ac:dyDescent="0.25">
      <c r="A7031" s="405" t="s">
        <v>310</v>
      </c>
      <c r="B7031" s="405" t="s">
        <v>11892</v>
      </c>
      <c r="C7031" s="405" t="s">
        <v>327</v>
      </c>
      <c r="D7031" s="405"/>
      <c r="E7031" s="410">
        <v>41216</v>
      </c>
      <c r="F7031" s="410">
        <v>41261</v>
      </c>
      <c r="G7031" s="405" t="s">
        <v>11893</v>
      </c>
      <c r="H7031" s="405">
        <v>777082284</v>
      </c>
      <c r="I7031" s="405"/>
      <c r="J7031" s="405">
        <v>0.83379400000000004</v>
      </c>
      <c r="K7031" s="405">
        <v>34.039639999999999</v>
      </c>
      <c r="L7031" s="405" t="s">
        <v>6866</v>
      </c>
      <c r="M7031" s="405" t="s">
        <v>9534</v>
      </c>
      <c r="N7031" s="405" t="s">
        <v>10085</v>
      </c>
      <c r="O7031" s="405" t="s">
        <v>10817</v>
      </c>
      <c r="P7031" s="405" t="s">
        <v>11894</v>
      </c>
      <c r="Q7031" s="411">
        <v>6</v>
      </c>
      <c r="R7031" s="405" t="s">
        <v>7224</v>
      </c>
      <c r="S7031" s="405" t="s">
        <v>27259</v>
      </c>
      <c r="T7031" s="405" t="s">
        <v>32102</v>
      </c>
      <c r="U7031" s="405" t="s">
        <v>319</v>
      </c>
    </row>
    <row r="7032" spans="1:21" hidden="1" x14ac:dyDescent="0.25">
      <c r="A7032" s="405" t="s">
        <v>310</v>
      </c>
      <c r="B7032" s="405" t="s">
        <v>3068</v>
      </c>
      <c r="C7032" s="405" t="s">
        <v>327</v>
      </c>
      <c r="D7032" s="405"/>
      <c r="E7032" s="410">
        <v>41216</v>
      </c>
      <c r="F7032" s="410">
        <v>41261</v>
      </c>
      <c r="G7032" s="405" t="s">
        <v>3069</v>
      </c>
      <c r="H7032" s="405">
        <v>772555714</v>
      </c>
      <c r="I7032" s="405"/>
      <c r="J7032" s="405">
        <v>0.44598949999999998</v>
      </c>
      <c r="K7032" s="405">
        <v>32.564317699999997</v>
      </c>
      <c r="L7032" s="405" t="s">
        <v>314</v>
      </c>
      <c r="M7032" s="405" t="s">
        <v>361</v>
      </c>
      <c r="N7032" s="405" t="s">
        <v>370</v>
      </c>
      <c r="O7032" s="405" t="s">
        <v>370</v>
      </c>
      <c r="P7032" s="405" t="s">
        <v>2891</v>
      </c>
      <c r="Q7032" s="411">
        <v>4</v>
      </c>
      <c r="R7032" s="405" t="s">
        <v>1263</v>
      </c>
      <c r="S7032" s="405" t="s">
        <v>27207</v>
      </c>
      <c r="T7032" s="405" t="s">
        <v>32102</v>
      </c>
      <c r="U7032" s="405" t="s">
        <v>319</v>
      </c>
    </row>
    <row r="7033" spans="1:21" hidden="1" x14ac:dyDescent="0.25">
      <c r="A7033" s="405" t="s">
        <v>310</v>
      </c>
      <c r="B7033" s="405" t="s">
        <v>3588</v>
      </c>
      <c r="C7033" s="405" t="s">
        <v>311</v>
      </c>
      <c r="D7033" s="405" t="s">
        <v>1789</v>
      </c>
      <c r="E7033" s="410">
        <v>41213</v>
      </c>
      <c r="F7033" s="410">
        <v>41258</v>
      </c>
      <c r="G7033" s="405" t="s">
        <v>3589</v>
      </c>
      <c r="H7033" s="405">
        <v>701305995</v>
      </c>
      <c r="I7033" s="405">
        <v>774650050</v>
      </c>
      <c r="J7033" s="405">
        <v>0.24112</v>
      </c>
      <c r="K7033" s="405">
        <v>32.546689999999998</v>
      </c>
      <c r="L7033" s="405" t="s">
        <v>314</v>
      </c>
      <c r="M7033" s="405" t="s">
        <v>361</v>
      </c>
      <c r="N7033" s="405" t="s">
        <v>3590</v>
      </c>
      <c r="O7033" s="405" t="s">
        <v>618</v>
      </c>
      <c r="P7033" s="405" t="s">
        <v>1341</v>
      </c>
      <c r="Q7033" s="411">
        <v>13</v>
      </c>
      <c r="R7033" s="405" t="s">
        <v>402</v>
      </c>
      <c r="S7033" s="405" t="s">
        <v>27052</v>
      </c>
      <c r="T7033" s="405" t="s">
        <v>32102</v>
      </c>
      <c r="U7033" s="405" t="s">
        <v>319</v>
      </c>
    </row>
    <row r="7034" spans="1:21" hidden="1" x14ac:dyDescent="0.25">
      <c r="A7034" s="405" t="s">
        <v>310</v>
      </c>
      <c r="B7034" s="405" t="s">
        <v>3101</v>
      </c>
      <c r="C7034" s="405" t="s">
        <v>327</v>
      </c>
      <c r="D7034" s="405"/>
      <c r="E7034" s="410">
        <v>41213</v>
      </c>
      <c r="F7034" s="410">
        <v>41258</v>
      </c>
      <c r="G7034" s="405" t="s">
        <v>3102</v>
      </c>
      <c r="H7034" s="405">
        <v>781582890</v>
      </c>
      <c r="I7034" s="405"/>
      <c r="J7034" s="405">
        <v>0.35115499999999999</v>
      </c>
      <c r="K7034" s="405">
        <v>32.664577000000001</v>
      </c>
      <c r="L7034" s="405" t="s">
        <v>314</v>
      </c>
      <c r="M7034" s="405" t="s">
        <v>361</v>
      </c>
      <c r="N7034" s="405" t="s">
        <v>379</v>
      </c>
      <c r="O7034" s="405" t="s">
        <v>379</v>
      </c>
      <c r="P7034" s="405" t="s">
        <v>3103</v>
      </c>
      <c r="Q7034" s="411">
        <v>13</v>
      </c>
      <c r="R7034" s="405" t="s">
        <v>353</v>
      </c>
      <c r="S7034" s="405" t="s">
        <v>27115</v>
      </c>
      <c r="T7034" s="405" t="s">
        <v>32102</v>
      </c>
      <c r="U7034" s="405" t="s">
        <v>319</v>
      </c>
    </row>
    <row r="7035" spans="1:21" hidden="1" x14ac:dyDescent="0.25">
      <c r="A7035" s="405" t="s">
        <v>310</v>
      </c>
      <c r="B7035" s="405" t="s">
        <v>3098</v>
      </c>
      <c r="C7035" s="405" t="s">
        <v>327</v>
      </c>
      <c r="D7035" s="405"/>
      <c r="E7035" s="410">
        <v>41213</v>
      </c>
      <c r="F7035" s="410">
        <v>41258</v>
      </c>
      <c r="G7035" s="405" t="s">
        <v>3099</v>
      </c>
      <c r="H7035" s="405">
        <v>772501209</v>
      </c>
      <c r="I7035" s="405"/>
      <c r="J7035" s="405">
        <v>0.75570199999999998</v>
      </c>
      <c r="K7035" s="405">
        <v>32.705559999999998</v>
      </c>
      <c r="L7035" s="405" t="s">
        <v>314</v>
      </c>
      <c r="M7035" s="405" t="s">
        <v>959</v>
      </c>
      <c r="N7035" s="405" t="s">
        <v>960</v>
      </c>
      <c r="O7035" s="405" t="s">
        <v>2921</v>
      </c>
      <c r="P7035" s="405" t="s">
        <v>2514</v>
      </c>
      <c r="Q7035" s="411">
        <v>13</v>
      </c>
      <c r="R7035" s="405" t="s">
        <v>353</v>
      </c>
      <c r="S7035" s="405" t="s">
        <v>27129</v>
      </c>
      <c r="T7035" s="405" t="s">
        <v>32102</v>
      </c>
      <c r="U7035" s="405" t="s">
        <v>319</v>
      </c>
    </row>
    <row r="7036" spans="1:21" hidden="1" x14ac:dyDescent="0.25">
      <c r="A7036" s="405" t="s">
        <v>310</v>
      </c>
      <c r="B7036" s="405" t="s">
        <v>28410</v>
      </c>
      <c r="C7036" s="405" t="s">
        <v>327</v>
      </c>
      <c r="D7036" s="405"/>
      <c r="E7036" s="410">
        <v>41213</v>
      </c>
      <c r="F7036" s="410">
        <v>41258</v>
      </c>
      <c r="G7036" s="405" t="s">
        <v>20732</v>
      </c>
      <c r="H7036" s="405">
        <v>752498725</v>
      </c>
      <c r="I7036" s="405">
        <v>752832299</v>
      </c>
      <c r="J7036" s="405">
        <v>2.1779999999999998E-3</v>
      </c>
      <c r="K7036" s="405">
        <v>30.726998999999999</v>
      </c>
      <c r="L7036" s="405" t="s">
        <v>590</v>
      </c>
      <c r="M7036" s="405" t="s">
        <v>19705</v>
      </c>
      <c r="N7036" s="405" t="s">
        <v>2250</v>
      </c>
      <c r="O7036" s="405" t="s">
        <v>2250</v>
      </c>
      <c r="P7036" s="405" t="s">
        <v>20733</v>
      </c>
      <c r="Q7036" s="411">
        <v>12</v>
      </c>
      <c r="R7036" s="405" t="s">
        <v>874</v>
      </c>
      <c r="S7036" s="405" t="s">
        <v>27249</v>
      </c>
      <c r="T7036" s="405" t="s">
        <v>32102</v>
      </c>
      <c r="U7036" s="405" t="s">
        <v>319</v>
      </c>
    </row>
    <row r="7037" spans="1:21" hidden="1" x14ac:dyDescent="0.25">
      <c r="A7037" s="405" t="s">
        <v>310</v>
      </c>
      <c r="B7037" s="405" t="s">
        <v>20730</v>
      </c>
      <c r="C7037" s="405" t="s">
        <v>327</v>
      </c>
      <c r="D7037" s="405"/>
      <c r="E7037" s="410">
        <v>41213</v>
      </c>
      <c r="F7037" s="410">
        <v>41258</v>
      </c>
      <c r="G7037" s="405" t="s">
        <v>20731</v>
      </c>
      <c r="H7037" s="405">
        <v>782732793</v>
      </c>
      <c r="I7037" s="405"/>
      <c r="J7037" s="405">
        <v>-0.18687300000000001</v>
      </c>
      <c r="K7037" s="405">
        <v>30.863318</v>
      </c>
      <c r="L7037" s="405" t="s">
        <v>590</v>
      </c>
      <c r="M7037" s="405" t="s">
        <v>19705</v>
      </c>
      <c r="N7037" s="405" t="s">
        <v>19706</v>
      </c>
      <c r="O7037" s="405" t="s">
        <v>20516</v>
      </c>
      <c r="P7037" s="405" t="s">
        <v>20169</v>
      </c>
      <c r="Q7037" s="411">
        <v>12</v>
      </c>
      <c r="R7037" s="405" t="s">
        <v>874</v>
      </c>
      <c r="S7037" s="405" t="s">
        <v>27161</v>
      </c>
      <c r="T7037" s="405" t="s">
        <v>32102</v>
      </c>
      <c r="U7037" s="405" t="s">
        <v>319</v>
      </c>
    </row>
    <row r="7038" spans="1:21" hidden="1" x14ac:dyDescent="0.25">
      <c r="A7038" s="405" t="s">
        <v>310</v>
      </c>
      <c r="B7038" s="405" t="s">
        <v>29031</v>
      </c>
      <c r="C7038" s="405" t="s">
        <v>327</v>
      </c>
      <c r="D7038" s="405"/>
      <c r="E7038" s="410">
        <v>41213</v>
      </c>
      <c r="F7038" s="410">
        <v>41258</v>
      </c>
      <c r="G7038" s="405" t="s">
        <v>2995</v>
      </c>
      <c r="H7038" s="405">
        <v>772699305</v>
      </c>
      <c r="I7038" s="405"/>
      <c r="J7038" s="405">
        <v>0.4106616666666667</v>
      </c>
      <c r="K7038" s="405">
        <v>32.571458333333332</v>
      </c>
      <c r="L7038" s="405" t="s">
        <v>314</v>
      </c>
      <c r="M7038" s="405" t="s">
        <v>361</v>
      </c>
      <c r="N7038" s="405" t="s">
        <v>362</v>
      </c>
      <c r="O7038" s="405" t="s">
        <v>2996</v>
      </c>
      <c r="P7038" s="405" t="s">
        <v>1537</v>
      </c>
      <c r="Q7038" s="411">
        <v>9</v>
      </c>
      <c r="R7038" s="405" t="s">
        <v>353</v>
      </c>
      <c r="S7038" s="405" t="s">
        <v>27115</v>
      </c>
      <c r="T7038" s="405" t="s">
        <v>32102</v>
      </c>
      <c r="U7038" s="405" t="s">
        <v>319</v>
      </c>
    </row>
    <row r="7039" spans="1:21" hidden="1" x14ac:dyDescent="0.25">
      <c r="A7039" s="405" t="s">
        <v>310</v>
      </c>
      <c r="B7039" s="405" t="s">
        <v>3141</v>
      </c>
      <c r="C7039" s="405" t="s">
        <v>327</v>
      </c>
      <c r="D7039" s="405"/>
      <c r="E7039" s="410">
        <v>41213</v>
      </c>
      <c r="F7039" s="410">
        <v>41258</v>
      </c>
      <c r="G7039" s="405" t="s">
        <v>3142</v>
      </c>
      <c r="H7039" s="405">
        <v>772881814</v>
      </c>
      <c r="I7039" s="405"/>
      <c r="J7039" s="405">
        <v>0.37638199999999999</v>
      </c>
      <c r="K7039" s="405">
        <v>32.478377000000002</v>
      </c>
      <c r="L7039" s="405" t="s">
        <v>314</v>
      </c>
      <c r="M7039" s="405" t="s">
        <v>361</v>
      </c>
      <c r="N7039" s="405" t="s">
        <v>374</v>
      </c>
      <c r="O7039" s="405" t="s">
        <v>361</v>
      </c>
      <c r="P7039" s="405" t="s">
        <v>3143</v>
      </c>
      <c r="Q7039" s="411">
        <v>9</v>
      </c>
      <c r="R7039" s="405" t="s">
        <v>318</v>
      </c>
      <c r="S7039" s="405" t="s">
        <v>27148</v>
      </c>
      <c r="T7039" s="405" t="s">
        <v>32102</v>
      </c>
      <c r="U7039" s="405" t="s">
        <v>319</v>
      </c>
    </row>
    <row r="7040" spans="1:21" hidden="1" x14ac:dyDescent="0.25">
      <c r="A7040" s="405" t="s">
        <v>310</v>
      </c>
      <c r="B7040" s="405" t="s">
        <v>27627</v>
      </c>
      <c r="C7040" s="405" t="s">
        <v>327</v>
      </c>
      <c r="D7040" s="405"/>
      <c r="E7040" s="410">
        <v>41213</v>
      </c>
      <c r="F7040" s="410">
        <v>41258</v>
      </c>
      <c r="G7040" s="405" t="s">
        <v>2992</v>
      </c>
      <c r="H7040" s="405">
        <v>772453062</v>
      </c>
      <c r="I7040" s="405"/>
      <c r="J7040" s="405">
        <v>0.54652833333333328</v>
      </c>
      <c r="K7040" s="405">
        <v>32.626815000000001</v>
      </c>
      <c r="L7040" s="405" t="s">
        <v>314</v>
      </c>
      <c r="M7040" s="405" t="s">
        <v>361</v>
      </c>
      <c r="N7040" s="405" t="s">
        <v>362</v>
      </c>
      <c r="O7040" s="405" t="s">
        <v>433</v>
      </c>
      <c r="P7040" s="405" t="s">
        <v>2993</v>
      </c>
      <c r="Q7040" s="411">
        <v>9</v>
      </c>
      <c r="R7040" s="405" t="s">
        <v>353</v>
      </c>
      <c r="S7040" s="405" t="s">
        <v>27115</v>
      </c>
      <c r="T7040" s="405" t="s">
        <v>32102</v>
      </c>
      <c r="U7040" s="405" t="s">
        <v>319</v>
      </c>
    </row>
    <row r="7041" spans="1:21" hidden="1" x14ac:dyDescent="0.25">
      <c r="A7041" s="405" t="s">
        <v>310</v>
      </c>
      <c r="B7041" s="405" t="s">
        <v>3144</v>
      </c>
      <c r="C7041" s="405" t="s">
        <v>327</v>
      </c>
      <c r="D7041" s="405"/>
      <c r="E7041" s="410">
        <v>41213</v>
      </c>
      <c r="F7041" s="410">
        <v>41258</v>
      </c>
      <c r="G7041" s="405" t="s">
        <v>3145</v>
      </c>
      <c r="H7041" s="405">
        <v>712832919</v>
      </c>
      <c r="I7041" s="405"/>
      <c r="J7041" s="405">
        <v>0.42058200000000001</v>
      </c>
      <c r="K7041" s="405">
        <v>32.619467999999998</v>
      </c>
      <c r="L7041" s="405" t="s">
        <v>314</v>
      </c>
      <c r="M7041" s="405" t="s">
        <v>361</v>
      </c>
      <c r="N7041" s="405" t="s">
        <v>362</v>
      </c>
      <c r="O7041" s="405" t="s">
        <v>410</v>
      </c>
      <c r="P7041" s="405" t="s">
        <v>1096</v>
      </c>
      <c r="Q7041" s="411">
        <v>9</v>
      </c>
      <c r="R7041" s="405" t="s">
        <v>318</v>
      </c>
      <c r="S7041" s="405" t="s">
        <v>27135</v>
      </c>
      <c r="T7041" s="405" t="s">
        <v>32102</v>
      </c>
      <c r="U7041" s="405" t="s">
        <v>319</v>
      </c>
    </row>
    <row r="7042" spans="1:21" hidden="1" x14ac:dyDescent="0.25">
      <c r="A7042" s="405" t="s">
        <v>310</v>
      </c>
      <c r="B7042" s="405" t="s">
        <v>27866</v>
      </c>
      <c r="C7042" s="405" t="s">
        <v>327</v>
      </c>
      <c r="D7042" s="405"/>
      <c r="E7042" s="410">
        <v>41213</v>
      </c>
      <c r="F7042" s="410">
        <v>41258</v>
      </c>
      <c r="G7042" s="405" t="s">
        <v>2997</v>
      </c>
      <c r="H7042" s="405">
        <v>787461394</v>
      </c>
      <c r="I7042" s="405"/>
      <c r="J7042" s="405">
        <v>0.5123133333333334</v>
      </c>
      <c r="K7042" s="405">
        <v>32.492966666666668</v>
      </c>
      <c r="L7042" s="405" t="s">
        <v>314</v>
      </c>
      <c r="M7042" s="405" t="s">
        <v>361</v>
      </c>
      <c r="N7042" s="405" t="s">
        <v>362</v>
      </c>
      <c r="O7042" s="405" t="s">
        <v>523</v>
      </c>
      <c r="P7042" s="405" t="s">
        <v>2998</v>
      </c>
      <c r="Q7042" s="411">
        <v>9</v>
      </c>
      <c r="R7042" s="405" t="s">
        <v>32770</v>
      </c>
      <c r="S7042" s="405" t="s">
        <v>27153</v>
      </c>
      <c r="T7042" s="405" t="s">
        <v>32102</v>
      </c>
      <c r="U7042" s="405" t="s">
        <v>319</v>
      </c>
    </row>
    <row r="7043" spans="1:21" hidden="1" x14ac:dyDescent="0.25">
      <c r="A7043" s="405" t="s">
        <v>310</v>
      </c>
      <c r="B7043" s="405" t="s">
        <v>3104</v>
      </c>
      <c r="C7043" s="405" t="s">
        <v>327</v>
      </c>
      <c r="D7043" s="405"/>
      <c r="E7043" s="410">
        <v>41213</v>
      </c>
      <c r="F7043" s="410">
        <v>41258</v>
      </c>
      <c r="G7043" s="405" t="s">
        <v>3105</v>
      </c>
      <c r="H7043" s="405">
        <v>775889232</v>
      </c>
      <c r="I7043" s="405"/>
      <c r="J7043" s="405">
        <v>0.68161300000000002</v>
      </c>
      <c r="K7043" s="405">
        <v>32.538933</v>
      </c>
      <c r="L7043" s="405" t="s">
        <v>314</v>
      </c>
      <c r="M7043" s="405" t="s">
        <v>959</v>
      </c>
      <c r="N7043" s="405" t="s">
        <v>1094</v>
      </c>
      <c r="O7043" s="405" t="s">
        <v>1094</v>
      </c>
      <c r="P7043" s="405" t="s">
        <v>3106</v>
      </c>
      <c r="Q7043" s="411">
        <v>9</v>
      </c>
      <c r="R7043" s="405" t="s">
        <v>1263</v>
      </c>
      <c r="S7043" s="405" t="s">
        <v>27041</v>
      </c>
      <c r="T7043" s="405" t="s">
        <v>32102</v>
      </c>
      <c r="U7043" s="405" t="s">
        <v>319</v>
      </c>
    </row>
    <row r="7044" spans="1:21" hidden="1" x14ac:dyDescent="0.25">
      <c r="A7044" s="405" t="s">
        <v>310</v>
      </c>
      <c r="B7044" s="405" t="s">
        <v>3007</v>
      </c>
      <c r="C7044" s="405" t="s">
        <v>327</v>
      </c>
      <c r="D7044" s="405"/>
      <c r="E7044" s="410">
        <v>41213</v>
      </c>
      <c r="F7044" s="410">
        <v>41258</v>
      </c>
      <c r="G7044" s="405" t="s">
        <v>3008</v>
      </c>
      <c r="H7044" s="405">
        <v>702229006</v>
      </c>
      <c r="I7044" s="405"/>
      <c r="J7044" s="405">
        <v>0.36841360000000001</v>
      </c>
      <c r="K7044" s="405">
        <v>32.600276700000002</v>
      </c>
      <c r="L7044" s="405" t="s">
        <v>314</v>
      </c>
      <c r="M7044" s="405" t="s">
        <v>361</v>
      </c>
      <c r="N7044" s="405" t="s">
        <v>362</v>
      </c>
      <c r="O7044" s="405" t="s">
        <v>379</v>
      </c>
      <c r="P7044" s="405" t="s">
        <v>3009</v>
      </c>
      <c r="Q7044" s="411">
        <v>9</v>
      </c>
      <c r="R7044" s="405" t="s">
        <v>525</v>
      </c>
      <c r="S7044" s="405" t="s">
        <v>27140</v>
      </c>
      <c r="T7044" s="405" t="s">
        <v>32102</v>
      </c>
      <c r="U7044" s="405" t="s">
        <v>319</v>
      </c>
    </row>
    <row r="7045" spans="1:21" hidden="1" x14ac:dyDescent="0.25">
      <c r="A7045" s="405" t="s">
        <v>310</v>
      </c>
      <c r="B7045" s="405" t="s">
        <v>3025</v>
      </c>
      <c r="C7045" s="405" t="s">
        <v>327</v>
      </c>
      <c r="D7045" s="405"/>
      <c r="E7045" s="410">
        <v>41213</v>
      </c>
      <c r="F7045" s="410">
        <v>41258</v>
      </c>
      <c r="G7045" s="405" t="s">
        <v>3026</v>
      </c>
      <c r="H7045" s="405">
        <v>702742412</v>
      </c>
      <c r="I7045" s="405"/>
      <c r="J7045" s="405">
        <v>0.41836833333333334</v>
      </c>
      <c r="K7045" s="405">
        <v>32.540066666666668</v>
      </c>
      <c r="L7045" s="405" t="s">
        <v>314</v>
      </c>
      <c r="M7045" s="405" t="s">
        <v>361</v>
      </c>
      <c r="N7045" s="405" t="s">
        <v>362</v>
      </c>
      <c r="O7045" s="405" t="s">
        <v>523</v>
      </c>
      <c r="P7045" s="405" t="s">
        <v>2324</v>
      </c>
      <c r="Q7045" s="411">
        <v>9</v>
      </c>
      <c r="R7045" s="405" t="s">
        <v>32770</v>
      </c>
      <c r="S7045" s="405" t="s">
        <v>27106</v>
      </c>
      <c r="T7045" s="405" t="s">
        <v>32102</v>
      </c>
      <c r="U7045" s="405" t="s">
        <v>319</v>
      </c>
    </row>
    <row r="7046" spans="1:21" hidden="1" x14ac:dyDescent="0.25">
      <c r="A7046" s="405" t="s">
        <v>310</v>
      </c>
      <c r="B7046" s="405" t="s">
        <v>3070</v>
      </c>
      <c r="C7046" s="405" t="s">
        <v>327</v>
      </c>
      <c r="D7046" s="405"/>
      <c r="E7046" s="410">
        <v>41213</v>
      </c>
      <c r="F7046" s="410">
        <v>41258</v>
      </c>
      <c r="G7046" s="405" t="s">
        <v>3071</v>
      </c>
      <c r="H7046" s="405">
        <v>701179731</v>
      </c>
      <c r="I7046" s="405"/>
      <c r="J7046" s="405">
        <v>0.44369666666666668</v>
      </c>
      <c r="K7046" s="405">
        <v>32.589154999999998</v>
      </c>
      <c r="L7046" s="405" t="s">
        <v>314</v>
      </c>
      <c r="M7046" s="405" t="s">
        <v>361</v>
      </c>
      <c r="N7046" s="405" t="s">
        <v>362</v>
      </c>
      <c r="O7046" s="405" t="s">
        <v>410</v>
      </c>
      <c r="P7046" s="405" t="s">
        <v>3072</v>
      </c>
      <c r="Q7046" s="411">
        <v>9</v>
      </c>
      <c r="R7046" s="405" t="s">
        <v>353</v>
      </c>
      <c r="S7046" s="405" t="s">
        <v>27202</v>
      </c>
      <c r="T7046" s="405" t="s">
        <v>32102</v>
      </c>
      <c r="U7046" s="405" t="s">
        <v>319</v>
      </c>
    </row>
    <row r="7047" spans="1:21" hidden="1" x14ac:dyDescent="0.25">
      <c r="A7047" s="405" t="s">
        <v>310</v>
      </c>
      <c r="B7047" s="405" t="s">
        <v>27479</v>
      </c>
      <c r="C7047" s="405" t="s">
        <v>327</v>
      </c>
      <c r="D7047" s="405"/>
      <c r="E7047" s="410">
        <v>41213</v>
      </c>
      <c r="F7047" s="410">
        <v>41258</v>
      </c>
      <c r="G7047" s="405" t="s">
        <v>12294</v>
      </c>
      <c r="H7047" s="405">
        <v>777258118</v>
      </c>
      <c r="I7047" s="405">
        <v>752629269</v>
      </c>
      <c r="J7047" s="405">
        <v>1.8353950000000001</v>
      </c>
      <c r="K7047" s="405">
        <v>33.623375000000003</v>
      </c>
      <c r="L7047" s="405" t="s">
        <v>6866</v>
      </c>
      <c r="M7047" s="405" t="s">
        <v>10515</v>
      </c>
      <c r="N7047" s="405" t="s">
        <v>10525</v>
      </c>
      <c r="O7047" s="405" t="s">
        <v>10526</v>
      </c>
      <c r="P7047" s="405" t="s">
        <v>12295</v>
      </c>
      <c r="Q7047" s="411">
        <v>6</v>
      </c>
      <c r="R7047" s="405" t="s">
        <v>5655</v>
      </c>
      <c r="S7047" s="405" t="s">
        <v>27322</v>
      </c>
      <c r="T7047" s="405" t="s">
        <v>32102</v>
      </c>
      <c r="U7047" s="405" t="s">
        <v>319</v>
      </c>
    </row>
    <row r="7048" spans="1:21" hidden="1" x14ac:dyDescent="0.25">
      <c r="A7048" s="405" t="s">
        <v>310</v>
      </c>
      <c r="B7048" s="405" t="s">
        <v>3085</v>
      </c>
      <c r="C7048" s="405" t="s">
        <v>327</v>
      </c>
      <c r="D7048" s="405"/>
      <c r="E7048" s="410">
        <v>41213</v>
      </c>
      <c r="F7048" s="410">
        <v>41258</v>
      </c>
      <c r="G7048" s="405" t="s">
        <v>3086</v>
      </c>
      <c r="H7048" s="405">
        <v>701722799</v>
      </c>
      <c r="I7048" s="405"/>
      <c r="J7048" s="405">
        <v>0.17685300000000001</v>
      </c>
      <c r="K7048" s="405">
        <v>32.372734999999999</v>
      </c>
      <c r="L7048" s="405" t="s">
        <v>314</v>
      </c>
      <c r="M7048" s="405" t="s">
        <v>361</v>
      </c>
      <c r="N7048" s="405" t="s">
        <v>374</v>
      </c>
      <c r="O7048" s="405" t="s">
        <v>2091</v>
      </c>
      <c r="P7048" s="405" t="s">
        <v>2092</v>
      </c>
      <c r="Q7048" s="411">
        <v>6</v>
      </c>
      <c r="R7048" s="405" t="s">
        <v>318</v>
      </c>
      <c r="S7048" s="405" t="s">
        <v>27046</v>
      </c>
      <c r="T7048" s="405" t="s">
        <v>32102</v>
      </c>
      <c r="U7048" s="405" t="s">
        <v>319</v>
      </c>
    </row>
    <row r="7049" spans="1:21" hidden="1" x14ac:dyDescent="0.25">
      <c r="A7049" s="405" t="s">
        <v>310</v>
      </c>
      <c r="B7049" s="405" t="s">
        <v>27660</v>
      </c>
      <c r="C7049" s="405" t="s">
        <v>327</v>
      </c>
      <c r="D7049" s="405"/>
      <c r="E7049" s="410">
        <v>41213</v>
      </c>
      <c r="F7049" s="410">
        <v>41258</v>
      </c>
      <c r="G7049" s="405" t="s">
        <v>2994</v>
      </c>
      <c r="H7049" s="405">
        <v>775345995</v>
      </c>
      <c r="I7049" s="405"/>
      <c r="J7049" s="405">
        <v>0.41836833333333334</v>
      </c>
      <c r="K7049" s="405">
        <v>32.540066666666668</v>
      </c>
      <c r="L7049" s="405" t="s">
        <v>314</v>
      </c>
      <c r="M7049" s="405" t="s">
        <v>361</v>
      </c>
      <c r="N7049" s="405" t="s">
        <v>362</v>
      </c>
      <c r="O7049" s="405" t="s">
        <v>1365</v>
      </c>
      <c r="P7049" s="405" t="s">
        <v>2324</v>
      </c>
      <c r="Q7049" s="411">
        <v>6</v>
      </c>
      <c r="R7049" s="405" t="s">
        <v>1263</v>
      </c>
      <c r="S7049" s="405" t="s">
        <v>27108</v>
      </c>
      <c r="T7049" s="405" t="s">
        <v>32102</v>
      </c>
      <c r="U7049" s="405" t="s">
        <v>319</v>
      </c>
    </row>
    <row r="7050" spans="1:21" hidden="1" x14ac:dyDescent="0.25">
      <c r="A7050" s="405" t="s">
        <v>310</v>
      </c>
      <c r="B7050" s="405" t="s">
        <v>3110</v>
      </c>
      <c r="C7050" s="405" t="s">
        <v>327</v>
      </c>
      <c r="D7050" s="405"/>
      <c r="E7050" s="410">
        <v>41213</v>
      </c>
      <c r="F7050" s="410">
        <v>41258</v>
      </c>
      <c r="G7050" s="405" t="s">
        <v>3111</v>
      </c>
      <c r="H7050" s="405">
        <v>712574782</v>
      </c>
      <c r="I7050" s="405"/>
      <c r="J7050" s="405">
        <v>0.38002000000000002</v>
      </c>
      <c r="K7050" s="405">
        <v>32.517184999999998</v>
      </c>
      <c r="L7050" s="405" t="s">
        <v>314</v>
      </c>
      <c r="M7050" s="405" t="s">
        <v>361</v>
      </c>
      <c r="N7050" s="405" t="s">
        <v>362</v>
      </c>
      <c r="O7050" s="405" t="s">
        <v>469</v>
      </c>
      <c r="P7050" s="405" t="s">
        <v>1290</v>
      </c>
      <c r="Q7050" s="411">
        <v>6</v>
      </c>
      <c r="R7050" s="405" t="s">
        <v>1263</v>
      </c>
      <c r="S7050" s="405" t="s">
        <v>27039</v>
      </c>
      <c r="T7050" s="405" t="s">
        <v>32102</v>
      </c>
      <c r="U7050" s="405" t="s">
        <v>319</v>
      </c>
    </row>
    <row r="7051" spans="1:21" hidden="1" x14ac:dyDescent="0.25">
      <c r="A7051" s="405" t="s">
        <v>310</v>
      </c>
      <c r="B7051" s="405" t="s">
        <v>3083</v>
      </c>
      <c r="C7051" s="405" t="s">
        <v>327</v>
      </c>
      <c r="D7051" s="405"/>
      <c r="E7051" s="410">
        <v>41213</v>
      </c>
      <c r="F7051" s="410">
        <v>41258</v>
      </c>
      <c r="G7051" s="405" t="s">
        <v>3084</v>
      </c>
      <c r="H7051" s="405">
        <v>755187240</v>
      </c>
      <c r="I7051" s="405"/>
      <c r="J7051" s="405">
        <v>0.17766799999999999</v>
      </c>
      <c r="K7051" s="405">
        <v>32.368737000000003</v>
      </c>
      <c r="L7051" s="405" t="s">
        <v>314</v>
      </c>
      <c r="M7051" s="405" t="s">
        <v>361</v>
      </c>
      <c r="N7051" s="405" t="s">
        <v>374</v>
      </c>
      <c r="O7051" s="405" t="s">
        <v>2091</v>
      </c>
      <c r="P7051" s="405" t="s">
        <v>2092</v>
      </c>
      <c r="Q7051" s="411">
        <v>6</v>
      </c>
      <c r="R7051" s="405" t="s">
        <v>318</v>
      </c>
      <c r="S7051" s="405" t="s">
        <v>27046</v>
      </c>
      <c r="T7051" s="405" t="s">
        <v>32102</v>
      </c>
      <c r="U7051" s="405" t="s">
        <v>319</v>
      </c>
    </row>
    <row r="7052" spans="1:21" hidden="1" x14ac:dyDescent="0.25">
      <c r="A7052" s="405" t="s">
        <v>310</v>
      </c>
      <c r="B7052" s="405" t="s">
        <v>3617</v>
      </c>
      <c r="C7052" s="405" t="s">
        <v>311</v>
      </c>
      <c r="D7052" s="405" t="s">
        <v>839</v>
      </c>
      <c r="E7052" s="410">
        <v>41213</v>
      </c>
      <c r="F7052" s="410">
        <v>41258</v>
      </c>
      <c r="G7052" s="405" t="s">
        <v>3618</v>
      </c>
      <c r="H7052" s="405">
        <v>789116753</v>
      </c>
      <c r="I7052" s="405"/>
      <c r="J7052" s="405">
        <v>0.41960799999999998</v>
      </c>
      <c r="K7052" s="405">
        <v>32.817174999999999</v>
      </c>
      <c r="L7052" s="405" t="s">
        <v>314</v>
      </c>
      <c r="M7052" s="405" t="s">
        <v>329</v>
      </c>
      <c r="N7052" s="405" t="s">
        <v>545</v>
      </c>
      <c r="O7052" s="405" t="s">
        <v>546</v>
      </c>
      <c r="P7052" s="405" t="s">
        <v>3619</v>
      </c>
      <c r="Q7052" s="411">
        <v>6</v>
      </c>
      <c r="R7052" s="405" t="s">
        <v>525</v>
      </c>
      <c r="S7052" s="405" t="s">
        <v>27136</v>
      </c>
      <c r="T7052" s="405" t="s">
        <v>32102</v>
      </c>
      <c r="U7052" s="405" t="s">
        <v>319</v>
      </c>
    </row>
    <row r="7053" spans="1:21" hidden="1" x14ac:dyDescent="0.25">
      <c r="A7053" s="405" t="s">
        <v>310</v>
      </c>
      <c r="B7053" s="405" t="s">
        <v>3090</v>
      </c>
      <c r="C7053" s="405" t="s">
        <v>327</v>
      </c>
      <c r="D7053" s="405"/>
      <c r="E7053" s="410">
        <v>41213</v>
      </c>
      <c r="F7053" s="410">
        <v>41258</v>
      </c>
      <c r="G7053" s="405" t="s">
        <v>3091</v>
      </c>
      <c r="H7053" s="405">
        <v>782502492</v>
      </c>
      <c r="I7053" s="405"/>
      <c r="J7053" s="405">
        <v>0.43234800000000001</v>
      </c>
      <c r="K7053" s="405">
        <v>32.370835</v>
      </c>
      <c r="L7053" s="405" t="s">
        <v>314</v>
      </c>
      <c r="M7053" s="405" t="s">
        <v>361</v>
      </c>
      <c r="N7053" s="405" t="s">
        <v>374</v>
      </c>
      <c r="O7053" s="405" t="s">
        <v>952</v>
      </c>
      <c r="P7053" s="405" t="s">
        <v>3092</v>
      </c>
      <c r="Q7053" s="411">
        <v>6</v>
      </c>
      <c r="R7053" s="405" t="s">
        <v>318</v>
      </c>
      <c r="S7053" s="405" t="s">
        <v>6822</v>
      </c>
      <c r="T7053" s="405" t="s">
        <v>32102</v>
      </c>
      <c r="U7053" s="405" t="s">
        <v>319</v>
      </c>
    </row>
    <row r="7054" spans="1:21" hidden="1" x14ac:dyDescent="0.25">
      <c r="A7054" s="405" t="s">
        <v>310</v>
      </c>
      <c r="B7054" s="405" t="s">
        <v>3087</v>
      </c>
      <c r="C7054" s="405" t="s">
        <v>327</v>
      </c>
      <c r="D7054" s="405"/>
      <c r="E7054" s="410">
        <v>41213</v>
      </c>
      <c r="F7054" s="410">
        <v>41258</v>
      </c>
      <c r="G7054" s="405" t="s">
        <v>3088</v>
      </c>
      <c r="H7054" s="405">
        <v>782939256</v>
      </c>
      <c r="I7054" s="405"/>
      <c r="J7054" s="405">
        <v>0.39431300000000002</v>
      </c>
      <c r="K7054" s="405">
        <v>32.406182000000001</v>
      </c>
      <c r="L7054" s="405" t="s">
        <v>314</v>
      </c>
      <c r="M7054" s="405" t="s">
        <v>361</v>
      </c>
      <c r="N7054" s="405" t="s">
        <v>374</v>
      </c>
      <c r="O7054" s="405" t="s">
        <v>952</v>
      </c>
      <c r="P7054" s="405" t="s">
        <v>3089</v>
      </c>
      <c r="Q7054" s="411">
        <v>6</v>
      </c>
      <c r="R7054" s="405" t="s">
        <v>567</v>
      </c>
      <c r="S7054" s="405" t="s">
        <v>27108</v>
      </c>
      <c r="T7054" s="405" t="s">
        <v>32102</v>
      </c>
      <c r="U7054" s="405" t="s">
        <v>319</v>
      </c>
    </row>
    <row r="7055" spans="1:21" hidden="1" x14ac:dyDescent="0.25">
      <c r="A7055" s="405" t="s">
        <v>310</v>
      </c>
      <c r="B7055" s="405" t="s">
        <v>3646</v>
      </c>
      <c r="C7055" s="405" t="s">
        <v>311</v>
      </c>
      <c r="D7055" s="405" t="s">
        <v>839</v>
      </c>
      <c r="E7055" s="410">
        <v>41213</v>
      </c>
      <c r="F7055" s="410">
        <v>41258</v>
      </c>
      <c r="G7055" s="405" t="s">
        <v>3647</v>
      </c>
      <c r="H7055" s="405">
        <v>772572285</v>
      </c>
      <c r="I7055" s="405">
        <v>772452193</v>
      </c>
      <c r="J7055" s="405">
        <v>0.43912666666666667</v>
      </c>
      <c r="K7055" s="405">
        <v>32.587539999999997</v>
      </c>
      <c r="L7055" s="405" t="s">
        <v>314</v>
      </c>
      <c r="M7055" s="405" t="s">
        <v>361</v>
      </c>
      <c r="N7055" s="405" t="s">
        <v>362</v>
      </c>
      <c r="O7055" s="405" t="s">
        <v>410</v>
      </c>
      <c r="P7055" s="405" t="s">
        <v>410</v>
      </c>
      <c r="Q7055" s="411">
        <v>6</v>
      </c>
      <c r="R7055" s="405" t="s">
        <v>318</v>
      </c>
      <c r="S7055" s="405" t="s">
        <v>27046</v>
      </c>
      <c r="T7055" s="405" t="s">
        <v>32102</v>
      </c>
      <c r="U7055" s="405" t="s">
        <v>319</v>
      </c>
    </row>
    <row r="7056" spans="1:21" hidden="1" x14ac:dyDescent="0.25">
      <c r="A7056" s="405" t="s">
        <v>310</v>
      </c>
      <c r="B7056" s="405" t="s">
        <v>3039</v>
      </c>
      <c r="C7056" s="405" t="s">
        <v>327</v>
      </c>
      <c r="D7056" s="405"/>
      <c r="E7056" s="410">
        <v>41213</v>
      </c>
      <c r="F7056" s="410">
        <v>41258</v>
      </c>
      <c r="G7056" s="405" t="s">
        <v>3040</v>
      </c>
      <c r="H7056" s="405">
        <v>782408742</v>
      </c>
      <c r="I7056" s="405"/>
      <c r="J7056" s="405">
        <v>0.43734329999999999</v>
      </c>
      <c r="K7056" s="405">
        <v>32.577604299999997</v>
      </c>
      <c r="L7056" s="405" t="s">
        <v>314</v>
      </c>
      <c r="M7056" s="405" t="s">
        <v>361</v>
      </c>
      <c r="N7056" s="405" t="s">
        <v>362</v>
      </c>
      <c r="O7056" s="405" t="s">
        <v>523</v>
      </c>
      <c r="P7056" s="405" t="s">
        <v>3041</v>
      </c>
      <c r="Q7056" s="411">
        <v>6</v>
      </c>
      <c r="R7056" s="405" t="s">
        <v>1263</v>
      </c>
      <c r="S7056" s="405" t="s">
        <v>2160</v>
      </c>
      <c r="T7056" s="405" t="s">
        <v>32102</v>
      </c>
      <c r="U7056" s="405" t="s">
        <v>319</v>
      </c>
    </row>
    <row r="7057" spans="1:21" hidden="1" x14ac:dyDescent="0.25">
      <c r="A7057" s="405" t="s">
        <v>310</v>
      </c>
      <c r="B7057" s="405" t="s">
        <v>3093</v>
      </c>
      <c r="C7057" s="405" t="s">
        <v>327</v>
      </c>
      <c r="D7057" s="405"/>
      <c r="E7057" s="410">
        <v>41213</v>
      </c>
      <c r="F7057" s="410">
        <v>41258</v>
      </c>
      <c r="G7057" s="405" t="s">
        <v>3094</v>
      </c>
      <c r="H7057" s="405">
        <v>752627296</v>
      </c>
      <c r="I7057" s="405"/>
      <c r="J7057" s="405">
        <v>0.28090799999999999</v>
      </c>
      <c r="K7057" s="405">
        <v>32.596508</v>
      </c>
      <c r="L7057" s="405" t="s">
        <v>314</v>
      </c>
      <c r="M7057" s="405" t="s">
        <v>992</v>
      </c>
      <c r="N7057" s="405" t="s">
        <v>618</v>
      </c>
      <c r="O7057" s="405" t="s">
        <v>618</v>
      </c>
      <c r="P7057" s="405" t="s">
        <v>3095</v>
      </c>
      <c r="Q7057" s="411">
        <v>6</v>
      </c>
      <c r="R7057" s="405" t="s">
        <v>1263</v>
      </c>
      <c r="S7057" s="405" t="s">
        <v>27197</v>
      </c>
      <c r="T7057" s="405" t="s">
        <v>32102</v>
      </c>
      <c r="U7057" s="405" t="s">
        <v>319</v>
      </c>
    </row>
    <row r="7058" spans="1:21" hidden="1" x14ac:dyDescent="0.25">
      <c r="A7058" s="405" t="s">
        <v>310</v>
      </c>
      <c r="B7058" s="405" t="s">
        <v>3073</v>
      </c>
      <c r="C7058" s="405" t="s">
        <v>327</v>
      </c>
      <c r="D7058" s="405"/>
      <c r="E7058" s="410">
        <v>41213</v>
      </c>
      <c r="F7058" s="410">
        <v>41258</v>
      </c>
      <c r="G7058" s="405" t="s">
        <v>3074</v>
      </c>
      <c r="H7058" s="405">
        <v>755919814</v>
      </c>
      <c r="I7058" s="405"/>
      <c r="J7058" s="405">
        <v>0.50259666666666669</v>
      </c>
      <c r="K7058" s="405">
        <v>32.454581666666662</v>
      </c>
      <c r="L7058" s="405" t="s">
        <v>314</v>
      </c>
      <c r="M7058" s="405" t="s">
        <v>361</v>
      </c>
      <c r="N7058" s="405" t="s">
        <v>362</v>
      </c>
      <c r="O7058" s="405" t="s">
        <v>523</v>
      </c>
      <c r="P7058" s="405" t="s">
        <v>3075</v>
      </c>
      <c r="Q7058" s="411">
        <v>6</v>
      </c>
      <c r="R7058" s="405" t="s">
        <v>1263</v>
      </c>
      <c r="S7058" s="405" t="s">
        <v>27108</v>
      </c>
      <c r="T7058" s="405" t="s">
        <v>32102</v>
      </c>
      <c r="U7058" s="405" t="s">
        <v>319</v>
      </c>
    </row>
    <row r="7059" spans="1:21" hidden="1" x14ac:dyDescent="0.25">
      <c r="A7059" s="405" t="s">
        <v>310</v>
      </c>
      <c r="B7059" s="405" t="s">
        <v>3066</v>
      </c>
      <c r="C7059" s="405" t="s">
        <v>327</v>
      </c>
      <c r="D7059" s="405"/>
      <c r="E7059" s="410">
        <v>41213</v>
      </c>
      <c r="F7059" s="410">
        <v>41258</v>
      </c>
      <c r="G7059" s="405" t="s">
        <v>3067</v>
      </c>
      <c r="H7059" s="405">
        <v>772462738</v>
      </c>
      <c r="I7059" s="405">
        <v>774624894</v>
      </c>
      <c r="J7059" s="405">
        <v>0.3178222</v>
      </c>
      <c r="K7059" s="405">
        <v>32.622394999999997</v>
      </c>
      <c r="L7059" s="405" t="s">
        <v>314</v>
      </c>
      <c r="M7059" s="405" t="s">
        <v>361</v>
      </c>
      <c r="N7059" s="405" t="s">
        <v>362</v>
      </c>
      <c r="O7059" s="405" t="s">
        <v>410</v>
      </c>
      <c r="P7059" s="405" t="s">
        <v>510</v>
      </c>
      <c r="Q7059" s="411">
        <v>6</v>
      </c>
      <c r="R7059" s="405" t="s">
        <v>1263</v>
      </c>
      <c r="S7059" s="405" t="s">
        <v>27203</v>
      </c>
      <c r="T7059" s="405" t="s">
        <v>32102</v>
      </c>
      <c r="U7059" s="405" t="s">
        <v>319</v>
      </c>
    </row>
    <row r="7060" spans="1:21" hidden="1" x14ac:dyDescent="0.25">
      <c r="A7060" s="405" t="s">
        <v>310</v>
      </c>
      <c r="B7060" s="405" t="s">
        <v>3116</v>
      </c>
      <c r="C7060" s="405" t="s">
        <v>327</v>
      </c>
      <c r="D7060" s="405"/>
      <c r="E7060" s="410">
        <v>41213</v>
      </c>
      <c r="F7060" s="410">
        <v>41258</v>
      </c>
      <c r="G7060" s="405" t="s">
        <v>3117</v>
      </c>
      <c r="H7060" s="405">
        <v>782081308</v>
      </c>
      <c r="I7060" s="405"/>
      <c r="J7060" s="405">
        <v>0.50775000000000003</v>
      </c>
      <c r="K7060" s="405">
        <v>31.780882999999999</v>
      </c>
      <c r="L7060" s="405" t="s">
        <v>314</v>
      </c>
      <c r="M7060" s="405" t="s">
        <v>445</v>
      </c>
      <c r="N7060" s="405" t="s">
        <v>570</v>
      </c>
      <c r="O7060" s="405" t="s">
        <v>571</v>
      </c>
      <c r="P7060" s="405" t="s">
        <v>3118</v>
      </c>
      <c r="Q7060" s="411">
        <v>6</v>
      </c>
      <c r="R7060" s="405" t="s">
        <v>438</v>
      </c>
      <c r="S7060" s="405" t="s">
        <v>27131</v>
      </c>
      <c r="T7060" s="405" t="s">
        <v>32102</v>
      </c>
      <c r="U7060" s="405" t="s">
        <v>319</v>
      </c>
    </row>
    <row r="7061" spans="1:21" hidden="1" x14ac:dyDescent="0.25">
      <c r="A7061" s="405" t="s">
        <v>310</v>
      </c>
      <c r="B7061" s="405" t="s">
        <v>3604</v>
      </c>
      <c r="C7061" s="405" t="s">
        <v>311</v>
      </c>
      <c r="D7061" s="405" t="s">
        <v>1789</v>
      </c>
      <c r="E7061" s="410">
        <v>41213</v>
      </c>
      <c r="F7061" s="410">
        <v>41258</v>
      </c>
      <c r="G7061" s="405" t="s">
        <v>3605</v>
      </c>
      <c r="H7061" s="405">
        <v>772540471</v>
      </c>
      <c r="I7061" s="405"/>
      <c r="J7061" s="405">
        <v>0.54815199999999997</v>
      </c>
      <c r="K7061" s="405">
        <v>32.626379999999997</v>
      </c>
      <c r="L7061" s="405" t="s">
        <v>314</v>
      </c>
      <c r="M7061" s="405" t="s">
        <v>361</v>
      </c>
      <c r="N7061" s="405" t="s">
        <v>362</v>
      </c>
      <c r="O7061" s="405" t="s">
        <v>433</v>
      </c>
      <c r="P7061" s="405" t="s">
        <v>3606</v>
      </c>
      <c r="Q7061" s="411">
        <v>6</v>
      </c>
      <c r="R7061" s="405" t="s">
        <v>353</v>
      </c>
      <c r="S7061" s="405" t="s">
        <v>27115</v>
      </c>
      <c r="T7061" s="405" t="s">
        <v>32102</v>
      </c>
      <c r="U7061" s="405" t="s">
        <v>319</v>
      </c>
    </row>
    <row r="7062" spans="1:21" hidden="1" x14ac:dyDescent="0.25">
      <c r="A7062" s="405" t="s">
        <v>310</v>
      </c>
      <c r="B7062" s="405" t="s">
        <v>3080</v>
      </c>
      <c r="C7062" s="405" t="s">
        <v>327</v>
      </c>
      <c r="D7062" s="405"/>
      <c r="E7062" s="410">
        <v>41213</v>
      </c>
      <c r="F7062" s="410">
        <v>41258</v>
      </c>
      <c r="G7062" s="405" t="s">
        <v>3081</v>
      </c>
      <c r="H7062" s="405">
        <v>752499860</v>
      </c>
      <c r="I7062" s="405"/>
      <c r="J7062" s="405">
        <v>0.52970700000000004</v>
      </c>
      <c r="K7062" s="405">
        <v>32.454988</v>
      </c>
      <c r="L7062" s="405" t="s">
        <v>314</v>
      </c>
      <c r="M7062" s="405" t="s">
        <v>361</v>
      </c>
      <c r="N7062" s="405" t="s">
        <v>362</v>
      </c>
      <c r="O7062" s="405" t="s">
        <v>523</v>
      </c>
      <c r="P7062" s="405" t="s">
        <v>3082</v>
      </c>
      <c r="Q7062" s="411">
        <v>6</v>
      </c>
      <c r="R7062" s="405" t="s">
        <v>353</v>
      </c>
      <c r="S7062" s="405" t="s">
        <v>27108</v>
      </c>
      <c r="T7062" s="405" t="s">
        <v>32102</v>
      </c>
      <c r="U7062" s="405" t="s">
        <v>319</v>
      </c>
    </row>
    <row r="7063" spans="1:21" hidden="1" x14ac:dyDescent="0.25">
      <c r="A7063" s="405" t="s">
        <v>310</v>
      </c>
      <c r="B7063" s="405" t="s">
        <v>3107</v>
      </c>
      <c r="C7063" s="405" t="s">
        <v>327</v>
      </c>
      <c r="D7063" s="405"/>
      <c r="E7063" s="410">
        <v>41213</v>
      </c>
      <c r="F7063" s="410">
        <v>41258</v>
      </c>
      <c r="G7063" s="405" t="s">
        <v>3108</v>
      </c>
      <c r="H7063" s="405">
        <v>772886603</v>
      </c>
      <c r="I7063" s="405"/>
      <c r="J7063" s="405">
        <v>0.68373499999999998</v>
      </c>
      <c r="K7063" s="405">
        <v>32.521101999999999</v>
      </c>
      <c r="L7063" s="405" t="s">
        <v>314</v>
      </c>
      <c r="M7063" s="405" t="s">
        <v>959</v>
      </c>
      <c r="N7063" s="405" t="s">
        <v>1094</v>
      </c>
      <c r="O7063" s="405" t="s">
        <v>1094</v>
      </c>
      <c r="P7063" s="405" t="s">
        <v>3109</v>
      </c>
      <c r="Q7063" s="411">
        <v>4</v>
      </c>
      <c r="R7063" s="405" t="s">
        <v>1263</v>
      </c>
      <c r="S7063" s="405" t="s">
        <v>27041</v>
      </c>
      <c r="T7063" s="405" t="s">
        <v>32102</v>
      </c>
      <c r="U7063" s="405" t="s">
        <v>319</v>
      </c>
    </row>
    <row r="7064" spans="1:21" hidden="1" x14ac:dyDescent="0.25">
      <c r="A7064" s="405" t="s">
        <v>310</v>
      </c>
      <c r="B7064" s="405" t="s">
        <v>11948</v>
      </c>
      <c r="C7064" s="405" t="s">
        <v>327</v>
      </c>
      <c r="D7064" s="405"/>
      <c r="E7064" s="410">
        <v>41213</v>
      </c>
      <c r="F7064" s="410">
        <v>41258</v>
      </c>
      <c r="G7064" s="405" t="s">
        <v>11949</v>
      </c>
      <c r="H7064" s="405">
        <v>783459598</v>
      </c>
      <c r="I7064" s="405"/>
      <c r="J7064" s="405">
        <v>0.83494299999999999</v>
      </c>
      <c r="K7064" s="405">
        <v>34.370085000000003</v>
      </c>
      <c r="L7064" s="405" t="s">
        <v>6866</v>
      </c>
      <c r="M7064" s="405" t="s">
        <v>9763</v>
      </c>
      <c r="N7064" s="405" t="s">
        <v>11470</v>
      </c>
      <c r="O7064" s="405" t="s">
        <v>11471</v>
      </c>
      <c r="P7064" s="405" t="s">
        <v>11950</v>
      </c>
      <c r="Q7064" s="411">
        <v>4</v>
      </c>
      <c r="R7064" s="405" t="s">
        <v>7224</v>
      </c>
      <c r="S7064" s="405" t="s">
        <v>27107</v>
      </c>
      <c r="T7064" s="405" t="s">
        <v>32212</v>
      </c>
      <c r="U7064" s="405" t="s">
        <v>2267</v>
      </c>
    </row>
    <row r="7065" spans="1:21" hidden="1" x14ac:dyDescent="0.25">
      <c r="A7065" s="405" t="s">
        <v>310</v>
      </c>
      <c r="B7065" s="405" t="s">
        <v>3027</v>
      </c>
      <c r="C7065" s="405" t="s">
        <v>327</v>
      </c>
      <c r="D7065" s="405"/>
      <c r="E7065" s="410">
        <v>41213</v>
      </c>
      <c r="F7065" s="410">
        <v>41258</v>
      </c>
      <c r="G7065" s="405" t="s">
        <v>3028</v>
      </c>
      <c r="H7065" s="405">
        <v>754847352</v>
      </c>
      <c r="I7065" s="405"/>
      <c r="J7065" s="405">
        <v>0.4262166</v>
      </c>
      <c r="K7065" s="405">
        <v>32.573944400000002</v>
      </c>
      <c r="L7065" s="405" t="s">
        <v>314</v>
      </c>
      <c r="M7065" s="405" t="s">
        <v>361</v>
      </c>
      <c r="N7065" s="405" t="s">
        <v>362</v>
      </c>
      <c r="O7065" s="405" t="s">
        <v>523</v>
      </c>
      <c r="P7065" s="405" t="s">
        <v>3029</v>
      </c>
      <c r="Q7065" s="411">
        <v>4</v>
      </c>
      <c r="R7065" s="405" t="s">
        <v>1263</v>
      </c>
      <c r="S7065" s="405" t="s">
        <v>27164</v>
      </c>
      <c r="T7065" s="405" t="s">
        <v>32102</v>
      </c>
      <c r="U7065" s="405" t="s">
        <v>319</v>
      </c>
    </row>
    <row r="7066" spans="1:21" hidden="1" x14ac:dyDescent="0.25">
      <c r="A7066" s="405" t="s">
        <v>310</v>
      </c>
      <c r="B7066" s="405" t="s">
        <v>28087</v>
      </c>
      <c r="C7066" s="405" t="s">
        <v>327</v>
      </c>
      <c r="D7066" s="405"/>
      <c r="E7066" s="410">
        <v>41212</v>
      </c>
      <c r="F7066" s="410">
        <v>41257</v>
      </c>
      <c r="G7066" s="405" t="s">
        <v>3013</v>
      </c>
      <c r="H7066" s="405">
        <v>784046156</v>
      </c>
      <c r="I7066" s="405"/>
      <c r="J7066" s="405">
        <v>0.51874500000000001</v>
      </c>
      <c r="K7066" s="405">
        <v>32.448303333333335</v>
      </c>
      <c r="L7066" s="405" t="s">
        <v>314</v>
      </c>
      <c r="M7066" s="405" t="s">
        <v>361</v>
      </c>
      <c r="N7066" s="405" t="s">
        <v>362</v>
      </c>
      <c r="O7066" s="405" t="s">
        <v>523</v>
      </c>
      <c r="P7066" s="405" t="s">
        <v>2324</v>
      </c>
      <c r="Q7066" s="411">
        <v>9</v>
      </c>
      <c r="R7066" s="405" t="s">
        <v>32770</v>
      </c>
      <c r="S7066" s="405" t="s">
        <v>27034</v>
      </c>
      <c r="T7066" s="405" t="s">
        <v>32102</v>
      </c>
      <c r="U7066" s="405" t="s">
        <v>319</v>
      </c>
    </row>
    <row r="7067" spans="1:21" hidden="1" x14ac:dyDescent="0.25">
      <c r="A7067" s="405" t="s">
        <v>310</v>
      </c>
      <c r="B7067" s="405" t="s">
        <v>18393</v>
      </c>
      <c r="C7067" s="405" t="s">
        <v>327</v>
      </c>
      <c r="D7067" s="405"/>
      <c r="E7067" s="410">
        <v>41212</v>
      </c>
      <c r="F7067" s="410">
        <v>41257</v>
      </c>
      <c r="G7067" s="405" t="s">
        <v>18394</v>
      </c>
      <c r="H7067" s="405">
        <v>782564984</v>
      </c>
      <c r="I7067" s="405">
        <v>779510019</v>
      </c>
      <c r="J7067" s="405">
        <v>2.3451650000000002</v>
      </c>
      <c r="K7067" s="405">
        <v>33.112990000000003</v>
      </c>
      <c r="L7067" s="405" t="s">
        <v>860</v>
      </c>
      <c r="M7067" s="405" t="s">
        <v>18376</v>
      </c>
      <c r="N7067" s="405" t="s">
        <v>16319</v>
      </c>
      <c r="O7067" s="405" t="s">
        <v>18395</v>
      </c>
      <c r="P7067" s="405" t="s">
        <v>18396</v>
      </c>
      <c r="Q7067" s="411">
        <v>9</v>
      </c>
      <c r="R7067" s="405" t="s">
        <v>994</v>
      </c>
      <c r="S7067" s="405" t="s">
        <v>27079</v>
      </c>
      <c r="T7067" s="405" t="s">
        <v>32102</v>
      </c>
      <c r="U7067" s="405" t="s">
        <v>319</v>
      </c>
    </row>
    <row r="7068" spans="1:21" hidden="1" x14ac:dyDescent="0.25">
      <c r="A7068" s="405" t="s">
        <v>310</v>
      </c>
      <c r="B7068" s="405" t="s">
        <v>28133</v>
      </c>
      <c r="C7068" s="405" t="s">
        <v>327</v>
      </c>
      <c r="D7068" s="405"/>
      <c r="E7068" s="410">
        <v>41212</v>
      </c>
      <c r="F7068" s="410">
        <v>41257</v>
      </c>
      <c r="G7068" s="405" t="s">
        <v>20736</v>
      </c>
      <c r="H7068" s="405">
        <v>751977027</v>
      </c>
      <c r="I7068" s="405">
        <v>787740297</v>
      </c>
      <c r="J7068" s="405">
        <v>-0.706488</v>
      </c>
      <c r="K7068" s="405">
        <v>30.643806000000001</v>
      </c>
      <c r="L7068" s="405" t="s">
        <v>590</v>
      </c>
      <c r="M7068" s="405" t="s">
        <v>879</v>
      </c>
      <c r="N7068" s="405" t="s">
        <v>880</v>
      </c>
      <c r="O7068" s="405" t="s">
        <v>20737</v>
      </c>
      <c r="P7068" s="405" t="s">
        <v>20738</v>
      </c>
      <c r="Q7068" s="411">
        <v>6</v>
      </c>
      <c r="R7068" s="405" t="s">
        <v>883</v>
      </c>
      <c r="S7068" s="405" t="s">
        <v>27104</v>
      </c>
      <c r="T7068" s="405" t="s">
        <v>32102</v>
      </c>
      <c r="U7068" s="405" t="s">
        <v>319</v>
      </c>
    </row>
    <row r="7069" spans="1:21" hidden="1" x14ac:dyDescent="0.25">
      <c r="A7069" s="405" t="s">
        <v>310</v>
      </c>
      <c r="B7069" s="405" t="s">
        <v>3056</v>
      </c>
      <c r="C7069" s="405" t="s">
        <v>327</v>
      </c>
      <c r="D7069" s="405"/>
      <c r="E7069" s="410">
        <v>41212</v>
      </c>
      <c r="F7069" s="410">
        <v>41257</v>
      </c>
      <c r="G7069" s="405" t="s">
        <v>3057</v>
      </c>
      <c r="H7069" s="405">
        <v>787657875</v>
      </c>
      <c r="I7069" s="405"/>
      <c r="J7069" s="405">
        <v>0.159138</v>
      </c>
      <c r="K7069" s="405">
        <v>32.799914999999999</v>
      </c>
      <c r="L7069" s="405" t="s">
        <v>314</v>
      </c>
      <c r="M7069" s="405" t="s">
        <v>329</v>
      </c>
      <c r="N7069" s="405" t="s">
        <v>803</v>
      </c>
      <c r="O7069" s="405" t="s">
        <v>909</v>
      </c>
      <c r="P7069" s="405" t="s">
        <v>3058</v>
      </c>
      <c r="Q7069" s="411">
        <v>6</v>
      </c>
      <c r="R7069" s="405" t="s">
        <v>318</v>
      </c>
      <c r="S7069" s="405" t="s">
        <v>27124</v>
      </c>
      <c r="T7069" s="405" t="s">
        <v>32102</v>
      </c>
      <c r="U7069" s="405" t="s">
        <v>319</v>
      </c>
    </row>
    <row r="7070" spans="1:21" hidden="1" x14ac:dyDescent="0.25">
      <c r="A7070" s="405" t="s">
        <v>310</v>
      </c>
      <c r="B7070" s="405" t="s">
        <v>11937</v>
      </c>
      <c r="C7070" s="405" t="s">
        <v>327</v>
      </c>
      <c r="D7070" s="405"/>
      <c r="E7070" s="410">
        <v>41212</v>
      </c>
      <c r="F7070" s="410">
        <v>41257</v>
      </c>
      <c r="G7070" s="405" t="s">
        <v>11938</v>
      </c>
      <c r="H7070" s="405">
        <v>782748375</v>
      </c>
      <c r="I7070" s="405"/>
      <c r="J7070" s="405">
        <v>1.1984330000000001</v>
      </c>
      <c r="K7070" s="405">
        <v>34.330992000000002</v>
      </c>
      <c r="L7070" s="405" t="s">
        <v>6866</v>
      </c>
      <c r="M7070" s="405" t="s">
        <v>9575</v>
      </c>
      <c r="N7070" s="405" t="s">
        <v>9629</v>
      </c>
      <c r="O7070" s="405" t="s">
        <v>9630</v>
      </c>
      <c r="P7070" s="405" t="s">
        <v>11939</v>
      </c>
      <c r="Q7070" s="411">
        <v>6</v>
      </c>
      <c r="R7070" s="405" t="s">
        <v>9541</v>
      </c>
      <c r="S7070" s="405" t="s">
        <v>27086</v>
      </c>
      <c r="T7070" s="405" t="s">
        <v>32102</v>
      </c>
      <c r="U7070" s="405" t="s">
        <v>319</v>
      </c>
    </row>
    <row r="7071" spans="1:21" hidden="1" x14ac:dyDescent="0.25">
      <c r="A7071" s="405" t="s">
        <v>310</v>
      </c>
      <c r="B7071" s="405" t="s">
        <v>29070</v>
      </c>
      <c r="C7071" s="405" t="s">
        <v>327</v>
      </c>
      <c r="D7071" s="405"/>
      <c r="E7071" s="410">
        <v>41211</v>
      </c>
      <c r="F7071" s="410">
        <v>41256</v>
      </c>
      <c r="G7071" s="405" t="s">
        <v>11880</v>
      </c>
      <c r="H7071" s="405">
        <v>775166767</v>
      </c>
      <c r="I7071" s="405">
        <v>773008997</v>
      </c>
      <c r="J7071" s="405">
        <v>1.0966899999999999</v>
      </c>
      <c r="K7071" s="405">
        <v>34.209412</v>
      </c>
      <c r="L7071" s="405" t="s">
        <v>6866</v>
      </c>
      <c r="M7071" s="405" t="s">
        <v>9514</v>
      </c>
      <c r="N7071" s="405" t="s">
        <v>9529</v>
      </c>
      <c r="O7071" s="405" t="s">
        <v>9530</v>
      </c>
      <c r="P7071" s="405" t="s">
        <v>11783</v>
      </c>
      <c r="Q7071" s="411">
        <v>6</v>
      </c>
      <c r="R7071" s="405" t="s">
        <v>33091</v>
      </c>
      <c r="S7071" s="405" t="s">
        <v>27169</v>
      </c>
      <c r="T7071" s="405" t="s">
        <v>32102</v>
      </c>
      <c r="U7071" s="405" t="s">
        <v>319</v>
      </c>
    </row>
    <row r="7072" spans="1:21" hidden="1" x14ac:dyDescent="0.25">
      <c r="A7072" s="405" t="s">
        <v>310</v>
      </c>
      <c r="B7072" s="405" t="s">
        <v>27873</v>
      </c>
      <c r="C7072" s="405" t="s">
        <v>327</v>
      </c>
      <c r="D7072" s="405"/>
      <c r="E7072" s="410">
        <v>41210</v>
      </c>
      <c r="F7072" s="410">
        <v>41255</v>
      </c>
      <c r="G7072" s="405" t="s">
        <v>20715</v>
      </c>
      <c r="H7072" s="405">
        <v>703780450</v>
      </c>
      <c r="I7072" s="405"/>
      <c r="J7072" s="405">
        <v>-0.67390499999999998</v>
      </c>
      <c r="K7072" s="405">
        <v>30.313866000000001</v>
      </c>
      <c r="L7072" s="405" t="s">
        <v>590</v>
      </c>
      <c r="M7072" s="405" t="s">
        <v>19725</v>
      </c>
      <c r="N7072" s="405" t="s">
        <v>19725</v>
      </c>
      <c r="O7072" s="405" t="s">
        <v>20716</v>
      </c>
      <c r="P7072" s="405" t="s">
        <v>20717</v>
      </c>
      <c r="Q7072" s="411">
        <v>6</v>
      </c>
      <c r="R7072" s="405" t="s">
        <v>333</v>
      </c>
      <c r="S7072" s="405" t="s">
        <v>27166</v>
      </c>
      <c r="T7072" s="405" t="s">
        <v>32102</v>
      </c>
      <c r="U7072" s="405" t="s">
        <v>319</v>
      </c>
    </row>
    <row r="7073" spans="1:21" hidden="1" x14ac:dyDescent="0.25">
      <c r="A7073" s="405" t="s">
        <v>310</v>
      </c>
      <c r="B7073" s="405" t="s">
        <v>11886</v>
      </c>
      <c r="C7073" s="405" t="s">
        <v>327</v>
      </c>
      <c r="D7073" s="405"/>
      <c r="E7073" s="410">
        <v>41210</v>
      </c>
      <c r="F7073" s="410">
        <v>41255</v>
      </c>
      <c r="G7073" s="405" t="s">
        <v>11887</v>
      </c>
      <c r="H7073" s="405">
        <v>754557226</v>
      </c>
      <c r="I7073" s="405"/>
      <c r="J7073" s="405">
        <v>0.86122299999999996</v>
      </c>
      <c r="K7073" s="405">
        <v>33.993563999999999</v>
      </c>
      <c r="L7073" s="405" t="s">
        <v>6866</v>
      </c>
      <c r="M7073" s="405" t="s">
        <v>9534</v>
      </c>
      <c r="N7073" s="405" t="s">
        <v>10085</v>
      </c>
      <c r="O7073" s="405" t="s">
        <v>10817</v>
      </c>
      <c r="P7073" s="405" t="s">
        <v>10823</v>
      </c>
      <c r="Q7073" s="411">
        <v>6</v>
      </c>
      <c r="R7073" s="405" t="s">
        <v>7224</v>
      </c>
      <c r="S7073" s="405" t="s">
        <v>27259</v>
      </c>
      <c r="T7073" s="405" t="s">
        <v>32102</v>
      </c>
      <c r="U7073" s="405" t="s">
        <v>319</v>
      </c>
    </row>
    <row r="7074" spans="1:21" hidden="1" x14ac:dyDescent="0.25">
      <c r="A7074" s="405" t="s">
        <v>310</v>
      </c>
      <c r="B7074" s="405" t="s">
        <v>3121</v>
      </c>
      <c r="C7074" s="405" t="s">
        <v>327</v>
      </c>
      <c r="D7074" s="405"/>
      <c r="E7074" s="410">
        <v>41210</v>
      </c>
      <c r="F7074" s="410">
        <v>41255</v>
      </c>
      <c r="G7074" s="405" t="s">
        <v>3122</v>
      </c>
      <c r="H7074" s="405">
        <v>752552377</v>
      </c>
      <c r="I7074" s="405"/>
      <c r="J7074" s="405">
        <v>0.53744700000000001</v>
      </c>
      <c r="K7074" s="405">
        <v>31.644197999999999</v>
      </c>
      <c r="L7074" s="405" t="s">
        <v>314</v>
      </c>
      <c r="M7074" s="405" t="s">
        <v>445</v>
      </c>
      <c r="N7074" s="405" t="s">
        <v>570</v>
      </c>
      <c r="O7074" s="405" t="s">
        <v>3123</v>
      </c>
      <c r="P7074" s="405" t="s">
        <v>3109</v>
      </c>
      <c r="Q7074" s="411">
        <v>4</v>
      </c>
      <c r="R7074" s="405" t="s">
        <v>525</v>
      </c>
      <c r="S7074" s="405" t="s">
        <v>27200</v>
      </c>
      <c r="T7074" s="405" t="s">
        <v>32102</v>
      </c>
      <c r="U7074" s="405" t="s">
        <v>319</v>
      </c>
    </row>
    <row r="7075" spans="1:21" hidden="1" x14ac:dyDescent="0.25">
      <c r="A7075" s="405" t="s">
        <v>310</v>
      </c>
      <c r="B7075" s="405" t="s">
        <v>11905</v>
      </c>
      <c r="C7075" s="405" t="s">
        <v>327</v>
      </c>
      <c r="D7075" s="405"/>
      <c r="E7075" s="410">
        <v>41210</v>
      </c>
      <c r="F7075" s="410">
        <v>41255</v>
      </c>
      <c r="G7075" s="405" t="s">
        <v>11906</v>
      </c>
      <c r="H7075" s="405">
        <v>778011031</v>
      </c>
      <c r="I7075" s="405"/>
      <c r="J7075" s="405">
        <v>1.0469029999999999</v>
      </c>
      <c r="K7075" s="405">
        <v>34.346097</v>
      </c>
      <c r="L7075" s="405" t="s">
        <v>6866</v>
      </c>
      <c r="M7075" s="405" t="s">
        <v>6867</v>
      </c>
      <c r="N7075" s="405" t="s">
        <v>6868</v>
      </c>
      <c r="O7075" s="405" t="s">
        <v>11907</v>
      </c>
      <c r="P7075" s="405" t="s">
        <v>11908</v>
      </c>
      <c r="Q7075" s="411">
        <v>4</v>
      </c>
      <c r="R7075" s="405" t="s">
        <v>7224</v>
      </c>
      <c r="S7075" s="405" t="s">
        <v>27306</v>
      </c>
      <c r="T7075" s="405" t="s">
        <v>32102</v>
      </c>
      <c r="U7075" s="405" t="s">
        <v>319</v>
      </c>
    </row>
    <row r="7076" spans="1:21" hidden="1" x14ac:dyDescent="0.25">
      <c r="A7076" s="405" t="s">
        <v>310</v>
      </c>
      <c r="B7076" s="405" t="s">
        <v>20724</v>
      </c>
      <c r="C7076" s="405" t="s">
        <v>327</v>
      </c>
      <c r="D7076" s="405"/>
      <c r="E7076" s="410">
        <v>41209</v>
      </c>
      <c r="F7076" s="410">
        <v>41254</v>
      </c>
      <c r="G7076" s="405" t="s">
        <v>20725</v>
      </c>
      <c r="H7076" s="405">
        <v>782587117</v>
      </c>
      <c r="I7076" s="405">
        <v>754583083</v>
      </c>
      <c r="J7076" s="405">
        <v>-0.56432199999999999</v>
      </c>
      <c r="K7076" s="405">
        <v>30.585125000000001</v>
      </c>
      <c r="L7076" s="405" t="s">
        <v>590</v>
      </c>
      <c r="M7076" s="405" t="s">
        <v>19614</v>
      </c>
      <c r="N7076" s="405" t="s">
        <v>20230</v>
      </c>
      <c r="O7076" s="405" t="s">
        <v>20063</v>
      </c>
      <c r="P7076" s="405" t="s">
        <v>20726</v>
      </c>
      <c r="Q7076" s="411">
        <v>12</v>
      </c>
      <c r="R7076" s="405" t="s">
        <v>333</v>
      </c>
      <c r="S7076" s="405" t="s">
        <v>27104</v>
      </c>
      <c r="T7076" s="405" t="s">
        <v>32102</v>
      </c>
      <c r="U7076" s="405" t="s">
        <v>319</v>
      </c>
    </row>
    <row r="7077" spans="1:21" hidden="1" x14ac:dyDescent="0.25">
      <c r="A7077" s="405" t="s">
        <v>310</v>
      </c>
      <c r="B7077" s="405" t="s">
        <v>3035</v>
      </c>
      <c r="C7077" s="405" t="s">
        <v>327</v>
      </c>
      <c r="D7077" s="405"/>
      <c r="E7077" s="410">
        <v>41209</v>
      </c>
      <c r="F7077" s="410">
        <v>41254</v>
      </c>
      <c r="G7077" s="405" t="s">
        <v>3036</v>
      </c>
      <c r="H7077" s="405">
        <v>775631720</v>
      </c>
      <c r="I7077" s="405"/>
      <c r="J7077" s="405">
        <v>0.57363900000000001</v>
      </c>
      <c r="K7077" s="405">
        <v>33.038274000000001</v>
      </c>
      <c r="L7077" s="405" t="s">
        <v>314</v>
      </c>
      <c r="M7077" s="405" t="s">
        <v>502</v>
      </c>
      <c r="N7077" s="405" t="s">
        <v>503</v>
      </c>
      <c r="O7077" s="405" t="s">
        <v>2179</v>
      </c>
      <c r="P7077" s="405" t="s">
        <v>3034</v>
      </c>
      <c r="Q7077" s="411">
        <v>6</v>
      </c>
      <c r="R7077" s="405" t="s">
        <v>1263</v>
      </c>
      <c r="S7077" s="405" t="s">
        <v>27059</v>
      </c>
      <c r="T7077" s="405" t="s">
        <v>32102</v>
      </c>
      <c r="U7077" s="405" t="s">
        <v>319</v>
      </c>
    </row>
    <row r="7078" spans="1:21" hidden="1" x14ac:dyDescent="0.25">
      <c r="A7078" s="405" t="s">
        <v>310</v>
      </c>
      <c r="B7078" s="405" t="s">
        <v>11869</v>
      </c>
      <c r="C7078" s="405" t="s">
        <v>327</v>
      </c>
      <c r="D7078" s="405"/>
      <c r="E7078" s="410">
        <v>41208</v>
      </c>
      <c r="F7078" s="410">
        <v>41253</v>
      </c>
      <c r="G7078" s="405" t="s">
        <v>11870</v>
      </c>
      <c r="H7078" s="405">
        <v>782152301</v>
      </c>
      <c r="I7078" s="405"/>
      <c r="J7078" s="405">
        <v>1.0888519999999999</v>
      </c>
      <c r="K7078" s="405">
        <v>34.190852999999997</v>
      </c>
      <c r="L7078" s="405" t="s">
        <v>6866</v>
      </c>
      <c r="M7078" s="405" t="s">
        <v>9514</v>
      </c>
      <c r="N7078" s="405" t="s">
        <v>9529</v>
      </c>
      <c r="O7078" s="405" t="s">
        <v>9530</v>
      </c>
      <c r="P7078" s="405" t="s">
        <v>9890</v>
      </c>
      <c r="Q7078" s="411">
        <v>6</v>
      </c>
      <c r="R7078" s="405" t="s">
        <v>7224</v>
      </c>
      <c r="S7078" s="405" t="s">
        <v>17062</v>
      </c>
      <c r="T7078" s="405" t="s">
        <v>32102</v>
      </c>
      <c r="U7078" s="405" t="s">
        <v>319</v>
      </c>
    </row>
    <row r="7079" spans="1:21" hidden="1" x14ac:dyDescent="0.25">
      <c r="A7079" s="405" t="s">
        <v>310</v>
      </c>
      <c r="B7079" s="405" t="s">
        <v>3047</v>
      </c>
      <c r="C7079" s="405" t="s">
        <v>327</v>
      </c>
      <c r="D7079" s="405"/>
      <c r="E7079" s="410">
        <v>41208</v>
      </c>
      <c r="F7079" s="410">
        <v>41253</v>
      </c>
      <c r="G7079" s="405" t="s">
        <v>3048</v>
      </c>
      <c r="H7079" s="405">
        <v>772522583</v>
      </c>
      <c r="I7079" s="405"/>
      <c r="J7079" s="405">
        <v>0.24564</v>
      </c>
      <c r="K7079" s="405">
        <v>32.379519999999999</v>
      </c>
      <c r="L7079" s="405" t="s">
        <v>314</v>
      </c>
      <c r="M7079" s="405" t="s">
        <v>321</v>
      </c>
      <c r="N7079" s="405" t="s">
        <v>1244</v>
      </c>
      <c r="O7079" s="405" t="s">
        <v>519</v>
      </c>
      <c r="P7079" s="405" t="s">
        <v>3049</v>
      </c>
      <c r="Q7079" s="411">
        <v>6</v>
      </c>
      <c r="R7079" s="405" t="s">
        <v>318</v>
      </c>
      <c r="S7079" s="405" t="s">
        <v>27046</v>
      </c>
      <c r="T7079" s="405" t="s">
        <v>32102</v>
      </c>
      <c r="U7079" s="405" t="s">
        <v>319</v>
      </c>
    </row>
    <row r="7080" spans="1:21" hidden="1" x14ac:dyDescent="0.25">
      <c r="A7080" s="405" t="s">
        <v>310</v>
      </c>
      <c r="B7080" s="405" t="s">
        <v>11957</v>
      </c>
      <c r="C7080" s="405" t="s">
        <v>327</v>
      </c>
      <c r="D7080" s="405"/>
      <c r="E7080" s="410">
        <v>41208</v>
      </c>
      <c r="F7080" s="410">
        <v>41253</v>
      </c>
      <c r="G7080" s="405" t="s">
        <v>11958</v>
      </c>
      <c r="H7080" s="405">
        <v>776332073</v>
      </c>
      <c r="I7080" s="405"/>
      <c r="J7080" s="405">
        <v>0.897702</v>
      </c>
      <c r="K7080" s="405">
        <v>34.331527000000001</v>
      </c>
      <c r="L7080" s="405" t="s">
        <v>6866</v>
      </c>
      <c r="M7080" s="405" t="s">
        <v>9763</v>
      </c>
      <c r="N7080" s="405" t="s">
        <v>9848</v>
      </c>
      <c r="O7080" s="405" t="s">
        <v>11333</v>
      </c>
      <c r="P7080" s="405" t="s">
        <v>11334</v>
      </c>
      <c r="Q7080" s="411">
        <v>4</v>
      </c>
      <c r="R7080" s="405" t="s">
        <v>7224</v>
      </c>
      <c r="S7080" s="405" t="s">
        <v>27283</v>
      </c>
      <c r="T7080" s="405" t="s">
        <v>32102</v>
      </c>
      <c r="U7080" s="405" t="s">
        <v>319</v>
      </c>
    </row>
    <row r="7081" spans="1:21" hidden="1" x14ac:dyDescent="0.25">
      <c r="A7081" s="405" t="s">
        <v>310</v>
      </c>
      <c r="B7081" s="405" t="s">
        <v>3114</v>
      </c>
      <c r="C7081" s="405" t="s">
        <v>327</v>
      </c>
      <c r="D7081" s="405"/>
      <c r="E7081" s="410">
        <v>41207</v>
      </c>
      <c r="F7081" s="410">
        <v>41252</v>
      </c>
      <c r="G7081" s="405" t="s">
        <v>3115</v>
      </c>
      <c r="H7081" s="405">
        <v>772384068</v>
      </c>
      <c r="I7081" s="405"/>
      <c r="J7081" s="405">
        <v>0.61674799999999996</v>
      </c>
      <c r="K7081" s="405">
        <v>31.819220000000001</v>
      </c>
      <c r="L7081" s="405" t="s">
        <v>314</v>
      </c>
      <c r="M7081" s="405" t="s">
        <v>445</v>
      </c>
      <c r="N7081" s="405" t="s">
        <v>570</v>
      </c>
      <c r="O7081" s="405" t="s">
        <v>2925</v>
      </c>
      <c r="P7081" s="405" t="s">
        <v>2926</v>
      </c>
      <c r="Q7081" s="411">
        <v>13</v>
      </c>
      <c r="R7081" s="405" t="s">
        <v>318</v>
      </c>
      <c r="S7081" s="405" t="s">
        <v>27141</v>
      </c>
      <c r="T7081" s="405" t="s">
        <v>32102</v>
      </c>
      <c r="U7081" s="405" t="s">
        <v>319</v>
      </c>
    </row>
    <row r="7082" spans="1:21" hidden="1" x14ac:dyDescent="0.25">
      <c r="A7082" s="405" t="s">
        <v>310</v>
      </c>
      <c r="B7082" s="405" t="s">
        <v>3063</v>
      </c>
      <c r="C7082" s="405" t="s">
        <v>327</v>
      </c>
      <c r="D7082" s="405"/>
      <c r="E7082" s="410">
        <v>41207</v>
      </c>
      <c r="F7082" s="410">
        <v>41252</v>
      </c>
      <c r="G7082" s="405" t="s">
        <v>3064</v>
      </c>
      <c r="H7082" s="405">
        <v>772443291</v>
      </c>
      <c r="I7082" s="405"/>
      <c r="J7082" s="405">
        <v>0.33885510000000002</v>
      </c>
      <c r="K7082" s="405">
        <v>32.360349200000002</v>
      </c>
      <c r="L7082" s="405" t="s">
        <v>314</v>
      </c>
      <c r="M7082" s="405" t="s">
        <v>321</v>
      </c>
      <c r="N7082" s="405" t="s">
        <v>322</v>
      </c>
      <c r="O7082" s="405" t="s">
        <v>1017</v>
      </c>
      <c r="P7082" s="405" t="s">
        <v>3065</v>
      </c>
      <c r="Q7082" s="411">
        <v>13</v>
      </c>
      <c r="R7082" s="405" t="s">
        <v>318</v>
      </c>
      <c r="S7082" s="405" t="s">
        <v>27134</v>
      </c>
      <c r="T7082" s="405" t="s">
        <v>32102</v>
      </c>
      <c r="U7082" s="405" t="s">
        <v>319</v>
      </c>
    </row>
    <row r="7083" spans="1:21" hidden="1" x14ac:dyDescent="0.25">
      <c r="A7083" s="405" t="s">
        <v>310</v>
      </c>
      <c r="B7083" s="405" t="s">
        <v>3119</v>
      </c>
      <c r="C7083" s="405" t="s">
        <v>327</v>
      </c>
      <c r="D7083" s="405"/>
      <c r="E7083" s="410">
        <v>41207</v>
      </c>
      <c r="F7083" s="410">
        <v>41252</v>
      </c>
      <c r="G7083" s="405" t="s">
        <v>3120</v>
      </c>
      <c r="H7083" s="405">
        <v>703899524</v>
      </c>
      <c r="I7083" s="405">
        <v>752896769</v>
      </c>
      <c r="J7083" s="405">
        <v>0.36736799999999997</v>
      </c>
      <c r="K7083" s="405">
        <v>32.120733000000001</v>
      </c>
      <c r="L7083" s="405" t="s">
        <v>314</v>
      </c>
      <c r="M7083" s="405" t="s">
        <v>675</v>
      </c>
      <c r="N7083" s="405" t="s">
        <v>676</v>
      </c>
      <c r="O7083" s="405" t="s">
        <v>2342</v>
      </c>
      <c r="P7083" s="405" t="s">
        <v>2822</v>
      </c>
      <c r="Q7083" s="411">
        <v>6</v>
      </c>
      <c r="R7083" s="405" t="s">
        <v>1263</v>
      </c>
      <c r="S7083" s="405" t="s">
        <v>27154</v>
      </c>
      <c r="T7083" s="405" t="s">
        <v>32102</v>
      </c>
      <c r="U7083" s="405" t="s">
        <v>319</v>
      </c>
    </row>
    <row r="7084" spans="1:21" hidden="1" x14ac:dyDescent="0.25">
      <c r="A7084" s="405" t="s">
        <v>310</v>
      </c>
      <c r="B7084" s="405" t="s">
        <v>20739</v>
      </c>
      <c r="C7084" s="405" t="s">
        <v>327</v>
      </c>
      <c r="D7084" s="405"/>
      <c r="E7084" s="410">
        <v>41206</v>
      </c>
      <c r="F7084" s="410">
        <v>41251</v>
      </c>
      <c r="G7084" s="405" t="s">
        <v>20740</v>
      </c>
      <c r="H7084" s="405">
        <v>772503949</v>
      </c>
      <c r="I7084" s="405"/>
      <c r="J7084" s="405">
        <v>-0.60338199999999997</v>
      </c>
      <c r="K7084" s="405">
        <v>30.463325999999999</v>
      </c>
      <c r="L7084" s="405" t="s">
        <v>590</v>
      </c>
      <c r="M7084" s="405" t="s">
        <v>19614</v>
      </c>
      <c r="N7084" s="405" t="s">
        <v>19615</v>
      </c>
      <c r="O7084" s="405" t="s">
        <v>20063</v>
      </c>
      <c r="P7084" s="405" t="s">
        <v>20241</v>
      </c>
      <c r="Q7084" s="411">
        <v>9</v>
      </c>
      <c r="R7084" s="405" t="s">
        <v>883</v>
      </c>
      <c r="S7084" s="405" t="s">
        <v>27227</v>
      </c>
      <c r="T7084" s="405" t="s">
        <v>32102</v>
      </c>
      <c r="U7084" s="405" t="s">
        <v>319</v>
      </c>
    </row>
    <row r="7085" spans="1:21" hidden="1" x14ac:dyDescent="0.25">
      <c r="A7085" s="405" t="s">
        <v>310</v>
      </c>
      <c r="B7085" s="405" t="s">
        <v>28738</v>
      </c>
      <c r="C7085" s="405" t="s">
        <v>327</v>
      </c>
      <c r="D7085" s="405"/>
      <c r="E7085" s="410">
        <v>41206</v>
      </c>
      <c r="F7085" s="410">
        <v>41251</v>
      </c>
      <c r="G7085" s="405" t="s">
        <v>11919</v>
      </c>
      <c r="H7085" s="405">
        <v>775559811</v>
      </c>
      <c r="I7085" s="405"/>
      <c r="J7085" s="405">
        <v>0.82579000000000002</v>
      </c>
      <c r="K7085" s="405">
        <v>33.987927999999997</v>
      </c>
      <c r="L7085" s="405" t="s">
        <v>6866</v>
      </c>
      <c r="M7085" s="405" t="s">
        <v>9534</v>
      </c>
      <c r="N7085" s="405" t="s">
        <v>11483</v>
      </c>
      <c r="O7085" s="405" t="s">
        <v>10817</v>
      </c>
      <c r="P7085" s="405" t="s">
        <v>3870</v>
      </c>
      <c r="Q7085" s="411">
        <v>6</v>
      </c>
      <c r="R7085" s="405" t="s">
        <v>7224</v>
      </c>
      <c r="S7085" s="405" t="s">
        <v>17013</v>
      </c>
      <c r="T7085" s="405" t="s">
        <v>32102</v>
      </c>
      <c r="U7085" s="405" t="s">
        <v>319</v>
      </c>
    </row>
    <row r="7086" spans="1:21" hidden="1" x14ac:dyDescent="0.25">
      <c r="A7086" s="405" t="s">
        <v>310</v>
      </c>
      <c r="B7086" s="405" t="s">
        <v>11942</v>
      </c>
      <c r="C7086" s="405" t="s">
        <v>327</v>
      </c>
      <c r="D7086" s="405"/>
      <c r="E7086" s="410">
        <v>41206</v>
      </c>
      <c r="F7086" s="410">
        <v>41251</v>
      </c>
      <c r="G7086" s="405" t="s">
        <v>11943</v>
      </c>
      <c r="H7086" s="405">
        <v>752409741</v>
      </c>
      <c r="I7086" s="405"/>
      <c r="J7086" s="405">
        <v>1.3908469999999999</v>
      </c>
      <c r="K7086" s="405">
        <v>34.506805999999997</v>
      </c>
      <c r="L7086" s="405" t="s">
        <v>6866</v>
      </c>
      <c r="M7086" s="405" t="s">
        <v>9705</v>
      </c>
      <c r="N7086" s="405" t="s">
        <v>9705</v>
      </c>
      <c r="O7086" s="405" t="s">
        <v>9706</v>
      </c>
      <c r="P7086" s="405" t="s">
        <v>11944</v>
      </c>
      <c r="Q7086" s="411">
        <v>6</v>
      </c>
      <c r="R7086" s="405" t="s">
        <v>10303</v>
      </c>
      <c r="S7086" s="405" t="s">
        <v>27184</v>
      </c>
      <c r="T7086" s="405" t="s">
        <v>32102</v>
      </c>
      <c r="U7086" s="405" t="s">
        <v>319</v>
      </c>
    </row>
    <row r="7087" spans="1:21" hidden="1" x14ac:dyDescent="0.25">
      <c r="A7087" s="405" t="s">
        <v>310</v>
      </c>
      <c r="B7087" s="405" t="s">
        <v>11951</v>
      </c>
      <c r="C7087" s="405" t="s">
        <v>327</v>
      </c>
      <c r="D7087" s="405"/>
      <c r="E7087" s="410">
        <v>41206</v>
      </c>
      <c r="F7087" s="410">
        <v>41251</v>
      </c>
      <c r="G7087" s="405" t="s">
        <v>11952</v>
      </c>
      <c r="H7087" s="405">
        <v>777850418</v>
      </c>
      <c r="I7087" s="405"/>
      <c r="J7087" s="405">
        <v>0.85181200000000001</v>
      </c>
      <c r="K7087" s="405">
        <v>34.391703999999997</v>
      </c>
      <c r="L7087" s="405" t="s">
        <v>6866</v>
      </c>
      <c r="M7087" s="405" t="s">
        <v>9763</v>
      </c>
      <c r="N7087" s="405" t="s">
        <v>11470</v>
      </c>
      <c r="O7087" s="405" t="s">
        <v>11953</v>
      </c>
      <c r="P7087" s="405" t="s">
        <v>11954</v>
      </c>
      <c r="Q7087" s="411">
        <v>6</v>
      </c>
      <c r="R7087" s="405" t="s">
        <v>9541</v>
      </c>
      <c r="S7087" s="405" t="s">
        <v>27315</v>
      </c>
      <c r="T7087" s="405" t="s">
        <v>32102</v>
      </c>
      <c r="U7087" s="405" t="s">
        <v>319</v>
      </c>
    </row>
    <row r="7088" spans="1:21" hidden="1" x14ac:dyDescent="0.25">
      <c r="A7088" s="405" t="s">
        <v>310</v>
      </c>
      <c r="B7088" s="405" t="s">
        <v>11945</v>
      </c>
      <c r="C7088" s="405" t="s">
        <v>327</v>
      </c>
      <c r="D7088" s="405"/>
      <c r="E7088" s="410">
        <v>41206</v>
      </c>
      <c r="F7088" s="410">
        <v>41251</v>
      </c>
      <c r="G7088" s="405" t="s">
        <v>11946</v>
      </c>
      <c r="H7088" s="405">
        <v>772827576</v>
      </c>
      <c r="I7088" s="405"/>
      <c r="J7088" s="405">
        <v>0.837839</v>
      </c>
      <c r="K7088" s="405">
        <v>34.371132000000003</v>
      </c>
      <c r="L7088" s="405" t="s">
        <v>6866</v>
      </c>
      <c r="M7088" s="405" t="s">
        <v>9763</v>
      </c>
      <c r="N7088" s="405" t="s">
        <v>11470</v>
      </c>
      <c r="O7088" s="405" t="s">
        <v>11471</v>
      </c>
      <c r="P7088" s="405" t="s">
        <v>11947</v>
      </c>
      <c r="Q7088" s="411">
        <v>6</v>
      </c>
      <c r="R7088" s="405" t="s">
        <v>7224</v>
      </c>
      <c r="S7088" s="405" t="s">
        <v>27107</v>
      </c>
      <c r="T7088" s="405" t="s">
        <v>32102</v>
      </c>
      <c r="U7088" s="405" t="s">
        <v>319</v>
      </c>
    </row>
    <row r="7089" spans="1:21" hidden="1" x14ac:dyDescent="0.25">
      <c r="A7089" s="405" t="s">
        <v>310</v>
      </c>
      <c r="B7089" s="405" t="s">
        <v>3126</v>
      </c>
      <c r="C7089" s="405" t="s">
        <v>327</v>
      </c>
      <c r="D7089" s="405"/>
      <c r="E7089" s="410">
        <v>41206</v>
      </c>
      <c r="F7089" s="410">
        <v>41251</v>
      </c>
      <c r="G7089" s="405" t="s">
        <v>3127</v>
      </c>
      <c r="H7089" s="405">
        <v>702180584</v>
      </c>
      <c r="I7089" s="405"/>
      <c r="J7089" s="405">
        <v>0.51031199999999999</v>
      </c>
      <c r="K7089" s="405">
        <v>31.251830000000002</v>
      </c>
      <c r="L7089" s="405" t="s">
        <v>314</v>
      </c>
      <c r="M7089" s="405" t="s">
        <v>445</v>
      </c>
      <c r="N7089" s="405" t="s">
        <v>2528</v>
      </c>
      <c r="O7089" s="405" t="s">
        <v>3128</v>
      </c>
      <c r="P7089" s="405" t="s">
        <v>3129</v>
      </c>
      <c r="Q7089" s="411">
        <v>6</v>
      </c>
      <c r="R7089" s="405" t="s">
        <v>318</v>
      </c>
      <c r="S7089" s="405" t="s">
        <v>27174</v>
      </c>
      <c r="T7089" s="405" t="s">
        <v>32102</v>
      </c>
      <c r="U7089" s="405" t="s">
        <v>319</v>
      </c>
    </row>
    <row r="7090" spans="1:21" hidden="1" x14ac:dyDescent="0.25">
      <c r="A7090" s="405" t="s">
        <v>310</v>
      </c>
      <c r="B7090" s="405" t="s">
        <v>11889</v>
      </c>
      <c r="C7090" s="405" t="s">
        <v>327</v>
      </c>
      <c r="D7090" s="405"/>
      <c r="E7090" s="410">
        <v>41206</v>
      </c>
      <c r="F7090" s="410">
        <v>41251</v>
      </c>
      <c r="G7090" s="405" t="s">
        <v>11890</v>
      </c>
      <c r="H7090" s="405">
        <v>754783388</v>
      </c>
      <c r="I7090" s="405"/>
      <c r="J7090" s="405">
        <v>0.83352000000000004</v>
      </c>
      <c r="K7090" s="405">
        <v>34.000323000000002</v>
      </c>
      <c r="L7090" s="405" t="s">
        <v>6866</v>
      </c>
      <c r="M7090" s="405" t="s">
        <v>9534</v>
      </c>
      <c r="N7090" s="405" t="s">
        <v>10085</v>
      </c>
      <c r="O7090" s="405" t="s">
        <v>10817</v>
      </c>
      <c r="P7090" s="405" t="s">
        <v>11891</v>
      </c>
      <c r="Q7090" s="411">
        <v>6</v>
      </c>
      <c r="R7090" s="405" t="s">
        <v>7224</v>
      </c>
      <c r="S7090" s="405" t="s">
        <v>27309</v>
      </c>
      <c r="T7090" s="405" t="s">
        <v>32102</v>
      </c>
      <c r="U7090" s="405" t="s">
        <v>319</v>
      </c>
    </row>
    <row r="7091" spans="1:21" hidden="1" x14ac:dyDescent="0.25">
      <c r="A7091" s="405" t="s">
        <v>310</v>
      </c>
      <c r="B7091" s="405" t="s">
        <v>3050</v>
      </c>
      <c r="C7091" s="405" t="s">
        <v>327</v>
      </c>
      <c r="D7091" s="405"/>
      <c r="E7091" s="410">
        <v>41206</v>
      </c>
      <c r="F7091" s="410">
        <v>41251</v>
      </c>
      <c r="G7091" s="405" t="s">
        <v>3051</v>
      </c>
      <c r="H7091" s="405">
        <v>701249666</v>
      </c>
      <c r="I7091" s="405">
        <v>772472304</v>
      </c>
      <c r="J7091" s="405">
        <v>0.56781199999999998</v>
      </c>
      <c r="K7091" s="405">
        <v>31.388971999999999</v>
      </c>
      <c r="L7091" s="405" t="s">
        <v>314</v>
      </c>
      <c r="M7091" s="405" t="s">
        <v>445</v>
      </c>
      <c r="N7091" s="405" t="s">
        <v>2957</v>
      </c>
      <c r="O7091" s="405" t="s">
        <v>3052</v>
      </c>
      <c r="P7091" s="405" t="s">
        <v>3053</v>
      </c>
      <c r="Q7091" s="411">
        <v>6</v>
      </c>
      <c r="R7091" s="405" t="s">
        <v>318</v>
      </c>
      <c r="S7091" s="405" t="s">
        <v>27195</v>
      </c>
      <c r="T7091" s="405" t="s">
        <v>32102</v>
      </c>
      <c r="U7091" s="405" t="s">
        <v>319</v>
      </c>
    </row>
    <row r="7092" spans="1:21" hidden="1" x14ac:dyDescent="0.25">
      <c r="A7092" s="405" t="s">
        <v>310</v>
      </c>
      <c r="B7092" s="405" t="s">
        <v>28375</v>
      </c>
      <c r="C7092" s="405" t="s">
        <v>327</v>
      </c>
      <c r="D7092" s="405"/>
      <c r="E7092" s="410">
        <v>41205</v>
      </c>
      <c r="F7092" s="410">
        <v>41250</v>
      </c>
      <c r="G7092" s="405" t="s">
        <v>11877</v>
      </c>
      <c r="H7092" s="405">
        <v>701819999</v>
      </c>
      <c r="I7092" s="405">
        <v>751819999</v>
      </c>
      <c r="J7092" s="405">
        <v>1.1139969999999999</v>
      </c>
      <c r="K7092" s="405">
        <v>34.215767999999997</v>
      </c>
      <c r="L7092" s="405" t="s">
        <v>6866</v>
      </c>
      <c r="M7092" s="405" t="s">
        <v>9514</v>
      </c>
      <c r="N7092" s="405" t="s">
        <v>9529</v>
      </c>
      <c r="O7092" s="405" t="s">
        <v>9530</v>
      </c>
      <c r="P7092" s="405" t="s">
        <v>10607</v>
      </c>
      <c r="Q7092" s="411">
        <v>6</v>
      </c>
      <c r="R7092" s="405" t="s">
        <v>33091</v>
      </c>
      <c r="S7092" s="405" t="s">
        <v>27169</v>
      </c>
      <c r="T7092" s="405" t="s">
        <v>32102</v>
      </c>
      <c r="U7092" s="405" t="s">
        <v>319</v>
      </c>
    </row>
    <row r="7093" spans="1:21" hidden="1" x14ac:dyDescent="0.25">
      <c r="A7093" s="405" t="s">
        <v>310</v>
      </c>
      <c r="B7093" s="405" t="s">
        <v>28500</v>
      </c>
      <c r="C7093" s="405" t="s">
        <v>327</v>
      </c>
      <c r="D7093" s="405"/>
      <c r="E7093" s="410">
        <v>41205</v>
      </c>
      <c r="F7093" s="410">
        <v>41250</v>
      </c>
      <c r="G7093" s="405" t="s">
        <v>11878</v>
      </c>
      <c r="H7093" s="405">
        <v>773938710</v>
      </c>
      <c r="I7093" s="405"/>
      <c r="J7093" s="405">
        <v>1.126233</v>
      </c>
      <c r="K7093" s="405">
        <v>34.209242000000003</v>
      </c>
      <c r="L7093" s="405" t="s">
        <v>6866</v>
      </c>
      <c r="M7093" s="405" t="s">
        <v>9514</v>
      </c>
      <c r="N7093" s="405" t="s">
        <v>9529</v>
      </c>
      <c r="O7093" s="405" t="s">
        <v>9530</v>
      </c>
      <c r="P7093" s="405" t="s">
        <v>11879</v>
      </c>
      <c r="Q7093" s="411">
        <v>6</v>
      </c>
      <c r="R7093" s="405" t="s">
        <v>7224</v>
      </c>
      <c r="S7093" s="405" t="s">
        <v>27316</v>
      </c>
      <c r="T7093" s="405" t="s">
        <v>32102</v>
      </c>
      <c r="U7093" s="405" t="s">
        <v>319</v>
      </c>
    </row>
    <row r="7094" spans="1:21" hidden="1" x14ac:dyDescent="0.25">
      <c r="A7094" s="405" t="s">
        <v>310</v>
      </c>
      <c r="B7094" s="405" t="s">
        <v>11884</v>
      </c>
      <c r="C7094" s="405" t="s">
        <v>327</v>
      </c>
      <c r="D7094" s="405"/>
      <c r="E7094" s="410">
        <v>41205</v>
      </c>
      <c r="F7094" s="410">
        <v>41250</v>
      </c>
      <c r="G7094" s="405" t="s">
        <v>11885</v>
      </c>
      <c r="H7094" s="405">
        <v>700321738</v>
      </c>
      <c r="I7094" s="405"/>
      <c r="J7094" s="405">
        <v>0.86912199999999995</v>
      </c>
      <c r="K7094" s="405">
        <v>34.004655999999997</v>
      </c>
      <c r="L7094" s="405" t="s">
        <v>6866</v>
      </c>
      <c r="M7094" s="405" t="s">
        <v>9534</v>
      </c>
      <c r="N7094" s="405" t="s">
        <v>10085</v>
      </c>
      <c r="O7094" s="405" t="s">
        <v>10817</v>
      </c>
      <c r="P7094" s="405" t="s">
        <v>10818</v>
      </c>
      <c r="Q7094" s="411">
        <v>6</v>
      </c>
      <c r="R7094" s="405" t="s">
        <v>7224</v>
      </c>
      <c r="S7094" s="405" t="s">
        <v>27204</v>
      </c>
      <c r="T7094" s="405" t="s">
        <v>32102</v>
      </c>
      <c r="U7094" s="405" t="s">
        <v>319</v>
      </c>
    </row>
    <row r="7095" spans="1:21" hidden="1" x14ac:dyDescent="0.25">
      <c r="A7095" s="405" t="s">
        <v>310</v>
      </c>
      <c r="B7095" s="405" t="s">
        <v>11928</v>
      </c>
      <c r="C7095" s="405" t="s">
        <v>327</v>
      </c>
      <c r="D7095" s="405"/>
      <c r="E7095" s="410">
        <v>41205</v>
      </c>
      <c r="F7095" s="410">
        <v>41250</v>
      </c>
      <c r="G7095" s="405" t="s">
        <v>11929</v>
      </c>
      <c r="H7095" s="405">
        <v>772392553</v>
      </c>
      <c r="I7095" s="405"/>
      <c r="J7095" s="405">
        <v>0.863618</v>
      </c>
      <c r="K7095" s="405">
        <v>34.177858000000001</v>
      </c>
      <c r="L7095" s="405" t="s">
        <v>6866</v>
      </c>
      <c r="M7095" s="405" t="s">
        <v>9514</v>
      </c>
      <c r="N7095" s="405" t="s">
        <v>9616</v>
      </c>
      <c r="O7095" s="405" t="s">
        <v>11930</v>
      </c>
      <c r="P7095" s="405" t="s">
        <v>11930</v>
      </c>
      <c r="Q7095" s="411">
        <v>6</v>
      </c>
      <c r="R7095" s="405" t="s">
        <v>7224</v>
      </c>
      <c r="S7095" s="405" t="s">
        <v>27302</v>
      </c>
      <c r="T7095" s="405" t="s">
        <v>32102</v>
      </c>
      <c r="U7095" s="405" t="s">
        <v>319</v>
      </c>
    </row>
    <row r="7096" spans="1:21" hidden="1" x14ac:dyDescent="0.25">
      <c r="A7096" s="405" t="s">
        <v>310</v>
      </c>
      <c r="B7096" s="405" t="s">
        <v>28709</v>
      </c>
      <c r="C7096" s="405" t="s">
        <v>327</v>
      </c>
      <c r="D7096" s="405"/>
      <c r="E7096" s="410">
        <v>41204</v>
      </c>
      <c r="F7096" s="410">
        <v>41249</v>
      </c>
      <c r="G7096" s="405" t="s">
        <v>11883</v>
      </c>
      <c r="H7096" s="405">
        <v>772361129</v>
      </c>
      <c r="I7096" s="405"/>
      <c r="J7096" s="405">
        <v>0.74065999999999999</v>
      </c>
      <c r="K7096" s="405">
        <v>34.180729999999997</v>
      </c>
      <c r="L7096" s="405" t="s">
        <v>6866</v>
      </c>
      <c r="M7096" s="405" t="s">
        <v>9534</v>
      </c>
      <c r="N7096" s="405" t="s">
        <v>9927</v>
      </c>
      <c r="O7096" s="405" t="s">
        <v>9770</v>
      </c>
      <c r="P7096" s="405" t="s">
        <v>10343</v>
      </c>
      <c r="Q7096" s="411">
        <v>9</v>
      </c>
      <c r="R7096" s="405" t="s">
        <v>7224</v>
      </c>
      <c r="S7096" s="405" t="s">
        <v>27259</v>
      </c>
      <c r="T7096" s="405" t="s">
        <v>32102</v>
      </c>
      <c r="U7096" s="405" t="s">
        <v>319</v>
      </c>
    </row>
    <row r="7097" spans="1:21" hidden="1" x14ac:dyDescent="0.25">
      <c r="A7097" s="405" t="s">
        <v>310</v>
      </c>
      <c r="B7097" s="405" t="s">
        <v>20746</v>
      </c>
      <c r="C7097" s="405" t="s">
        <v>327</v>
      </c>
      <c r="D7097" s="405"/>
      <c r="E7097" s="410">
        <v>41204</v>
      </c>
      <c r="F7097" s="410">
        <v>41249</v>
      </c>
      <c r="G7097" s="405" t="s">
        <v>20747</v>
      </c>
      <c r="H7097" s="405">
        <v>772646337</v>
      </c>
      <c r="I7097" s="405"/>
      <c r="J7097" s="405">
        <v>0.764598</v>
      </c>
      <c r="K7097" s="405">
        <v>30.561916</v>
      </c>
      <c r="L7097" s="405" t="s">
        <v>590</v>
      </c>
      <c r="M7097" s="405" t="s">
        <v>20426</v>
      </c>
      <c r="N7097" s="405" t="s">
        <v>10925</v>
      </c>
      <c r="O7097" s="405" t="s">
        <v>20748</v>
      </c>
      <c r="P7097" s="405" t="s">
        <v>20748</v>
      </c>
      <c r="Q7097" s="411">
        <v>9</v>
      </c>
      <c r="R7097" s="405" t="s">
        <v>883</v>
      </c>
      <c r="S7097" s="405" t="s">
        <v>27183</v>
      </c>
      <c r="T7097" s="405" t="s">
        <v>32102</v>
      </c>
      <c r="U7097" s="405" t="s">
        <v>319</v>
      </c>
    </row>
    <row r="7098" spans="1:21" hidden="1" x14ac:dyDescent="0.25">
      <c r="A7098" s="405" t="s">
        <v>310</v>
      </c>
      <c r="B7098" s="405" t="s">
        <v>18389</v>
      </c>
      <c r="C7098" s="405" t="s">
        <v>327</v>
      </c>
      <c r="D7098" s="405"/>
      <c r="E7098" s="410">
        <v>41204</v>
      </c>
      <c r="F7098" s="410">
        <v>41249</v>
      </c>
      <c r="G7098" s="405" t="s">
        <v>18390</v>
      </c>
      <c r="H7098" s="405">
        <v>772983416</v>
      </c>
      <c r="I7098" s="405"/>
      <c r="J7098" s="405">
        <v>2.2563166666666667</v>
      </c>
      <c r="K7098" s="405">
        <v>32.891848333333336</v>
      </c>
      <c r="L7098" s="405" t="s">
        <v>860</v>
      </c>
      <c r="M7098" s="405" t="s">
        <v>18234</v>
      </c>
      <c r="N7098" s="405" t="s">
        <v>18250</v>
      </c>
      <c r="O7098" s="405" t="s">
        <v>18391</v>
      </c>
      <c r="P7098" s="405" t="s">
        <v>18392</v>
      </c>
      <c r="Q7098" s="411">
        <v>6</v>
      </c>
      <c r="R7098" s="405" t="s">
        <v>525</v>
      </c>
      <c r="S7098" s="405" t="s">
        <v>27243</v>
      </c>
      <c r="T7098" s="405" t="s">
        <v>32102</v>
      </c>
      <c r="U7098" s="405" t="s">
        <v>319</v>
      </c>
    </row>
    <row r="7099" spans="1:21" hidden="1" x14ac:dyDescent="0.25">
      <c r="A7099" s="405" t="s">
        <v>310</v>
      </c>
      <c r="B7099" s="405" t="s">
        <v>27884</v>
      </c>
      <c r="C7099" s="405" t="s">
        <v>327</v>
      </c>
      <c r="D7099" s="405"/>
      <c r="E7099" s="410">
        <v>41204</v>
      </c>
      <c r="F7099" s="410">
        <v>41249</v>
      </c>
      <c r="G7099" s="405" t="s">
        <v>20718</v>
      </c>
      <c r="H7099" s="405">
        <v>772479460</v>
      </c>
      <c r="I7099" s="405"/>
      <c r="J7099" s="405">
        <v>-0.63588100000000003</v>
      </c>
      <c r="K7099" s="405">
        <v>30.584593000000002</v>
      </c>
      <c r="L7099" s="405" t="s">
        <v>590</v>
      </c>
      <c r="M7099" s="405" t="s">
        <v>19614</v>
      </c>
      <c r="N7099" s="405" t="s">
        <v>19614</v>
      </c>
      <c r="O7099" s="405" t="s">
        <v>20138</v>
      </c>
      <c r="P7099" s="405" t="s">
        <v>19778</v>
      </c>
      <c r="Q7099" s="411">
        <v>6</v>
      </c>
      <c r="R7099" s="405" t="s">
        <v>333</v>
      </c>
      <c r="S7099" s="405" t="s">
        <v>27160</v>
      </c>
      <c r="T7099" s="405" t="s">
        <v>32102</v>
      </c>
      <c r="U7099" s="405" t="s">
        <v>319</v>
      </c>
    </row>
    <row r="7100" spans="1:21" hidden="1" x14ac:dyDescent="0.25">
      <c r="A7100" s="405" t="s">
        <v>310</v>
      </c>
      <c r="B7100" s="405" t="s">
        <v>11934</v>
      </c>
      <c r="C7100" s="405" t="s">
        <v>327</v>
      </c>
      <c r="D7100" s="405"/>
      <c r="E7100" s="410">
        <v>41204</v>
      </c>
      <c r="F7100" s="410">
        <v>41249</v>
      </c>
      <c r="G7100" s="405" t="s">
        <v>11935</v>
      </c>
      <c r="H7100" s="405">
        <v>782748375</v>
      </c>
      <c r="I7100" s="405"/>
      <c r="J7100" s="405">
        <v>1.1995439999999999</v>
      </c>
      <c r="K7100" s="405">
        <v>34.326894000000003</v>
      </c>
      <c r="L7100" s="405" t="s">
        <v>6866</v>
      </c>
      <c r="M7100" s="405" t="s">
        <v>9575</v>
      </c>
      <c r="N7100" s="405" t="s">
        <v>9629</v>
      </c>
      <c r="O7100" s="405" t="s">
        <v>9630</v>
      </c>
      <c r="P7100" s="405" t="s">
        <v>11936</v>
      </c>
      <c r="Q7100" s="411">
        <v>6</v>
      </c>
      <c r="R7100" s="405" t="s">
        <v>9541</v>
      </c>
      <c r="S7100" s="405" t="s">
        <v>27086</v>
      </c>
      <c r="T7100" s="405" t="s">
        <v>32102</v>
      </c>
      <c r="U7100" s="405" t="s">
        <v>319</v>
      </c>
    </row>
    <row r="7101" spans="1:21" hidden="1" x14ac:dyDescent="0.25">
      <c r="A7101" s="405" t="s">
        <v>310</v>
      </c>
      <c r="B7101" s="405" t="s">
        <v>11898</v>
      </c>
      <c r="C7101" s="405" t="s">
        <v>327</v>
      </c>
      <c r="D7101" s="405"/>
      <c r="E7101" s="410">
        <v>41204</v>
      </c>
      <c r="F7101" s="410">
        <v>41249</v>
      </c>
      <c r="G7101" s="405" t="s">
        <v>11899</v>
      </c>
      <c r="H7101" s="405">
        <v>789166928</v>
      </c>
      <c r="I7101" s="405"/>
      <c r="J7101" s="405">
        <v>0.83947499999999997</v>
      </c>
      <c r="K7101" s="405">
        <v>33.983949000000003</v>
      </c>
      <c r="L7101" s="405" t="s">
        <v>6866</v>
      </c>
      <c r="M7101" s="405" t="s">
        <v>9534</v>
      </c>
      <c r="N7101" s="405" t="s">
        <v>10085</v>
      </c>
      <c r="O7101" s="405" t="s">
        <v>10817</v>
      </c>
      <c r="P7101" s="405" t="s">
        <v>11900</v>
      </c>
      <c r="Q7101" s="411">
        <v>6</v>
      </c>
      <c r="R7101" s="405" t="s">
        <v>9541</v>
      </c>
      <c r="S7101" s="405" t="s">
        <v>27315</v>
      </c>
      <c r="T7101" s="405" t="s">
        <v>32102</v>
      </c>
      <c r="U7101" s="405" t="s">
        <v>319</v>
      </c>
    </row>
    <row r="7102" spans="1:21" hidden="1" x14ac:dyDescent="0.25">
      <c r="A7102" s="405" t="s">
        <v>310</v>
      </c>
      <c r="B7102" s="405" t="s">
        <v>28887</v>
      </c>
      <c r="C7102" s="405" t="s">
        <v>327</v>
      </c>
      <c r="D7102" s="405"/>
      <c r="E7102" s="410">
        <v>41202</v>
      </c>
      <c r="F7102" s="410">
        <v>41247</v>
      </c>
      <c r="G7102" s="405" t="s">
        <v>3133</v>
      </c>
      <c r="H7102" s="405">
        <v>772334078</v>
      </c>
      <c r="I7102" s="405"/>
      <c r="J7102" s="405">
        <v>1.008262</v>
      </c>
      <c r="K7102" s="405">
        <v>32.556873000000003</v>
      </c>
      <c r="L7102" s="405" t="s">
        <v>314</v>
      </c>
      <c r="M7102" s="405" t="s">
        <v>2512</v>
      </c>
      <c r="N7102" s="405" t="s">
        <v>2512</v>
      </c>
      <c r="O7102" s="405" t="s">
        <v>2513</v>
      </c>
      <c r="P7102" s="405" t="s">
        <v>3134</v>
      </c>
      <c r="Q7102" s="411">
        <v>6</v>
      </c>
      <c r="R7102" s="405" t="s">
        <v>32476</v>
      </c>
      <c r="S7102" s="405" t="s">
        <v>27193</v>
      </c>
      <c r="T7102" s="405" t="s">
        <v>32102</v>
      </c>
      <c r="U7102" s="405" t="s">
        <v>319</v>
      </c>
    </row>
    <row r="7103" spans="1:21" hidden="1" x14ac:dyDescent="0.25">
      <c r="A7103" s="405" t="s">
        <v>310</v>
      </c>
      <c r="B7103" s="405" t="s">
        <v>28163</v>
      </c>
      <c r="C7103" s="405" t="s">
        <v>857</v>
      </c>
      <c r="D7103" s="405" t="s">
        <v>1037</v>
      </c>
      <c r="E7103" s="410">
        <v>41202</v>
      </c>
      <c r="F7103" s="410">
        <v>41247</v>
      </c>
      <c r="G7103" s="405" t="s">
        <v>3525</v>
      </c>
      <c r="H7103" s="405">
        <v>752863092</v>
      </c>
      <c r="I7103" s="405"/>
      <c r="J7103" s="405">
        <v>0.30213999999999996</v>
      </c>
      <c r="K7103" s="405">
        <v>32.30022833333333</v>
      </c>
      <c r="L7103" s="405" t="s">
        <v>314</v>
      </c>
      <c r="M7103" s="405" t="s">
        <v>321</v>
      </c>
      <c r="N7103" s="405" t="s">
        <v>322</v>
      </c>
      <c r="O7103" s="405" t="s">
        <v>1017</v>
      </c>
      <c r="P7103" s="405" t="s">
        <v>3526</v>
      </c>
      <c r="Q7103" s="411">
        <v>6</v>
      </c>
      <c r="R7103" s="405" t="s">
        <v>318</v>
      </c>
      <c r="S7103" s="405" t="s">
        <v>27134</v>
      </c>
      <c r="T7103" s="405" t="s">
        <v>32102</v>
      </c>
      <c r="U7103" s="405" t="s">
        <v>319</v>
      </c>
    </row>
    <row r="7104" spans="1:21" hidden="1" x14ac:dyDescent="0.25">
      <c r="A7104" s="405" t="s">
        <v>310</v>
      </c>
      <c r="B7104" s="405" t="s">
        <v>27853</v>
      </c>
      <c r="C7104" s="405" t="s">
        <v>327</v>
      </c>
      <c r="D7104" s="405"/>
      <c r="E7104" s="410">
        <v>41202</v>
      </c>
      <c r="F7104" s="410">
        <v>41247</v>
      </c>
      <c r="G7104" s="405" t="s">
        <v>11875</v>
      </c>
      <c r="H7104" s="405">
        <v>788330933</v>
      </c>
      <c r="I7104" s="405">
        <v>704597060</v>
      </c>
      <c r="J7104" s="405">
        <v>0.93418833333333329</v>
      </c>
      <c r="K7104" s="405">
        <v>33.130838333333337</v>
      </c>
      <c r="L7104" s="405" t="s">
        <v>6866</v>
      </c>
      <c r="M7104" s="405" t="s">
        <v>3009</v>
      </c>
      <c r="N7104" s="405" t="s">
        <v>10618</v>
      </c>
      <c r="O7104" s="405" t="s">
        <v>11392</v>
      </c>
      <c r="P7104" s="405" t="s">
        <v>11876</v>
      </c>
      <c r="Q7104" s="411">
        <v>6</v>
      </c>
      <c r="R7104" s="405" t="s">
        <v>333</v>
      </c>
      <c r="S7104" s="405" t="s">
        <v>6822</v>
      </c>
      <c r="T7104" s="405" t="s">
        <v>32102</v>
      </c>
      <c r="U7104" s="405" t="s">
        <v>319</v>
      </c>
    </row>
    <row r="7105" spans="1:21" hidden="1" x14ac:dyDescent="0.25">
      <c r="A7105" s="405" t="s">
        <v>310</v>
      </c>
      <c r="B7105" s="405" t="s">
        <v>11920</v>
      </c>
      <c r="C7105" s="405" t="s">
        <v>327</v>
      </c>
      <c r="D7105" s="405"/>
      <c r="E7105" s="410">
        <v>41202</v>
      </c>
      <c r="F7105" s="410">
        <v>41247</v>
      </c>
      <c r="G7105" s="405" t="s">
        <v>11921</v>
      </c>
      <c r="H7105" s="405">
        <v>786588018</v>
      </c>
      <c r="I7105" s="405"/>
      <c r="J7105" s="405">
        <v>1.0119610000000001</v>
      </c>
      <c r="K7105" s="405">
        <v>34.049861</v>
      </c>
      <c r="L7105" s="405" t="s">
        <v>6866</v>
      </c>
      <c r="M7105" s="405" t="s">
        <v>9566</v>
      </c>
      <c r="N7105" s="405" t="s">
        <v>9931</v>
      </c>
      <c r="O7105" s="405" t="s">
        <v>11178</v>
      </c>
      <c r="P7105" s="405" t="s">
        <v>11922</v>
      </c>
      <c r="Q7105" s="411">
        <v>6</v>
      </c>
      <c r="R7105" s="405" t="s">
        <v>7224</v>
      </c>
      <c r="S7105" s="405" t="s">
        <v>27309</v>
      </c>
      <c r="T7105" s="405" t="s">
        <v>32102</v>
      </c>
      <c r="U7105" s="405" t="s">
        <v>319</v>
      </c>
    </row>
    <row r="7106" spans="1:21" hidden="1" x14ac:dyDescent="0.25">
      <c r="A7106" s="405" t="s">
        <v>310</v>
      </c>
      <c r="B7106" s="405" t="s">
        <v>20734</v>
      </c>
      <c r="C7106" s="405" t="s">
        <v>327</v>
      </c>
      <c r="D7106" s="405"/>
      <c r="E7106" s="410">
        <v>41202</v>
      </c>
      <c r="F7106" s="410">
        <v>41247</v>
      </c>
      <c r="G7106" s="405" t="s">
        <v>20735</v>
      </c>
      <c r="H7106" s="405">
        <v>774974345</v>
      </c>
      <c r="I7106" s="405"/>
      <c r="J7106" s="405">
        <v>0.65314499999999998</v>
      </c>
      <c r="K7106" s="405">
        <v>30.594581000000002</v>
      </c>
      <c r="L7106" s="405" t="s">
        <v>590</v>
      </c>
      <c r="M7106" s="405" t="s">
        <v>20426</v>
      </c>
      <c r="N7106" s="405" t="s">
        <v>10925</v>
      </c>
      <c r="O7106" s="405" t="s">
        <v>20533</v>
      </c>
      <c r="P7106" s="405" t="s">
        <v>20707</v>
      </c>
      <c r="Q7106" s="411">
        <v>6</v>
      </c>
      <c r="R7106" s="405" t="s">
        <v>333</v>
      </c>
      <c r="S7106" s="405" t="s">
        <v>27104</v>
      </c>
      <c r="T7106" s="405" t="s">
        <v>32102</v>
      </c>
      <c r="U7106" s="405" t="s">
        <v>319</v>
      </c>
    </row>
    <row r="7107" spans="1:21" hidden="1" x14ac:dyDescent="0.25">
      <c r="A7107" s="405" t="s">
        <v>310</v>
      </c>
      <c r="B7107" s="405" t="s">
        <v>11955</v>
      </c>
      <c r="C7107" s="405" t="s">
        <v>327</v>
      </c>
      <c r="D7107" s="405"/>
      <c r="E7107" s="410">
        <v>41202</v>
      </c>
      <c r="F7107" s="410">
        <v>41247</v>
      </c>
      <c r="G7107" s="405" t="s">
        <v>11956</v>
      </c>
      <c r="H7107" s="405">
        <v>774517004</v>
      </c>
      <c r="I7107" s="405"/>
      <c r="J7107" s="405">
        <v>0.89241700000000002</v>
      </c>
      <c r="K7107" s="405">
        <v>34.322341000000002</v>
      </c>
      <c r="L7107" s="405" t="s">
        <v>6866</v>
      </c>
      <c r="M7107" s="405" t="s">
        <v>9763</v>
      </c>
      <c r="N7107" s="405" t="s">
        <v>9848</v>
      </c>
      <c r="O7107" s="405" t="s">
        <v>11333</v>
      </c>
      <c r="P7107" s="405" t="s">
        <v>11761</v>
      </c>
      <c r="Q7107" s="411">
        <v>4</v>
      </c>
      <c r="R7107" s="405" t="s">
        <v>7224</v>
      </c>
      <c r="S7107" s="405" t="s">
        <v>27107</v>
      </c>
      <c r="T7107" s="405" t="s">
        <v>32102</v>
      </c>
      <c r="U7107" s="405" t="s">
        <v>319</v>
      </c>
    </row>
    <row r="7108" spans="1:21" hidden="1" x14ac:dyDescent="0.25">
      <c r="A7108" s="405" t="s">
        <v>310</v>
      </c>
      <c r="B7108" s="405" t="s">
        <v>11909</v>
      </c>
      <c r="C7108" s="405" t="s">
        <v>327</v>
      </c>
      <c r="D7108" s="405"/>
      <c r="E7108" s="410">
        <v>41202</v>
      </c>
      <c r="F7108" s="410">
        <v>41247</v>
      </c>
      <c r="G7108" s="405" t="s">
        <v>11910</v>
      </c>
      <c r="H7108" s="405">
        <v>789534744</v>
      </c>
      <c r="I7108" s="405">
        <v>789252280</v>
      </c>
      <c r="J7108" s="405">
        <v>1.047885</v>
      </c>
      <c r="K7108" s="405">
        <v>34.344073000000002</v>
      </c>
      <c r="L7108" s="405" t="s">
        <v>6866</v>
      </c>
      <c r="M7108" s="405" t="s">
        <v>6867</v>
      </c>
      <c r="N7108" s="405" t="s">
        <v>6868</v>
      </c>
      <c r="O7108" s="405" t="s">
        <v>11911</v>
      </c>
      <c r="P7108" s="405" t="s">
        <v>11912</v>
      </c>
      <c r="Q7108" s="411">
        <v>4</v>
      </c>
      <c r="R7108" s="405" t="s">
        <v>7224</v>
      </c>
      <c r="S7108" s="405" t="s">
        <v>27074</v>
      </c>
      <c r="T7108" s="405" t="s">
        <v>32102</v>
      </c>
      <c r="U7108" s="405" t="s">
        <v>319</v>
      </c>
    </row>
    <row r="7109" spans="1:21" hidden="1" x14ac:dyDescent="0.25">
      <c r="A7109" s="405" t="s">
        <v>310</v>
      </c>
      <c r="B7109" s="405" t="s">
        <v>28343</v>
      </c>
      <c r="C7109" s="405" t="s">
        <v>327</v>
      </c>
      <c r="D7109" s="405"/>
      <c r="E7109" s="410">
        <v>41201</v>
      </c>
      <c r="F7109" s="410">
        <v>41246</v>
      </c>
      <c r="G7109" s="405" t="s">
        <v>20749</v>
      </c>
      <c r="H7109" s="405">
        <v>752565612</v>
      </c>
      <c r="I7109" s="405"/>
      <c r="J7109" s="405">
        <v>-0.79181599999999996</v>
      </c>
      <c r="K7109" s="405">
        <v>29.901729</v>
      </c>
      <c r="L7109" s="405" t="s">
        <v>590</v>
      </c>
      <c r="M7109" s="405" t="s">
        <v>19619</v>
      </c>
      <c r="N7109" s="405" t="s">
        <v>19765</v>
      </c>
      <c r="O7109" s="405" t="s">
        <v>12948</v>
      </c>
      <c r="P7109" s="405" t="s">
        <v>20750</v>
      </c>
      <c r="Q7109" s="411">
        <v>6</v>
      </c>
      <c r="R7109" s="405" t="s">
        <v>19622</v>
      </c>
      <c r="S7109" s="405" t="s">
        <v>27116</v>
      </c>
      <c r="T7109" s="405" t="s">
        <v>32102</v>
      </c>
      <c r="U7109" s="405" t="s">
        <v>319</v>
      </c>
    </row>
    <row r="7110" spans="1:21" hidden="1" x14ac:dyDescent="0.25">
      <c r="A7110" s="405" t="s">
        <v>310</v>
      </c>
      <c r="B7110" s="405" t="s">
        <v>28351</v>
      </c>
      <c r="C7110" s="405" t="s">
        <v>327</v>
      </c>
      <c r="D7110" s="405"/>
      <c r="E7110" s="410">
        <v>41201</v>
      </c>
      <c r="F7110" s="410">
        <v>41246</v>
      </c>
      <c r="G7110" s="405" t="s">
        <v>11913</v>
      </c>
      <c r="H7110" s="405">
        <v>776613656</v>
      </c>
      <c r="I7110" s="405">
        <v>752813656</v>
      </c>
      <c r="J7110" s="405">
        <v>0.94671539999999998</v>
      </c>
      <c r="K7110" s="405">
        <v>33.125521300000003</v>
      </c>
      <c r="L7110" s="405" t="s">
        <v>6866</v>
      </c>
      <c r="M7110" s="405" t="s">
        <v>3009</v>
      </c>
      <c r="N7110" s="405" t="s">
        <v>10406</v>
      </c>
      <c r="O7110" s="405" t="s">
        <v>11914</v>
      </c>
      <c r="P7110" s="405" t="s">
        <v>11915</v>
      </c>
      <c r="Q7110" s="411">
        <v>6</v>
      </c>
      <c r="R7110" s="405" t="s">
        <v>333</v>
      </c>
      <c r="S7110" s="405" t="s">
        <v>27054</v>
      </c>
      <c r="T7110" s="405" t="s">
        <v>32102</v>
      </c>
      <c r="U7110" s="405" t="s">
        <v>319</v>
      </c>
    </row>
    <row r="7111" spans="1:21" hidden="1" x14ac:dyDescent="0.25">
      <c r="A7111" s="405" t="s">
        <v>310</v>
      </c>
      <c r="B7111" s="405" t="s">
        <v>28612</v>
      </c>
      <c r="C7111" s="405" t="s">
        <v>327</v>
      </c>
      <c r="D7111" s="405"/>
      <c r="E7111" s="410">
        <v>41200</v>
      </c>
      <c r="F7111" s="410">
        <v>41245</v>
      </c>
      <c r="G7111" s="405" t="s">
        <v>11881</v>
      </c>
      <c r="H7111" s="405">
        <v>774161860</v>
      </c>
      <c r="I7111" s="405"/>
      <c r="J7111" s="405">
        <v>1.1517679999999999</v>
      </c>
      <c r="K7111" s="405">
        <v>34.202592000000003</v>
      </c>
      <c r="L7111" s="405" t="s">
        <v>6866</v>
      </c>
      <c r="M7111" s="405" t="s">
        <v>9514</v>
      </c>
      <c r="N7111" s="405" t="s">
        <v>9529</v>
      </c>
      <c r="O7111" s="405" t="s">
        <v>9530</v>
      </c>
      <c r="P7111" s="405" t="s">
        <v>11882</v>
      </c>
      <c r="Q7111" s="411">
        <v>6</v>
      </c>
      <c r="R7111" s="405" t="s">
        <v>7224</v>
      </c>
      <c r="S7111" s="405" t="s">
        <v>27259</v>
      </c>
      <c r="T7111" s="405" t="s">
        <v>32102</v>
      </c>
      <c r="U7111" s="405" t="s">
        <v>319</v>
      </c>
    </row>
    <row r="7112" spans="1:21" hidden="1" x14ac:dyDescent="0.25">
      <c r="A7112" s="405" t="s">
        <v>310</v>
      </c>
      <c r="B7112" s="405" t="s">
        <v>20741</v>
      </c>
      <c r="C7112" s="405" t="s">
        <v>327</v>
      </c>
      <c r="D7112" s="405"/>
      <c r="E7112" s="410">
        <v>41199</v>
      </c>
      <c r="F7112" s="410">
        <v>41244</v>
      </c>
      <c r="G7112" s="405" t="s">
        <v>20742</v>
      </c>
      <c r="H7112" s="405">
        <v>702586423</v>
      </c>
      <c r="I7112" s="405"/>
      <c r="J7112" s="405">
        <v>0.61514899999999995</v>
      </c>
      <c r="K7112" s="405">
        <v>30.635870000000001</v>
      </c>
      <c r="L7112" s="405" t="s">
        <v>590</v>
      </c>
      <c r="M7112" s="405" t="s">
        <v>20426</v>
      </c>
      <c r="N7112" s="405" t="s">
        <v>20743</v>
      </c>
      <c r="O7112" s="405" t="s">
        <v>20744</v>
      </c>
      <c r="P7112" s="405" t="s">
        <v>20745</v>
      </c>
      <c r="Q7112" s="411">
        <v>9</v>
      </c>
      <c r="R7112" s="405" t="s">
        <v>333</v>
      </c>
      <c r="S7112" s="405" t="s">
        <v>27183</v>
      </c>
      <c r="T7112" s="405" t="s">
        <v>32102</v>
      </c>
      <c r="U7112" s="405" t="s">
        <v>319</v>
      </c>
    </row>
    <row r="7113" spans="1:21" hidden="1" x14ac:dyDescent="0.25">
      <c r="A7113" s="405" t="s">
        <v>310</v>
      </c>
      <c r="B7113" s="405" t="s">
        <v>20727</v>
      </c>
      <c r="C7113" s="405" t="s">
        <v>327</v>
      </c>
      <c r="D7113" s="405"/>
      <c r="E7113" s="410">
        <v>41199</v>
      </c>
      <c r="F7113" s="410">
        <v>41244</v>
      </c>
      <c r="G7113" s="405" t="s">
        <v>20728</v>
      </c>
      <c r="H7113" s="405">
        <v>778489135</v>
      </c>
      <c r="I7113" s="405"/>
      <c r="J7113" s="405">
        <v>-0.56528299999999998</v>
      </c>
      <c r="K7113" s="405">
        <v>30.094760000000001</v>
      </c>
      <c r="L7113" s="405" t="s">
        <v>590</v>
      </c>
      <c r="M7113" s="405" t="s">
        <v>19625</v>
      </c>
      <c r="N7113" s="405" t="s">
        <v>19638</v>
      </c>
      <c r="O7113" s="405" t="s">
        <v>19639</v>
      </c>
      <c r="P7113" s="405" t="s">
        <v>20729</v>
      </c>
      <c r="Q7113" s="411">
        <v>6</v>
      </c>
      <c r="R7113" s="405" t="s">
        <v>874</v>
      </c>
      <c r="S7113" s="405" t="s">
        <v>27173</v>
      </c>
      <c r="T7113" s="405" t="s">
        <v>32102</v>
      </c>
      <c r="U7113" s="405" t="s">
        <v>319</v>
      </c>
    </row>
    <row r="7114" spans="1:21" hidden="1" x14ac:dyDescent="0.25">
      <c r="A7114" s="405" t="s">
        <v>310</v>
      </c>
      <c r="B7114" s="405" t="s">
        <v>3136</v>
      </c>
      <c r="C7114" s="405" t="s">
        <v>327</v>
      </c>
      <c r="D7114" s="405"/>
      <c r="E7114" s="410">
        <v>41199</v>
      </c>
      <c r="F7114" s="410">
        <v>41244</v>
      </c>
      <c r="G7114" s="405" t="s">
        <v>3137</v>
      </c>
      <c r="H7114" s="405">
        <v>701802929</v>
      </c>
      <c r="I7114" s="405"/>
      <c r="J7114" s="405">
        <v>0.50167799999999996</v>
      </c>
      <c r="K7114" s="405">
        <v>33.121783000000001</v>
      </c>
      <c r="L7114" s="405" t="s">
        <v>314</v>
      </c>
      <c r="M7114" s="405" t="s">
        <v>349</v>
      </c>
      <c r="N7114" s="405" t="s">
        <v>405</v>
      </c>
      <c r="O7114" s="405" t="s">
        <v>2107</v>
      </c>
      <c r="P7114" s="405" t="s">
        <v>3138</v>
      </c>
      <c r="Q7114" s="411">
        <v>6</v>
      </c>
      <c r="R7114" s="405" t="s">
        <v>318</v>
      </c>
      <c r="S7114" s="405" t="s">
        <v>6822</v>
      </c>
      <c r="T7114" s="405" t="s">
        <v>32102</v>
      </c>
      <c r="U7114" s="405" t="s">
        <v>319</v>
      </c>
    </row>
    <row r="7115" spans="1:21" hidden="1" x14ac:dyDescent="0.25">
      <c r="A7115" s="405" t="s">
        <v>310</v>
      </c>
      <c r="B7115" s="405" t="s">
        <v>3131</v>
      </c>
      <c r="C7115" s="405" t="s">
        <v>327</v>
      </c>
      <c r="D7115" s="405"/>
      <c r="E7115" s="410">
        <v>41199</v>
      </c>
      <c r="F7115" s="410">
        <v>41244</v>
      </c>
      <c r="G7115" s="405" t="s">
        <v>3132</v>
      </c>
      <c r="H7115" s="405">
        <v>787314624</v>
      </c>
      <c r="I7115" s="405">
        <v>754977178</v>
      </c>
      <c r="J7115" s="405">
        <v>0.30775666666666662</v>
      </c>
      <c r="K7115" s="405">
        <v>33.101381666666661</v>
      </c>
      <c r="L7115" s="405" t="s">
        <v>314</v>
      </c>
      <c r="M7115" s="405" t="s">
        <v>349</v>
      </c>
      <c r="N7115" s="405" t="s">
        <v>349</v>
      </c>
      <c r="O7115" s="405" t="s">
        <v>1062</v>
      </c>
      <c r="P7115" s="405" t="s">
        <v>1062</v>
      </c>
      <c r="Q7115" s="411">
        <v>6</v>
      </c>
      <c r="R7115" s="405" t="s">
        <v>32478</v>
      </c>
      <c r="S7115" s="405" t="s">
        <v>27208</v>
      </c>
      <c r="T7115" s="405" t="s">
        <v>32102</v>
      </c>
      <c r="U7115" s="405" t="s">
        <v>319</v>
      </c>
    </row>
    <row r="7116" spans="1:21" hidden="1" x14ac:dyDescent="0.25">
      <c r="A7116" s="405" t="s">
        <v>310</v>
      </c>
      <c r="B7116" s="405" t="s">
        <v>28506</v>
      </c>
      <c r="C7116" s="405" t="s">
        <v>311</v>
      </c>
      <c r="D7116" s="405" t="s">
        <v>839</v>
      </c>
      <c r="E7116" s="410">
        <v>41198</v>
      </c>
      <c r="F7116" s="410">
        <v>41243</v>
      </c>
      <c r="G7116" s="405" t="s">
        <v>3426</v>
      </c>
      <c r="H7116" s="405">
        <v>752834896</v>
      </c>
      <c r="I7116" s="405"/>
      <c r="J7116" s="405">
        <v>0.4520864</v>
      </c>
      <c r="K7116" s="405">
        <v>32.540279300000002</v>
      </c>
      <c r="L7116" s="405" t="s">
        <v>314</v>
      </c>
      <c r="M7116" s="405" t="s">
        <v>361</v>
      </c>
      <c r="N7116" s="405" t="s">
        <v>362</v>
      </c>
      <c r="O7116" s="405" t="s">
        <v>1752</v>
      </c>
      <c r="P7116" s="405" t="s">
        <v>3427</v>
      </c>
      <c r="Q7116" s="411">
        <v>6</v>
      </c>
      <c r="R7116" s="405" t="s">
        <v>32478</v>
      </c>
      <c r="S7116" s="405" t="s">
        <v>27179</v>
      </c>
      <c r="T7116" s="405" t="s">
        <v>32102</v>
      </c>
      <c r="U7116" s="405" t="s">
        <v>319</v>
      </c>
    </row>
    <row r="7117" spans="1:21" hidden="1" x14ac:dyDescent="0.25">
      <c r="A7117" s="405" t="s">
        <v>310</v>
      </c>
      <c r="B7117" s="405" t="s">
        <v>2976</v>
      </c>
      <c r="C7117" s="405" t="s">
        <v>327</v>
      </c>
      <c r="D7117" s="405"/>
      <c r="E7117" s="410">
        <v>41198</v>
      </c>
      <c r="F7117" s="410">
        <v>41243</v>
      </c>
      <c r="G7117" s="405" t="s">
        <v>2977</v>
      </c>
      <c r="H7117" s="405">
        <v>752946365</v>
      </c>
      <c r="I7117" s="405"/>
      <c r="J7117" s="405">
        <v>0.28494799999999998</v>
      </c>
      <c r="K7117" s="405">
        <v>32.506072000000003</v>
      </c>
      <c r="L7117" s="405" t="s">
        <v>314</v>
      </c>
      <c r="M7117" s="405" t="s">
        <v>361</v>
      </c>
      <c r="N7117" s="405" t="s">
        <v>374</v>
      </c>
      <c r="O7117" s="405" t="s">
        <v>375</v>
      </c>
      <c r="P7117" s="405" t="s">
        <v>2978</v>
      </c>
      <c r="Q7117" s="411">
        <v>6</v>
      </c>
      <c r="R7117" s="405" t="s">
        <v>318</v>
      </c>
      <c r="S7117" s="405" t="s">
        <v>27201</v>
      </c>
      <c r="T7117" s="405" t="s">
        <v>32102</v>
      </c>
      <c r="U7117" s="405" t="s">
        <v>319</v>
      </c>
    </row>
    <row r="7118" spans="1:21" hidden="1" x14ac:dyDescent="0.25">
      <c r="A7118" s="405" t="s">
        <v>310</v>
      </c>
      <c r="B7118" s="405" t="s">
        <v>27678</v>
      </c>
      <c r="C7118" s="405" t="s">
        <v>311</v>
      </c>
      <c r="D7118" s="405" t="s">
        <v>1789</v>
      </c>
      <c r="E7118" s="410">
        <v>41198</v>
      </c>
      <c r="F7118" s="410">
        <v>41243</v>
      </c>
      <c r="G7118" s="405" t="s">
        <v>12210</v>
      </c>
      <c r="H7118" s="405">
        <v>752558325</v>
      </c>
      <c r="I7118" s="405"/>
      <c r="J7118" s="405">
        <v>0.93334099999999998</v>
      </c>
      <c r="K7118" s="405">
        <v>33.130793400000002</v>
      </c>
      <c r="L7118" s="405" t="s">
        <v>6866</v>
      </c>
      <c r="M7118" s="405" t="s">
        <v>3009</v>
      </c>
      <c r="N7118" s="405" t="s">
        <v>9662</v>
      </c>
      <c r="O7118" s="405" t="s">
        <v>9586</v>
      </c>
      <c r="P7118" s="405" t="s">
        <v>1043</v>
      </c>
      <c r="Q7118" s="411">
        <v>6</v>
      </c>
      <c r="R7118" s="405" t="s">
        <v>333</v>
      </c>
      <c r="S7118" s="405" t="s">
        <v>27054</v>
      </c>
      <c r="T7118" s="405" t="s">
        <v>32102</v>
      </c>
      <c r="U7118" s="405" t="s">
        <v>319</v>
      </c>
    </row>
    <row r="7119" spans="1:21" hidden="1" x14ac:dyDescent="0.25">
      <c r="A7119" s="405" t="s">
        <v>310</v>
      </c>
      <c r="B7119" s="405" t="s">
        <v>11778</v>
      </c>
      <c r="C7119" s="405" t="s">
        <v>327</v>
      </c>
      <c r="D7119" s="405"/>
      <c r="E7119" s="410">
        <v>41198</v>
      </c>
      <c r="F7119" s="410">
        <v>41243</v>
      </c>
      <c r="G7119" s="405" t="s">
        <v>11779</v>
      </c>
      <c r="H7119" s="405">
        <v>772721233</v>
      </c>
      <c r="I7119" s="405"/>
      <c r="J7119" s="405">
        <v>0.93334099999999998</v>
      </c>
      <c r="K7119" s="405">
        <v>33.130793400000002</v>
      </c>
      <c r="L7119" s="405" t="s">
        <v>6866</v>
      </c>
      <c r="M7119" s="405" t="s">
        <v>3009</v>
      </c>
      <c r="N7119" s="405" t="s">
        <v>9662</v>
      </c>
      <c r="O7119" s="405" t="s">
        <v>9586</v>
      </c>
      <c r="P7119" s="405" t="s">
        <v>1043</v>
      </c>
      <c r="Q7119" s="411">
        <v>6</v>
      </c>
      <c r="R7119" s="405" t="s">
        <v>333</v>
      </c>
      <c r="S7119" s="405" t="s">
        <v>27054</v>
      </c>
      <c r="T7119" s="405" t="s">
        <v>32102</v>
      </c>
      <c r="U7119" s="405" t="s">
        <v>319</v>
      </c>
    </row>
    <row r="7120" spans="1:21" hidden="1" x14ac:dyDescent="0.25">
      <c r="A7120" s="405" t="s">
        <v>310</v>
      </c>
      <c r="B7120" s="405" t="s">
        <v>29101</v>
      </c>
      <c r="C7120" s="405" t="s">
        <v>311</v>
      </c>
      <c r="D7120" s="405" t="s">
        <v>839</v>
      </c>
      <c r="E7120" s="410">
        <v>41197</v>
      </c>
      <c r="F7120" s="410">
        <v>41242</v>
      </c>
      <c r="G7120" s="405" t="s">
        <v>3441</v>
      </c>
      <c r="H7120" s="405">
        <v>782315255</v>
      </c>
      <c r="I7120" s="405"/>
      <c r="J7120" s="405">
        <v>0.17312166666666667</v>
      </c>
      <c r="K7120" s="405">
        <v>32.261781666666671</v>
      </c>
      <c r="L7120" s="405" t="s">
        <v>314</v>
      </c>
      <c r="M7120" s="405" t="s">
        <v>321</v>
      </c>
      <c r="N7120" s="405" t="s">
        <v>322</v>
      </c>
      <c r="O7120" s="405" t="s">
        <v>1023</v>
      </c>
      <c r="P7120" s="405" t="s">
        <v>400</v>
      </c>
      <c r="Q7120" s="411">
        <v>6</v>
      </c>
      <c r="R7120" s="405" t="s">
        <v>318</v>
      </c>
      <c r="S7120" s="405" t="s">
        <v>27054</v>
      </c>
      <c r="T7120" s="405" t="s">
        <v>32102</v>
      </c>
      <c r="U7120" s="405" t="s">
        <v>319</v>
      </c>
    </row>
    <row r="7121" spans="1:21" hidden="1" x14ac:dyDescent="0.25">
      <c r="A7121" s="405" t="s">
        <v>310</v>
      </c>
      <c r="B7121" s="405" t="s">
        <v>3466</v>
      </c>
      <c r="C7121" s="405" t="s">
        <v>311</v>
      </c>
      <c r="D7121" s="405" t="s">
        <v>839</v>
      </c>
      <c r="E7121" s="410">
        <v>41197</v>
      </c>
      <c r="F7121" s="410">
        <v>41242</v>
      </c>
      <c r="G7121" s="405" t="s">
        <v>3467</v>
      </c>
      <c r="H7121" s="405">
        <v>774669276</v>
      </c>
      <c r="I7121" s="405"/>
      <c r="J7121" s="405">
        <v>0.52730200000000005</v>
      </c>
      <c r="K7121" s="405">
        <v>31.655982000000002</v>
      </c>
      <c r="L7121" s="405" t="s">
        <v>314</v>
      </c>
      <c r="M7121" s="405" t="s">
        <v>445</v>
      </c>
      <c r="N7121" s="405" t="s">
        <v>570</v>
      </c>
      <c r="O7121" s="405" t="s">
        <v>2734</v>
      </c>
      <c r="P7121" s="405" t="s">
        <v>3468</v>
      </c>
      <c r="Q7121" s="411">
        <v>4</v>
      </c>
      <c r="R7121" s="405" t="s">
        <v>32476</v>
      </c>
      <c r="S7121" s="405" t="s">
        <v>27200</v>
      </c>
      <c r="T7121" s="405" t="s">
        <v>32102</v>
      </c>
      <c r="U7121" s="405" t="s">
        <v>319</v>
      </c>
    </row>
    <row r="7122" spans="1:21" hidden="1" x14ac:dyDescent="0.25">
      <c r="A7122" s="405" t="s">
        <v>310</v>
      </c>
      <c r="B7122" s="405" t="s">
        <v>11858</v>
      </c>
      <c r="C7122" s="405" t="s">
        <v>327</v>
      </c>
      <c r="D7122" s="405"/>
      <c r="E7122" s="410">
        <v>41197</v>
      </c>
      <c r="F7122" s="410">
        <v>41242</v>
      </c>
      <c r="G7122" s="405" t="s">
        <v>11859</v>
      </c>
      <c r="H7122" s="405">
        <v>774806279</v>
      </c>
      <c r="I7122" s="405"/>
      <c r="J7122" s="405">
        <v>0.91652199999999995</v>
      </c>
      <c r="K7122" s="405">
        <v>34.324395000000003</v>
      </c>
      <c r="L7122" s="405" t="s">
        <v>6866</v>
      </c>
      <c r="M7122" s="405" t="s">
        <v>9763</v>
      </c>
      <c r="N7122" s="405" t="s">
        <v>9848</v>
      </c>
      <c r="O7122" s="405" t="s">
        <v>11291</v>
      </c>
      <c r="P7122" s="405" t="s">
        <v>11860</v>
      </c>
      <c r="Q7122" s="411">
        <v>4</v>
      </c>
      <c r="R7122" s="405" t="s">
        <v>7224</v>
      </c>
      <c r="S7122" s="405" t="s">
        <v>27107</v>
      </c>
      <c r="T7122" s="405" t="s">
        <v>32102</v>
      </c>
      <c r="U7122" s="405" t="s">
        <v>319</v>
      </c>
    </row>
    <row r="7123" spans="1:21" hidden="1" x14ac:dyDescent="0.25">
      <c r="A7123" s="405" t="s">
        <v>310</v>
      </c>
      <c r="B7123" s="405" t="s">
        <v>29114</v>
      </c>
      <c r="C7123" s="405" t="s">
        <v>327</v>
      </c>
      <c r="D7123" s="405"/>
      <c r="E7123" s="410">
        <v>41197</v>
      </c>
      <c r="F7123" s="410">
        <v>41242</v>
      </c>
      <c r="G7123" s="405" t="s">
        <v>11853</v>
      </c>
      <c r="H7123" s="405">
        <v>782611622</v>
      </c>
      <c r="I7123" s="405"/>
      <c r="J7123" s="405">
        <v>0.83249700000000004</v>
      </c>
      <c r="K7123" s="405">
        <v>34.386473000000002</v>
      </c>
      <c r="L7123" s="405" t="s">
        <v>6866</v>
      </c>
      <c r="M7123" s="405" t="s">
        <v>9763</v>
      </c>
      <c r="N7123" s="405" t="s">
        <v>11470</v>
      </c>
      <c r="O7123" s="405" t="s">
        <v>11471</v>
      </c>
      <c r="P7123" s="405" t="s">
        <v>11854</v>
      </c>
      <c r="Q7123" s="411">
        <v>4</v>
      </c>
      <c r="R7123" s="405" t="s">
        <v>7224</v>
      </c>
      <c r="S7123" s="405" t="s">
        <v>27107</v>
      </c>
      <c r="T7123" s="405" t="s">
        <v>32102</v>
      </c>
      <c r="U7123" s="405" t="s">
        <v>319</v>
      </c>
    </row>
    <row r="7124" spans="1:21" hidden="1" x14ac:dyDescent="0.25">
      <c r="A7124" s="405" t="s">
        <v>310</v>
      </c>
      <c r="B7124" s="405" t="s">
        <v>2949</v>
      </c>
      <c r="C7124" s="405" t="s">
        <v>327</v>
      </c>
      <c r="D7124" s="405"/>
      <c r="E7124" s="410">
        <v>41196</v>
      </c>
      <c r="F7124" s="410">
        <v>41241</v>
      </c>
      <c r="G7124" s="405" t="s">
        <v>2950</v>
      </c>
      <c r="H7124" s="405">
        <v>702798515</v>
      </c>
      <c r="I7124" s="405"/>
      <c r="J7124" s="405">
        <v>0.68045999999999995</v>
      </c>
      <c r="K7124" s="405">
        <v>31.344785000000002</v>
      </c>
      <c r="L7124" s="405" t="s">
        <v>314</v>
      </c>
      <c r="M7124" s="405" t="s">
        <v>445</v>
      </c>
      <c r="N7124" s="405" t="s">
        <v>446</v>
      </c>
      <c r="O7124" s="405" t="s">
        <v>2948</v>
      </c>
      <c r="P7124" s="405" t="s">
        <v>2948</v>
      </c>
      <c r="Q7124" s="411">
        <v>6</v>
      </c>
      <c r="R7124" s="405" t="s">
        <v>318</v>
      </c>
      <c r="S7124" s="405" t="s">
        <v>27195</v>
      </c>
      <c r="T7124" s="405" t="s">
        <v>32102</v>
      </c>
      <c r="U7124" s="405" t="s">
        <v>319</v>
      </c>
    </row>
    <row r="7125" spans="1:21" hidden="1" x14ac:dyDescent="0.25">
      <c r="A7125" s="405" t="s">
        <v>310</v>
      </c>
      <c r="B7125" s="405" t="s">
        <v>2923</v>
      </c>
      <c r="C7125" s="405" t="s">
        <v>327</v>
      </c>
      <c r="D7125" s="405"/>
      <c r="E7125" s="410">
        <v>41195</v>
      </c>
      <c r="F7125" s="410">
        <v>41240</v>
      </c>
      <c r="G7125" s="405" t="s">
        <v>2924</v>
      </c>
      <c r="H7125" s="405">
        <v>753911015</v>
      </c>
      <c r="I7125" s="405"/>
      <c r="J7125" s="405">
        <v>0.61148199999999997</v>
      </c>
      <c r="K7125" s="405">
        <v>31.810559999999999</v>
      </c>
      <c r="L7125" s="405" t="s">
        <v>314</v>
      </c>
      <c r="M7125" s="405" t="s">
        <v>445</v>
      </c>
      <c r="N7125" s="405" t="s">
        <v>570</v>
      </c>
      <c r="O7125" s="405" t="s">
        <v>2925</v>
      </c>
      <c r="P7125" s="405" t="s">
        <v>2926</v>
      </c>
      <c r="Q7125" s="411">
        <v>13</v>
      </c>
      <c r="R7125" s="405" t="s">
        <v>318</v>
      </c>
      <c r="S7125" s="405" t="s">
        <v>27141</v>
      </c>
      <c r="T7125" s="405" t="s">
        <v>32102</v>
      </c>
      <c r="U7125" s="405" t="s">
        <v>319</v>
      </c>
    </row>
    <row r="7126" spans="1:21" hidden="1" x14ac:dyDescent="0.25">
      <c r="A7126" s="405" t="s">
        <v>310</v>
      </c>
      <c r="B7126" s="405" t="s">
        <v>11872</v>
      </c>
      <c r="C7126" s="405" t="s">
        <v>327</v>
      </c>
      <c r="D7126" s="405"/>
      <c r="E7126" s="410">
        <v>41195</v>
      </c>
      <c r="F7126" s="410">
        <v>41255</v>
      </c>
      <c r="G7126" s="405" t="s">
        <v>11873</v>
      </c>
      <c r="H7126" s="405">
        <v>705445577</v>
      </c>
      <c r="I7126" s="405">
        <v>775675326</v>
      </c>
      <c r="J7126" s="405">
        <v>1.112762</v>
      </c>
      <c r="K7126" s="405">
        <v>34.186396999999999</v>
      </c>
      <c r="L7126" s="405" t="s">
        <v>6866</v>
      </c>
      <c r="M7126" s="405" t="s">
        <v>9514</v>
      </c>
      <c r="N7126" s="405" t="s">
        <v>9529</v>
      </c>
      <c r="O7126" s="405" t="s">
        <v>9530</v>
      </c>
      <c r="P7126" s="405" t="s">
        <v>11874</v>
      </c>
      <c r="Q7126" s="411">
        <v>6</v>
      </c>
      <c r="R7126" s="405" t="s">
        <v>333</v>
      </c>
      <c r="S7126" s="405" t="s">
        <v>27332</v>
      </c>
      <c r="T7126" s="405" t="s">
        <v>32102</v>
      </c>
      <c r="U7126" s="405" t="s">
        <v>319</v>
      </c>
    </row>
    <row r="7127" spans="1:21" hidden="1" x14ac:dyDescent="0.25">
      <c r="A7127" s="405" t="s">
        <v>310</v>
      </c>
      <c r="B7127" s="405" t="s">
        <v>28445</v>
      </c>
      <c r="C7127" s="405" t="s">
        <v>327</v>
      </c>
      <c r="D7127" s="405"/>
      <c r="E7127" s="410">
        <v>41195</v>
      </c>
      <c r="F7127" s="410">
        <v>41240</v>
      </c>
      <c r="G7127" s="405" t="s">
        <v>11849</v>
      </c>
      <c r="H7127" s="405">
        <v>782695575</v>
      </c>
      <c r="I7127" s="405"/>
      <c r="J7127" s="405">
        <v>1.1601729999999999</v>
      </c>
      <c r="K7127" s="405">
        <v>34.200094999999997</v>
      </c>
      <c r="L7127" s="405" t="s">
        <v>6866</v>
      </c>
      <c r="M7127" s="405" t="s">
        <v>9514</v>
      </c>
      <c r="N7127" s="405" t="s">
        <v>9529</v>
      </c>
      <c r="O7127" s="405" t="s">
        <v>9530</v>
      </c>
      <c r="P7127" s="405" t="s">
        <v>9895</v>
      </c>
      <c r="Q7127" s="411">
        <v>6</v>
      </c>
      <c r="R7127" s="405" t="s">
        <v>9541</v>
      </c>
      <c r="S7127" s="405" t="s">
        <v>27294</v>
      </c>
      <c r="T7127" s="405" t="s">
        <v>32102</v>
      </c>
      <c r="U7127" s="405" t="s">
        <v>319</v>
      </c>
    </row>
    <row r="7128" spans="1:21" hidden="1" x14ac:dyDescent="0.25">
      <c r="A7128" s="405" t="s">
        <v>310</v>
      </c>
      <c r="B7128" s="405" t="s">
        <v>28528</v>
      </c>
      <c r="C7128" s="405" t="s">
        <v>327</v>
      </c>
      <c r="D7128" s="405"/>
      <c r="E7128" s="410">
        <v>41195</v>
      </c>
      <c r="F7128" s="410">
        <v>41240</v>
      </c>
      <c r="G7128" s="405" t="s">
        <v>2946</v>
      </c>
      <c r="H7128" s="405">
        <v>787241163</v>
      </c>
      <c r="I7128" s="405"/>
      <c r="J7128" s="405">
        <v>0.29769999999999996</v>
      </c>
      <c r="K7128" s="405">
        <v>33.132083333333334</v>
      </c>
      <c r="L7128" s="405" t="s">
        <v>314</v>
      </c>
      <c r="M7128" s="405" t="s">
        <v>349</v>
      </c>
      <c r="N7128" s="405" t="s">
        <v>349</v>
      </c>
      <c r="O7128" s="405" t="s">
        <v>1062</v>
      </c>
      <c r="P7128" s="405" t="s">
        <v>2918</v>
      </c>
      <c r="Q7128" s="411">
        <v>6</v>
      </c>
      <c r="R7128" s="405" t="s">
        <v>1263</v>
      </c>
      <c r="S7128" s="405" t="s">
        <v>27108</v>
      </c>
      <c r="T7128" s="405" t="s">
        <v>32102</v>
      </c>
      <c r="U7128" s="405" t="s">
        <v>319</v>
      </c>
    </row>
    <row r="7129" spans="1:21" hidden="1" x14ac:dyDescent="0.25">
      <c r="A7129" s="405" t="s">
        <v>310</v>
      </c>
      <c r="B7129" s="405" t="s">
        <v>11837</v>
      </c>
      <c r="C7129" s="405" t="s">
        <v>327</v>
      </c>
      <c r="D7129" s="405"/>
      <c r="E7129" s="410">
        <v>41195</v>
      </c>
      <c r="F7129" s="410">
        <v>41240</v>
      </c>
      <c r="G7129" s="405" t="s">
        <v>11838</v>
      </c>
      <c r="H7129" s="405">
        <v>773645925</v>
      </c>
      <c r="I7129" s="405"/>
      <c r="J7129" s="405">
        <v>1.048227</v>
      </c>
      <c r="K7129" s="405">
        <v>34.345362999999999</v>
      </c>
      <c r="L7129" s="405" t="s">
        <v>6866</v>
      </c>
      <c r="M7129" s="405" t="s">
        <v>6867</v>
      </c>
      <c r="N7129" s="405" t="s">
        <v>6868</v>
      </c>
      <c r="O7129" s="405" t="s">
        <v>9736</v>
      </c>
      <c r="P7129" s="405" t="s">
        <v>11839</v>
      </c>
      <c r="Q7129" s="411">
        <v>4</v>
      </c>
      <c r="R7129" s="405" t="s">
        <v>7224</v>
      </c>
      <c r="S7129" s="405" t="s">
        <v>27074</v>
      </c>
      <c r="T7129" s="405" t="s">
        <v>32102</v>
      </c>
      <c r="U7129" s="405" t="s">
        <v>319</v>
      </c>
    </row>
    <row r="7130" spans="1:21" hidden="1" x14ac:dyDescent="0.25">
      <c r="A7130" s="405" t="s">
        <v>310</v>
      </c>
      <c r="B7130" s="405" t="s">
        <v>28213</v>
      </c>
      <c r="C7130" s="405" t="s">
        <v>327</v>
      </c>
      <c r="D7130" s="405"/>
      <c r="E7130" s="410">
        <v>41194</v>
      </c>
      <c r="F7130" s="410">
        <v>41239</v>
      </c>
      <c r="G7130" s="405" t="s">
        <v>20687</v>
      </c>
      <c r="H7130" s="405">
        <v>751136083</v>
      </c>
      <c r="I7130" s="405"/>
      <c r="J7130" s="405">
        <v>-0.522536</v>
      </c>
      <c r="K7130" s="405">
        <v>30.085750000000001</v>
      </c>
      <c r="L7130" s="405" t="s">
        <v>590</v>
      </c>
      <c r="M7130" s="405" t="s">
        <v>19625</v>
      </c>
      <c r="N7130" s="405" t="s">
        <v>19642</v>
      </c>
      <c r="O7130" s="405" t="s">
        <v>19639</v>
      </c>
      <c r="P7130" s="405" t="s">
        <v>20431</v>
      </c>
      <c r="Q7130" s="411">
        <v>9</v>
      </c>
      <c r="R7130" s="405" t="s">
        <v>883</v>
      </c>
      <c r="S7130" s="405" t="s">
        <v>27173</v>
      </c>
      <c r="T7130" s="405" t="s">
        <v>32102</v>
      </c>
      <c r="U7130" s="405" t="s">
        <v>319</v>
      </c>
    </row>
    <row r="7131" spans="1:21" hidden="1" x14ac:dyDescent="0.25">
      <c r="A7131" s="405" t="s">
        <v>310</v>
      </c>
      <c r="B7131" s="405" t="s">
        <v>18379</v>
      </c>
      <c r="C7131" s="405" t="s">
        <v>327</v>
      </c>
      <c r="D7131" s="405"/>
      <c r="E7131" s="410">
        <v>41194</v>
      </c>
      <c r="F7131" s="410">
        <v>41239</v>
      </c>
      <c r="G7131" s="405" t="s">
        <v>18380</v>
      </c>
      <c r="H7131" s="405">
        <v>782671433</v>
      </c>
      <c r="I7131" s="405"/>
      <c r="J7131" s="405">
        <v>2.2419088999999999</v>
      </c>
      <c r="K7131" s="405">
        <v>32.899192599999999</v>
      </c>
      <c r="L7131" s="405" t="s">
        <v>860</v>
      </c>
      <c r="M7131" s="405" t="s">
        <v>18234</v>
      </c>
      <c r="N7131" s="405" t="s">
        <v>18250</v>
      </c>
      <c r="O7131" s="405" t="s">
        <v>4147</v>
      </c>
      <c r="P7131" s="405" t="s">
        <v>18381</v>
      </c>
      <c r="Q7131" s="411">
        <v>6</v>
      </c>
      <c r="R7131" s="405" t="s">
        <v>994</v>
      </c>
      <c r="S7131" s="405" t="s">
        <v>27193</v>
      </c>
      <c r="T7131" s="405" t="s">
        <v>32102</v>
      </c>
      <c r="U7131" s="405" t="s">
        <v>319</v>
      </c>
    </row>
    <row r="7132" spans="1:21" hidden="1" x14ac:dyDescent="0.25">
      <c r="A7132" s="405" t="s">
        <v>310</v>
      </c>
      <c r="B7132" s="405" t="s">
        <v>11866</v>
      </c>
      <c r="C7132" s="405" t="s">
        <v>327</v>
      </c>
      <c r="D7132" s="405"/>
      <c r="E7132" s="410">
        <v>41194</v>
      </c>
      <c r="F7132" s="410">
        <v>41239</v>
      </c>
      <c r="G7132" s="405" t="s">
        <v>11867</v>
      </c>
      <c r="H7132" s="405">
        <v>759143464</v>
      </c>
      <c r="I7132" s="405"/>
      <c r="J7132" s="405">
        <v>0.76955300000000004</v>
      </c>
      <c r="K7132" s="405">
        <v>33.859630000000003</v>
      </c>
      <c r="L7132" s="405" t="s">
        <v>6866</v>
      </c>
      <c r="M7132" s="405" t="s">
        <v>9566</v>
      </c>
      <c r="N7132" s="405" t="s">
        <v>9787</v>
      </c>
      <c r="O7132" s="405" t="s">
        <v>9788</v>
      </c>
      <c r="P7132" s="405" t="s">
        <v>11868</v>
      </c>
      <c r="Q7132" s="411">
        <v>6</v>
      </c>
      <c r="R7132" s="405" t="s">
        <v>7224</v>
      </c>
      <c r="S7132" s="405" t="s">
        <v>27204</v>
      </c>
      <c r="T7132" s="405" t="s">
        <v>32102</v>
      </c>
      <c r="U7132" s="405" t="s">
        <v>319</v>
      </c>
    </row>
    <row r="7133" spans="1:21" hidden="1" x14ac:dyDescent="0.25">
      <c r="A7133" s="405" t="s">
        <v>310</v>
      </c>
      <c r="B7133" s="405" t="s">
        <v>2903</v>
      </c>
      <c r="C7133" s="405" t="s">
        <v>327</v>
      </c>
      <c r="D7133" s="405"/>
      <c r="E7133" s="410">
        <v>41194</v>
      </c>
      <c r="F7133" s="410">
        <v>41239</v>
      </c>
      <c r="G7133" s="405" t="s">
        <v>2904</v>
      </c>
      <c r="H7133" s="405">
        <v>757819595</v>
      </c>
      <c r="I7133" s="405"/>
      <c r="J7133" s="405">
        <v>2.0351666666666667E-2</v>
      </c>
      <c r="K7133" s="405">
        <v>32.016856666666662</v>
      </c>
      <c r="L7133" s="405" t="s">
        <v>314</v>
      </c>
      <c r="M7133" s="405" t="s">
        <v>321</v>
      </c>
      <c r="N7133" s="405" t="s">
        <v>322</v>
      </c>
      <c r="O7133" s="405" t="s">
        <v>2436</v>
      </c>
      <c r="P7133" s="405" t="s">
        <v>411</v>
      </c>
      <c r="Q7133" s="411">
        <v>6</v>
      </c>
      <c r="R7133" s="405" t="s">
        <v>438</v>
      </c>
      <c r="S7133" s="405" t="s">
        <v>27131</v>
      </c>
      <c r="T7133" s="405" t="s">
        <v>32102</v>
      </c>
      <c r="U7133" s="405" t="s">
        <v>319</v>
      </c>
    </row>
    <row r="7134" spans="1:21" hidden="1" x14ac:dyDescent="0.25">
      <c r="A7134" s="405" t="s">
        <v>310</v>
      </c>
      <c r="B7134" s="405" t="s">
        <v>11825</v>
      </c>
      <c r="C7134" s="405" t="s">
        <v>327</v>
      </c>
      <c r="D7134" s="405"/>
      <c r="E7134" s="410">
        <v>41194</v>
      </c>
      <c r="F7134" s="410">
        <v>41239</v>
      </c>
      <c r="G7134" s="405" t="s">
        <v>11826</v>
      </c>
      <c r="H7134" s="405">
        <v>782849663</v>
      </c>
      <c r="I7134" s="405"/>
      <c r="J7134" s="405">
        <v>1.0537449999999999</v>
      </c>
      <c r="K7134" s="405">
        <v>34.345996999999997</v>
      </c>
      <c r="L7134" s="405" t="s">
        <v>6866</v>
      </c>
      <c r="M7134" s="405" t="s">
        <v>6867</v>
      </c>
      <c r="N7134" s="405" t="s">
        <v>6868</v>
      </c>
      <c r="O7134" s="405" t="s">
        <v>6869</v>
      </c>
      <c r="P7134" s="405" t="s">
        <v>11827</v>
      </c>
      <c r="Q7134" s="411">
        <v>4</v>
      </c>
      <c r="R7134" s="405" t="s">
        <v>7224</v>
      </c>
      <c r="S7134" s="405" t="s">
        <v>27283</v>
      </c>
      <c r="T7134" s="405" t="s">
        <v>32102</v>
      </c>
      <c r="U7134" s="405" t="s">
        <v>319</v>
      </c>
    </row>
    <row r="7135" spans="1:21" hidden="1" x14ac:dyDescent="0.25">
      <c r="A7135" s="405" t="s">
        <v>310</v>
      </c>
      <c r="B7135" s="405" t="s">
        <v>11821</v>
      </c>
      <c r="C7135" s="405" t="s">
        <v>327</v>
      </c>
      <c r="D7135" s="405"/>
      <c r="E7135" s="410">
        <v>41194</v>
      </c>
      <c r="F7135" s="410">
        <v>41239</v>
      </c>
      <c r="G7135" s="405" t="s">
        <v>11822</v>
      </c>
      <c r="H7135" s="405">
        <v>771432712</v>
      </c>
      <c r="I7135" s="405"/>
      <c r="J7135" s="405">
        <v>1.0504249999999999</v>
      </c>
      <c r="K7135" s="405">
        <v>34.342838</v>
      </c>
      <c r="L7135" s="405" t="s">
        <v>6866</v>
      </c>
      <c r="M7135" s="405" t="s">
        <v>6867</v>
      </c>
      <c r="N7135" s="405" t="s">
        <v>11823</v>
      </c>
      <c r="O7135" s="405" t="s">
        <v>6869</v>
      </c>
      <c r="P7135" s="405" t="s">
        <v>11824</v>
      </c>
      <c r="Q7135" s="411">
        <v>4</v>
      </c>
      <c r="R7135" s="405" t="s">
        <v>7224</v>
      </c>
      <c r="S7135" s="405" t="s">
        <v>27197</v>
      </c>
      <c r="T7135" s="405" t="s">
        <v>32102</v>
      </c>
      <c r="U7135" s="405" t="s">
        <v>319</v>
      </c>
    </row>
    <row r="7136" spans="1:21" hidden="1" x14ac:dyDescent="0.25">
      <c r="A7136" s="405" t="s">
        <v>310</v>
      </c>
      <c r="B7136" s="405" t="s">
        <v>28244</v>
      </c>
      <c r="C7136" s="405" t="s">
        <v>311</v>
      </c>
      <c r="D7136" s="405" t="s">
        <v>839</v>
      </c>
      <c r="E7136" s="410">
        <v>41193</v>
      </c>
      <c r="F7136" s="410">
        <v>41238</v>
      </c>
      <c r="G7136" s="405" t="s">
        <v>3481</v>
      </c>
      <c r="H7136" s="405">
        <v>774300973</v>
      </c>
      <c r="I7136" s="405"/>
      <c r="J7136" s="405">
        <v>1.255932</v>
      </c>
      <c r="K7136" s="405">
        <v>32.000979999999998</v>
      </c>
      <c r="L7136" s="405" t="s">
        <v>314</v>
      </c>
      <c r="M7136" s="405" t="s">
        <v>2297</v>
      </c>
      <c r="N7136" s="405" t="s">
        <v>2297</v>
      </c>
      <c r="O7136" s="405" t="s">
        <v>2520</v>
      </c>
      <c r="P7136" s="405" t="s">
        <v>1912</v>
      </c>
      <c r="Q7136" s="411">
        <v>13</v>
      </c>
      <c r="R7136" s="405" t="s">
        <v>318</v>
      </c>
      <c r="S7136" s="405" t="s">
        <v>27113</v>
      </c>
      <c r="T7136" s="405" t="s">
        <v>32102</v>
      </c>
      <c r="U7136" s="405" t="s">
        <v>319</v>
      </c>
    </row>
    <row r="7137" spans="1:21" hidden="1" x14ac:dyDescent="0.25">
      <c r="A7137" s="405" t="s">
        <v>310</v>
      </c>
      <c r="B7137" s="405" t="s">
        <v>29134</v>
      </c>
      <c r="C7137" s="405" t="s">
        <v>857</v>
      </c>
      <c r="D7137" s="405" t="s">
        <v>1037</v>
      </c>
      <c r="E7137" s="410">
        <v>41193</v>
      </c>
      <c r="F7137" s="410">
        <v>41238</v>
      </c>
      <c r="G7137" s="405" t="s">
        <v>20936</v>
      </c>
      <c r="H7137" s="405">
        <v>753971863</v>
      </c>
      <c r="I7137" s="405">
        <v>787835449</v>
      </c>
      <c r="J7137" s="405">
        <v>-0.50307100000000005</v>
      </c>
      <c r="K7137" s="405">
        <v>30.293938000000001</v>
      </c>
      <c r="L7137" s="405" t="s">
        <v>590</v>
      </c>
      <c r="M7137" s="405" t="s">
        <v>19625</v>
      </c>
      <c r="N7137" s="405" t="s">
        <v>19642</v>
      </c>
      <c r="O7137" s="405" t="s">
        <v>20937</v>
      </c>
      <c r="P7137" s="405" t="s">
        <v>20938</v>
      </c>
      <c r="Q7137" s="411">
        <v>6</v>
      </c>
      <c r="R7137" s="405" t="s">
        <v>333</v>
      </c>
      <c r="S7137" s="405" t="s">
        <v>27132</v>
      </c>
      <c r="T7137" s="405" t="s">
        <v>32102</v>
      </c>
      <c r="U7137" s="405" t="s">
        <v>319</v>
      </c>
    </row>
    <row r="7138" spans="1:21" hidden="1" x14ac:dyDescent="0.25">
      <c r="A7138" s="405" t="s">
        <v>310</v>
      </c>
      <c r="B7138" s="405" t="s">
        <v>2889</v>
      </c>
      <c r="C7138" s="405" t="s">
        <v>327</v>
      </c>
      <c r="D7138" s="405"/>
      <c r="E7138" s="410">
        <v>41193</v>
      </c>
      <c r="F7138" s="410">
        <v>41238</v>
      </c>
      <c r="G7138" s="405" t="s">
        <v>2890</v>
      </c>
      <c r="H7138" s="405">
        <v>753410567</v>
      </c>
      <c r="I7138" s="405"/>
      <c r="J7138" s="405">
        <v>0.44598949999999998</v>
      </c>
      <c r="K7138" s="405">
        <v>32.564317699999997</v>
      </c>
      <c r="L7138" s="405" t="s">
        <v>314</v>
      </c>
      <c r="M7138" s="405" t="s">
        <v>361</v>
      </c>
      <c r="N7138" s="405" t="s">
        <v>370</v>
      </c>
      <c r="O7138" s="405" t="s">
        <v>370</v>
      </c>
      <c r="P7138" s="405" t="s">
        <v>2891</v>
      </c>
      <c r="Q7138" s="411">
        <v>6</v>
      </c>
      <c r="R7138" s="405" t="s">
        <v>1263</v>
      </c>
      <c r="S7138" s="405" t="s">
        <v>27203</v>
      </c>
      <c r="T7138" s="405" t="s">
        <v>32102</v>
      </c>
      <c r="U7138" s="405" t="s">
        <v>319</v>
      </c>
    </row>
    <row r="7139" spans="1:21" hidden="1" x14ac:dyDescent="0.25">
      <c r="A7139" s="405" t="s">
        <v>310</v>
      </c>
      <c r="B7139" s="405" t="s">
        <v>27898</v>
      </c>
      <c r="C7139" s="405" t="s">
        <v>327</v>
      </c>
      <c r="D7139" s="405"/>
      <c r="E7139" s="410">
        <v>41192</v>
      </c>
      <c r="F7139" s="410">
        <v>41237</v>
      </c>
      <c r="G7139" s="405" t="s">
        <v>20705</v>
      </c>
      <c r="H7139" s="405">
        <v>772589026</v>
      </c>
      <c r="I7139" s="405"/>
      <c r="J7139" s="405">
        <v>0.60966299999999995</v>
      </c>
      <c r="K7139" s="405">
        <v>30.592271</v>
      </c>
      <c r="L7139" s="405" t="s">
        <v>590</v>
      </c>
      <c r="M7139" s="405" t="s">
        <v>20426</v>
      </c>
      <c r="N7139" s="405" t="s">
        <v>10925</v>
      </c>
      <c r="O7139" s="405" t="s">
        <v>20533</v>
      </c>
      <c r="P7139" s="405" t="s">
        <v>20533</v>
      </c>
      <c r="Q7139" s="411">
        <v>9</v>
      </c>
      <c r="R7139" s="405" t="s">
        <v>333</v>
      </c>
      <c r="S7139" s="405" t="s">
        <v>27166</v>
      </c>
      <c r="T7139" s="405" t="s">
        <v>32102</v>
      </c>
      <c r="U7139" s="405" t="s">
        <v>319</v>
      </c>
    </row>
    <row r="7140" spans="1:21" hidden="1" x14ac:dyDescent="0.25">
      <c r="A7140" s="405" t="s">
        <v>310</v>
      </c>
      <c r="B7140" s="405" t="s">
        <v>20690</v>
      </c>
      <c r="C7140" s="405" t="s">
        <v>327</v>
      </c>
      <c r="D7140" s="405"/>
      <c r="E7140" s="410">
        <v>41192</v>
      </c>
      <c r="F7140" s="410">
        <v>41237</v>
      </c>
      <c r="G7140" s="405" t="s">
        <v>20691</v>
      </c>
      <c r="H7140" s="405">
        <v>700434952</v>
      </c>
      <c r="I7140" s="405"/>
      <c r="J7140" s="405">
        <v>0.65925699999999998</v>
      </c>
      <c r="K7140" s="405">
        <v>30.584726</v>
      </c>
      <c r="L7140" s="405" t="s">
        <v>590</v>
      </c>
      <c r="M7140" s="405" t="s">
        <v>20426</v>
      </c>
      <c r="N7140" s="405" t="s">
        <v>20692</v>
      </c>
      <c r="O7140" s="405" t="s">
        <v>20533</v>
      </c>
      <c r="P7140" s="405" t="s">
        <v>20693</v>
      </c>
      <c r="Q7140" s="411">
        <v>9</v>
      </c>
      <c r="R7140" s="405" t="s">
        <v>333</v>
      </c>
      <c r="S7140" s="405" t="s">
        <v>27065</v>
      </c>
      <c r="T7140" s="405" t="s">
        <v>32102</v>
      </c>
      <c r="U7140" s="405" t="s">
        <v>319</v>
      </c>
    </row>
    <row r="7141" spans="1:21" hidden="1" x14ac:dyDescent="0.25">
      <c r="A7141" s="405" t="s">
        <v>310</v>
      </c>
      <c r="B7141" s="405" t="s">
        <v>11846</v>
      </c>
      <c r="C7141" s="405" t="s">
        <v>327</v>
      </c>
      <c r="D7141" s="405"/>
      <c r="E7141" s="410">
        <v>41192</v>
      </c>
      <c r="F7141" s="410">
        <v>41237</v>
      </c>
      <c r="G7141" s="405" t="s">
        <v>11847</v>
      </c>
      <c r="H7141" s="405">
        <v>773343859</v>
      </c>
      <c r="I7141" s="405"/>
      <c r="J7141" s="405">
        <v>0.99612199999999995</v>
      </c>
      <c r="K7141" s="405">
        <v>34.072121000000003</v>
      </c>
      <c r="L7141" s="405" t="s">
        <v>6866</v>
      </c>
      <c r="M7141" s="405" t="s">
        <v>9566</v>
      </c>
      <c r="N7141" s="405" t="s">
        <v>9931</v>
      </c>
      <c r="O7141" s="405" t="s">
        <v>11178</v>
      </c>
      <c r="P7141" s="405" t="s">
        <v>11848</v>
      </c>
      <c r="Q7141" s="411">
        <v>6</v>
      </c>
      <c r="R7141" s="405" t="s">
        <v>7224</v>
      </c>
      <c r="S7141" s="405" t="s">
        <v>27309</v>
      </c>
      <c r="T7141" s="405" t="s">
        <v>32102</v>
      </c>
      <c r="U7141" s="405" t="s">
        <v>319</v>
      </c>
    </row>
    <row r="7142" spans="1:21" hidden="1" x14ac:dyDescent="0.25">
      <c r="A7142" s="405" t="s">
        <v>310</v>
      </c>
      <c r="B7142" s="405" t="s">
        <v>11794</v>
      </c>
      <c r="C7142" s="405" t="s">
        <v>327</v>
      </c>
      <c r="D7142" s="405"/>
      <c r="E7142" s="410">
        <v>41192</v>
      </c>
      <c r="F7142" s="410">
        <v>41237</v>
      </c>
      <c r="G7142" s="405" t="s">
        <v>11795</v>
      </c>
      <c r="H7142" s="405">
        <v>772302420</v>
      </c>
      <c r="I7142" s="405"/>
      <c r="J7142" s="405">
        <v>1.0897969999999999</v>
      </c>
      <c r="K7142" s="405">
        <v>34.191054999999999</v>
      </c>
      <c r="L7142" s="405" t="s">
        <v>6866</v>
      </c>
      <c r="M7142" s="405" t="s">
        <v>9514</v>
      </c>
      <c r="N7142" s="405" t="s">
        <v>9529</v>
      </c>
      <c r="O7142" s="405" t="s">
        <v>9530</v>
      </c>
      <c r="P7142" s="405" t="s">
        <v>11489</v>
      </c>
      <c r="Q7142" s="411">
        <v>6</v>
      </c>
      <c r="R7142" s="405" t="s">
        <v>7224</v>
      </c>
      <c r="S7142" s="405" t="s">
        <v>27311</v>
      </c>
      <c r="T7142" s="405" t="s">
        <v>32102</v>
      </c>
      <c r="U7142" s="405" t="s">
        <v>319</v>
      </c>
    </row>
    <row r="7143" spans="1:21" hidden="1" x14ac:dyDescent="0.25">
      <c r="A7143" s="405" t="s">
        <v>310</v>
      </c>
      <c r="B7143" s="405" t="s">
        <v>18382</v>
      </c>
      <c r="C7143" s="405" t="s">
        <v>327</v>
      </c>
      <c r="D7143" s="405"/>
      <c r="E7143" s="410">
        <v>41191</v>
      </c>
      <c r="F7143" s="410">
        <v>41236</v>
      </c>
      <c r="G7143" s="405" t="s">
        <v>18383</v>
      </c>
      <c r="H7143" s="405">
        <v>774209137</v>
      </c>
      <c r="I7143" s="405">
        <v>752376461</v>
      </c>
      <c r="J7143" s="405">
        <v>2.2419983000000001</v>
      </c>
      <c r="K7143" s="405">
        <v>32.899209599999999</v>
      </c>
      <c r="L7143" s="405" t="s">
        <v>860</v>
      </c>
      <c r="M7143" s="405" t="s">
        <v>18234</v>
      </c>
      <c r="N7143" s="405" t="s">
        <v>18252</v>
      </c>
      <c r="O7143" s="405" t="s">
        <v>18253</v>
      </c>
      <c r="P7143" s="405" t="s">
        <v>18384</v>
      </c>
      <c r="Q7143" s="411">
        <v>6</v>
      </c>
      <c r="R7143" s="405" t="s">
        <v>525</v>
      </c>
      <c r="S7143" s="405" t="s">
        <v>27243</v>
      </c>
      <c r="T7143" s="405" t="s">
        <v>32102</v>
      </c>
      <c r="U7143" s="405" t="s">
        <v>319</v>
      </c>
    </row>
    <row r="7144" spans="1:21" hidden="1" x14ac:dyDescent="0.25">
      <c r="A7144" s="405" t="s">
        <v>310</v>
      </c>
      <c r="B7144" s="405" t="s">
        <v>3491</v>
      </c>
      <c r="C7144" s="405" t="s">
        <v>311</v>
      </c>
      <c r="D7144" s="405" t="s">
        <v>1789</v>
      </c>
      <c r="E7144" s="410">
        <v>41191</v>
      </c>
      <c r="F7144" s="410">
        <v>41236</v>
      </c>
      <c r="G7144" s="405" t="s">
        <v>3492</v>
      </c>
      <c r="H7144" s="405">
        <v>752891973</v>
      </c>
      <c r="I7144" s="405"/>
      <c r="J7144" s="405">
        <v>-0.41492800000000002</v>
      </c>
      <c r="K7144" s="405">
        <v>31.143481999999999</v>
      </c>
      <c r="L7144" s="405" t="s">
        <v>314</v>
      </c>
      <c r="M7144" s="405" t="s">
        <v>1805</v>
      </c>
      <c r="N7144" s="405" t="s">
        <v>1805</v>
      </c>
      <c r="O7144" s="405" t="s">
        <v>3493</v>
      </c>
      <c r="P7144" s="405" t="s">
        <v>3494</v>
      </c>
      <c r="Q7144" s="411">
        <v>6</v>
      </c>
      <c r="R7144" s="405" t="s">
        <v>874</v>
      </c>
      <c r="S7144" s="405" t="s">
        <v>27163</v>
      </c>
      <c r="T7144" s="405" t="s">
        <v>32102</v>
      </c>
      <c r="U7144" s="405" t="s">
        <v>319</v>
      </c>
    </row>
    <row r="7145" spans="1:21" hidden="1" x14ac:dyDescent="0.25">
      <c r="A7145" s="405" t="s">
        <v>310</v>
      </c>
      <c r="B7145" s="405" t="s">
        <v>11863</v>
      </c>
      <c r="C7145" s="405" t="s">
        <v>327</v>
      </c>
      <c r="D7145" s="405"/>
      <c r="E7145" s="410">
        <v>41191</v>
      </c>
      <c r="F7145" s="410">
        <v>41236</v>
      </c>
      <c r="G7145" s="405" t="s">
        <v>11864</v>
      </c>
      <c r="H7145" s="405">
        <v>787434304</v>
      </c>
      <c r="I7145" s="405"/>
      <c r="J7145" s="405">
        <v>0.89124899999999996</v>
      </c>
      <c r="K7145" s="405">
        <v>34.328307000000002</v>
      </c>
      <c r="L7145" s="405" t="s">
        <v>6866</v>
      </c>
      <c r="M7145" s="405" t="s">
        <v>9763</v>
      </c>
      <c r="N7145" s="405" t="s">
        <v>9848</v>
      </c>
      <c r="O7145" s="405" t="s">
        <v>11333</v>
      </c>
      <c r="P7145" s="405" t="s">
        <v>11865</v>
      </c>
      <c r="Q7145" s="411">
        <v>4</v>
      </c>
      <c r="R7145" s="405" t="s">
        <v>7224</v>
      </c>
      <c r="S7145" s="405" t="s">
        <v>27107</v>
      </c>
      <c r="T7145" s="405" t="s">
        <v>32212</v>
      </c>
      <c r="U7145" s="405" t="s">
        <v>2267</v>
      </c>
    </row>
    <row r="7146" spans="1:21" hidden="1" x14ac:dyDescent="0.25">
      <c r="A7146" s="405" t="s">
        <v>310</v>
      </c>
      <c r="B7146" s="405" t="s">
        <v>11810</v>
      </c>
      <c r="C7146" s="405" t="s">
        <v>327</v>
      </c>
      <c r="D7146" s="405"/>
      <c r="E7146" s="410">
        <v>41190</v>
      </c>
      <c r="F7146" s="410">
        <v>41235</v>
      </c>
      <c r="G7146" s="405" t="s">
        <v>11811</v>
      </c>
      <c r="H7146" s="405">
        <v>775350676</v>
      </c>
      <c r="I7146" s="405"/>
      <c r="J7146" s="405">
        <v>1.529112</v>
      </c>
      <c r="K7146" s="405">
        <v>33.817925000000002</v>
      </c>
      <c r="L7146" s="405" t="s">
        <v>6866</v>
      </c>
      <c r="M7146" s="405" t="s">
        <v>10012</v>
      </c>
      <c r="N7146" s="405" t="s">
        <v>10012</v>
      </c>
      <c r="O7146" s="405" t="s">
        <v>10779</v>
      </c>
      <c r="P7146" s="405" t="s">
        <v>11812</v>
      </c>
      <c r="Q7146" s="411">
        <v>6</v>
      </c>
      <c r="R7146" s="405" t="s">
        <v>7224</v>
      </c>
      <c r="S7146" s="405" t="s">
        <v>27298</v>
      </c>
      <c r="T7146" s="405" t="s">
        <v>32102</v>
      </c>
      <c r="U7146" s="405" t="s">
        <v>319</v>
      </c>
    </row>
    <row r="7147" spans="1:21" hidden="1" x14ac:dyDescent="0.25">
      <c r="A7147" s="405" t="s">
        <v>310</v>
      </c>
      <c r="B7147" s="405" t="s">
        <v>27900</v>
      </c>
      <c r="C7147" s="405" t="s">
        <v>327</v>
      </c>
      <c r="D7147" s="405"/>
      <c r="E7147" s="410">
        <v>41190</v>
      </c>
      <c r="F7147" s="410">
        <v>41235</v>
      </c>
      <c r="G7147" s="405" t="s">
        <v>2881</v>
      </c>
      <c r="H7147" s="405">
        <v>752560995</v>
      </c>
      <c r="I7147" s="405"/>
      <c r="J7147" s="405">
        <v>0.47517619999999999</v>
      </c>
      <c r="K7147" s="405">
        <v>32.508808700000003</v>
      </c>
      <c r="L7147" s="405" t="s">
        <v>314</v>
      </c>
      <c r="M7147" s="405" t="s">
        <v>361</v>
      </c>
      <c r="N7147" s="405" t="s">
        <v>362</v>
      </c>
      <c r="O7147" s="405" t="s">
        <v>1752</v>
      </c>
      <c r="P7147" s="405" t="s">
        <v>2882</v>
      </c>
      <c r="Q7147" s="411">
        <v>6</v>
      </c>
      <c r="R7147" s="405" t="s">
        <v>32478</v>
      </c>
      <c r="S7147" s="405" t="s">
        <v>27049</v>
      </c>
      <c r="T7147" s="405" t="s">
        <v>32102</v>
      </c>
      <c r="U7147" s="405" t="s">
        <v>319</v>
      </c>
    </row>
    <row r="7148" spans="1:21" hidden="1" x14ac:dyDescent="0.25">
      <c r="A7148" s="405" t="s">
        <v>310</v>
      </c>
      <c r="B7148" s="405" t="s">
        <v>2968</v>
      </c>
      <c r="C7148" s="405" t="s">
        <v>327</v>
      </c>
      <c r="D7148" s="405"/>
      <c r="E7148" s="410">
        <v>41189</v>
      </c>
      <c r="F7148" s="410">
        <v>41234</v>
      </c>
      <c r="G7148" s="405" t="s">
        <v>2969</v>
      </c>
      <c r="H7148" s="405">
        <v>789232162</v>
      </c>
      <c r="I7148" s="405"/>
      <c r="J7148" s="405">
        <v>-0.38824199999999998</v>
      </c>
      <c r="K7148" s="405">
        <v>31.139975</v>
      </c>
      <c r="L7148" s="405" t="s">
        <v>314</v>
      </c>
      <c r="M7148" s="405" t="s">
        <v>1805</v>
      </c>
      <c r="N7148" s="405" t="s">
        <v>1805</v>
      </c>
      <c r="O7148" s="405" t="s">
        <v>2970</v>
      </c>
      <c r="P7148" s="405" t="s">
        <v>2528</v>
      </c>
      <c r="Q7148" s="411">
        <v>6</v>
      </c>
      <c r="R7148" s="405" t="s">
        <v>874</v>
      </c>
      <c r="S7148" s="405" t="s">
        <v>27205</v>
      </c>
      <c r="T7148" s="405" t="s">
        <v>32102</v>
      </c>
      <c r="U7148" s="405" t="s">
        <v>319</v>
      </c>
    </row>
    <row r="7149" spans="1:21" hidden="1" x14ac:dyDescent="0.25">
      <c r="A7149" s="405" t="s">
        <v>310</v>
      </c>
      <c r="B7149" s="405" t="s">
        <v>28989</v>
      </c>
      <c r="C7149" s="405" t="s">
        <v>311</v>
      </c>
      <c r="D7149" s="405" t="s">
        <v>1789</v>
      </c>
      <c r="E7149" s="410">
        <v>41188</v>
      </c>
      <c r="F7149" s="410">
        <v>41233</v>
      </c>
      <c r="G7149" s="405" t="s">
        <v>12228</v>
      </c>
      <c r="H7149" s="405">
        <v>774818156</v>
      </c>
      <c r="I7149" s="405"/>
      <c r="J7149" s="405">
        <v>0.94246200000000002</v>
      </c>
      <c r="K7149" s="405">
        <v>34.257824999999997</v>
      </c>
      <c r="L7149" s="405" t="s">
        <v>6866</v>
      </c>
      <c r="M7149" s="405" t="s">
        <v>9763</v>
      </c>
      <c r="N7149" s="405" t="s">
        <v>9764</v>
      </c>
      <c r="O7149" s="405" t="s">
        <v>11531</v>
      </c>
      <c r="P7149" s="405" t="s">
        <v>12229</v>
      </c>
      <c r="Q7149" s="411">
        <v>6</v>
      </c>
      <c r="R7149" s="405" t="s">
        <v>7224</v>
      </c>
      <c r="S7149" s="405" t="s">
        <v>17013</v>
      </c>
      <c r="T7149" s="405" t="s">
        <v>32102</v>
      </c>
      <c r="U7149" s="405" t="s">
        <v>319</v>
      </c>
    </row>
    <row r="7150" spans="1:21" hidden="1" x14ac:dyDescent="0.25">
      <c r="A7150" s="405" t="s">
        <v>310</v>
      </c>
      <c r="B7150" s="405" t="s">
        <v>2916</v>
      </c>
      <c r="C7150" s="405" t="s">
        <v>327</v>
      </c>
      <c r="D7150" s="405"/>
      <c r="E7150" s="410">
        <v>41188</v>
      </c>
      <c r="F7150" s="410">
        <v>41233</v>
      </c>
      <c r="G7150" s="405" t="s">
        <v>2917</v>
      </c>
      <c r="H7150" s="405">
        <v>783664502</v>
      </c>
      <c r="I7150" s="405"/>
      <c r="J7150" s="405">
        <v>0.30775666666666662</v>
      </c>
      <c r="K7150" s="405">
        <v>33.101381666666661</v>
      </c>
      <c r="L7150" s="405" t="s">
        <v>314</v>
      </c>
      <c r="M7150" s="405" t="s">
        <v>349</v>
      </c>
      <c r="N7150" s="405" t="s">
        <v>349</v>
      </c>
      <c r="O7150" s="405" t="s">
        <v>1062</v>
      </c>
      <c r="P7150" s="405" t="s">
        <v>2918</v>
      </c>
      <c r="Q7150" s="411">
        <v>6</v>
      </c>
      <c r="R7150" s="405" t="s">
        <v>333</v>
      </c>
      <c r="S7150" s="405" t="s">
        <v>27108</v>
      </c>
      <c r="T7150" s="405" t="s">
        <v>32102</v>
      </c>
      <c r="U7150" s="405" t="s">
        <v>319</v>
      </c>
    </row>
    <row r="7151" spans="1:21" hidden="1" x14ac:dyDescent="0.25">
      <c r="A7151" s="405" t="s">
        <v>310</v>
      </c>
      <c r="B7151" s="405" t="s">
        <v>29021</v>
      </c>
      <c r="C7151" s="405" t="s">
        <v>327</v>
      </c>
      <c r="D7151" s="405"/>
      <c r="E7151" s="410">
        <v>41188</v>
      </c>
      <c r="F7151" s="410">
        <v>41233</v>
      </c>
      <c r="G7151" s="405" t="s">
        <v>11828</v>
      </c>
      <c r="H7151" s="405">
        <v>782545908</v>
      </c>
      <c r="I7151" s="405"/>
      <c r="J7151" s="405">
        <v>1.04758</v>
      </c>
      <c r="K7151" s="405">
        <v>34.346409999999999</v>
      </c>
      <c r="L7151" s="405" t="s">
        <v>6866</v>
      </c>
      <c r="M7151" s="405" t="s">
        <v>6867</v>
      </c>
      <c r="N7151" s="405" t="s">
        <v>6868</v>
      </c>
      <c r="O7151" s="405" t="s">
        <v>9736</v>
      </c>
      <c r="P7151" s="405" t="s">
        <v>11829</v>
      </c>
      <c r="Q7151" s="411">
        <v>4</v>
      </c>
      <c r="R7151" s="405" t="s">
        <v>7224</v>
      </c>
      <c r="S7151" s="405" t="s">
        <v>27283</v>
      </c>
      <c r="T7151" s="405" t="s">
        <v>32102</v>
      </c>
      <c r="U7151" s="405" t="s">
        <v>319</v>
      </c>
    </row>
    <row r="7152" spans="1:21" hidden="1" x14ac:dyDescent="0.25">
      <c r="A7152" s="405" t="s">
        <v>310</v>
      </c>
      <c r="B7152" s="405" t="s">
        <v>2884</v>
      </c>
      <c r="C7152" s="405" t="s">
        <v>327</v>
      </c>
      <c r="D7152" s="405"/>
      <c r="E7152" s="410">
        <v>41187</v>
      </c>
      <c r="F7152" s="410">
        <v>41232</v>
      </c>
      <c r="G7152" s="405" t="s">
        <v>2885</v>
      </c>
      <c r="H7152" s="405">
        <v>775678766</v>
      </c>
      <c r="I7152" s="405"/>
      <c r="J7152" s="405">
        <v>0.40819833333333333</v>
      </c>
      <c r="K7152" s="405">
        <v>32.595824999999998</v>
      </c>
      <c r="L7152" s="405" t="s">
        <v>314</v>
      </c>
      <c r="M7152" s="405" t="s">
        <v>361</v>
      </c>
      <c r="N7152" s="405" t="s">
        <v>362</v>
      </c>
      <c r="O7152" s="405" t="s">
        <v>1365</v>
      </c>
      <c r="P7152" s="405" t="s">
        <v>962</v>
      </c>
      <c r="Q7152" s="411">
        <v>9</v>
      </c>
      <c r="R7152" s="405" t="s">
        <v>318</v>
      </c>
      <c r="S7152" s="405" t="s">
        <v>27201</v>
      </c>
      <c r="T7152" s="405" t="s">
        <v>32102</v>
      </c>
      <c r="U7152" s="405" t="s">
        <v>319</v>
      </c>
    </row>
    <row r="7153" spans="1:21" hidden="1" x14ac:dyDescent="0.25">
      <c r="A7153" s="405" t="s">
        <v>310</v>
      </c>
      <c r="B7153" s="405" t="s">
        <v>11855</v>
      </c>
      <c r="C7153" s="405" t="s">
        <v>327</v>
      </c>
      <c r="D7153" s="405"/>
      <c r="E7153" s="410">
        <v>41186</v>
      </c>
      <c r="F7153" s="410">
        <v>41231</v>
      </c>
      <c r="G7153" s="405" t="s">
        <v>11856</v>
      </c>
      <c r="H7153" s="405">
        <v>752852602</v>
      </c>
      <c r="I7153" s="405"/>
      <c r="J7153" s="405">
        <v>0.86558000000000002</v>
      </c>
      <c r="K7153" s="405">
        <v>34.357875999999997</v>
      </c>
      <c r="L7153" s="405" t="s">
        <v>6866</v>
      </c>
      <c r="M7153" s="405" t="s">
        <v>9763</v>
      </c>
      <c r="N7153" s="405" t="s">
        <v>9848</v>
      </c>
      <c r="O7153" s="405" t="s">
        <v>10122</v>
      </c>
      <c r="P7153" s="405" t="s">
        <v>11857</v>
      </c>
      <c r="Q7153" s="411">
        <v>6</v>
      </c>
      <c r="R7153" s="405" t="s">
        <v>7224</v>
      </c>
      <c r="S7153" s="405" t="s">
        <v>27298</v>
      </c>
      <c r="T7153" s="405" t="s">
        <v>32102</v>
      </c>
      <c r="U7153" s="405" t="s">
        <v>319</v>
      </c>
    </row>
    <row r="7154" spans="1:21" hidden="1" x14ac:dyDescent="0.25">
      <c r="A7154" s="405" t="s">
        <v>310</v>
      </c>
      <c r="B7154" s="405" t="s">
        <v>2973</v>
      </c>
      <c r="C7154" s="405" t="s">
        <v>327</v>
      </c>
      <c r="D7154" s="405"/>
      <c r="E7154" s="410">
        <v>41186</v>
      </c>
      <c r="F7154" s="410">
        <v>41231</v>
      </c>
      <c r="G7154" s="405" t="s">
        <v>2974</v>
      </c>
      <c r="H7154" s="405">
        <v>772874204</v>
      </c>
      <c r="I7154" s="405"/>
      <c r="J7154" s="405">
        <v>-0.39853699999999997</v>
      </c>
      <c r="K7154" s="405">
        <v>31.170902000000002</v>
      </c>
      <c r="L7154" s="405" t="s">
        <v>314</v>
      </c>
      <c r="M7154" s="405" t="s">
        <v>1805</v>
      </c>
      <c r="N7154" s="405" t="s">
        <v>1805</v>
      </c>
      <c r="O7154" s="405" t="s">
        <v>1805</v>
      </c>
      <c r="P7154" s="405" t="s">
        <v>2975</v>
      </c>
      <c r="Q7154" s="411">
        <v>6</v>
      </c>
      <c r="R7154" s="405" t="s">
        <v>874</v>
      </c>
      <c r="S7154" s="405" t="s">
        <v>27163</v>
      </c>
      <c r="T7154" s="405" t="s">
        <v>32102</v>
      </c>
      <c r="U7154" s="405" t="s">
        <v>319</v>
      </c>
    </row>
    <row r="7155" spans="1:21" hidden="1" x14ac:dyDescent="0.25">
      <c r="A7155" s="405" t="s">
        <v>310</v>
      </c>
      <c r="B7155" s="405" t="s">
        <v>28544</v>
      </c>
      <c r="C7155" s="405" t="s">
        <v>327</v>
      </c>
      <c r="D7155" s="405"/>
      <c r="E7155" s="410">
        <v>41185</v>
      </c>
      <c r="F7155" s="410">
        <v>41230</v>
      </c>
      <c r="G7155" s="405" t="s">
        <v>2947</v>
      </c>
      <c r="H7155" s="405">
        <v>755428503</v>
      </c>
      <c r="I7155" s="405"/>
      <c r="J7155" s="405">
        <v>0.67918999999999996</v>
      </c>
      <c r="K7155" s="405">
        <v>31.340250000000001</v>
      </c>
      <c r="L7155" s="405" t="s">
        <v>314</v>
      </c>
      <c r="M7155" s="405" t="s">
        <v>445</v>
      </c>
      <c r="N7155" s="405" t="s">
        <v>446</v>
      </c>
      <c r="O7155" s="405" t="s">
        <v>2948</v>
      </c>
      <c r="P7155" s="405" t="s">
        <v>2948</v>
      </c>
      <c r="Q7155" s="411">
        <v>6</v>
      </c>
      <c r="R7155" s="405" t="s">
        <v>318</v>
      </c>
      <c r="S7155" s="405" t="s">
        <v>27054</v>
      </c>
      <c r="T7155" s="405" t="s">
        <v>32102</v>
      </c>
      <c r="U7155" s="405" t="s">
        <v>319</v>
      </c>
    </row>
    <row r="7156" spans="1:21" hidden="1" x14ac:dyDescent="0.25">
      <c r="A7156" s="405" t="s">
        <v>310</v>
      </c>
      <c r="B7156" s="405" t="s">
        <v>18385</v>
      </c>
      <c r="C7156" s="405" t="s">
        <v>327</v>
      </c>
      <c r="D7156" s="405"/>
      <c r="E7156" s="410">
        <v>41185</v>
      </c>
      <c r="F7156" s="410">
        <v>41230</v>
      </c>
      <c r="G7156" s="405" t="s">
        <v>18386</v>
      </c>
      <c r="H7156" s="405">
        <v>773349095</v>
      </c>
      <c r="I7156" s="405"/>
      <c r="J7156" s="405">
        <v>1.9430289999999999</v>
      </c>
      <c r="K7156" s="405">
        <v>32.852100999999998</v>
      </c>
      <c r="L7156" s="405" t="s">
        <v>860</v>
      </c>
      <c r="M7156" s="405" t="s">
        <v>861</v>
      </c>
      <c r="N7156" s="405" t="s">
        <v>18302</v>
      </c>
      <c r="O7156" s="405" t="s">
        <v>18387</v>
      </c>
      <c r="P7156" s="405" t="s">
        <v>18388</v>
      </c>
      <c r="Q7156" s="411">
        <v>6</v>
      </c>
      <c r="R7156" s="405" t="s">
        <v>525</v>
      </c>
      <c r="S7156" s="405" t="s">
        <v>27136</v>
      </c>
      <c r="T7156" s="405" t="s">
        <v>32102</v>
      </c>
      <c r="U7156" s="405" t="s">
        <v>319</v>
      </c>
    </row>
    <row r="7157" spans="1:21" hidden="1" x14ac:dyDescent="0.25">
      <c r="A7157" s="405" t="s">
        <v>310</v>
      </c>
      <c r="B7157" s="405" t="s">
        <v>28047</v>
      </c>
      <c r="C7157" s="405" t="s">
        <v>327</v>
      </c>
      <c r="D7157" s="405"/>
      <c r="E7157" s="410">
        <v>41184</v>
      </c>
      <c r="F7157" s="410">
        <v>41229</v>
      </c>
      <c r="G7157" s="405" t="s">
        <v>20706</v>
      </c>
      <c r="H7157" s="405">
        <v>772553551</v>
      </c>
      <c r="I7157" s="405"/>
      <c r="J7157" s="405">
        <v>0.65706399999999998</v>
      </c>
      <c r="K7157" s="405">
        <v>30.598967999999999</v>
      </c>
      <c r="L7157" s="405" t="s">
        <v>590</v>
      </c>
      <c r="M7157" s="405" t="s">
        <v>20426</v>
      </c>
      <c r="N7157" s="405" t="s">
        <v>20692</v>
      </c>
      <c r="O7157" s="405" t="s">
        <v>20533</v>
      </c>
      <c r="P7157" s="405" t="s">
        <v>20707</v>
      </c>
      <c r="Q7157" s="411">
        <v>9</v>
      </c>
      <c r="R7157" s="405" t="s">
        <v>333</v>
      </c>
      <c r="S7157" s="405" t="s">
        <v>27104</v>
      </c>
      <c r="T7157" s="405" t="s">
        <v>32102</v>
      </c>
      <c r="U7157" s="405" t="s">
        <v>319</v>
      </c>
    </row>
    <row r="7158" spans="1:21" hidden="1" x14ac:dyDescent="0.25">
      <c r="A7158" s="405" t="s">
        <v>310</v>
      </c>
      <c r="B7158" s="405" t="s">
        <v>27621</v>
      </c>
      <c r="C7158" s="405" t="s">
        <v>857</v>
      </c>
      <c r="D7158" s="405" t="s">
        <v>1037</v>
      </c>
      <c r="E7158" s="410">
        <v>41184</v>
      </c>
      <c r="F7158" s="410">
        <v>41229</v>
      </c>
      <c r="G7158" s="405" t="s">
        <v>20926</v>
      </c>
      <c r="H7158" s="405">
        <v>782223125</v>
      </c>
      <c r="I7158" s="405"/>
      <c r="J7158" s="405">
        <v>0.66545699999999997</v>
      </c>
      <c r="K7158" s="405">
        <v>30.600076000000001</v>
      </c>
      <c r="L7158" s="405" t="s">
        <v>590</v>
      </c>
      <c r="M7158" s="405" t="s">
        <v>20426</v>
      </c>
      <c r="N7158" s="405" t="s">
        <v>20692</v>
      </c>
      <c r="O7158" s="405" t="s">
        <v>20533</v>
      </c>
      <c r="P7158" s="405" t="s">
        <v>20707</v>
      </c>
      <c r="Q7158" s="411">
        <v>9</v>
      </c>
      <c r="R7158" s="405" t="s">
        <v>333</v>
      </c>
      <c r="S7158" s="405" t="s">
        <v>27104</v>
      </c>
      <c r="T7158" s="405" t="s">
        <v>32102</v>
      </c>
      <c r="U7158" s="405" t="s">
        <v>319</v>
      </c>
    </row>
    <row r="7159" spans="1:21" hidden="1" x14ac:dyDescent="0.25">
      <c r="A7159" s="405" t="s">
        <v>310</v>
      </c>
      <c r="B7159" s="405" t="s">
        <v>2894</v>
      </c>
      <c r="C7159" s="405" t="s">
        <v>327</v>
      </c>
      <c r="D7159" s="405"/>
      <c r="E7159" s="410">
        <v>41183</v>
      </c>
      <c r="F7159" s="410">
        <v>41228</v>
      </c>
      <c r="G7159" s="405" t="s">
        <v>2895</v>
      </c>
      <c r="H7159" s="405">
        <v>772901381</v>
      </c>
      <c r="I7159" s="405"/>
      <c r="J7159" s="405">
        <v>0.68789599999999995</v>
      </c>
      <c r="K7159" s="405">
        <v>32.916471000000001</v>
      </c>
      <c r="L7159" s="405" t="s">
        <v>314</v>
      </c>
      <c r="M7159" s="405" t="s">
        <v>502</v>
      </c>
      <c r="N7159" s="405" t="s">
        <v>1229</v>
      </c>
      <c r="O7159" s="405" t="s">
        <v>502</v>
      </c>
      <c r="P7159" s="405" t="s">
        <v>2896</v>
      </c>
      <c r="Q7159" s="411">
        <v>9</v>
      </c>
      <c r="R7159" s="405" t="s">
        <v>318</v>
      </c>
      <c r="S7159" s="405" t="s">
        <v>27137</v>
      </c>
      <c r="T7159" s="405" t="s">
        <v>32102</v>
      </c>
      <c r="U7159" s="405" t="s">
        <v>319</v>
      </c>
    </row>
    <row r="7160" spans="1:21" hidden="1" x14ac:dyDescent="0.25">
      <c r="A7160" s="405" t="s">
        <v>310</v>
      </c>
      <c r="B7160" s="405" t="s">
        <v>20688</v>
      </c>
      <c r="C7160" s="405" t="s">
        <v>327</v>
      </c>
      <c r="D7160" s="405"/>
      <c r="E7160" s="410">
        <v>41183</v>
      </c>
      <c r="F7160" s="410">
        <v>41228</v>
      </c>
      <c r="G7160" s="405" t="s">
        <v>20689</v>
      </c>
      <c r="H7160" s="405">
        <v>772383445</v>
      </c>
      <c r="I7160" s="405"/>
      <c r="J7160" s="405">
        <v>-0.203433</v>
      </c>
      <c r="K7160" s="405">
        <v>30.860437000000001</v>
      </c>
      <c r="L7160" s="405" t="s">
        <v>590</v>
      </c>
      <c r="M7160" s="405" t="s">
        <v>19705</v>
      </c>
      <c r="N7160" s="405" t="s">
        <v>19706</v>
      </c>
      <c r="O7160" s="405" t="s">
        <v>20628</v>
      </c>
      <c r="P7160" s="405" t="s">
        <v>20629</v>
      </c>
      <c r="Q7160" s="411">
        <v>9</v>
      </c>
      <c r="R7160" s="405" t="s">
        <v>874</v>
      </c>
      <c r="S7160" s="405" t="s">
        <v>27132</v>
      </c>
      <c r="T7160" s="405" t="s">
        <v>32102</v>
      </c>
      <c r="U7160" s="405" t="s">
        <v>319</v>
      </c>
    </row>
    <row r="7161" spans="1:21" hidden="1" x14ac:dyDescent="0.25">
      <c r="A7161" s="405" t="s">
        <v>310</v>
      </c>
      <c r="B7161" s="405" t="s">
        <v>20699</v>
      </c>
      <c r="C7161" s="405" t="s">
        <v>327</v>
      </c>
      <c r="D7161" s="405"/>
      <c r="E7161" s="410">
        <v>41183</v>
      </c>
      <c r="F7161" s="410">
        <v>41228</v>
      </c>
      <c r="G7161" s="405" t="s">
        <v>20700</v>
      </c>
      <c r="H7161" s="405">
        <v>774059099</v>
      </c>
      <c r="I7161" s="405"/>
      <c r="J7161" s="405">
        <v>0.64265499999999998</v>
      </c>
      <c r="K7161" s="405">
        <v>30.580722000000002</v>
      </c>
      <c r="L7161" s="405" t="s">
        <v>590</v>
      </c>
      <c r="M7161" s="405" t="s">
        <v>20426</v>
      </c>
      <c r="N7161" s="405" t="s">
        <v>20692</v>
      </c>
      <c r="O7161" s="405" t="s">
        <v>20537</v>
      </c>
      <c r="P7161" s="405" t="s">
        <v>20701</v>
      </c>
      <c r="Q7161" s="411">
        <v>9</v>
      </c>
      <c r="R7161" s="405" t="s">
        <v>883</v>
      </c>
      <c r="S7161" s="405" t="s">
        <v>27065</v>
      </c>
      <c r="T7161" s="405" t="s">
        <v>32102</v>
      </c>
      <c r="U7161" s="405" t="s">
        <v>319</v>
      </c>
    </row>
    <row r="7162" spans="1:21" hidden="1" x14ac:dyDescent="0.25">
      <c r="A7162" s="405" t="s">
        <v>310</v>
      </c>
      <c r="B7162" s="405" t="s">
        <v>2919</v>
      </c>
      <c r="C7162" s="405" t="s">
        <v>327</v>
      </c>
      <c r="D7162" s="405"/>
      <c r="E7162" s="410">
        <v>41182</v>
      </c>
      <c r="F7162" s="410">
        <v>41227</v>
      </c>
      <c r="G7162" s="405" t="s">
        <v>2920</v>
      </c>
      <c r="H7162" s="405">
        <v>785606767</v>
      </c>
      <c r="I7162" s="405"/>
      <c r="J7162" s="405">
        <v>0.69024300000000005</v>
      </c>
      <c r="K7162" s="405">
        <v>32.682096999999999</v>
      </c>
      <c r="L7162" s="405" t="s">
        <v>314</v>
      </c>
      <c r="M7162" s="405" t="s">
        <v>959</v>
      </c>
      <c r="N7162" s="405" t="s">
        <v>960</v>
      </c>
      <c r="O7162" s="405" t="s">
        <v>2921</v>
      </c>
      <c r="P7162" s="405" t="s">
        <v>2922</v>
      </c>
      <c r="Q7162" s="411">
        <v>13</v>
      </c>
      <c r="R7162" s="405" t="s">
        <v>318</v>
      </c>
      <c r="S7162" s="405" t="s">
        <v>27132</v>
      </c>
      <c r="T7162" s="405" t="s">
        <v>32102</v>
      </c>
      <c r="U7162" s="405" t="s">
        <v>319</v>
      </c>
    </row>
    <row r="7163" spans="1:21" hidden="1" x14ac:dyDescent="0.25">
      <c r="A7163" s="405" t="s">
        <v>310</v>
      </c>
      <c r="B7163" s="405" t="s">
        <v>2931</v>
      </c>
      <c r="C7163" s="405" t="s">
        <v>327</v>
      </c>
      <c r="D7163" s="405"/>
      <c r="E7163" s="410">
        <v>41182</v>
      </c>
      <c r="F7163" s="410">
        <v>41227</v>
      </c>
      <c r="G7163" s="405" t="s">
        <v>2932</v>
      </c>
      <c r="H7163" s="405">
        <v>772840364</v>
      </c>
      <c r="I7163" s="405"/>
      <c r="J7163" s="405">
        <v>0.26338699999999998</v>
      </c>
      <c r="K7163" s="405">
        <v>32.514429999999997</v>
      </c>
      <c r="L7163" s="405" t="s">
        <v>314</v>
      </c>
      <c r="M7163" s="405" t="s">
        <v>361</v>
      </c>
      <c r="N7163" s="405" t="s">
        <v>374</v>
      </c>
      <c r="O7163" s="405" t="s">
        <v>375</v>
      </c>
      <c r="P7163" s="405" t="s">
        <v>2933</v>
      </c>
      <c r="Q7163" s="411">
        <v>13</v>
      </c>
      <c r="R7163" s="405" t="s">
        <v>318</v>
      </c>
      <c r="S7163" s="405" t="s">
        <v>27195</v>
      </c>
      <c r="T7163" s="405" t="s">
        <v>32102</v>
      </c>
      <c r="U7163" s="405" t="s">
        <v>319</v>
      </c>
    </row>
    <row r="7164" spans="1:21" hidden="1" x14ac:dyDescent="0.25">
      <c r="A7164" s="405" t="s">
        <v>310</v>
      </c>
      <c r="B7164" s="405" t="s">
        <v>2934</v>
      </c>
      <c r="C7164" s="405" t="s">
        <v>327</v>
      </c>
      <c r="D7164" s="405"/>
      <c r="E7164" s="410">
        <v>41182</v>
      </c>
      <c r="F7164" s="410">
        <v>41227</v>
      </c>
      <c r="G7164" s="405" t="s">
        <v>2935</v>
      </c>
      <c r="H7164" s="405">
        <v>772342465</v>
      </c>
      <c r="I7164" s="405">
        <v>774212406</v>
      </c>
      <c r="J7164" s="405">
        <v>0.366614</v>
      </c>
      <c r="K7164" s="405">
        <v>32.757482000000003</v>
      </c>
      <c r="L7164" s="405" t="s">
        <v>314</v>
      </c>
      <c r="M7164" s="405" t="s">
        <v>329</v>
      </c>
      <c r="N7164" s="405" t="s">
        <v>545</v>
      </c>
      <c r="O7164" s="405" t="s">
        <v>546</v>
      </c>
      <c r="P7164" s="405" t="s">
        <v>1464</v>
      </c>
      <c r="Q7164" s="411">
        <v>9</v>
      </c>
      <c r="R7164" s="405" t="s">
        <v>318</v>
      </c>
      <c r="S7164" s="405" t="s">
        <v>22880</v>
      </c>
      <c r="T7164" s="405" t="s">
        <v>32102</v>
      </c>
      <c r="U7164" s="405" t="s">
        <v>319</v>
      </c>
    </row>
    <row r="7165" spans="1:21" hidden="1" x14ac:dyDescent="0.25">
      <c r="A7165" s="405" t="s">
        <v>310</v>
      </c>
      <c r="B7165" s="405" t="s">
        <v>2979</v>
      </c>
      <c r="C7165" s="405" t="s">
        <v>327</v>
      </c>
      <c r="D7165" s="405"/>
      <c r="E7165" s="410">
        <v>41182</v>
      </c>
      <c r="F7165" s="410">
        <v>41227</v>
      </c>
      <c r="G7165" s="405" t="s">
        <v>2980</v>
      </c>
      <c r="H7165" s="405">
        <v>784757033</v>
      </c>
      <c r="I7165" s="405"/>
      <c r="J7165" s="405">
        <v>0.308278</v>
      </c>
      <c r="K7165" s="405">
        <v>32.642788000000003</v>
      </c>
      <c r="L7165" s="405" t="s">
        <v>314</v>
      </c>
      <c r="M7165" s="405" t="s">
        <v>992</v>
      </c>
      <c r="N7165" s="405" t="s">
        <v>362</v>
      </c>
      <c r="O7165" s="405" t="s">
        <v>987</v>
      </c>
      <c r="P7165" s="405" t="s">
        <v>2981</v>
      </c>
      <c r="Q7165" s="411">
        <v>9</v>
      </c>
      <c r="R7165" s="405" t="s">
        <v>318</v>
      </c>
      <c r="S7165" s="405" t="s">
        <v>27124</v>
      </c>
      <c r="T7165" s="405" t="s">
        <v>32102</v>
      </c>
      <c r="U7165" s="405" t="s">
        <v>319</v>
      </c>
    </row>
    <row r="7166" spans="1:21" hidden="1" x14ac:dyDescent="0.25">
      <c r="A7166" s="405" t="s">
        <v>310</v>
      </c>
      <c r="B7166" s="405" t="s">
        <v>29053</v>
      </c>
      <c r="C7166" s="405" t="s">
        <v>327</v>
      </c>
      <c r="D7166" s="405"/>
      <c r="E7166" s="410">
        <v>41182</v>
      </c>
      <c r="F7166" s="410">
        <v>41227</v>
      </c>
      <c r="G7166" s="405" t="s">
        <v>11784</v>
      </c>
      <c r="H7166" s="405">
        <v>782613302</v>
      </c>
      <c r="I7166" s="405"/>
      <c r="J7166" s="405">
        <v>1.1131450000000001</v>
      </c>
      <c r="K7166" s="405">
        <v>34.209353</v>
      </c>
      <c r="L7166" s="405" t="s">
        <v>6866</v>
      </c>
      <c r="M7166" s="405" t="s">
        <v>9514</v>
      </c>
      <c r="N7166" s="405" t="s">
        <v>9529</v>
      </c>
      <c r="O7166" s="405" t="s">
        <v>9530</v>
      </c>
      <c r="P7166" s="405" t="s">
        <v>9530</v>
      </c>
      <c r="Q7166" s="411">
        <v>6</v>
      </c>
      <c r="R7166" s="405" t="s">
        <v>7224</v>
      </c>
      <c r="S7166" s="405" t="s">
        <v>27259</v>
      </c>
      <c r="T7166" s="405" t="s">
        <v>32102</v>
      </c>
      <c r="U7166" s="405" t="s">
        <v>319</v>
      </c>
    </row>
    <row r="7167" spans="1:21" hidden="1" x14ac:dyDescent="0.25">
      <c r="A7167" s="405" t="s">
        <v>310</v>
      </c>
      <c r="B7167" s="405" t="s">
        <v>28160</v>
      </c>
      <c r="C7167" s="405" t="s">
        <v>327</v>
      </c>
      <c r="D7167" s="405"/>
      <c r="E7167" s="410">
        <v>41182</v>
      </c>
      <c r="F7167" s="410">
        <v>41227</v>
      </c>
      <c r="G7167" s="405" t="s">
        <v>2897</v>
      </c>
      <c r="H7167" s="405">
        <v>754313028</v>
      </c>
      <c r="I7167" s="405">
        <v>775392573</v>
      </c>
      <c r="J7167" s="405">
        <v>0.158138</v>
      </c>
      <c r="K7167" s="405">
        <v>32.781652999999999</v>
      </c>
      <c r="L7167" s="405" t="s">
        <v>314</v>
      </c>
      <c r="M7167" s="405" t="s">
        <v>329</v>
      </c>
      <c r="N7167" s="405" t="s">
        <v>803</v>
      </c>
      <c r="O7167" s="405" t="s">
        <v>909</v>
      </c>
      <c r="P7167" s="405" t="s">
        <v>2898</v>
      </c>
      <c r="Q7167" s="411">
        <v>6</v>
      </c>
      <c r="R7167" s="405" t="s">
        <v>318</v>
      </c>
      <c r="S7167" s="405" t="s">
        <v>27167</v>
      </c>
      <c r="T7167" s="405" t="s">
        <v>32102</v>
      </c>
      <c r="U7167" s="405" t="s">
        <v>319</v>
      </c>
    </row>
    <row r="7168" spans="1:21" hidden="1" x14ac:dyDescent="0.25">
      <c r="A7168" s="405" t="s">
        <v>310</v>
      </c>
      <c r="B7168" s="405" t="s">
        <v>2908</v>
      </c>
      <c r="C7168" s="405" t="s">
        <v>327</v>
      </c>
      <c r="D7168" s="405"/>
      <c r="E7168" s="410">
        <v>41182</v>
      </c>
      <c r="F7168" s="410">
        <v>41227</v>
      </c>
      <c r="G7168" s="405" t="s">
        <v>2909</v>
      </c>
      <c r="H7168" s="405">
        <v>776692874</v>
      </c>
      <c r="I7168" s="405"/>
      <c r="J7168" s="405">
        <v>0.52277499999999999</v>
      </c>
      <c r="K7168" s="405">
        <v>32.454791999999998</v>
      </c>
      <c r="L7168" s="405" t="s">
        <v>314</v>
      </c>
      <c r="M7168" s="405" t="s">
        <v>361</v>
      </c>
      <c r="N7168" s="405" t="s">
        <v>362</v>
      </c>
      <c r="O7168" s="405" t="s">
        <v>523</v>
      </c>
      <c r="P7168" s="405" t="s">
        <v>2324</v>
      </c>
      <c r="Q7168" s="411">
        <v>6</v>
      </c>
      <c r="R7168" s="405" t="s">
        <v>33092</v>
      </c>
      <c r="S7168" s="405" t="s">
        <v>414</v>
      </c>
      <c r="T7168" s="405" t="s">
        <v>32102</v>
      </c>
      <c r="U7168" s="405" t="s">
        <v>319</v>
      </c>
    </row>
    <row r="7169" spans="1:21" hidden="1" x14ac:dyDescent="0.25">
      <c r="A7169" s="405" t="s">
        <v>310</v>
      </c>
      <c r="B7169" s="405" t="s">
        <v>11800</v>
      </c>
      <c r="C7169" s="405" t="s">
        <v>327</v>
      </c>
      <c r="D7169" s="405"/>
      <c r="E7169" s="410">
        <v>41182</v>
      </c>
      <c r="F7169" s="410">
        <v>41227</v>
      </c>
      <c r="G7169" s="405" t="s">
        <v>11801</v>
      </c>
      <c r="H7169" s="405">
        <v>787487209</v>
      </c>
      <c r="I7169" s="405">
        <v>78226110</v>
      </c>
      <c r="J7169" s="405">
        <v>1.6332629999999999</v>
      </c>
      <c r="K7169" s="405">
        <v>33.607478</v>
      </c>
      <c r="L7169" s="405" t="s">
        <v>6866</v>
      </c>
      <c r="M7169" s="405" t="s">
        <v>10515</v>
      </c>
      <c r="N7169" s="405" t="s">
        <v>10515</v>
      </c>
      <c r="O7169" s="405" t="s">
        <v>10516</v>
      </c>
      <c r="P7169" s="405" t="s">
        <v>10516</v>
      </c>
      <c r="Q7169" s="411">
        <v>6</v>
      </c>
      <c r="R7169" s="405" t="s">
        <v>5655</v>
      </c>
      <c r="S7169" s="405" t="s">
        <v>27325</v>
      </c>
      <c r="T7169" s="405" t="s">
        <v>32102</v>
      </c>
      <c r="U7169" s="405" t="s">
        <v>319</v>
      </c>
    </row>
    <row r="7170" spans="1:21" hidden="1" x14ac:dyDescent="0.25">
      <c r="A7170" s="405" t="s">
        <v>310</v>
      </c>
      <c r="B7170" s="405" t="s">
        <v>2939</v>
      </c>
      <c r="C7170" s="405" t="s">
        <v>327</v>
      </c>
      <c r="D7170" s="405"/>
      <c r="E7170" s="410">
        <v>41182</v>
      </c>
      <c r="F7170" s="410">
        <v>41227</v>
      </c>
      <c r="G7170" s="405" t="s">
        <v>2940</v>
      </c>
      <c r="H7170" s="405">
        <v>772438492</v>
      </c>
      <c r="I7170" s="405"/>
      <c r="J7170" s="405">
        <v>0.36982599999999999</v>
      </c>
      <c r="K7170" s="405">
        <v>32.819557000000003</v>
      </c>
      <c r="L7170" s="405" t="s">
        <v>314</v>
      </c>
      <c r="M7170" s="405" t="s">
        <v>329</v>
      </c>
      <c r="N7170" s="405" t="s">
        <v>545</v>
      </c>
      <c r="O7170" s="405" t="s">
        <v>546</v>
      </c>
      <c r="P7170" s="405" t="s">
        <v>2776</v>
      </c>
      <c r="Q7170" s="411">
        <v>6</v>
      </c>
      <c r="R7170" s="405" t="s">
        <v>318</v>
      </c>
      <c r="S7170" s="405" t="s">
        <v>27167</v>
      </c>
      <c r="T7170" s="405" t="s">
        <v>32102</v>
      </c>
      <c r="U7170" s="405" t="s">
        <v>319</v>
      </c>
    </row>
    <row r="7171" spans="1:21" hidden="1" x14ac:dyDescent="0.25">
      <c r="A7171" s="405" t="s">
        <v>310</v>
      </c>
      <c r="B7171" s="405" t="s">
        <v>2936</v>
      </c>
      <c r="C7171" s="405" t="s">
        <v>327</v>
      </c>
      <c r="D7171" s="405"/>
      <c r="E7171" s="410">
        <v>41182</v>
      </c>
      <c r="F7171" s="410">
        <v>41227</v>
      </c>
      <c r="G7171" s="405" t="s">
        <v>2937</v>
      </c>
      <c r="H7171" s="405">
        <v>772555457</v>
      </c>
      <c r="I7171" s="405">
        <v>778831843</v>
      </c>
      <c r="J7171" s="405">
        <v>0.21279999999999999</v>
      </c>
      <c r="K7171" s="405">
        <v>32.808508000000003</v>
      </c>
      <c r="L7171" s="405" t="s">
        <v>314</v>
      </c>
      <c r="M7171" s="405" t="s">
        <v>329</v>
      </c>
      <c r="N7171" s="405" t="s">
        <v>803</v>
      </c>
      <c r="O7171" s="405" t="s">
        <v>909</v>
      </c>
      <c r="P7171" s="405" t="s">
        <v>2938</v>
      </c>
      <c r="Q7171" s="411">
        <v>6</v>
      </c>
      <c r="R7171" s="405" t="s">
        <v>318</v>
      </c>
      <c r="S7171" s="405" t="s">
        <v>6822</v>
      </c>
      <c r="T7171" s="405" t="s">
        <v>32102</v>
      </c>
      <c r="U7171" s="405" t="s">
        <v>319</v>
      </c>
    </row>
    <row r="7172" spans="1:21" hidden="1" x14ac:dyDescent="0.25">
      <c r="A7172" s="405" t="s">
        <v>310</v>
      </c>
      <c r="B7172" s="405" t="s">
        <v>3435</v>
      </c>
      <c r="C7172" s="405" t="s">
        <v>857</v>
      </c>
      <c r="D7172" s="405" t="s">
        <v>32747</v>
      </c>
      <c r="E7172" s="410">
        <v>41182</v>
      </c>
      <c r="F7172" s="410">
        <v>41227</v>
      </c>
      <c r="G7172" s="405" t="s">
        <v>3436</v>
      </c>
      <c r="H7172" s="405">
        <v>754200968</v>
      </c>
      <c r="I7172" s="405">
        <v>782976334</v>
      </c>
      <c r="J7172" s="405">
        <v>0.15451000000000001</v>
      </c>
      <c r="K7172" s="405">
        <v>32.800373999999998</v>
      </c>
      <c r="L7172" s="405" t="s">
        <v>314</v>
      </c>
      <c r="M7172" s="405" t="s">
        <v>329</v>
      </c>
      <c r="N7172" s="405" t="s">
        <v>803</v>
      </c>
      <c r="O7172" s="405" t="s">
        <v>909</v>
      </c>
      <c r="P7172" s="405" t="s">
        <v>3437</v>
      </c>
      <c r="Q7172" s="411">
        <v>6</v>
      </c>
      <c r="R7172" s="405" t="s">
        <v>318</v>
      </c>
      <c r="S7172" s="405" t="s">
        <v>6822</v>
      </c>
      <c r="T7172" s="405" t="s">
        <v>32102</v>
      </c>
      <c r="U7172" s="405" t="s">
        <v>319</v>
      </c>
    </row>
    <row r="7173" spans="1:21" hidden="1" x14ac:dyDescent="0.25">
      <c r="A7173" s="405" t="s">
        <v>310</v>
      </c>
      <c r="B7173" s="405" t="s">
        <v>2899</v>
      </c>
      <c r="C7173" s="405" t="s">
        <v>327</v>
      </c>
      <c r="D7173" s="405"/>
      <c r="E7173" s="410">
        <v>41182</v>
      </c>
      <c r="F7173" s="410">
        <v>41227</v>
      </c>
      <c r="G7173" s="405" t="s">
        <v>2900</v>
      </c>
      <c r="H7173" s="405">
        <v>753873117</v>
      </c>
      <c r="I7173" s="405"/>
      <c r="J7173" s="405">
        <v>0.133968</v>
      </c>
      <c r="K7173" s="405">
        <v>32.737327000000001</v>
      </c>
      <c r="L7173" s="405" t="s">
        <v>314</v>
      </c>
      <c r="M7173" s="405" t="s">
        <v>329</v>
      </c>
      <c r="N7173" s="405" t="s">
        <v>803</v>
      </c>
      <c r="O7173" s="405" t="s">
        <v>2901</v>
      </c>
      <c r="P7173" s="405" t="s">
        <v>2902</v>
      </c>
      <c r="Q7173" s="411">
        <v>6</v>
      </c>
      <c r="R7173" s="405" t="s">
        <v>318</v>
      </c>
      <c r="S7173" s="405" t="s">
        <v>6822</v>
      </c>
      <c r="T7173" s="405" t="s">
        <v>32102</v>
      </c>
      <c r="U7173" s="405" t="s">
        <v>319</v>
      </c>
    </row>
    <row r="7174" spans="1:21" hidden="1" x14ac:dyDescent="0.25">
      <c r="A7174" s="405" t="s">
        <v>310</v>
      </c>
      <c r="B7174" s="405" t="s">
        <v>33093</v>
      </c>
      <c r="C7174" s="405" t="s">
        <v>327</v>
      </c>
      <c r="D7174" s="405"/>
      <c r="E7174" s="410">
        <v>41182</v>
      </c>
      <c r="F7174" s="410">
        <v>41227</v>
      </c>
      <c r="G7174" s="405" t="s">
        <v>2883</v>
      </c>
      <c r="H7174" s="405">
        <v>772983131</v>
      </c>
      <c r="I7174" s="405"/>
      <c r="J7174" s="405">
        <v>0.16673199999999999</v>
      </c>
      <c r="K7174" s="405">
        <v>31.840790999999999</v>
      </c>
      <c r="L7174" s="405" t="s">
        <v>314</v>
      </c>
      <c r="M7174" s="405" t="s">
        <v>339</v>
      </c>
      <c r="N7174" s="405" t="s">
        <v>339</v>
      </c>
      <c r="O7174" s="405" t="s">
        <v>1948</v>
      </c>
      <c r="P7174" s="405" t="s">
        <v>2543</v>
      </c>
      <c r="Q7174" s="411">
        <v>6</v>
      </c>
      <c r="R7174" s="405" t="s">
        <v>1263</v>
      </c>
      <c r="S7174" s="405" t="s">
        <v>27120</v>
      </c>
      <c r="T7174" s="405" t="s">
        <v>32102</v>
      </c>
      <c r="U7174" s="405" t="s">
        <v>319</v>
      </c>
    </row>
    <row r="7175" spans="1:21" hidden="1" x14ac:dyDescent="0.25">
      <c r="A7175" s="405" t="s">
        <v>310</v>
      </c>
      <c r="B7175" s="405" t="s">
        <v>2943</v>
      </c>
      <c r="C7175" s="405" t="s">
        <v>327</v>
      </c>
      <c r="D7175" s="405"/>
      <c r="E7175" s="410">
        <v>41182</v>
      </c>
      <c r="F7175" s="410">
        <v>41227</v>
      </c>
      <c r="G7175" s="405" t="s">
        <v>2944</v>
      </c>
      <c r="H7175" s="405">
        <v>752923340</v>
      </c>
      <c r="I7175" s="405">
        <v>774371201</v>
      </c>
      <c r="J7175" s="405">
        <v>0.363985</v>
      </c>
      <c r="K7175" s="405">
        <v>32.951408000000001</v>
      </c>
      <c r="L7175" s="405" t="s">
        <v>314</v>
      </c>
      <c r="M7175" s="405" t="s">
        <v>349</v>
      </c>
      <c r="N7175" s="405" t="s">
        <v>349</v>
      </c>
      <c r="O7175" s="405" t="s">
        <v>351</v>
      </c>
      <c r="P7175" s="405" t="s">
        <v>2945</v>
      </c>
      <c r="Q7175" s="411">
        <v>6</v>
      </c>
      <c r="R7175" s="405" t="s">
        <v>318</v>
      </c>
      <c r="S7175" s="405" t="s">
        <v>27049</v>
      </c>
      <c r="T7175" s="405" t="s">
        <v>32102</v>
      </c>
      <c r="U7175" s="405" t="s">
        <v>319</v>
      </c>
    </row>
    <row r="7176" spans="1:21" hidden="1" x14ac:dyDescent="0.25">
      <c r="A7176" s="405" t="s">
        <v>310</v>
      </c>
      <c r="B7176" s="405" t="s">
        <v>2878</v>
      </c>
      <c r="C7176" s="405" t="s">
        <v>327</v>
      </c>
      <c r="D7176" s="405"/>
      <c r="E7176" s="410">
        <v>41181</v>
      </c>
      <c r="F7176" s="410">
        <v>41226</v>
      </c>
      <c r="G7176" s="405" t="s">
        <v>2879</v>
      </c>
      <c r="H7176" s="405">
        <v>777532496</v>
      </c>
      <c r="I7176" s="405"/>
      <c r="J7176" s="405">
        <v>0.51064166666666666</v>
      </c>
      <c r="K7176" s="405">
        <v>32.477821666666664</v>
      </c>
      <c r="L7176" s="405" t="s">
        <v>314</v>
      </c>
      <c r="M7176" s="405" t="s">
        <v>361</v>
      </c>
      <c r="N7176" s="405" t="s">
        <v>362</v>
      </c>
      <c r="O7176" s="405" t="s">
        <v>523</v>
      </c>
      <c r="P7176" s="405" t="s">
        <v>2880</v>
      </c>
      <c r="Q7176" s="411">
        <v>9</v>
      </c>
      <c r="R7176" s="405" t="s">
        <v>1263</v>
      </c>
      <c r="S7176" s="405" t="s">
        <v>27164</v>
      </c>
      <c r="T7176" s="405" t="s">
        <v>32102</v>
      </c>
      <c r="U7176" s="405" t="s">
        <v>319</v>
      </c>
    </row>
    <row r="7177" spans="1:21" hidden="1" x14ac:dyDescent="0.25">
      <c r="A7177" s="405" t="s">
        <v>310</v>
      </c>
      <c r="B7177" s="405" t="s">
        <v>20697</v>
      </c>
      <c r="C7177" s="405" t="s">
        <v>327</v>
      </c>
      <c r="D7177" s="405"/>
      <c r="E7177" s="410">
        <v>41180</v>
      </c>
      <c r="F7177" s="410">
        <v>41225</v>
      </c>
      <c r="G7177" s="405" t="s">
        <v>20698</v>
      </c>
      <c r="H7177" s="405">
        <v>785084711</v>
      </c>
      <c r="I7177" s="405"/>
      <c r="J7177" s="405">
        <v>0.64410100000000003</v>
      </c>
      <c r="K7177" s="405">
        <v>30.579302999999999</v>
      </c>
      <c r="L7177" s="405" t="s">
        <v>590</v>
      </c>
      <c r="M7177" s="405" t="s">
        <v>20426</v>
      </c>
      <c r="N7177" s="405" t="s">
        <v>20692</v>
      </c>
      <c r="O7177" s="405" t="s">
        <v>20533</v>
      </c>
      <c r="P7177" s="405" t="s">
        <v>20538</v>
      </c>
      <c r="Q7177" s="411">
        <v>13</v>
      </c>
      <c r="R7177" s="405" t="s">
        <v>333</v>
      </c>
      <c r="S7177" s="405" t="s">
        <v>27166</v>
      </c>
      <c r="T7177" s="405" t="s">
        <v>32102</v>
      </c>
      <c r="U7177" s="405" t="s">
        <v>319</v>
      </c>
    </row>
    <row r="7178" spans="1:21" hidden="1" x14ac:dyDescent="0.25">
      <c r="A7178" s="405" t="s">
        <v>310</v>
      </c>
      <c r="B7178" s="405" t="s">
        <v>28353</v>
      </c>
      <c r="C7178" s="405" t="s">
        <v>327</v>
      </c>
      <c r="D7178" s="405"/>
      <c r="E7178" s="410">
        <v>41180</v>
      </c>
      <c r="F7178" s="410">
        <v>41225</v>
      </c>
      <c r="G7178" s="405" t="s">
        <v>11790</v>
      </c>
      <c r="H7178" s="405">
        <v>777082156</v>
      </c>
      <c r="I7178" s="405"/>
      <c r="J7178" s="405">
        <v>1.1166020000000001</v>
      </c>
      <c r="K7178" s="405">
        <v>34.204192999999997</v>
      </c>
      <c r="L7178" s="405" t="s">
        <v>6866</v>
      </c>
      <c r="M7178" s="405" t="s">
        <v>9514</v>
      </c>
      <c r="N7178" s="405" t="s">
        <v>11791</v>
      </c>
      <c r="O7178" s="405" t="s">
        <v>11792</v>
      </c>
      <c r="P7178" s="405" t="s">
        <v>11793</v>
      </c>
      <c r="Q7178" s="411">
        <v>6</v>
      </c>
      <c r="R7178" s="405" t="s">
        <v>33091</v>
      </c>
      <c r="S7178" s="405" t="s">
        <v>27169</v>
      </c>
      <c r="T7178" s="405" t="s">
        <v>32102</v>
      </c>
      <c r="U7178" s="405" t="s">
        <v>319</v>
      </c>
    </row>
    <row r="7179" spans="1:21" hidden="1" x14ac:dyDescent="0.25">
      <c r="A7179" s="405" t="s">
        <v>310</v>
      </c>
      <c r="B7179" s="405" t="s">
        <v>20684</v>
      </c>
      <c r="C7179" s="405" t="s">
        <v>327</v>
      </c>
      <c r="D7179" s="405"/>
      <c r="E7179" s="410">
        <v>41180</v>
      </c>
      <c r="F7179" s="410">
        <v>41225</v>
      </c>
      <c r="G7179" s="405" t="s">
        <v>20685</v>
      </c>
      <c r="H7179" s="405">
        <v>752862026</v>
      </c>
      <c r="I7179" s="405"/>
      <c r="J7179" s="405">
        <v>-0.82779599999999998</v>
      </c>
      <c r="K7179" s="405">
        <v>30.666868000000001</v>
      </c>
      <c r="L7179" s="405" t="s">
        <v>590</v>
      </c>
      <c r="M7179" s="405" t="s">
        <v>879</v>
      </c>
      <c r="N7179" s="405" t="s">
        <v>879</v>
      </c>
      <c r="O7179" s="405" t="s">
        <v>20020</v>
      </c>
      <c r="P7179" s="405" t="s">
        <v>20686</v>
      </c>
      <c r="Q7179" s="411">
        <v>6</v>
      </c>
      <c r="R7179" s="405" t="s">
        <v>333</v>
      </c>
      <c r="S7179" s="405" t="s">
        <v>27271</v>
      </c>
      <c r="T7179" s="405" t="s">
        <v>32102</v>
      </c>
      <c r="U7179" s="405" t="s">
        <v>319</v>
      </c>
    </row>
    <row r="7180" spans="1:21" hidden="1" x14ac:dyDescent="0.25">
      <c r="A7180" s="405" t="s">
        <v>310</v>
      </c>
      <c r="B7180" s="405" t="s">
        <v>11861</v>
      </c>
      <c r="C7180" s="405" t="s">
        <v>327</v>
      </c>
      <c r="D7180" s="405"/>
      <c r="E7180" s="410">
        <v>41180</v>
      </c>
      <c r="F7180" s="410">
        <v>41225</v>
      </c>
      <c r="G7180" s="405" t="s">
        <v>11862</v>
      </c>
      <c r="H7180" s="405">
        <v>782687640</v>
      </c>
      <c r="I7180" s="405"/>
      <c r="J7180" s="405">
        <v>0.92222700000000002</v>
      </c>
      <c r="K7180" s="405">
        <v>34.328040000000001</v>
      </c>
      <c r="L7180" s="405" t="s">
        <v>6866</v>
      </c>
      <c r="M7180" s="405" t="s">
        <v>9763</v>
      </c>
      <c r="N7180" s="405" t="s">
        <v>9848</v>
      </c>
      <c r="O7180" s="405" t="s">
        <v>11291</v>
      </c>
      <c r="P7180" s="405" t="s">
        <v>11292</v>
      </c>
      <c r="Q7180" s="411">
        <v>4</v>
      </c>
      <c r="R7180" s="405" t="s">
        <v>7224</v>
      </c>
      <c r="S7180" s="405" t="s">
        <v>27197</v>
      </c>
      <c r="T7180" s="405" t="s">
        <v>32102</v>
      </c>
      <c r="U7180" s="405" t="s">
        <v>319</v>
      </c>
    </row>
    <row r="7181" spans="1:21" hidden="1" x14ac:dyDescent="0.25">
      <c r="A7181" s="405" t="s">
        <v>310</v>
      </c>
      <c r="B7181" s="405" t="s">
        <v>2964</v>
      </c>
      <c r="C7181" s="405" t="s">
        <v>327</v>
      </c>
      <c r="D7181" s="405"/>
      <c r="E7181" s="410">
        <v>41179</v>
      </c>
      <c r="F7181" s="410">
        <v>41224</v>
      </c>
      <c r="G7181" s="405" t="s">
        <v>2965</v>
      </c>
      <c r="H7181" s="405">
        <v>782454109</v>
      </c>
      <c r="I7181" s="405"/>
      <c r="J7181" s="405">
        <v>1.1702319999999999</v>
      </c>
      <c r="K7181" s="405">
        <v>31.907647000000001</v>
      </c>
      <c r="L7181" s="405" t="s">
        <v>314</v>
      </c>
      <c r="M7181" s="405" t="s">
        <v>2297</v>
      </c>
      <c r="N7181" s="405" t="s">
        <v>2297</v>
      </c>
      <c r="O7181" s="405" t="s">
        <v>2520</v>
      </c>
      <c r="P7181" s="405" t="s">
        <v>2521</v>
      </c>
      <c r="Q7181" s="411">
        <v>13</v>
      </c>
      <c r="R7181" s="405" t="s">
        <v>318</v>
      </c>
      <c r="S7181" s="405" t="s">
        <v>27113</v>
      </c>
      <c r="T7181" s="405" t="s">
        <v>32102</v>
      </c>
      <c r="U7181" s="405" t="s">
        <v>319</v>
      </c>
    </row>
    <row r="7182" spans="1:21" hidden="1" x14ac:dyDescent="0.25">
      <c r="A7182" s="405" t="s">
        <v>310</v>
      </c>
      <c r="B7182" s="405" t="s">
        <v>20710</v>
      </c>
      <c r="C7182" s="405" t="s">
        <v>327</v>
      </c>
      <c r="D7182" s="405"/>
      <c r="E7182" s="410">
        <v>41179</v>
      </c>
      <c r="F7182" s="410">
        <v>41224</v>
      </c>
      <c r="G7182" s="405" t="s">
        <v>20711</v>
      </c>
      <c r="H7182" s="405">
        <v>783940008</v>
      </c>
      <c r="I7182" s="405"/>
      <c r="J7182" s="405">
        <v>-0.48227900000000001</v>
      </c>
      <c r="K7182" s="405">
        <v>30.404081000000001</v>
      </c>
      <c r="L7182" s="405" t="s">
        <v>590</v>
      </c>
      <c r="M7182" s="405" t="s">
        <v>19725</v>
      </c>
      <c r="N7182" s="405" t="s">
        <v>19725</v>
      </c>
      <c r="O7182" s="405" t="s">
        <v>19938</v>
      </c>
      <c r="P7182" s="405" t="s">
        <v>20712</v>
      </c>
      <c r="Q7182" s="411">
        <v>9</v>
      </c>
      <c r="R7182" s="405" t="s">
        <v>333</v>
      </c>
      <c r="S7182" s="405" t="s">
        <v>27397</v>
      </c>
      <c r="T7182" s="405" t="s">
        <v>32102</v>
      </c>
      <c r="U7182" s="405" t="s">
        <v>319</v>
      </c>
    </row>
    <row r="7183" spans="1:21" hidden="1" x14ac:dyDescent="0.25">
      <c r="A7183" s="405" t="s">
        <v>310</v>
      </c>
      <c r="B7183" s="405" t="s">
        <v>11818</v>
      </c>
      <c r="C7183" s="405" t="s">
        <v>327</v>
      </c>
      <c r="D7183" s="405"/>
      <c r="E7183" s="410">
        <v>41179</v>
      </c>
      <c r="F7183" s="410">
        <v>41224</v>
      </c>
      <c r="G7183" s="405" t="s">
        <v>11819</v>
      </c>
      <c r="H7183" s="405">
        <v>773008527</v>
      </c>
      <c r="I7183" s="405"/>
      <c r="J7183" s="405">
        <v>1.150752</v>
      </c>
      <c r="K7183" s="405">
        <v>34.206972999999998</v>
      </c>
      <c r="L7183" s="405" t="s">
        <v>6866</v>
      </c>
      <c r="M7183" s="405" t="s">
        <v>9514</v>
      </c>
      <c r="N7183" s="405" t="s">
        <v>9529</v>
      </c>
      <c r="O7183" s="405" t="s">
        <v>9530</v>
      </c>
      <c r="P7183" s="405" t="s">
        <v>11820</v>
      </c>
      <c r="Q7183" s="411">
        <v>6</v>
      </c>
      <c r="R7183" s="405" t="s">
        <v>9541</v>
      </c>
      <c r="S7183" s="405" t="s">
        <v>27294</v>
      </c>
      <c r="T7183" s="405" t="s">
        <v>32102</v>
      </c>
      <c r="U7183" s="405" t="s">
        <v>319</v>
      </c>
    </row>
    <row r="7184" spans="1:21" hidden="1" x14ac:dyDescent="0.25">
      <c r="A7184" s="405" t="s">
        <v>310</v>
      </c>
      <c r="B7184" s="405" t="s">
        <v>20708</v>
      </c>
      <c r="C7184" s="405" t="s">
        <v>327</v>
      </c>
      <c r="D7184" s="405"/>
      <c r="E7184" s="410">
        <v>41178</v>
      </c>
      <c r="F7184" s="410">
        <v>41223</v>
      </c>
      <c r="G7184" s="405" t="s">
        <v>20709</v>
      </c>
      <c r="H7184" s="405">
        <v>772353862</v>
      </c>
      <c r="I7184" s="405"/>
      <c r="J7184" s="405">
        <v>-1.010251</v>
      </c>
      <c r="K7184" s="405">
        <v>30.135437</v>
      </c>
      <c r="L7184" s="405" t="s">
        <v>590</v>
      </c>
      <c r="M7184" s="405" t="s">
        <v>19659</v>
      </c>
      <c r="N7184" s="405" t="s">
        <v>19677</v>
      </c>
      <c r="O7184" s="405" t="s">
        <v>20548</v>
      </c>
      <c r="P7184" s="405" t="s">
        <v>20549</v>
      </c>
      <c r="Q7184" s="411">
        <v>9</v>
      </c>
      <c r="R7184" s="405" t="s">
        <v>967</v>
      </c>
      <c r="S7184" s="405" t="s">
        <v>27401</v>
      </c>
      <c r="T7184" s="405" t="s">
        <v>32102</v>
      </c>
      <c r="U7184" s="405" t="s">
        <v>319</v>
      </c>
    </row>
    <row r="7185" spans="1:21" hidden="1" x14ac:dyDescent="0.25">
      <c r="A7185" s="405" t="s">
        <v>310</v>
      </c>
      <c r="B7185" s="405" t="s">
        <v>28023</v>
      </c>
      <c r="C7185" s="405" t="s">
        <v>327</v>
      </c>
      <c r="D7185" s="405"/>
      <c r="E7185" s="410">
        <v>41177</v>
      </c>
      <c r="F7185" s="410">
        <v>41222</v>
      </c>
      <c r="G7185" s="405" t="s">
        <v>11780</v>
      </c>
      <c r="H7185" s="405">
        <v>702222750</v>
      </c>
      <c r="I7185" s="405"/>
      <c r="J7185" s="405">
        <v>1.126117</v>
      </c>
      <c r="K7185" s="405">
        <v>34.220433</v>
      </c>
      <c r="L7185" s="405" t="s">
        <v>6866</v>
      </c>
      <c r="M7185" s="405" t="s">
        <v>9514</v>
      </c>
      <c r="N7185" s="405" t="s">
        <v>9529</v>
      </c>
      <c r="O7185" s="405" t="s">
        <v>9530</v>
      </c>
      <c r="P7185" s="405" t="s">
        <v>11340</v>
      </c>
      <c r="Q7185" s="411">
        <v>6</v>
      </c>
      <c r="R7185" s="405" t="s">
        <v>5655</v>
      </c>
      <c r="S7185" s="405" t="s">
        <v>27325</v>
      </c>
      <c r="T7185" s="405" t="s">
        <v>32102</v>
      </c>
      <c r="U7185" s="405" t="s">
        <v>319</v>
      </c>
    </row>
    <row r="7186" spans="1:21" hidden="1" x14ac:dyDescent="0.25">
      <c r="A7186" s="405" t="s">
        <v>310</v>
      </c>
      <c r="B7186" s="405" t="s">
        <v>11850</v>
      </c>
      <c r="C7186" s="405" t="s">
        <v>327</v>
      </c>
      <c r="D7186" s="405"/>
      <c r="E7186" s="410">
        <v>41177</v>
      </c>
      <c r="F7186" s="410">
        <v>41222</v>
      </c>
      <c r="G7186" s="405" t="s">
        <v>11851</v>
      </c>
      <c r="H7186" s="405">
        <v>774697463</v>
      </c>
      <c r="I7186" s="405"/>
      <c r="J7186" s="405">
        <v>0.837669</v>
      </c>
      <c r="K7186" s="405">
        <v>34.373502000000002</v>
      </c>
      <c r="L7186" s="405" t="s">
        <v>6866</v>
      </c>
      <c r="M7186" s="405" t="s">
        <v>9763</v>
      </c>
      <c r="N7186" s="405" t="s">
        <v>11470</v>
      </c>
      <c r="O7186" s="405" t="s">
        <v>11471</v>
      </c>
      <c r="P7186" s="405" t="s">
        <v>11852</v>
      </c>
      <c r="Q7186" s="411">
        <v>4</v>
      </c>
      <c r="R7186" s="405" t="s">
        <v>7224</v>
      </c>
      <c r="S7186" s="405" t="s">
        <v>27107</v>
      </c>
      <c r="T7186" s="405" t="s">
        <v>32102</v>
      </c>
      <c r="U7186" s="405" t="s">
        <v>319</v>
      </c>
    </row>
    <row r="7187" spans="1:21" hidden="1" x14ac:dyDescent="0.25">
      <c r="A7187" s="405" t="s">
        <v>310</v>
      </c>
      <c r="B7187" s="405" t="s">
        <v>28413</v>
      </c>
      <c r="C7187" s="405" t="s">
        <v>327</v>
      </c>
      <c r="D7187" s="405"/>
      <c r="E7187" s="410">
        <v>41176</v>
      </c>
      <c r="F7187" s="410">
        <v>41221</v>
      </c>
      <c r="G7187" s="405" t="s">
        <v>11796</v>
      </c>
      <c r="H7187" s="405">
        <v>782349954</v>
      </c>
      <c r="I7187" s="405"/>
      <c r="J7187" s="405">
        <v>1.10409</v>
      </c>
      <c r="K7187" s="405">
        <v>34.193362</v>
      </c>
      <c r="L7187" s="405" t="s">
        <v>6866</v>
      </c>
      <c r="M7187" s="405" t="s">
        <v>9514</v>
      </c>
      <c r="N7187" s="405" t="s">
        <v>9722</v>
      </c>
      <c r="O7187" s="405" t="s">
        <v>9530</v>
      </c>
      <c r="P7187" s="405" t="s">
        <v>10916</v>
      </c>
      <c r="Q7187" s="411">
        <v>6</v>
      </c>
      <c r="R7187" s="405" t="s">
        <v>7224</v>
      </c>
      <c r="S7187" s="405" t="s">
        <v>27309</v>
      </c>
      <c r="T7187" s="405" t="s">
        <v>32102</v>
      </c>
      <c r="U7187" s="405" t="s">
        <v>319</v>
      </c>
    </row>
    <row r="7188" spans="1:21" hidden="1" x14ac:dyDescent="0.25">
      <c r="A7188" s="405" t="s">
        <v>310</v>
      </c>
      <c r="B7188" s="405" t="s">
        <v>11775</v>
      </c>
      <c r="C7188" s="405" t="s">
        <v>327</v>
      </c>
      <c r="D7188" s="405"/>
      <c r="E7188" s="410">
        <v>41176</v>
      </c>
      <c r="F7188" s="410">
        <v>41221</v>
      </c>
      <c r="G7188" s="405" t="s">
        <v>11776</v>
      </c>
      <c r="H7188" s="405">
        <v>782974578</v>
      </c>
      <c r="I7188" s="405"/>
      <c r="J7188" s="405">
        <v>0.74522100000000002</v>
      </c>
      <c r="K7188" s="405">
        <v>34.177728999999999</v>
      </c>
      <c r="L7188" s="405" t="s">
        <v>6866</v>
      </c>
      <c r="M7188" s="405" t="s">
        <v>9534</v>
      </c>
      <c r="N7188" s="405" t="s">
        <v>9927</v>
      </c>
      <c r="O7188" s="405" t="s">
        <v>9770</v>
      </c>
      <c r="P7188" s="405" t="s">
        <v>11777</v>
      </c>
      <c r="Q7188" s="411">
        <v>6</v>
      </c>
      <c r="R7188" s="405" t="s">
        <v>7224</v>
      </c>
      <c r="S7188" s="405" t="s">
        <v>27204</v>
      </c>
      <c r="T7188" s="405" t="s">
        <v>32102</v>
      </c>
      <c r="U7188" s="405" t="s">
        <v>319</v>
      </c>
    </row>
    <row r="7189" spans="1:21" hidden="1" x14ac:dyDescent="0.25">
      <c r="A7189" s="405" t="s">
        <v>310</v>
      </c>
      <c r="B7189" s="405" t="s">
        <v>11797</v>
      </c>
      <c r="C7189" s="405" t="s">
        <v>327</v>
      </c>
      <c r="D7189" s="405"/>
      <c r="E7189" s="410">
        <v>41174</v>
      </c>
      <c r="F7189" s="410">
        <v>41219</v>
      </c>
      <c r="G7189" s="405" t="s">
        <v>11798</v>
      </c>
      <c r="H7189" s="405">
        <v>759247277</v>
      </c>
      <c r="I7189" s="405"/>
      <c r="J7189" s="405">
        <v>0.85738800000000004</v>
      </c>
      <c r="K7189" s="405">
        <v>33.987709000000002</v>
      </c>
      <c r="L7189" s="405" t="s">
        <v>6866</v>
      </c>
      <c r="M7189" s="405" t="s">
        <v>9534</v>
      </c>
      <c r="N7189" s="405" t="s">
        <v>10085</v>
      </c>
      <c r="O7189" s="405" t="s">
        <v>10817</v>
      </c>
      <c r="P7189" s="405" t="s">
        <v>11799</v>
      </c>
      <c r="Q7189" s="411">
        <v>6</v>
      </c>
      <c r="R7189" s="405" t="s">
        <v>7224</v>
      </c>
      <c r="S7189" s="405" t="s">
        <v>27298</v>
      </c>
      <c r="T7189" s="405" t="s">
        <v>32102</v>
      </c>
      <c r="U7189" s="405" t="s">
        <v>319</v>
      </c>
    </row>
    <row r="7190" spans="1:21" hidden="1" x14ac:dyDescent="0.25">
      <c r="A7190" s="405" t="s">
        <v>310</v>
      </c>
      <c r="B7190" s="405" t="s">
        <v>28563</v>
      </c>
      <c r="C7190" s="405" t="s">
        <v>327</v>
      </c>
      <c r="D7190" s="405"/>
      <c r="E7190" s="410">
        <v>41174</v>
      </c>
      <c r="F7190" s="410">
        <v>41219</v>
      </c>
      <c r="G7190" s="405" t="s">
        <v>11840</v>
      </c>
      <c r="H7190" s="405">
        <v>778218492</v>
      </c>
      <c r="I7190" s="405"/>
      <c r="J7190" s="405">
        <v>0.88890999999999998</v>
      </c>
      <c r="K7190" s="405">
        <v>34.294905999999997</v>
      </c>
      <c r="L7190" s="405" t="s">
        <v>6866</v>
      </c>
      <c r="M7190" s="405" t="s">
        <v>9763</v>
      </c>
      <c r="N7190" s="405" t="s">
        <v>9764</v>
      </c>
      <c r="O7190" s="405" t="s">
        <v>10789</v>
      </c>
      <c r="P7190" s="405" t="s">
        <v>11841</v>
      </c>
      <c r="Q7190" s="411">
        <v>4</v>
      </c>
      <c r="R7190" s="405" t="s">
        <v>7224</v>
      </c>
      <c r="S7190" s="405" t="s">
        <v>27309</v>
      </c>
      <c r="T7190" s="405" t="s">
        <v>32102</v>
      </c>
      <c r="U7190" s="405" t="s">
        <v>319</v>
      </c>
    </row>
    <row r="7191" spans="1:21" hidden="1" x14ac:dyDescent="0.25">
      <c r="A7191" s="405" t="s">
        <v>310</v>
      </c>
      <c r="B7191" s="405" t="s">
        <v>2951</v>
      </c>
      <c r="C7191" s="405" t="s">
        <v>327</v>
      </c>
      <c r="D7191" s="405"/>
      <c r="E7191" s="410">
        <v>41173</v>
      </c>
      <c r="F7191" s="410">
        <v>41218</v>
      </c>
      <c r="G7191" s="405" t="s">
        <v>2952</v>
      </c>
      <c r="H7191" s="405">
        <v>779919543</v>
      </c>
      <c r="I7191" s="405"/>
      <c r="J7191" s="405">
        <v>0.66044000000000003</v>
      </c>
      <c r="K7191" s="405">
        <v>31.337543</v>
      </c>
      <c r="L7191" s="405" t="s">
        <v>314</v>
      </c>
      <c r="M7191" s="405" t="s">
        <v>445</v>
      </c>
      <c r="N7191" s="405" t="s">
        <v>446</v>
      </c>
      <c r="O7191" s="405" t="s">
        <v>2953</v>
      </c>
      <c r="P7191" s="405" t="s">
        <v>2954</v>
      </c>
      <c r="Q7191" s="411">
        <v>6</v>
      </c>
      <c r="R7191" s="405" t="s">
        <v>318</v>
      </c>
      <c r="S7191" s="405" t="s">
        <v>27195</v>
      </c>
      <c r="T7191" s="405" t="s">
        <v>32102</v>
      </c>
      <c r="U7191" s="405" t="s">
        <v>319</v>
      </c>
    </row>
    <row r="7192" spans="1:21" hidden="1" x14ac:dyDescent="0.25">
      <c r="A7192" s="405" t="s">
        <v>310</v>
      </c>
      <c r="B7192" s="405" t="s">
        <v>11813</v>
      </c>
      <c r="C7192" s="405" t="s">
        <v>327</v>
      </c>
      <c r="D7192" s="405"/>
      <c r="E7192" s="410">
        <v>41172</v>
      </c>
      <c r="F7192" s="410">
        <v>41217</v>
      </c>
      <c r="G7192" s="405" t="s">
        <v>11814</v>
      </c>
      <c r="H7192" s="405">
        <v>704934333</v>
      </c>
      <c r="I7192" s="405"/>
      <c r="J7192" s="405">
        <v>1.110463</v>
      </c>
      <c r="K7192" s="405">
        <v>34.184609999999999</v>
      </c>
      <c r="L7192" s="405" t="s">
        <v>6866</v>
      </c>
      <c r="M7192" s="405" t="s">
        <v>9514</v>
      </c>
      <c r="N7192" s="405" t="s">
        <v>9529</v>
      </c>
      <c r="O7192" s="405" t="s">
        <v>9530</v>
      </c>
      <c r="P7192" s="405" t="s">
        <v>11707</v>
      </c>
      <c r="Q7192" s="411">
        <v>12</v>
      </c>
      <c r="R7192" s="405" t="s">
        <v>7224</v>
      </c>
      <c r="S7192" s="405" t="s">
        <v>27142</v>
      </c>
      <c r="T7192" s="405" t="s">
        <v>32102</v>
      </c>
      <c r="U7192" s="405" t="s">
        <v>319</v>
      </c>
    </row>
    <row r="7193" spans="1:21" hidden="1" x14ac:dyDescent="0.25">
      <c r="A7193" s="405" t="s">
        <v>310</v>
      </c>
      <c r="B7193" s="405" t="s">
        <v>2927</v>
      </c>
      <c r="C7193" s="405" t="s">
        <v>327</v>
      </c>
      <c r="D7193" s="405"/>
      <c r="E7193" s="410">
        <v>41172</v>
      </c>
      <c r="F7193" s="410">
        <v>41217</v>
      </c>
      <c r="G7193" s="405" t="s">
        <v>2928</v>
      </c>
      <c r="H7193" s="405">
        <v>757057277</v>
      </c>
      <c r="I7193" s="405"/>
      <c r="J7193" s="405">
        <v>0.60636299999999999</v>
      </c>
      <c r="K7193" s="405">
        <v>31.802227999999999</v>
      </c>
      <c r="L7193" s="405" t="s">
        <v>314</v>
      </c>
      <c r="M7193" s="405" t="s">
        <v>445</v>
      </c>
      <c r="N7193" s="405" t="s">
        <v>570</v>
      </c>
      <c r="O7193" s="405" t="s">
        <v>2925</v>
      </c>
      <c r="P7193" s="405" t="s">
        <v>2929</v>
      </c>
      <c r="Q7193" s="411">
        <v>6</v>
      </c>
      <c r="R7193" s="405" t="s">
        <v>318</v>
      </c>
      <c r="S7193" s="405" t="s">
        <v>27141</v>
      </c>
      <c r="T7193" s="405" t="s">
        <v>32102</v>
      </c>
      <c r="U7193" s="405" t="s">
        <v>319</v>
      </c>
    </row>
    <row r="7194" spans="1:21" hidden="1" x14ac:dyDescent="0.25">
      <c r="A7194" s="405" t="s">
        <v>310</v>
      </c>
      <c r="B7194" s="405" t="s">
        <v>11781</v>
      </c>
      <c r="C7194" s="405" t="s">
        <v>327</v>
      </c>
      <c r="D7194" s="405"/>
      <c r="E7194" s="410">
        <v>41172</v>
      </c>
      <c r="F7194" s="410">
        <v>41217</v>
      </c>
      <c r="G7194" s="405" t="s">
        <v>11782</v>
      </c>
      <c r="H7194" s="405">
        <v>772822015</v>
      </c>
      <c r="I7194" s="405"/>
      <c r="J7194" s="405">
        <v>1.098587</v>
      </c>
      <c r="K7194" s="405">
        <v>34.205258000000001</v>
      </c>
      <c r="L7194" s="405" t="s">
        <v>6866</v>
      </c>
      <c r="M7194" s="405" t="s">
        <v>9514</v>
      </c>
      <c r="N7194" s="405" t="s">
        <v>9529</v>
      </c>
      <c r="O7194" s="405" t="s">
        <v>9530</v>
      </c>
      <c r="P7194" s="405" t="s">
        <v>11783</v>
      </c>
      <c r="Q7194" s="411">
        <v>6</v>
      </c>
      <c r="R7194" s="405" t="s">
        <v>7224</v>
      </c>
      <c r="S7194" s="405" t="s">
        <v>27304</v>
      </c>
      <c r="T7194" s="405" t="s">
        <v>32102</v>
      </c>
      <c r="U7194" s="405" t="s">
        <v>319</v>
      </c>
    </row>
    <row r="7195" spans="1:21" hidden="1" x14ac:dyDescent="0.25">
      <c r="A7195" s="405" t="s">
        <v>310</v>
      </c>
      <c r="B7195" s="405" t="s">
        <v>2982</v>
      </c>
      <c r="C7195" s="405" t="s">
        <v>327</v>
      </c>
      <c r="D7195" s="405"/>
      <c r="E7195" s="410">
        <v>41170</v>
      </c>
      <c r="F7195" s="410">
        <v>41215</v>
      </c>
      <c r="G7195" s="405" t="s">
        <v>2983</v>
      </c>
      <c r="H7195" s="405">
        <v>782209238</v>
      </c>
      <c r="I7195" s="405"/>
      <c r="J7195" s="405">
        <v>0.73884799999999995</v>
      </c>
      <c r="K7195" s="405">
        <v>31.936357000000001</v>
      </c>
      <c r="L7195" s="405" t="s">
        <v>314</v>
      </c>
      <c r="M7195" s="405" t="s">
        <v>2537</v>
      </c>
      <c r="N7195" s="405" t="s">
        <v>2537</v>
      </c>
      <c r="O7195" s="405" t="s">
        <v>2764</v>
      </c>
      <c r="P7195" s="405" t="s">
        <v>2984</v>
      </c>
      <c r="Q7195" s="411">
        <v>6</v>
      </c>
      <c r="R7195" s="405" t="s">
        <v>318</v>
      </c>
      <c r="S7195" s="405" t="s">
        <v>27152</v>
      </c>
      <c r="T7195" s="405" t="s">
        <v>32102</v>
      </c>
      <c r="U7195" s="405" t="s">
        <v>319</v>
      </c>
    </row>
    <row r="7196" spans="1:21" hidden="1" x14ac:dyDescent="0.25">
      <c r="A7196" s="405" t="s">
        <v>310</v>
      </c>
      <c r="B7196" s="405" t="s">
        <v>11804</v>
      </c>
      <c r="C7196" s="405" t="s">
        <v>327</v>
      </c>
      <c r="D7196" s="405"/>
      <c r="E7196" s="410">
        <v>41169</v>
      </c>
      <c r="F7196" s="410">
        <v>41214</v>
      </c>
      <c r="G7196" s="405" t="s">
        <v>11805</v>
      </c>
      <c r="H7196" s="405">
        <v>777791872</v>
      </c>
      <c r="I7196" s="405"/>
      <c r="J7196" s="405">
        <v>1.5261819999999999</v>
      </c>
      <c r="K7196" s="405">
        <v>33.974522999999998</v>
      </c>
      <c r="L7196" s="405" t="s">
        <v>6866</v>
      </c>
      <c r="M7196" s="405" t="s">
        <v>10029</v>
      </c>
      <c r="N7196" s="405" t="s">
        <v>10029</v>
      </c>
      <c r="O7196" s="405" t="s">
        <v>10435</v>
      </c>
      <c r="P7196" s="405" t="s">
        <v>11806</v>
      </c>
      <c r="Q7196" s="411">
        <v>6</v>
      </c>
      <c r="R7196" s="405" t="s">
        <v>7224</v>
      </c>
      <c r="S7196" s="405" t="s">
        <v>27259</v>
      </c>
      <c r="T7196" s="405" t="s">
        <v>32102</v>
      </c>
      <c r="U7196" s="405" t="s">
        <v>319</v>
      </c>
    </row>
    <row r="7197" spans="1:21" hidden="1" x14ac:dyDescent="0.25">
      <c r="A7197" s="405" t="s">
        <v>310</v>
      </c>
      <c r="B7197" s="405" t="s">
        <v>3420</v>
      </c>
      <c r="C7197" s="405" t="s">
        <v>311</v>
      </c>
      <c r="D7197" s="405" t="s">
        <v>1789</v>
      </c>
      <c r="E7197" s="410">
        <v>41169</v>
      </c>
      <c r="F7197" s="410">
        <v>41214</v>
      </c>
      <c r="G7197" s="405" t="s">
        <v>3421</v>
      </c>
      <c r="H7197" s="405">
        <v>773256120</v>
      </c>
      <c r="I7197" s="405"/>
      <c r="J7197" s="405">
        <v>-0.67911200000000005</v>
      </c>
      <c r="K7197" s="405">
        <v>31.335847999999999</v>
      </c>
      <c r="L7197" s="405" t="s">
        <v>314</v>
      </c>
      <c r="M7197" s="405" t="s">
        <v>398</v>
      </c>
      <c r="N7197" s="405" t="s">
        <v>2791</v>
      </c>
      <c r="O7197" s="405" t="s">
        <v>2758</v>
      </c>
      <c r="P7197" s="405" t="s">
        <v>3422</v>
      </c>
      <c r="Q7197" s="411">
        <v>6</v>
      </c>
      <c r="R7197" s="405" t="s">
        <v>1263</v>
      </c>
      <c r="S7197" s="405" t="s">
        <v>27202</v>
      </c>
      <c r="T7197" s="405" t="s">
        <v>32102</v>
      </c>
      <c r="U7197" s="405" t="s">
        <v>319</v>
      </c>
    </row>
    <row r="7198" spans="1:21" hidden="1" x14ac:dyDescent="0.25">
      <c r="A7198" s="405" t="s">
        <v>310</v>
      </c>
      <c r="B7198" s="405" t="s">
        <v>28339</v>
      </c>
      <c r="C7198" s="405" t="s">
        <v>327</v>
      </c>
      <c r="D7198" s="405"/>
      <c r="E7198" s="410">
        <v>41168</v>
      </c>
      <c r="F7198" s="410">
        <v>41213</v>
      </c>
      <c r="G7198" s="405" t="s">
        <v>11658</v>
      </c>
      <c r="H7198" s="405">
        <v>781804419</v>
      </c>
      <c r="I7198" s="405">
        <v>779379111</v>
      </c>
      <c r="J7198" s="405">
        <v>1.1318919999999999</v>
      </c>
      <c r="K7198" s="405">
        <v>34.193972000000002</v>
      </c>
      <c r="L7198" s="405" t="s">
        <v>6866</v>
      </c>
      <c r="M7198" s="405" t="s">
        <v>9514</v>
      </c>
      <c r="N7198" s="405" t="s">
        <v>9529</v>
      </c>
      <c r="O7198" s="405" t="s">
        <v>9530</v>
      </c>
      <c r="P7198" s="405" t="s">
        <v>11659</v>
      </c>
      <c r="Q7198" s="411">
        <v>6</v>
      </c>
      <c r="R7198" s="405" t="s">
        <v>7224</v>
      </c>
      <c r="S7198" s="405" t="s">
        <v>27298</v>
      </c>
      <c r="T7198" s="405" t="s">
        <v>32102</v>
      </c>
      <c r="U7198" s="405" t="s">
        <v>319</v>
      </c>
    </row>
    <row r="7199" spans="1:21" hidden="1" x14ac:dyDescent="0.25">
      <c r="A7199" s="405" t="s">
        <v>310</v>
      </c>
      <c r="B7199" s="405" t="s">
        <v>28417</v>
      </c>
      <c r="C7199" s="405" t="s">
        <v>327</v>
      </c>
      <c r="D7199" s="405"/>
      <c r="E7199" s="410">
        <v>41168</v>
      </c>
      <c r="F7199" s="410">
        <v>41213</v>
      </c>
      <c r="G7199" s="405" t="s">
        <v>11734</v>
      </c>
      <c r="H7199" s="405">
        <v>782202403</v>
      </c>
      <c r="I7199" s="405"/>
      <c r="J7199" s="405">
        <v>0.915103</v>
      </c>
      <c r="K7199" s="405">
        <v>34.295358</v>
      </c>
      <c r="L7199" s="405" t="s">
        <v>6866</v>
      </c>
      <c r="M7199" s="405" t="s">
        <v>9763</v>
      </c>
      <c r="N7199" s="405" t="s">
        <v>9764</v>
      </c>
      <c r="O7199" s="405" t="s">
        <v>9792</v>
      </c>
      <c r="P7199" s="405" t="s">
        <v>10179</v>
      </c>
      <c r="Q7199" s="411">
        <v>6</v>
      </c>
      <c r="R7199" s="405" t="s">
        <v>7224</v>
      </c>
      <c r="S7199" s="405" t="s">
        <v>17013</v>
      </c>
      <c r="T7199" s="405" t="s">
        <v>32102</v>
      </c>
      <c r="U7199" s="405" t="s">
        <v>319</v>
      </c>
    </row>
    <row r="7200" spans="1:21" hidden="1" x14ac:dyDescent="0.25">
      <c r="A7200" s="405" t="s">
        <v>310</v>
      </c>
      <c r="B7200" s="405" t="s">
        <v>2823</v>
      </c>
      <c r="C7200" s="405" t="s">
        <v>327</v>
      </c>
      <c r="D7200" s="405"/>
      <c r="E7200" s="410">
        <v>41167</v>
      </c>
      <c r="F7200" s="410">
        <v>41212</v>
      </c>
      <c r="G7200" s="405" t="s">
        <v>2824</v>
      </c>
      <c r="H7200" s="405">
        <v>772312429</v>
      </c>
      <c r="I7200" s="405"/>
      <c r="J7200" s="405">
        <v>0.58245800000000003</v>
      </c>
      <c r="K7200" s="405">
        <v>31.795465</v>
      </c>
      <c r="L7200" s="405" t="s">
        <v>314</v>
      </c>
      <c r="M7200" s="405" t="s">
        <v>445</v>
      </c>
      <c r="N7200" s="405" t="s">
        <v>699</v>
      </c>
      <c r="O7200" s="405" t="s">
        <v>571</v>
      </c>
      <c r="P7200" s="405" t="s">
        <v>2825</v>
      </c>
      <c r="Q7200" s="411">
        <v>9</v>
      </c>
      <c r="R7200" s="405" t="s">
        <v>318</v>
      </c>
      <c r="S7200" s="405" t="s">
        <v>27174</v>
      </c>
      <c r="T7200" s="405" t="s">
        <v>32102</v>
      </c>
      <c r="U7200" s="405" t="s">
        <v>319</v>
      </c>
    </row>
    <row r="7201" spans="1:21" hidden="1" x14ac:dyDescent="0.25">
      <c r="A7201" s="405" t="s">
        <v>310</v>
      </c>
      <c r="B7201" s="405" t="s">
        <v>20677</v>
      </c>
      <c r="C7201" s="405" t="s">
        <v>327</v>
      </c>
      <c r="D7201" s="405"/>
      <c r="E7201" s="410">
        <v>41167</v>
      </c>
      <c r="F7201" s="410">
        <v>41212</v>
      </c>
      <c r="G7201" s="405" t="s">
        <v>20678</v>
      </c>
      <c r="H7201" s="405">
        <v>787014194</v>
      </c>
      <c r="I7201" s="405"/>
      <c r="J7201" s="405">
        <v>-0.230411</v>
      </c>
      <c r="K7201" s="405">
        <v>30.553211999999998</v>
      </c>
      <c r="L7201" s="405" t="s">
        <v>590</v>
      </c>
      <c r="M7201" s="405" t="s">
        <v>870</v>
      </c>
      <c r="N7201" s="405" t="s">
        <v>20391</v>
      </c>
      <c r="O7201" s="405" t="s">
        <v>20679</v>
      </c>
      <c r="P7201" s="405" t="s">
        <v>6636</v>
      </c>
      <c r="Q7201" s="411">
        <v>6</v>
      </c>
      <c r="R7201" s="405" t="s">
        <v>883</v>
      </c>
      <c r="S7201" s="405" t="s">
        <v>27183</v>
      </c>
      <c r="T7201" s="405" t="s">
        <v>32102</v>
      </c>
      <c r="U7201" s="405" t="s">
        <v>319</v>
      </c>
    </row>
    <row r="7202" spans="1:21" hidden="1" x14ac:dyDescent="0.25">
      <c r="A7202" s="405" t="s">
        <v>310</v>
      </c>
      <c r="B7202" s="405" t="s">
        <v>2836</v>
      </c>
      <c r="C7202" s="405" t="s">
        <v>327</v>
      </c>
      <c r="D7202" s="405"/>
      <c r="E7202" s="410">
        <v>41167</v>
      </c>
      <c r="F7202" s="410">
        <v>41212</v>
      </c>
      <c r="G7202" s="405" t="s">
        <v>2837</v>
      </c>
      <c r="H7202" s="405">
        <v>757297014</v>
      </c>
      <c r="I7202" s="405">
        <v>700368344</v>
      </c>
      <c r="J7202" s="405">
        <v>0.20868200000000001</v>
      </c>
      <c r="K7202" s="405">
        <v>32.803894999999997</v>
      </c>
      <c r="L7202" s="405" t="s">
        <v>314</v>
      </c>
      <c r="M7202" s="405" t="s">
        <v>329</v>
      </c>
      <c r="N7202" s="405" t="s">
        <v>803</v>
      </c>
      <c r="O7202" s="405" t="s">
        <v>909</v>
      </c>
      <c r="P7202" s="405" t="s">
        <v>2422</v>
      </c>
      <c r="Q7202" s="411">
        <v>6</v>
      </c>
      <c r="R7202" s="405" t="s">
        <v>318</v>
      </c>
      <c r="S7202" s="405" t="s">
        <v>27167</v>
      </c>
      <c r="T7202" s="405" t="s">
        <v>32102</v>
      </c>
      <c r="U7202" s="405" t="s">
        <v>319</v>
      </c>
    </row>
    <row r="7203" spans="1:21" hidden="1" x14ac:dyDescent="0.25">
      <c r="A7203" s="405" t="s">
        <v>310</v>
      </c>
      <c r="B7203" s="405" t="s">
        <v>28694</v>
      </c>
      <c r="C7203" s="405" t="s">
        <v>327</v>
      </c>
      <c r="D7203" s="405"/>
      <c r="E7203" s="410">
        <v>41165</v>
      </c>
      <c r="F7203" s="410">
        <v>41210</v>
      </c>
      <c r="G7203" s="405" t="s">
        <v>11746</v>
      </c>
      <c r="H7203" s="405">
        <v>772449805</v>
      </c>
      <c r="I7203" s="405"/>
      <c r="J7203" s="405">
        <v>1.3682570000000001</v>
      </c>
      <c r="K7203" s="405">
        <v>34.064053000000001</v>
      </c>
      <c r="L7203" s="405" t="s">
        <v>6866</v>
      </c>
      <c r="M7203" s="405" t="s">
        <v>9504</v>
      </c>
      <c r="N7203" s="405" t="s">
        <v>9504</v>
      </c>
      <c r="O7203" s="405" t="s">
        <v>9504</v>
      </c>
      <c r="P7203" s="405" t="s">
        <v>9505</v>
      </c>
      <c r="Q7203" s="411">
        <v>13</v>
      </c>
      <c r="R7203" s="405" t="s">
        <v>9541</v>
      </c>
      <c r="S7203" s="405" t="s">
        <v>27294</v>
      </c>
      <c r="T7203" s="405" t="s">
        <v>32102</v>
      </c>
      <c r="U7203" s="405" t="s">
        <v>319</v>
      </c>
    </row>
    <row r="7204" spans="1:21" hidden="1" x14ac:dyDescent="0.25">
      <c r="A7204" s="405" t="s">
        <v>310</v>
      </c>
      <c r="B7204" s="405" t="s">
        <v>28203</v>
      </c>
      <c r="C7204" s="405" t="s">
        <v>327</v>
      </c>
      <c r="D7204" s="405"/>
      <c r="E7204" s="410">
        <v>41165</v>
      </c>
      <c r="F7204" s="410">
        <v>41210</v>
      </c>
      <c r="G7204" s="405" t="s">
        <v>11738</v>
      </c>
      <c r="H7204" s="405">
        <v>777771106</v>
      </c>
      <c r="I7204" s="405"/>
      <c r="J7204" s="405">
        <v>1.1939960000000001</v>
      </c>
      <c r="K7204" s="405">
        <v>34.321263000000002</v>
      </c>
      <c r="L7204" s="405" t="s">
        <v>6866</v>
      </c>
      <c r="M7204" s="405" t="s">
        <v>9575</v>
      </c>
      <c r="N7204" s="405" t="s">
        <v>9629</v>
      </c>
      <c r="O7204" s="405" t="s">
        <v>10224</v>
      </c>
      <c r="P7204" s="405" t="s">
        <v>10285</v>
      </c>
      <c r="Q7204" s="411">
        <v>6</v>
      </c>
      <c r="R7204" s="405" t="s">
        <v>9541</v>
      </c>
      <c r="S7204" s="405" t="s">
        <v>27086</v>
      </c>
      <c r="T7204" s="405" t="s">
        <v>32102</v>
      </c>
      <c r="U7204" s="405" t="s">
        <v>319</v>
      </c>
    </row>
    <row r="7205" spans="1:21" hidden="1" x14ac:dyDescent="0.25">
      <c r="A7205" s="405" t="s">
        <v>310</v>
      </c>
      <c r="B7205" s="405" t="s">
        <v>27680</v>
      </c>
      <c r="C7205" s="405" t="s">
        <v>327</v>
      </c>
      <c r="D7205" s="405"/>
      <c r="E7205" s="410">
        <v>41164</v>
      </c>
      <c r="F7205" s="410">
        <v>41209</v>
      </c>
      <c r="G7205" s="405" t="s">
        <v>20655</v>
      </c>
      <c r="H7205" s="405">
        <v>772640527</v>
      </c>
      <c r="I7205" s="405"/>
      <c r="J7205" s="405">
        <v>1.4129750000000001</v>
      </c>
      <c r="K7205" s="405">
        <v>31.323682000000002</v>
      </c>
      <c r="L7205" s="405" t="s">
        <v>590</v>
      </c>
      <c r="M7205" s="405" t="s">
        <v>7300</v>
      </c>
      <c r="N7205" s="405" t="s">
        <v>20091</v>
      </c>
      <c r="O7205" s="405" t="s">
        <v>20656</v>
      </c>
      <c r="P7205" s="405" t="s">
        <v>20657</v>
      </c>
      <c r="Q7205" s="411">
        <v>13</v>
      </c>
      <c r="R7205" s="405" t="s">
        <v>525</v>
      </c>
      <c r="S7205" s="405" t="s">
        <v>22481</v>
      </c>
      <c r="T7205" s="405" t="s">
        <v>32102</v>
      </c>
      <c r="U7205" s="405" t="s">
        <v>319</v>
      </c>
    </row>
    <row r="7206" spans="1:21" hidden="1" x14ac:dyDescent="0.25">
      <c r="A7206" s="405" t="s">
        <v>310</v>
      </c>
      <c r="B7206" s="405" t="s">
        <v>28066</v>
      </c>
      <c r="C7206" s="405" t="s">
        <v>327</v>
      </c>
      <c r="D7206" s="405"/>
      <c r="E7206" s="410">
        <v>41164</v>
      </c>
      <c r="F7206" s="410">
        <v>41209</v>
      </c>
      <c r="G7206" s="405" t="s">
        <v>20665</v>
      </c>
      <c r="H7206" s="405">
        <v>786486691</v>
      </c>
      <c r="I7206" s="405"/>
      <c r="J7206" s="405">
        <v>-9.7179000000000001E-2</v>
      </c>
      <c r="K7206" s="405">
        <v>30.706364000000001</v>
      </c>
      <c r="L7206" s="405" t="s">
        <v>590</v>
      </c>
      <c r="M7206" s="405" t="s">
        <v>19705</v>
      </c>
      <c r="N7206" s="405" t="s">
        <v>2250</v>
      </c>
      <c r="O7206" s="405" t="s">
        <v>2250</v>
      </c>
      <c r="P7206" s="405" t="s">
        <v>20379</v>
      </c>
      <c r="Q7206" s="411">
        <v>9</v>
      </c>
      <c r="R7206" s="405" t="s">
        <v>874</v>
      </c>
      <c r="S7206" s="405" t="s">
        <v>27205</v>
      </c>
      <c r="T7206" s="405" t="s">
        <v>32102</v>
      </c>
      <c r="U7206" s="405" t="s">
        <v>319</v>
      </c>
    </row>
    <row r="7207" spans="1:21" hidden="1" x14ac:dyDescent="0.25">
      <c r="A7207" s="405" t="s">
        <v>310</v>
      </c>
      <c r="B7207" s="405" t="s">
        <v>11696</v>
      </c>
      <c r="C7207" s="405" t="s">
        <v>327</v>
      </c>
      <c r="D7207" s="405"/>
      <c r="E7207" s="410">
        <v>41164</v>
      </c>
      <c r="F7207" s="410">
        <v>41209</v>
      </c>
      <c r="G7207" s="405" t="s">
        <v>11697</v>
      </c>
      <c r="H7207" s="405">
        <v>714728770</v>
      </c>
      <c r="I7207" s="405"/>
      <c r="J7207" s="405">
        <v>0.61633389999999999</v>
      </c>
      <c r="K7207" s="405">
        <v>33.479194800000002</v>
      </c>
      <c r="L7207" s="405" t="s">
        <v>6866</v>
      </c>
      <c r="M7207" s="405" t="s">
        <v>9590</v>
      </c>
      <c r="N7207" s="405" t="s">
        <v>9591</v>
      </c>
      <c r="O7207" s="405" t="s">
        <v>5538</v>
      </c>
      <c r="P7207" s="405" t="s">
        <v>11698</v>
      </c>
      <c r="Q7207" s="411">
        <v>6</v>
      </c>
      <c r="R7207" s="405" t="s">
        <v>318</v>
      </c>
      <c r="S7207" s="405" t="s">
        <v>27134</v>
      </c>
      <c r="T7207" s="405" t="s">
        <v>32102</v>
      </c>
      <c r="U7207" s="405" t="s">
        <v>319</v>
      </c>
    </row>
    <row r="7208" spans="1:21" hidden="1" x14ac:dyDescent="0.25">
      <c r="A7208" s="405" t="s">
        <v>310</v>
      </c>
      <c r="B7208" s="405" t="s">
        <v>2779</v>
      </c>
      <c r="C7208" s="405" t="s">
        <v>327</v>
      </c>
      <c r="D7208" s="405"/>
      <c r="E7208" s="410">
        <v>41164</v>
      </c>
      <c r="F7208" s="410">
        <v>41209</v>
      </c>
      <c r="G7208" s="405" t="s">
        <v>2780</v>
      </c>
      <c r="H7208" s="405">
        <v>788520341</v>
      </c>
      <c r="I7208" s="405">
        <v>782043538</v>
      </c>
      <c r="J7208" s="405">
        <v>0.17530699999999999</v>
      </c>
      <c r="K7208" s="405">
        <v>31.942066000000001</v>
      </c>
      <c r="L7208" s="405" t="s">
        <v>314</v>
      </c>
      <c r="M7208" s="405" t="s">
        <v>339</v>
      </c>
      <c r="N7208" s="405" t="s">
        <v>339</v>
      </c>
      <c r="O7208" s="405" t="s">
        <v>2002</v>
      </c>
      <c r="P7208" s="405" t="s">
        <v>2781</v>
      </c>
      <c r="Q7208" s="411">
        <v>6</v>
      </c>
      <c r="R7208" s="405" t="s">
        <v>318</v>
      </c>
      <c r="S7208" s="405" t="s">
        <v>27182</v>
      </c>
      <c r="T7208" s="405" t="s">
        <v>32102</v>
      </c>
      <c r="U7208" s="405" t="s">
        <v>319</v>
      </c>
    </row>
    <row r="7209" spans="1:21" hidden="1" x14ac:dyDescent="0.25">
      <c r="A7209" s="405" t="s">
        <v>310</v>
      </c>
      <c r="B7209" s="405" t="s">
        <v>20674</v>
      </c>
      <c r="C7209" s="405" t="s">
        <v>327</v>
      </c>
      <c r="D7209" s="405"/>
      <c r="E7209" s="410">
        <v>41163</v>
      </c>
      <c r="F7209" s="410">
        <v>41208</v>
      </c>
      <c r="G7209" s="405" t="s">
        <v>20675</v>
      </c>
      <c r="H7209" s="405">
        <v>775385061</v>
      </c>
      <c r="I7209" s="405"/>
      <c r="J7209" s="405">
        <v>-1.0116510000000001</v>
      </c>
      <c r="K7209" s="405">
        <v>30.307214999999999</v>
      </c>
      <c r="L7209" s="405" t="s">
        <v>590</v>
      </c>
      <c r="M7209" s="405" t="s">
        <v>19659</v>
      </c>
      <c r="N7209" s="405" t="s">
        <v>19664</v>
      </c>
      <c r="O7209" s="405" t="s">
        <v>20676</v>
      </c>
      <c r="P7209" s="405" t="s">
        <v>20108</v>
      </c>
      <c r="Q7209" s="411">
        <v>9</v>
      </c>
      <c r="R7209" s="405" t="s">
        <v>967</v>
      </c>
      <c r="S7209" s="405" t="s">
        <v>27401</v>
      </c>
      <c r="T7209" s="405" t="s">
        <v>32102</v>
      </c>
      <c r="U7209" s="405" t="s">
        <v>319</v>
      </c>
    </row>
    <row r="7210" spans="1:21" hidden="1" x14ac:dyDescent="0.25">
      <c r="A7210" s="405" t="s">
        <v>310</v>
      </c>
      <c r="B7210" s="405" t="s">
        <v>27969</v>
      </c>
      <c r="C7210" s="405" t="s">
        <v>327</v>
      </c>
      <c r="D7210" s="405"/>
      <c r="E7210" s="410">
        <v>41163</v>
      </c>
      <c r="F7210" s="410">
        <v>41208</v>
      </c>
      <c r="G7210" s="405" t="s">
        <v>2768</v>
      </c>
      <c r="H7210" s="405">
        <v>773493521</v>
      </c>
      <c r="I7210" s="405"/>
      <c r="J7210" s="405">
        <v>0.32284499999999999</v>
      </c>
      <c r="K7210" s="405">
        <v>32.172507000000003</v>
      </c>
      <c r="L7210" s="405" t="s">
        <v>314</v>
      </c>
      <c r="M7210" s="405" t="s">
        <v>675</v>
      </c>
      <c r="N7210" s="405" t="s">
        <v>676</v>
      </c>
      <c r="O7210" s="405" t="s">
        <v>677</v>
      </c>
      <c r="P7210" s="405" t="s">
        <v>2769</v>
      </c>
      <c r="Q7210" s="411">
        <v>6</v>
      </c>
      <c r="R7210" s="405" t="s">
        <v>32476</v>
      </c>
      <c r="S7210" s="405" t="s">
        <v>27154</v>
      </c>
      <c r="T7210" s="405" t="s">
        <v>32102</v>
      </c>
      <c r="U7210" s="405" t="s">
        <v>319</v>
      </c>
    </row>
    <row r="7211" spans="1:21" hidden="1" x14ac:dyDescent="0.25">
      <c r="A7211" s="405" t="s">
        <v>310</v>
      </c>
      <c r="B7211" s="405" t="s">
        <v>2816</v>
      </c>
      <c r="C7211" s="405" t="s">
        <v>327</v>
      </c>
      <c r="D7211" s="405"/>
      <c r="E7211" s="410">
        <v>41163</v>
      </c>
      <c r="F7211" s="410">
        <v>41208</v>
      </c>
      <c r="G7211" s="405" t="s">
        <v>2817</v>
      </c>
      <c r="H7211" s="405">
        <v>703837139</v>
      </c>
      <c r="I7211" s="405">
        <v>751801602</v>
      </c>
      <c r="J7211" s="405">
        <v>-0.33610200000000001</v>
      </c>
      <c r="K7211" s="405">
        <v>31.695430000000002</v>
      </c>
      <c r="L7211" s="405" t="s">
        <v>314</v>
      </c>
      <c r="M7211" s="405" t="s">
        <v>382</v>
      </c>
      <c r="N7211" s="405" t="s">
        <v>1481</v>
      </c>
      <c r="O7211" s="405" t="s">
        <v>2818</v>
      </c>
      <c r="P7211" s="405" t="s">
        <v>2819</v>
      </c>
      <c r="Q7211" s="411">
        <v>6</v>
      </c>
      <c r="R7211" s="405" t="s">
        <v>402</v>
      </c>
      <c r="S7211" s="405" t="s">
        <v>27052</v>
      </c>
      <c r="T7211" s="405" t="s">
        <v>32102</v>
      </c>
      <c r="U7211" s="405" t="s">
        <v>319</v>
      </c>
    </row>
    <row r="7212" spans="1:21" hidden="1" x14ac:dyDescent="0.25">
      <c r="A7212" s="405" t="s">
        <v>310</v>
      </c>
      <c r="B7212" s="405" t="s">
        <v>11724</v>
      </c>
      <c r="C7212" s="405" t="s">
        <v>327</v>
      </c>
      <c r="D7212" s="405"/>
      <c r="E7212" s="410">
        <v>41163</v>
      </c>
      <c r="F7212" s="410">
        <v>41208</v>
      </c>
      <c r="G7212" s="405" t="s">
        <v>11725</v>
      </c>
      <c r="H7212" s="405">
        <v>759251937</v>
      </c>
      <c r="I7212" s="405"/>
      <c r="J7212" s="405">
        <v>0.61633389999999999</v>
      </c>
      <c r="K7212" s="405">
        <v>33.479194800000002</v>
      </c>
      <c r="L7212" s="405" t="s">
        <v>6866</v>
      </c>
      <c r="M7212" s="405" t="s">
        <v>9590</v>
      </c>
      <c r="N7212" s="405" t="s">
        <v>9592</v>
      </c>
      <c r="O7212" s="405" t="s">
        <v>9592</v>
      </c>
      <c r="P7212" s="405" t="s">
        <v>9595</v>
      </c>
      <c r="Q7212" s="411">
        <v>6</v>
      </c>
      <c r="R7212" s="405" t="s">
        <v>318</v>
      </c>
      <c r="S7212" s="405" t="s">
        <v>27135</v>
      </c>
      <c r="T7212" s="405" t="s">
        <v>32102</v>
      </c>
      <c r="U7212" s="405" t="s">
        <v>319</v>
      </c>
    </row>
    <row r="7213" spans="1:21" hidden="1" x14ac:dyDescent="0.25">
      <c r="A7213" s="405" t="s">
        <v>310</v>
      </c>
      <c r="B7213" s="405" t="s">
        <v>2826</v>
      </c>
      <c r="C7213" s="405" t="s">
        <v>327</v>
      </c>
      <c r="D7213" s="405"/>
      <c r="E7213" s="410">
        <v>41162</v>
      </c>
      <c r="F7213" s="410">
        <v>41207</v>
      </c>
      <c r="G7213" s="405" t="s">
        <v>2827</v>
      </c>
      <c r="H7213" s="405">
        <v>774774819</v>
      </c>
      <c r="I7213" s="405"/>
      <c r="J7213" s="405">
        <v>0.54451499999999997</v>
      </c>
      <c r="K7213" s="405">
        <v>31.8584</v>
      </c>
      <c r="L7213" s="405" t="s">
        <v>314</v>
      </c>
      <c r="M7213" s="405" t="s">
        <v>445</v>
      </c>
      <c r="N7213" s="405" t="s">
        <v>570</v>
      </c>
      <c r="O7213" s="405" t="s">
        <v>571</v>
      </c>
      <c r="P7213" s="405" t="s">
        <v>2828</v>
      </c>
      <c r="Q7213" s="411">
        <v>13</v>
      </c>
      <c r="R7213" s="405" t="s">
        <v>438</v>
      </c>
      <c r="S7213" s="405" t="s">
        <v>27131</v>
      </c>
      <c r="T7213" s="405" t="s">
        <v>32102</v>
      </c>
      <c r="U7213" s="405" t="s">
        <v>319</v>
      </c>
    </row>
    <row r="7214" spans="1:21" hidden="1" x14ac:dyDescent="0.25">
      <c r="A7214" s="405" t="s">
        <v>310</v>
      </c>
      <c r="B7214" s="405" t="s">
        <v>3380</v>
      </c>
      <c r="C7214" s="405" t="s">
        <v>311</v>
      </c>
      <c r="D7214" s="405" t="s">
        <v>3381</v>
      </c>
      <c r="E7214" s="410">
        <v>41162</v>
      </c>
      <c r="F7214" s="410">
        <v>41207</v>
      </c>
      <c r="G7214" s="405" t="s">
        <v>3382</v>
      </c>
      <c r="H7214" s="405">
        <v>755481173</v>
      </c>
      <c r="I7214" s="405"/>
      <c r="J7214" s="405">
        <v>1.639432</v>
      </c>
      <c r="K7214" s="405">
        <v>32.183838000000002</v>
      </c>
      <c r="L7214" s="405" t="s">
        <v>314</v>
      </c>
      <c r="M7214" s="405" t="s">
        <v>2512</v>
      </c>
      <c r="N7214" s="405" t="s">
        <v>2589</v>
      </c>
      <c r="O7214" s="405" t="s">
        <v>3383</v>
      </c>
      <c r="P7214" s="405" t="s">
        <v>3384</v>
      </c>
      <c r="Q7214" s="411">
        <v>6</v>
      </c>
      <c r="R7214" s="405" t="s">
        <v>318</v>
      </c>
      <c r="S7214" s="405" t="s">
        <v>27126</v>
      </c>
      <c r="T7214" s="405" t="s">
        <v>32102</v>
      </c>
      <c r="U7214" s="405" t="s">
        <v>319</v>
      </c>
    </row>
    <row r="7215" spans="1:21" hidden="1" x14ac:dyDescent="0.25">
      <c r="A7215" s="405" t="s">
        <v>310</v>
      </c>
      <c r="B7215" s="405" t="s">
        <v>2870</v>
      </c>
      <c r="C7215" s="405" t="s">
        <v>327</v>
      </c>
      <c r="D7215" s="405"/>
      <c r="E7215" s="410">
        <v>41162</v>
      </c>
      <c r="F7215" s="410">
        <v>41207</v>
      </c>
      <c r="G7215" s="405" t="s">
        <v>2871</v>
      </c>
      <c r="H7215" s="405">
        <v>782973272</v>
      </c>
      <c r="I7215" s="405">
        <v>777008143</v>
      </c>
      <c r="J7215" s="405">
        <v>0.64927199999999996</v>
      </c>
      <c r="K7215" s="405">
        <v>32.039254999999997</v>
      </c>
      <c r="L7215" s="405" t="s">
        <v>314</v>
      </c>
      <c r="M7215" s="405" t="s">
        <v>2537</v>
      </c>
      <c r="N7215" s="405" t="s">
        <v>2757</v>
      </c>
      <c r="O7215" s="405" t="s">
        <v>2858</v>
      </c>
      <c r="P7215" s="405" t="s">
        <v>2872</v>
      </c>
      <c r="Q7215" s="411">
        <v>6</v>
      </c>
      <c r="R7215" s="405" t="s">
        <v>318</v>
      </c>
      <c r="S7215" s="405" t="s">
        <v>27152</v>
      </c>
      <c r="T7215" s="405" t="s">
        <v>32102</v>
      </c>
      <c r="U7215" s="405" t="s">
        <v>319</v>
      </c>
    </row>
    <row r="7216" spans="1:21" hidden="1" x14ac:dyDescent="0.25">
      <c r="A7216" s="405" t="s">
        <v>310</v>
      </c>
      <c r="B7216" s="405" t="s">
        <v>2862</v>
      </c>
      <c r="C7216" s="405" t="s">
        <v>327</v>
      </c>
      <c r="D7216" s="405"/>
      <c r="E7216" s="410">
        <v>41162</v>
      </c>
      <c r="F7216" s="410">
        <v>41207</v>
      </c>
      <c r="G7216" s="405" t="s">
        <v>2863</v>
      </c>
      <c r="H7216" s="405">
        <v>782106712</v>
      </c>
      <c r="I7216" s="405"/>
      <c r="J7216" s="405">
        <v>0.68619200000000002</v>
      </c>
      <c r="K7216" s="405">
        <v>32.11009</v>
      </c>
      <c r="L7216" s="405" t="s">
        <v>314</v>
      </c>
      <c r="M7216" s="405" t="s">
        <v>2537</v>
      </c>
      <c r="N7216" s="405" t="s">
        <v>2537</v>
      </c>
      <c r="O7216" s="405" t="s">
        <v>2858</v>
      </c>
      <c r="P7216" s="405" t="s">
        <v>2864</v>
      </c>
      <c r="Q7216" s="411">
        <v>6</v>
      </c>
      <c r="R7216" s="405" t="s">
        <v>318</v>
      </c>
      <c r="S7216" s="405" t="s">
        <v>27152</v>
      </c>
      <c r="T7216" s="405" t="s">
        <v>32102</v>
      </c>
      <c r="U7216" s="405" t="s">
        <v>319</v>
      </c>
    </row>
    <row r="7217" spans="1:21" hidden="1" x14ac:dyDescent="0.25">
      <c r="A7217" s="405" t="s">
        <v>310</v>
      </c>
      <c r="B7217" s="405" t="s">
        <v>27562</v>
      </c>
      <c r="C7217" s="405" t="s">
        <v>327</v>
      </c>
      <c r="D7217" s="405"/>
      <c r="E7217" s="410">
        <v>41162</v>
      </c>
      <c r="F7217" s="410">
        <v>41207</v>
      </c>
      <c r="G7217" s="405" t="s">
        <v>11694</v>
      </c>
      <c r="H7217" s="405">
        <v>774441420</v>
      </c>
      <c r="I7217" s="405">
        <v>754678021</v>
      </c>
      <c r="J7217" s="405">
        <v>0.79372989999999999</v>
      </c>
      <c r="K7217" s="405">
        <v>33.032234799999998</v>
      </c>
      <c r="L7217" s="405" t="s">
        <v>6866</v>
      </c>
      <c r="M7217" s="405" t="s">
        <v>3009</v>
      </c>
      <c r="N7217" s="405" t="s">
        <v>9842</v>
      </c>
      <c r="O7217" s="405" t="s">
        <v>4760</v>
      </c>
      <c r="P7217" s="405" t="s">
        <v>11695</v>
      </c>
      <c r="Q7217" s="411">
        <v>4</v>
      </c>
      <c r="R7217" s="405" t="s">
        <v>32478</v>
      </c>
      <c r="S7217" s="405" t="s">
        <v>27124</v>
      </c>
      <c r="T7217" s="405" t="s">
        <v>32102</v>
      </c>
      <c r="U7217" s="405" t="s">
        <v>319</v>
      </c>
    </row>
    <row r="7218" spans="1:21" hidden="1" x14ac:dyDescent="0.25">
      <c r="A7218" s="405" t="s">
        <v>310</v>
      </c>
      <c r="B7218" s="405" t="s">
        <v>2796</v>
      </c>
      <c r="C7218" s="405" t="s">
        <v>327</v>
      </c>
      <c r="D7218" s="405"/>
      <c r="E7218" s="410">
        <v>41161</v>
      </c>
      <c r="F7218" s="410">
        <v>41206</v>
      </c>
      <c r="G7218" s="405" t="s">
        <v>2797</v>
      </c>
      <c r="H7218" s="405">
        <v>754170978</v>
      </c>
      <c r="I7218" s="405"/>
      <c r="J7218" s="405">
        <v>-0.67641499999999999</v>
      </c>
      <c r="K7218" s="405">
        <v>31.369973000000002</v>
      </c>
      <c r="L7218" s="405" t="s">
        <v>314</v>
      </c>
      <c r="M7218" s="405" t="s">
        <v>398</v>
      </c>
      <c r="N7218" s="405" t="s">
        <v>2791</v>
      </c>
      <c r="O7218" s="405" t="s">
        <v>2758</v>
      </c>
      <c r="P7218" s="405" t="s">
        <v>2798</v>
      </c>
      <c r="Q7218" s="411">
        <v>4</v>
      </c>
      <c r="R7218" s="405" t="s">
        <v>1263</v>
      </c>
      <c r="S7218" s="405" t="s">
        <v>27203</v>
      </c>
      <c r="T7218" s="405" t="s">
        <v>32102</v>
      </c>
      <c r="U7218" s="405" t="s">
        <v>319</v>
      </c>
    </row>
    <row r="7219" spans="1:21" hidden="1" x14ac:dyDescent="0.25">
      <c r="A7219" s="405" t="s">
        <v>310</v>
      </c>
      <c r="B7219" s="405" t="s">
        <v>28297</v>
      </c>
      <c r="C7219" s="405" t="s">
        <v>311</v>
      </c>
      <c r="D7219" s="405" t="s">
        <v>1789</v>
      </c>
      <c r="E7219" s="410">
        <v>41160</v>
      </c>
      <c r="F7219" s="410">
        <v>41205</v>
      </c>
      <c r="G7219" s="405" t="s">
        <v>3330</v>
      </c>
      <c r="H7219" s="405">
        <v>701945332</v>
      </c>
      <c r="I7219" s="405"/>
      <c r="J7219" s="405">
        <v>0.36744199999999999</v>
      </c>
      <c r="K7219" s="405">
        <v>32.710820300000002</v>
      </c>
      <c r="L7219" s="405" t="s">
        <v>314</v>
      </c>
      <c r="M7219" s="405" t="s">
        <v>329</v>
      </c>
      <c r="N7219" s="405" t="s">
        <v>330</v>
      </c>
      <c r="O7219" s="405" t="s">
        <v>630</v>
      </c>
      <c r="P7219" s="405" t="s">
        <v>3331</v>
      </c>
      <c r="Q7219" s="411">
        <v>9</v>
      </c>
      <c r="R7219" s="405" t="s">
        <v>318</v>
      </c>
      <c r="S7219" s="405" t="s">
        <v>27113</v>
      </c>
      <c r="T7219" s="405" t="s">
        <v>32102</v>
      </c>
      <c r="U7219" s="405" t="s">
        <v>319</v>
      </c>
    </row>
    <row r="7220" spans="1:21" hidden="1" x14ac:dyDescent="0.25">
      <c r="A7220" s="405" t="s">
        <v>310</v>
      </c>
      <c r="B7220" s="405" t="s">
        <v>35</v>
      </c>
      <c r="C7220" s="405" t="s">
        <v>327</v>
      </c>
      <c r="D7220" s="405"/>
      <c r="E7220" s="410">
        <v>41159</v>
      </c>
      <c r="F7220" s="410">
        <v>41204</v>
      </c>
      <c r="G7220" s="405" t="s">
        <v>11660</v>
      </c>
      <c r="H7220" s="405">
        <v>776270653</v>
      </c>
      <c r="I7220" s="405">
        <v>756270653</v>
      </c>
      <c r="J7220" s="405">
        <v>0.59361799999999998</v>
      </c>
      <c r="K7220" s="405">
        <v>34.008018999999997</v>
      </c>
      <c r="L7220" s="405" t="s">
        <v>6866</v>
      </c>
      <c r="M7220" s="405" t="s">
        <v>9534</v>
      </c>
      <c r="N7220" s="405" t="s">
        <v>9997</v>
      </c>
      <c r="O7220" s="405" t="s">
        <v>10248</v>
      </c>
      <c r="P7220" s="405" t="s">
        <v>11596</v>
      </c>
      <c r="Q7220" s="411">
        <v>6</v>
      </c>
      <c r="R7220" s="405" t="s">
        <v>9541</v>
      </c>
      <c r="S7220" s="405" t="s">
        <v>27331</v>
      </c>
      <c r="T7220" s="405" t="s">
        <v>32102</v>
      </c>
      <c r="U7220" s="405" t="s">
        <v>319</v>
      </c>
    </row>
    <row r="7221" spans="1:21" hidden="1" x14ac:dyDescent="0.25">
      <c r="A7221" s="405" t="s">
        <v>310</v>
      </c>
      <c r="B7221" s="405" t="s">
        <v>29098</v>
      </c>
      <c r="C7221" s="405" t="s">
        <v>311</v>
      </c>
      <c r="D7221" s="405" t="s">
        <v>3381</v>
      </c>
      <c r="E7221" s="410">
        <v>41159</v>
      </c>
      <c r="F7221" s="410">
        <v>41204</v>
      </c>
      <c r="G7221" s="405" t="s">
        <v>12138</v>
      </c>
      <c r="H7221" s="405">
        <v>782872367</v>
      </c>
      <c r="I7221" s="405"/>
      <c r="J7221" s="405">
        <v>0.89009199999999999</v>
      </c>
      <c r="K7221" s="405">
        <v>34.298146000000003</v>
      </c>
      <c r="L7221" s="405" t="s">
        <v>6866</v>
      </c>
      <c r="M7221" s="405" t="s">
        <v>9763</v>
      </c>
      <c r="N7221" s="405" t="s">
        <v>9764</v>
      </c>
      <c r="O7221" s="405" t="s">
        <v>10789</v>
      </c>
      <c r="P7221" s="405" t="s">
        <v>11841</v>
      </c>
      <c r="Q7221" s="411">
        <v>4</v>
      </c>
      <c r="R7221" s="405" t="s">
        <v>7224</v>
      </c>
      <c r="S7221" s="405" t="s">
        <v>17013</v>
      </c>
      <c r="T7221" s="405" t="s">
        <v>32102</v>
      </c>
      <c r="U7221" s="405" t="s">
        <v>319</v>
      </c>
    </row>
    <row r="7222" spans="1:21" hidden="1" x14ac:dyDescent="0.25">
      <c r="A7222" s="405" t="s">
        <v>310</v>
      </c>
      <c r="B7222" s="405" t="s">
        <v>2789</v>
      </c>
      <c r="C7222" s="405" t="s">
        <v>327</v>
      </c>
      <c r="D7222" s="405"/>
      <c r="E7222" s="410">
        <v>41158</v>
      </c>
      <c r="F7222" s="410">
        <v>41203</v>
      </c>
      <c r="G7222" s="405" t="s">
        <v>2790</v>
      </c>
      <c r="H7222" s="405">
        <v>773475115</v>
      </c>
      <c r="I7222" s="405">
        <v>788957111</v>
      </c>
      <c r="J7222" s="405">
        <v>-0.67422300000000002</v>
      </c>
      <c r="K7222" s="405">
        <v>31.338048000000001</v>
      </c>
      <c r="L7222" s="405" t="s">
        <v>314</v>
      </c>
      <c r="M7222" s="405" t="s">
        <v>398</v>
      </c>
      <c r="N7222" s="405" t="s">
        <v>2791</v>
      </c>
      <c r="O7222" s="405" t="s">
        <v>2758</v>
      </c>
      <c r="P7222" s="405" t="s">
        <v>2792</v>
      </c>
      <c r="Q7222" s="411">
        <v>6</v>
      </c>
      <c r="R7222" s="405" t="s">
        <v>1263</v>
      </c>
      <c r="S7222" s="405" t="s">
        <v>27202</v>
      </c>
      <c r="T7222" s="405" t="s">
        <v>32102</v>
      </c>
      <c r="U7222" s="405" t="s">
        <v>319</v>
      </c>
    </row>
    <row r="7223" spans="1:21" hidden="1" x14ac:dyDescent="0.25">
      <c r="A7223" s="405" t="s">
        <v>310</v>
      </c>
      <c r="B7223" s="405" t="s">
        <v>11757</v>
      </c>
      <c r="C7223" s="405" t="s">
        <v>327</v>
      </c>
      <c r="D7223" s="405"/>
      <c r="E7223" s="410">
        <v>41158</v>
      </c>
      <c r="F7223" s="410">
        <v>41203</v>
      </c>
      <c r="G7223" s="405" t="s">
        <v>11758</v>
      </c>
      <c r="H7223" s="405">
        <v>777332774</v>
      </c>
      <c r="I7223" s="405"/>
      <c r="J7223" s="405">
        <v>0.89569900000000002</v>
      </c>
      <c r="K7223" s="405">
        <v>34.325414000000002</v>
      </c>
      <c r="L7223" s="405" t="s">
        <v>6866</v>
      </c>
      <c r="M7223" s="405" t="s">
        <v>9763</v>
      </c>
      <c r="N7223" s="405" t="s">
        <v>9848</v>
      </c>
      <c r="O7223" s="405" t="s">
        <v>11333</v>
      </c>
      <c r="P7223" s="405" t="s">
        <v>11554</v>
      </c>
      <c r="Q7223" s="411">
        <v>4</v>
      </c>
      <c r="R7223" s="405" t="s">
        <v>7224</v>
      </c>
      <c r="S7223" s="405" t="s">
        <v>27107</v>
      </c>
      <c r="T7223" s="405" t="s">
        <v>32102</v>
      </c>
      <c r="U7223" s="405" t="s">
        <v>319</v>
      </c>
    </row>
    <row r="7224" spans="1:21" hidden="1" x14ac:dyDescent="0.25">
      <c r="A7224" s="405" t="s">
        <v>310</v>
      </c>
      <c r="B7224" s="405" t="s">
        <v>18648</v>
      </c>
      <c r="C7224" s="405" t="s">
        <v>311</v>
      </c>
      <c r="D7224" s="405" t="s">
        <v>839</v>
      </c>
      <c r="E7224" s="410">
        <v>41157</v>
      </c>
      <c r="F7224" s="410">
        <v>41202</v>
      </c>
      <c r="G7224" s="405" t="s">
        <v>18649</v>
      </c>
      <c r="H7224" s="405">
        <v>392840216</v>
      </c>
      <c r="I7224" s="405">
        <v>781501315</v>
      </c>
      <c r="J7224" s="405">
        <v>2.7540550000000001</v>
      </c>
      <c r="K7224" s="405">
        <v>32.328581999999997</v>
      </c>
      <c r="L7224" s="405" t="s">
        <v>860</v>
      </c>
      <c r="M7224" s="405" t="s">
        <v>853</v>
      </c>
      <c r="N7224" s="405" t="s">
        <v>18246</v>
      </c>
      <c r="O7224" s="405" t="s">
        <v>18278</v>
      </c>
      <c r="P7224" s="405" t="s">
        <v>18650</v>
      </c>
      <c r="Q7224" s="411">
        <v>6</v>
      </c>
      <c r="R7224" s="405" t="s">
        <v>994</v>
      </c>
      <c r="S7224" s="405" t="s">
        <v>27335</v>
      </c>
      <c r="T7224" s="405" t="s">
        <v>32102</v>
      </c>
      <c r="U7224" s="405" t="s">
        <v>319</v>
      </c>
    </row>
    <row r="7225" spans="1:21" hidden="1" x14ac:dyDescent="0.25">
      <c r="A7225" s="405" t="s">
        <v>310</v>
      </c>
      <c r="B7225" s="405" t="s">
        <v>27869</v>
      </c>
      <c r="C7225" s="405" t="s">
        <v>327</v>
      </c>
      <c r="D7225" s="405"/>
      <c r="E7225" s="410">
        <v>41155</v>
      </c>
      <c r="F7225" s="410">
        <v>41200</v>
      </c>
      <c r="G7225" s="405" t="s">
        <v>2770</v>
      </c>
      <c r="H7225" s="405">
        <v>782946915</v>
      </c>
      <c r="I7225" s="405"/>
      <c r="J7225" s="405">
        <v>0.14415500000000001</v>
      </c>
      <c r="K7225" s="405">
        <v>32.312539999999998</v>
      </c>
      <c r="L7225" s="405" t="s">
        <v>314</v>
      </c>
      <c r="M7225" s="405" t="s">
        <v>321</v>
      </c>
      <c r="N7225" s="405" t="s">
        <v>322</v>
      </c>
      <c r="O7225" s="405" t="s">
        <v>996</v>
      </c>
      <c r="P7225" s="405" t="s">
        <v>1652</v>
      </c>
      <c r="Q7225" s="411">
        <v>6</v>
      </c>
      <c r="R7225" s="405" t="s">
        <v>318</v>
      </c>
      <c r="S7225" s="405" t="s">
        <v>27054</v>
      </c>
      <c r="T7225" s="405" t="s">
        <v>32102</v>
      </c>
      <c r="U7225" s="405" t="s">
        <v>319</v>
      </c>
    </row>
    <row r="7226" spans="1:21" hidden="1" x14ac:dyDescent="0.25">
      <c r="A7226" s="405" t="s">
        <v>310</v>
      </c>
      <c r="B7226" s="405" t="s">
        <v>20653</v>
      </c>
      <c r="C7226" s="405" t="s">
        <v>327</v>
      </c>
      <c r="D7226" s="405"/>
      <c r="E7226" s="410">
        <v>41155</v>
      </c>
      <c r="F7226" s="410">
        <v>41200</v>
      </c>
      <c r="G7226" s="405" t="s">
        <v>20654</v>
      </c>
      <c r="H7226" s="405">
        <v>772547168</v>
      </c>
      <c r="I7226" s="405"/>
      <c r="J7226" s="405">
        <v>-0.52684600000000004</v>
      </c>
      <c r="K7226" s="405">
        <v>30.134888</v>
      </c>
      <c r="L7226" s="405" t="s">
        <v>590</v>
      </c>
      <c r="M7226" s="405" t="s">
        <v>19625</v>
      </c>
      <c r="N7226" s="405" t="s">
        <v>19642</v>
      </c>
      <c r="O7226" s="405" t="s">
        <v>19639</v>
      </c>
      <c r="P7226" s="405" t="s">
        <v>19647</v>
      </c>
      <c r="Q7226" s="411">
        <v>6</v>
      </c>
      <c r="R7226" s="405" t="s">
        <v>333</v>
      </c>
      <c r="S7226" s="405" t="s">
        <v>27051</v>
      </c>
      <c r="T7226" s="405" t="s">
        <v>32102</v>
      </c>
      <c r="U7226" s="405" t="s">
        <v>319</v>
      </c>
    </row>
    <row r="7227" spans="1:21" hidden="1" x14ac:dyDescent="0.25">
      <c r="A7227" s="405" t="s">
        <v>310</v>
      </c>
      <c r="B7227" s="405" t="s">
        <v>18651</v>
      </c>
      <c r="C7227" s="405" t="s">
        <v>311</v>
      </c>
      <c r="D7227" s="405" t="s">
        <v>1789</v>
      </c>
      <c r="E7227" s="410">
        <v>41153</v>
      </c>
      <c r="F7227" s="410">
        <v>41198</v>
      </c>
      <c r="G7227" s="405" t="s">
        <v>18652</v>
      </c>
      <c r="H7227" s="405">
        <v>772969920</v>
      </c>
      <c r="I7227" s="405">
        <v>773349095</v>
      </c>
      <c r="J7227" s="405">
        <v>1.942839</v>
      </c>
      <c r="K7227" s="405">
        <v>32.853113999999998</v>
      </c>
      <c r="L7227" s="405" t="s">
        <v>860</v>
      </c>
      <c r="M7227" s="405" t="s">
        <v>861</v>
      </c>
      <c r="N7227" s="405" t="s">
        <v>18302</v>
      </c>
      <c r="O7227" s="405" t="s">
        <v>18387</v>
      </c>
      <c r="P7227" s="405" t="s">
        <v>18388</v>
      </c>
      <c r="Q7227" s="411">
        <v>13</v>
      </c>
      <c r="R7227" s="405" t="s">
        <v>525</v>
      </c>
      <c r="S7227" s="405" t="s">
        <v>27136</v>
      </c>
      <c r="T7227" s="405" t="s">
        <v>32102</v>
      </c>
      <c r="U7227" s="405" t="s">
        <v>319</v>
      </c>
    </row>
    <row r="7228" spans="1:21" hidden="1" x14ac:dyDescent="0.25">
      <c r="A7228" s="405" t="s">
        <v>310</v>
      </c>
      <c r="B7228" s="405" t="s">
        <v>28205</v>
      </c>
      <c r="C7228" s="405" t="s">
        <v>327</v>
      </c>
      <c r="D7228" s="405"/>
      <c r="E7228" s="410">
        <v>41153</v>
      </c>
      <c r="F7228" s="410">
        <v>41198</v>
      </c>
      <c r="G7228" s="405" t="s">
        <v>11706</v>
      </c>
      <c r="H7228" s="405">
        <v>775030208</v>
      </c>
      <c r="I7228" s="405"/>
      <c r="J7228" s="405">
        <v>1.1122479999999999</v>
      </c>
      <c r="K7228" s="405">
        <v>34.186328000000003</v>
      </c>
      <c r="L7228" s="405" t="s">
        <v>6866</v>
      </c>
      <c r="M7228" s="405" t="s">
        <v>9514</v>
      </c>
      <c r="N7228" s="405" t="s">
        <v>9529</v>
      </c>
      <c r="O7228" s="405" t="s">
        <v>9530</v>
      </c>
      <c r="P7228" s="405" t="s">
        <v>11707</v>
      </c>
      <c r="Q7228" s="411">
        <v>6</v>
      </c>
      <c r="R7228" s="405" t="s">
        <v>10303</v>
      </c>
      <c r="S7228" s="405" t="s">
        <v>27332</v>
      </c>
      <c r="T7228" s="405" t="s">
        <v>32102</v>
      </c>
      <c r="U7228" s="405" t="s">
        <v>319</v>
      </c>
    </row>
    <row r="7229" spans="1:21" hidden="1" x14ac:dyDescent="0.25">
      <c r="A7229" s="405" t="s">
        <v>310</v>
      </c>
      <c r="B7229" s="405" t="s">
        <v>20877</v>
      </c>
      <c r="C7229" s="405" t="s">
        <v>311</v>
      </c>
      <c r="D7229" s="405" t="s">
        <v>839</v>
      </c>
      <c r="E7229" s="410">
        <v>41152</v>
      </c>
      <c r="F7229" s="410">
        <v>41197</v>
      </c>
      <c r="G7229" s="405" t="s">
        <v>20878</v>
      </c>
      <c r="H7229" s="405">
        <v>772614450</v>
      </c>
      <c r="I7229" s="405"/>
      <c r="J7229" s="405">
        <v>4.0980000000000001E-3</v>
      </c>
      <c r="K7229" s="405">
        <v>30.748235999999999</v>
      </c>
      <c r="L7229" s="405" t="s">
        <v>590</v>
      </c>
      <c r="M7229" s="405" t="s">
        <v>19705</v>
      </c>
      <c r="N7229" s="405" t="s">
        <v>2250</v>
      </c>
      <c r="O7229" s="405" t="s">
        <v>2250</v>
      </c>
      <c r="P7229" s="405" t="s">
        <v>20879</v>
      </c>
      <c r="Q7229" s="411">
        <v>12</v>
      </c>
      <c r="R7229" s="405" t="s">
        <v>874</v>
      </c>
      <c r="S7229" s="405" t="s">
        <v>27164</v>
      </c>
      <c r="T7229" s="405" t="s">
        <v>32102</v>
      </c>
      <c r="U7229" s="405" t="s">
        <v>319</v>
      </c>
    </row>
    <row r="7230" spans="1:21" hidden="1" x14ac:dyDescent="0.25">
      <c r="A7230" s="405" t="s">
        <v>310</v>
      </c>
      <c r="B7230" s="405" t="s">
        <v>3374</v>
      </c>
      <c r="C7230" s="405" t="s">
        <v>311</v>
      </c>
      <c r="D7230" s="405" t="s">
        <v>839</v>
      </c>
      <c r="E7230" s="410">
        <v>41152</v>
      </c>
      <c r="F7230" s="410">
        <v>41197</v>
      </c>
      <c r="G7230" s="405" t="s">
        <v>3375</v>
      </c>
      <c r="H7230" s="405">
        <v>775496610</v>
      </c>
      <c r="I7230" s="405"/>
      <c r="J7230" s="405">
        <v>0.35362500000000002</v>
      </c>
      <c r="K7230" s="405">
        <v>32.783586</v>
      </c>
      <c r="L7230" s="405" t="s">
        <v>314</v>
      </c>
      <c r="M7230" s="405" t="s">
        <v>329</v>
      </c>
      <c r="N7230" s="405" t="s">
        <v>545</v>
      </c>
      <c r="O7230" s="405" t="s">
        <v>546</v>
      </c>
      <c r="P7230" s="405" t="s">
        <v>923</v>
      </c>
      <c r="Q7230" s="411">
        <v>9</v>
      </c>
      <c r="R7230" s="405" t="s">
        <v>318</v>
      </c>
      <c r="S7230" s="405" t="s">
        <v>27141</v>
      </c>
      <c r="T7230" s="405" t="s">
        <v>32102</v>
      </c>
      <c r="U7230" s="405" t="s">
        <v>319</v>
      </c>
    </row>
    <row r="7231" spans="1:21" hidden="1" x14ac:dyDescent="0.25">
      <c r="A7231" s="405" t="s">
        <v>310</v>
      </c>
      <c r="B7231" s="405" t="s">
        <v>2814</v>
      </c>
      <c r="C7231" s="405" t="s">
        <v>327</v>
      </c>
      <c r="D7231" s="405"/>
      <c r="E7231" s="410">
        <v>41152</v>
      </c>
      <c r="F7231" s="410">
        <v>41197</v>
      </c>
      <c r="G7231" s="405" t="s">
        <v>2815</v>
      </c>
      <c r="H7231" s="405">
        <v>701297466</v>
      </c>
      <c r="I7231" s="405"/>
      <c r="J7231" s="405">
        <v>0.38522800000000001</v>
      </c>
      <c r="K7231" s="405">
        <v>32.593097999999998</v>
      </c>
      <c r="L7231" s="405" t="s">
        <v>314</v>
      </c>
      <c r="M7231" s="405" t="s">
        <v>992</v>
      </c>
      <c r="N7231" s="405" t="s">
        <v>362</v>
      </c>
      <c r="O7231" s="405" t="s">
        <v>936</v>
      </c>
      <c r="P7231" s="405" t="s">
        <v>937</v>
      </c>
      <c r="Q7231" s="411">
        <v>9</v>
      </c>
      <c r="R7231" s="405" t="s">
        <v>318</v>
      </c>
      <c r="S7231" s="405" t="s">
        <v>27135</v>
      </c>
      <c r="T7231" s="405" t="s">
        <v>32102</v>
      </c>
      <c r="U7231" s="405" t="s">
        <v>319</v>
      </c>
    </row>
    <row r="7232" spans="1:21" hidden="1" x14ac:dyDescent="0.25">
      <c r="A7232" s="405" t="s">
        <v>310</v>
      </c>
      <c r="B7232" s="405" t="s">
        <v>11661</v>
      </c>
      <c r="C7232" s="405" t="s">
        <v>327</v>
      </c>
      <c r="D7232" s="405"/>
      <c r="E7232" s="410">
        <v>41152</v>
      </c>
      <c r="F7232" s="410">
        <v>41197</v>
      </c>
      <c r="G7232" s="405" t="s">
        <v>11662</v>
      </c>
      <c r="H7232" s="405">
        <v>772590953</v>
      </c>
      <c r="I7232" s="405"/>
      <c r="J7232" s="405">
        <v>1.0720400000000001</v>
      </c>
      <c r="K7232" s="405">
        <v>34.187570000000001</v>
      </c>
      <c r="L7232" s="405" t="s">
        <v>6866</v>
      </c>
      <c r="M7232" s="405" t="s">
        <v>9514</v>
      </c>
      <c r="N7232" s="405" t="s">
        <v>9529</v>
      </c>
      <c r="O7232" s="405" t="s">
        <v>11663</v>
      </c>
      <c r="P7232" s="405" t="s">
        <v>11664</v>
      </c>
      <c r="Q7232" s="411">
        <v>6</v>
      </c>
      <c r="R7232" s="405" t="s">
        <v>7224</v>
      </c>
      <c r="S7232" s="405" t="s">
        <v>17062</v>
      </c>
      <c r="T7232" s="405" t="s">
        <v>32102</v>
      </c>
      <c r="U7232" s="405" t="s">
        <v>319</v>
      </c>
    </row>
    <row r="7233" spans="1:21" hidden="1" x14ac:dyDescent="0.25">
      <c r="A7233" s="405" t="s">
        <v>310</v>
      </c>
      <c r="B7233" s="405" t="s">
        <v>20658</v>
      </c>
      <c r="C7233" s="405" t="s">
        <v>327</v>
      </c>
      <c r="D7233" s="405"/>
      <c r="E7233" s="410">
        <v>41152</v>
      </c>
      <c r="F7233" s="410">
        <v>41197</v>
      </c>
      <c r="G7233" s="405" t="s">
        <v>20659</v>
      </c>
      <c r="H7233" s="405">
        <v>782880448</v>
      </c>
      <c r="I7233" s="405">
        <v>777511911</v>
      </c>
      <c r="J7233" s="405">
        <v>1.6368327</v>
      </c>
      <c r="K7233" s="405">
        <v>31.6269794</v>
      </c>
      <c r="L7233" s="405" t="s">
        <v>590</v>
      </c>
      <c r="M7233" s="405" t="s">
        <v>19608</v>
      </c>
      <c r="N7233" s="405" t="s">
        <v>20218</v>
      </c>
      <c r="O7233" s="405" t="s">
        <v>20219</v>
      </c>
      <c r="P7233" s="405" t="s">
        <v>20660</v>
      </c>
      <c r="Q7233" s="411">
        <v>6</v>
      </c>
      <c r="R7233" s="405" t="s">
        <v>318</v>
      </c>
      <c r="S7233" s="405" t="s">
        <v>27079</v>
      </c>
      <c r="T7233" s="405" t="s">
        <v>32102</v>
      </c>
      <c r="U7233" s="405" t="s">
        <v>319</v>
      </c>
    </row>
    <row r="7234" spans="1:21" hidden="1" x14ac:dyDescent="0.25">
      <c r="A7234" s="405" t="s">
        <v>310</v>
      </c>
      <c r="B7234" s="405" t="s">
        <v>11665</v>
      </c>
      <c r="C7234" s="405" t="s">
        <v>327</v>
      </c>
      <c r="D7234" s="405"/>
      <c r="E7234" s="410">
        <v>41152</v>
      </c>
      <c r="F7234" s="410">
        <v>41197</v>
      </c>
      <c r="G7234" s="405" t="s">
        <v>11666</v>
      </c>
      <c r="H7234" s="405">
        <v>772373699</v>
      </c>
      <c r="I7234" s="405">
        <v>776426523</v>
      </c>
      <c r="J7234" s="405">
        <v>0.841221</v>
      </c>
      <c r="K7234" s="405">
        <v>33.899050000000003</v>
      </c>
      <c r="L7234" s="405" t="s">
        <v>6866</v>
      </c>
      <c r="M7234" s="405" t="s">
        <v>9566</v>
      </c>
      <c r="N7234" s="405" t="s">
        <v>9787</v>
      </c>
      <c r="O7234" s="405" t="s">
        <v>11667</v>
      </c>
      <c r="P7234" s="405" t="s">
        <v>11668</v>
      </c>
      <c r="Q7234" s="411">
        <v>6</v>
      </c>
      <c r="R7234" s="405" t="s">
        <v>7224</v>
      </c>
      <c r="S7234" s="405" t="s">
        <v>27298</v>
      </c>
      <c r="T7234" s="405" t="s">
        <v>32102</v>
      </c>
      <c r="U7234" s="405" t="s">
        <v>319</v>
      </c>
    </row>
    <row r="7235" spans="1:21" hidden="1" x14ac:dyDescent="0.25">
      <c r="A7235" s="405" t="s">
        <v>310</v>
      </c>
      <c r="B7235" s="405" t="s">
        <v>11669</v>
      </c>
      <c r="C7235" s="405" t="s">
        <v>327</v>
      </c>
      <c r="D7235" s="405"/>
      <c r="E7235" s="410">
        <v>41152</v>
      </c>
      <c r="F7235" s="410">
        <v>41197</v>
      </c>
      <c r="G7235" s="405" t="s">
        <v>11670</v>
      </c>
      <c r="H7235" s="405">
        <v>774615599</v>
      </c>
      <c r="I7235" s="405"/>
      <c r="J7235" s="405">
        <v>1.0021659999999999</v>
      </c>
      <c r="K7235" s="405">
        <v>34.088861999999999</v>
      </c>
      <c r="L7235" s="405" t="s">
        <v>6866</v>
      </c>
      <c r="M7235" s="405" t="s">
        <v>9566</v>
      </c>
      <c r="N7235" s="405" t="s">
        <v>10001</v>
      </c>
      <c r="O7235" s="405" t="s">
        <v>11178</v>
      </c>
      <c r="P7235" s="405" t="s">
        <v>11671</v>
      </c>
      <c r="Q7235" s="411">
        <v>6</v>
      </c>
      <c r="R7235" s="405" t="s">
        <v>9506</v>
      </c>
      <c r="S7235" s="405" t="s">
        <v>27335</v>
      </c>
      <c r="T7235" s="405" t="s">
        <v>32102</v>
      </c>
      <c r="U7235" s="405" t="s">
        <v>319</v>
      </c>
    </row>
    <row r="7236" spans="1:21" hidden="1" x14ac:dyDescent="0.25">
      <c r="A7236" s="405" t="s">
        <v>310</v>
      </c>
      <c r="B7236" s="405" t="s">
        <v>2802</v>
      </c>
      <c r="C7236" s="405" t="s">
        <v>327</v>
      </c>
      <c r="D7236" s="405"/>
      <c r="E7236" s="410">
        <v>41152</v>
      </c>
      <c r="F7236" s="410">
        <v>41197</v>
      </c>
      <c r="G7236" s="405" t="s">
        <v>2803</v>
      </c>
      <c r="H7236" s="405">
        <v>784722122</v>
      </c>
      <c r="I7236" s="405"/>
      <c r="J7236" s="405">
        <v>0.60716800000000004</v>
      </c>
      <c r="K7236" s="405">
        <v>33.009421000000003</v>
      </c>
      <c r="L7236" s="405" t="s">
        <v>314</v>
      </c>
      <c r="M7236" s="405" t="s">
        <v>502</v>
      </c>
      <c r="N7236" s="405" t="s">
        <v>503</v>
      </c>
      <c r="O7236" s="405" t="s">
        <v>2179</v>
      </c>
      <c r="P7236" s="405" t="s">
        <v>2466</v>
      </c>
      <c r="Q7236" s="411">
        <v>6</v>
      </c>
      <c r="R7236" s="405" t="s">
        <v>1263</v>
      </c>
      <c r="S7236" s="405" t="s">
        <v>27110</v>
      </c>
      <c r="T7236" s="405" t="s">
        <v>32102</v>
      </c>
      <c r="U7236" s="405" t="s">
        <v>319</v>
      </c>
    </row>
    <row r="7237" spans="1:21" hidden="1" x14ac:dyDescent="0.25">
      <c r="A7237" s="405" t="s">
        <v>310</v>
      </c>
      <c r="B7237" s="405" t="s">
        <v>2784</v>
      </c>
      <c r="C7237" s="405" t="s">
        <v>327</v>
      </c>
      <c r="D7237" s="405"/>
      <c r="E7237" s="410">
        <v>41152</v>
      </c>
      <c r="F7237" s="410">
        <v>41197</v>
      </c>
      <c r="G7237" s="405" t="s">
        <v>2785</v>
      </c>
      <c r="H7237" s="405">
        <v>782477239</v>
      </c>
      <c r="I7237" s="405"/>
      <c r="J7237" s="405">
        <v>0.54409166666666664</v>
      </c>
      <c r="K7237" s="405">
        <v>32.468168333333331</v>
      </c>
      <c r="L7237" s="405" t="s">
        <v>314</v>
      </c>
      <c r="M7237" s="405" t="s">
        <v>361</v>
      </c>
      <c r="N7237" s="405" t="s">
        <v>362</v>
      </c>
      <c r="O7237" s="405" t="s">
        <v>523</v>
      </c>
      <c r="P7237" s="405" t="s">
        <v>1249</v>
      </c>
      <c r="Q7237" s="411">
        <v>6</v>
      </c>
      <c r="R7237" s="405" t="s">
        <v>1263</v>
      </c>
      <c r="S7237" s="405" t="s">
        <v>27164</v>
      </c>
      <c r="T7237" s="405" t="s">
        <v>32102</v>
      </c>
      <c r="U7237" s="405" t="s">
        <v>319</v>
      </c>
    </row>
    <row r="7238" spans="1:21" hidden="1" x14ac:dyDescent="0.25">
      <c r="A7238" s="405" t="s">
        <v>310</v>
      </c>
      <c r="B7238" s="405" t="s">
        <v>92</v>
      </c>
      <c r="C7238" s="405" t="s">
        <v>327</v>
      </c>
      <c r="D7238" s="405"/>
      <c r="E7238" s="410">
        <v>41152</v>
      </c>
      <c r="F7238" s="410">
        <v>41197</v>
      </c>
      <c r="G7238" s="405" t="s">
        <v>2799</v>
      </c>
      <c r="H7238" s="405">
        <v>789747682</v>
      </c>
      <c r="I7238" s="405"/>
      <c r="J7238" s="405">
        <v>0.54409166666666664</v>
      </c>
      <c r="K7238" s="405">
        <v>32.468168333333331</v>
      </c>
      <c r="L7238" s="405" t="s">
        <v>314</v>
      </c>
      <c r="M7238" s="405" t="s">
        <v>361</v>
      </c>
      <c r="N7238" s="405" t="s">
        <v>362</v>
      </c>
      <c r="O7238" s="405" t="s">
        <v>2800</v>
      </c>
      <c r="P7238" s="405" t="s">
        <v>2801</v>
      </c>
      <c r="Q7238" s="411">
        <v>6</v>
      </c>
      <c r="R7238" s="405" t="s">
        <v>1263</v>
      </c>
      <c r="S7238" s="405" t="s">
        <v>27196</v>
      </c>
      <c r="T7238" s="405" t="s">
        <v>32102</v>
      </c>
      <c r="U7238" s="405" t="s">
        <v>319</v>
      </c>
    </row>
    <row r="7239" spans="1:21" hidden="1" x14ac:dyDescent="0.25">
      <c r="A7239" s="405" t="s">
        <v>310</v>
      </c>
      <c r="B7239" s="405" t="s">
        <v>2804</v>
      </c>
      <c r="C7239" s="405" t="s">
        <v>327</v>
      </c>
      <c r="D7239" s="405"/>
      <c r="E7239" s="410">
        <v>41152</v>
      </c>
      <c r="F7239" s="410">
        <v>41197</v>
      </c>
      <c r="G7239" s="405" t="s">
        <v>2805</v>
      </c>
      <c r="H7239" s="405">
        <v>751877857</v>
      </c>
      <c r="I7239" s="405"/>
      <c r="J7239" s="405">
        <v>0.50259666666666669</v>
      </c>
      <c r="K7239" s="405">
        <v>32.454581666666662</v>
      </c>
      <c r="L7239" s="405" t="s">
        <v>314</v>
      </c>
      <c r="M7239" s="405" t="s">
        <v>361</v>
      </c>
      <c r="N7239" s="405" t="s">
        <v>362</v>
      </c>
      <c r="O7239" s="405" t="s">
        <v>523</v>
      </c>
      <c r="P7239" s="405" t="s">
        <v>2806</v>
      </c>
      <c r="Q7239" s="411">
        <v>6</v>
      </c>
      <c r="R7239" s="405" t="s">
        <v>1263</v>
      </c>
      <c r="S7239" s="405" t="s">
        <v>27108</v>
      </c>
      <c r="T7239" s="405" t="s">
        <v>32102</v>
      </c>
      <c r="U7239" s="405" t="s">
        <v>319</v>
      </c>
    </row>
    <row r="7240" spans="1:21" hidden="1" x14ac:dyDescent="0.25">
      <c r="A7240" s="405" t="s">
        <v>310</v>
      </c>
      <c r="B7240" s="405" t="s">
        <v>11675</v>
      </c>
      <c r="C7240" s="405" t="s">
        <v>327</v>
      </c>
      <c r="D7240" s="405"/>
      <c r="E7240" s="410">
        <v>41152</v>
      </c>
      <c r="F7240" s="410">
        <v>41197</v>
      </c>
      <c r="G7240" s="405" t="s">
        <v>11676</v>
      </c>
      <c r="H7240" s="405">
        <v>785075782</v>
      </c>
      <c r="I7240" s="405">
        <v>705569223</v>
      </c>
      <c r="J7240" s="405">
        <v>1.0237309999999999</v>
      </c>
      <c r="K7240" s="405">
        <v>34.059103</v>
      </c>
      <c r="L7240" s="405" t="s">
        <v>6866</v>
      </c>
      <c r="M7240" s="405" t="s">
        <v>9566</v>
      </c>
      <c r="N7240" s="405" t="s">
        <v>10001</v>
      </c>
      <c r="O7240" s="405" t="s">
        <v>11178</v>
      </c>
      <c r="P7240" s="405" t="s">
        <v>11677</v>
      </c>
      <c r="Q7240" s="411">
        <v>6</v>
      </c>
      <c r="R7240" s="405" t="s">
        <v>7224</v>
      </c>
      <c r="S7240" s="405" t="s">
        <v>27142</v>
      </c>
      <c r="T7240" s="405" t="s">
        <v>32102</v>
      </c>
      <c r="U7240" s="405" t="s">
        <v>319</v>
      </c>
    </row>
    <row r="7241" spans="1:21" hidden="1" x14ac:dyDescent="0.25">
      <c r="A7241" s="405" t="s">
        <v>310</v>
      </c>
      <c r="B7241" s="405" t="s">
        <v>11730</v>
      </c>
      <c r="C7241" s="405" t="s">
        <v>327</v>
      </c>
      <c r="D7241" s="405"/>
      <c r="E7241" s="410">
        <v>41152</v>
      </c>
      <c r="F7241" s="410">
        <v>41197</v>
      </c>
      <c r="G7241" s="405" t="s">
        <v>11731</v>
      </c>
      <c r="H7241" s="405">
        <v>772935809</v>
      </c>
      <c r="I7241" s="405"/>
      <c r="J7241" s="405">
        <v>0.88601399999999997</v>
      </c>
      <c r="K7241" s="405">
        <v>34.298383999999999</v>
      </c>
      <c r="L7241" s="405" t="s">
        <v>6866</v>
      </c>
      <c r="M7241" s="405" t="s">
        <v>9763</v>
      </c>
      <c r="N7241" s="405" t="s">
        <v>9764</v>
      </c>
      <c r="O7241" s="405" t="s">
        <v>10789</v>
      </c>
      <c r="P7241" s="405" t="s">
        <v>11732</v>
      </c>
      <c r="Q7241" s="411">
        <v>4</v>
      </c>
      <c r="R7241" s="405" t="s">
        <v>7224</v>
      </c>
      <c r="S7241" s="405" t="s">
        <v>17013</v>
      </c>
      <c r="T7241" s="405" t="s">
        <v>32102</v>
      </c>
      <c r="U7241" s="405" t="s">
        <v>319</v>
      </c>
    </row>
    <row r="7242" spans="1:21" hidden="1" x14ac:dyDescent="0.25">
      <c r="A7242" s="405" t="s">
        <v>310</v>
      </c>
      <c r="B7242" s="405" t="s">
        <v>11678</v>
      </c>
      <c r="C7242" s="405" t="s">
        <v>327</v>
      </c>
      <c r="D7242" s="405"/>
      <c r="E7242" s="410">
        <v>41152</v>
      </c>
      <c r="F7242" s="410">
        <v>41197</v>
      </c>
      <c r="G7242" s="405" t="s">
        <v>11679</v>
      </c>
      <c r="H7242" s="405">
        <v>782644493</v>
      </c>
      <c r="I7242" s="405"/>
      <c r="J7242" s="405">
        <v>0.92071899999999995</v>
      </c>
      <c r="K7242" s="405">
        <v>34.225374000000002</v>
      </c>
      <c r="L7242" s="405" t="s">
        <v>6866</v>
      </c>
      <c r="M7242" s="405" t="s">
        <v>9763</v>
      </c>
      <c r="N7242" s="405" t="s">
        <v>9764</v>
      </c>
      <c r="O7242" s="405" t="s">
        <v>11680</v>
      </c>
      <c r="P7242" s="405" t="s">
        <v>11681</v>
      </c>
      <c r="Q7242" s="411">
        <v>4</v>
      </c>
      <c r="R7242" s="405" t="s">
        <v>7224</v>
      </c>
      <c r="S7242" s="405" t="s">
        <v>27074</v>
      </c>
      <c r="T7242" s="405" t="s">
        <v>32102</v>
      </c>
      <c r="U7242" s="405" t="s">
        <v>319</v>
      </c>
    </row>
    <row r="7243" spans="1:21" hidden="1" x14ac:dyDescent="0.25">
      <c r="A7243" s="405" t="s">
        <v>310</v>
      </c>
      <c r="B7243" s="405" t="s">
        <v>11682</v>
      </c>
      <c r="C7243" s="405" t="s">
        <v>327</v>
      </c>
      <c r="D7243" s="405"/>
      <c r="E7243" s="410">
        <v>41151</v>
      </c>
      <c r="F7243" s="410">
        <v>41196</v>
      </c>
      <c r="G7243" s="405" t="s">
        <v>11683</v>
      </c>
      <c r="H7243" s="405">
        <v>756690208</v>
      </c>
      <c r="I7243" s="405">
        <v>750192467</v>
      </c>
      <c r="J7243" s="405">
        <v>1.5456620000000001</v>
      </c>
      <c r="K7243" s="405">
        <v>33.426183000000002</v>
      </c>
      <c r="L7243" s="405" t="s">
        <v>6866</v>
      </c>
      <c r="M7243" s="405" t="s">
        <v>9658</v>
      </c>
      <c r="N7243" s="405" t="s">
        <v>9658</v>
      </c>
      <c r="O7243" s="405" t="s">
        <v>9659</v>
      </c>
      <c r="P7243" s="405" t="s">
        <v>11684</v>
      </c>
      <c r="Q7243" s="411">
        <v>9</v>
      </c>
      <c r="R7243" s="405" t="s">
        <v>5655</v>
      </c>
      <c r="S7243" s="405" t="s">
        <v>27324</v>
      </c>
      <c r="T7243" s="405" t="s">
        <v>32102</v>
      </c>
      <c r="U7243" s="405" t="s">
        <v>319</v>
      </c>
    </row>
    <row r="7244" spans="1:21" hidden="1" x14ac:dyDescent="0.25">
      <c r="A7244" s="405" t="s">
        <v>310</v>
      </c>
      <c r="B7244" s="405" t="s">
        <v>2859</v>
      </c>
      <c r="C7244" s="405" t="s">
        <v>327</v>
      </c>
      <c r="D7244" s="405"/>
      <c r="E7244" s="410">
        <v>41151</v>
      </c>
      <c r="F7244" s="410">
        <v>41196</v>
      </c>
      <c r="G7244" s="405" t="s">
        <v>2860</v>
      </c>
      <c r="H7244" s="405">
        <v>777090549</v>
      </c>
      <c r="I7244" s="405"/>
      <c r="J7244" s="405">
        <v>0.67619499999999999</v>
      </c>
      <c r="K7244" s="405">
        <v>32.052399999999999</v>
      </c>
      <c r="L7244" s="405" t="s">
        <v>314</v>
      </c>
      <c r="M7244" s="405" t="s">
        <v>2537</v>
      </c>
      <c r="N7244" s="405" t="s">
        <v>2757</v>
      </c>
      <c r="O7244" s="405" t="s">
        <v>2858</v>
      </c>
      <c r="P7244" s="405" t="s">
        <v>2861</v>
      </c>
      <c r="Q7244" s="411">
        <v>6</v>
      </c>
      <c r="R7244" s="405" t="s">
        <v>318</v>
      </c>
      <c r="S7244" s="405" t="s">
        <v>27152</v>
      </c>
      <c r="T7244" s="405" t="s">
        <v>32102</v>
      </c>
      <c r="U7244" s="405" t="s">
        <v>319</v>
      </c>
    </row>
    <row r="7245" spans="1:21" hidden="1" x14ac:dyDescent="0.25">
      <c r="A7245" s="405" t="s">
        <v>310</v>
      </c>
      <c r="B7245" s="405" t="s">
        <v>11751</v>
      </c>
      <c r="C7245" s="405" t="s">
        <v>327</v>
      </c>
      <c r="D7245" s="405"/>
      <c r="E7245" s="410">
        <v>41151</v>
      </c>
      <c r="F7245" s="410">
        <v>41196</v>
      </c>
      <c r="G7245" s="405" t="s">
        <v>11752</v>
      </c>
      <c r="H7245" s="405">
        <v>772957774</v>
      </c>
      <c r="I7245" s="405"/>
      <c r="J7245" s="405">
        <v>0.59787000000000001</v>
      </c>
      <c r="K7245" s="405">
        <v>33.964759999999998</v>
      </c>
      <c r="L7245" s="405" t="s">
        <v>6866</v>
      </c>
      <c r="M7245" s="405" t="s">
        <v>9534</v>
      </c>
      <c r="N7245" s="405" t="s">
        <v>10113</v>
      </c>
      <c r="O7245" s="405" t="s">
        <v>10248</v>
      </c>
      <c r="P7245" s="405" t="s">
        <v>11753</v>
      </c>
      <c r="Q7245" s="411">
        <v>6</v>
      </c>
      <c r="R7245" s="405" t="s">
        <v>9541</v>
      </c>
      <c r="S7245" s="405" t="s">
        <v>27320</v>
      </c>
      <c r="T7245" s="405" t="s">
        <v>32102</v>
      </c>
      <c r="U7245" s="405" t="s">
        <v>319</v>
      </c>
    </row>
    <row r="7246" spans="1:21" hidden="1" x14ac:dyDescent="0.25">
      <c r="A7246" s="405" t="s">
        <v>310</v>
      </c>
      <c r="B7246" s="405" t="s">
        <v>29127</v>
      </c>
      <c r="C7246" s="405" t="s">
        <v>327</v>
      </c>
      <c r="D7246" s="405"/>
      <c r="E7246" s="410">
        <v>41151</v>
      </c>
      <c r="F7246" s="410">
        <v>41196</v>
      </c>
      <c r="G7246" s="405" t="s">
        <v>11733</v>
      </c>
      <c r="H7246" s="405">
        <v>782503266</v>
      </c>
      <c r="I7246" s="405">
        <v>772060395</v>
      </c>
      <c r="J7246" s="405">
        <v>0.88714199999999999</v>
      </c>
      <c r="K7246" s="405">
        <v>34.300350999999999</v>
      </c>
      <c r="L7246" s="405" t="s">
        <v>6866</v>
      </c>
      <c r="M7246" s="405" t="s">
        <v>9763</v>
      </c>
      <c r="N7246" s="405" t="s">
        <v>9764</v>
      </c>
      <c r="O7246" s="405" t="s">
        <v>10789</v>
      </c>
      <c r="P7246" s="405" t="s">
        <v>10790</v>
      </c>
      <c r="Q7246" s="411">
        <v>4</v>
      </c>
      <c r="R7246" s="405" t="s">
        <v>7224</v>
      </c>
      <c r="S7246" s="405" t="s">
        <v>27309</v>
      </c>
      <c r="T7246" s="405" t="s">
        <v>32102</v>
      </c>
      <c r="U7246" s="405" t="s">
        <v>319</v>
      </c>
    </row>
    <row r="7247" spans="1:21" hidden="1" x14ac:dyDescent="0.25">
      <c r="A7247" s="405" t="s">
        <v>310</v>
      </c>
      <c r="B7247" s="405" t="s">
        <v>2865</v>
      </c>
      <c r="C7247" s="405" t="s">
        <v>327</v>
      </c>
      <c r="D7247" s="405"/>
      <c r="E7247" s="410">
        <v>41150</v>
      </c>
      <c r="F7247" s="410">
        <v>41195</v>
      </c>
      <c r="G7247" s="405" t="s">
        <v>2866</v>
      </c>
      <c r="H7247" s="405">
        <v>779555351</v>
      </c>
      <c r="I7247" s="405"/>
      <c r="J7247" s="405">
        <v>0.74530300000000005</v>
      </c>
      <c r="K7247" s="405">
        <v>32.016482000000003</v>
      </c>
      <c r="L7247" s="405" t="s">
        <v>314</v>
      </c>
      <c r="M7247" s="405" t="s">
        <v>2537</v>
      </c>
      <c r="N7247" s="405" t="s">
        <v>2537</v>
      </c>
      <c r="O7247" s="405" t="s">
        <v>2858</v>
      </c>
      <c r="P7247" s="405" t="s">
        <v>2867</v>
      </c>
      <c r="Q7247" s="411">
        <v>6</v>
      </c>
      <c r="R7247" s="405" t="s">
        <v>318</v>
      </c>
      <c r="S7247" s="405" t="s">
        <v>27137</v>
      </c>
      <c r="T7247" s="405" t="s">
        <v>32102</v>
      </c>
      <c r="U7247" s="405" t="s">
        <v>319</v>
      </c>
    </row>
    <row r="7248" spans="1:21" hidden="1" x14ac:dyDescent="0.25">
      <c r="A7248" s="405" t="s">
        <v>310</v>
      </c>
      <c r="B7248" s="405" t="s">
        <v>11715</v>
      </c>
      <c r="C7248" s="405" t="s">
        <v>327</v>
      </c>
      <c r="D7248" s="405"/>
      <c r="E7248" s="410">
        <v>41149</v>
      </c>
      <c r="F7248" s="410">
        <v>41194</v>
      </c>
      <c r="G7248" s="405" t="s">
        <v>11716</v>
      </c>
      <c r="H7248" s="405">
        <v>779351559</v>
      </c>
      <c r="I7248" s="405"/>
      <c r="J7248" s="405">
        <v>0.72201800000000005</v>
      </c>
      <c r="K7248" s="405">
        <v>33.476207000000002</v>
      </c>
      <c r="L7248" s="405" t="s">
        <v>6866</v>
      </c>
      <c r="M7248" s="405" t="s">
        <v>10853</v>
      </c>
      <c r="N7248" s="405" t="s">
        <v>4802</v>
      </c>
      <c r="O7248" s="405" t="s">
        <v>11717</v>
      </c>
      <c r="P7248" s="405" t="s">
        <v>11718</v>
      </c>
      <c r="Q7248" s="411">
        <v>12</v>
      </c>
      <c r="R7248" s="405" t="s">
        <v>333</v>
      </c>
      <c r="S7248" s="405" t="s">
        <v>27073</v>
      </c>
      <c r="T7248" s="405" t="s">
        <v>32102</v>
      </c>
      <c r="U7248" s="405" t="s">
        <v>319</v>
      </c>
    </row>
    <row r="7249" spans="1:21" hidden="1" x14ac:dyDescent="0.25">
      <c r="A7249" s="405" t="s">
        <v>310</v>
      </c>
      <c r="B7249" s="405" t="s">
        <v>11712</v>
      </c>
      <c r="C7249" s="405" t="s">
        <v>327</v>
      </c>
      <c r="D7249" s="405"/>
      <c r="E7249" s="410">
        <v>41149</v>
      </c>
      <c r="F7249" s="410">
        <v>41194</v>
      </c>
      <c r="G7249" s="405" t="s">
        <v>11713</v>
      </c>
      <c r="H7249" s="405">
        <v>789538359</v>
      </c>
      <c r="I7249" s="405"/>
      <c r="J7249" s="405">
        <v>1.047847</v>
      </c>
      <c r="K7249" s="405">
        <v>34.347951999999999</v>
      </c>
      <c r="L7249" s="405" t="s">
        <v>6866</v>
      </c>
      <c r="M7249" s="405" t="s">
        <v>6867</v>
      </c>
      <c r="N7249" s="405" t="s">
        <v>6868</v>
      </c>
      <c r="O7249" s="405" t="s">
        <v>9736</v>
      </c>
      <c r="P7249" s="405" t="s">
        <v>11714</v>
      </c>
      <c r="Q7249" s="411">
        <v>4</v>
      </c>
      <c r="R7249" s="405" t="s">
        <v>7224</v>
      </c>
      <c r="S7249" s="405" t="s">
        <v>27074</v>
      </c>
      <c r="T7249" s="405" t="s">
        <v>32102</v>
      </c>
      <c r="U7249" s="405" t="s">
        <v>319</v>
      </c>
    </row>
    <row r="7250" spans="1:21" hidden="1" x14ac:dyDescent="0.25">
      <c r="A7250" s="405" t="s">
        <v>310</v>
      </c>
      <c r="B7250" s="405" t="s">
        <v>20672</v>
      </c>
      <c r="C7250" s="405" t="s">
        <v>327</v>
      </c>
      <c r="D7250" s="405"/>
      <c r="E7250" s="410">
        <v>41148</v>
      </c>
      <c r="F7250" s="410">
        <v>41193</v>
      </c>
      <c r="G7250" s="405" t="s">
        <v>20673</v>
      </c>
      <c r="H7250" s="405">
        <v>782165842</v>
      </c>
      <c r="I7250" s="405"/>
      <c r="J7250" s="405">
        <v>-0.94783300000000004</v>
      </c>
      <c r="K7250" s="405">
        <v>30.762042000000001</v>
      </c>
      <c r="L7250" s="405" t="s">
        <v>590</v>
      </c>
      <c r="M7250" s="405" t="s">
        <v>879</v>
      </c>
      <c r="N7250" s="405" t="s">
        <v>879</v>
      </c>
      <c r="O7250" s="405" t="s">
        <v>20484</v>
      </c>
      <c r="P7250" s="405" t="s">
        <v>20484</v>
      </c>
      <c r="Q7250" s="411">
        <v>12</v>
      </c>
      <c r="R7250" s="405" t="s">
        <v>333</v>
      </c>
      <c r="S7250" s="405" t="s">
        <v>27097</v>
      </c>
      <c r="T7250" s="405" t="s">
        <v>32102</v>
      </c>
      <c r="U7250" s="405" t="s">
        <v>319</v>
      </c>
    </row>
    <row r="7251" spans="1:21" hidden="1" x14ac:dyDescent="0.25">
      <c r="A7251" s="405" t="s">
        <v>310</v>
      </c>
      <c r="B7251" s="405" t="s">
        <v>20670</v>
      </c>
      <c r="C7251" s="405" t="s">
        <v>327</v>
      </c>
      <c r="D7251" s="405"/>
      <c r="E7251" s="410">
        <v>41148</v>
      </c>
      <c r="F7251" s="410">
        <v>41193</v>
      </c>
      <c r="G7251" s="405" t="s">
        <v>20671</v>
      </c>
      <c r="H7251" s="405">
        <v>752536376</v>
      </c>
      <c r="I7251" s="405"/>
      <c r="J7251" s="405">
        <v>-0.90915000000000001</v>
      </c>
      <c r="K7251" s="405">
        <v>30.846260000000001</v>
      </c>
      <c r="L7251" s="405" t="s">
        <v>590</v>
      </c>
      <c r="M7251" s="405" t="s">
        <v>879</v>
      </c>
      <c r="N7251" s="405" t="s">
        <v>12376</v>
      </c>
      <c r="O7251" s="405" t="s">
        <v>20176</v>
      </c>
      <c r="P7251" s="405" t="s">
        <v>20261</v>
      </c>
      <c r="Q7251" s="411">
        <v>9</v>
      </c>
      <c r="R7251" s="405" t="s">
        <v>333</v>
      </c>
      <c r="S7251" s="405" t="s">
        <v>27104</v>
      </c>
      <c r="T7251" s="405" t="s">
        <v>32102</v>
      </c>
      <c r="U7251" s="405" t="s">
        <v>319</v>
      </c>
    </row>
    <row r="7252" spans="1:21" hidden="1" x14ac:dyDescent="0.25">
      <c r="A7252" s="405" t="s">
        <v>310</v>
      </c>
      <c r="B7252" s="405" t="s">
        <v>2844</v>
      </c>
      <c r="C7252" s="405" t="s">
        <v>327</v>
      </c>
      <c r="D7252" s="405"/>
      <c r="E7252" s="410">
        <v>41148</v>
      </c>
      <c r="F7252" s="410">
        <v>41193</v>
      </c>
      <c r="G7252" s="405" t="s">
        <v>2845</v>
      </c>
      <c r="H7252" s="405">
        <v>782913495</v>
      </c>
      <c r="I7252" s="405"/>
      <c r="J7252" s="405">
        <v>1.0428550000000001</v>
      </c>
      <c r="K7252" s="405">
        <v>32.470914999999998</v>
      </c>
      <c r="L7252" s="405" t="s">
        <v>314</v>
      </c>
      <c r="M7252" s="405" t="s">
        <v>2512</v>
      </c>
      <c r="N7252" s="405" t="s">
        <v>2512</v>
      </c>
      <c r="O7252" s="405" t="s">
        <v>2513</v>
      </c>
      <c r="P7252" s="405" t="s">
        <v>2513</v>
      </c>
      <c r="Q7252" s="411">
        <v>6</v>
      </c>
      <c r="R7252" s="405" t="s">
        <v>32476</v>
      </c>
      <c r="S7252" s="405" t="s">
        <v>27193</v>
      </c>
      <c r="T7252" s="405" t="s">
        <v>32102</v>
      </c>
      <c r="U7252" s="405" t="s">
        <v>319</v>
      </c>
    </row>
    <row r="7253" spans="1:21" hidden="1" x14ac:dyDescent="0.25">
      <c r="A7253" s="405" t="s">
        <v>310</v>
      </c>
      <c r="B7253" s="405" t="s">
        <v>2820</v>
      </c>
      <c r="C7253" s="405" t="s">
        <v>327</v>
      </c>
      <c r="D7253" s="405"/>
      <c r="E7253" s="410">
        <v>41147</v>
      </c>
      <c r="F7253" s="410">
        <v>41192</v>
      </c>
      <c r="G7253" s="405" t="s">
        <v>2821</v>
      </c>
      <c r="H7253" s="405">
        <v>754150462</v>
      </c>
      <c r="I7253" s="405"/>
      <c r="J7253" s="405">
        <v>-0.2401134</v>
      </c>
      <c r="K7253" s="405">
        <v>31.7606848</v>
      </c>
      <c r="L7253" s="405" t="s">
        <v>314</v>
      </c>
      <c r="M7253" s="405" t="s">
        <v>900</v>
      </c>
      <c r="N7253" s="405" t="s">
        <v>900</v>
      </c>
      <c r="O7253" s="405" t="s">
        <v>900</v>
      </c>
      <c r="P7253" s="405" t="s">
        <v>2822</v>
      </c>
      <c r="Q7253" s="411">
        <v>6</v>
      </c>
      <c r="R7253" s="405" t="s">
        <v>402</v>
      </c>
      <c r="S7253" s="405" t="s">
        <v>27154</v>
      </c>
      <c r="T7253" s="405" t="s">
        <v>32102</v>
      </c>
      <c r="U7253" s="405" t="s">
        <v>319</v>
      </c>
    </row>
    <row r="7254" spans="1:21" hidden="1" x14ac:dyDescent="0.25">
      <c r="A7254" s="405" t="s">
        <v>310</v>
      </c>
      <c r="B7254" s="405" t="s">
        <v>2808</v>
      </c>
      <c r="C7254" s="405" t="s">
        <v>327</v>
      </c>
      <c r="D7254" s="405"/>
      <c r="E7254" s="410">
        <v>41147</v>
      </c>
      <c r="F7254" s="410">
        <v>41192</v>
      </c>
      <c r="G7254" s="405" t="s">
        <v>2809</v>
      </c>
      <c r="H7254" s="405">
        <v>772934473</v>
      </c>
      <c r="I7254" s="405"/>
      <c r="J7254" s="405">
        <v>8.6651800000000001E-2</v>
      </c>
      <c r="K7254" s="405">
        <v>32.139915600000002</v>
      </c>
      <c r="L7254" s="405" t="s">
        <v>314</v>
      </c>
      <c r="M7254" s="405" t="s">
        <v>321</v>
      </c>
      <c r="N7254" s="405" t="s">
        <v>322</v>
      </c>
      <c r="O7254" s="405" t="s">
        <v>476</v>
      </c>
      <c r="P7254" s="405" t="s">
        <v>2810</v>
      </c>
      <c r="Q7254" s="411">
        <v>6</v>
      </c>
      <c r="R7254" s="405" t="s">
        <v>32476</v>
      </c>
      <c r="S7254" s="405" t="s">
        <v>27204</v>
      </c>
      <c r="T7254" s="405" t="s">
        <v>32102</v>
      </c>
      <c r="U7254" s="405" t="s">
        <v>319</v>
      </c>
    </row>
    <row r="7255" spans="1:21" hidden="1" x14ac:dyDescent="0.25">
      <c r="A7255" s="405" t="s">
        <v>310</v>
      </c>
      <c r="B7255" s="405" t="s">
        <v>11754</v>
      </c>
      <c r="C7255" s="405" t="s">
        <v>327</v>
      </c>
      <c r="D7255" s="405"/>
      <c r="E7255" s="410">
        <v>41147</v>
      </c>
      <c r="F7255" s="410">
        <v>41192</v>
      </c>
      <c r="G7255" s="405" t="s">
        <v>11755</v>
      </c>
      <c r="H7255" s="405">
        <v>703600438</v>
      </c>
      <c r="I7255" s="405"/>
      <c r="J7255" s="405">
        <v>0.93381599999999998</v>
      </c>
      <c r="K7255" s="405">
        <v>34.338614</v>
      </c>
      <c r="L7255" s="405" t="s">
        <v>6866</v>
      </c>
      <c r="M7255" s="405" t="s">
        <v>9763</v>
      </c>
      <c r="N7255" s="405" t="s">
        <v>9848</v>
      </c>
      <c r="O7255" s="405" t="s">
        <v>11291</v>
      </c>
      <c r="P7255" s="405" t="s">
        <v>11756</v>
      </c>
      <c r="Q7255" s="411">
        <v>4</v>
      </c>
      <c r="R7255" s="405" t="s">
        <v>7224</v>
      </c>
      <c r="S7255" s="405" t="s">
        <v>27107</v>
      </c>
      <c r="T7255" s="405" t="s">
        <v>32102</v>
      </c>
      <c r="U7255" s="405" t="s">
        <v>319</v>
      </c>
    </row>
    <row r="7256" spans="1:21" hidden="1" x14ac:dyDescent="0.25">
      <c r="A7256" s="405" t="s">
        <v>310</v>
      </c>
      <c r="B7256" s="405" t="s">
        <v>12176</v>
      </c>
      <c r="C7256" s="405" t="s">
        <v>311</v>
      </c>
      <c r="D7256" s="405" t="s">
        <v>3381</v>
      </c>
      <c r="E7256" s="410">
        <v>41146</v>
      </c>
      <c r="F7256" s="410">
        <v>41191</v>
      </c>
      <c r="G7256" s="405" t="s">
        <v>12177</v>
      </c>
      <c r="H7256" s="405">
        <v>774052537</v>
      </c>
      <c r="I7256" s="405">
        <v>752052537</v>
      </c>
      <c r="J7256" s="405">
        <v>0.861039</v>
      </c>
      <c r="K7256" s="405">
        <v>34.384675999999999</v>
      </c>
      <c r="L7256" s="405" t="s">
        <v>6866</v>
      </c>
      <c r="M7256" s="405" t="s">
        <v>9763</v>
      </c>
      <c r="N7256" s="405" t="s">
        <v>9848</v>
      </c>
      <c r="O7256" s="405" t="s">
        <v>1831</v>
      </c>
      <c r="P7256" s="405" t="s">
        <v>11772</v>
      </c>
      <c r="Q7256" s="411">
        <v>9</v>
      </c>
      <c r="R7256" s="405" t="s">
        <v>9541</v>
      </c>
      <c r="S7256" s="405" t="s">
        <v>27294</v>
      </c>
      <c r="T7256" s="405" t="s">
        <v>32102</v>
      </c>
      <c r="U7256" s="405" t="s">
        <v>319</v>
      </c>
    </row>
    <row r="7257" spans="1:21" hidden="1" x14ac:dyDescent="0.25">
      <c r="A7257" s="405" t="s">
        <v>310</v>
      </c>
      <c r="B7257" s="405" t="s">
        <v>2829</v>
      </c>
      <c r="C7257" s="405" t="s">
        <v>327</v>
      </c>
      <c r="D7257" s="405"/>
      <c r="E7257" s="410">
        <v>41146</v>
      </c>
      <c r="F7257" s="410">
        <v>41191</v>
      </c>
      <c r="G7257" s="405" t="s">
        <v>2830</v>
      </c>
      <c r="H7257" s="405">
        <v>757546645</v>
      </c>
      <c r="I7257" s="405">
        <v>751715701</v>
      </c>
      <c r="J7257" s="405">
        <v>0.58277500000000004</v>
      </c>
      <c r="K7257" s="405">
        <v>31.839027999999999</v>
      </c>
      <c r="L7257" s="405" t="s">
        <v>314</v>
      </c>
      <c r="M7257" s="405" t="s">
        <v>445</v>
      </c>
      <c r="N7257" s="405" t="s">
        <v>570</v>
      </c>
      <c r="O7257" s="405" t="s">
        <v>571</v>
      </c>
      <c r="P7257" s="405" t="s">
        <v>2831</v>
      </c>
      <c r="Q7257" s="411">
        <v>6</v>
      </c>
      <c r="R7257" s="405" t="s">
        <v>318</v>
      </c>
      <c r="S7257" s="405" t="s">
        <v>27141</v>
      </c>
      <c r="T7257" s="405" t="s">
        <v>32102</v>
      </c>
      <c r="U7257" s="405" t="s">
        <v>319</v>
      </c>
    </row>
    <row r="7258" spans="1:21" hidden="1" x14ac:dyDescent="0.25">
      <c r="A7258" s="405" t="s">
        <v>310</v>
      </c>
      <c r="B7258" s="405" t="s">
        <v>2842</v>
      </c>
      <c r="C7258" s="405" t="s">
        <v>327</v>
      </c>
      <c r="D7258" s="405"/>
      <c r="E7258" s="410">
        <v>41146</v>
      </c>
      <c r="F7258" s="410">
        <v>41191</v>
      </c>
      <c r="G7258" s="405" t="s">
        <v>2843</v>
      </c>
      <c r="H7258" s="405">
        <v>754037200</v>
      </c>
      <c r="I7258" s="405"/>
      <c r="J7258" s="405">
        <v>0.19082299999999999</v>
      </c>
      <c r="K7258" s="405">
        <v>31.648838000000001</v>
      </c>
      <c r="L7258" s="405" t="s">
        <v>314</v>
      </c>
      <c r="M7258" s="405" t="s">
        <v>339</v>
      </c>
      <c r="N7258" s="405" t="s">
        <v>339</v>
      </c>
      <c r="O7258" s="405" t="s">
        <v>1662</v>
      </c>
      <c r="P7258" s="405" t="s">
        <v>2841</v>
      </c>
      <c r="Q7258" s="411">
        <v>6</v>
      </c>
      <c r="R7258" s="405" t="s">
        <v>318</v>
      </c>
      <c r="S7258" s="405" t="s">
        <v>27134</v>
      </c>
      <c r="T7258" s="405" t="s">
        <v>32102</v>
      </c>
      <c r="U7258" s="405" t="s">
        <v>319</v>
      </c>
    </row>
    <row r="7259" spans="1:21" hidden="1" x14ac:dyDescent="0.25">
      <c r="A7259" s="405" t="s">
        <v>310</v>
      </c>
      <c r="B7259" s="405" t="s">
        <v>27767</v>
      </c>
      <c r="C7259" s="405" t="s">
        <v>857</v>
      </c>
      <c r="D7259" s="405" t="s">
        <v>33094</v>
      </c>
      <c r="E7259" s="410">
        <v>41145</v>
      </c>
      <c r="F7259" s="410">
        <v>41190</v>
      </c>
      <c r="G7259" s="405" t="s">
        <v>11747</v>
      </c>
      <c r="H7259" s="405">
        <v>778071094</v>
      </c>
      <c r="I7259" s="405"/>
      <c r="J7259" s="405">
        <v>1.054327</v>
      </c>
      <c r="K7259" s="405">
        <v>34.338712000000001</v>
      </c>
      <c r="L7259" s="405" t="s">
        <v>6866</v>
      </c>
      <c r="M7259" s="405" t="s">
        <v>6867</v>
      </c>
      <c r="N7259" s="405" t="s">
        <v>6868</v>
      </c>
      <c r="O7259" s="405" t="s">
        <v>6869</v>
      </c>
      <c r="P7259" s="405" t="s">
        <v>11748</v>
      </c>
      <c r="Q7259" s="411">
        <v>6</v>
      </c>
      <c r="R7259" s="405" t="s">
        <v>7224</v>
      </c>
      <c r="S7259" s="405" t="s">
        <v>27074</v>
      </c>
      <c r="T7259" s="405" t="s">
        <v>32102</v>
      </c>
      <c r="U7259" s="405" t="s">
        <v>319</v>
      </c>
    </row>
    <row r="7260" spans="1:21" hidden="1" x14ac:dyDescent="0.25">
      <c r="A7260" s="405" t="s">
        <v>310</v>
      </c>
      <c r="B7260" s="405" t="s">
        <v>11656</v>
      </c>
      <c r="C7260" s="405" t="s">
        <v>327</v>
      </c>
      <c r="D7260" s="405"/>
      <c r="E7260" s="410">
        <v>41145</v>
      </c>
      <c r="F7260" s="410">
        <v>41190</v>
      </c>
      <c r="G7260" s="405" t="s">
        <v>11657</v>
      </c>
      <c r="H7260" s="405">
        <v>785863380</v>
      </c>
      <c r="I7260" s="405"/>
      <c r="J7260" s="405">
        <v>1.096265</v>
      </c>
      <c r="K7260" s="405">
        <v>34.191094999999997</v>
      </c>
      <c r="L7260" s="405" t="s">
        <v>6866</v>
      </c>
      <c r="M7260" s="405" t="s">
        <v>9514</v>
      </c>
      <c r="N7260" s="405" t="s">
        <v>9529</v>
      </c>
      <c r="O7260" s="405" t="s">
        <v>9530</v>
      </c>
      <c r="P7260" s="405" t="s">
        <v>9563</v>
      </c>
      <c r="Q7260" s="411">
        <v>6</v>
      </c>
      <c r="R7260" s="405" t="s">
        <v>7224</v>
      </c>
      <c r="S7260" s="405" t="s">
        <v>17062</v>
      </c>
      <c r="T7260" s="405" t="s">
        <v>32102</v>
      </c>
      <c r="U7260" s="405" t="s">
        <v>319</v>
      </c>
    </row>
    <row r="7261" spans="1:21" hidden="1" x14ac:dyDescent="0.25">
      <c r="A7261" s="405" t="s">
        <v>310</v>
      </c>
      <c r="B7261" s="405" t="s">
        <v>11688</v>
      </c>
      <c r="C7261" s="405" t="s">
        <v>327</v>
      </c>
      <c r="D7261" s="405"/>
      <c r="E7261" s="410">
        <v>41144</v>
      </c>
      <c r="F7261" s="410">
        <v>41189</v>
      </c>
      <c r="G7261" s="405" t="s">
        <v>11689</v>
      </c>
      <c r="H7261" s="405">
        <v>772465815</v>
      </c>
      <c r="I7261" s="405">
        <v>777046551</v>
      </c>
      <c r="J7261" s="405">
        <v>1.7099519999999999</v>
      </c>
      <c r="K7261" s="405">
        <v>33.587653000000003</v>
      </c>
      <c r="L7261" s="405" t="s">
        <v>6866</v>
      </c>
      <c r="M7261" s="405" t="s">
        <v>10515</v>
      </c>
      <c r="N7261" s="405" t="s">
        <v>10515</v>
      </c>
      <c r="O7261" s="405" t="s">
        <v>11068</v>
      </c>
      <c r="P7261" s="405" t="s">
        <v>11690</v>
      </c>
      <c r="Q7261" s="411">
        <v>6</v>
      </c>
      <c r="R7261" s="405" t="s">
        <v>5655</v>
      </c>
      <c r="S7261" s="405" t="s">
        <v>27337</v>
      </c>
      <c r="T7261" s="405" t="s">
        <v>32102</v>
      </c>
      <c r="U7261" s="405" t="s">
        <v>319</v>
      </c>
    </row>
    <row r="7262" spans="1:21" hidden="1" x14ac:dyDescent="0.25">
      <c r="A7262" s="405" t="s">
        <v>310</v>
      </c>
      <c r="B7262" s="405" t="s">
        <v>11672</v>
      </c>
      <c r="C7262" s="405" t="s">
        <v>327</v>
      </c>
      <c r="D7262" s="405"/>
      <c r="E7262" s="410">
        <v>41144</v>
      </c>
      <c r="F7262" s="410">
        <v>41189</v>
      </c>
      <c r="G7262" s="405" t="s">
        <v>11673</v>
      </c>
      <c r="H7262" s="405">
        <v>771452446</v>
      </c>
      <c r="I7262" s="405"/>
      <c r="J7262" s="405">
        <v>1.008318</v>
      </c>
      <c r="K7262" s="405">
        <v>34.078609999999998</v>
      </c>
      <c r="L7262" s="405" t="s">
        <v>6866</v>
      </c>
      <c r="M7262" s="405" t="s">
        <v>9566</v>
      </c>
      <c r="N7262" s="405" t="s">
        <v>10001</v>
      </c>
      <c r="O7262" s="405" t="s">
        <v>11178</v>
      </c>
      <c r="P7262" s="405" t="s">
        <v>11674</v>
      </c>
      <c r="Q7262" s="411">
        <v>6</v>
      </c>
      <c r="R7262" s="405" t="s">
        <v>9506</v>
      </c>
      <c r="S7262" s="405" t="s">
        <v>27318</v>
      </c>
      <c r="T7262" s="405" t="s">
        <v>32102</v>
      </c>
      <c r="U7262" s="405" t="s">
        <v>319</v>
      </c>
    </row>
    <row r="7263" spans="1:21" hidden="1" x14ac:dyDescent="0.25">
      <c r="A7263" s="405" t="s">
        <v>310</v>
      </c>
      <c r="B7263" s="405" t="s">
        <v>11764</v>
      </c>
      <c r="C7263" s="405" t="s">
        <v>327</v>
      </c>
      <c r="D7263" s="405"/>
      <c r="E7263" s="410">
        <v>41144</v>
      </c>
      <c r="F7263" s="410">
        <v>41189</v>
      </c>
      <c r="G7263" s="405" t="s">
        <v>11765</v>
      </c>
      <c r="H7263" s="405">
        <v>775171484</v>
      </c>
      <c r="I7263" s="405"/>
      <c r="J7263" s="405">
        <v>0.90057100000000001</v>
      </c>
      <c r="K7263" s="405">
        <v>34.341977</v>
      </c>
      <c r="L7263" s="405" t="s">
        <v>6866</v>
      </c>
      <c r="M7263" s="405" t="s">
        <v>9763</v>
      </c>
      <c r="N7263" s="405" t="s">
        <v>9848</v>
      </c>
      <c r="O7263" s="405" t="s">
        <v>11333</v>
      </c>
      <c r="P7263" s="405" t="s">
        <v>11766</v>
      </c>
      <c r="Q7263" s="411">
        <v>4</v>
      </c>
      <c r="R7263" s="405" t="s">
        <v>7224</v>
      </c>
      <c r="S7263" s="405" t="s">
        <v>27283</v>
      </c>
      <c r="T7263" s="405" t="s">
        <v>32102</v>
      </c>
      <c r="U7263" s="405" t="s">
        <v>319</v>
      </c>
    </row>
    <row r="7264" spans="1:21" hidden="1" x14ac:dyDescent="0.25">
      <c r="A7264" s="405" t="s">
        <v>310</v>
      </c>
      <c r="B7264" s="405" t="s">
        <v>20680</v>
      </c>
      <c r="C7264" s="405" t="s">
        <v>327</v>
      </c>
      <c r="D7264" s="405"/>
      <c r="E7264" s="410">
        <v>41143</v>
      </c>
      <c r="F7264" s="410">
        <v>41188</v>
      </c>
      <c r="G7264" s="405" t="s">
        <v>20681</v>
      </c>
      <c r="H7264" s="405">
        <v>701882044</v>
      </c>
      <c r="I7264" s="405"/>
      <c r="J7264" s="405">
        <v>-0.78270399999999996</v>
      </c>
      <c r="K7264" s="405">
        <v>29.918861</v>
      </c>
      <c r="L7264" s="405" t="s">
        <v>590</v>
      </c>
      <c r="M7264" s="405" t="s">
        <v>19619</v>
      </c>
      <c r="N7264" s="405" t="s">
        <v>19765</v>
      </c>
      <c r="O7264" s="405" t="s">
        <v>9881</v>
      </c>
      <c r="P7264" s="405" t="s">
        <v>20396</v>
      </c>
      <c r="Q7264" s="411">
        <v>13</v>
      </c>
      <c r="R7264" s="405" t="s">
        <v>333</v>
      </c>
      <c r="S7264" s="405" t="s">
        <v>27127</v>
      </c>
      <c r="T7264" s="405" t="s">
        <v>32102</v>
      </c>
      <c r="U7264" s="405" t="s">
        <v>319</v>
      </c>
    </row>
    <row r="7265" spans="1:21" hidden="1" x14ac:dyDescent="0.25">
      <c r="A7265" s="405" t="s">
        <v>310</v>
      </c>
      <c r="B7265" s="405" t="s">
        <v>20895</v>
      </c>
      <c r="C7265" s="405" t="s">
        <v>311</v>
      </c>
      <c r="D7265" s="405" t="s">
        <v>1789</v>
      </c>
      <c r="E7265" s="410">
        <v>41143</v>
      </c>
      <c r="F7265" s="410">
        <v>41188</v>
      </c>
      <c r="G7265" s="405" t="s">
        <v>20896</v>
      </c>
      <c r="H7265" s="405">
        <v>702541075</v>
      </c>
      <c r="I7265" s="405"/>
      <c r="J7265" s="405">
        <v>0.65603500000000003</v>
      </c>
      <c r="K7265" s="405">
        <v>30.572279999999999</v>
      </c>
      <c r="L7265" s="405" t="s">
        <v>590</v>
      </c>
      <c r="M7265" s="405" t="s">
        <v>20426</v>
      </c>
      <c r="N7265" s="405" t="s">
        <v>20692</v>
      </c>
      <c r="O7265" s="405" t="s">
        <v>20537</v>
      </c>
      <c r="P7265" s="405" t="s">
        <v>20538</v>
      </c>
      <c r="Q7265" s="411">
        <v>13</v>
      </c>
      <c r="R7265" s="405" t="s">
        <v>333</v>
      </c>
      <c r="S7265" s="405" t="s">
        <v>27161</v>
      </c>
      <c r="T7265" s="405" t="s">
        <v>32102</v>
      </c>
      <c r="U7265" s="405" t="s">
        <v>319</v>
      </c>
    </row>
    <row r="7266" spans="1:21" hidden="1" x14ac:dyDescent="0.25">
      <c r="A7266" s="405" t="s">
        <v>310</v>
      </c>
      <c r="B7266" s="405" t="s">
        <v>27807</v>
      </c>
      <c r="C7266" s="405" t="s">
        <v>311</v>
      </c>
      <c r="D7266" s="405" t="s">
        <v>839</v>
      </c>
      <c r="E7266" s="410">
        <v>41143</v>
      </c>
      <c r="F7266" s="410">
        <v>41188</v>
      </c>
      <c r="G7266" s="405" t="s">
        <v>20864</v>
      </c>
      <c r="H7266" s="405">
        <v>774306598</v>
      </c>
      <c r="I7266" s="405"/>
      <c r="J7266" s="405">
        <v>-0.64187899999999998</v>
      </c>
      <c r="K7266" s="405">
        <v>30.548901999999998</v>
      </c>
      <c r="L7266" s="405" t="s">
        <v>590</v>
      </c>
      <c r="M7266" s="405" t="s">
        <v>19614</v>
      </c>
      <c r="N7266" s="405" t="s">
        <v>19873</v>
      </c>
      <c r="O7266" s="405" t="s">
        <v>20138</v>
      </c>
      <c r="P7266" s="405" t="s">
        <v>20139</v>
      </c>
      <c r="Q7266" s="411">
        <v>9</v>
      </c>
      <c r="R7266" s="405" t="s">
        <v>333</v>
      </c>
      <c r="S7266" s="405" t="s">
        <v>27393</v>
      </c>
      <c r="T7266" s="405" t="s">
        <v>32102</v>
      </c>
      <c r="U7266" s="405" t="s">
        <v>319</v>
      </c>
    </row>
    <row r="7267" spans="1:21" hidden="1" x14ac:dyDescent="0.25">
      <c r="A7267" s="405" t="s">
        <v>310</v>
      </c>
      <c r="B7267" s="405" t="s">
        <v>20668</v>
      </c>
      <c r="C7267" s="405" t="s">
        <v>327</v>
      </c>
      <c r="D7267" s="405"/>
      <c r="E7267" s="410">
        <v>41143</v>
      </c>
      <c r="F7267" s="410">
        <v>41188</v>
      </c>
      <c r="G7267" s="405" t="s">
        <v>20669</v>
      </c>
      <c r="H7267" s="405">
        <v>782651882</v>
      </c>
      <c r="I7267" s="405"/>
      <c r="J7267" s="405">
        <v>-0.63853599999999999</v>
      </c>
      <c r="K7267" s="405">
        <v>30.491709</v>
      </c>
      <c r="L7267" s="405" t="s">
        <v>590</v>
      </c>
      <c r="M7267" s="405" t="s">
        <v>19614</v>
      </c>
      <c r="N7267" s="405" t="s">
        <v>19654</v>
      </c>
      <c r="O7267" s="405" t="s">
        <v>20015</v>
      </c>
      <c r="P7267" s="405" t="s">
        <v>2266</v>
      </c>
      <c r="Q7267" s="411">
        <v>6</v>
      </c>
      <c r="R7267" s="405" t="s">
        <v>333</v>
      </c>
      <c r="S7267" s="405" t="s">
        <v>27401</v>
      </c>
      <c r="T7267" s="405" t="s">
        <v>32102</v>
      </c>
      <c r="U7267" s="405" t="s">
        <v>319</v>
      </c>
    </row>
    <row r="7268" spans="1:21" hidden="1" x14ac:dyDescent="0.25">
      <c r="A7268" s="405" t="s">
        <v>310</v>
      </c>
      <c r="B7268" s="405" t="s">
        <v>27731</v>
      </c>
      <c r="C7268" s="405" t="s">
        <v>327</v>
      </c>
      <c r="D7268" s="405"/>
      <c r="E7268" s="410">
        <v>41142</v>
      </c>
      <c r="F7268" s="410">
        <v>41187</v>
      </c>
      <c r="G7268" s="405" t="s">
        <v>20682</v>
      </c>
      <c r="H7268" s="405">
        <v>782712784</v>
      </c>
      <c r="I7268" s="405"/>
      <c r="J7268" s="405">
        <v>-0.53271800000000002</v>
      </c>
      <c r="K7268" s="405">
        <v>30.041305000000001</v>
      </c>
      <c r="L7268" s="405" t="s">
        <v>590</v>
      </c>
      <c r="M7268" s="405" t="s">
        <v>19625</v>
      </c>
      <c r="N7268" s="405" t="s">
        <v>19642</v>
      </c>
      <c r="O7268" s="405" t="s">
        <v>19639</v>
      </c>
      <c r="P7268" s="405" t="s">
        <v>20683</v>
      </c>
      <c r="Q7268" s="411">
        <v>6</v>
      </c>
      <c r="R7268" s="405" t="s">
        <v>874</v>
      </c>
      <c r="S7268" s="405" t="s">
        <v>27173</v>
      </c>
      <c r="T7268" s="405" t="s">
        <v>32102</v>
      </c>
      <c r="U7268" s="405" t="s">
        <v>319</v>
      </c>
    </row>
    <row r="7269" spans="1:21" hidden="1" x14ac:dyDescent="0.25">
      <c r="A7269" s="405" t="s">
        <v>310</v>
      </c>
      <c r="B7269" s="405" t="s">
        <v>2856</v>
      </c>
      <c r="C7269" s="405" t="s">
        <v>327</v>
      </c>
      <c r="D7269" s="405"/>
      <c r="E7269" s="410">
        <v>41142</v>
      </c>
      <c r="F7269" s="410">
        <v>41187</v>
      </c>
      <c r="G7269" s="405" t="s">
        <v>2857</v>
      </c>
      <c r="H7269" s="405">
        <v>785750071</v>
      </c>
      <c r="I7269" s="405"/>
      <c r="J7269" s="405">
        <v>0.68670500000000001</v>
      </c>
      <c r="K7269" s="405">
        <v>32.044826999999998</v>
      </c>
      <c r="L7269" s="405" t="s">
        <v>314</v>
      </c>
      <c r="M7269" s="405" t="s">
        <v>2537</v>
      </c>
      <c r="N7269" s="405" t="s">
        <v>2757</v>
      </c>
      <c r="O7269" s="405" t="s">
        <v>2858</v>
      </c>
      <c r="P7269" s="405" t="s">
        <v>2858</v>
      </c>
      <c r="Q7269" s="411">
        <v>6</v>
      </c>
      <c r="R7269" s="405" t="s">
        <v>318</v>
      </c>
      <c r="S7269" s="405" t="s">
        <v>27152</v>
      </c>
      <c r="T7269" s="405" t="s">
        <v>32102</v>
      </c>
      <c r="U7269" s="405" t="s">
        <v>319</v>
      </c>
    </row>
    <row r="7270" spans="1:21" hidden="1" x14ac:dyDescent="0.25">
      <c r="A7270" s="405" t="s">
        <v>310</v>
      </c>
      <c r="B7270" s="405" t="s">
        <v>11773</v>
      </c>
      <c r="C7270" s="405" t="s">
        <v>327</v>
      </c>
      <c r="D7270" s="405"/>
      <c r="E7270" s="410">
        <v>41142</v>
      </c>
      <c r="F7270" s="410">
        <v>41187</v>
      </c>
      <c r="G7270" s="405" t="s">
        <v>11774</v>
      </c>
      <c r="H7270" s="405">
        <v>772521768</v>
      </c>
      <c r="I7270" s="405"/>
      <c r="J7270" s="405">
        <v>0.91493599999999997</v>
      </c>
      <c r="K7270" s="405">
        <v>34.273899999999998</v>
      </c>
      <c r="L7270" s="405" t="s">
        <v>6866</v>
      </c>
      <c r="M7270" s="405" t="s">
        <v>9763</v>
      </c>
      <c r="N7270" s="405" t="s">
        <v>9764</v>
      </c>
      <c r="O7270" s="405" t="s">
        <v>9792</v>
      </c>
      <c r="P7270" s="405" t="s">
        <v>9981</v>
      </c>
      <c r="Q7270" s="411">
        <v>6</v>
      </c>
      <c r="R7270" s="405" t="s">
        <v>7224</v>
      </c>
      <c r="S7270" s="405" t="s">
        <v>27074</v>
      </c>
      <c r="T7270" s="405" t="s">
        <v>32102</v>
      </c>
      <c r="U7270" s="405" t="s">
        <v>319</v>
      </c>
    </row>
    <row r="7271" spans="1:21" hidden="1" x14ac:dyDescent="0.25">
      <c r="A7271" s="405" t="s">
        <v>310</v>
      </c>
      <c r="B7271" s="405" t="s">
        <v>28671</v>
      </c>
      <c r="C7271" s="405" t="s">
        <v>327</v>
      </c>
      <c r="D7271" s="405"/>
      <c r="E7271" s="410">
        <v>41141</v>
      </c>
      <c r="F7271" s="410">
        <v>41186</v>
      </c>
      <c r="G7271" s="405" t="s">
        <v>20666</v>
      </c>
      <c r="H7271" s="405">
        <v>702889666</v>
      </c>
      <c r="I7271" s="405"/>
      <c r="J7271" s="405">
        <v>0.15199199999999999</v>
      </c>
      <c r="K7271" s="405">
        <v>30.988823</v>
      </c>
      <c r="L7271" s="405" t="s">
        <v>590</v>
      </c>
      <c r="M7271" s="405" t="s">
        <v>19705</v>
      </c>
      <c r="N7271" s="405" t="s">
        <v>2250</v>
      </c>
      <c r="O7271" s="405" t="s">
        <v>7810</v>
      </c>
      <c r="P7271" s="405" t="s">
        <v>20667</v>
      </c>
      <c r="Q7271" s="411">
        <v>12</v>
      </c>
      <c r="R7271" s="405" t="s">
        <v>874</v>
      </c>
      <c r="S7271" s="405" t="s">
        <v>27098</v>
      </c>
      <c r="T7271" s="405" t="s">
        <v>32102</v>
      </c>
      <c r="U7271" s="405" t="s">
        <v>319</v>
      </c>
    </row>
    <row r="7272" spans="1:21" hidden="1" x14ac:dyDescent="0.25">
      <c r="A7272" s="405" t="s">
        <v>310</v>
      </c>
      <c r="B7272" s="405" t="s">
        <v>2786</v>
      </c>
      <c r="C7272" s="405" t="s">
        <v>327</v>
      </c>
      <c r="D7272" s="405"/>
      <c r="E7272" s="410">
        <v>41141</v>
      </c>
      <c r="F7272" s="410">
        <v>41186</v>
      </c>
      <c r="G7272" s="405" t="s">
        <v>2787</v>
      </c>
      <c r="H7272" s="405">
        <v>789831258</v>
      </c>
      <c r="I7272" s="405">
        <v>754131944</v>
      </c>
      <c r="J7272" s="405">
        <v>-0.51773499999999995</v>
      </c>
      <c r="K7272" s="405">
        <v>31.626957000000001</v>
      </c>
      <c r="L7272" s="405" t="s">
        <v>314</v>
      </c>
      <c r="M7272" s="405" t="s">
        <v>398</v>
      </c>
      <c r="N7272" s="405" t="s">
        <v>399</v>
      </c>
      <c r="O7272" s="405" t="s">
        <v>1563</v>
      </c>
      <c r="P7272" s="405" t="s">
        <v>2788</v>
      </c>
      <c r="Q7272" s="411">
        <v>12</v>
      </c>
      <c r="R7272" s="405" t="s">
        <v>402</v>
      </c>
      <c r="S7272" s="405" t="s">
        <v>27164</v>
      </c>
      <c r="T7272" s="405" t="s">
        <v>32102</v>
      </c>
      <c r="U7272" s="405" t="s">
        <v>319</v>
      </c>
    </row>
    <row r="7273" spans="1:21" hidden="1" x14ac:dyDescent="0.25">
      <c r="A7273" s="405" t="s">
        <v>310</v>
      </c>
      <c r="B7273" s="405" t="s">
        <v>11770</v>
      </c>
      <c r="C7273" s="405" t="s">
        <v>327</v>
      </c>
      <c r="D7273" s="405"/>
      <c r="E7273" s="410">
        <v>41141</v>
      </c>
      <c r="F7273" s="410">
        <v>41186</v>
      </c>
      <c r="G7273" s="405" t="s">
        <v>11771</v>
      </c>
      <c r="H7273" s="405">
        <v>772458556</v>
      </c>
      <c r="I7273" s="405"/>
      <c r="J7273" s="405">
        <v>0.86079300000000003</v>
      </c>
      <c r="K7273" s="405">
        <v>34.384996999999998</v>
      </c>
      <c r="L7273" s="405" t="s">
        <v>6866</v>
      </c>
      <c r="M7273" s="405" t="s">
        <v>9763</v>
      </c>
      <c r="N7273" s="405" t="s">
        <v>9848</v>
      </c>
      <c r="O7273" s="405" t="s">
        <v>1831</v>
      </c>
      <c r="P7273" s="405" t="s">
        <v>11772</v>
      </c>
      <c r="Q7273" s="411">
        <v>9</v>
      </c>
      <c r="R7273" s="405" t="s">
        <v>9541</v>
      </c>
      <c r="S7273" s="405" t="s">
        <v>27315</v>
      </c>
      <c r="T7273" s="405" t="s">
        <v>32102</v>
      </c>
      <c r="U7273" s="405" t="s">
        <v>319</v>
      </c>
    </row>
    <row r="7274" spans="1:21" hidden="1" x14ac:dyDescent="0.25">
      <c r="A7274" s="405" t="s">
        <v>310</v>
      </c>
      <c r="B7274" s="405" t="s">
        <v>28262</v>
      </c>
      <c r="C7274" s="405" t="s">
        <v>327</v>
      </c>
      <c r="D7274" s="405"/>
      <c r="E7274" s="410">
        <v>41141</v>
      </c>
      <c r="F7274" s="410">
        <v>41186</v>
      </c>
      <c r="G7274" s="405" t="s">
        <v>11711</v>
      </c>
      <c r="H7274" s="405">
        <v>755654083</v>
      </c>
      <c r="I7274" s="405">
        <v>788023025</v>
      </c>
      <c r="J7274" s="405">
        <v>1.123828</v>
      </c>
      <c r="K7274" s="405">
        <v>34.193865000000002</v>
      </c>
      <c r="L7274" s="405" t="s">
        <v>6866</v>
      </c>
      <c r="M7274" s="405" t="s">
        <v>9514</v>
      </c>
      <c r="N7274" s="405" t="s">
        <v>9529</v>
      </c>
      <c r="O7274" s="405" t="s">
        <v>9530</v>
      </c>
      <c r="P7274" s="405" t="s">
        <v>11492</v>
      </c>
      <c r="Q7274" s="411">
        <v>6</v>
      </c>
      <c r="R7274" s="405" t="s">
        <v>7224</v>
      </c>
      <c r="S7274" s="405" t="s">
        <v>27298</v>
      </c>
      <c r="T7274" s="405" t="s">
        <v>32102</v>
      </c>
      <c r="U7274" s="405" t="s">
        <v>319</v>
      </c>
    </row>
    <row r="7275" spans="1:21" hidden="1" x14ac:dyDescent="0.25">
      <c r="A7275" s="405" t="s">
        <v>310</v>
      </c>
      <c r="B7275" s="405" t="s">
        <v>28881</v>
      </c>
      <c r="C7275" s="405" t="s">
        <v>327</v>
      </c>
      <c r="D7275" s="405"/>
      <c r="E7275" s="410">
        <v>41141</v>
      </c>
      <c r="F7275" s="410">
        <v>41186</v>
      </c>
      <c r="G7275" s="405" t="s">
        <v>2807</v>
      </c>
      <c r="H7275" s="405">
        <v>784091155</v>
      </c>
      <c r="I7275" s="405">
        <v>7722933027</v>
      </c>
      <c r="J7275" s="405">
        <v>0.4114505</v>
      </c>
      <c r="K7275" s="405">
        <v>33.141654699999997</v>
      </c>
      <c r="L7275" s="405" t="s">
        <v>314</v>
      </c>
      <c r="M7275" s="405" t="s">
        <v>349</v>
      </c>
      <c r="N7275" s="405" t="s">
        <v>1836</v>
      </c>
      <c r="O7275" s="405" t="s">
        <v>1836</v>
      </c>
      <c r="P7275" s="405" t="s">
        <v>1837</v>
      </c>
      <c r="Q7275" s="411">
        <v>6</v>
      </c>
      <c r="R7275" s="405" t="s">
        <v>32478</v>
      </c>
      <c r="S7275" s="405" t="s">
        <v>27054</v>
      </c>
      <c r="T7275" s="405" t="s">
        <v>32102</v>
      </c>
      <c r="U7275" s="405" t="s">
        <v>319</v>
      </c>
    </row>
    <row r="7276" spans="1:21" hidden="1" x14ac:dyDescent="0.25">
      <c r="A7276" s="405" t="s">
        <v>310</v>
      </c>
      <c r="B7276" s="405" t="s">
        <v>11685</v>
      </c>
      <c r="C7276" s="405" t="s">
        <v>327</v>
      </c>
      <c r="D7276" s="405"/>
      <c r="E7276" s="410">
        <v>41141</v>
      </c>
      <c r="F7276" s="410">
        <v>41186</v>
      </c>
      <c r="G7276" s="405" t="s">
        <v>11686</v>
      </c>
      <c r="H7276" s="405">
        <v>774531423</v>
      </c>
      <c r="I7276" s="405"/>
      <c r="J7276" s="405">
        <v>1.769765</v>
      </c>
      <c r="K7276" s="405">
        <v>33.672265000000003</v>
      </c>
      <c r="L7276" s="405" t="s">
        <v>6866</v>
      </c>
      <c r="M7276" s="405" t="s">
        <v>10515</v>
      </c>
      <c r="N7276" s="405" t="s">
        <v>10515</v>
      </c>
      <c r="O7276" s="405" t="s">
        <v>10645</v>
      </c>
      <c r="P7276" s="405" t="s">
        <v>11687</v>
      </c>
      <c r="Q7276" s="411">
        <v>6</v>
      </c>
      <c r="R7276" s="405" t="s">
        <v>5655</v>
      </c>
      <c r="S7276" s="405" t="s">
        <v>27340</v>
      </c>
      <c r="T7276" s="405" t="s">
        <v>32102</v>
      </c>
      <c r="U7276" s="405" t="s">
        <v>319</v>
      </c>
    </row>
    <row r="7277" spans="1:21" hidden="1" x14ac:dyDescent="0.25">
      <c r="A7277" s="405" t="s">
        <v>310</v>
      </c>
      <c r="B7277" s="405" t="s">
        <v>11735</v>
      </c>
      <c r="C7277" s="405" t="s">
        <v>327</v>
      </c>
      <c r="D7277" s="405"/>
      <c r="E7277" s="410">
        <v>41141</v>
      </c>
      <c r="F7277" s="410">
        <v>41186</v>
      </c>
      <c r="G7277" s="405" t="s">
        <v>11736</v>
      </c>
      <c r="H7277" s="405">
        <v>782613387</v>
      </c>
      <c r="I7277" s="405"/>
      <c r="J7277" s="405">
        <v>1.0947480000000001</v>
      </c>
      <c r="K7277" s="405">
        <v>34.269418000000002</v>
      </c>
      <c r="L7277" s="405" t="s">
        <v>6866</v>
      </c>
      <c r="M7277" s="405" t="s">
        <v>9514</v>
      </c>
      <c r="N7277" s="405" t="s">
        <v>9722</v>
      </c>
      <c r="O7277" s="405" t="s">
        <v>10139</v>
      </c>
      <c r="P7277" s="405" t="s">
        <v>11737</v>
      </c>
      <c r="Q7277" s="411">
        <v>6</v>
      </c>
      <c r="R7277" s="405" t="s">
        <v>7224</v>
      </c>
      <c r="S7277" s="405" t="s">
        <v>27306</v>
      </c>
      <c r="T7277" s="405" t="s">
        <v>32102</v>
      </c>
      <c r="U7277" s="405" t="s">
        <v>319</v>
      </c>
    </row>
    <row r="7278" spans="1:21" hidden="1" x14ac:dyDescent="0.25">
      <c r="A7278" s="405" t="s">
        <v>310</v>
      </c>
      <c r="B7278" s="405" t="s">
        <v>3400</v>
      </c>
      <c r="C7278" s="405" t="s">
        <v>311</v>
      </c>
      <c r="D7278" s="405" t="s">
        <v>839</v>
      </c>
      <c r="E7278" s="410">
        <v>41141</v>
      </c>
      <c r="F7278" s="410">
        <v>41186</v>
      </c>
      <c r="G7278" s="405" t="s">
        <v>3401</v>
      </c>
      <c r="H7278" s="405">
        <v>774552612</v>
      </c>
      <c r="I7278" s="405"/>
      <c r="J7278" s="405">
        <v>0.78562299999999996</v>
      </c>
      <c r="K7278" s="405">
        <v>32.034385</v>
      </c>
      <c r="L7278" s="405" t="s">
        <v>314</v>
      </c>
      <c r="M7278" s="405" t="s">
        <v>2537</v>
      </c>
      <c r="N7278" s="405" t="s">
        <v>2537</v>
      </c>
      <c r="O7278" s="405" t="s">
        <v>2758</v>
      </c>
      <c r="P7278" s="405" t="s">
        <v>2702</v>
      </c>
      <c r="Q7278" s="411">
        <v>6</v>
      </c>
      <c r="R7278" s="405" t="s">
        <v>318</v>
      </c>
      <c r="S7278" s="405" t="s">
        <v>27137</v>
      </c>
      <c r="T7278" s="405" t="s">
        <v>32102</v>
      </c>
      <c r="U7278" s="405" t="s">
        <v>319</v>
      </c>
    </row>
    <row r="7279" spans="1:21" hidden="1" x14ac:dyDescent="0.25">
      <c r="A7279" s="405" t="s">
        <v>310</v>
      </c>
      <c r="B7279" s="405" t="s">
        <v>20661</v>
      </c>
      <c r="C7279" s="405" t="s">
        <v>327</v>
      </c>
      <c r="D7279" s="405"/>
      <c r="E7279" s="410">
        <v>41140</v>
      </c>
      <c r="F7279" s="410">
        <v>41185</v>
      </c>
      <c r="G7279" s="405" t="s">
        <v>20662</v>
      </c>
      <c r="H7279" s="405">
        <v>774637690</v>
      </c>
      <c r="I7279" s="405"/>
      <c r="J7279" s="405">
        <v>0.20689299999999999</v>
      </c>
      <c r="K7279" s="405">
        <v>30.555219999999998</v>
      </c>
      <c r="L7279" s="405" t="s">
        <v>590</v>
      </c>
      <c r="M7279" s="405" t="s">
        <v>19720</v>
      </c>
      <c r="N7279" s="405" t="s">
        <v>19721</v>
      </c>
      <c r="O7279" s="405" t="s">
        <v>20663</v>
      </c>
      <c r="P7279" s="405" t="s">
        <v>20664</v>
      </c>
      <c r="Q7279" s="411">
        <v>6</v>
      </c>
      <c r="R7279" s="405" t="s">
        <v>874</v>
      </c>
      <c r="S7279" s="405" t="s">
        <v>27172</v>
      </c>
      <c r="T7279" s="405" t="s">
        <v>32102</v>
      </c>
      <c r="U7279" s="405" t="s">
        <v>319</v>
      </c>
    </row>
    <row r="7280" spans="1:21" hidden="1" x14ac:dyDescent="0.25">
      <c r="A7280" s="405" t="s">
        <v>310</v>
      </c>
      <c r="B7280" s="405" t="s">
        <v>2849</v>
      </c>
      <c r="C7280" s="405" t="s">
        <v>327</v>
      </c>
      <c r="D7280" s="405"/>
      <c r="E7280" s="410">
        <v>41140</v>
      </c>
      <c r="F7280" s="410">
        <v>41185</v>
      </c>
      <c r="G7280" s="405" t="s">
        <v>2850</v>
      </c>
      <c r="H7280" s="405">
        <v>755578777</v>
      </c>
      <c r="I7280" s="405"/>
      <c r="J7280" s="405">
        <v>1.048557</v>
      </c>
      <c r="K7280" s="405">
        <v>32.470472999999998</v>
      </c>
      <c r="L7280" s="405" t="s">
        <v>314</v>
      </c>
      <c r="M7280" s="405" t="s">
        <v>2512</v>
      </c>
      <c r="N7280" s="405" t="s">
        <v>2512</v>
      </c>
      <c r="O7280" s="405" t="s">
        <v>2513</v>
      </c>
      <c r="P7280" s="405" t="s">
        <v>2513</v>
      </c>
      <c r="Q7280" s="411">
        <v>6</v>
      </c>
      <c r="R7280" s="405" t="s">
        <v>32476</v>
      </c>
      <c r="S7280" s="405" t="s">
        <v>27193</v>
      </c>
      <c r="T7280" s="405" t="s">
        <v>32102</v>
      </c>
      <c r="U7280" s="405" t="s">
        <v>319</v>
      </c>
    </row>
    <row r="7281" spans="1:21" hidden="1" x14ac:dyDescent="0.25">
      <c r="A7281" s="405" t="s">
        <v>310</v>
      </c>
      <c r="B7281" s="405" t="s">
        <v>11691</v>
      </c>
      <c r="C7281" s="405" t="s">
        <v>327</v>
      </c>
      <c r="D7281" s="405"/>
      <c r="E7281" s="410">
        <v>41140</v>
      </c>
      <c r="F7281" s="410">
        <v>41185</v>
      </c>
      <c r="G7281" s="405" t="s">
        <v>11692</v>
      </c>
      <c r="H7281" s="405">
        <v>782802420</v>
      </c>
      <c r="I7281" s="405"/>
      <c r="J7281" s="405">
        <v>1.4210480000000001</v>
      </c>
      <c r="K7281" s="405">
        <v>33.772481999999997</v>
      </c>
      <c r="L7281" s="405" t="s">
        <v>6866</v>
      </c>
      <c r="M7281" s="405" t="s">
        <v>10012</v>
      </c>
      <c r="N7281" s="405" t="s">
        <v>10012</v>
      </c>
      <c r="O7281" s="405" t="s">
        <v>10092</v>
      </c>
      <c r="P7281" s="405" t="s">
        <v>11693</v>
      </c>
      <c r="Q7281" s="411">
        <v>6</v>
      </c>
      <c r="R7281" s="405" t="s">
        <v>7224</v>
      </c>
      <c r="S7281" s="405" t="s">
        <v>27298</v>
      </c>
      <c r="T7281" s="405" t="s">
        <v>32102</v>
      </c>
      <c r="U7281" s="405" t="s">
        <v>319</v>
      </c>
    </row>
    <row r="7282" spans="1:21" hidden="1" x14ac:dyDescent="0.25">
      <c r="A7282" s="405" t="s">
        <v>310</v>
      </c>
      <c r="B7282" s="405" t="s">
        <v>11741</v>
      </c>
      <c r="C7282" s="405" t="s">
        <v>327</v>
      </c>
      <c r="D7282" s="405"/>
      <c r="E7282" s="410">
        <v>41140</v>
      </c>
      <c r="F7282" s="410">
        <v>41185</v>
      </c>
      <c r="G7282" s="405" t="s">
        <v>11742</v>
      </c>
      <c r="H7282" s="405">
        <v>753874701</v>
      </c>
      <c r="I7282" s="405"/>
      <c r="J7282" s="405">
        <v>1.154317</v>
      </c>
      <c r="K7282" s="405">
        <v>33.835357999999999</v>
      </c>
      <c r="L7282" s="405" t="s">
        <v>6866</v>
      </c>
      <c r="M7282" s="405" t="s">
        <v>10152</v>
      </c>
      <c r="N7282" s="405" t="s">
        <v>10153</v>
      </c>
      <c r="O7282" s="405" t="s">
        <v>4432</v>
      </c>
      <c r="P7282" s="405" t="s">
        <v>11743</v>
      </c>
      <c r="Q7282" s="411">
        <v>6</v>
      </c>
      <c r="R7282" s="405" t="s">
        <v>9541</v>
      </c>
      <c r="S7282" s="405" t="s">
        <v>27315</v>
      </c>
      <c r="T7282" s="405" t="s">
        <v>32102</v>
      </c>
      <c r="U7282" s="405" t="s">
        <v>319</v>
      </c>
    </row>
    <row r="7283" spans="1:21" hidden="1" x14ac:dyDescent="0.25">
      <c r="A7283" s="405" t="s">
        <v>310</v>
      </c>
      <c r="B7283" s="405" t="s">
        <v>11767</v>
      </c>
      <c r="C7283" s="405" t="s">
        <v>327</v>
      </c>
      <c r="D7283" s="405"/>
      <c r="E7283" s="410">
        <v>41140</v>
      </c>
      <c r="F7283" s="410">
        <v>41185</v>
      </c>
      <c r="G7283" s="405" t="s">
        <v>11768</v>
      </c>
      <c r="H7283" s="405">
        <v>785182263</v>
      </c>
      <c r="I7283" s="405"/>
      <c r="J7283" s="405">
        <v>0.89172600000000002</v>
      </c>
      <c r="K7283" s="405">
        <v>34.320979000000001</v>
      </c>
      <c r="L7283" s="405" t="s">
        <v>6866</v>
      </c>
      <c r="M7283" s="405" t="s">
        <v>9763</v>
      </c>
      <c r="N7283" s="405" t="s">
        <v>9848</v>
      </c>
      <c r="O7283" s="405" t="s">
        <v>11333</v>
      </c>
      <c r="P7283" s="405" t="s">
        <v>11769</v>
      </c>
      <c r="Q7283" s="411">
        <v>4</v>
      </c>
      <c r="R7283" s="405" t="s">
        <v>7224</v>
      </c>
      <c r="S7283" s="405" t="s">
        <v>17013</v>
      </c>
      <c r="T7283" s="405" t="s">
        <v>32102</v>
      </c>
      <c r="U7283" s="405" t="s">
        <v>319</v>
      </c>
    </row>
    <row r="7284" spans="1:21" hidden="1" x14ac:dyDescent="0.25">
      <c r="A7284" s="405" t="s">
        <v>310</v>
      </c>
      <c r="B7284" s="405" t="s">
        <v>11759</v>
      </c>
      <c r="C7284" s="405" t="s">
        <v>327</v>
      </c>
      <c r="D7284" s="405"/>
      <c r="E7284" s="410">
        <v>41140</v>
      </c>
      <c r="F7284" s="410">
        <v>41185</v>
      </c>
      <c r="G7284" s="405" t="s">
        <v>11760</v>
      </c>
      <c r="H7284" s="405">
        <v>779679072</v>
      </c>
      <c r="I7284" s="405"/>
      <c r="J7284" s="405">
        <v>0.894038</v>
      </c>
      <c r="K7284" s="405">
        <v>34.324151000000001</v>
      </c>
      <c r="L7284" s="405" t="s">
        <v>6866</v>
      </c>
      <c r="M7284" s="405" t="s">
        <v>9763</v>
      </c>
      <c r="N7284" s="405" t="s">
        <v>9848</v>
      </c>
      <c r="O7284" s="405" t="s">
        <v>11333</v>
      </c>
      <c r="P7284" s="405" t="s">
        <v>11761</v>
      </c>
      <c r="Q7284" s="411">
        <v>4</v>
      </c>
      <c r="R7284" s="405" t="s">
        <v>7224</v>
      </c>
      <c r="S7284" s="405" t="s">
        <v>27107</v>
      </c>
      <c r="T7284" s="405" t="s">
        <v>32102</v>
      </c>
      <c r="U7284" s="405" t="s">
        <v>319</v>
      </c>
    </row>
    <row r="7285" spans="1:21" hidden="1" x14ac:dyDescent="0.25">
      <c r="A7285" s="405" t="s">
        <v>310</v>
      </c>
      <c r="B7285" s="405" t="s">
        <v>11726</v>
      </c>
      <c r="C7285" s="405" t="s">
        <v>327</v>
      </c>
      <c r="D7285" s="405"/>
      <c r="E7285" s="410">
        <v>41139</v>
      </c>
      <c r="F7285" s="410">
        <v>41184</v>
      </c>
      <c r="G7285" s="405" t="s">
        <v>11727</v>
      </c>
      <c r="H7285" s="405">
        <v>772497032</v>
      </c>
      <c r="I7285" s="405">
        <v>752497032</v>
      </c>
      <c r="J7285" s="405">
        <v>0.92340999999999995</v>
      </c>
      <c r="K7285" s="405">
        <v>33.121107000000002</v>
      </c>
      <c r="L7285" s="405" t="s">
        <v>6866</v>
      </c>
      <c r="M7285" s="405" t="s">
        <v>3009</v>
      </c>
      <c r="N7285" s="405" t="s">
        <v>10406</v>
      </c>
      <c r="O7285" s="405" t="s">
        <v>11728</v>
      </c>
      <c r="P7285" s="405" t="s">
        <v>11729</v>
      </c>
      <c r="Q7285" s="411">
        <v>9</v>
      </c>
      <c r="R7285" s="405" t="s">
        <v>333</v>
      </c>
      <c r="S7285" s="405" t="s">
        <v>27173</v>
      </c>
      <c r="T7285" s="405" t="s">
        <v>32102</v>
      </c>
      <c r="U7285" s="405" t="s">
        <v>319</v>
      </c>
    </row>
    <row r="7286" spans="1:21" hidden="1" x14ac:dyDescent="0.25">
      <c r="A7286" s="405" t="s">
        <v>310</v>
      </c>
      <c r="B7286" s="405" t="s">
        <v>2811</v>
      </c>
      <c r="C7286" s="405" t="s">
        <v>327</v>
      </c>
      <c r="D7286" s="405"/>
      <c r="E7286" s="410">
        <v>41139</v>
      </c>
      <c r="F7286" s="410">
        <v>41184</v>
      </c>
      <c r="G7286" s="405" t="s">
        <v>2812</v>
      </c>
      <c r="H7286" s="405">
        <v>782120485</v>
      </c>
      <c r="I7286" s="405">
        <v>773343014</v>
      </c>
      <c r="J7286" s="405">
        <v>0.41122809999999999</v>
      </c>
      <c r="K7286" s="405">
        <v>33.1363828</v>
      </c>
      <c r="L7286" s="405" t="s">
        <v>314</v>
      </c>
      <c r="M7286" s="405" t="s">
        <v>349</v>
      </c>
      <c r="N7286" s="405" t="s">
        <v>1836</v>
      </c>
      <c r="O7286" s="405" t="s">
        <v>1836</v>
      </c>
      <c r="P7286" s="405" t="s">
        <v>2813</v>
      </c>
      <c r="Q7286" s="411">
        <v>9</v>
      </c>
      <c r="R7286" s="405" t="s">
        <v>32478</v>
      </c>
      <c r="S7286" s="405" t="s">
        <v>27124</v>
      </c>
      <c r="T7286" s="405" t="s">
        <v>32102</v>
      </c>
      <c r="U7286" s="405" t="s">
        <v>319</v>
      </c>
    </row>
    <row r="7287" spans="1:21" hidden="1" x14ac:dyDescent="0.25">
      <c r="A7287" s="405" t="s">
        <v>310</v>
      </c>
      <c r="B7287" s="405" t="s">
        <v>27929</v>
      </c>
      <c r="C7287" s="405" t="s">
        <v>311</v>
      </c>
      <c r="D7287" s="405" t="s">
        <v>839</v>
      </c>
      <c r="E7287" s="410">
        <v>41139</v>
      </c>
      <c r="F7287" s="410">
        <v>41184</v>
      </c>
      <c r="G7287" s="405" t="s">
        <v>3358</v>
      </c>
      <c r="H7287" s="405">
        <v>774035368</v>
      </c>
      <c r="I7287" s="405"/>
      <c r="J7287" s="405">
        <v>0.2823581</v>
      </c>
      <c r="K7287" s="405">
        <v>33.1402158</v>
      </c>
      <c r="L7287" s="405" t="s">
        <v>314</v>
      </c>
      <c r="M7287" s="405" t="s">
        <v>349</v>
      </c>
      <c r="N7287" s="405" t="s">
        <v>349</v>
      </c>
      <c r="O7287" s="405" t="s">
        <v>1062</v>
      </c>
      <c r="P7287" s="405" t="s">
        <v>2724</v>
      </c>
      <c r="Q7287" s="411">
        <v>6</v>
      </c>
      <c r="R7287" s="405" t="s">
        <v>32478</v>
      </c>
      <c r="S7287" s="405" t="s">
        <v>27120</v>
      </c>
      <c r="T7287" s="405" t="s">
        <v>32102</v>
      </c>
      <c r="U7287" s="405" t="s">
        <v>319</v>
      </c>
    </row>
    <row r="7288" spans="1:21" hidden="1" x14ac:dyDescent="0.25">
      <c r="A7288" s="405" t="s">
        <v>310</v>
      </c>
      <c r="B7288" s="405" t="s">
        <v>11699</v>
      </c>
      <c r="C7288" s="405" t="s">
        <v>327</v>
      </c>
      <c r="D7288" s="405"/>
      <c r="E7288" s="410">
        <v>41139</v>
      </c>
      <c r="F7288" s="410">
        <v>41184</v>
      </c>
      <c r="G7288" s="405" t="s">
        <v>11700</v>
      </c>
      <c r="H7288" s="405">
        <v>779732618</v>
      </c>
      <c r="I7288" s="405"/>
      <c r="J7288" s="405">
        <v>1.1162049999999999</v>
      </c>
      <c r="K7288" s="405">
        <v>34.194358000000001</v>
      </c>
      <c r="L7288" s="405" t="s">
        <v>6866</v>
      </c>
      <c r="M7288" s="405" t="s">
        <v>9514</v>
      </c>
      <c r="N7288" s="405" t="s">
        <v>9529</v>
      </c>
      <c r="O7288" s="405" t="s">
        <v>9571</v>
      </c>
      <c r="P7288" s="405" t="s">
        <v>10660</v>
      </c>
      <c r="Q7288" s="411">
        <v>6</v>
      </c>
      <c r="R7288" s="405" t="s">
        <v>33091</v>
      </c>
      <c r="S7288" s="405" t="s">
        <v>27169</v>
      </c>
      <c r="T7288" s="405" t="s">
        <v>32102</v>
      </c>
      <c r="U7288" s="405" t="s">
        <v>319</v>
      </c>
    </row>
    <row r="7289" spans="1:21" hidden="1" x14ac:dyDescent="0.25">
      <c r="A7289" s="405" t="s">
        <v>310</v>
      </c>
      <c r="B7289" s="405" t="s">
        <v>28905</v>
      </c>
      <c r="C7289" s="405" t="s">
        <v>327</v>
      </c>
      <c r="D7289" s="405"/>
      <c r="E7289" s="410">
        <v>41138</v>
      </c>
      <c r="F7289" s="410">
        <v>41183</v>
      </c>
      <c r="G7289" s="405" t="s">
        <v>2840</v>
      </c>
      <c r="H7289" s="405">
        <v>784862631</v>
      </c>
      <c r="I7289" s="405"/>
      <c r="J7289" s="405">
        <v>0.18831000000000001</v>
      </c>
      <c r="K7289" s="405">
        <v>31.646477000000001</v>
      </c>
      <c r="L7289" s="405" t="s">
        <v>314</v>
      </c>
      <c r="M7289" s="405" t="s">
        <v>339</v>
      </c>
      <c r="N7289" s="405" t="s">
        <v>339</v>
      </c>
      <c r="O7289" s="405" t="s">
        <v>1662</v>
      </c>
      <c r="P7289" s="405" t="s">
        <v>2841</v>
      </c>
      <c r="Q7289" s="411">
        <v>6</v>
      </c>
      <c r="R7289" s="405" t="s">
        <v>318</v>
      </c>
      <c r="S7289" s="405" t="s">
        <v>27134</v>
      </c>
      <c r="T7289" s="405" t="s">
        <v>32102</v>
      </c>
      <c r="U7289" s="405" t="s">
        <v>319</v>
      </c>
    </row>
    <row r="7290" spans="1:21" hidden="1" x14ac:dyDescent="0.25">
      <c r="A7290" s="405" t="s">
        <v>310</v>
      </c>
      <c r="B7290" s="405" t="s">
        <v>2703</v>
      </c>
      <c r="C7290" s="405" t="s">
        <v>327</v>
      </c>
      <c r="D7290" s="405"/>
      <c r="E7290" s="410">
        <v>41137</v>
      </c>
      <c r="F7290" s="410">
        <v>41182</v>
      </c>
      <c r="G7290" s="405" t="s">
        <v>2704</v>
      </c>
      <c r="H7290" s="405">
        <v>712184537</v>
      </c>
      <c r="I7290" s="405"/>
      <c r="J7290" s="405">
        <v>0.40957080000000001</v>
      </c>
      <c r="K7290" s="405">
        <v>32.5837565</v>
      </c>
      <c r="L7290" s="405" t="s">
        <v>314</v>
      </c>
      <c r="M7290" s="405" t="s">
        <v>361</v>
      </c>
      <c r="N7290" s="405" t="s">
        <v>370</v>
      </c>
      <c r="O7290" s="405" t="s">
        <v>370</v>
      </c>
      <c r="P7290" s="405" t="s">
        <v>2705</v>
      </c>
      <c r="Q7290" s="411">
        <v>13</v>
      </c>
      <c r="R7290" s="405" t="s">
        <v>353</v>
      </c>
      <c r="S7290" s="405" t="s">
        <v>27115</v>
      </c>
      <c r="T7290" s="405" t="s">
        <v>32102</v>
      </c>
      <c r="U7290" s="405" t="s">
        <v>319</v>
      </c>
    </row>
    <row r="7291" spans="1:21" hidden="1" x14ac:dyDescent="0.25">
      <c r="A7291" s="405" t="s">
        <v>310</v>
      </c>
      <c r="B7291" s="405" t="s">
        <v>11641</v>
      </c>
      <c r="C7291" s="405" t="s">
        <v>327</v>
      </c>
      <c r="D7291" s="405"/>
      <c r="E7291" s="410">
        <v>41137</v>
      </c>
      <c r="F7291" s="410">
        <v>41182</v>
      </c>
      <c r="G7291" s="405" t="s">
        <v>11642</v>
      </c>
      <c r="H7291" s="405">
        <v>782900332</v>
      </c>
      <c r="I7291" s="405">
        <v>704410476</v>
      </c>
      <c r="J7291" s="405">
        <v>0.94568459999999999</v>
      </c>
      <c r="K7291" s="405">
        <v>33.124783700000002</v>
      </c>
      <c r="L7291" s="405" t="s">
        <v>6866</v>
      </c>
      <c r="M7291" s="405" t="s">
        <v>3009</v>
      </c>
      <c r="N7291" s="405" t="s">
        <v>9662</v>
      </c>
      <c r="O7291" s="405" t="s">
        <v>11643</v>
      </c>
      <c r="P7291" s="405" t="s">
        <v>11644</v>
      </c>
      <c r="Q7291" s="411">
        <v>9</v>
      </c>
      <c r="R7291" s="405" t="s">
        <v>32478</v>
      </c>
      <c r="S7291" s="405" t="s">
        <v>27134</v>
      </c>
      <c r="T7291" s="405" t="s">
        <v>32102</v>
      </c>
      <c r="U7291" s="405" t="s">
        <v>319</v>
      </c>
    </row>
    <row r="7292" spans="1:21" hidden="1" x14ac:dyDescent="0.25">
      <c r="A7292" s="405" t="s">
        <v>310</v>
      </c>
      <c r="B7292" s="405" t="s">
        <v>28599</v>
      </c>
      <c r="C7292" s="405" t="s">
        <v>327</v>
      </c>
      <c r="D7292" s="405"/>
      <c r="E7292" s="410">
        <v>41136</v>
      </c>
      <c r="F7292" s="410">
        <v>41181</v>
      </c>
      <c r="G7292" s="405" t="s">
        <v>10573</v>
      </c>
      <c r="H7292" s="405">
        <v>772305917</v>
      </c>
      <c r="I7292" s="405">
        <v>775057651</v>
      </c>
      <c r="J7292" s="405">
        <v>0.93592900000000001</v>
      </c>
      <c r="K7292" s="405">
        <v>33.132122600000002</v>
      </c>
      <c r="L7292" s="405" t="s">
        <v>6866</v>
      </c>
      <c r="M7292" s="405" t="s">
        <v>3009</v>
      </c>
      <c r="N7292" s="405" t="s">
        <v>9662</v>
      </c>
      <c r="O7292" s="405" t="s">
        <v>9663</v>
      </c>
      <c r="P7292" s="405" t="s">
        <v>10574</v>
      </c>
      <c r="Q7292" s="411">
        <v>9</v>
      </c>
      <c r="R7292" s="405" t="s">
        <v>318</v>
      </c>
      <c r="S7292" s="405" t="s">
        <v>27054</v>
      </c>
      <c r="T7292" s="405" t="s">
        <v>32102</v>
      </c>
      <c r="U7292" s="405" t="s">
        <v>319</v>
      </c>
    </row>
    <row r="7293" spans="1:21" hidden="1" x14ac:dyDescent="0.25">
      <c r="A7293" s="405" t="s">
        <v>310</v>
      </c>
      <c r="B7293" s="405" t="s">
        <v>27744</v>
      </c>
      <c r="C7293" s="405" t="s">
        <v>327</v>
      </c>
      <c r="D7293" s="405"/>
      <c r="E7293" s="410">
        <v>41136</v>
      </c>
      <c r="F7293" s="410">
        <v>41181</v>
      </c>
      <c r="G7293" s="405" t="s">
        <v>11571</v>
      </c>
      <c r="H7293" s="405">
        <v>751618203</v>
      </c>
      <c r="I7293" s="405"/>
      <c r="J7293" s="405">
        <v>1.620628</v>
      </c>
      <c r="K7293" s="405">
        <v>33.323990000000002</v>
      </c>
      <c r="L7293" s="405" t="s">
        <v>6866</v>
      </c>
      <c r="M7293" s="405" t="s">
        <v>9658</v>
      </c>
      <c r="N7293" s="405" t="s">
        <v>11057</v>
      </c>
      <c r="O7293" s="405" t="s">
        <v>11058</v>
      </c>
      <c r="P7293" s="405" t="s">
        <v>11572</v>
      </c>
      <c r="Q7293" s="411">
        <v>6</v>
      </c>
      <c r="R7293" s="405" t="s">
        <v>5655</v>
      </c>
      <c r="S7293" s="405" t="s">
        <v>27325</v>
      </c>
      <c r="T7293" s="405" t="s">
        <v>32102</v>
      </c>
      <c r="U7293" s="405" t="s">
        <v>319</v>
      </c>
    </row>
    <row r="7294" spans="1:21" hidden="1" x14ac:dyDescent="0.25">
      <c r="A7294" s="405" t="s">
        <v>310</v>
      </c>
      <c r="B7294" s="405" t="s">
        <v>28054</v>
      </c>
      <c r="C7294" s="405" t="s">
        <v>327</v>
      </c>
      <c r="D7294" s="405"/>
      <c r="E7294" s="410">
        <v>41136</v>
      </c>
      <c r="F7294" s="410">
        <v>41181</v>
      </c>
      <c r="G7294" s="405" t="s">
        <v>2699</v>
      </c>
      <c r="H7294" s="405">
        <v>776930214</v>
      </c>
      <c r="I7294" s="405"/>
      <c r="J7294" s="405">
        <v>0.31202800000000003</v>
      </c>
      <c r="K7294" s="405">
        <v>32.150207999999999</v>
      </c>
      <c r="L7294" s="405" t="s">
        <v>314</v>
      </c>
      <c r="M7294" s="405" t="s">
        <v>675</v>
      </c>
      <c r="N7294" s="405" t="s">
        <v>676</v>
      </c>
      <c r="O7294" s="405" t="s">
        <v>677</v>
      </c>
      <c r="P7294" s="405" t="s">
        <v>677</v>
      </c>
      <c r="Q7294" s="411">
        <v>6</v>
      </c>
      <c r="R7294" s="405" t="s">
        <v>32476</v>
      </c>
      <c r="S7294" s="405" t="s">
        <v>27154</v>
      </c>
      <c r="T7294" s="405" t="s">
        <v>32102</v>
      </c>
      <c r="U7294" s="405" t="s">
        <v>319</v>
      </c>
    </row>
    <row r="7295" spans="1:21" hidden="1" x14ac:dyDescent="0.25">
      <c r="A7295" s="405" t="s">
        <v>310</v>
      </c>
      <c r="B7295" s="405" t="s">
        <v>11568</v>
      </c>
      <c r="C7295" s="405" t="s">
        <v>327</v>
      </c>
      <c r="D7295" s="405"/>
      <c r="E7295" s="410">
        <v>41136</v>
      </c>
      <c r="F7295" s="410">
        <v>41181</v>
      </c>
      <c r="G7295" s="405" t="s">
        <v>11569</v>
      </c>
      <c r="H7295" s="405">
        <v>772680032</v>
      </c>
      <c r="I7295" s="405"/>
      <c r="J7295" s="405">
        <v>1.6352120000000001</v>
      </c>
      <c r="K7295" s="405">
        <v>33.594695000000002</v>
      </c>
      <c r="L7295" s="405" t="s">
        <v>6866</v>
      </c>
      <c r="M7295" s="405" t="s">
        <v>10515</v>
      </c>
      <c r="N7295" s="405" t="s">
        <v>10515</v>
      </c>
      <c r="O7295" s="405" t="s">
        <v>10516</v>
      </c>
      <c r="P7295" s="405" t="s">
        <v>11570</v>
      </c>
      <c r="Q7295" s="411">
        <v>6</v>
      </c>
      <c r="R7295" s="405" t="s">
        <v>5655</v>
      </c>
      <c r="S7295" s="405" t="s">
        <v>27072</v>
      </c>
      <c r="T7295" s="405" t="s">
        <v>32102</v>
      </c>
      <c r="U7295" s="405" t="s">
        <v>319</v>
      </c>
    </row>
    <row r="7296" spans="1:21" hidden="1" x14ac:dyDescent="0.25">
      <c r="A7296" s="405" t="s">
        <v>310</v>
      </c>
      <c r="B7296" s="405" t="s">
        <v>28532</v>
      </c>
      <c r="C7296" s="405" t="s">
        <v>327</v>
      </c>
      <c r="D7296" s="405"/>
      <c r="E7296" s="410">
        <v>41135</v>
      </c>
      <c r="F7296" s="410">
        <v>41180</v>
      </c>
      <c r="G7296" s="405" t="s">
        <v>2708</v>
      </c>
      <c r="H7296" s="405">
        <v>772837832</v>
      </c>
      <c r="I7296" s="405"/>
      <c r="J7296" s="405">
        <v>-0.16870299999999999</v>
      </c>
      <c r="K7296" s="405">
        <v>31.47964</v>
      </c>
      <c r="L7296" s="405" t="s">
        <v>314</v>
      </c>
      <c r="M7296" s="405" t="s">
        <v>343</v>
      </c>
      <c r="N7296" s="405" t="s">
        <v>344</v>
      </c>
      <c r="O7296" s="405" t="s">
        <v>345</v>
      </c>
      <c r="P7296" s="405" t="s">
        <v>2709</v>
      </c>
      <c r="Q7296" s="411">
        <v>6</v>
      </c>
      <c r="R7296" s="405" t="s">
        <v>318</v>
      </c>
      <c r="S7296" s="405" t="s">
        <v>27035</v>
      </c>
      <c r="T7296" s="405" t="s">
        <v>32102</v>
      </c>
      <c r="U7296" s="405" t="s">
        <v>319</v>
      </c>
    </row>
    <row r="7297" spans="1:21" hidden="1" x14ac:dyDescent="0.25">
      <c r="A7297" s="405" t="s">
        <v>310</v>
      </c>
      <c r="B7297" s="405" t="s">
        <v>18372</v>
      </c>
      <c r="C7297" s="405" t="s">
        <v>327</v>
      </c>
      <c r="D7297" s="405"/>
      <c r="E7297" s="410">
        <v>41135</v>
      </c>
      <c r="F7297" s="410">
        <v>41180</v>
      </c>
      <c r="G7297" s="405" t="s">
        <v>18373</v>
      </c>
      <c r="H7297" s="405">
        <v>772875318</v>
      </c>
      <c r="I7297" s="405">
        <v>784173013</v>
      </c>
      <c r="J7297" s="405">
        <v>2.2329466999999998</v>
      </c>
      <c r="K7297" s="405">
        <v>32.907523300000001</v>
      </c>
      <c r="L7297" s="405" t="s">
        <v>860</v>
      </c>
      <c r="M7297" s="405" t="s">
        <v>18234</v>
      </c>
      <c r="N7297" s="405" t="s">
        <v>18252</v>
      </c>
      <c r="O7297" s="405" t="s">
        <v>18253</v>
      </c>
      <c r="P7297" s="405" t="s">
        <v>18374</v>
      </c>
      <c r="Q7297" s="411">
        <v>6</v>
      </c>
      <c r="R7297" s="405" t="s">
        <v>994</v>
      </c>
      <c r="S7297" s="405" t="s">
        <v>27036</v>
      </c>
      <c r="T7297" s="405" t="s">
        <v>32102</v>
      </c>
      <c r="U7297" s="405" t="s">
        <v>319</v>
      </c>
    </row>
    <row r="7298" spans="1:21" hidden="1" x14ac:dyDescent="0.25">
      <c r="A7298" s="405" t="s">
        <v>310</v>
      </c>
      <c r="B7298" s="405" t="s">
        <v>2706</v>
      </c>
      <c r="C7298" s="405" t="s">
        <v>327</v>
      </c>
      <c r="D7298" s="405"/>
      <c r="E7298" s="410">
        <v>41134</v>
      </c>
      <c r="F7298" s="410">
        <v>41179</v>
      </c>
      <c r="G7298" s="405" t="s">
        <v>2707</v>
      </c>
      <c r="H7298" s="405">
        <v>772979016</v>
      </c>
      <c r="I7298" s="405"/>
      <c r="J7298" s="405">
        <v>-0.101461</v>
      </c>
      <c r="K7298" s="405">
        <v>31.499856999999999</v>
      </c>
      <c r="L7298" s="405" t="s">
        <v>314</v>
      </c>
      <c r="M7298" s="405" t="s">
        <v>343</v>
      </c>
      <c r="N7298" s="405" t="s">
        <v>344</v>
      </c>
      <c r="O7298" s="405" t="s">
        <v>391</v>
      </c>
      <c r="P7298" s="405" t="s">
        <v>1209</v>
      </c>
      <c r="Q7298" s="411">
        <v>9</v>
      </c>
      <c r="R7298" s="405" t="s">
        <v>318</v>
      </c>
      <c r="S7298" s="405" t="s">
        <v>27137</v>
      </c>
      <c r="T7298" s="405" t="s">
        <v>32102</v>
      </c>
      <c r="U7298" s="405" t="s">
        <v>319</v>
      </c>
    </row>
    <row r="7299" spans="1:21" hidden="1" x14ac:dyDescent="0.25">
      <c r="A7299" s="405" t="s">
        <v>310</v>
      </c>
      <c r="B7299" s="405" t="s">
        <v>28669</v>
      </c>
      <c r="C7299" s="405" t="s">
        <v>327</v>
      </c>
      <c r="D7299" s="405"/>
      <c r="E7299" s="410">
        <v>41133</v>
      </c>
      <c r="F7299" s="410">
        <v>41178</v>
      </c>
      <c r="G7299" s="405" t="s">
        <v>20625</v>
      </c>
      <c r="H7299" s="405">
        <v>772611567</v>
      </c>
      <c r="I7299" s="405"/>
      <c r="J7299" s="405">
        <v>0.74587300000000001</v>
      </c>
      <c r="K7299" s="405">
        <v>30.305420000000002</v>
      </c>
      <c r="L7299" s="405" t="s">
        <v>590</v>
      </c>
      <c r="M7299" s="405" t="s">
        <v>20125</v>
      </c>
      <c r="N7299" s="405" t="s">
        <v>20126</v>
      </c>
      <c r="O7299" s="405" t="s">
        <v>20585</v>
      </c>
      <c r="P7299" s="405" t="s">
        <v>20586</v>
      </c>
      <c r="Q7299" s="411">
        <v>12</v>
      </c>
      <c r="R7299" s="405" t="s">
        <v>883</v>
      </c>
      <c r="S7299" s="405" t="s">
        <v>27097</v>
      </c>
      <c r="T7299" s="405" t="s">
        <v>32102</v>
      </c>
      <c r="U7299" s="405" t="s">
        <v>319</v>
      </c>
    </row>
    <row r="7300" spans="1:21" hidden="1" x14ac:dyDescent="0.25">
      <c r="A7300" s="405" t="s">
        <v>310</v>
      </c>
      <c r="B7300" s="405" t="s">
        <v>28480</v>
      </c>
      <c r="C7300" s="405" t="s">
        <v>327</v>
      </c>
      <c r="D7300" s="405"/>
      <c r="E7300" s="410">
        <v>41133</v>
      </c>
      <c r="F7300" s="410">
        <v>41178</v>
      </c>
      <c r="G7300" s="405" t="s">
        <v>11611</v>
      </c>
      <c r="H7300" s="405">
        <v>704129705</v>
      </c>
      <c r="I7300" s="405">
        <v>782712242</v>
      </c>
      <c r="J7300" s="405">
        <v>1.124728</v>
      </c>
      <c r="K7300" s="405">
        <v>34.205970000000001</v>
      </c>
      <c r="L7300" s="405" t="s">
        <v>6866</v>
      </c>
      <c r="M7300" s="405" t="s">
        <v>9514</v>
      </c>
      <c r="N7300" s="405" t="s">
        <v>9529</v>
      </c>
      <c r="O7300" s="405" t="s">
        <v>9530</v>
      </c>
      <c r="P7300" s="405" t="s">
        <v>9531</v>
      </c>
      <c r="Q7300" s="411">
        <v>6</v>
      </c>
      <c r="R7300" s="405" t="s">
        <v>7224</v>
      </c>
      <c r="S7300" s="405" t="s">
        <v>27316</v>
      </c>
      <c r="T7300" s="405" t="s">
        <v>32102</v>
      </c>
      <c r="U7300" s="405" t="s">
        <v>319</v>
      </c>
    </row>
    <row r="7301" spans="1:21" hidden="1" x14ac:dyDescent="0.25">
      <c r="A7301" s="405" t="s">
        <v>310</v>
      </c>
      <c r="B7301" s="405" t="s">
        <v>2755</v>
      </c>
      <c r="C7301" s="405" t="s">
        <v>327</v>
      </c>
      <c r="D7301" s="405"/>
      <c r="E7301" s="410">
        <v>41133</v>
      </c>
      <c r="F7301" s="410">
        <v>41178</v>
      </c>
      <c r="G7301" s="405" t="s">
        <v>2756</v>
      </c>
      <c r="H7301" s="405">
        <v>786288219</v>
      </c>
      <c r="I7301" s="405"/>
      <c r="J7301" s="405">
        <v>0.77040200000000003</v>
      </c>
      <c r="K7301" s="405">
        <v>32.068288000000003</v>
      </c>
      <c r="L7301" s="405" t="s">
        <v>314</v>
      </c>
      <c r="M7301" s="405" t="s">
        <v>2537</v>
      </c>
      <c r="N7301" s="405" t="s">
        <v>2757</v>
      </c>
      <c r="O7301" s="405" t="s">
        <v>2758</v>
      </c>
      <c r="P7301" s="405" t="s">
        <v>2758</v>
      </c>
      <c r="Q7301" s="411">
        <v>6</v>
      </c>
      <c r="R7301" s="405" t="s">
        <v>318</v>
      </c>
      <c r="S7301" s="405" t="s">
        <v>27137</v>
      </c>
      <c r="T7301" s="405" t="s">
        <v>32102</v>
      </c>
      <c r="U7301" s="405" t="s">
        <v>319</v>
      </c>
    </row>
    <row r="7302" spans="1:21" hidden="1" x14ac:dyDescent="0.25">
      <c r="A7302" s="405" t="s">
        <v>310</v>
      </c>
      <c r="B7302" s="405" t="s">
        <v>11593</v>
      </c>
      <c r="C7302" s="405" t="s">
        <v>327</v>
      </c>
      <c r="D7302" s="405"/>
      <c r="E7302" s="410">
        <v>41133</v>
      </c>
      <c r="F7302" s="410">
        <v>41178</v>
      </c>
      <c r="G7302" s="405" t="s">
        <v>11594</v>
      </c>
      <c r="H7302" s="405">
        <v>772644516</v>
      </c>
      <c r="I7302" s="405"/>
      <c r="J7302" s="405">
        <v>1.1470050000000001</v>
      </c>
      <c r="K7302" s="405">
        <v>33.809215000000002</v>
      </c>
      <c r="L7302" s="405" t="s">
        <v>6866</v>
      </c>
      <c r="M7302" s="405" t="s">
        <v>9509</v>
      </c>
      <c r="N7302" s="405" t="s">
        <v>9509</v>
      </c>
      <c r="O7302" s="405" t="s">
        <v>9510</v>
      </c>
      <c r="P7302" s="405" t="s">
        <v>11382</v>
      </c>
      <c r="Q7302" s="411">
        <v>6</v>
      </c>
      <c r="R7302" s="405" t="s">
        <v>9541</v>
      </c>
      <c r="S7302" s="405" t="s">
        <v>27314</v>
      </c>
      <c r="T7302" s="405" t="s">
        <v>32102</v>
      </c>
      <c r="U7302" s="405" t="s">
        <v>319</v>
      </c>
    </row>
    <row r="7303" spans="1:21" hidden="1" x14ac:dyDescent="0.25">
      <c r="A7303" s="405" t="s">
        <v>310</v>
      </c>
      <c r="B7303" s="405" t="s">
        <v>11576</v>
      </c>
      <c r="C7303" s="405" t="s">
        <v>327</v>
      </c>
      <c r="D7303" s="405"/>
      <c r="E7303" s="410">
        <v>41132</v>
      </c>
      <c r="F7303" s="410">
        <v>41177</v>
      </c>
      <c r="G7303" s="405" t="s">
        <v>11577</v>
      </c>
      <c r="H7303" s="405">
        <v>779732870</v>
      </c>
      <c r="I7303" s="405"/>
      <c r="J7303" s="405">
        <v>1.7679579999999999</v>
      </c>
      <c r="K7303" s="405">
        <v>33.667233000000003</v>
      </c>
      <c r="L7303" s="405" t="s">
        <v>6866</v>
      </c>
      <c r="M7303" s="405" t="s">
        <v>10515</v>
      </c>
      <c r="N7303" s="405" t="s">
        <v>10515</v>
      </c>
      <c r="O7303" s="405" t="s">
        <v>11578</v>
      </c>
      <c r="P7303" s="405" t="s">
        <v>11079</v>
      </c>
      <c r="Q7303" s="411">
        <v>6</v>
      </c>
      <c r="R7303" s="405" t="s">
        <v>5655</v>
      </c>
      <c r="S7303" s="405" t="s">
        <v>27340</v>
      </c>
      <c r="T7303" s="405" t="s">
        <v>32102</v>
      </c>
      <c r="U7303" s="405" t="s">
        <v>319</v>
      </c>
    </row>
    <row r="7304" spans="1:21" hidden="1" x14ac:dyDescent="0.25">
      <c r="A7304" s="405" t="s">
        <v>310</v>
      </c>
      <c r="B7304" s="405" t="s">
        <v>11614</v>
      </c>
      <c r="C7304" s="405" t="s">
        <v>327</v>
      </c>
      <c r="D7304" s="405"/>
      <c r="E7304" s="410">
        <v>41132</v>
      </c>
      <c r="F7304" s="410">
        <v>41177</v>
      </c>
      <c r="G7304" s="405" t="s">
        <v>11615</v>
      </c>
      <c r="H7304" s="405">
        <v>772483289</v>
      </c>
      <c r="I7304" s="405"/>
      <c r="J7304" s="405">
        <v>1.15672</v>
      </c>
      <c r="K7304" s="405">
        <v>34.160733</v>
      </c>
      <c r="L7304" s="405" t="s">
        <v>6866</v>
      </c>
      <c r="M7304" s="405" t="s">
        <v>9514</v>
      </c>
      <c r="N7304" s="405" t="s">
        <v>9529</v>
      </c>
      <c r="O7304" s="405" t="s">
        <v>9608</v>
      </c>
      <c r="P7304" s="405" t="s">
        <v>11616</v>
      </c>
      <c r="Q7304" s="411">
        <v>6</v>
      </c>
      <c r="R7304" s="405" t="s">
        <v>7224</v>
      </c>
      <c r="S7304" s="405" t="s">
        <v>17013</v>
      </c>
      <c r="T7304" s="405" t="s">
        <v>32102</v>
      </c>
      <c r="U7304" s="405" t="s">
        <v>319</v>
      </c>
    </row>
    <row r="7305" spans="1:21" hidden="1" x14ac:dyDescent="0.25">
      <c r="A7305" s="405" t="s">
        <v>310</v>
      </c>
      <c r="B7305" s="405" t="s">
        <v>11612</v>
      </c>
      <c r="C7305" s="405" t="s">
        <v>327</v>
      </c>
      <c r="D7305" s="405"/>
      <c r="E7305" s="410">
        <v>41132</v>
      </c>
      <c r="F7305" s="410">
        <v>41177</v>
      </c>
      <c r="G7305" s="405" t="s">
        <v>11613</v>
      </c>
      <c r="H7305" s="405">
        <v>777406927</v>
      </c>
      <c r="I7305" s="405"/>
      <c r="J7305" s="405">
        <v>1.1295249999999999</v>
      </c>
      <c r="K7305" s="405">
        <v>34.195515</v>
      </c>
      <c r="L7305" s="405" t="s">
        <v>6866</v>
      </c>
      <c r="M7305" s="405" t="s">
        <v>9514</v>
      </c>
      <c r="N7305" s="405" t="s">
        <v>9529</v>
      </c>
      <c r="O7305" s="405" t="s">
        <v>9530</v>
      </c>
      <c r="P7305" s="405" t="s">
        <v>11492</v>
      </c>
      <c r="Q7305" s="411">
        <v>6</v>
      </c>
      <c r="R7305" s="405" t="s">
        <v>7224</v>
      </c>
      <c r="S7305" s="405" t="s">
        <v>27298</v>
      </c>
      <c r="T7305" s="405" t="s">
        <v>32102</v>
      </c>
      <c r="U7305" s="405" t="s">
        <v>319</v>
      </c>
    </row>
    <row r="7306" spans="1:21" hidden="1" x14ac:dyDescent="0.25">
      <c r="A7306" s="405" t="s">
        <v>310</v>
      </c>
      <c r="B7306" s="405" t="s">
        <v>20649</v>
      </c>
      <c r="C7306" s="405" t="s">
        <v>327</v>
      </c>
      <c r="D7306" s="405"/>
      <c r="E7306" s="410">
        <v>41131</v>
      </c>
      <c r="F7306" s="410">
        <v>41176</v>
      </c>
      <c r="G7306" s="405" t="s">
        <v>20650</v>
      </c>
      <c r="H7306" s="405">
        <v>775904016</v>
      </c>
      <c r="I7306" s="405"/>
      <c r="J7306" s="405">
        <v>1.8125599999999999</v>
      </c>
      <c r="K7306" s="405">
        <v>31.999072000000002</v>
      </c>
      <c r="L7306" s="405" t="s">
        <v>590</v>
      </c>
      <c r="M7306" s="405" t="s">
        <v>591</v>
      </c>
      <c r="N7306" s="405" t="s">
        <v>848</v>
      </c>
      <c r="O7306" s="405" t="s">
        <v>1042</v>
      </c>
      <c r="P7306" s="405" t="s">
        <v>1043</v>
      </c>
      <c r="Q7306" s="411">
        <v>9</v>
      </c>
      <c r="R7306" s="405" t="s">
        <v>994</v>
      </c>
      <c r="S7306" s="405" t="s">
        <v>27193</v>
      </c>
      <c r="T7306" s="405" t="s">
        <v>32102</v>
      </c>
      <c r="U7306" s="405" t="s">
        <v>319</v>
      </c>
    </row>
    <row r="7307" spans="1:21" hidden="1" x14ac:dyDescent="0.25">
      <c r="A7307" s="405" t="s">
        <v>310</v>
      </c>
      <c r="B7307" s="405" t="s">
        <v>2742</v>
      </c>
      <c r="C7307" s="405" t="s">
        <v>327</v>
      </c>
      <c r="D7307" s="405"/>
      <c r="E7307" s="410">
        <v>41131</v>
      </c>
      <c r="F7307" s="410">
        <v>41176</v>
      </c>
      <c r="G7307" s="405" t="s">
        <v>2743</v>
      </c>
      <c r="H7307" s="405">
        <v>772973967</v>
      </c>
      <c r="I7307" s="405"/>
      <c r="J7307" s="405">
        <v>1.051113</v>
      </c>
      <c r="K7307" s="405">
        <v>32.469366999999998</v>
      </c>
      <c r="L7307" s="405" t="s">
        <v>314</v>
      </c>
      <c r="M7307" s="405" t="s">
        <v>2512</v>
      </c>
      <c r="N7307" s="405" t="s">
        <v>2512</v>
      </c>
      <c r="O7307" s="405" t="s">
        <v>2513</v>
      </c>
      <c r="P7307" s="405" t="s">
        <v>2513</v>
      </c>
      <c r="Q7307" s="411">
        <v>6</v>
      </c>
      <c r="R7307" s="405" t="s">
        <v>32476</v>
      </c>
      <c r="S7307" s="405" t="s">
        <v>27193</v>
      </c>
      <c r="T7307" s="405" t="s">
        <v>32102</v>
      </c>
      <c r="U7307" s="405" t="s">
        <v>319</v>
      </c>
    </row>
    <row r="7308" spans="1:21" hidden="1" x14ac:dyDescent="0.25">
      <c r="A7308" s="405" t="s">
        <v>310</v>
      </c>
      <c r="B7308" s="405" t="s">
        <v>11617</v>
      </c>
      <c r="C7308" s="405" t="s">
        <v>327</v>
      </c>
      <c r="D7308" s="405"/>
      <c r="E7308" s="410">
        <v>41131</v>
      </c>
      <c r="F7308" s="410">
        <v>41176</v>
      </c>
      <c r="G7308" s="405" t="s">
        <v>11618</v>
      </c>
      <c r="H7308" s="405">
        <v>773800686</v>
      </c>
      <c r="I7308" s="405"/>
      <c r="J7308" s="405">
        <v>1.0223230000000001</v>
      </c>
      <c r="K7308" s="405">
        <v>34.324514999999998</v>
      </c>
      <c r="L7308" s="405" t="s">
        <v>6866</v>
      </c>
      <c r="M7308" s="405" t="s">
        <v>6867</v>
      </c>
      <c r="N7308" s="405" t="s">
        <v>6867</v>
      </c>
      <c r="O7308" s="405" t="s">
        <v>11619</v>
      </c>
      <c r="P7308" s="405" t="s">
        <v>11620</v>
      </c>
      <c r="Q7308" s="411">
        <v>4</v>
      </c>
      <c r="R7308" s="405" t="s">
        <v>7224</v>
      </c>
      <c r="S7308" s="405" t="s">
        <v>27204</v>
      </c>
      <c r="T7308" s="405" t="s">
        <v>32102</v>
      </c>
      <c r="U7308" s="405" t="s">
        <v>319</v>
      </c>
    </row>
    <row r="7309" spans="1:21" hidden="1" x14ac:dyDescent="0.25">
      <c r="A7309" s="405" t="s">
        <v>310</v>
      </c>
      <c r="B7309" s="405" t="s">
        <v>28653</v>
      </c>
      <c r="C7309" s="405" t="s">
        <v>327</v>
      </c>
      <c r="D7309" s="405"/>
      <c r="E7309" s="410">
        <v>41130</v>
      </c>
      <c r="F7309" s="410">
        <v>41175</v>
      </c>
      <c r="G7309" s="405" t="s">
        <v>11623</v>
      </c>
      <c r="H7309" s="405">
        <v>756930379</v>
      </c>
      <c r="I7309" s="405"/>
      <c r="J7309" s="405">
        <v>0.94692880000000001</v>
      </c>
      <c r="K7309" s="405">
        <v>33.125838199999997</v>
      </c>
      <c r="L7309" s="405" t="s">
        <v>6866</v>
      </c>
      <c r="M7309" s="405" t="s">
        <v>9520</v>
      </c>
      <c r="N7309" s="405" t="s">
        <v>10449</v>
      </c>
      <c r="O7309" s="405" t="s">
        <v>10449</v>
      </c>
      <c r="P7309" s="405" t="s">
        <v>11624</v>
      </c>
      <c r="Q7309" s="411">
        <v>6</v>
      </c>
      <c r="R7309" s="405" t="s">
        <v>32478</v>
      </c>
      <c r="S7309" s="405" t="s">
        <v>27195</v>
      </c>
      <c r="T7309" s="405" t="s">
        <v>32102</v>
      </c>
      <c r="U7309" s="405" t="s">
        <v>319</v>
      </c>
    </row>
    <row r="7310" spans="1:21" hidden="1" x14ac:dyDescent="0.25">
      <c r="A7310" s="405" t="s">
        <v>310</v>
      </c>
      <c r="B7310" s="405" t="s">
        <v>11579</v>
      </c>
      <c r="C7310" s="405" t="s">
        <v>327</v>
      </c>
      <c r="D7310" s="405"/>
      <c r="E7310" s="410">
        <v>41128</v>
      </c>
      <c r="F7310" s="410">
        <v>41173</v>
      </c>
      <c r="G7310" s="405" t="s">
        <v>11580</v>
      </c>
      <c r="H7310" s="405">
        <v>776999048</v>
      </c>
      <c r="I7310" s="405"/>
      <c r="J7310" s="405">
        <v>0.61554759999999997</v>
      </c>
      <c r="K7310" s="405">
        <v>33.4786225</v>
      </c>
      <c r="L7310" s="405" t="s">
        <v>6866</v>
      </c>
      <c r="M7310" s="405" t="s">
        <v>10853</v>
      </c>
      <c r="N7310" s="405" t="s">
        <v>4802</v>
      </c>
      <c r="O7310" s="405" t="s">
        <v>11581</v>
      </c>
      <c r="P7310" s="405" t="s">
        <v>11582</v>
      </c>
      <c r="Q7310" s="411">
        <v>12</v>
      </c>
      <c r="R7310" s="405" t="s">
        <v>333</v>
      </c>
      <c r="S7310" s="405" t="s">
        <v>17013</v>
      </c>
      <c r="T7310" s="405" t="s">
        <v>32102</v>
      </c>
      <c r="U7310" s="405" t="s">
        <v>319</v>
      </c>
    </row>
    <row r="7311" spans="1:21" hidden="1" x14ac:dyDescent="0.25">
      <c r="A7311" s="405" t="s">
        <v>310</v>
      </c>
      <c r="B7311" s="405" t="s">
        <v>28074</v>
      </c>
      <c r="C7311" s="405" t="s">
        <v>327</v>
      </c>
      <c r="D7311" s="405"/>
      <c r="E7311" s="410">
        <v>41128</v>
      </c>
      <c r="F7311" s="410">
        <v>41173</v>
      </c>
      <c r="G7311" s="405" t="s">
        <v>11621</v>
      </c>
      <c r="H7311" s="405">
        <v>751586576</v>
      </c>
      <c r="I7311" s="405"/>
      <c r="J7311" s="405">
        <v>0.9087615</v>
      </c>
      <c r="K7311" s="405">
        <v>33.122852299999998</v>
      </c>
      <c r="L7311" s="405" t="s">
        <v>6866</v>
      </c>
      <c r="M7311" s="405" t="s">
        <v>3009</v>
      </c>
      <c r="N7311" s="405" t="s">
        <v>9612</v>
      </c>
      <c r="O7311" s="405" t="s">
        <v>10320</v>
      </c>
      <c r="P7311" s="405" t="s">
        <v>11622</v>
      </c>
      <c r="Q7311" s="411">
        <v>6</v>
      </c>
      <c r="R7311" s="405" t="s">
        <v>333</v>
      </c>
      <c r="S7311" s="405" t="s">
        <v>27054</v>
      </c>
      <c r="T7311" s="405" t="s">
        <v>32102</v>
      </c>
      <c r="U7311" s="405" t="s">
        <v>319</v>
      </c>
    </row>
    <row r="7312" spans="1:21" hidden="1" x14ac:dyDescent="0.25">
      <c r="A7312" s="405" t="s">
        <v>310</v>
      </c>
      <c r="B7312" s="405" t="s">
        <v>28882</v>
      </c>
      <c r="C7312" s="405" t="s">
        <v>327</v>
      </c>
      <c r="D7312" s="405"/>
      <c r="E7312" s="410">
        <v>41128</v>
      </c>
      <c r="F7312" s="410">
        <v>41173</v>
      </c>
      <c r="G7312" s="405" t="s">
        <v>2746</v>
      </c>
      <c r="H7312" s="405">
        <v>772055199</v>
      </c>
      <c r="I7312" s="405"/>
      <c r="J7312" s="405">
        <v>0.4499203</v>
      </c>
      <c r="K7312" s="405">
        <v>32.342427600000001</v>
      </c>
      <c r="L7312" s="405" t="s">
        <v>314</v>
      </c>
      <c r="M7312" s="405" t="s">
        <v>321</v>
      </c>
      <c r="N7312" s="405" t="s">
        <v>322</v>
      </c>
      <c r="O7312" s="405" t="s">
        <v>1017</v>
      </c>
      <c r="P7312" s="405" t="s">
        <v>2747</v>
      </c>
      <c r="Q7312" s="411">
        <v>6</v>
      </c>
      <c r="R7312" s="405" t="s">
        <v>318</v>
      </c>
      <c r="S7312" s="405" t="s">
        <v>27134</v>
      </c>
      <c r="T7312" s="405" t="s">
        <v>32102</v>
      </c>
      <c r="U7312" s="405" t="s">
        <v>319</v>
      </c>
    </row>
    <row r="7313" spans="1:21" hidden="1" x14ac:dyDescent="0.25">
      <c r="A7313" s="405" t="s">
        <v>310</v>
      </c>
      <c r="B7313" s="405" t="s">
        <v>28748</v>
      </c>
      <c r="C7313" s="405" t="s">
        <v>327</v>
      </c>
      <c r="D7313" s="405"/>
      <c r="E7313" s="410">
        <v>41126</v>
      </c>
      <c r="F7313" s="410">
        <v>41171</v>
      </c>
      <c r="G7313" s="405" t="s">
        <v>18375</v>
      </c>
      <c r="H7313" s="405">
        <v>772369085</v>
      </c>
      <c r="I7313" s="405"/>
      <c r="J7313" s="405">
        <v>2.3994659999999999</v>
      </c>
      <c r="K7313" s="405">
        <v>33.041741000000002</v>
      </c>
      <c r="L7313" s="405" t="s">
        <v>860</v>
      </c>
      <c r="M7313" s="405" t="s">
        <v>18376</v>
      </c>
      <c r="N7313" s="405" t="s">
        <v>16319</v>
      </c>
      <c r="O7313" s="405" t="s">
        <v>18377</v>
      </c>
      <c r="P7313" s="405" t="s">
        <v>18378</v>
      </c>
      <c r="Q7313" s="411">
        <v>6</v>
      </c>
      <c r="R7313" s="405" t="s">
        <v>994</v>
      </c>
      <c r="S7313" s="405" t="s">
        <v>27079</v>
      </c>
      <c r="T7313" s="405" t="s">
        <v>32102</v>
      </c>
      <c r="U7313" s="405" t="s">
        <v>319</v>
      </c>
    </row>
    <row r="7314" spans="1:21" hidden="1" x14ac:dyDescent="0.25">
      <c r="A7314" s="405" t="s">
        <v>310</v>
      </c>
      <c r="B7314" s="405" t="s">
        <v>2722</v>
      </c>
      <c r="C7314" s="405" t="s">
        <v>327</v>
      </c>
      <c r="D7314" s="405"/>
      <c r="E7314" s="410">
        <v>41126</v>
      </c>
      <c r="F7314" s="410">
        <v>41171</v>
      </c>
      <c r="G7314" s="405" t="s">
        <v>2723</v>
      </c>
      <c r="H7314" s="405">
        <v>726269448</v>
      </c>
      <c r="I7314" s="405"/>
      <c r="J7314" s="405">
        <v>0.2823581</v>
      </c>
      <c r="K7314" s="405">
        <v>33.1402158</v>
      </c>
      <c r="L7314" s="405" t="s">
        <v>314</v>
      </c>
      <c r="M7314" s="405" t="s">
        <v>349</v>
      </c>
      <c r="N7314" s="405" t="s">
        <v>349</v>
      </c>
      <c r="O7314" s="405" t="s">
        <v>1062</v>
      </c>
      <c r="P7314" s="405" t="s">
        <v>2724</v>
      </c>
      <c r="Q7314" s="411">
        <v>6</v>
      </c>
      <c r="R7314" s="405" t="s">
        <v>32478</v>
      </c>
      <c r="S7314" s="405" t="s">
        <v>27047</v>
      </c>
      <c r="T7314" s="405" t="s">
        <v>32102</v>
      </c>
      <c r="U7314" s="405" t="s">
        <v>319</v>
      </c>
    </row>
    <row r="7315" spans="1:21" hidden="1" x14ac:dyDescent="0.25">
      <c r="A7315" s="405" t="s">
        <v>310</v>
      </c>
      <c r="B7315" s="405" t="s">
        <v>11625</v>
      </c>
      <c r="C7315" s="405" t="s">
        <v>327</v>
      </c>
      <c r="D7315" s="405"/>
      <c r="E7315" s="410">
        <v>41125</v>
      </c>
      <c r="F7315" s="410">
        <v>41170</v>
      </c>
      <c r="G7315" s="405" t="s">
        <v>11626</v>
      </c>
      <c r="H7315" s="405">
        <v>759323430</v>
      </c>
      <c r="I7315" s="405"/>
      <c r="J7315" s="405">
        <v>0.93612899999999999</v>
      </c>
      <c r="K7315" s="405">
        <v>33.126189699999998</v>
      </c>
      <c r="L7315" s="405" t="s">
        <v>6866</v>
      </c>
      <c r="M7315" s="405" t="s">
        <v>3009</v>
      </c>
      <c r="N7315" s="405" t="s">
        <v>9662</v>
      </c>
      <c r="O7315" s="405" t="s">
        <v>9663</v>
      </c>
      <c r="P7315" s="405" t="s">
        <v>11627</v>
      </c>
      <c r="Q7315" s="411">
        <v>4</v>
      </c>
      <c r="R7315" s="405" t="s">
        <v>32478</v>
      </c>
      <c r="S7315" s="405" t="s">
        <v>27036</v>
      </c>
      <c r="T7315" s="405" t="s">
        <v>32102</v>
      </c>
      <c r="U7315" s="405" t="s">
        <v>319</v>
      </c>
    </row>
    <row r="7316" spans="1:21" hidden="1" x14ac:dyDescent="0.25">
      <c r="A7316" s="405" t="s">
        <v>310</v>
      </c>
      <c r="B7316" s="405" t="s">
        <v>11638</v>
      </c>
      <c r="C7316" s="405" t="s">
        <v>327</v>
      </c>
      <c r="D7316" s="405"/>
      <c r="E7316" s="410">
        <v>41124</v>
      </c>
      <c r="F7316" s="410">
        <v>41169</v>
      </c>
      <c r="G7316" s="405" t="s">
        <v>11639</v>
      </c>
      <c r="H7316" s="405">
        <v>777766704</v>
      </c>
      <c r="I7316" s="405"/>
      <c r="J7316" s="405">
        <v>1.3437429999999999</v>
      </c>
      <c r="K7316" s="405">
        <v>33.811185000000002</v>
      </c>
      <c r="L7316" s="405" t="s">
        <v>6866</v>
      </c>
      <c r="M7316" s="405" t="s">
        <v>10029</v>
      </c>
      <c r="N7316" s="405" t="s">
        <v>10260</v>
      </c>
      <c r="O7316" s="405" t="s">
        <v>10261</v>
      </c>
      <c r="P7316" s="405" t="s">
        <v>11640</v>
      </c>
      <c r="Q7316" s="411">
        <v>6</v>
      </c>
      <c r="R7316" s="405" t="s">
        <v>9541</v>
      </c>
      <c r="S7316" s="405" t="s">
        <v>27294</v>
      </c>
      <c r="T7316" s="405" t="s">
        <v>32102</v>
      </c>
      <c r="U7316" s="405" t="s">
        <v>319</v>
      </c>
    </row>
    <row r="7317" spans="1:21" hidden="1" x14ac:dyDescent="0.25">
      <c r="A7317" s="405" t="s">
        <v>310</v>
      </c>
      <c r="B7317" s="405" t="s">
        <v>20626</v>
      </c>
      <c r="C7317" s="405" t="s">
        <v>327</v>
      </c>
      <c r="D7317" s="405"/>
      <c r="E7317" s="410">
        <v>41123</v>
      </c>
      <c r="F7317" s="410">
        <v>41168</v>
      </c>
      <c r="G7317" s="405" t="s">
        <v>20627</v>
      </c>
      <c r="H7317" s="405">
        <v>704586055</v>
      </c>
      <c r="I7317" s="405"/>
      <c r="J7317" s="405">
        <v>-0.21382100000000001</v>
      </c>
      <c r="K7317" s="405">
        <v>30.857355999999999</v>
      </c>
      <c r="L7317" s="405" t="s">
        <v>590</v>
      </c>
      <c r="M7317" s="405" t="s">
        <v>19705</v>
      </c>
      <c r="N7317" s="405" t="s">
        <v>19706</v>
      </c>
      <c r="O7317" s="405" t="s">
        <v>20628</v>
      </c>
      <c r="P7317" s="405" t="s">
        <v>20629</v>
      </c>
      <c r="Q7317" s="411">
        <v>6</v>
      </c>
      <c r="R7317" s="405" t="s">
        <v>874</v>
      </c>
      <c r="S7317" s="405" t="s">
        <v>27161</v>
      </c>
      <c r="T7317" s="405" t="s">
        <v>32102</v>
      </c>
      <c r="U7317" s="405" t="s">
        <v>319</v>
      </c>
    </row>
    <row r="7318" spans="1:21" hidden="1" x14ac:dyDescent="0.25">
      <c r="A7318" s="405" t="s">
        <v>310</v>
      </c>
      <c r="B7318" s="405" t="s">
        <v>11565</v>
      </c>
      <c r="C7318" s="405" t="s">
        <v>327</v>
      </c>
      <c r="D7318" s="405"/>
      <c r="E7318" s="410">
        <v>41122</v>
      </c>
      <c r="F7318" s="410">
        <v>41167</v>
      </c>
      <c r="G7318" s="405" t="s">
        <v>11566</v>
      </c>
      <c r="H7318" s="405">
        <v>782652549</v>
      </c>
      <c r="I7318" s="405"/>
      <c r="J7318" s="405">
        <v>1.73003</v>
      </c>
      <c r="K7318" s="405">
        <v>34.076773000000003</v>
      </c>
      <c r="L7318" s="405" t="s">
        <v>6866</v>
      </c>
      <c r="M7318" s="405" t="s">
        <v>11355</v>
      </c>
      <c r="N7318" s="405" t="s">
        <v>11361</v>
      </c>
      <c r="O7318" s="405" t="s">
        <v>11362</v>
      </c>
      <c r="P7318" s="405" t="s">
        <v>11567</v>
      </c>
      <c r="Q7318" s="411">
        <v>6</v>
      </c>
      <c r="R7318" s="405" t="s">
        <v>5655</v>
      </c>
      <c r="S7318" s="405" t="s">
        <v>27325</v>
      </c>
      <c r="T7318" s="405" t="s">
        <v>32102</v>
      </c>
      <c r="U7318" s="405" t="s">
        <v>319</v>
      </c>
    </row>
    <row r="7319" spans="1:21" hidden="1" x14ac:dyDescent="0.25">
      <c r="A7319" s="405" t="s">
        <v>310</v>
      </c>
      <c r="B7319" s="405" t="s">
        <v>2750</v>
      </c>
      <c r="C7319" s="405" t="s">
        <v>327</v>
      </c>
      <c r="D7319" s="405"/>
      <c r="E7319" s="410">
        <v>41122</v>
      </c>
      <c r="F7319" s="410">
        <v>41167</v>
      </c>
      <c r="G7319" s="405" t="s">
        <v>2751</v>
      </c>
      <c r="H7319" s="405">
        <v>778689178</v>
      </c>
      <c r="I7319" s="405"/>
      <c r="J7319" s="405">
        <v>-0.41870000000000002</v>
      </c>
      <c r="K7319" s="405">
        <v>31.141995000000001</v>
      </c>
      <c r="L7319" s="405" t="s">
        <v>314</v>
      </c>
      <c r="M7319" s="405" t="s">
        <v>1805</v>
      </c>
      <c r="N7319" s="405" t="s">
        <v>1805</v>
      </c>
      <c r="O7319" s="405" t="s">
        <v>1805</v>
      </c>
      <c r="P7319" s="405" t="s">
        <v>2534</v>
      </c>
      <c r="Q7319" s="411">
        <v>6</v>
      </c>
      <c r="R7319" s="405" t="s">
        <v>874</v>
      </c>
      <c r="S7319" s="405" t="s">
        <v>27163</v>
      </c>
      <c r="T7319" s="405" t="s">
        <v>32102</v>
      </c>
      <c r="U7319" s="405" t="s">
        <v>319</v>
      </c>
    </row>
    <row r="7320" spans="1:21" hidden="1" x14ac:dyDescent="0.25">
      <c r="A7320" s="405" t="s">
        <v>310</v>
      </c>
      <c r="B7320" s="405" t="s">
        <v>2732</v>
      </c>
      <c r="C7320" s="405" t="s">
        <v>327</v>
      </c>
      <c r="D7320" s="405"/>
      <c r="E7320" s="410">
        <v>41122</v>
      </c>
      <c r="F7320" s="410">
        <v>41167</v>
      </c>
      <c r="G7320" s="405" t="s">
        <v>2733</v>
      </c>
      <c r="H7320" s="405">
        <v>703591789</v>
      </c>
      <c r="I7320" s="405"/>
      <c r="J7320" s="405">
        <v>0.51185199999999997</v>
      </c>
      <c r="K7320" s="405">
        <v>31.654067999999999</v>
      </c>
      <c r="L7320" s="405" t="s">
        <v>314</v>
      </c>
      <c r="M7320" s="405" t="s">
        <v>445</v>
      </c>
      <c r="N7320" s="405" t="s">
        <v>570</v>
      </c>
      <c r="O7320" s="405" t="s">
        <v>2734</v>
      </c>
      <c r="P7320" s="405" t="s">
        <v>2735</v>
      </c>
      <c r="Q7320" s="411">
        <v>4</v>
      </c>
      <c r="R7320" s="405" t="s">
        <v>525</v>
      </c>
      <c r="S7320" s="405" t="s">
        <v>27200</v>
      </c>
      <c r="T7320" s="405" t="s">
        <v>32102</v>
      </c>
      <c r="U7320" s="405" t="s">
        <v>319</v>
      </c>
    </row>
    <row r="7321" spans="1:21" hidden="1" x14ac:dyDescent="0.25">
      <c r="A7321" s="405" t="s">
        <v>310</v>
      </c>
      <c r="B7321" s="405" t="s">
        <v>27715</v>
      </c>
      <c r="C7321" s="405" t="s">
        <v>327</v>
      </c>
      <c r="D7321" s="405"/>
      <c r="E7321" s="410">
        <v>41121</v>
      </c>
      <c r="F7321" s="410">
        <v>41166</v>
      </c>
      <c r="G7321" s="405" t="s">
        <v>2717</v>
      </c>
      <c r="H7321" s="405">
        <v>772648212</v>
      </c>
      <c r="I7321" s="405"/>
      <c r="J7321" s="405">
        <v>0.39752199999999999</v>
      </c>
      <c r="K7321" s="405">
        <v>32.436388000000001</v>
      </c>
      <c r="L7321" s="405" t="s">
        <v>314</v>
      </c>
      <c r="M7321" s="405" t="s">
        <v>361</v>
      </c>
      <c r="N7321" s="405" t="s">
        <v>374</v>
      </c>
      <c r="O7321" s="405" t="s">
        <v>952</v>
      </c>
      <c r="P7321" s="405" t="s">
        <v>2718</v>
      </c>
      <c r="Q7321" s="411">
        <v>13</v>
      </c>
      <c r="R7321" s="405" t="s">
        <v>318</v>
      </c>
      <c r="S7321" s="405" t="s">
        <v>27141</v>
      </c>
      <c r="T7321" s="405" t="s">
        <v>32102</v>
      </c>
      <c r="U7321" s="405" t="s">
        <v>319</v>
      </c>
    </row>
    <row r="7322" spans="1:21" hidden="1" x14ac:dyDescent="0.25">
      <c r="A7322" s="405" t="s">
        <v>310</v>
      </c>
      <c r="B7322" s="405" t="s">
        <v>2696</v>
      </c>
      <c r="C7322" s="405" t="s">
        <v>327</v>
      </c>
      <c r="D7322" s="405"/>
      <c r="E7322" s="410">
        <v>41121</v>
      </c>
      <c r="F7322" s="410">
        <v>41166</v>
      </c>
      <c r="G7322" s="405" t="s">
        <v>2697</v>
      </c>
      <c r="H7322" s="405">
        <v>772625755</v>
      </c>
      <c r="I7322" s="405"/>
      <c r="J7322" s="405">
        <v>0.575623</v>
      </c>
      <c r="K7322" s="405">
        <v>33.038978</v>
      </c>
      <c r="L7322" s="405" t="s">
        <v>314</v>
      </c>
      <c r="M7322" s="405" t="s">
        <v>502</v>
      </c>
      <c r="N7322" s="405" t="s">
        <v>503</v>
      </c>
      <c r="O7322" s="405" t="s">
        <v>2179</v>
      </c>
      <c r="P7322" s="405" t="s">
        <v>2698</v>
      </c>
      <c r="Q7322" s="411">
        <v>9</v>
      </c>
      <c r="R7322" s="405" t="s">
        <v>1263</v>
      </c>
      <c r="S7322" s="405" t="s">
        <v>27199</v>
      </c>
      <c r="T7322" s="405" t="s">
        <v>32102</v>
      </c>
      <c r="U7322" s="405" t="s">
        <v>319</v>
      </c>
    </row>
    <row r="7323" spans="1:21" hidden="1" x14ac:dyDescent="0.25">
      <c r="A7323" s="405" t="s">
        <v>310</v>
      </c>
      <c r="B7323" s="405" t="s">
        <v>2713</v>
      </c>
      <c r="C7323" s="405" t="s">
        <v>327</v>
      </c>
      <c r="D7323" s="405"/>
      <c r="E7323" s="410">
        <v>41121</v>
      </c>
      <c r="F7323" s="410">
        <v>41166</v>
      </c>
      <c r="G7323" s="405" t="s">
        <v>2714</v>
      </c>
      <c r="H7323" s="405">
        <v>774316534</v>
      </c>
      <c r="I7323" s="405">
        <v>755917342</v>
      </c>
      <c r="J7323" s="405">
        <v>0.46987666666666666</v>
      </c>
      <c r="K7323" s="405">
        <v>32.528838333333333</v>
      </c>
      <c r="L7323" s="405" t="s">
        <v>314</v>
      </c>
      <c r="M7323" s="405" t="s">
        <v>361</v>
      </c>
      <c r="N7323" s="405" t="s">
        <v>362</v>
      </c>
      <c r="O7323" s="405" t="s">
        <v>523</v>
      </c>
      <c r="P7323" s="405" t="s">
        <v>2715</v>
      </c>
      <c r="Q7323" s="411">
        <v>9</v>
      </c>
      <c r="R7323" s="405" t="s">
        <v>1263</v>
      </c>
      <c r="S7323" s="405" t="s">
        <v>27120</v>
      </c>
      <c r="T7323" s="405" t="s">
        <v>32102</v>
      </c>
      <c r="U7323" s="405" t="s">
        <v>319</v>
      </c>
    </row>
    <row r="7324" spans="1:21" hidden="1" x14ac:dyDescent="0.25">
      <c r="A7324" s="405" t="s">
        <v>310</v>
      </c>
      <c r="B7324" s="405" t="s">
        <v>28507</v>
      </c>
      <c r="C7324" s="405" t="s">
        <v>327</v>
      </c>
      <c r="D7324" s="405"/>
      <c r="E7324" s="410">
        <v>41121</v>
      </c>
      <c r="F7324" s="410">
        <v>41166</v>
      </c>
      <c r="G7324" s="405" t="s">
        <v>2716</v>
      </c>
      <c r="H7324" s="405">
        <v>755919814</v>
      </c>
      <c r="I7324" s="405"/>
      <c r="J7324" s="405">
        <v>0.51796500000000001</v>
      </c>
      <c r="K7324" s="405">
        <v>32.456871666666665</v>
      </c>
      <c r="L7324" s="405" t="s">
        <v>314</v>
      </c>
      <c r="M7324" s="405" t="s">
        <v>361</v>
      </c>
      <c r="N7324" s="405" t="s">
        <v>362</v>
      </c>
      <c r="O7324" s="405" t="s">
        <v>523</v>
      </c>
      <c r="P7324" s="405" t="s">
        <v>2324</v>
      </c>
      <c r="Q7324" s="411">
        <v>6</v>
      </c>
      <c r="R7324" s="405" t="s">
        <v>1263</v>
      </c>
      <c r="S7324" s="405" t="s">
        <v>27108</v>
      </c>
      <c r="T7324" s="405" t="s">
        <v>32102</v>
      </c>
      <c r="U7324" s="405" t="s">
        <v>319</v>
      </c>
    </row>
    <row r="7325" spans="1:21" hidden="1" x14ac:dyDescent="0.25">
      <c r="A7325" s="405" t="s">
        <v>310</v>
      </c>
      <c r="B7325" s="405" t="s">
        <v>2752</v>
      </c>
      <c r="C7325" s="405" t="s">
        <v>327</v>
      </c>
      <c r="D7325" s="405"/>
      <c r="E7325" s="410">
        <v>41121</v>
      </c>
      <c r="F7325" s="410">
        <v>41166</v>
      </c>
      <c r="G7325" s="405" t="s">
        <v>2753</v>
      </c>
      <c r="H7325" s="405">
        <v>755234269</v>
      </c>
      <c r="I7325" s="405"/>
      <c r="J7325" s="405">
        <v>0.22999</v>
      </c>
      <c r="K7325" s="405">
        <v>32.542631999999998</v>
      </c>
      <c r="L7325" s="405" t="s">
        <v>314</v>
      </c>
      <c r="M7325" s="405" t="s">
        <v>361</v>
      </c>
      <c r="N7325" s="405" t="s">
        <v>362</v>
      </c>
      <c r="O7325" s="405" t="s">
        <v>618</v>
      </c>
      <c r="P7325" s="405" t="s">
        <v>2754</v>
      </c>
      <c r="Q7325" s="411">
        <v>6</v>
      </c>
      <c r="R7325" s="405" t="s">
        <v>318</v>
      </c>
      <c r="S7325" s="405" t="s">
        <v>27113</v>
      </c>
      <c r="T7325" s="405" t="s">
        <v>32102</v>
      </c>
      <c r="U7325" s="405" t="s">
        <v>319</v>
      </c>
    </row>
    <row r="7326" spans="1:21" hidden="1" x14ac:dyDescent="0.25">
      <c r="A7326" s="405" t="s">
        <v>310</v>
      </c>
      <c r="B7326" s="405" t="s">
        <v>27742</v>
      </c>
      <c r="C7326" s="405" t="s">
        <v>327</v>
      </c>
      <c r="D7326" s="405"/>
      <c r="E7326" s="410">
        <v>41121</v>
      </c>
      <c r="F7326" s="410">
        <v>41166</v>
      </c>
      <c r="G7326" s="405" t="s">
        <v>11573</v>
      </c>
      <c r="H7326" s="405">
        <v>780835586</v>
      </c>
      <c r="I7326" s="405">
        <v>780835586</v>
      </c>
      <c r="J7326" s="405">
        <v>2.0201720000000001</v>
      </c>
      <c r="K7326" s="405">
        <v>33.651964999999997</v>
      </c>
      <c r="L7326" s="405" t="s">
        <v>6866</v>
      </c>
      <c r="M7326" s="405" t="s">
        <v>10495</v>
      </c>
      <c r="N7326" s="405" t="s">
        <v>10495</v>
      </c>
      <c r="O7326" s="405" t="s">
        <v>11574</v>
      </c>
      <c r="P7326" s="405" t="s">
        <v>11575</v>
      </c>
      <c r="Q7326" s="411">
        <v>6</v>
      </c>
      <c r="R7326" s="405" t="s">
        <v>5655</v>
      </c>
      <c r="S7326" s="405" t="s">
        <v>27323</v>
      </c>
      <c r="T7326" s="405" t="s">
        <v>32102</v>
      </c>
      <c r="U7326" s="405" t="s">
        <v>319</v>
      </c>
    </row>
    <row r="7327" spans="1:21" hidden="1" x14ac:dyDescent="0.25">
      <c r="A7327" s="405" t="s">
        <v>310</v>
      </c>
      <c r="B7327" s="405" t="s">
        <v>28988</v>
      </c>
      <c r="C7327" s="405" t="s">
        <v>327</v>
      </c>
      <c r="D7327" s="405"/>
      <c r="E7327" s="410">
        <v>41119</v>
      </c>
      <c r="F7327" s="410">
        <v>41164</v>
      </c>
      <c r="G7327" s="405" t="s">
        <v>20642</v>
      </c>
      <c r="H7327" s="405">
        <v>782377429</v>
      </c>
      <c r="I7327" s="405"/>
      <c r="J7327" s="405">
        <v>-0.79661700000000002</v>
      </c>
      <c r="K7327" s="405">
        <v>29.928940999999998</v>
      </c>
      <c r="L7327" s="405" t="s">
        <v>590</v>
      </c>
      <c r="M7327" s="405" t="s">
        <v>19619</v>
      </c>
      <c r="N7327" s="405" t="s">
        <v>19765</v>
      </c>
      <c r="O7327" s="405" t="s">
        <v>16533</v>
      </c>
      <c r="P7327" s="405" t="s">
        <v>20643</v>
      </c>
      <c r="Q7327" s="411">
        <v>13</v>
      </c>
      <c r="R7327" s="405" t="s">
        <v>19622</v>
      </c>
      <c r="S7327" s="405" t="s">
        <v>27116</v>
      </c>
      <c r="T7327" s="405" t="s">
        <v>32102</v>
      </c>
      <c r="U7327" s="405" t="s">
        <v>319</v>
      </c>
    </row>
    <row r="7328" spans="1:21" hidden="1" x14ac:dyDescent="0.25">
      <c r="A7328" s="405" t="s">
        <v>310</v>
      </c>
      <c r="B7328" s="405" t="s">
        <v>2729</v>
      </c>
      <c r="C7328" s="405" t="s">
        <v>327</v>
      </c>
      <c r="D7328" s="405"/>
      <c r="E7328" s="410">
        <v>41119</v>
      </c>
      <c r="F7328" s="410">
        <v>41164</v>
      </c>
      <c r="G7328" s="405" t="s">
        <v>2730</v>
      </c>
      <c r="H7328" s="405">
        <v>785113603</v>
      </c>
      <c r="I7328" s="405"/>
      <c r="J7328" s="405">
        <v>0.66369</v>
      </c>
      <c r="K7328" s="405">
        <v>31.802622</v>
      </c>
      <c r="L7328" s="405" t="s">
        <v>314</v>
      </c>
      <c r="M7328" s="405" t="s">
        <v>445</v>
      </c>
      <c r="N7328" s="405" t="s">
        <v>570</v>
      </c>
      <c r="O7328" s="405" t="s">
        <v>2213</v>
      </c>
      <c r="P7328" s="405" t="s">
        <v>2731</v>
      </c>
      <c r="Q7328" s="411">
        <v>6</v>
      </c>
      <c r="R7328" s="405" t="s">
        <v>318</v>
      </c>
      <c r="S7328" s="405" t="s">
        <v>27174</v>
      </c>
      <c r="T7328" s="405" t="s">
        <v>32102</v>
      </c>
      <c r="U7328" s="405" t="s">
        <v>319</v>
      </c>
    </row>
    <row r="7329" spans="1:21" hidden="1" x14ac:dyDescent="0.25">
      <c r="A7329" s="405" t="s">
        <v>310</v>
      </c>
      <c r="B7329" s="405" t="s">
        <v>11583</v>
      </c>
      <c r="C7329" s="405" t="s">
        <v>327</v>
      </c>
      <c r="D7329" s="405"/>
      <c r="E7329" s="410">
        <v>41118</v>
      </c>
      <c r="F7329" s="410">
        <v>41163</v>
      </c>
      <c r="G7329" s="405" t="s">
        <v>11584</v>
      </c>
      <c r="H7329" s="405">
        <v>772594261</v>
      </c>
      <c r="I7329" s="405">
        <v>753090090</v>
      </c>
      <c r="J7329" s="405">
        <v>0.94671539999999998</v>
      </c>
      <c r="K7329" s="405">
        <v>33.125521300000003</v>
      </c>
      <c r="L7329" s="405" t="s">
        <v>6866</v>
      </c>
      <c r="M7329" s="405" t="s">
        <v>3009</v>
      </c>
      <c r="N7329" s="405" t="s">
        <v>9612</v>
      </c>
      <c r="O7329" s="405" t="s">
        <v>10188</v>
      </c>
      <c r="P7329" s="405" t="s">
        <v>11585</v>
      </c>
      <c r="Q7329" s="411">
        <v>9</v>
      </c>
      <c r="R7329" s="405" t="s">
        <v>333</v>
      </c>
      <c r="S7329" s="405" t="s">
        <v>27054</v>
      </c>
      <c r="T7329" s="405" t="s">
        <v>32102</v>
      </c>
      <c r="U7329" s="405" t="s">
        <v>319</v>
      </c>
    </row>
    <row r="7330" spans="1:21" hidden="1" x14ac:dyDescent="0.25">
      <c r="A7330" s="405" t="s">
        <v>310</v>
      </c>
      <c r="B7330" s="405" t="s">
        <v>2710</v>
      </c>
      <c r="C7330" s="405" t="s">
        <v>327</v>
      </c>
      <c r="D7330" s="405"/>
      <c r="E7330" s="410">
        <v>41118</v>
      </c>
      <c r="F7330" s="410">
        <v>41163</v>
      </c>
      <c r="G7330" s="405" t="s">
        <v>2711</v>
      </c>
      <c r="H7330" s="405">
        <v>757601847</v>
      </c>
      <c r="I7330" s="405"/>
      <c r="J7330" s="405">
        <v>0.28714000000000001</v>
      </c>
      <c r="K7330" s="405">
        <v>32.291542999999997</v>
      </c>
      <c r="L7330" s="405" t="s">
        <v>314</v>
      </c>
      <c r="M7330" s="405" t="s">
        <v>315</v>
      </c>
      <c r="N7330" s="405" t="s">
        <v>718</v>
      </c>
      <c r="O7330" s="405" t="s">
        <v>719</v>
      </c>
      <c r="P7330" s="405" t="s">
        <v>2712</v>
      </c>
      <c r="Q7330" s="411">
        <v>6</v>
      </c>
      <c r="R7330" s="405" t="s">
        <v>318</v>
      </c>
      <c r="S7330" s="405" t="s">
        <v>27167</v>
      </c>
      <c r="T7330" s="405" t="s">
        <v>32102</v>
      </c>
      <c r="U7330" s="405" t="s">
        <v>319</v>
      </c>
    </row>
    <row r="7331" spans="1:21" hidden="1" x14ac:dyDescent="0.25">
      <c r="A7331" s="405" t="s">
        <v>310</v>
      </c>
      <c r="B7331" s="405" t="s">
        <v>2765</v>
      </c>
      <c r="C7331" s="405" t="s">
        <v>327</v>
      </c>
      <c r="D7331" s="405"/>
      <c r="E7331" s="410">
        <v>41118</v>
      </c>
      <c r="F7331" s="410">
        <v>41163</v>
      </c>
      <c r="G7331" s="405" t="s">
        <v>2766</v>
      </c>
      <c r="H7331" s="405">
        <v>782470150</v>
      </c>
      <c r="I7331" s="405">
        <v>779205123</v>
      </c>
      <c r="J7331" s="405">
        <v>0.71009699999999998</v>
      </c>
      <c r="K7331" s="405">
        <v>31.925477999999998</v>
      </c>
      <c r="L7331" s="405" t="s">
        <v>314</v>
      </c>
      <c r="M7331" s="405" t="s">
        <v>2537</v>
      </c>
      <c r="N7331" s="405" t="s">
        <v>2537</v>
      </c>
      <c r="O7331" s="405" t="s">
        <v>2764</v>
      </c>
      <c r="P7331" s="405" t="s">
        <v>2767</v>
      </c>
      <c r="Q7331" s="411">
        <v>6</v>
      </c>
      <c r="R7331" s="405" t="s">
        <v>318</v>
      </c>
      <c r="S7331" s="405" t="s">
        <v>27137</v>
      </c>
      <c r="T7331" s="405" t="s">
        <v>32102</v>
      </c>
      <c r="U7331" s="405" t="s">
        <v>319</v>
      </c>
    </row>
    <row r="7332" spans="1:21" hidden="1" x14ac:dyDescent="0.25">
      <c r="A7332" s="405" t="s">
        <v>310</v>
      </c>
      <c r="B7332" s="405" t="s">
        <v>27839</v>
      </c>
      <c r="C7332" s="405" t="s">
        <v>327</v>
      </c>
      <c r="D7332" s="405"/>
      <c r="E7332" s="410">
        <v>41117</v>
      </c>
      <c r="F7332" s="410">
        <v>41162</v>
      </c>
      <c r="G7332" s="405" t="s">
        <v>20632</v>
      </c>
      <c r="H7332" s="405">
        <v>782191061</v>
      </c>
      <c r="I7332" s="405"/>
      <c r="J7332" s="405">
        <v>-0.33076</v>
      </c>
      <c r="K7332" s="405">
        <v>30.561129000000001</v>
      </c>
      <c r="L7332" s="405" t="s">
        <v>590</v>
      </c>
      <c r="M7332" s="405" t="s">
        <v>19614</v>
      </c>
      <c r="N7332" s="405" t="s">
        <v>19615</v>
      </c>
      <c r="O7332" s="405" t="s">
        <v>20112</v>
      </c>
      <c r="P7332" s="405" t="s">
        <v>20633</v>
      </c>
      <c r="Q7332" s="411">
        <v>9</v>
      </c>
      <c r="R7332" s="405" t="s">
        <v>333</v>
      </c>
      <c r="S7332" s="405" t="s">
        <v>27161</v>
      </c>
      <c r="T7332" s="405" t="s">
        <v>32102</v>
      </c>
      <c r="U7332" s="405" t="s">
        <v>319</v>
      </c>
    </row>
    <row r="7333" spans="1:21" hidden="1" x14ac:dyDescent="0.25">
      <c r="A7333" s="405" t="s">
        <v>310</v>
      </c>
      <c r="B7333" s="405" t="s">
        <v>28870</v>
      </c>
      <c r="C7333" s="405" t="s">
        <v>327</v>
      </c>
      <c r="D7333" s="405"/>
      <c r="E7333" s="410">
        <v>41116</v>
      </c>
      <c r="F7333" s="410">
        <v>41161</v>
      </c>
      <c r="G7333" s="405" t="s">
        <v>11563</v>
      </c>
      <c r="H7333" s="405">
        <v>758880820</v>
      </c>
      <c r="I7333" s="405"/>
      <c r="J7333" s="405">
        <v>1.1011230000000001</v>
      </c>
      <c r="K7333" s="405">
        <v>34.198121999999998</v>
      </c>
      <c r="L7333" s="405" t="s">
        <v>6866</v>
      </c>
      <c r="M7333" s="405" t="s">
        <v>9514</v>
      </c>
      <c r="N7333" s="405" t="s">
        <v>9529</v>
      </c>
      <c r="O7333" s="405" t="s">
        <v>9530</v>
      </c>
      <c r="P7333" s="405" t="s">
        <v>11564</v>
      </c>
      <c r="Q7333" s="411">
        <v>6</v>
      </c>
      <c r="R7333" s="405" t="s">
        <v>9541</v>
      </c>
      <c r="S7333" s="405" t="s">
        <v>27311</v>
      </c>
      <c r="T7333" s="405" t="s">
        <v>32102</v>
      </c>
      <c r="U7333" s="405" t="s">
        <v>319</v>
      </c>
    </row>
    <row r="7334" spans="1:21" hidden="1" x14ac:dyDescent="0.25">
      <c r="A7334" s="405" t="s">
        <v>310</v>
      </c>
      <c r="B7334" s="405" t="s">
        <v>2739</v>
      </c>
      <c r="C7334" s="405" t="s">
        <v>327</v>
      </c>
      <c r="D7334" s="405"/>
      <c r="E7334" s="410">
        <v>41115</v>
      </c>
      <c r="F7334" s="410">
        <v>41160</v>
      </c>
      <c r="G7334" s="405" t="s">
        <v>2740</v>
      </c>
      <c r="H7334" s="405">
        <v>782982414</v>
      </c>
      <c r="I7334" s="405"/>
      <c r="J7334" s="405">
        <v>1.4521520000000001</v>
      </c>
      <c r="K7334" s="405">
        <v>32.256647999999998</v>
      </c>
      <c r="L7334" s="405" t="s">
        <v>314</v>
      </c>
      <c r="M7334" s="405" t="s">
        <v>2512</v>
      </c>
      <c r="N7334" s="405" t="s">
        <v>2589</v>
      </c>
      <c r="O7334" s="405" t="s">
        <v>2590</v>
      </c>
      <c r="P7334" s="405" t="s">
        <v>2741</v>
      </c>
      <c r="Q7334" s="411">
        <v>6</v>
      </c>
      <c r="R7334" s="405" t="s">
        <v>318</v>
      </c>
      <c r="S7334" s="405" t="s">
        <v>27046</v>
      </c>
      <c r="T7334" s="405" t="s">
        <v>32102</v>
      </c>
      <c r="U7334" s="405" t="s">
        <v>319</v>
      </c>
    </row>
    <row r="7335" spans="1:21" hidden="1" x14ac:dyDescent="0.25">
      <c r="A7335" s="405" t="s">
        <v>310</v>
      </c>
      <c r="B7335" s="405" t="s">
        <v>11652</v>
      </c>
      <c r="C7335" s="405" t="s">
        <v>327</v>
      </c>
      <c r="D7335" s="405"/>
      <c r="E7335" s="410">
        <v>41115</v>
      </c>
      <c r="F7335" s="410">
        <v>41160</v>
      </c>
      <c r="G7335" s="405" t="s">
        <v>11653</v>
      </c>
      <c r="H7335" s="405">
        <v>752651005</v>
      </c>
      <c r="I7335" s="405"/>
      <c r="J7335" s="405">
        <v>0.56023000000000001</v>
      </c>
      <c r="K7335" s="405">
        <v>33.536112000000003</v>
      </c>
      <c r="L7335" s="405" t="s">
        <v>6866</v>
      </c>
      <c r="M7335" s="405" t="s">
        <v>10853</v>
      </c>
      <c r="N7335" s="405" t="s">
        <v>4802</v>
      </c>
      <c r="O7335" s="405" t="s">
        <v>11654</v>
      </c>
      <c r="P7335" s="405" t="s">
        <v>11655</v>
      </c>
      <c r="Q7335" s="411">
        <v>6</v>
      </c>
      <c r="R7335" s="405" t="s">
        <v>333</v>
      </c>
      <c r="S7335" s="405" t="s">
        <v>27231</v>
      </c>
      <c r="T7335" s="405" t="s">
        <v>32102</v>
      </c>
      <c r="U7335" s="405" t="s">
        <v>319</v>
      </c>
    </row>
    <row r="7336" spans="1:21" hidden="1" x14ac:dyDescent="0.25">
      <c r="A7336" s="405" t="s">
        <v>310</v>
      </c>
      <c r="B7336" s="405" t="s">
        <v>11648</v>
      </c>
      <c r="C7336" s="405" t="s">
        <v>327</v>
      </c>
      <c r="D7336" s="405"/>
      <c r="E7336" s="410">
        <v>41115</v>
      </c>
      <c r="F7336" s="410">
        <v>41160</v>
      </c>
      <c r="G7336" s="405" t="s">
        <v>11649</v>
      </c>
      <c r="H7336" s="405">
        <v>782455788</v>
      </c>
      <c r="I7336" s="405">
        <v>704056725</v>
      </c>
      <c r="J7336" s="405">
        <v>0.55057299999999998</v>
      </c>
      <c r="K7336" s="405">
        <v>33.538652999999996</v>
      </c>
      <c r="L7336" s="405" t="s">
        <v>6866</v>
      </c>
      <c r="M7336" s="405" t="s">
        <v>10853</v>
      </c>
      <c r="N7336" s="405" t="s">
        <v>11650</v>
      </c>
      <c r="O7336" s="405" t="s">
        <v>11581</v>
      </c>
      <c r="P7336" s="405" t="s">
        <v>11651</v>
      </c>
      <c r="Q7336" s="411">
        <v>6</v>
      </c>
      <c r="R7336" s="405" t="s">
        <v>333</v>
      </c>
      <c r="S7336" s="405" t="s">
        <v>27034</v>
      </c>
      <c r="T7336" s="405" t="s">
        <v>32102</v>
      </c>
      <c r="U7336" s="405" t="s">
        <v>319</v>
      </c>
    </row>
    <row r="7337" spans="1:21" hidden="1" x14ac:dyDescent="0.25">
      <c r="A7337" s="405" t="s">
        <v>310</v>
      </c>
      <c r="B7337" s="405" t="s">
        <v>2762</v>
      </c>
      <c r="C7337" s="405" t="s">
        <v>327</v>
      </c>
      <c r="D7337" s="405"/>
      <c r="E7337" s="410">
        <v>41115</v>
      </c>
      <c r="F7337" s="410">
        <v>41160</v>
      </c>
      <c r="G7337" s="405" t="s">
        <v>2763</v>
      </c>
      <c r="H7337" s="405">
        <v>774190164</v>
      </c>
      <c r="I7337" s="405"/>
      <c r="J7337" s="405">
        <v>0.69539499999999999</v>
      </c>
      <c r="K7337" s="405">
        <v>31.961020000000001</v>
      </c>
      <c r="L7337" s="405" t="s">
        <v>314</v>
      </c>
      <c r="M7337" s="405" t="s">
        <v>2537</v>
      </c>
      <c r="N7337" s="405" t="s">
        <v>2537</v>
      </c>
      <c r="O7337" s="405" t="s">
        <v>2764</v>
      </c>
      <c r="P7337" s="405" t="s">
        <v>2764</v>
      </c>
      <c r="Q7337" s="411">
        <v>6</v>
      </c>
      <c r="R7337" s="405" t="s">
        <v>318</v>
      </c>
      <c r="S7337" s="405" t="s">
        <v>27201</v>
      </c>
      <c r="T7337" s="405" t="s">
        <v>32102</v>
      </c>
      <c r="U7337" s="405" t="s">
        <v>319</v>
      </c>
    </row>
    <row r="7338" spans="1:21" hidden="1" x14ac:dyDescent="0.25">
      <c r="A7338" s="405" t="s">
        <v>310</v>
      </c>
      <c r="B7338" s="405" t="s">
        <v>20646</v>
      </c>
      <c r="C7338" s="405" t="s">
        <v>327</v>
      </c>
      <c r="D7338" s="405"/>
      <c r="E7338" s="410">
        <v>41115</v>
      </c>
      <c r="F7338" s="410">
        <v>41160</v>
      </c>
      <c r="G7338" s="405" t="s">
        <v>20647</v>
      </c>
      <c r="H7338" s="405">
        <v>775363721</v>
      </c>
      <c r="I7338" s="405"/>
      <c r="J7338" s="405">
        <v>1.9126829999999999</v>
      </c>
      <c r="K7338" s="405">
        <v>32.051439999999999</v>
      </c>
      <c r="L7338" s="405" t="s">
        <v>590</v>
      </c>
      <c r="M7338" s="405" t="s">
        <v>591</v>
      </c>
      <c r="N7338" s="405" t="s">
        <v>4262</v>
      </c>
      <c r="O7338" s="405" t="s">
        <v>591</v>
      </c>
      <c r="P7338" s="405" t="s">
        <v>20648</v>
      </c>
      <c r="Q7338" s="411">
        <v>6</v>
      </c>
      <c r="R7338" s="405" t="s">
        <v>994</v>
      </c>
      <c r="S7338" s="405" t="s">
        <v>27036</v>
      </c>
      <c r="T7338" s="405" t="s">
        <v>32102</v>
      </c>
      <c r="U7338" s="405" t="s">
        <v>319</v>
      </c>
    </row>
    <row r="7339" spans="1:21" hidden="1" x14ac:dyDescent="0.25">
      <c r="A7339" s="405" t="s">
        <v>310</v>
      </c>
      <c r="B7339" s="405" t="s">
        <v>11635</v>
      </c>
      <c r="C7339" s="405" t="s">
        <v>327</v>
      </c>
      <c r="D7339" s="405"/>
      <c r="E7339" s="410">
        <v>41115</v>
      </c>
      <c r="F7339" s="410">
        <v>41160</v>
      </c>
      <c r="G7339" s="405" t="s">
        <v>11636</v>
      </c>
      <c r="H7339" s="405">
        <v>783130802</v>
      </c>
      <c r="I7339" s="405"/>
      <c r="J7339" s="405">
        <v>1.1573070000000001</v>
      </c>
      <c r="K7339" s="405">
        <v>33.922780000000003</v>
      </c>
      <c r="L7339" s="405" t="s">
        <v>6866</v>
      </c>
      <c r="M7339" s="405" t="s">
        <v>10152</v>
      </c>
      <c r="N7339" s="405" t="s">
        <v>10153</v>
      </c>
      <c r="O7339" s="405" t="s">
        <v>10154</v>
      </c>
      <c r="P7339" s="405" t="s">
        <v>11637</v>
      </c>
      <c r="Q7339" s="411">
        <v>6</v>
      </c>
      <c r="R7339" s="405" t="s">
        <v>9541</v>
      </c>
      <c r="S7339" s="405" t="s">
        <v>27315</v>
      </c>
      <c r="T7339" s="405" t="s">
        <v>32102</v>
      </c>
      <c r="U7339" s="405" t="s">
        <v>319</v>
      </c>
    </row>
    <row r="7340" spans="1:21" hidden="1" x14ac:dyDescent="0.25">
      <c r="A7340" s="405" t="s">
        <v>310</v>
      </c>
      <c r="B7340" s="405" t="s">
        <v>27573</v>
      </c>
      <c r="C7340" s="405" t="s">
        <v>311</v>
      </c>
      <c r="D7340" s="405" t="s">
        <v>1789</v>
      </c>
      <c r="E7340" s="410">
        <v>41114</v>
      </c>
      <c r="F7340" s="410">
        <v>41159</v>
      </c>
      <c r="G7340" s="405" t="s">
        <v>12008</v>
      </c>
      <c r="H7340" s="405">
        <v>757046903</v>
      </c>
      <c r="I7340" s="405">
        <v>774350512</v>
      </c>
      <c r="J7340" s="405">
        <v>0.61629679999999998</v>
      </c>
      <c r="K7340" s="405">
        <v>33.479163100000001</v>
      </c>
      <c r="L7340" s="405" t="s">
        <v>6866</v>
      </c>
      <c r="M7340" s="405" t="s">
        <v>9590</v>
      </c>
      <c r="N7340" s="405" t="s">
        <v>542</v>
      </c>
      <c r="O7340" s="405" t="s">
        <v>12009</v>
      </c>
      <c r="P7340" s="405" t="s">
        <v>12010</v>
      </c>
      <c r="Q7340" s="411">
        <v>6</v>
      </c>
      <c r="R7340" s="405" t="s">
        <v>318</v>
      </c>
      <c r="S7340" s="405" t="s">
        <v>6822</v>
      </c>
      <c r="T7340" s="405" t="s">
        <v>32102</v>
      </c>
      <c r="U7340" s="405" t="s">
        <v>319</v>
      </c>
    </row>
    <row r="7341" spans="1:21" hidden="1" x14ac:dyDescent="0.25">
      <c r="A7341" s="405" t="s">
        <v>310</v>
      </c>
      <c r="B7341" s="405" t="s">
        <v>28527</v>
      </c>
      <c r="C7341" s="405" t="s">
        <v>327</v>
      </c>
      <c r="D7341" s="405"/>
      <c r="E7341" s="410">
        <v>41113</v>
      </c>
      <c r="F7341" s="410">
        <v>41158</v>
      </c>
      <c r="G7341" s="405" t="s">
        <v>2738</v>
      </c>
      <c r="H7341" s="405">
        <v>782639466</v>
      </c>
      <c r="I7341" s="405"/>
      <c r="J7341" s="405">
        <v>0.1107863</v>
      </c>
      <c r="K7341" s="405">
        <v>32.175634000000002</v>
      </c>
      <c r="L7341" s="405" t="s">
        <v>314</v>
      </c>
      <c r="M7341" s="405" t="s">
        <v>321</v>
      </c>
      <c r="N7341" s="405" t="s">
        <v>322</v>
      </c>
      <c r="O7341" s="405" t="s">
        <v>1023</v>
      </c>
      <c r="P7341" s="405" t="s">
        <v>2389</v>
      </c>
      <c r="Q7341" s="411">
        <v>6</v>
      </c>
      <c r="R7341" s="405" t="s">
        <v>318</v>
      </c>
      <c r="S7341" s="405" t="s">
        <v>27135</v>
      </c>
      <c r="T7341" s="405" t="s">
        <v>32102</v>
      </c>
      <c r="U7341" s="405" t="s">
        <v>319</v>
      </c>
    </row>
    <row r="7342" spans="1:21" hidden="1" x14ac:dyDescent="0.25">
      <c r="A7342" s="405" t="s">
        <v>310</v>
      </c>
      <c r="B7342" s="405" t="s">
        <v>11645</v>
      </c>
      <c r="C7342" s="405" t="s">
        <v>327</v>
      </c>
      <c r="D7342" s="405"/>
      <c r="E7342" s="410">
        <v>41113</v>
      </c>
      <c r="F7342" s="410">
        <v>41158</v>
      </c>
      <c r="G7342" s="405" t="s">
        <v>11646</v>
      </c>
      <c r="H7342" s="405">
        <v>786876636</v>
      </c>
      <c r="I7342" s="405"/>
      <c r="J7342" s="405">
        <v>0.58463699999999996</v>
      </c>
      <c r="K7342" s="405">
        <v>33.985011</v>
      </c>
      <c r="L7342" s="405" t="s">
        <v>6866</v>
      </c>
      <c r="M7342" s="405" t="s">
        <v>9534</v>
      </c>
      <c r="N7342" s="405" t="s">
        <v>10113</v>
      </c>
      <c r="O7342" s="405" t="s">
        <v>10248</v>
      </c>
      <c r="P7342" s="405" t="s">
        <v>11647</v>
      </c>
      <c r="Q7342" s="411">
        <v>6</v>
      </c>
      <c r="R7342" s="405" t="s">
        <v>9541</v>
      </c>
      <c r="S7342" s="405" t="s">
        <v>27294</v>
      </c>
      <c r="T7342" s="405" t="s">
        <v>32102</v>
      </c>
      <c r="U7342" s="405" t="s">
        <v>319</v>
      </c>
    </row>
    <row r="7343" spans="1:21" hidden="1" x14ac:dyDescent="0.25">
      <c r="A7343" s="405" t="s">
        <v>310</v>
      </c>
      <c r="B7343" s="405" t="s">
        <v>20637</v>
      </c>
      <c r="C7343" s="405" t="s">
        <v>327</v>
      </c>
      <c r="D7343" s="405"/>
      <c r="E7343" s="410">
        <v>41112</v>
      </c>
      <c r="F7343" s="410">
        <v>41157</v>
      </c>
      <c r="G7343" s="405" t="s">
        <v>20638</v>
      </c>
      <c r="H7343" s="405">
        <v>791396332</v>
      </c>
      <c r="I7343" s="405"/>
      <c r="J7343" s="405">
        <v>0.63158700000000001</v>
      </c>
      <c r="K7343" s="405">
        <v>30.609022</v>
      </c>
      <c r="L7343" s="405" t="s">
        <v>590</v>
      </c>
      <c r="M7343" s="405" t="s">
        <v>20426</v>
      </c>
      <c r="N7343" s="405" t="s">
        <v>10925</v>
      </c>
      <c r="O7343" s="405" t="s">
        <v>20537</v>
      </c>
      <c r="P7343" s="405" t="s">
        <v>20639</v>
      </c>
      <c r="Q7343" s="411">
        <v>9</v>
      </c>
      <c r="R7343" s="405" t="s">
        <v>333</v>
      </c>
      <c r="S7343" s="405" t="s">
        <v>27161</v>
      </c>
      <c r="T7343" s="405" t="s">
        <v>32102</v>
      </c>
      <c r="U7343" s="405" t="s">
        <v>319</v>
      </c>
    </row>
    <row r="7344" spans="1:21" hidden="1" x14ac:dyDescent="0.25">
      <c r="A7344" s="405" t="s">
        <v>310</v>
      </c>
      <c r="B7344" s="405" t="s">
        <v>20634</v>
      </c>
      <c r="C7344" s="405" t="s">
        <v>327</v>
      </c>
      <c r="D7344" s="405"/>
      <c r="E7344" s="410">
        <v>41112</v>
      </c>
      <c r="F7344" s="410">
        <v>41157</v>
      </c>
      <c r="G7344" s="405" t="s">
        <v>20635</v>
      </c>
      <c r="H7344" s="405">
        <v>789909299</v>
      </c>
      <c r="I7344" s="405">
        <v>750891903</v>
      </c>
      <c r="J7344" s="405">
        <v>-0.67940999999999996</v>
      </c>
      <c r="K7344" s="405">
        <v>30.027044</v>
      </c>
      <c r="L7344" s="405" t="s">
        <v>590</v>
      </c>
      <c r="M7344" s="405" t="s">
        <v>20032</v>
      </c>
      <c r="N7344" s="405" t="s">
        <v>20033</v>
      </c>
      <c r="O7344" s="405" t="s">
        <v>400</v>
      </c>
      <c r="P7344" s="405" t="s">
        <v>20636</v>
      </c>
      <c r="Q7344" s="411">
        <v>9</v>
      </c>
      <c r="R7344" s="405" t="s">
        <v>333</v>
      </c>
      <c r="S7344" s="405" t="s">
        <v>27065</v>
      </c>
      <c r="T7344" s="405" t="s">
        <v>32102</v>
      </c>
      <c r="U7344" s="405" t="s">
        <v>319</v>
      </c>
    </row>
    <row r="7345" spans="1:21" hidden="1" x14ac:dyDescent="0.25">
      <c r="A7345" s="405" t="s">
        <v>310</v>
      </c>
      <c r="B7345" s="405" t="s">
        <v>29138</v>
      </c>
      <c r="C7345" s="405" t="s">
        <v>327</v>
      </c>
      <c r="D7345" s="405"/>
      <c r="E7345" s="410">
        <v>41112</v>
      </c>
      <c r="F7345" s="410">
        <v>41157</v>
      </c>
      <c r="G7345" s="405" t="s">
        <v>20623</v>
      </c>
      <c r="H7345" s="405">
        <v>782619875</v>
      </c>
      <c r="I7345" s="405"/>
      <c r="J7345" s="405">
        <v>-0.54509700000000005</v>
      </c>
      <c r="K7345" s="405">
        <v>30.140035999999998</v>
      </c>
      <c r="L7345" s="405" t="s">
        <v>590</v>
      </c>
      <c r="M7345" s="405" t="s">
        <v>19625</v>
      </c>
      <c r="N7345" s="405" t="s">
        <v>19626</v>
      </c>
      <c r="O7345" s="405" t="s">
        <v>7426</v>
      </c>
      <c r="P7345" s="405" t="s">
        <v>20624</v>
      </c>
      <c r="Q7345" s="411">
        <v>9</v>
      </c>
      <c r="R7345" s="405" t="s">
        <v>333</v>
      </c>
      <c r="S7345" s="405" t="s">
        <v>27401</v>
      </c>
      <c r="T7345" s="405" t="s">
        <v>32102</v>
      </c>
      <c r="U7345" s="405" t="s">
        <v>319</v>
      </c>
    </row>
    <row r="7346" spans="1:21" hidden="1" x14ac:dyDescent="0.25">
      <c r="A7346" s="405" t="s">
        <v>310</v>
      </c>
      <c r="B7346" s="405" t="s">
        <v>20620</v>
      </c>
      <c r="C7346" s="405" t="s">
        <v>327</v>
      </c>
      <c r="D7346" s="405"/>
      <c r="E7346" s="410">
        <v>41112</v>
      </c>
      <c r="F7346" s="410">
        <v>41157</v>
      </c>
      <c r="G7346" s="405" t="s">
        <v>20621</v>
      </c>
      <c r="H7346" s="405">
        <v>702244182</v>
      </c>
      <c r="I7346" s="405">
        <v>782244182</v>
      </c>
      <c r="J7346" s="405">
        <v>-0.58085900000000001</v>
      </c>
      <c r="K7346" s="405">
        <v>30.578942999999999</v>
      </c>
      <c r="L7346" s="405" t="s">
        <v>590</v>
      </c>
      <c r="M7346" s="405" t="s">
        <v>19614</v>
      </c>
      <c r="N7346" s="405" t="s">
        <v>20230</v>
      </c>
      <c r="O7346" s="405" t="s">
        <v>20154</v>
      </c>
      <c r="P7346" s="405" t="s">
        <v>20622</v>
      </c>
      <c r="Q7346" s="411">
        <v>6</v>
      </c>
      <c r="R7346" s="405" t="s">
        <v>333</v>
      </c>
      <c r="S7346" s="405" t="s">
        <v>27183</v>
      </c>
      <c r="T7346" s="405" t="s">
        <v>32102</v>
      </c>
      <c r="U7346" s="405" t="s">
        <v>319</v>
      </c>
    </row>
    <row r="7347" spans="1:21" hidden="1" x14ac:dyDescent="0.25">
      <c r="A7347" s="405" t="s">
        <v>310</v>
      </c>
      <c r="B7347" s="405" t="s">
        <v>11588</v>
      </c>
      <c r="C7347" s="405" t="s">
        <v>327</v>
      </c>
      <c r="D7347" s="405"/>
      <c r="E7347" s="410">
        <v>41112</v>
      </c>
      <c r="F7347" s="410">
        <v>41157</v>
      </c>
      <c r="G7347" s="405" t="s">
        <v>11589</v>
      </c>
      <c r="H7347" s="405">
        <v>779379668</v>
      </c>
      <c r="I7347" s="405"/>
      <c r="J7347" s="405">
        <v>1.1429400000000001</v>
      </c>
      <c r="K7347" s="405">
        <v>33.772247</v>
      </c>
      <c r="L7347" s="405" t="s">
        <v>6866</v>
      </c>
      <c r="M7347" s="405" t="s">
        <v>9509</v>
      </c>
      <c r="N7347" s="405" t="s">
        <v>9509</v>
      </c>
      <c r="O7347" s="405" t="s">
        <v>9510</v>
      </c>
      <c r="P7347" s="405" t="s">
        <v>11382</v>
      </c>
      <c r="Q7347" s="411">
        <v>6</v>
      </c>
      <c r="R7347" s="405" t="s">
        <v>9541</v>
      </c>
      <c r="S7347" s="405" t="s">
        <v>27320</v>
      </c>
      <c r="T7347" s="405" t="s">
        <v>32102</v>
      </c>
      <c r="U7347" s="405" t="s">
        <v>319</v>
      </c>
    </row>
    <row r="7348" spans="1:21" hidden="1" x14ac:dyDescent="0.25">
      <c r="A7348" s="405" t="s">
        <v>310</v>
      </c>
      <c r="B7348" s="405" t="s">
        <v>28584</v>
      </c>
      <c r="C7348" s="405" t="s">
        <v>327</v>
      </c>
      <c r="D7348" s="405"/>
      <c r="E7348" s="410">
        <v>41111</v>
      </c>
      <c r="F7348" s="410">
        <v>41156</v>
      </c>
      <c r="G7348" s="405" t="s">
        <v>2727</v>
      </c>
      <c r="H7348" s="405">
        <v>774663196</v>
      </c>
      <c r="I7348" s="405"/>
      <c r="J7348" s="405">
        <v>0.54871800000000004</v>
      </c>
      <c r="K7348" s="405">
        <v>31.798732000000001</v>
      </c>
      <c r="L7348" s="405" t="s">
        <v>314</v>
      </c>
      <c r="M7348" s="405" t="s">
        <v>445</v>
      </c>
      <c r="N7348" s="405" t="s">
        <v>699</v>
      </c>
      <c r="O7348" s="405" t="s">
        <v>571</v>
      </c>
      <c r="P7348" s="405" t="s">
        <v>2728</v>
      </c>
      <c r="Q7348" s="411">
        <v>6</v>
      </c>
      <c r="R7348" s="405" t="s">
        <v>438</v>
      </c>
      <c r="S7348" s="405" t="s">
        <v>27131</v>
      </c>
      <c r="T7348" s="405" t="s">
        <v>32102</v>
      </c>
      <c r="U7348" s="405" t="s">
        <v>319</v>
      </c>
    </row>
    <row r="7349" spans="1:21" hidden="1" x14ac:dyDescent="0.25">
      <c r="A7349" s="405" t="s">
        <v>310</v>
      </c>
      <c r="B7349" s="405" t="s">
        <v>2700</v>
      </c>
      <c r="C7349" s="405" t="s">
        <v>327</v>
      </c>
      <c r="D7349" s="405"/>
      <c r="E7349" s="410">
        <v>41111</v>
      </c>
      <c r="F7349" s="410">
        <v>41156</v>
      </c>
      <c r="G7349" s="405" t="s">
        <v>2701</v>
      </c>
      <c r="H7349" s="405">
        <v>787663591</v>
      </c>
      <c r="I7349" s="405"/>
      <c r="J7349" s="405">
        <v>0.28011950000000002</v>
      </c>
      <c r="K7349" s="405">
        <v>32.475913599999998</v>
      </c>
      <c r="L7349" s="405" t="s">
        <v>314</v>
      </c>
      <c r="M7349" s="405" t="s">
        <v>321</v>
      </c>
      <c r="N7349" s="405" t="s">
        <v>322</v>
      </c>
      <c r="O7349" s="405" t="s">
        <v>1023</v>
      </c>
      <c r="P7349" s="405" t="s">
        <v>2702</v>
      </c>
      <c r="Q7349" s="411">
        <v>6</v>
      </c>
      <c r="R7349" s="405" t="s">
        <v>318</v>
      </c>
      <c r="S7349" s="405" t="s">
        <v>27167</v>
      </c>
      <c r="T7349" s="405" t="s">
        <v>32102</v>
      </c>
      <c r="U7349" s="405" t="s">
        <v>319</v>
      </c>
    </row>
    <row r="7350" spans="1:21" hidden="1" x14ac:dyDescent="0.25">
      <c r="A7350" s="405" t="s">
        <v>310</v>
      </c>
      <c r="B7350" s="405" t="s">
        <v>11628</v>
      </c>
      <c r="C7350" s="405" t="s">
        <v>327</v>
      </c>
      <c r="D7350" s="405"/>
      <c r="E7350" s="410">
        <v>41110</v>
      </c>
      <c r="F7350" s="410">
        <v>41155</v>
      </c>
      <c r="G7350" s="405" t="s">
        <v>11629</v>
      </c>
      <c r="H7350" s="405">
        <v>775673757</v>
      </c>
      <c r="I7350" s="405"/>
      <c r="J7350" s="405">
        <v>0.91857800000000001</v>
      </c>
      <c r="K7350" s="405">
        <v>34.331643</v>
      </c>
      <c r="L7350" s="405" t="s">
        <v>6866</v>
      </c>
      <c r="M7350" s="405" t="s">
        <v>9763</v>
      </c>
      <c r="N7350" s="405" t="s">
        <v>9764</v>
      </c>
      <c r="O7350" s="405" t="s">
        <v>11333</v>
      </c>
      <c r="P7350" s="405" t="s">
        <v>9994</v>
      </c>
      <c r="Q7350" s="411">
        <v>6</v>
      </c>
      <c r="R7350" s="405" t="s">
        <v>7224</v>
      </c>
      <c r="S7350" s="405" t="s">
        <v>27316</v>
      </c>
      <c r="T7350" s="405" t="s">
        <v>32102</v>
      </c>
      <c r="U7350" s="405" t="s">
        <v>319</v>
      </c>
    </row>
    <row r="7351" spans="1:21" hidden="1" x14ac:dyDescent="0.25">
      <c r="A7351" s="405" t="s">
        <v>310</v>
      </c>
      <c r="B7351" s="405" t="s">
        <v>20617</v>
      </c>
      <c r="C7351" s="405" t="s">
        <v>327</v>
      </c>
      <c r="D7351" s="405"/>
      <c r="E7351" s="410">
        <v>41110</v>
      </c>
      <c r="F7351" s="410">
        <v>41155</v>
      </c>
      <c r="G7351" s="405" t="s">
        <v>20618</v>
      </c>
      <c r="H7351" s="405">
        <v>772345062</v>
      </c>
      <c r="I7351" s="405">
        <v>774096471</v>
      </c>
      <c r="J7351" s="405">
        <v>-0.58435899999999996</v>
      </c>
      <c r="K7351" s="405">
        <v>30.649459</v>
      </c>
      <c r="L7351" s="405" t="s">
        <v>590</v>
      </c>
      <c r="M7351" s="405" t="s">
        <v>19614</v>
      </c>
      <c r="N7351" s="405" t="s">
        <v>19873</v>
      </c>
      <c r="O7351" s="405" t="s">
        <v>19893</v>
      </c>
      <c r="P7351" s="405" t="s">
        <v>20619</v>
      </c>
      <c r="Q7351" s="411">
        <v>6</v>
      </c>
      <c r="R7351" s="405" t="s">
        <v>883</v>
      </c>
      <c r="S7351" s="405" t="s">
        <v>27408</v>
      </c>
      <c r="T7351" s="405" t="s">
        <v>32102</v>
      </c>
      <c r="U7351" s="405" t="s">
        <v>319</v>
      </c>
    </row>
    <row r="7352" spans="1:21" hidden="1" x14ac:dyDescent="0.25">
      <c r="A7352" s="405" t="s">
        <v>310</v>
      </c>
      <c r="B7352" s="405" t="s">
        <v>27595</v>
      </c>
      <c r="C7352" s="405" t="s">
        <v>327</v>
      </c>
      <c r="D7352" s="405"/>
      <c r="E7352" s="410">
        <v>41109</v>
      </c>
      <c r="F7352" s="410">
        <v>41154</v>
      </c>
      <c r="G7352" s="405" t="s">
        <v>20640</v>
      </c>
      <c r="H7352" s="405">
        <v>774361270</v>
      </c>
      <c r="I7352" s="405"/>
      <c r="J7352" s="405">
        <v>-1.0234369999999999</v>
      </c>
      <c r="K7352" s="405">
        <v>30.254673</v>
      </c>
      <c r="L7352" s="405" t="s">
        <v>590</v>
      </c>
      <c r="M7352" s="405" t="s">
        <v>19659</v>
      </c>
      <c r="N7352" s="405" t="s">
        <v>19677</v>
      </c>
      <c r="O7352" s="405" t="s">
        <v>2520</v>
      </c>
      <c r="P7352" s="405" t="s">
        <v>20641</v>
      </c>
      <c r="Q7352" s="411">
        <v>13</v>
      </c>
      <c r="R7352" s="405" t="s">
        <v>967</v>
      </c>
      <c r="S7352" s="405" t="s">
        <v>27393</v>
      </c>
      <c r="T7352" s="405" t="s">
        <v>32102</v>
      </c>
      <c r="U7352" s="405" t="s">
        <v>319</v>
      </c>
    </row>
    <row r="7353" spans="1:21" hidden="1" x14ac:dyDescent="0.25">
      <c r="A7353" s="405" t="s">
        <v>310</v>
      </c>
      <c r="B7353" s="405" t="s">
        <v>11599</v>
      </c>
      <c r="C7353" s="405" t="s">
        <v>327</v>
      </c>
      <c r="D7353" s="405"/>
      <c r="E7353" s="410">
        <v>41109</v>
      </c>
      <c r="F7353" s="410">
        <v>41154</v>
      </c>
      <c r="G7353" s="405" t="s">
        <v>11600</v>
      </c>
      <c r="H7353" s="405">
        <v>776812741</v>
      </c>
      <c r="I7353" s="405"/>
      <c r="J7353" s="405">
        <v>0.94671539999999998</v>
      </c>
      <c r="K7353" s="405">
        <v>33.125521300000003</v>
      </c>
      <c r="L7353" s="405" t="s">
        <v>6866</v>
      </c>
      <c r="M7353" s="405" t="s">
        <v>3009</v>
      </c>
      <c r="N7353" s="405" t="s">
        <v>9612</v>
      </c>
      <c r="O7353" s="405" t="s">
        <v>10188</v>
      </c>
      <c r="P7353" s="405" t="s">
        <v>11601</v>
      </c>
      <c r="Q7353" s="411">
        <v>13</v>
      </c>
      <c r="R7353" s="405" t="s">
        <v>333</v>
      </c>
      <c r="S7353" s="405" t="s">
        <v>6822</v>
      </c>
      <c r="T7353" s="405" t="s">
        <v>32102</v>
      </c>
      <c r="U7353" s="405" t="s">
        <v>319</v>
      </c>
    </row>
    <row r="7354" spans="1:21" hidden="1" x14ac:dyDescent="0.25">
      <c r="A7354" s="405" t="s">
        <v>310</v>
      </c>
      <c r="B7354" s="405" t="s">
        <v>2719</v>
      </c>
      <c r="C7354" s="405" t="s">
        <v>327</v>
      </c>
      <c r="D7354" s="405"/>
      <c r="E7354" s="410">
        <v>41109</v>
      </c>
      <c r="F7354" s="410">
        <v>41154</v>
      </c>
      <c r="G7354" s="405" t="s">
        <v>2720</v>
      </c>
      <c r="H7354" s="405">
        <v>756972964</v>
      </c>
      <c r="I7354" s="405">
        <v>757645322</v>
      </c>
      <c r="J7354" s="405">
        <v>-0.31390499999999999</v>
      </c>
      <c r="K7354" s="405">
        <v>31.655317</v>
      </c>
      <c r="L7354" s="405" t="s">
        <v>314</v>
      </c>
      <c r="M7354" s="405" t="s">
        <v>1189</v>
      </c>
      <c r="N7354" s="405" t="s">
        <v>1189</v>
      </c>
      <c r="O7354" s="405" t="s">
        <v>1190</v>
      </c>
      <c r="P7354" s="405" t="s">
        <v>2721</v>
      </c>
      <c r="Q7354" s="411">
        <v>6</v>
      </c>
      <c r="R7354" s="405" t="s">
        <v>402</v>
      </c>
      <c r="S7354" s="405" t="s">
        <v>27170</v>
      </c>
      <c r="T7354" s="405" t="s">
        <v>32102</v>
      </c>
      <c r="U7354" s="405" t="s">
        <v>319</v>
      </c>
    </row>
    <row r="7355" spans="1:21" hidden="1" x14ac:dyDescent="0.25">
      <c r="A7355" s="405" t="s">
        <v>310</v>
      </c>
      <c r="B7355" s="405" t="s">
        <v>27877</v>
      </c>
      <c r="C7355" s="405" t="s">
        <v>327</v>
      </c>
      <c r="D7355" s="405"/>
      <c r="E7355" s="410">
        <v>41108</v>
      </c>
      <c r="F7355" s="410">
        <v>41153</v>
      </c>
      <c r="G7355" s="405" t="s">
        <v>20644</v>
      </c>
      <c r="H7355" s="405">
        <v>772851413</v>
      </c>
      <c r="I7355" s="405">
        <v>776406852</v>
      </c>
      <c r="J7355" s="405">
        <v>-0.58828400000000003</v>
      </c>
      <c r="K7355" s="405">
        <v>30.42726</v>
      </c>
      <c r="L7355" s="405" t="s">
        <v>590</v>
      </c>
      <c r="M7355" s="405" t="s">
        <v>19725</v>
      </c>
      <c r="N7355" s="405" t="s">
        <v>19725</v>
      </c>
      <c r="O7355" s="405" t="s">
        <v>20645</v>
      </c>
      <c r="P7355" s="405" t="s">
        <v>19795</v>
      </c>
      <c r="Q7355" s="411">
        <v>9</v>
      </c>
      <c r="R7355" s="405" t="s">
        <v>1527</v>
      </c>
      <c r="S7355" s="405" t="s">
        <v>27166</v>
      </c>
      <c r="T7355" s="405" t="s">
        <v>32102</v>
      </c>
      <c r="U7355" s="405" t="s">
        <v>319</v>
      </c>
    </row>
    <row r="7356" spans="1:21" hidden="1" x14ac:dyDescent="0.25">
      <c r="A7356" s="405" t="s">
        <v>310</v>
      </c>
      <c r="B7356" s="405" t="s">
        <v>11558</v>
      </c>
      <c r="C7356" s="405" t="s">
        <v>327</v>
      </c>
      <c r="D7356" s="405"/>
      <c r="E7356" s="410">
        <v>41108</v>
      </c>
      <c r="F7356" s="410">
        <v>41153</v>
      </c>
      <c r="G7356" s="405" t="s">
        <v>11559</v>
      </c>
      <c r="H7356" s="405">
        <v>712943773</v>
      </c>
      <c r="I7356" s="405"/>
      <c r="J7356" s="405">
        <v>1.0925320000000001</v>
      </c>
      <c r="K7356" s="405">
        <v>34.190572000000003</v>
      </c>
      <c r="L7356" s="405" t="s">
        <v>6866</v>
      </c>
      <c r="M7356" s="405" t="s">
        <v>9514</v>
      </c>
      <c r="N7356" s="405" t="s">
        <v>9530</v>
      </c>
      <c r="O7356" s="405" t="s">
        <v>9530</v>
      </c>
      <c r="P7356" s="405" t="s">
        <v>9563</v>
      </c>
      <c r="Q7356" s="411">
        <v>6</v>
      </c>
      <c r="R7356" s="405" t="s">
        <v>9541</v>
      </c>
      <c r="S7356" s="405" t="s">
        <v>27302</v>
      </c>
      <c r="T7356" s="405" t="s">
        <v>32102</v>
      </c>
      <c r="U7356" s="405" t="s">
        <v>319</v>
      </c>
    </row>
    <row r="7357" spans="1:21" hidden="1" x14ac:dyDescent="0.25">
      <c r="A7357" s="405" t="s">
        <v>310</v>
      </c>
      <c r="B7357" s="405" t="s">
        <v>11605</v>
      </c>
      <c r="C7357" s="405" t="s">
        <v>327</v>
      </c>
      <c r="D7357" s="405"/>
      <c r="E7357" s="410">
        <v>41108</v>
      </c>
      <c r="F7357" s="410">
        <v>41153</v>
      </c>
      <c r="G7357" s="405" t="s">
        <v>11606</v>
      </c>
      <c r="H7357" s="405">
        <v>776532458</v>
      </c>
      <c r="I7357" s="405"/>
      <c r="J7357" s="405">
        <v>1.149195</v>
      </c>
      <c r="K7357" s="405">
        <v>34.204988</v>
      </c>
      <c r="L7357" s="405" t="s">
        <v>6866</v>
      </c>
      <c r="M7357" s="405" t="s">
        <v>9514</v>
      </c>
      <c r="N7357" s="405" t="s">
        <v>9529</v>
      </c>
      <c r="O7357" s="405" t="s">
        <v>9530</v>
      </c>
      <c r="P7357" s="405" t="s">
        <v>11607</v>
      </c>
      <c r="Q7357" s="411">
        <v>6</v>
      </c>
      <c r="R7357" s="405" t="s">
        <v>7224</v>
      </c>
      <c r="S7357" s="405" t="s">
        <v>27074</v>
      </c>
      <c r="T7357" s="405" t="s">
        <v>32102</v>
      </c>
      <c r="U7357" s="405" t="s">
        <v>319</v>
      </c>
    </row>
    <row r="7358" spans="1:21" hidden="1" x14ac:dyDescent="0.25">
      <c r="A7358" s="405" t="s">
        <v>310</v>
      </c>
      <c r="B7358" s="405" t="s">
        <v>20607</v>
      </c>
      <c r="C7358" s="405" t="s">
        <v>327</v>
      </c>
      <c r="D7358" s="405"/>
      <c r="E7358" s="410">
        <v>41106</v>
      </c>
      <c r="F7358" s="410">
        <v>41151</v>
      </c>
      <c r="G7358" s="405" t="s">
        <v>20608</v>
      </c>
      <c r="H7358" s="405">
        <v>703447818</v>
      </c>
      <c r="I7358" s="405">
        <v>702375757</v>
      </c>
      <c r="J7358" s="405">
        <v>-0.58978699999999995</v>
      </c>
      <c r="K7358" s="405">
        <v>30.255595</v>
      </c>
      <c r="L7358" s="405" t="s">
        <v>590</v>
      </c>
      <c r="M7358" s="405" t="s">
        <v>19625</v>
      </c>
      <c r="N7358" s="405" t="s">
        <v>20086</v>
      </c>
      <c r="O7358" s="405" t="s">
        <v>20609</v>
      </c>
      <c r="P7358" s="405" t="s">
        <v>7901</v>
      </c>
      <c r="Q7358" s="411">
        <v>6</v>
      </c>
      <c r="R7358" s="405" t="s">
        <v>883</v>
      </c>
      <c r="S7358" s="405" t="s">
        <v>27271</v>
      </c>
      <c r="T7358" s="405" t="s">
        <v>32102</v>
      </c>
      <c r="U7358" s="405" t="s">
        <v>319</v>
      </c>
    </row>
    <row r="7359" spans="1:21" hidden="1" x14ac:dyDescent="0.25">
      <c r="A7359" s="405" t="s">
        <v>310</v>
      </c>
      <c r="B7359" s="405" t="s">
        <v>11490</v>
      </c>
      <c r="C7359" s="405" t="s">
        <v>327</v>
      </c>
      <c r="D7359" s="405"/>
      <c r="E7359" s="410">
        <v>41106</v>
      </c>
      <c r="F7359" s="410">
        <v>41151</v>
      </c>
      <c r="G7359" s="405" t="s">
        <v>11491</v>
      </c>
      <c r="H7359" s="405">
        <v>758307902</v>
      </c>
      <c r="I7359" s="405"/>
      <c r="J7359" s="405">
        <v>1.1249469999999999</v>
      </c>
      <c r="K7359" s="405">
        <v>34.199685000000002</v>
      </c>
      <c r="L7359" s="405" t="s">
        <v>6866</v>
      </c>
      <c r="M7359" s="405" t="s">
        <v>9514</v>
      </c>
      <c r="N7359" s="405" t="s">
        <v>9722</v>
      </c>
      <c r="O7359" s="405" t="s">
        <v>9530</v>
      </c>
      <c r="P7359" s="405" t="s">
        <v>11492</v>
      </c>
      <c r="Q7359" s="411">
        <v>6</v>
      </c>
      <c r="R7359" s="405" t="s">
        <v>7224</v>
      </c>
      <c r="S7359" s="405" t="s">
        <v>17062</v>
      </c>
      <c r="T7359" s="405" t="s">
        <v>32102</v>
      </c>
      <c r="U7359" s="405" t="s">
        <v>319</v>
      </c>
    </row>
    <row r="7360" spans="1:21" hidden="1" x14ac:dyDescent="0.25">
      <c r="A7360" s="405" t="s">
        <v>310</v>
      </c>
      <c r="B7360" s="405" t="s">
        <v>11537</v>
      </c>
      <c r="C7360" s="405" t="s">
        <v>327</v>
      </c>
      <c r="D7360" s="405"/>
      <c r="E7360" s="410">
        <v>41106</v>
      </c>
      <c r="F7360" s="410">
        <v>41151</v>
      </c>
      <c r="G7360" s="405" t="s">
        <v>11538</v>
      </c>
      <c r="H7360" s="405">
        <v>772396517</v>
      </c>
      <c r="I7360" s="405">
        <v>753284417</v>
      </c>
      <c r="J7360" s="405">
        <v>1.148053</v>
      </c>
      <c r="K7360" s="405">
        <v>33.850966999999997</v>
      </c>
      <c r="L7360" s="405" t="s">
        <v>6866</v>
      </c>
      <c r="M7360" s="405" t="s">
        <v>10152</v>
      </c>
      <c r="N7360" s="405" t="s">
        <v>10153</v>
      </c>
      <c r="O7360" s="405" t="s">
        <v>4432</v>
      </c>
      <c r="P7360" s="405" t="s">
        <v>11539</v>
      </c>
      <c r="Q7360" s="411">
        <v>6</v>
      </c>
      <c r="R7360" s="405" t="s">
        <v>9541</v>
      </c>
      <c r="S7360" s="405" t="s">
        <v>27294</v>
      </c>
      <c r="T7360" s="405" t="s">
        <v>32102</v>
      </c>
      <c r="U7360" s="405" t="s">
        <v>319</v>
      </c>
    </row>
    <row r="7361" spans="1:21" hidden="1" x14ac:dyDescent="0.25">
      <c r="A7361" s="405" t="s">
        <v>310</v>
      </c>
      <c r="B7361" s="405" t="s">
        <v>11511</v>
      </c>
      <c r="C7361" s="405" t="s">
        <v>327</v>
      </c>
      <c r="D7361" s="405"/>
      <c r="E7361" s="410">
        <v>41105</v>
      </c>
      <c r="F7361" s="410">
        <v>41150</v>
      </c>
      <c r="G7361" s="405" t="s">
        <v>11512</v>
      </c>
      <c r="H7361" s="405">
        <v>772032873</v>
      </c>
      <c r="I7361" s="405">
        <v>772032878</v>
      </c>
      <c r="J7361" s="405">
        <v>0.51393200000000006</v>
      </c>
      <c r="K7361" s="405">
        <v>33.213037999999997</v>
      </c>
      <c r="L7361" s="405" t="s">
        <v>6866</v>
      </c>
      <c r="M7361" s="405" t="s">
        <v>9590</v>
      </c>
      <c r="N7361" s="405" t="s">
        <v>9591</v>
      </c>
      <c r="O7361" s="405" t="s">
        <v>9592</v>
      </c>
      <c r="P7361" s="405" t="s">
        <v>11513</v>
      </c>
      <c r="Q7361" s="411">
        <v>13</v>
      </c>
      <c r="R7361" s="405" t="s">
        <v>32478</v>
      </c>
      <c r="S7361" s="405" t="s">
        <v>27134</v>
      </c>
      <c r="T7361" s="405" t="s">
        <v>32102</v>
      </c>
      <c r="U7361" s="405" t="s">
        <v>319</v>
      </c>
    </row>
    <row r="7362" spans="1:21" hidden="1" x14ac:dyDescent="0.25">
      <c r="A7362" s="405" t="s">
        <v>310</v>
      </c>
      <c r="B7362" s="405" t="s">
        <v>27854</v>
      </c>
      <c r="C7362" s="405" t="s">
        <v>311</v>
      </c>
      <c r="D7362" s="405" t="s">
        <v>1789</v>
      </c>
      <c r="E7362" s="410">
        <v>41105</v>
      </c>
      <c r="F7362" s="410">
        <v>41150</v>
      </c>
      <c r="G7362" s="405" t="s">
        <v>11940</v>
      </c>
      <c r="H7362" s="405">
        <v>776553390</v>
      </c>
      <c r="I7362" s="405"/>
      <c r="J7362" s="405">
        <v>0.94671539999999998</v>
      </c>
      <c r="K7362" s="405">
        <v>33.125521300000003</v>
      </c>
      <c r="L7362" s="405" t="s">
        <v>6866</v>
      </c>
      <c r="M7362" s="405" t="s">
        <v>3009</v>
      </c>
      <c r="N7362" s="405" t="s">
        <v>10406</v>
      </c>
      <c r="O7362" s="405" t="s">
        <v>9613</v>
      </c>
      <c r="P7362" s="405" t="s">
        <v>11941</v>
      </c>
      <c r="Q7362" s="411">
        <v>9</v>
      </c>
      <c r="R7362" s="405" t="s">
        <v>333</v>
      </c>
      <c r="S7362" s="405" t="s">
        <v>27036</v>
      </c>
      <c r="T7362" s="405" t="s">
        <v>32102</v>
      </c>
      <c r="U7362" s="405" t="s">
        <v>319</v>
      </c>
    </row>
    <row r="7363" spans="1:21" hidden="1" x14ac:dyDescent="0.25">
      <c r="A7363" s="405" t="s">
        <v>310</v>
      </c>
      <c r="B7363" s="405" t="s">
        <v>27953</v>
      </c>
      <c r="C7363" s="405" t="s">
        <v>327</v>
      </c>
      <c r="D7363" s="405"/>
      <c r="E7363" s="410">
        <v>41105</v>
      </c>
      <c r="F7363" s="410">
        <v>41150</v>
      </c>
      <c r="G7363" s="405" t="s">
        <v>11548</v>
      </c>
      <c r="H7363" s="405">
        <v>772635157</v>
      </c>
      <c r="I7363" s="405"/>
      <c r="J7363" s="405">
        <v>1.391853</v>
      </c>
      <c r="K7363" s="405">
        <v>34.439526000000001</v>
      </c>
      <c r="L7363" s="405" t="s">
        <v>6866</v>
      </c>
      <c r="M7363" s="405" t="s">
        <v>9685</v>
      </c>
      <c r="N7363" s="405" t="s">
        <v>9880</v>
      </c>
      <c r="O7363" s="405" t="s">
        <v>9881</v>
      </c>
      <c r="P7363" s="405" t="s">
        <v>11549</v>
      </c>
      <c r="Q7363" s="411">
        <v>6</v>
      </c>
      <c r="R7363" s="405" t="s">
        <v>33091</v>
      </c>
      <c r="S7363" s="405" t="s">
        <v>27169</v>
      </c>
      <c r="T7363" s="405" t="s">
        <v>32102</v>
      </c>
      <c r="U7363" s="405" t="s">
        <v>319</v>
      </c>
    </row>
    <row r="7364" spans="1:21" hidden="1" x14ac:dyDescent="0.25">
      <c r="A7364" s="405" t="s">
        <v>310</v>
      </c>
      <c r="B7364" s="405" t="s">
        <v>11527</v>
      </c>
      <c r="C7364" s="405" t="s">
        <v>327</v>
      </c>
      <c r="D7364" s="405"/>
      <c r="E7364" s="410">
        <v>41105</v>
      </c>
      <c r="F7364" s="410">
        <v>41150</v>
      </c>
      <c r="G7364" s="405" t="s">
        <v>11528</v>
      </c>
      <c r="H7364" s="405">
        <v>780999215</v>
      </c>
      <c r="I7364" s="405"/>
      <c r="J7364" s="405">
        <v>0.95489000000000002</v>
      </c>
      <c r="K7364" s="405">
        <v>33.990445000000001</v>
      </c>
      <c r="L7364" s="405" t="s">
        <v>6866</v>
      </c>
      <c r="M7364" s="405" t="s">
        <v>9566</v>
      </c>
      <c r="N7364" s="405" t="s">
        <v>9931</v>
      </c>
      <c r="O7364" s="405" t="s">
        <v>9932</v>
      </c>
      <c r="P7364" s="405" t="s">
        <v>11529</v>
      </c>
      <c r="Q7364" s="411">
        <v>6</v>
      </c>
      <c r="R7364" s="405" t="s">
        <v>7224</v>
      </c>
      <c r="S7364" s="405" t="s">
        <v>27142</v>
      </c>
      <c r="T7364" s="405" t="s">
        <v>32102</v>
      </c>
      <c r="U7364" s="405" t="s">
        <v>319</v>
      </c>
    </row>
    <row r="7365" spans="1:21" hidden="1" x14ac:dyDescent="0.25">
      <c r="A7365" s="405" t="s">
        <v>310</v>
      </c>
      <c r="B7365" s="405" t="s">
        <v>2602</v>
      </c>
      <c r="C7365" s="405" t="s">
        <v>327</v>
      </c>
      <c r="D7365" s="405"/>
      <c r="E7365" s="410">
        <v>41105</v>
      </c>
      <c r="F7365" s="410">
        <v>41150</v>
      </c>
      <c r="G7365" s="405" t="s">
        <v>2603</v>
      </c>
      <c r="H7365" s="405">
        <v>772571558</v>
      </c>
      <c r="I7365" s="405">
        <v>702343240</v>
      </c>
      <c r="J7365" s="405">
        <v>0.3731042</v>
      </c>
      <c r="K7365" s="405">
        <v>32.266489499999999</v>
      </c>
      <c r="L7365" s="405" t="s">
        <v>314</v>
      </c>
      <c r="M7365" s="405" t="s">
        <v>321</v>
      </c>
      <c r="N7365" s="405" t="s">
        <v>322</v>
      </c>
      <c r="O7365" s="405" t="s">
        <v>1017</v>
      </c>
      <c r="P7365" s="405" t="s">
        <v>2604</v>
      </c>
      <c r="Q7365" s="411">
        <v>6</v>
      </c>
      <c r="R7365" s="405" t="s">
        <v>318</v>
      </c>
      <c r="S7365" s="405" t="s">
        <v>27135</v>
      </c>
      <c r="T7365" s="405" t="s">
        <v>32102</v>
      </c>
      <c r="U7365" s="405" t="s">
        <v>319</v>
      </c>
    </row>
    <row r="7366" spans="1:21" hidden="1" x14ac:dyDescent="0.25">
      <c r="A7366" s="405" t="s">
        <v>310</v>
      </c>
      <c r="B7366" s="405" t="s">
        <v>11550</v>
      </c>
      <c r="C7366" s="405" t="s">
        <v>327</v>
      </c>
      <c r="D7366" s="405"/>
      <c r="E7366" s="410">
        <v>41105</v>
      </c>
      <c r="F7366" s="410">
        <v>41150</v>
      </c>
      <c r="G7366" s="405" t="s">
        <v>11551</v>
      </c>
      <c r="H7366" s="405">
        <v>785975454</v>
      </c>
      <c r="I7366" s="405"/>
      <c r="J7366" s="405">
        <v>0.60549799999999998</v>
      </c>
      <c r="K7366" s="405">
        <v>33.981625999999999</v>
      </c>
      <c r="L7366" s="405" t="s">
        <v>6866</v>
      </c>
      <c r="M7366" s="405" t="s">
        <v>9534</v>
      </c>
      <c r="N7366" s="405" t="s">
        <v>10113</v>
      </c>
      <c r="O7366" s="405" t="s">
        <v>10248</v>
      </c>
      <c r="P7366" s="405" t="s">
        <v>11117</v>
      </c>
      <c r="Q7366" s="411">
        <v>6</v>
      </c>
      <c r="R7366" s="405" t="s">
        <v>9541</v>
      </c>
      <c r="S7366" s="405" t="s">
        <v>27332</v>
      </c>
      <c r="T7366" s="405" t="s">
        <v>32102</v>
      </c>
      <c r="U7366" s="405" t="s">
        <v>319</v>
      </c>
    </row>
    <row r="7367" spans="1:21" hidden="1" x14ac:dyDescent="0.25">
      <c r="A7367" s="405" t="s">
        <v>310</v>
      </c>
      <c r="B7367" s="405" t="s">
        <v>11514</v>
      </c>
      <c r="C7367" s="405" t="s">
        <v>327</v>
      </c>
      <c r="D7367" s="405"/>
      <c r="E7367" s="410">
        <v>41104</v>
      </c>
      <c r="F7367" s="410">
        <v>41149</v>
      </c>
      <c r="G7367" s="405" t="s">
        <v>11515</v>
      </c>
      <c r="H7367" s="405">
        <v>772855262</v>
      </c>
      <c r="I7367" s="405">
        <v>775540224</v>
      </c>
      <c r="J7367" s="405">
        <v>0.58900799999999998</v>
      </c>
      <c r="K7367" s="405">
        <v>33.120812999999998</v>
      </c>
      <c r="L7367" s="405" t="s">
        <v>6866</v>
      </c>
      <c r="M7367" s="405" t="s">
        <v>9590</v>
      </c>
      <c r="N7367" s="405" t="s">
        <v>542</v>
      </c>
      <c r="O7367" s="405" t="s">
        <v>11516</v>
      </c>
      <c r="P7367" s="405" t="s">
        <v>11517</v>
      </c>
      <c r="Q7367" s="411">
        <v>12</v>
      </c>
      <c r="R7367" s="405" t="s">
        <v>353</v>
      </c>
      <c r="S7367" s="405" t="s">
        <v>27138</v>
      </c>
      <c r="T7367" s="405" t="s">
        <v>32102</v>
      </c>
      <c r="U7367" s="405" t="s">
        <v>319</v>
      </c>
    </row>
    <row r="7368" spans="1:21" hidden="1" x14ac:dyDescent="0.25">
      <c r="A7368" s="405" t="s">
        <v>310</v>
      </c>
      <c r="B7368" s="405" t="s">
        <v>2688</v>
      </c>
      <c r="C7368" s="405" t="s">
        <v>327</v>
      </c>
      <c r="D7368" s="405"/>
      <c r="E7368" s="410">
        <v>41104</v>
      </c>
      <c r="F7368" s="410">
        <v>41149</v>
      </c>
      <c r="G7368" s="405" t="s">
        <v>2689</v>
      </c>
      <c r="H7368" s="405">
        <v>788798740</v>
      </c>
      <c r="I7368" s="405"/>
      <c r="J7368" s="405">
        <v>0.27494800000000003</v>
      </c>
      <c r="K7368" s="405">
        <v>31.590923</v>
      </c>
      <c r="L7368" s="405" t="s">
        <v>314</v>
      </c>
      <c r="M7368" s="405" t="s">
        <v>339</v>
      </c>
      <c r="N7368" s="405" t="s">
        <v>339</v>
      </c>
      <c r="O7368" s="405" t="s">
        <v>1662</v>
      </c>
      <c r="P7368" s="405" t="s">
        <v>2346</v>
      </c>
      <c r="Q7368" s="411">
        <v>9</v>
      </c>
      <c r="R7368" s="405" t="s">
        <v>318</v>
      </c>
      <c r="S7368" s="405" t="s">
        <v>27134</v>
      </c>
      <c r="T7368" s="405" t="s">
        <v>32102</v>
      </c>
      <c r="U7368" s="405" t="s">
        <v>319</v>
      </c>
    </row>
    <row r="7369" spans="1:21" hidden="1" x14ac:dyDescent="0.25">
      <c r="A7369" s="405" t="s">
        <v>310</v>
      </c>
      <c r="B7369" s="405" t="s">
        <v>2605</v>
      </c>
      <c r="C7369" s="405" t="s">
        <v>327</v>
      </c>
      <c r="D7369" s="405"/>
      <c r="E7369" s="410">
        <v>41104</v>
      </c>
      <c r="F7369" s="410">
        <v>41149</v>
      </c>
      <c r="G7369" s="405" t="s">
        <v>2606</v>
      </c>
      <c r="H7369" s="405">
        <v>704111221</v>
      </c>
      <c r="I7369" s="405"/>
      <c r="J7369" s="405">
        <v>0.25277666666666671</v>
      </c>
      <c r="K7369" s="405">
        <v>32.380106666666663</v>
      </c>
      <c r="L7369" s="405" t="s">
        <v>314</v>
      </c>
      <c r="M7369" s="405" t="s">
        <v>321</v>
      </c>
      <c r="N7369" s="405" t="s">
        <v>322</v>
      </c>
      <c r="O7369" s="405" t="s">
        <v>519</v>
      </c>
      <c r="P7369" s="405" t="s">
        <v>2607</v>
      </c>
      <c r="Q7369" s="411">
        <v>6</v>
      </c>
      <c r="R7369" s="405" t="s">
        <v>318</v>
      </c>
      <c r="S7369" s="405" t="s">
        <v>27135</v>
      </c>
      <c r="T7369" s="405" t="s">
        <v>32102</v>
      </c>
      <c r="U7369" s="405" t="s">
        <v>319</v>
      </c>
    </row>
    <row r="7370" spans="1:21" hidden="1" x14ac:dyDescent="0.25">
      <c r="A7370" s="405" t="s">
        <v>310</v>
      </c>
      <c r="B7370" s="405" t="s">
        <v>28525</v>
      </c>
      <c r="C7370" s="405" t="s">
        <v>311</v>
      </c>
      <c r="D7370" s="405" t="s">
        <v>32771</v>
      </c>
      <c r="E7370" s="410">
        <v>41103</v>
      </c>
      <c r="F7370" s="410">
        <v>41148</v>
      </c>
      <c r="G7370" s="405" t="s">
        <v>3185</v>
      </c>
      <c r="H7370" s="405">
        <v>778674596</v>
      </c>
      <c r="I7370" s="405"/>
      <c r="J7370" s="405">
        <v>-0.1523572</v>
      </c>
      <c r="K7370" s="405">
        <v>31.813554199999999</v>
      </c>
      <c r="L7370" s="405" t="s">
        <v>314</v>
      </c>
      <c r="M7370" s="405" t="s">
        <v>900</v>
      </c>
      <c r="N7370" s="405" t="s">
        <v>900</v>
      </c>
      <c r="O7370" s="405" t="s">
        <v>900</v>
      </c>
      <c r="P7370" s="405" t="s">
        <v>3186</v>
      </c>
      <c r="Q7370" s="411">
        <v>9</v>
      </c>
      <c r="R7370" s="405" t="s">
        <v>402</v>
      </c>
      <c r="S7370" s="405" t="s">
        <v>27154</v>
      </c>
      <c r="T7370" s="405" t="s">
        <v>32102</v>
      </c>
      <c r="U7370" s="405" t="s">
        <v>319</v>
      </c>
    </row>
    <row r="7371" spans="1:21" hidden="1" x14ac:dyDescent="0.25">
      <c r="A7371" s="405" t="s">
        <v>310</v>
      </c>
      <c r="B7371" s="405" t="s">
        <v>3175</v>
      </c>
      <c r="C7371" s="405" t="s">
        <v>311</v>
      </c>
      <c r="D7371" s="405" t="s">
        <v>839</v>
      </c>
      <c r="E7371" s="410">
        <v>41103</v>
      </c>
      <c r="F7371" s="410">
        <v>41148</v>
      </c>
      <c r="G7371" s="405" t="s">
        <v>3176</v>
      </c>
      <c r="H7371" s="405">
        <v>755317506</v>
      </c>
      <c r="I7371" s="405"/>
      <c r="J7371" s="405">
        <v>-0.201677</v>
      </c>
      <c r="K7371" s="405">
        <v>31.463180000000001</v>
      </c>
      <c r="L7371" s="405" t="s">
        <v>314</v>
      </c>
      <c r="M7371" s="405" t="s">
        <v>343</v>
      </c>
      <c r="N7371" s="405" t="s">
        <v>1656</v>
      </c>
      <c r="O7371" s="405" t="s">
        <v>3177</v>
      </c>
      <c r="P7371" s="405" t="s">
        <v>3178</v>
      </c>
      <c r="Q7371" s="411">
        <v>9</v>
      </c>
      <c r="R7371" s="405" t="s">
        <v>318</v>
      </c>
      <c r="S7371" s="405" t="s">
        <v>27126</v>
      </c>
      <c r="T7371" s="405" t="s">
        <v>32102</v>
      </c>
      <c r="U7371" s="405" t="s">
        <v>319</v>
      </c>
    </row>
    <row r="7372" spans="1:21" hidden="1" x14ac:dyDescent="0.25">
      <c r="A7372" s="405" t="s">
        <v>310</v>
      </c>
      <c r="B7372" s="405" t="s">
        <v>11499</v>
      </c>
      <c r="C7372" s="405" t="s">
        <v>327</v>
      </c>
      <c r="D7372" s="405"/>
      <c r="E7372" s="410">
        <v>41103</v>
      </c>
      <c r="F7372" s="410">
        <v>41148</v>
      </c>
      <c r="G7372" s="405" t="s">
        <v>11500</v>
      </c>
      <c r="H7372" s="405">
        <v>776235455</v>
      </c>
      <c r="I7372" s="405">
        <v>715235455</v>
      </c>
      <c r="J7372" s="405">
        <v>1.4326350000000001</v>
      </c>
      <c r="K7372" s="405">
        <v>33.892547999999998</v>
      </c>
      <c r="L7372" s="405" t="s">
        <v>6866</v>
      </c>
      <c r="M7372" s="405" t="s">
        <v>10029</v>
      </c>
      <c r="N7372" s="405" t="s">
        <v>10029</v>
      </c>
      <c r="O7372" s="405" t="s">
        <v>11388</v>
      </c>
      <c r="P7372" s="405" t="s">
        <v>11501</v>
      </c>
      <c r="Q7372" s="411">
        <v>6</v>
      </c>
      <c r="R7372" s="405" t="s">
        <v>9541</v>
      </c>
      <c r="S7372" s="405" t="s">
        <v>27321</v>
      </c>
      <c r="T7372" s="405" t="s">
        <v>32102</v>
      </c>
      <c r="U7372" s="405" t="s">
        <v>319</v>
      </c>
    </row>
    <row r="7373" spans="1:21" hidden="1" x14ac:dyDescent="0.25">
      <c r="A7373" s="405" t="s">
        <v>310</v>
      </c>
      <c r="B7373" s="405" t="s">
        <v>28204</v>
      </c>
      <c r="C7373" s="405" t="s">
        <v>327</v>
      </c>
      <c r="D7373" s="405"/>
      <c r="E7373" s="410">
        <v>41102</v>
      </c>
      <c r="F7373" s="410">
        <v>41147</v>
      </c>
      <c r="G7373" s="405" t="s">
        <v>11530</v>
      </c>
      <c r="H7373" s="405">
        <v>772318461</v>
      </c>
      <c r="I7373" s="405"/>
      <c r="J7373" s="405">
        <v>0.95276300000000003</v>
      </c>
      <c r="K7373" s="405">
        <v>34.28246</v>
      </c>
      <c r="L7373" s="405" t="s">
        <v>6866</v>
      </c>
      <c r="M7373" s="405" t="s">
        <v>9763</v>
      </c>
      <c r="N7373" s="405" t="s">
        <v>9764</v>
      </c>
      <c r="O7373" s="405" t="s">
        <v>11531</v>
      </c>
      <c r="P7373" s="405" t="s">
        <v>11532</v>
      </c>
      <c r="Q7373" s="411">
        <v>4</v>
      </c>
      <c r="R7373" s="405" t="s">
        <v>7224</v>
      </c>
      <c r="S7373" s="405" t="s">
        <v>27298</v>
      </c>
      <c r="T7373" s="405" t="s">
        <v>32102</v>
      </c>
      <c r="U7373" s="405" t="s">
        <v>319</v>
      </c>
    </row>
    <row r="7374" spans="1:21" hidden="1" x14ac:dyDescent="0.25">
      <c r="A7374" s="405" t="s">
        <v>310</v>
      </c>
      <c r="B7374" s="405" t="s">
        <v>28278</v>
      </c>
      <c r="C7374" s="405" t="s">
        <v>327</v>
      </c>
      <c r="D7374" s="405"/>
      <c r="E7374" s="410">
        <v>41101</v>
      </c>
      <c r="F7374" s="410">
        <v>41146</v>
      </c>
      <c r="G7374" s="405" t="s">
        <v>20581</v>
      </c>
      <c r="H7374" s="405">
        <v>787297799</v>
      </c>
      <c r="I7374" s="405"/>
      <c r="J7374" s="405">
        <v>-0.85879799999999995</v>
      </c>
      <c r="K7374" s="405">
        <v>30.136149</v>
      </c>
      <c r="L7374" s="405" t="s">
        <v>590</v>
      </c>
      <c r="M7374" s="405" t="s">
        <v>19659</v>
      </c>
      <c r="N7374" s="405" t="s">
        <v>19604</v>
      </c>
      <c r="O7374" s="405" t="s">
        <v>20582</v>
      </c>
      <c r="P7374" s="405" t="s">
        <v>20583</v>
      </c>
      <c r="Q7374" s="411">
        <v>6</v>
      </c>
      <c r="R7374" s="405" t="s">
        <v>1527</v>
      </c>
      <c r="S7374" s="405" t="s">
        <v>27166</v>
      </c>
      <c r="T7374" s="405" t="s">
        <v>32102</v>
      </c>
      <c r="U7374" s="405" t="s">
        <v>319</v>
      </c>
    </row>
    <row r="7375" spans="1:21" hidden="1" x14ac:dyDescent="0.25">
      <c r="A7375" s="405" t="s">
        <v>310</v>
      </c>
      <c r="B7375" s="405" t="s">
        <v>11508</v>
      </c>
      <c r="C7375" s="405" t="s">
        <v>327</v>
      </c>
      <c r="D7375" s="405"/>
      <c r="E7375" s="410">
        <v>41101</v>
      </c>
      <c r="F7375" s="410">
        <v>41146</v>
      </c>
      <c r="G7375" s="405" t="s">
        <v>11509</v>
      </c>
      <c r="H7375" s="405">
        <v>778764165</v>
      </c>
      <c r="I7375" s="405"/>
      <c r="J7375" s="405">
        <v>1.089933</v>
      </c>
      <c r="K7375" s="405">
        <v>34.279563000000003</v>
      </c>
      <c r="L7375" s="405" t="s">
        <v>6866</v>
      </c>
      <c r="M7375" s="405" t="s">
        <v>9514</v>
      </c>
      <c r="N7375" s="405" t="s">
        <v>9722</v>
      </c>
      <c r="O7375" s="405" t="s">
        <v>10139</v>
      </c>
      <c r="P7375" s="405" t="s">
        <v>11510</v>
      </c>
      <c r="Q7375" s="411">
        <v>6</v>
      </c>
      <c r="R7375" s="405" t="s">
        <v>7224</v>
      </c>
      <c r="S7375" s="405" t="s">
        <v>27306</v>
      </c>
      <c r="T7375" s="405" t="s">
        <v>32102</v>
      </c>
      <c r="U7375" s="405" t="s">
        <v>319</v>
      </c>
    </row>
    <row r="7376" spans="1:21" hidden="1" x14ac:dyDescent="0.25">
      <c r="A7376" s="405" t="s">
        <v>310</v>
      </c>
      <c r="B7376" s="405" t="s">
        <v>18360</v>
      </c>
      <c r="C7376" s="405" t="s">
        <v>327</v>
      </c>
      <c r="D7376" s="405"/>
      <c r="E7376" s="410">
        <v>41101</v>
      </c>
      <c r="F7376" s="410">
        <v>41146</v>
      </c>
      <c r="G7376" s="405" t="s">
        <v>18361</v>
      </c>
      <c r="H7376" s="405">
        <v>752988070</v>
      </c>
      <c r="I7376" s="405"/>
      <c r="J7376" s="405">
        <v>1.853005</v>
      </c>
      <c r="K7376" s="405">
        <v>33.071922999999998</v>
      </c>
      <c r="L7376" s="405" t="s">
        <v>860</v>
      </c>
      <c r="M7376" s="405" t="s">
        <v>12189</v>
      </c>
      <c r="N7376" s="405" t="s">
        <v>18298</v>
      </c>
      <c r="O7376" s="405" t="s">
        <v>18362</v>
      </c>
      <c r="P7376" s="405" t="s">
        <v>18363</v>
      </c>
      <c r="Q7376" s="411">
        <v>6</v>
      </c>
      <c r="R7376" s="405" t="s">
        <v>318</v>
      </c>
      <c r="S7376" s="405" t="s">
        <v>27195</v>
      </c>
      <c r="T7376" s="405" t="s">
        <v>32102</v>
      </c>
      <c r="U7376" s="405" t="s">
        <v>319</v>
      </c>
    </row>
    <row r="7377" spans="1:21" hidden="1" x14ac:dyDescent="0.25">
      <c r="A7377" s="405" t="s">
        <v>310</v>
      </c>
      <c r="B7377" s="405" t="s">
        <v>28400</v>
      </c>
      <c r="C7377" s="405" t="s">
        <v>327</v>
      </c>
      <c r="D7377" s="405"/>
      <c r="E7377" s="410">
        <v>41100</v>
      </c>
      <c r="F7377" s="410">
        <v>41145</v>
      </c>
      <c r="G7377" s="405" t="s">
        <v>20584</v>
      </c>
      <c r="H7377" s="405">
        <v>772411507</v>
      </c>
      <c r="I7377" s="405"/>
      <c r="J7377" s="405">
        <v>0.74645899999999998</v>
      </c>
      <c r="K7377" s="405">
        <v>30.304922000000001</v>
      </c>
      <c r="L7377" s="405" t="s">
        <v>590</v>
      </c>
      <c r="M7377" s="405" t="s">
        <v>20125</v>
      </c>
      <c r="N7377" s="405" t="s">
        <v>20126</v>
      </c>
      <c r="O7377" s="405" t="s">
        <v>20585</v>
      </c>
      <c r="P7377" s="405" t="s">
        <v>20586</v>
      </c>
      <c r="Q7377" s="411">
        <v>9</v>
      </c>
      <c r="R7377" s="405" t="s">
        <v>883</v>
      </c>
      <c r="S7377" s="405" t="s">
        <v>27183</v>
      </c>
      <c r="T7377" s="405" t="s">
        <v>32102</v>
      </c>
      <c r="U7377" s="405" t="s">
        <v>319</v>
      </c>
    </row>
    <row r="7378" spans="1:21" hidden="1" x14ac:dyDescent="0.25">
      <c r="A7378" s="405" t="s">
        <v>310</v>
      </c>
      <c r="B7378" s="405" t="s">
        <v>11555</v>
      </c>
      <c r="C7378" s="405" t="s">
        <v>327</v>
      </c>
      <c r="D7378" s="405"/>
      <c r="E7378" s="410">
        <v>41100</v>
      </c>
      <c r="F7378" s="410">
        <v>41145</v>
      </c>
      <c r="G7378" s="405" t="s">
        <v>11556</v>
      </c>
      <c r="H7378" s="405">
        <v>772413674</v>
      </c>
      <c r="I7378" s="405"/>
      <c r="J7378" s="405">
        <v>1.0048509999999999</v>
      </c>
      <c r="K7378" s="405">
        <v>34.335155</v>
      </c>
      <c r="L7378" s="405" t="s">
        <v>6866</v>
      </c>
      <c r="M7378" s="405" t="s">
        <v>9763</v>
      </c>
      <c r="N7378" s="405" t="s">
        <v>9764</v>
      </c>
      <c r="O7378" s="405" t="s">
        <v>1590</v>
      </c>
      <c r="P7378" s="405" t="s">
        <v>11557</v>
      </c>
      <c r="Q7378" s="411">
        <v>6</v>
      </c>
      <c r="R7378" s="405" t="s">
        <v>7224</v>
      </c>
      <c r="S7378" s="405" t="s">
        <v>27197</v>
      </c>
      <c r="T7378" s="405" t="s">
        <v>32102</v>
      </c>
      <c r="U7378" s="405" t="s">
        <v>319</v>
      </c>
    </row>
    <row r="7379" spans="1:21" hidden="1" x14ac:dyDescent="0.25">
      <c r="A7379" s="405" t="s">
        <v>310</v>
      </c>
      <c r="B7379" s="405" t="s">
        <v>2597</v>
      </c>
      <c r="C7379" s="405" t="s">
        <v>327</v>
      </c>
      <c r="D7379" s="405"/>
      <c r="E7379" s="410">
        <v>41100</v>
      </c>
      <c r="F7379" s="410">
        <v>41145</v>
      </c>
      <c r="G7379" s="405" t="s">
        <v>2598</v>
      </c>
      <c r="H7379" s="405">
        <v>772906586</v>
      </c>
      <c r="I7379" s="405"/>
      <c r="J7379" s="405">
        <v>0.124142</v>
      </c>
      <c r="K7379" s="405">
        <v>32.026074999999999</v>
      </c>
      <c r="L7379" s="405" t="s">
        <v>314</v>
      </c>
      <c r="M7379" s="405" t="s">
        <v>315</v>
      </c>
      <c r="N7379" s="405" t="s">
        <v>315</v>
      </c>
      <c r="O7379" s="405" t="s">
        <v>671</v>
      </c>
      <c r="P7379" s="405" t="s">
        <v>1799</v>
      </c>
      <c r="Q7379" s="411">
        <v>6</v>
      </c>
      <c r="R7379" s="405" t="s">
        <v>318</v>
      </c>
      <c r="S7379" s="405" t="s">
        <v>27124</v>
      </c>
      <c r="T7379" s="405" t="s">
        <v>32102</v>
      </c>
      <c r="U7379" s="405" t="s">
        <v>319</v>
      </c>
    </row>
    <row r="7380" spans="1:21" hidden="1" x14ac:dyDescent="0.25">
      <c r="A7380" s="405" t="s">
        <v>310</v>
      </c>
      <c r="B7380" s="405" t="s">
        <v>11505</v>
      </c>
      <c r="C7380" s="405" t="s">
        <v>327</v>
      </c>
      <c r="D7380" s="405"/>
      <c r="E7380" s="410">
        <v>41099</v>
      </c>
      <c r="F7380" s="410">
        <v>41144</v>
      </c>
      <c r="G7380" s="405" t="s">
        <v>11506</v>
      </c>
      <c r="H7380" s="405">
        <v>753635469</v>
      </c>
      <c r="I7380" s="405"/>
      <c r="J7380" s="405">
        <v>1.1516519999999999</v>
      </c>
      <c r="K7380" s="405">
        <v>34.215739999999997</v>
      </c>
      <c r="L7380" s="405" t="s">
        <v>6866</v>
      </c>
      <c r="M7380" s="405" t="s">
        <v>9514</v>
      </c>
      <c r="N7380" s="405" t="s">
        <v>9529</v>
      </c>
      <c r="O7380" s="405" t="s">
        <v>9530</v>
      </c>
      <c r="P7380" s="405" t="s">
        <v>11507</v>
      </c>
      <c r="Q7380" s="411">
        <v>6</v>
      </c>
      <c r="R7380" s="405" t="s">
        <v>9541</v>
      </c>
      <c r="S7380" s="405" t="s">
        <v>27339</v>
      </c>
      <c r="T7380" s="405" t="s">
        <v>32102</v>
      </c>
      <c r="U7380" s="405" t="s">
        <v>319</v>
      </c>
    </row>
    <row r="7381" spans="1:21" hidden="1" x14ac:dyDescent="0.25">
      <c r="A7381" s="405" t="s">
        <v>310</v>
      </c>
      <c r="B7381" s="405" t="s">
        <v>11520</v>
      </c>
      <c r="C7381" s="405" t="s">
        <v>327</v>
      </c>
      <c r="D7381" s="405"/>
      <c r="E7381" s="410">
        <v>41099</v>
      </c>
      <c r="F7381" s="410">
        <v>41144</v>
      </c>
      <c r="G7381" s="405" t="s">
        <v>11521</v>
      </c>
      <c r="H7381" s="405">
        <v>772376052</v>
      </c>
      <c r="I7381" s="405"/>
      <c r="J7381" s="405">
        <v>0.74394099999999996</v>
      </c>
      <c r="K7381" s="405">
        <v>34.177945000000001</v>
      </c>
      <c r="L7381" s="405" t="s">
        <v>6866</v>
      </c>
      <c r="M7381" s="405" t="s">
        <v>9534</v>
      </c>
      <c r="N7381" s="405" t="s">
        <v>10113</v>
      </c>
      <c r="O7381" s="405" t="s">
        <v>9770</v>
      </c>
      <c r="P7381" s="405" t="s">
        <v>11522</v>
      </c>
      <c r="Q7381" s="411">
        <v>6</v>
      </c>
      <c r="R7381" s="405" t="s">
        <v>7224</v>
      </c>
      <c r="S7381" s="405" t="s">
        <v>27204</v>
      </c>
      <c r="T7381" s="405" t="s">
        <v>32102</v>
      </c>
      <c r="U7381" s="405" t="s">
        <v>319</v>
      </c>
    </row>
    <row r="7382" spans="1:21" hidden="1" x14ac:dyDescent="0.25">
      <c r="A7382" s="405" t="s">
        <v>310</v>
      </c>
      <c r="B7382" s="405" t="s">
        <v>28545</v>
      </c>
      <c r="C7382" s="405" t="s">
        <v>311</v>
      </c>
      <c r="D7382" s="405" t="s">
        <v>839</v>
      </c>
      <c r="E7382" s="410">
        <v>41099</v>
      </c>
      <c r="F7382" s="410">
        <v>41144</v>
      </c>
      <c r="G7382" s="405" t="s">
        <v>3166</v>
      </c>
      <c r="H7382" s="405">
        <v>779254306</v>
      </c>
      <c r="I7382" s="405"/>
      <c r="J7382" s="405">
        <v>0.65981999999999996</v>
      </c>
      <c r="K7382" s="405">
        <v>32.160122999999999</v>
      </c>
      <c r="L7382" s="405" t="s">
        <v>314</v>
      </c>
      <c r="M7382" s="405" t="s">
        <v>675</v>
      </c>
      <c r="N7382" s="405" t="s">
        <v>1065</v>
      </c>
      <c r="O7382" s="405" t="s">
        <v>814</v>
      </c>
      <c r="P7382" s="405" t="s">
        <v>2490</v>
      </c>
      <c r="Q7382" s="411">
        <v>4</v>
      </c>
      <c r="R7382" s="405" t="s">
        <v>318</v>
      </c>
      <c r="S7382" s="405" t="s">
        <v>27167</v>
      </c>
      <c r="T7382" s="405" t="s">
        <v>32102</v>
      </c>
      <c r="U7382" s="405" t="s">
        <v>319</v>
      </c>
    </row>
    <row r="7383" spans="1:21" hidden="1" x14ac:dyDescent="0.25">
      <c r="A7383" s="405" t="s">
        <v>310</v>
      </c>
      <c r="B7383" s="405" t="s">
        <v>28266</v>
      </c>
      <c r="C7383" s="405" t="s">
        <v>327</v>
      </c>
      <c r="D7383" s="405"/>
      <c r="E7383" s="410">
        <v>41097</v>
      </c>
      <c r="F7383" s="410">
        <v>41142</v>
      </c>
      <c r="G7383" s="405" t="s">
        <v>20610</v>
      </c>
      <c r="H7383" s="405">
        <v>788220574</v>
      </c>
      <c r="I7383" s="405"/>
      <c r="J7383" s="405">
        <v>-0.60089000000000004</v>
      </c>
      <c r="K7383" s="405">
        <v>30.430167999999998</v>
      </c>
      <c r="L7383" s="405" t="s">
        <v>590</v>
      </c>
      <c r="M7383" s="405" t="s">
        <v>19725</v>
      </c>
      <c r="N7383" s="405" t="s">
        <v>20611</v>
      </c>
      <c r="O7383" s="405" t="s">
        <v>20611</v>
      </c>
      <c r="P7383" s="405" t="s">
        <v>20612</v>
      </c>
      <c r="Q7383" s="411">
        <v>9</v>
      </c>
      <c r="R7383" s="405" t="s">
        <v>1527</v>
      </c>
      <c r="S7383" s="405" t="s">
        <v>27161</v>
      </c>
      <c r="T7383" s="405" t="s">
        <v>32102</v>
      </c>
      <c r="U7383" s="405" t="s">
        <v>319</v>
      </c>
    </row>
    <row r="7384" spans="1:21" hidden="1" x14ac:dyDescent="0.25">
      <c r="A7384" s="405" t="s">
        <v>310</v>
      </c>
      <c r="B7384" s="405" t="s">
        <v>27843</v>
      </c>
      <c r="C7384" s="405" t="s">
        <v>327</v>
      </c>
      <c r="D7384" s="405"/>
      <c r="E7384" s="410">
        <v>41096</v>
      </c>
      <c r="F7384" s="410">
        <v>41141</v>
      </c>
      <c r="G7384" s="405" t="s">
        <v>11525</v>
      </c>
      <c r="H7384" s="405">
        <v>785263976</v>
      </c>
      <c r="I7384" s="405"/>
      <c r="J7384" s="405">
        <v>0.95991599999999999</v>
      </c>
      <c r="K7384" s="405">
        <v>34.008918000000001</v>
      </c>
      <c r="L7384" s="405" t="s">
        <v>6866</v>
      </c>
      <c r="M7384" s="405" t="s">
        <v>9566</v>
      </c>
      <c r="N7384" s="405" t="s">
        <v>9931</v>
      </c>
      <c r="O7384" s="405" t="s">
        <v>9932</v>
      </c>
      <c r="P7384" s="405" t="s">
        <v>11526</v>
      </c>
      <c r="Q7384" s="411">
        <v>6</v>
      </c>
      <c r="R7384" s="405" t="s">
        <v>9541</v>
      </c>
      <c r="S7384" s="405" t="s">
        <v>27331</v>
      </c>
      <c r="T7384" s="405" t="s">
        <v>32102</v>
      </c>
      <c r="U7384" s="405" t="s">
        <v>319</v>
      </c>
    </row>
    <row r="7385" spans="1:21" hidden="1" x14ac:dyDescent="0.25">
      <c r="A7385" s="405" t="s">
        <v>310</v>
      </c>
      <c r="B7385" s="405" t="s">
        <v>18354</v>
      </c>
      <c r="C7385" s="405" t="s">
        <v>327</v>
      </c>
      <c r="D7385" s="405"/>
      <c r="E7385" s="410">
        <v>41096</v>
      </c>
      <c r="F7385" s="410">
        <v>41141</v>
      </c>
      <c r="G7385" s="405" t="s">
        <v>18355</v>
      </c>
      <c r="H7385" s="405">
        <v>772828267</v>
      </c>
      <c r="I7385" s="405">
        <v>772393455</v>
      </c>
      <c r="J7385" s="405">
        <v>2.2329466999999998</v>
      </c>
      <c r="K7385" s="405">
        <v>32.907523300000001</v>
      </c>
      <c r="L7385" s="405" t="s">
        <v>860</v>
      </c>
      <c r="M7385" s="405" t="s">
        <v>18234</v>
      </c>
      <c r="N7385" s="405" t="s">
        <v>18252</v>
      </c>
      <c r="O7385" s="405" t="s">
        <v>18253</v>
      </c>
      <c r="P7385" s="405" t="s">
        <v>18356</v>
      </c>
      <c r="Q7385" s="411">
        <v>6</v>
      </c>
      <c r="R7385" s="405" t="s">
        <v>994</v>
      </c>
      <c r="S7385" s="405" t="s">
        <v>27036</v>
      </c>
      <c r="T7385" s="405" t="s">
        <v>32102</v>
      </c>
      <c r="U7385" s="405" t="s">
        <v>319</v>
      </c>
    </row>
    <row r="7386" spans="1:21" hidden="1" x14ac:dyDescent="0.25">
      <c r="A7386" s="405" t="s">
        <v>310</v>
      </c>
      <c r="B7386" s="405" t="s">
        <v>2656</v>
      </c>
      <c r="C7386" s="405" t="s">
        <v>327</v>
      </c>
      <c r="D7386" s="405"/>
      <c r="E7386" s="410">
        <v>41095</v>
      </c>
      <c r="F7386" s="410">
        <v>41140</v>
      </c>
      <c r="G7386" s="405" t="s">
        <v>2657</v>
      </c>
      <c r="H7386" s="405">
        <v>753372376</v>
      </c>
      <c r="I7386" s="405"/>
      <c r="J7386" s="405">
        <v>-0.31438199999999999</v>
      </c>
      <c r="K7386" s="405">
        <v>31.625022999999999</v>
      </c>
      <c r="L7386" s="405" t="s">
        <v>314</v>
      </c>
      <c r="M7386" s="405" t="s">
        <v>1189</v>
      </c>
      <c r="N7386" s="405" t="s">
        <v>1189</v>
      </c>
      <c r="O7386" s="405" t="s">
        <v>1581</v>
      </c>
      <c r="P7386" s="405" t="s">
        <v>2658</v>
      </c>
      <c r="Q7386" s="411">
        <v>6</v>
      </c>
      <c r="R7386" s="405" t="s">
        <v>402</v>
      </c>
      <c r="S7386" s="405" t="s">
        <v>27170</v>
      </c>
      <c r="T7386" s="405" t="s">
        <v>32102</v>
      </c>
      <c r="U7386" s="405" t="s">
        <v>319</v>
      </c>
    </row>
    <row r="7387" spans="1:21" hidden="1" x14ac:dyDescent="0.25">
      <c r="A7387" s="405" t="s">
        <v>310</v>
      </c>
      <c r="B7387" s="405" t="s">
        <v>11497</v>
      </c>
      <c r="C7387" s="405" t="s">
        <v>327</v>
      </c>
      <c r="D7387" s="405"/>
      <c r="E7387" s="410">
        <v>41094</v>
      </c>
      <c r="F7387" s="410">
        <v>41139</v>
      </c>
      <c r="G7387" s="405" t="s">
        <v>11498</v>
      </c>
      <c r="H7387" s="405">
        <v>750140092</v>
      </c>
      <c r="I7387" s="405"/>
      <c r="J7387" s="405">
        <v>1.1462699999999999</v>
      </c>
      <c r="K7387" s="405">
        <v>33.816887000000001</v>
      </c>
      <c r="L7387" s="405" t="s">
        <v>6866</v>
      </c>
      <c r="M7387" s="405" t="s">
        <v>9509</v>
      </c>
      <c r="N7387" s="405" t="s">
        <v>9509</v>
      </c>
      <c r="O7387" s="405" t="s">
        <v>9510</v>
      </c>
      <c r="P7387" s="405" t="s">
        <v>11382</v>
      </c>
      <c r="Q7387" s="411">
        <v>6</v>
      </c>
      <c r="R7387" s="405" t="s">
        <v>9541</v>
      </c>
      <c r="S7387" s="405" t="s">
        <v>27320</v>
      </c>
      <c r="T7387" s="405" t="s">
        <v>32102</v>
      </c>
      <c r="U7387" s="405" t="s">
        <v>319</v>
      </c>
    </row>
    <row r="7388" spans="1:21" hidden="1" x14ac:dyDescent="0.25">
      <c r="A7388" s="405" t="s">
        <v>310</v>
      </c>
      <c r="B7388" s="405" t="s">
        <v>18347</v>
      </c>
      <c r="C7388" s="405" t="s">
        <v>327</v>
      </c>
      <c r="D7388" s="405"/>
      <c r="E7388" s="410">
        <v>41093</v>
      </c>
      <c r="F7388" s="410">
        <v>41138</v>
      </c>
      <c r="G7388" s="405" t="s">
        <v>18348</v>
      </c>
      <c r="H7388" s="405">
        <v>777200999</v>
      </c>
      <c r="I7388" s="405">
        <v>794216328</v>
      </c>
      <c r="J7388" s="405">
        <v>2.7073230000000001</v>
      </c>
      <c r="K7388" s="405">
        <v>32.279739999999997</v>
      </c>
      <c r="L7388" s="405" t="s">
        <v>860</v>
      </c>
      <c r="M7388" s="405" t="s">
        <v>853</v>
      </c>
      <c r="N7388" s="405" t="s">
        <v>18349</v>
      </c>
      <c r="O7388" s="405" t="s">
        <v>18242</v>
      </c>
      <c r="P7388" s="405" t="s">
        <v>18350</v>
      </c>
      <c r="Q7388" s="411">
        <v>12</v>
      </c>
      <c r="R7388" s="405" t="s">
        <v>994</v>
      </c>
      <c r="S7388" s="405" t="s">
        <v>27179</v>
      </c>
      <c r="T7388" s="405" t="s">
        <v>32102</v>
      </c>
      <c r="U7388" s="405" t="s">
        <v>319</v>
      </c>
    </row>
    <row r="7389" spans="1:21" hidden="1" x14ac:dyDescent="0.25">
      <c r="A7389" s="405" t="s">
        <v>310</v>
      </c>
      <c r="B7389" s="405" t="s">
        <v>27481</v>
      </c>
      <c r="C7389" s="405" t="s">
        <v>327</v>
      </c>
      <c r="D7389" s="405"/>
      <c r="E7389" s="410">
        <v>41093</v>
      </c>
      <c r="F7389" s="410">
        <v>41138</v>
      </c>
      <c r="G7389" s="405" t="s">
        <v>18357</v>
      </c>
      <c r="H7389" s="405">
        <v>775129196</v>
      </c>
      <c r="I7389" s="405">
        <v>70604933</v>
      </c>
      <c r="J7389" s="405">
        <v>1.8597459999999999</v>
      </c>
      <c r="K7389" s="405">
        <v>33.087237999999999</v>
      </c>
      <c r="L7389" s="405" t="s">
        <v>860</v>
      </c>
      <c r="M7389" s="405" t="s">
        <v>12189</v>
      </c>
      <c r="N7389" s="405" t="s">
        <v>18298</v>
      </c>
      <c r="O7389" s="405" t="s">
        <v>18358</v>
      </c>
      <c r="P7389" s="405" t="s">
        <v>18359</v>
      </c>
      <c r="Q7389" s="411">
        <v>6</v>
      </c>
      <c r="R7389" s="405" t="s">
        <v>318</v>
      </c>
      <c r="S7389" s="405" t="s">
        <v>27195</v>
      </c>
      <c r="T7389" s="405" t="s">
        <v>32102</v>
      </c>
      <c r="U7389" s="405" t="s">
        <v>319</v>
      </c>
    </row>
    <row r="7390" spans="1:21" hidden="1" x14ac:dyDescent="0.25">
      <c r="A7390" s="405" t="s">
        <v>310</v>
      </c>
      <c r="B7390" s="405" t="s">
        <v>28830</v>
      </c>
      <c r="C7390" s="405" t="s">
        <v>311</v>
      </c>
      <c r="D7390" s="405" t="s">
        <v>839</v>
      </c>
      <c r="E7390" s="410">
        <v>41093</v>
      </c>
      <c r="F7390" s="410">
        <v>41138</v>
      </c>
      <c r="G7390" s="405" t="s">
        <v>3169</v>
      </c>
      <c r="H7390" s="405">
        <v>772546252</v>
      </c>
      <c r="I7390" s="405"/>
      <c r="J7390" s="405">
        <v>0.30967</v>
      </c>
      <c r="K7390" s="405">
        <v>32.145535000000002</v>
      </c>
      <c r="L7390" s="405" t="s">
        <v>314</v>
      </c>
      <c r="M7390" s="405" t="s">
        <v>675</v>
      </c>
      <c r="N7390" s="405" t="s">
        <v>676</v>
      </c>
      <c r="O7390" s="405" t="s">
        <v>677</v>
      </c>
      <c r="P7390" s="405" t="s">
        <v>677</v>
      </c>
      <c r="Q7390" s="411">
        <v>6</v>
      </c>
      <c r="R7390" s="405" t="s">
        <v>32476</v>
      </c>
      <c r="S7390" s="405" t="s">
        <v>27154</v>
      </c>
      <c r="T7390" s="405" t="s">
        <v>32102</v>
      </c>
      <c r="U7390" s="405" t="s">
        <v>319</v>
      </c>
    </row>
    <row r="7391" spans="1:21" hidden="1" x14ac:dyDescent="0.25">
      <c r="A7391" s="405" t="s">
        <v>310</v>
      </c>
      <c r="B7391" s="405" t="s">
        <v>11552</v>
      </c>
      <c r="C7391" s="405" t="s">
        <v>327</v>
      </c>
      <c r="D7391" s="405"/>
      <c r="E7391" s="410">
        <v>41093</v>
      </c>
      <c r="F7391" s="410">
        <v>41138</v>
      </c>
      <c r="G7391" s="405" t="s">
        <v>11553</v>
      </c>
      <c r="H7391" s="405">
        <v>777256988</v>
      </c>
      <c r="I7391" s="405"/>
      <c r="J7391" s="405">
        <v>0.89907899999999996</v>
      </c>
      <c r="K7391" s="405">
        <v>34.325316999999998</v>
      </c>
      <c r="L7391" s="405" t="s">
        <v>6866</v>
      </c>
      <c r="M7391" s="405" t="s">
        <v>9763</v>
      </c>
      <c r="N7391" s="405" t="s">
        <v>9848</v>
      </c>
      <c r="O7391" s="405" t="s">
        <v>11333</v>
      </c>
      <c r="P7391" s="405" t="s">
        <v>11554</v>
      </c>
      <c r="Q7391" s="411">
        <v>4</v>
      </c>
      <c r="R7391" s="405" t="s">
        <v>7224</v>
      </c>
      <c r="S7391" s="405" t="s">
        <v>27107</v>
      </c>
      <c r="T7391" s="405" t="s">
        <v>32102</v>
      </c>
      <c r="U7391" s="405" t="s">
        <v>319</v>
      </c>
    </row>
    <row r="7392" spans="1:21" hidden="1" x14ac:dyDescent="0.25">
      <c r="A7392" s="405" t="s">
        <v>310</v>
      </c>
      <c r="B7392" s="405" t="s">
        <v>2674</v>
      </c>
      <c r="C7392" s="405" t="s">
        <v>327</v>
      </c>
      <c r="D7392" s="405"/>
      <c r="E7392" s="410">
        <v>41090</v>
      </c>
      <c r="F7392" s="410">
        <v>41135</v>
      </c>
      <c r="G7392" s="405" t="s">
        <v>2675</v>
      </c>
      <c r="H7392" s="405">
        <v>701540939</v>
      </c>
      <c r="I7392" s="405"/>
      <c r="J7392" s="405">
        <v>0.74869799999999997</v>
      </c>
      <c r="K7392" s="405">
        <v>32.558860000000003</v>
      </c>
      <c r="L7392" s="405" t="s">
        <v>314</v>
      </c>
      <c r="M7392" s="405" t="s">
        <v>959</v>
      </c>
      <c r="N7392" s="405" t="s">
        <v>1308</v>
      </c>
      <c r="O7392" s="405" t="s">
        <v>1094</v>
      </c>
      <c r="P7392" s="405" t="s">
        <v>2676</v>
      </c>
      <c r="Q7392" s="411">
        <v>13</v>
      </c>
      <c r="R7392" s="405" t="s">
        <v>438</v>
      </c>
      <c r="S7392" s="405" t="s">
        <v>27131</v>
      </c>
      <c r="T7392" s="405" t="s">
        <v>32102</v>
      </c>
      <c r="U7392" s="405" t="s">
        <v>319</v>
      </c>
    </row>
    <row r="7393" spans="1:21" hidden="1" x14ac:dyDescent="0.25">
      <c r="A7393" s="405" t="s">
        <v>310</v>
      </c>
      <c r="B7393" s="405" t="s">
        <v>2641</v>
      </c>
      <c r="C7393" s="405" t="s">
        <v>327</v>
      </c>
      <c r="D7393" s="405"/>
      <c r="E7393" s="410">
        <v>41090</v>
      </c>
      <c r="F7393" s="410">
        <v>41135</v>
      </c>
      <c r="G7393" s="405" t="s">
        <v>2642</v>
      </c>
      <c r="H7393" s="405">
        <v>782312535</v>
      </c>
      <c r="I7393" s="405"/>
      <c r="J7393" s="405">
        <v>0.28820000000000001</v>
      </c>
      <c r="K7393" s="405">
        <v>32.592098</v>
      </c>
      <c r="L7393" s="405" t="s">
        <v>314</v>
      </c>
      <c r="M7393" s="405" t="s">
        <v>992</v>
      </c>
      <c r="N7393" s="405" t="s">
        <v>2643</v>
      </c>
      <c r="O7393" s="405" t="s">
        <v>618</v>
      </c>
      <c r="P7393" s="405" t="s">
        <v>2644</v>
      </c>
      <c r="Q7393" s="411">
        <v>13</v>
      </c>
      <c r="R7393" s="405" t="s">
        <v>1263</v>
      </c>
      <c r="S7393" s="405" t="s">
        <v>27197</v>
      </c>
      <c r="T7393" s="405" t="s">
        <v>32102</v>
      </c>
      <c r="U7393" s="405" t="s">
        <v>319</v>
      </c>
    </row>
    <row r="7394" spans="1:21" hidden="1" x14ac:dyDescent="0.25">
      <c r="A7394" s="405" t="s">
        <v>310</v>
      </c>
      <c r="B7394" s="405" t="s">
        <v>2659</v>
      </c>
      <c r="C7394" s="405" t="s">
        <v>327</v>
      </c>
      <c r="D7394" s="405"/>
      <c r="E7394" s="410">
        <v>41090</v>
      </c>
      <c r="F7394" s="410">
        <v>41135</v>
      </c>
      <c r="G7394" s="405" t="s">
        <v>2660</v>
      </c>
      <c r="H7394" s="405">
        <v>772966051</v>
      </c>
      <c r="I7394" s="405"/>
      <c r="J7394" s="405">
        <v>0.37976300000000002</v>
      </c>
      <c r="K7394" s="405">
        <v>32.516691999999999</v>
      </c>
      <c r="L7394" s="405" t="s">
        <v>314</v>
      </c>
      <c r="M7394" s="405" t="s">
        <v>361</v>
      </c>
      <c r="N7394" s="405" t="s">
        <v>362</v>
      </c>
      <c r="O7394" s="405" t="s">
        <v>469</v>
      </c>
      <c r="P7394" s="405" t="s">
        <v>1290</v>
      </c>
      <c r="Q7394" s="411">
        <v>13</v>
      </c>
      <c r="R7394" s="405" t="s">
        <v>1263</v>
      </c>
      <c r="S7394" s="405" t="s">
        <v>27162</v>
      </c>
      <c r="T7394" s="405" t="s">
        <v>32102</v>
      </c>
      <c r="U7394" s="405" t="s">
        <v>319</v>
      </c>
    </row>
    <row r="7395" spans="1:21" hidden="1" x14ac:dyDescent="0.25">
      <c r="A7395" s="405" t="s">
        <v>310</v>
      </c>
      <c r="B7395" s="405" t="s">
        <v>3255</v>
      </c>
      <c r="C7395" s="405" t="s">
        <v>311</v>
      </c>
      <c r="D7395" s="405" t="s">
        <v>1789</v>
      </c>
      <c r="E7395" s="410">
        <v>41090</v>
      </c>
      <c r="F7395" s="410">
        <v>41135</v>
      </c>
      <c r="G7395" s="405" t="s">
        <v>3256</v>
      </c>
      <c r="H7395" s="405">
        <v>772459464</v>
      </c>
      <c r="I7395" s="405"/>
      <c r="J7395" s="405">
        <v>0.27868300000000001</v>
      </c>
      <c r="K7395" s="405">
        <v>32.487765000000003</v>
      </c>
      <c r="L7395" s="405" t="s">
        <v>314</v>
      </c>
      <c r="M7395" s="405" t="s">
        <v>361</v>
      </c>
      <c r="N7395" s="405" t="s">
        <v>374</v>
      </c>
      <c r="O7395" s="405" t="s">
        <v>375</v>
      </c>
      <c r="P7395" s="405" t="s">
        <v>3257</v>
      </c>
      <c r="Q7395" s="411">
        <v>12</v>
      </c>
      <c r="R7395" s="405" t="s">
        <v>318</v>
      </c>
      <c r="S7395" s="405" t="s">
        <v>6822</v>
      </c>
      <c r="T7395" s="405" t="s">
        <v>32102</v>
      </c>
      <c r="U7395" s="405" t="s">
        <v>319</v>
      </c>
    </row>
    <row r="7396" spans="1:21" hidden="1" x14ac:dyDescent="0.25">
      <c r="A7396" s="405" t="s">
        <v>310</v>
      </c>
      <c r="B7396" s="405" t="s">
        <v>2632</v>
      </c>
      <c r="C7396" s="405" t="s">
        <v>327</v>
      </c>
      <c r="D7396" s="405"/>
      <c r="E7396" s="410">
        <v>41090</v>
      </c>
      <c r="F7396" s="410">
        <v>41135</v>
      </c>
      <c r="G7396" s="405" t="s">
        <v>2633</v>
      </c>
      <c r="H7396" s="405">
        <v>772697439</v>
      </c>
      <c r="I7396" s="405"/>
      <c r="J7396" s="405">
        <v>0.34437800000000002</v>
      </c>
      <c r="K7396" s="405">
        <v>32.563364999999997</v>
      </c>
      <c r="L7396" s="405" t="s">
        <v>314</v>
      </c>
      <c r="M7396" s="405" t="s">
        <v>992</v>
      </c>
      <c r="N7396" s="405" t="s">
        <v>469</v>
      </c>
      <c r="O7396" s="405" t="s">
        <v>936</v>
      </c>
      <c r="P7396" s="405" t="s">
        <v>2634</v>
      </c>
      <c r="Q7396" s="411">
        <v>12</v>
      </c>
      <c r="R7396" s="405" t="s">
        <v>353</v>
      </c>
      <c r="S7396" s="405" t="s">
        <v>27120</v>
      </c>
      <c r="T7396" s="405" t="s">
        <v>32102</v>
      </c>
      <c r="U7396" s="405" t="s">
        <v>319</v>
      </c>
    </row>
    <row r="7397" spans="1:21" hidden="1" x14ac:dyDescent="0.25">
      <c r="A7397" s="405" t="s">
        <v>310</v>
      </c>
      <c r="B7397" s="405" t="s">
        <v>28363</v>
      </c>
      <c r="C7397" s="405" t="s">
        <v>327</v>
      </c>
      <c r="D7397" s="405"/>
      <c r="E7397" s="410">
        <v>41090</v>
      </c>
      <c r="F7397" s="410">
        <v>41135</v>
      </c>
      <c r="G7397" s="405" t="s">
        <v>2599</v>
      </c>
      <c r="H7397" s="405">
        <v>772451978</v>
      </c>
      <c r="I7397" s="405"/>
      <c r="J7397" s="405">
        <v>0.11523700000000001</v>
      </c>
      <c r="K7397" s="405">
        <v>31.814647000000001</v>
      </c>
      <c r="L7397" s="405" t="s">
        <v>314</v>
      </c>
      <c r="M7397" s="405" t="s">
        <v>339</v>
      </c>
      <c r="N7397" s="405" t="s">
        <v>339</v>
      </c>
      <c r="O7397" s="405" t="s">
        <v>1948</v>
      </c>
      <c r="P7397" s="405" t="s">
        <v>2600</v>
      </c>
      <c r="Q7397" s="411">
        <v>9</v>
      </c>
      <c r="R7397" s="405" t="s">
        <v>1263</v>
      </c>
      <c r="S7397" s="405" t="s">
        <v>27133</v>
      </c>
      <c r="T7397" s="405" t="s">
        <v>32102</v>
      </c>
      <c r="U7397" s="405" t="s">
        <v>319</v>
      </c>
    </row>
    <row r="7398" spans="1:21" hidden="1" x14ac:dyDescent="0.25">
      <c r="A7398" s="405" t="s">
        <v>310</v>
      </c>
      <c r="B7398" s="405" t="s">
        <v>3237</v>
      </c>
      <c r="C7398" s="405" t="s">
        <v>311</v>
      </c>
      <c r="D7398" s="405" t="s">
        <v>1789</v>
      </c>
      <c r="E7398" s="410">
        <v>41090</v>
      </c>
      <c r="F7398" s="410">
        <v>41135</v>
      </c>
      <c r="G7398" s="405" t="s">
        <v>3238</v>
      </c>
      <c r="H7398" s="405">
        <v>782074630</v>
      </c>
      <c r="I7398" s="405"/>
      <c r="J7398" s="405">
        <v>0.392538</v>
      </c>
      <c r="K7398" s="405">
        <v>32.498489999999997</v>
      </c>
      <c r="L7398" s="405" t="s">
        <v>314</v>
      </c>
      <c r="M7398" s="405" t="s">
        <v>361</v>
      </c>
      <c r="N7398" s="405" t="s">
        <v>374</v>
      </c>
      <c r="O7398" s="405" t="s">
        <v>361</v>
      </c>
      <c r="P7398" s="405" t="s">
        <v>502</v>
      </c>
      <c r="Q7398" s="411">
        <v>9</v>
      </c>
      <c r="R7398" s="405" t="s">
        <v>1623</v>
      </c>
      <c r="S7398" s="405" t="s">
        <v>27036</v>
      </c>
      <c r="T7398" s="405" t="s">
        <v>32102</v>
      </c>
      <c r="U7398" s="405" t="s">
        <v>319</v>
      </c>
    </row>
    <row r="7399" spans="1:21" hidden="1" x14ac:dyDescent="0.25">
      <c r="A7399" s="405" t="s">
        <v>310</v>
      </c>
      <c r="B7399" s="405" t="s">
        <v>2608</v>
      </c>
      <c r="C7399" s="405" t="s">
        <v>327</v>
      </c>
      <c r="D7399" s="405"/>
      <c r="E7399" s="410">
        <v>41090</v>
      </c>
      <c r="F7399" s="410">
        <v>41135</v>
      </c>
      <c r="G7399" s="405" t="s">
        <v>2609</v>
      </c>
      <c r="H7399" s="405">
        <v>772550966</v>
      </c>
      <c r="I7399" s="405"/>
      <c r="J7399" s="405">
        <v>0.71087800000000001</v>
      </c>
      <c r="K7399" s="405">
        <v>32.908397000000001</v>
      </c>
      <c r="L7399" s="405" t="s">
        <v>314</v>
      </c>
      <c r="M7399" s="405" t="s">
        <v>502</v>
      </c>
      <c r="N7399" s="405" t="s">
        <v>2610</v>
      </c>
      <c r="O7399" s="405" t="s">
        <v>2611</v>
      </c>
      <c r="P7399" s="405" t="s">
        <v>2612</v>
      </c>
      <c r="Q7399" s="411">
        <v>9</v>
      </c>
      <c r="R7399" s="405" t="s">
        <v>353</v>
      </c>
      <c r="S7399" s="405" t="s">
        <v>27110</v>
      </c>
      <c r="T7399" s="405" t="s">
        <v>32102</v>
      </c>
      <c r="U7399" s="405" t="s">
        <v>319</v>
      </c>
    </row>
    <row r="7400" spans="1:21" hidden="1" x14ac:dyDescent="0.25">
      <c r="A7400" s="405" t="s">
        <v>310</v>
      </c>
      <c r="B7400" s="405" t="s">
        <v>2690</v>
      </c>
      <c r="C7400" s="405" t="s">
        <v>327</v>
      </c>
      <c r="D7400" s="405"/>
      <c r="E7400" s="410">
        <v>41090</v>
      </c>
      <c r="F7400" s="410">
        <v>41135</v>
      </c>
      <c r="G7400" s="405" t="s">
        <v>2691</v>
      </c>
      <c r="H7400" s="405">
        <v>772374233</v>
      </c>
      <c r="I7400" s="405"/>
      <c r="J7400" s="405">
        <v>0.25928200000000001</v>
      </c>
      <c r="K7400" s="405">
        <v>32.533104999999999</v>
      </c>
      <c r="L7400" s="405" t="s">
        <v>314</v>
      </c>
      <c r="M7400" s="405" t="s">
        <v>361</v>
      </c>
      <c r="N7400" s="405" t="s">
        <v>374</v>
      </c>
      <c r="O7400" s="405" t="s">
        <v>375</v>
      </c>
      <c r="P7400" s="405" t="s">
        <v>2692</v>
      </c>
      <c r="Q7400" s="411">
        <v>9</v>
      </c>
      <c r="R7400" s="405" t="s">
        <v>318</v>
      </c>
      <c r="S7400" s="405" t="s">
        <v>27135</v>
      </c>
      <c r="T7400" s="405" t="s">
        <v>32102</v>
      </c>
      <c r="U7400" s="405" t="s">
        <v>319</v>
      </c>
    </row>
    <row r="7401" spans="1:21" hidden="1" x14ac:dyDescent="0.25">
      <c r="A7401" s="405" t="s">
        <v>310</v>
      </c>
      <c r="B7401" s="405" t="s">
        <v>2664</v>
      </c>
      <c r="C7401" s="405" t="s">
        <v>327</v>
      </c>
      <c r="D7401" s="405"/>
      <c r="E7401" s="410">
        <v>41090</v>
      </c>
      <c r="F7401" s="410">
        <v>41135</v>
      </c>
      <c r="G7401" s="405" t="s">
        <v>2665</v>
      </c>
      <c r="H7401" s="405">
        <v>772483256</v>
      </c>
      <c r="I7401" s="405"/>
      <c r="J7401" s="405">
        <v>0.39397799999999999</v>
      </c>
      <c r="K7401" s="405">
        <v>32.553821999999997</v>
      </c>
      <c r="L7401" s="405" t="s">
        <v>314</v>
      </c>
      <c r="M7401" s="405" t="s">
        <v>361</v>
      </c>
      <c r="N7401" s="405" t="s">
        <v>362</v>
      </c>
      <c r="O7401" s="405" t="s">
        <v>469</v>
      </c>
      <c r="P7401" s="405" t="s">
        <v>1724</v>
      </c>
      <c r="Q7401" s="411">
        <v>9</v>
      </c>
      <c r="R7401" s="405" t="s">
        <v>353</v>
      </c>
      <c r="S7401" s="405" t="s">
        <v>27115</v>
      </c>
      <c r="T7401" s="405" t="s">
        <v>32102</v>
      </c>
      <c r="U7401" s="405" t="s">
        <v>319</v>
      </c>
    </row>
    <row r="7402" spans="1:21" hidden="1" x14ac:dyDescent="0.25">
      <c r="A7402" s="405" t="s">
        <v>310</v>
      </c>
      <c r="B7402" s="405" t="s">
        <v>2682</v>
      </c>
      <c r="C7402" s="405" t="s">
        <v>327</v>
      </c>
      <c r="D7402" s="405"/>
      <c r="E7402" s="410">
        <v>41090</v>
      </c>
      <c r="F7402" s="410">
        <v>41135</v>
      </c>
      <c r="G7402" s="405" t="s">
        <v>2683</v>
      </c>
      <c r="H7402" s="405">
        <v>781578521</v>
      </c>
      <c r="I7402" s="405"/>
      <c r="J7402" s="405">
        <v>0.68283000000000005</v>
      </c>
      <c r="K7402" s="405">
        <v>32.647534999999998</v>
      </c>
      <c r="L7402" s="405" t="s">
        <v>314</v>
      </c>
      <c r="M7402" s="405" t="s">
        <v>959</v>
      </c>
      <c r="N7402" s="405" t="s">
        <v>1308</v>
      </c>
      <c r="O7402" s="405" t="s">
        <v>960</v>
      </c>
      <c r="P7402" s="405" t="s">
        <v>2684</v>
      </c>
      <c r="Q7402" s="411">
        <v>9</v>
      </c>
      <c r="R7402" s="405" t="s">
        <v>1263</v>
      </c>
      <c r="S7402" s="405" t="s">
        <v>27162</v>
      </c>
      <c r="T7402" s="405" t="s">
        <v>32102</v>
      </c>
      <c r="U7402" s="405" t="s">
        <v>319</v>
      </c>
    </row>
    <row r="7403" spans="1:21" hidden="1" x14ac:dyDescent="0.25">
      <c r="A7403" s="405" t="s">
        <v>310</v>
      </c>
      <c r="B7403" s="405" t="s">
        <v>28134</v>
      </c>
      <c r="C7403" s="405" t="s">
        <v>327</v>
      </c>
      <c r="D7403" s="405"/>
      <c r="E7403" s="410">
        <v>41090</v>
      </c>
      <c r="F7403" s="410">
        <v>41135</v>
      </c>
      <c r="G7403" s="405" t="s">
        <v>20575</v>
      </c>
      <c r="H7403" s="405">
        <v>772580821</v>
      </c>
      <c r="I7403" s="405"/>
      <c r="J7403" s="405">
        <v>-0.619564</v>
      </c>
      <c r="K7403" s="405">
        <v>30.582115000000002</v>
      </c>
      <c r="L7403" s="405" t="s">
        <v>590</v>
      </c>
      <c r="M7403" s="405" t="s">
        <v>19614</v>
      </c>
      <c r="N7403" s="405" t="s">
        <v>19873</v>
      </c>
      <c r="O7403" s="405" t="s">
        <v>20138</v>
      </c>
      <c r="P7403" s="405" t="s">
        <v>20320</v>
      </c>
      <c r="Q7403" s="411">
        <v>9</v>
      </c>
      <c r="R7403" s="405" t="s">
        <v>333</v>
      </c>
      <c r="S7403" s="405" t="s">
        <v>27166</v>
      </c>
      <c r="T7403" s="405" t="s">
        <v>32102</v>
      </c>
      <c r="U7403" s="405" t="s">
        <v>319</v>
      </c>
    </row>
    <row r="7404" spans="1:21" hidden="1" x14ac:dyDescent="0.25">
      <c r="A7404" s="405" t="s">
        <v>310</v>
      </c>
      <c r="B7404" s="405" t="s">
        <v>2685</v>
      </c>
      <c r="C7404" s="405" t="s">
        <v>327</v>
      </c>
      <c r="D7404" s="405"/>
      <c r="E7404" s="410">
        <v>41090</v>
      </c>
      <c r="F7404" s="410">
        <v>41135</v>
      </c>
      <c r="G7404" s="405" t="s">
        <v>2686</v>
      </c>
      <c r="H7404" s="405">
        <v>773058672</v>
      </c>
      <c r="I7404" s="405"/>
      <c r="J7404" s="405">
        <v>0.45296799999999998</v>
      </c>
      <c r="K7404" s="405">
        <v>32.612791999999999</v>
      </c>
      <c r="L7404" s="405" t="s">
        <v>314</v>
      </c>
      <c r="M7404" s="405" t="s">
        <v>361</v>
      </c>
      <c r="N7404" s="405" t="s">
        <v>362</v>
      </c>
      <c r="O7404" s="405" t="s">
        <v>410</v>
      </c>
      <c r="P7404" s="405" t="s">
        <v>2687</v>
      </c>
      <c r="Q7404" s="411">
        <v>9</v>
      </c>
      <c r="R7404" s="405" t="s">
        <v>318</v>
      </c>
      <c r="S7404" s="405" t="s">
        <v>27124</v>
      </c>
      <c r="T7404" s="405" t="s">
        <v>32102</v>
      </c>
      <c r="U7404" s="405" t="s">
        <v>319</v>
      </c>
    </row>
    <row r="7405" spans="1:21" hidden="1" x14ac:dyDescent="0.25">
      <c r="A7405" s="405" t="s">
        <v>310</v>
      </c>
      <c r="B7405" s="405" t="s">
        <v>2627</v>
      </c>
      <c r="C7405" s="405" t="s">
        <v>327</v>
      </c>
      <c r="D7405" s="405"/>
      <c r="E7405" s="410">
        <v>41090</v>
      </c>
      <c r="F7405" s="410">
        <v>41135</v>
      </c>
      <c r="G7405" s="405" t="s">
        <v>2628</v>
      </c>
      <c r="H7405" s="405">
        <v>772412745</v>
      </c>
      <c r="I7405" s="405">
        <v>772412745</v>
      </c>
      <c r="J7405" s="405">
        <v>0.32472299999999998</v>
      </c>
      <c r="K7405" s="405">
        <v>32.531022</v>
      </c>
      <c r="L7405" s="405" t="s">
        <v>314</v>
      </c>
      <c r="M7405" s="405" t="s">
        <v>992</v>
      </c>
      <c r="N7405" s="405" t="s">
        <v>362</v>
      </c>
      <c r="O7405" s="405" t="s">
        <v>2327</v>
      </c>
      <c r="P7405" s="405" t="s">
        <v>1450</v>
      </c>
      <c r="Q7405" s="411">
        <v>9</v>
      </c>
      <c r="R7405" s="405" t="s">
        <v>318</v>
      </c>
      <c r="S7405" s="405" t="s">
        <v>27124</v>
      </c>
      <c r="T7405" s="405" t="s">
        <v>32102</v>
      </c>
      <c r="U7405" s="405" t="s">
        <v>319</v>
      </c>
    </row>
    <row r="7406" spans="1:21" hidden="1" x14ac:dyDescent="0.25">
      <c r="A7406" s="405" t="s">
        <v>310</v>
      </c>
      <c r="B7406" s="405" t="s">
        <v>27780</v>
      </c>
      <c r="C7406" s="405" t="s">
        <v>311</v>
      </c>
      <c r="D7406" s="405" t="s">
        <v>839</v>
      </c>
      <c r="E7406" s="410">
        <v>41090</v>
      </c>
      <c r="F7406" s="410">
        <v>41135</v>
      </c>
      <c r="G7406" s="405" t="s">
        <v>3170</v>
      </c>
      <c r="H7406" s="405">
        <v>775413044</v>
      </c>
      <c r="I7406" s="405">
        <v>775418796</v>
      </c>
      <c r="J7406" s="405">
        <v>0.4373263</v>
      </c>
      <c r="K7406" s="405">
        <v>32.580264700000001</v>
      </c>
      <c r="L7406" s="405" t="s">
        <v>314</v>
      </c>
      <c r="M7406" s="405" t="s">
        <v>361</v>
      </c>
      <c r="N7406" s="405" t="s">
        <v>362</v>
      </c>
      <c r="O7406" s="405" t="s">
        <v>418</v>
      </c>
      <c r="P7406" s="405" t="s">
        <v>3171</v>
      </c>
      <c r="Q7406" s="411">
        <v>6</v>
      </c>
      <c r="R7406" s="405" t="s">
        <v>318</v>
      </c>
      <c r="S7406" s="405" t="s">
        <v>27195</v>
      </c>
      <c r="T7406" s="405" t="s">
        <v>32102</v>
      </c>
      <c r="U7406" s="405" t="s">
        <v>319</v>
      </c>
    </row>
    <row r="7407" spans="1:21" hidden="1" x14ac:dyDescent="0.25">
      <c r="A7407" s="405" t="s">
        <v>310</v>
      </c>
      <c r="B7407" s="405" t="s">
        <v>28824</v>
      </c>
      <c r="C7407" s="405" t="s">
        <v>311</v>
      </c>
      <c r="D7407" s="405" t="s">
        <v>839</v>
      </c>
      <c r="E7407" s="410">
        <v>41090</v>
      </c>
      <c r="F7407" s="410">
        <v>41135</v>
      </c>
      <c r="G7407" s="405" t="s">
        <v>3209</v>
      </c>
      <c r="H7407" s="405">
        <v>754860396</v>
      </c>
      <c r="I7407" s="405"/>
      <c r="J7407" s="405">
        <v>0.15404799999999999</v>
      </c>
      <c r="K7407" s="405">
        <v>32.412517999999999</v>
      </c>
      <c r="L7407" s="405" t="s">
        <v>314</v>
      </c>
      <c r="M7407" s="405" t="s">
        <v>361</v>
      </c>
      <c r="N7407" s="405" t="s">
        <v>374</v>
      </c>
      <c r="O7407" s="405" t="s">
        <v>1279</v>
      </c>
      <c r="P7407" s="405" t="s">
        <v>2400</v>
      </c>
      <c r="Q7407" s="411">
        <v>6</v>
      </c>
      <c r="R7407" s="405" t="s">
        <v>318</v>
      </c>
      <c r="S7407" s="405" t="s">
        <v>27046</v>
      </c>
      <c r="T7407" s="405" t="s">
        <v>32102</v>
      </c>
      <c r="U7407" s="405" t="s">
        <v>319</v>
      </c>
    </row>
    <row r="7408" spans="1:21" hidden="1" x14ac:dyDescent="0.25">
      <c r="A7408" s="405" t="s">
        <v>310</v>
      </c>
      <c r="B7408" s="405" t="s">
        <v>29135</v>
      </c>
      <c r="C7408" s="405" t="s">
        <v>327</v>
      </c>
      <c r="D7408" s="405"/>
      <c r="E7408" s="410">
        <v>41090</v>
      </c>
      <c r="F7408" s="410">
        <v>41135</v>
      </c>
      <c r="G7408" s="405" t="s">
        <v>2680</v>
      </c>
      <c r="H7408" s="405">
        <v>782857366</v>
      </c>
      <c r="I7408" s="405"/>
      <c r="J7408" s="405">
        <v>0.74656800000000001</v>
      </c>
      <c r="K7408" s="405">
        <v>32.523941999999998</v>
      </c>
      <c r="L7408" s="405" t="s">
        <v>314</v>
      </c>
      <c r="M7408" s="405" t="s">
        <v>959</v>
      </c>
      <c r="N7408" s="405" t="s">
        <v>1308</v>
      </c>
      <c r="O7408" s="405" t="s">
        <v>1094</v>
      </c>
      <c r="P7408" s="405" t="s">
        <v>2681</v>
      </c>
      <c r="Q7408" s="411">
        <v>6</v>
      </c>
      <c r="R7408" s="405" t="s">
        <v>1263</v>
      </c>
      <c r="S7408" s="405" t="s">
        <v>27136</v>
      </c>
      <c r="T7408" s="405" t="s">
        <v>32102</v>
      </c>
      <c r="U7408" s="405" t="s">
        <v>319</v>
      </c>
    </row>
    <row r="7409" spans="1:21" hidden="1" x14ac:dyDescent="0.25">
      <c r="A7409" s="405" t="s">
        <v>310</v>
      </c>
      <c r="B7409" s="405" t="s">
        <v>2661</v>
      </c>
      <c r="C7409" s="405" t="s">
        <v>327</v>
      </c>
      <c r="D7409" s="405"/>
      <c r="E7409" s="410">
        <v>41090</v>
      </c>
      <c r="F7409" s="410">
        <v>41135</v>
      </c>
      <c r="G7409" s="405" t="s">
        <v>2662</v>
      </c>
      <c r="H7409" s="405">
        <v>702181749</v>
      </c>
      <c r="I7409" s="405"/>
      <c r="J7409" s="405">
        <v>0.40864499999999998</v>
      </c>
      <c r="K7409" s="405">
        <v>32.525469999999999</v>
      </c>
      <c r="L7409" s="405" t="s">
        <v>314</v>
      </c>
      <c r="M7409" s="405" t="s">
        <v>361</v>
      </c>
      <c r="N7409" s="405" t="s">
        <v>362</v>
      </c>
      <c r="O7409" s="405" t="s">
        <v>469</v>
      </c>
      <c r="P7409" s="405" t="s">
        <v>2663</v>
      </c>
      <c r="Q7409" s="411">
        <v>6</v>
      </c>
      <c r="R7409" s="405" t="s">
        <v>438</v>
      </c>
      <c r="S7409" s="405" t="s">
        <v>27128</v>
      </c>
      <c r="T7409" s="405" t="s">
        <v>32102</v>
      </c>
      <c r="U7409" s="405" t="s">
        <v>319</v>
      </c>
    </row>
    <row r="7410" spans="1:21" hidden="1" x14ac:dyDescent="0.25">
      <c r="A7410" s="405" t="s">
        <v>310</v>
      </c>
      <c r="B7410" s="405" t="s">
        <v>2623</v>
      </c>
      <c r="C7410" s="405" t="s">
        <v>327</v>
      </c>
      <c r="D7410" s="405"/>
      <c r="E7410" s="410">
        <v>41090</v>
      </c>
      <c r="F7410" s="410">
        <v>41135</v>
      </c>
      <c r="G7410" s="405" t="s">
        <v>2624</v>
      </c>
      <c r="H7410" s="405">
        <v>776440616</v>
      </c>
      <c r="I7410" s="405"/>
      <c r="J7410" s="405">
        <v>0.51284300000000005</v>
      </c>
      <c r="K7410" s="405">
        <v>32.462347999999999</v>
      </c>
      <c r="L7410" s="405" t="s">
        <v>314</v>
      </c>
      <c r="M7410" s="405" t="s">
        <v>361</v>
      </c>
      <c r="N7410" s="405" t="s">
        <v>362</v>
      </c>
      <c r="O7410" s="405" t="s">
        <v>523</v>
      </c>
      <c r="P7410" s="405" t="s">
        <v>1249</v>
      </c>
      <c r="Q7410" s="411">
        <v>6</v>
      </c>
      <c r="R7410" s="405" t="s">
        <v>353</v>
      </c>
      <c r="S7410" s="405" t="s">
        <v>27108</v>
      </c>
      <c r="T7410" s="405" t="s">
        <v>32102</v>
      </c>
      <c r="U7410" s="405" t="s">
        <v>319</v>
      </c>
    </row>
    <row r="7411" spans="1:21" hidden="1" x14ac:dyDescent="0.25">
      <c r="A7411" s="405" t="s">
        <v>310</v>
      </c>
      <c r="B7411" s="405" t="s">
        <v>2621</v>
      </c>
      <c r="C7411" s="405" t="s">
        <v>327</v>
      </c>
      <c r="D7411" s="405"/>
      <c r="E7411" s="410">
        <v>41090</v>
      </c>
      <c r="F7411" s="410">
        <v>41135</v>
      </c>
      <c r="G7411" s="405" t="s">
        <v>2622</v>
      </c>
      <c r="H7411" s="405">
        <v>772545304</v>
      </c>
      <c r="I7411" s="405"/>
      <c r="J7411" s="405">
        <v>0.51337999999999995</v>
      </c>
      <c r="K7411" s="405">
        <v>32.461461999999997</v>
      </c>
      <c r="L7411" s="405" t="s">
        <v>314</v>
      </c>
      <c r="M7411" s="405" t="s">
        <v>361</v>
      </c>
      <c r="N7411" s="405" t="s">
        <v>362</v>
      </c>
      <c r="O7411" s="405" t="s">
        <v>523</v>
      </c>
      <c r="P7411" s="405" t="s">
        <v>2323</v>
      </c>
      <c r="Q7411" s="411">
        <v>6</v>
      </c>
      <c r="R7411" s="405" t="s">
        <v>1263</v>
      </c>
      <c r="S7411" s="405" t="s">
        <v>27108</v>
      </c>
      <c r="T7411" s="405" t="s">
        <v>32102</v>
      </c>
      <c r="U7411" s="405" t="s">
        <v>319</v>
      </c>
    </row>
    <row r="7412" spans="1:21" hidden="1" x14ac:dyDescent="0.25">
      <c r="A7412" s="405" t="s">
        <v>310</v>
      </c>
      <c r="B7412" s="405" t="s">
        <v>2639</v>
      </c>
      <c r="C7412" s="405" t="s">
        <v>327</v>
      </c>
      <c r="D7412" s="405"/>
      <c r="E7412" s="410">
        <v>41090</v>
      </c>
      <c r="F7412" s="410">
        <v>41135</v>
      </c>
      <c r="G7412" s="405" t="s">
        <v>2640</v>
      </c>
      <c r="H7412" s="405">
        <v>754118944</v>
      </c>
      <c r="I7412" s="405"/>
      <c r="J7412" s="405">
        <v>0.15434200000000001</v>
      </c>
      <c r="K7412" s="405">
        <v>32.412373000000002</v>
      </c>
      <c r="L7412" s="405" t="s">
        <v>314</v>
      </c>
      <c r="M7412" s="405" t="s">
        <v>361</v>
      </c>
      <c r="N7412" s="405" t="s">
        <v>374</v>
      </c>
      <c r="O7412" s="405" t="s">
        <v>1279</v>
      </c>
      <c r="P7412" s="405" t="s">
        <v>2400</v>
      </c>
      <c r="Q7412" s="411">
        <v>6</v>
      </c>
      <c r="R7412" s="405" t="s">
        <v>318</v>
      </c>
      <c r="S7412" s="405" t="s">
        <v>27046</v>
      </c>
      <c r="T7412" s="405" t="s">
        <v>32102</v>
      </c>
      <c r="U7412" s="405" t="s">
        <v>319</v>
      </c>
    </row>
    <row r="7413" spans="1:21" hidden="1" x14ac:dyDescent="0.25">
      <c r="A7413" s="405" t="s">
        <v>310</v>
      </c>
      <c r="B7413" s="405" t="s">
        <v>18364</v>
      </c>
      <c r="C7413" s="405" t="s">
        <v>327</v>
      </c>
      <c r="D7413" s="405"/>
      <c r="E7413" s="410">
        <v>41090</v>
      </c>
      <c r="F7413" s="410">
        <v>41135</v>
      </c>
      <c r="G7413" s="405" t="s">
        <v>18365</v>
      </c>
      <c r="H7413" s="405">
        <v>773281077</v>
      </c>
      <c r="I7413" s="405"/>
      <c r="J7413" s="405">
        <v>2.84396</v>
      </c>
      <c r="K7413" s="405">
        <v>32.189515</v>
      </c>
      <c r="L7413" s="405" t="s">
        <v>860</v>
      </c>
      <c r="M7413" s="405" t="s">
        <v>15041</v>
      </c>
      <c r="N7413" s="405" t="s">
        <v>18328</v>
      </c>
      <c r="O7413" s="405" t="s">
        <v>18324</v>
      </c>
      <c r="P7413" s="405" t="s">
        <v>18325</v>
      </c>
      <c r="Q7413" s="411">
        <v>6</v>
      </c>
      <c r="R7413" s="405" t="s">
        <v>994</v>
      </c>
      <c r="S7413" s="405" t="s">
        <v>27375</v>
      </c>
      <c r="T7413" s="405" t="s">
        <v>32102</v>
      </c>
      <c r="U7413" s="405" t="s">
        <v>319</v>
      </c>
    </row>
    <row r="7414" spans="1:21" hidden="1" x14ac:dyDescent="0.25">
      <c r="A7414" s="405" t="s">
        <v>310</v>
      </c>
      <c r="B7414" s="405" t="s">
        <v>2649</v>
      </c>
      <c r="C7414" s="405" t="s">
        <v>327</v>
      </c>
      <c r="D7414" s="405"/>
      <c r="E7414" s="410">
        <v>41090</v>
      </c>
      <c r="F7414" s="410">
        <v>41135</v>
      </c>
      <c r="G7414" s="405" t="s">
        <v>2650</v>
      </c>
      <c r="H7414" s="405">
        <v>782221271</v>
      </c>
      <c r="I7414" s="405"/>
      <c r="J7414" s="405">
        <v>0.34070699999999998</v>
      </c>
      <c r="K7414" s="405">
        <v>32.441614999999999</v>
      </c>
      <c r="L7414" s="405" t="s">
        <v>314</v>
      </c>
      <c r="M7414" s="405" t="s">
        <v>361</v>
      </c>
      <c r="N7414" s="405" t="s">
        <v>374</v>
      </c>
      <c r="O7414" s="405" t="s">
        <v>361</v>
      </c>
      <c r="P7414" s="405" t="s">
        <v>2651</v>
      </c>
      <c r="Q7414" s="411">
        <v>6</v>
      </c>
      <c r="R7414" s="405" t="s">
        <v>567</v>
      </c>
      <c r="S7414" s="405" t="s">
        <v>27146</v>
      </c>
      <c r="T7414" s="405" t="s">
        <v>32102</v>
      </c>
      <c r="U7414" s="405" t="s">
        <v>319</v>
      </c>
    </row>
    <row r="7415" spans="1:21" hidden="1" x14ac:dyDescent="0.25">
      <c r="A7415" s="405" t="s">
        <v>310</v>
      </c>
      <c r="B7415" s="405" t="s">
        <v>2666</v>
      </c>
      <c r="C7415" s="405" t="s">
        <v>327</v>
      </c>
      <c r="D7415" s="405"/>
      <c r="E7415" s="410">
        <v>41090</v>
      </c>
      <c r="F7415" s="410">
        <v>41135</v>
      </c>
      <c r="G7415" s="405" t="s">
        <v>2667</v>
      </c>
      <c r="H7415" s="405">
        <v>776663060</v>
      </c>
      <c r="I7415" s="405"/>
      <c r="J7415" s="405">
        <v>0.39923799999999998</v>
      </c>
      <c r="K7415" s="405">
        <v>32.508025000000004</v>
      </c>
      <c r="L7415" s="405" t="s">
        <v>314</v>
      </c>
      <c r="M7415" s="405" t="s">
        <v>361</v>
      </c>
      <c r="N7415" s="405" t="s">
        <v>374</v>
      </c>
      <c r="O7415" s="405" t="s">
        <v>361</v>
      </c>
      <c r="P7415" s="405" t="s">
        <v>2668</v>
      </c>
      <c r="Q7415" s="411">
        <v>6</v>
      </c>
      <c r="R7415" s="405" t="s">
        <v>1263</v>
      </c>
      <c r="S7415" s="405" t="s">
        <v>27198</v>
      </c>
      <c r="T7415" s="405" t="s">
        <v>32102</v>
      </c>
      <c r="U7415" s="405" t="s">
        <v>319</v>
      </c>
    </row>
    <row r="7416" spans="1:21" hidden="1" x14ac:dyDescent="0.25">
      <c r="A7416" s="405" t="s">
        <v>310</v>
      </c>
      <c r="B7416" s="405" t="s">
        <v>11493</v>
      </c>
      <c r="C7416" s="405" t="s">
        <v>327</v>
      </c>
      <c r="D7416" s="405"/>
      <c r="E7416" s="410">
        <v>41090</v>
      </c>
      <c r="F7416" s="410">
        <v>41135</v>
      </c>
      <c r="G7416" s="405" t="s">
        <v>11494</v>
      </c>
      <c r="H7416" s="405">
        <v>772608178</v>
      </c>
      <c r="I7416" s="405"/>
      <c r="J7416" s="405">
        <v>2.154175</v>
      </c>
      <c r="K7416" s="405">
        <v>33.605372000000003</v>
      </c>
      <c r="L7416" s="405" t="s">
        <v>6866</v>
      </c>
      <c r="M7416" s="405" t="s">
        <v>10495</v>
      </c>
      <c r="N7416" s="405" t="s">
        <v>11495</v>
      </c>
      <c r="O7416" s="405" t="s">
        <v>11496</v>
      </c>
      <c r="P7416" s="405" t="s">
        <v>11155</v>
      </c>
      <c r="Q7416" s="411">
        <v>6</v>
      </c>
      <c r="R7416" s="405" t="s">
        <v>5655</v>
      </c>
      <c r="S7416" s="405" t="s">
        <v>27323</v>
      </c>
      <c r="T7416" s="405" t="s">
        <v>32102</v>
      </c>
      <c r="U7416" s="405" t="s">
        <v>319</v>
      </c>
    </row>
    <row r="7417" spans="1:21" hidden="1" x14ac:dyDescent="0.25">
      <c r="A7417" s="405" t="s">
        <v>310</v>
      </c>
      <c r="B7417" s="405" t="s">
        <v>2618</v>
      </c>
      <c r="C7417" s="405" t="s">
        <v>327</v>
      </c>
      <c r="D7417" s="405"/>
      <c r="E7417" s="410">
        <v>41090</v>
      </c>
      <c r="F7417" s="410">
        <v>41135</v>
      </c>
      <c r="G7417" s="405" t="s">
        <v>2619</v>
      </c>
      <c r="H7417" s="405">
        <v>775352198</v>
      </c>
      <c r="I7417" s="405"/>
      <c r="J7417" s="405">
        <v>0.50259666666666669</v>
      </c>
      <c r="K7417" s="405">
        <v>32.454581666666662</v>
      </c>
      <c r="L7417" s="405" t="s">
        <v>314</v>
      </c>
      <c r="M7417" s="405" t="s">
        <v>361</v>
      </c>
      <c r="N7417" s="405" t="s">
        <v>362</v>
      </c>
      <c r="O7417" s="405" t="s">
        <v>523</v>
      </c>
      <c r="P7417" s="405" t="s">
        <v>2620</v>
      </c>
      <c r="Q7417" s="411">
        <v>6</v>
      </c>
      <c r="R7417" s="405" t="s">
        <v>1263</v>
      </c>
      <c r="S7417" s="405" t="s">
        <v>27196</v>
      </c>
      <c r="T7417" s="405" t="s">
        <v>32102</v>
      </c>
      <c r="U7417" s="405" t="s">
        <v>319</v>
      </c>
    </row>
    <row r="7418" spans="1:21" hidden="1" x14ac:dyDescent="0.25">
      <c r="A7418" s="405" t="s">
        <v>310</v>
      </c>
      <c r="B7418" s="405" t="s">
        <v>2646</v>
      </c>
      <c r="C7418" s="405" t="s">
        <v>327</v>
      </c>
      <c r="D7418" s="405"/>
      <c r="E7418" s="410">
        <v>41090</v>
      </c>
      <c r="F7418" s="410">
        <v>41135</v>
      </c>
      <c r="G7418" s="405" t="s">
        <v>2647</v>
      </c>
      <c r="H7418" s="405">
        <v>752810769</v>
      </c>
      <c r="I7418" s="405"/>
      <c r="J7418" s="405">
        <v>0.67351300000000003</v>
      </c>
      <c r="K7418" s="405">
        <v>32.503922000000003</v>
      </c>
      <c r="L7418" s="405" t="s">
        <v>314</v>
      </c>
      <c r="M7418" s="405" t="s">
        <v>959</v>
      </c>
      <c r="N7418" s="405" t="s">
        <v>1094</v>
      </c>
      <c r="O7418" s="405" t="s">
        <v>1094</v>
      </c>
      <c r="P7418" s="405" t="s">
        <v>2648</v>
      </c>
      <c r="Q7418" s="411">
        <v>6</v>
      </c>
      <c r="R7418" s="405" t="s">
        <v>1263</v>
      </c>
      <c r="S7418" s="405" t="s">
        <v>27120</v>
      </c>
      <c r="T7418" s="405" t="s">
        <v>32102</v>
      </c>
      <c r="U7418" s="405" t="s">
        <v>319</v>
      </c>
    </row>
    <row r="7419" spans="1:21" hidden="1" x14ac:dyDescent="0.25">
      <c r="A7419" s="405" t="s">
        <v>310</v>
      </c>
      <c r="B7419" s="405" t="s">
        <v>2669</v>
      </c>
      <c r="C7419" s="405" t="s">
        <v>327</v>
      </c>
      <c r="D7419" s="405"/>
      <c r="E7419" s="410">
        <v>41090</v>
      </c>
      <c r="F7419" s="410">
        <v>41135</v>
      </c>
      <c r="G7419" s="405" t="s">
        <v>2670</v>
      </c>
      <c r="H7419" s="405">
        <v>782251924</v>
      </c>
      <c r="I7419" s="405"/>
      <c r="J7419" s="405">
        <v>0.407198</v>
      </c>
      <c r="K7419" s="405">
        <v>32.511893000000001</v>
      </c>
      <c r="L7419" s="405" t="s">
        <v>314</v>
      </c>
      <c r="M7419" s="405" t="s">
        <v>361</v>
      </c>
      <c r="N7419" s="405" t="s">
        <v>374</v>
      </c>
      <c r="O7419" s="405" t="s">
        <v>361</v>
      </c>
      <c r="P7419" s="405" t="s">
        <v>2668</v>
      </c>
      <c r="Q7419" s="411">
        <v>6</v>
      </c>
      <c r="R7419" s="405" t="s">
        <v>1263</v>
      </c>
      <c r="S7419" s="405" t="s">
        <v>27190</v>
      </c>
      <c r="T7419" s="405" t="s">
        <v>32102</v>
      </c>
      <c r="U7419" s="405" t="s">
        <v>319</v>
      </c>
    </row>
    <row r="7420" spans="1:21" hidden="1" x14ac:dyDescent="0.25">
      <c r="A7420" s="405" t="s">
        <v>310</v>
      </c>
      <c r="B7420" s="405" t="s">
        <v>20590</v>
      </c>
      <c r="C7420" s="405" t="s">
        <v>327</v>
      </c>
      <c r="D7420" s="405"/>
      <c r="E7420" s="410">
        <v>41088</v>
      </c>
      <c r="F7420" s="410">
        <v>41133</v>
      </c>
      <c r="G7420" s="405" t="s">
        <v>20591</v>
      </c>
      <c r="H7420" s="405">
        <v>776587171</v>
      </c>
      <c r="I7420" s="405">
        <v>752587171</v>
      </c>
      <c r="J7420" s="405">
        <v>4.6107000000000002E-2</v>
      </c>
      <c r="K7420" s="405">
        <v>30.721748999999999</v>
      </c>
      <c r="L7420" s="405" t="s">
        <v>590</v>
      </c>
      <c r="M7420" s="405" t="s">
        <v>19705</v>
      </c>
      <c r="N7420" s="405" t="s">
        <v>2250</v>
      </c>
      <c r="O7420" s="405" t="s">
        <v>2250</v>
      </c>
      <c r="P7420" s="405" t="s">
        <v>20592</v>
      </c>
      <c r="Q7420" s="411">
        <v>9</v>
      </c>
      <c r="R7420" s="405" t="s">
        <v>883</v>
      </c>
      <c r="S7420" s="405" t="s">
        <v>27104</v>
      </c>
      <c r="T7420" s="405" t="s">
        <v>32102</v>
      </c>
      <c r="U7420" s="405" t="s">
        <v>319</v>
      </c>
    </row>
    <row r="7421" spans="1:21" hidden="1" x14ac:dyDescent="0.25">
      <c r="A7421" s="405" t="s">
        <v>310</v>
      </c>
      <c r="B7421" s="405" t="s">
        <v>20603</v>
      </c>
      <c r="C7421" s="405" t="s">
        <v>327</v>
      </c>
      <c r="D7421" s="405"/>
      <c r="E7421" s="410">
        <v>41087</v>
      </c>
      <c r="F7421" s="410">
        <v>41132</v>
      </c>
      <c r="G7421" s="405" t="s">
        <v>20604</v>
      </c>
      <c r="H7421" s="405">
        <v>774027151</v>
      </c>
      <c r="I7421" s="405">
        <v>700791883</v>
      </c>
      <c r="J7421" s="405">
        <v>0.61477400000000004</v>
      </c>
      <c r="K7421" s="405">
        <v>30.651630999999998</v>
      </c>
      <c r="L7421" s="405" t="s">
        <v>590</v>
      </c>
      <c r="M7421" s="405" t="s">
        <v>20426</v>
      </c>
      <c r="N7421" s="405" t="s">
        <v>20426</v>
      </c>
      <c r="O7421" s="405" t="s">
        <v>20605</v>
      </c>
      <c r="P7421" s="405" t="s">
        <v>20606</v>
      </c>
      <c r="Q7421" s="411">
        <v>6</v>
      </c>
      <c r="R7421" s="405" t="s">
        <v>333</v>
      </c>
      <c r="S7421" s="405" t="s">
        <v>27183</v>
      </c>
      <c r="T7421" s="405" t="s">
        <v>32102</v>
      </c>
      <c r="U7421" s="405" t="s">
        <v>319</v>
      </c>
    </row>
    <row r="7422" spans="1:21" hidden="1" x14ac:dyDescent="0.25">
      <c r="A7422" s="405" t="s">
        <v>310</v>
      </c>
      <c r="B7422" s="405" t="s">
        <v>27804</v>
      </c>
      <c r="C7422" s="405" t="s">
        <v>311</v>
      </c>
      <c r="D7422" s="405" t="s">
        <v>839</v>
      </c>
      <c r="E7422" s="410">
        <v>41087</v>
      </c>
      <c r="F7422" s="410">
        <v>41132</v>
      </c>
      <c r="G7422" s="405" t="s">
        <v>20818</v>
      </c>
      <c r="H7422" s="405">
        <v>701009758</v>
      </c>
      <c r="I7422" s="405"/>
      <c r="J7422" s="405">
        <v>-0.71370599999999995</v>
      </c>
      <c r="K7422" s="405">
        <v>30.737835</v>
      </c>
      <c r="L7422" s="405" t="s">
        <v>590</v>
      </c>
      <c r="M7422" s="405" t="s">
        <v>879</v>
      </c>
      <c r="N7422" s="405" t="s">
        <v>880</v>
      </c>
      <c r="O7422" s="405" t="s">
        <v>881</v>
      </c>
      <c r="P7422" s="405" t="s">
        <v>892</v>
      </c>
      <c r="Q7422" s="411">
        <v>6</v>
      </c>
      <c r="R7422" s="405" t="s">
        <v>333</v>
      </c>
      <c r="S7422" s="405" t="s">
        <v>27097</v>
      </c>
      <c r="T7422" s="405" t="s">
        <v>32102</v>
      </c>
      <c r="U7422" s="405" t="s">
        <v>319</v>
      </c>
    </row>
    <row r="7423" spans="1:21" hidden="1" x14ac:dyDescent="0.25">
      <c r="A7423" s="405" t="s">
        <v>310</v>
      </c>
      <c r="B7423" s="405" t="s">
        <v>18366</v>
      </c>
      <c r="C7423" s="405" t="s">
        <v>327</v>
      </c>
      <c r="D7423" s="405"/>
      <c r="E7423" s="410">
        <v>41086</v>
      </c>
      <c r="F7423" s="410">
        <v>41131</v>
      </c>
      <c r="G7423" s="405" t="s">
        <v>18367</v>
      </c>
      <c r="H7423" s="405">
        <v>774288555</v>
      </c>
      <c r="I7423" s="405"/>
      <c r="J7423" s="405">
        <v>2.1956190000000002</v>
      </c>
      <c r="K7423" s="405">
        <v>32.472982999999999</v>
      </c>
      <c r="L7423" s="405" t="s">
        <v>860</v>
      </c>
      <c r="M7423" s="405" t="s">
        <v>18368</v>
      </c>
      <c r="N7423" s="405" t="s">
        <v>18369</v>
      </c>
      <c r="O7423" s="405" t="s">
        <v>18370</v>
      </c>
      <c r="P7423" s="405" t="s">
        <v>18371</v>
      </c>
      <c r="Q7423" s="411">
        <v>13</v>
      </c>
      <c r="R7423" s="405" t="s">
        <v>994</v>
      </c>
      <c r="S7423" s="405" t="s">
        <v>27162</v>
      </c>
      <c r="T7423" s="405" t="s">
        <v>32102</v>
      </c>
      <c r="U7423" s="405" t="s">
        <v>319</v>
      </c>
    </row>
    <row r="7424" spans="1:21" hidden="1" x14ac:dyDescent="0.25">
      <c r="A7424" s="405" t="s">
        <v>310</v>
      </c>
      <c r="B7424" s="405" t="s">
        <v>2613</v>
      </c>
      <c r="C7424" s="405" t="s">
        <v>327</v>
      </c>
      <c r="D7424" s="405"/>
      <c r="E7424" s="410">
        <v>41085</v>
      </c>
      <c r="F7424" s="410">
        <v>41130</v>
      </c>
      <c r="G7424" s="405" t="s">
        <v>2614</v>
      </c>
      <c r="H7424" s="405">
        <v>782853190</v>
      </c>
      <c r="I7424" s="405">
        <v>772455373</v>
      </c>
      <c r="J7424" s="405">
        <v>0.266955</v>
      </c>
      <c r="K7424" s="405">
        <v>32.37538</v>
      </c>
      <c r="L7424" s="405" t="s">
        <v>314</v>
      </c>
      <c r="M7424" s="405" t="s">
        <v>321</v>
      </c>
      <c r="N7424" s="405" t="s">
        <v>2472</v>
      </c>
      <c r="O7424" s="405" t="s">
        <v>519</v>
      </c>
      <c r="P7424" s="405" t="s">
        <v>2240</v>
      </c>
      <c r="Q7424" s="411">
        <v>9</v>
      </c>
      <c r="R7424" s="405" t="s">
        <v>318</v>
      </c>
      <c r="S7424" s="405" t="s">
        <v>27135</v>
      </c>
      <c r="T7424" s="405" t="s">
        <v>32102</v>
      </c>
      <c r="U7424" s="405" t="s">
        <v>319</v>
      </c>
    </row>
    <row r="7425" spans="1:21" hidden="1" x14ac:dyDescent="0.25">
      <c r="A7425" s="405" t="s">
        <v>310</v>
      </c>
      <c r="B7425" s="405" t="s">
        <v>2671</v>
      </c>
      <c r="C7425" s="405" t="s">
        <v>327</v>
      </c>
      <c r="D7425" s="405"/>
      <c r="E7425" s="410">
        <v>41085</v>
      </c>
      <c r="F7425" s="410">
        <v>41130</v>
      </c>
      <c r="G7425" s="405" t="s">
        <v>2672</v>
      </c>
      <c r="H7425" s="405">
        <v>775744292</v>
      </c>
      <c r="I7425" s="405"/>
      <c r="J7425" s="405">
        <v>0.35046699999999997</v>
      </c>
      <c r="K7425" s="405">
        <v>32.137245</v>
      </c>
      <c r="L7425" s="405" t="s">
        <v>314</v>
      </c>
      <c r="M7425" s="405" t="s">
        <v>675</v>
      </c>
      <c r="N7425" s="405" t="s">
        <v>676</v>
      </c>
      <c r="O7425" s="405" t="s">
        <v>2342</v>
      </c>
      <c r="P7425" s="405" t="s">
        <v>2673</v>
      </c>
      <c r="Q7425" s="411">
        <v>6</v>
      </c>
      <c r="R7425" s="405" t="s">
        <v>1263</v>
      </c>
      <c r="S7425" s="405" t="s">
        <v>27169</v>
      </c>
      <c r="T7425" s="405" t="s">
        <v>32102</v>
      </c>
      <c r="U7425" s="405" t="s">
        <v>319</v>
      </c>
    </row>
    <row r="7426" spans="1:21" hidden="1" x14ac:dyDescent="0.25">
      <c r="A7426" s="405" t="s">
        <v>310</v>
      </c>
      <c r="B7426" s="405" t="s">
        <v>20596</v>
      </c>
      <c r="C7426" s="405" t="s">
        <v>327</v>
      </c>
      <c r="D7426" s="405"/>
      <c r="E7426" s="410">
        <v>41084</v>
      </c>
      <c r="F7426" s="410">
        <v>41129</v>
      </c>
      <c r="G7426" s="405" t="s">
        <v>20597</v>
      </c>
      <c r="H7426" s="405">
        <v>700626412</v>
      </c>
      <c r="I7426" s="405"/>
      <c r="J7426" s="405">
        <v>-0.70071899999999998</v>
      </c>
      <c r="K7426" s="405">
        <v>30.763083999999999</v>
      </c>
      <c r="L7426" s="405" t="s">
        <v>590</v>
      </c>
      <c r="M7426" s="405" t="s">
        <v>879</v>
      </c>
      <c r="N7426" s="405" t="s">
        <v>20598</v>
      </c>
      <c r="O7426" s="405" t="s">
        <v>881</v>
      </c>
      <c r="P7426" s="405" t="s">
        <v>20531</v>
      </c>
      <c r="Q7426" s="411">
        <v>6</v>
      </c>
      <c r="R7426" s="405" t="s">
        <v>333</v>
      </c>
      <c r="S7426" s="405" t="s">
        <v>27097</v>
      </c>
      <c r="T7426" s="405" t="s">
        <v>32102</v>
      </c>
      <c r="U7426" s="405" t="s">
        <v>319</v>
      </c>
    </row>
    <row r="7427" spans="1:21" hidden="1" x14ac:dyDescent="0.25">
      <c r="A7427" s="405" t="s">
        <v>310</v>
      </c>
      <c r="B7427" s="405" t="s">
        <v>3187</v>
      </c>
      <c r="C7427" s="405" t="s">
        <v>311</v>
      </c>
      <c r="D7427" s="405" t="s">
        <v>839</v>
      </c>
      <c r="E7427" s="410">
        <v>41083</v>
      </c>
      <c r="F7427" s="410">
        <v>41128</v>
      </c>
      <c r="G7427" s="405" t="s">
        <v>3188</v>
      </c>
      <c r="H7427" s="405">
        <v>759640181</v>
      </c>
      <c r="I7427" s="405"/>
      <c r="J7427" s="405">
        <v>0.52245900000000001</v>
      </c>
      <c r="K7427" s="405">
        <v>33.080835</v>
      </c>
      <c r="L7427" s="405" t="s">
        <v>314</v>
      </c>
      <c r="M7427" s="405" t="s">
        <v>502</v>
      </c>
      <c r="N7427" s="405" t="s">
        <v>503</v>
      </c>
      <c r="O7427" s="405" t="s">
        <v>2179</v>
      </c>
      <c r="P7427" s="405" t="s">
        <v>3189</v>
      </c>
      <c r="Q7427" s="411">
        <v>6</v>
      </c>
      <c r="R7427" s="405" t="s">
        <v>402</v>
      </c>
      <c r="S7427" s="405" t="s">
        <v>27139</v>
      </c>
      <c r="T7427" s="405" t="s">
        <v>32102</v>
      </c>
      <c r="U7427" s="405" t="s">
        <v>319</v>
      </c>
    </row>
    <row r="7428" spans="1:21" hidden="1" x14ac:dyDescent="0.25">
      <c r="A7428" s="405" t="s">
        <v>310</v>
      </c>
      <c r="B7428" s="405" t="s">
        <v>20568</v>
      </c>
      <c r="C7428" s="405" t="s">
        <v>327</v>
      </c>
      <c r="D7428" s="405"/>
      <c r="E7428" s="410">
        <v>41082</v>
      </c>
      <c r="F7428" s="410">
        <v>41127</v>
      </c>
      <c r="G7428" s="405" t="s">
        <v>20569</v>
      </c>
      <c r="H7428" s="405">
        <v>772555106</v>
      </c>
      <c r="I7428" s="405"/>
      <c r="J7428" s="405">
        <v>-0.69392100000000001</v>
      </c>
      <c r="K7428" s="405">
        <v>30.202746999999999</v>
      </c>
      <c r="L7428" s="405" t="s">
        <v>590</v>
      </c>
      <c r="M7428" s="405" t="s">
        <v>19725</v>
      </c>
      <c r="N7428" s="405" t="s">
        <v>19725</v>
      </c>
      <c r="O7428" s="405" t="s">
        <v>1310</v>
      </c>
      <c r="P7428" s="405" t="s">
        <v>20570</v>
      </c>
      <c r="Q7428" s="411">
        <v>9</v>
      </c>
      <c r="R7428" s="405" t="s">
        <v>333</v>
      </c>
      <c r="S7428" s="405" t="s">
        <v>27183</v>
      </c>
      <c r="T7428" s="405" t="s">
        <v>32102</v>
      </c>
      <c r="U7428" s="405" t="s">
        <v>319</v>
      </c>
    </row>
    <row r="7429" spans="1:21" hidden="1" x14ac:dyDescent="0.25">
      <c r="A7429" s="405" t="s">
        <v>310</v>
      </c>
      <c r="B7429" s="405" t="s">
        <v>28820</v>
      </c>
      <c r="C7429" s="405" t="s">
        <v>327</v>
      </c>
      <c r="D7429" s="405"/>
      <c r="E7429" s="410">
        <v>41082</v>
      </c>
      <c r="F7429" s="410">
        <v>41127</v>
      </c>
      <c r="G7429" s="405" t="s">
        <v>20574</v>
      </c>
      <c r="H7429" s="405">
        <v>772430815</v>
      </c>
      <c r="I7429" s="405"/>
      <c r="J7429" s="405">
        <v>-0.63180700000000001</v>
      </c>
      <c r="K7429" s="405">
        <v>30.535022000000001</v>
      </c>
      <c r="L7429" s="405" t="s">
        <v>590</v>
      </c>
      <c r="M7429" s="405" t="s">
        <v>19614</v>
      </c>
      <c r="N7429" s="405" t="s">
        <v>19614</v>
      </c>
      <c r="O7429" s="405" t="s">
        <v>19914</v>
      </c>
      <c r="P7429" s="405" t="s">
        <v>20572</v>
      </c>
      <c r="Q7429" s="411">
        <v>9</v>
      </c>
      <c r="R7429" s="405" t="s">
        <v>333</v>
      </c>
      <c r="S7429" s="405" t="s">
        <v>27394</v>
      </c>
      <c r="T7429" s="405" t="s">
        <v>32102</v>
      </c>
      <c r="U7429" s="405" t="s">
        <v>319</v>
      </c>
    </row>
    <row r="7430" spans="1:21" hidden="1" x14ac:dyDescent="0.25">
      <c r="A7430" s="405" t="s">
        <v>310</v>
      </c>
      <c r="B7430" s="405" t="s">
        <v>20576</v>
      </c>
      <c r="C7430" s="405" t="s">
        <v>327</v>
      </c>
      <c r="D7430" s="405"/>
      <c r="E7430" s="410">
        <v>41082</v>
      </c>
      <c r="F7430" s="410">
        <v>41127</v>
      </c>
      <c r="G7430" s="405" t="s">
        <v>20577</v>
      </c>
      <c r="H7430" s="405">
        <v>772608580</v>
      </c>
      <c r="I7430" s="405"/>
      <c r="J7430" s="405">
        <v>-0.576179</v>
      </c>
      <c r="K7430" s="405">
        <v>30.562058</v>
      </c>
      <c r="L7430" s="405" t="s">
        <v>590</v>
      </c>
      <c r="M7430" s="405" t="s">
        <v>19614</v>
      </c>
      <c r="N7430" s="405" t="s">
        <v>19615</v>
      </c>
      <c r="O7430" s="405" t="s">
        <v>20154</v>
      </c>
      <c r="P7430" s="405" t="s">
        <v>7093</v>
      </c>
      <c r="Q7430" s="411">
        <v>6</v>
      </c>
      <c r="R7430" s="405" t="s">
        <v>333</v>
      </c>
      <c r="S7430" s="405" t="s">
        <v>27393</v>
      </c>
      <c r="T7430" s="405" t="s">
        <v>32102</v>
      </c>
      <c r="U7430" s="405" t="s">
        <v>319</v>
      </c>
    </row>
    <row r="7431" spans="1:21" hidden="1" x14ac:dyDescent="0.25">
      <c r="A7431" s="405" t="s">
        <v>310</v>
      </c>
      <c r="B7431" s="405" t="s">
        <v>20799</v>
      </c>
      <c r="C7431" s="405" t="s">
        <v>311</v>
      </c>
      <c r="D7431" s="405" t="s">
        <v>1111</v>
      </c>
      <c r="E7431" s="410">
        <v>41082</v>
      </c>
      <c r="F7431" s="410">
        <v>41127</v>
      </c>
      <c r="G7431" s="405" t="s">
        <v>20800</v>
      </c>
      <c r="H7431" s="405">
        <v>704573684</v>
      </c>
      <c r="I7431" s="405">
        <v>703739120</v>
      </c>
      <c r="J7431" s="405">
        <v>-0.57445900000000005</v>
      </c>
      <c r="K7431" s="405">
        <v>30.544070000000001</v>
      </c>
      <c r="L7431" s="405" t="s">
        <v>590</v>
      </c>
      <c r="M7431" s="405" t="s">
        <v>19614</v>
      </c>
      <c r="N7431" s="405" t="s">
        <v>19615</v>
      </c>
      <c r="O7431" s="405" t="s">
        <v>20154</v>
      </c>
      <c r="P7431" s="405" t="s">
        <v>7093</v>
      </c>
      <c r="Q7431" s="411">
        <v>6</v>
      </c>
      <c r="R7431" s="405" t="s">
        <v>333</v>
      </c>
      <c r="S7431" s="405" t="s">
        <v>27138</v>
      </c>
      <c r="T7431" s="405" t="s">
        <v>32102</v>
      </c>
      <c r="U7431" s="405" t="s">
        <v>319</v>
      </c>
    </row>
    <row r="7432" spans="1:21" hidden="1" x14ac:dyDescent="0.25">
      <c r="A7432" s="405" t="s">
        <v>310</v>
      </c>
      <c r="B7432" s="405" t="s">
        <v>27669</v>
      </c>
      <c r="C7432" s="405" t="s">
        <v>327</v>
      </c>
      <c r="D7432" s="405"/>
      <c r="E7432" s="410">
        <v>41082</v>
      </c>
      <c r="F7432" s="410">
        <v>41127</v>
      </c>
      <c r="G7432" s="405" t="s">
        <v>20571</v>
      </c>
      <c r="H7432" s="405">
        <v>772669224</v>
      </c>
      <c r="I7432" s="405"/>
      <c r="J7432" s="405">
        <v>-0.646814</v>
      </c>
      <c r="K7432" s="405">
        <v>30.530362</v>
      </c>
      <c r="L7432" s="405" t="s">
        <v>590</v>
      </c>
      <c r="M7432" s="405" t="s">
        <v>19614</v>
      </c>
      <c r="N7432" s="405" t="s">
        <v>19873</v>
      </c>
      <c r="O7432" s="405" t="s">
        <v>19914</v>
      </c>
      <c r="P7432" s="405" t="s">
        <v>20572</v>
      </c>
      <c r="Q7432" s="411">
        <v>6</v>
      </c>
      <c r="R7432" s="405" t="s">
        <v>333</v>
      </c>
      <c r="S7432" s="405" t="s">
        <v>27173</v>
      </c>
      <c r="T7432" s="405" t="s">
        <v>32102</v>
      </c>
      <c r="U7432" s="405" t="s">
        <v>319</v>
      </c>
    </row>
    <row r="7433" spans="1:21" hidden="1" x14ac:dyDescent="0.25">
      <c r="A7433" s="405" t="s">
        <v>310</v>
      </c>
      <c r="B7433" s="405" t="s">
        <v>20578</v>
      </c>
      <c r="C7433" s="405" t="s">
        <v>327</v>
      </c>
      <c r="D7433" s="405"/>
      <c r="E7433" s="410">
        <v>41082</v>
      </c>
      <c r="F7433" s="410">
        <v>41127</v>
      </c>
      <c r="G7433" s="405" t="s">
        <v>20579</v>
      </c>
      <c r="H7433" s="405">
        <v>779924208</v>
      </c>
      <c r="I7433" s="405"/>
      <c r="J7433" s="405">
        <v>-0.59081700000000004</v>
      </c>
      <c r="K7433" s="405">
        <v>30.160890999999999</v>
      </c>
      <c r="L7433" s="405" t="s">
        <v>590</v>
      </c>
      <c r="M7433" s="405" t="s">
        <v>19625</v>
      </c>
      <c r="N7433" s="405" t="s">
        <v>19626</v>
      </c>
      <c r="O7433" s="405" t="s">
        <v>13002</v>
      </c>
      <c r="P7433" s="405" t="s">
        <v>20580</v>
      </c>
      <c r="Q7433" s="411">
        <v>6</v>
      </c>
      <c r="R7433" s="405" t="s">
        <v>874</v>
      </c>
      <c r="S7433" s="405" t="s">
        <v>27401</v>
      </c>
      <c r="T7433" s="405" t="s">
        <v>32102</v>
      </c>
      <c r="U7433" s="405" t="s">
        <v>319</v>
      </c>
    </row>
    <row r="7434" spans="1:21" hidden="1" x14ac:dyDescent="0.25">
      <c r="A7434" s="405" t="s">
        <v>310</v>
      </c>
      <c r="B7434" s="405" t="s">
        <v>29132</v>
      </c>
      <c r="C7434" s="405" t="s">
        <v>327</v>
      </c>
      <c r="D7434" s="405"/>
      <c r="E7434" s="410">
        <v>41082</v>
      </c>
      <c r="F7434" s="410">
        <v>41127</v>
      </c>
      <c r="G7434" s="405" t="s">
        <v>20573</v>
      </c>
      <c r="H7434" s="405">
        <v>774307087</v>
      </c>
      <c r="I7434" s="405"/>
      <c r="J7434" s="405">
        <v>-0.63100299999999998</v>
      </c>
      <c r="K7434" s="405">
        <v>30.535533000000001</v>
      </c>
      <c r="L7434" s="405" t="s">
        <v>590</v>
      </c>
      <c r="M7434" s="405" t="s">
        <v>19614</v>
      </c>
      <c r="N7434" s="405" t="s">
        <v>19873</v>
      </c>
      <c r="O7434" s="405" t="s">
        <v>20138</v>
      </c>
      <c r="P7434" s="405" t="s">
        <v>20572</v>
      </c>
      <c r="Q7434" s="411">
        <v>6</v>
      </c>
      <c r="R7434" s="405" t="s">
        <v>333</v>
      </c>
      <c r="S7434" s="405" t="s">
        <v>27160</v>
      </c>
      <c r="T7434" s="405" t="s">
        <v>32102</v>
      </c>
      <c r="U7434" s="405" t="s">
        <v>319</v>
      </c>
    </row>
    <row r="7435" spans="1:21" hidden="1" x14ac:dyDescent="0.25">
      <c r="A7435" s="405" t="s">
        <v>310</v>
      </c>
      <c r="B7435" s="405" t="s">
        <v>20593</v>
      </c>
      <c r="C7435" s="405" t="s">
        <v>327</v>
      </c>
      <c r="D7435" s="405"/>
      <c r="E7435" s="410">
        <v>41081</v>
      </c>
      <c r="F7435" s="410">
        <v>41126</v>
      </c>
      <c r="G7435" s="405" t="s">
        <v>20594</v>
      </c>
      <c r="H7435" s="405">
        <v>772502306</v>
      </c>
      <c r="I7435" s="405">
        <v>751034737</v>
      </c>
      <c r="J7435" s="405">
        <v>-0.79251099999999997</v>
      </c>
      <c r="K7435" s="405">
        <v>30.463781000000001</v>
      </c>
      <c r="L7435" s="405" t="s">
        <v>590</v>
      </c>
      <c r="M7435" s="405" t="s">
        <v>19614</v>
      </c>
      <c r="N7435" s="405" t="s">
        <v>19654</v>
      </c>
      <c r="O7435" s="405" t="s">
        <v>19995</v>
      </c>
      <c r="P7435" s="405" t="s">
        <v>20595</v>
      </c>
      <c r="Q7435" s="411">
        <v>6</v>
      </c>
      <c r="R7435" s="405" t="s">
        <v>333</v>
      </c>
      <c r="S7435" s="405" t="s">
        <v>27220</v>
      </c>
      <c r="T7435" s="405" t="s">
        <v>32102</v>
      </c>
      <c r="U7435" s="405" t="s">
        <v>319</v>
      </c>
    </row>
    <row r="7436" spans="1:21" hidden="1" x14ac:dyDescent="0.25">
      <c r="A7436" s="405" t="s">
        <v>310</v>
      </c>
      <c r="B7436" s="405" t="s">
        <v>28028</v>
      </c>
      <c r="C7436" s="405" t="s">
        <v>311</v>
      </c>
      <c r="D7436" s="405" t="s">
        <v>1789</v>
      </c>
      <c r="E7436" s="410">
        <v>41081</v>
      </c>
      <c r="F7436" s="410">
        <v>41126</v>
      </c>
      <c r="G7436" s="405" t="s">
        <v>11923</v>
      </c>
      <c r="H7436" s="405">
        <v>772192235</v>
      </c>
      <c r="I7436" s="405"/>
      <c r="J7436" s="405">
        <v>1.0998619999999999</v>
      </c>
      <c r="K7436" s="405">
        <v>34.204883000000002</v>
      </c>
      <c r="L7436" s="405" t="s">
        <v>6866</v>
      </c>
      <c r="M7436" s="405" t="s">
        <v>9514</v>
      </c>
      <c r="N7436" s="405" t="s">
        <v>9529</v>
      </c>
      <c r="O7436" s="405" t="s">
        <v>9530</v>
      </c>
      <c r="P7436" s="405" t="s">
        <v>11924</v>
      </c>
      <c r="Q7436" s="411">
        <v>6</v>
      </c>
      <c r="R7436" s="405" t="s">
        <v>9541</v>
      </c>
      <c r="S7436" s="405" t="s">
        <v>27315</v>
      </c>
      <c r="T7436" s="405" t="s">
        <v>32102</v>
      </c>
      <c r="U7436" s="405" t="s">
        <v>319</v>
      </c>
    </row>
    <row r="7437" spans="1:21" hidden="1" x14ac:dyDescent="0.25">
      <c r="A7437" s="405" t="s">
        <v>310</v>
      </c>
      <c r="B7437" s="405" t="s">
        <v>20599</v>
      </c>
      <c r="C7437" s="405" t="s">
        <v>327</v>
      </c>
      <c r="D7437" s="405"/>
      <c r="E7437" s="410">
        <v>41080</v>
      </c>
      <c r="F7437" s="410">
        <v>41125</v>
      </c>
      <c r="G7437" s="405" t="s">
        <v>20600</v>
      </c>
      <c r="H7437" s="405">
        <v>772311989</v>
      </c>
      <c r="I7437" s="405"/>
      <c r="J7437" s="405">
        <v>-0.602441</v>
      </c>
      <c r="K7437" s="405">
        <v>30.005002000000001</v>
      </c>
      <c r="L7437" s="405" t="s">
        <v>590</v>
      </c>
      <c r="M7437" s="405" t="s">
        <v>20032</v>
      </c>
      <c r="N7437" s="405" t="s">
        <v>20033</v>
      </c>
      <c r="O7437" s="405" t="s">
        <v>20601</v>
      </c>
      <c r="P7437" s="405" t="s">
        <v>20602</v>
      </c>
      <c r="Q7437" s="411">
        <v>9</v>
      </c>
      <c r="R7437" s="405" t="s">
        <v>333</v>
      </c>
      <c r="S7437" s="405" t="s">
        <v>27399</v>
      </c>
      <c r="T7437" s="405" t="s">
        <v>32102</v>
      </c>
      <c r="U7437" s="405" t="s">
        <v>319</v>
      </c>
    </row>
    <row r="7438" spans="1:21" hidden="1" x14ac:dyDescent="0.25">
      <c r="A7438" s="405" t="s">
        <v>310</v>
      </c>
      <c r="B7438" s="405" t="s">
        <v>11543</v>
      </c>
      <c r="C7438" s="405" t="s">
        <v>327</v>
      </c>
      <c r="D7438" s="405"/>
      <c r="E7438" s="410">
        <v>41080</v>
      </c>
      <c r="F7438" s="410">
        <v>41125</v>
      </c>
      <c r="G7438" s="405" t="s">
        <v>11544</v>
      </c>
      <c r="H7438" s="405">
        <v>700175861</v>
      </c>
      <c r="I7438" s="405"/>
      <c r="J7438" s="405">
        <v>1.391626</v>
      </c>
      <c r="K7438" s="405">
        <v>34.403309</v>
      </c>
      <c r="L7438" s="405" t="s">
        <v>6866</v>
      </c>
      <c r="M7438" s="405" t="s">
        <v>9685</v>
      </c>
      <c r="N7438" s="405" t="s">
        <v>9880</v>
      </c>
      <c r="O7438" s="405" t="s">
        <v>11545</v>
      </c>
      <c r="P7438" s="405" t="s">
        <v>10982</v>
      </c>
      <c r="Q7438" s="411">
        <v>6</v>
      </c>
      <c r="R7438" s="405" t="s">
        <v>10303</v>
      </c>
      <c r="S7438" s="405" t="s">
        <v>27169</v>
      </c>
      <c r="T7438" s="405" t="s">
        <v>32102</v>
      </c>
      <c r="U7438" s="405" t="s">
        <v>319</v>
      </c>
    </row>
    <row r="7439" spans="1:21" hidden="1" x14ac:dyDescent="0.25">
      <c r="A7439" s="405" t="s">
        <v>310</v>
      </c>
      <c r="B7439" s="405" t="s">
        <v>28492</v>
      </c>
      <c r="C7439" s="405" t="s">
        <v>327</v>
      </c>
      <c r="D7439" s="405"/>
      <c r="E7439" s="410">
        <v>41080</v>
      </c>
      <c r="F7439" s="410">
        <v>41125</v>
      </c>
      <c r="G7439" s="405" t="s">
        <v>11488</v>
      </c>
      <c r="H7439" s="405">
        <v>774986697</v>
      </c>
      <c r="I7439" s="405">
        <v>775078003</v>
      </c>
      <c r="J7439" s="405">
        <v>1.0877969999999999</v>
      </c>
      <c r="K7439" s="405">
        <v>34.196565</v>
      </c>
      <c r="L7439" s="405" t="s">
        <v>6866</v>
      </c>
      <c r="M7439" s="405" t="s">
        <v>9514</v>
      </c>
      <c r="N7439" s="405" t="s">
        <v>9529</v>
      </c>
      <c r="O7439" s="405" t="s">
        <v>9530</v>
      </c>
      <c r="P7439" s="405" t="s">
        <v>11489</v>
      </c>
      <c r="Q7439" s="411">
        <v>6</v>
      </c>
      <c r="R7439" s="405" t="s">
        <v>9541</v>
      </c>
      <c r="S7439" s="405" t="s">
        <v>27339</v>
      </c>
      <c r="T7439" s="405" t="s">
        <v>32102</v>
      </c>
      <c r="U7439" s="405" t="s">
        <v>319</v>
      </c>
    </row>
    <row r="7440" spans="1:21" hidden="1" x14ac:dyDescent="0.25">
      <c r="A7440" s="405" t="s">
        <v>310</v>
      </c>
      <c r="B7440" s="405" t="s">
        <v>18351</v>
      </c>
      <c r="C7440" s="405" t="s">
        <v>327</v>
      </c>
      <c r="D7440" s="405"/>
      <c r="E7440" s="410">
        <v>41080</v>
      </c>
      <c r="F7440" s="410">
        <v>41125</v>
      </c>
      <c r="G7440" s="405" t="s">
        <v>18352</v>
      </c>
      <c r="H7440" s="405">
        <v>782510747</v>
      </c>
      <c r="I7440" s="405">
        <v>779705380</v>
      </c>
      <c r="J7440" s="405">
        <v>2.8142200000000002</v>
      </c>
      <c r="K7440" s="405">
        <v>32.343788000000004</v>
      </c>
      <c r="L7440" s="405" t="s">
        <v>860</v>
      </c>
      <c r="M7440" s="405" t="s">
        <v>853</v>
      </c>
      <c r="N7440" s="405" t="s">
        <v>18335</v>
      </c>
      <c r="O7440" s="405" t="s">
        <v>18336</v>
      </c>
      <c r="P7440" s="405" t="s">
        <v>18353</v>
      </c>
      <c r="Q7440" s="411">
        <v>6</v>
      </c>
      <c r="R7440" s="405" t="s">
        <v>994</v>
      </c>
      <c r="S7440" s="405" t="s">
        <v>27079</v>
      </c>
      <c r="T7440" s="405" t="s">
        <v>32102</v>
      </c>
      <c r="U7440" s="405" t="s">
        <v>319</v>
      </c>
    </row>
    <row r="7441" spans="1:21" hidden="1" x14ac:dyDescent="0.25">
      <c r="A7441" s="405" t="s">
        <v>310</v>
      </c>
      <c r="B7441" s="405" t="s">
        <v>2635</v>
      </c>
      <c r="C7441" s="405" t="s">
        <v>327</v>
      </c>
      <c r="D7441" s="405"/>
      <c r="E7441" s="410">
        <v>41079</v>
      </c>
      <c r="F7441" s="410">
        <v>41124</v>
      </c>
      <c r="G7441" s="405" t="s">
        <v>2636</v>
      </c>
      <c r="H7441" s="405">
        <v>703397052</v>
      </c>
      <c r="I7441" s="405"/>
      <c r="J7441" s="405">
        <v>-0.14474500000000001</v>
      </c>
      <c r="K7441" s="405">
        <v>31.879797</v>
      </c>
      <c r="L7441" s="405" t="s">
        <v>314</v>
      </c>
      <c r="M7441" s="405" t="s">
        <v>900</v>
      </c>
      <c r="N7441" s="405" t="s">
        <v>1119</v>
      </c>
      <c r="O7441" s="405" t="s">
        <v>2637</v>
      </c>
      <c r="P7441" s="405" t="s">
        <v>2638</v>
      </c>
      <c r="Q7441" s="411">
        <v>9</v>
      </c>
      <c r="R7441" s="405" t="s">
        <v>402</v>
      </c>
      <c r="S7441" s="405" t="s">
        <v>27181</v>
      </c>
      <c r="T7441" s="405" t="s">
        <v>32102</v>
      </c>
      <c r="U7441" s="405" t="s">
        <v>319</v>
      </c>
    </row>
    <row r="7442" spans="1:21" hidden="1" x14ac:dyDescent="0.25">
      <c r="A7442" s="405" t="s">
        <v>310</v>
      </c>
      <c r="B7442" s="405" t="s">
        <v>18637</v>
      </c>
      <c r="C7442" s="405" t="s">
        <v>311</v>
      </c>
      <c r="D7442" s="405" t="s">
        <v>839</v>
      </c>
      <c r="E7442" s="410">
        <v>41079</v>
      </c>
      <c r="F7442" s="410">
        <v>41124</v>
      </c>
      <c r="G7442" s="405" t="s">
        <v>18638</v>
      </c>
      <c r="H7442" s="405">
        <v>788573301</v>
      </c>
      <c r="I7442" s="405">
        <v>712642338</v>
      </c>
      <c r="J7442" s="405">
        <v>2.8578679999999999</v>
      </c>
      <c r="K7442" s="405">
        <v>32.194298000000003</v>
      </c>
      <c r="L7442" s="405" t="s">
        <v>860</v>
      </c>
      <c r="M7442" s="405" t="s">
        <v>15041</v>
      </c>
      <c r="N7442" s="405" t="s">
        <v>18328</v>
      </c>
      <c r="O7442" s="405" t="s">
        <v>18324</v>
      </c>
      <c r="P7442" s="405" t="s">
        <v>18325</v>
      </c>
      <c r="Q7442" s="411">
        <v>6</v>
      </c>
      <c r="R7442" s="405" t="s">
        <v>994</v>
      </c>
      <c r="S7442" s="405" t="s">
        <v>27375</v>
      </c>
      <c r="T7442" s="405" t="s">
        <v>32102</v>
      </c>
      <c r="U7442" s="405" t="s">
        <v>319</v>
      </c>
    </row>
    <row r="7443" spans="1:21" hidden="1" x14ac:dyDescent="0.25">
      <c r="A7443" s="405" t="s">
        <v>310</v>
      </c>
      <c r="B7443" s="405" t="s">
        <v>28407</v>
      </c>
      <c r="C7443" s="405" t="s">
        <v>857</v>
      </c>
      <c r="D7443" s="405" t="s">
        <v>33095</v>
      </c>
      <c r="E7443" s="410">
        <v>41078</v>
      </c>
      <c r="F7443" s="410">
        <v>41123</v>
      </c>
      <c r="G7443" s="405" t="s">
        <v>11518</v>
      </c>
      <c r="H7443" s="405">
        <v>782308816</v>
      </c>
      <c r="I7443" s="405"/>
      <c r="J7443" s="405">
        <v>0.918041</v>
      </c>
      <c r="K7443" s="405">
        <v>34.305435000000003</v>
      </c>
      <c r="L7443" s="405" t="s">
        <v>6866</v>
      </c>
      <c r="M7443" s="405" t="s">
        <v>9763</v>
      </c>
      <c r="N7443" s="405" t="s">
        <v>9764</v>
      </c>
      <c r="O7443" s="405" t="s">
        <v>9792</v>
      </c>
      <c r="P7443" s="405" t="s">
        <v>11519</v>
      </c>
      <c r="Q7443" s="411">
        <v>6</v>
      </c>
      <c r="R7443" s="405" t="s">
        <v>7224</v>
      </c>
      <c r="S7443" s="405" t="s">
        <v>27203</v>
      </c>
      <c r="T7443" s="405" t="s">
        <v>32102</v>
      </c>
      <c r="U7443" s="405" t="s">
        <v>319</v>
      </c>
    </row>
    <row r="7444" spans="1:21" hidden="1" x14ac:dyDescent="0.25">
      <c r="A7444" s="405" t="s">
        <v>310</v>
      </c>
      <c r="B7444" s="405" t="s">
        <v>11523</v>
      </c>
      <c r="C7444" s="405" t="s">
        <v>327</v>
      </c>
      <c r="D7444" s="405"/>
      <c r="E7444" s="410">
        <v>41078</v>
      </c>
      <c r="F7444" s="410">
        <v>41123</v>
      </c>
      <c r="G7444" s="405" t="s">
        <v>11524</v>
      </c>
      <c r="H7444" s="405">
        <v>782560117</v>
      </c>
      <c r="I7444" s="405"/>
      <c r="J7444" s="405">
        <v>1.0058769999999999</v>
      </c>
      <c r="K7444" s="405">
        <v>34.055166999999997</v>
      </c>
      <c r="L7444" s="405" t="s">
        <v>6866</v>
      </c>
      <c r="M7444" s="405" t="s">
        <v>9566</v>
      </c>
      <c r="N7444" s="405" t="s">
        <v>9931</v>
      </c>
      <c r="O7444" s="405" t="s">
        <v>11178</v>
      </c>
      <c r="P7444" s="405" t="s">
        <v>11179</v>
      </c>
      <c r="Q7444" s="411">
        <v>6</v>
      </c>
      <c r="R7444" s="405" t="s">
        <v>7224</v>
      </c>
      <c r="S7444" s="405" t="s">
        <v>27204</v>
      </c>
      <c r="T7444" s="405" t="s">
        <v>32102</v>
      </c>
      <c r="U7444" s="405" t="s">
        <v>319</v>
      </c>
    </row>
    <row r="7445" spans="1:21" hidden="1" x14ac:dyDescent="0.25">
      <c r="A7445" s="405" t="s">
        <v>310</v>
      </c>
      <c r="B7445" s="405" t="s">
        <v>11533</v>
      </c>
      <c r="C7445" s="405" t="s">
        <v>327</v>
      </c>
      <c r="D7445" s="405"/>
      <c r="E7445" s="410">
        <v>41078</v>
      </c>
      <c r="F7445" s="410">
        <v>41123</v>
      </c>
      <c r="G7445" s="405" t="s">
        <v>11534</v>
      </c>
      <c r="H7445" s="405">
        <v>774492635</v>
      </c>
      <c r="I7445" s="405"/>
      <c r="J7445" s="405">
        <v>1.112862</v>
      </c>
      <c r="K7445" s="405">
        <v>33.735467999999997</v>
      </c>
      <c r="L7445" s="405" t="s">
        <v>6866</v>
      </c>
      <c r="M7445" s="405" t="s">
        <v>10152</v>
      </c>
      <c r="N7445" s="405" t="s">
        <v>10152</v>
      </c>
      <c r="O7445" s="405" t="s">
        <v>11535</v>
      </c>
      <c r="P7445" s="405" t="s">
        <v>11536</v>
      </c>
      <c r="Q7445" s="411">
        <v>6</v>
      </c>
      <c r="R7445" s="405" t="s">
        <v>9541</v>
      </c>
      <c r="S7445" s="405" t="s">
        <v>27315</v>
      </c>
      <c r="T7445" s="405" t="s">
        <v>32102</v>
      </c>
      <c r="U7445" s="405" t="s">
        <v>319</v>
      </c>
    </row>
    <row r="7446" spans="1:21" hidden="1" x14ac:dyDescent="0.25">
      <c r="A7446" s="405" t="s">
        <v>310</v>
      </c>
      <c r="B7446" s="405" t="s">
        <v>2615</v>
      </c>
      <c r="C7446" s="405" t="s">
        <v>327</v>
      </c>
      <c r="D7446" s="405"/>
      <c r="E7446" s="410">
        <v>41077</v>
      </c>
      <c r="F7446" s="410">
        <v>41122</v>
      </c>
      <c r="G7446" s="405" t="s">
        <v>2616</v>
      </c>
      <c r="H7446" s="405">
        <v>774321494</v>
      </c>
      <c r="I7446" s="405"/>
      <c r="J7446" s="405">
        <v>0.32755200000000001</v>
      </c>
      <c r="K7446" s="405">
        <v>32.399673</v>
      </c>
      <c r="L7446" s="405" t="s">
        <v>314</v>
      </c>
      <c r="M7446" s="405" t="s">
        <v>321</v>
      </c>
      <c r="N7446" s="405" t="s">
        <v>2472</v>
      </c>
      <c r="O7446" s="405" t="s">
        <v>2473</v>
      </c>
      <c r="P7446" s="405" t="s">
        <v>2617</v>
      </c>
      <c r="Q7446" s="411">
        <v>12</v>
      </c>
      <c r="R7446" s="405" t="s">
        <v>318</v>
      </c>
      <c r="S7446" s="405" t="s">
        <v>27137</v>
      </c>
      <c r="T7446" s="405" t="s">
        <v>32102</v>
      </c>
      <c r="U7446" s="405" t="s">
        <v>319</v>
      </c>
    </row>
    <row r="7447" spans="1:21" hidden="1" x14ac:dyDescent="0.25">
      <c r="A7447" s="405" t="s">
        <v>310</v>
      </c>
      <c r="B7447" s="405" t="s">
        <v>18333</v>
      </c>
      <c r="C7447" s="405" t="s">
        <v>327</v>
      </c>
      <c r="D7447" s="405"/>
      <c r="E7447" s="410">
        <v>41076</v>
      </c>
      <c r="F7447" s="410">
        <v>41121</v>
      </c>
      <c r="G7447" s="405" t="s">
        <v>18334</v>
      </c>
      <c r="H7447" s="405">
        <v>772907056</v>
      </c>
      <c r="I7447" s="405"/>
      <c r="J7447" s="405">
        <v>2.8243369999999999</v>
      </c>
      <c r="K7447" s="405">
        <v>32.355550000000001</v>
      </c>
      <c r="L7447" s="405" t="s">
        <v>860</v>
      </c>
      <c r="M7447" s="405" t="s">
        <v>853</v>
      </c>
      <c r="N7447" s="405" t="s">
        <v>18335</v>
      </c>
      <c r="O7447" s="405" t="s">
        <v>18336</v>
      </c>
      <c r="P7447" s="405" t="s">
        <v>18337</v>
      </c>
      <c r="Q7447" s="411">
        <v>9</v>
      </c>
      <c r="R7447" s="405" t="s">
        <v>994</v>
      </c>
      <c r="S7447" s="405" t="s">
        <v>27036</v>
      </c>
      <c r="T7447" s="405" t="s">
        <v>32102</v>
      </c>
      <c r="U7447" s="405" t="s">
        <v>319</v>
      </c>
    </row>
    <row r="7448" spans="1:21" hidden="1" x14ac:dyDescent="0.25">
      <c r="A7448" s="405" t="s">
        <v>310</v>
      </c>
      <c r="B7448" s="405" t="s">
        <v>86</v>
      </c>
      <c r="C7448" s="405" t="s">
        <v>327</v>
      </c>
      <c r="D7448" s="405"/>
      <c r="E7448" s="410">
        <v>41076</v>
      </c>
      <c r="F7448" s="410">
        <v>41121</v>
      </c>
      <c r="G7448" s="405" t="s">
        <v>2540</v>
      </c>
      <c r="H7448" s="405">
        <v>778483837</v>
      </c>
      <c r="I7448" s="405"/>
      <c r="J7448" s="405">
        <v>0.108033</v>
      </c>
      <c r="K7448" s="405">
        <v>31.988593000000002</v>
      </c>
      <c r="L7448" s="405" t="s">
        <v>314</v>
      </c>
      <c r="M7448" s="405" t="s">
        <v>315</v>
      </c>
      <c r="N7448" s="405" t="s">
        <v>2541</v>
      </c>
      <c r="O7448" s="405" t="s">
        <v>671</v>
      </c>
      <c r="P7448" s="405" t="s">
        <v>2259</v>
      </c>
      <c r="Q7448" s="411">
        <v>6</v>
      </c>
      <c r="R7448" s="405" t="s">
        <v>438</v>
      </c>
      <c r="S7448" s="405" t="s">
        <v>27131</v>
      </c>
      <c r="T7448" s="405" t="s">
        <v>32102</v>
      </c>
      <c r="U7448" s="405" t="s">
        <v>319</v>
      </c>
    </row>
    <row r="7449" spans="1:21" hidden="1" x14ac:dyDescent="0.25">
      <c r="A7449" s="405" t="s">
        <v>310</v>
      </c>
      <c r="B7449" s="405" t="s">
        <v>11437</v>
      </c>
      <c r="C7449" s="405" t="s">
        <v>327</v>
      </c>
      <c r="D7449" s="405"/>
      <c r="E7449" s="410">
        <v>41076</v>
      </c>
      <c r="F7449" s="410">
        <v>41121</v>
      </c>
      <c r="G7449" s="405" t="s">
        <v>11438</v>
      </c>
      <c r="H7449" s="405">
        <v>751036883</v>
      </c>
      <c r="I7449" s="405"/>
      <c r="J7449" s="405">
        <v>1.133688</v>
      </c>
      <c r="K7449" s="405">
        <v>34.194803</v>
      </c>
      <c r="L7449" s="405" t="s">
        <v>6866</v>
      </c>
      <c r="M7449" s="405" t="s">
        <v>9514</v>
      </c>
      <c r="N7449" s="405" t="s">
        <v>9529</v>
      </c>
      <c r="O7449" s="405" t="s">
        <v>9530</v>
      </c>
      <c r="P7449" s="405" t="s">
        <v>9951</v>
      </c>
      <c r="Q7449" s="411">
        <v>6</v>
      </c>
      <c r="R7449" s="405" t="s">
        <v>333</v>
      </c>
      <c r="S7449" s="405" t="s">
        <v>27298</v>
      </c>
      <c r="T7449" s="405" t="s">
        <v>32102</v>
      </c>
      <c r="U7449" s="405" t="s">
        <v>319</v>
      </c>
    </row>
    <row r="7450" spans="1:21" hidden="1" x14ac:dyDescent="0.25">
      <c r="A7450" s="405" t="s">
        <v>310</v>
      </c>
      <c r="B7450" s="405" t="s">
        <v>2560</v>
      </c>
      <c r="C7450" s="405" t="s">
        <v>327</v>
      </c>
      <c r="D7450" s="405"/>
      <c r="E7450" s="410">
        <v>41075</v>
      </c>
      <c r="F7450" s="410">
        <v>41120</v>
      </c>
      <c r="G7450" s="405" t="s">
        <v>2561</v>
      </c>
      <c r="H7450" s="405">
        <v>754180863</v>
      </c>
      <c r="I7450" s="405">
        <v>775963515</v>
      </c>
      <c r="J7450" s="405">
        <v>-0.53314700000000004</v>
      </c>
      <c r="K7450" s="405">
        <v>31.627479999999998</v>
      </c>
      <c r="L7450" s="405" t="s">
        <v>314</v>
      </c>
      <c r="M7450" s="405" t="s">
        <v>398</v>
      </c>
      <c r="N7450" s="405" t="s">
        <v>399</v>
      </c>
      <c r="O7450" s="405" t="s">
        <v>1563</v>
      </c>
      <c r="P7450" s="405" t="s">
        <v>1563</v>
      </c>
      <c r="Q7450" s="411">
        <v>6</v>
      </c>
      <c r="R7450" s="405" t="s">
        <v>402</v>
      </c>
      <c r="S7450" s="405" t="s">
        <v>27121</v>
      </c>
      <c r="T7450" s="405" t="s">
        <v>32102</v>
      </c>
      <c r="U7450" s="405" t="s">
        <v>319</v>
      </c>
    </row>
    <row r="7451" spans="1:21" hidden="1" x14ac:dyDescent="0.25">
      <c r="A7451" s="405" t="s">
        <v>310</v>
      </c>
      <c r="B7451" s="405" t="s">
        <v>11465</v>
      </c>
      <c r="C7451" s="405" t="s">
        <v>327</v>
      </c>
      <c r="D7451" s="405"/>
      <c r="E7451" s="410">
        <v>41075</v>
      </c>
      <c r="F7451" s="410">
        <v>41120</v>
      </c>
      <c r="G7451" s="405" t="s">
        <v>11466</v>
      </c>
      <c r="H7451" s="405">
        <v>779046676</v>
      </c>
      <c r="I7451" s="405"/>
      <c r="J7451" s="405">
        <v>0.65420489999999998</v>
      </c>
      <c r="K7451" s="405">
        <v>33.171511299999999</v>
      </c>
      <c r="L7451" s="405" t="s">
        <v>6866</v>
      </c>
      <c r="M7451" s="405" t="s">
        <v>9590</v>
      </c>
      <c r="N7451" s="405" t="s">
        <v>542</v>
      </c>
      <c r="O7451" s="405" t="s">
        <v>10061</v>
      </c>
      <c r="P7451" s="405" t="s">
        <v>11467</v>
      </c>
      <c r="Q7451" s="411">
        <v>6</v>
      </c>
      <c r="R7451" s="405" t="s">
        <v>318</v>
      </c>
      <c r="S7451" s="405" t="s">
        <v>414</v>
      </c>
      <c r="T7451" s="405" t="s">
        <v>32102</v>
      </c>
      <c r="U7451" s="405" t="s">
        <v>319</v>
      </c>
    </row>
    <row r="7452" spans="1:21" hidden="1" x14ac:dyDescent="0.25">
      <c r="A7452" s="405" t="s">
        <v>310</v>
      </c>
      <c r="B7452" s="405" t="s">
        <v>28743</v>
      </c>
      <c r="C7452" s="405" t="s">
        <v>327</v>
      </c>
      <c r="D7452" s="405"/>
      <c r="E7452" s="410">
        <v>41075</v>
      </c>
      <c r="F7452" s="410">
        <v>41120</v>
      </c>
      <c r="G7452" s="405" t="s">
        <v>11477</v>
      </c>
      <c r="H7452" s="405">
        <v>772441905</v>
      </c>
      <c r="I7452" s="405"/>
      <c r="J7452" s="405">
        <v>0.63569699999999996</v>
      </c>
      <c r="K7452" s="405">
        <v>34.049692</v>
      </c>
      <c r="L7452" s="405" t="s">
        <v>6866</v>
      </c>
      <c r="M7452" s="405" t="s">
        <v>9534</v>
      </c>
      <c r="N7452" s="405" t="s">
        <v>10113</v>
      </c>
      <c r="O7452" s="405" t="s">
        <v>11478</v>
      </c>
      <c r="P7452" s="405" t="s">
        <v>11479</v>
      </c>
      <c r="Q7452" s="411">
        <v>6</v>
      </c>
      <c r="R7452" s="405" t="s">
        <v>7224</v>
      </c>
      <c r="S7452" s="405" t="s">
        <v>27309</v>
      </c>
      <c r="T7452" s="405" t="s">
        <v>32102</v>
      </c>
      <c r="U7452" s="405" t="s">
        <v>319</v>
      </c>
    </row>
    <row r="7453" spans="1:21" hidden="1" x14ac:dyDescent="0.25">
      <c r="A7453" s="405" t="s">
        <v>310</v>
      </c>
      <c r="B7453" s="405" t="s">
        <v>11431</v>
      </c>
      <c r="C7453" s="405" t="s">
        <v>327</v>
      </c>
      <c r="D7453" s="405"/>
      <c r="E7453" s="410">
        <v>41075</v>
      </c>
      <c r="F7453" s="410">
        <v>41120</v>
      </c>
      <c r="G7453" s="405" t="s">
        <v>11432</v>
      </c>
      <c r="H7453" s="405">
        <v>752191455</v>
      </c>
      <c r="I7453" s="405"/>
      <c r="J7453" s="405">
        <v>1.526977</v>
      </c>
      <c r="K7453" s="405">
        <v>33.604121999999997</v>
      </c>
      <c r="L7453" s="405" t="s">
        <v>6866</v>
      </c>
      <c r="M7453" s="405" t="s">
        <v>9658</v>
      </c>
      <c r="N7453" s="405" t="s">
        <v>9658</v>
      </c>
      <c r="O7453" s="405" t="s">
        <v>11263</v>
      </c>
      <c r="P7453" s="405" t="s">
        <v>11358</v>
      </c>
      <c r="Q7453" s="411">
        <v>6</v>
      </c>
      <c r="R7453" s="405" t="s">
        <v>5655</v>
      </c>
      <c r="S7453" s="405" t="s">
        <v>27325</v>
      </c>
      <c r="T7453" s="405" t="s">
        <v>32102</v>
      </c>
      <c r="U7453" s="405" t="s">
        <v>319</v>
      </c>
    </row>
    <row r="7454" spans="1:21" hidden="1" x14ac:dyDescent="0.25">
      <c r="A7454" s="405" t="s">
        <v>310</v>
      </c>
      <c r="B7454" s="405" t="s">
        <v>11453</v>
      </c>
      <c r="C7454" s="405" t="s">
        <v>327</v>
      </c>
      <c r="D7454" s="405"/>
      <c r="E7454" s="410">
        <v>41074</v>
      </c>
      <c r="F7454" s="410">
        <v>41119</v>
      </c>
      <c r="G7454" s="405" t="s">
        <v>11454</v>
      </c>
      <c r="H7454" s="405">
        <v>772926524</v>
      </c>
      <c r="I7454" s="405"/>
      <c r="J7454" s="405">
        <v>0.99970300000000001</v>
      </c>
      <c r="K7454" s="405">
        <v>33.759053000000002</v>
      </c>
      <c r="L7454" s="405" t="s">
        <v>6866</v>
      </c>
      <c r="M7454" s="405" t="s">
        <v>10152</v>
      </c>
      <c r="N7454" s="405" t="s">
        <v>10152</v>
      </c>
      <c r="O7454" s="405" t="s">
        <v>11455</v>
      </c>
      <c r="P7454" s="405" t="s">
        <v>11455</v>
      </c>
      <c r="Q7454" s="411">
        <v>12</v>
      </c>
      <c r="R7454" s="405" t="s">
        <v>9541</v>
      </c>
      <c r="S7454" s="405" t="s">
        <v>27314</v>
      </c>
      <c r="T7454" s="405" t="s">
        <v>32102</v>
      </c>
      <c r="U7454" s="405" t="s">
        <v>319</v>
      </c>
    </row>
    <row r="7455" spans="1:21" hidden="1" x14ac:dyDescent="0.25">
      <c r="A7455" s="405" t="s">
        <v>310</v>
      </c>
      <c r="B7455" s="405" t="s">
        <v>28394</v>
      </c>
      <c r="C7455" s="405" t="s">
        <v>327</v>
      </c>
      <c r="D7455" s="405"/>
      <c r="E7455" s="410">
        <v>41074</v>
      </c>
      <c r="F7455" s="410">
        <v>41119</v>
      </c>
      <c r="G7455" s="405" t="s">
        <v>2594</v>
      </c>
      <c r="H7455" s="405">
        <v>772645849</v>
      </c>
      <c r="I7455" s="405"/>
      <c r="J7455" s="405">
        <v>0.45369500000000001</v>
      </c>
      <c r="K7455" s="405">
        <v>33.174582999999998</v>
      </c>
      <c r="L7455" s="405" t="s">
        <v>314</v>
      </c>
      <c r="M7455" s="405" t="s">
        <v>349</v>
      </c>
      <c r="N7455" s="405" t="s">
        <v>405</v>
      </c>
      <c r="O7455" s="405" t="s">
        <v>2595</v>
      </c>
      <c r="P7455" s="405" t="s">
        <v>2596</v>
      </c>
      <c r="Q7455" s="411">
        <v>9</v>
      </c>
      <c r="R7455" s="405" t="s">
        <v>1263</v>
      </c>
      <c r="S7455" s="405" t="s">
        <v>27164</v>
      </c>
      <c r="T7455" s="405" t="s">
        <v>32102</v>
      </c>
      <c r="U7455" s="405" t="s">
        <v>319</v>
      </c>
    </row>
    <row r="7456" spans="1:21" hidden="1" x14ac:dyDescent="0.25">
      <c r="A7456" s="405" t="s">
        <v>310</v>
      </c>
      <c r="B7456" s="405" t="s">
        <v>11433</v>
      </c>
      <c r="C7456" s="405" t="s">
        <v>327</v>
      </c>
      <c r="D7456" s="405"/>
      <c r="E7456" s="410">
        <v>41074</v>
      </c>
      <c r="F7456" s="410">
        <v>41119</v>
      </c>
      <c r="G7456" s="405" t="s">
        <v>11434</v>
      </c>
      <c r="H7456" s="405">
        <v>779073694</v>
      </c>
      <c r="I7456" s="405"/>
      <c r="J7456" s="405">
        <v>1.9290050000000001</v>
      </c>
      <c r="K7456" s="405">
        <v>33.727561999999999</v>
      </c>
      <c r="L7456" s="405" t="s">
        <v>6866</v>
      </c>
      <c r="M7456" s="405" t="s">
        <v>10495</v>
      </c>
      <c r="N7456" s="405" t="s">
        <v>10495</v>
      </c>
      <c r="O7456" s="405" t="s">
        <v>11435</v>
      </c>
      <c r="P7456" s="405" t="s">
        <v>11436</v>
      </c>
      <c r="Q7456" s="411">
        <v>6</v>
      </c>
      <c r="R7456" s="405" t="s">
        <v>5655</v>
      </c>
      <c r="S7456" s="405" t="s">
        <v>27322</v>
      </c>
      <c r="T7456" s="405" t="s">
        <v>32102</v>
      </c>
      <c r="U7456" s="405" t="s">
        <v>319</v>
      </c>
    </row>
    <row r="7457" spans="1:21" hidden="1" x14ac:dyDescent="0.25">
      <c r="A7457" s="405" t="s">
        <v>310</v>
      </c>
      <c r="B7457" s="405" t="s">
        <v>18338</v>
      </c>
      <c r="C7457" s="405" t="s">
        <v>327</v>
      </c>
      <c r="D7457" s="405"/>
      <c r="E7457" s="410">
        <v>41073</v>
      </c>
      <c r="F7457" s="410">
        <v>41118</v>
      </c>
      <c r="G7457" s="405" t="s">
        <v>18339</v>
      </c>
      <c r="H7457" s="405">
        <v>772003825</v>
      </c>
      <c r="I7457" s="405">
        <v>773109102</v>
      </c>
      <c r="J7457" s="405">
        <v>2.2123895999999998</v>
      </c>
      <c r="K7457" s="405">
        <v>32.896462999999997</v>
      </c>
      <c r="L7457" s="405" t="s">
        <v>860</v>
      </c>
      <c r="M7457" s="405" t="s">
        <v>18234</v>
      </c>
      <c r="N7457" s="405" t="s">
        <v>18252</v>
      </c>
      <c r="O7457" s="405" t="s">
        <v>18253</v>
      </c>
      <c r="P7457" s="405" t="s">
        <v>18340</v>
      </c>
      <c r="Q7457" s="411">
        <v>6</v>
      </c>
      <c r="R7457" s="405" t="s">
        <v>994</v>
      </c>
      <c r="S7457" s="405" t="s">
        <v>27193</v>
      </c>
      <c r="T7457" s="405" t="s">
        <v>32102</v>
      </c>
      <c r="U7457" s="405" t="s">
        <v>319</v>
      </c>
    </row>
    <row r="7458" spans="1:21" hidden="1" x14ac:dyDescent="0.25">
      <c r="A7458" s="405" t="s">
        <v>310</v>
      </c>
      <c r="B7458" s="405" t="s">
        <v>2575</v>
      </c>
      <c r="C7458" s="405" t="s">
        <v>327</v>
      </c>
      <c r="D7458" s="405"/>
      <c r="E7458" s="410">
        <v>41073</v>
      </c>
      <c r="F7458" s="410">
        <v>41118</v>
      </c>
      <c r="G7458" s="405" t="s">
        <v>2576</v>
      </c>
      <c r="H7458" s="405">
        <v>752382081</v>
      </c>
      <c r="I7458" s="405">
        <v>791109576</v>
      </c>
      <c r="J7458" s="405">
        <v>-0.341723</v>
      </c>
      <c r="K7458" s="405">
        <v>31.642219999999998</v>
      </c>
      <c r="L7458" s="405" t="s">
        <v>314</v>
      </c>
      <c r="M7458" s="405" t="s">
        <v>1189</v>
      </c>
      <c r="N7458" s="405" t="s">
        <v>1481</v>
      </c>
      <c r="O7458" s="405" t="s">
        <v>1953</v>
      </c>
      <c r="P7458" s="405" t="s">
        <v>2577</v>
      </c>
      <c r="Q7458" s="411">
        <v>6</v>
      </c>
      <c r="R7458" s="405" t="s">
        <v>402</v>
      </c>
      <c r="S7458" s="405" t="s">
        <v>27139</v>
      </c>
      <c r="T7458" s="405" t="s">
        <v>32102</v>
      </c>
      <c r="U7458" s="405" t="s">
        <v>319</v>
      </c>
    </row>
    <row r="7459" spans="1:21" hidden="1" x14ac:dyDescent="0.25">
      <c r="A7459" s="405" t="s">
        <v>310</v>
      </c>
      <c r="B7459" s="405" t="s">
        <v>2544</v>
      </c>
      <c r="C7459" s="405" t="s">
        <v>327</v>
      </c>
      <c r="D7459" s="405"/>
      <c r="E7459" s="410">
        <v>41072</v>
      </c>
      <c r="F7459" s="410">
        <v>41117</v>
      </c>
      <c r="G7459" s="405" t="s">
        <v>2545</v>
      </c>
      <c r="H7459" s="405">
        <v>782906152</v>
      </c>
      <c r="I7459" s="405"/>
      <c r="J7459" s="405">
        <v>5.117E-2</v>
      </c>
      <c r="K7459" s="405">
        <v>31.527553999999999</v>
      </c>
      <c r="L7459" s="405" t="s">
        <v>314</v>
      </c>
      <c r="M7459" s="405" t="s">
        <v>343</v>
      </c>
      <c r="N7459" s="405" t="s">
        <v>344</v>
      </c>
      <c r="O7459" s="405" t="s">
        <v>2546</v>
      </c>
      <c r="P7459" s="405" t="s">
        <v>2547</v>
      </c>
      <c r="Q7459" s="411">
        <v>13</v>
      </c>
      <c r="R7459" s="405" t="s">
        <v>318</v>
      </c>
      <c r="S7459" s="405" t="s">
        <v>27113</v>
      </c>
      <c r="T7459" s="405" t="s">
        <v>32102</v>
      </c>
      <c r="U7459" s="405" t="s">
        <v>319</v>
      </c>
    </row>
    <row r="7460" spans="1:21" hidden="1" x14ac:dyDescent="0.25">
      <c r="A7460" s="405" t="s">
        <v>310</v>
      </c>
      <c r="B7460" s="405" t="s">
        <v>2570</v>
      </c>
      <c r="C7460" s="405" t="s">
        <v>327</v>
      </c>
      <c r="D7460" s="405"/>
      <c r="E7460" s="410">
        <v>41072</v>
      </c>
      <c r="F7460" s="410">
        <v>41117</v>
      </c>
      <c r="G7460" s="405" t="s">
        <v>2571</v>
      </c>
      <c r="H7460" s="405">
        <v>772452242</v>
      </c>
      <c r="I7460" s="405">
        <v>772452421</v>
      </c>
      <c r="J7460" s="405">
        <v>0.27746300000000002</v>
      </c>
      <c r="K7460" s="405">
        <v>33.146990000000002</v>
      </c>
      <c r="L7460" s="405" t="s">
        <v>314</v>
      </c>
      <c r="M7460" s="405" t="s">
        <v>349</v>
      </c>
      <c r="N7460" s="405" t="s">
        <v>549</v>
      </c>
      <c r="O7460" s="405" t="s">
        <v>1062</v>
      </c>
      <c r="P7460" s="405" t="s">
        <v>2572</v>
      </c>
      <c r="Q7460" s="411">
        <v>6</v>
      </c>
      <c r="R7460" s="405" t="s">
        <v>32478</v>
      </c>
      <c r="S7460" s="405" t="s">
        <v>27113</v>
      </c>
      <c r="T7460" s="405" t="s">
        <v>32102</v>
      </c>
      <c r="U7460" s="405" t="s">
        <v>319</v>
      </c>
    </row>
    <row r="7461" spans="1:21" hidden="1" x14ac:dyDescent="0.25">
      <c r="A7461" s="405" t="s">
        <v>310</v>
      </c>
      <c r="B7461" s="405" t="s">
        <v>2578</v>
      </c>
      <c r="C7461" s="405" t="s">
        <v>327</v>
      </c>
      <c r="D7461" s="405"/>
      <c r="E7461" s="410">
        <v>41072</v>
      </c>
      <c r="F7461" s="410">
        <v>41117</v>
      </c>
      <c r="G7461" s="405" t="s">
        <v>2579</v>
      </c>
      <c r="H7461" s="405">
        <v>758230790</v>
      </c>
      <c r="I7461" s="405"/>
      <c r="J7461" s="405">
        <v>0.51750499999999999</v>
      </c>
      <c r="K7461" s="405">
        <v>31.731307999999999</v>
      </c>
      <c r="L7461" s="405" t="s">
        <v>314</v>
      </c>
      <c r="M7461" s="405" t="s">
        <v>445</v>
      </c>
      <c r="N7461" s="405" t="s">
        <v>699</v>
      </c>
      <c r="O7461" s="405" t="s">
        <v>571</v>
      </c>
      <c r="P7461" s="405" t="s">
        <v>2580</v>
      </c>
      <c r="Q7461" s="411">
        <v>6</v>
      </c>
      <c r="R7461" s="405" t="s">
        <v>438</v>
      </c>
      <c r="S7461" s="405" t="s">
        <v>27131</v>
      </c>
      <c r="T7461" s="405" t="s">
        <v>32102</v>
      </c>
      <c r="U7461" s="405" t="s">
        <v>319</v>
      </c>
    </row>
    <row r="7462" spans="1:21" hidden="1" x14ac:dyDescent="0.25">
      <c r="A7462" s="405" t="s">
        <v>310</v>
      </c>
      <c r="B7462" s="405" t="s">
        <v>2554</v>
      </c>
      <c r="C7462" s="405" t="s">
        <v>327</v>
      </c>
      <c r="D7462" s="405"/>
      <c r="E7462" s="410">
        <v>41072</v>
      </c>
      <c r="F7462" s="410">
        <v>41117</v>
      </c>
      <c r="G7462" s="405" t="s">
        <v>2555</v>
      </c>
      <c r="H7462" s="405">
        <v>783509585</v>
      </c>
      <c r="I7462" s="405">
        <v>788130234</v>
      </c>
      <c r="J7462" s="405">
        <v>-0.36215199999999997</v>
      </c>
      <c r="K7462" s="405">
        <v>31.468398000000001</v>
      </c>
      <c r="L7462" s="405" t="s">
        <v>314</v>
      </c>
      <c r="M7462" s="405" t="s">
        <v>1189</v>
      </c>
      <c r="N7462" s="405" t="s">
        <v>2556</v>
      </c>
      <c r="O7462" s="405" t="s">
        <v>1189</v>
      </c>
      <c r="P7462" s="405" t="s">
        <v>2557</v>
      </c>
      <c r="Q7462" s="411">
        <v>6</v>
      </c>
      <c r="R7462" s="405" t="s">
        <v>1263</v>
      </c>
      <c r="S7462" s="405" t="s">
        <v>27189</v>
      </c>
      <c r="T7462" s="405" t="s">
        <v>32102</v>
      </c>
      <c r="U7462" s="405" t="s">
        <v>319</v>
      </c>
    </row>
    <row r="7463" spans="1:21" hidden="1" x14ac:dyDescent="0.25">
      <c r="A7463" s="405" t="s">
        <v>310</v>
      </c>
      <c r="B7463" s="405" t="s">
        <v>11450</v>
      </c>
      <c r="C7463" s="405" t="s">
        <v>327</v>
      </c>
      <c r="D7463" s="405"/>
      <c r="E7463" s="410">
        <v>41070</v>
      </c>
      <c r="F7463" s="410">
        <v>41115</v>
      </c>
      <c r="G7463" s="405" t="s">
        <v>11451</v>
      </c>
      <c r="H7463" s="405">
        <v>782920010</v>
      </c>
      <c r="I7463" s="405"/>
      <c r="J7463" s="405">
        <v>0.9087615</v>
      </c>
      <c r="K7463" s="405">
        <v>33.122852299999998</v>
      </c>
      <c r="L7463" s="405" t="s">
        <v>6866</v>
      </c>
      <c r="M7463" s="405" t="s">
        <v>3009</v>
      </c>
      <c r="N7463" s="405" t="s">
        <v>9612</v>
      </c>
      <c r="O7463" s="405" t="s">
        <v>10188</v>
      </c>
      <c r="P7463" s="405" t="s">
        <v>11452</v>
      </c>
      <c r="Q7463" s="411">
        <v>13</v>
      </c>
      <c r="R7463" s="405" t="s">
        <v>333</v>
      </c>
      <c r="S7463" s="405" t="s">
        <v>27174</v>
      </c>
      <c r="T7463" s="405" t="s">
        <v>32102</v>
      </c>
      <c r="U7463" s="405" t="s">
        <v>319</v>
      </c>
    </row>
    <row r="7464" spans="1:21" hidden="1" x14ac:dyDescent="0.25">
      <c r="A7464" s="405" t="s">
        <v>310</v>
      </c>
      <c r="B7464" s="405" t="s">
        <v>11441</v>
      </c>
      <c r="C7464" s="405" t="s">
        <v>327</v>
      </c>
      <c r="D7464" s="405"/>
      <c r="E7464" s="410">
        <v>41070</v>
      </c>
      <c r="F7464" s="410">
        <v>41115</v>
      </c>
      <c r="G7464" s="405" t="s">
        <v>11442</v>
      </c>
      <c r="H7464" s="405">
        <v>776556681</v>
      </c>
      <c r="I7464" s="405"/>
      <c r="J7464" s="405">
        <v>0.61554759999999997</v>
      </c>
      <c r="K7464" s="405">
        <v>33.4786225</v>
      </c>
      <c r="L7464" s="405" t="s">
        <v>6866</v>
      </c>
      <c r="M7464" s="405" t="s">
        <v>10853</v>
      </c>
      <c r="N7464" s="405" t="s">
        <v>10854</v>
      </c>
      <c r="O7464" s="405" t="s">
        <v>10854</v>
      </c>
      <c r="P7464" s="405" t="s">
        <v>11443</v>
      </c>
      <c r="Q7464" s="411">
        <v>12</v>
      </c>
      <c r="R7464" s="405" t="s">
        <v>333</v>
      </c>
      <c r="S7464" s="405" t="s">
        <v>27106</v>
      </c>
      <c r="T7464" s="405" t="s">
        <v>32102</v>
      </c>
      <c r="U7464" s="405" t="s">
        <v>319</v>
      </c>
    </row>
    <row r="7465" spans="1:21" hidden="1" x14ac:dyDescent="0.25">
      <c r="A7465" s="405" t="s">
        <v>310</v>
      </c>
      <c r="B7465" s="405" t="s">
        <v>11444</v>
      </c>
      <c r="C7465" s="405" t="s">
        <v>327</v>
      </c>
      <c r="D7465" s="405"/>
      <c r="E7465" s="410">
        <v>41070</v>
      </c>
      <c r="F7465" s="410">
        <v>41115</v>
      </c>
      <c r="G7465" s="405" t="s">
        <v>11445</v>
      </c>
      <c r="H7465" s="405">
        <v>751576272</v>
      </c>
      <c r="I7465" s="405"/>
      <c r="J7465" s="405">
        <v>1.0142683333333333</v>
      </c>
      <c r="K7465" s="405">
        <v>33.031401666666667</v>
      </c>
      <c r="L7465" s="405" t="s">
        <v>6866</v>
      </c>
      <c r="M7465" s="405" t="s">
        <v>3009</v>
      </c>
      <c r="N7465" s="405" t="s">
        <v>9612</v>
      </c>
      <c r="O7465" s="405" t="s">
        <v>10403</v>
      </c>
      <c r="P7465" s="405" t="s">
        <v>11446</v>
      </c>
      <c r="Q7465" s="411">
        <v>12</v>
      </c>
      <c r="R7465" s="405" t="s">
        <v>333</v>
      </c>
      <c r="S7465" s="405" t="s">
        <v>27054</v>
      </c>
      <c r="T7465" s="405" t="s">
        <v>32102</v>
      </c>
      <c r="U7465" s="405" t="s">
        <v>319</v>
      </c>
    </row>
    <row r="7466" spans="1:21" hidden="1" x14ac:dyDescent="0.25">
      <c r="A7466" s="405" t="s">
        <v>310</v>
      </c>
      <c r="B7466" s="405" t="s">
        <v>2562</v>
      </c>
      <c r="C7466" s="405" t="s">
        <v>327</v>
      </c>
      <c r="D7466" s="405"/>
      <c r="E7466" s="410">
        <v>41070</v>
      </c>
      <c r="F7466" s="410">
        <v>41115</v>
      </c>
      <c r="G7466" s="405" t="s">
        <v>2563</v>
      </c>
      <c r="H7466" s="405">
        <v>785846892</v>
      </c>
      <c r="I7466" s="405"/>
      <c r="J7466" s="405">
        <v>0.83416800000000002</v>
      </c>
      <c r="K7466" s="405">
        <v>32.881593000000002</v>
      </c>
      <c r="L7466" s="405" t="s">
        <v>314</v>
      </c>
      <c r="M7466" s="405" t="s">
        <v>502</v>
      </c>
      <c r="N7466" s="405" t="s">
        <v>1229</v>
      </c>
      <c r="O7466" s="405" t="s">
        <v>502</v>
      </c>
      <c r="P7466" s="405" t="s">
        <v>2564</v>
      </c>
      <c r="Q7466" s="411">
        <v>6</v>
      </c>
      <c r="R7466" s="405" t="s">
        <v>402</v>
      </c>
      <c r="S7466" s="405" t="s">
        <v>27154</v>
      </c>
      <c r="T7466" s="405" t="s">
        <v>32102</v>
      </c>
      <c r="U7466" s="405" t="s">
        <v>319</v>
      </c>
    </row>
    <row r="7467" spans="1:21" hidden="1" x14ac:dyDescent="0.25">
      <c r="A7467" s="405" t="s">
        <v>310</v>
      </c>
      <c r="B7467" s="405" t="s">
        <v>11447</v>
      </c>
      <c r="C7467" s="405" t="s">
        <v>327</v>
      </c>
      <c r="D7467" s="405"/>
      <c r="E7467" s="410">
        <v>41069</v>
      </c>
      <c r="F7467" s="410">
        <v>41114</v>
      </c>
      <c r="G7467" s="405" t="s">
        <v>11448</v>
      </c>
      <c r="H7467" s="405">
        <v>753190810</v>
      </c>
      <c r="I7467" s="405"/>
      <c r="J7467" s="405">
        <v>0.61633389999999999</v>
      </c>
      <c r="K7467" s="405">
        <v>33.479194800000002</v>
      </c>
      <c r="L7467" s="405" t="s">
        <v>6866</v>
      </c>
      <c r="M7467" s="405" t="s">
        <v>10853</v>
      </c>
      <c r="N7467" s="405" t="s">
        <v>10854</v>
      </c>
      <c r="O7467" s="405" t="s">
        <v>10854</v>
      </c>
      <c r="P7467" s="405" t="s">
        <v>11449</v>
      </c>
      <c r="Q7467" s="411">
        <v>12</v>
      </c>
      <c r="R7467" s="405" t="s">
        <v>333</v>
      </c>
      <c r="S7467" s="405" t="s">
        <v>27244</v>
      </c>
      <c r="T7467" s="405" t="s">
        <v>32102</v>
      </c>
      <c r="U7467" s="405" t="s">
        <v>319</v>
      </c>
    </row>
    <row r="7468" spans="1:21" hidden="1" x14ac:dyDescent="0.25">
      <c r="A7468" s="405" t="s">
        <v>310</v>
      </c>
      <c r="B7468" s="405" t="s">
        <v>18341</v>
      </c>
      <c r="C7468" s="405" t="s">
        <v>327</v>
      </c>
      <c r="D7468" s="405"/>
      <c r="E7468" s="410">
        <v>41069</v>
      </c>
      <c r="F7468" s="410">
        <v>41114</v>
      </c>
      <c r="G7468" s="405" t="s">
        <v>18342</v>
      </c>
      <c r="H7468" s="405">
        <v>392841157</v>
      </c>
      <c r="I7468" s="405">
        <v>754520094</v>
      </c>
      <c r="J7468" s="405">
        <v>2.2316729999999998</v>
      </c>
      <c r="K7468" s="405">
        <v>32.743768000000003</v>
      </c>
      <c r="L7468" s="405" t="s">
        <v>860</v>
      </c>
      <c r="M7468" s="405" t="s">
        <v>18288</v>
      </c>
      <c r="N7468" s="405" t="s">
        <v>18289</v>
      </c>
      <c r="O7468" s="405" t="s">
        <v>18290</v>
      </c>
      <c r="P7468" s="405" t="s">
        <v>18343</v>
      </c>
      <c r="Q7468" s="411">
        <v>9</v>
      </c>
      <c r="R7468" s="405" t="s">
        <v>994</v>
      </c>
      <c r="S7468" s="405" t="s">
        <v>27376</v>
      </c>
      <c r="T7468" s="405" t="s">
        <v>32102</v>
      </c>
      <c r="U7468" s="405" t="s">
        <v>319</v>
      </c>
    </row>
    <row r="7469" spans="1:21" hidden="1" x14ac:dyDescent="0.25">
      <c r="A7469" s="405" t="s">
        <v>310</v>
      </c>
      <c r="B7469" s="405" t="s">
        <v>28800</v>
      </c>
      <c r="C7469" s="405" t="s">
        <v>327</v>
      </c>
      <c r="D7469" s="405"/>
      <c r="E7469" s="410">
        <v>41069</v>
      </c>
      <c r="F7469" s="410">
        <v>41114</v>
      </c>
      <c r="G7469" s="405" t="s">
        <v>20563</v>
      </c>
      <c r="H7469" s="405">
        <v>779848922</v>
      </c>
      <c r="I7469" s="405"/>
      <c r="J7469" s="405">
        <v>1.8318749999999999</v>
      </c>
      <c r="K7469" s="405">
        <v>31.984817</v>
      </c>
      <c r="L7469" s="405" t="s">
        <v>590</v>
      </c>
      <c r="M7469" s="405" t="s">
        <v>591</v>
      </c>
      <c r="N7469" s="405" t="s">
        <v>848</v>
      </c>
      <c r="O7469" s="405" t="s">
        <v>3012</v>
      </c>
      <c r="P7469" s="405" t="s">
        <v>20564</v>
      </c>
      <c r="Q7469" s="411">
        <v>6</v>
      </c>
      <c r="R7469" s="405" t="s">
        <v>994</v>
      </c>
      <c r="S7469" s="405" t="s">
        <v>27079</v>
      </c>
      <c r="T7469" s="405" t="s">
        <v>32102</v>
      </c>
      <c r="U7469" s="405" t="s">
        <v>319</v>
      </c>
    </row>
    <row r="7470" spans="1:21" hidden="1" x14ac:dyDescent="0.25">
      <c r="A7470" s="405" t="s">
        <v>310</v>
      </c>
      <c r="B7470" s="405" t="s">
        <v>3148</v>
      </c>
      <c r="C7470" s="405" t="s">
        <v>311</v>
      </c>
      <c r="D7470" s="405" t="s">
        <v>839</v>
      </c>
      <c r="E7470" s="410">
        <v>41069</v>
      </c>
      <c r="F7470" s="410">
        <v>41114</v>
      </c>
      <c r="G7470" s="405" t="s">
        <v>3149</v>
      </c>
      <c r="H7470" s="405">
        <v>774584755</v>
      </c>
      <c r="I7470" s="405"/>
      <c r="J7470" s="405">
        <v>0.32728800000000002</v>
      </c>
      <c r="K7470" s="405">
        <v>32.107697000000002</v>
      </c>
      <c r="L7470" s="405" t="s">
        <v>314</v>
      </c>
      <c r="M7470" s="405" t="s">
        <v>675</v>
      </c>
      <c r="N7470" s="405" t="s">
        <v>676</v>
      </c>
      <c r="O7470" s="405" t="s">
        <v>2342</v>
      </c>
      <c r="P7470" s="405" t="s">
        <v>3150</v>
      </c>
      <c r="Q7470" s="411">
        <v>6</v>
      </c>
      <c r="R7470" s="405" t="s">
        <v>32476</v>
      </c>
      <c r="S7470" s="405" t="s">
        <v>27169</v>
      </c>
      <c r="T7470" s="405" t="s">
        <v>32102</v>
      </c>
      <c r="U7470" s="405" t="s">
        <v>319</v>
      </c>
    </row>
    <row r="7471" spans="1:21" hidden="1" x14ac:dyDescent="0.25">
      <c r="A7471" s="405" t="s">
        <v>310</v>
      </c>
      <c r="B7471" s="405" t="s">
        <v>2587</v>
      </c>
      <c r="C7471" s="405" t="s">
        <v>327</v>
      </c>
      <c r="D7471" s="405"/>
      <c r="E7471" s="410">
        <v>41069</v>
      </c>
      <c r="F7471" s="410">
        <v>41114</v>
      </c>
      <c r="G7471" s="405" t="s">
        <v>2588</v>
      </c>
      <c r="H7471" s="405">
        <v>775287244</v>
      </c>
      <c r="I7471" s="405"/>
      <c r="J7471" s="405">
        <v>1.4793480000000001</v>
      </c>
      <c r="K7471" s="405">
        <v>32.261153</v>
      </c>
      <c r="L7471" s="405" t="s">
        <v>314</v>
      </c>
      <c r="M7471" s="405" t="s">
        <v>2512</v>
      </c>
      <c r="N7471" s="405" t="s">
        <v>2589</v>
      </c>
      <c r="O7471" s="405" t="s">
        <v>2590</v>
      </c>
      <c r="P7471" s="405" t="s">
        <v>2591</v>
      </c>
      <c r="Q7471" s="411">
        <v>6</v>
      </c>
      <c r="R7471" s="405" t="s">
        <v>318</v>
      </c>
      <c r="S7471" s="405" t="s">
        <v>27126</v>
      </c>
      <c r="T7471" s="405" t="s">
        <v>32102</v>
      </c>
      <c r="U7471" s="405" t="s">
        <v>319</v>
      </c>
    </row>
    <row r="7472" spans="1:21" hidden="1" x14ac:dyDescent="0.25">
      <c r="A7472" s="405" t="s">
        <v>310</v>
      </c>
      <c r="B7472" s="405" t="s">
        <v>27677</v>
      </c>
      <c r="C7472" s="405" t="s">
        <v>327</v>
      </c>
      <c r="D7472" s="405"/>
      <c r="E7472" s="410">
        <v>41068</v>
      </c>
      <c r="F7472" s="410">
        <v>41113</v>
      </c>
      <c r="G7472" s="405" t="s">
        <v>20507</v>
      </c>
      <c r="H7472" s="405">
        <v>772344738</v>
      </c>
      <c r="I7472" s="405"/>
      <c r="J7472" s="405">
        <v>1.5099180000000001</v>
      </c>
      <c r="K7472" s="405">
        <v>31.334164999999999</v>
      </c>
      <c r="L7472" s="405" t="s">
        <v>590</v>
      </c>
      <c r="M7472" s="405" t="s">
        <v>7300</v>
      </c>
      <c r="N7472" s="405" t="s">
        <v>19880</v>
      </c>
      <c r="O7472" s="405" t="s">
        <v>20508</v>
      </c>
      <c r="P7472" s="405" t="s">
        <v>20509</v>
      </c>
      <c r="Q7472" s="411">
        <v>9</v>
      </c>
      <c r="R7472" s="405" t="s">
        <v>525</v>
      </c>
      <c r="S7472" s="405" t="s">
        <v>22481</v>
      </c>
      <c r="T7472" s="405" t="s">
        <v>32102</v>
      </c>
      <c r="U7472" s="405" t="s">
        <v>319</v>
      </c>
    </row>
    <row r="7473" spans="1:21" hidden="1" x14ac:dyDescent="0.25">
      <c r="A7473" s="405" t="s">
        <v>310</v>
      </c>
      <c r="B7473" s="405" t="s">
        <v>11481</v>
      </c>
      <c r="C7473" s="405" t="s">
        <v>327</v>
      </c>
      <c r="D7473" s="405"/>
      <c r="E7473" s="410">
        <v>41068</v>
      </c>
      <c r="F7473" s="410">
        <v>41113</v>
      </c>
      <c r="G7473" s="405" t="s">
        <v>11482</v>
      </c>
      <c r="H7473" s="405">
        <v>778197958</v>
      </c>
      <c r="I7473" s="405"/>
      <c r="J7473" s="405">
        <v>0.76159100000000002</v>
      </c>
      <c r="K7473" s="405">
        <v>34.067436000000001</v>
      </c>
      <c r="L7473" s="405" t="s">
        <v>6866</v>
      </c>
      <c r="M7473" s="405" t="s">
        <v>9534</v>
      </c>
      <c r="N7473" s="405" t="s">
        <v>11483</v>
      </c>
      <c r="O7473" s="405" t="s">
        <v>11484</v>
      </c>
      <c r="P7473" s="405" t="s">
        <v>11485</v>
      </c>
      <c r="Q7473" s="411">
        <v>6</v>
      </c>
      <c r="R7473" s="405" t="s">
        <v>7224</v>
      </c>
      <c r="S7473" s="405" t="s">
        <v>27309</v>
      </c>
      <c r="T7473" s="405" t="s">
        <v>32102</v>
      </c>
      <c r="U7473" s="405" t="s">
        <v>319</v>
      </c>
    </row>
    <row r="7474" spans="1:21" hidden="1" x14ac:dyDescent="0.25">
      <c r="A7474" s="405" t="s">
        <v>310</v>
      </c>
      <c r="B7474" s="405" t="s">
        <v>2548</v>
      </c>
      <c r="C7474" s="405" t="s">
        <v>327</v>
      </c>
      <c r="D7474" s="405"/>
      <c r="E7474" s="410">
        <v>41067</v>
      </c>
      <c r="F7474" s="410">
        <v>41112</v>
      </c>
      <c r="G7474" s="405" t="s">
        <v>2549</v>
      </c>
      <c r="H7474" s="405">
        <v>772839799</v>
      </c>
      <c r="I7474" s="405"/>
      <c r="J7474" s="405">
        <v>0.34845480000000001</v>
      </c>
      <c r="K7474" s="405">
        <v>32.327532699999999</v>
      </c>
      <c r="L7474" s="405" t="s">
        <v>314</v>
      </c>
      <c r="M7474" s="405" t="s">
        <v>321</v>
      </c>
      <c r="N7474" s="405" t="s">
        <v>322</v>
      </c>
      <c r="O7474" s="405" t="s">
        <v>1017</v>
      </c>
      <c r="P7474" s="405" t="s">
        <v>2550</v>
      </c>
      <c r="Q7474" s="411">
        <v>13</v>
      </c>
      <c r="R7474" s="405" t="s">
        <v>318</v>
      </c>
      <c r="S7474" s="405" t="s">
        <v>27135</v>
      </c>
      <c r="T7474" s="405" t="s">
        <v>32102</v>
      </c>
      <c r="U7474" s="405" t="s">
        <v>319</v>
      </c>
    </row>
    <row r="7475" spans="1:21" hidden="1" x14ac:dyDescent="0.25">
      <c r="A7475" s="405" t="s">
        <v>310</v>
      </c>
      <c r="B7475" s="405" t="s">
        <v>3163</v>
      </c>
      <c r="C7475" s="405" t="s">
        <v>311</v>
      </c>
      <c r="D7475" s="405" t="s">
        <v>1111</v>
      </c>
      <c r="E7475" s="410">
        <v>41067</v>
      </c>
      <c r="F7475" s="410">
        <v>41112</v>
      </c>
      <c r="G7475" s="405" t="s">
        <v>3164</v>
      </c>
      <c r="H7475" s="405">
        <v>772586589</v>
      </c>
      <c r="I7475" s="405">
        <v>703261820</v>
      </c>
      <c r="J7475" s="405">
        <v>-0.31854969999999999</v>
      </c>
      <c r="K7475" s="405">
        <v>31.7603051</v>
      </c>
      <c r="L7475" s="405" t="s">
        <v>314</v>
      </c>
      <c r="M7475" s="405" t="s">
        <v>382</v>
      </c>
      <c r="N7475" s="405" t="s">
        <v>383</v>
      </c>
      <c r="O7475" s="405" t="s">
        <v>384</v>
      </c>
      <c r="P7475" s="405" t="s">
        <v>3165</v>
      </c>
      <c r="Q7475" s="411">
        <v>4</v>
      </c>
      <c r="R7475" s="405" t="s">
        <v>402</v>
      </c>
      <c r="S7475" s="405" t="s">
        <v>27154</v>
      </c>
      <c r="T7475" s="405" t="s">
        <v>32102</v>
      </c>
      <c r="U7475" s="405" t="s">
        <v>319</v>
      </c>
    </row>
    <row r="7476" spans="1:21" hidden="1" x14ac:dyDescent="0.25">
      <c r="A7476" s="405" t="s">
        <v>310</v>
      </c>
      <c r="B7476" s="405" t="s">
        <v>20522</v>
      </c>
      <c r="C7476" s="405" t="s">
        <v>327</v>
      </c>
      <c r="D7476" s="405"/>
      <c r="E7476" s="410">
        <v>41065</v>
      </c>
      <c r="F7476" s="410">
        <v>41110</v>
      </c>
      <c r="G7476" s="405" t="s">
        <v>20523</v>
      </c>
      <c r="H7476" s="405">
        <v>701217419</v>
      </c>
      <c r="I7476" s="405">
        <v>775658383</v>
      </c>
      <c r="J7476" s="405">
        <v>-0.21438399999999999</v>
      </c>
      <c r="K7476" s="405">
        <v>30.974603999999999</v>
      </c>
      <c r="L7476" s="405" t="s">
        <v>590</v>
      </c>
      <c r="M7476" s="405" t="s">
        <v>19705</v>
      </c>
      <c r="N7476" s="405" t="s">
        <v>19706</v>
      </c>
      <c r="O7476" s="405" t="s">
        <v>19707</v>
      </c>
      <c r="P7476" s="405" t="s">
        <v>20521</v>
      </c>
      <c r="Q7476" s="411">
        <v>9</v>
      </c>
      <c r="R7476" s="405" t="s">
        <v>874</v>
      </c>
      <c r="S7476" s="405" t="s">
        <v>27097</v>
      </c>
      <c r="T7476" s="405" t="s">
        <v>32102</v>
      </c>
      <c r="U7476" s="405" t="s">
        <v>319</v>
      </c>
    </row>
    <row r="7477" spans="1:21" hidden="1" x14ac:dyDescent="0.25">
      <c r="A7477" s="405" t="s">
        <v>310</v>
      </c>
      <c r="B7477" s="405" t="s">
        <v>20514</v>
      </c>
      <c r="C7477" s="405" t="s">
        <v>327</v>
      </c>
      <c r="D7477" s="405"/>
      <c r="E7477" s="410">
        <v>41065</v>
      </c>
      <c r="F7477" s="410">
        <v>41110</v>
      </c>
      <c r="G7477" s="405" t="s">
        <v>20515</v>
      </c>
      <c r="H7477" s="405">
        <v>704759527</v>
      </c>
      <c r="I7477" s="405">
        <v>782444738</v>
      </c>
      <c r="J7477" s="405">
        <v>-0.19234599999999999</v>
      </c>
      <c r="K7477" s="405">
        <v>30.863989</v>
      </c>
      <c r="L7477" s="405" t="s">
        <v>590</v>
      </c>
      <c r="M7477" s="405" t="s">
        <v>19705</v>
      </c>
      <c r="N7477" s="405" t="s">
        <v>19706</v>
      </c>
      <c r="O7477" s="405" t="s">
        <v>20516</v>
      </c>
      <c r="P7477" s="405" t="s">
        <v>20517</v>
      </c>
      <c r="Q7477" s="411">
        <v>9</v>
      </c>
      <c r="R7477" s="405" t="s">
        <v>874</v>
      </c>
      <c r="S7477" s="405" t="s">
        <v>27220</v>
      </c>
      <c r="T7477" s="405" t="s">
        <v>32102</v>
      </c>
      <c r="U7477" s="405" t="s">
        <v>319</v>
      </c>
    </row>
    <row r="7478" spans="1:21" hidden="1" x14ac:dyDescent="0.25">
      <c r="A7478" s="405" t="s">
        <v>310</v>
      </c>
      <c r="B7478" s="405" t="s">
        <v>28361</v>
      </c>
      <c r="C7478" s="405" t="s">
        <v>327</v>
      </c>
      <c r="D7478" s="405"/>
      <c r="E7478" s="410">
        <v>41065</v>
      </c>
      <c r="F7478" s="410">
        <v>41110</v>
      </c>
      <c r="G7478" s="405" t="s">
        <v>20532</v>
      </c>
      <c r="H7478" s="405">
        <v>773125295</v>
      </c>
      <c r="I7478" s="405"/>
      <c r="J7478" s="405">
        <v>0.68626200000000004</v>
      </c>
      <c r="K7478" s="405">
        <v>30.601807000000001</v>
      </c>
      <c r="L7478" s="405" t="s">
        <v>590</v>
      </c>
      <c r="M7478" s="405" t="s">
        <v>20426</v>
      </c>
      <c r="N7478" s="405" t="s">
        <v>10925</v>
      </c>
      <c r="O7478" s="405" t="s">
        <v>20533</v>
      </c>
      <c r="P7478" s="405" t="s">
        <v>20534</v>
      </c>
      <c r="Q7478" s="411">
        <v>6</v>
      </c>
      <c r="R7478" s="405" t="s">
        <v>333</v>
      </c>
      <c r="S7478" s="405" t="s">
        <v>27161</v>
      </c>
      <c r="T7478" s="405" t="s">
        <v>32102</v>
      </c>
      <c r="U7478" s="405" t="s">
        <v>319</v>
      </c>
    </row>
    <row r="7479" spans="1:21" hidden="1" x14ac:dyDescent="0.25">
      <c r="A7479" s="405" t="s">
        <v>310</v>
      </c>
      <c r="B7479" s="405" t="s">
        <v>28104</v>
      </c>
      <c r="C7479" s="405" t="s">
        <v>327</v>
      </c>
      <c r="D7479" s="405"/>
      <c r="E7479" s="410">
        <v>41064</v>
      </c>
      <c r="F7479" s="410">
        <v>41109</v>
      </c>
      <c r="G7479" s="405" t="s">
        <v>20550</v>
      </c>
      <c r="H7479" s="405">
        <v>772444968</v>
      </c>
      <c r="I7479" s="405"/>
      <c r="J7479" s="405">
        <v>-1.238345</v>
      </c>
      <c r="K7479" s="405">
        <v>29.973019000000001</v>
      </c>
      <c r="L7479" s="405" t="s">
        <v>590</v>
      </c>
      <c r="M7479" s="405" t="s">
        <v>5312</v>
      </c>
      <c r="N7479" s="405" t="s">
        <v>20080</v>
      </c>
      <c r="O7479" s="405" t="s">
        <v>12948</v>
      </c>
      <c r="P7479" s="405" t="s">
        <v>20551</v>
      </c>
      <c r="Q7479" s="411">
        <v>6</v>
      </c>
      <c r="R7479" s="405" t="s">
        <v>438</v>
      </c>
      <c r="S7479" s="405" t="s">
        <v>27116</v>
      </c>
      <c r="T7479" s="405" t="s">
        <v>32102</v>
      </c>
      <c r="U7479" s="405" t="s">
        <v>319</v>
      </c>
    </row>
    <row r="7480" spans="1:21" hidden="1" x14ac:dyDescent="0.25">
      <c r="A7480" s="405" t="s">
        <v>310</v>
      </c>
      <c r="B7480" s="405" t="s">
        <v>28673</v>
      </c>
      <c r="C7480" s="405" t="s">
        <v>327</v>
      </c>
      <c r="D7480" s="405"/>
      <c r="E7480" s="410">
        <v>41064</v>
      </c>
      <c r="F7480" s="410">
        <v>41109</v>
      </c>
      <c r="G7480" s="405" t="s">
        <v>20562</v>
      </c>
      <c r="H7480" s="405">
        <v>773927085</v>
      </c>
      <c r="I7480" s="405"/>
      <c r="J7480" s="405">
        <v>1.8462529999999999</v>
      </c>
      <c r="K7480" s="405">
        <v>32.045492000000003</v>
      </c>
      <c r="L7480" s="405" t="s">
        <v>590</v>
      </c>
      <c r="M7480" s="405" t="s">
        <v>591</v>
      </c>
      <c r="N7480" s="405" t="s">
        <v>4262</v>
      </c>
      <c r="O7480" s="405" t="s">
        <v>591</v>
      </c>
      <c r="P7480" s="405" t="s">
        <v>4263</v>
      </c>
      <c r="Q7480" s="411">
        <v>6</v>
      </c>
      <c r="R7480" s="405" t="s">
        <v>994</v>
      </c>
      <c r="S7480" s="405" t="s">
        <v>27046</v>
      </c>
      <c r="T7480" s="405" t="s">
        <v>32102</v>
      </c>
      <c r="U7480" s="405" t="s">
        <v>319</v>
      </c>
    </row>
    <row r="7481" spans="1:21" hidden="1" x14ac:dyDescent="0.25">
      <c r="A7481" s="405" t="s">
        <v>310</v>
      </c>
      <c r="B7481" s="405" t="s">
        <v>11424</v>
      </c>
      <c r="C7481" s="405" t="s">
        <v>327</v>
      </c>
      <c r="D7481" s="405"/>
      <c r="E7481" s="410">
        <v>41064</v>
      </c>
      <c r="F7481" s="410">
        <v>41109</v>
      </c>
      <c r="G7481" s="405" t="s">
        <v>11425</v>
      </c>
      <c r="H7481" s="405">
        <v>782699500</v>
      </c>
      <c r="I7481" s="405"/>
      <c r="J7481" s="405">
        <v>1.9181649999999999</v>
      </c>
      <c r="K7481" s="405">
        <v>33.950764999999997</v>
      </c>
      <c r="L7481" s="405" t="s">
        <v>6866</v>
      </c>
      <c r="M7481" s="405" t="s">
        <v>11355</v>
      </c>
      <c r="N7481" s="405" t="s">
        <v>11356</v>
      </c>
      <c r="O7481" s="405" t="s">
        <v>11426</v>
      </c>
      <c r="P7481" s="405" t="s">
        <v>11427</v>
      </c>
      <c r="Q7481" s="411">
        <v>6</v>
      </c>
      <c r="R7481" s="405" t="s">
        <v>7224</v>
      </c>
      <c r="S7481" s="405" t="s">
        <v>27259</v>
      </c>
      <c r="T7481" s="405" t="s">
        <v>32102</v>
      </c>
      <c r="U7481" s="405" t="s">
        <v>319</v>
      </c>
    </row>
    <row r="7482" spans="1:21" hidden="1" x14ac:dyDescent="0.25">
      <c r="A7482" s="405" t="s">
        <v>310</v>
      </c>
      <c r="B7482" s="405" t="s">
        <v>11459</v>
      </c>
      <c r="C7482" s="405" t="s">
        <v>327</v>
      </c>
      <c r="D7482" s="405"/>
      <c r="E7482" s="410">
        <v>41063</v>
      </c>
      <c r="F7482" s="410">
        <v>41108</v>
      </c>
      <c r="G7482" s="405" t="s">
        <v>11460</v>
      </c>
      <c r="H7482" s="405">
        <v>752362072</v>
      </c>
      <c r="I7482" s="405"/>
      <c r="J7482" s="405">
        <v>2.05416</v>
      </c>
      <c r="K7482" s="405">
        <v>34.573323000000002</v>
      </c>
      <c r="L7482" s="405" t="s">
        <v>6866</v>
      </c>
      <c r="M7482" s="405" t="s">
        <v>11461</v>
      </c>
      <c r="N7482" s="405" t="s">
        <v>11462</v>
      </c>
      <c r="O7482" s="405" t="s">
        <v>11463</v>
      </c>
      <c r="P7482" s="405" t="s">
        <v>11464</v>
      </c>
      <c r="Q7482" s="411">
        <v>12</v>
      </c>
      <c r="R7482" s="405" t="s">
        <v>353</v>
      </c>
      <c r="S7482" s="405" t="s">
        <v>27153</v>
      </c>
      <c r="T7482" s="405" t="s">
        <v>32102</v>
      </c>
      <c r="U7482" s="405" t="s">
        <v>319</v>
      </c>
    </row>
    <row r="7483" spans="1:21" hidden="1" x14ac:dyDescent="0.25">
      <c r="A7483" s="405" t="s">
        <v>310</v>
      </c>
      <c r="B7483" s="405" t="s">
        <v>29136</v>
      </c>
      <c r="C7483" s="405" t="s">
        <v>327</v>
      </c>
      <c r="D7483" s="405"/>
      <c r="E7483" s="410">
        <v>41062</v>
      </c>
      <c r="F7483" s="410">
        <v>41107</v>
      </c>
      <c r="G7483" s="405" t="s">
        <v>11413</v>
      </c>
      <c r="H7483" s="405">
        <v>774162980</v>
      </c>
      <c r="I7483" s="405"/>
      <c r="J7483" s="405">
        <v>1.0073749999999999</v>
      </c>
      <c r="K7483" s="405">
        <v>34.372790000000002</v>
      </c>
      <c r="L7483" s="405" t="s">
        <v>6866</v>
      </c>
      <c r="M7483" s="405" t="s">
        <v>6867</v>
      </c>
      <c r="N7483" s="405" t="s">
        <v>10297</v>
      </c>
      <c r="O7483" s="405" t="s">
        <v>11414</v>
      </c>
      <c r="P7483" s="405" t="s">
        <v>11415</v>
      </c>
      <c r="Q7483" s="411">
        <v>6</v>
      </c>
      <c r="R7483" s="405" t="s">
        <v>7224</v>
      </c>
      <c r="S7483" s="405" t="s">
        <v>27197</v>
      </c>
      <c r="T7483" s="405" t="s">
        <v>32102</v>
      </c>
      <c r="U7483" s="405" t="s">
        <v>319</v>
      </c>
    </row>
    <row r="7484" spans="1:21" hidden="1" x14ac:dyDescent="0.25">
      <c r="A7484" s="405" t="s">
        <v>310</v>
      </c>
      <c r="B7484" s="405" t="s">
        <v>20518</v>
      </c>
      <c r="C7484" s="405" t="s">
        <v>857</v>
      </c>
      <c r="D7484" s="405" t="s">
        <v>33096</v>
      </c>
      <c r="E7484" s="410">
        <v>41062</v>
      </c>
      <c r="F7484" s="410">
        <v>41107</v>
      </c>
      <c r="G7484" s="405" t="s">
        <v>20519</v>
      </c>
      <c r="H7484" s="405">
        <v>702397263</v>
      </c>
      <c r="I7484" s="405">
        <v>774515999</v>
      </c>
      <c r="J7484" s="405">
        <v>-0.22891900000000001</v>
      </c>
      <c r="K7484" s="405">
        <v>31.003357999999999</v>
      </c>
      <c r="L7484" s="405" t="s">
        <v>590</v>
      </c>
      <c r="M7484" s="405" t="s">
        <v>19705</v>
      </c>
      <c r="N7484" s="405" t="s">
        <v>19706</v>
      </c>
      <c r="O7484" s="405" t="s">
        <v>20520</v>
      </c>
      <c r="P7484" s="405" t="s">
        <v>20521</v>
      </c>
      <c r="Q7484" s="411">
        <v>6</v>
      </c>
      <c r="R7484" s="405" t="s">
        <v>874</v>
      </c>
      <c r="S7484" s="405" t="s">
        <v>27398</v>
      </c>
      <c r="T7484" s="405" t="s">
        <v>32102</v>
      </c>
      <c r="U7484" s="405" t="s">
        <v>319</v>
      </c>
    </row>
    <row r="7485" spans="1:21" hidden="1" x14ac:dyDescent="0.25">
      <c r="A7485" s="405" t="s">
        <v>310</v>
      </c>
      <c r="B7485" s="405" t="s">
        <v>2573</v>
      </c>
      <c r="C7485" s="405" t="s">
        <v>327</v>
      </c>
      <c r="D7485" s="405"/>
      <c r="E7485" s="410">
        <v>41060</v>
      </c>
      <c r="F7485" s="410">
        <v>41105</v>
      </c>
      <c r="G7485" s="405" t="s">
        <v>2574</v>
      </c>
      <c r="H7485" s="405">
        <v>772421220</v>
      </c>
      <c r="I7485" s="405"/>
      <c r="J7485" s="405">
        <v>0.69384699999999999</v>
      </c>
      <c r="K7485" s="405">
        <v>32.523482000000001</v>
      </c>
      <c r="L7485" s="405" t="s">
        <v>314</v>
      </c>
      <c r="M7485" s="405" t="s">
        <v>959</v>
      </c>
      <c r="N7485" s="405" t="s">
        <v>1094</v>
      </c>
      <c r="O7485" s="405" t="s">
        <v>1094</v>
      </c>
      <c r="P7485" s="405" t="s">
        <v>364</v>
      </c>
      <c r="Q7485" s="411">
        <v>9</v>
      </c>
      <c r="R7485" s="405" t="s">
        <v>1263</v>
      </c>
      <c r="S7485" s="405" t="s">
        <v>27162</v>
      </c>
      <c r="T7485" s="405" t="s">
        <v>32102</v>
      </c>
      <c r="U7485" s="405" t="s">
        <v>319</v>
      </c>
    </row>
    <row r="7486" spans="1:21" hidden="1" x14ac:dyDescent="0.25">
      <c r="A7486" s="405" t="s">
        <v>310</v>
      </c>
      <c r="B7486" s="405" t="s">
        <v>28488</v>
      </c>
      <c r="C7486" s="405" t="s">
        <v>327</v>
      </c>
      <c r="D7486" s="405"/>
      <c r="E7486" s="410">
        <v>41060</v>
      </c>
      <c r="F7486" s="410">
        <v>41105</v>
      </c>
      <c r="G7486" s="405" t="s">
        <v>2586</v>
      </c>
      <c r="H7486" s="405">
        <v>756211202</v>
      </c>
      <c r="I7486" s="405">
        <v>779448371</v>
      </c>
      <c r="J7486" s="405">
        <v>0.43464849999999999</v>
      </c>
      <c r="K7486" s="405">
        <v>32.695370400000002</v>
      </c>
      <c r="L7486" s="405" t="s">
        <v>314</v>
      </c>
      <c r="M7486" s="405" t="s">
        <v>329</v>
      </c>
      <c r="N7486" s="405" t="s">
        <v>330</v>
      </c>
      <c r="O7486" s="405" t="s">
        <v>630</v>
      </c>
      <c r="P7486" s="405" t="s">
        <v>2217</v>
      </c>
      <c r="Q7486" s="411">
        <v>6</v>
      </c>
      <c r="R7486" s="405" t="s">
        <v>402</v>
      </c>
      <c r="S7486" s="405" t="s">
        <v>27139</v>
      </c>
      <c r="T7486" s="405" t="s">
        <v>32102</v>
      </c>
      <c r="U7486" s="405" t="s">
        <v>319</v>
      </c>
    </row>
    <row r="7487" spans="1:21" hidden="1" x14ac:dyDescent="0.25">
      <c r="A7487" s="405" t="s">
        <v>310</v>
      </c>
      <c r="B7487" s="405" t="s">
        <v>28895</v>
      </c>
      <c r="C7487" s="405" t="s">
        <v>327</v>
      </c>
      <c r="D7487" s="405"/>
      <c r="E7487" s="410">
        <v>41060</v>
      </c>
      <c r="F7487" s="410">
        <v>41105</v>
      </c>
      <c r="G7487" s="405" t="s">
        <v>2542</v>
      </c>
      <c r="H7487" s="405">
        <v>782163807</v>
      </c>
      <c r="I7487" s="405"/>
      <c r="J7487" s="405">
        <v>0.16580300000000001</v>
      </c>
      <c r="K7487" s="405">
        <v>31.840371000000001</v>
      </c>
      <c r="L7487" s="405" t="s">
        <v>314</v>
      </c>
      <c r="M7487" s="405" t="s">
        <v>339</v>
      </c>
      <c r="N7487" s="405" t="s">
        <v>339</v>
      </c>
      <c r="O7487" s="405" t="s">
        <v>1948</v>
      </c>
      <c r="P7487" s="405" t="s">
        <v>2543</v>
      </c>
      <c r="Q7487" s="411">
        <v>6</v>
      </c>
      <c r="R7487" s="405" t="s">
        <v>1263</v>
      </c>
      <c r="S7487" s="405" t="s">
        <v>27190</v>
      </c>
      <c r="T7487" s="405" t="s">
        <v>32102</v>
      </c>
      <c r="U7487" s="405" t="s">
        <v>319</v>
      </c>
    </row>
    <row r="7488" spans="1:21" hidden="1" x14ac:dyDescent="0.25">
      <c r="A7488" s="405" t="s">
        <v>310</v>
      </c>
      <c r="B7488" s="405" t="s">
        <v>11428</v>
      </c>
      <c r="C7488" s="405" t="s">
        <v>327</v>
      </c>
      <c r="D7488" s="405"/>
      <c r="E7488" s="410">
        <v>41060</v>
      </c>
      <c r="F7488" s="410">
        <v>41105</v>
      </c>
      <c r="G7488" s="405" t="s">
        <v>11429</v>
      </c>
      <c r="H7488" s="405">
        <v>752692708</v>
      </c>
      <c r="I7488" s="405">
        <v>7776692708</v>
      </c>
      <c r="J7488" s="405">
        <v>1.5411029999999999</v>
      </c>
      <c r="K7488" s="405">
        <v>33.427416999999998</v>
      </c>
      <c r="L7488" s="405" t="s">
        <v>6866</v>
      </c>
      <c r="M7488" s="405" t="s">
        <v>9658</v>
      </c>
      <c r="N7488" s="405" t="s">
        <v>9658</v>
      </c>
      <c r="O7488" s="405" t="s">
        <v>9659</v>
      </c>
      <c r="P7488" s="405" t="s">
        <v>11430</v>
      </c>
      <c r="Q7488" s="411">
        <v>6</v>
      </c>
      <c r="R7488" s="405" t="s">
        <v>5655</v>
      </c>
      <c r="S7488" s="405" t="s">
        <v>27323</v>
      </c>
      <c r="T7488" s="405" t="s">
        <v>32102</v>
      </c>
      <c r="U7488" s="405" t="s">
        <v>319</v>
      </c>
    </row>
    <row r="7489" spans="1:21" hidden="1" x14ac:dyDescent="0.25">
      <c r="A7489" s="405" t="s">
        <v>310</v>
      </c>
      <c r="B7489" s="405" t="s">
        <v>2581</v>
      </c>
      <c r="C7489" s="405" t="s">
        <v>327</v>
      </c>
      <c r="D7489" s="405"/>
      <c r="E7489" s="410">
        <v>41060</v>
      </c>
      <c r="F7489" s="410">
        <v>41105</v>
      </c>
      <c r="G7489" s="405" t="s">
        <v>2582</v>
      </c>
      <c r="H7489" s="405">
        <v>753981522</v>
      </c>
      <c r="I7489" s="405"/>
      <c r="J7489" s="405">
        <v>0.68527199999999999</v>
      </c>
      <c r="K7489" s="405">
        <v>31.833843000000002</v>
      </c>
      <c r="L7489" s="405" t="s">
        <v>314</v>
      </c>
      <c r="M7489" s="405" t="s">
        <v>445</v>
      </c>
      <c r="N7489" s="405" t="s">
        <v>570</v>
      </c>
      <c r="O7489" s="405" t="s">
        <v>2213</v>
      </c>
      <c r="P7489" s="405" t="s">
        <v>2583</v>
      </c>
      <c r="Q7489" s="411">
        <v>6</v>
      </c>
      <c r="R7489" s="405" t="s">
        <v>32476</v>
      </c>
      <c r="S7489" s="405" t="s">
        <v>27036</v>
      </c>
      <c r="T7489" s="405" t="s">
        <v>32102</v>
      </c>
      <c r="U7489" s="405" t="s">
        <v>319</v>
      </c>
    </row>
    <row r="7490" spans="1:21" hidden="1" x14ac:dyDescent="0.25">
      <c r="A7490" s="405" t="s">
        <v>310</v>
      </c>
      <c r="B7490" s="405" t="s">
        <v>11439</v>
      </c>
      <c r="C7490" s="405" t="s">
        <v>327</v>
      </c>
      <c r="D7490" s="405"/>
      <c r="E7490" s="410">
        <v>41060</v>
      </c>
      <c r="F7490" s="410">
        <v>41105</v>
      </c>
      <c r="G7490" s="405" t="s">
        <v>11440</v>
      </c>
      <c r="H7490" s="405">
        <v>782776274</v>
      </c>
      <c r="I7490" s="405"/>
      <c r="J7490" s="405">
        <v>1.1571800000000001</v>
      </c>
      <c r="K7490" s="405">
        <v>34.215218</v>
      </c>
      <c r="L7490" s="405" t="s">
        <v>6866</v>
      </c>
      <c r="M7490" s="405" t="s">
        <v>9514</v>
      </c>
      <c r="N7490" s="405" t="s">
        <v>9529</v>
      </c>
      <c r="O7490" s="405" t="s">
        <v>9530</v>
      </c>
      <c r="P7490" s="405" t="s">
        <v>10665</v>
      </c>
      <c r="Q7490" s="411">
        <v>6</v>
      </c>
      <c r="R7490" s="405" t="s">
        <v>7224</v>
      </c>
      <c r="S7490" s="405" t="s">
        <v>27294</v>
      </c>
      <c r="T7490" s="405" t="s">
        <v>32102</v>
      </c>
      <c r="U7490" s="405" t="s">
        <v>319</v>
      </c>
    </row>
    <row r="7491" spans="1:21" hidden="1" x14ac:dyDescent="0.25">
      <c r="A7491" s="405" t="s">
        <v>310</v>
      </c>
      <c r="B7491" s="405" t="s">
        <v>11473</v>
      </c>
      <c r="C7491" s="405" t="s">
        <v>327</v>
      </c>
      <c r="D7491" s="405"/>
      <c r="E7491" s="410">
        <v>41060</v>
      </c>
      <c r="F7491" s="410">
        <v>41105</v>
      </c>
      <c r="G7491" s="405" t="s">
        <v>11474</v>
      </c>
      <c r="H7491" s="405">
        <v>752305237</v>
      </c>
      <c r="I7491" s="405"/>
      <c r="J7491" s="405">
        <v>0.86044200000000004</v>
      </c>
      <c r="K7491" s="405">
        <v>34.400914999999998</v>
      </c>
      <c r="L7491" s="405" t="s">
        <v>6866</v>
      </c>
      <c r="M7491" s="405" t="s">
        <v>9763</v>
      </c>
      <c r="N7491" s="405" t="s">
        <v>11470</v>
      </c>
      <c r="O7491" s="405" t="s">
        <v>11475</v>
      </c>
      <c r="P7491" s="405" t="s">
        <v>11476</v>
      </c>
      <c r="Q7491" s="411">
        <v>6</v>
      </c>
      <c r="R7491" s="405" t="s">
        <v>333</v>
      </c>
      <c r="S7491" s="405" t="s">
        <v>27338</v>
      </c>
      <c r="T7491" s="405" t="s">
        <v>32102</v>
      </c>
      <c r="U7491" s="405" t="s">
        <v>319</v>
      </c>
    </row>
    <row r="7492" spans="1:21" hidden="1" x14ac:dyDescent="0.25">
      <c r="A7492" s="405" t="s">
        <v>310</v>
      </c>
      <c r="B7492" s="405" t="s">
        <v>28863</v>
      </c>
      <c r="C7492" s="405" t="s">
        <v>327</v>
      </c>
      <c r="D7492" s="405"/>
      <c r="E7492" s="410">
        <v>41059</v>
      </c>
      <c r="F7492" s="410">
        <v>41104</v>
      </c>
      <c r="G7492" s="405" t="s">
        <v>11423</v>
      </c>
      <c r="H7492" s="405">
        <v>703970102</v>
      </c>
      <c r="I7492" s="405"/>
      <c r="J7492" s="405">
        <v>1.3575120000000001</v>
      </c>
      <c r="K7492" s="405">
        <v>34.422727000000002</v>
      </c>
      <c r="L7492" s="405" t="s">
        <v>6866</v>
      </c>
      <c r="M7492" s="405" t="s">
        <v>9685</v>
      </c>
      <c r="N7492" s="405" t="s">
        <v>11342</v>
      </c>
      <c r="O7492" s="405" t="s">
        <v>11343</v>
      </c>
      <c r="P7492" s="405" t="s">
        <v>11348</v>
      </c>
      <c r="Q7492" s="411">
        <v>6</v>
      </c>
      <c r="R7492" s="405" t="s">
        <v>9541</v>
      </c>
      <c r="S7492" s="405" t="s">
        <v>27302</v>
      </c>
      <c r="T7492" s="405" t="s">
        <v>32102</v>
      </c>
      <c r="U7492" s="405" t="s">
        <v>319</v>
      </c>
    </row>
    <row r="7493" spans="1:21" hidden="1" x14ac:dyDescent="0.25">
      <c r="A7493" s="405" t="s">
        <v>310</v>
      </c>
      <c r="B7493" s="405" t="s">
        <v>3151</v>
      </c>
      <c r="C7493" s="405" t="s">
        <v>311</v>
      </c>
      <c r="D7493" s="405" t="s">
        <v>839</v>
      </c>
      <c r="E7493" s="410">
        <v>41059</v>
      </c>
      <c r="F7493" s="410">
        <v>41104</v>
      </c>
      <c r="G7493" s="405" t="s">
        <v>3152</v>
      </c>
      <c r="H7493" s="405">
        <v>782380460</v>
      </c>
      <c r="I7493" s="405"/>
      <c r="J7493" s="405">
        <v>0.33093299999999998</v>
      </c>
      <c r="K7493" s="405">
        <v>32.107252000000003</v>
      </c>
      <c r="L7493" s="405" t="s">
        <v>314</v>
      </c>
      <c r="M7493" s="405" t="s">
        <v>675</v>
      </c>
      <c r="N7493" s="405" t="s">
        <v>676</v>
      </c>
      <c r="O7493" s="405" t="s">
        <v>2342</v>
      </c>
      <c r="P7493" s="405" t="s">
        <v>3150</v>
      </c>
      <c r="Q7493" s="411">
        <v>6</v>
      </c>
      <c r="R7493" s="405" t="s">
        <v>1263</v>
      </c>
      <c r="S7493" s="405" t="s">
        <v>27169</v>
      </c>
      <c r="T7493" s="405" t="s">
        <v>32102</v>
      </c>
      <c r="U7493" s="405" t="s">
        <v>319</v>
      </c>
    </row>
    <row r="7494" spans="1:21" hidden="1" x14ac:dyDescent="0.25">
      <c r="A7494" s="405" t="s">
        <v>310</v>
      </c>
      <c r="B7494" s="405" t="s">
        <v>28893</v>
      </c>
      <c r="C7494" s="405" t="s">
        <v>327</v>
      </c>
      <c r="D7494" s="405"/>
      <c r="E7494" s="410">
        <v>41057</v>
      </c>
      <c r="F7494" s="410">
        <v>41102</v>
      </c>
      <c r="G7494" s="405" t="s">
        <v>20565</v>
      </c>
      <c r="H7494" s="405">
        <v>784489644</v>
      </c>
      <c r="I7494" s="405"/>
      <c r="J7494" s="405">
        <v>-0.66142699999999999</v>
      </c>
      <c r="K7494" s="405">
        <v>30.336675</v>
      </c>
      <c r="L7494" s="405" t="s">
        <v>590</v>
      </c>
      <c r="M7494" s="405" t="s">
        <v>19725</v>
      </c>
      <c r="N7494" s="405" t="s">
        <v>19725</v>
      </c>
      <c r="O7494" s="405" t="s">
        <v>20566</v>
      </c>
      <c r="P7494" s="405" t="s">
        <v>20567</v>
      </c>
      <c r="Q7494" s="411">
        <v>9</v>
      </c>
      <c r="R7494" s="405" t="s">
        <v>967</v>
      </c>
      <c r="S7494" s="405" t="s">
        <v>27166</v>
      </c>
      <c r="T7494" s="405" t="s">
        <v>32102</v>
      </c>
      <c r="U7494" s="405" t="s">
        <v>319</v>
      </c>
    </row>
    <row r="7495" spans="1:21" hidden="1" x14ac:dyDescent="0.25">
      <c r="A7495" s="405" t="s">
        <v>310</v>
      </c>
      <c r="B7495" s="405" t="s">
        <v>27641</v>
      </c>
      <c r="C7495" s="405" t="s">
        <v>311</v>
      </c>
      <c r="D7495" s="405" t="s">
        <v>1111</v>
      </c>
      <c r="E7495" s="410">
        <v>41057</v>
      </c>
      <c r="F7495" s="410">
        <v>41102</v>
      </c>
      <c r="G7495" s="405" t="s">
        <v>11871</v>
      </c>
      <c r="H7495" s="405">
        <v>700164674</v>
      </c>
      <c r="I7495" s="405"/>
      <c r="J7495" s="405">
        <v>1.357302</v>
      </c>
      <c r="K7495" s="405">
        <v>34.420789999999997</v>
      </c>
      <c r="L7495" s="405" t="s">
        <v>6866</v>
      </c>
      <c r="M7495" s="405" t="s">
        <v>9685</v>
      </c>
      <c r="N7495" s="405" t="s">
        <v>11342</v>
      </c>
      <c r="O7495" s="405" t="s">
        <v>11343</v>
      </c>
      <c r="P7495" s="405" t="s">
        <v>11348</v>
      </c>
      <c r="Q7495" s="411">
        <v>6</v>
      </c>
      <c r="R7495" s="405" t="s">
        <v>9541</v>
      </c>
      <c r="S7495" s="405" t="s">
        <v>27296</v>
      </c>
      <c r="T7495" s="405" t="s">
        <v>32102</v>
      </c>
      <c r="U7495" s="405" t="s">
        <v>319</v>
      </c>
    </row>
    <row r="7496" spans="1:21" hidden="1" x14ac:dyDescent="0.25">
      <c r="A7496" s="405" t="s">
        <v>310</v>
      </c>
      <c r="B7496" s="405" t="s">
        <v>11418</v>
      </c>
      <c r="C7496" s="405" t="s">
        <v>327</v>
      </c>
      <c r="D7496" s="405"/>
      <c r="E7496" s="410">
        <v>41057</v>
      </c>
      <c r="F7496" s="410">
        <v>41102</v>
      </c>
      <c r="G7496" s="405" t="s">
        <v>11419</v>
      </c>
      <c r="H7496" s="405">
        <v>705263081</v>
      </c>
      <c r="I7496" s="405"/>
      <c r="J7496" s="405">
        <v>1.3570150000000001</v>
      </c>
      <c r="K7496" s="405">
        <v>34.421627999999998</v>
      </c>
      <c r="L7496" s="405" t="s">
        <v>6866</v>
      </c>
      <c r="M7496" s="405" t="s">
        <v>9685</v>
      </c>
      <c r="N7496" s="405" t="s">
        <v>11342</v>
      </c>
      <c r="O7496" s="405" t="s">
        <v>11343</v>
      </c>
      <c r="P7496" s="405" t="s">
        <v>11348</v>
      </c>
      <c r="Q7496" s="411">
        <v>6</v>
      </c>
      <c r="R7496" s="405" t="s">
        <v>9541</v>
      </c>
      <c r="S7496" s="405" t="s">
        <v>27294</v>
      </c>
      <c r="T7496" s="405" t="s">
        <v>32102</v>
      </c>
      <c r="U7496" s="405" t="s">
        <v>319</v>
      </c>
    </row>
    <row r="7497" spans="1:21" hidden="1" x14ac:dyDescent="0.25">
      <c r="A7497" s="405" t="s">
        <v>310</v>
      </c>
      <c r="B7497" s="405" t="s">
        <v>2567</v>
      </c>
      <c r="C7497" s="405" t="s">
        <v>327</v>
      </c>
      <c r="D7497" s="405"/>
      <c r="E7497" s="410">
        <v>41056</v>
      </c>
      <c r="F7497" s="410">
        <v>41101</v>
      </c>
      <c r="G7497" s="405" t="s">
        <v>2568</v>
      </c>
      <c r="H7497" s="405">
        <v>771603662</v>
      </c>
      <c r="I7497" s="405"/>
      <c r="J7497" s="405">
        <v>0.45130799999999999</v>
      </c>
      <c r="K7497" s="405">
        <v>32.008879999999998</v>
      </c>
      <c r="L7497" s="405" t="s">
        <v>314</v>
      </c>
      <c r="M7497" s="405" t="s">
        <v>675</v>
      </c>
      <c r="N7497" s="405" t="s">
        <v>1065</v>
      </c>
      <c r="O7497" s="405" t="s">
        <v>1248</v>
      </c>
      <c r="P7497" s="405" t="s">
        <v>2569</v>
      </c>
      <c r="Q7497" s="411">
        <v>6</v>
      </c>
      <c r="R7497" s="405" t="s">
        <v>32476</v>
      </c>
      <c r="S7497" s="405" t="s">
        <v>27036</v>
      </c>
      <c r="T7497" s="405" t="s">
        <v>32102</v>
      </c>
      <c r="U7497" s="405" t="s">
        <v>319</v>
      </c>
    </row>
    <row r="7498" spans="1:21" hidden="1" x14ac:dyDescent="0.25">
      <c r="A7498" s="405" t="s">
        <v>310</v>
      </c>
      <c r="B7498" s="405" t="s">
        <v>18344</v>
      </c>
      <c r="C7498" s="405" t="s">
        <v>327</v>
      </c>
      <c r="D7498" s="405"/>
      <c r="E7498" s="410">
        <v>41055</v>
      </c>
      <c r="F7498" s="410">
        <v>41100</v>
      </c>
      <c r="G7498" s="405" t="s">
        <v>18345</v>
      </c>
      <c r="H7498" s="405">
        <v>781609941</v>
      </c>
      <c r="I7498" s="405">
        <v>712494979</v>
      </c>
      <c r="J7498" s="405">
        <v>2.7574700000000001</v>
      </c>
      <c r="K7498" s="405">
        <v>32.319020999999999</v>
      </c>
      <c r="L7498" s="405" t="s">
        <v>860</v>
      </c>
      <c r="M7498" s="405" t="s">
        <v>853</v>
      </c>
      <c r="N7498" s="405" t="s">
        <v>18246</v>
      </c>
      <c r="O7498" s="405" t="s">
        <v>18278</v>
      </c>
      <c r="P7498" s="405" t="s">
        <v>18346</v>
      </c>
      <c r="Q7498" s="411">
        <v>6</v>
      </c>
      <c r="R7498" s="405" t="s">
        <v>333</v>
      </c>
      <c r="S7498" s="405" t="s">
        <v>17013</v>
      </c>
      <c r="T7498" s="405" t="s">
        <v>32102</v>
      </c>
      <c r="U7498" s="405" t="s">
        <v>319</v>
      </c>
    </row>
    <row r="7499" spans="1:21" hidden="1" x14ac:dyDescent="0.25">
      <c r="A7499" s="405" t="s">
        <v>310</v>
      </c>
      <c r="B7499" s="405" t="s">
        <v>20527</v>
      </c>
      <c r="C7499" s="405" t="s">
        <v>327</v>
      </c>
      <c r="D7499" s="405"/>
      <c r="E7499" s="410">
        <v>41053</v>
      </c>
      <c r="F7499" s="410">
        <v>41098</v>
      </c>
      <c r="G7499" s="405" t="s">
        <v>20528</v>
      </c>
      <c r="H7499" s="405">
        <v>752629097</v>
      </c>
      <c r="I7499" s="405"/>
      <c r="J7499" s="405">
        <v>-0.49314799999999998</v>
      </c>
      <c r="K7499" s="405">
        <v>30.688082999999999</v>
      </c>
      <c r="L7499" s="405" t="s">
        <v>590</v>
      </c>
      <c r="M7499" s="405" t="s">
        <v>19614</v>
      </c>
      <c r="N7499" s="405" t="s">
        <v>19615</v>
      </c>
      <c r="O7499" s="405" t="s">
        <v>19616</v>
      </c>
      <c r="P7499" s="405" t="s">
        <v>19617</v>
      </c>
      <c r="Q7499" s="411">
        <v>6</v>
      </c>
      <c r="R7499" s="405" t="s">
        <v>333</v>
      </c>
      <c r="S7499" s="405" t="s">
        <v>27098</v>
      </c>
      <c r="T7499" s="405" t="s">
        <v>32102</v>
      </c>
      <c r="U7499" s="405" t="s">
        <v>319</v>
      </c>
    </row>
    <row r="7500" spans="1:21" hidden="1" x14ac:dyDescent="0.25">
      <c r="A7500" s="405" t="s">
        <v>310</v>
      </c>
      <c r="B7500" s="405" t="s">
        <v>2592</v>
      </c>
      <c r="C7500" s="405" t="s">
        <v>327</v>
      </c>
      <c r="D7500" s="405"/>
      <c r="E7500" s="410">
        <v>41052</v>
      </c>
      <c r="F7500" s="410">
        <v>41097</v>
      </c>
      <c r="G7500" s="405" t="s">
        <v>2593</v>
      </c>
      <c r="H7500" s="405">
        <v>774088394</v>
      </c>
      <c r="I7500" s="405"/>
      <c r="J7500" s="405">
        <v>1.1836249999999999</v>
      </c>
      <c r="K7500" s="405">
        <v>31.970763000000002</v>
      </c>
      <c r="L7500" s="405" t="s">
        <v>314</v>
      </c>
      <c r="M7500" s="405" t="s">
        <v>2297</v>
      </c>
      <c r="N7500" s="405" t="s">
        <v>2297</v>
      </c>
      <c r="O7500" s="405" t="s">
        <v>2520</v>
      </c>
      <c r="P7500" s="405" t="s">
        <v>2521</v>
      </c>
      <c r="Q7500" s="411">
        <v>13</v>
      </c>
      <c r="R7500" s="405" t="s">
        <v>318</v>
      </c>
      <c r="S7500" s="405" t="s">
        <v>27194</v>
      </c>
      <c r="T7500" s="405" t="s">
        <v>32102</v>
      </c>
      <c r="U7500" s="405" t="s">
        <v>319</v>
      </c>
    </row>
    <row r="7501" spans="1:21" hidden="1" x14ac:dyDescent="0.25">
      <c r="A7501" s="405" t="s">
        <v>310</v>
      </c>
      <c r="B7501" s="405" t="s">
        <v>20546</v>
      </c>
      <c r="C7501" s="405" t="s">
        <v>327</v>
      </c>
      <c r="D7501" s="405"/>
      <c r="E7501" s="410">
        <v>41052</v>
      </c>
      <c r="F7501" s="410">
        <v>41097</v>
      </c>
      <c r="G7501" s="405" t="s">
        <v>20547</v>
      </c>
      <c r="H7501" s="405">
        <v>775842762</v>
      </c>
      <c r="I7501" s="405"/>
      <c r="J7501" s="405">
        <v>-1.0178579999999999</v>
      </c>
      <c r="K7501" s="405">
        <v>30.134094000000001</v>
      </c>
      <c r="L7501" s="405" t="s">
        <v>590</v>
      </c>
      <c r="M7501" s="405" t="s">
        <v>19659</v>
      </c>
      <c r="N7501" s="405" t="s">
        <v>19677</v>
      </c>
      <c r="O7501" s="405" t="s">
        <v>20548</v>
      </c>
      <c r="P7501" s="405" t="s">
        <v>20549</v>
      </c>
      <c r="Q7501" s="411">
        <v>13</v>
      </c>
      <c r="R7501" s="405" t="s">
        <v>967</v>
      </c>
      <c r="S7501" s="405" t="s">
        <v>27401</v>
      </c>
      <c r="T7501" s="405" t="s">
        <v>32102</v>
      </c>
      <c r="U7501" s="405" t="s">
        <v>319</v>
      </c>
    </row>
    <row r="7502" spans="1:21" hidden="1" x14ac:dyDescent="0.25">
      <c r="A7502" s="405" t="s">
        <v>310</v>
      </c>
      <c r="B7502" s="405" t="s">
        <v>11468</v>
      </c>
      <c r="C7502" s="405" t="s">
        <v>327</v>
      </c>
      <c r="D7502" s="405"/>
      <c r="E7502" s="410">
        <v>41052</v>
      </c>
      <c r="F7502" s="410">
        <v>41097</v>
      </c>
      <c r="G7502" s="405" t="s">
        <v>11469</v>
      </c>
      <c r="H7502" s="405">
        <v>775718556</v>
      </c>
      <c r="I7502" s="405"/>
      <c r="J7502" s="405">
        <v>0.84884700000000002</v>
      </c>
      <c r="K7502" s="405">
        <v>34.386845000000001</v>
      </c>
      <c r="L7502" s="405" t="s">
        <v>6866</v>
      </c>
      <c r="M7502" s="405" t="s">
        <v>9763</v>
      </c>
      <c r="N7502" s="405" t="s">
        <v>11470</v>
      </c>
      <c r="O7502" s="405" t="s">
        <v>11471</v>
      </c>
      <c r="P7502" s="405" t="s">
        <v>11472</v>
      </c>
      <c r="Q7502" s="411">
        <v>4</v>
      </c>
      <c r="R7502" s="405" t="s">
        <v>7224</v>
      </c>
      <c r="S7502" s="405" t="s">
        <v>27107</v>
      </c>
      <c r="T7502" s="405" t="s">
        <v>32102</v>
      </c>
      <c r="U7502" s="405" t="s">
        <v>319</v>
      </c>
    </row>
    <row r="7503" spans="1:21" hidden="1" x14ac:dyDescent="0.25">
      <c r="A7503" s="405" t="s">
        <v>310</v>
      </c>
      <c r="B7503" s="405" t="s">
        <v>20535</v>
      </c>
      <c r="C7503" s="405" t="s">
        <v>327</v>
      </c>
      <c r="D7503" s="405"/>
      <c r="E7503" s="410">
        <v>41051</v>
      </c>
      <c r="F7503" s="410">
        <v>41096</v>
      </c>
      <c r="G7503" s="405" t="s">
        <v>20536</v>
      </c>
      <c r="H7503" s="405">
        <v>772518907</v>
      </c>
      <c r="I7503" s="405"/>
      <c r="J7503" s="405">
        <v>0.64294700000000005</v>
      </c>
      <c r="K7503" s="405">
        <v>30.573696000000002</v>
      </c>
      <c r="L7503" s="405" t="s">
        <v>590</v>
      </c>
      <c r="M7503" s="405" t="s">
        <v>20426</v>
      </c>
      <c r="N7503" s="405" t="s">
        <v>10925</v>
      </c>
      <c r="O7503" s="405" t="s">
        <v>20537</v>
      </c>
      <c r="P7503" s="405" t="s">
        <v>20538</v>
      </c>
      <c r="Q7503" s="411">
        <v>13</v>
      </c>
      <c r="R7503" s="405" t="s">
        <v>883</v>
      </c>
      <c r="S7503" s="405" t="s">
        <v>27173</v>
      </c>
      <c r="T7503" s="405" t="s">
        <v>32102</v>
      </c>
      <c r="U7503" s="405" t="s">
        <v>319</v>
      </c>
    </row>
    <row r="7504" spans="1:21" hidden="1" x14ac:dyDescent="0.25">
      <c r="A7504" s="405" t="s">
        <v>310</v>
      </c>
      <c r="B7504" s="405" t="s">
        <v>29131</v>
      </c>
      <c r="C7504" s="405" t="s">
        <v>327</v>
      </c>
      <c r="D7504" s="405"/>
      <c r="E7504" s="410">
        <v>41051</v>
      </c>
      <c r="F7504" s="410">
        <v>41096</v>
      </c>
      <c r="G7504" s="405" t="s">
        <v>20561</v>
      </c>
      <c r="H7504" s="405">
        <v>774350858</v>
      </c>
      <c r="I7504" s="405"/>
      <c r="J7504" s="405">
        <v>-0.48734100000000002</v>
      </c>
      <c r="K7504" s="405">
        <v>30.441853999999999</v>
      </c>
      <c r="L7504" s="405" t="s">
        <v>590</v>
      </c>
      <c r="M7504" s="405" t="s">
        <v>19725</v>
      </c>
      <c r="N7504" s="405" t="s">
        <v>19725</v>
      </c>
      <c r="O7504" s="405" t="s">
        <v>19938</v>
      </c>
      <c r="P7504" s="405" t="s">
        <v>19939</v>
      </c>
      <c r="Q7504" s="411">
        <v>9</v>
      </c>
      <c r="R7504" s="405" t="s">
        <v>333</v>
      </c>
      <c r="S7504" s="405" t="s">
        <v>27098</v>
      </c>
      <c r="T7504" s="405" t="s">
        <v>32102</v>
      </c>
      <c r="U7504" s="405" t="s">
        <v>319</v>
      </c>
    </row>
    <row r="7505" spans="1:21" hidden="1" x14ac:dyDescent="0.25">
      <c r="A7505" s="405" t="s">
        <v>310</v>
      </c>
      <c r="B7505" s="405" t="s">
        <v>20524</v>
      </c>
      <c r="C7505" s="405" t="s">
        <v>327</v>
      </c>
      <c r="D7505" s="405"/>
      <c r="E7505" s="410">
        <v>41051</v>
      </c>
      <c r="F7505" s="410">
        <v>41096</v>
      </c>
      <c r="G7505" s="405" t="s">
        <v>20525</v>
      </c>
      <c r="H7505" s="405">
        <v>772429224</v>
      </c>
      <c r="I7505" s="405"/>
      <c r="J7505" s="405">
        <v>-0.45779399999999998</v>
      </c>
      <c r="K7505" s="405">
        <v>30.628095999999999</v>
      </c>
      <c r="L7505" s="405" t="s">
        <v>590</v>
      </c>
      <c r="M7505" s="405" t="s">
        <v>19614</v>
      </c>
      <c r="N7505" s="405" t="s">
        <v>19615</v>
      </c>
      <c r="O7505" s="405" t="s">
        <v>19650</v>
      </c>
      <c r="P7505" s="405" t="s">
        <v>20526</v>
      </c>
      <c r="Q7505" s="411">
        <v>9</v>
      </c>
      <c r="R7505" s="405" t="s">
        <v>883</v>
      </c>
      <c r="S7505" s="405" t="s">
        <v>27160</v>
      </c>
      <c r="T7505" s="405" t="s">
        <v>32102</v>
      </c>
      <c r="U7505" s="405" t="s">
        <v>319</v>
      </c>
    </row>
    <row r="7506" spans="1:21" hidden="1" x14ac:dyDescent="0.25">
      <c r="A7506" s="405" t="s">
        <v>310</v>
      </c>
      <c r="B7506" s="405" t="s">
        <v>20539</v>
      </c>
      <c r="C7506" s="405" t="s">
        <v>327</v>
      </c>
      <c r="D7506" s="405"/>
      <c r="E7506" s="410">
        <v>41051</v>
      </c>
      <c r="F7506" s="410">
        <v>41096</v>
      </c>
      <c r="G7506" s="405" t="s">
        <v>20540</v>
      </c>
      <c r="H7506" s="405">
        <v>775400294</v>
      </c>
      <c r="I7506" s="405"/>
      <c r="J7506" s="405">
        <v>0.50063999999999997</v>
      </c>
      <c r="K7506" s="405">
        <v>30.861422000000001</v>
      </c>
      <c r="L7506" s="405" t="s">
        <v>590</v>
      </c>
      <c r="M7506" s="405" t="s">
        <v>20426</v>
      </c>
      <c r="N7506" s="405" t="s">
        <v>10925</v>
      </c>
      <c r="O7506" s="405" t="s">
        <v>20541</v>
      </c>
      <c r="P7506" s="405" t="s">
        <v>20542</v>
      </c>
      <c r="Q7506" s="411">
        <v>9</v>
      </c>
      <c r="R7506" s="405" t="s">
        <v>883</v>
      </c>
      <c r="S7506" s="405" t="s">
        <v>27097</v>
      </c>
      <c r="T7506" s="405" t="s">
        <v>32102</v>
      </c>
      <c r="U7506" s="405" t="s">
        <v>319</v>
      </c>
    </row>
    <row r="7507" spans="1:21" hidden="1" x14ac:dyDescent="0.25">
      <c r="A7507" s="405" t="s">
        <v>310</v>
      </c>
      <c r="B7507" s="405" t="s">
        <v>28240</v>
      </c>
      <c r="C7507" s="405" t="s">
        <v>327</v>
      </c>
      <c r="D7507" s="405"/>
      <c r="E7507" s="410">
        <v>41051</v>
      </c>
      <c r="F7507" s="410">
        <v>41096</v>
      </c>
      <c r="G7507" s="405" t="s">
        <v>11456</v>
      </c>
      <c r="H7507" s="405">
        <v>772488202</v>
      </c>
      <c r="I7507" s="405">
        <v>774143046</v>
      </c>
      <c r="J7507" s="405">
        <v>1.0862449999999999</v>
      </c>
      <c r="K7507" s="405">
        <v>34.172825000000003</v>
      </c>
      <c r="L7507" s="405" t="s">
        <v>6866</v>
      </c>
      <c r="M7507" s="405" t="s">
        <v>9514</v>
      </c>
      <c r="N7507" s="405" t="s">
        <v>10236</v>
      </c>
      <c r="O7507" s="405" t="s">
        <v>11457</v>
      </c>
      <c r="P7507" s="405" t="s">
        <v>11458</v>
      </c>
      <c r="Q7507" s="411">
        <v>6</v>
      </c>
      <c r="R7507" s="405" t="s">
        <v>7224</v>
      </c>
      <c r="S7507" s="405" t="s">
        <v>17013</v>
      </c>
      <c r="T7507" s="405" t="s">
        <v>32102</v>
      </c>
      <c r="U7507" s="405" t="s">
        <v>319</v>
      </c>
    </row>
    <row r="7508" spans="1:21" hidden="1" x14ac:dyDescent="0.25">
      <c r="A7508" s="405" t="s">
        <v>310</v>
      </c>
      <c r="B7508" s="405" t="s">
        <v>20504</v>
      </c>
      <c r="C7508" s="405" t="s">
        <v>327</v>
      </c>
      <c r="D7508" s="405"/>
      <c r="E7508" s="410">
        <v>41051</v>
      </c>
      <c r="F7508" s="410">
        <v>41096</v>
      </c>
      <c r="G7508" s="405" t="s">
        <v>20505</v>
      </c>
      <c r="H7508" s="405">
        <v>753653023</v>
      </c>
      <c r="I7508" s="405"/>
      <c r="J7508" s="405">
        <v>-0.77890800000000004</v>
      </c>
      <c r="K7508" s="405">
        <v>30.67709</v>
      </c>
      <c r="L7508" s="405" t="s">
        <v>590</v>
      </c>
      <c r="M7508" s="405" t="s">
        <v>879</v>
      </c>
      <c r="N7508" s="405" t="s">
        <v>879</v>
      </c>
      <c r="O7508" s="405" t="s">
        <v>20020</v>
      </c>
      <c r="P7508" s="405" t="s">
        <v>20142</v>
      </c>
      <c r="Q7508" s="411">
        <v>6</v>
      </c>
      <c r="R7508" s="405" t="s">
        <v>333</v>
      </c>
      <c r="S7508" s="405" t="s">
        <v>27298</v>
      </c>
      <c r="T7508" s="405" t="s">
        <v>32102</v>
      </c>
      <c r="U7508" s="405" t="s">
        <v>319</v>
      </c>
    </row>
    <row r="7509" spans="1:21" hidden="1" x14ac:dyDescent="0.25">
      <c r="A7509" s="405" t="s">
        <v>310</v>
      </c>
      <c r="B7509" s="405" t="s">
        <v>20556</v>
      </c>
      <c r="C7509" s="405" t="s">
        <v>327</v>
      </c>
      <c r="D7509" s="405"/>
      <c r="E7509" s="410">
        <v>41051</v>
      </c>
      <c r="F7509" s="410">
        <v>41096</v>
      </c>
      <c r="G7509" s="405" t="s">
        <v>20557</v>
      </c>
      <c r="H7509" s="405">
        <v>752624507</v>
      </c>
      <c r="I7509" s="405"/>
      <c r="J7509" s="405">
        <v>1.0666E-2</v>
      </c>
      <c r="K7509" s="405">
        <v>30.539342000000001</v>
      </c>
      <c r="L7509" s="405" t="s">
        <v>590</v>
      </c>
      <c r="M7509" s="405" t="s">
        <v>870</v>
      </c>
      <c r="N7509" s="405" t="s">
        <v>20193</v>
      </c>
      <c r="O7509" s="405" t="s">
        <v>20487</v>
      </c>
      <c r="P7509" s="405" t="s">
        <v>19797</v>
      </c>
      <c r="Q7509" s="411">
        <v>6</v>
      </c>
      <c r="R7509" s="405" t="s">
        <v>333</v>
      </c>
      <c r="S7509" s="405" t="s">
        <v>27164</v>
      </c>
      <c r="T7509" s="405" t="s">
        <v>32102</v>
      </c>
      <c r="U7509" s="405" t="s">
        <v>319</v>
      </c>
    </row>
    <row r="7510" spans="1:21" hidden="1" x14ac:dyDescent="0.25">
      <c r="A7510" s="405" t="s">
        <v>310</v>
      </c>
      <c r="B7510" s="405" t="s">
        <v>20529</v>
      </c>
      <c r="C7510" s="405" t="s">
        <v>327</v>
      </c>
      <c r="D7510" s="405"/>
      <c r="E7510" s="410">
        <v>41051</v>
      </c>
      <c r="F7510" s="410">
        <v>41096</v>
      </c>
      <c r="G7510" s="405" t="s">
        <v>20530</v>
      </c>
      <c r="H7510" s="405">
        <v>702620557</v>
      </c>
      <c r="I7510" s="405"/>
      <c r="J7510" s="405">
        <v>-0.70336699999999996</v>
      </c>
      <c r="K7510" s="405">
        <v>30.758191</v>
      </c>
      <c r="L7510" s="405" t="s">
        <v>590</v>
      </c>
      <c r="M7510" s="405" t="s">
        <v>879</v>
      </c>
      <c r="N7510" s="405" t="s">
        <v>880</v>
      </c>
      <c r="O7510" s="405" t="s">
        <v>881</v>
      </c>
      <c r="P7510" s="405" t="s">
        <v>20531</v>
      </c>
      <c r="Q7510" s="411">
        <v>6</v>
      </c>
      <c r="R7510" s="405" t="s">
        <v>333</v>
      </c>
      <c r="S7510" s="405" t="s">
        <v>27104</v>
      </c>
      <c r="T7510" s="405" t="s">
        <v>32102</v>
      </c>
      <c r="U7510" s="405" t="s">
        <v>319</v>
      </c>
    </row>
    <row r="7511" spans="1:21" hidden="1" x14ac:dyDescent="0.25">
      <c r="A7511" s="405" t="s">
        <v>310</v>
      </c>
      <c r="B7511" s="405" t="s">
        <v>33</v>
      </c>
      <c r="C7511" s="405" t="s">
        <v>327</v>
      </c>
      <c r="D7511" s="405"/>
      <c r="E7511" s="410">
        <v>41050</v>
      </c>
      <c r="F7511" s="410">
        <v>41095</v>
      </c>
      <c r="G7511" s="405" t="s">
        <v>11411</v>
      </c>
      <c r="H7511" s="405">
        <v>772988806</v>
      </c>
      <c r="I7511" s="405">
        <v>705167042</v>
      </c>
      <c r="J7511" s="405">
        <v>1.0251749999999999</v>
      </c>
      <c r="K7511" s="405">
        <v>34.182074999999998</v>
      </c>
      <c r="L7511" s="405" t="s">
        <v>6866</v>
      </c>
      <c r="M7511" s="405" t="s">
        <v>9514</v>
      </c>
      <c r="N7511" s="405" t="s">
        <v>9529</v>
      </c>
      <c r="O7511" s="405" t="s">
        <v>9571</v>
      </c>
      <c r="P7511" s="405" t="s">
        <v>9695</v>
      </c>
      <c r="Q7511" s="411">
        <v>6</v>
      </c>
      <c r="R7511" s="405" t="s">
        <v>11412</v>
      </c>
      <c r="S7511" s="405" t="s">
        <v>27142</v>
      </c>
      <c r="T7511" s="405" t="s">
        <v>32102</v>
      </c>
      <c r="U7511" s="405" t="s">
        <v>319</v>
      </c>
    </row>
    <row r="7512" spans="1:21" hidden="1" x14ac:dyDescent="0.25">
      <c r="A7512" s="405" t="s">
        <v>310</v>
      </c>
      <c r="B7512" s="405" t="s">
        <v>20510</v>
      </c>
      <c r="C7512" s="405" t="s">
        <v>327</v>
      </c>
      <c r="D7512" s="405"/>
      <c r="E7512" s="410">
        <v>41049</v>
      </c>
      <c r="F7512" s="410">
        <v>41094</v>
      </c>
      <c r="G7512" s="405" t="s">
        <v>20511</v>
      </c>
      <c r="H7512" s="405">
        <v>392967406</v>
      </c>
      <c r="I7512" s="405">
        <v>785209292</v>
      </c>
      <c r="J7512" s="405">
        <v>1.4168624999999999</v>
      </c>
      <c r="K7512" s="405">
        <v>31.359105</v>
      </c>
      <c r="L7512" s="405" t="s">
        <v>590</v>
      </c>
      <c r="M7512" s="405" t="s">
        <v>7300</v>
      </c>
      <c r="N7512" s="405" t="s">
        <v>20091</v>
      </c>
      <c r="O7512" s="405" t="s">
        <v>20512</v>
      </c>
      <c r="P7512" s="405" t="s">
        <v>20513</v>
      </c>
      <c r="Q7512" s="411">
        <v>13</v>
      </c>
      <c r="R7512" s="405" t="s">
        <v>318</v>
      </c>
      <c r="S7512" s="405" t="s">
        <v>27148</v>
      </c>
      <c r="T7512" s="405" t="s">
        <v>32102</v>
      </c>
      <c r="U7512" s="405" t="s">
        <v>319</v>
      </c>
    </row>
    <row r="7513" spans="1:21" hidden="1" x14ac:dyDescent="0.25">
      <c r="A7513" s="405" t="s">
        <v>310</v>
      </c>
      <c r="B7513" s="405" t="s">
        <v>11416</v>
      </c>
      <c r="C7513" s="405" t="s">
        <v>327</v>
      </c>
      <c r="D7513" s="405"/>
      <c r="E7513" s="410">
        <v>41049</v>
      </c>
      <c r="F7513" s="410">
        <v>41094</v>
      </c>
      <c r="G7513" s="405" t="s">
        <v>11417</v>
      </c>
      <c r="H7513" s="405">
        <v>778124100</v>
      </c>
      <c r="I7513" s="405"/>
      <c r="J7513" s="405">
        <v>1.357855</v>
      </c>
      <c r="K7513" s="405">
        <v>34.420381999999996</v>
      </c>
      <c r="L7513" s="405" t="s">
        <v>6866</v>
      </c>
      <c r="M7513" s="405" t="s">
        <v>9685</v>
      </c>
      <c r="N7513" s="405" t="s">
        <v>11342</v>
      </c>
      <c r="O7513" s="405" t="s">
        <v>11343</v>
      </c>
      <c r="P7513" s="405" t="s">
        <v>11348</v>
      </c>
      <c r="Q7513" s="411">
        <v>6</v>
      </c>
      <c r="R7513" s="405" t="s">
        <v>9541</v>
      </c>
      <c r="S7513" s="405" t="s">
        <v>27306</v>
      </c>
      <c r="T7513" s="405" t="s">
        <v>32102</v>
      </c>
      <c r="U7513" s="405" t="s">
        <v>319</v>
      </c>
    </row>
    <row r="7514" spans="1:21" hidden="1" x14ac:dyDescent="0.25">
      <c r="A7514" s="405" t="s">
        <v>310</v>
      </c>
      <c r="B7514" s="405" t="s">
        <v>2584</v>
      </c>
      <c r="C7514" s="405" t="s">
        <v>327</v>
      </c>
      <c r="D7514" s="405"/>
      <c r="E7514" s="410">
        <v>41049</v>
      </c>
      <c r="F7514" s="410">
        <v>41094</v>
      </c>
      <c r="G7514" s="405" t="s">
        <v>2585</v>
      </c>
      <c r="H7514" s="405">
        <v>782427787</v>
      </c>
      <c r="I7514" s="405">
        <v>772934473</v>
      </c>
      <c r="J7514" s="405">
        <v>0.33652300000000002</v>
      </c>
      <c r="K7514" s="405">
        <v>32.109876999999997</v>
      </c>
      <c r="L7514" s="405" t="s">
        <v>314</v>
      </c>
      <c r="M7514" s="405" t="s">
        <v>675</v>
      </c>
      <c r="N7514" s="405" t="s">
        <v>676</v>
      </c>
      <c r="O7514" s="405" t="s">
        <v>2342</v>
      </c>
      <c r="P7514" s="405" t="s">
        <v>2411</v>
      </c>
      <c r="Q7514" s="411">
        <v>6</v>
      </c>
      <c r="R7514" s="405" t="s">
        <v>32476</v>
      </c>
      <c r="S7514" s="405" t="s">
        <v>27154</v>
      </c>
      <c r="T7514" s="405" t="s">
        <v>32102</v>
      </c>
      <c r="U7514" s="405" t="s">
        <v>319</v>
      </c>
    </row>
    <row r="7515" spans="1:21" hidden="1" x14ac:dyDescent="0.25">
      <c r="A7515" s="405" t="s">
        <v>310</v>
      </c>
      <c r="B7515" s="405" t="s">
        <v>2565</v>
      </c>
      <c r="C7515" s="405" t="s">
        <v>327</v>
      </c>
      <c r="D7515" s="405"/>
      <c r="E7515" s="410">
        <v>41049</v>
      </c>
      <c r="F7515" s="410">
        <v>41094</v>
      </c>
      <c r="G7515" s="405" t="s">
        <v>2566</v>
      </c>
      <c r="H7515" s="405">
        <v>785208419</v>
      </c>
      <c r="I7515" s="405"/>
      <c r="J7515" s="405">
        <v>0.66687700000000005</v>
      </c>
      <c r="K7515" s="405">
        <v>32.934627999999996</v>
      </c>
      <c r="L7515" s="405" t="s">
        <v>314</v>
      </c>
      <c r="M7515" s="405" t="s">
        <v>502</v>
      </c>
      <c r="N7515" s="405" t="s">
        <v>1229</v>
      </c>
      <c r="O7515" s="405" t="s">
        <v>502</v>
      </c>
      <c r="P7515" s="405" t="s">
        <v>336</v>
      </c>
      <c r="Q7515" s="411">
        <v>6</v>
      </c>
      <c r="R7515" s="405" t="s">
        <v>402</v>
      </c>
      <c r="S7515" s="405" t="s">
        <v>27164</v>
      </c>
      <c r="T7515" s="405" t="s">
        <v>32102</v>
      </c>
      <c r="U7515" s="405" t="s">
        <v>319</v>
      </c>
    </row>
    <row r="7516" spans="1:21" hidden="1" x14ac:dyDescent="0.25">
      <c r="A7516" s="405" t="s">
        <v>310</v>
      </c>
      <c r="B7516" s="405" t="s">
        <v>20721</v>
      </c>
      <c r="C7516" s="405" t="s">
        <v>311</v>
      </c>
      <c r="D7516" s="405" t="s">
        <v>932</v>
      </c>
      <c r="E7516" s="410">
        <v>41048</v>
      </c>
      <c r="F7516" s="410">
        <v>41093</v>
      </c>
      <c r="G7516" s="405" t="s">
        <v>20722</v>
      </c>
      <c r="H7516" s="405">
        <v>772366127</v>
      </c>
      <c r="I7516" s="405"/>
      <c r="J7516" s="405">
        <v>0.19281200000000001</v>
      </c>
      <c r="K7516" s="405">
        <v>30.554607000000001</v>
      </c>
      <c r="L7516" s="405" t="s">
        <v>590</v>
      </c>
      <c r="M7516" s="405" t="s">
        <v>19720</v>
      </c>
      <c r="N7516" s="405" t="s">
        <v>19721</v>
      </c>
      <c r="O7516" s="405" t="s">
        <v>20723</v>
      </c>
      <c r="P7516" s="405" t="s">
        <v>20473</v>
      </c>
      <c r="Q7516" s="411">
        <v>9</v>
      </c>
      <c r="R7516" s="405" t="s">
        <v>874</v>
      </c>
      <c r="S7516" s="405" t="s">
        <v>27172</v>
      </c>
      <c r="T7516" s="405" t="s">
        <v>32102</v>
      </c>
      <c r="U7516" s="405" t="s">
        <v>319</v>
      </c>
    </row>
    <row r="7517" spans="1:21" hidden="1" x14ac:dyDescent="0.25">
      <c r="A7517" s="405" t="s">
        <v>310</v>
      </c>
      <c r="B7517" s="405" t="s">
        <v>20552</v>
      </c>
      <c r="C7517" s="405" t="s">
        <v>327</v>
      </c>
      <c r="D7517" s="405"/>
      <c r="E7517" s="410">
        <v>41046</v>
      </c>
      <c r="F7517" s="410">
        <v>41091</v>
      </c>
      <c r="G7517" s="405" t="s">
        <v>20553</v>
      </c>
      <c r="H7517" s="405">
        <v>702940982</v>
      </c>
      <c r="I7517" s="405"/>
      <c r="J7517" s="405">
        <v>-1.2197169999999999</v>
      </c>
      <c r="K7517" s="405">
        <v>29.949522999999999</v>
      </c>
      <c r="L7517" s="405" t="s">
        <v>590</v>
      </c>
      <c r="M7517" s="405" t="s">
        <v>5312</v>
      </c>
      <c r="N7517" s="405" t="s">
        <v>20499</v>
      </c>
      <c r="O7517" s="405" t="s">
        <v>20554</v>
      </c>
      <c r="P7517" s="405" t="s">
        <v>20555</v>
      </c>
      <c r="Q7517" s="411">
        <v>6</v>
      </c>
      <c r="R7517" s="405" t="s">
        <v>19622</v>
      </c>
      <c r="S7517" s="405" t="s">
        <v>27116</v>
      </c>
      <c r="T7517" s="405" t="s">
        <v>32102</v>
      </c>
      <c r="U7517" s="405" t="s">
        <v>319</v>
      </c>
    </row>
    <row r="7518" spans="1:21" hidden="1" x14ac:dyDescent="0.25">
      <c r="A7518" s="405" t="s">
        <v>310</v>
      </c>
      <c r="B7518" s="405" t="s">
        <v>28409</v>
      </c>
      <c r="C7518" s="405" t="s">
        <v>327</v>
      </c>
      <c r="D7518" s="405"/>
      <c r="E7518" s="410">
        <v>41045</v>
      </c>
      <c r="F7518" s="410">
        <v>41090</v>
      </c>
      <c r="G7518" s="405" t="s">
        <v>20496</v>
      </c>
      <c r="H7518" s="405">
        <v>772443113</v>
      </c>
      <c r="I7518" s="405"/>
      <c r="J7518" s="405">
        <v>-1.2782519999999999</v>
      </c>
      <c r="K7518" s="405">
        <v>29.993404999999999</v>
      </c>
      <c r="L7518" s="405" t="s">
        <v>590</v>
      </c>
      <c r="M7518" s="405" t="s">
        <v>5312</v>
      </c>
      <c r="N7518" s="405" t="s">
        <v>20080</v>
      </c>
      <c r="O7518" s="405" t="s">
        <v>16533</v>
      </c>
      <c r="P7518" s="405" t="s">
        <v>20497</v>
      </c>
      <c r="Q7518" s="411">
        <v>9</v>
      </c>
      <c r="R7518" s="405" t="s">
        <v>438</v>
      </c>
      <c r="S7518" s="405" t="s">
        <v>27116</v>
      </c>
      <c r="T7518" s="405" t="s">
        <v>32102</v>
      </c>
      <c r="U7518" s="405" t="s">
        <v>319</v>
      </c>
    </row>
    <row r="7519" spans="1:21" hidden="1" x14ac:dyDescent="0.25">
      <c r="A7519" s="405" t="s">
        <v>310</v>
      </c>
      <c r="B7519" s="405" t="s">
        <v>27571</v>
      </c>
      <c r="C7519" s="405" t="s">
        <v>327</v>
      </c>
      <c r="D7519" s="405"/>
      <c r="E7519" s="410">
        <v>41045</v>
      </c>
      <c r="F7519" s="410">
        <v>41090</v>
      </c>
      <c r="G7519" s="405" t="s">
        <v>20494</v>
      </c>
      <c r="H7519" s="405">
        <v>755798566</v>
      </c>
      <c r="I7519" s="405"/>
      <c r="J7519" s="405">
        <v>-1.2775730000000001</v>
      </c>
      <c r="K7519" s="405">
        <v>29.991942999999999</v>
      </c>
      <c r="L7519" s="405" t="s">
        <v>590</v>
      </c>
      <c r="M7519" s="405" t="s">
        <v>5312</v>
      </c>
      <c r="N7519" s="405" t="s">
        <v>20080</v>
      </c>
      <c r="O7519" s="405" t="s">
        <v>16533</v>
      </c>
      <c r="P7519" s="405" t="s">
        <v>20495</v>
      </c>
      <c r="Q7519" s="411">
        <v>6</v>
      </c>
      <c r="R7519" s="405" t="s">
        <v>438</v>
      </c>
      <c r="S7519" s="405" t="s">
        <v>27132</v>
      </c>
      <c r="T7519" s="405" t="s">
        <v>32102</v>
      </c>
      <c r="U7519" s="405" t="s">
        <v>319</v>
      </c>
    </row>
    <row r="7520" spans="1:21" hidden="1" x14ac:dyDescent="0.25">
      <c r="A7520" s="405" t="s">
        <v>310</v>
      </c>
      <c r="B7520" s="405" t="s">
        <v>28534</v>
      </c>
      <c r="C7520" s="405" t="s">
        <v>327</v>
      </c>
      <c r="D7520" s="405"/>
      <c r="E7520" s="410">
        <v>41045</v>
      </c>
      <c r="F7520" s="410">
        <v>41090</v>
      </c>
      <c r="G7520" s="405" t="s">
        <v>20492</v>
      </c>
      <c r="H7520" s="405">
        <v>782370522</v>
      </c>
      <c r="I7520" s="405"/>
      <c r="J7520" s="405">
        <v>-1.2546360000000001</v>
      </c>
      <c r="K7520" s="405">
        <v>30.000430999999999</v>
      </c>
      <c r="L7520" s="405" t="s">
        <v>590</v>
      </c>
      <c r="M7520" s="405" t="s">
        <v>5312</v>
      </c>
      <c r="N7520" s="405" t="s">
        <v>20080</v>
      </c>
      <c r="O7520" s="405" t="s">
        <v>4147</v>
      </c>
      <c r="P7520" s="405" t="s">
        <v>20493</v>
      </c>
      <c r="Q7520" s="411">
        <v>6</v>
      </c>
      <c r="R7520" s="405" t="s">
        <v>19622</v>
      </c>
      <c r="S7520" s="405" t="s">
        <v>27160</v>
      </c>
      <c r="T7520" s="405" t="s">
        <v>32102</v>
      </c>
      <c r="U7520" s="405" t="s">
        <v>319</v>
      </c>
    </row>
    <row r="7521" spans="1:21" hidden="1" x14ac:dyDescent="0.25">
      <c r="A7521" s="405" t="s">
        <v>310</v>
      </c>
      <c r="B7521" s="405" t="s">
        <v>11807</v>
      </c>
      <c r="C7521" s="405" t="s">
        <v>311</v>
      </c>
      <c r="D7521" s="405" t="s">
        <v>312</v>
      </c>
      <c r="E7521" s="410">
        <v>41045</v>
      </c>
      <c r="F7521" s="410">
        <v>41090</v>
      </c>
      <c r="G7521" s="405" t="s">
        <v>11808</v>
      </c>
      <c r="H7521" s="405">
        <v>782252455</v>
      </c>
      <c r="I7521" s="405">
        <v>753191487</v>
      </c>
      <c r="J7521" s="405">
        <v>1.7120299999999999</v>
      </c>
      <c r="K7521" s="405">
        <v>34.077015000000003</v>
      </c>
      <c r="L7521" s="405" t="s">
        <v>6866</v>
      </c>
      <c r="M7521" s="405" t="s">
        <v>11355</v>
      </c>
      <c r="N7521" s="405" t="s">
        <v>11361</v>
      </c>
      <c r="O7521" s="405" t="s">
        <v>11362</v>
      </c>
      <c r="P7521" s="405" t="s">
        <v>11809</v>
      </c>
      <c r="Q7521" s="411">
        <v>4</v>
      </c>
      <c r="R7521" s="405" t="s">
        <v>5655</v>
      </c>
      <c r="S7521" s="405" t="s">
        <v>27336</v>
      </c>
      <c r="T7521" s="405" t="s">
        <v>32102</v>
      </c>
      <c r="U7521" s="405" t="s">
        <v>319</v>
      </c>
    </row>
    <row r="7522" spans="1:21" hidden="1" x14ac:dyDescent="0.25">
      <c r="A7522" s="405" t="s">
        <v>310</v>
      </c>
      <c r="B7522" s="405" t="s">
        <v>2451</v>
      </c>
      <c r="C7522" s="405" t="s">
        <v>327</v>
      </c>
      <c r="D7522" s="405"/>
      <c r="E7522" s="410">
        <v>41044</v>
      </c>
      <c r="F7522" s="410">
        <v>41089</v>
      </c>
      <c r="G7522" s="405" t="s">
        <v>2452</v>
      </c>
      <c r="H7522" s="405">
        <v>755027239</v>
      </c>
      <c r="I7522" s="405">
        <v>778784728</v>
      </c>
      <c r="J7522" s="405">
        <v>-0.35409639999999998</v>
      </c>
      <c r="K7522" s="405">
        <v>31.729536499999998</v>
      </c>
      <c r="L7522" s="405" t="s">
        <v>314</v>
      </c>
      <c r="M7522" s="405" t="s">
        <v>382</v>
      </c>
      <c r="N7522" s="405" t="s">
        <v>988</v>
      </c>
      <c r="O7522" s="405" t="s">
        <v>2453</v>
      </c>
      <c r="P7522" s="405" t="s">
        <v>2454</v>
      </c>
      <c r="Q7522" s="411">
        <v>6</v>
      </c>
      <c r="R7522" s="405" t="s">
        <v>402</v>
      </c>
      <c r="S7522" s="405" t="s">
        <v>27052</v>
      </c>
      <c r="T7522" s="405" t="s">
        <v>32102</v>
      </c>
      <c r="U7522" s="405" t="s">
        <v>319</v>
      </c>
    </row>
    <row r="7523" spans="1:21" hidden="1" x14ac:dyDescent="0.25">
      <c r="A7523" s="405" t="s">
        <v>310</v>
      </c>
      <c r="B7523" s="405" t="s">
        <v>11815</v>
      </c>
      <c r="C7523" s="405" t="s">
        <v>311</v>
      </c>
      <c r="D7523" s="405" t="s">
        <v>1789</v>
      </c>
      <c r="E7523" s="410">
        <v>41044</v>
      </c>
      <c r="F7523" s="410">
        <v>41089</v>
      </c>
      <c r="G7523" s="405" t="s">
        <v>11816</v>
      </c>
      <c r="H7523" s="405">
        <v>784411741</v>
      </c>
      <c r="I7523" s="405">
        <v>785819025</v>
      </c>
      <c r="J7523" s="405">
        <v>2.176663</v>
      </c>
      <c r="K7523" s="405">
        <v>33.612119999999997</v>
      </c>
      <c r="L7523" s="405" t="s">
        <v>6866</v>
      </c>
      <c r="M7523" s="405" t="s">
        <v>10495</v>
      </c>
      <c r="N7523" s="405" t="s">
        <v>11495</v>
      </c>
      <c r="O7523" s="405" t="s">
        <v>11496</v>
      </c>
      <c r="P7523" s="405" t="s">
        <v>11817</v>
      </c>
      <c r="Q7523" s="411">
        <v>6</v>
      </c>
      <c r="R7523" s="405" t="s">
        <v>5655</v>
      </c>
      <c r="S7523" s="405" t="s">
        <v>27322</v>
      </c>
      <c r="T7523" s="405" t="s">
        <v>32102</v>
      </c>
      <c r="U7523" s="405" t="s">
        <v>319</v>
      </c>
    </row>
    <row r="7524" spans="1:21" hidden="1" x14ac:dyDescent="0.25">
      <c r="A7524" s="405" t="s">
        <v>310</v>
      </c>
      <c r="B7524" s="405" t="s">
        <v>20489</v>
      </c>
      <c r="C7524" s="405" t="s">
        <v>327</v>
      </c>
      <c r="D7524" s="405"/>
      <c r="E7524" s="410">
        <v>41043</v>
      </c>
      <c r="F7524" s="410">
        <v>41088</v>
      </c>
      <c r="G7524" s="405" t="s">
        <v>20490</v>
      </c>
      <c r="H7524" s="405">
        <v>784433775</v>
      </c>
      <c r="I7524" s="405"/>
      <c r="J7524" s="405">
        <v>-0.85902000000000001</v>
      </c>
      <c r="K7524" s="405">
        <v>30.055681</v>
      </c>
      <c r="L7524" s="405" t="s">
        <v>590</v>
      </c>
      <c r="M7524" s="405" t="s">
        <v>19659</v>
      </c>
      <c r="N7524" s="405" t="s">
        <v>19604</v>
      </c>
      <c r="O7524" s="405" t="s">
        <v>19660</v>
      </c>
      <c r="P7524" s="405" t="s">
        <v>20491</v>
      </c>
      <c r="Q7524" s="411">
        <v>13</v>
      </c>
      <c r="R7524" s="405" t="s">
        <v>967</v>
      </c>
      <c r="S7524" s="405" t="s">
        <v>27393</v>
      </c>
      <c r="T7524" s="405" t="s">
        <v>32102</v>
      </c>
      <c r="U7524" s="405" t="s">
        <v>319</v>
      </c>
    </row>
    <row r="7525" spans="1:21" hidden="1" x14ac:dyDescent="0.25">
      <c r="A7525" s="405" t="s">
        <v>310</v>
      </c>
      <c r="B7525" s="405" t="s">
        <v>27648</v>
      </c>
      <c r="C7525" s="405" t="s">
        <v>327</v>
      </c>
      <c r="D7525" s="405"/>
      <c r="E7525" s="410">
        <v>41043</v>
      </c>
      <c r="F7525" s="410">
        <v>41088</v>
      </c>
      <c r="G7525" s="405" t="s">
        <v>11344</v>
      </c>
      <c r="H7525" s="405">
        <v>756920844</v>
      </c>
      <c r="I7525" s="405"/>
      <c r="J7525" s="405">
        <v>1.35785</v>
      </c>
      <c r="K7525" s="405">
        <v>34.420113000000001</v>
      </c>
      <c r="L7525" s="405" t="s">
        <v>6866</v>
      </c>
      <c r="M7525" s="405" t="s">
        <v>9685</v>
      </c>
      <c r="N7525" s="405" t="s">
        <v>11342</v>
      </c>
      <c r="O7525" s="405" t="s">
        <v>11343</v>
      </c>
      <c r="P7525" s="405" t="s">
        <v>11345</v>
      </c>
      <c r="Q7525" s="411">
        <v>6</v>
      </c>
      <c r="R7525" s="405" t="s">
        <v>7224</v>
      </c>
      <c r="S7525" s="405" t="s">
        <v>27306</v>
      </c>
      <c r="T7525" s="405" t="s">
        <v>32102</v>
      </c>
      <c r="U7525" s="405" t="s">
        <v>319</v>
      </c>
    </row>
    <row r="7526" spans="1:21" hidden="1" x14ac:dyDescent="0.25">
      <c r="A7526" s="405" t="s">
        <v>310</v>
      </c>
      <c r="B7526" s="405" t="s">
        <v>28784</v>
      </c>
      <c r="C7526" s="405" t="s">
        <v>327</v>
      </c>
      <c r="D7526" s="405"/>
      <c r="E7526" s="410">
        <v>41043</v>
      </c>
      <c r="F7526" s="410">
        <v>41088</v>
      </c>
      <c r="G7526" s="405" t="s">
        <v>18320</v>
      </c>
      <c r="H7526" s="405">
        <v>772000936</v>
      </c>
      <c r="I7526" s="405">
        <v>751466971</v>
      </c>
      <c r="J7526" s="405">
        <v>2.2342200000000001</v>
      </c>
      <c r="K7526" s="405">
        <v>32.912085000000005</v>
      </c>
      <c r="L7526" s="405" t="s">
        <v>860</v>
      </c>
      <c r="M7526" s="405" t="s">
        <v>18234</v>
      </c>
      <c r="N7526" s="405" t="s">
        <v>18250</v>
      </c>
      <c r="O7526" s="405" t="s">
        <v>8805</v>
      </c>
      <c r="P7526" s="405" t="s">
        <v>18257</v>
      </c>
      <c r="Q7526" s="411">
        <v>6</v>
      </c>
      <c r="R7526" s="405" t="s">
        <v>994</v>
      </c>
      <c r="S7526" s="405" t="s">
        <v>27193</v>
      </c>
      <c r="T7526" s="405" t="s">
        <v>32102</v>
      </c>
      <c r="U7526" s="405" t="s">
        <v>319</v>
      </c>
    </row>
    <row r="7527" spans="1:21" hidden="1" x14ac:dyDescent="0.25">
      <c r="A7527" s="405" t="s">
        <v>310</v>
      </c>
      <c r="B7527" s="405" t="s">
        <v>2467</v>
      </c>
      <c r="C7527" s="405" t="s">
        <v>327</v>
      </c>
      <c r="D7527" s="405"/>
      <c r="E7527" s="410">
        <v>41043</v>
      </c>
      <c r="F7527" s="410">
        <v>41088</v>
      </c>
      <c r="G7527" s="405" t="s">
        <v>2468</v>
      </c>
      <c r="H7527" s="405">
        <v>772656623</v>
      </c>
      <c r="I7527" s="405"/>
      <c r="J7527" s="405">
        <v>0.21146300000000001</v>
      </c>
      <c r="K7527" s="405">
        <v>31.669568000000002</v>
      </c>
      <c r="L7527" s="405" t="s">
        <v>314</v>
      </c>
      <c r="M7527" s="405" t="s">
        <v>339</v>
      </c>
      <c r="N7527" s="405" t="s">
        <v>339</v>
      </c>
      <c r="O7527" s="405" t="s">
        <v>1662</v>
      </c>
      <c r="P7527" s="405" t="s">
        <v>2469</v>
      </c>
      <c r="Q7527" s="411">
        <v>6</v>
      </c>
      <c r="R7527" s="405" t="s">
        <v>318</v>
      </c>
      <c r="S7527" s="405" t="s">
        <v>27191</v>
      </c>
      <c r="T7527" s="405" t="s">
        <v>32102</v>
      </c>
      <c r="U7527" s="405" t="s">
        <v>319</v>
      </c>
    </row>
    <row r="7528" spans="1:21" hidden="1" x14ac:dyDescent="0.25">
      <c r="A7528" s="405" t="s">
        <v>310</v>
      </c>
      <c r="B7528" s="405" t="s">
        <v>11346</v>
      </c>
      <c r="C7528" s="405" t="s">
        <v>327</v>
      </c>
      <c r="D7528" s="405"/>
      <c r="E7528" s="410">
        <v>41043</v>
      </c>
      <c r="F7528" s="410">
        <v>41088</v>
      </c>
      <c r="G7528" s="405" t="s">
        <v>11347</v>
      </c>
      <c r="H7528" s="405">
        <v>701153885</v>
      </c>
      <c r="I7528" s="405"/>
      <c r="J7528" s="405">
        <v>1.3578330000000001</v>
      </c>
      <c r="K7528" s="405">
        <v>34.420777000000001</v>
      </c>
      <c r="L7528" s="405" t="s">
        <v>6866</v>
      </c>
      <c r="M7528" s="405" t="s">
        <v>9685</v>
      </c>
      <c r="N7528" s="405" t="s">
        <v>11342</v>
      </c>
      <c r="O7528" s="405" t="s">
        <v>11343</v>
      </c>
      <c r="P7528" s="405" t="s">
        <v>11348</v>
      </c>
      <c r="Q7528" s="411">
        <v>6</v>
      </c>
      <c r="R7528" s="405" t="s">
        <v>9541</v>
      </c>
      <c r="S7528" s="405" t="s">
        <v>27302</v>
      </c>
      <c r="T7528" s="405" t="s">
        <v>32102</v>
      </c>
      <c r="U7528" s="405" t="s">
        <v>319</v>
      </c>
    </row>
    <row r="7529" spans="1:21" hidden="1" x14ac:dyDescent="0.25">
      <c r="A7529" s="405" t="s">
        <v>310</v>
      </c>
      <c r="B7529" s="405" t="s">
        <v>11370</v>
      </c>
      <c r="C7529" s="405" t="s">
        <v>327</v>
      </c>
      <c r="D7529" s="405"/>
      <c r="E7529" s="410">
        <v>41042</v>
      </c>
      <c r="F7529" s="410">
        <v>41087</v>
      </c>
      <c r="G7529" s="405" t="s">
        <v>11371</v>
      </c>
      <c r="H7529" s="405">
        <v>772221420</v>
      </c>
      <c r="I7529" s="405">
        <v>758889375</v>
      </c>
      <c r="J7529" s="405">
        <v>0.65859900000000005</v>
      </c>
      <c r="K7529" s="405">
        <v>34.117883999999997</v>
      </c>
      <c r="L7529" s="405" t="s">
        <v>6866</v>
      </c>
      <c r="M7529" s="405" t="s">
        <v>9534</v>
      </c>
      <c r="N7529" s="405" t="s">
        <v>9997</v>
      </c>
      <c r="O7529" s="405" t="s">
        <v>9770</v>
      </c>
      <c r="P7529" s="405" t="s">
        <v>9998</v>
      </c>
      <c r="Q7529" s="411">
        <v>9</v>
      </c>
      <c r="R7529" s="405" t="s">
        <v>7224</v>
      </c>
      <c r="S7529" s="405" t="s">
        <v>27259</v>
      </c>
      <c r="T7529" s="405" t="s">
        <v>32102</v>
      </c>
      <c r="U7529" s="405" t="s">
        <v>319</v>
      </c>
    </row>
    <row r="7530" spans="1:21" hidden="1" x14ac:dyDescent="0.25">
      <c r="A7530" s="405" t="s">
        <v>310</v>
      </c>
      <c r="B7530" s="405" t="s">
        <v>2461</v>
      </c>
      <c r="C7530" s="405" t="s">
        <v>327</v>
      </c>
      <c r="D7530" s="405"/>
      <c r="E7530" s="410">
        <v>41042</v>
      </c>
      <c r="F7530" s="410">
        <v>41087</v>
      </c>
      <c r="G7530" s="405" t="s">
        <v>2462</v>
      </c>
      <c r="H7530" s="405">
        <v>756394005</v>
      </c>
      <c r="I7530" s="405"/>
      <c r="J7530" s="405">
        <v>-0.106851</v>
      </c>
      <c r="K7530" s="405">
        <v>31.497776000000002</v>
      </c>
      <c r="L7530" s="405" t="s">
        <v>314</v>
      </c>
      <c r="M7530" s="405" t="s">
        <v>343</v>
      </c>
      <c r="N7530" s="405" t="s">
        <v>344</v>
      </c>
      <c r="O7530" s="405" t="s">
        <v>391</v>
      </c>
      <c r="P7530" s="405" t="s">
        <v>2463</v>
      </c>
      <c r="Q7530" s="411">
        <v>6</v>
      </c>
      <c r="R7530" s="405" t="s">
        <v>318</v>
      </c>
      <c r="S7530" s="405" t="s">
        <v>27137</v>
      </c>
      <c r="T7530" s="405" t="s">
        <v>32102</v>
      </c>
      <c r="U7530" s="405" t="s">
        <v>319</v>
      </c>
    </row>
    <row r="7531" spans="1:21" hidden="1" x14ac:dyDescent="0.25">
      <c r="A7531" s="405" t="s">
        <v>310</v>
      </c>
      <c r="B7531" s="405" t="s">
        <v>27482</v>
      </c>
      <c r="C7531" s="405" t="s">
        <v>311</v>
      </c>
      <c r="D7531" s="405" t="s">
        <v>1789</v>
      </c>
      <c r="E7531" s="410">
        <v>41041</v>
      </c>
      <c r="F7531" s="410">
        <v>41086</v>
      </c>
      <c r="G7531" s="405" t="s">
        <v>3042</v>
      </c>
      <c r="H7531" s="405">
        <v>772431429</v>
      </c>
      <c r="I7531" s="405"/>
      <c r="J7531" s="405">
        <v>0.36522166666666667</v>
      </c>
      <c r="K7531" s="405">
        <v>32.629671666666667</v>
      </c>
      <c r="L7531" s="405" t="s">
        <v>314</v>
      </c>
      <c r="M7531" s="405" t="s">
        <v>992</v>
      </c>
      <c r="N7531" s="405" t="s">
        <v>498</v>
      </c>
      <c r="O7531" s="405" t="s">
        <v>3043</v>
      </c>
      <c r="P7531" s="405" t="s">
        <v>3044</v>
      </c>
      <c r="Q7531" s="411">
        <v>13</v>
      </c>
      <c r="R7531" s="405" t="s">
        <v>353</v>
      </c>
      <c r="S7531" s="405" t="s">
        <v>27153</v>
      </c>
      <c r="T7531" s="405" t="s">
        <v>32102</v>
      </c>
      <c r="U7531" s="405" t="s">
        <v>319</v>
      </c>
    </row>
    <row r="7532" spans="1:21" hidden="1" x14ac:dyDescent="0.25">
      <c r="A7532" s="405" t="s">
        <v>310</v>
      </c>
      <c r="B7532" s="405" t="s">
        <v>2524</v>
      </c>
      <c r="C7532" s="405" t="s">
        <v>327</v>
      </c>
      <c r="D7532" s="405"/>
      <c r="E7532" s="410">
        <v>41041</v>
      </c>
      <c r="F7532" s="410">
        <v>41086</v>
      </c>
      <c r="G7532" s="405" t="s">
        <v>2525</v>
      </c>
      <c r="H7532" s="405">
        <v>774156107</v>
      </c>
      <c r="I7532" s="405"/>
      <c r="J7532" s="405">
        <v>1.1723220000000001</v>
      </c>
      <c r="K7532" s="405">
        <v>31.960871999999998</v>
      </c>
      <c r="L7532" s="405" t="s">
        <v>314</v>
      </c>
      <c r="M7532" s="405" t="s">
        <v>2297</v>
      </c>
      <c r="N7532" s="405" t="s">
        <v>2297</v>
      </c>
      <c r="O7532" s="405" t="s">
        <v>2520</v>
      </c>
      <c r="P7532" s="405" t="s">
        <v>2521</v>
      </c>
      <c r="Q7532" s="411">
        <v>12</v>
      </c>
      <c r="R7532" s="405" t="s">
        <v>318</v>
      </c>
      <c r="S7532" s="405" t="s">
        <v>27113</v>
      </c>
      <c r="T7532" s="405" t="s">
        <v>32102</v>
      </c>
      <c r="U7532" s="405" t="s">
        <v>319</v>
      </c>
    </row>
    <row r="7533" spans="1:21" hidden="1" x14ac:dyDescent="0.25">
      <c r="A7533" s="405" t="s">
        <v>310</v>
      </c>
      <c r="B7533" s="405" t="s">
        <v>27576</v>
      </c>
      <c r="C7533" s="405" t="s">
        <v>857</v>
      </c>
      <c r="D7533" s="405" t="s">
        <v>1037</v>
      </c>
      <c r="E7533" s="410">
        <v>41041</v>
      </c>
      <c r="F7533" s="410">
        <v>41086</v>
      </c>
      <c r="G7533" s="405" t="s">
        <v>3054</v>
      </c>
      <c r="H7533" s="405">
        <v>752961865</v>
      </c>
      <c r="I7533" s="405"/>
      <c r="J7533" s="405">
        <v>-5.1275000000000001E-2</v>
      </c>
      <c r="K7533" s="405">
        <v>31.504583</v>
      </c>
      <c r="L7533" s="405" t="s">
        <v>314</v>
      </c>
      <c r="M7533" s="405" t="s">
        <v>343</v>
      </c>
      <c r="N7533" s="405" t="s">
        <v>344</v>
      </c>
      <c r="O7533" s="405" t="s">
        <v>2546</v>
      </c>
      <c r="P7533" s="405" t="s">
        <v>3055</v>
      </c>
      <c r="Q7533" s="411">
        <v>9</v>
      </c>
      <c r="R7533" s="405" t="s">
        <v>318</v>
      </c>
      <c r="S7533" s="405" t="s">
        <v>27152</v>
      </c>
      <c r="T7533" s="405" t="s">
        <v>32102</v>
      </c>
      <c r="U7533" s="405" t="s">
        <v>319</v>
      </c>
    </row>
    <row r="7534" spans="1:21" hidden="1" x14ac:dyDescent="0.25">
      <c r="A7534" s="405" t="s">
        <v>310</v>
      </c>
      <c r="B7534" s="405" t="s">
        <v>28223</v>
      </c>
      <c r="C7534" s="405" t="s">
        <v>327</v>
      </c>
      <c r="D7534" s="405"/>
      <c r="E7534" s="410">
        <v>41041</v>
      </c>
      <c r="F7534" s="410">
        <v>41086</v>
      </c>
      <c r="G7534" s="405" t="s">
        <v>11335</v>
      </c>
      <c r="H7534" s="405">
        <v>772550923</v>
      </c>
      <c r="I7534" s="405"/>
      <c r="J7534" s="405">
        <v>0.89547200000000005</v>
      </c>
      <c r="K7534" s="405">
        <v>34.165208</v>
      </c>
      <c r="L7534" s="405" t="s">
        <v>6866</v>
      </c>
      <c r="M7534" s="405" t="s">
        <v>9514</v>
      </c>
      <c r="N7534" s="405" t="s">
        <v>9529</v>
      </c>
      <c r="O7534" s="405" t="s">
        <v>10567</v>
      </c>
      <c r="P7534" s="405" t="s">
        <v>11336</v>
      </c>
      <c r="Q7534" s="411">
        <v>6</v>
      </c>
      <c r="R7534" s="405" t="s">
        <v>7224</v>
      </c>
      <c r="S7534" s="405" t="s">
        <v>27107</v>
      </c>
      <c r="T7534" s="405" t="s">
        <v>32102</v>
      </c>
      <c r="U7534" s="405" t="s">
        <v>319</v>
      </c>
    </row>
    <row r="7535" spans="1:21" hidden="1" x14ac:dyDescent="0.25">
      <c r="A7535" s="405" t="s">
        <v>310</v>
      </c>
      <c r="B7535" s="405" t="s">
        <v>18316</v>
      </c>
      <c r="C7535" s="405" t="s">
        <v>327</v>
      </c>
      <c r="D7535" s="405"/>
      <c r="E7535" s="410">
        <v>41041</v>
      </c>
      <c r="F7535" s="410">
        <v>41086</v>
      </c>
      <c r="G7535" s="405" t="s">
        <v>18317</v>
      </c>
      <c r="H7535" s="405">
        <v>777507912</v>
      </c>
      <c r="I7535" s="405"/>
      <c r="J7535" s="405">
        <v>2.2690449999999998</v>
      </c>
      <c r="K7535" s="405">
        <v>32.867981666666665</v>
      </c>
      <c r="L7535" s="405" t="s">
        <v>860</v>
      </c>
      <c r="M7535" s="405" t="s">
        <v>18234</v>
      </c>
      <c r="N7535" s="405" t="s">
        <v>18250</v>
      </c>
      <c r="O7535" s="405" t="s">
        <v>18318</v>
      </c>
      <c r="P7535" s="405" t="s">
        <v>18319</v>
      </c>
      <c r="Q7535" s="411">
        <v>6</v>
      </c>
      <c r="R7535" s="405" t="s">
        <v>994</v>
      </c>
      <c r="S7535" s="405" t="s">
        <v>27376</v>
      </c>
      <c r="T7535" s="405" t="s">
        <v>32102</v>
      </c>
      <c r="U7535" s="405" t="s">
        <v>319</v>
      </c>
    </row>
    <row r="7536" spans="1:21" hidden="1" x14ac:dyDescent="0.25">
      <c r="A7536" s="405" t="s">
        <v>310</v>
      </c>
      <c r="B7536" s="405" t="s">
        <v>2532</v>
      </c>
      <c r="C7536" s="405" t="s">
        <v>327</v>
      </c>
      <c r="D7536" s="405"/>
      <c r="E7536" s="410">
        <v>41041</v>
      </c>
      <c r="F7536" s="410">
        <v>41086</v>
      </c>
      <c r="G7536" s="405" t="s">
        <v>2533</v>
      </c>
      <c r="H7536" s="405">
        <v>777948051</v>
      </c>
      <c r="I7536" s="405"/>
      <c r="J7536" s="405">
        <v>-0.41838700000000001</v>
      </c>
      <c r="K7536" s="405">
        <v>31.132985000000001</v>
      </c>
      <c r="L7536" s="405" t="s">
        <v>314</v>
      </c>
      <c r="M7536" s="405" t="s">
        <v>1805</v>
      </c>
      <c r="N7536" s="405" t="s">
        <v>1805</v>
      </c>
      <c r="O7536" s="405" t="s">
        <v>1805</v>
      </c>
      <c r="P7536" s="405" t="s">
        <v>2534</v>
      </c>
      <c r="Q7536" s="411">
        <v>6</v>
      </c>
      <c r="R7536" s="405" t="s">
        <v>874</v>
      </c>
      <c r="S7536" s="405" t="s">
        <v>27163</v>
      </c>
      <c r="T7536" s="405" t="s">
        <v>32102</v>
      </c>
      <c r="U7536" s="405" t="s">
        <v>319</v>
      </c>
    </row>
    <row r="7537" spans="1:21" hidden="1" x14ac:dyDescent="0.25">
      <c r="A7537" s="405" t="s">
        <v>310</v>
      </c>
      <c r="B7537" s="405" t="s">
        <v>27816</v>
      </c>
      <c r="C7537" s="405" t="s">
        <v>327</v>
      </c>
      <c r="D7537" s="405"/>
      <c r="E7537" s="410">
        <v>41041</v>
      </c>
      <c r="F7537" s="410">
        <v>41086</v>
      </c>
      <c r="G7537" s="405" t="s">
        <v>2446</v>
      </c>
      <c r="H7537" s="405">
        <v>730194143</v>
      </c>
      <c r="I7537" s="405">
        <v>772835573</v>
      </c>
      <c r="J7537" s="405">
        <v>0.29919200000000001</v>
      </c>
      <c r="K7537" s="405">
        <v>32.146447999999999</v>
      </c>
      <c r="L7537" s="405" t="s">
        <v>314</v>
      </c>
      <c r="M7537" s="405" t="s">
        <v>675</v>
      </c>
      <c r="N7537" s="405" t="s">
        <v>676</v>
      </c>
      <c r="O7537" s="405" t="s">
        <v>677</v>
      </c>
      <c r="P7537" s="405" t="s">
        <v>2447</v>
      </c>
      <c r="Q7537" s="411">
        <v>6</v>
      </c>
      <c r="R7537" s="405" t="s">
        <v>32476</v>
      </c>
      <c r="S7537" s="405" t="s">
        <v>27154</v>
      </c>
      <c r="T7537" s="405" t="s">
        <v>32102</v>
      </c>
      <c r="U7537" s="405" t="s">
        <v>319</v>
      </c>
    </row>
    <row r="7538" spans="1:21" hidden="1" x14ac:dyDescent="0.25">
      <c r="A7538" s="405" t="s">
        <v>310</v>
      </c>
      <c r="B7538" s="405" t="s">
        <v>11394</v>
      </c>
      <c r="C7538" s="405" t="s">
        <v>327</v>
      </c>
      <c r="D7538" s="405"/>
      <c r="E7538" s="410">
        <v>41041</v>
      </c>
      <c r="F7538" s="410">
        <v>41086</v>
      </c>
      <c r="G7538" s="405" t="s">
        <v>11395</v>
      </c>
      <c r="H7538" s="405">
        <v>772378898</v>
      </c>
      <c r="I7538" s="405"/>
      <c r="J7538" s="405">
        <v>1.189627</v>
      </c>
      <c r="K7538" s="405">
        <v>34.161467999999999</v>
      </c>
      <c r="L7538" s="405" t="s">
        <v>6866</v>
      </c>
      <c r="M7538" s="405" t="s">
        <v>9504</v>
      </c>
      <c r="N7538" s="405" t="s">
        <v>9598</v>
      </c>
      <c r="O7538" s="405" t="s">
        <v>9598</v>
      </c>
      <c r="P7538" s="405" t="s">
        <v>11396</v>
      </c>
      <c r="Q7538" s="411">
        <v>6</v>
      </c>
      <c r="R7538" s="405" t="s">
        <v>9506</v>
      </c>
      <c r="S7538" s="405" t="s">
        <v>27294</v>
      </c>
      <c r="T7538" s="405" t="s">
        <v>32102</v>
      </c>
      <c r="U7538" s="405" t="s">
        <v>319</v>
      </c>
    </row>
    <row r="7539" spans="1:21" hidden="1" x14ac:dyDescent="0.25">
      <c r="A7539" s="405" t="s">
        <v>310</v>
      </c>
      <c r="B7539" s="405" t="s">
        <v>27569</v>
      </c>
      <c r="C7539" s="405" t="s">
        <v>857</v>
      </c>
      <c r="D7539" s="405" t="s">
        <v>11787</v>
      </c>
      <c r="E7539" s="410">
        <v>41040</v>
      </c>
      <c r="F7539" s="410">
        <v>41085</v>
      </c>
      <c r="G7539" s="405" t="s">
        <v>11788</v>
      </c>
      <c r="H7539" s="405">
        <v>782392073</v>
      </c>
      <c r="I7539" s="405">
        <v>78826653</v>
      </c>
      <c r="J7539" s="405">
        <v>1.367065</v>
      </c>
      <c r="K7539" s="405">
        <v>34.398203000000002</v>
      </c>
      <c r="L7539" s="405" t="s">
        <v>6866</v>
      </c>
      <c r="M7539" s="405" t="s">
        <v>9685</v>
      </c>
      <c r="N7539" s="405" t="s">
        <v>9686</v>
      </c>
      <c r="O7539" s="405" t="s">
        <v>9709</v>
      </c>
      <c r="P7539" s="405" t="s">
        <v>11789</v>
      </c>
      <c r="Q7539" s="411">
        <v>6</v>
      </c>
      <c r="R7539" s="405" t="s">
        <v>7224</v>
      </c>
      <c r="S7539" s="405" t="s">
        <v>27318</v>
      </c>
      <c r="T7539" s="405" t="s">
        <v>32102</v>
      </c>
      <c r="U7539" s="405" t="s">
        <v>319</v>
      </c>
    </row>
    <row r="7540" spans="1:21" hidden="1" x14ac:dyDescent="0.25">
      <c r="A7540" s="405" t="s">
        <v>310</v>
      </c>
      <c r="B7540" s="405" t="s">
        <v>28759</v>
      </c>
      <c r="C7540" s="405" t="s">
        <v>311</v>
      </c>
      <c r="D7540" s="405" t="s">
        <v>1789</v>
      </c>
      <c r="E7540" s="410">
        <v>41039</v>
      </c>
      <c r="F7540" s="410">
        <v>41084</v>
      </c>
      <c r="G7540" s="405" t="s">
        <v>18590</v>
      </c>
      <c r="H7540" s="405">
        <v>775177030</v>
      </c>
      <c r="I7540" s="405"/>
      <c r="J7540" s="405">
        <v>1.871068</v>
      </c>
      <c r="K7540" s="405">
        <v>33.067656999999997</v>
      </c>
      <c r="L7540" s="405" t="s">
        <v>860</v>
      </c>
      <c r="M7540" s="405" t="s">
        <v>12189</v>
      </c>
      <c r="N7540" s="405" t="s">
        <v>18298</v>
      </c>
      <c r="O7540" s="405" t="s">
        <v>18362</v>
      </c>
      <c r="P7540" s="405" t="s">
        <v>18591</v>
      </c>
      <c r="Q7540" s="411">
        <v>6</v>
      </c>
      <c r="R7540" s="405" t="s">
        <v>318</v>
      </c>
      <c r="S7540" s="405" t="s">
        <v>27193</v>
      </c>
      <c r="T7540" s="405" t="s">
        <v>32102</v>
      </c>
      <c r="U7540" s="405" t="s">
        <v>319</v>
      </c>
    </row>
    <row r="7541" spans="1:21" hidden="1" x14ac:dyDescent="0.25">
      <c r="A7541" s="405" t="s">
        <v>310</v>
      </c>
      <c r="B7541" s="405" t="s">
        <v>27543</v>
      </c>
      <c r="C7541" s="405" t="s">
        <v>311</v>
      </c>
      <c r="D7541" s="405" t="s">
        <v>1111</v>
      </c>
      <c r="E7541" s="410">
        <v>41039</v>
      </c>
      <c r="F7541" s="410">
        <v>41084</v>
      </c>
      <c r="G7541" s="405" t="s">
        <v>18582</v>
      </c>
      <c r="H7541" s="405">
        <v>786628798</v>
      </c>
      <c r="I7541" s="405">
        <v>785971590</v>
      </c>
      <c r="J7541" s="405">
        <v>2.2203398999999999</v>
      </c>
      <c r="K7541" s="405">
        <v>32.8985579</v>
      </c>
      <c r="L7541" s="405" t="s">
        <v>860</v>
      </c>
      <c r="M7541" s="405" t="s">
        <v>18234</v>
      </c>
      <c r="N7541" s="405" t="s">
        <v>18252</v>
      </c>
      <c r="O7541" s="405" t="s">
        <v>18253</v>
      </c>
      <c r="P7541" s="405" t="s">
        <v>18583</v>
      </c>
      <c r="Q7541" s="411">
        <v>6</v>
      </c>
      <c r="R7541" s="405" t="s">
        <v>994</v>
      </c>
      <c r="S7541" s="405" t="s">
        <v>27193</v>
      </c>
      <c r="T7541" s="405" t="s">
        <v>32102</v>
      </c>
      <c r="U7541" s="405" t="s">
        <v>319</v>
      </c>
    </row>
    <row r="7542" spans="1:21" hidden="1" x14ac:dyDescent="0.25">
      <c r="A7542" s="405" t="s">
        <v>310</v>
      </c>
      <c r="B7542" s="405" t="s">
        <v>11832</v>
      </c>
      <c r="C7542" s="405" t="s">
        <v>311</v>
      </c>
      <c r="D7542" s="405" t="s">
        <v>11833</v>
      </c>
      <c r="E7542" s="410">
        <v>41039</v>
      </c>
      <c r="F7542" s="410">
        <v>41084</v>
      </c>
      <c r="G7542" s="405" t="s">
        <v>11834</v>
      </c>
      <c r="H7542" s="405">
        <v>785257330</v>
      </c>
      <c r="I7542" s="405">
        <v>706306612</v>
      </c>
      <c r="J7542" s="405">
        <v>0.97703700000000004</v>
      </c>
      <c r="K7542" s="405">
        <v>34.008339999999997</v>
      </c>
      <c r="L7542" s="405" t="s">
        <v>6866</v>
      </c>
      <c r="M7542" s="405" t="s">
        <v>9566</v>
      </c>
      <c r="N7542" s="405" t="s">
        <v>11835</v>
      </c>
      <c r="O7542" s="405" t="s">
        <v>9932</v>
      </c>
      <c r="P7542" s="405" t="s">
        <v>11836</v>
      </c>
      <c r="Q7542" s="411">
        <v>6</v>
      </c>
      <c r="R7542" s="405" t="s">
        <v>7224</v>
      </c>
      <c r="S7542" s="405" t="s">
        <v>27142</v>
      </c>
      <c r="T7542" s="405" t="s">
        <v>32102</v>
      </c>
      <c r="U7542" s="405" t="s">
        <v>319</v>
      </c>
    </row>
    <row r="7543" spans="1:21" hidden="1" x14ac:dyDescent="0.25">
      <c r="A7543" s="405" t="s">
        <v>310</v>
      </c>
      <c r="B7543" s="405" t="s">
        <v>27646</v>
      </c>
      <c r="C7543" s="405" t="s">
        <v>327</v>
      </c>
      <c r="D7543" s="405"/>
      <c r="E7543" s="410">
        <v>41038</v>
      </c>
      <c r="F7543" s="410">
        <v>41083</v>
      </c>
      <c r="G7543" s="405" t="s">
        <v>11341</v>
      </c>
      <c r="H7543" s="405">
        <v>703913009</v>
      </c>
      <c r="I7543" s="405"/>
      <c r="J7543" s="405">
        <v>1.3584769999999999</v>
      </c>
      <c r="K7543" s="405">
        <v>34.418782999999998</v>
      </c>
      <c r="L7543" s="405" t="s">
        <v>6866</v>
      </c>
      <c r="M7543" s="405" t="s">
        <v>9685</v>
      </c>
      <c r="N7543" s="405" t="s">
        <v>11342</v>
      </c>
      <c r="O7543" s="405" t="s">
        <v>11343</v>
      </c>
      <c r="P7543" s="405" t="s">
        <v>9688</v>
      </c>
      <c r="Q7543" s="411">
        <v>6</v>
      </c>
      <c r="R7543" s="405" t="s">
        <v>9541</v>
      </c>
      <c r="S7543" s="405" t="s">
        <v>27296</v>
      </c>
      <c r="T7543" s="405" t="s">
        <v>32102</v>
      </c>
      <c r="U7543" s="405" t="s">
        <v>319</v>
      </c>
    </row>
    <row r="7544" spans="1:21" hidden="1" x14ac:dyDescent="0.25">
      <c r="A7544" s="405" t="s">
        <v>310</v>
      </c>
      <c r="B7544" s="405" t="s">
        <v>18329</v>
      </c>
      <c r="C7544" s="405" t="s">
        <v>327</v>
      </c>
      <c r="D7544" s="405"/>
      <c r="E7544" s="410">
        <v>41038</v>
      </c>
      <c r="F7544" s="410">
        <v>41083</v>
      </c>
      <c r="G7544" s="405" t="s">
        <v>18330</v>
      </c>
      <c r="H7544" s="405">
        <v>784760509</v>
      </c>
      <c r="I7544" s="405">
        <v>751438662</v>
      </c>
      <c r="J7544" s="405">
        <v>2.8516699999999999</v>
      </c>
      <c r="K7544" s="405">
        <v>32.195078000000002</v>
      </c>
      <c r="L7544" s="405" t="s">
        <v>860</v>
      </c>
      <c r="M7544" s="405" t="s">
        <v>15041</v>
      </c>
      <c r="N7544" s="405" t="s">
        <v>18323</v>
      </c>
      <c r="O7544" s="405" t="s">
        <v>18324</v>
      </c>
      <c r="P7544" s="405" t="s">
        <v>18325</v>
      </c>
      <c r="Q7544" s="411">
        <v>6</v>
      </c>
      <c r="R7544" s="405" t="s">
        <v>994</v>
      </c>
      <c r="S7544" s="405" t="s">
        <v>27375</v>
      </c>
      <c r="T7544" s="405" t="s">
        <v>32102</v>
      </c>
      <c r="U7544" s="405" t="s">
        <v>319</v>
      </c>
    </row>
    <row r="7545" spans="1:21" hidden="1" x14ac:dyDescent="0.25">
      <c r="A7545" s="405" t="s">
        <v>310</v>
      </c>
      <c r="B7545" s="405" t="s">
        <v>28401</v>
      </c>
      <c r="C7545" s="405" t="s">
        <v>311</v>
      </c>
      <c r="D7545" s="405" t="s">
        <v>839</v>
      </c>
      <c r="E7545" s="410">
        <v>41037</v>
      </c>
      <c r="F7545" s="410">
        <v>41082</v>
      </c>
      <c r="G7545" s="405" t="s">
        <v>20713</v>
      </c>
      <c r="H7545" s="405">
        <v>774464927</v>
      </c>
      <c r="I7545" s="405"/>
      <c r="J7545" s="405">
        <v>-1.1680550000000001</v>
      </c>
      <c r="K7545" s="405">
        <v>29.924325</v>
      </c>
      <c r="L7545" s="405" t="s">
        <v>590</v>
      </c>
      <c r="M7545" s="405" t="s">
        <v>5312</v>
      </c>
      <c r="N7545" s="405" t="s">
        <v>20499</v>
      </c>
      <c r="O7545" s="405" t="s">
        <v>20500</v>
      </c>
      <c r="P7545" s="405" t="s">
        <v>20714</v>
      </c>
      <c r="Q7545" s="411">
        <v>6</v>
      </c>
      <c r="R7545" s="405" t="s">
        <v>438</v>
      </c>
      <c r="S7545" s="405" t="s">
        <v>27116</v>
      </c>
      <c r="T7545" s="405" t="s">
        <v>32102</v>
      </c>
      <c r="U7545" s="405" t="s">
        <v>319</v>
      </c>
    </row>
    <row r="7546" spans="1:21" hidden="1" x14ac:dyDescent="0.25">
      <c r="A7546" s="405" t="s">
        <v>310</v>
      </c>
      <c r="B7546" s="405" t="s">
        <v>28184</v>
      </c>
      <c r="C7546" s="405" t="s">
        <v>327</v>
      </c>
      <c r="D7546" s="405"/>
      <c r="E7546" s="410">
        <v>41037</v>
      </c>
      <c r="F7546" s="410">
        <v>41082</v>
      </c>
      <c r="G7546" s="405" t="s">
        <v>11339</v>
      </c>
      <c r="H7546" s="405">
        <v>779523020</v>
      </c>
      <c r="I7546" s="405"/>
      <c r="J7546" s="405">
        <v>1.125162</v>
      </c>
      <c r="K7546" s="405">
        <v>34.220533000000003</v>
      </c>
      <c r="L7546" s="405" t="s">
        <v>6866</v>
      </c>
      <c r="M7546" s="405" t="s">
        <v>9514</v>
      </c>
      <c r="N7546" s="405" t="s">
        <v>9529</v>
      </c>
      <c r="O7546" s="405" t="s">
        <v>9530</v>
      </c>
      <c r="P7546" s="405" t="s">
        <v>11340</v>
      </c>
      <c r="Q7546" s="411">
        <v>6</v>
      </c>
      <c r="R7546" s="405" t="s">
        <v>5655</v>
      </c>
      <c r="S7546" s="405" t="s">
        <v>27324</v>
      </c>
      <c r="T7546" s="405" t="s">
        <v>32102</v>
      </c>
      <c r="U7546" s="405" t="s">
        <v>319</v>
      </c>
    </row>
    <row r="7547" spans="1:21" hidden="1" x14ac:dyDescent="0.25">
      <c r="A7547" s="405" t="s">
        <v>310</v>
      </c>
      <c r="B7547" s="405" t="s">
        <v>32480</v>
      </c>
      <c r="C7547" s="405" t="s">
        <v>327</v>
      </c>
      <c r="D7547" s="405"/>
      <c r="E7547" s="410">
        <v>41036</v>
      </c>
      <c r="F7547" s="410">
        <v>41081</v>
      </c>
      <c r="G7547" s="405" t="s">
        <v>20498</v>
      </c>
      <c r="H7547" s="405">
        <v>772663560</v>
      </c>
      <c r="I7547" s="405"/>
      <c r="J7547" s="405">
        <v>-1.15951</v>
      </c>
      <c r="K7547" s="405">
        <v>29.924192999999999</v>
      </c>
      <c r="L7547" s="405" t="s">
        <v>590</v>
      </c>
      <c r="M7547" s="405" t="s">
        <v>5312</v>
      </c>
      <c r="N7547" s="405" t="s">
        <v>20499</v>
      </c>
      <c r="O7547" s="405" t="s">
        <v>20500</v>
      </c>
      <c r="P7547" s="405" t="s">
        <v>19726</v>
      </c>
      <c r="Q7547" s="411">
        <v>12</v>
      </c>
      <c r="R7547" s="405" t="s">
        <v>438</v>
      </c>
      <c r="S7547" s="405" t="s">
        <v>27116</v>
      </c>
      <c r="T7547" s="405" t="s">
        <v>32102</v>
      </c>
      <c r="U7547" s="405" t="s">
        <v>319</v>
      </c>
    </row>
    <row r="7548" spans="1:21" hidden="1" x14ac:dyDescent="0.25">
      <c r="A7548" s="405" t="s">
        <v>310</v>
      </c>
      <c r="B7548" s="405" t="s">
        <v>28387</v>
      </c>
      <c r="C7548" s="405" t="s">
        <v>311</v>
      </c>
      <c r="D7548" s="405" t="s">
        <v>3381</v>
      </c>
      <c r="E7548" s="410">
        <v>41036</v>
      </c>
      <c r="F7548" s="410">
        <v>41081</v>
      </c>
      <c r="G7548" s="405" t="s">
        <v>11830</v>
      </c>
      <c r="H7548" s="405">
        <v>756345355</v>
      </c>
      <c r="I7548" s="405"/>
      <c r="J7548" s="405">
        <v>0.972881</v>
      </c>
      <c r="K7548" s="405">
        <v>34.067594</v>
      </c>
      <c r="L7548" s="405" t="s">
        <v>6866</v>
      </c>
      <c r="M7548" s="405" t="s">
        <v>9566</v>
      </c>
      <c r="N7548" s="405" t="s">
        <v>10001</v>
      </c>
      <c r="O7548" s="405" t="s">
        <v>9932</v>
      </c>
      <c r="P7548" s="405" t="s">
        <v>11831</v>
      </c>
      <c r="Q7548" s="411">
        <v>6</v>
      </c>
      <c r="R7548" s="405" t="s">
        <v>33091</v>
      </c>
      <c r="S7548" s="405" t="s">
        <v>27318</v>
      </c>
      <c r="T7548" s="405" t="s">
        <v>32102</v>
      </c>
      <c r="U7548" s="405" t="s">
        <v>319</v>
      </c>
    </row>
    <row r="7549" spans="1:21" hidden="1" x14ac:dyDescent="0.25">
      <c r="A7549" s="405" t="s">
        <v>310</v>
      </c>
      <c r="B7549" s="405" t="s">
        <v>11842</v>
      </c>
      <c r="C7549" s="405" t="s">
        <v>311</v>
      </c>
      <c r="D7549" s="405" t="s">
        <v>1789</v>
      </c>
      <c r="E7549" s="410">
        <v>41036</v>
      </c>
      <c r="F7549" s="410">
        <v>41081</v>
      </c>
      <c r="G7549" s="405" t="s">
        <v>11843</v>
      </c>
      <c r="H7549" s="405">
        <v>779836286</v>
      </c>
      <c r="I7549" s="405"/>
      <c r="J7549" s="405">
        <v>1.6524669999999999</v>
      </c>
      <c r="K7549" s="405">
        <v>33.793317000000002</v>
      </c>
      <c r="L7549" s="405" t="s">
        <v>6866</v>
      </c>
      <c r="M7549" s="405" t="s">
        <v>10012</v>
      </c>
      <c r="N7549" s="405" t="s">
        <v>10012</v>
      </c>
      <c r="O7549" s="405" t="s">
        <v>10267</v>
      </c>
      <c r="P7549" s="405" t="s">
        <v>10267</v>
      </c>
      <c r="Q7549" s="411">
        <v>6</v>
      </c>
      <c r="R7549" s="405" t="s">
        <v>5655</v>
      </c>
      <c r="S7549" s="405" t="s">
        <v>27325</v>
      </c>
      <c r="T7549" s="405" t="s">
        <v>32102</v>
      </c>
      <c r="U7549" s="405" t="s">
        <v>319</v>
      </c>
    </row>
    <row r="7550" spans="1:21" hidden="1" x14ac:dyDescent="0.25">
      <c r="A7550" s="405" t="s">
        <v>310</v>
      </c>
      <c r="B7550" s="405" t="s">
        <v>27837</v>
      </c>
      <c r="C7550" s="405" t="s">
        <v>327</v>
      </c>
      <c r="D7550" s="405"/>
      <c r="E7550" s="410">
        <v>41036</v>
      </c>
      <c r="F7550" s="410">
        <v>41081</v>
      </c>
      <c r="G7550" s="405" t="s">
        <v>11378</v>
      </c>
      <c r="H7550" s="405">
        <v>775226223</v>
      </c>
      <c r="I7550" s="405"/>
      <c r="J7550" s="405">
        <v>0.97158199999999995</v>
      </c>
      <c r="K7550" s="405">
        <v>34.067714000000002</v>
      </c>
      <c r="L7550" s="405" t="s">
        <v>6866</v>
      </c>
      <c r="M7550" s="405" t="s">
        <v>9566</v>
      </c>
      <c r="N7550" s="405" t="s">
        <v>10001</v>
      </c>
      <c r="O7550" s="405" t="s">
        <v>9932</v>
      </c>
      <c r="P7550" s="405" t="s">
        <v>11379</v>
      </c>
      <c r="Q7550" s="411">
        <v>6</v>
      </c>
      <c r="R7550" s="405" t="s">
        <v>33091</v>
      </c>
      <c r="S7550" s="405" t="s">
        <v>27169</v>
      </c>
      <c r="T7550" s="405" t="s">
        <v>32102</v>
      </c>
      <c r="U7550" s="405" t="s">
        <v>319</v>
      </c>
    </row>
    <row r="7551" spans="1:21" hidden="1" x14ac:dyDescent="0.25">
      <c r="A7551" s="405" t="s">
        <v>310</v>
      </c>
      <c r="B7551" s="405" t="s">
        <v>11375</v>
      </c>
      <c r="C7551" s="405" t="s">
        <v>327</v>
      </c>
      <c r="D7551" s="405"/>
      <c r="E7551" s="410">
        <v>41036</v>
      </c>
      <c r="F7551" s="410">
        <v>41081</v>
      </c>
      <c r="G7551" s="405" t="s">
        <v>11376</v>
      </c>
      <c r="H7551" s="405">
        <v>782804002</v>
      </c>
      <c r="I7551" s="405">
        <v>751804002</v>
      </c>
      <c r="J7551" s="405">
        <v>0.96840400000000004</v>
      </c>
      <c r="K7551" s="405">
        <v>34.063977999999999</v>
      </c>
      <c r="L7551" s="405" t="s">
        <v>6866</v>
      </c>
      <c r="M7551" s="405" t="s">
        <v>9566</v>
      </c>
      <c r="N7551" s="405" t="s">
        <v>9931</v>
      </c>
      <c r="O7551" s="405" t="s">
        <v>9932</v>
      </c>
      <c r="P7551" s="405" t="s">
        <v>11377</v>
      </c>
      <c r="Q7551" s="411">
        <v>6</v>
      </c>
      <c r="R7551" s="405" t="s">
        <v>7224</v>
      </c>
      <c r="S7551" s="405" t="s">
        <v>27197</v>
      </c>
      <c r="T7551" s="405" t="s">
        <v>32102</v>
      </c>
      <c r="U7551" s="405" t="s">
        <v>319</v>
      </c>
    </row>
    <row r="7552" spans="1:21" hidden="1" x14ac:dyDescent="0.25">
      <c r="A7552" s="405" t="s">
        <v>310</v>
      </c>
      <c r="B7552" s="405" t="s">
        <v>11380</v>
      </c>
      <c r="C7552" s="405" t="s">
        <v>327</v>
      </c>
      <c r="D7552" s="405"/>
      <c r="E7552" s="410">
        <v>41035</v>
      </c>
      <c r="F7552" s="410">
        <v>41080</v>
      </c>
      <c r="G7552" s="405" t="s">
        <v>11381</v>
      </c>
      <c r="H7552" s="405">
        <v>752171346</v>
      </c>
      <c r="I7552" s="405"/>
      <c r="J7552" s="405">
        <v>1.148055</v>
      </c>
      <c r="K7552" s="405">
        <v>33.814867</v>
      </c>
      <c r="L7552" s="405" t="s">
        <v>6866</v>
      </c>
      <c r="M7552" s="405" t="s">
        <v>9509</v>
      </c>
      <c r="N7552" s="405" t="s">
        <v>9509</v>
      </c>
      <c r="O7552" s="405" t="s">
        <v>9510</v>
      </c>
      <c r="P7552" s="405" t="s">
        <v>11382</v>
      </c>
      <c r="Q7552" s="411">
        <v>6</v>
      </c>
      <c r="R7552" s="405" t="s">
        <v>9541</v>
      </c>
      <c r="S7552" s="405" t="s">
        <v>27320</v>
      </c>
      <c r="T7552" s="405" t="s">
        <v>32102</v>
      </c>
      <c r="U7552" s="405" t="s">
        <v>319</v>
      </c>
    </row>
    <row r="7553" spans="1:21" hidden="1" x14ac:dyDescent="0.25">
      <c r="A7553" s="405" t="s">
        <v>310</v>
      </c>
      <c r="B7553" s="405" t="s">
        <v>11372</v>
      </c>
      <c r="C7553" s="405" t="s">
        <v>327</v>
      </c>
      <c r="D7553" s="405"/>
      <c r="E7553" s="410">
        <v>41035</v>
      </c>
      <c r="F7553" s="410">
        <v>41080</v>
      </c>
      <c r="G7553" s="405" t="s">
        <v>11373</v>
      </c>
      <c r="H7553" s="405">
        <v>778271215</v>
      </c>
      <c r="I7553" s="405"/>
      <c r="J7553" s="405">
        <v>0.59778900000000001</v>
      </c>
      <c r="K7553" s="405">
        <v>33.941555999999999</v>
      </c>
      <c r="L7553" s="405" t="s">
        <v>6866</v>
      </c>
      <c r="M7553" s="405" t="s">
        <v>9534</v>
      </c>
      <c r="N7553" s="405" t="s">
        <v>9997</v>
      </c>
      <c r="O7553" s="405" t="s">
        <v>10248</v>
      </c>
      <c r="P7553" s="405" t="s">
        <v>11374</v>
      </c>
      <c r="Q7553" s="411">
        <v>6</v>
      </c>
      <c r="R7553" s="405" t="s">
        <v>9541</v>
      </c>
      <c r="S7553" s="405" t="s">
        <v>27294</v>
      </c>
      <c r="T7553" s="405" t="s">
        <v>32102</v>
      </c>
      <c r="U7553" s="405" t="s">
        <v>319</v>
      </c>
    </row>
    <row r="7554" spans="1:21" hidden="1" x14ac:dyDescent="0.25">
      <c r="A7554" s="405" t="s">
        <v>310</v>
      </c>
      <c r="B7554" s="405" t="s">
        <v>20474</v>
      </c>
      <c r="C7554" s="405" t="s">
        <v>327</v>
      </c>
      <c r="D7554" s="405"/>
      <c r="E7554" s="410">
        <v>41034</v>
      </c>
      <c r="F7554" s="410">
        <v>41079</v>
      </c>
      <c r="G7554" s="405" t="s">
        <v>20475</v>
      </c>
      <c r="H7554" s="405">
        <v>772412816</v>
      </c>
      <c r="I7554" s="405"/>
      <c r="J7554" s="405">
        <v>-0.58592200000000005</v>
      </c>
      <c r="K7554" s="405">
        <v>30.511918999999999</v>
      </c>
      <c r="L7554" s="405" t="s">
        <v>590</v>
      </c>
      <c r="M7554" s="405" t="s">
        <v>19614</v>
      </c>
      <c r="N7554" s="405" t="s">
        <v>19615</v>
      </c>
      <c r="O7554" s="405" t="s">
        <v>20154</v>
      </c>
      <c r="P7554" s="405" t="s">
        <v>20064</v>
      </c>
      <c r="Q7554" s="411">
        <v>12</v>
      </c>
      <c r="R7554" s="405" t="s">
        <v>333</v>
      </c>
      <c r="S7554" s="405" t="s">
        <v>27173</v>
      </c>
      <c r="T7554" s="405" t="s">
        <v>32102</v>
      </c>
      <c r="U7554" s="405" t="s">
        <v>319</v>
      </c>
    </row>
    <row r="7555" spans="1:21" hidden="1" x14ac:dyDescent="0.25">
      <c r="A7555" s="405" t="s">
        <v>310</v>
      </c>
      <c r="B7555" s="405" t="s">
        <v>2486</v>
      </c>
      <c r="C7555" s="405" t="s">
        <v>327</v>
      </c>
      <c r="D7555" s="405"/>
      <c r="E7555" s="410">
        <v>41034</v>
      </c>
      <c r="F7555" s="410">
        <v>41079</v>
      </c>
      <c r="G7555" s="405" t="s">
        <v>2487</v>
      </c>
      <c r="H7555" s="405">
        <v>772908801</v>
      </c>
      <c r="I7555" s="405"/>
      <c r="J7555" s="405">
        <v>0.51259699999999997</v>
      </c>
      <c r="K7555" s="405">
        <v>32.439863000000003</v>
      </c>
      <c r="L7555" s="405" t="s">
        <v>314</v>
      </c>
      <c r="M7555" s="405" t="s">
        <v>361</v>
      </c>
      <c r="N7555" s="405" t="s">
        <v>362</v>
      </c>
      <c r="O7555" s="405" t="s">
        <v>523</v>
      </c>
      <c r="P7555" s="405" t="s">
        <v>2488</v>
      </c>
      <c r="Q7555" s="411">
        <v>6</v>
      </c>
      <c r="R7555" s="405" t="s">
        <v>1263</v>
      </c>
      <c r="S7555" s="405" t="s">
        <v>27171</v>
      </c>
      <c r="T7555" s="405" t="s">
        <v>32102</v>
      </c>
      <c r="U7555" s="405" t="s">
        <v>319</v>
      </c>
    </row>
    <row r="7556" spans="1:21" hidden="1" x14ac:dyDescent="0.25">
      <c r="A7556" s="405" t="s">
        <v>310</v>
      </c>
      <c r="B7556" s="405" t="s">
        <v>28045</v>
      </c>
      <c r="C7556" s="405" t="s">
        <v>327</v>
      </c>
      <c r="D7556" s="405"/>
      <c r="E7556" s="410">
        <v>41034</v>
      </c>
      <c r="F7556" s="410">
        <v>41079</v>
      </c>
      <c r="G7556" s="405" t="s">
        <v>2450</v>
      </c>
      <c r="H7556" s="405">
        <v>781529752</v>
      </c>
      <c r="I7556" s="405"/>
      <c r="J7556" s="405">
        <v>0.32288499999999998</v>
      </c>
      <c r="K7556" s="405">
        <v>32.145820000000001</v>
      </c>
      <c r="L7556" s="405" t="s">
        <v>314</v>
      </c>
      <c r="M7556" s="405" t="s">
        <v>675</v>
      </c>
      <c r="N7556" s="405" t="s">
        <v>676</v>
      </c>
      <c r="O7556" s="405" t="s">
        <v>677</v>
      </c>
      <c r="P7556" s="405" t="s">
        <v>2117</v>
      </c>
      <c r="Q7556" s="411">
        <v>6</v>
      </c>
      <c r="R7556" s="405" t="s">
        <v>318</v>
      </c>
      <c r="S7556" s="405" t="s">
        <v>27148</v>
      </c>
      <c r="T7556" s="405" t="s">
        <v>32102</v>
      </c>
      <c r="U7556" s="405" t="s">
        <v>319</v>
      </c>
    </row>
    <row r="7557" spans="1:21" hidden="1" x14ac:dyDescent="0.25">
      <c r="A7557" s="405" t="s">
        <v>310</v>
      </c>
      <c r="B7557" s="405" t="s">
        <v>11386</v>
      </c>
      <c r="C7557" s="405" t="s">
        <v>327</v>
      </c>
      <c r="D7557" s="405"/>
      <c r="E7557" s="410">
        <v>41034</v>
      </c>
      <c r="F7557" s="410">
        <v>41079</v>
      </c>
      <c r="G7557" s="405" t="s">
        <v>11387</v>
      </c>
      <c r="H7557" s="405">
        <v>700467844</v>
      </c>
      <c r="I7557" s="405"/>
      <c r="J7557" s="405">
        <v>1.458707</v>
      </c>
      <c r="K7557" s="405">
        <v>33.895432</v>
      </c>
      <c r="L7557" s="405" t="s">
        <v>6866</v>
      </c>
      <c r="M7557" s="405" t="s">
        <v>10029</v>
      </c>
      <c r="N7557" s="405" t="s">
        <v>10029</v>
      </c>
      <c r="O7557" s="405" t="s">
        <v>11388</v>
      </c>
      <c r="P7557" s="405" t="s">
        <v>11389</v>
      </c>
      <c r="Q7557" s="411">
        <v>6</v>
      </c>
      <c r="R7557" s="405" t="s">
        <v>9541</v>
      </c>
      <c r="S7557" s="405" t="s">
        <v>27320</v>
      </c>
      <c r="T7557" s="405" t="s">
        <v>32102</v>
      </c>
      <c r="U7557" s="405" t="s">
        <v>319</v>
      </c>
    </row>
    <row r="7558" spans="1:21" hidden="1" x14ac:dyDescent="0.25">
      <c r="A7558" s="405" t="s">
        <v>310</v>
      </c>
      <c r="B7558" s="405" t="s">
        <v>20702</v>
      </c>
      <c r="C7558" s="405" t="s">
        <v>311</v>
      </c>
      <c r="D7558" s="405" t="s">
        <v>1142</v>
      </c>
      <c r="E7558" s="410">
        <v>41033</v>
      </c>
      <c r="F7558" s="410">
        <v>41078</v>
      </c>
      <c r="G7558" s="405" t="s">
        <v>20703</v>
      </c>
      <c r="H7558" s="405">
        <v>782901093</v>
      </c>
      <c r="I7558" s="405">
        <v>7577901093</v>
      </c>
      <c r="J7558" s="405">
        <v>-1.0184310000000001</v>
      </c>
      <c r="K7558" s="405">
        <v>30.138932</v>
      </c>
      <c r="L7558" s="405" t="s">
        <v>590</v>
      </c>
      <c r="M7558" s="405" t="s">
        <v>19659</v>
      </c>
      <c r="N7558" s="405" t="s">
        <v>19677</v>
      </c>
      <c r="O7558" s="405" t="s">
        <v>20207</v>
      </c>
      <c r="P7558" s="405" t="s">
        <v>20704</v>
      </c>
      <c r="Q7558" s="411">
        <v>9</v>
      </c>
      <c r="R7558" s="405" t="s">
        <v>1527</v>
      </c>
      <c r="S7558" s="405" t="s">
        <v>27161</v>
      </c>
      <c r="T7558" s="405" t="s">
        <v>32102</v>
      </c>
      <c r="U7558" s="405" t="s">
        <v>319</v>
      </c>
    </row>
    <row r="7559" spans="1:21" hidden="1" x14ac:dyDescent="0.25">
      <c r="A7559" s="405" t="s">
        <v>310</v>
      </c>
      <c r="B7559" s="405" t="s">
        <v>28157</v>
      </c>
      <c r="C7559" s="405" t="s">
        <v>327</v>
      </c>
      <c r="D7559" s="405"/>
      <c r="E7559" s="410">
        <v>41033</v>
      </c>
      <c r="F7559" s="410">
        <v>41078</v>
      </c>
      <c r="G7559" s="405" t="s">
        <v>2443</v>
      </c>
      <c r="H7559" s="405">
        <v>772878318</v>
      </c>
      <c r="I7559" s="405"/>
      <c r="J7559" s="405">
        <v>0.31480799999999998</v>
      </c>
      <c r="K7559" s="405">
        <v>32.149472000000003</v>
      </c>
      <c r="L7559" s="405" t="s">
        <v>314</v>
      </c>
      <c r="M7559" s="405" t="s">
        <v>675</v>
      </c>
      <c r="N7559" s="405" t="s">
        <v>676</v>
      </c>
      <c r="O7559" s="405" t="s">
        <v>677</v>
      </c>
      <c r="P7559" s="405" t="s">
        <v>677</v>
      </c>
      <c r="Q7559" s="411">
        <v>6</v>
      </c>
      <c r="R7559" s="405" t="s">
        <v>318</v>
      </c>
      <c r="S7559" s="405" t="s">
        <v>27174</v>
      </c>
      <c r="T7559" s="405" t="s">
        <v>32102</v>
      </c>
      <c r="U7559" s="405" t="s">
        <v>319</v>
      </c>
    </row>
    <row r="7560" spans="1:21" hidden="1" x14ac:dyDescent="0.25">
      <c r="A7560" s="405" t="s">
        <v>310</v>
      </c>
      <c r="B7560" s="405" t="s">
        <v>11408</v>
      </c>
      <c r="C7560" s="405" t="s">
        <v>327</v>
      </c>
      <c r="D7560" s="405"/>
      <c r="E7560" s="410">
        <v>41033</v>
      </c>
      <c r="F7560" s="410">
        <v>41078</v>
      </c>
      <c r="G7560" s="405" t="s">
        <v>11409</v>
      </c>
      <c r="H7560" s="405">
        <v>772576110</v>
      </c>
      <c r="I7560" s="405"/>
      <c r="J7560" s="405">
        <v>0.85383200000000004</v>
      </c>
      <c r="K7560" s="405">
        <v>34.304693999999998</v>
      </c>
      <c r="L7560" s="405" t="s">
        <v>6866</v>
      </c>
      <c r="M7560" s="405" t="s">
        <v>9763</v>
      </c>
      <c r="N7560" s="405" t="s">
        <v>9764</v>
      </c>
      <c r="O7560" s="405" t="s">
        <v>9936</v>
      </c>
      <c r="P7560" s="405" t="s">
        <v>11410</v>
      </c>
      <c r="Q7560" s="411">
        <v>6</v>
      </c>
      <c r="R7560" s="405" t="s">
        <v>7224</v>
      </c>
      <c r="S7560" s="405" t="s">
        <v>27304</v>
      </c>
      <c r="T7560" s="405" t="s">
        <v>32102</v>
      </c>
      <c r="U7560" s="405" t="s">
        <v>319</v>
      </c>
    </row>
    <row r="7561" spans="1:21" hidden="1" x14ac:dyDescent="0.25">
      <c r="A7561" s="405" t="s">
        <v>310</v>
      </c>
      <c r="B7561" s="405" t="s">
        <v>27529</v>
      </c>
      <c r="C7561" s="405" t="s">
        <v>327</v>
      </c>
      <c r="D7561" s="405"/>
      <c r="E7561" s="410">
        <v>41032</v>
      </c>
      <c r="F7561" s="410">
        <v>41077</v>
      </c>
      <c r="G7561" s="405" t="s">
        <v>11349</v>
      </c>
      <c r="H7561" s="405">
        <v>776093707</v>
      </c>
      <c r="I7561" s="405">
        <v>754093707</v>
      </c>
      <c r="J7561" s="405">
        <v>0.78285099999999996</v>
      </c>
      <c r="K7561" s="405">
        <v>34.064442</v>
      </c>
      <c r="L7561" s="405" t="s">
        <v>6866</v>
      </c>
      <c r="M7561" s="405" t="s">
        <v>9534</v>
      </c>
      <c r="N7561" s="405" t="s">
        <v>10085</v>
      </c>
      <c r="O7561" s="405" t="s">
        <v>9536</v>
      </c>
      <c r="P7561" s="405" t="s">
        <v>11350</v>
      </c>
      <c r="Q7561" s="411">
        <v>6</v>
      </c>
      <c r="R7561" s="405" t="s">
        <v>7224</v>
      </c>
      <c r="S7561" s="405" t="s">
        <v>27310</v>
      </c>
      <c r="T7561" s="405" t="s">
        <v>32102</v>
      </c>
      <c r="U7561" s="405" t="s">
        <v>319</v>
      </c>
    </row>
    <row r="7562" spans="1:21" hidden="1" x14ac:dyDescent="0.25">
      <c r="A7562" s="405" t="s">
        <v>310</v>
      </c>
      <c r="B7562" s="405" t="s">
        <v>2526</v>
      </c>
      <c r="C7562" s="405" t="s">
        <v>327</v>
      </c>
      <c r="D7562" s="405"/>
      <c r="E7562" s="410">
        <v>41031</v>
      </c>
      <c r="F7562" s="410">
        <v>41076</v>
      </c>
      <c r="G7562" s="405" t="s">
        <v>2527</v>
      </c>
      <c r="H7562" s="405">
        <v>702385395</v>
      </c>
      <c r="I7562" s="405"/>
      <c r="J7562" s="405">
        <v>-0.39785999999999999</v>
      </c>
      <c r="K7562" s="405">
        <v>31.140319999999999</v>
      </c>
      <c r="L7562" s="405" t="s">
        <v>314</v>
      </c>
      <c r="M7562" s="405" t="s">
        <v>1805</v>
      </c>
      <c r="N7562" s="405" t="s">
        <v>1805</v>
      </c>
      <c r="O7562" s="405" t="s">
        <v>1805</v>
      </c>
      <c r="P7562" s="405" t="s">
        <v>2528</v>
      </c>
      <c r="Q7562" s="411">
        <v>9</v>
      </c>
      <c r="R7562" s="405" t="s">
        <v>402</v>
      </c>
      <c r="S7562" s="405" t="s">
        <v>27052</v>
      </c>
      <c r="T7562" s="405" t="s">
        <v>32102</v>
      </c>
      <c r="U7562" s="405" t="s">
        <v>319</v>
      </c>
    </row>
    <row r="7563" spans="1:21" hidden="1" x14ac:dyDescent="0.25">
      <c r="A7563" s="405" t="s">
        <v>310</v>
      </c>
      <c r="B7563" s="405" t="s">
        <v>28557</v>
      </c>
      <c r="C7563" s="405" t="s">
        <v>327</v>
      </c>
      <c r="D7563" s="405"/>
      <c r="E7563" s="410">
        <v>41031</v>
      </c>
      <c r="F7563" s="410">
        <v>41076</v>
      </c>
      <c r="G7563" s="405" t="s">
        <v>11338</v>
      </c>
      <c r="H7563" s="405">
        <v>774491569</v>
      </c>
      <c r="I7563" s="405"/>
      <c r="J7563" s="405">
        <v>1.1124879999999999</v>
      </c>
      <c r="K7563" s="405">
        <v>34.215412000000001</v>
      </c>
      <c r="L7563" s="405" t="s">
        <v>6866</v>
      </c>
      <c r="M7563" s="405" t="s">
        <v>9514</v>
      </c>
      <c r="N7563" s="405" t="s">
        <v>9529</v>
      </c>
      <c r="O7563" s="405" t="s">
        <v>9530</v>
      </c>
      <c r="P7563" s="405" t="s">
        <v>10607</v>
      </c>
      <c r="Q7563" s="411">
        <v>6</v>
      </c>
      <c r="R7563" s="405" t="s">
        <v>10303</v>
      </c>
      <c r="S7563" s="405" t="s">
        <v>27184</v>
      </c>
      <c r="T7563" s="405" t="s">
        <v>32102</v>
      </c>
      <c r="U7563" s="405" t="s">
        <v>319</v>
      </c>
    </row>
    <row r="7564" spans="1:21" hidden="1" x14ac:dyDescent="0.25">
      <c r="A7564" s="405" t="s">
        <v>310</v>
      </c>
      <c r="B7564" s="405" t="s">
        <v>2478</v>
      </c>
      <c r="C7564" s="405" t="s">
        <v>327</v>
      </c>
      <c r="D7564" s="405"/>
      <c r="E7564" s="410">
        <v>41029</v>
      </c>
      <c r="F7564" s="410">
        <v>41074</v>
      </c>
      <c r="G7564" s="405" t="s">
        <v>2479</v>
      </c>
      <c r="H7564" s="405">
        <v>782783026</v>
      </c>
      <c r="I7564" s="405"/>
      <c r="J7564" s="405">
        <v>0.20863699999999999</v>
      </c>
      <c r="K7564" s="405">
        <v>32.572161999999999</v>
      </c>
      <c r="L7564" s="405" t="s">
        <v>314</v>
      </c>
      <c r="M7564" s="405" t="s">
        <v>361</v>
      </c>
      <c r="N7564" s="405" t="s">
        <v>2480</v>
      </c>
      <c r="O7564" s="405" t="s">
        <v>2481</v>
      </c>
      <c r="P7564" s="405" t="s">
        <v>2482</v>
      </c>
      <c r="Q7564" s="411">
        <v>13</v>
      </c>
      <c r="R7564" s="405" t="s">
        <v>353</v>
      </c>
      <c r="S7564" s="405" t="s">
        <v>27158</v>
      </c>
      <c r="T7564" s="405" t="s">
        <v>32102</v>
      </c>
      <c r="U7564" s="405" t="s">
        <v>319</v>
      </c>
    </row>
    <row r="7565" spans="1:21" hidden="1" x14ac:dyDescent="0.25">
      <c r="A7565" s="405" t="s">
        <v>310</v>
      </c>
      <c r="B7565" s="405" t="s">
        <v>3112</v>
      </c>
      <c r="C7565" s="405" t="s">
        <v>311</v>
      </c>
      <c r="D7565" s="405" t="s">
        <v>1789</v>
      </c>
      <c r="E7565" s="410">
        <v>41029</v>
      </c>
      <c r="F7565" s="410">
        <v>41074</v>
      </c>
      <c r="G7565" s="405" t="s">
        <v>3113</v>
      </c>
      <c r="H7565" s="405">
        <v>777923833</v>
      </c>
      <c r="I7565" s="405">
        <v>700696797</v>
      </c>
      <c r="J7565" s="405">
        <v>0.50415500000000002</v>
      </c>
      <c r="K7565" s="405">
        <v>32.619632000000003</v>
      </c>
      <c r="L7565" s="405" t="s">
        <v>314</v>
      </c>
      <c r="M7565" s="405" t="s">
        <v>361</v>
      </c>
      <c r="N7565" s="405" t="s">
        <v>362</v>
      </c>
      <c r="O7565" s="405" t="s">
        <v>433</v>
      </c>
      <c r="P7565" s="405" t="s">
        <v>2528</v>
      </c>
      <c r="Q7565" s="411">
        <v>12</v>
      </c>
      <c r="R7565" s="405" t="s">
        <v>318</v>
      </c>
      <c r="S7565" s="405" t="s">
        <v>27137</v>
      </c>
      <c r="T7565" s="405" t="s">
        <v>32102</v>
      </c>
      <c r="U7565" s="405" t="s">
        <v>319</v>
      </c>
    </row>
    <row r="7566" spans="1:21" hidden="1" x14ac:dyDescent="0.25">
      <c r="A7566" s="405" t="s">
        <v>310</v>
      </c>
      <c r="B7566" s="405" t="s">
        <v>2518</v>
      </c>
      <c r="C7566" s="405" t="s">
        <v>327</v>
      </c>
      <c r="D7566" s="405"/>
      <c r="E7566" s="410">
        <v>41029</v>
      </c>
      <c r="F7566" s="410">
        <v>41074</v>
      </c>
      <c r="G7566" s="405" t="s">
        <v>2519</v>
      </c>
      <c r="H7566" s="405">
        <v>775187855</v>
      </c>
      <c r="I7566" s="405"/>
      <c r="J7566" s="405">
        <v>1.1721029999999999</v>
      </c>
      <c r="K7566" s="405">
        <v>31.971295000000001</v>
      </c>
      <c r="L7566" s="405" t="s">
        <v>314</v>
      </c>
      <c r="M7566" s="405" t="s">
        <v>2297</v>
      </c>
      <c r="N7566" s="405" t="s">
        <v>2297</v>
      </c>
      <c r="O7566" s="405" t="s">
        <v>2520</v>
      </c>
      <c r="P7566" s="405" t="s">
        <v>2521</v>
      </c>
      <c r="Q7566" s="411">
        <v>12</v>
      </c>
      <c r="R7566" s="405" t="s">
        <v>318</v>
      </c>
      <c r="S7566" s="405" t="s">
        <v>27113</v>
      </c>
      <c r="T7566" s="405" t="s">
        <v>32102</v>
      </c>
      <c r="U7566" s="405" t="s">
        <v>319</v>
      </c>
    </row>
    <row r="7567" spans="1:21" hidden="1" x14ac:dyDescent="0.25">
      <c r="A7567" s="405" t="s">
        <v>310</v>
      </c>
      <c r="B7567" s="405" t="s">
        <v>2483</v>
      </c>
      <c r="C7567" s="405" t="s">
        <v>327</v>
      </c>
      <c r="D7567" s="405"/>
      <c r="E7567" s="410">
        <v>41029</v>
      </c>
      <c r="F7567" s="410">
        <v>41074</v>
      </c>
      <c r="G7567" s="405" t="s">
        <v>2484</v>
      </c>
      <c r="H7567" s="405">
        <v>712494548</v>
      </c>
      <c r="I7567" s="405"/>
      <c r="J7567" s="405">
        <v>0.71123800000000004</v>
      </c>
      <c r="K7567" s="405">
        <v>32.559061999999997</v>
      </c>
      <c r="L7567" s="405" t="s">
        <v>314</v>
      </c>
      <c r="M7567" s="405" t="s">
        <v>959</v>
      </c>
      <c r="N7567" s="405" t="s">
        <v>1094</v>
      </c>
      <c r="O7567" s="405" t="s">
        <v>1094</v>
      </c>
      <c r="P7567" s="405" t="s">
        <v>2485</v>
      </c>
      <c r="Q7567" s="411">
        <v>9</v>
      </c>
      <c r="R7567" s="405" t="s">
        <v>1263</v>
      </c>
      <c r="S7567" s="405" t="s">
        <v>27192</v>
      </c>
      <c r="T7567" s="405" t="s">
        <v>32102</v>
      </c>
      <c r="U7567" s="405" t="s">
        <v>319</v>
      </c>
    </row>
    <row r="7568" spans="1:21" hidden="1" x14ac:dyDescent="0.25">
      <c r="A7568" s="405" t="s">
        <v>310</v>
      </c>
      <c r="B7568" s="405" t="s">
        <v>2464</v>
      </c>
      <c r="C7568" s="405" t="s">
        <v>327</v>
      </c>
      <c r="D7568" s="405"/>
      <c r="E7568" s="410">
        <v>41029</v>
      </c>
      <c r="F7568" s="410">
        <v>41074</v>
      </c>
      <c r="G7568" s="405" t="s">
        <v>2465</v>
      </c>
      <c r="H7568" s="405">
        <v>702044075</v>
      </c>
      <c r="I7568" s="405"/>
      <c r="J7568" s="405">
        <v>0.58519600000000005</v>
      </c>
      <c r="K7568" s="405">
        <v>33.020330000000001</v>
      </c>
      <c r="L7568" s="405" t="s">
        <v>314</v>
      </c>
      <c r="M7568" s="405" t="s">
        <v>502</v>
      </c>
      <c r="N7568" s="405" t="s">
        <v>503</v>
      </c>
      <c r="O7568" s="405" t="s">
        <v>2179</v>
      </c>
      <c r="P7568" s="405" t="s">
        <v>2466</v>
      </c>
      <c r="Q7568" s="411">
        <v>6</v>
      </c>
      <c r="R7568" s="405" t="s">
        <v>1263</v>
      </c>
      <c r="S7568" s="405" t="s">
        <v>27110</v>
      </c>
      <c r="T7568" s="405" t="s">
        <v>32102</v>
      </c>
      <c r="U7568" s="405" t="s">
        <v>319</v>
      </c>
    </row>
    <row r="7569" spans="1:21" hidden="1" x14ac:dyDescent="0.25">
      <c r="A7569" s="405" t="s">
        <v>310</v>
      </c>
      <c r="B7569" s="405" t="s">
        <v>2476</v>
      </c>
      <c r="C7569" s="405" t="s">
        <v>327</v>
      </c>
      <c r="D7569" s="405"/>
      <c r="E7569" s="410">
        <v>41029</v>
      </c>
      <c r="F7569" s="410">
        <v>41074</v>
      </c>
      <c r="G7569" s="405" t="s">
        <v>2477</v>
      </c>
      <c r="H7569" s="405">
        <v>782891895</v>
      </c>
      <c r="I7569" s="405"/>
      <c r="J7569" s="405">
        <v>0.380608</v>
      </c>
      <c r="K7569" s="405">
        <v>32.285069999999997</v>
      </c>
      <c r="L7569" s="405" t="s">
        <v>314</v>
      </c>
      <c r="M7569" s="405" t="s">
        <v>321</v>
      </c>
      <c r="N7569" s="405" t="s">
        <v>2472</v>
      </c>
      <c r="O7569" s="405" t="s">
        <v>2473</v>
      </c>
      <c r="P7569" s="405" t="s">
        <v>2474</v>
      </c>
      <c r="Q7569" s="411">
        <v>6</v>
      </c>
      <c r="R7569" s="405" t="s">
        <v>2475</v>
      </c>
      <c r="S7569" s="405" t="s">
        <v>27139</v>
      </c>
      <c r="T7569" s="405" t="s">
        <v>32102</v>
      </c>
      <c r="U7569" s="405" t="s">
        <v>319</v>
      </c>
    </row>
    <row r="7570" spans="1:21" hidden="1" x14ac:dyDescent="0.25">
      <c r="A7570" s="405" t="s">
        <v>310</v>
      </c>
      <c r="B7570" s="405" t="s">
        <v>2441</v>
      </c>
      <c r="C7570" s="405" t="s">
        <v>327</v>
      </c>
      <c r="D7570" s="405"/>
      <c r="E7570" s="410">
        <v>41029</v>
      </c>
      <c r="F7570" s="410">
        <v>41074</v>
      </c>
      <c r="G7570" s="405" t="s">
        <v>2442</v>
      </c>
      <c r="H7570" s="405">
        <v>782312916</v>
      </c>
      <c r="I7570" s="405"/>
      <c r="J7570" s="405">
        <v>0.113028</v>
      </c>
      <c r="K7570" s="405">
        <v>32.001243000000002</v>
      </c>
      <c r="L7570" s="405" t="s">
        <v>314</v>
      </c>
      <c r="M7570" s="405" t="s">
        <v>315</v>
      </c>
      <c r="N7570" s="405" t="s">
        <v>315</v>
      </c>
      <c r="O7570" s="405" t="s">
        <v>671</v>
      </c>
      <c r="P7570" s="405" t="s">
        <v>671</v>
      </c>
      <c r="Q7570" s="411">
        <v>6</v>
      </c>
      <c r="R7570" s="405" t="s">
        <v>438</v>
      </c>
      <c r="S7570" s="405" t="s">
        <v>27131</v>
      </c>
      <c r="T7570" s="405" t="s">
        <v>32102</v>
      </c>
      <c r="U7570" s="405" t="s">
        <v>319</v>
      </c>
    </row>
    <row r="7571" spans="1:21" hidden="1" x14ac:dyDescent="0.25">
      <c r="A7571" s="405" t="s">
        <v>310</v>
      </c>
      <c r="B7571" s="405" t="s">
        <v>2458</v>
      </c>
      <c r="C7571" s="405" t="s">
        <v>327</v>
      </c>
      <c r="D7571" s="405"/>
      <c r="E7571" s="410">
        <v>41029</v>
      </c>
      <c r="F7571" s="410">
        <v>41074</v>
      </c>
      <c r="G7571" s="405" t="s">
        <v>2459</v>
      </c>
      <c r="H7571" s="405">
        <v>782829200</v>
      </c>
      <c r="I7571" s="405"/>
      <c r="J7571" s="405">
        <v>0.24279500000000001</v>
      </c>
      <c r="K7571" s="405">
        <v>32.064912</v>
      </c>
      <c r="L7571" s="405" t="s">
        <v>314</v>
      </c>
      <c r="M7571" s="405" t="s">
        <v>339</v>
      </c>
      <c r="N7571" s="405" t="s">
        <v>339</v>
      </c>
      <c r="O7571" s="405" t="s">
        <v>2272</v>
      </c>
      <c r="P7571" s="405" t="s">
        <v>2460</v>
      </c>
      <c r="Q7571" s="411">
        <v>6</v>
      </c>
      <c r="R7571" s="405" t="s">
        <v>318</v>
      </c>
      <c r="S7571" s="405" t="s">
        <v>27182</v>
      </c>
      <c r="T7571" s="405" t="s">
        <v>32102</v>
      </c>
      <c r="U7571" s="405" t="s">
        <v>319</v>
      </c>
    </row>
    <row r="7572" spans="1:21" hidden="1" x14ac:dyDescent="0.25">
      <c r="A7572" s="405" t="s">
        <v>310</v>
      </c>
      <c r="B7572" s="405" t="s">
        <v>2503</v>
      </c>
      <c r="C7572" s="405" t="s">
        <v>327</v>
      </c>
      <c r="D7572" s="405"/>
      <c r="E7572" s="410">
        <v>41029</v>
      </c>
      <c r="F7572" s="410">
        <v>41074</v>
      </c>
      <c r="G7572" s="405" t="s">
        <v>2504</v>
      </c>
      <c r="H7572" s="405">
        <v>777648332</v>
      </c>
      <c r="I7572" s="405"/>
      <c r="J7572" s="405">
        <v>0.27232299999999998</v>
      </c>
      <c r="K7572" s="405">
        <v>31.591553000000001</v>
      </c>
      <c r="L7572" s="405" t="s">
        <v>314</v>
      </c>
      <c r="M7572" s="405" t="s">
        <v>339</v>
      </c>
      <c r="N7572" s="405" t="s">
        <v>339</v>
      </c>
      <c r="O7572" s="405" t="s">
        <v>1662</v>
      </c>
      <c r="P7572" s="405" t="s">
        <v>2505</v>
      </c>
      <c r="Q7572" s="411">
        <v>6</v>
      </c>
      <c r="R7572" s="405" t="s">
        <v>318</v>
      </c>
      <c r="S7572" s="405" t="s">
        <v>27141</v>
      </c>
      <c r="T7572" s="405" t="s">
        <v>32102</v>
      </c>
      <c r="U7572" s="405" t="s">
        <v>319</v>
      </c>
    </row>
    <row r="7573" spans="1:21" hidden="1" x14ac:dyDescent="0.25">
      <c r="A7573" s="405" t="s">
        <v>310</v>
      </c>
      <c r="B7573" s="405" t="s">
        <v>27782</v>
      </c>
      <c r="C7573" s="405" t="s">
        <v>327</v>
      </c>
      <c r="D7573" s="405"/>
      <c r="E7573" s="410">
        <v>41029</v>
      </c>
      <c r="F7573" s="410">
        <v>41074</v>
      </c>
      <c r="G7573" s="405" t="s">
        <v>11401</v>
      </c>
      <c r="H7573" s="405">
        <v>772541458</v>
      </c>
      <c r="I7573" s="405"/>
      <c r="J7573" s="405">
        <v>1.1619679999999999</v>
      </c>
      <c r="K7573" s="405">
        <v>34.347813000000002</v>
      </c>
      <c r="L7573" s="405" t="s">
        <v>6866</v>
      </c>
      <c r="M7573" s="405" t="s">
        <v>9575</v>
      </c>
      <c r="N7573" s="405" t="s">
        <v>9576</v>
      </c>
      <c r="O7573" s="405" t="s">
        <v>11402</v>
      </c>
      <c r="P7573" s="405" t="s">
        <v>11403</v>
      </c>
      <c r="Q7573" s="411">
        <v>4</v>
      </c>
      <c r="R7573" s="405" t="s">
        <v>7224</v>
      </c>
      <c r="S7573" s="405" t="s">
        <v>17062</v>
      </c>
      <c r="T7573" s="405" t="s">
        <v>32102</v>
      </c>
      <c r="U7573" s="405" t="s">
        <v>319</v>
      </c>
    </row>
    <row r="7574" spans="1:21" hidden="1" x14ac:dyDescent="0.25">
      <c r="A7574" s="405" t="s">
        <v>310</v>
      </c>
      <c r="B7574" s="405" t="s">
        <v>3059</v>
      </c>
      <c r="C7574" s="405" t="s">
        <v>311</v>
      </c>
      <c r="D7574" s="405" t="s">
        <v>839</v>
      </c>
      <c r="E7574" s="410">
        <v>41026</v>
      </c>
      <c r="F7574" s="410">
        <v>41071</v>
      </c>
      <c r="G7574" s="405" t="s">
        <v>3060</v>
      </c>
      <c r="H7574" s="405">
        <v>772427774</v>
      </c>
      <c r="I7574" s="405">
        <v>701427774</v>
      </c>
      <c r="J7574" s="405">
        <v>-0.52856800000000004</v>
      </c>
      <c r="K7574" s="405">
        <v>31.615022</v>
      </c>
      <c r="L7574" s="405" t="s">
        <v>314</v>
      </c>
      <c r="M7574" s="405" t="s">
        <v>398</v>
      </c>
      <c r="N7574" s="405" t="s">
        <v>399</v>
      </c>
      <c r="O7574" s="405" t="s">
        <v>3061</v>
      </c>
      <c r="P7574" s="405" t="s">
        <v>3062</v>
      </c>
      <c r="Q7574" s="411">
        <v>12</v>
      </c>
      <c r="R7574" s="405" t="s">
        <v>318</v>
      </c>
      <c r="S7574" s="405" t="s">
        <v>27137</v>
      </c>
      <c r="T7574" s="405" t="s">
        <v>32102</v>
      </c>
      <c r="U7574" s="405" t="s">
        <v>319</v>
      </c>
    </row>
    <row r="7575" spans="1:21" hidden="1" x14ac:dyDescent="0.25">
      <c r="A7575" s="405" t="s">
        <v>310</v>
      </c>
      <c r="B7575" s="405" t="s">
        <v>18326</v>
      </c>
      <c r="C7575" s="405" t="s">
        <v>327</v>
      </c>
      <c r="D7575" s="405"/>
      <c r="E7575" s="410">
        <v>41026</v>
      </c>
      <c r="F7575" s="410">
        <v>41071</v>
      </c>
      <c r="G7575" s="405" t="s">
        <v>18327</v>
      </c>
      <c r="H7575" s="405">
        <v>782728317</v>
      </c>
      <c r="I7575" s="405">
        <v>712646841</v>
      </c>
      <c r="J7575" s="405">
        <v>2.8445320000000001</v>
      </c>
      <c r="K7575" s="405">
        <v>32.19229</v>
      </c>
      <c r="L7575" s="405" t="s">
        <v>860</v>
      </c>
      <c r="M7575" s="405" t="s">
        <v>15041</v>
      </c>
      <c r="N7575" s="405" t="s">
        <v>18328</v>
      </c>
      <c r="O7575" s="405" t="s">
        <v>18324</v>
      </c>
      <c r="P7575" s="405" t="s">
        <v>18325</v>
      </c>
      <c r="Q7575" s="411">
        <v>6</v>
      </c>
      <c r="R7575" s="405" t="s">
        <v>994</v>
      </c>
      <c r="S7575" s="405" t="s">
        <v>27179</v>
      </c>
      <c r="T7575" s="405" t="s">
        <v>32102</v>
      </c>
      <c r="U7575" s="405" t="s">
        <v>319</v>
      </c>
    </row>
    <row r="7576" spans="1:21" hidden="1" x14ac:dyDescent="0.25">
      <c r="A7576" s="405" t="s">
        <v>310</v>
      </c>
      <c r="B7576" s="405" t="s">
        <v>20501</v>
      </c>
      <c r="C7576" s="405" t="s">
        <v>327</v>
      </c>
      <c r="D7576" s="405"/>
      <c r="E7576" s="410">
        <v>41024</v>
      </c>
      <c r="F7576" s="410">
        <v>41069</v>
      </c>
      <c r="G7576" s="405" t="s">
        <v>20502</v>
      </c>
      <c r="H7576" s="405">
        <v>704839616</v>
      </c>
      <c r="I7576" s="405">
        <v>775698798</v>
      </c>
      <c r="J7576" s="405">
        <v>-1.0999380000000001</v>
      </c>
      <c r="K7576" s="405">
        <v>30.192606999999999</v>
      </c>
      <c r="L7576" s="405" t="s">
        <v>590</v>
      </c>
      <c r="M7576" s="405" t="s">
        <v>19659</v>
      </c>
      <c r="N7576" s="405" t="s">
        <v>19677</v>
      </c>
      <c r="O7576" s="405" t="s">
        <v>2520</v>
      </c>
      <c r="P7576" s="405" t="s">
        <v>20503</v>
      </c>
      <c r="Q7576" s="411">
        <v>9</v>
      </c>
      <c r="R7576" s="405" t="s">
        <v>1527</v>
      </c>
      <c r="S7576" s="405" t="s">
        <v>27166</v>
      </c>
      <c r="T7576" s="405" t="s">
        <v>32102</v>
      </c>
      <c r="U7576" s="405" t="s">
        <v>319</v>
      </c>
    </row>
    <row r="7577" spans="1:21" hidden="1" x14ac:dyDescent="0.25">
      <c r="A7577" s="405" t="s">
        <v>310</v>
      </c>
      <c r="B7577" s="405" t="s">
        <v>2498</v>
      </c>
      <c r="C7577" s="405" t="s">
        <v>327</v>
      </c>
      <c r="D7577" s="405"/>
      <c r="E7577" s="410">
        <v>41024</v>
      </c>
      <c r="F7577" s="410">
        <v>41069</v>
      </c>
      <c r="G7577" s="405" t="s">
        <v>2499</v>
      </c>
      <c r="H7577" s="405">
        <v>754030382</v>
      </c>
      <c r="I7577" s="405"/>
      <c r="J7577" s="405">
        <v>0.27246799999999999</v>
      </c>
      <c r="K7577" s="405">
        <v>32.883552000000002</v>
      </c>
      <c r="L7577" s="405" t="s">
        <v>314</v>
      </c>
      <c r="M7577" s="405" t="s">
        <v>329</v>
      </c>
      <c r="N7577" s="405" t="s">
        <v>803</v>
      </c>
      <c r="O7577" s="405" t="s">
        <v>653</v>
      </c>
      <c r="P7577" s="405" t="s">
        <v>2500</v>
      </c>
      <c r="Q7577" s="411">
        <v>6</v>
      </c>
      <c r="R7577" s="405" t="s">
        <v>353</v>
      </c>
      <c r="S7577" s="405" t="s">
        <v>27129</v>
      </c>
      <c r="T7577" s="405" t="s">
        <v>32102</v>
      </c>
      <c r="U7577" s="405" t="s">
        <v>319</v>
      </c>
    </row>
    <row r="7578" spans="1:21" hidden="1" x14ac:dyDescent="0.25">
      <c r="A7578" s="405" t="s">
        <v>310</v>
      </c>
      <c r="B7578" s="405" t="s">
        <v>18592</v>
      </c>
      <c r="C7578" s="405" t="s">
        <v>311</v>
      </c>
      <c r="D7578" s="405" t="s">
        <v>839</v>
      </c>
      <c r="E7578" s="410">
        <v>41023</v>
      </c>
      <c r="F7578" s="410">
        <v>41068</v>
      </c>
      <c r="G7578" s="405" t="s">
        <v>18593</v>
      </c>
      <c r="H7578" s="405">
        <v>752419427</v>
      </c>
      <c r="I7578" s="405">
        <v>776245308</v>
      </c>
      <c r="J7578" s="405">
        <v>2.7662200000000001</v>
      </c>
      <c r="K7578" s="405">
        <v>32.291656000000003</v>
      </c>
      <c r="L7578" s="405" t="s">
        <v>860</v>
      </c>
      <c r="M7578" s="405" t="s">
        <v>853</v>
      </c>
      <c r="N7578" s="405" t="s">
        <v>18246</v>
      </c>
      <c r="O7578" s="405" t="s">
        <v>18594</v>
      </c>
      <c r="P7578" s="405" t="s">
        <v>18595</v>
      </c>
      <c r="Q7578" s="411">
        <v>12</v>
      </c>
      <c r="R7578" s="405" t="s">
        <v>994</v>
      </c>
      <c r="S7578" s="405" t="s">
        <v>27377</v>
      </c>
      <c r="T7578" s="405" t="s">
        <v>32102</v>
      </c>
      <c r="U7578" s="405" t="s">
        <v>319</v>
      </c>
    </row>
    <row r="7579" spans="1:21" hidden="1" x14ac:dyDescent="0.25">
      <c r="A7579" s="405" t="s">
        <v>310</v>
      </c>
      <c r="B7579" s="405" t="s">
        <v>2491</v>
      </c>
      <c r="C7579" s="405" t="s">
        <v>327</v>
      </c>
      <c r="D7579" s="405"/>
      <c r="E7579" s="410">
        <v>41023</v>
      </c>
      <c r="F7579" s="410">
        <v>41068</v>
      </c>
      <c r="G7579" s="405" t="s">
        <v>2492</v>
      </c>
      <c r="H7579" s="405">
        <v>701131968</v>
      </c>
      <c r="I7579" s="405">
        <v>782806817</v>
      </c>
      <c r="J7579" s="405">
        <v>-0.42832799999999999</v>
      </c>
      <c r="K7579" s="405">
        <v>31.321760000000001</v>
      </c>
      <c r="L7579" s="405" t="s">
        <v>314</v>
      </c>
      <c r="M7579" s="405" t="s">
        <v>1189</v>
      </c>
      <c r="N7579" s="405" t="s">
        <v>1476</v>
      </c>
      <c r="O7579" s="405" t="s">
        <v>1477</v>
      </c>
      <c r="P7579" s="405" t="s">
        <v>2493</v>
      </c>
      <c r="Q7579" s="411">
        <v>9</v>
      </c>
      <c r="R7579" s="405" t="s">
        <v>525</v>
      </c>
      <c r="S7579" s="405" t="s">
        <v>27112</v>
      </c>
      <c r="T7579" s="405" t="s">
        <v>32102</v>
      </c>
      <c r="U7579" s="405" t="s">
        <v>319</v>
      </c>
    </row>
    <row r="7580" spans="1:21" hidden="1" x14ac:dyDescent="0.25">
      <c r="A7580" s="405" t="s">
        <v>310</v>
      </c>
      <c r="B7580" s="405" t="s">
        <v>2507</v>
      </c>
      <c r="C7580" s="405" t="s">
        <v>327</v>
      </c>
      <c r="D7580" s="405"/>
      <c r="E7580" s="410">
        <v>41023</v>
      </c>
      <c r="F7580" s="410">
        <v>41068</v>
      </c>
      <c r="G7580" s="405" t="s">
        <v>2508</v>
      </c>
      <c r="H7580" s="405">
        <v>784850585</v>
      </c>
      <c r="I7580" s="405"/>
      <c r="J7580" s="405">
        <v>0.26385700000000001</v>
      </c>
      <c r="K7580" s="405">
        <v>31.58436</v>
      </c>
      <c r="L7580" s="405" t="s">
        <v>314</v>
      </c>
      <c r="M7580" s="405" t="s">
        <v>339</v>
      </c>
      <c r="N7580" s="405" t="s">
        <v>339</v>
      </c>
      <c r="O7580" s="405" t="s">
        <v>1662</v>
      </c>
      <c r="P7580" s="405" t="s">
        <v>2509</v>
      </c>
      <c r="Q7580" s="411">
        <v>9</v>
      </c>
      <c r="R7580" s="405" t="s">
        <v>318</v>
      </c>
      <c r="S7580" s="405" t="s">
        <v>27134</v>
      </c>
      <c r="T7580" s="405" t="s">
        <v>32102</v>
      </c>
      <c r="U7580" s="405" t="s">
        <v>319</v>
      </c>
    </row>
    <row r="7581" spans="1:21" hidden="1" x14ac:dyDescent="0.25">
      <c r="A7581" s="405" t="s">
        <v>310</v>
      </c>
      <c r="B7581" s="405" t="s">
        <v>28553</v>
      </c>
      <c r="C7581" s="405" t="s">
        <v>327</v>
      </c>
      <c r="D7581" s="405"/>
      <c r="E7581" s="410">
        <v>41023</v>
      </c>
      <c r="F7581" s="410">
        <v>41068</v>
      </c>
      <c r="G7581" s="405" t="s">
        <v>2501</v>
      </c>
      <c r="H7581" s="405">
        <v>780173096</v>
      </c>
      <c r="I7581" s="405"/>
      <c r="J7581" s="405">
        <v>0.27520499999999998</v>
      </c>
      <c r="K7581" s="405">
        <v>31.589607000000001</v>
      </c>
      <c r="L7581" s="405" t="s">
        <v>314</v>
      </c>
      <c r="M7581" s="405" t="s">
        <v>339</v>
      </c>
      <c r="N7581" s="405" t="s">
        <v>339</v>
      </c>
      <c r="O7581" s="405" t="s">
        <v>1662</v>
      </c>
      <c r="P7581" s="405" t="s">
        <v>2502</v>
      </c>
      <c r="Q7581" s="411">
        <v>6</v>
      </c>
      <c r="R7581" s="405" t="s">
        <v>318</v>
      </c>
      <c r="S7581" s="405" t="s">
        <v>27141</v>
      </c>
      <c r="T7581" s="405" t="s">
        <v>32102</v>
      </c>
      <c r="U7581" s="405" t="s">
        <v>319</v>
      </c>
    </row>
    <row r="7582" spans="1:21" hidden="1" x14ac:dyDescent="0.25">
      <c r="A7582" s="405" t="s">
        <v>310</v>
      </c>
      <c r="B7582" s="405" t="s">
        <v>27845</v>
      </c>
      <c r="C7582" s="405" t="s">
        <v>311</v>
      </c>
      <c r="D7582" s="405" t="s">
        <v>1789</v>
      </c>
      <c r="E7582" s="410">
        <v>41023</v>
      </c>
      <c r="F7582" s="410">
        <v>41068</v>
      </c>
      <c r="G7582" s="405" t="s">
        <v>11802</v>
      </c>
      <c r="H7582" s="405">
        <v>772471797</v>
      </c>
      <c r="I7582" s="405"/>
      <c r="J7582" s="405">
        <v>1.9526250000000001</v>
      </c>
      <c r="K7582" s="405">
        <v>33.955131999999999</v>
      </c>
      <c r="L7582" s="405" t="s">
        <v>6866</v>
      </c>
      <c r="M7582" s="405" t="s">
        <v>11355</v>
      </c>
      <c r="N7582" s="405" t="s">
        <v>11356</v>
      </c>
      <c r="O7582" s="405" t="s">
        <v>11355</v>
      </c>
      <c r="P7582" s="405" t="s">
        <v>11803</v>
      </c>
      <c r="Q7582" s="411">
        <v>6</v>
      </c>
      <c r="R7582" s="405" t="s">
        <v>7224</v>
      </c>
      <c r="S7582" s="405" t="s">
        <v>17013</v>
      </c>
      <c r="T7582" s="405" t="s">
        <v>32102</v>
      </c>
      <c r="U7582" s="405" t="s">
        <v>319</v>
      </c>
    </row>
    <row r="7583" spans="1:21" hidden="1" x14ac:dyDescent="0.25">
      <c r="A7583" s="405" t="s">
        <v>310</v>
      </c>
      <c r="B7583" s="405" t="s">
        <v>2455</v>
      </c>
      <c r="C7583" s="405" t="s">
        <v>327</v>
      </c>
      <c r="D7583" s="405"/>
      <c r="E7583" s="410">
        <v>41023</v>
      </c>
      <c r="F7583" s="410">
        <v>41068</v>
      </c>
      <c r="G7583" s="405" t="s">
        <v>2456</v>
      </c>
      <c r="H7583" s="405">
        <v>783185571</v>
      </c>
      <c r="I7583" s="405"/>
      <c r="J7583" s="405">
        <v>0.228714</v>
      </c>
      <c r="K7583" s="405">
        <v>32.168385999999998</v>
      </c>
      <c r="L7583" s="405" t="s">
        <v>314</v>
      </c>
      <c r="M7583" s="405" t="s">
        <v>315</v>
      </c>
      <c r="N7583" s="405" t="s">
        <v>315</v>
      </c>
      <c r="O7583" s="405" t="s">
        <v>1411</v>
      </c>
      <c r="P7583" s="405" t="s">
        <v>2457</v>
      </c>
      <c r="Q7583" s="411">
        <v>6</v>
      </c>
      <c r="R7583" s="405" t="s">
        <v>318</v>
      </c>
      <c r="S7583" s="405" t="s">
        <v>27135</v>
      </c>
      <c r="T7583" s="405" t="s">
        <v>32102</v>
      </c>
      <c r="U7583" s="405" t="s">
        <v>319</v>
      </c>
    </row>
    <row r="7584" spans="1:21" hidden="1" x14ac:dyDescent="0.25">
      <c r="A7584" s="405" t="s">
        <v>310</v>
      </c>
      <c r="B7584" s="405" t="s">
        <v>18321</v>
      </c>
      <c r="C7584" s="405" t="s">
        <v>327</v>
      </c>
      <c r="D7584" s="405"/>
      <c r="E7584" s="410">
        <v>41023</v>
      </c>
      <c r="F7584" s="410">
        <v>41068</v>
      </c>
      <c r="G7584" s="405" t="s">
        <v>18322</v>
      </c>
      <c r="H7584" s="405">
        <v>751974362</v>
      </c>
      <c r="I7584" s="405"/>
      <c r="J7584" s="405">
        <v>2.8433890000000002</v>
      </c>
      <c r="K7584" s="405">
        <v>32.192686000000002</v>
      </c>
      <c r="L7584" s="405" t="s">
        <v>860</v>
      </c>
      <c r="M7584" s="405" t="s">
        <v>15041</v>
      </c>
      <c r="N7584" s="405" t="s">
        <v>18323</v>
      </c>
      <c r="O7584" s="405" t="s">
        <v>18324</v>
      </c>
      <c r="P7584" s="405" t="s">
        <v>18325</v>
      </c>
      <c r="Q7584" s="411">
        <v>6</v>
      </c>
      <c r="R7584" s="405" t="s">
        <v>994</v>
      </c>
      <c r="S7584" s="405" t="s">
        <v>27335</v>
      </c>
      <c r="T7584" s="405" t="s">
        <v>32102</v>
      </c>
      <c r="U7584" s="405" t="s">
        <v>319</v>
      </c>
    </row>
    <row r="7585" spans="1:21" hidden="1" x14ac:dyDescent="0.25">
      <c r="A7585" s="405" t="s">
        <v>310</v>
      </c>
      <c r="B7585" s="405" t="s">
        <v>27687</v>
      </c>
      <c r="C7585" s="405" t="s">
        <v>311</v>
      </c>
      <c r="D7585" s="405" t="s">
        <v>1789</v>
      </c>
      <c r="E7585" s="410">
        <v>41022</v>
      </c>
      <c r="F7585" s="410">
        <v>41067</v>
      </c>
      <c r="G7585" s="405" t="s">
        <v>11844</v>
      </c>
      <c r="H7585" s="405">
        <v>772675518</v>
      </c>
      <c r="I7585" s="405">
        <v>772675518</v>
      </c>
      <c r="J7585" s="405">
        <v>0.93336549999999996</v>
      </c>
      <c r="K7585" s="405">
        <v>33.130796099999998</v>
      </c>
      <c r="L7585" s="405" t="s">
        <v>6866</v>
      </c>
      <c r="M7585" s="405" t="s">
        <v>3009</v>
      </c>
      <c r="N7585" s="405" t="s">
        <v>9842</v>
      </c>
      <c r="O7585" s="405" t="s">
        <v>10016</v>
      </c>
      <c r="P7585" s="405" t="s">
        <v>11845</v>
      </c>
      <c r="Q7585" s="411">
        <v>6</v>
      </c>
      <c r="R7585" s="405" t="s">
        <v>32478</v>
      </c>
      <c r="S7585" s="405" t="s">
        <v>27054</v>
      </c>
      <c r="T7585" s="405" t="s">
        <v>32102</v>
      </c>
      <c r="U7585" s="405" t="s">
        <v>319</v>
      </c>
    </row>
    <row r="7586" spans="1:21" hidden="1" x14ac:dyDescent="0.25">
      <c r="A7586" s="405" t="s">
        <v>310</v>
      </c>
      <c r="B7586" s="405" t="s">
        <v>27904</v>
      </c>
      <c r="C7586" s="405" t="s">
        <v>327</v>
      </c>
      <c r="D7586" s="405"/>
      <c r="E7586" s="410">
        <v>41021</v>
      </c>
      <c r="F7586" s="410">
        <v>41066</v>
      </c>
      <c r="G7586" s="405" t="s">
        <v>20476</v>
      </c>
      <c r="H7586" s="405">
        <v>782267287</v>
      </c>
      <c r="I7586" s="405">
        <v>774438917</v>
      </c>
      <c r="J7586" s="405">
        <v>1.5722661</v>
      </c>
      <c r="K7586" s="405">
        <v>32.035845000000002</v>
      </c>
      <c r="L7586" s="405" t="s">
        <v>590</v>
      </c>
      <c r="M7586" s="405" t="s">
        <v>19608</v>
      </c>
      <c r="N7586" s="405" t="s">
        <v>20477</v>
      </c>
      <c r="O7586" s="405" t="s">
        <v>20478</v>
      </c>
      <c r="P7586" s="405" t="s">
        <v>20479</v>
      </c>
      <c r="Q7586" s="411">
        <v>13</v>
      </c>
      <c r="R7586" s="405" t="s">
        <v>994</v>
      </c>
      <c r="S7586" s="405" t="s">
        <v>27162</v>
      </c>
      <c r="T7586" s="405" t="s">
        <v>32102</v>
      </c>
      <c r="U7586" s="405" t="s">
        <v>319</v>
      </c>
    </row>
    <row r="7587" spans="1:21" hidden="1" x14ac:dyDescent="0.25">
      <c r="A7587" s="405" t="s">
        <v>310</v>
      </c>
      <c r="B7587" s="405" t="s">
        <v>27553</v>
      </c>
      <c r="C7587" s="405" t="s">
        <v>327</v>
      </c>
      <c r="D7587" s="405"/>
      <c r="E7587" s="410">
        <v>41021</v>
      </c>
      <c r="F7587" s="410">
        <v>41066</v>
      </c>
      <c r="G7587" s="405" t="s">
        <v>20482</v>
      </c>
      <c r="H7587" s="405">
        <v>774066272</v>
      </c>
      <c r="I7587" s="405"/>
      <c r="J7587" s="405">
        <v>-0.94660900000000003</v>
      </c>
      <c r="K7587" s="405">
        <v>30.762353999999998</v>
      </c>
      <c r="L7587" s="405" t="s">
        <v>590</v>
      </c>
      <c r="M7587" s="405" t="s">
        <v>879</v>
      </c>
      <c r="N7587" s="405" t="s">
        <v>879</v>
      </c>
      <c r="O7587" s="405" t="s">
        <v>20483</v>
      </c>
      <c r="P7587" s="405" t="s">
        <v>20484</v>
      </c>
      <c r="Q7587" s="411">
        <v>12</v>
      </c>
      <c r="R7587" s="405" t="s">
        <v>333</v>
      </c>
      <c r="S7587" s="405" t="s">
        <v>27097</v>
      </c>
      <c r="T7587" s="405" t="s">
        <v>32102</v>
      </c>
      <c r="U7587" s="405" t="s">
        <v>319</v>
      </c>
    </row>
    <row r="7588" spans="1:21" hidden="1" x14ac:dyDescent="0.25">
      <c r="A7588" s="405" t="s">
        <v>310</v>
      </c>
      <c r="B7588" s="405" t="s">
        <v>27704</v>
      </c>
      <c r="C7588" s="405" t="s">
        <v>311</v>
      </c>
      <c r="D7588" s="405" t="s">
        <v>839</v>
      </c>
      <c r="E7588" s="410">
        <v>41021</v>
      </c>
      <c r="F7588" s="410">
        <v>41066</v>
      </c>
      <c r="G7588" s="405" t="s">
        <v>20719</v>
      </c>
      <c r="H7588" s="405">
        <v>773494254</v>
      </c>
      <c r="I7588" s="405"/>
      <c r="J7588" s="405">
        <v>-0.68939700000000004</v>
      </c>
      <c r="K7588" s="405">
        <v>30.30885</v>
      </c>
      <c r="L7588" s="405" t="s">
        <v>590</v>
      </c>
      <c r="M7588" s="405" t="s">
        <v>19725</v>
      </c>
      <c r="N7588" s="405" t="s">
        <v>19725</v>
      </c>
      <c r="O7588" s="405" t="s">
        <v>20716</v>
      </c>
      <c r="P7588" s="405" t="s">
        <v>20720</v>
      </c>
      <c r="Q7588" s="411">
        <v>9</v>
      </c>
      <c r="R7588" s="405" t="s">
        <v>874</v>
      </c>
      <c r="S7588" s="405" t="s">
        <v>27271</v>
      </c>
      <c r="T7588" s="405" t="s">
        <v>32102</v>
      </c>
      <c r="U7588" s="405" t="s">
        <v>319</v>
      </c>
    </row>
    <row r="7589" spans="1:21" hidden="1" x14ac:dyDescent="0.25">
      <c r="A7589" s="405" t="s">
        <v>310</v>
      </c>
      <c r="B7589" s="405" t="s">
        <v>27703</v>
      </c>
      <c r="C7589" s="405" t="s">
        <v>327</v>
      </c>
      <c r="D7589" s="405"/>
      <c r="E7589" s="410">
        <v>41021</v>
      </c>
      <c r="F7589" s="410">
        <v>41066</v>
      </c>
      <c r="G7589" s="405" t="s">
        <v>20480</v>
      </c>
      <c r="H7589" s="405">
        <v>773918113</v>
      </c>
      <c r="I7589" s="405">
        <v>702608291</v>
      </c>
      <c r="J7589" s="405">
        <v>-0.69338</v>
      </c>
      <c r="K7589" s="405">
        <v>30.392026999999999</v>
      </c>
      <c r="L7589" s="405" t="s">
        <v>590</v>
      </c>
      <c r="M7589" s="405" t="s">
        <v>19614</v>
      </c>
      <c r="N7589" s="405" t="s">
        <v>19654</v>
      </c>
      <c r="O7589" s="405" t="s">
        <v>19655</v>
      </c>
      <c r="P7589" s="405" t="s">
        <v>20481</v>
      </c>
      <c r="Q7589" s="411">
        <v>6</v>
      </c>
      <c r="R7589" s="405" t="s">
        <v>333</v>
      </c>
      <c r="S7589" s="405" t="s">
        <v>27394</v>
      </c>
      <c r="T7589" s="405" t="s">
        <v>32102</v>
      </c>
      <c r="U7589" s="405" t="s">
        <v>319</v>
      </c>
    </row>
    <row r="7590" spans="1:21" hidden="1" x14ac:dyDescent="0.25">
      <c r="A7590" s="405" t="s">
        <v>310</v>
      </c>
      <c r="B7590" s="405" t="s">
        <v>28600</v>
      </c>
      <c r="C7590" s="405" t="s">
        <v>327</v>
      </c>
      <c r="D7590" s="405"/>
      <c r="E7590" s="410">
        <v>41021</v>
      </c>
      <c r="F7590" s="410">
        <v>41066</v>
      </c>
      <c r="G7590" s="405" t="s">
        <v>2448</v>
      </c>
      <c r="H7590" s="405">
        <v>758938168</v>
      </c>
      <c r="I7590" s="405"/>
      <c r="J7590" s="405">
        <v>0.315855</v>
      </c>
      <c r="K7590" s="405">
        <v>32.146217</v>
      </c>
      <c r="L7590" s="405" t="s">
        <v>314</v>
      </c>
      <c r="M7590" s="405" t="s">
        <v>675</v>
      </c>
      <c r="N7590" s="405" t="s">
        <v>676</v>
      </c>
      <c r="O7590" s="405" t="s">
        <v>677</v>
      </c>
      <c r="P7590" s="405" t="s">
        <v>2449</v>
      </c>
      <c r="Q7590" s="411">
        <v>6</v>
      </c>
      <c r="R7590" s="405" t="s">
        <v>32476</v>
      </c>
      <c r="S7590" s="405" t="s">
        <v>27184</v>
      </c>
      <c r="T7590" s="405" t="s">
        <v>32102</v>
      </c>
      <c r="U7590" s="405" t="s">
        <v>319</v>
      </c>
    </row>
    <row r="7591" spans="1:21" hidden="1" x14ac:dyDescent="0.25">
      <c r="A7591" s="405" t="s">
        <v>310</v>
      </c>
      <c r="B7591" s="405" t="s">
        <v>20694</v>
      </c>
      <c r="C7591" s="405" t="s">
        <v>311</v>
      </c>
      <c r="D7591" s="405" t="s">
        <v>1789</v>
      </c>
      <c r="E7591" s="410">
        <v>41021</v>
      </c>
      <c r="F7591" s="410">
        <v>41066</v>
      </c>
      <c r="G7591" s="405" t="s">
        <v>20695</v>
      </c>
      <c r="H7591" s="405">
        <v>772907622</v>
      </c>
      <c r="I7591" s="405"/>
      <c r="J7591" s="405">
        <v>-0.29244300000000001</v>
      </c>
      <c r="K7591" s="405">
        <v>30.590869999999999</v>
      </c>
      <c r="L7591" s="405" t="s">
        <v>590</v>
      </c>
      <c r="M7591" s="405" t="s">
        <v>19614</v>
      </c>
      <c r="N7591" s="405" t="s">
        <v>19615</v>
      </c>
      <c r="O7591" s="405" t="s">
        <v>20108</v>
      </c>
      <c r="P7591" s="405" t="s">
        <v>20696</v>
      </c>
      <c r="Q7591" s="411">
        <v>6</v>
      </c>
      <c r="R7591" s="405" t="s">
        <v>333</v>
      </c>
      <c r="S7591" s="405" t="s">
        <v>27098</v>
      </c>
      <c r="T7591" s="405" t="s">
        <v>32102</v>
      </c>
      <c r="U7591" s="405" t="s">
        <v>319</v>
      </c>
    </row>
    <row r="7592" spans="1:21" hidden="1" x14ac:dyDescent="0.25">
      <c r="A7592" s="405" t="s">
        <v>310</v>
      </c>
      <c r="B7592" s="405" t="s">
        <v>20470</v>
      </c>
      <c r="C7592" s="405" t="s">
        <v>327</v>
      </c>
      <c r="D7592" s="405"/>
      <c r="E7592" s="410">
        <v>41020</v>
      </c>
      <c r="F7592" s="410">
        <v>41065</v>
      </c>
      <c r="G7592" s="405" t="s">
        <v>20471</v>
      </c>
      <c r="H7592" s="405">
        <v>772555883</v>
      </c>
      <c r="I7592" s="405"/>
      <c r="J7592" s="405">
        <v>0.19287199999999999</v>
      </c>
      <c r="K7592" s="405">
        <v>30.5535</v>
      </c>
      <c r="L7592" s="405" t="s">
        <v>590</v>
      </c>
      <c r="M7592" s="405" t="s">
        <v>19720</v>
      </c>
      <c r="N7592" s="405" t="s">
        <v>19721</v>
      </c>
      <c r="O7592" s="405" t="s">
        <v>20472</v>
      </c>
      <c r="P7592" s="405" t="s">
        <v>20473</v>
      </c>
      <c r="Q7592" s="411">
        <v>9</v>
      </c>
      <c r="R7592" s="405" t="s">
        <v>874</v>
      </c>
      <c r="S7592" s="405" t="s">
        <v>27172</v>
      </c>
      <c r="T7592" s="405" t="s">
        <v>32102</v>
      </c>
      <c r="U7592" s="405" t="s">
        <v>319</v>
      </c>
    </row>
    <row r="7593" spans="1:21" hidden="1" x14ac:dyDescent="0.25">
      <c r="A7593" s="405" t="s">
        <v>310</v>
      </c>
      <c r="B7593" s="405" t="s">
        <v>27811</v>
      </c>
      <c r="C7593" s="405" t="s">
        <v>327</v>
      </c>
      <c r="D7593" s="405"/>
      <c r="E7593" s="410">
        <v>41020</v>
      </c>
      <c r="F7593" s="410">
        <v>41065</v>
      </c>
      <c r="G7593" s="405" t="s">
        <v>11397</v>
      </c>
      <c r="H7593" s="405">
        <v>772549021</v>
      </c>
      <c r="I7593" s="405"/>
      <c r="J7593" s="405">
        <v>1.3705229999999999</v>
      </c>
      <c r="K7593" s="405">
        <v>34.062690000000003</v>
      </c>
      <c r="L7593" s="405" t="s">
        <v>6866</v>
      </c>
      <c r="M7593" s="405" t="s">
        <v>9504</v>
      </c>
      <c r="N7593" s="405" t="s">
        <v>9504</v>
      </c>
      <c r="O7593" s="405" t="s">
        <v>9504</v>
      </c>
      <c r="P7593" s="405" t="s">
        <v>9505</v>
      </c>
      <c r="Q7593" s="411">
        <v>6</v>
      </c>
      <c r="R7593" s="405" t="s">
        <v>9541</v>
      </c>
      <c r="S7593" s="405" t="s">
        <v>27331</v>
      </c>
      <c r="T7593" s="405" t="s">
        <v>32102</v>
      </c>
      <c r="U7593" s="405" t="s">
        <v>319</v>
      </c>
    </row>
    <row r="7594" spans="1:21" hidden="1" x14ac:dyDescent="0.25">
      <c r="A7594" s="405" t="s">
        <v>310</v>
      </c>
      <c r="B7594" s="405" t="s">
        <v>11359</v>
      </c>
      <c r="C7594" s="405" t="s">
        <v>327</v>
      </c>
      <c r="D7594" s="405"/>
      <c r="E7594" s="410">
        <v>41020</v>
      </c>
      <c r="F7594" s="410">
        <v>41065</v>
      </c>
      <c r="G7594" s="405" t="s">
        <v>11360</v>
      </c>
      <c r="H7594" s="405">
        <v>773812155</v>
      </c>
      <c r="I7594" s="405">
        <v>783303348</v>
      </c>
      <c r="J7594" s="405">
        <v>1.7444599999999999</v>
      </c>
      <c r="K7594" s="405">
        <v>34.083534999999998</v>
      </c>
      <c r="L7594" s="405" t="s">
        <v>6866</v>
      </c>
      <c r="M7594" s="405" t="s">
        <v>11355</v>
      </c>
      <c r="N7594" s="405" t="s">
        <v>11361</v>
      </c>
      <c r="O7594" s="405" t="s">
        <v>11362</v>
      </c>
      <c r="P7594" s="405" t="s">
        <v>11363</v>
      </c>
      <c r="Q7594" s="411">
        <v>6</v>
      </c>
      <c r="R7594" s="405" t="s">
        <v>5655</v>
      </c>
      <c r="S7594" s="405" t="s">
        <v>27324</v>
      </c>
      <c r="T7594" s="405" t="s">
        <v>32102</v>
      </c>
      <c r="U7594" s="405" t="s">
        <v>319</v>
      </c>
    </row>
    <row r="7595" spans="1:21" hidden="1" x14ac:dyDescent="0.25">
      <c r="A7595" s="405" t="s">
        <v>310</v>
      </c>
      <c r="B7595" s="405" t="s">
        <v>11404</v>
      </c>
      <c r="C7595" s="405" t="s">
        <v>327</v>
      </c>
      <c r="D7595" s="405"/>
      <c r="E7595" s="410">
        <v>41020</v>
      </c>
      <c r="F7595" s="410">
        <v>41065</v>
      </c>
      <c r="G7595" s="405" t="s">
        <v>11405</v>
      </c>
      <c r="H7595" s="405">
        <v>778191415</v>
      </c>
      <c r="I7595" s="405"/>
      <c r="J7595" s="405">
        <v>0.93664800000000004</v>
      </c>
      <c r="K7595" s="405">
        <v>34.358606000000002</v>
      </c>
      <c r="L7595" s="405" t="s">
        <v>6866</v>
      </c>
      <c r="M7595" s="405" t="s">
        <v>9763</v>
      </c>
      <c r="N7595" s="405" t="s">
        <v>9848</v>
      </c>
      <c r="O7595" s="405" t="s">
        <v>11406</v>
      </c>
      <c r="P7595" s="405" t="s">
        <v>11407</v>
      </c>
      <c r="Q7595" s="411">
        <v>6</v>
      </c>
      <c r="R7595" s="405" t="s">
        <v>7224</v>
      </c>
      <c r="S7595" s="405" t="s">
        <v>27074</v>
      </c>
      <c r="T7595" s="405" t="s">
        <v>32102</v>
      </c>
      <c r="U7595" s="405" t="s">
        <v>319</v>
      </c>
    </row>
    <row r="7596" spans="1:21" hidden="1" x14ac:dyDescent="0.25">
      <c r="A7596" s="405" t="s">
        <v>310</v>
      </c>
      <c r="B7596" s="405" t="s">
        <v>2470</v>
      </c>
      <c r="C7596" s="405" t="s">
        <v>327</v>
      </c>
      <c r="D7596" s="405"/>
      <c r="E7596" s="410">
        <v>41019</v>
      </c>
      <c r="F7596" s="410">
        <v>41064</v>
      </c>
      <c r="G7596" s="405" t="s">
        <v>2471</v>
      </c>
      <c r="H7596" s="405">
        <v>752400006</v>
      </c>
      <c r="I7596" s="405"/>
      <c r="J7596" s="405">
        <v>0.38775799999999999</v>
      </c>
      <c r="K7596" s="405">
        <v>32.286813000000002</v>
      </c>
      <c r="L7596" s="405" t="s">
        <v>314</v>
      </c>
      <c r="M7596" s="405" t="s">
        <v>321</v>
      </c>
      <c r="N7596" s="405" t="s">
        <v>2472</v>
      </c>
      <c r="O7596" s="405" t="s">
        <v>2473</v>
      </c>
      <c r="P7596" s="405" t="s">
        <v>2474</v>
      </c>
      <c r="Q7596" s="411">
        <v>13</v>
      </c>
      <c r="R7596" s="405" t="s">
        <v>2475</v>
      </c>
      <c r="S7596" s="405" t="s">
        <v>27139</v>
      </c>
      <c r="T7596" s="405" t="s">
        <v>32102</v>
      </c>
      <c r="U7596" s="405" t="s">
        <v>319</v>
      </c>
    </row>
    <row r="7597" spans="1:21" hidden="1" x14ac:dyDescent="0.25">
      <c r="A7597" s="405" t="s">
        <v>310</v>
      </c>
      <c r="B7597" s="405" t="s">
        <v>28877</v>
      </c>
      <c r="C7597" s="405" t="s">
        <v>311</v>
      </c>
      <c r="D7597" s="405" t="s">
        <v>839</v>
      </c>
      <c r="E7597" s="410">
        <v>41019</v>
      </c>
      <c r="F7597" s="410">
        <v>41064</v>
      </c>
      <c r="G7597" s="405" t="s">
        <v>3100</v>
      </c>
      <c r="H7597" s="405">
        <v>782006422</v>
      </c>
      <c r="I7597" s="405"/>
      <c r="J7597" s="405">
        <v>1.16242</v>
      </c>
      <c r="K7597" s="405">
        <v>31.974910000000001</v>
      </c>
      <c r="L7597" s="405" t="s">
        <v>314</v>
      </c>
      <c r="M7597" s="405" t="s">
        <v>2297</v>
      </c>
      <c r="N7597" s="405" t="s">
        <v>2297</v>
      </c>
      <c r="O7597" s="405" t="s">
        <v>2520</v>
      </c>
      <c r="P7597" s="405" t="s">
        <v>2521</v>
      </c>
      <c r="Q7597" s="411">
        <v>12</v>
      </c>
      <c r="R7597" s="405" t="s">
        <v>318</v>
      </c>
      <c r="S7597" s="405" t="s">
        <v>27113</v>
      </c>
      <c r="T7597" s="405" t="s">
        <v>32102</v>
      </c>
      <c r="U7597" s="405" t="s">
        <v>319</v>
      </c>
    </row>
    <row r="7598" spans="1:21" hidden="1" x14ac:dyDescent="0.25">
      <c r="A7598" s="405" t="s">
        <v>310</v>
      </c>
      <c r="B7598" s="405" t="s">
        <v>18313</v>
      </c>
      <c r="C7598" s="405" t="s">
        <v>327</v>
      </c>
      <c r="D7598" s="405"/>
      <c r="E7598" s="410">
        <v>41019</v>
      </c>
      <c r="F7598" s="410">
        <v>41064</v>
      </c>
      <c r="G7598" s="405" t="s">
        <v>18314</v>
      </c>
      <c r="H7598" s="405">
        <v>778895547</v>
      </c>
      <c r="I7598" s="405"/>
      <c r="J7598" s="405">
        <v>2.7402579999999999</v>
      </c>
      <c r="K7598" s="405">
        <v>32.262006999999997</v>
      </c>
      <c r="L7598" s="405" t="s">
        <v>860</v>
      </c>
      <c r="M7598" s="405" t="s">
        <v>853</v>
      </c>
      <c r="N7598" s="405" t="s">
        <v>18311</v>
      </c>
      <c r="O7598" s="405" t="s">
        <v>18242</v>
      </c>
      <c r="P7598" s="405" t="s">
        <v>18315</v>
      </c>
      <c r="Q7598" s="411">
        <v>9</v>
      </c>
      <c r="R7598" s="405" t="s">
        <v>994</v>
      </c>
      <c r="S7598" s="405" t="s">
        <v>27079</v>
      </c>
      <c r="T7598" s="405" t="s">
        <v>32102</v>
      </c>
      <c r="U7598" s="405" t="s">
        <v>319</v>
      </c>
    </row>
    <row r="7599" spans="1:21" hidden="1" x14ac:dyDescent="0.25">
      <c r="A7599" s="405" t="s">
        <v>310</v>
      </c>
      <c r="B7599" s="405" t="s">
        <v>29046</v>
      </c>
      <c r="C7599" s="405" t="s">
        <v>327</v>
      </c>
      <c r="D7599" s="405"/>
      <c r="E7599" s="410">
        <v>41019</v>
      </c>
      <c r="F7599" s="410">
        <v>41064</v>
      </c>
      <c r="G7599" s="405" t="s">
        <v>11398</v>
      </c>
      <c r="H7599" s="405">
        <v>772451552</v>
      </c>
      <c r="I7599" s="405"/>
      <c r="J7599" s="405">
        <v>1.0433950000000001</v>
      </c>
      <c r="K7599" s="405">
        <v>34.369373000000003</v>
      </c>
      <c r="L7599" s="405" t="s">
        <v>6866</v>
      </c>
      <c r="M7599" s="405" t="s">
        <v>6867</v>
      </c>
      <c r="N7599" s="405" t="s">
        <v>11399</v>
      </c>
      <c r="O7599" s="405" t="s">
        <v>11014</v>
      </c>
      <c r="P7599" s="405" t="s">
        <v>11400</v>
      </c>
      <c r="Q7599" s="411">
        <v>6</v>
      </c>
      <c r="R7599" s="405" t="s">
        <v>7224</v>
      </c>
      <c r="S7599" s="405" t="s">
        <v>27203</v>
      </c>
      <c r="T7599" s="405" t="s">
        <v>32102</v>
      </c>
      <c r="U7599" s="405" t="s">
        <v>319</v>
      </c>
    </row>
    <row r="7600" spans="1:21" hidden="1" x14ac:dyDescent="0.25">
      <c r="A7600" s="405" t="s">
        <v>310</v>
      </c>
      <c r="B7600" s="405" t="s">
        <v>11353</v>
      </c>
      <c r="C7600" s="405" t="s">
        <v>327</v>
      </c>
      <c r="D7600" s="405"/>
      <c r="E7600" s="410">
        <v>41019</v>
      </c>
      <c r="F7600" s="410">
        <v>41064</v>
      </c>
      <c r="G7600" s="405" t="s">
        <v>11354</v>
      </c>
      <c r="H7600" s="405">
        <v>782718422</v>
      </c>
      <c r="I7600" s="405"/>
      <c r="J7600" s="405">
        <v>2.0865079999999998</v>
      </c>
      <c r="K7600" s="405">
        <v>33.969653000000001</v>
      </c>
      <c r="L7600" s="405" t="s">
        <v>6866</v>
      </c>
      <c r="M7600" s="405" t="s">
        <v>11355</v>
      </c>
      <c r="N7600" s="405" t="s">
        <v>11356</v>
      </c>
      <c r="O7600" s="405" t="s">
        <v>11357</v>
      </c>
      <c r="P7600" s="405" t="s">
        <v>11358</v>
      </c>
      <c r="Q7600" s="411">
        <v>6</v>
      </c>
      <c r="R7600" s="405" t="s">
        <v>5655</v>
      </c>
      <c r="S7600" s="405" t="s">
        <v>27072</v>
      </c>
      <c r="T7600" s="405" t="s">
        <v>32102</v>
      </c>
      <c r="U7600" s="405" t="s">
        <v>319</v>
      </c>
    </row>
    <row r="7601" spans="1:21" hidden="1" x14ac:dyDescent="0.25">
      <c r="A7601" s="405" t="s">
        <v>310</v>
      </c>
      <c r="B7601" s="405" t="s">
        <v>11390</v>
      </c>
      <c r="C7601" s="405" t="s">
        <v>327</v>
      </c>
      <c r="D7601" s="405"/>
      <c r="E7601" s="410">
        <v>41019</v>
      </c>
      <c r="F7601" s="410">
        <v>41064</v>
      </c>
      <c r="G7601" s="405" t="s">
        <v>11391</v>
      </c>
      <c r="H7601" s="405">
        <v>783433702</v>
      </c>
      <c r="I7601" s="405"/>
      <c r="J7601" s="405">
        <v>0.71988333333333332</v>
      </c>
      <c r="K7601" s="405">
        <v>33.056463333333333</v>
      </c>
      <c r="L7601" s="405" t="s">
        <v>6866</v>
      </c>
      <c r="M7601" s="405" t="s">
        <v>3009</v>
      </c>
      <c r="N7601" s="405" t="s">
        <v>10406</v>
      </c>
      <c r="O7601" s="405" t="s">
        <v>11392</v>
      </c>
      <c r="P7601" s="405" t="s">
        <v>11393</v>
      </c>
      <c r="Q7601" s="411">
        <v>6</v>
      </c>
      <c r="R7601" s="405" t="s">
        <v>333</v>
      </c>
      <c r="S7601" s="405" t="s">
        <v>27054</v>
      </c>
      <c r="T7601" s="405" t="s">
        <v>32102</v>
      </c>
      <c r="U7601" s="405" t="s">
        <v>319</v>
      </c>
    </row>
    <row r="7602" spans="1:21" hidden="1" x14ac:dyDescent="0.25">
      <c r="A7602" s="405" t="s">
        <v>310</v>
      </c>
      <c r="B7602" s="405" t="s">
        <v>11351</v>
      </c>
      <c r="C7602" s="405" t="s">
        <v>327</v>
      </c>
      <c r="D7602" s="405"/>
      <c r="E7602" s="410">
        <v>41019</v>
      </c>
      <c r="F7602" s="410">
        <v>41064</v>
      </c>
      <c r="G7602" s="405" t="s">
        <v>11352</v>
      </c>
      <c r="H7602" s="405">
        <v>757882222</v>
      </c>
      <c r="I7602" s="405">
        <v>753868668</v>
      </c>
      <c r="J7602" s="405">
        <v>0.730244</v>
      </c>
      <c r="K7602" s="405">
        <v>33.890819</v>
      </c>
      <c r="L7602" s="405" t="s">
        <v>6866</v>
      </c>
      <c r="M7602" s="405" t="s">
        <v>9566</v>
      </c>
      <c r="N7602" s="405" t="s">
        <v>9787</v>
      </c>
      <c r="O7602" s="405" t="s">
        <v>9788</v>
      </c>
      <c r="P7602" s="405" t="s">
        <v>10622</v>
      </c>
      <c r="Q7602" s="411">
        <v>6</v>
      </c>
      <c r="R7602" s="405" t="s">
        <v>7224</v>
      </c>
      <c r="S7602" s="405" t="s">
        <v>27204</v>
      </c>
      <c r="T7602" s="405" t="s">
        <v>32102</v>
      </c>
      <c r="U7602" s="405" t="s">
        <v>319</v>
      </c>
    </row>
    <row r="7603" spans="1:21" hidden="1" x14ac:dyDescent="0.25">
      <c r="A7603" s="405" t="s">
        <v>310</v>
      </c>
      <c r="B7603" s="405" t="s">
        <v>18331</v>
      </c>
      <c r="C7603" s="405" t="s">
        <v>327</v>
      </c>
      <c r="D7603" s="405"/>
      <c r="E7603" s="410">
        <v>41019</v>
      </c>
      <c r="F7603" s="410">
        <v>41064</v>
      </c>
      <c r="G7603" s="405" t="s">
        <v>18332</v>
      </c>
      <c r="H7603" s="405">
        <v>782723645</v>
      </c>
      <c r="I7603" s="405"/>
      <c r="J7603" s="405">
        <v>2.8588200000000001</v>
      </c>
      <c r="K7603" s="405">
        <v>32.201058000000003</v>
      </c>
      <c r="L7603" s="405" t="s">
        <v>860</v>
      </c>
      <c r="M7603" s="405" t="s">
        <v>15041</v>
      </c>
      <c r="N7603" s="405" t="s">
        <v>18328</v>
      </c>
      <c r="O7603" s="405" t="s">
        <v>18324</v>
      </c>
      <c r="P7603" s="405" t="s">
        <v>18325</v>
      </c>
      <c r="Q7603" s="411">
        <v>6</v>
      </c>
      <c r="R7603" s="405" t="s">
        <v>994</v>
      </c>
      <c r="S7603" s="405" t="s">
        <v>27179</v>
      </c>
      <c r="T7603" s="405" t="s">
        <v>32102</v>
      </c>
      <c r="U7603" s="405" t="s">
        <v>319</v>
      </c>
    </row>
    <row r="7604" spans="1:21" hidden="1" x14ac:dyDescent="0.25">
      <c r="A7604" s="405" t="s">
        <v>310</v>
      </c>
      <c r="B7604" s="405" t="s">
        <v>2535</v>
      </c>
      <c r="C7604" s="405" t="s">
        <v>327</v>
      </c>
      <c r="D7604" s="405"/>
      <c r="E7604" s="410">
        <v>41019</v>
      </c>
      <c r="F7604" s="410">
        <v>41064</v>
      </c>
      <c r="G7604" s="405" t="s">
        <v>2536</v>
      </c>
      <c r="H7604" s="405">
        <v>782883354</v>
      </c>
      <c r="I7604" s="405">
        <v>704716565</v>
      </c>
      <c r="J7604" s="405">
        <v>0.66970200000000002</v>
      </c>
      <c r="K7604" s="405">
        <v>31.981252000000001</v>
      </c>
      <c r="L7604" s="405" t="s">
        <v>314</v>
      </c>
      <c r="M7604" s="405" t="s">
        <v>2537</v>
      </c>
      <c r="N7604" s="405" t="s">
        <v>2537</v>
      </c>
      <c r="O7604" s="405" t="s">
        <v>2538</v>
      </c>
      <c r="P7604" s="405" t="s">
        <v>2539</v>
      </c>
      <c r="Q7604" s="411">
        <v>6</v>
      </c>
      <c r="R7604" s="405" t="s">
        <v>318</v>
      </c>
      <c r="S7604" s="405" t="s">
        <v>27137</v>
      </c>
      <c r="T7604" s="405" t="s">
        <v>32102</v>
      </c>
      <c r="U7604" s="405" t="s">
        <v>319</v>
      </c>
    </row>
    <row r="7605" spans="1:21" hidden="1" x14ac:dyDescent="0.25">
      <c r="A7605" s="405" t="s">
        <v>310</v>
      </c>
      <c r="B7605" s="405" t="s">
        <v>28687</v>
      </c>
      <c r="C7605" s="405" t="s">
        <v>327</v>
      </c>
      <c r="D7605" s="405"/>
      <c r="E7605" s="410">
        <v>41018</v>
      </c>
      <c r="F7605" s="410">
        <v>41033</v>
      </c>
      <c r="G7605" s="405" t="s">
        <v>11324</v>
      </c>
      <c r="H7605" s="405">
        <v>782375404</v>
      </c>
      <c r="I7605" s="405"/>
      <c r="J7605" s="405">
        <v>1.274813</v>
      </c>
      <c r="K7605" s="405">
        <v>33.997228</v>
      </c>
      <c r="L7605" s="405" t="s">
        <v>6866</v>
      </c>
      <c r="M7605" s="405" t="s">
        <v>9504</v>
      </c>
      <c r="N7605" s="405" t="s">
        <v>9504</v>
      </c>
      <c r="O7605" s="405" t="s">
        <v>10109</v>
      </c>
      <c r="P7605" s="405" t="s">
        <v>11325</v>
      </c>
      <c r="Q7605" s="411">
        <v>6</v>
      </c>
      <c r="R7605" s="405" t="s">
        <v>9541</v>
      </c>
      <c r="S7605" s="405" t="s">
        <v>27294</v>
      </c>
      <c r="T7605" s="405" t="s">
        <v>32102</v>
      </c>
      <c r="U7605" s="405" t="s">
        <v>319</v>
      </c>
    </row>
    <row r="7606" spans="1:21" hidden="1" x14ac:dyDescent="0.25">
      <c r="A7606" s="405" t="s">
        <v>310</v>
      </c>
      <c r="B7606" s="405" t="s">
        <v>29026</v>
      </c>
      <c r="C7606" s="405" t="s">
        <v>311</v>
      </c>
      <c r="D7606" s="405" t="s">
        <v>839</v>
      </c>
      <c r="E7606" s="410">
        <v>41017</v>
      </c>
      <c r="F7606" s="410">
        <v>41062</v>
      </c>
      <c r="G7606" s="405" t="s">
        <v>11785</v>
      </c>
      <c r="H7606" s="405">
        <v>772627809</v>
      </c>
      <c r="I7606" s="405"/>
      <c r="J7606" s="405">
        <v>1.060673</v>
      </c>
      <c r="K7606" s="405">
        <v>34.201822999999997</v>
      </c>
      <c r="L7606" s="405" t="s">
        <v>6866</v>
      </c>
      <c r="M7606" s="405" t="s">
        <v>9514</v>
      </c>
      <c r="N7606" s="405" t="s">
        <v>9529</v>
      </c>
      <c r="O7606" s="405" t="s">
        <v>9516</v>
      </c>
      <c r="P7606" s="405" t="s">
        <v>11786</v>
      </c>
      <c r="Q7606" s="411">
        <v>6</v>
      </c>
      <c r="R7606" s="405" t="s">
        <v>7224</v>
      </c>
      <c r="S7606" s="405" t="s">
        <v>27074</v>
      </c>
      <c r="T7606" s="405" t="s">
        <v>32102</v>
      </c>
      <c r="U7606" s="405" t="s">
        <v>319</v>
      </c>
    </row>
    <row r="7607" spans="1:21" hidden="1" x14ac:dyDescent="0.25">
      <c r="A7607" s="405" t="s">
        <v>310</v>
      </c>
      <c r="B7607" s="405" t="s">
        <v>11367</v>
      </c>
      <c r="C7607" s="405" t="s">
        <v>327</v>
      </c>
      <c r="D7607" s="405"/>
      <c r="E7607" s="410">
        <v>41016</v>
      </c>
      <c r="F7607" s="410">
        <v>41061</v>
      </c>
      <c r="G7607" s="405" t="s">
        <v>11368</v>
      </c>
      <c r="H7607" s="405">
        <v>772330621</v>
      </c>
      <c r="I7607" s="405"/>
      <c r="J7607" s="405">
        <v>1.865877</v>
      </c>
      <c r="K7607" s="405">
        <v>33.953167999999998</v>
      </c>
      <c r="L7607" s="405" t="s">
        <v>6866</v>
      </c>
      <c r="M7607" s="405" t="s">
        <v>11355</v>
      </c>
      <c r="N7607" s="405" t="s">
        <v>11356</v>
      </c>
      <c r="O7607" s="405" t="s">
        <v>11355</v>
      </c>
      <c r="P7607" s="405" t="s">
        <v>11369</v>
      </c>
      <c r="Q7607" s="411">
        <v>6</v>
      </c>
      <c r="R7607" s="405" t="s">
        <v>5655</v>
      </c>
      <c r="S7607" s="405" t="s">
        <v>27337</v>
      </c>
      <c r="T7607" s="405" t="s">
        <v>32102</v>
      </c>
      <c r="U7607" s="405" t="s">
        <v>319</v>
      </c>
    </row>
    <row r="7608" spans="1:21" hidden="1" x14ac:dyDescent="0.25">
      <c r="A7608" s="405" t="s">
        <v>310</v>
      </c>
      <c r="B7608" s="405" t="s">
        <v>2510</v>
      </c>
      <c r="C7608" s="405" t="s">
        <v>327</v>
      </c>
      <c r="D7608" s="405"/>
      <c r="E7608" s="410">
        <v>41016</v>
      </c>
      <c r="F7608" s="410">
        <v>41061</v>
      </c>
      <c r="G7608" s="405" t="s">
        <v>2511</v>
      </c>
      <c r="H7608" s="405">
        <v>775234686</v>
      </c>
      <c r="I7608" s="405"/>
      <c r="J7608" s="405">
        <v>1.011085</v>
      </c>
      <c r="K7608" s="405">
        <v>32.519112999999997</v>
      </c>
      <c r="L7608" s="405" t="s">
        <v>314</v>
      </c>
      <c r="M7608" s="405" t="s">
        <v>2512</v>
      </c>
      <c r="N7608" s="405" t="s">
        <v>2512</v>
      </c>
      <c r="O7608" s="405" t="s">
        <v>2513</v>
      </c>
      <c r="P7608" s="405" t="s">
        <v>2514</v>
      </c>
      <c r="Q7608" s="411">
        <v>6</v>
      </c>
      <c r="R7608" s="405" t="s">
        <v>525</v>
      </c>
      <c r="S7608" s="405" t="s">
        <v>27193</v>
      </c>
      <c r="T7608" s="405" t="s">
        <v>32102</v>
      </c>
      <c r="U7608" s="405" t="s">
        <v>319</v>
      </c>
    </row>
    <row r="7609" spans="1:21" hidden="1" x14ac:dyDescent="0.25">
      <c r="A7609" s="405" t="s">
        <v>310</v>
      </c>
      <c r="B7609" s="405" t="s">
        <v>2439</v>
      </c>
      <c r="C7609" s="405" t="s">
        <v>327</v>
      </c>
      <c r="D7609" s="405"/>
      <c r="E7609" s="410">
        <v>41016</v>
      </c>
      <c r="F7609" s="410">
        <v>41061</v>
      </c>
      <c r="G7609" s="405" t="s">
        <v>2440</v>
      </c>
      <c r="H7609" s="405">
        <v>772530096</v>
      </c>
      <c r="I7609" s="405"/>
      <c r="J7609" s="405">
        <v>0.112928</v>
      </c>
      <c r="K7609" s="405">
        <v>31.999818000000001</v>
      </c>
      <c r="L7609" s="405" t="s">
        <v>314</v>
      </c>
      <c r="M7609" s="405" t="s">
        <v>315</v>
      </c>
      <c r="N7609" s="405" t="s">
        <v>315</v>
      </c>
      <c r="O7609" s="405" t="s">
        <v>671</v>
      </c>
      <c r="P7609" s="405" t="s">
        <v>671</v>
      </c>
      <c r="Q7609" s="411">
        <v>6</v>
      </c>
      <c r="R7609" s="405" t="s">
        <v>438</v>
      </c>
      <c r="S7609" s="405" t="s">
        <v>27131</v>
      </c>
      <c r="T7609" s="405" t="s">
        <v>32102</v>
      </c>
      <c r="U7609" s="405" t="s">
        <v>319</v>
      </c>
    </row>
    <row r="7610" spans="1:21" hidden="1" x14ac:dyDescent="0.25">
      <c r="A7610" s="405" t="s">
        <v>310</v>
      </c>
      <c r="B7610" s="405" t="s">
        <v>3096</v>
      </c>
      <c r="C7610" s="405" t="s">
        <v>311</v>
      </c>
      <c r="D7610" s="405" t="s">
        <v>312</v>
      </c>
      <c r="E7610" s="410">
        <v>41016</v>
      </c>
      <c r="F7610" s="410">
        <v>41061</v>
      </c>
      <c r="G7610" s="405" t="s">
        <v>3097</v>
      </c>
      <c r="H7610" s="405">
        <v>783312723</v>
      </c>
      <c r="I7610" s="405"/>
      <c r="J7610" s="405">
        <v>0.25851200000000002</v>
      </c>
      <c r="K7610" s="405">
        <v>31.587527999999999</v>
      </c>
      <c r="L7610" s="405" t="s">
        <v>314</v>
      </c>
      <c r="M7610" s="405" t="s">
        <v>339</v>
      </c>
      <c r="N7610" s="405" t="s">
        <v>339</v>
      </c>
      <c r="O7610" s="405" t="s">
        <v>1662</v>
      </c>
      <c r="P7610" s="405" t="s">
        <v>3012</v>
      </c>
      <c r="Q7610" s="411">
        <v>6</v>
      </c>
      <c r="R7610" s="405" t="s">
        <v>318</v>
      </c>
      <c r="S7610" s="405" t="s">
        <v>27134</v>
      </c>
      <c r="T7610" s="405" t="s">
        <v>32102</v>
      </c>
      <c r="U7610" s="405" t="s">
        <v>319</v>
      </c>
    </row>
    <row r="7611" spans="1:21" hidden="1" x14ac:dyDescent="0.25">
      <c r="A7611" s="405" t="s">
        <v>310</v>
      </c>
      <c r="B7611" s="405" t="s">
        <v>3010</v>
      </c>
      <c r="C7611" s="405" t="s">
        <v>311</v>
      </c>
      <c r="D7611" s="405" t="s">
        <v>1789</v>
      </c>
      <c r="E7611" s="410">
        <v>41015</v>
      </c>
      <c r="F7611" s="410">
        <v>41060</v>
      </c>
      <c r="G7611" s="405" t="s">
        <v>3011</v>
      </c>
      <c r="H7611" s="405">
        <v>777263008</v>
      </c>
      <c r="I7611" s="405"/>
      <c r="J7611" s="405">
        <v>0.26994299999999999</v>
      </c>
      <c r="K7611" s="405">
        <v>31.579298000000001</v>
      </c>
      <c r="L7611" s="405" t="s">
        <v>314</v>
      </c>
      <c r="M7611" s="405" t="s">
        <v>339</v>
      </c>
      <c r="N7611" s="405" t="s">
        <v>339</v>
      </c>
      <c r="O7611" s="405" t="s">
        <v>1662</v>
      </c>
      <c r="P7611" s="405" t="s">
        <v>3012</v>
      </c>
      <c r="Q7611" s="411">
        <v>6</v>
      </c>
      <c r="R7611" s="405" t="s">
        <v>318</v>
      </c>
      <c r="S7611" s="405" t="s">
        <v>27134</v>
      </c>
      <c r="T7611" s="405" t="s">
        <v>32102</v>
      </c>
      <c r="U7611" s="405" t="s">
        <v>319</v>
      </c>
    </row>
    <row r="7612" spans="1:21" hidden="1" x14ac:dyDescent="0.25">
      <c r="A7612" s="405" t="s">
        <v>310</v>
      </c>
      <c r="B7612" s="405" t="s">
        <v>2955</v>
      </c>
      <c r="C7612" s="405" t="s">
        <v>311</v>
      </c>
      <c r="D7612" s="405" t="s">
        <v>839</v>
      </c>
      <c r="E7612" s="410">
        <v>41015</v>
      </c>
      <c r="F7612" s="410">
        <v>41060</v>
      </c>
      <c r="G7612" s="405" t="s">
        <v>2956</v>
      </c>
      <c r="H7612" s="405">
        <v>774111580</v>
      </c>
      <c r="I7612" s="405"/>
      <c r="J7612" s="405">
        <v>0.58721999999999996</v>
      </c>
      <c r="K7612" s="405">
        <v>31.393851999999999</v>
      </c>
      <c r="L7612" s="405" t="s">
        <v>314</v>
      </c>
      <c r="M7612" s="405" t="s">
        <v>445</v>
      </c>
      <c r="N7612" s="405" t="s">
        <v>2957</v>
      </c>
      <c r="O7612" s="405" t="s">
        <v>2958</v>
      </c>
      <c r="P7612" s="405" t="s">
        <v>2959</v>
      </c>
      <c r="Q7612" s="411">
        <v>6</v>
      </c>
      <c r="R7612" s="405" t="s">
        <v>32476</v>
      </c>
      <c r="S7612" s="405" t="s">
        <v>27133</v>
      </c>
      <c r="T7612" s="405" t="s">
        <v>32102</v>
      </c>
      <c r="U7612" s="405" t="s">
        <v>319</v>
      </c>
    </row>
    <row r="7613" spans="1:21" hidden="1" x14ac:dyDescent="0.25">
      <c r="A7613" s="405" t="s">
        <v>310</v>
      </c>
      <c r="B7613" s="405" t="s">
        <v>2409</v>
      </c>
      <c r="C7613" s="405" t="s">
        <v>327</v>
      </c>
      <c r="D7613" s="405"/>
      <c r="E7613" s="410">
        <v>41014</v>
      </c>
      <c r="F7613" s="410">
        <v>41059</v>
      </c>
      <c r="G7613" s="405" t="s">
        <v>2410</v>
      </c>
      <c r="H7613" s="405">
        <v>773196113</v>
      </c>
      <c r="I7613" s="405"/>
      <c r="J7613" s="405">
        <v>0.341642</v>
      </c>
      <c r="K7613" s="405">
        <v>32.125667999999997</v>
      </c>
      <c r="L7613" s="405" t="s">
        <v>314</v>
      </c>
      <c r="M7613" s="405" t="s">
        <v>675</v>
      </c>
      <c r="N7613" s="405" t="s">
        <v>676</v>
      </c>
      <c r="O7613" s="405" t="s">
        <v>2342</v>
      </c>
      <c r="P7613" s="405" t="s">
        <v>2411</v>
      </c>
      <c r="Q7613" s="411">
        <v>13</v>
      </c>
      <c r="R7613" s="405" t="s">
        <v>32476</v>
      </c>
      <c r="S7613" s="405" t="s">
        <v>27184</v>
      </c>
      <c r="T7613" s="405" t="s">
        <v>32102</v>
      </c>
      <c r="U7613" s="405" t="s">
        <v>319</v>
      </c>
    </row>
    <row r="7614" spans="1:21" hidden="1" x14ac:dyDescent="0.25">
      <c r="A7614" s="405" t="s">
        <v>310</v>
      </c>
      <c r="B7614" s="405" t="s">
        <v>2382</v>
      </c>
      <c r="C7614" s="405" t="s">
        <v>327</v>
      </c>
      <c r="D7614" s="405"/>
      <c r="E7614" s="410">
        <v>41014</v>
      </c>
      <c r="F7614" s="410">
        <v>41059</v>
      </c>
      <c r="G7614" s="405" t="s">
        <v>2383</v>
      </c>
      <c r="H7614" s="405">
        <v>704605079</v>
      </c>
      <c r="I7614" s="405"/>
      <c r="J7614" s="405">
        <v>-0.20865500000000001</v>
      </c>
      <c r="K7614" s="405">
        <v>31.452687999999998</v>
      </c>
      <c r="L7614" s="405" t="s">
        <v>314</v>
      </c>
      <c r="M7614" s="405" t="s">
        <v>343</v>
      </c>
      <c r="N7614" s="405" t="s">
        <v>344</v>
      </c>
      <c r="O7614" s="405" t="s">
        <v>727</v>
      </c>
      <c r="P7614" s="405" t="s">
        <v>2384</v>
      </c>
      <c r="Q7614" s="411">
        <v>9</v>
      </c>
      <c r="R7614" s="405" t="s">
        <v>318</v>
      </c>
      <c r="S7614" s="405" t="s">
        <v>27126</v>
      </c>
      <c r="T7614" s="405" t="s">
        <v>32102</v>
      </c>
      <c r="U7614" s="405" t="s">
        <v>319</v>
      </c>
    </row>
    <row r="7615" spans="1:21" hidden="1" x14ac:dyDescent="0.25">
      <c r="A7615" s="405" t="s">
        <v>310</v>
      </c>
      <c r="B7615" s="405" t="s">
        <v>27577</v>
      </c>
      <c r="C7615" s="405" t="s">
        <v>311</v>
      </c>
      <c r="D7615" s="405" t="s">
        <v>839</v>
      </c>
      <c r="E7615" s="410">
        <v>41014</v>
      </c>
      <c r="F7615" s="410">
        <v>41059</v>
      </c>
      <c r="G7615" s="405" t="s">
        <v>2966</v>
      </c>
      <c r="H7615" s="405">
        <v>757478476</v>
      </c>
      <c r="I7615" s="405"/>
      <c r="J7615" s="405">
        <v>0.197853</v>
      </c>
      <c r="K7615" s="405">
        <v>32.095407999999999</v>
      </c>
      <c r="L7615" s="405" t="s">
        <v>314</v>
      </c>
      <c r="M7615" s="405" t="s">
        <v>315</v>
      </c>
      <c r="N7615" s="405" t="s">
        <v>315</v>
      </c>
      <c r="O7615" s="405" t="s">
        <v>1252</v>
      </c>
      <c r="P7615" s="405" t="s">
        <v>2967</v>
      </c>
      <c r="Q7615" s="411">
        <v>6</v>
      </c>
      <c r="R7615" s="405" t="s">
        <v>318</v>
      </c>
      <c r="S7615" s="405" t="s">
        <v>27188</v>
      </c>
      <c r="T7615" s="405" t="s">
        <v>32102</v>
      </c>
      <c r="U7615" s="405" t="s">
        <v>319</v>
      </c>
    </row>
    <row r="7616" spans="1:21" hidden="1" x14ac:dyDescent="0.25">
      <c r="A7616" s="405" t="s">
        <v>310</v>
      </c>
      <c r="B7616" s="405" t="s">
        <v>11296</v>
      </c>
      <c r="C7616" s="405" t="s">
        <v>327</v>
      </c>
      <c r="D7616" s="405"/>
      <c r="E7616" s="410">
        <v>41014</v>
      </c>
      <c r="F7616" s="410">
        <v>41059</v>
      </c>
      <c r="G7616" s="405" t="s">
        <v>11297</v>
      </c>
      <c r="H7616" s="405">
        <v>782429064</v>
      </c>
      <c r="I7616" s="405"/>
      <c r="J7616" s="405">
        <v>1.013647</v>
      </c>
      <c r="K7616" s="405">
        <v>34.189627000000002</v>
      </c>
      <c r="L7616" s="405" t="s">
        <v>6866</v>
      </c>
      <c r="M7616" s="405" t="s">
        <v>9514</v>
      </c>
      <c r="N7616" s="405" t="s">
        <v>9529</v>
      </c>
      <c r="O7616" s="405" t="s">
        <v>9571</v>
      </c>
      <c r="P7616" s="405" t="s">
        <v>11298</v>
      </c>
      <c r="Q7616" s="411">
        <v>6</v>
      </c>
      <c r="R7616" s="405" t="s">
        <v>7224</v>
      </c>
      <c r="S7616" s="405" t="s">
        <v>27142</v>
      </c>
      <c r="T7616" s="405" t="s">
        <v>32102</v>
      </c>
      <c r="U7616" s="405" t="s">
        <v>319</v>
      </c>
    </row>
    <row r="7617" spans="1:21" hidden="1" x14ac:dyDescent="0.25">
      <c r="A7617" s="405" t="s">
        <v>310</v>
      </c>
      <c r="B7617" s="405" t="s">
        <v>28208</v>
      </c>
      <c r="C7617" s="405" t="s">
        <v>327</v>
      </c>
      <c r="D7617" s="405"/>
      <c r="E7617" s="410">
        <v>41014</v>
      </c>
      <c r="F7617" s="410">
        <v>41059</v>
      </c>
      <c r="G7617" s="405" t="s">
        <v>2366</v>
      </c>
      <c r="H7617" s="405">
        <v>779995149</v>
      </c>
      <c r="I7617" s="405"/>
      <c r="J7617" s="405">
        <v>0.27503699999999998</v>
      </c>
      <c r="K7617" s="405">
        <v>32.144848000000003</v>
      </c>
      <c r="L7617" s="405" t="s">
        <v>314</v>
      </c>
      <c r="M7617" s="405" t="s">
        <v>675</v>
      </c>
      <c r="N7617" s="405" t="s">
        <v>676</v>
      </c>
      <c r="O7617" s="405" t="s">
        <v>677</v>
      </c>
      <c r="P7617" s="405" t="s">
        <v>2367</v>
      </c>
      <c r="Q7617" s="411">
        <v>6</v>
      </c>
      <c r="R7617" s="405" t="s">
        <v>318</v>
      </c>
      <c r="S7617" s="405" t="s">
        <v>27054</v>
      </c>
      <c r="T7617" s="405" t="s">
        <v>32102</v>
      </c>
      <c r="U7617" s="405" t="s">
        <v>319</v>
      </c>
    </row>
    <row r="7618" spans="1:21" hidden="1" x14ac:dyDescent="0.25">
      <c r="A7618" s="405" t="s">
        <v>310</v>
      </c>
      <c r="B7618" s="405" t="s">
        <v>20444</v>
      </c>
      <c r="C7618" s="405" t="s">
        <v>327</v>
      </c>
      <c r="D7618" s="405"/>
      <c r="E7618" s="410">
        <v>41014</v>
      </c>
      <c r="F7618" s="410">
        <v>41059</v>
      </c>
      <c r="G7618" s="405" t="s">
        <v>20445</v>
      </c>
      <c r="H7618" s="405">
        <v>785351635</v>
      </c>
      <c r="I7618" s="405"/>
      <c r="J7618" s="405">
        <v>2.3573E-2</v>
      </c>
      <c r="K7618" s="405">
        <v>30.512166000000001</v>
      </c>
      <c r="L7618" s="405" t="s">
        <v>590</v>
      </c>
      <c r="M7618" s="405" t="s">
        <v>870</v>
      </c>
      <c r="N7618" s="405" t="s">
        <v>871</v>
      </c>
      <c r="O7618" s="405" t="s">
        <v>20446</v>
      </c>
      <c r="P7618" s="405" t="s">
        <v>20447</v>
      </c>
      <c r="Q7618" s="411">
        <v>6</v>
      </c>
      <c r="R7618" s="405" t="s">
        <v>874</v>
      </c>
      <c r="S7618" s="405" t="s">
        <v>27172</v>
      </c>
      <c r="T7618" s="405" t="s">
        <v>32102</v>
      </c>
      <c r="U7618" s="405" t="s">
        <v>319</v>
      </c>
    </row>
    <row r="7619" spans="1:21" hidden="1" x14ac:dyDescent="0.25">
      <c r="A7619" s="405" t="s">
        <v>310</v>
      </c>
      <c r="B7619" s="405" t="s">
        <v>2428</v>
      </c>
      <c r="C7619" s="405" t="s">
        <v>327</v>
      </c>
      <c r="D7619" s="405"/>
      <c r="E7619" s="410">
        <v>41013</v>
      </c>
      <c r="F7619" s="410">
        <v>41058</v>
      </c>
      <c r="G7619" s="405" t="s">
        <v>2429</v>
      </c>
      <c r="H7619" s="405">
        <v>777773278</v>
      </c>
      <c r="I7619" s="405">
        <v>755673540</v>
      </c>
      <c r="J7619" s="405">
        <v>0.176707</v>
      </c>
      <c r="K7619" s="405">
        <v>31.487537</v>
      </c>
      <c r="L7619" s="405" t="s">
        <v>314</v>
      </c>
      <c r="M7619" s="405" t="s">
        <v>339</v>
      </c>
      <c r="N7619" s="405" t="s">
        <v>339</v>
      </c>
      <c r="O7619" s="405" t="s">
        <v>1662</v>
      </c>
      <c r="P7619" s="405" t="s">
        <v>2430</v>
      </c>
      <c r="Q7619" s="411">
        <v>9</v>
      </c>
      <c r="R7619" s="405" t="s">
        <v>318</v>
      </c>
      <c r="S7619" s="405" t="s">
        <v>27167</v>
      </c>
      <c r="T7619" s="405" t="s">
        <v>32102</v>
      </c>
      <c r="U7619" s="405" t="s">
        <v>319</v>
      </c>
    </row>
    <row r="7620" spans="1:21" hidden="1" x14ac:dyDescent="0.25">
      <c r="A7620" s="405" t="s">
        <v>310</v>
      </c>
      <c r="B7620" s="405" t="s">
        <v>20466</v>
      </c>
      <c r="C7620" s="405" t="s">
        <v>327</v>
      </c>
      <c r="D7620" s="405"/>
      <c r="E7620" s="410">
        <v>41012</v>
      </c>
      <c r="F7620" s="410">
        <v>41057</v>
      </c>
      <c r="G7620" s="405" t="s">
        <v>20467</v>
      </c>
      <c r="H7620" s="405">
        <v>772494261</v>
      </c>
      <c r="I7620" s="405">
        <v>753494261</v>
      </c>
      <c r="J7620" s="405">
        <v>-0.83521199999999995</v>
      </c>
      <c r="K7620" s="405">
        <v>30.040113999999999</v>
      </c>
      <c r="L7620" s="405" t="s">
        <v>590</v>
      </c>
      <c r="M7620" s="405" t="s">
        <v>19619</v>
      </c>
      <c r="N7620" s="405" t="s">
        <v>19620</v>
      </c>
      <c r="O7620" s="405" t="s">
        <v>19635</v>
      </c>
      <c r="P7620" s="405" t="s">
        <v>19636</v>
      </c>
      <c r="Q7620" s="411">
        <v>12</v>
      </c>
      <c r="R7620" s="405" t="s">
        <v>1527</v>
      </c>
      <c r="S7620" s="405" t="s">
        <v>27132</v>
      </c>
      <c r="T7620" s="405" t="s">
        <v>32102</v>
      </c>
      <c r="U7620" s="405" t="s">
        <v>319</v>
      </c>
    </row>
    <row r="7621" spans="1:21" hidden="1" x14ac:dyDescent="0.25">
      <c r="A7621" s="405" t="s">
        <v>310</v>
      </c>
      <c r="B7621" s="405" t="s">
        <v>2398</v>
      </c>
      <c r="C7621" s="405" t="s">
        <v>327</v>
      </c>
      <c r="D7621" s="405"/>
      <c r="E7621" s="410">
        <v>41012</v>
      </c>
      <c r="F7621" s="410">
        <v>41057</v>
      </c>
      <c r="G7621" s="405" t="s">
        <v>2399</v>
      </c>
      <c r="H7621" s="405">
        <v>782042959</v>
      </c>
      <c r="I7621" s="405"/>
      <c r="J7621" s="405">
        <v>0.15592800000000001</v>
      </c>
      <c r="K7621" s="405">
        <v>32.403686999999998</v>
      </c>
      <c r="L7621" s="405" t="s">
        <v>314</v>
      </c>
      <c r="M7621" s="405" t="s">
        <v>361</v>
      </c>
      <c r="N7621" s="405" t="s">
        <v>374</v>
      </c>
      <c r="O7621" s="405" t="s">
        <v>1279</v>
      </c>
      <c r="P7621" s="405" t="s">
        <v>2400</v>
      </c>
      <c r="Q7621" s="411">
        <v>6</v>
      </c>
      <c r="R7621" s="405" t="s">
        <v>318</v>
      </c>
      <c r="S7621" s="405" t="s">
        <v>27046</v>
      </c>
      <c r="T7621" s="405" t="s">
        <v>32102</v>
      </c>
      <c r="U7621" s="405" t="s">
        <v>319</v>
      </c>
    </row>
    <row r="7622" spans="1:21" hidden="1" x14ac:dyDescent="0.25">
      <c r="A7622" s="405" t="s">
        <v>310</v>
      </c>
      <c r="B7622" s="405" t="s">
        <v>2385</v>
      </c>
      <c r="C7622" s="405" t="s">
        <v>327</v>
      </c>
      <c r="D7622" s="405"/>
      <c r="E7622" s="410">
        <v>41012</v>
      </c>
      <c r="F7622" s="410">
        <v>41057</v>
      </c>
      <c r="G7622" s="405" t="s">
        <v>2386</v>
      </c>
      <c r="H7622" s="405">
        <v>702608128</v>
      </c>
      <c r="I7622" s="405"/>
      <c r="J7622" s="405">
        <v>-0.18904599999999999</v>
      </c>
      <c r="K7622" s="405">
        <v>31.472346999999999</v>
      </c>
      <c r="L7622" s="405" t="s">
        <v>314</v>
      </c>
      <c r="M7622" s="405" t="s">
        <v>343</v>
      </c>
      <c r="N7622" s="405" t="s">
        <v>344</v>
      </c>
      <c r="O7622" s="405" t="s">
        <v>727</v>
      </c>
      <c r="P7622" s="405" t="s">
        <v>2145</v>
      </c>
      <c r="Q7622" s="411">
        <v>6</v>
      </c>
      <c r="R7622" s="405" t="s">
        <v>402</v>
      </c>
      <c r="S7622" s="405" t="s">
        <v>27139</v>
      </c>
      <c r="T7622" s="405" t="s">
        <v>32102</v>
      </c>
      <c r="U7622" s="405" t="s">
        <v>319</v>
      </c>
    </row>
    <row r="7623" spans="1:21" hidden="1" x14ac:dyDescent="0.25">
      <c r="A7623" s="405" t="s">
        <v>310</v>
      </c>
      <c r="B7623" s="405" t="s">
        <v>20435</v>
      </c>
      <c r="C7623" s="405" t="s">
        <v>327</v>
      </c>
      <c r="D7623" s="405"/>
      <c r="E7623" s="410">
        <v>41011</v>
      </c>
      <c r="F7623" s="410">
        <v>41056</v>
      </c>
      <c r="G7623" s="405" t="s">
        <v>20436</v>
      </c>
      <c r="H7623" s="405">
        <v>772468460</v>
      </c>
      <c r="I7623" s="405"/>
      <c r="J7623" s="405">
        <v>0.22201299999999999</v>
      </c>
      <c r="K7623" s="405">
        <v>30.57142</v>
      </c>
      <c r="L7623" s="405" t="s">
        <v>590</v>
      </c>
      <c r="M7623" s="405" t="s">
        <v>19720</v>
      </c>
      <c r="N7623" s="405" t="s">
        <v>19721</v>
      </c>
      <c r="O7623" s="405" t="s">
        <v>11792</v>
      </c>
      <c r="P7623" s="405" t="s">
        <v>20437</v>
      </c>
      <c r="Q7623" s="411">
        <v>13</v>
      </c>
      <c r="R7623" s="405" t="s">
        <v>874</v>
      </c>
      <c r="S7623" s="405" t="s">
        <v>27172</v>
      </c>
      <c r="T7623" s="405" t="s">
        <v>32102</v>
      </c>
      <c r="U7623" s="405" t="s">
        <v>319</v>
      </c>
    </row>
    <row r="7624" spans="1:21" hidden="1" x14ac:dyDescent="0.25">
      <c r="A7624" s="405" t="s">
        <v>310</v>
      </c>
      <c r="B7624" s="405" t="s">
        <v>2971</v>
      </c>
      <c r="C7624" s="405" t="s">
        <v>311</v>
      </c>
      <c r="D7624" s="405" t="s">
        <v>1789</v>
      </c>
      <c r="E7624" s="410">
        <v>41011</v>
      </c>
      <c r="F7624" s="410">
        <v>41056</v>
      </c>
      <c r="G7624" s="405" t="s">
        <v>2972</v>
      </c>
      <c r="H7624" s="405">
        <v>753404004</v>
      </c>
      <c r="I7624" s="405">
        <v>772665318</v>
      </c>
      <c r="J7624" s="405">
        <v>-0.491977</v>
      </c>
      <c r="K7624" s="405">
        <v>31.591311999999999</v>
      </c>
      <c r="L7624" s="405" t="s">
        <v>314</v>
      </c>
      <c r="M7624" s="405" t="s">
        <v>398</v>
      </c>
      <c r="N7624" s="405" t="s">
        <v>399</v>
      </c>
      <c r="O7624" s="405" t="s">
        <v>1469</v>
      </c>
      <c r="P7624" s="405" t="s">
        <v>1469</v>
      </c>
      <c r="Q7624" s="411">
        <v>12</v>
      </c>
      <c r="R7624" s="405" t="s">
        <v>402</v>
      </c>
      <c r="S7624" s="405" t="s">
        <v>27164</v>
      </c>
      <c r="T7624" s="405" t="s">
        <v>32102</v>
      </c>
      <c r="U7624" s="405" t="s">
        <v>319</v>
      </c>
    </row>
    <row r="7625" spans="1:21" hidden="1" x14ac:dyDescent="0.25">
      <c r="A7625" s="405" t="s">
        <v>310</v>
      </c>
      <c r="B7625" s="405" t="s">
        <v>27931</v>
      </c>
      <c r="C7625" s="405" t="s">
        <v>327</v>
      </c>
      <c r="D7625" s="405"/>
      <c r="E7625" s="410">
        <v>41011</v>
      </c>
      <c r="F7625" s="410">
        <v>41056</v>
      </c>
      <c r="G7625" s="405" t="s">
        <v>2426</v>
      </c>
      <c r="H7625" s="405">
        <v>777826544</v>
      </c>
      <c r="I7625" s="405">
        <v>771664580</v>
      </c>
      <c r="J7625" s="405">
        <v>0.26641700000000001</v>
      </c>
      <c r="K7625" s="405">
        <v>31.593437999999999</v>
      </c>
      <c r="L7625" s="405" t="s">
        <v>314</v>
      </c>
      <c r="M7625" s="405" t="s">
        <v>339</v>
      </c>
      <c r="N7625" s="405" t="s">
        <v>339</v>
      </c>
      <c r="O7625" s="405" t="s">
        <v>1662</v>
      </c>
      <c r="P7625" s="405" t="s">
        <v>2427</v>
      </c>
      <c r="Q7625" s="411">
        <v>9</v>
      </c>
      <c r="R7625" s="405" t="s">
        <v>318</v>
      </c>
      <c r="S7625" s="405" t="s">
        <v>27134</v>
      </c>
      <c r="T7625" s="405" t="s">
        <v>32102</v>
      </c>
      <c r="U7625" s="405" t="s">
        <v>319</v>
      </c>
    </row>
    <row r="7626" spans="1:21" hidden="1" x14ac:dyDescent="0.25">
      <c r="A7626" s="405" t="s">
        <v>310</v>
      </c>
      <c r="B7626" s="405" t="s">
        <v>27789</v>
      </c>
      <c r="C7626" s="405" t="s">
        <v>327</v>
      </c>
      <c r="D7626" s="405"/>
      <c r="E7626" s="410">
        <v>41011</v>
      </c>
      <c r="F7626" s="410">
        <v>41056</v>
      </c>
      <c r="G7626" s="405" t="s">
        <v>11328</v>
      </c>
      <c r="H7626" s="405">
        <v>774356788</v>
      </c>
      <c r="I7626" s="405"/>
      <c r="J7626" s="405">
        <v>1.27016</v>
      </c>
      <c r="K7626" s="405">
        <v>34.357529999999997</v>
      </c>
      <c r="L7626" s="405" t="s">
        <v>6866</v>
      </c>
      <c r="M7626" s="405" t="s">
        <v>9550</v>
      </c>
      <c r="N7626" s="405" t="s">
        <v>9550</v>
      </c>
      <c r="O7626" s="405" t="s">
        <v>10227</v>
      </c>
      <c r="P7626" s="405" t="s">
        <v>10227</v>
      </c>
      <c r="Q7626" s="411">
        <v>6</v>
      </c>
      <c r="R7626" s="405" t="s">
        <v>9541</v>
      </c>
      <c r="S7626" s="405" t="s">
        <v>27294</v>
      </c>
      <c r="T7626" s="405" t="s">
        <v>32102</v>
      </c>
      <c r="U7626" s="405" t="s">
        <v>319</v>
      </c>
    </row>
    <row r="7627" spans="1:21" hidden="1" x14ac:dyDescent="0.25">
      <c r="A7627" s="405" t="s">
        <v>310</v>
      </c>
      <c r="B7627" s="405" t="s">
        <v>2431</v>
      </c>
      <c r="C7627" s="405" t="s">
        <v>327</v>
      </c>
      <c r="D7627" s="405"/>
      <c r="E7627" s="410">
        <v>41011</v>
      </c>
      <c r="F7627" s="410">
        <v>41056</v>
      </c>
      <c r="G7627" s="405" t="s">
        <v>2432</v>
      </c>
      <c r="H7627" s="405">
        <v>772306021</v>
      </c>
      <c r="I7627" s="405"/>
      <c r="J7627" s="405">
        <v>-0.35267500000000002</v>
      </c>
      <c r="K7627" s="405">
        <v>31.121585</v>
      </c>
      <c r="L7627" s="405" t="s">
        <v>314</v>
      </c>
      <c r="M7627" s="405" t="s">
        <v>1805</v>
      </c>
      <c r="N7627" s="405" t="s">
        <v>1805</v>
      </c>
      <c r="O7627" s="405" t="s">
        <v>1805</v>
      </c>
      <c r="P7627" s="405" t="s">
        <v>2433</v>
      </c>
      <c r="Q7627" s="411">
        <v>6</v>
      </c>
      <c r="R7627" s="405" t="s">
        <v>874</v>
      </c>
      <c r="S7627" s="405" t="s">
        <v>27163</v>
      </c>
      <c r="T7627" s="405" t="s">
        <v>32102</v>
      </c>
      <c r="U7627" s="405" t="s">
        <v>319</v>
      </c>
    </row>
    <row r="7628" spans="1:21" hidden="1" x14ac:dyDescent="0.25">
      <c r="A7628" s="405" t="s">
        <v>310</v>
      </c>
      <c r="B7628" s="405" t="s">
        <v>2434</v>
      </c>
      <c r="C7628" s="405" t="s">
        <v>327</v>
      </c>
      <c r="D7628" s="405"/>
      <c r="E7628" s="410">
        <v>41011</v>
      </c>
      <c r="F7628" s="410">
        <v>41056</v>
      </c>
      <c r="G7628" s="405" t="s">
        <v>2435</v>
      </c>
      <c r="H7628" s="405">
        <v>712248451</v>
      </c>
      <c r="I7628" s="405"/>
      <c r="J7628" s="405">
        <v>-9.7870000000000006E-3</v>
      </c>
      <c r="K7628" s="405">
        <v>32.034376999999999</v>
      </c>
      <c r="L7628" s="405" t="s">
        <v>314</v>
      </c>
      <c r="M7628" s="405" t="s">
        <v>321</v>
      </c>
      <c r="N7628" s="405" t="s">
        <v>322</v>
      </c>
      <c r="O7628" s="405" t="s">
        <v>2436</v>
      </c>
      <c r="P7628" s="405" t="s">
        <v>2437</v>
      </c>
      <c r="Q7628" s="411">
        <v>6</v>
      </c>
      <c r="R7628" s="405" t="s">
        <v>402</v>
      </c>
      <c r="S7628" s="405" t="s">
        <v>27181</v>
      </c>
      <c r="T7628" s="405" t="s">
        <v>32102</v>
      </c>
      <c r="U7628" s="405" t="s">
        <v>319</v>
      </c>
    </row>
    <row r="7629" spans="1:21" hidden="1" x14ac:dyDescent="0.25">
      <c r="A7629" s="405" t="s">
        <v>310</v>
      </c>
      <c r="B7629" s="405" t="s">
        <v>2372</v>
      </c>
      <c r="C7629" s="405" t="s">
        <v>327</v>
      </c>
      <c r="D7629" s="405"/>
      <c r="E7629" s="410">
        <v>41011</v>
      </c>
      <c r="F7629" s="410">
        <v>41056</v>
      </c>
      <c r="G7629" s="405" t="s">
        <v>2373</v>
      </c>
      <c r="H7629" s="405">
        <v>772386716</v>
      </c>
      <c r="I7629" s="405">
        <v>701386716</v>
      </c>
      <c r="J7629" s="405">
        <v>42.594057999999997</v>
      </c>
      <c r="K7629" s="405">
        <v>-5.5885090000000002</v>
      </c>
      <c r="L7629" s="405" t="s">
        <v>314</v>
      </c>
      <c r="M7629" s="405" t="s">
        <v>315</v>
      </c>
      <c r="N7629" s="405" t="s">
        <v>315</v>
      </c>
      <c r="O7629" s="405" t="s">
        <v>316</v>
      </c>
      <c r="P7629" s="405" t="s">
        <v>2374</v>
      </c>
      <c r="Q7629" s="411">
        <v>6</v>
      </c>
      <c r="R7629" s="405" t="s">
        <v>318</v>
      </c>
      <c r="S7629" s="405" t="s">
        <v>27134</v>
      </c>
      <c r="T7629" s="405" t="s">
        <v>32102</v>
      </c>
      <c r="U7629" s="405" t="s">
        <v>319</v>
      </c>
    </row>
    <row r="7630" spans="1:21" hidden="1" x14ac:dyDescent="0.25">
      <c r="A7630" s="405" t="s">
        <v>310</v>
      </c>
      <c r="B7630" s="405" t="s">
        <v>2375</v>
      </c>
      <c r="C7630" s="405" t="s">
        <v>327</v>
      </c>
      <c r="D7630" s="405"/>
      <c r="E7630" s="410">
        <v>41011</v>
      </c>
      <c r="F7630" s="410">
        <v>41056</v>
      </c>
      <c r="G7630" s="405" t="s">
        <v>2376</v>
      </c>
      <c r="H7630" s="405">
        <v>773004730</v>
      </c>
      <c r="I7630" s="405">
        <v>772493181</v>
      </c>
      <c r="J7630" s="405">
        <v>0.24657599999999999</v>
      </c>
      <c r="K7630" s="405">
        <v>32.188043999999998</v>
      </c>
      <c r="L7630" s="405" t="s">
        <v>314</v>
      </c>
      <c r="M7630" s="405" t="s">
        <v>315</v>
      </c>
      <c r="N7630" s="405" t="s">
        <v>315</v>
      </c>
      <c r="O7630" s="405" t="s">
        <v>719</v>
      </c>
      <c r="P7630" s="405" t="s">
        <v>2377</v>
      </c>
      <c r="Q7630" s="411">
        <v>6</v>
      </c>
      <c r="R7630" s="405" t="s">
        <v>318</v>
      </c>
      <c r="S7630" s="405" t="s">
        <v>27064</v>
      </c>
      <c r="T7630" s="405" t="s">
        <v>32102</v>
      </c>
      <c r="U7630" s="405" t="s">
        <v>319</v>
      </c>
    </row>
    <row r="7631" spans="1:21" hidden="1" x14ac:dyDescent="0.25">
      <c r="A7631" s="405" t="s">
        <v>310</v>
      </c>
      <c r="B7631" s="405" t="s">
        <v>20462</v>
      </c>
      <c r="C7631" s="405" t="s">
        <v>327</v>
      </c>
      <c r="D7631" s="405"/>
      <c r="E7631" s="410">
        <v>41010</v>
      </c>
      <c r="F7631" s="410">
        <v>41055</v>
      </c>
      <c r="G7631" s="405" t="s">
        <v>20463</v>
      </c>
      <c r="H7631" s="405">
        <v>773355437</v>
      </c>
      <c r="I7631" s="405"/>
      <c r="J7631" s="405">
        <v>-0.89459900000000003</v>
      </c>
      <c r="K7631" s="405">
        <v>29.968302999999999</v>
      </c>
      <c r="L7631" s="405" t="s">
        <v>590</v>
      </c>
      <c r="M7631" s="405" t="s">
        <v>19619</v>
      </c>
      <c r="N7631" s="405" t="s">
        <v>19620</v>
      </c>
      <c r="O7631" s="405" t="s">
        <v>2430</v>
      </c>
      <c r="P7631" s="405" t="s">
        <v>20464</v>
      </c>
      <c r="Q7631" s="411">
        <v>13</v>
      </c>
      <c r="R7631" s="405" t="s">
        <v>333</v>
      </c>
      <c r="S7631" s="405" t="s">
        <v>27127</v>
      </c>
      <c r="T7631" s="405" t="s">
        <v>32102</v>
      </c>
      <c r="U7631" s="405" t="s">
        <v>319</v>
      </c>
    </row>
    <row r="7632" spans="1:21" hidden="1" x14ac:dyDescent="0.25">
      <c r="A7632" s="405" t="s">
        <v>310</v>
      </c>
      <c r="B7632" s="405" t="s">
        <v>27568</v>
      </c>
      <c r="C7632" s="405" t="s">
        <v>327</v>
      </c>
      <c r="D7632" s="405"/>
      <c r="E7632" s="410">
        <v>41010</v>
      </c>
      <c r="F7632" s="410">
        <v>41055</v>
      </c>
      <c r="G7632" s="405" t="s">
        <v>11315</v>
      </c>
      <c r="H7632" s="405">
        <v>772988424</v>
      </c>
      <c r="I7632" s="405"/>
      <c r="J7632" s="405">
        <v>0.65420489999999998</v>
      </c>
      <c r="K7632" s="405">
        <v>33.171511299999999</v>
      </c>
      <c r="L7632" s="405" t="s">
        <v>6866</v>
      </c>
      <c r="M7632" s="405" t="s">
        <v>9590</v>
      </c>
      <c r="N7632" s="405" t="s">
        <v>542</v>
      </c>
      <c r="O7632" s="405" t="s">
        <v>10061</v>
      </c>
      <c r="P7632" s="405" t="s">
        <v>11316</v>
      </c>
      <c r="Q7632" s="411">
        <v>6</v>
      </c>
      <c r="R7632" s="405" t="s">
        <v>318</v>
      </c>
      <c r="S7632" s="405" t="s">
        <v>27188</v>
      </c>
      <c r="T7632" s="405" t="s">
        <v>32102</v>
      </c>
      <c r="U7632" s="405" t="s">
        <v>319</v>
      </c>
    </row>
    <row r="7633" spans="1:21" hidden="1" x14ac:dyDescent="0.25">
      <c r="A7633" s="405" t="s">
        <v>310</v>
      </c>
      <c r="B7633" s="405" t="s">
        <v>27590</v>
      </c>
      <c r="C7633" s="405" t="s">
        <v>327</v>
      </c>
      <c r="D7633" s="405"/>
      <c r="E7633" s="410">
        <v>41010</v>
      </c>
      <c r="F7633" s="410">
        <v>41055</v>
      </c>
      <c r="G7633" s="405" t="s">
        <v>20465</v>
      </c>
      <c r="H7633" s="405">
        <v>776839516</v>
      </c>
      <c r="I7633" s="405">
        <v>701629364</v>
      </c>
      <c r="J7633" s="405">
        <v>-0.88075599999999998</v>
      </c>
      <c r="K7633" s="405">
        <v>29.990130000000001</v>
      </c>
      <c r="L7633" s="405" t="s">
        <v>590</v>
      </c>
      <c r="M7633" s="405" t="s">
        <v>19619</v>
      </c>
      <c r="N7633" s="405" t="s">
        <v>19620</v>
      </c>
      <c r="O7633" s="405" t="s">
        <v>2430</v>
      </c>
      <c r="P7633" s="405" t="s">
        <v>19848</v>
      </c>
      <c r="Q7633" s="411">
        <v>6</v>
      </c>
      <c r="R7633" s="405" t="s">
        <v>19622</v>
      </c>
      <c r="S7633" s="405" t="s">
        <v>27220</v>
      </c>
      <c r="T7633" s="405" t="s">
        <v>32102</v>
      </c>
      <c r="U7633" s="405" t="s">
        <v>319</v>
      </c>
    </row>
    <row r="7634" spans="1:21" hidden="1" x14ac:dyDescent="0.25">
      <c r="A7634" s="405" t="s">
        <v>310</v>
      </c>
      <c r="B7634" s="405" t="s">
        <v>29051</v>
      </c>
      <c r="C7634" s="405" t="s">
        <v>327</v>
      </c>
      <c r="D7634" s="405"/>
      <c r="E7634" s="410">
        <v>41010</v>
      </c>
      <c r="F7634" s="410">
        <v>41055</v>
      </c>
      <c r="G7634" s="405" t="s">
        <v>11749</v>
      </c>
      <c r="H7634" s="405">
        <v>777041424</v>
      </c>
      <c r="I7634" s="405"/>
      <c r="J7634" s="405">
        <v>1.0222249999999999</v>
      </c>
      <c r="K7634" s="405">
        <v>34.325989999999997</v>
      </c>
      <c r="L7634" s="405" t="s">
        <v>6866</v>
      </c>
      <c r="M7634" s="405" t="s">
        <v>6867</v>
      </c>
      <c r="N7634" s="405" t="s">
        <v>6868</v>
      </c>
      <c r="O7634" s="405" t="s">
        <v>10443</v>
      </c>
      <c r="P7634" s="405" t="s">
        <v>11750</v>
      </c>
      <c r="Q7634" s="411">
        <v>4</v>
      </c>
      <c r="R7634" s="405" t="s">
        <v>7224</v>
      </c>
      <c r="S7634" s="405" t="s">
        <v>27316</v>
      </c>
      <c r="T7634" s="405" t="s">
        <v>32102</v>
      </c>
      <c r="U7634" s="405" t="s">
        <v>319</v>
      </c>
    </row>
    <row r="7635" spans="1:21" hidden="1" x14ac:dyDescent="0.25">
      <c r="A7635" s="405" t="s">
        <v>310</v>
      </c>
      <c r="B7635" s="405" t="s">
        <v>11329</v>
      </c>
      <c r="C7635" s="405" t="s">
        <v>327</v>
      </c>
      <c r="D7635" s="405"/>
      <c r="E7635" s="410">
        <v>41009</v>
      </c>
      <c r="F7635" s="410">
        <v>41054</v>
      </c>
      <c r="G7635" s="405" t="s">
        <v>11330</v>
      </c>
      <c r="H7635" s="405">
        <v>772483942</v>
      </c>
      <c r="I7635" s="405"/>
      <c r="J7635" s="405">
        <v>0.62333700000000003</v>
      </c>
      <c r="K7635" s="405">
        <v>34.122849000000002</v>
      </c>
      <c r="L7635" s="405" t="s">
        <v>6866</v>
      </c>
      <c r="M7635" s="405" t="s">
        <v>9534</v>
      </c>
      <c r="N7635" s="405" t="s">
        <v>10201</v>
      </c>
      <c r="O7635" s="405" t="s">
        <v>10202</v>
      </c>
      <c r="P7635" s="405" t="s">
        <v>11023</v>
      </c>
      <c r="Q7635" s="411">
        <v>9</v>
      </c>
      <c r="R7635" s="405" t="s">
        <v>7224</v>
      </c>
      <c r="S7635" s="405" t="s">
        <v>27259</v>
      </c>
      <c r="T7635" s="405" t="s">
        <v>32102</v>
      </c>
      <c r="U7635" s="405" t="s">
        <v>319</v>
      </c>
    </row>
    <row r="7636" spans="1:21" hidden="1" x14ac:dyDescent="0.25">
      <c r="A7636" s="405" t="s">
        <v>310</v>
      </c>
      <c r="B7636" s="405" t="s">
        <v>28764</v>
      </c>
      <c r="C7636" s="405" t="s">
        <v>311</v>
      </c>
      <c r="D7636" s="405" t="s">
        <v>839</v>
      </c>
      <c r="E7636" s="410">
        <v>41009</v>
      </c>
      <c r="F7636" s="410">
        <v>41054</v>
      </c>
      <c r="G7636" s="405" t="s">
        <v>11762</v>
      </c>
      <c r="H7636" s="405">
        <v>774927006</v>
      </c>
      <c r="I7636" s="405"/>
      <c r="J7636" s="405">
        <v>0.70035099999999995</v>
      </c>
      <c r="K7636" s="405">
        <v>34.177100000000003</v>
      </c>
      <c r="L7636" s="405" t="s">
        <v>6866</v>
      </c>
      <c r="M7636" s="405" t="s">
        <v>9534</v>
      </c>
      <c r="N7636" s="405" t="s">
        <v>10065</v>
      </c>
      <c r="O7636" s="405" t="s">
        <v>9881</v>
      </c>
      <c r="P7636" s="405" t="s">
        <v>11763</v>
      </c>
      <c r="Q7636" s="411">
        <v>6</v>
      </c>
      <c r="R7636" s="405" t="s">
        <v>7224</v>
      </c>
      <c r="S7636" s="405" t="s">
        <v>27309</v>
      </c>
      <c r="T7636" s="405" t="s">
        <v>32102</v>
      </c>
      <c r="U7636" s="405" t="s">
        <v>319</v>
      </c>
    </row>
    <row r="7637" spans="1:21" hidden="1" x14ac:dyDescent="0.25">
      <c r="A7637" s="405" t="s">
        <v>310</v>
      </c>
      <c r="B7637" s="405" t="s">
        <v>3016</v>
      </c>
      <c r="C7637" s="405" t="s">
        <v>311</v>
      </c>
      <c r="D7637" s="405" t="s">
        <v>839</v>
      </c>
      <c r="E7637" s="410">
        <v>41009</v>
      </c>
      <c r="F7637" s="410">
        <v>41054</v>
      </c>
      <c r="G7637" s="405" t="s">
        <v>3017</v>
      </c>
      <c r="H7637" s="405">
        <v>772593106</v>
      </c>
      <c r="I7637" s="405"/>
      <c r="J7637" s="405">
        <v>-0.41903299999999999</v>
      </c>
      <c r="K7637" s="405">
        <v>31.238012000000001</v>
      </c>
      <c r="L7637" s="405" t="s">
        <v>314</v>
      </c>
      <c r="M7637" s="405" t="s">
        <v>1189</v>
      </c>
      <c r="N7637" s="405" t="s">
        <v>1476</v>
      </c>
      <c r="O7637" s="405" t="s">
        <v>3018</v>
      </c>
      <c r="P7637" s="405" t="s">
        <v>3019</v>
      </c>
      <c r="Q7637" s="411">
        <v>6</v>
      </c>
      <c r="R7637" s="405" t="s">
        <v>874</v>
      </c>
      <c r="S7637" s="405" t="s">
        <v>27132</v>
      </c>
      <c r="T7637" s="405" t="s">
        <v>32102</v>
      </c>
      <c r="U7637" s="405" t="s">
        <v>319</v>
      </c>
    </row>
    <row r="7638" spans="1:21" hidden="1" x14ac:dyDescent="0.25">
      <c r="A7638" s="405" t="s">
        <v>310</v>
      </c>
      <c r="B7638" s="405" t="s">
        <v>2910</v>
      </c>
      <c r="C7638" s="405" t="s">
        <v>311</v>
      </c>
      <c r="D7638" s="405" t="s">
        <v>932</v>
      </c>
      <c r="E7638" s="410">
        <v>41009</v>
      </c>
      <c r="F7638" s="410">
        <v>41037</v>
      </c>
      <c r="G7638" s="405" t="s">
        <v>2911</v>
      </c>
      <c r="H7638" s="405" t="s">
        <v>2912</v>
      </c>
      <c r="I7638" s="405" t="s">
        <v>2913</v>
      </c>
      <c r="J7638" s="405">
        <v>-0.318712</v>
      </c>
      <c r="K7638" s="405">
        <v>31.739782000000002</v>
      </c>
      <c r="L7638" s="405" t="s">
        <v>314</v>
      </c>
      <c r="M7638" s="405" t="s">
        <v>382</v>
      </c>
      <c r="N7638" s="405" t="s">
        <v>2265</v>
      </c>
      <c r="O7638" s="405" t="s">
        <v>2914</v>
      </c>
      <c r="P7638" s="405" t="s">
        <v>2915</v>
      </c>
      <c r="Q7638" s="411">
        <v>6</v>
      </c>
      <c r="R7638" s="405" t="s">
        <v>32101</v>
      </c>
      <c r="S7638" s="405" t="s">
        <v>27186</v>
      </c>
      <c r="T7638" s="405" t="s">
        <v>32102</v>
      </c>
      <c r="U7638" s="405" t="s">
        <v>319</v>
      </c>
    </row>
    <row r="7639" spans="1:21" hidden="1" x14ac:dyDescent="0.25">
      <c r="A7639" s="405" t="s">
        <v>310</v>
      </c>
      <c r="B7639" s="405" t="s">
        <v>20441</v>
      </c>
      <c r="C7639" s="405" t="s">
        <v>327</v>
      </c>
      <c r="D7639" s="405"/>
      <c r="E7639" s="410">
        <v>41008</v>
      </c>
      <c r="F7639" s="410">
        <v>41053</v>
      </c>
      <c r="G7639" s="405" t="s">
        <v>20442</v>
      </c>
      <c r="H7639" s="405">
        <v>787083221</v>
      </c>
      <c r="I7639" s="405"/>
      <c r="J7639" s="405">
        <v>-0.106322</v>
      </c>
      <c r="K7639" s="405">
        <v>30.841944999999999</v>
      </c>
      <c r="L7639" s="405" t="s">
        <v>590</v>
      </c>
      <c r="M7639" s="405" t="s">
        <v>19705</v>
      </c>
      <c r="N7639" s="405" t="s">
        <v>2250</v>
      </c>
      <c r="O7639" s="405" t="s">
        <v>2250</v>
      </c>
      <c r="P7639" s="405" t="s">
        <v>20443</v>
      </c>
      <c r="Q7639" s="411">
        <v>9</v>
      </c>
      <c r="R7639" s="405" t="s">
        <v>874</v>
      </c>
      <c r="S7639" s="405" t="s">
        <v>27098</v>
      </c>
      <c r="T7639" s="405" t="s">
        <v>32102</v>
      </c>
      <c r="U7639" s="405" t="s">
        <v>319</v>
      </c>
    </row>
    <row r="7640" spans="1:21" hidden="1" x14ac:dyDescent="0.25">
      <c r="A7640" s="405" t="s">
        <v>310</v>
      </c>
      <c r="B7640" s="405" t="s">
        <v>2393</v>
      </c>
      <c r="C7640" s="405" t="s">
        <v>327</v>
      </c>
      <c r="D7640" s="405"/>
      <c r="E7640" s="410">
        <v>41008</v>
      </c>
      <c r="F7640" s="410">
        <v>41053</v>
      </c>
      <c r="G7640" s="405" t="s">
        <v>2394</v>
      </c>
      <c r="H7640" s="405">
        <v>788372139</v>
      </c>
      <c r="I7640" s="405"/>
      <c r="J7640" s="405">
        <v>0.439168</v>
      </c>
      <c r="K7640" s="405">
        <v>32.000284999999998</v>
      </c>
      <c r="L7640" s="405" t="s">
        <v>314</v>
      </c>
      <c r="M7640" s="405" t="s">
        <v>675</v>
      </c>
      <c r="N7640" s="405" t="s">
        <v>1065</v>
      </c>
      <c r="O7640" s="405" t="s">
        <v>1248</v>
      </c>
      <c r="P7640" s="405" t="s">
        <v>1062</v>
      </c>
      <c r="Q7640" s="411">
        <v>6</v>
      </c>
      <c r="R7640" s="405" t="s">
        <v>32476</v>
      </c>
      <c r="S7640" s="405" t="s">
        <v>27187</v>
      </c>
      <c r="T7640" s="405" t="s">
        <v>32102</v>
      </c>
      <c r="U7640" s="405" t="s">
        <v>319</v>
      </c>
    </row>
    <row r="7641" spans="1:21" hidden="1" x14ac:dyDescent="0.25">
      <c r="A7641" s="405" t="s">
        <v>310</v>
      </c>
      <c r="B7641" s="405" t="s">
        <v>2387</v>
      </c>
      <c r="C7641" s="405" t="s">
        <v>327</v>
      </c>
      <c r="D7641" s="405"/>
      <c r="E7641" s="410">
        <v>41008</v>
      </c>
      <c r="F7641" s="410">
        <v>41053</v>
      </c>
      <c r="G7641" s="405" t="s">
        <v>2388</v>
      </c>
      <c r="H7641" s="405">
        <v>751592140</v>
      </c>
      <c r="I7641" s="405">
        <v>754347920</v>
      </c>
      <c r="J7641" s="405">
        <v>0.1107863</v>
      </c>
      <c r="K7641" s="405">
        <v>32.175634000000002</v>
      </c>
      <c r="L7641" s="405" t="s">
        <v>314</v>
      </c>
      <c r="M7641" s="405" t="s">
        <v>321</v>
      </c>
      <c r="N7641" s="405" t="s">
        <v>322</v>
      </c>
      <c r="O7641" s="405" t="s">
        <v>1023</v>
      </c>
      <c r="P7641" s="405" t="s">
        <v>2389</v>
      </c>
      <c r="Q7641" s="411">
        <v>6</v>
      </c>
      <c r="R7641" s="405" t="s">
        <v>318</v>
      </c>
      <c r="S7641" s="405" t="s">
        <v>27167</v>
      </c>
      <c r="T7641" s="405" t="s">
        <v>32102</v>
      </c>
      <c r="U7641" s="405" t="s">
        <v>319</v>
      </c>
    </row>
    <row r="7642" spans="1:21" hidden="1" x14ac:dyDescent="0.25">
      <c r="A7642" s="405" t="s">
        <v>310</v>
      </c>
      <c r="B7642" s="405" t="s">
        <v>20448</v>
      </c>
      <c r="C7642" s="405" t="s">
        <v>327</v>
      </c>
      <c r="D7642" s="405"/>
      <c r="E7642" s="410">
        <v>41007</v>
      </c>
      <c r="F7642" s="410">
        <v>41052</v>
      </c>
      <c r="G7642" s="405" t="s">
        <v>20449</v>
      </c>
      <c r="H7642" s="405">
        <v>774637860</v>
      </c>
      <c r="I7642" s="405">
        <v>774240606</v>
      </c>
      <c r="J7642" s="405">
        <v>1.3584855</v>
      </c>
      <c r="K7642" s="405">
        <v>31.286234400000001</v>
      </c>
      <c r="L7642" s="405" t="s">
        <v>590</v>
      </c>
      <c r="M7642" s="405" t="s">
        <v>7300</v>
      </c>
      <c r="N7642" s="405" t="s">
        <v>20450</v>
      </c>
      <c r="O7642" s="405" t="s">
        <v>20451</v>
      </c>
      <c r="P7642" s="405" t="s">
        <v>20452</v>
      </c>
      <c r="Q7642" s="411">
        <v>12</v>
      </c>
      <c r="R7642" s="405" t="s">
        <v>318</v>
      </c>
      <c r="S7642" s="405" t="s">
        <v>27174</v>
      </c>
      <c r="T7642" s="405" t="s">
        <v>32102</v>
      </c>
      <c r="U7642" s="405" t="s">
        <v>319</v>
      </c>
    </row>
    <row r="7643" spans="1:21" hidden="1" x14ac:dyDescent="0.25">
      <c r="A7643" s="405" t="s">
        <v>310</v>
      </c>
      <c r="B7643" s="405" t="s">
        <v>3014</v>
      </c>
      <c r="C7643" s="405" t="s">
        <v>311</v>
      </c>
      <c r="D7643" s="405" t="s">
        <v>1789</v>
      </c>
      <c r="E7643" s="410">
        <v>41007</v>
      </c>
      <c r="F7643" s="410">
        <v>41052</v>
      </c>
      <c r="G7643" s="405" t="s">
        <v>3015</v>
      </c>
      <c r="H7643" s="405">
        <v>704729957</v>
      </c>
      <c r="I7643" s="405"/>
      <c r="J7643" s="405">
        <v>-0.41892200000000002</v>
      </c>
      <c r="K7643" s="405">
        <v>31.163634999999999</v>
      </c>
      <c r="L7643" s="405" t="s">
        <v>314</v>
      </c>
      <c r="M7643" s="405" t="s">
        <v>1805</v>
      </c>
      <c r="N7643" s="405" t="s">
        <v>1805</v>
      </c>
      <c r="O7643" s="405" t="s">
        <v>1805</v>
      </c>
      <c r="P7643" s="405" t="s">
        <v>1805</v>
      </c>
      <c r="Q7643" s="411">
        <v>6</v>
      </c>
      <c r="R7643" s="405" t="s">
        <v>874</v>
      </c>
      <c r="S7643" s="405" t="s">
        <v>27163</v>
      </c>
      <c r="T7643" s="405" t="s">
        <v>32102</v>
      </c>
      <c r="U7643" s="405" t="s">
        <v>319</v>
      </c>
    </row>
    <row r="7644" spans="1:21" hidden="1" x14ac:dyDescent="0.25">
      <c r="A7644" s="405" t="s">
        <v>310</v>
      </c>
      <c r="B7644" s="405" t="s">
        <v>10213</v>
      </c>
      <c r="C7644" s="405" t="s">
        <v>327</v>
      </c>
      <c r="D7644" s="405"/>
      <c r="E7644" s="410">
        <v>41006</v>
      </c>
      <c r="F7644" s="410">
        <v>41051</v>
      </c>
      <c r="G7644" s="405" t="s">
        <v>10214</v>
      </c>
      <c r="H7644" s="405">
        <v>772210759</v>
      </c>
      <c r="I7644" s="405"/>
      <c r="J7644" s="405">
        <v>1.0293920000000001</v>
      </c>
      <c r="K7644" s="405">
        <v>34.342776999999998</v>
      </c>
      <c r="L7644" s="405" t="s">
        <v>6866</v>
      </c>
      <c r="M7644" s="405" t="s">
        <v>6867</v>
      </c>
      <c r="N7644" s="405" t="s">
        <v>6868</v>
      </c>
      <c r="O7644" s="405" t="s">
        <v>9736</v>
      </c>
      <c r="P7644" s="405" t="s">
        <v>10215</v>
      </c>
      <c r="Q7644" s="411">
        <v>6</v>
      </c>
      <c r="R7644" s="405" t="s">
        <v>7224</v>
      </c>
      <c r="S7644" s="405" t="s">
        <v>27283</v>
      </c>
      <c r="T7644" s="405" t="s">
        <v>32102</v>
      </c>
      <c r="U7644" s="405" t="s">
        <v>319</v>
      </c>
    </row>
    <row r="7645" spans="1:21" hidden="1" x14ac:dyDescent="0.25">
      <c r="A7645" s="405" t="s">
        <v>310</v>
      </c>
      <c r="B7645" s="405" t="s">
        <v>27956</v>
      </c>
      <c r="C7645" s="405" t="s">
        <v>327</v>
      </c>
      <c r="D7645" s="405"/>
      <c r="E7645" s="410">
        <v>41005</v>
      </c>
      <c r="F7645" s="410">
        <v>41050</v>
      </c>
      <c r="G7645" s="405" t="s">
        <v>20455</v>
      </c>
      <c r="H7645" s="405">
        <v>772681693</v>
      </c>
      <c r="I7645" s="405"/>
      <c r="J7645" s="405">
        <v>-0.86467099999999997</v>
      </c>
      <c r="K7645" s="405">
        <v>29.945253000000001</v>
      </c>
      <c r="L7645" s="405" t="s">
        <v>590</v>
      </c>
      <c r="M7645" s="405" t="s">
        <v>19619</v>
      </c>
      <c r="N7645" s="405" t="s">
        <v>19620</v>
      </c>
      <c r="O7645" s="405" t="s">
        <v>2430</v>
      </c>
      <c r="P7645" s="405" t="s">
        <v>20456</v>
      </c>
      <c r="Q7645" s="411">
        <v>9</v>
      </c>
      <c r="R7645" s="405" t="s">
        <v>883</v>
      </c>
      <c r="S7645" s="405" t="s">
        <v>27160</v>
      </c>
      <c r="T7645" s="405" t="s">
        <v>32102</v>
      </c>
      <c r="U7645" s="405" t="s">
        <v>319</v>
      </c>
    </row>
    <row r="7646" spans="1:21" hidden="1" x14ac:dyDescent="0.25">
      <c r="A7646" s="405" t="s">
        <v>310</v>
      </c>
      <c r="B7646" s="405" t="s">
        <v>11310</v>
      </c>
      <c r="C7646" s="405" t="s">
        <v>327</v>
      </c>
      <c r="D7646" s="405"/>
      <c r="E7646" s="410">
        <v>41005</v>
      </c>
      <c r="F7646" s="410">
        <v>41050</v>
      </c>
      <c r="G7646" s="405" t="s">
        <v>11311</v>
      </c>
      <c r="H7646" s="405">
        <v>772450427</v>
      </c>
      <c r="I7646" s="405"/>
      <c r="J7646" s="405">
        <v>1.4972490000000001</v>
      </c>
      <c r="K7646" s="405">
        <v>33.926391000000002</v>
      </c>
      <c r="L7646" s="405" t="s">
        <v>6866</v>
      </c>
      <c r="M7646" s="405" t="s">
        <v>10029</v>
      </c>
      <c r="N7646" s="405" t="s">
        <v>10030</v>
      </c>
      <c r="O7646" s="405" t="s">
        <v>10029</v>
      </c>
      <c r="P7646" s="405" t="s">
        <v>11312</v>
      </c>
      <c r="Q7646" s="411">
        <v>9</v>
      </c>
      <c r="R7646" s="405" t="s">
        <v>9541</v>
      </c>
      <c r="S7646" s="405" t="s">
        <v>27302</v>
      </c>
      <c r="T7646" s="405" t="s">
        <v>32102</v>
      </c>
      <c r="U7646" s="405" t="s">
        <v>319</v>
      </c>
    </row>
    <row r="7647" spans="1:21" hidden="1" x14ac:dyDescent="0.25">
      <c r="A7647" s="405" t="s">
        <v>310</v>
      </c>
      <c r="B7647" s="405" t="s">
        <v>88</v>
      </c>
      <c r="C7647" s="405" t="s">
        <v>327</v>
      </c>
      <c r="D7647" s="405"/>
      <c r="E7647" s="410">
        <v>41004</v>
      </c>
      <c r="F7647" s="410">
        <v>41049</v>
      </c>
      <c r="G7647" s="405" t="s">
        <v>2438</v>
      </c>
      <c r="H7647" s="405">
        <v>774064877</v>
      </c>
      <c r="I7647" s="405"/>
      <c r="J7647" s="405">
        <v>0.42849666666666669</v>
      </c>
      <c r="K7647" s="405">
        <v>32.575393333333331</v>
      </c>
      <c r="L7647" s="405" t="s">
        <v>314</v>
      </c>
      <c r="M7647" s="405" t="s">
        <v>361</v>
      </c>
      <c r="N7647" s="405" t="s">
        <v>362</v>
      </c>
      <c r="O7647" s="405" t="s">
        <v>410</v>
      </c>
      <c r="P7647" s="405" t="s">
        <v>510</v>
      </c>
      <c r="Q7647" s="411">
        <v>12</v>
      </c>
      <c r="R7647" s="405" t="s">
        <v>402</v>
      </c>
      <c r="S7647" s="405" t="s">
        <v>27139</v>
      </c>
      <c r="T7647" s="405" t="s">
        <v>32102</v>
      </c>
      <c r="U7647" s="405" t="s">
        <v>319</v>
      </c>
    </row>
    <row r="7648" spans="1:21" hidden="1" x14ac:dyDescent="0.25">
      <c r="A7648" s="405" t="s">
        <v>310</v>
      </c>
      <c r="B7648" s="405" t="s">
        <v>28875</v>
      </c>
      <c r="C7648" s="405" t="s">
        <v>327</v>
      </c>
      <c r="D7648" s="405"/>
      <c r="E7648" s="410">
        <v>41004</v>
      </c>
      <c r="F7648" s="410">
        <v>41049</v>
      </c>
      <c r="G7648" s="405" t="s">
        <v>20468</v>
      </c>
      <c r="H7648" s="405">
        <v>755590030</v>
      </c>
      <c r="I7648" s="405">
        <v>772590030</v>
      </c>
      <c r="J7648" s="405">
        <v>-0.46913100000000002</v>
      </c>
      <c r="K7648" s="405">
        <v>30.405792000000002</v>
      </c>
      <c r="L7648" s="405" t="s">
        <v>590</v>
      </c>
      <c r="M7648" s="405" t="s">
        <v>19725</v>
      </c>
      <c r="N7648" s="405" t="s">
        <v>19725</v>
      </c>
      <c r="O7648" s="405" t="s">
        <v>20131</v>
      </c>
      <c r="P7648" s="405" t="s">
        <v>20469</v>
      </c>
      <c r="Q7648" s="411">
        <v>9</v>
      </c>
      <c r="R7648" s="405" t="s">
        <v>333</v>
      </c>
      <c r="S7648" s="405" t="s">
        <v>27132</v>
      </c>
      <c r="T7648" s="405" t="s">
        <v>32102</v>
      </c>
      <c r="U7648" s="405" t="s">
        <v>319</v>
      </c>
    </row>
    <row r="7649" spans="1:21" hidden="1" x14ac:dyDescent="0.25">
      <c r="A7649" s="405" t="s">
        <v>310</v>
      </c>
      <c r="B7649" s="405" t="s">
        <v>18305</v>
      </c>
      <c r="C7649" s="405" t="s">
        <v>327</v>
      </c>
      <c r="D7649" s="405"/>
      <c r="E7649" s="410">
        <v>41003</v>
      </c>
      <c r="F7649" s="410">
        <v>41048</v>
      </c>
      <c r="G7649" s="405" t="s">
        <v>18306</v>
      </c>
      <c r="H7649" s="405">
        <v>779888629</v>
      </c>
      <c r="I7649" s="405"/>
      <c r="J7649" s="405">
        <v>2.7009699999999999</v>
      </c>
      <c r="K7649" s="405">
        <v>32.308345000000003</v>
      </c>
      <c r="L7649" s="405" t="s">
        <v>860</v>
      </c>
      <c r="M7649" s="405" t="s">
        <v>853</v>
      </c>
      <c r="N7649" s="405" t="s">
        <v>18241</v>
      </c>
      <c r="O7649" s="405" t="s">
        <v>18307</v>
      </c>
      <c r="P7649" s="405" t="s">
        <v>18308</v>
      </c>
      <c r="Q7649" s="411">
        <v>6</v>
      </c>
      <c r="R7649" s="405" t="s">
        <v>994</v>
      </c>
      <c r="S7649" s="405" t="s">
        <v>27375</v>
      </c>
      <c r="T7649" s="405" t="s">
        <v>32102</v>
      </c>
      <c r="U7649" s="405" t="s">
        <v>319</v>
      </c>
    </row>
    <row r="7650" spans="1:21" hidden="1" x14ac:dyDescent="0.25">
      <c r="A7650" s="405" t="s">
        <v>310</v>
      </c>
      <c r="B7650" s="405" t="s">
        <v>28652</v>
      </c>
      <c r="C7650" s="405" t="s">
        <v>327</v>
      </c>
      <c r="D7650" s="405"/>
      <c r="E7650" s="410">
        <v>41002</v>
      </c>
      <c r="F7650" s="410">
        <v>41047</v>
      </c>
      <c r="G7650" s="405" t="s">
        <v>11313</v>
      </c>
      <c r="H7650" s="405">
        <v>781815827</v>
      </c>
      <c r="I7650" s="405"/>
      <c r="J7650" s="405">
        <v>0.61633389999999999</v>
      </c>
      <c r="K7650" s="405">
        <v>33.479194800000002</v>
      </c>
      <c r="L7650" s="405" t="s">
        <v>6866</v>
      </c>
      <c r="M7650" s="405" t="s">
        <v>10853</v>
      </c>
      <c r="N7650" s="405" t="s">
        <v>10854</v>
      </c>
      <c r="O7650" s="405" t="s">
        <v>10854</v>
      </c>
      <c r="P7650" s="405" t="s">
        <v>11314</v>
      </c>
      <c r="Q7650" s="411">
        <v>12</v>
      </c>
      <c r="R7650" s="405" t="s">
        <v>333</v>
      </c>
      <c r="S7650" s="405" t="s">
        <v>27049</v>
      </c>
      <c r="T7650" s="405" t="s">
        <v>32102</v>
      </c>
      <c r="U7650" s="405" t="s">
        <v>319</v>
      </c>
    </row>
    <row r="7651" spans="1:21" hidden="1" x14ac:dyDescent="0.25">
      <c r="A7651" s="405" t="s">
        <v>310</v>
      </c>
      <c r="B7651" s="405" t="s">
        <v>28682</v>
      </c>
      <c r="C7651" s="405" t="s">
        <v>311</v>
      </c>
      <c r="D7651" s="405" t="s">
        <v>932</v>
      </c>
      <c r="E7651" s="410">
        <v>41002</v>
      </c>
      <c r="F7651" s="410">
        <v>41047</v>
      </c>
      <c r="G7651" s="405" t="s">
        <v>11739</v>
      </c>
      <c r="H7651" s="405">
        <v>779890281</v>
      </c>
      <c r="I7651" s="405"/>
      <c r="J7651" s="405">
        <v>1.5814999999999999</v>
      </c>
      <c r="K7651" s="405">
        <v>33.408312000000002</v>
      </c>
      <c r="L7651" s="405" t="s">
        <v>6866</v>
      </c>
      <c r="M7651" s="405" t="s">
        <v>9658</v>
      </c>
      <c r="N7651" s="405" t="s">
        <v>9658</v>
      </c>
      <c r="O7651" s="405" t="s">
        <v>9659</v>
      </c>
      <c r="P7651" s="405" t="s">
        <v>11740</v>
      </c>
      <c r="Q7651" s="411">
        <v>6</v>
      </c>
      <c r="R7651" s="405" t="s">
        <v>5655</v>
      </c>
      <c r="S7651" s="405" t="s">
        <v>27325</v>
      </c>
      <c r="T7651" s="405" t="s">
        <v>32102</v>
      </c>
      <c r="U7651" s="405" t="s">
        <v>319</v>
      </c>
    </row>
    <row r="7652" spans="1:21" hidden="1" x14ac:dyDescent="0.25">
      <c r="A7652" s="405" t="s">
        <v>310</v>
      </c>
      <c r="B7652" s="405" t="s">
        <v>11304</v>
      </c>
      <c r="C7652" s="405" t="s">
        <v>327</v>
      </c>
      <c r="D7652" s="405"/>
      <c r="E7652" s="410">
        <v>41002</v>
      </c>
      <c r="F7652" s="410">
        <v>41047</v>
      </c>
      <c r="G7652" s="405" t="s">
        <v>11305</v>
      </c>
      <c r="H7652" s="405">
        <v>781483304</v>
      </c>
      <c r="I7652" s="405"/>
      <c r="J7652" s="405">
        <v>1.831442</v>
      </c>
      <c r="K7652" s="405">
        <v>33.715263</v>
      </c>
      <c r="L7652" s="405" t="s">
        <v>6866</v>
      </c>
      <c r="M7652" s="405" t="s">
        <v>10515</v>
      </c>
      <c r="N7652" s="405" t="s">
        <v>10515</v>
      </c>
      <c r="O7652" s="405" t="s">
        <v>10645</v>
      </c>
      <c r="P7652" s="405" t="s">
        <v>11306</v>
      </c>
      <c r="Q7652" s="411">
        <v>6</v>
      </c>
      <c r="R7652" s="405" t="s">
        <v>5655</v>
      </c>
      <c r="S7652" s="405" t="s">
        <v>27325</v>
      </c>
      <c r="T7652" s="405" t="s">
        <v>32102</v>
      </c>
      <c r="U7652" s="405" t="s">
        <v>319</v>
      </c>
    </row>
    <row r="7653" spans="1:21" hidden="1" x14ac:dyDescent="0.25">
      <c r="A7653" s="405" t="s">
        <v>310</v>
      </c>
      <c r="B7653" s="405" t="s">
        <v>29128</v>
      </c>
      <c r="C7653" s="405" t="s">
        <v>327</v>
      </c>
      <c r="D7653" s="405"/>
      <c r="E7653" s="410">
        <v>41002</v>
      </c>
      <c r="F7653" s="410">
        <v>41047</v>
      </c>
      <c r="G7653" s="405" t="s">
        <v>11317</v>
      </c>
      <c r="H7653" s="405">
        <v>782467961</v>
      </c>
      <c r="I7653" s="405"/>
      <c r="J7653" s="405">
        <v>0.910076</v>
      </c>
      <c r="K7653" s="405">
        <v>34.290256999999997</v>
      </c>
      <c r="L7653" s="405" t="s">
        <v>6866</v>
      </c>
      <c r="M7653" s="405" t="s">
        <v>9763</v>
      </c>
      <c r="N7653" s="405" t="s">
        <v>9764</v>
      </c>
      <c r="O7653" s="405" t="s">
        <v>10789</v>
      </c>
      <c r="P7653" s="405" t="s">
        <v>11318</v>
      </c>
      <c r="Q7653" s="411">
        <v>4</v>
      </c>
      <c r="R7653" s="405" t="s">
        <v>7224</v>
      </c>
      <c r="S7653" s="405" t="s">
        <v>27107</v>
      </c>
      <c r="T7653" s="405" t="s">
        <v>32102</v>
      </c>
      <c r="U7653" s="405" t="s">
        <v>319</v>
      </c>
    </row>
    <row r="7654" spans="1:21" hidden="1" x14ac:dyDescent="0.25">
      <c r="A7654" s="405" t="s">
        <v>310</v>
      </c>
      <c r="B7654" s="405" t="s">
        <v>28333</v>
      </c>
      <c r="C7654" s="405" t="s">
        <v>327</v>
      </c>
      <c r="D7654" s="405"/>
      <c r="E7654" s="410">
        <v>41000</v>
      </c>
      <c r="F7654" s="410">
        <v>41045</v>
      </c>
      <c r="G7654" s="405" t="s">
        <v>20457</v>
      </c>
      <c r="H7654" s="405">
        <v>772441820</v>
      </c>
      <c r="I7654" s="405"/>
      <c r="J7654" s="405">
        <v>-0.86001300000000003</v>
      </c>
      <c r="K7654" s="405">
        <v>29.954967</v>
      </c>
      <c r="L7654" s="405" t="s">
        <v>590</v>
      </c>
      <c r="M7654" s="405" t="s">
        <v>19619</v>
      </c>
      <c r="N7654" s="405" t="s">
        <v>19620</v>
      </c>
      <c r="O7654" s="405" t="s">
        <v>2430</v>
      </c>
      <c r="P7654" s="405" t="s">
        <v>20458</v>
      </c>
      <c r="Q7654" s="411">
        <v>9</v>
      </c>
      <c r="R7654" s="405" t="s">
        <v>333</v>
      </c>
      <c r="S7654" s="405" t="s">
        <v>27127</v>
      </c>
      <c r="T7654" s="405" t="s">
        <v>32102</v>
      </c>
      <c r="U7654" s="405" t="s">
        <v>319</v>
      </c>
    </row>
    <row r="7655" spans="1:21" hidden="1" x14ac:dyDescent="0.25">
      <c r="A7655" s="405" t="s">
        <v>310</v>
      </c>
      <c r="B7655" s="405" t="s">
        <v>11301</v>
      </c>
      <c r="C7655" s="405" t="s">
        <v>327</v>
      </c>
      <c r="D7655" s="405"/>
      <c r="E7655" s="410">
        <v>41000</v>
      </c>
      <c r="F7655" s="410">
        <v>41045</v>
      </c>
      <c r="G7655" s="405" t="s">
        <v>11302</v>
      </c>
      <c r="H7655" s="405">
        <v>772862340</v>
      </c>
      <c r="I7655" s="405"/>
      <c r="J7655" s="405">
        <v>1.699225</v>
      </c>
      <c r="K7655" s="405">
        <v>33.688879999999997</v>
      </c>
      <c r="L7655" s="405" t="s">
        <v>6866</v>
      </c>
      <c r="M7655" s="405" t="s">
        <v>10515</v>
      </c>
      <c r="N7655" s="405" t="s">
        <v>10515</v>
      </c>
      <c r="O7655" s="405" t="s">
        <v>10645</v>
      </c>
      <c r="P7655" s="405" t="s">
        <v>11303</v>
      </c>
      <c r="Q7655" s="411">
        <v>6</v>
      </c>
      <c r="R7655" s="405" t="s">
        <v>5655</v>
      </c>
      <c r="S7655" s="405" t="s">
        <v>27325</v>
      </c>
      <c r="T7655" s="405" t="s">
        <v>32102</v>
      </c>
      <c r="U7655" s="405" t="s">
        <v>319</v>
      </c>
    </row>
    <row r="7656" spans="1:21" hidden="1" x14ac:dyDescent="0.25">
      <c r="A7656" s="405" t="s">
        <v>310</v>
      </c>
      <c r="B7656" s="405" t="s">
        <v>2406</v>
      </c>
      <c r="C7656" s="405" t="s">
        <v>327</v>
      </c>
      <c r="D7656" s="405"/>
      <c r="E7656" s="410">
        <v>40999</v>
      </c>
      <c r="F7656" s="410">
        <v>41044</v>
      </c>
      <c r="G7656" s="405" t="s">
        <v>2407</v>
      </c>
      <c r="H7656" s="405">
        <v>712943316</v>
      </c>
      <c r="I7656" s="405"/>
      <c r="J7656" s="405">
        <v>0.39203199999999999</v>
      </c>
      <c r="K7656" s="405">
        <v>32.537219999999998</v>
      </c>
      <c r="L7656" s="405" t="s">
        <v>314</v>
      </c>
      <c r="M7656" s="405" t="s">
        <v>361</v>
      </c>
      <c r="N7656" s="405" t="s">
        <v>362</v>
      </c>
      <c r="O7656" s="405" t="s">
        <v>469</v>
      </c>
      <c r="P7656" s="405" t="s">
        <v>2408</v>
      </c>
      <c r="Q7656" s="411">
        <v>12</v>
      </c>
      <c r="R7656" s="405" t="s">
        <v>318</v>
      </c>
      <c r="S7656" s="405" t="s">
        <v>27113</v>
      </c>
      <c r="T7656" s="405" t="s">
        <v>32102</v>
      </c>
      <c r="U7656" s="405" t="s">
        <v>319</v>
      </c>
    </row>
    <row r="7657" spans="1:21" hidden="1" x14ac:dyDescent="0.25">
      <c r="A7657" s="405" t="s">
        <v>310</v>
      </c>
      <c r="B7657" s="405" t="s">
        <v>2404</v>
      </c>
      <c r="C7657" s="405" t="s">
        <v>327</v>
      </c>
      <c r="D7657" s="405"/>
      <c r="E7657" s="410">
        <v>40999</v>
      </c>
      <c r="F7657" s="410">
        <v>41044</v>
      </c>
      <c r="G7657" s="405" t="s">
        <v>2405</v>
      </c>
      <c r="H7657" s="405">
        <v>772442837</v>
      </c>
      <c r="I7657" s="405">
        <v>782175565</v>
      </c>
      <c r="J7657" s="405">
        <v>8.3832000000000004E-2</v>
      </c>
      <c r="K7657" s="405">
        <v>32.505097999999997</v>
      </c>
      <c r="L7657" s="405" t="s">
        <v>314</v>
      </c>
      <c r="M7657" s="405" t="s">
        <v>361</v>
      </c>
      <c r="N7657" s="405" t="s">
        <v>374</v>
      </c>
      <c r="O7657" s="405" t="s">
        <v>638</v>
      </c>
      <c r="P7657" s="405" t="s">
        <v>1683</v>
      </c>
      <c r="Q7657" s="411">
        <v>9</v>
      </c>
      <c r="R7657" s="405" t="s">
        <v>318</v>
      </c>
      <c r="S7657" s="405" t="s">
        <v>27137</v>
      </c>
      <c r="T7657" s="405" t="s">
        <v>32102</v>
      </c>
      <c r="U7657" s="405" t="s">
        <v>319</v>
      </c>
    </row>
    <row r="7658" spans="1:21" hidden="1" x14ac:dyDescent="0.25">
      <c r="A7658" s="405" t="s">
        <v>310</v>
      </c>
      <c r="B7658" s="405" t="s">
        <v>27468</v>
      </c>
      <c r="C7658" s="405" t="s">
        <v>857</v>
      </c>
      <c r="D7658" s="405" t="s">
        <v>858</v>
      </c>
      <c r="E7658" s="410">
        <v>40999</v>
      </c>
      <c r="F7658" s="410">
        <v>41044</v>
      </c>
      <c r="G7658" s="405" t="s">
        <v>1828</v>
      </c>
      <c r="H7658" s="405">
        <v>752401017</v>
      </c>
      <c r="I7658" s="405"/>
      <c r="J7658" s="405">
        <v>0.69286700000000001</v>
      </c>
      <c r="K7658" s="405">
        <v>32.508102000000001</v>
      </c>
      <c r="L7658" s="405" t="s">
        <v>314</v>
      </c>
      <c r="M7658" s="405" t="s">
        <v>959</v>
      </c>
      <c r="N7658" s="405" t="s">
        <v>1094</v>
      </c>
      <c r="O7658" s="405" t="s">
        <v>1094</v>
      </c>
      <c r="P7658" s="405" t="s">
        <v>1829</v>
      </c>
      <c r="Q7658" s="411">
        <v>6</v>
      </c>
      <c r="R7658" s="405" t="s">
        <v>1263</v>
      </c>
      <c r="S7658" s="405" t="s">
        <v>27041</v>
      </c>
      <c r="T7658" s="405" t="s">
        <v>32102</v>
      </c>
      <c r="U7658" s="405" t="s">
        <v>319</v>
      </c>
    </row>
    <row r="7659" spans="1:21" hidden="1" x14ac:dyDescent="0.25">
      <c r="A7659" s="405" t="s">
        <v>310</v>
      </c>
      <c r="B7659" s="405" t="s">
        <v>3023</v>
      </c>
      <c r="C7659" s="405" t="s">
        <v>311</v>
      </c>
      <c r="D7659" s="405" t="s">
        <v>839</v>
      </c>
      <c r="E7659" s="410">
        <v>40999</v>
      </c>
      <c r="F7659" s="410">
        <v>41044</v>
      </c>
      <c r="G7659" s="405" t="s">
        <v>3024</v>
      </c>
      <c r="H7659" s="405">
        <v>772429717</v>
      </c>
      <c r="I7659" s="405"/>
      <c r="J7659" s="405">
        <v>0.42336499999999999</v>
      </c>
      <c r="K7659" s="405">
        <v>32.536892999999999</v>
      </c>
      <c r="L7659" s="405" t="s">
        <v>314</v>
      </c>
      <c r="M7659" s="405" t="s">
        <v>361</v>
      </c>
      <c r="N7659" s="405" t="s">
        <v>362</v>
      </c>
      <c r="O7659" s="405" t="s">
        <v>469</v>
      </c>
      <c r="P7659" s="405" t="s">
        <v>513</v>
      </c>
      <c r="Q7659" s="411">
        <v>6</v>
      </c>
      <c r="R7659" s="405" t="s">
        <v>353</v>
      </c>
      <c r="S7659" s="405" t="s">
        <v>27034</v>
      </c>
      <c r="T7659" s="405" t="s">
        <v>32102</v>
      </c>
      <c r="U7659" s="405" t="s">
        <v>319</v>
      </c>
    </row>
    <row r="7660" spans="1:21" hidden="1" x14ac:dyDescent="0.25">
      <c r="A7660" s="405" t="s">
        <v>310</v>
      </c>
      <c r="B7660" s="405" t="s">
        <v>2412</v>
      </c>
      <c r="C7660" s="405" t="s">
        <v>327</v>
      </c>
      <c r="D7660" s="405"/>
      <c r="E7660" s="410">
        <v>40999</v>
      </c>
      <c r="F7660" s="410">
        <v>41044</v>
      </c>
      <c r="G7660" s="405" t="s">
        <v>2413</v>
      </c>
      <c r="H7660" s="405">
        <v>772904203</v>
      </c>
      <c r="I7660" s="405"/>
      <c r="J7660" s="405">
        <v>0.89750200000000002</v>
      </c>
      <c r="K7660" s="405">
        <v>32.624220000000001</v>
      </c>
      <c r="L7660" s="405" t="s">
        <v>314</v>
      </c>
      <c r="M7660" s="405" t="s">
        <v>959</v>
      </c>
      <c r="N7660" s="405" t="s">
        <v>1308</v>
      </c>
      <c r="O7660" s="405" t="s">
        <v>2414</v>
      </c>
      <c r="P7660" s="405" t="s">
        <v>814</v>
      </c>
      <c r="Q7660" s="411">
        <v>6</v>
      </c>
      <c r="R7660" s="405" t="s">
        <v>318</v>
      </c>
      <c r="S7660" s="405" t="s">
        <v>27190</v>
      </c>
      <c r="T7660" s="405" t="s">
        <v>32102</v>
      </c>
      <c r="U7660" s="405" t="s">
        <v>319</v>
      </c>
    </row>
    <row r="7661" spans="1:21" hidden="1" x14ac:dyDescent="0.25">
      <c r="A7661" s="405" t="s">
        <v>310</v>
      </c>
      <c r="B7661" s="405" t="s">
        <v>2417</v>
      </c>
      <c r="C7661" s="405" t="s">
        <v>327</v>
      </c>
      <c r="D7661" s="405"/>
      <c r="E7661" s="410">
        <v>40999</v>
      </c>
      <c r="F7661" s="410">
        <v>41044</v>
      </c>
      <c r="G7661" s="405" t="s">
        <v>2418</v>
      </c>
      <c r="H7661" s="405">
        <v>776208207</v>
      </c>
      <c r="I7661" s="405">
        <v>752208207</v>
      </c>
      <c r="J7661" s="405">
        <v>0.26455699999999999</v>
      </c>
      <c r="K7661" s="405">
        <v>32.886937000000003</v>
      </c>
      <c r="L7661" s="405" t="s">
        <v>314</v>
      </c>
      <c r="M7661" s="405" t="s">
        <v>329</v>
      </c>
      <c r="N7661" s="405" t="s">
        <v>803</v>
      </c>
      <c r="O7661" s="405" t="s">
        <v>653</v>
      </c>
      <c r="P7661" s="405" t="s">
        <v>2419</v>
      </c>
      <c r="Q7661" s="411">
        <v>6</v>
      </c>
      <c r="R7661" s="405" t="s">
        <v>353</v>
      </c>
      <c r="S7661" s="405" t="s">
        <v>27129</v>
      </c>
      <c r="T7661" s="405" t="s">
        <v>32102</v>
      </c>
      <c r="U7661" s="405" t="s">
        <v>319</v>
      </c>
    </row>
    <row r="7662" spans="1:21" hidden="1" x14ac:dyDescent="0.25">
      <c r="A7662" s="405" t="s">
        <v>310</v>
      </c>
      <c r="B7662" s="405" t="s">
        <v>2415</v>
      </c>
      <c r="C7662" s="405" t="s">
        <v>327</v>
      </c>
      <c r="D7662" s="405"/>
      <c r="E7662" s="410">
        <v>40999</v>
      </c>
      <c r="F7662" s="410">
        <v>41044</v>
      </c>
      <c r="G7662" s="405" t="s">
        <v>2416</v>
      </c>
      <c r="H7662" s="405">
        <v>703592194</v>
      </c>
      <c r="I7662" s="405"/>
      <c r="J7662" s="405">
        <v>0.53331300000000004</v>
      </c>
      <c r="K7662" s="405">
        <v>32.45805</v>
      </c>
      <c r="L7662" s="405" t="s">
        <v>314</v>
      </c>
      <c r="M7662" s="405" t="s">
        <v>361</v>
      </c>
      <c r="N7662" s="405" t="s">
        <v>362</v>
      </c>
      <c r="O7662" s="405" t="s">
        <v>523</v>
      </c>
      <c r="P7662" s="405" t="s">
        <v>1249</v>
      </c>
      <c r="Q7662" s="411">
        <v>6</v>
      </c>
      <c r="R7662" s="405" t="s">
        <v>353</v>
      </c>
      <c r="S7662" s="405" t="s">
        <v>27108</v>
      </c>
      <c r="T7662" s="405" t="s">
        <v>32102</v>
      </c>
      <c r="U7662" s="405" t="s">
        <v>319</v>
      </c>
    </row>
    <row r="7663" spans="1:21" hidden="1" x14ac:dyDescent="0.25">
      <c r="A7663" s="405" t="s">
        <v>310</v>
      </c>
      <c r="B7663" s="405" t="s">
        <v>2401</v>
      </c>
      <c r="C7663" s="405" t="s">
        <v>327</v>
      </c>
      <c r="D7663" s="405"/>
      <c r="E7663" s="410">
        <v>40999</v>
      </c>
      <c r="F7663" s="410">
        <v>41044</v>
      </c>
      <c r="G7663" s="405" t="s">
        <v>2402</v>
      </c>
      <c r="H7663" s="405">
        <v>772933422</v>
      </c>
      <c r="I7663" s="405"/>
      <c r="J7663" s="405">
        <v>0.71109</v>
      </c>
      <c r="K7663" s="405">
        <v>32.566811999999999</v>
      </c>
      <c r="L7663" s="405" t="s">
        <v>314</v>
      </c>
      <c r="M7663" s="405" t="s">
        <v>959</v>
      </c>
      <c r="N7663" s="405" t="s">
        <v>1094</v>
      </c>
      <c r="O7663" s="405" t="s">
        <v>1094</v>
      </c>
      <c r="P7663" s="405" t="s">
        <v>2403</v>
      </c>
      <c r="Q7663" s="411">
        <v>6</v>
      </c>
      <c r="R7663" s="405" t="s">
        <v>1263</v>
      </c>
      <c r="S7663" s="405" t="s">
        <v>27189</v>
      </c>
      <c r="T7663" s="405" t="s">
        <v>32102</v>
      </c>
      <c r="U7663" s="405" t="s">
        <v>319</v>
      </c>
    </row>
    <row r="7664" spans="1:21" hidden="1" x14ac:dyDescent="0.25">
      <c r="A7664" s="405" t="s">
        <v>310</v>
      </c>
      <c r="B7664" s="405" t="s">
        <v>2420</v>
      </c>
      <c r="C7664" s="405" t="s">
        <v>327</v>
      </c>
      <c r="D7664" s="405"/>
      <c r="E7664" s="410">
        <v>40999</v>
      </c>
      <c r="F7664" s="410">
        <v>41044</v>
      </c>
      <c r="G7664" s="405" t="s">
        <v>2421</v>
      </c>
      <c r="H7664" s="405">
        <v>782352747</v>
      </c>
      <c r="I7664" s="405"/>
      <c r="J7664" s="405">
        <v>0.20288</v>
      </c>
      <c r="K7664" s="405">
        <v>32.808280000000003</v>
      </c>
      <c r="L7664" s="405" t="s">
        <v>314</v>
      </c>
      <c r="M7664" s="405" t="s">
        <v>329</v>
      </c>
      <c r="N7664" s="405" t="s">
        <v>803</v>
      </c>
      <c r="O7664" s="405" t="s">
        <v>909</v>
      </c>
      <c r="P7664" s="405" t="s">
        <v>2422</v>
      </c>
      <c r="Q7664" s="411">
        <v>6</v>
      </c>
      <c r="R7664" s="405" t="s">
        <v>318</v>
      </c>
      <c r="S7664" s="405" t="s">
        <v>27167</v>
      </c>
      <c r="T7664" s="405" t="s">
        <v>32102</v>
      </c>
      <c r="U7664" s="405" t="s">
        <v>319</v>
      </c>
    </row>
    <row r="7665" spans="1:21" hidden="1" x14ac:dyDescent="0.25">
      <c r="A7665" s="405" t="s">
        <v>310</v>
      </c>
      <c r="B7665" s="405" t="s">
        <v>27945</v>
      </c>
      <c r="C7665" s="405" t="s">
        <v>311</v>
      </c>
      <c r="D7665" s="405" t="s">
        <v>839</v>
      </c>
      <c r="E7665" s="410">
        <v>40999</v>
      </c>
      <c r="F7665" s="410">
        <v>41044</v>
      </c>
      <c r="G7665" s="405" t="s">
        <v>2941</v>
      </c>
      <c r="H7665" s="405">
        <v>785848646</v>
      </c>
      <c r="I7665" s="405"/>
      <c r="J7665" s="405">
        <v>0.31974170000000002</v>
      </c>
      <c r="K7665" s="405">
        <v>32.621220600000001</v>
      </c>
      <c r="L7665" s="405" t="s">
        <v>314</v>
      </c>
      <c r="M7665" s="405" t="s">
        <v>361</v>
      </c>
      <c r="N7665" s="405" t="s">
        <v>362</v>
      </c>
      <c r="O7665" s="405" t="s">
        <v>523</v>
      </c>
      <c r="P7665" s="405" t="s">
        <v>2942</v>
      </c>
      <c r="Q7665" s="411">
        <v>4</v>
      </c>
      <c r="R7665" s="405" t="s">
        <v>1263</v>
      </c>
      <c r="S7665" s="405" t="s">
        <v>27039</v>
      </c>
      <c r="T7665" s="405" t="s">
        <v>32102</v>
      </c>
      <c r="U7665" s="405" t="s">
        <v>319</v>
      </c>
    </row>
    <row r="7666" spans="1:21" hidden="1" x14ac:dyDescent="0.25">
      <c r="A7666" s="405" t="s">
        <v>310</v>
      </c>
      <c r="B7666" s="405" t="s">
        <v>2390</v>
      </c>
      <c r="C7666" s="405" t="s">
        <v>327</v>
      </c>
      <c r="D7666" s="405"/>
      <c r="E7666" s="410">
        <v>40999</v>
      </c>
      <c r="F7666" s="410">
        <v>41044</v>
      </c>
      <c r="G7666" s="405" t="s">
        <v>2391</v>
      </c>
      <c r="H7666" s="405">
        <v>772601267</v>
      </c>
      <c r="I7666" s="405"/>
      <c r="J7666" s="405">
        <v>0.51244500000000004</v>
      </c>
      <c r="K7666" s="405">
        <v>32.492906666666663</v>
      </c>
      <c r="L7666" s="405" t="s">
        <v>314</v>
      </c>
      <c r="M7666" s="405" t="s">
        <v>361</v>
      </c>
      <c r="N7666" s="405" t="s">
        <v>362</v>
      </c>
      <c r="O7666" s="405" t="s">
        <v>523</v>
      </c>
      <c r="P7666" s="405" t="s">
        <v>2392</v>
      </c>
      <c r="Q7666" s="411">
        <v>4</v>
      </c>
      <c r="R7666" s="405" t="s">
        <v>1263</v>
      </c>
      <c r="S7666" s="405" t="s">
        <v>27108</v>
      </c>
      <c r="T7666" s="405" t="s">
        <v>32102</v>
      </c>
      <c r="U7666" s="405" t="s">
        <v>319</v>
      </c>
    </row>
    <row r="7667" spans="1:21" hidden="1" x14ac:dyDescent="0.25">
      <c r="A7667" s="405" t="s">
        <v>310</v>
      </c>
      <c r="B7667" s="405" t="s">
        <v>2368</v>
      </c>
      <c r="C7667" s="405" t="s">
        <v>327</v>
      </c>
      <c r="D7667" s="405"/>
      <c r="E7667" s="410">
        <v>40998</v>
      </c>
      <c r="F7667" s="410">
        <v>41043</v>
      </c>
      <c r="G7667" s="405" t="s">
        <v>2369</v>
      </c>
      <c r="H7667" s="405">
        <v>785868293</v>
      </c>
      <c r="I7667" s="405"/>
      <c r="J7667" s="405">
        <v>0.310083</v>
      </c>
      <c r="K7667" s="405">
        <v>32.147500000000001</v>
      </c>
      <c r="L7667" s="405" t="s">
        <v>314</v>
      </c>
      <c r="M7667" s="405" t="s">
        <v>675</v>
      </c>
      <c r="N7667" s="405" t="s">
        <v>676</v>
      </c>
      <c r="O7667" s="405" t="s">
        <v>677</v>
      </c>
      <c r="P7667" s="405" t="s">
        <v>677</v>
      </c>
      <c r="Q7667" s="411">
        <v>6</v>
      </c>
      <c r="R7667" s="405" t="s">
        <v>318</v>
      </c>
      <c r="S7667" s="405" t="s">
        <v>27174</v>
      </c>
      <c r="T7667" s="405" t="s">
        <v>32102</v>
      </c>
      <c r="U7667" s="405" t="s">
        <v>319</v>
      </c>
    </row>
    <row r="7668" spans="1:21" hidden="1" x14ac:dyDescent="0.25">
      <c r="A7668" s="405" t="s">
        <v>310</v>
      </c>
      <c r="B7668" s="405" t="s">
        <v>2364</v>
      </c>
      <c r="C7668" s="405" t="s">
        <v>327</v>
      </c>
      <c r="D7668" s="405"/>
      <c r="E7668" s="410">
        <v>40994</v>
      </c>
      <c r="F7668" s="410">
        <v>41039</v>
      </c>
      <c r="G7668" s="405" t="s">
        <v>2365</v>
      </c>
      <c r="H7668" s="405">
        <v>783166868</v>
      </c>
      <c r="I7668" s="405"/>
      <c r="J7668" s="405">
        <v>0.28133999999999998</v>
      </c>
      <c r="K7668" s="405">
        <v>32.152082999999998</v>
      </c>
      <c r="L7668" s="405" t="s">
        <v>314</v>
      </c>
      <c r="M7668" s="405" t="s">
        <v>675</v>
      </c>
      <c r="N7668" s="405" t="s">
        <v>676</v>
      </c>
      <c r="O7668" s="405" t="s">
        <v>677</v>
      </c>
      <c r="P7668" s="405" t="s">
        <v>2360</v>
      </c>
      <c r="Q7668" s="411">
        <v>9</v>
      </c>
      <c r="R7668" s="405" t="s">
        <v>318</v>
      </c>
      <c r="S7668" s="405" t="s">
        <v>27054</v>
      </c>
      <c r="T7668" s="405" t="s">
        <v>32102</v>
      </c>
      <c r="U7668" s="405" t="s">
        <v>319</v>
      </c>
    </row>
    <row r="7669" spans="1:21" hidden="1" x14ac:dyDescent="0.25">
      <c r="A7669" s="405" t="s">
        <v>310</v>
      </c>
      <c r="B7669" s="405" t="s">
        <v>27512</v>
      </c>
      <c r="C7669" s="405" t="s">
        <v>327</v>
      </c>
      <c r="D7669" s="405"/>
      <c r="E7669" s="410">
        <v>40994</v>
      </c>
      <c r="F7669" s="410">
        <v>41039</v>
      </c>
      <c r="G7669" s="405" t="s">
        <v>11326</v>
      </c>
      <c r="H7669" s="405">
        <v>776390695</v>
      </c>
      <c r="I7669" s="405"/>
      <c r="J7669" s="405">
        <v>1.361945</v>
      </c>
      <c r="K7669" s="405">
        <v>34.390908000000003</v>
      </c>
      <c r="L7669" s="405" t="s">
        <v>6866</v>
      </c>
      <c r="M7669" s="405" t="s">
        <v>9685</v>
      </c>
      <c r="N7669" s="405" t="s">
        <v>9686</v>
      </c>
      <c r="O7669" s="405" t="s">
        <v>9709</v>
      </c>
      <c r="P7669" s="405" t="s">
        <v>11327</v>
      </c>
      <c r="Q7669" s="411">
        <v>6</v>
      </c>
      <c r="R7669" s="405" t="s">
        <v>7224</v>
      </c>
      <c r="S7669" s="405" t="s">
        <v>17013</v>
      </c>
      <c r="T7669" s="405" t="s">
        <v>32102</v>
      </c>
      <c r="U7669" s="405" t="s">
        <v>319</v>
      </c>
    </row>
    <row r="7670" spans="1:21" hidden="1" x14ac:dyDescent="0.25">
      <c r="A7670" s="405" t="s">
        <v>310</v>
      </c>
      <c r="B7670" s="405" t="s">
        <v>2358</v>
      </c>
      <c r="C7670" s="405" t="s">
        <v>327</v>
      </c>
      <c r="D7670" s="405"/>
      <c r="E7670" s="410">
        <v>40993</v>
      </c>
      <c r="F7670" s="410">
        <v>41038</v>
      </c>
      <c r="G7670" s="405" t="s">
        <v>2359</v>
      </c>
      <c r="H7670" s="405">
        <v>772592260</v>
      </c>
      <c r="I7670" s="405"/>
      <c r="J7670" s="405">
        <v>0.27302799999999999</v>
      </c>
      <c r="K7670" s="405">
        <v>32.155473000000001</v>
      </c>
      <c r="L7670" s="405" t="s">
        <v>314</v>
      </c>
      <c r="M7670" s="405" t="s">
        <v>675</v>
      </c>
      <c r="N7670" s="405" t="s">
        <v>676</v>
      </c>
      <c r="O7670" s="405" t="s">
        <v>677</v>
      </c>
      <c r="P7670" s="405" t="s">
        <v>2360</v>
      </c>
      <c r="Q7670" s="411">
        <v>9</v>
      </c>
      <c r="R7670" s="405" t="s">
        <v>318</v>
      </c>
      <c r="S7670" s="405" t="s">
        <v>27135</v>
      </c>
      <c r="T7670" s="405" t="s">
        <v>32102</v>
      </c>
      <c r="U7670" s="405" t="s">
        <v>319</v>
      </c>
    </row>
    <row r="7671" spans="1:21" hidden="1" x14ac:dyDescent="0.25">
      <c r="A7671" s="405" t="s">
        <v>310</v>
      </c>
      <c r="B7671" s="405" t="s">
        <v>28252</v>
      </c>
      <c r="C7671" s="405" t="s">
        <v>857</v>
      </c>
      <c r="D7671" s="405" t="s">
        <v>33097</v>
      </c>
      <c r="E7671" s="410">
        <v>40993</v>
      </c>
      <c r="F7671" s="410">
        <v>41038</v>
      </c>
      <c r="G7671" s="405" t="s">
        <v>2930</v>
      </c>
      <c r="H7671" s="405">
        <v>774110870</v>
      </c>
      <c r="I7671" s="405"/>
      <c r="J7671" s="405">
        <v>0.30885499999999999</v>
      </c>
      <c r="K7671" s="405">
        <v>32.149076999999998</v>
      </c>
      <c r="L7671" s="405" t="s">
        <v>314</v>
      </c>
      <c r="M7671" s="405" t="s">
        <v>675</v>
      </c>
      <c r="N7671" s="405" t="s">
        <v>676</v>
      </c>
      <c r="O7671" s="405" t="s">
        <v>677</v>
      </c>
      <c r="P7671" s="405" t="s">
        <v>677</v>
      </c>
      <c r="Q7671" s="411">
        <v>6</v>
      </c>
      <c r="R7671" s="405" t="s">
        <v>33098</v>
      </c>
      <c r="S7671" s="405" t="s">
        <v>27174</v>
      </c>
      <c r="T7671" s="405" t="s">
        <v>32102</v>
      </c>
      <c r="U7671" s="405" t="s">
        <v>319</v>
      </c>
    </row>
    <row r="7672" spans="1:21" hidden="1" x14ac:dyDescent="0.25">
      <c r="A7672" s="405" t="s">
        <v>310</v>
      </c>
      <c r="B7672" s="405" t="s">
        <v>28261</v>
      </c>
      <c r="C7672" s="405" t="s">
        <v>327</v>
      </c>
      <c r="D7672" s="405"/>
      <c r="E7672" s="410">
        <v>40993</v>
      </c>
      <c r="F7672" s="410">
        <v>41038</v>
      </c>
      <c r="G7672" s="405" t="s">
        <v>2370</v>
      </c>
      <c r="H7672" s="405">
        <v>787347315</v>
      </c>
      <c r="I7672" s="405"/>
      <c r="J7672" s="405">
        <v>0.312747</v>
      </c>
      <c r="K7672" s="405">
        <v>32.154780000000002</v>
      </c>
      <c r="L7672" s="405" t="s">
        <v>314</v>
      </c>
      <c r="M7672" s="405" t="s">
        <v>675</v>
      </c>
      <c r="N7672" s="405" t="s">
        <v>676</v>
      </c>
      <c r="O7672" s="405" t="s">
        <v>677</v>
      </c>
      <c r="P7672" s="405" t="s">
        <v>2371</v>
      </c>
      <c r="Q7672" s="411">
        <v>6</v>
      </c>
      <c r="R7672" s="405" t="s">
        <v>1263</v>
      </c>
      <c r="S7672" s="405" t="s">
        <v>27154</v>
      </c>
      <c r="T7672" s="405" t="s">
        <v>32102</v>
      </c>
      <c r="U7672" s="405" t="s">
        <v>319</v>
      </c>
    </row>
    <row r="7673" spans="1:21" hidden="1" x14ac:dyDescent="0.25">
      <c r="A7673" s="405" t="s">
        <v>310</v>
      </c>
      <c r="B7673" s="405" t="s">
        <v>11331</v>
      </c>
      <c r="C7673" s="405" t="s">
        <v>327</v>
      </c>
      <c r="D7673" s="405"/>
      <c r="E7673" s="410">
        <v>40993</v>
      </c>
      <c r="F7673" s="410">
        <v>41038</v>
      </c>
      <c r="G7673" s="405" t="s">
        <v>11332</v>
      </c>
      <c r="H7673" s="405">
        <v>772191310</v>
      </c>
      <c r="I7673" s="405"/>
      <c r="J7673" s="405">
        <v>0.89759299999999997</v>
      </c>
      <c r="K7673" s="405">
        <v>34.333528999999999</v>
      </c>
      <c r="L7673" s="405" t="s">
        <v>6866</v>
      </c>
      <c r="M7673" s="405" t="s">
        <v>9763</v>
      </c>
      <c r="N7673" s="405" t="s">
        <v>9848</v>
      </c>
      <c r="O7673" s="405" t="s">
        <v>11333</v>
      </c>
      <c r="P7673" s="405" t="s">
        <v>11334</v>
      </c>
      <c r="Q7673" s="411">
        <v>4</v>
      </c>
      <c r="R7673" s="405" t="s">
        <v>7224</v>
      </c>
      <c r="S7673" s="405" t="s">
        <v>27283</v>
      </c>
      <c r="T7673" s="405" t="s">
        <v>32102</v>
      </c>
      <c r="U7673" s="405" t="s">
        <v>319</v>
      </c>
    </row>
    <row r="7674" spans="1:21" hidden="1" x14ac:dyDescent="0.25">
      <c r="A7674" s="405" t="s">
        <v>310</v>
      </c>
      <c r="B7674" s="405" t="s">
        <v>2395</v>
      </c>
      <c r="C7674" s="405" t="s">
        <v>327</v>
      </c>
      <c r="D7674" s="405"/>
      <c r="E7674" s="410">
        <v>40991</v>
      </c>
      <c r="F7674" s="410">
        <v>41036</v>
      </c>
      <c r="G7674" s="405" t="s">
        <v>2396</v>
      </c>
      <c r="H7674" s="405">
        <v>756438339</v>
      </c>
      <c r="I7674" s="405"/>
      <c r="J7674" s="405">
        <v>-0.35402080000000002</v>
      </c>
      <c r="K7674" s="405">
        <v>31.729536599999999</v>
      </c>
      <c r="L7674" s="405" t="s">
        <v>314</v>
      </c>
      <c r="M7674" s="405" t="s">
        <v>382</v>
      </c>
      <c r="N7674" s="405" t="s">
        <v>1199</v>
      </c>
      <c r="O7674" s="405" t="s">
        <v>1514</v>
      </c>
      <c r="P7674" s="405" t="s">
        <v>2397</v>
      </c>
      <c r="Q7674" s="411">
        <v>9</v>
      </c>
      <c r="R7674" s="405" t="s">
        <v>402</v>
      </c>
      <c r="S7674" s="405" t="s">
        <v>27154</v>
      </c>
      <c r="T7674" s="405" t="s">
        <v>32102</v>
      </c>
      <c r="U7674" s="405" t="s">
        <v>319</v>
      </c>
    </row>
    <row r="7675" spans="1:21" hidden="1" x14ac:dyDescent="0.25">
      <c r="A7675" s="405" t="s">
        <v>310</v>
      </c>
      <c r="B7675" s="405" t="s">
        <v>11307</v>
      </c>
      <c r="C7675" s="405" t="s">
        <v>327</v>
      </c>
      <c r="D7675" s="405"/>
      <c r="E7675" s="410">
        <v>40991</v>
      </c>
      <c r="F7675" s="410">
        <v>41036</v>
      </c>
      <c r="G7675" s="405" t="s">
        <v>11308</v>
      </c>
      <c r="H7675" s="405">
        <v>772618900</v>
      </c>
      <c r="I7675" s="405">
        <v>779799336</v>
      </c>
      <c r="J7675" s="405">
        <v>1.8918969999999999</v>
      </c>
      <c r="K7675" s="405">
        <v>33.751905000000001</v>
      </c>
      <c r="L7675" s="405" t="s">
        <v>6866</v>
      </c>
      <c r="M7675" s="405" t="s">
        <v>10495</v>
      </c>
      <c r="N7675" s="405" t="s">
        <v>10495</v>
      </c>
      <c r="O7675" s="405" t="s">
        <v>11255</v>
      </c>
      <c r="P7675" s="405" t="s">
        <v>11309</v>
      </c>
      <c r="Q7675" s="411">
        <v>6</v>
      </c>
      <c r="R7675" s="405" t="s">
        <v>5655</v>
      </c>
      <c r="S7675" s="405" t="s">
        <v>27325</v>
      </c>
      <c r="T7675" s="405" t="s">
        <v>32102</v>
      </c>
      <c r="U7675" s="405" t="s">
        <v>319</v>
      </c>
    </row>
    <row r="7676" spans="1:21" hidden="1" x14ac:dyDescent="0.25">
      <c r="A7676" s="405" t="s">
        <v>310</v>
      </c>
      <c r="B7676" s="405" t="s">
        <v>20432</v>
      </c>
      <c r="C7676" s="405" t="s">
        <v>327</v>
      </c>
      <c r="D7676" s="405"/>
      <c r="E7676" s="410">
        <v>40991</v>
      </c>
      <c r="F7676" s="410">
        <v>41036</v>
      </c>
      <c r="G7676" s="405" t="s">
        <v>20433</v>
      </c>
      <c r="H7676" s="405">
        <v>782603742</v>
      </c>
      <c r="I7676" s="405"/>
      <c r="J7676" s="405">
        <v>-0.56827099999999997</v>
      </c>
      <c r="K7676" s="405">
        <v>30.098628999999999</v>
      </c>
      <c r="L7676" s="405" t="s">
        <v>590</v>
      </c>
      <c r="M7676" s="405" t="s">
        <v>19625</v>
      </c>
      <c r="N7676" s="405" t="s">
        <v>19642</v>
      </c>
      <c r="O7676" s="405" t="s">
        <v>19639</v>
      </c>
      <c r="P7676" s="405" t="s">
        <v>20434</v>
      </c>
      <c r="Q7676" s="411">
        <v>6</v>
      </c>
      <c r="R7676" s="405" t="s">
        <v>874</v>
      </c>
      <c r="S7676" s="405" t="s">
        <v>27173</v>
      </c>
      <c r="T7676" s="405" t="s">
        <v>32102</v>
      </c>
      <c r="U7676" s="405" t="s">
        <v>319</v>
      </c>
    </row>
    <row r="7677" spans="1:21" hidden="1" x14ac:dyDescent="0.25">
      <c r="A7677" s="405" t="s">
        <v>310</v>
      </c>
      <c r="B7677" s="405" t="s">
        <v>27786</v>
      </c>
      <c r="C7677" s="405" t="s">
        <v>327</v>
      </c>
      <c r="D7677" s="405"/>
      <c r="E7677" s="410">
        <v>40990</v>
      </c>
      <c r="F7677" s="410">
        <v>41035</v>
      </c>
      <c r="G7677" s="405" t="s">
        <v>11322</v>
      </c>
      <c r="H7677" s="405">
        <v>702639688</v>
      </c>
      <c r="I7677" s="405"/>
      <c r="J7677" s="405">
        <v>1.212639</v>
      </c>
      <c r="K7677" s="405">
        <v>34.318792000000002</v>
      </c>
      <c r="L7677" s="405" t="s">
        <v>6866</v>
      </c>
      <c r="M7677" s="405" t="s">
        <v>9575</v>
      </c>
      <c r="N7677" s="405" t="s">
        <v>9629</v>
      </c>
      <c r="O7677" s="405" t="s">
        <v>9630</v>
      </c>
      <c r="P7677" s="405" t="s">
        <v>11323</v>
      </c>
      <c r="Q7677" s="411">
        <v>6</v>
      </c>
      <c r="R7677" s="405" t="s">
        <v>9541</v>
      </c>
      <c r="S7677" s="405" t="s">
        <v>27086</v>
      </c>
      <c r="T7677" s="405" t="s">
        <v>32102</v>
      </c>
      <c r="U7677" s="405" t="s">
        <v>319</v>
      </c>
    </row>
    <row r="7678" spans="1:21" hidden="1" x14ac:dyDescent="0.25">
      <c r="A7678" s="405" t="s">
        <v>310</v>
      </c>
      <c r="B7678" s="405" t="s">
        <v>2999</v>
      </c>
      <c r="C7678" s="405" t="s">
        <v>311</v>
      </c>
      <c r="D7678" s="405" t="s">
        <v>1789</v>
      </c>
      <c r="E7678" s="410">
        <v>40990</v>
      </c>
      <c r="F7678" s="410">
        <v>41035</v>
      </c>
      <c r="G7678" s="405" t="s">
        <v>3000</v>
      </c>
      <c r="H7678" s="405">
        <v>754108048</v>
      </c>
      <c r="I7678" s="405"/>
      <c r="J7678" s="405">
        <v>0.35362500000000002</v>
      </c>
      <c r="K7678" s="405">
        <v>32.783586</v>
      </c>
      <c r="L7678" s="405" t="s">
        <v>314</v>
      </c>
      <c r="M7678" s="405" t="s">
        <v>329</v>
      </c>
      <c r="N7678" s="405" t="s">
        <v>803</v>
      </c>
      <c r="O7678" s="405" t="s">
        <v>653</v>
      </c>
      <c r="P7678" s="405" t="s">
        <v>3001</v>
      </c>
      <c r="Q7678" s="411">
        <v>6</v>
      </c>
      <c r="R7678" s="405" t="s">
        <v>318</v>
      </c>
      <c r="S7678" s="405" t="s">
        <v>27148</v>
      </c>
      <c r="T7678" s="405" t="s">
        <v>32102</v>
      </c>
      <c r="U7678" s="405" t="s">
        <v>319</v>
      </c>
    </row>
    <row r="7679" spans="1:21" hidden="1" x14ac:dyDescent="0.25">
      <c r="A7679" s="405" t="s">
        <v>310</v>
      </c>
      <c r="B7679" s="405" t="s">
        <v>11744</v>
      </c>
      <c r="C7679" s="405" t="s">
        <v>311</v>
      </c>
      <c r="D7679" s="405" t="s">
        <v>1789</v>
      </c>
      <c r="E7679" s="410">
        <v>40990</v>
      </c>
      <c r="F7679" s="410">
        <v>41035</v>
      </c>
      <c r="G7679" s="405" t="s">
        <v>11745</v>
      </c>
      <c r="H7679" s="405">
        <v>772503521</v>
      </c>
      <c r="I7679" s="405">
        <v>751503521</v>
      </c>
      <c r="J7679" s="405">
        <v>1.864832</v>
      </c>
      <c r="K7679" s="405">
        <v>33.782102999999999</v>
      </c>
      <c r="L7679" s="405" t="s">
        <v>6866</v>
      </c>
      <c r="M7679" s="405" t="s">
        <v>10495</v>
      </c>
      <c r="N7679" s="405" t="s">
        <v>10495</v>
      </c>
      <c r="O7679" s="405" t="s">
        <v>11255</v>
      </c>
      <c r="P7679" s="405" t="s">
        <v>11256</v>
      </c>
      <c r="Q7679" s="411">
        <v>6</v>
      </c>
      <c r="R7679" s="405" t="s">
        <v>7224</v>
      </c>
      <c r="S7679" s="405" t="s">
        <v>27302</v>
      </c>
      <c r="T7679" s="405" t="s">
        <v>32102</v>
      </c>
      <c r="U7679" s="405" t="s">
        <v>319</v>
      </c>
    </row>
    <row r="7680" spans="1:21" hidden="1" x14ac:dyDescent="0.25">
      <c r="A7680" s="405" t="s">
        <v>310</v>
      </c>
      <c r="B7680" s="405" t="s">
        <v>2960</v>
      </c>
      <c r="C7680" s="405" t="s">
        <v>311</v>
      </c>
      <c r="D7680" s="405" t="s">
        <v>839</v>
      </c>
      <c r="E7680" s="410">
        <v>40989</v>
      </c>
      <c r="F7680" s="410">
        <v>41034</v>
      </c>
      <c r="G7680" s="405" t="s">
        <v>2961</v>
      </c>
      <c r="H7680" s="405">
        <v>753047279</v>
      </c>
      <c r="I7680" s="405"/>
      <c r="J7680" s="405">
        <v>0.49714000000000003</v>
      </c>
      <c r="K7680" s="405">
        <v>32.046014999999997</v>
      </c>
      <c r="L7680" s="405" t="s">
        <v>314</v>
      </c>
      <c r="M7680" s="405" t="s">
        <v>675</v>
      </c>
      <c r="N7680" s="405" t="s">
        <v>2962</v>
      </c>
      <c r="O7680" s="405" t="s">
        <v>1248</v>
      </c>
      <c r="P7680" s="405" t="s">
        <v>2963</v>
      </c>
      <c r="Q7680" s="411">
        <v>9</v>
      </c>
      <c r="R7680" s="405" t="s">
        <v>32476</v>
      </c>
      <c r="S7680" s="405" t="s">
        <v>27036</v>
      </c>
      <c r="T7680" s="405" t="s">
        <v>32102</v>
      </c>
      <c r="U7680" s="405" t="s">
        <v>319</v>
      </c>
    </row>
    <row r="7681" spans="1:21" hidden="1" x14ac:dyDescent="0.25">
      <c r="A7681" s="405" t="s">
        <v>310</v>
      </c>
      <c r="B7681" s="405" t="s">
        <v>2985</v>
      </c>
      <c r="C7681" s="405" t="s">
        <v>311</v>
      </c>
      <c r="D7681" s="405" t="s">
        <v>2986</v>
      </c>
      <c r="E7681" s="410">
        <v>40989</v>
      </c>
      <c r="F7681" s="410">
        <v>41034</v>
      </c>
      <c r="G7681" s="405" t="s">
        <v>2987</v>
      </c>
      <c r="H7681" s="405">
        <v>789691707</v>
      </c>
      <c r="I7681" s="405"/>
      <c r="J7681" s="405">
        <v>0.54771999999999998</v>
      </c>
      <c r="K7681" s="405">
        <v>31.849264999999999</v>
      </c>
      <c r="L7681" s="405" t="s">
        <v>314</v>
      </c>
      <c r="M7681" s="405" t="s">
        <v>445</v>
      </c>
      <c r="N7681" s="405" t="s">
        <v>570</v>
      </c>
      <c r="O7681" s="405" t="s">
        <v>571</v>
      </c>
      <c r="P7681" s="405" t="s">
        <v>2988</v>
      </c>
      <c r="Q7681" s="411">
        <v>6</v>
      </c>
      <c r="R7681" s="405" t="s">
        <v>318</v>
      </c>
      <c r="S7681" s="405" t="s">
        <v>27141</v>
      </c>
      <c r="T7681" s="405" t="s">
        <v>32102</v>
      </c>
      <c r="U7681" s="405" t="s">
        <v>319</v>
      </c>
    </row>
    <row r="7682" spans="1:21" hidden="1" x14ac:dyDescent="0.25">
      <c r="A7682" s="405" t="s">
        <v>310</v>
      </c>
      <c r="B7682" s="405" t="s">
        <v>2423</v>
      </c>
      <c r="C7682" s="405" t="s">
        <v>327</v>
      </c>
      <c r="D7682" s="405"/>
      <c r="E7682" s="410">
        <v>40988</v>
      </c>
      <c r="F7682" s="410">
        <v>41033</v>
      </c>
      <c r="G7682" s="405" t="s">
        <v>2424</v>
      </c>
      <c r="H7682" s="405">
        <v>772610276</v>
      </c>
      <c r="I7682" s="405"/>
      <c r="J7682" s="405">
        <v>0.265461</v>
      </c>
      <c r="K7682" s="405">
        <v>32.819909000000003</v>
      </c>
      <c r="L7682" s="405" t="s">
        <v>314</v>
      </c>
      <c r="M7682" s="405" t="s">
        <v>329</v>
      </c>
      <c r="N7682" s="405" t="s">
        <v>803</v>
      </c>
      <c r="O7682" s="405" t="s">
        <v>653</v>
      </c>
      <c r="P7682" s="405" t="s">
        <v>2425</v>
      </c>
      <c r="Q7682" s="411">
        <v>13</v>
      </c>
      <c r="R7682" s="405" t="s">
        <v>318</v>
      </c>
      <c r="S7682" s="405" t="s">
        <v>6822</v>
      </c>
      <c r="T7682" s="405" t="s">
        <v>32102</v>
      </c>
      <c r="U7682" s="405" t="s">
        <v>319</v>
      </c>
    </row>
    <row r="7683" spans="1:21" hidden="1" x14ac:dyDescent="0.25">
      <c r="A7683" s="405" t="s">
        <v>310</v>
      </c>
      <c r="B7683" s="405" t="s">
        <v>48</v>
      </c>
      <c r="C7683" s="405" t="s">
        <v>327</v>
      </c>
      <c r="D7683" s="405"/>
      <c r="E7683" s="410">
        <v>40988</v>
      </c>
      <c r="F7683" s="410">
        <v>41033</v>
      </c>
      <c r="G7683" s="405" t="s">
        <v>20438</v>
      </c>
      <c r="H7683" s="405">
        <v>787178122</v>
      </c>
      <c r="I7683" s="405"/>
      <c r="J7683" s="405">
        <v>0.14763200000000001</v>
      </c>
      <c r="K7683" s="405">
        <v>30.449465</v>
      </c>
      <c r="L7683" s="405" t="s">
        <v>590</v>
      </c>
      <c r="M7683" s="405" t="s">
        <v>19720</v>
      </c>
      <c r="N7683" s="405" t="s">
        <v>20297</v>
      </c>
      <c r="O7683" s="405" t="s">
        <v>20439</v>
      </c>
      <c r="P7683" s="405" t="s">
        <v>20440</v>
      </c>
      <c r="Q7683" s="411">
        <v>9</v>
      </c>
      <c r="R7683" s="405" t="s">
        <v>883</v>
      </c>
      <c r="S7683" s="405" t="s">
        <v>27183</v>
      </c>
      <c r="T7683" s="405" t="s">
        <v>32102</v>
      </c>
      <c r="U7683" s="405" t="s">
        <v>319</v>
      </c>
    </row>
    <row r="7684" spans="1:21" hidden="1" x14ac:dyDescent="0.25">
      <c r="A7684" s="405" t="s">
        <v>310</v>
      </c>
      <c r="B7684" s="405" t="s">
        <v>18309</v>
      </c>
      <c r="C7684" s="405" t="s">
        <v>327</v>
      </c>
      <c r="D7684" s="405"/>
      <c r="E7684" s="410">
        <v>40988</v>
      </c>
      <c r="F7684" s="410">
        <v>41033</v>
      </c>
      <c r="G7684" s="405" t="s">
        <v>18310</v>
      </c>
      <c r="H7684" s="405">
        <v>772660760</v>
      </c>
      <c r="I7684" s="405">
        <v>782384225</v>
      </c>
      <c r="J7684" s="405">
        <v>2.7366540000000001</v>
      </c>
      <c r="K7684" s="405">
        <v>32.308948000000001</v>
      </c>
      <c r="L7684" s="405" t="s">
        <v>860</v>
      </c>
      <c r="M7684" s="405" t="s">
        <v>853</v>
      </c>
      <c r="N7684" s="405" t="s">
        <v>18311</v>
      </c>
      <c r="O7684" s="405" t="s">
        <v>18307</v>
      </c>
      <c r="P7684" s="405" t="s">
        <v>18312</v>
      </c>
      <c r="Q7684" s="411">
        <v>9</v>
      </c>
      <c r="R7684" s="405" t="s">
        <v>994</v>
      </c>
      <c r="S7684" s="405" t="s">
        <v>27162</v>
      </c>
      <c r="T7684" s="405" t="s">
        <v>32102</v>
      </c>
      <c r="U7684" s="405" t="s">
        <v>319</v>
      </c>
    </row>
    <row r="7685" spans="1:21" hidden="1" x14ac:dyDescent="0.25">
      <c r="A7685" s="405" t="s">
        <v>310</v>
      </c>
      <c r="B7685" s="405" t="s">
        <v>27987</v>
      </c>
      <c r="C7685" s="405" t="s">
        <v>327</v>
      </c>
      <c r="D7685" s="405"/>
      <c r="E7685" s="410">
        <v>40988</v>
      </c>
      <c r="F7685" s="410">
        <v>41033</v>
      </c>
      <c r="G7685" s="405" t="s">
        <v>2380</v>
      </c>
      <c r="H7685" s="405">
        <v>776496690</v>
      </c>
      <c r="I7685" s="405"/>
      <c r="J7685" s="405">
        <v>3.8181E-2</v>
      </c>
      <c r="K7685" s="405">
        <v>32.077401700000003</v>
      </c>
      <c r="L7685" s="405" t="s">
        <v>314</v>
      </c>
      <c r="M7685" s="405" t="s">
        <v>321</v>
      </c>
      <c r="N7685" s="405" t="s">
        <v>322</v>
      </c>
      <c r="O7685" s="405" t="s">
        <v>476</v>
      </c>
      <c r="P7685" s="405" t="s">
        <v>2381</v>
      </c>
      <c r="Q7685" s="411">
        <v>6</v>
      </c>
      <c r="R7685" s="405" t="s">
        <v>318</v>
      </c>
      <c r="S7685" s="405" t="s">
        <v>27135</v>
      </c>
      <c r="T7685" s="405" t="s">
        <v>32102</v>
      </c>
      <c r="U7685" s="405" t="s">
        <v>319</v>
      </c>
    </row>
    <row r="7686" spans="1:21" hidden="1" x14ac:dyDescent="0.25">
      <c r="A7686" s="405" t="s">
        <v>310</v>
      </c>
      <c r="B7686" s="405" t="s">
        <v>11319</v>
      </c>
      <c r="C7686" s="405" t="s">
        <v>327</v>
      </c>
      <c r="D7686" s="405"/>
      <c r="E7686" s="410">
        <v>40988</v>
      </c>
      <c r="F7686" s="410">
        <v>41033</v>
      </c>
      <c r="G7686" s="405" t="s">
        <v>11320</v>
      </c>
      <c r="H7686" s="405">
        <v>787725304</v>
      </c>
      <c r="I7686" s="405"/>
      <c r="J7686" s="405">
        <v>1.0258959999999999</v>
      </c>
      <c r="K7686" s="405">
        <v>34.077407999999998</v>
      </c>
      <c r="L7686" s="405" t="s">
        <v>6866</v>
      </c>
      <c r="M7686" s="405" t="s">
        <v>9566</v>
      </c>
      <c r="N7686" s="405" t="s">
        <v>9931</v>
      </c>
      <c r="O7686" s="405" t="s">
        <v>11178</v>
      </c>
      <c r="P7686" s="405" t="s">
        <v>11321</v>
      </c>
      <c r="Q7686" s="411">
        <v>6</v>
      </c>
      <c r="R7686" s="405" t="s">
        <v>7224</v>
      </c>
      <c r="S7686" s="405" t="s">
        <v>27142</v>
      </c>
      <c r="T7686" s="405" t="s">
        <v>32102</v>
      </c>
      <c r="U7686" s="405" t="s">
        <v>319</v>
      </c>
    </row>
    <row r="7687" spans="1:21" hidden="1" x14ac:dyDescent="0.25">
      <c r="A7687" s="405" t="s">
        <v>310</v>
      </c>
      <c r="B7687" s="405" t="s">
        <v>27683</v>
      </c>
      <c r="C7687" s="405" t="s">
        <v>327</v>
      </c>
      <c r="D7687" s="405"/>
      <c r="E7687" s="410">
        <v>40986</v>
      </c>
      <c r="F7687" s="410">
        <v>41031</v>
      </c>
      <c r="G7687" s="405" t="s">
        <v>20453</v>
      </c>
      <c r="H7687" s="405">
        <v>757477131</v>
      </c>
      <c r="I7687" s="405"/>
      <c r="J7687" s="405">
        <v>1.6408049999999998</v>
      </c>
      <c r="K7687" s="405">
        <v>31.745163333333334</v>
      </c>
      <c r="L7687" s="405" t="s">
        <v>590</v>
      </c>
      <c r="M7687" s="405" t="s">
        <v>19608</v>
      </c>
      <c r="N7687" s="405" t="s">
        <v>19783</v>
      </c>
      <c r="O7687" s="405" t="s">
        <v>19780</v>
      </c>
      <c r="P7687" s="405" t="s">
        <v>20454</v>
      </c>
      <c r="Q7687" s="411">
        <v>9</v>
      </c>
      <c r="R7687" s="405" t="s">
        <v>994</v>
      </c>
      <c r="S7687" s="405" t="s">
        <v>27407</v>
      </c>
      <c r="T7687" s="405" t="s">
        <v>32102</v>
      </c>
      <c r="U7687" s="405" t="s">
        <v>319</v>
      </c>
    </row>
    <row r="7688" spans="1:21" hidden="1" x14ac:dyDescent="0.25">
      <c r="A7688" s="405" t="s">
        <v>310</v>
      </c>
      <c r="B7688" s="405" t="s">
        <v>85</v>
      </c>
      <c r="C7688" s="405" t="s">
        <v>327</v>
      </c>
      <c r="D7688" s="405"/>
      <c r="E7688" s="410">
        <v>40986</v>
      </c>
      <c r="F7688" s="410">
        <v>41031</v>
      </c>
      <c r="G7688" s="405" t="s">
        <v>2357</v>
      </c>
      <c r="H7688" s="405">
        <v>774045331</v>
      </c>
      <c r="I7688" s="405"/>
      <c r="J7688" s="405">
        <v>0.10956200000000001</v>
      </c>
      <c r="K7688" s="405">
        <v>31.988012999999999</v>
      </c>
      <c r="L7688" s="405" t="s">
        <v>314</v>
      </c>
      <c r="M7688" s="405" t="s">
        <v>315</v>
      </c>
      <c r="N7688" s="405" t="s">
        <v>315</v>
      </c>
      <c r="O7688" s="405" t="s">
        <v>671</v>
      </c>
      <c r="P7688" s="405" t="s">
        <v>2259</v>
      </c>
      <c r="Q7688" s="411">
        <v>6</v>
      </c>
      <c r="R7688" s="405" t="s">
        <v>438</v>
      </c>
      <c r="S7688" s="405" t="s">
        <v>27131</v>
      </c>
      <c r="T7688" s="405" t="s">
        <v>32102</v>
      </c>
      <c r="U7688" s="405" t="s">
        <v>319</v>
      </c>
    </row>
    <row r="7689" spans="1:21" hidden="1" x14ac:dyDescent="0.25">
      <c r="A7689" s="405" t="s">
        <v>310</v>
      </c>
      <c r="B7689" s="405" t="s">
        <v>11293</v>
      </c>
      <c r="C7689" s="405" t="s">
        <v>327</v>
      </c>
      <c r="D7689" s="405"/>
      <c r="E7689" s="410">
        <v>40985</v>
      </c>
      <c r="F7689" s="410">
        <v>41030</v>
      </c>
      <c r="G7689" s="405" t="s">
        <v>11294</v>
      </c>
      <c r="H7689" s="405">
        <v>782511333</v>
      </c>
      <c r="I7689" s="405"/>
      <c r="J7689" s="405">
        <v>0.74640700000000004</v>
      </c>
      <c r="K7689" s="405">
        <v>34.214745999999998</v>
      </c>
      <c r="L7689" s="405" t="s">
        <v>6866</v>
      </c>
      <c r="M7689" s="405" t="s">
        <v>9534</v>
      </c>
      <c r="N7689" s="405" t="s">
        <v>10191</v>
      </c>
      <c r="O7689" s="405" t="s">
        <v>10192</v>
      </c>
      <c r="P7689" s="405" t="s">
        <v>11295</v>
      </c>
      <c r="Q7689" s="411">
        <v>6</v>
      </c>
      <c r="R7689" s="405" t="s">
        <v>7224</v>
      </c>
      <c r="S7689" s="405" t="s">
        <v>27309</v>
      </c>
      <c r="T7689" s="405" t="s">
        <v>32102</v>
      </c>
      <c r="U7689" s="405" t="s">
        <v>319</v>
      </c>
    </row>
    <row r="7690" spans="1:21" hidden="1" x14ac:dyDescent="0.25">
      <c r="A7690" s="405" t="s">
        <v>310</v>
      </c>
      <c r="B7690" s="405" t="s">
        <v>2343</v>
      </c>
      <c r="C7690" s="405" t="s">
        <v>327</v>
      </c>
      <c r="D7690" s="405"/>
      <c r="E7690" s="410">
        <v>40983</v>
      </c>
      <c r="F7690" s="410">
        <v>41028</v>
      </c>
      <c r="G7690" s="405" t="s">
        <v>2344</v>
      </c>
      <c r="H7690" s="405">
        <v>771694977</v>
      </c>
      <c r="I7690" s="405"/>
      <c r="J7690" s="405">
        <v>-0.24374699999999999</v>
      </c>
      <c r="K7690" s="405">
        <v>31.653832000000001</v>
      </c>
      <c r="L7690" s="405" t="s">
        <v>314</v>
      </c>
      <c r="M7690" s="405" t="s">
        <v>1080</v>
      </c>
      <c r="N7690" s="405" t="s">
        <v>1080</v>
      </c>
      <c r="O7690" s="405" t="s">
        <v>1082</v>
      </c>
      <c r="P7690" s="405" t="s">
        <v>1802</v>
      </c>
      <c r="Q7690" s="411">
        <v>9</v>
      </c>
      <c r="R7690" s="405" t="s">
        <v>333</v>
      </c>
      <c r="S7690" s="405" t="s">
        <v>27112</v>
      </c>
      <c r="T7690" s="405" t="s">
        <v>32102</v>
      </c>
      <c r="U7690" s="405" t="s">
        <v>319</v>
      </c>
    </row>
    <row r="7691" spans="1:21" hidden="1" x14ac:dyDescent="0.25">
      <c r="A7691" s="405" t="s">
        <v>310</v>
      </c>
      <c r="B7691" s="405" t="s">
        <v>28919</v>
      </c>
      <c r="C7691" s="405" t="s">
        <v>327</v>
      </c>
      <c r="D7691" s="405"/>
      <c r="E7691" s="410">
        <v>40982</v>
      </c>
      <c r="F7691" s="410">
        <v>41027</v>
      </c>
      <c r="G7691" s="405" t="s">
        <v>11254</v>
      </c>
      <c r="H7691" s="405">
        <v>776077009</v>
      </c>
      <c r="I7691" s="405"/>
      <c r="J7691" s="405">
        <v>1.8621430000000001</v>
      </c>
      <c r="K7691" s="405">
        <v>33.787750000000003</v>
      </c>
      <c r="L7691" s="405" t="s">
        <v>6866</v>
      </c>
      <c r="M7691" s="405" t="s">
        <v>10495</v>
      </c>
      <c r="N7691" s="405" t="s">
        <v>10495</v>
      </c>
      <c r="O7691" s="405" t="s">
        <v>11255</v>
      </c>
      <c r="P7691" s="405" t="s">
        <v>11256</v>
      </c>
      <c r="Q7691" s="411">
        <v>9</v>
      </c>
      <c r="R7691" s="405" t="s">
        <v>7224</v>
      </c>
      <c r="S7691" s="405" t="s">
        <v>27142</v>
      </c>
      <c r="T7691" s="405" t="s">
        <v>32102</v>
      </c>
      <c r="U7691" s="405" t="s">
        <v>319</v>
      </c>
    </row>
    <row r="7692" spans="1:21" hidden="1" x14ac:dyDescent="0.25">
      <c r="A7692" s="405" t="s">
        <v>310</v>
      </c>
      <c r="B7692" s="405" t="s">
        <v>11241</v>
      </c>
      <c r="C7692" s="405" t="s">
        <v>327</v>
      </c>
      <c r="D7692" s="405"/>
      <c r="E7692" s="410">
        <v>40982</v>
      </c>
      <c r="F7692" s="410">
        <v>41027</v>
      </c>
      <c r="G7692" s="405" t="s">
        <v>11242</v>
      </c>
      <c r="H7692" s="405">
        <v>787783085</v>
      </c>
      <c r="I7692" s="405">
        <v>792499804</v>
      </c>
      <c r="J7692" s="405">
        <v>1.093423</v>
      </c>
      <c r="K7692" s="405">
        <v>34.200898000000002</v>
      </c>
      <c r="L7692" s="405" t="s">
        <v>6866</v>
      </c>
      <c r="M7692" s="405" t="s">
        <v>9514</v>
      </c>
      <c r="N7692" s="405" t="s">
        <v>9529</v>
      </c>
      <c r="O7692" s="405" t="s">
        <v>9530</v>
      </c>
      <c r="P7692" s="405" t="s">
        <v>11243</v>
      </c>
      <c r="Q7692" s="411">
        <v>6</v>
      </c>
      <c r="R7692" s="405" t="s">
        <v>7224</v>
      </c>
      <c r="S7692" s="405" t="s">
        <v>27306</v>
      </c>
      <c r="T7692" s="405" t="s">
        <v>32102</v>
      </c>
      <c r="U7692" s="405" t="s">
        <v>319</v>
      </c>
    </row>
    <row r="7693" spans="1:21" hidden="1" x14ac:dyDescent="0.25">
      <c r="A7693" s="405" t="s">
        <v>310</v>
      </c>
      <c r="B7693" s="405" t="s">
        <v>2316</v>
      </c>
      <c r="C7693" s="405" t="s">
        <v>327</v>
      </c>
      <c r="D7693" s="405"/>
      <c r="E7693" s="410">
        <v>40982</v>
      </c>
      <c r="F7693" s="410">
        <v>41027</v>
      </c>
      <c r="G7693" s="405" t="s">
        <v>2317</v>
      </c>
      <c r="H7693" s="405">
        <v>781014660</v>
      </c>
      <c r="I7693" s="405">
        <v>788959731</v>
      </c>
      <c r="J7693" s="405">
        <v>0.112148</v>
      </c>
      <c r="K7693" s="405">
        <v>31.989262</v>
      </c>
      <c r="L7693" s="405" t="s">
        <v>314</v>
      </c>
      <c r="M7693" s="405" t="s">
        <v>315</v>
      </c>
      <c r="N7693" s="405" t="s">
        <v>315</v>
      </c>
      <c r="O7693" s="405" t="s">
        <v>671</v>
      </c>
      <c r="P7693" s="405" t="s">
        <v>2259</v>
      </c>
      <c r="Q7693" s="411">
        <v>6</v>
      </c>
      <c r="R7693" s="405" t="s">
        <v>438</v>
      </c>
      <c r="S7693" s="405" t="s">
        <v>27131</v>
      </c>
      <c r="T7693" s="405" t="s">
        <v>32102</v>
      </c>
      <c r="U7693" s="405" t="s">
        <v>319</v>
      </c>
    </row>
    <row r="7694" spans="1:21" hidden="1" x14ac:dyDescent="0.25">
      <c r="A7694" s="405" t="s">
        <v>310</v>
      </c>
      <c r="B7694" s="405" t="s">
        <v>11280</v>
      </c>
      <c r="C7694" s="405" t="s">
        <v>327</v>
      </c>
      <c r="D7694" s="405"/>
      <c r="E7694" s="410">
        <v>40981</v>
      </c>
      <c r="F7694" s="410">
        <v>41026</v>
      </c>
      <c r="G7694" s="405" t="s">
        <v>11281</v>
      </c>
      <c r="H7694" s="405">
        <v>774934020</v>
      </c>
      <c r="I7694" s="405"/>
      <c r="J7694" s="405">
        <v>1.112838</v>
      </c>
      <c r="K7694" s="405">
        <v>33.869660000000003</v>
      </c>
      <c r="L7694" s="405" t="s">
        <v>6866</v>
      </c>
      <c r="M7694" s="405" t="s">
        <v>10152</v>
      </c>
      <c r="N7694" s="405" t="s">
        <v>10153</v>
      </c>
      <c r="O7694" s="405" t="s">
        <v>4432</v>
      </c>
      <c r="P7694" s="405" t="s">
        <v>11282</v>
      </c>
      <c r="Q7694" s="411">
        <v>4</v>
      </c>
      <c r="R7694" s="405" t="s">
        <v>9541</v>
      </c>
      <c r="S7694" s="405" t="s">
        <v>27317</v>
      </c>
      <c r="T7694" s="405" t="s">
        <v>32102</v>
      </c>
      <c r="U7694" s="405" t="s">
        <v>319</v>
      </c>
    </row>
    <row r="7695" spans="1:21" hidden="1" x14ac:dyDescent="0.25">
      <c r="A7695" s="405" t="s">
        <v>310</v>
      </c>
      <c r="B7695" s="405" t="s">
        <v>2873</v>
      </c>
      <c r="C7695" s="405" t="s">
        <v>327</v>
      </c>
      <c r="D7695" s="405"/>
      <c r="E7695" s="410">
        <v>40980</v>
      </c>
      <c r="F7695" s="410">
        <v>41025</v>
      </c>
      <c r="G7695" s="405" t="s">
        <v>2874</v>
      </c>
      <c r="H7695" s="405">
        <v>772466109</v>
      </c>
      <c r="I7695" s="405"/>
      <c r="J7695" s="405">
        <v>-0.27427200000000002</v>
      </c>
      <c r="K7695" s="405">
        <v>31.650793</v>
      </c>
      <c r="L7695" s="405" t="s">
        <v>314</v>
      </c>
      <c r="M7695" s="405" t="s">
        <v>382</v>
      </c>
      <c r="N7695" s="405" t="s">
        <v>2875</v>
      </c>
      <c r="O7695" s="405" t="s">
        <v>2876</v>
      </c>
      <c r="P7695" s="405" t="s">
        <v>2877</v>
      </c>
      <c r="Q7695" s="411">
        <v>9</v>
      </c>
      <c r="R7695" s="405" t="s">
        <v>402</v>
      </c>
      <c r="S7695" s="405" t="s">
        <v>27164</v>
      </c>
      <c r="T7695" s="405" t="s">
        <v>32102</v>
      </c>
      <c r="U7695" s="405" t="s">
        <v>319</v>
      </c>
    </row>
    <row r="7696" spans="1:21" hidden="1" x14ac:dyDescent="0.25">
      <c r="A7696" s="405" t="s">
        <v>310</v>
      </c>
      <c r="B7696" s="405" t="s">
        <v>2330</v>
      </c>
      <c r="C7696" s="405" t="s">
        <v>327</v>
      </c>
      <c r="D7696" s="405"/>
      <c r="E7696" s="410">
        <v>40980</v>
      </c>
      <c r="F7696" s="410">
        <v>41025</v>
      </c>
      <c r="G7696" s="405" t="s">
        <v>2331</v>
      </c>
      <c r="H7696" s="405">
        <v>772524840</v>
      </c>
      <c r="I7696" s="405">
        <v>773100240</v>
      </c>
      <c r="J7696" s="405">
        <v>-0.41800199999999998</v>
      </c>
      <c r="K7696" s="405">
        <v>31.319120000000002</v>
      </c>
      <c r="L7696" s="405" t="s">
        <v>314</v>
      </c>
      <c r="M7696" s="405" t="s">
        <v>1189</v>
      </c>
      <c r="N7696" s="405" t="s">
        <v>1476</v>
      </c>
      <c r="O7696" s="405" t="s">
        <v>1477</v>
      </c>
      <c r="P7696" s="405" t="s">
        <v>2332</v>
      </c>
      <c r="Q7696" s="411">
        <v>9</v>
      </c>
      <c r="R7696" s="405" t="s">
        <v>525</v>
      </c>
      <c r="S7696" s="405" t="s">
        <v>27112</v>
      </c>
      <c r="T7696" s="405" t="s">
        <v>32102</v>
      </c>
      <c r="U7696" s="405" t="s">
        <v>319</v>
      </c>
    </row>
    <row r="7697" spans="1:21" hidden="1" x14ac:dyDescent="0.25">
      <c r="A7697" s="405" t="s">
        <v>310</v>
      </c>
      <c r="B7697" s="405" t="s">
        <v>2337</v>
      </c>
      <c r="C7697" s="405" t="s">
        <v>327</v>
      </c>
      <c r="D7697" s="405"/>
      <c r="E7697" s="410">
        <v>40980</v>
      </c>
      <c r="F7697" s="410">
        <v>41025</v>
      </c>
      <c r="G7697" s="405" t="s">
        <v>2338</v>
      </c>
      <c r="H7697" s="405">
        <v>772992127</v>
      </c>
      <c r="I7697" s="405"/>
      <c r="J7697" s="405">
        <v>-0.218642</v>
      </c>
      <c r="K7697" s="405">
        <v>31.843612</v>
      </c>
      <c r="L7697" s="405" t="s">
        <v>314</v>
      </c>
      <c r="M7697" s="405" t="s">
        <v>900</v>
      </c>
      <c r="N7697" s="405" t="s">
        <v>1119</v>
      </c>
      <c r="O7697" s="405" t="s">
        <v>1302</v>
      </c>
      <c r="P7697" s="405" t="s">
        <v>2339</v>
      </c>
      <c r="Q7697" s="411">
        <v>6</v>
      </c>
      <c r="R7697" s="405" t="s">
        <v>402</v>
      </c>
      <c r="S7697" s="405" t="s">
        <v>27139</v>
      </c>
      <c r="T7697" s="405" t="s">
        <v>32102</v>
      </c>
      <c r="U7697" s="405" t="s">
        <v>319</v>
      </c>
    </row>
    <row r="7698" spans="1:21" hidden="1" x14ac:dyDescent="0.25">
      <c r="A7698" s="405" t="s">
        <v>310</v>
      </c>
      <c r="B7698" s="405" t="s">
        <v>11289</v>
      </c>
      <c r="C7698" s="405" t="s">
        <v>327</v>
      </c>
      <c r="D7698" s="405"/>
      <c r="E7698" s="410">
        <v>40978</v>
      </c>
      <c r="F7698" s="410">
        <v>41023</v>
      </c>
      <c r="G7698" s="405" t="s">
        <v>11290</v>
      </c>
      <c r="H7698" s="405">
        <v>782261057</v>
      </c>
      <c r="I7698" s="405"/>
      <c r="J7698" s="405">
        <v>0.920207</v>
      </c>
      <c r="K7698" s="405">
        <v>34.328169000000003</v>
      </c>
      <c r="L7698" s="405" t="s">
        <v>6866</v>
      </c>
      <c r="M7698" s="405" t="s">
        <v>9763</v>
      </c>
      <c r="N7698" s="405" t="s">
        <v>9848</v>
      </c>
      <c r="O7698" s="405" t="s">
        <v>11291</v>
      </c>
      <c r="P7698" s="405" t="s">
        <v>11292</v>
      </c>
      <c r="Q7698" s="411">
        <v>4</v>
      </c>
      <c r="R7698" s="405" t="s">
        <v>7224</v>
      </c>
      <c r="S7698" s="405" t="s">
        <v>27316</v>
      </c>
      <c r="T7698" s="405" t="s">
        <v>32102</v>
      </c>
      <c r="U7698" s="405" t="s">
        <v>319</v>
      </c>
    </row>
    <row r="7699" spans="1:21" hidden="1" x14ac:dyDescent="0.25">
      <c r="A7699" s="405" t="s">
        <v>310</v>
      </c>
      <c r="B7699" s="405" t="s">
        <v>11277</v>
      </c>
      <c r="C7699" s="405" t="s">
        <v>327</v>
      </c>
      <c r="D7699" s="405"/>
      <c r="E7699" s="410">
        <v>40978</v>
      </c>
      <c r="F7699" s="410">
        <v>41023</v>
      </c>
      <c r="G7699" s="405" t="s">
        <v>11278</v>
      </c>
      <c r="H7699" s="405">
        <v>775457979</v>
      </c>
      <c r="I7699" s="405"/>
      <c r="J7699" s="405">
        <v>0.91301100000000002</v>
      </c>
      <c r="K7699" s="405">
        <v>34.285938000000002</v>
      </c>
      <c r="L7699" s="405" t="s">
        <v>6866</v>
      </c>
      <c r="M7699" s="405" t="s">
        <v>9763</v>
      </c>
      <c r="N7699" s="405" t="s">
        <v>9764</v>
      </c>
      <c r="O7699" s="405" t="s">
        <v>9792</v>
      </c>
      <c r="P7699" s="405" t="s">
        <v>11279</v>
      </c>
      <c r="Q7699" s="411">
        <v>4</v>
      </c>
      <c r="R7699" s="405" t="s">
        <v>7224</v>
      </c>
      <c r="S7699" s="405" t="s">
        <v>27304</v>
      </c>
      <c r="T7699" s="405" t="s">
        <v>32102</v>
      </c>
      <c r="U7699" s="405" t="s">
        <v>319</v>
      </c>
    </row>
    <row r="7700" spans="1:21" hidden="1" x14ac:dyDescent="0.25">
      <c r="A7700" s="405" t="s">
        <v>310</v>
      </c>
      <c r="B7700" s="405" t="s">
        <v>11249</v>
      </c>
      <c r="C7700" s="405" t="s">
        <v>327</v>
      </c>
      <c r="D7700" s="405"/>
      <c r="E7700" s="410">
        <v>40977</v>
      </c>
      <c r="F7700" s="410">
        <v>41022</v>
      </c>
      <c r="G7700" s="405" t="s">
        <v>11250</v>
      </c>
      <c r="H7700" s="405">
        <v>700472273</v>
      </c>
      <c r="I7700" s="405"/>
      <c r="J7700" s="405">
        <v>1.3572850000000001</v>
      </c>
      <c r="K7700" s="405">
        <v>34.391452999999998</v>
      </c>
      <c r="L7700" s="405" t="s">
        <v>6866</v>
      </c>
      <c r="M7700" s="405" t="s">
        <v>9685</v>
      </c>
      <c r="N7700" s="405" t="s">
        <v>9686</v>
      </c>
      <c r="O7700" s="405" t="s">
        <v>9709</v>
      </c>
      <c r="P7700" s="405" t="s">
        <v>11251</v>
      </c>
      <c r="Q7700" s="411">
        <v>6</v>
      </c>
      <c r="R7700" s="405" t="s">
        <v>7224</v>
      </c>
      <c r="S7700" s="405" t="s">
        <v>27302</v>
      </c>
      <c r="T7700" s="405" t="s">
        <v>32102</v>
      </c>
      <c r="U7700" s="405" t="s">
        <v>319</v>
      </c>
    </row>
    <row r="7701" spans="1:21" hidden="1" x14ac:dyDescent="0.25">
      <c r="A7701" s="405" t="s">
        <v>310</v>
      </c>
      <c r="B7701" s="405" t="s">
        <v>11252</v>
      </c>
      <c r="C7701" s="405" t="s">
        <v>327</v>
      </c>
      <c r="D7701" s="405"/>
      <c r="E7701" s="410">
        <v>40974</v>
      </c>
      <c r="F7701" s="410">
        <v>41019</v>
      </c>
      <c r="G7701" s="405" t="s">
        <v>11253</v>
      </c>
      <c r="H7701" s="405">
        <v>755517016</v>
      </c>
      <c r="I7701" s="405"/>
      <c r="J7701" s="405">
        <v>0.73367099999999996</v>
      </c>
      <c r="K7701" s="405">
        <v>33.892228000000003</v>
      </c>
      <c r="L7701" s="405" t="s">
        <v>6866</v>
      </c>
      <c r="M7701" s="405" t="s">
        <v>9566</v>
      </c>
      <c r="N7701" s="405" t="s">
        <v>9787</v>
      </c>
      <c r="O7701" s="405" t="s">
        <v>9788</v>
      </c>
      <c r="P7701" s="405" t="s">
        <v>10626</v>
      </c>
      <c r="Q7701" s="411">
        <v>6</v>
      </c>
      <c r="R7701" s="405" t="s">
        <v>7224</v>
      </c>
      <c r="S7701" s="405" t="s">
        <v>27107</v>
      </c>
      <c r="T7701" s="405" t="s">
        <v>32102</v>
      </c>
      <c r="U7701" s="405" t="s">
        <v>319</v>
      </c>
    </row>
    <row r="7702" spans="1:21" hidden="1" x14ac:dyDescent="0.25">
      <c r="A7702" s="405" t="s">
        <v>310</v>
      </c>
      <c r="B7702" s="405" t="s">
        <v>2328</v>
      </c>
      <c r="C7702" s="405" t="s">
        <v>327</v>
      </c>
      <c r="D7702" s="405"/>
      <c r="E7702" s="410">
        <v>40973</v>
      </c>
      <c r="F7702" s="410">
        <v>41018</v>
      </c>
      <c r="G7702" s="405" t="s">
        <v>2329</v>
      </c>
      <c r="H7702" s="405">
        <v>703681081</v>
      </c>
      <c r="I7702" s="405"/>
      <c r="J7702" s="405">
        <v>-0.72931199999999996</v>
      </c>
      <c r="K7702" s="405">
        <v>31.580469999999998</v>
      </c>
      <c r="L7702" s="405" t="s">
        <v>314</v>
      </c>
      <c r="M7702" s="405" t="s">
        <v>398</v>
      </c>
      <c r="N7702" s="405" t="s">
        <v>399</v>
      </c>
      <c r="O7702" s="405" t="s">
        <v>1585</v>
      </c>
      <c r="P7702" s="405" t="s">
        <v>401</v>
      </c>
      <c r="Q7702" s="411">
        <v>13</v>
      </c>
      <c r="R7702" s="405" t="s">
        <v>402</v>
      </c>
      <c r="S7702" s="405" t="s">
        <v>27052</v>
      </c>
      <c r="T7702" s="405" t="s">
        <v>32102</v>
      </c>
      <c r="U7702" s="405" t="s">
        <v>319</v>
      </c>
    </row>
    <row r="7703" spans="1:21" hidden="1" x14ac:dyDescent="0.25">
      <c r="A7703" s="405" t="s">
        <v>310</v>
      </c>
      <c r="B7703" s="405" t="s">
        <v>2340</v>
      </c>
      <c r="C7703" s="405" t="s">
        <v>327</v>
      </c>
      <c r="D7703" s="405"/>
      <c r="E7703" s="410">
        <v>40973</v>
      </c>
      <c r="F7703" s="410">
        <v>41018</v>
      </c>
      <c r="G7703" s="405" t="s">
        <v>2341</v>
      </c>
      <c r="H7703" s="405">
        <v>772493791</v>
      </c>
      <c r="I7703" s="405"/>
      <c r="J7703" s="405">
        <v>0.33259300000000003</v>
      </c>
      <c r="K7703" s="405">
        <v>32.100141999999998</v>
      </c>
      <c r="L7703" s="405" t="s">
        <v>314</v>
      </c>
      <c r="M7703" s="405" t="s">
        <v>675</v>
      </c>
      <c r="N7703" s="405" t="s">
        <v>676</v>
      </c>
      <c r="O7703" s="405" t="s">
        <v>2342</v>
      </c>
      <c r="P7703" s="405" t="s">
        <v>1357</v>
      </c>
      <c r="Q7703" s="411">
        <v>9</v>
      </c>
      <c r="R7703" s="405" t="s">
        <v>32476</v>
      </c>
      <c r="S7703" s="405" t="s">
        <v>27184</v>
      </c>
      <c r="T7703" s="405" t="s">
        <v>32102</v>
      </c>
      <c r="U7703" s="405" t="s">
        <v>319</v>
      </c>
    </row>
    <row r="7704" spans="1:21" hidden="1" x14ac:dyDescent="0.25">
      <c r="A7704" s="405" t="s">
        <v>310</v>
      </c>
      <c r="B7704" s="405" t="s">
        <v>11283</v>
      </c>
      <c r="C7704" s="405" t="s">
        <v>327</v>
      </c>
      <c r="D7704" s="405"/>
      <c r="E7704" s="410">
        <v>40973</v>
      </c>
      <c r="F7704" s="410">
        <v>41018</v>
      </c>
      <c r="G7704" s="405" t="s">
        <v>11284</v>
      </c>
      <c r="H7704" s="405">
        <v>774917424</v>
      </c>
      <c r="I7704" s="405"/>
      <c r="J7704" s="405">
        <v>1.2625219999999999</v>
      </c>
      <c r="K7704" s="405">
        <v>33.743372999999998</v>
      </c>
      <c r="L7704" s="405" t="s">
        <v>6866</v>
      </c>
      <c r="M7704" s="405" t="s">
        <v>9509</v>
      </c>
      <c r="N7704" s="405" t="s">
        <v>10036</v>
      </c>
      <c r="O7704" s="405" t="s">
        <v>11285</v>
      </c>
      <c r="P7704" s="405" t="s">
        <v>11285</v>
      </c>
      <c r="Q7704" s="411">
        <v>6</v>
      </c>
      <c r="R7704" s="405" t="s">
        <v>9541</v>
      </c>
      <c r="S7704" s="405" t="s">
        <v>27315</v>
      </c>
      <c r="T7704" s="405" t="s">
        <v>32102</v>
      </c>
      <c r="U7704" s="405" t="s">
        <v>319</v>
      </c>
    </row>
    <row r="7705" spans="1:21" hidden="1" x14ac:dyDescent="0.25">
      <c r="A7705" s="405" t="s">
        <v>310</v>
      </c>
      <c r="B7705" s="405" t="s">
        <v>2333</v>
      </c>
      <c r="C7705" s="405" t="s">
        <v>327</v>
      </c>
      <c r="D7705" s="405"/>
      <c r="E7705" s="410">
        <v>40971</v>
      </c>
      <c r="F7705" s="410">
        <v>41016</v>
      </c>
      <c r="G7705" s="405" t="s">
        <v>2334</v>
      </c>
      <c r="H7705" s="405">
        <v>752897001</v>
      </c>
      <c r="I7705" s="405">
        <v>702897001</v>
      </c>
      <c r="J7705" s="405">
        <v>-0.38512999999999997</v>
      </c>
      <c r="K7705" s="405">
        <v>31.225238000000001</v>
      </c>
      <c r="L7705" s="405" t="s">
        <v>314</v>
      </c>
      <c r="M7705" s="405" t="s">
        <v>1189</v>
      </c>
      <c r="N7705" s="405" t="s">
        <v>1476</v>
      </c>
      <c r="O7705" s="405" t="s">
        <v>2335</v>
      </c>
      <c r="P7705" s="405" t="s">
        <v>2336</v>
      </c>
      <c r="Q7705" s="411">
        <v>12</v>
      </c>
      <c r="R7705" s="405" t="s">
        <v>333</v>
      </c>
      <c r="S7705" s="405" t="s">
        <v>27183</v>
      </c>
      <c r="T7705" s="405" t="s">
        <v>32102</v>
      </c>
      <c r="U7705" s="405" t="s">
        <v>319</v>
      </c>
    </row>
    <row r="7706" spans="1:21" hidden="1" x14ac:dyDescent="0.25">
      <c r="A7706" s="405" t="s">
        <v>310</v>
      </c>
      <c r="B7706" s="405" t="s">
        <v>28455</v>
      </c>
      <c r="C7706" s="405" t="s">
        <v>327</v>
      </c>
      <c r="D7706" s="405"/>
      <c r="E7706" s="410">
        <v>40971</v>
      </c>
      <c r="F7706" s="410">
        <v>41016</v>
      </c>
      <c r="G7706" s="405" t="s">
        <v>11246</v>
      </c>
      <c r="H7706" s="405">
        <v>779960218</v>
      </c>
      <c r="I7706" s="405"/>
      <c r="J7706" s="405">
        <v>1.3520399999999999</v>
      </c>
      <c r="K7706" s="405">
        <v>34.385607</v>
      </c>
      <c r="L7706" s="405" t="s">
        <v>6866</v>
      </c>
      <c r="M7706" s="405" t="s">
        <v>9685</v>
      </c>
      <c r="N7706" s="405" t="s">
        <v>11247</v>
      </c>
      <c r="O7706" s="405" t="s">
        <v>9709</v>
      </c>
      <c r="P7706" s="405" t="s">
        <v>11248</v>
      </c>
      <c r="Q7706" s="411">
        <v>6</v>
      </c>
      <c r="R7706" s="405" t="s">
        <v>7224</v>
      </c>
      <c r="S7706" s="405" t="s">
        <v>27302</v>
      </c>
      <c r="T7706" s="405" t="s">
        <v>32102</v>
      </c>
      <c r="U7706" s="405" t="s">
        <v>319</v>
      </c>
    </row>
    <row r="7707" spans="1:21" hidden="1" x14ac:dyDescent="0.25">
      <c r="A7707" s="405" t="s">
        <v>310</v>
      </c>
      <c r="B7707" s="405" t="s">
        <v>11286</v>
      </c>
      <c r="C7707" s="405" t="s">
        <v>327</v>
      </c>
      <c r="D7707" s="405"/>
      <c r="E7707" s="410">
        <v>40971</v>
      </c>
      <c r="F7707" s="410">
        <v>41016</v>
      </c>
      <c r="G7707" s="405" t="s">
        <v>11287</v>
      </c>
      <c r="H7707" s="405">
        <v>779867037</v>
      </c>
      <c r="I7707" s="405">
        <v>704033582</v>
      </c>
      <c r="J7707" s="405">
        <v>1.35385</v>
      </c>
      <c r="K7707" s="405">
        <v>34.391463000000002</v>
      </c>
      <c r="L7707" s="405" t="s">
        <v>6866</v>
      </c>
      <c r="M7707" s="405" t="s">
        <v>9685</v>
      </c>
      <c r="N7707" s="405" t="s">
        <v>9686</v>
      </c>
      <c r="O7707" s="405" t="s">
        <v>9709</v>
      </c>
      <c r="P7707" s="405" t="s">
        <v>11288</v>
      </c>
      <c r="Q7707" s="411">
        <v>6</v>
      </c>
      <c r="R7707" s="405" t="s">
        <v>7224</v>
      </c>
      <c r="S7707" s="405" t="s">
        <v>27283</v>
      </c>
      <c r="T7707" s="405" t="s">
        <v>32102</v>
      </c>
      <c r="U7707" s="405" t="s">
        <v>319</v>
      </c>
    </row>
    <row r="7708" spans="1:21" hidden="1" x14ac:dyDescent="0.25">
      <c r="A7708" s="405" t="s">
        <v>310</v>
      </c>
      <c r="B7708" s="405" t="s">
        <v>28200</v>
      </c>
      <c r="C7708" s="405" t="s">
        <v>327</v>
      </c>
      <c r="D7708" s="405"/>
      <c r="E7708" s="410">
        <v>40970</v>
      </c>
      <c r="F7708" s="410">
        <v>41015</v>
      </c>
      <c r="G7708" s="405" t="s">
        <v>2345</v>
      </c>
      <c r="H7708" s="405">
        <v>773028813</v>
      </c>
      <c r="I7708" s="405">
        <v>704161469</v>
      </c>
      <c r="J7708" s="405">
        <v>0.28737000000000001</v>
      </c>
      <c r="K7708" s="405">
        <v>31.591291999999999</v>
      </c>
      <c r="L7708" s="405" t="s">
        <v>314</v>
      </c>
      <c r="M7708" s="405" t="s">
        <v>339</v>
      </c>
      <c r="N7708" s="405" t="s">
        <v>339</v>
      </c>
      <c r="O7708" s="405" t="s">
        <v>1662</v>
      </c>
      <c r="P7708" s="405" t="s">
        <v>2346</v>
      </c>
      <c r="Q7708" s="411">
        <v>6</v>
      </c>
      <c r="R7708" s="405" t="s">
        <v>318</v>
      </c>
      <c r="S7708" s="405" t="s">
        <v>27141</v>
      </c>
      <c r="T7708" s="405" t="s">
        <v>32102</v>
      </c>
      <c r="U7708" s="405" t="s">
        <v>319</v>
      </c>
    </row>
    <row r="7709" spans="1:21" hidden="1" x14ac:dyDescent="0.25">
      <c r="A7709" s="405" t="s">
        <v>310</v>
      </c>
      <c r="B7709" s="405" t="s">
        <v>28754</v>
      </c>
      <c r="C7709" s="405" t="s">
        <v>327</v>
      </c>
      <c r="D7709" s="405"/>
      <c r="E7709" s="410">
        <v>40969</v>
      </c>
      <c r="F7709" s="410">
        <v>41014</v>
      </c>
      <c r="G7709" s="405" t="s">
        <v>11244</v>
      </c>
      <c r="H7709" s="405">
        <v>756202340</v>
      </c>
      <c r="I7709" s="405"/>
      <c r="J7709" s="405">
        <v>0.715785</v>
      </c>
      <c r="K7709" s="405">
        <v>33.914869000000003</v>
      </c>
      <c r="L7709" s="405" t="s">
        <v>6866</v>
      </c>
      <c r="M7709" s="405" t="s">
        <v>9534</v>
      </c>
      <c r="N7709" s="405" t="s">
        <v>9997</v>
      </c>
      <c r="O7709" s="405" t="s">
        <v>10918</v>
      </c>
      <c r="P7709" s="405" t="s">
        <v>11245</v>
      </c>
      <c r="Q7709" s="411">
        <v>6</v>
      </c>
      <c r="R7709" s="405" t="s">
        <v>7224</v>
      </c>
      <c r="S7709" s="405" t="s">
        <v>17013</v>
      </c>
      <c r="T7709" s="405" t="s">
        <v>32102</v>
      </c>
      <c r="U7709" s="405" t="s">
        <v>319</v>
      </c>
    </row>
    <row r="7710" spans="1:21" hidden="1" x14ac:dyDescent="0.25">
      <c r="A7710" s="405" t="s">
        <v>310</v>
      </c>
      <c r="B7710" s="405" t="s">
        <v>11274</v>
      </c>
      <c r="C7710" s="405" t="s">
        <v>327</v>
      </c>
      <c r="D7710" s="405"/>
      <c r="E7710" s="410">
        <v>40969</v>
      </c>
      <c r="F7710" s="410">
        <v>41014</v>
      </c>
      <c r="G7710" s="405" t="s">
        <v>11275</v>
      </c>
      <c r="H7710" s="405">
        <v>757148201</v>
      </c>
      <c r="I7710" s="405"/>
      <c r="J7710" s="405">
        <v>1.257085</v>
      </c>
      <c r="K7710" s="405">
        <v>34.195782000000001</v>
      </c>
      <c r="L7710" s="405" t="s">
        <v>6866</v>
      </c>
      <c r="M7710" s="405" t="s">
        <v>9504</v>
      </c>
      <c r="N7710" s="405" t="s">
        <v>9504</v>
      </c>
      <c r="O7710" s="405" t="s">
        <v>10538</v>
      </c>
      <c r="P7710" s="405" t="s">
        <v>11276</v>
      </c>
      <c r="Q7710" s="411">
        <v>6</v>
      </c>
      <c r="R7710" s="405" t="s">
        <v>9506</v>
      </c>
      <c r="S7710" s="405" t="s">
        <v>27294</v>
      </c>
      <c r="T7710" s="405" t="s">
        <v>32102</v>
      </c>
      <c r="U7710" s="405" t="s">
        <v>319</v>
      </c>
    </row>
    <row r="7711" spans="1:21" hidden="1" x14ac:dyDescent="0.25">
      <c r="A7711" s="405" t="s">
        <v>310</v>
      </c>
      <c r="B7711" s="405" t="s">
        <v>2905</v>
      </c>
      <c r="C7711" s="405" t="s">
        <v>311</v>
      </c>
      <c r="D7711" s="405" t="s">
        <v>312</v>
      </c>
      <c r="E7711" s="410">
        <v>40968</v>
      </c>
      <c r="F7711" s="410">
        <v>41013</v>
      </c>
      <c r="G7711" s="405" t="s">
        <v>2906</v>
      </c>
      <c r="H7711" s="405">
        <v>772890398</v>
      </c>
      <c r="I7711" s="405"/>
      <c r="J7711" s="405">
        <v>0.41800700000000002</v>
      </c>
      <c r="K7711" s="405">
        <v>32.460434999999997</v>
      </c>
      <c r="L7711" s="405" t="s">
        <v>314</v>
      </c>
      <c r="M7711" s="405" t="s">
        <v>361</v>
      </c>
      <c r="N7711" s="405" t="s">
        <v>374</v>
      </c>
      <c r="O7711" s="405" t="s">
        <v>361</v>
      </c>
      <c r="P7711" s="405" t="s">
        <v>2907</v>
      </c>
      <c r="Q7711" s="411">
        <v>12</v>
      </c>
      <c r="R7711" s="405" t="s">
        <v>318</v>
      </c>
      <c r="S7711" s="405" t="s">
        <v>6822</v>
      </c>
      <c r="T7711" s="405" t="s">
        <v>32102</v>
      </c>
      <c r="U7711" s="405" t="s">
        <v>319</v>
      </c>
    </row>
    <row r="7712" spans="1:21" hidden="1" x14ac:dyDescent="0.25">
      <c r="A7712" s="405" t="s">
        <v>310</v>
      </c>
      <c r="B7712" s="405" t="s">
        <v>2325</v>
      </c>
      <c r="C7712" s="405" t="s">
        <v>327</v>
      </c>
      <c r="D7712" s="405"/>
      <c r="E7712" s="410">
        <v>40968</v>
      </c>
      <c r="F7712" s="410">
        <v>41013</v>
      </c>
      <c r="G7712" s="405" t="s">
        <v>2326</v>
      </c>
      <c r="H7712" s="405">
        <v>752812236</v>
      </c>
      <c r="I7712" s="405"/>
      <c r="J7712" s="405">
        <v>0.32856999999999997</v>
      </c>
      <c r="K7712" s="405">
        <v>32.527884999999998</v>
      </c>
      <c r="L7712" s="405" t="s">
        <v>314</v>
      </c>
      <c r="M7712" s="405" t="s">
        <v>992</v>
      </c>
      <c r="N7712" s="405" t="s">
        <v>2327</v>
      </c>
      <c r="O7712" s="405" t="s">
        <v>1449</v>
      </c>
      <c r="P7712" s="405" t="s">
        <v>1450</v>
      </c>
      <c r="Q7712" s="411">
        <v>9</v>
      </c>
      <c r="R7712" s="405" t="s">
        <v>318</v>
      </c>
      <c r="S7712" s="405" t="s">
        <v>27152</v>
      </c>
      <c r="T7712" s="405" t="s">
        <v>32102</v>
      </c>
      <c r="U7712" s="405" t="s">
        <v>319</v>
      </c>
    </row>
    <row r="7713" spans="1:21" hidden="1" x14ac:dyDescent="0.25">
      <c r="A7713" s="405" t="s">
        <v>310</v>
      </c>
      <c r="B7713" s="405" t="s">
        <v>27826</v>
      </c>
      <c r="C7713" s="405" t="s">
        <v>311</v>
      </c>
      <c r="D7713" s="405" t="s">
        <v>839</v>
      </c>
      <c r="E7713" s="410">
        <v>40968</v>
      </c>
      <c r="F7713" s="410">
        <v>41013</v>
      </c>
      <c r="G7713" s="405" t="s">
        <v>11719</v>
      </c>
      <c r="H7713" s="405">
        <v>778900674</v>
      </c>
      <c r="I7713" s="405"/>
      <c r="J7713" s="405">
        <v>0.934473</v>
      </c>
      <c r="K7713" s="405">
        <v>33.998742999999997</v>
      </c>
      <c r="L7713" s="405" t="s">
        <v>6866</v>
      </c>
      <c r="M7713" s="405" t="s">
        <v>9566</v>
      </c>
      <c r="N7713" s="405" t="s">
        <v>9931</v>
      </c>
      <c r="O7713" s="405" t="s">
        <v>9932</v>
      </c>
      <c r="P7713" s="405" t="s">
        <v>11720</v>
      </c>
      <c r="Q7713" s="411">
        <v>6</v>
      </c>
      <c r="R7713" s="405" t="s">
        <v>9541</v>
      </c>
      <c r="S7713" s="405" t="s">
        <v>27320</v>
      </c>
      <c r="T7713" s="405" t="s">
        <v>32102</v>
      </c>
      <c r="U7713" s="405" t="s">
        <v>319</v>
      </c>
    </row>
    <row r="7714" spans="1:21" hidden="1" x14ac:dyDescent="0.25">
      <c r="A7714" s="405" t="s">
        <v>310</v>
      </c>
      <c r="B7714" s="405" t="s">
        <v>28314</v>
      </c>
      <c r="C7714" s="405" t="s">
        <v>857</v>
      </c>
      <c r="D7714" s="405" t="s">
        <v>4394</v>
      </c>
      <c r="E7714" s="410">
        <v>40968</v>
      </c>
      <c r="F7714" s="410">
        <v>41013</v>
      </c>
      <c r="G7714" s="405" t="s">
        <v>11701</v>
      </c>
      <c r="H7714" s="405">
        <v>752570299</v>
      </c>
      <c r="I7714" s="405"/>
      <c r="J7714" s="405">
        <v>0.967387</v>
      </c>
      <c r="K7714" s="405">
        <v>34.030273999999999</v>
      </c>
      <c r="L7714" s="405" t="s">
        <v>6866</v>
      </c>
      <c r="M7714" s="405" t="s">
        <v>9566</v>
      </c>
      <c r="N7714" s="405" t="s">
        <v>10001</v>
      </c>
      <c r="O7714" s="405" t="s">
        <v>9932</v>
      </c>
      <c r="P7714" s="405" t="s">
        <v>11702</v>
      </c>
      <c r="Q7714" s="411">
        <v>6</v>
      </c>
      <c r="R7714" s="405" t="s">
        <v>33091</v>
      </c>
      <c r="S7714" s="405" t="s">
        <v>27335</v>
      </c>
      <c r="T7714" s="405" t="s">
        <v>32102</v>
      </c>
      <c r="U7714" s="405" t="s">
        <v>319</v>
      </c>
    </row>
    <row r="7715" spans="1:21" hidden="1" x14ac:dyDescent="0.25">
      <c r="A7715" s="405" t="s">
        <v>310</v>
      </c>
      <c r="B7715" s="405" t="s">
        <v>11257</v>
      </c>
      <c r="C7715" s="405" t="s">
        <v>327</v>
      </c>
      <c r="D7715" s="405"/>
      <c r="E7715" s="410">
        <v>40968</v>
      </c>
      <c r="F7715" s="410">
        <v>41013</v>
      </c>
      <c r="G7715" s="405" t="s">
        <v>11258</v>
      </c>
      <c r="H7715" s="405">
        <v>772633110</v>
      </c>
      <c r="I7715" s="405"/>
      <c r="J7715" s="405">
        <v>2.0408379999999999</v>
      </c>
      <c r="K7715" s="405">
        <v>33.453913</v>
      </c>
      <c r="L7715" s="405" t="s">
        <v>6866</v>
      </c>
      <c r="M7715" s="405" t="s">
        <v>10495</v>
      </c>
      <c r="N7715" s="405" t="s">
        <v>10496</v>
      </c>
      <c r="O7715" s="405" t="s">
        <v>10496</v>
      </c>
      <c r="P7715" s="405" t="s">
        <v>11259</v>
      </c>
      <c r="Q7715" s="411">
        <v>6</v>
      </c>
      <c r="R7715" s="405" t="s">
        <v>5655</v>
      </c>
      <c r="S7715" s="405" t="s">
        <v>27323</v>
      </c>
      <c r="T7715" s="405" t="s">
        <v>32102</v>
      </c>
      <c r="U7715" s="405" t="s">
        <v>319</v>
      </c>
    </row>
    <row r="7716" spans="1:21" hidden="1" x14ac:dyDescent="0.25">
      <c r="A7716" s="405" t="s">
        <v>310</v>
      </c>
      <c r="B7716" s="405" t="s">
        <v>11268</v>
      </c>
      <c r="C7716" s="405" t="s">
        <v>327</v>
      </c>
      <c r="D7716" s="405"/>
      <c r="E7716" s="410">
        <v>40968</v>
      </c>
      <c r="F7716" s="410">
        <v>41013</v>
      </c>
      <c r="G7716" s="405" t="s">
        <v>11269</v>
      </c>
      <c r="H7716" s="405">
        <v>705463708</v>
      </c>
      <c r="I7716" s="405"/>
      <c r="J7716" s="405">
        <v>0.95575600000000005</v>
      </c>
      <c r="K7716" s="405">
        <v>34.031781000000002</v>
      </c>
      <c r="L7716" s="405" t="s">
        <v>6866</v>
      </c>
      <c r="M7716" s="405" t="s">
        <v>9566</v>
      </c>
      <c r="N7716" s="405" t="s">
        <v>10001</v>
      </c>
      <c r="O7716" s="405" t="s">
        <v>9932</v>
      </c>
      <c r="P7716" s="405" t="s">
        <v>11270</v>
      </c>
      <c r="Q7716" s="411">
        <v>6</v>
      </c>
      <c r="R7716" s="405" t="s">
        <v>33091</v>
      </c>
      <c r="S7716" s="405" t="s">
        <v>27184</v>
      </c>
      <c r="T7716" s="405" t="s">
        <v>32102</v>
      </c>
      <c r="U7716" s="405" t="s">
        <v>319</v>
      </c>
    </row>
    <row r="7717" spans="1:21" hidden="1" x14ac:dyDescent="0.25">
      <c r="A7717" s="405" t="s">
        <v>310</v>
      </c>
      <c r="B7717" s="405" t="s">
        <v>2318</v>
      </c>
      <c r="C7717" s="405" t="s">
        <v>327</v>
      </c>
      <c r="D7717" s="405"/>
      <c r="E7717" s="410">
        <v>40968</v>
      </c>
      <c r="F7717" s="410">
        <v>41013</v>
      </c>
      <c r="G7717" s="405" t="s">
        <v>2319</v>
      </c>
      <c r="H7717" s="405">
        <v>772376314</v>
      </c>
      <c r="I7717" s="405"/>
      <c r="J7717" s="405">
        <v>0.13611500000000001</v>
      </c>
      <c r="K7717" s="405">
        <v>31.822516</v>
      </c>
      <c r="L7717" s="405" t="s">
        <v>314</v>
      </c>
      <c r="M7717" s="405" t="s">
        <v>339</v>
      </c>
      <c r="N7717" s="405" t="s">
        <v>339</v>
      </c>
      <c r="O7717" s="405" t="s">
        <v>1948</v>
      </c>
      <c r="P7717" s="405" t="s">
        <v>2320</v>
      </c>
      <c r="Q7717" s="411">
        <v>6</v>
      </c>
      <c r="R7717" s="405" t="s">
        <v>32476</v>
      </c>
      <c r="S7717" s="405" t="s">
        <v>27120</v>
      </c>
      <c r="T7717" s="405" t="s">
        <v>32102</v>
      </c>
      <c r="U7717" s="405" t="s">
        <v>319</v>
      </c>
    </row>
    <row r="7718" spans="1:21" hidden="1" x14ac:dyDescent="0.25">
      <c r="A7718" s="405" t="s">
        <v>310</v>
      </c>
      <c r="B7718" s="405" t="s">
        <v>11703</v>
      </c>
      <c r="C7718" s="405" t="s">
        <v>311</v>
      </c>
      <c r="D7718" s="405" t="s">
        <v>932</v>
      </c>
      <c r="E7718" s="410">
        <v>40968</v>
      </c>
      <c r="F7718" s="410">
        <v>41013</v>
      </c>
      <c r="G7718" s="405" t="s">
        <v>11704</v>
      </c>
      <c r="H7718" s="405">
        <v>781092674</v>
      </c>
      <c r="I7718" s="405"/>
      <c r="J7718" s="405">
        <v>0.96572899999999995</v>
      </c>
      <c r="K7718" s="405">
        <v>34.025649000000001</v>
      </c>
      <c r="L7718" s="405" t="s">
        <v>6866</v>
      </c>
      <c r="M7718" s="405" t="s">
        <v>9566</v>
      </c>
      <c r="N7718" s="405" t="s">
        <v>11705</v>
      </c>
      <c r="O7718" s="405" t="s">
        <v>9932</v>
      </c>
      <c r="P7718" s="405" t="s">
        <v>11270</v>
      </c>
      <c r="Q7718" s="411">
        <v>6</v>
      </c>
      <c r="R7718" s="405" t="s">
        <v>9506</v>
      </c>
      <c r="S7718" s="405" t="s">
        <v>27184</v>
      </c>
      <c r="T7718" s="405" t="s">
        <v>32102</v>
      </c>
      <c r="U7718" s="405" t="s">
        <v>319</v>
      </c>
    </row>
    <row r="7719" spans="1:21" hidden="1" x14ac:dyDescent="0.25">
      <c r="A7719" s="405" t="s">
        <v>310</v>
      </c>
      <c r="B7719" s="405" t="s">
        <v>11708</v>
      </c>
      <c r="C7719" s="405" t="s">
        <v>311</v>
      </c>
      <c r="D7719" s="405" t="s">
        <v>3381</v>
      </c>
      <c r="E7719" s="410">
        <v>40968</v>
      </c>
      <c r="F7719" s="410">
        <v>41013</v>
      </c>
      <c r="G7719" s="405" t="s">
        <v>11709</v>
      </c>
      <c r="H7719" s="405">
        <v>757419375</v>
      </c>
      <c r="I7719" s="405"/>
      <c r="J7719" s="405">
        <v>0.95740099999999995</v>
      </c>
      <c r="K7719" s="405">
        <v>34.034702000000003</v>
      </c>
      <c r="L7719" s="405" t="s">
        <v>6866</v>
      </c>
      <c r="M7719" s="405" t="s">
        <v>9566</v>
      </c>
      <c r="N7719" s="405" t="s">
        <v>10001</v>
      </c>
      <c r="O7719" s="405" t="s">
        <v>9932</v>
      </c>
      <c r="P7719" s="405" t="s">
        <v>11710</v>
      </c>
      <c r="Q7719" s="411">
        <v>6</v>
      </c>
      <c r="R7719" s="405" t="s">
        <v>7224</v>
      </c>
      <c r="S7719" s="405" t="s">
        <v>27074</v>
      </c>
      <c r="T7719" s="405" t="s">
        <v>32102</v>
      </c>
      <c r="U7719" s="405" t="s">
        <v>319</v>
      </c>
    </row>
    <row r="7720" spans="1:21" hidden="1" x14ac:dyDescent="0.25">
      <c r="A7720" s="405" t="s">
        <v>310</v>
      </c>
      <c r="B7720" s="405" t="s">
        <v>11271</v>
      </c>
      <c r="C7720" s="405" t="s">
        <v>327</v>
      </c>
      <c r="D7720" s="405"/>
      <c r="E7720" s="410">
        <v>40968</v>
      </c>
      <c r="F7720" s="410">
        <v>41013</v>
      </c>
      <c r="G7720" s="405" t="s">
        <v>11272</v>
      </c>
      <c r="H7720" s="405">
        <v>782409036</v>
      </c>
      <c r="I7720" s="405"/>
      <c r="J7720" s="405">
        <v>1.023817</v>
      </c>
      <c r="K7720" s="405">
        <v>34.096167000000001</v>
      </c>
      <c r="L7720" s="405" t="s">
        <v>6866</v>
      </c>
      <c r="M7720" s="405" t="s">
        <v>9566</v>
      </c>
      <c r="N7720" s="405" t="s">
        <v>10001</v>
      </c>
      <c r="O7720" s="405" t="s">
        <v>11178</v>
      </c>
      <c r="P7720" s="405" t="s">
        <v>11273</v>
      </c>
      <c r="Q7720" s="411">
        <v>6</v>
      </c>
      <c r="R7720" s="405" t="s">
        <v>7224</v>
      </c>
      <c r="S7720" s="405" t="s">
        <v>27203</v>
      </c>
      <c r="T7720" s="405" t="s">
        <v>32102</v>
      </c>
      <c r="U7720" s="405" t="s">
        <v>319</v>
      </c>
    </row>
    <row r="7721" spans="1:21" hidden="1" x14ac:dyDescent="0.25">
      <c r="A7721" s="405" t="s">
        <v>310</v>
      </c>
      <c r="B7721" s="405" t="s">
        <v>2321</v>
      </c>
      <c r="C7721" s="405" t="s">
        <v>327</v>
      </c>
      <c r="D7721" s="405"/>
      <c r="E7721" s="410">
        <v>40968</v>
      </c>
      <c r="F7721" s="410">
        <v>41013</v>
      </c>
      <c r="G7721" s="405" t="s">
        <v>2322</v>
      </c>
      <c r="H7721" s="405">
        <v>772839559</v>
      </c>
      <c r="I7721" s="405"/>
      <c r="J7721" s="405">
        <v>0.52002199999999998</v>
      </c>
      <c r="K7721" s="405">
        <v>32.456637000000001</v>
      </c>
      <c r="L7721" s="405" t="s">
        <v>314</v>
      </c>
      <c r="M7721" s="405" t="s">
        <v>361</v>
      </c>
      <c r="N7721" s="405" t="s">
        <v>2323</v>
      </c>
      <c r="O7721" s="405" t="s">
        <v>523</v>
      </c>
      <c r="P7721" s="405" t="s">
        <v>2324</v>
      </c>
      <c r="Q7721" s="411">
        <v>6</v>
      </c>
      <c r="R7721" s="405" t="s">
        <v>353</v>
      </c>
      <c r="S7721" s="405" t="s">
        <v>27108</v>
      </c>
      <c r="T7721" s="405" t="s">
        <v>32102</v>
      </c>
      <c r="U7721" s="405" t="s">
        <v>319</v>
      </c>
    </row>
    <row r="7722" spans="1:21" hidden="1" x14ac:dyDescent="0.25">
      <c r="A7722" s="405" t="s">
        <v>310</v>
      </c>
      <c r="B7722" s="405" t="s">
        <v>11265</v>
      </c>
      <c r="C7722" s="405" t="s">
        <v>327</v>
      </c>
      <c r="D7722" s="405"/>
      <c r="E7722" s="410">
        <v>40968</v>
      </c>
      <c r="F7722" s="410">
        <v>41013</v>
      </c>
      <c r="G7722" s="405" t="s">
        <v>11266</v>
      </c>
      <c r="H7722" s="405">
        <v>752350478</v>
      </c>
      <c r="I7722" s="405"/>
      <c r="J7722" s="405">
        <v>0.96991300000000003</v>
      </c>
      <c r="K7722" s="405">
        <v>34.048281000000003</v>
      </c>
      <c r="L7722" s="405" t="s">
        <v>6866</v>
      </c>
      <c r="M7722" s="405" t="s">
        <v>9566</v>
      </c>
      <c r="N7722" s="405" t="s">
        <v>10001</v>
      </c>
      <c r="O7722" s="405" t="s">
        <v>9932</v>
      </c>
      <c r="P7722" s="405" t="s">
        <v>11267</v>
      </c>
      <c r="Q7722" s="411">
        <v>6</v>
      </c>
      <c r="R7722" s="405" t="s">
        <v>7224</v>
      </c>
      <c r="S7722" s="405" t="s">
        <v>27142</v>
      </c>
      <c r="T7722" s="405" t="s">
        <v>32102</v>
      </c>
      <c r="U7722" s="405" t="s">
        <v>319</v>
      </c>
    </row>
    <row r="7723" spans="1:21" hidden="1" x14ac:dyDescent="0.25">
      <c r="A7723" s="405" t="s">
        <v>310</v>
      </c>
      <c r="B7723" s="405" t="s">
        <v>20424</v>
      </c>
      <c r="C7723" s="405" t="s">
        <v>327</v>
      </c>
      <c r="D7723" s="405"/>
      <c r="E7723" s="410">
        <v>40967</v>
      </c>
      <c r="F7723" s="410">
        <v>41012</v>
      </c>
      <c r="G7723" s="405" t="s">
        <v>20425</v>
      </c>
      <c r="H7723" s="405">
        <v>772536703</v>
      </c>
      <c r="I7723" s="405"/>
      <c r="J7723" s="405">
        <v>0.700789</v>
      </c>
      <c r="K7723" s="405">
        <v>30.657509999999998</v>
      </c>
      <c r="L7723" s="405" t="s">
        <v>590</v>
      </c>
      <c r="M7723" s="405" t="s">
        <v>20426</v>
      </c>
      <c r="N7723" s="405" t="s">
        <v>20427</v>
      </c>
      <c r="O7723" s="405" t="s">
        <v>5943</v>
      </c>
      <c r="P7723" s="405" t="s">
        <v>20428</v>
      </c>
      <c r="Q7723" s="411">
        <v>9</v>
      </c>
      <c r="R7723" s="405" t="s">
        <v>883</v>
      </c>
      <c r="S7723" s="405" t="s">
        <v>27183</v>
      </c>
      <c r="T7723" s="405" t="s">
        <v>32102</v>
      </c>
      <c r="U7723" s="405" t="s">
        <v>319</v>
      </c>
    </row>
    <row r="7724" spans="1:21" hidden="1" x14ac:dyDescent="0.25">
      <c r="A7724" s="405" t="s">
        <v>310</v>
      </c>
      <c r="B7724" s="405" t="s">
        <v>2354</v>
      </c>
      <c r="C7724" s="405" t="s">
        <v>327</v>
      </c>
      <c r="D7724" s="405"/>
      <c r="E7724" s="410">
        <v>40967</v>
      </c>
      <c r="F7724" s="410">
        <v>41012</v>
      </c>
      <c r="G7724" s="405" t="s">
        <v>2355</v>
      </c>
      <c r="H7724" s="405">
        <v>772855895</v>
      </c>
      <c r="I7724" s="405"/>
      <c r="J7724" s="405">
        <v>0.60072700000000001</v>
      </c>
      <c r="K7724" s="405">
        <v>32.482602999999997</v>
      </c>
      <c r="L7724" s="405" t="s">
        <v>314</v>
      </c>
      <c r="M7724" s="405" t="s">
        <v>959</v>
      </c>
      <c r="N7724" s="405" t="s">
        <v>1094</v>
      </c>
      <c r="O7724" s="405" t="s">
        <v>2307</v>
      </c>
      <c r="P7724" s="405" t="s">
        <v>2356</v>
      </c>
      <c r="Q7724" s="411">
        <v>6</v>
      </c>
      <c r="R7724" s="405" t="s">
        <v>1263</v>
      </c>
      <c r="S7724" s="405" t="s">
        <v>2160</v>
      </c>
      <c r="T7724" s="405" t="s">
        <v>32102</v>
      </c>
      <c r="U7724" s="405" t="s">
        <v>319</v>
      </c>
    </row>
    <row r="7725" spans="1:21" hidden="1" x14ac:dyDescent="0.25">
      <c r="A7725" s="405" t="s">
        <v>310</v>
      </c>
      <c r="B7725" s="405" t="s">
        <v>11260</v>
      </c>
      <c r="C7725" s="405" t="s">
        <v>327</v>
      </c>
      <c r="D7725" s="405"/>
      <c r="E7725" s="410">
        <v>40967</v>
      </c>
      <c r="F7725" s="410">
        <v>41012</v>
      </c>
      <c r="G7725" s="405" t="s">
        <v>11261</v>
      </c>
      <c r="H7725" s="405">
        <v>778590086</v>
      </c>
      <c r="I7725" s="405"/>
      <c r="J7725" s="405">
        <v>0.98411700000000002</v>
      </c>
      <c r="K7725" s="405">
        <v>34.035114999999998</v>
      </c>
      <c r="L7725" s="405" t="s">
        <v>6866</v>
      </c>
      <c r="M7725" s="405" t="s">
        <v>9566</v>
      </c>
      <c r="N7725" s="405" t="s">
        <v>10001</v>
      </c>
      <c r="O7725" s="405" t="s">
        <v>9932</v>
      </c>
      <c r="P7725" s="405" t="s">
        <v>407</v>
      </c>
      <c r="Q7725" s="411">
        <v>6</v>
      </c>
      <c r="R7725" s="405" t="s">
        <v>9541</v>
      </c>
      <c r="S7725" s="405" t="s">
        <v>27300</v>
      </c>
      <c r="T7725" s="405" t="s">
        <v>32102</v>
      </c>
      <c r="U7725" s="405" t="s">
        <v>319</v>
      </c>
    </row>
    <row r="7726" spans="1:21" hidden="1" x14ac:dyDescent="0.25">
      <c r="A7726" s="405" t="s">
        <v>310</v>
      </c>
      <c r="B7726" s="405" t="s">
        <v>18292</v>
      </c>
      <c r="C7726" s="405" t="s">
        <v>327</v>
      </c>
      <c r="D7726" s="405"/>
      <c r="E7726" s="410">
        <v>40967</v>
      </c>
      <c r="F7726" s="410">
        <v>41012</v>
      </c>
      <c r="G7726" s="405" t="s">
        <v>18293</v>
      </c>
      <c r="H7726" s="405">
        <v>785967874</v>
      </c>
      <c r="I7726" s="405">
        <v>780987583</v>
      </c>
      <c r="J7726" s="405">
        <v>2.0324249999999999</v>
      </c>
      <c r="K7726" s="405">
        <v>33.175578000000002</v>
      </c>
      <c r="L7726" s="405" t="s">
        <v>860</v>
      </c>
      <c r="M7726" s="405" t="s">
        <v>12189</v>
      </c>
      <c r="N7726" s="405" t="s">
        <v>18294</v>
      </c>
      <c r="O7726" s="405" t="s">
        <v>18295</v>
      </c>
      <c r="P7726" s="405" t="s">
        <v>18296</v>
      </c>
      <c r="Q7726" s="411">
        <v>4</v>
      </c>
      <c r="R7726" s="405" t="s">
        <v>318</v>
      </c>
      <c r="S7726" s="405" t="s">
        <v>6822</v>
      </c>
      <c r="T7726" s="405" t="s">
        <v>32102</v>
      </c>
      <c r="U7726" s="405" t="s">
        <v>319</v>
      </c>
    </row>
    <row r="7727" spans="1:21" hidden="1" x14ac:dyDescent="0.25">
      <c r="A7727" s="405" t="s">
        <v>310</v>
      </c>
      <c r="B7727" s="405" t="s">
        <v>28125</v>
      </c>
      <c r="C7727" s="405" t="s">
        <v>327</v>
      </c>
      <c r="D7727" s="405"/>
      <c r="E7727" s="410">
        <v>40966</v>
      </c>
      <c r="F7727" s="410">
        <v>41011</v>
      </c>
      <c r="G7727" s="405" t="s">
        <v>20429</v>
      </c>
      <c r="H7727" s="405">
        <v>702588522</v>
      </c>
      <c r="I7727" s="405"/>
      <c r="J7727" s="405">
        <v>-0.54277500000000001</v>
      </c>
      <c r="K7727" s="405">
        <v>30.100171</v>
      </c>
      <c r="L7727" s="405" t="s">
        <v>590</v>
      </c>
      <c r="M7727" s="405" t="s">
        <v>19625</v>
      </c>
      <c r="N7727" s="405" t="s">
        <v>19638</v>
      </c>
      <c r="O7727" s="405" t="s">
        <v>20430</v>
      </c>
      <c r="P7727" s="405" t="s">
        <v>20431</v>
      </c>
      <c r="Q7727" s="411">
        <v>6</v>
      </c>
      <c r="R7727" s="405" t="s">
        <v>1527</v>
      </c>
      <c r="S7727" s="405" t="s">
        <v>27399</v>
      </c>
      <c r="T7727" s="405" t="s">
        <v>32102</v>
      </c>
      <c r="U7727" s="405" t="s">
        <v>319</v>
      </c>
    </row>
    <row r="7728" spans="1:21" hidden="1" x14ac:dyDescent="0.25">
      <c r="A7728" s="405" t="s">
        <v>310</v>
      </c>
      <c r="B7728" s="405" t="s">
        <v>11721</v>
      </c>
      <c r="C7728" s="405" t="s">
        <v>311</v>
      </c>
      <c r="D7728" s="405" t="s">
        <v>1789</v>
      </c>
      <c r="E7728" s="410">
        <v>40965</v>
      </c>
      <c r="F7728" s="410">
        <v>41010</v>
      </c>
      <c r="G7728" s="405" t="s">
        <v>11722</v>
      </c>
      <c r="H7728" s="405">
        <v>785215851</v>
      </c>
      <c r="I7728" s="405"/>
      <c r="J7728" s="405">
        <v>1.0187079999999999</v>
      </c>
      <c r="K7728" s="405">
        <v>34.061700000000002</v>
      </c>
      <c r="L7728" s="405" t="s">
        <v>6866</v>
      </c>
      <c r="M7728" s="405" t="s">
        <v>9566</v>
      </c>
      <c r="N7728" s="405" t="s">
        <v>9931</v>
      </c>
      <c r="O7728" s="405" t="s">
        <v>11178</v>
      </c>
      <c r="P7728" s="405" t="s">
        <v>11723</v>
      </c>
      <c r="Q7728" s="411">
        <v>6</v>
      </c>
      <c r="R7728" s="405" t="s">
        <v>33091</v>
      </c>
      <c r="S7728" s="405" t="s">
        <v>27184</v>
      </c>
      <c r="T7728" s="405" t="s">
        <v>32102</v>
      </c>
      <c r="U7728" s="405" t="s">
        <v>319</v>
      </c>
    </row>
    <row r="7729" spans="1:21" hidden="1" x14ac:dyDescent="0.25">
      <c r="A7729" s="405" t="s">
        <v>310</v>
      </c>
      <c r="B7729" s="405" t="s">
        <v>2892</v>
      </c>
      <c r="C7729" s="405" t="s">
        <v>311</v>
      </c>
      <c r="D7729" s="405" t="s">
        <v>1789</v>
      </c>
      <c r="E7729" s="410">
        <v>40964</v>
      </c>
      <c r="F7729" s="410">
        <v>41009</v>
      </c>
      <c r="G7729" s="405" t="s">
        <v>2893</v>
      </c>
      <c r="H7729" s="405">
        <v>785433505</v>
      </c>
      <c r="I7729" s="405">
        <v>703051336</v>
      </c>
      <c r="J7729" s="405">
        <v>0.44440000000000002</v>
      </c>
      <c r="K7729" s="405">
        <v>32.762354999999999</v>
      </c>
      <c r="L7729" s="405" t="s">
        <v>314</v>
      </c>
      <c r="M7729" s="405" t="s">
        <v>329</v>
      </c>
      <c r="N7729" s="405" t="s">
        <v>545</v>
      </c>
      <c r="O7729" s="405" t="s">
        <v>336</v>
      </c>
      <c r="P7729" s="405" t="s">
        <v>809</v>
      </c>
      <c r="Q7729" s="411">
        <v>6</v>
      </c>
      <c r="R7729" s="405" t="s">
        <v>318</v>
      </c>
      <c r="S7729" s="405" t="s">
        <v>27106</v>
      </c>
      <c r="T7729" s="405" t="s">
        <v>32102</v>
      </c>
      <c r="U7729" s="405" t="s">
        <v>319</v>
      </c>
    </row>
    <row r="7730" spans="1:21" hidden="1" x14ac:dyDescent="0.25">
      <c r="A7730" s="405" t="s">
        <v>310</v>
      </c>
      <c r="B7730" s="405" t="s">
        <v>27756</v>
      </c>
      <c r="C7730" s="405" t="s">
        <v>327</v>
      </c>
      <c r="D7730" s="405"/>
      <c r="E7730" s="410">
        <v>40962</v>
      </c>
      <c r="F7730" s="410">
        <v>41007</v>
      </c>
      <c r="G7730" s="405" t="s">
        <v>2347</v>
      </c>
      <c r="H7730" s="405">
        <v>772489521</v>
      </c>
      <c r="I7730" s="405"/>
      <c r="J7730" s="405">
        <v>0.360572</v>
      </c>
      <c r="K7730" s="405">
        <v>32.073967000000003</v>
      </c>
      <c r="L7730" s="405" t="s">
        <v>314</v>
      </c>
      <c r="M7730" s="405" t="s">
        <v>675</v>
      </c>
      <c r="N7730" s="405" t="s">
        <v>1717</v>
      </c>
      <c r="O7730" s="405" t="s">
        <v>1066</v>
      </c>
      <c r="P7730" s="405" t="s">
        <v>2348</v>
      </c>
      <c r="Q7730" s="411">
        <v>9</v>
      </c>
      <c r="R7730" s="405" t="s">
        <v>318</v>
      </c>
      <c r="S7730" s="405" t="s">
        <v>27141</v>
      </c>
      <c r="T7730" s="405" t="s">
        <v>32102</v>
      </c>
      <c r="U7730" s="405" t="s">
        <v>319</v>
      </c>
    </row>
    <row r="7731" spans="1:21" hidden="1" x14ac:dyDescent="0.25">
      <c r="A7731" s="405" t="s">
        <v>310</v>
      </c>
      <c r="B7731" s="405" t="s">
        <v>28897</v>
      </c>
      <c r="C7731" s="405" t="s">
        <v>311</v>
      </c>
      <c r="D7731" s="405" t="s">
        <v>839</v>
      </c>
      <c r="E7731" s="410">
        <v>40962</v>
      </c>
      <c r="F7731" s="410">
        <v>41007</v>
      </c>
      <c r="G7731" s="405" t="s">
        <v>2868</v>
      </c>
      <c r="H7731" s="405">
        <v>772925052</v>
      </c>
      <c r="I7731" s="405"/>
      <c r="J7731" s="405">
        <v>0.21491499999999999</v>
      </c>
      <c r="K7731" s="405">
        <v>32.343283333333339</v>
      </c>
      <c r="L7731" s="405" t="s">
        <v>314</v>
      </c>
      <c r="M7731" s="405" t="s">
        <v>321</v>
      </c>
      <c r="N7731" s="405" t="s">
        <v>322</v>
      </c>
      <c r="O7731" s="405" t="s">
        <v>476</v>
      </c>
      <c r="P7731" s="405" t="s">
        <v>2869</v>
      </c>
      <c r="Q7731" s="411">
        <v>6</v>
      </c>
      <c r="R7731" s="405" t="s">
        <v>318</v>
      </c>
      <c r="S7731" s="405" t="s">
        <v>27064</v>
      </c>
      <c r="T7731" s="405" t="s">
        <v>32102</v>
      </c>
      <c r="U7731" s="405" t="s">
        <v>319</v>
      </c>
    </row>
    <row r="7732" spans="1:21" hidden="1" x14ac:dyDescent="0.25">
      <c r="A7732" s="405" t="s">
        <v>310</v>
      </c>
      <c r="B7732" s="405" t="s">
        <v>20418</v>
      </c>
      <c r="C7732" s="405" t="s">
        <v>327</v>
      </c>
      <c r="D7732" s="405"/>
      <c r="E7732" s="410">
        <v>40961</v>
      </c>
      <c r="F7732" s="410">
        <v>41006</v>
      </c>
      <c r="G7732" s="405" t="s">
        <v>20419</v>
      </c>
      <c r="H7732" s="405">
        <v>772618926</v>
      </c>
      <c r="I7732" s="405">
        <v>701618926</v>
      </c>
      <c r="J7732" s="405">
        <v>-0.308056</v>
      </c>
      <c r="K7732" s="405">
        <v>30.577249999999999</v>
      </c>
      <c r="L7732" s="405" t="s">
        <v>590</v>
      </c>
      <c r="M7732" s="405" t="s">
        <v>19614</v>
      </c>
      <c r="N7732" s="405" t="s">
        <v>19615</v>
      </c>
      <c r="O7732" s="405" t="s">
        <v>20108</v>
      </c>
      <c r="P7732" s="405" t="s">
        <v>20420</v>
      </c>
      <c r="Q7732" s="411">
        <v>13</v>
      </c>
      <c r="R7732" s="405" t="s">
        <v>883</v>
      </c>
      <c r="S7732" s="405" t="s">
        <v>27132</v>
      </c>
      <c r="T7732" s="405" t="s">
        <v>32102</v>
      </c>
      <c r="U7732" s="405" t="s">
        <v>319</v>
      </c>
    </row>
    <row r="7733" spans="1:21" hidden="1" x14ac:dyDescent="0.25">
      <c r="A7733" s="405" t="s">
        <v>310</v>
      </c>
      <c r="B7733" s="405" t="s">
        <v>27760</v>
      </c>
      <c r="C7733" s="405" t="s">
        <v>327</v>
      </c>
      <c r="D7733" s="405"/>
      <c r="E7733" s="410">
        <v>40961</v>
      </c>
      <c r="F7733" s="410">
        <v>41006</v>
      </c>
      <c r="G7733" s="405" t="s">
        <v>20416</v>
      </c>
      <c r="H7733" s="405">
        <v>772580821</v>
      </c>
      <c r="I7733" s="405"/>
      <c r="J7733" s="405">
        <v>-0.61724900000000005</v>
      </c>
      <c r="K7733" s="405">
        <v>30.576837999999999</v>
      </c>
      <c r="L7733" s="405" t="s">
        <v>590</v>
      </c>
      <c r="M7733" s="405" t="s">
        <v>19614</v>
      </c>
      <c r="N7733" s="405" t="s">
        <v>19873</v>
      </c>
      <c r="O7733" s="405" t="s">
        <v>19874</v>
      </c>
      <c r="P7733" s="405" t="s">
        <v>20417</v>
      </c>
      <c r="Q7733" s="411">
        <v>9</v>
      </c>
      <c r="R7733" s="405" t="s">
        <v>333</v>
      </c>
      <c r="S7733" s="405" t="s">
        <v>27166</v>
      </c>
      <c r="T7733" s="405" t="s">
        <v>32102</v>
      </c>
      <c r="U7733" s="405" t="s">
        <v>319</v>
      </c>
    </row>
    <row r="7734" spans="1:21" hidden="1" x14ac:dyDescent="0.25">
      <c r="A7734" s="405" t="s">
        <v>310</v>
      </c>
      <c r="B7734" s="405" t="s">
        <v>20421</v>
      </c>
      <c r="C7734" s="405" t="s">
        <v>327</v>
      </c>
      <c r="D7734" s="405"/>
      <c r="E7734" s="410">
        <v>40961</v>
      </c>
      <c r="F7734" s="410">
        <v>41006</v>
      </c>
      <c r="G7734" s="405" t="s">
        <v>20422</v>
      </c>
      <c r="H7734" s="405">
        <v>779662277</v>
      </c>
      <c r="I7734" s="405"/>
      <c r="J7734" s="405">
        <v>-0.82164099999999995</v>
      </c>
      <c r="K7734" s="405">
        <v>30.501514</v>
      </c>
      <c r="L7734" s="405" t="s">
        <v>590</v>
      </c>
      <c r="M7734" s="405" t="s">
        <v>19614</v>
      </c>
      <c r="N7734" s="405" t="s">
        <v>19654</v>
      </c>
      <c r="O7734" s="405" t="s">
        <v>19995</v>
      </c>
      <c r="P7734" s="405" t="s">
        <v>20423</v>
      </c>
      <c r="Q7734" s="411">
        <v>6</v>
      </c>
      <c r="R7734" s="405" t="s">
        <v>333</v>
      </c>
      <c r="S7734" s="405" t="s">
        <v>27166</v>
      </c>
      <c r="T7734" s="405" t="s">
        <v>32102</v>
      </c>
      <c r="U7734" s="405" t="s">
        <v>319</v>
      </c>
    </row>
    <row r="7735" spans="1:21" hidden="1" x14ac:dyDescent="0.25">
      <c r="A7735" s="405" t="s">
        <v>310</v>
      </c>
      <c r="B7735" s="405" t="s">
        <v>20651</v>
      </c>
      <c r="C7735" s="405" t="s">
        <v>327</v>
      </c>
      <c r="D7735" s="405"/>
      <c r="E7735" s="410">
        <v>40956</v>
      </c>
      <c r="F7735" s="410">
        <v>41001</v>
      </c>
      <c r="G7735" s="405" t="s">
        <v>20652</v>
      </c>
      <c r="H7735" s="405">
        <v>772471982</v>
      </c>
      <c r="I7735" s="405"/>
      <c r="J7735" s="405">
        <v>-1.0284450000000001</v>
      </c>
      <c r="K7735" s="405">
        <v>30.147079999999999</v>
      </c>
      <c r="L7735" s="405" t="s">
        <v>590</v>
      </c>
      <c r="M7735" s="405" t="s">
        <v>19659</v>
      </c>
      <c r="N7735" s="405" t="s">
        <v>19677</v>
      </c>
      <c r="O7735" s="405" t="s">
        <v>20207</v>
      </c>
      <c r="P7735" s="405" t="s">
        <v>19938</v>
      </c>
      <c r="Q7735" s="411">
        <v>9</v>
      </c>
      <c r="R7735" s="405" t="s">
        <v>1527</v>
      </c>
      <c r="S7735" s="405" t="s">
        <v>27240</v>
      </c>
      <c r="T7735" s="405" t="s">
        <v>32102</v>
      </c>
      <c r="U7735" s="405" t="s">
        <v>319</v>
      </c>
    </row>
    <row r="7736" spans="1:21" hidden="1" x14ac:dyDescent="0.25">
      <c r="A7736" s="405" t="s">
        <v>310</v>
      </c>
      <c r="B7736" s="405" t="s">
        <v>2349</v>
      </c>
      <c r="C7736" s="405" t="s">
        <v>327</v>
      </c>
      <c r="D7736" s="405"/>
      <c r="E7736" s="410">
        <v>40955</v>
      </c>
      <c r="F7736" s="410">
        <v>41000</v>
      </c>
      <c r="G7736" s="405" t="s">
        <v>2350</v>
      </c>
      <c r="H7736" s="405">
        <v>790911662</v>
      </c>
      <c r="I7736" s="405"/>
      <c r="J7736" s="405">
        <v>-0.41936200000000001</v>
      </c>
      <c r="K7736" s="405">
        <v>31.146875000000001</v>
      </c>
      <c r="L7736" s="405" t="s">
        <v>314</v>
      </c>
      <c r="M7736" s="405" t="s">
        <v>1805</v>
      </c>
      <c r="N7736" s="405" t="s">
        <v>1805</v>
      </c>
      <c r="O7736" s="405" t="s">
        <v>1805</v>
      </c>
      <c r="P7736" s="405" t="s">
        <v>2351</v>
      </c>
      <c r="Q7736" s="411">
        <v>9</v>
      </c>
      <c r="R7736" s="405" t="s">
        <v>353</v>
      </c>
      <c r="S7736" s="405" t="s">
        <v>27185</v>
      </c>
      <c r="T7736" s="405" t="s">
        <v>32102</v>
      </c>
      <c r="U7736" s="405" t="s">
        <v>319</v>
      </c>
    </row>
    <row r="7737" spans="1:21" hidden="1" x14ac:dyDescent="0.25">
      <c r="A7737" s="405" t="s">
        <v>310</v>
      </c>
      <c r="B7737" s="405" t="s">
        <v>28776</v>
      </c>
      <c r="C7737" s="405" t="s">
        <v>327</v>
      </c>
      <c r="D7737" s="405"/>
      <c r="E7737" s="410">
        <v>40955</v>
      </c>
      <c r="F7737" s="410">
        <v>41000</v>
      </c>
      <c r="G7737" s="405" t="s">
        <v>18297</v>
      </c>
      <c r="H7737" s="405">
        <v>789283903</v>
      </c>
      <c r="I7737" s="405">
        <v>775220939</v>
      </c>
      <c r="J7737" s="405">
        <v>1.749241</v>
      </c>
      <c r="K7737" s="405">
        <v>33.056477000000001</v>
      </c>
      <c r="L7737" s="405" t="s">
        <v>860</v>
      </c>
      <c r="M7737" s="405" t="s">
        <v>12189</v>
      </c>
      <c r="N7737" s="405" t="s">
        <v>18298</v>
      </c>
      <c r="O7737" s="405" t="s">
        <v>18299</v>
      </c>
      <c r="P7737" s="405" t="s">
        <v>18300</v>
      </c>
      <c r="Q7737" s="411">
        <v>6</v>
      </c>
      <c r="R7737" s="405" t="s">
        <v>318</v>
      </c>
      <c r="S7737" s="405" t="s">
        <v>6822</v>
      </c>
      <c r="T7737" s="405" t="s">
        <v>32102</v>
      </c>
      <c r="U7737" s="405" t="s">
        <v>319</v>
      </c>
    </row>
    <row r="7738" spans="1:21" hidden="1" x14ac:dyDescent="0.25">
      <c r="A7738" s="405" t="s">
        <v>310</v>
      </c>
      <c r="B7738" s="405" t="s">
        <v>11220</v>
      </c>
      <c r="C7738" s="405" t="s">
        <v>327</v>
      </c>
      <c r="D7738" s="405"/>
      <c r="E7738" s="410">
        <v>40954</v>
      </c>
      <c r="F7738" s="410">
        <v>40999</v>
      </c>
      <c r="G7738" s="405" t="s">
        <v>11221</v>
      </c>
      <c r="H7738" s="405">
        <v>700727257</v>
      </c>
      <c r="I7738" s="405"/>
      <c r="J7738" s="405">
        <v>0.69008499999999995</v>
      </c>
      <c r="K7738" s="405">
        <v>34.195602000000001</v>
      </c>
      <c r="L7738" s="405" t="s">
        <v>6866</v>
      </c>
      <c r="M7738" s="405" t="s">
        <v>9534</v>
      </c>
      <c r="N7738" s="405" t="s">
        <v>10065</v>
      </c>
      <c r="O7738" s="405" t="s">
        <v>6748</v>
      </c>
      <c r="P7738" s="405" t="s">
        <v>10703</v>
      </c>
      <c r="Q7738" s="411">
        <v>6</v>
      </c>
      <c r="R7738" s="405" t="s">
        <v>7224</v>
      </c>
      <c r="S7738" s="405" t="s">
        <v>27259</v>
      </c>
      <c r="T7738" s="405" t="s">
        <v>32102</v>
      </c>
      <c r="U7738" s="405" t="s">
        <v>319</v>
      </c>
    </row>
    <row r="7739" spans="1:21" hidden="1" x14ac:dyDescent="0.25">
      <c r="A7739" s="405" t="s">
        <v>310</v>
      </c>
      <c r="B7739" s="405" t="s">
        <v>2268</v>
      </c>
      <c r="C7739" s="405" t="s">
        <v>327</v>
      </c>
      <c r="D7739" s="405"/>
      <c r="E7739" s="410">
        <v>40954</v>
      </c>
      <c r="F7739" s="410">
        <v>40999</v>
      </c>
      <c r="G7739" s="405" t="s">
        <v>2269</v>
      </c>
      <c r="H7739" s="405">
        <v>753696951</v>
      </c>
      <c r="I7739" s="405">
        <v>752473327</v>
      </c>
      <c r="J7739" s="405">
        <v>0.18526333333333334</v>
      </c>
      <c r="K7739" s="405">
        <v>32.333861666666664</v>
      </c>
      <c r="L7739" s="405" t="s">
        <v>314</v>
      </c>
      <c r="M7739" s="405" t="s">
        <v>321</v>
      </c>
      <c r="N7739" s="405" t="s">
        <v>322</v>
      </c>
      <c r="O7739" s="405" t="s">
        <v>996</v>
      </c>
      <c r="P7739" s="405" t="s">
        <v>1163</v>
      </c>
      <c r="Q7739" s="411">
        <v>6</v>
      </c>
      <c r="R7739" s="405" t="s">
        <v>318</v>
      </c>
      <c r="S7739" s="405" t="s">
        <v>27113</v>
      </c>
      <c r="T7739" s="405" t="s">
        <v>32102</v>
      </c>
      <c r="U7739" s="405" t="s">
        <v>319</v>
      </c>
    </row>
    <row r="7740" spans="1:21" hidden="1" x14ac:dyDescent="0.25">
      <c r="A7740" s="405" t="s">
        <v>310</v>
      </c>
      <c r="B7740" s="405" t="s">
        <v>11186</v>
      </c>
      <c r="C7740" s="405" t="s">
        <v>327</v>
      </c>
      <c r="D7740" s="405"/>
      <c r="E7740" s="410">
        <v>40954</v>
      </c>
      <c r="F7740" s="410">
        <v>40999</v>
      </c>
      <c r="G7740" s="405" t="s">
        <v>11187</v>
      </c>
      <c r="H7740" s="405">
        <v>754889070</v>
      </c>
      <c r="I7740" s="405">
        <v>775889070</v>
      </c>
      <c r="J7740" s="405">
        <v>1.0255669999999999</v>
      </c>
      <c r="K7740" s="405">
        <v>34.094054</v>
      </c>
      <c r="L7740" s="405" t="s">
        <v>6866</v>
      </c>
      <c r="M7740" s="405" t="s">
        <v>9566</v>
      </c>
      <c r="N7740" s="405" t="s">
        <v>10001</v>
      </c>
      <c r="O7740" s="405" t="s">
        <v>11178</v>
      </c>
      <c r="P7740" s="405" t="s">
        <v>11188</v>
      </c>
      <c r="Q7740" s="411">
        <v>6</v>
      </c>
      <c r="R7740" s="405" t="s">
        <v>33091</v>
      </c>
      <c r="S7740" s="405" t="s">
        <v>27318</v>
      </c>
      <c r="T7740" s="405" t="s">
        <v>32102</v>
      </c>
      <c r="U7740" s="405" t="s">
        <v>319</v>
      </c>
    </row>
    <row r="7741" spans="1:21" hidden="1" x14ac:dyDescent="0.25">
      <c r="A7741" s="405" t="s">
        <v>310</v>
      </c>
      <c r="B7741" s="405" t="s">
        <v>29014</v>
      </c>
      <c r="C7741" s="405" t="s">
        <v>327</v>
      </c>
      <c r="D7741" s="405"/>
      <c r="E7741" s="410">
        <v>40953</v>
      </c>
      <c r="F7741" s="410">
        <v>40998</v>
      </c>
      <c r="G7741" s="405" t="s">
        <v>2279</v>
      </c>
      <c r="H7741" s="405">
        <v>701659081</v>
      </c>
      <c r="I7741" s="405"/>
      <c r="J7741" s="405">
        <v>-0.33465800000000001</v>
      </c>
      <c r="K7741" s="405">
        <v>31.707879999999999</v>
      </c>
      <c r="L7741" s="405" t="s">
        <v>314</v>
      </c>
      <c r="M7741" s="405" t="s">
        <v>382</v>
      </c>
      <c r="N7741" s="405" t="s">
        <v>383</v>
      </c>
      <c r="O7741" s="405" t="s">
        <v>1787</v>
      </c>
      <c r="P7741" s="405" t="s">
        <v>2280</v>
      </c>
      <c r="Q7741" s="411">
        <v>6</v>
      </c>
      <c r="R7741" s="405" t="s">
        <v>402</v>
      </c>
      <c r="S7741" s="405" t="s">
        <v>27139</v>
      </c>
      <c r="T7741" s="405" t="s">
        <v>32102</v>
      </c>
      <c r="U7741" s="405" t="s">
        <v>319</v>
      </c>
    </row>
    <row r="7742" spans="1:21" hidden="1" x14ac:dyDescent="0.25">
      <c r="A7742" s="405" t="s">
        <v>310</v>
      </c>
      <c r="B7742" s="405" t="s">
        <v>11182</v>
      </c>
      <c r="C7742" s="405" t="s">
        <v>327</v>
      </c>
      <c r="D7742" s="405"/>
      <c r="E7742" s="410">
        <v>40953</v>
      </c>
      <c r="F7742" s="410">
        <v>40998</v>
      </c>
      <c r="G7742" s="405" t="s">
        <v>11183</v>
      </c>
      <c r="H7742" s="405">
        <v>791854151</v>
      </c>
      <c r="I7742" s="405"/>
      <c r="J7742" s="405">
        <v>1.0140709999999999</v>
      </c>
      <c r="K7742" s="405">
        <v>34.106890999999997</v>
      </c>
      <c r="L7742" s="405" t="s">
        <v>6866</v>
      </c>
      <c r="M7742" s="405" t="s">
        <v>9566</v>
      </c>
      <c r="N7742" s="405" t="s">
        <v>10001</v>
      </c>
      <c r="O7742" s="405" t="s">
        <v>11178</v>
      </c>
      <c r="P7742" s="405" t="s">
        <v>11179</v>
      </c>
      <c r="Q7742" s="411">
        <v>6</v>
      </c>
      <c r="R7742" s="405" t="s">
        <v>7224</v>
      </c>
      <c r="S7742" s="405" t="s">
        <v>27204</v>
      </c>
      <c r="T7742" s="405" t="s">
        <v>32102</v>
      </c>
      <c r="U7742" s="405" t="s">
        <v>319</v>
      </c>
    </row>
    <row r="7743" spans="1:21" hidden="1" x14ac:dyDescent="0.25">
      <c r="A7743" s="405" t="s">
        <v>310</v>
      </c>
      <c r="B7743" s="405" t="s">
        <v>11217</v>
      </c>
      <c r="C7743" s="405" t="s">
        <v>327</v>
      </c>
      <c r="D7743" s="405"/>
      <c r="E7743" s="410">
        <v>40953</v>
      </c>
      <c r="F7743" s="410">
        <v>40998</v>
      </c>
      <c r="G7743" s="405" t="s">
        <v>11218</v>
      </c>
      <c r="H7743" s="405">
        <v>783233159</v>
      </c>
      <c r="I7743" s="405"/>
      <c r="J7743" s="405">
        <v>0.790574</v>
      </c>
      <c r="K7743" s="405">
        <v>34.084516999999998</v>
      </c>
      <c r="L7743" s="405" t="s">
        <v>6866</v>
      </c>
      <c r="M7743" s="405" t="s">
        <v>9534</v>
      </c>
      <c r="N7743" s="405" t="s">
        <v>9535</v>
      </c>
      <c r="O7743" s="405" t="s">
        <v>9536</v>
      </c>
      <c r="P7743" s="405" t="s">
        <v>11219</v>
      </c>
      <c r="Q7743" s="411">
        <v>6</v>
      </c>
      <c r="R7743" s="405" t="s">
        <v>7224</v>
      </c>
      <c r="S7743" s="405" t="s">
        <v>27309</v>
      </c>
      <c r="T7743" s="405" t="s">
        <v>32102</v>
      </c>
      <c r="U7743" s="405" t="s">
        <v>319</v>
      </c>
    </row>
    <row r="7744" spans="1:21" hidden="1" x14ac:dyDescent="0.25">
      <c r="A7744" s="405" t="s">
        <v>310</v>
      </c>
      <c r="B7744" s="405" t="s">
        <v>45</v>
      </c>
      <c r="C7744" s="405" t="s">
        <v>327</v>
      </c>
      <c r="D7744" s="405"/>
      <c r="E7744" s="410">
        <v>40953</v>
      </c>
      <c r="F7744" s="410">
        <v>40998</v>
      </c>
      <c r="G7744" s="405" t="s">
        <v>2289</v>
      </c>
      <c r="H7744" s="405">
        <v>777912207</v>
      </c>
      <c r="I7744" s="405">
        <v>788691703</v>
      </c>
      <c r="J7744" s="405">
        <v>0.39873500000000001</v>
      </c>
      <c r="K7744" s="405">
        <v>32.145826999999997</v>
      </c>
      <c r="L7744" s="405" t="s">
        <v>314</v>
      </c>
      <c r="M7744" s="405" t="s">
        <v>675</v>
      </c>
      <c r="N7744" s="405" t="s">
        <v>1065</v>
      </c>
      <c r="O7744" s="405" t="s">
        <v>1066</v>
      </c>
      <c r="P7744" s="405" t="s">
        <v>2290</v>
      </c>
      <c r="Q7744" s="411">
        <v>6</v>
      </c>
      <c r="R7744" s="405" t="s">
        <v>438</v>
      </c>
      <c r="S7744" s="405" t="s">
        <v>27131</v>
      </c>
      <c r="T7744" s="405" t="s">
        <v>32102</v>
      </c>
      <c r="U7744" s="405" t="s">
        <v>319</v>
      </c>
    </row>
    <row r="7745" spans="1:21" hidden="1" x14ac:dyDescent="0.25">
      <c r="A7745" s="405" t="s">
        <v>310</v>
      </c>
      <c r="B7745" s="405" t="s">
        <v>2846</v>
      </c>
      <c r="C7745" s="405" t="s">
        <v>311</v>
      </c>
      <c r="D7745" s="405" t="s">
        <v>312</v>
      </c>
      <c r="E7745" s="410">
        <v>40952</v>
      </c>
      <c r="F7745" s="410">
        <v>40997</v>
      </c>
      <c r="G7745" s="405" t="s">
        <v>2847</v>
      </c>
      <c r="H7745" s="405">
        <v>787587062</v>
      </c>
      <c r="I7745" s="405">
        <v>771817920</v>
      </c>
      <c r="J7745" s="405">
        <v>0.23722499999999999</v>
      </c>
      <c r="K7745" s="405">
        <v>32.501747000000002</v>
      </c>
      <c r="L7745" s="405" t="s">
        <v>314</v>
      </c>
      <c r="M7745" s="405" t="s">
        <v>361</v>
      </c>
      <c r="N7745" s="405" t="s">
        <v>374</v>
      </c>
      <c r="O7745" s="405" t="s">
        <v>2496</v>
      </c>
      <c r="P7745" s="405" t="s">
        <v>2848</v>
      </c>
      <c r="Q7745" s="411">
        <v>6</v>
      </c>
      <c r="R7745" s="405" t="s">
        <v>567</v>
      </c>
      <c r="S7745" s="405" t="s">
        <v>27112</v>
      </c>
      <c r="T7745" s="405" t="s">
        <v>32102</v>
      </c>
      <c r="U7745" s="405" t="s">
        <v>319</v>
      </c>
    </row>
    <row r="7746" spans="1:21" hidden="1" x14ac:dyDescent="0.25">
      <c r="A7746" s="405" t="s">
        <v>310</v>
      </c>
      <c r="B7746" s="405" t="s">
        <v>27758</v>
      </c>
      <c r="C7746" s="405" t="s">
        <v>327</v>
      </c>
      <c r="D7746" s="405"/>
      <c r="E7746" s="410">
        <v>40952</v>
      </c>
      <c r="F7746" s="410">
        <v>40997</v>
      </c>
      <c r="G7746" s="405" t="s">
        <v>18280</v>
      </c>
      <c r="H7746" s="405">
        <v>785090910</v>
      </c>
      <c r="I7746" s="405">
        <v>774352421</v>
      </c>
      <c r="J7746" s="405">
        <v>2.2175859999999998</v>
      </c>
      <c r="K7746" s="405">
        <v>33.095137999999999</v>
      </c>
      <c r="L7746" s="405" t="s">
        <v>860</v>
      </c>
      <c r="M7746" s="405" t="s">
        <v>18234</v>
      </c>
      <c r="N7746" s="405" t="s">
        <v>18281</v>
      </c>
      <c r="O7746" s="405" t="s">
        <v>18260</v>
      </c>
      <c r="P7746" s="405" t="s">
        <v>18282</v>
      </c>
      <c r="Q7746" s="411">
        <v>6</v>
      </c>
      <c r="R7746" s="405" t="s">
        <v>318</v>
      </c>
      <c r="S7746" s="405" t="s">
        <v>27343</v>
      </c>
      <c r="T7746" s="405" t="s">
        <v>32102</v>
      </c>
      <c r="U7746" s="405" t="s">
        <v>319</v>
      </c>
    </row>
    <row r="7747" spans="1:21" hidden="1" x14ac:dyDescent="0.25">
      <c r="A7747" s="405" t="s">
        <v>310</v>
      </c>
      <c r="B7747" s="405" t="s">
        <v>18286</v>
      </c>
      <c r="C7747" s="405" t="s">
        <v>327</v>
      </c>
      <c r="D7747" s="405"/>
      <c r="E7747" s="410">
        <v>40951</v>
      </c>
      <c r="F7747" s="410">
        <v>40996</v>
      </c>
      <c r="G7747" s="405" t="s">
        <v>18287</v>
      </c>
      <c r="H7747" s="405">
        <v>772442962</v>
      </c>
      <c r="I7747" s="405">
        <v>392841157</v>
      </c>
      <c r="J7747" s="405">
        <v>2.2242549999999999</v>
      </c>
      <c r="K7747" s="405">
        <v>32.733432000000001</v>
      </c>
      <c r="L7747" s="405" t="s">
        <v>860</v>
      </c>
      <c r="M7747" s="405" t="s">
        <v>18288</v>
      </c>
      <c r="N7747" s="405" t="s">
        <v>18289</v>
      </c>
      <c r="O7747" s="405" t="s">
        <v>18290</v>
      </c>
      <c r="P7747" s="405" t="s">
        <v>18291</v>
      </c>
      <c r="Q7747" s="411">
        <v>12</v>
      </c>
      <c r="R7747" s="405" t="s">
        <v>994</v>
      </c>
      <c r="S7747" s="405" t="s">
        <v>27376</v>
      </c>
      <c r="T7747" s="405" t="s">
        <v>32102</v>
      </c>
      <c r="U7747" s="405" t="s">
        <v>319</v>
      </c>
    </row>
    <row r="7748" spans="1:21" hidden="1" x14ac:dyDescent="0.25">
      <c r="A7748" s="405" t="s">
        <v>310</v>
      </c>
      <c r="B7748" s="405" t="s">
        <v>11147</v>
      </c>
      <c r="C7748" s="405" t="s">
        <v>327</v>
      </c>
      <c r="D7748" s="405"/>
      <c r="E7748" s="410">
        <v>40950</v>
      </c>
      <c r="F7748" s="410">
        <v>40995</v>
      </c>
      <c r="G7748" s="405" t="s">
        <v>11148</v>
      </c>
      <c r="H7748" s="405">
        <v>772468759</v>
      </c>
      <c r="I7748" s="405">
        <v>701468759</v>
      </c>
      <c r="J7748" s="405">
        <v>1.0871230000000001</v>
      </c>
      <c r="K7748" s="405">
        <v>34.266179999999999</v>
      </c>
      <c r="L7748" s="405" t="s">
        <v>6866</v>
      </c>
      <c r="M7748" s="405" t="s">
        <v>9514</v>
      </c>
      <c r="N7748" s="405" t="s">
        <v>9529</v>
      </c>
      <c r="O7748" s="405" t="s">
        <v>10139</v>
      </c>
      <c r="P7748" s="405" t="s">
        <v>11149</v>
      </c>
      <c r="Q7748" s="411">
        <v>6</v>
      </c>
      <c r="R7748" s="405" t="s">
        <v>7224</v>
      </c>
      <c r="S7748" s="405" t="s">
        <v>17013</v>
      </c>
      <c r="T7748" s="405" t="s">
        <v>32102</v>
      </c>
      <c r="U7748" s="405" t="s">
        <v>319</v>
      </c>
    </row>
    <row r="7749" spans="1:21" hidden="1" x14ac:dyDescent="0.25">
      <c r="A7749" s="405" t="s">
        <v>310</v>
      </c>
      <c r="B7749" s="405" t="s">
        <v>11208</v>
      </c>
      <c r="C7749" s="405" t="s">
        <v>327</v>
      </c>
      <c r="D7749" s="405"/>
      <c r="E7749" s="410">
        <v>40950</v>
      </c>
      <c r="F7749" s="410">
        <v>40995</v>
      </c>
      <c r="G7749" s="405" t="s">
        <v>11209</v>
      </c>
      <c r="H7749" s="405">
        <v>781572750</v>
      </c>
      <c r="I7749" s="405"/>
      <c r="J7749" s="405">
        <v>1.0007330000000001</v>
      </c>
      <c r="K7749" s="405">
        <v>34.025765</v>
      </c>
      <c r="L7749" s="405" t="s">
        <v>6866</v>
      </c>
      <c r="M7749" s="405" t="s">
        <v>9566</v>
      </c>
      <c r="N7749" s="405" t="s">
        <v>9931</v>
      </c>
      <c r="O7749" s="405" t="s">
        <v>9932</v>
      </c>
      <c r="P7749" s="405" t="s">
        <v>11210</v>
      </c>
      <c r="Q7749" s="411">
        <v>6</v>
      </c>
      <c r="R7749" s="405" t="s">
        <v>7224</v>
      </c>
      <c r="S7749" s="405" t="s">
        <v>27074</v>
      </c>
      <c r="T7749" s="405" t="s">
        <v>32102</v>
      </c>
      <c r="U7749" s="405" t="s">
        <v>319</v>
      </c>
    </row>
    <row r="7750" spans="1:21" hidden="1" x14ac:dyDescent="0.25">
      <c r="A7750" s="405" t="s">
        <v>310</v>
      </c>
      <c r="B7750" s="405" t="s">
        <v>11630</v>
      </c>
      <c r="C7750" s="405" t="s">
        <v>311</v>
      </c>
      <c r="D7750" s="405" t="s">
        <v>839</v>
      </c>
      <c r="E7750" s="410">
        <v>40949</v>
      </c>
      <c r="F7750" s="410">
        <v>40994</v>
      </c>
      <c r="G7750" s="405" t="s">
        <v>11631</v>
      </c>
      <c r="H7750" s="405">
        <v>772378887</v>
      </c>
      <c r="I7750" s="405">
        <v>711378887</v>
      </c>
      <c r="J7750" s="405">
        <v>1.05501</v>
      </c>
      <c r="K7750" s="405">
        <v>33.072785000000003</v>
      </c>
      <c r="L7750" s="405" t="s">
        <v>6866</v>
      </c>
      <c r="M7750" s="405" t="s">
        <v>3009</v>
      </c>
      <c r="N7750" s="405" t="s">
        <v>11632</v>
      </c>
      <c r="O7750" s="405" t="s">
        <v>11633</v>
      </c>
      <c r="P7750" s="405" t="s">
        <v>11634</v>
      </c>
      <c r="Q7750" s="411">
        <v>12</v>
      </c>
      <c r="R7750" s="405" t="s">
        <v>32478</v>
      </c>
      <c r="S7750" s="405" t="s">
        <v>27195</v>
      </c>
      <c r="T7750" s="405" t="s">
        <v>32102</v>
      </c>
      <c r="U7750" s="405" t="s">
        <v>319</v>
      </c>
    </row>
    <row r="7751" spans="1:21" hidden="1" x14ac:dyDescent="0.25">
      <c r="A7751" s="405" t="s">
        <v>310</v>
      </c>
      <c r="B7751" s="405" t="s">
        <v>82</v>
      </c>
      <c r="C7751" s="405" t="s">
        <v>327</v>
      </c>
      <c r="D7751" s="405"/>
      <c r="E7751" s="410">
        <v>40949</v>
      </c>
      <c r="F7751" s="410">
        <v>40994</v>
      </c>
      <c r="G7751" s="405" t="s">
        <v>2260</v>
      </c>
      <c r="H7751" s="405">
        <v>772337931</v>
      </c>
      <c r="I7751" s="405"/>
      <c r="J7751" s="405">
        <v>0.10907</v>
      </c>
      <c r="K7751" s="405">
        <v>31.988427999999999</v>
      </c>
      <c r="L7751" s="405" t="s">
        <v>314</v>
      </c>
      <c r="M7751" s="405" t="s">
        <v>315</v>
      </c>
      <c r="N7751" s="405" t="s">
        <v>315</v>
      </c>
      <c r="O7751" s="405" t="s">
        <v>671</v>
      </c>
      <c r="P7751" s="405" t="s">
        <v>2259</v>
      </c>
      <c r="Q7751" s="411">
        <v>9</v>
      </c>
      <c r="R7751" s="405" t="s">
        <v>318</v>
      </c>
      <c r="S7751" s="405" t="s">
        <v>27137</v>
      </c>
      <c r="T7751" s="405" t="s">
        <v>32102</v>
      </c>
      <c r="U7751" s="405" t="s">
        <v>319</v>
      </c>
    </row>
    <row r="7752" spans="1:21" hidden="1" x14ac:dyDescent="0.25">
      <c r="A7752" s="405" t="s">
        <v>310</v>
      </c>
      <c r="B7752" s="405" t="s">
        <v>11590</v>
      </c>
      <c r="C7752" s="405" t="s">
        <v>311</v>
      </c>
      <c r="D7752" s="405" t="s">
        <v>839</v>
      </c>
      <c r="E7752" s="410">
        <v>40949</v>
      </c>
      <c r="F7752" s="410">
        <v>40994</v>
      </c>
      <c r="G7752" s="405" t="s">
        <v>11591</v>
      </c>
      <c r="H7752" s="405">
        <v>782401711</v>
      </c>
      <c r="I7752" s="405">
        <v>772040742</v>
      </c>
      <c r="J7752" s="405">
        <v>1.0210900000000001</v>
      </c>
      <c r="K7752" s="405">
        <v>34.192053000000001</v>
      </c>
      <c r="L7752" s="405" t="s">
        <v>6866</v>
      </c>
      <c r="M7752" s="405" t="s">
        <v>9514</v>
      </c>
      <c r="N7752" s="405" t="s">
        <v>9529</v>
      </c>
      <c r="O7752" s="405" t="s">
        <v>9571</v>
      </c>
      <c r="P7752" s="405" t="s">
        <v>11592</v>
      </c>
      <c r="Q7752" s="411">
        <v>6</v>
      </c>
      <c r="R7752" s="405" t="s">
        <v>7224</v>
      </c>
      <c r="S7752" s="405" t="s">
        <v>27300</v>
      </c>
      <c r="T7752" s="405" t="s">
        <v>32102</v>
      </c>
      <c r="U7752" s="405" t="s">
        <v>319</v>
      </c>
    </row>
    <row r="7753" spans="1:21" hidden="1" x14ac:dyDescent="0.25">
      <c r="A7753" s="405" t="s">
        <v>310</v>
      </c>
      <c r="B7753" s="405" t="s">
        <v>11225</v>
      </c>
      <c r="C7753" s="405" t="s">
        <v>327</v>
      </c>
      <c r="D7753" s="405"/>
      <c r="E7753" s="410">
        <v>40948</v>
      </c>
      <c r="F7753" s="410">
        <v>40993</v>
      </c>
      <c r="G7753" s="405" t="s">
        <v>11226</v>
      </c>
      <c r="H7753" s="405">
        <v>782774607</v>
      </c>
      <c r="I7753" s="405">
        <v>755774607</v>
      </c>
      <c r="J7753" s="405">
        <v>0.64191799999999999</v>
      </c>
      <c r="K7753" s="405">
        <v>34.167216000000003</v>
      </c>
      <c r="L7753" s="405" t="s">
        <v>6866</v>
      </c>
      <c r="M7753" s="405" t="s">
        <v>9534</v>
      </c>
      <c r="N7753" s="405" t="s">
        <v>10201</v>
      </c>
      <c r="O7753" s="405" t="s">
        <v>10202</v>
      </c>
      <c r="P7753" s="405" t="s">
        <v>11227</v>
      </c>
      <c r="Q7753" s="411">
        <v>12</v>
      </c>
      <c r="R7753" s="405" t="s">
        <v>7224</v>
      </c>
      <c r="S7753" s="405" t="s">
        <v>27259</v>
      </c>
      <c r="T7753" s="405" t="s">
        <v>32102</v>
      </c>
      <c r="U7753" s="405" t="s">
        <v>319</v>
      </c>
    </row>
    <row r="7754" spans="1:21" hidden="1" x14ac:dyDescent="0.25">
      <c r="A7754" s="405" t="s">
        <v>310</v>
      </c>
      <c r="B7754" s="405" t="s">
        <v>11170</v>
      </c>
      <c r="C7754" s="405" t="s">
        <v>327</v>
      </c>
      <c r="D7754" s="405"/>
      <c r="E7754" s="410">
        <v>40948</v>
      </c>
      <c r="F7754" s="410">
        <v>40993</v>
      </c>
      <c r="G7754" s="405" t="s">
        <v>11171</v>
      </c>
      <c r="H7754" s="405">
        <v>752393588</v>
      </c>
      <c r="I7754" s="405">
        <v>772302403</v>
      </c>
      <c r="J7754" s="405">
        <v>0.98637399999999997</v>
      </c>
      <c r="K7754" s="405">
        <v>34.063164999999998</v>
      </c>
      <c r="L7754" s="405" t="s">
        <v>6866</v>
      </c>
      <c r="M7754" s="405" t="s">
        <v>9566</v>
      </c>
      <c r="N7754" s="405" t="s">
        <v>10001</v>
      </c>
      <c r="O7754" s="405" t="s">
        <v>9932</v>
      </c>
      <c r="P7754" s="405" t="s">
        <v>11172</v>
      </c>
      <c r="Q7754" s="411">
        <v>6</v>
      </c>
      <c r="R7754" s="405" t="s">
        <v>33091</v>
      </c>
      <c r="S7754" s="405" t="s">
        <v>27318</v>
      </c>
      <c r="T7754" s="405" t="s">
        <v>32102</v>
      </c>
      <c r="U7754" s="405" t="s">
        <v>319</v>
      </c>
    </row>
    <row r="7755" spans="1:21" hidden="1" x14ac:dyDescent="0.25">
      <c r="A7755" s="405" t="s">
        <v>310</v>
      </c>
      <c r="B7755" s="405" t="s">
        <v>11205</v>
      </c>
      <c r="C7755" s="405" t="s">
        <v>327</v>
      </c>
      <c r="D7755" s="405"/>
      <c r="E7755" s="410">
        <v>40947</v>
      </c>
      <c r="F7755" s="410">
        <v>40992</v>
      </c>
      <c r="G7755" s="405" t="s">
        <v>11206</v>
      </c>
      <c r="H7755" s="405">
        <v>784678949</v>
      </c>
      <c r="I7755" s="405"/>
      <c r="J7755" s="405">
        <v>0.98125200000000001</v>
      </c>
      <c r="K7755" s="405">
        <v>34.079751000000002</v>
      </c>
      <c r="L7755" s="405" t="s">
        <v>6866</v>
      </c>
      <c r="M7755" s="405" t="s">
        <v>9566</v>
      </c>
      <c r="N7755" s="405" t="s">
        <v>9931</v>
      </c>
      <c r="O7755" s="405" t="s">
        <v>9932</v>
      </c>
      <c r="P7755" s="405" t="s">
        <v>11207</v>
      </c>
      <c r="Q7755" s="411">
        <v>6</v>
      </c>
      <c r="R7755" s="405" t="s">
        <v>7224</v>
      </c>
      <c r="S7755" s="405" t="s">
        <v>27298</v>
      </c>
      <c r="T7755" s="405" t="s">
        <v>32102</v>
      </c>
      <c r="U7755" s="405" t="s">
        <v>319</v>
      </c>
    </row>
    <row r="7756" spans="1:21" hidden="1" x14ac:dyDescent="0.25">
      <c r="A7756" s="405" t="s">
        <v>310</v>
      </c>
      <c r="B7756" s="405" t="s">
        <v>11176</v>
      </c>
      <c r="C7756" s="405" t="s">
        <v>327</v>
      </c>
      <c r="D7756" s="405"/>
      <c r="E7756" s="410">
        <v>40947</v>
      </c>
      <c r="F7756" s="410">
        <v>40992</v>
      </c>
      <c r="G7756" s="405" t="s">
        <v>11177</v>
      </c>
      <c r="H7756" s="405">
        <v>782969992</v>
      </c>
      <c r="I7756" s="405"/>
      <c r="J7756" s="405">
        <v>1.0141789999999999</v>
      </c>
      <c r="K7756" s="405">
        <v>34.106687000000001</v>
      </c>
      <c r="L7756" s="405" t="s">
        <v>6866</v>
      </c>
      <c r="M7756" s="405" t="s">
        <v>9566</v>
      </c>
      <c r="N7756" s="405" t="s">
        <v>10001</v>
      </c>
      <c r="O7756" s="405" t="s">
        <v>11178</v>
      </c>
      <c r="P7756" s="405" t="s">
        <v>11179</v>
      </c>
      <c r="Q7756" s="411">
        <v>6</v>
      </c>
      <c r="R7756" s="405" t="s">
        <v>7224</v>
      </c>
      <c r="S7756" s="405" t="s">
        <v>27204</v>
      </c>
      <c r="T7756" s="405" t="s">
        <v>32102</v>
      </c>
      <c r="U7756" s="405" t="s">
        <v>319</v>
      </c>
    </row>
    <row r="7757" spans="1:21" hidden="1" x14ac:dyDescent="0.25">
      <c r="A7757" s="405" t="s">
        <v>310</v>
      </c>
      <c r="B7757" s="405" t="s">
        <v>18283</v>
      </c>
      <c r="C7757" s="405" t="s">
        <v>327</v>
      </c>
      <c r="D7757" s="405"/>
      <c r="E7757" s="410">
        <v>40947</v>
      </c>
      <c r="F7757" s="410">
        <v>40992</v>
      </c>
      <c r="G7757" s="405" t="s">
        <v>18284</v>
      </c>
      <c r="H7757" s="405">
        <v>778438073</v>
      </c>
      <c r="I7757" s="405"/>
      <c r="J7757" s="405">
        <v>1.9379500000000001</v>
      </c>
      <c r="K7757" s="405">
        <v>33.181724000000003</v>
      </c>
      <c r="L7757" s="405" t="s">
        <v>860</v>
      </c>
      <c r="M7757" s="405" t="s">
        <v>12189</v>
      </c>
      <c r="N7757" s="405" t="s">
        <v>12189</v>
      </c>
      <c r="O7757" s="405" t="s">
        <v>12189</v>
      </c>
      <c r="P7757" s="405" t="s">
        <v>18285</v>
      </c>
      <c r="Q7757" s="411">
        <v>4</v>
      </c>
      <c r="R7757" s="405" t="s">
        <v>318</v>
      </c>
      <c r="S7757" s="405" t="s">
        <v>27243</v>
      </c>
      <c r="T7757" s="405" t="s">
        <v>32102</v>
      </c>
      <c r="U7757" s="405" t="s">
        <v>319</v>
      </c>
    </row>
    <row r="7758" spans="1:21" hidden="1" x14ac:dyDescent="0.25">
      <c r="A7758" s="405" t="s">
        <v>310</v>
      </c>
      <c r="B7758" s="405" t="s">
        <v>27714</v>
      </c>
      <c r="C7758" s="405" t="s">
        <v>311</v>
      </c>
      <c r="D7758" s="405" t="s">
        <v>11602</v>
      </c>
      <c r="E7758" s="410">
        <v>40946</v>
      </c>
      <c r="F7758" s="410">
        <v>40991</v>
      </c>
      <c r="G7758" s="405" t="s">
        <v>11603</v>
      </c>
      <c r="H7758" s="405">
        <v>772474225</v>
      </c>
      <c r="I7758" s="405">
        <v>783619551</v>
      </c>
      <c r="J7758" s="405">
        <v>1.565053</v>
      </c>
      <c r="K7758" s="405">
        <v>33.440227999999998</v>
      </c>
      <c r="L7758" s="405" t="s">
        <v>6866</v>
      </c>
      <c r="M7758" s="405" t="s">
        <v>9658</v>
      </c>
      <c r="N7758" s="405" t="s">
        <v>9658</v>
      </c>
      <c r="O7758" s="405" t="s">
        <v>9659</v>
      </c>
      <c r="P7758" s="405" t="s">
        <v>11604</v>
      </c>
      <c r="Q7758" s="411">
        <v>6</v>
      </c>
      <c r="R7758" s="405" t="s">
        <v>5655</v>
      </c>
      <c r="S7758" s="405" t="s">
        <v>27323</v>
      </c>
      <c r="T7758" s="405" t="s">
        <v>32102</v>
      </c>
      <c r="U7758" s="405" t="s">
        <v>319</v>
      </c>
    </row>
    <row r="7759" spans="1:21" hidden="1" x14ac:dyDescent="0.25">
      <c r="A7759" s="405" t="s">
        <v>310</v>
      </c>
      <c r="B7759" s="405" t="s">
        <v>2277</v>
      </c>
      <c r="C7759" s="405" t="s">
        <v>327</v>
      </c>
      <c r="D7759" s="405"/>
      <c r="E7759" s="410">
        <v>40946</v>
      </c>
      <c r="F7759" s="410">
        <v>40991</v>
      </c>
      <c r="G7759" s="405" t="s">
        <v>2278</v>
      </c>
      <c r="H7759" s="405">
        <v>754530350</v>
      </c>
      <c r="I7759" s="405"/>
      <c r="J7759" s="405">
        <v>0.16818833333333333</v>
      </c>
      <c r="K7759" s="405">
        <v>32.328803333333333</v>
      </c>
      <c r="L7759" s="405" t="s">
        <v>314</v>
      </c>
      <c r="M7759" s="405" t="s">
        <v>321</v>
      </c>
      <c r="N7759" s="405" t="s">
        <v>322</v>
      </c>
      <c r="O7759" s="405" t="s">
        <v>996</v>
      </c>
      <c r="P7759" s="405" t="s">
        <v>1163</v>
      </c>
      <c r="Q7759" s="411">
        <v>6</v>
      </c>
      <c r="R7759" s="405" t="s">
        <v>318</v>
      </c>
      <c r="S7759" s="405" t="s">
        <v>27113</v>
      </c>
      <c r="T7759" s="405" t="s">
        <v>32102</v>
      </c>
      <c r="U7759" s="405" t="s">
        <v>319</v>
      </c>
    </row>
    <row r="7760" spans="1:21" hidden="1" x14ac:dyDescent="0.25">
      <c r="A7760" s="405" t="s">
        <v>310</v>
      </c>
      <c r="B7760" s="405" t="s">
        <v>11199</v>
      </c>
      <c r="C7760" s="405" t="s">
        <v>327</v>
      </c>
      <c r="D7760" s="405"/>
      <c r="E7760" s="410">
        <v>40945</v>
      </c>
      <c r="F7760" s="410">
        <v>40990</v>
      </c>
      <c r="G7760" s="405" t="s">
        <v>11200</v>
      </c>
      <c r="H7760" s="405">
        <v>772419778</v>
      </c>
      <c r="I7760" s="405"/>
      <c r="J7760" s="405">
        <v>0.99309599999999998</v>
      </c>
      <c r="K7760" s="405">
        <v>34.045206</v>
      </c>
      <c r="L7760" s="405" t="s">
        <v>6866</v>
      </c>
      <c r="M7760" s="405" t="s">
        <v>9566</v>
      </c>
      <c r="N7760" s="405" t="s">
        <v>9931</v>
      </c>
      <c r="O7760" s="405" t="s">
        <v>9932</v>
      </c>
      <c r="P7760" s="405" t="s">
        <v>11201</v>
      </c>
      <c r="Q7760" s="411">
        <v>6</v>
      </c>
      <c r="R7760" s="405" t="s">
        <v>7224</v>
      </c>
      <c r="S7760" s="405" t="s">
        <v>27298</v>
      </c>
      <c r="T7760" s="405" t="s">
        <v>32102</v>
      </c>
      <c r="U7760" s="405" t="s">
        <v>319</v>
      </c>
    </row>
    <row r="7761" spans="1:21" hidden="1" x14ac:dyDescent="0.25">
      <c r="A7761" s="405" t="s">
        <v>310</v>
      </c>
      <c r="B7761" s="405" t="s">
        <v>11232</v>
      </c>
      <c r="C7761" s="405" t="s">
        <v>327</v>
      </c>
      <c r="D7761" s="405"/>
      <c r="E7761" s="410">
        <v>40945</v>
      </c>
      <c r="F7761" s="410">
        <v>40990</v>
      </c>
      <c r="G7761" s="405" t="s">
        <v>11233</v>
      </c>
      <c r="H7761" s="405">
        <v>774353907</v>
      </c>
      <c r="I7761" s="405"/>
      <c r="J7761" s="405">
        <v>0.953426</v>
      </c>
      <c r="K7761" s="405">
        <v>34.302931000000001</v>
      </c>
      <c r="L7761" s="405" t="s">
        <v>6866</v>
      </c>
      <c r="M7761" s="405" t="s">
        <v>9763</v>
      </c>
      <c r="N7761" s="405" t="s">
        <v>9764</v>
      </c>
      <c r="O7761" s="405" t="s">
        <v>10118</v>
      </c>
      <c r="P7761" s="405" t="s">
        <v>11234</v>
      </c>
      <c r="Q7761" s="411">
        <v>6</v>
      </c>
      <c r="R7761" s="405" t="s">
        <v>7224</v>
      </c>
      <c r="S7761" s="405" t="s">
        <v>27197</v>
      </c>
      <c r="T7761" s="405" t="s">
        <v>32102</v>
      </c>
      <c r="U7761" s="405" t="s">
        <v>319</v>
      </c>
    </row>
    <row r="7762" spans="1:21" hidden="1" x14ac:dyDescent="0.25">
      <c r="A7762" s="405" t="s">
        <v>310</v>
      </c>
      <c r="B7762" s="405" t="s">
        <v>11173</v>
      </c>
      <c r="C7762" s="405" t="s">
        <v>327</v>
      </c>
      <c r="D7762" s="405"/>
      <c r="E7762" s="410">
        <v>40945</v>
      </c>
      <c r="F7762" s="410">
        <v>40990</v>
      </c>
      <c r="G7762" s="405" t="s">
        <v>11174</v>
      </c>
      <c r="H7762" s="405">
        <v>776067202</v>
      </c>
      <c r="I7762" s="405"/>
      <c r="J7762" s="405">
        <v>0.98298300000000005</v>
      </c>
      <c r="K7762" s="405">
        <v>34.031174999999998</v>
      </c>
      <c r="L7762" s="405" t="s">
        <v>6866</v>
      </c>
      <c r="M7762" s="405" t="s">
        <v>9566</v>
      </c>
      <c r="N7762" s="405" t="s">
        <v>10001</v>
      </c>
      <c r="O7762" s="405" t="s">
        <v>9932</v>
      </c>
      <c r="P7762" s="405" t="s">
        <v>11175</v>
      </c>
      <c r="Q7762" s="411">
        <v>6</v>
      </c>
      <c r="R7762" s="405" t="s">
        <v>7224</v>
      </c>
      <c r="S7762" s="405" t="s">
        <v>27107</v>
      </c>
      <c r="T7762" s="405" t="s">
        <v>32102</v>
      </c>
      <c r="U7762" s="405" t="s">
        <v>319</v>
      </c>
    </row>
    <row r="7763" spans="1:21" hidden="1" x14ac:dyDescent="0.25">
      <c r="A7763" s="405" t="s">
        <v>310</v>
      </c>
      <c r="B7763" s="405" t="s">
        <v>11151</v>
      </c>
      <c r="C7763" s="405" t="s">
        <v>327</v>
      </c>
      <c r="D7763" s="405"/>
      <c r="E7763" s="410">
        <v>40943</v>
      </c>
      <c r="F7763" s="410">
        <v>40988</v>
      </c>
      <c r="G7763" s="405" t="s">
        <v>11152</v>
      </c>
      <c r="H7763" s="405">
        <v>757883602</v>
      </c>
      <c r="I7763" s="405"/>
      <c r="J7763" s="405">
        <v>0.70889400000000002</v>
      </c>
      <c r="K7763" s="405">
        <v>33.868813000000003</v>
      </c>
      <c r="L7763" s="405" t="s">
        <v>6866</v>
      </c>
      <c r="M7763" s="405" t="s">
        <v>9566</v>
      </c>
      <c r="N7763" s="405" t="s">
        <v>9787</v>
      </c>
      <c r="O7763" s="405" t="s">
        <v>9788</v>
      </c>
      <c r="P7763" s="405" t="s">
        <v>10637</v>
      </c>
      <c r="Q7763" s="411">
        <v>6</v>
      </c>
      <c r="R7763" s="405" t="s">
        <v>7224</v>
      </c>
      <c r="S7763" s="405" t="s">
        <v>27204</v>
      </c>
      <c r="T7763" s="405" t="s">
        <v>32102</v>
      </c>
      <c r="U7763" s="405" t="s">
        <v>319</v>
      </c>
    </row>
    <row r="7764" spans="1:21" hidden="1" x14ac:dyDescent="0.25">
      <c r="A7764" s="405" t="s">
        <v>310</v>
      </c>
      <c r="B7764" s="405" t="s">
        <v>11194</v>
      </c>
      <c r="C7764" s="405" t="s">
        <v>327</v>
      </c>
      <c r="D7764" s="405"/>
      <c r="E7764" s="410">
        <v>40943</v>
      </c>
      <c r="F7764" s="410">
        <v>40988</v>
      </c>
      <c r="G7764" s="405" t="s">
        <v>11195</v>
      </c>
      <c r="H7764" s="405">
        <v>774915010</v>
      </c>
      <c r="I7764" s="405"/>
      <c r="J7764" s="405">
        <v>0.79683000000000004</v>
      </c>
      <c r="K7764" s="405">
        <v>34.376466999999998</v>
      </c>
      <c r="L7764" s="405" t="s">
        <v>6866</v>
      </c>
      <c r="M7764" s="405" t="s">
        <v>9763</v>
      </c>
      <c r="N7764" s="405" t="s">
        <v>9848</v>
      </c>
      <c r="O7764" s="405" t="s">
        <v>10668</v>
      </c>
      <c r="P7764" s="405" t="s">
        <v>11196</v>
      </c>
      <c r="Q7764" s="411">
        <v>6</v>
      </c>
      <c r="R7764" s="405" t="s">
        <v>7224</v>
      </c>
      <c r="S7764" s="405" t="s">
        <v>27310</v>
      </c>
      <c r="T7764" s="405" t="s">
        <v>32102</v>
      </c>
      <c r="U7764" s="405" t="s">
        <v>319</v>
      </c>
    </row>
    <row r="7765" spans="1:21" hidden="1" x14ac:dyDescent="0.25">
      <c r="A7765" s="405" t="s">
        <v>310</v>
      </c>
      <c r="B7765" s="405" t="s">
        <v>11214</v>
      </c>
      <c r="C7765" s="405" t="s">
        <v>327</v>
      </c>
      <c r="D7765" s="405"/>
      <c r="E7765" s="410">
        <v>40943</v>
      </c>
      <c r="F7765" s="410">
        <v>40988</v>
      </c>
      <c r="G7765" s="405" t="s">
        <v>11215</v>
      </c>
      <c r="H7765" s="405">
        <v>789161449</v>
      </c>
      <c r="I7765" s="405"/>
      <c r="J7765" s="405">
        <v>0.99184899999999998</v>
      </c>
      <c r="K7765" s="405">
        <v>34.075555000000001</v>
      </c>
      <c r="L7765" s="405" t="s">
        <v>6866</v>
      </c>
      <c r="M7765" s="405" t="s">
        <v>9566</v>
      </c>
      <c r="N7765" s="405" t="s">
        <v>9931</v>
      </c>
      <c r="O7765" s="405" t="s">
        <v>11178</v>
      </c>
      <c r="P7765" s="405" t="s">
        <v>11216</v>
      </c>
      <c r="Q7765" s="411">
        <v>6</v>
      </c>
      <c r="R7765" s="405" t="s">
        <v>9541</v>
      </c>
      <c r="S7765" s="405" t="s">
        <v>27306</v>
      </c>
      <c r="T7765" s="405" t="s">
        <v>32102</v>
      </c>
      <c r="U7765" s="405" t="s">
        <v>319</v>
      </c>
    </row>
    <row r="7766" spans="1:21" hidden="1" x14ac:dyDescent="0.25">
      <c r="A7766" s="405" t="s">
        <v>310</v>
      </c>
      <c r="B7766" s="405" t="s">
        <v>11202</v>
      </c>
      <c r="C7766" s="405" t="s">
        <v>327</v>
      </c>
      <c r="D7766" s="405"/>
      <c r="E7766" s="410">
        <v>40941</v>
      </c>
      <c r="F7766" s="410">
        <v>40986</v>
      </c>
      <c r="G7766" s="405" t="s">
        <v>11203</v>
      </c>
      <c r="H7766" s="405">
        <v>777943334</v>
      </c>
      <c r="I7766" s="405"/>
      <c r="J7766" s="405">
        <v>0.97908200000000001</v>
      </c>
      <c r="K7766" s="405">
        <v>34.023009000000002</v>
      </c>
      <c r="L7766" s="405" t="s">
        <v>6866</v>
      </c>
      <c r="M7766" s="405" t="s">
        <v>9566</v>
      </c>
      <c r="N7766" s="405" t="s">
        <v>9931</v>
      </c>
      <c r="O7766" s="405" t="s">
        <v>9932</v>
      </c>
      <c r="P7766" s="405" t="s">
        <v>11204</v>
      </c>
      <c r="Q7766" s="411">
        <v>6</v>
      </c>
      <c r="R7766" s="405" t="s">
        <v>7224</v>
      </c>
      <c r="S7766" s="405" t="s">
        <v>17013</v>
      </c>
      <c r="T7766" s="405" t="s">
        <v>32102</v>
      </c>
      <c r="U7766" s="405" t="s">
        <v>319</v>
      </c>
    </row>
    <row r="7767" spans="1:21" hidden="1" x14ac:dyDescent="0.25">
      <c r="A7767" s="405" t="s">
        <v>310</v>
      </c>
      <c r="B7767" s="405" t="s">
        <v>2281</v>
      </c>
      <c r="C7767" s="405" t="s">
        <v>327</v>
      </c>
      <c r="D7767" s="405"/>
      <c r="E7767" s="410">
        <v>40939</v>
      </c>
      <c r="F7767" s="410">
        <v>40984</v>
      </c>
      <c r="G7767" s="405" t="s">
        <v>2282</v>
      </c>
      <c r="H7767" s="405">
        <v>783156459</v>
      </c>
      <c r="I7767" s="405"/>
      <c r="J7767" s="405">
        <v>0.51475300000000002</v>
      </c>
      <c r="K7767" s="405">
        <v>32.530481999999999</v>
      </c>
      <c r="L7767" s="405" t="s">
        <v>314</v>
      </c>
      <c r="M7767" s="405" t="s">
        <v>361</v>
      </c>
      <c r="N7767" s="405" t="s">
        <v>362</v>
      </c>
      <c r="O7767" s="405" t="s">
        <v>523</v>
      </c>
      <c r="P7767" s="405" t="s">
        <v>2283</v>
      </c>
      <c r="Q7767" s="411">
        <v>13</v>
      </c>
      <c r="R7767" s="405" t="s">
        <v>353</v>
      </c>
      <c r="S7767" s="405" t="s">
        <v>27120</v>
      </c>
      <c r="T7767" s="405" t="s">
        <v>32102</v>
      </c>
      <c r="U7767" s="405" t="s">
        <v>319</v>
      </c>
    </row>
    <row r="7768" spans="1:21" hidden="1" x14ac:dyDescent="0.25">
      <c r="A7768" s="405" t="s">
        <v>310</v>
      </c>
      <c r="B7768" s="405" t="s">
        <v>2295</v>
      </c>
      <c r="C7768" s="405" t="s">
        <v>327</v>
      </c>
      <c r="D7768" s="405"/>
      <c r="E7768" s="410">
        <v>40939</v>
      </c>
      <c r="F7768" s="410">
        <v>40984</v>
      </c>
      <c r="G7768" s="405" t="s">
        <v>2296</v>
      </c>
      <c r="H7768" s="405">
        <v>752697497</v>
      </c>
      <c r="I7768" s="405"/>
      <c r="J7768" s="405">
        <v>0.66485499999999997</v>
      </c>
      <c r="K7768" s="405">
        <v>32.385283000000001</v>
      </c>
      <c r="L7768" s="405" t="s">
        <v>314</v>
      </c>
      <c r="M7768" s="405" t="s">
        <v>2297</v>
      </c>
      <c r="N7768" s="405" t="s">
        <v>1308</v>
      </c>
      <c r="O7768" s="405" t="s">
        <v>2298</v>
      </c>
      <c r="P7768" s="405" t="s">
        <v>2299</v>
      </c>
      <c r="Q7768" s="411">
        <v>13</v>
      </c>
      <c r="R7768" s="405" t="s">
        <v>353</v>
      </c>
      <c r="S7768" s="405" t="s">
        <v>27158</v>
      </c>
      <c r="T7768" s="405" t="s">
        <v>32102</v>
      </c>
      <c r="U7768" s="405" t="s">
        <v>319</v>
      </c>
    </row>
    <row r="7769" spans="1:21" hidden="1" x14ac:dyDescent="0.25">
      <c r="A7769" s="405" t="s">
        <v>310</v>
      </c>
      <c r="B7769" s="405" t="s">
        <v>2838</v>
      </c>
      <c r="C7769" s="405" t="s">
        <v>857</v>
      </c>
      <c r="D7769" s="405" t="s">
        <v>1037</v>
      </c>
      <c r="E7769" s="410">
        <v>40939</v>
      </c>
      <c r="F7769" s="410">
        <v>40984</v>
      </c>
      <c r="G7769" s="405" t="s">
        <v>2839</v>
      </c>
      <c r="H7769" s="405">
        <v>782814601</v>
      </c>
      <c r="I7769" s="405"/>
      <c r="J7769" s="405">
        <v>0.31434200000000001</v>
      </c>
      <c r="K7769" s="405">
        <v>32.505893</v>
      </c>
      <c r="L7769" s="405" t="s">
        <v>314</v>
      </c>
      <c r="M7769" s="405" t="s">
        <v>361</v>
      </c>
      <c r="N7769" s="405" t="s">
        <v>374</v>
      </c>
      <c r="O7769" s="405" t="s">
        <v>361</v>
      </c>
      <c r="P7769" s="405" t="s">
        <v>516</v>
      </c>
      <c r="Q7769" s="411">
        <v>9</v>
      </c>
      <c r="R7769" s="405" t="s">
        <v>318</v>
      </c>
      <c r="S7769" s="405" t="s">
        <v>27035</v>
      </c>
      <c r="T7769" s="405" t="s">
        <v>32102</v>
      </c>
      <c r="U7769" s="405" t="s">
        <v>319</v>
      </c>
    </row>
    <row r="7770" spans="1:21" hidden="1" x14ac:dyDescent="0.25">
      <c r="A7770" s="405" t="s">
        <v>310</v>
      </c>
      <c r="B7770" s="405" t="s">
        <v>2832</v>
      </c>
      <c r="C7770" s="405" t="s">
        <v>311</v>
      </c>
      <c r="D7770" s="405" t="s">
        <v>312</v>
      </c>
      <c r="E7770" s="410">
        <v>40939</v>
      </c>
      <c r="F7770" s="410">
        <v>40984</v>
      </c>
      <c r="G7770" s="405" t="s">
        <v>2833</v>
      </c>
      <c r="H7770" s="405">
        <v>771618214</v>
      </c>
      <c r="I7770" s="405"/>
      <c r="J7770" s="405">
        <v>0.842472</v>
      </c>
      <c r="K7770" s="405">
        <v>32.495842000000003</v>
      </c>
      <c r="L7770" s="405" t="s">
        <v>314</v>
      </c>
      <c r="M7770" s="405" t="s">
        <v>959</v>
      </c>
      <c r="N7770" s="405" t="s">
        <v>1094</v>
      </c>
      <c r="O7770" s="405" t="s">
        <v>2834</v>
      </c>
      <c r="P7770" s="405" t="s">
        <v>2835</v>
      </c>
      <c r="Q7770" s="411">
        <v>9</v>
      </c>
      <c r="R7770" s="405" t="s">
        <v>318</v>
      </c>
      <c r="S7770" s="405" t="s">
        <v>27141</v>
      </c>
      <c r="T7770" s="405" t="s">
        <v>32102</v>
      </c>
      <c r="U7770" s="405" t="s">
        <v>319</v>
      </c>
    </row>
    <row r="7771" spans="1:21" hidden="1" x14ac:dyDescent="0.25">
      <c r="A7771" s="405" t="s">
        <v>310</v>
      </c>
      <c r="B7771" s="405" t="s">
        <v>11192</v>
      </c>
      <c r="C7771" s="405" t="s">
        <v>327</v>
      </c>
      <c r="D7771" s="405"/>
      <c r="E7771" s="410">
        <v>40939</v>
      </c>
      <c r="F7771" s="410">
        <v>40984</v>
      </c>
      <c r="G7771" s="405" t="s">
        <v>11193</v>
      </c>
      <c r="H7771" s="405">
        <v>772523775</v>
      </c>
      <c r="I7771" s="405"/>
      <c r="J7771" s="405">
        <v>0.94671539999999998</v>
      </c>
      <c r="K7771" s="405">
        <v>33.125521300000003</v>
      </c>
      <c r="L7771" s="405" t="s">
        <v>6866</v>
      </c>
      <c r="M7771" s="405" t="s">
        <v>3009</v>
      </c>
      <c r="N7771" s="405" t="s">
        <v>9612</v>
      </c>
      <c r="O7771" s="405" t="s">
        <v>10188</v>
      </c>
      <c r="P7771" s="405" t="s">
        <v>10188</v>
      </c>
      <c r="Q7771" s="411">
        <v>6</v>
      </c>
      <c r="R7771" s="405" t="s">
        <v>333</v>
      </c>
      <c r="S7771" s="405" t="s">
        <v>6822</v>
      </c>
      <c r="T7771" s="405" t="s">
        <v>32102</v>
      </c>
      <c r="U7771" s="405" t="s">
        <v>319</v>
      </c>
    </row>
    <row r="7772" spans="1:21" hidden="1" x14ac:dyDescent="0.25">
      <c r="A7772" s="405" t="s">
        <v>310</v>
      </c>
      <c r="B7772" s="405" t="s">
        <v>2851</v>
      </c>
      <c r="C7772" s="405" t="s">
        <v>311</v>
      </c>
      <c r="D7772" s="405" t="s">
        <v>312</v>
      </c>
      <c r="E7772" s="410">
        <v>40939</v>
      </c>
      <c r="F7772" s="410">
        <v>40984</v>
      </c>
      <c r="G7772" s="405" t="s">
        <v>2852</v>
      </c>
      <c r="H7772" s="405">
        <v>782318758</v>
      </c>
      <c r="I7772" s="405"/>
      <c r="J7772" s="405">
        <v>0.275445</v>
      </c>
      <c r="K7772" s="405">
        <v>32.616028</v>
      </c>
      <c r="L7772" s="405" t="s">
        <v>314</v>
      </c>
      <c r="M7772" s="405" t="s">
        <v>992</v>
      </c>
      <c r="N7772" s="405" t="s">
        <v>362</v>
      </c>
      <c r="O7772" s="405" t="s">
        <v>618</v>
      </c>
      <c r="P7772" s="405" t="s">
        <v>2853</v>
      </c>
      <c r="Q7772" s="411">
        <v>6</v>
      </c>
      <c r="R7772" s="405" t="s">
        <v>318</v>
      </c>
      <c r="S7772" s="405" t="s">
        <v>27079</v>
      </c>
      <c r="T7772" s="405" t="s">
        <v>32102</v>
      </c>
      <c r="U7772" s="405" t="s">
        <v>319</v>
      </c>
    </row>
    <row r="7773" spans="1:21" hidden="1" x14ac:dyDescent="0.25">
      <c r="A7773" s="405" t="s">
        <v>310</v>
      </c>
      <c r="B7773" s="405" t="s">
        <v>2302</v>
      </c>
      <c r="C7773" s="405" t="s">
        <v>327</v>
      </c>
      <c r="D7773" s="405"/>
      <c r="E7773" s="410">
        <v>40939</v>
      </c>
      <c r="F7773" s="410">
        <v>40984</v>
      </c>
      <c r="G7773" s="405" t="s">
        <v>2303</v>
      </c>
      <c r="H7773" s="405">
        <v>777076404</v>
      </c>
      <c r="I7773" s="405"/>
      <c r="J7773" s="405">
        <v>0.28162500000000001</v>
      </c>
      <c r="K7773" s="405">
        <v>32.528063000000003</v>
      </c>
      <c r="L7773" s="405" t="s">
        <v>314</v>
      </c>
      <c r="M7773" s="405" t="s">
        <v>361</v>
      </c>
      <c r="N7773" s="405" t="s">
        <v>362</v>
      </c>
      <c r="O7773" s="405" t="s">
        <v>618</v>
      </c>
      <c r="P7773" s="405" t="s">
        <v>2304</v>
      </c>
      <c r="Q7773" s="411">
        <v>6</v>
      </c>
      <c r="R7773" s="405" t="s">
        <v>353</v>
      </c>
      <c r="S7773" s="405" t="s">
        <v>27158</v>
      </c>
      <c r="T7773" s="405" t="s">
        <v>32102</v>
      </c>
      <c r="U7773" s="405" t="s">
        <v>319</v>
      </c>
    </row>
    <row r="7774" spans="1:21" hidden="1" x14ac:dyDescent="0.25">
      <c r="A7774" s="405" t="s">
        <v>310</v>
      </c>
      <c r="B7774" s="405" t="s">
        <v>2300</v>
      </c>
      <c r="C7774" s="405" t="s">
        <v>327</v>
      </c>
      <c r="D7774" s="405"/>
      <c r="E7774" s="410">
        <v>40939</v>
      </c>
      <c r="F7774" s="410">
        <v>40984</v>
      </c>
      <c r="G7774" s="405" t="s">
        <v>2301</v>
      </c>
      <c r="H7774" s="405">
        <v>781039161</v>
      </c>
      <c r="I7774" s="405"/>
      <c r="J7774" s="405">
        <v>0.66875300000000004</v>
      </c>
      <c r="K7774" s="405">
        <v>32.585625</v>
      </c>
      <c r="L7774" s="405" t="s">
        <v>314</v>
      </c>
      <c r="M7774" s="405" t="s">
        <v>959</v>
      </c>
      <c r="N7774" s="405" t="s">
        <v>1308</v>
      </c>
      <c r="O7774" s="405" t="s">
        <v>960</v>
      </c>
      <c r="P7774" s="405" t="s">
        <v>1488</v>
      </c>
      <c r="Q7774" s="411">
        <v>6</v>
      </c>
      <c r="R7774" s="405" t="s">
        <v>353</v>
      </c>
      <c r="S7774" s="405" t="s">
        <v>27115</v>
      </c>
      <c r="T7774" s="405" t="s">
        <v>32102</v>
      </c>
      <c r="U7774" s="405" t="s">
        <v>319</v>
      </c>
    </row>
    <row r="7775" spans="1:21" hidden="1" x14ac:dyDescent="0.25">
      <c r="A7775" s="405" t="s">
        <v>310</v>
      </c>
      <c r="B7775" s="405" t="s">
        <v>2854</v>
      </c>
      <c r="C7775" s="405" t="s">
        <v>311</v>
      </c>
      <c r="D7775" s="405" t="s">
        <v>312</v>
      </c>
      <c r="E7775" s="410">
        <v>40939</v>
      </c>
      <c r="F7775" s="410">
        <v>40984</v>
      </c>
      <c r="G7775" s="405" t="s">
        <v>2855</v>
      </c>
      <c r="H7775" s="405">
        <v>712804786</v>
      </c>
      <c r="I7775" s="405"/>
      <c r="J7775" s="405">
        <v>0.26701000000000003</v>
      </c>
      <c r="K7775" s="405">
        <v>32.536859999999997</v>
      </c>
      <c r="L7775" s="405" t="s">
        <v>314</v>
      </c>
      <c r="M7775" s="405" t="s">
        <v>992</v>
      </c>
      <c r="N7775" s="405" t="s">
        <v>362</v>
      </c>
      <c r="O7775" s="405" t="s">
        <v>1340</v>
      </c>
      <c r="P7775" s="405" t="s">
        <v>1341</v>
      </c>
      <c r="Q7775" s="411">
        <v>6</v>
      </c>
      <c r="R7775" s="405" t="s">
        <v>994</v>
      </c>
      <c r="S7775" s="405" t="s">
        <v>27079</v>
      </c>
      <c r="T7775" s="405" t="s">
        <v>32102</v>
      </c>
      <c r="U7775" s="405" t="s">
        <v>319</v>
      </c>
    </row>
    <row r="7776" spans="1:21" hidden="1" x14ac:dyDescent="0.25">
      <c r="A7776" s="405" t="s">
        <v>310</v>
      </c>
      <c r="B7776" s="405" t="s">
        <v>2270</v>
      </c>
      <c r="C7776" s="405" t="s">
        <v>327</v>
      </c>
      <c r="D7776" s="405"/>
      <c r="E7776" s="410">
        <v>40939</v>
      </c>
      <c r="F7776" s="410">
        <v>40984</v>
      </c>
      <c r="G7776" s="405" t="s">
        <v>2271</v>
      </c>
      <c r="H7776" s="405">
        <v>782628489</v>
      </c>
      <c r="I7776" s="405"/>
      <c r="J7776" s="405">
        <v>0.24573300000000001</v>
      </c>
      <c r="K7776" s="405">
        <v>32.057273000000002</v>
      </c>
      <c r="L7776" s="405" t="s">
        <v>314</v>
      </c>
      <c r="M7776" s="405" t="s">
        <v>339</v>
      </c>
      <c r="N7776" s="405" t="s">
        <v>339</v>
      </c>
      <c r="O7776" s="405" t="s">
        <v>2272</v>
      </c>
      <c r="P7776" s="405" t="s">
        <v>2273</v>
      </c>
      <c r="Q7776" s="411">
        <v>6</v>
      </c>
      <c r="R7776" s="405" t="s">
        <v>318</v>
      </c>
      <c r="S7776" s="405" t="s">
        <v>27182</v>
      </c>
      <c r="T7776" s="405" t="s">
        <v>32102</v>
      </c>
      <c r="U7776" s="405" t="s">
        <v>319</v>
      </c>
    </row>
    <row r="7777" spans="1:21" hidden="1" x14ac:dyDescent="0.25">
      <c r="A7777" s="405" t="s">
        <v>310</v>
      </c>
      <c r="B7777" s="405" t="s">
        <v>11597</v>
      </c>
      <c r="C7777" s="405" t="s">
        <v>311</v>
      </c>
      <c r="D7777" s="405" t="s">
        <v>839</v>
      </c>
      <c r="E7777" s="410">
        <v>40939</v>
      </c>
      <c r="F7777" s="410">
        <v>40984</v>
      </c>
      <c r="G7777" s="405" t="s">
        <v>11598</v>
      </c>
      <c r="H7777" s="405">
        <v>787185144</v>
      </c>
      <c r="I7777" s="405"/>
      <c r="J7777" s="405">
        <v>0.71952000000000005</v>
      </c>
      <c r="K7777" s="405">
        <v>33.881003999999997</v>
      </c>
      <c r="L7777" s="405" t="s">
        <v>6866</v>
      </c>
      <c r="M7777" s="405" t="s">
        <v>9566</v>
      </c>
      <c r="N7777" s="405" t="s">
        <v>9787</v>
      </c>
      <c r="O7777" s="405" t="s">
        <v>9788</v>
      </c>
      <c r="P7777" s="405" t="s">
        <v>6012</v>
      </c>
      <c r="Q7777" s="411">
        <v>6</v>
      </c>
      <c r="R7777" s="405" t="s">
        <v>7224</v>
      </c>
      <c r="S7777" s="405" t="s">
        <v>27204</v>
      </c>
      <c r="T7777" s="405" t="s">
        <v>32102</v>
      </c>
      <c r="U7777" s="405" t="s">
        <v>319</v>
      </c>
    </row>
    <row r="7778" spans="1:21" hidden="1" x14ac:dyDescent="0.25">
      <c r="A7778" s="405" t="s">
        <v>310</v>
      </c>
      <c r="B7778" s="405" t="s">
        <v>2305</v>
      </c>
      <c r="C7778" s="405" t="s">
        <v>327</v>
      </c>
      <c r="D7778" s="405"/>
      <c r="E7778" s="410">
        <v>40939</v>
      </c>
      <c r="F7778" s="410">
        <v>40984</v>
      </c>
      <c r="G7778" s="405" t="s">
        <v>2306</v>
      </c>
      <c r="H7778" s="405">
        <v>772855895</v>
      </c>
      <c r="I7778" s="405"/>
      <c r="J7778" s="405">
        <v>0.600742</v>
      </c>
      <c r="K7778" s="405">
        <v>32.486902000000001</v>
      </c>
      <c r="L7778" s="405" t="s">
        <v>314</v>
      </c>
      <c r="M7778" s="405" t="s">
        <v>959</v>
      </c>
      <c r="N7778" s="405" t="s">
        <v>1094</v>
      </c>
      <c r="O7778" s="405" t="s">
        <v>2307</v>
      </c>
      <c r="P7778" s="405" t="s">
        <v>2308</v>
      </c>
      <c r="Q7778" s="411">
        <v>6</v>
      </c>
      <c r="R7778" s="405" t="s">
        <v>1263</v>
      </c>
      <c r="S7778" s="405" t="s">
        <v>2160</v>
      </c>
      <c r="T7778" s="405" t="s">
        <v>32102</v>
      </c>
      <c r="U7778" s="405" t="s">
        <v>319</v>
      </c>
    </row>
    <row r="7779" spans="1:21" hidden="1" x14ac:dyDescent="0.25">
      <c r="A7779" s="405" t="s">
        <v>310</v>
      </c>
      <c r="B7779" s="405" t="s">
        <v>2313</v>
      </c>
      <c r="C7779" s="405" t="s">
        <v>327</v>
      </c>
      <c r="D7779" s="405"/>
      <c r="E7779" s="410">
        <v>40939</v>
      </c>
      <c r="F7779" s="410">
        <v>40984</v>
      </c>
      <c r="G7779" s="405" t="s">
        <v>2314</v>
      </c>
      <c r="H7779" s="405">
        <v>772624584</v>
      </c>
      <c r="I7779" s="405"/>
      <c r="J7779" s="405">
        <v>0.68870500000000001</v>
      </c>
      <c r="K7779" s="405">
        <v>32.535311999999998</v>
      </c>
      <c r="L7779" s="405" t="s">
        <v>314</v>
      </c>
      <c r="M7779" s="405" t="s">
        <v>959</v>
      </c>
      <c r="N7779" s="405" t="s">
        <v>1308</v>
      </c>
      <c r="O7779" s="405" t="s">
        <v>1094</v>
      </c>
      <c r="P7779" s="405" t="s">
        <v>2315</v>
      </c>
      <c r="Q7779" s="411">
        <v>6</v>
      </c>
      <c r="R7779" s="405" t="s">
        <v>1263</v>
      </c>
      <c r="S7779" s="405" t="s">
        <v>27164</v>
      </c>
      <c r="T7779" s="405" t="s">
        <v>32102</v>
      </c>
      <c r="U7779" s="405" t="s">
        <v>319</v>
      </c>
    </row>
    <row r="7780" spans="1:21" hidden="1" x14ac:dyDescent="0.25">
      <c r="A7780" s="405" t="s">
        <v>310</v>
      </c>
      <c r="B7780" s="405" t="s">
        <v>2284</v>
      </c>
      <c r="C7780" s="405" t="s">
        <v>327</v>
      </c>
      <c r="D7780" s="405"/>
      <c r="E7780" s="410">
        <v>40939</v>
      </c>
      <c r="F7780" s="410">
        <v>40984</v>
      </c>
      <c r="G7780" s="405" t="s">
        <v>2285</v>
      </c>
      <c r="H7780" s="405">
        <v>752326831</v>
      </c>
      <c r="I7780" s="405">
        <v>753268831</v>
      </c>
      <c r="J7780" s="405">
        <v>0.72253000000000001</v>
      </c>
      <c r="K7780" s="405">
        <v>32.495227</v>
      </c>
      <c r="L7780" s="405" t="s">
        <v>314</v>
      </c>
      <c r="M7780" s="405" t="s">
        <v>959</v>
      </c>
      <c r="N7780" s="405" t="s">
        <v>1094</v>
      </c>
      <c r="O7780" s="405" t="s">
        <v>1094</v>
      </c>
      <c r="P7780" s="405" t="s">
        <v>2286</v>
      </c>
      <c r="Q7780" s="411">
        <v>4</v>
      </c>
      <c r="R7780" s="405" t="s">
        <v>1263</v>
      </c>
      <c r="S7780" s="405" t="s">
        <v>27164</v>
      </c>
      <c r="T7780" s="405" t="s">
        <v>32102</v>
      </c>
      <c r="U7780" s="405" t="s">
        <v>319</v>
      </c>
    </row>
    <row r="7781" spans="1:21" hidden="1" x14ac:dyDescent="0.25">
      <c r="A7781" s="405" t="s">
        <v>310</v>
      </c>
      <c r="B7781" s="405" t="s">
        <v>20410</v>
      </c>
      <c r="C7781" s="405" t="s">
        <v>327</v>
      </c>
      <c r="D7781" s="405"/>
      <c r="E7781" s="410">
        <v>40937</v>
      </c>
      <c r="F7781" s="410">
        <v>40982</v>
      </c>
      <c r="G7781" s="405" t="s">
        <v>20411</v>
      </c>
      <c r="H7781" s="405">
        <v>782381643</v>
      </c>
      <c r="I7781" s="405"/>
      <c r="J7781" s="405">
        <v>-0.64170700000000003</v>
      </c>
      <c r="K7781" s="405">
        <v>30.227822</v>
      </c>
      <c r="L7781" s="405" t="s">
        <v>590</v>
      </c>
      <c r="M7781" s="405" t="s">
        <v>19725</v>
      </c>
      <c r="N7781" s="405" t="s">
        <v>19725</v>
      </c>
      <c r="O7781" s="405" t="s">
        <v>20013</v>
      </c>
      <c r="P7781" s="405" t="s">
        <v>19769</v>
      </c>
      <c r="Q7781" s="411">
        <v>13</v>
      </c>
      <c r="R7781" s="405" t="s">
        <v>333</v>
      </c>
      <c r="S7781" s="405" t="s">
        <v>27173</v>
      </c>
      <c r="T7781" s="405" t="s">
        <v>32102</v>
      </c>
      <c r="U7781" s="405" t="s">
        <v>319</v>
      </c>
    </row>
    <row r="7782" spans="1:21" hidden="1" x14ac:dyDescent="0.25">
      <c r="A7782" s="405" t="s">
        <v>310</v>
      </c>
      <c r="B7782" s="405" t="s">
        <v>28731</v>
      </c>
      <c r="C7782" s="405" t="s">
        <v>327</v>
      </c>
      <c r="D7782" s="405"/>
      <c r="E7782" s="410">
        <v>40937</v>
      </c>
      <c r="F7782" s="410">
        <v>40982</v>
      </c>
      <c r="G7782" s="405" t="s">
        <v>11197</v>
      </c>
      <c r="H7782" s="405">
        <v>752445830</v>
      </c>
      <c r="I7782" s="405"/>
      <c r="J7782" s="405">
        <v>0.70984599999999998</v>
      </c>
      <c r="K7782" s="405">
        <v>34.154012000000002</v>
      </c>
      <c r="L7782" s="405" t="s">
        <v>6866</v>
      </c>
      <c r="M7782" s="405" t="s">
        <v>9534</v>
      </c>
      <c r="N7782" s="405" t="s">
        <v>10113</v>
      </c>
      <c r="O7782" s="405" t="s">
        <v>9770</v>
      </c>
      <c r="P7782" s="405" t="s">
        <v>11198</v>
      </c>
      <c r="Q7782" s="411">
        <v>6</v>
      </c>
      <c r="R7782" s="405" t="s">
        <v>7224</v>
      </c>
      <c r="S7782" s="405" t="s">
        <v>27309</v>
      </c>
      <c r="T7782" s="405" t="s">
        <v>32102</v>
      </c>
      <c r="U7782" s="405" t="s">
        <v>319</v>
      </c>
    </row>
    <row r="7783" spans="1:21" hidden="1" x14ac:dyDescent="0.25">
      <c r="A7783" s="405" t="s">
        <v>310</v>
      </c>
      <c r="B7783" s="405" t="s">
        <v>11228</v>
      </c>
      <c r="C7783" s="405" t="s">
        <v>327</v>
      </c>
      <c r="D7783" s="405"/>
      <c r="E7783" s="410">
        <v>40936</v>
      </c>
      <c r="F7783" s="410">
        <v>40981</v>
      </c>
      <c r="G7783" s="405" t="s">
        <v>11229</v>
      </c>
      <c r="H7783" s="405">
        <v>777260325</v>
      </c>
      <c r="I7783" s="405"/>
      <c r="J7783" s="405">
        <v>0.63048000000000004</v>
      </c>
      <c r="K7783" s="405">
        <v>33.981529000000002</v>
      </c>
      <c r="L7783" s="405" t="s">
        <v>6866</v>
      </c>
      <c r="M7783" s="405" t="s">
        <v>9534</v>
      </c>
      <c r="N7783" s="405" t="s">
        <v>11230</v>
      </c>
      <c r="O7783" s="405" t="s">
        <v>10248</v>
      </c>
      <c r="P7783" s="405" t="s">
        <v>11231</v>
      </c>
      <c r="Q7783" s="411">
        <v>6</v>
      </c>
      <c r="R7783" s="405" t="s">
        <v>9541</v>
      </c>
      <c r="S7783" s="405" t="s">
        <v>27306</v>
      </c>
      <c r="T7783" s="405" t="s">
        <v>32102</v>
      </c>
      <c r="U7783" s="405" t="s">
        <v>319</v>
      </c>
    </row>
    <row r="7784" spans="1:21" hidden="1" x14ac:dyDescent="0.25">
      <c r="A7784" s="405" t="s">
        <v>310</v>
      </c>
      <c r="B7784" s="405" t="s">
        <v>81</v>
      </c>
      <c r="C7784" s="405" t="s">
        <v>327</v>
      </c>
      <c r="D7784" s="405"/>
      <c r="E7784" s="410">
        <v>40935</v>
      </c>
      <c r="F7784" s="410">
        <v>40980</v>
      </c>
      <c r="G7784" s="405" t="s">
        <v>2258</v>
      </c>
      <c r="H7784" s="405">
        <v>784849130</v>
      </c>
      <c r="I7784" s="405"/>
      <c r="J7784" s="405">
        <v>0.11219700000000001</v>
      </c>
      <c r="K7784" s="405">
        <v>31.989082</v>
      </c>
      <c r="L7784" s="405" t="s">
        <v>314</v>
      </c>
      <c r="M7784" s="405" t="s">
        <v>315</v>
      </c>
      <c r="N7784" s="405" t="s">
        <v>315</v>
      </c>
      <c r="O7784" s="405" t="s">
        <v>671</v>
      </c>
      <c r="P7784" s="405" t="s">
        <v>2259</v>
      </c>
      <c r="Q7784" s="411">
        <v>6</v>
      </c>
      <c r="R7784" s="405" t="s">
        <v>318</v>
      </c>
      <c r="S7784" s="405" t="s">
        <v>27137</v>
      </c>
      <c r="T7784" s="405" t="s">
        <v>32102</v>
      </c>
      <c r="U7784" s="405" t="s">
        <v>319</v>
      </c>
    </row>
    <row r="7785" spans="1:21" hidden="1" x14ac:dyDescent="0.25">
      <c r="A7785" s="405" t="s">
        <v>310</v>
      </c>
      <c r="B7785" s="405" t="s">
        <v>11167</v>
      </c>
      <c r="C7785" s="405" t="s">
        <v>327</v>
      </c>
      <c r="D7785" s="405"/>
      <c r="E7785" s="410">
        <v>40934</v>
      </c>
      <c r="F7785" s="410">
        <v>40979</v>
      </c>
      <c r="G7785" s="405" t="s">
        <v>11168</v>
      </c>
      <c r="H7785" s="405">
        <v>758840524</v>
      </c>
      <c r="I7785" s="405">
        <v>783680628</v>
      </c>
      <c r="J7785" s="405">
        <v>0.98039299999999996</v>
      </c>
      <c r="K7785" s="405">
        <v>34.065528</v>
      </c>
      <c r="L7785" s="405" t="s">
        <v>6866</v>
      </c>
      <c r="M7785" s="405" t="s">
        <v>9566</v>
      </c>
      <c r="N7785" s="405" t="s">
        <v>10001</v>
      </c>
      <c r="O7785" s="405" t="s">
        <v>9932</v>
      </c>
      <c r="P7785" s="405" t="s">
        <v>11169</v>
      </c>
      <c r="Q7785" s="411">
        <v>6</v>
      </c>
      <c r="R7785" s="405" t="s">
        <v>7224</v>
      </c>
      <c r="S7785" s="405" t="s">
        <v>27197</v>
      </c>
      <c r="T7785" s="405" t="s">
        <v>32102</v>
      </c>
      <c r="U7785" s="405" t="s">
        <v>319</v>
      </c>
    </row>
    <row r="7786" spans="1:21" hidden="1" x14ac:dyDescent="0.25">
      <c r="A7786" s="405" t="s">
        <v>310</v>
      </c>
      <c r="B7786" s="405" t="s">
        <v>11159</v>
      </c>
      <c r="C7786" s="405" t="s">
        <v>327</v>
      </c>
      <c r="D7786" s="405"/>
      <c r="E7786" s="410">
        <v>40934</v>
      </c>
      <c r="F7786" s="410">
        <v>40979</v>
      </c>
      <c r="G7786" s="405" t="s">
        <v>11160</v>
      </c>
      <c r="H7786" s="405">
        <v>775813316</v>
      </c>
      <c r="I7786" s="405"/>
      <c r="J7786" s="405">
        <v>0.62468299999999999</v>
      </c>
      <c r="K7786" s="405">
        <v>33.953498000000003</v>
      </c>
      <c r="L7786" s="405" t="s">
        <v>6866</v>
      </c>
      <c r="M7786" s="405" t="s">
        <v>9534</v>
      </c>
      <c r="N7786" s="405" t="s">
        <v>9997</v>
      </c>
      <c r="O7786" s="405" t="s">
        <v>10248</v>
      </c>
      <c r="P7786" s="405" t="s">
        <v>11161</v>
      </c>
      <c r="Q7786" s="411">
        <v>6</v>
      </c>
      <c r="R7786" s="405" t="s">
        <v>9541</v>
      </c>
      <c r="S7786" s="405" t="s">
        <v>27300</v>
      </c>
      <c r="T7786" s="405" t="s">
        <v>32102</v>
      </c>
      <c r="U7786" s="405" t="s">
        <v>319</v>
      </c>
    </row>
    <row r="7787" spans="1:21" hidden="1" x14ac:dyDescent="0.25">
      <c r="A7787" s="405" t="s">
        <v>310</v>
      </c>
      <c r="B7787" s="405" t="s">
        <v>11222</v>
      </c>
      <c r="C7787" s="405" t="s">
        <v>327</v>
      </c>
      <c r="D7787" s="405"/>
      <c r="E7787" s="410">
        <v>40932</v>
      </c>
      <c r="F7787" s="410">
        <v>40977</v>
      </c>
      <c r="G7787" s="405" t="s">
        <v>11223</v>
      </c>
      <c r="H7787" s="405">
        <v>772888730</v>
      </c>
      <c r="I7787" s="405"/>
      <c r="J7787" s="405">
        <v>0.67879299999999998</v>
      </c>
      <c r="K7787" s="405">
        <v>34.180743</v>
      </c>
      <c r="L7787" s="405" t="s">
        <v>6866</v>
      </c>
      <c r="M7787" s="405" t="s">
        <v>9534</v>
      </c>
      <c r="N7787" s="405" t="s">
        <v>10065</v>
      </c>
      <c r="O7787" s="405" t="s">
        <v>6748</v>
      </c>
      <c r="P7787" s="405" t="s">
        <v>11224</v>
      </c>
      <c r="Q7787" s="411">
        <v>9</v>
      </c>
      <c r="R7787" s="405" t="s">
        <v>7224</v>
      </c>
      <c r="S7787" s="405" t="s">
        <v>27259</v>
      </c>
      <c r="T7787" s="405" t="s">
        <v>32102</v>
      </c>
      <c r="U7787" s="405" t="s">
        <v>319</v>
      </c>
    </row>
    <row r="7788" spans="1:21" hidden="1" x14ac:dyDescent="0.25">
      <c r="A7788" s="405" t="s">
        <v>310</v>
      </c>
      <c r="B7788" s="405" t="s">
        <v>27532</v>
      </c>
      <c r="C7788" s="405" t="s">
        <v>311</v>
      </c>
      <c r="D7788" s="405" t="s">
        <v>312</v>
      </c>
      <c r="E7788" s="410">
        <v>40930</v>
      </c>
      <c r="F7788" s="410">
        <v>40975</v>
      </c>
      <c r="G7788" s="405" t="s">
        <v>11595</v>
      </c>
      <c r="H7788" s="405">
        <v>789170620</v>
      </c>
      <c r="I7788" s="405"/>
      <c r="J7788" s="405">
        <v>0.59271499999999999</v>
      </c>
      <c r="K7788" s="405">
        <v>34.008598999999997</v>
      </c>
      <c r="L7788" s="405" t="s">
        <v>6866</v>
      </c>
      <c r="M7788" s="405" t="s">
        <v>9534</v>
      </c>
      <c r="N7788" s="405" t="s">
        <v>9997</v>
      </c>
      <c r="O7788" s="405" t="s">
        <v>10248</v>
      </c>
      <c r="P7788" s="405" t="s">
        <v>11596</v>
      </c>
      <c r="Q7788" s="411">
        <v>6</v>
      </c>
      <c r="R7788" s="405" t="s">
        <v>9541</v>
      </c>
      <c r="S7788" s="405" t="s">
        <v>27306</v>
      </c>
      <c r="T7788" s="405" t="s">
        <v>32102</v>
      </c>
      <c r="U7788" s="405" t="s">
        <v>319</v>
      </c>
    </row>
    <row r="7789" spans="1:21" hidden="1" x14ac:dyDescent="0.25">
      <c r="A7789" s="405" t="s">
        <v>310</v>
      </c>
      <c r="B7789" s="405" t="s">
        <v>28772</v>
      </c>
      <c r="C7789" s="405" t="s">
        <v>327</v>
      </c>
      <c r="D7789" s="405"/>
      <c r="E7789" s="410">
        <v>40930</v>
      </c>
      <c r="F7789" s="410">
        <v>40975</v>
      </c>
      <c r="G7789" s="405" t="s">
        <v>11150</v>
      </c>
      <c r="H7789" s="405">
        <v>777666453</v>
      </c>
      <c r="I7789" s="405">
        <v>771411001</v>
      </c>
      <c r="J7789" s="405">
        <v>0.66529400000000005</v>
      </c>
      <c r="K7789" s="405">
        <v>33.947172000000002</v>
      </c>
      <c r="L7789" s="405" t="s">
        <v>6866</v>
      </c>
      <c r="M7789" s="405" t="s">
        <v>9534</v>
      </c>
      <c r="N7789" s="405" t="s">
        <v>9997</v>
      </c>
      <c r="O7789" s="405" t="s">
        <v>10918</v>
      </c>
      <c r="P7789" s="405" t="s">
        <v>10919</v>
      </c>
      <c r="Q7789" s="411">
        <v>6</v>
      </c>
      <c r="R7789" s="405" t="s">
        <v>7224</v>
      </c>
      <c r="S7789" s="405" t="s">
        <v>17013</v>
      </c>
      <c r="T7789" s="405" t="s">
        <v>32102</v>
      </c>
      <c r="U7789" s="405" t="s">
        <v>319</v>
      </c>
    </row>
    <row r="7790" spans="1:21" hidden="1" x14ac:dyDescent="0.25">
      <c r="A7790" s="405" t="s">
        <v>310</v>
      </c>
      <c r="B7790" s="405" t="s">
        <v>2263</v>
      </c>
      <c r="C7790" s="405" t="s">
        <v>327</v>
      </c>
      <c r="D7790" s="405"/>
      <c r="E7790" s="410">
        <v>40928</v>
      </c>
      <c r="F7790" s="410">
        <v>40973</v>
      </c>
      <c r="G7790" s="405" t="s">
        <v>2264</v>
      </c>
      <c r="H7790" s="405">
        <v>783542592</v>
      </c>
      <c r="I7790" s="405"/>
      <c r="J7790" s="405">
        <v>-0.38085799999999997</v>
      </c>
      <c r="K7790" s="405">
        <v>31.772448000000001</v>
      </c>
      <c r="L7790" s="405" t="s">
        <v>314</v>
      </c>
      <c r="M7790" s="405" t="s">
        <v>382</v>
      </c>
      <c r="N7790" s="405" t="s">
        <v>2265</v>
      </c>
      <c r="O7790" s="405" t="s">
        <v>1260</v>
      </c>
      <c r="P7790" s="405" t="s">
        <v>2266</v>
      </c>
      <c r="Q7790" s="411">
        <v>6</v>
      </c>
      <c r="R7790" s="405" t="s">
        <v>402</v>
      </c>
      <c r="S7790" s="405" t="s">
        <v>27181</v>
      </c>
      <c r="T7790" s="405" t="s">
        <v>32102</v>
      </c>
      <c r="U7790" s="405" t="s">
        <v>319</v>
      </c>
    </row>
    <row r="7791" spans="1:21" hidden="1" x14ac:dyDescent="0.25">
      <c r="A7791" s="405" t="s">
        <v>310</v>
      </c>
      <c r="B7791" s="405" t="s">
        <v>11164</v>
      </c>
      <c r="C7791" s="405" t="s">
        <v>327</v>
      </c>
      <c r="D7791" s="405"/>
      <c r="E7791" s="410">
        <v>40928</v>
      </c>
      <c r="F7791" s="410">
        <v>40973</v>
      </c>
      <c r="G7791" s="405" t="s">
        <v>11165</v>
      </c>
      <c r="H7791" s="405">
        <v>778186912</v>
      </c>
      <c r="I7791" s="405"/>
      <c r="J7791" s="405">
        <v>0.61860599999999999</v>
      </c>
      <c r="K7791" s="405">
        <v>33.969642</v>
      </c>
      <c r="L7791" s="405" t="s">
        <v>6866</v>
      </c>
      <c r="M7791" s="405" t="s">
        <v>9534</v>
      </c>
      <c r="N7791" s="405" t="s">
        <v>9997</v>
      </c>
      <c r="O7791" s="405" t="s">
        <v>10248</v>
      </c>
      <c r="P7791" s="405" t="s">
        <v>11166</v>
      </c>
      <c r="Q7791" s="411">
        <v>6</v>
      </c>
      <c r="R7791" s="405" t="s">
        <v>9541</v>
      </c>
      <c r="S7791" s="405" t="s">
        <v>27294</v>
      </c>
      <c r="T7791" s="405" t="s">
        <v>32102</v>
      </c>
      <c r="U7791" s="405" t="s">
        <v>319</v>
      </c>
    </row>
    <row r="7792" spans="1:21" hidden="1" x14ac:dyDescent="0.25">
      <c r="A7792" s="405" t="s">
        <v>310</v>
      </c>
      <c r="B7792" s="405" t="s">
        <v>84</v>
      </c>
      <c r="C7792" s="405" t="s">
        <v>327</v>
      </c>
      <c r="D7792" s="405"/>
      <c r="E7792" s="410">
        <v>40926</v>
      </c>
      <c r="F7792" s="410">
        <v>40971</v>
      </c>
      <c r="G7792" s="405" t="s">
        <v>2261</v>
      </c>
      <c r="H7792" s="405">
        <v>774409552</v>
      </c>
      <c r="I7792" s="405"/>
      <c r="J7792" s="405">
        <v>8.7078000000000003E-2</v>
      </c>
      <c r="K7792" s="405">
        <v>31.998743000000001</v>
      </c>
      <c r="L7792" s="405" t="s">
        <v>314</v>
      </c>
      <c r="M7792" s="405" t="s">
        <v>315</v>
      </c>
      <c r="N7792" s="405" t="s">
        <v>315</v>
      </c>
      <c r="O7792" s="405" t="s">
        <v>671</v>
      </c>
      <c r="P7792" s="405" t="s">
        <v>2262</v>
      </c>
      <c r="Q7792" s="411">
        <v>6</v>
      </c>
      <c r="R7792" s="405" t="s">
        <v>438</v>
      </c>
      <c r="S7792" s="405" t="s">
        <v>27131</v>
      </c>
      <c r="T7792" s="405" t="s">
        <v>32102</v>
      </c>
      <c r="U7792" s="405" t="s">
        <v>319</v>
      </c>
    </row>
    <row r="7793" spans="1:21" hidden="1" x14ac:dyDescent="0.25">
      <c r="A7793" s="405" t="s">
        <v>310</v>
      </c>
      <c r="B7793" s="405" t="s">
        <v>11153</v>
      </c>
      <c r="C7793" s="405" t="s">
        <v>327</v>
      </c>
      <c r="D7793" s="405"/>
      <c r="E7793" s="410">
        <v>40926</v>
      </c>
      <c r="F7793" s="410">
        <v>40971</v>
      </c>
      <c r="G7793" s="405" t="s">
        <v>11154</v>
      </c>
      <c r="H7793" s="405">
        <v>782439821</v>
      </c>
      <c r="I7793" s="405"/>
      <c r="J7793" s="405">
        <v>1.819042</v>
      </c>
      <c r="K7793" s="405">
        <v>33.716940000000001</v>
      </c>
      <c r="L7793" s="405" t="s">
        <v>6866</v>
      </c>
      <c r="M7793" s="405" t="s">
        <v>10515</v>
      </c>
      <c r="N7793" s="405" t="s">
        <v>10515</v>
      </c>
      <c r="O7793" s="405" t="s">
        <v>10645</v>
      </c>
      <c r="P7793" s="405" t="s">
        <v>11155</v>
      </c>
      <c r="Q7793" s="411">
        <v>6</v>
      </c>
      <c r="R7793" s="405" t="s">
        <v>10642</v>
      </c>
      <c r="S7793" s="405" t="s">
        <v>27322</v>
      </c>
      <c r="T7793" s="405" t="s">
        <v>32102</v>
      </c>
      <c r="U7793" s="405" t="s">
        <v>319</v>
      </c>
    </row>
    <row r="7794" spans="1:21" hidden="1" x14ac:dyDescent="0.25">
      <c r="A7794" s="405" t="s">
        <v>310</v>
      </c>
      <c r="B7794" s="405" t="s">
        <v>2274</v>
      </c>
      <c r="C7794" s="405" t="s">
        <v>327</v>
      </c>
      <c r="D7794" s="405"/>
      <c r="E7794" s="410">
        <v>40925</v>
      </c>
      <c r="F7794" s="410">
        <v>40970</v>
      </c>
      <c r="G7794" s="405" t="s">
        <v>2275</v>
      </c>
      <c r="H7794" s="405">
        <v>782801281</v>
      </c>
      <c r="I7794" s="405"/>
      <c r="J7794" s="405">
        <v>0.41066570000000002</v>
      </c>
      <c r="K7794" s="405">
        <v>32.561843400000001</v>
      </c>
      <c r="L7794" s="405" t="s">
        <v>314</v>
      </c>
      <c r="M7794" s="405" t="s">
        <v>361</v>
      </c>
      <c r="N7794" s="405" t="s">
        <v>370</v>
      </c>
      <c r="O7794" s="405" t="s">
        <v>370</v>
      </c>
      <c r="P7794" s="405" t="s">
        <v>2276</v>
      </c>
      <c r="Q7794" s="411">
        <v>9</v>
      </c>
      <c r="R7794" s="405" t="s">
        <v>353</v>
      </c>
      <c r="S7794" s="405" t="s">
        <v>27115</v>
      </c>
      <c r="T7794" s="405" t="s">
        <v>32102</v>
      </c>
      <c r="U7794" s="405" t="s">
        <v>319</v>
      </c>
    </row>
    <row r="7795" spans="1:21" hidden="1" x14ac:dyDescent="0.25">
      <c r="A7795" s="405" t="s">
        <v>310</v>
      </c>
      <c r="B7795" s="405" t="s">
        <v>20412</v>
      </c>
      <c r="C7795" s="405" t="s">
        <v>327</v>
      </c>
      <c r="D7795" s="405"/>
      <c r="E7795" s="410">
        <v>40924</v>
      </c>
      <c r="F7795" s="410">
        <v>40969</v>
      </c>
      <c r="G7795" s="405" t="s">
        <v>20413</v>
      </c>
      <c r="H7795" s="405">
        <v>779441960</v>
      </c>
      <c r="I7795" s="405"/>
      <c r="J7795" s="405">
        <v>0.20671500000000001</v>
      </c>
      <c r="K7795" s="405">
        <v>30.570753</v>
      </c>
      <c r="L7795" s="405" t="s">
        <v>590</v>
      </c>
      <c r="M7795" s="405" t="s">
        <v>19720</v>
      </c>
      <c r="N7795" s="405" t="s">
        <v>19721</v>
      </c>
      <c r="O7795" s="405" t="s">
        <v>20414</v>
      </c>
      <c r="P7795" s="405" t="s">
        <v>20415</v>
      </c>
      <c r="Q7795" s="411">
        <v>6</v>
      </c>
      <c r="R7795" s="405" t="s">
        <v>874</v>
      </c>
      <c r="S7795" s="405" t="s">
        <v>27163</v>
      </c>
      <c r="T7795" s="405" t="s">
        <v>32102</v>
      </c>
      <c r="U7795" s="405" t="s">
        <v>319</v>
      </c>
    </row>
    <row r="7796" spans="1:21" hidden="1" x14ac:dyDescent="0.25">
      <c r="A7796" s="405" t="s">
        <v>310</v>
      </c>
      <c r="B7796" s="405" t="s">
        <v>2125</v>
      </c>
      <c r="C7796" s="405" t="s">
        <v>327</v>
      </c>
      <c r="D7796" s="405"/>
      <c r="E7796" s="410">
        <v>40922</v>
      </c>
      <c r="F7796" s="410">
        <v>40967</v>
      </c>
      <c r="G7796" s="405" t="s">
        <v>2126</v>
      </c>
      <c r="H7796" s="405">
        <v>772423089</v>
      </c>
      <c r="I7796" s="405"/>
      <c r="J7796" s="405">
        <v>0.32911666666666667</v>
      </c>
      <c r="K7796" s="405">
        <v>32.672851666666666</v>
      </c>
      <c r="L7796" s="405" t="s">
        <v>314</v>
      </c>
      <c r="M7796" s="405" t="s">
        <v>361</v>
      </c>
      <c r="N7796" s="405" t="s">
        <v>362</v>
      </c>
      <c r="O7796" s="405" t="s">
        <v>498</v>
      </c>
      <c r="P7796" s="405" t="s">
        <v>1740</v>
      </c>
      <c r="Q7796" s="411">
        <v>9</v>
      </c>
      <c r="R7796" s="405" t="s">
        <v>353</v>
      </c>
      <c r="S7796" s="405" t="s">
        <v>27137</v>
      </c>
      <c r="T7796" s="405" t="s">
        <v>32102</v>
      </c>
      <c r="U7796" s="405" t="s">
        <v>319</v>
      </c>
    </row>
    <row r="7797" spans="1:21" hidden="1" x14ac:dyDescent="0.25">
      <c r="A7797" s="405" t="s">
        <v>310</v>
      </c>
      <c r="B7797" s="405" t="s">
        <v>28744</v>
      </c>
      <c r="C7797" s="405" t="s">
        <v>327</v>
      </c>
      <c r="D7797" s="405"/>
      <c r="E7797" s="410">
        <v>40922</v>
      </c>
      <c r="F7797" s="410">
        <v>40967</v>
      </c>
      <c r="G7797" s="405" t="s">
        <v>11056</v>
      </c>
      <c r="H7797" s="405">
        <v>775449505</v>
      </c>
      <c r="I7797" s="405"/>
      <c r="J7797" s="405">
        <v>1.561633</v>
      </c>
      <c r="K7797" s="405">
        <v>33.316858000000003</v>
      </c>
      <c r="L7797" s="405" t="s">
        <v>6866</v>
      </c>
      <c r="M7797" s="405" t="s">
        <v>9658</v>
      </c>
      <c r="N7797" s="405" t="s">
        <v>11057</v>
      </c>
      <c r="O7797" s="405" t="s">
        <v>11058</v>
      </c>
      <c r="P7797" s="405" t="s">
        <v>11059</v>
      </c>
      <c r="Q7797" s="411">
        <v>6</v>
      </c>
      <c r="R7797" s="405" t="s">
        <v>10642</v>
      </c>
      <c r="S7797" s="405" t="s">
        <v>27324</v>
      </c>
      <c r="T7797" s="405" t="s">
        <v>32102</v>
      </c>
      <c r="U7797" s="405" t="s">
        <v>319</v>
      </c>
    </row>
    <row r="7798" spans="1:21" hidden="1" x14ac:dyDescent="0.25">
      <c r="A7798" s="405" t="s">
        <v>310</v>
      </c>
      <c r="B7798" s="405" t="s">
        <v>2143</v>
      </c>
      <c r="C7798" s="405" t="s">
        <v>327</v>
      </c>
      <c r="D7798" s="405"/>
      <c r="E7798" s="410">
        <v>40922</v>
      </c>
      <c r="F7798" s="410">
        <v>40967</v>
      </c>
      <c r="G7798" s="405" t="s">
        <v>2144</v>
      </c>
      <c r="H7798" s="405">
        <v>702926036</v>
      </c>
      <c r="I7798" s="405"/>
      <c r="J7798" s="405">
        <v>-0.18796599999999999</v>
      </c>
      <c r="K7798" s="405">
        <v>31.473866999999998</v>
      </c>
      <c r="L7798" s="405" t="s">
        <v>314</v>
      </c>
      <c r="M7798" s="405" t="s">
        <v>343</v>
      </c>
      <c r="N7798" s="405" t="s">
        <v>344</v>
      </c>
      <c r="O7798" s="405" t="s">
        <v>727</v>
      </c>
      <c r="P7798" s="405" t="s">
        <v>2145</v>
      </c>
      <c r="Q7798" s="411">
        <v>6</v>
      </c>
      <c r="R7798" s="405" t="s">
        <v>402</v>
      </c>
      <c r="S7798" s="405" t="s">
        <v>27154</v>
      </c>
      <c r="T7798" s="405" t="s">
        <v>32102</v>
      </c>
      <c r="U7798" s="405" t="s">
        <v>319</v>
      </c>
    </row>
    <row r="7799" spans="1:21" hidden="1" x14ac:dyDescent="0.25">
      <c r="A7799" s="405" t="s">
        <v>310</v>
      </c>
      <c r="B7799" s="405" t="s">
        <v>20365</v>
      </c>
      <c r="C7799" s="405" t="s">
        <v>327</v>
      </c>
      <c r="D7799" s="405"/>
      <c r="E7799" s="410">
        <v>40921</v>
      </c>
      <c r="F7799" s="410">
        <v>40966</v>
      </c>
      <c r="G7799" s="405" t="s">
        <v>20366</v>
      </c>
      <c r="H7799" s="405">
        <v>776412084</v>
      </c>
      <c r="I7799" s="405"/>
      <c r="J7799" s="405">
        <v>-0.85942600000000002</v>
      </c>
      <c r="K7799" s="405">
        <v>30.174503000000001</v>
      </c>
      <c r="L7799" s="405" t="s">
        <v>590</v>
      </c>
      <c r="M7799" s="405" t="s">
        <v>19659</v>
      </c>
      <c r="N7799" s="405" t="s">
        <v>19604</v>
      </c>
      <c r="O7799" s="405" t="s">
        <v>19822</v>
      </c>
      <c r="P7799" s="405" t="s">
        <v>20367</v>
      </c>
      <c r="Q7799" s="411">
        <v>9</v>
      </c>
      <c r="R7799" s="405" t="s">
        <v>967</v>
      </c>
      <c r="S7799" s="405" t="s">
        <v>27132</v>
      </c>
      <c r="T7799" s="405" t="s">
        <v>32102</v>
      </c>
      <c r="U7799" s="405" t="s">
        <v>319</v>
      </c>
    </row>
    <row r="7800" spans="1:21" hidden="1" x14ac:dyDescent="0.25">
      <c r="A7800" s="405" t="s">
        <v>310</v>
      </c>
      <c r="B7800" s="405" t="s">
        <v>11050</v>
      </c>
      <c r="C7800" s="405" t="s">
        <v>327</v>
      </c>
      <c r="D7800" s="405"/>
      <c r="E7800" s="410">
        <v>40921</v>
      </c>
      <c r="F7800" s="410">
        <v>40966</v>
      </c>
      <c r="G7800" s="405" t="s">
        <v>11051</v>
      </c>
      <c r="H7800" s="405">
        <v>779068325</v>
      </c>
      <c r="I7800" s="405"/>
      <c r="J7800" s="405">
        <v>0.90011399999999997</v>
      </c>
      <c r="K7800" s="405">
        <v>34.243684000000002</v>
      </c>
      <c r="L7800" s="405" t="s">
        <v>6866</v>
      </c>
      <c r="M7800" s="405" t="s">
        <v>9763</v>
      </c>
      <c r="N7800" s="405" t="s">
        <v>9764</v>
      </c>
      <c r="O7800" s="405" t="s">
        <v>9604</v>
      </c>
      <c r="P7800" s="405" t="s">
        <v>11052</v>
      </c>
      <c r="Q7800" s="411">
        <v>6</v>
      </c>
      <c r="R7800" s="405" t="s">
        <v>7224</v>
      </c>
      <c r="S7800" s="405" t="s">
        <v>27259</v>
      </c>
      <c r="T7800" s="405" t="s">
        <v>32102</v>
      </c>
      <c r="U7800" s="405" t="s">
        <v>319</v>
      </c>
    </row>
    <row r="7801" spans="1:21" hidden="1" x14ac:dyDescent="0.25">
      <c r="A7801" s="405" t="s">
        <v>310</v>
      </c>
      <c r="B7801" s="405" t="s">
        <v>28082</v>
      </c>
      <c r="C7801" s="405" t="s">
        <v>311</v>
      </c>
      <c r="D7801" s="405" t="s">
        <v>1111</v>
      </c>
      <c r="E7801" s="410">
        <v>40920</v>
      </c>
      <c r="F7801" s="410">
        <v>40965</v>
      </c>
      <c r="G7801" s="405" t="s">
        <v>11540</v>
      </c>
      <c r="H7801" s="405">
        <v>776878869</v>
      </c>
      <c r="I7801" s="405"/>
      <c r="J7801" s="405">
        <v>1.304044</v>
      </c>
      <c r="K7801" s="405">
        <v>34.381256999999998</v>
      </c>
      <c r="L7801" s="405" t="s">
        <v>6866</v>
      </c>
      <c r="M7801" s="405" t="s">
        <v>9685</v>
      </c>
      <c r="N7801" s="405" t="s">
        <v>9686</v>
      </c>
      <c r="O7801" s="405" t="s">
        <v>11541</v>
      </c>
      <c r="P7801" s="405" t="s">
        <v>11542</v>
      </c>
      <c r="Q7801" s="411">
        <v>6</v>
      </c>
      <c r="R7801" s="405" t="s">
        <v>9541</v>
      </c>
      <c r="S7801" s="405" t="s">
        <v>27313</v>
      </c>
      <c r="T7801" s="405" t="s">
        <v>32102</v>
      </c>
      <c r="U7801" s="405" t="s">
        <v>319</v>
      </c>
    </row>
    <row r="7802" spans="1:21" hidden="1" x14ac:dyDescent="0.25">
      <c r="A7802" s="405" t="s">
        <v>310</v>
      </c>
      <c r="B7802" s="405" t="s">
        <v>11083</v>
      </c>
      <c r="C7802" s="405" t="s">
        <v>327</v>
      </c>
      <c r="D7802" s="405"/>
      <c r="E7802" s="410">
        <v>40919</v>
      </c>
      <c r="F7802" s="410">
        <v>40964</v>
      </c>
      <c r="G7802" s="405" t="s">
        <v>11084</v>
      </c>
      <c r="H7802" s="405">
        <v>782393310</v>
      </c>
      <c r="I7802" s="405"/>
      <c r="J7802" s="405">
        <v>1.2223349999999999</v>
      </c>
      <c r="K7802" s="405">
        <v>34.002882999999997</v>
      </c>
      <c r="L7802" s="405" t="s">
        <v>6866</v>
      </c>
      <c r="M7802" s="405" t="s">
        <v>9504</v>
      </c>
      <c r="N7802" s="405" t="s">
        <v>9504</v>
      </c>
      <c r="O7802" s="405" t="s">
        <v>10109</v>
      </c>
      <c r="P7802" s="405" t="s">
        <v>10382</v>
      </c>
      <c r="Q7802" s="411">
        <v>6</v>
      </c>
      <c r="R7802" s="405" t="s">
        <v>7224</v>
      </c>
      <c r="S7802" s="405" t="s">
        <v>27298</v>
      </c>
      <c r="T7802" s="405" t="s">
        <v>32102</v>
      </c>
      <c r="U7802" s="405" t="s">
        <v>319</v>
      </c>
    </row>
    <row r="7803" spans="1:21" hidden="1" x14ac:dyDescent="0.25">
      <c r="A7803" s="405" t="s">
        <v>310</v>
      </c>
      <c r="B7803" s="405" t="s">
        <v>11060</v>
      </c>
      <c r="C7803" s="405" t="s">
        <v>327</v>
      </c>
      <c r="D7803" s="405"/>
      <c r="E7803" s="410">
        <v>40919</v>
      </c>
      <c r="F7803" s="410">
        <v>40964</v>
      </c>
      <c r="G7803" s="405" t="s">
        <v>11061</v>
      </c>
      <c r="H7803" s="405">
        <v>777042755</v>
      </c>
      <c r="I7803" s="405"/>
      <c r="J7803" s="405">
        <v>1.4720679999999999</v>
      </c>
      <c r="K7803" s="405">
        <v>33.486736999999998</v>
      </c>
      <c r="L7803" s="405" t="s">
        <v>6866</v>
      </c>
      <c r="M7803" s="405" t="s">
        <v>9658</v>
      </c>
      <c r="N7803" s="405" t="s">
        <v>9658</v>
      </c>
      <c r="O7803" s="405" t="s">
        <v>11062</v>
      </c>
      <c r="P7803" s="405" t="s">
        <v>11063</v>
      </c>
      <c r="Q7803" s="411">
        <v>6</v>
      </c>
      <c r="R7803" s="405" t="s">
        <v>7224</v>
      </c>
      <c r="S7803" s="405" t="s">
        <v>27323</v>
      </c>
      <c r="T7803" s="405" t="s">
        <v>32102</v>
      </c>
      <c r="U7803" s="405" t="s">
        <v>319</v>
      </c>
    </row>
    <row r="7804" spans="1:21" hidden="1" x14ac:dyDescent="0.25">
      <c r="A7804" s="405" t="s">
        <v>310</v>
      </c>
      <c r="B7804" s="405" t="s">
        <v>11118</v>
      </c>
      <c r="C7804" s="405" t="s">
        <v>327</v>
      </c>
      <c r="D7804" s="405"/>
      <c r="E7804" s="410">
        <v>40918</v>
      </c>
      <c r="F7804" s="410">
        <v>40963</v>
      </c>
      <c r="G7804" s="405" t="s">
        <v>11119</v>
      </c>
      <c r="H7804" s="405">
        <v>789317409</v>
      </c>
      <c r="I7804" s="405"/>
      <c r="J7804" s="405">
        <v>0.863541</v>
      </c>
      <c r="K7804" s="405">
        <v>34.251275999999997</v>
      </c>
      <c r="L7804" s="405" t="s">
        <v>6866</v>
      </c>
      <c r="M7804" s="405" t="s">
        <v>9763</v>
      </c>
      <c r="N7804" s="405" t="s">
        <v>9764</v>
      </c>
      <c r="O7804" s="405" t="s">
        <v>11120</v>
      </c>
      <c r="P7804" s="405" t="s">
        <v>11121</v>
      </c>
      <c r="Q7804" s="411">
        <v>6</v>
      </c>
      <c r="R7804" s="405" t="s">
        <v>7224</v>
      </c>
      <c r="S7804" s="405" t="s">
        <v>17013</v>
      </c>
      <c r="T7804" s="405" t="s">
        <v>32102</v>
      </c>
      <c r="U7804" s="405" t="s">
        <v>319</v>
      </c>
    </row>
    <row r="7805" spans="1:21" hidden="1" x14ac:dyDescent="0.25">
      <c r="A7805" s="405" t="s">
        <v>310</v>
      </c>
      <c r="B7805" s="405" t="s">
        <v>27674</v>
      </c>
      <c r="C7805" s="405" t="s">
        <v>327</v>
      </c>
      <c r="D7805" s="405"/>
      <c r="E7805" s="410">
        <v>40914</v>
      </c>
      <c r="F7805" s="410">
        <v>40959</v>
      </c>
      <c r="G7805" s="405" t="s">
        <v>2131</v>
      </c>
      <c r="H7805" s="405">
        <v>774404269</v>
      </c>
      <c r="I7805" s="405"/>
      <c r="J7805" s="405">
        <v>0.34905333333333333</v>
      </c>
      <c r="K7805" s="405">
        <v>32.613944999999994</v>
      </c>
      <c r="L7805" s="405" t="s">
        <v>314</v>
      </c>
      <c r="M7805" s="405" t="s">
        <v>992</v>
      </c>
      <c r="N7805" s="405" t="s">
        <v>987</v>
      </c>
      <c r="O7805" s="405" t="s">
        <v>2132</v>
      </c>
      <c r="P7805" s="405" t="s">
        <v>2133</v>
      </c>
      <c r="Q7805" s="411">
        <v>12</v>
      </c>
      <c r="R7805" s="405" t="s">
        <v>1263</v>
      </c>
      <c r="S7805" s="405" t="s">
        <v>27140</v>
      </c>
      <c r="T7805" s="405" t="s">
        <v>32102</v>
      </c>
      <c r="U7805" s="405" t="s">
        <v>319</v>
      </c>
    </row>
    <row r="7806" spans="1:21" hidden="1" x14ac:dyDescent="0.25">
      <c r="A7806" s="405" t="s">
        <v>310</v>
      </c>
      <c r="B7806" s="405" t="s">
        <v>11035</v>
      </c>
      <c r="C7806" s="405" t="s">
        <v>327</v>
      </c>
      <c r="D7806" s="405"/>
      <c r="E7806" s="410">
        <v>40914</v>
      </c>
      <c r="F7806" s="410">
        <v>40959</v>
      </c>
      <c r="G7806" s="405" t="s">
        <v>11036</v>
      </c>
      <c r="H7806" s="405">
        <v>783881827</v>
      </c>
      <c r="I7806" s="405"/>
      <c r="J7806" s="405">
        <v>0.85386499999999999</v>
      </c>
      <c r="K7806" s="405">
        <v>34.009419999999999</v>
      </c>
      <c r="L7806" s="405" t="s">
        <v>6866</v>
      </c>
      <c r="M7806" s="405" t="s">
        <v>9534</v>
      </c>
      <c r="N7806" s="405" t="s">
        <v>10085</v>
      </c>
      <c r="O7806" s="405" t="s">
        <v>10817</v>
      </c>
      <c r="P7806" s="405" t="s">
        <v>11037</v>
      </c>
      <c r="Q7806" s="411">
        <v>6</v>
      </c>
      <c r="R7806" s="405" t="s">
        <v>7224</v>
      </c>
      <c r="S7806" s="405" t="s">
        <v>27259</v>
      </c>
      <c r="T7806" s="405" t="s">
        <v>32102</v>
      </c>
      <c r="U7806" s="405" t="s">
        <v>319</v>
      </c>
    </row>
    <row r="7807" spans="1:21" hidden="1" x14ac:dyDescent="0.25">
      <c r="A7807" s="405" t="s">
        <v>310</v>
      </c>
      <c r="B7807" s="405" t="s">
        <v>20377</v>
      </c>
      <c r="C7807" s="405" t="s">
        <v>327</v>
      </c>
      <c r="D7807" s="405"/>
      <c r="E7807" s="410">
        <v>40908</v>
      </c>
      <c r="F7807" s="410">
        <v>40953</v>
      </c>
      <c r="G7807" s="405" t="s">
        <v>20378</v>
      </c>
      <c r="H7807" s="405">
        <v>787010815</v>
      </c>
      <c r="I7807" s="405"/>
      <c r="J7807" s="405">
        <v>-8.4626999999999994E-2</v>
      </c>
      <c r="K7807" s="405">
        <v>30.694521000000002</v>
      </c>
      <c r="L7807" s="405" t="s">
        <v>590</v>
      </c>
      <c r="M7807" s="405" t="s">
        <v>19705</v>
      </c>
      <c r="N7807" s="405" t="s">
        <v>2250</v>
      </c>
      <c r="O7807" s="405" t="s">
        <v>2250</v>
      </c>
      <c r="P7807" s="405" t="s">
        <v>20379</v>
      </c>
      <c r="Q7807" s="411">
        <v>13</v>
      </c>
      <c r="R7807" s="405" t="s">
        <v>874</v>
      </c>
      <c r="S7807" s="405" t="s">
        <v>27124</v>
      </c>
      <c r="T7807" s="405" t="s">
        <v>32102</v>
      </c>
      <c r="U7807" s="405" t="s">
        <v>319</v>
      </c>
    </row>
    <row r="7808" spans="1:21" hidden="1" x14ac:dyDescent="0.25">
      <c r="A7808" s="405" t="s">
        <v>310</v>
      </c>
      <c r="B7808" s="405" t="s">
        <v>28009</v>
      </c>
      <c r="C7808" s="405" t="s">
        <v>327</v>
      </c>
      <c r="D7808" s="405"/>
      <c r="E7808" s="410">
        <v>40908</v>
      </c>
      <c r="F7808" s="410">
        <v>40953</v>
      </c>
      <c r="G7808" s="405" t="s">
        <v>20393</v>
      </c>
      <c r="H7808" s="405">
        <v>777737140</v>
      </c>
      <c r="I7808" s="405"/>
      <c r="J7808" s="405">
        <v>-0.73157300000000003</v>
      </c>
      <c r="K7808" s="405">
        <v>29.942205999999999</v>
      </c>
      <c r="L7808" s="405" t="s">
        <v>590</v>
      </c>
      <c r="M7808" s="405" t="s">
        <v>19619</v>
      </c>
      <c r="N7808" s="405" t="s">
        <v>19793</v>
      </c>
      <c r="O7808" s="405" t="s">
        <v>20033</v>
      </c>
      <c r="P7808" s="405" t="s">
        <v>20394</v>
      </c>
      <c r="Q7808" s="411">
        <v>12</v>
      </c>
      <c r="R7808" s="405" t="s">
        <v>874</v>
      </c>
      <c r="S7808" s="405" t="s">
        <v>27398</v>
      </c>
      <c r="T7808" s="405" t="s">
        <v>32102</v>
      </c>
      <c r="U7808" s="405" t="s">
        <v>319</v>
      </c>
    </row>
    <row r="7809" spans="1:21" hidden="1" x14ac:dyDescent="0.25">
      <c r="A7809" s="405" t="s">
        <v>310</v>
      </c>
      <c r="B7809" s="405" t="s">
        <v>28219</v>
      </c>
      <c r="C7809" s="405" t="s">
        <v>327</v>
      </c>
      <c r="D7809" s="405"/>
      <c r="E7809" s="410">
        <v>40908</v>
      </c>
      <c r="F7809" s="410">
        <v>40953</v>
      </c>
      <c r="G7809" s="405" t="s">
        <v>2122</v>
      </c>
      <c r="H7809" s="405">
        <v>772534286</v>
      </c>
      <c r="I7809" s="405"/>
      <c r="J7809" s="405">
        <v>0.36493439999999999</v>
      </c>
      <c r="K7809" s="405">
        <v>32.744075100000003</v>
      </c>
      <c r="L7809" s="405" t="s">
        <v>314</v>
      </c>
      <c r="M7809" s="405" t="s">
        <v>329</v>
      </c>
      <c r="N7809" s="405" t="s">
        <v>330</v>
      </c>
      <c r="O7809" s="405" t="s">
        <v>706</v>
      </c>
      <c r="P7809" s="405" t="s">
        <v>455</v>
      </c>
      <c r="Q7809" s="411">
        <v>12</v>
      </c>
      <c r="R7809" s="405" t="s">
        <v>318</v>
      </c>
      <c r="S7809" s="405" t="s">
        <v>27149</v>
      </c>
      <c r="T7809" s="405" t="s">
        <v>32102</v>
      </c>
      <c r="U7809" s="405" t="s">
        <v>319</v>
      </c>
    </row>
    <row r="7810" spans="1:21" hidden="1" x14ac:dyDescent="0.25">
      <c r="A7810" s="405" t="s">
        <v>310</v>
      </c>
      <c r="B7810" s="405" t="s">
        <v>20406</v>
      </c>
      <c r="C7810" s="405" t="s">
        <v>327</v>
      </c>
      <c r="D7810" s="405"/>
      <c r="E7810" s="410">
        <v>40908</v>
      </c>
      <c r="F7810" s="410">
        <v>40953</v>
      </c>
      <c r="G7810" s="405" t="s">
        <v>20407</v>
      </c>
      <c r="H7810" s="405">
        <v>702076187</v>
      </c>
      <c r="I7810" s="405"/>
      <c r="J7810" s="405">
        <v>-0.79674800000000001</v>
      </c>
      <c r="K7810" s="405">
        <v>29.853168</v>
      </c>
      <c r="L7810" s="405" t="s">
        <v>590</v>
      </c>
      <c r="M7810" s="405" t="s">
        <v>19619</v>
      </c>
      <c r="N7810" s="405" t="s">
        <v>19793</v>
      </c>
      <c r="O7810" s="405" t="s">
        <v>19794</v>
      </c>
      <c r="P7810" s="405" t="s">
        <v>20011</v>
      </c>
      <c r="Q7810" s="411">
        <v>12</v>
      </c>
      <c r="R7810" s="405" t="s">
        <v>874</v>
      </c>
      <c r="S7810" s="405" t="s">
        <v>27163</v>
      </c>
      <c r="T7810" s="405" t="s">
        <v>32102</v>
      </c>
      <c r="U7810" s="405" t="s">
        <v>319</v>
      </c>
    </row>
    <row r="7811" spans="1:21" hidden="1" x14ac:dyDescent="0.25">
      <c r="A7811" s="405" t="s">
        <v>310</v>
      </c>
      <c r="B7811" s="405" t="s">
        <v>20389</v>
      </c>
      <c r="C7811" s="405" t="s">
        <v>327</v>
      </c>
      <c r="D7811" s="405"/>
      <c r="E7811" s="410">
        <v>40908</v>
      </c>
      <c r="F7811" s="410">
        <v>40953</v>
      </c>
      <c r="G7811" s="405" t="s">
        <v>20390</v>
      </c>
      <c r="H7811" s="405">
        <v>772492088</v>
      </c>
      <c r="I7811" s="405">
        <v>704817754</v>
      </c>
      <c r="J7811" s="405">
        <v>-9.3276999999999999E-2</v>
      </c>
      <c r="K7811" s="405">
        <v>30.509746</v>
      </c>
      <c r="L7811" s="405" t="s">
        <v>590</v>
      </c>
      <c r="M7811" s="405" t="s">
        <v>870</v>
      </c>
      <c r="N7811" s="405" t="s">
        <v>20391</v>
      </c>
      <c r="O7811" s="405" t="s">
        <v>20383</v>
      </c>
      <c r="P7811" s="405" t="s">
        <v>20392</v>
      </c>
      <c r="Q7811" s="411">
        <v>12</v>
      </c>
      <c r="R7811" s="405" t="s">
        <v>19622</v>
      </c>
      <c r="S7811" s="405" t="s">
        <v>27183</v>
      </c>
      <c r="T7811" s="405" t="s">
        <v>32102</v>
      </c>
      <c r="U7811" s="405" t="s">
        <v>319</v>
      </c>
    </row>
    <row r="7812" spans="1:21" hidden="1" x14ac:dyDescent="0.25">
      <c r="A7812" s="405" t="s">
        <v>310</v>
      </c>
      <c r="B7812" s="405" t="s">
        <v>2181</v>
      </c>
      <c r="C7812" s="405" t="s">
        <v>327</v>
      </c>
      <c r="D7812" s="405"/>
      <c r="E7812" s="410">
        <v>40908</v>
      </c>
      <c r="F7812" s="410">
        <v>40953</v>
      </c>
      <c r="G7812" s="405" t="s">
        <v>2182</v>
      </c>
      <c r="H7812" s="405" t="s">
        <v>2183</v>
      </c>
      <c r="I7812" s="405">
        <v>782613112</v>
      </c>
      <c r="J7812" s="405">
        <v>0.38334499999999999</v>
      </c>
      <c r="K7812" s="405">
        <v>32.965473000000003</v>
      </c>
      <c r="L7812" s="405" t="s">
        <v>314</v>
      </c>
      <c r="M7812" s="405" t="s">
        <v>349</v>
      </c>
      <c r="N7812" s="405" t="s">
        <v>2184</v>
      </c>
      <c r="O7812" s="405" t="s">
        <v>351</v>
      </c>
      <c r="P7812" s="405" t="s">
        <v>2185</v>
      </c>
      <c r="Q7812" s="411">
        <v>12</v>
      </c>
      <c r="R7812" s="405" t="s">
        <v>318</v>
      </c>
      <c r="S7812" s="405" t="s">
        <v>414</v>
      </c>
      <c r="T7812" s="405" t="s">
        <v>32102</v>
      </c>
      <c r="U7812" s="405" t="s">
        <v>319</v>
      </c>
    </row>
    <row r="7813" spans="1:21" hidden="1" x14ac:dyDescent="0.25">
      <c r="A7813" s="405" t="s">
        <v>310</v>
      </c>
      <c r="B7813" s="405" t="s">
        <v>2155</v>
      </c>
      <c r="C7813" s="405" t="s">
        <v>327</v>
      </c>
      <c r="D7813" s="405"/>
      <c r="E7813" s="410">
        <v>40908</v>
      </c>
      <c r="F7813" s="410">
        <v>40953</v>
      </c>
      <c r="G7813" s="405" t="s">
        <v>2156</v>
      </c>
      <c r="H7813" s="405">
        <v>392946733</v>
      </c>
      <c r="I7813" s="405"/>
      <c r="J7813" s="405">
        <v>0.69595200000000002</v>
      </c>
      <c r="K7813" s="405">
        <v>32.908721999999997</v>
      </c>
      <c r="L7813" s="405" t="s">
        <v>314</v>
      </c>
      <c r="M7813" s="405" t="s">
        <v>502</v>
      </c>
      <c r="N7813" s="405" t="s">
        <v>1229</v>
      </c>
      <c r="O7813" s="405" t="s">
        <v>502</v>
      </c>
      <c r="P7813" s="405" t="s">
        <v>2157</v>
      </c>
      <c r="Q7813" s="411">
        <v>12</v>
      </c>
      <c r="R7813" s="405" t="s">
        <v>318</v>
      </c>
      <c r="S7813" s="405" t="s">
        <v>27035</v>
      </c>
      <c r="T7813" s="405" t="s">
        <v>32102</v>
      </c>
      <c r="U7813" s="405" t="s">
        <v>319</v>
      </c>
    </row>
    <row r="7814" spans="1:21" hidden="1" x14ac:dyDescent="0.25">
      <c r="A7814" s="405" t="s">
        <v>310</v>
      </c>
      <c r="B7814" s="405" t="s">
        <v>11015</v>
      </c>
      <c r="C7814" s="405" t="s">
        <v>327</v>
      </c>
      <c r="D7814" s="405"/>
      <c r="E7814" s="410">
        <v>40908</v>
      </c>
      <c r="F7814" s="410">
        <v>40953</v>
      </c>
      <c r="G7814" s="405" t="s">
        <v>11016</v>
      </c>
      <c r="H7814" s="405">
        <v>777055425</v>
      </c>
      <c r="I7814" s="405"/>
      <c r="J7814" s="405">
        <v>0.61633389999999999</v>
      </c>
      <c r="K7814" s="405">
        <v>33.479194800000002</v>
      </c>
      <c r="L7814" s="405" t="s">
        <v>6866</v>
      </c>
      <c r="M7814" s="405" t="s">
        <v>5411</v>
      </c>
      <c r="N7814" s="405" t="s">
        <v>9984</v>
      </c>
      <c r="O7814" s="405" t="s">
        <v>11017</v>
      </c>
      <c r="P7814" s="405" t="s">
        <v>11018</v>
      </c>
      <c r="Q7814" s="411">
        <v>12</v>
      </c>
      <c r="R7814" s="405" t="s">
        <v>318</v>
      </c>
      <c r="S7814" s="405" t="s">
        <v>27134</v>
      </c>
      <c r="T7814" s="405" t="s">
        <v>32102</v>
      </c>
      <c r="U7814" s="405" t="s">
        <v>319</v>
      </c>
    </row>
    <row r="7815" spans="1:21" hidden="1" x14ac:dyDescent="0.25">
      <c r="A7815" s="405" t="s">
        <v>310</v>
      </c>
      <c r="B7815" s="405" t="s">
        <v>2120</v>
      </c>
      <c r="C7815" s="405" t="s">
        <v>327</v>
      </c>
      <c r="D7815" s="405"/>
      <c r="E7815" s="410">
        <v>40908</v>
      </c>
      <c r="F7815" s="410">
        <v>40953</v>
      </c>
      <c r="G7815" s="405" t="s">
        <v>2121</v>
      </c>
      <c r="H7815" s="405">
        <v>774659272</v>
      </c>
      <c r="I7815" s="405"/>
      <c r="J7815" s="405">
        <v>0.36679679999999998</v>
      </c>
      <c r="K7815" s="405">
        <v>32.773357300000001</v>
      </c>
      <c r="L7815" s="405" t="s">
        <v>314</v>
      </c>
      <c r="M7815" s="405" t="s">
        <v>329</v>
      </c>
      <c r="N7815" s="405" t="s">
        <v>330</v>
      </c>
      <c r="O7815" s="405" t="s">
        <v>706</v>
      </c>
      <c r="P7815" s="405" t="s">
        <v>707</v>
      </c>
      <c r="Q7815" s="411">
        <v>12</v>
      </c>
      <c r="R7815" s="405" t="s">
        <v>353</v>
      </c>
      <c r="S7815" s="405" t="s">
        <v>27106</v>
      </c>
      <c r="T7815" s="405" t="s">
        <v>32102</v>
      </c>
      <c r="U7815" s="405" t="s">
        <v>319</v>
      </c>
    </row>
    <row r="7816" spans="1:21" hidden="1" x14ac:dyDescent="0.25">
      <c r="A7816" s="405" t="s">
        <v>310</v>
      </c>
      <c r="B7816" s="405" t="s">
        <v>2652</v>
      </c>
      <c r="C7816" s="405" t="s">
        <v>311</v>
      </c>
      <c r="D7816" s="405" t="s">
        <v>839</v>
      </c>
      <c r="E7816" s="410">
        <v>40908</v>
      </c>
      <c r="F7816" s="410">
        <v>40953</v>
      </c>
      <c r="G7816" s="405" t="s">
        <v>2653</v>
      </c>
      <c r="H7816" s="405">
        <v>772572782</v>
      </c>
      <c r="I7816" s="405">
        <v>772901601</v>
      </c>
      <c r="J7816" s="405">
        <v>0.36581166666666665</v>
      </c>
      <c r="K7816" s="405">
        <v>32.73639</v>
      </c>
      <c r="L7816" s="405" t="s">
        <v>314</v>
      </c>
      <c r="M7816" s="405" t="s">
        <v>329</v>
      </c>
      <c r="N7816" s="405" t="s">
        <v>330</v>
      </c>
      <c r="O7816" s="405" t="s">
        <v>331</v>
      </c>
      <c r="P7816" s="405" t="s">
        <v>455</v>
      </c>
      <c r="Q7816" s="411">
        <v>12</v>
      </c>
      <c r="R7816" s="405" t="s">
        <v>318</v>
      </c>
      <c r="S7816" s="405" t="s">
        <v>27149</v>
      </c>
      <c r="T7816" s="405" t="s">
        <v>32102</v>
      </c>
      <c r="U7816" s="405" t="s">
        <v>319</v>
      </c>
    </row>
    <row r="7817" spans="1:21" hidden="1" x14ac:dyDescent="0.25">
      <c r="A7817" s="405" t="s">
        <v>310</v>
      </c>
      <c r="B7817" s="405" t="s">
        <v>2186</v>
      </c>
      <c r="C7817" s="405" t="s">
        <v>327</v>
      </c>
      <c r="D7817" s="405"/>
      <c r="E7817" s="410">
        <v>40908</v>
      </c>
      <c r="F7817" s="410">
        <v>40953</v>
      </c>
      <c r="G7817" s="405" t="s">
        <v>2187</v>
      </c>
      <c r="H7817" s="405">
        <v>712828028</v>
      </c>
      <c r="I7817" s="405"/>
      <c r="J7817" s="405">
        <v>0.249727</v>
      </c>
      <c r="K7817" s="405">
        <v>32.620150000000002</v>
      </c>
      <c r="L7817" s="405" t="s">
        <v>314</v>
      </c>
      <c r="M7817" s="405" t="s">
        <v>329</v>
      </c>
      <c r="N7817" s="405" t="s">
        <v>803</v>
      </c>
      <c r="O7817" s="405" t="s">
        <v>2188</v>
      </c>
      <c r="P7817" s="405" t="s">
        <v>1005</v>
      </c>
      <c r="Q7817" s="411">
        <v>12</v>
      </c>
      <c r="R7817" s="405" t="s">
        <v>318</v>
      </c>
      <c r="S7817" s="405" t="s">
        <v>27124</v>
      </c>
      <c r="T7817" s="405" t="s">
        <v>32102</v>
      </c>
      <c r="U7817" s="405" t="s">
        <v>319</v>
      </c>
    </row>
    <row r="7818" spans="1:21" hidden="1" x14ac:dyDescent="0.25">
      <c r="A7818" s="405" t="s">
        <v>310</v>
      </c>
      <c r="B7818" s="405" t="s">
        <v>2168</v>
      </c>
      <c r="C7818" s="405" t="s">
        <v>327</v>
      </c>
      <c r="D7818" s="405"/>
      <c r="E7818" s="410">
        <v>40908</v>
      </c>
      <c r="F7818" s="410">
        <v>40953</v>
      </c>
      <c r="G7818" s="405" t="s">
        <v>2169</v>
      </c>
      <c r="H7818" s="405">
        <v>752790555</v>
      </c>
      <c r="I7818" s="405"/>
      <c r="J7818" s="405">
        <v>0.63947200000000004</v>
      </c>
      <c r="K7818" s="405">
        <v>33.010179999999998</v>
      </c>
      <c r="L7818" s="405" t="s">
        <v>314</v>
      </c>
      <c r="M7818" s="405" t="s">
        <v>502</v>
      </c>
      <c r="N7818" s="405" t="s">
        <v>503</v>
      </c>
      <c r="O7818" s="405" t="s">
        <v>504</v>
      </c>
      <c r="P7818" s="405" t="s">
        <v>2170</v>
      </c>
      <c r="Q7818" s="411">
        <v>12</v>
      </c>
      <c r="R7818" s="405" t="s">
        <v>318</v>
      </c>
      <c r="S7818" s="405" t="s">
        <v>27113</v>
      </c>
      <c r="T7818" s="405" t="s">
        <v>32102</v>
      </c>
      <c r="U7818" s="405" t="s">
        <v>319</v>
      </c>
    </row>
    <row r="7819" spans="1:21" hidden="1" x14ac:dyDescent="0.25">
      <c r="A7819" s="405" t="s">
        <v>310</v>
      </c>
      <c r="B7819" s="405" t="s">
        <v>2235</v>
      </c>
      <c r="C7819" s="405" t="s">
        <v>327</v>
      </c>
      <c r="D7819" s="405"/>
      <c r="E7819" s="410">
        <v>40908</v>
      </c>
      <c r="F7819" s="410">
        <v>40953</v>
      </c>
      <c r="G7819" s="405" t="s">
        <v>2236</v>
      </c>
      <c r="H7819" s="405">
        <v>772509221</v>
      </c>
      <c r="I7819" s="405"/>
      <c r="J7819" s="405">
        <v>0.30011500000000002</v>
      </c>
      <c r="K7819" s="405">
        <v>32.788125000000001</v>
      </c>
      <c r="L7819" s="405" t="s">
        <v>314</v>
      </c>
      <c r="M7819" s="405" t="s">
        <v>329</v>
      </c>
      <c r="N7819" s="405" t="s">
        <v>803</v>
      </c>
      <c r="O7819" s="405" t="s">
        <v>653</v>
      </c>
      <c r="P7819" s="405" t="s">
        <v>2237</v>
      </c>
      <c r="Q7819" s="411">
        <v>12</v>
      </c>
      <c r="R7819" s="405" t="s">
        <v>318</v>
      </c>
      <c r="S7819" s="405" t="s">
        <v>27141</v>
      </c>
      <c r="T7819" s="405" t="s">
        <v>32102</v>
      </c>
      <c r="U7819" s="405" t="s">
        <v>319</v>
      </c>
    </row>
    <row r="7820" spans="1:21" hidden="1" x14ac:dyDescent="0.25">
      <c r="A7820" s="405" t="s">
        <v>310</v>
      </c>
      <c r="B7820" s="405" t="s">
        <v>11053</v>
      </c>
      <c r="C7820" s="405" t="s">
        <v>327</v>
      </c>
      <c r="D7820" s="405"/>
      <c r="E7820" s="410">
        <v>40908</v>
      </c>
      <c r="F7820" s="410">
        <v>40953</v>
      </c>
      <c r="G7820" s="405" t="s">
        <v>11054</v>
      </c>
      <c r="H7820" s="405">
        <v>772668692</v>
      </c>
      <c r="I7820" s="405"/>
      <c r="J7820" s="405">
        <v>0.4513373</v>
      </c>
      <c r="K7820" s="405">
        <v>33.222805899999997</v>
      </c>
      <c r="L7820" s="405" t="s">
        <v>6866</v>
      </c>
      <c r="M7820" s="405" t="s">
        <v>9590</v>
      </c>
      <c r="N7820" s="405" t="s">
        <v>9591</v>
      </c>
      <c r="O7820" s="405" t="s">
        <v>9592</v>
      </c>
      <c r="P7820" s="405" t="s">
        <v>11055</v>
      </c>
      <c r="Q7820" s="411">
        <v>12</v>
      </c>
      <c r="R7820" s="405" t="s">
        <v>318</v>
      </c>
      <c r="S7820" s="405" t="s">
        <v>27134</v>
      </c>
      <c r="T7820" s="405" t="s">
        <v>32102</v>
      </c>
      <c r="U7820" s="405" t="s">
        <v>319</v>
      </c>
    </row>
    <row r="7821" spans="1:21" hidden="1" x14ac:dyDescent="0.25">
      <c r="A7821" s="405" t="s">
        <v>310</v>
      </c>
      <c r="B7821" s="405" t="s">
        <v>2177</v>
      </c>
      <c r="C7821" s="405" t="s">
        <v>327</v>
      </c>
      <c r="D7821" s="405"/>
      <c r="E7821" s="410">
        <v>40908</v>
      </c>
      <c r="F7821" s="410">
        <v>40953</v>
      </c>
      <c r="G7821" s="405" t="s">
        <v>2178</v>
      </c>
      <c r="H7821" s="405">
        <v>753744508</v>
      </c>
      <c r="I7821" s="405"/>
      <c r="J7821" s="405">
        <v>0.60716800000000004</v>
      </c>
      <c r="K7821" s="405">
        <v>33.009421000000003</v>
      </c>
      <c r="L7821" s="405" t="s">
        <v>314</v>
      </c>
      <c r="M7821" s="405" t="s">
        <v>502</v>
      </c>
      <c r="N7821" s="405" t="s">
        <v>503</v>
      </c>
      <c r="O7821" s="405" t="s">
        <v>2179</v>
      </c>
      <c r="P7821" s="405" t="s">
        <v>2180</v>
      </c>
      <c r="Q7821" s="411">
        <v>12</v>
      </c>
      <c r="R7821" s="405" t="s">
        <v>318</v>
      </c>
      <c r="S7821" s="405" t="s">
        <v>27124</v>
      </c>
      <c r="T7821" s="405" t="s">
        <v>32102</v>
      </c>
      <c r="U7821" s="405" t="s">
        <v>319</v>
      </c>
    </row>
    <row r="7822" spans="1:21" hidden="1" x14ac:dyDescent="0.25">
      <c r="A7822" s="405" t="s">
        <v>310</v>
      </c>
      <c r="B7822" s="405" t="s">
        <v>20613</v>
      </c>
      <c r="C7822" s="405" t="s">
        <v>311</v>
      </c>
      <c r="D7822" s="405" t="s">
        <v>839</v>
      </c>
      <c r="E7822" s="410">
        <v>40908</v>
      </c>
      <c r="F7822" s="410">
        <v>40953</v>
      </c>
      <c r="G7822" s="405" t="s">
        <v>20614</v>
      </c>
      <c r="H7822" s="405">
        <v>772507352</v>
      </c>
      <c r="I7822" s="405">
        <v>782187167</v>
      </c>
      <c r="J7822" s="405">
        <v>-9.8316000000000001E-2</v>
      </c>
      <c r="K7822" s="405">
        <v>30.50038</v>
      </c>
      <c r="L7822" s="405" t="s">
        <v>590</v>
      </c>
      <c r="M7822" s="405" t="s">
        <v>870</v>
      </c>
      <c r="N7822" s="405" t="s">
        <v>20382</v>
      </c>
      <c r="O7822" s="405" t="s">
        <v>20615</v>
      </c>
      <c r="P7822" s="405" t="s">
        <v>20616</v>
      </c>
      <c r="Q7822" s="411">
        <v>12</v>
      </c>
      <c r="R7822" s="405" t="s">
        <v>19622</v>
      </c>
      <c r="S7822" s="405" t="s">
        <v>27183</v>
      </c>
      <c r="T7822" s="405" t="s">
        <v>32102</v>
      </c>
      <c r="U7822" s="405" t="s">
        <v>319</v>
      </c>
    </row>
    <row r="7823" spans="1:21" hidden="1" x14ac:dyDescent="0.25">
      <c r="A7823" s="405" t="s">
        <v>310</v>
      </c>
      <c r="B7823" s="405" t="s">
        <v>2221</v>
      </c>
      <c r="C7823" s="405" t="s">
        <v>327</v>
      </c>
      <c r="D7823" s="405"/>
      <c r="E7823" s="410">
        <v>40908</v>
      </c>
      <c r="F7823" s="410">
        <v>40953</v>
      </c>
      <c r="G7823" s="405" t="s">
        <v>2222</v>
      </c>
      <c r="H7823" s="405">
        <v>772617573</v>
      </c>
      <c r="I7823" s="405"/>
      <c r="J7823" s="405">
        <v>0.41598800000000002</v>
      </c>
      <c r="K7823" s="405">
        <v>32.760759999999998</v>
      </c>
      <c r="L7823" s="405" t="s">
        <v>314</v>
      </c>
      <c r="M7823" s="405" t="s">
        <v>329</v>
      </c>
      <c r="N7823" s="405" t="s">
        <v>545</v>
      </c>
      <c r="O7823" s="405" t="s">
        <v>546</v>
      </c>
      <c r="P7823" s="405" t="s">
        <v>2223</v>
      </c>
      <c r="Q7823" s="411">
        <v>12</v>
      </c>
      <c r="R7823" s="405" t="s">
        <v>318</v>
      </c>
      <c r="S7823" s="405" t="s">
        <v>27149</v>
      </c>
      <c r="T7823" s="405" t="s">
        <v>32102</v>
      </c>
      <c r="U7823" s="405" t="s">
        <v>319</v>
      </c>
    </row>
    <row r="7824" spans="1:21" hidden="1" x14ac:dyDescent="0.25">
      <c r="A7824" s="405" t="s">
        <v>310</v>
      </c>
      <c r="B7824" s="405" t="s">
        <v>2129</v>
      </c>
      <c r="C7824" s="405" t="s">
        <v>327</v>
      </c>
      <c r="D7824" s="405"/>
      <c r="E7824" s="410">
        <v>40908</v>
      </c>
      <c r="F7824" s="410">
        <v>40953</v>
      </c>
      <c r="G7824" s="405" t="s">
        <v>2130</v>
      </c>
      <c r="H7824" s="405">
        <v>392944770</v>
      </c>
      <c r="I7824" s="405"/>
      <c r="J7824" s="405">
        <v>0.31974170000000002</v>
      </c>
      <c r="K7824" s="405">
        <v>32.621220600000001</v>
      </c>
      <c r="L7824" s="405" t="s">
        <v>314</v>
      </c>
      <c r="M7824" s="405" t="s">
        <v>361</v>
      </c>
      <c r="N7824" s="405" t="s">
        <v>362</v>
      </c>
      <c r="O7824" s="405" t="s">
        <v>410</v>
      </c>
      <c r="P7824" s="405" t="s">
        <v>606</v>
      </c>
      <c r="Q7824" s="411">
        <v>12</v>
      </c>
      <c r="R7824" s="405" t="s">
        <v>318</v>
      </c>
      <c r="S7824" s="405" t="s">
        <v>27149</v>
      </c>
      <c r="T7824" s="405" t="s">
        <v>32102</v>
      </c>
      <c r="U7824" s="405" t="s">
        <v>319</v>
      </c>
    </row>
    <row r="7825" spans="1:21" hidden="1" x14ac:dyDescent="0.25">
      <c r="A7825" s="405" t="s">
        <v>310</v>
      </c>
      <c r="B7825" s="405" t="s">
        <v>20380</v>
      </c>
      <c r="C7825" s="405" t="s">
        <v>327</v>
      </c>
      <c r="D7825" s="405"/>
      <c r="E7825" s="410">
        <v>40908</v>
      </c>
      <c r="F7825" s="410">
        <v>40953</v>
      </c>
      <c r="G7825" s="405" t="s">
        <v>20381</v>
      </c>
      <c r="H7825" s="405">
        <v>774784261</v>
      </c>
      <c r="I7825" s="405"/>
      <c r="J7825" s="405">
        <v>-0.12573400000000001</v>
      </c>
      <c r="K7825" s="405">
        <v>30.495528</v>
      </c>
      <c r="L7825" s="405" t="s">
        <v>590</v>
      </c>
      <c r="M7825" s="405" t="s">
        <v>870</v>
      </c>
      <c r="N7825" s="405" t="s">
        <v>20382</v>
      </c>
      <c r="O7825" s="405" t="s">
        <v>20383</v>
      </c>
      <c r="P7825" s="405" t="s">
        <v>20384</v>
      </c>
      <c r="Q7825" s="411">
        <v>12</v>
      </c>
      <c r="R7825" s="405" t="s">
        <v>19622</v>
      </c>
      <c r="S7825" s="405" t="s">
        <v>27183</v>
      </c>
      <c r="T7825" s="405" t="s">
        <v>32102</v>
      </c>
      <c r="U7825" s="405" t="s">
        <v>319</v>
      </c>
    </row>
    <row r="7826" spans="1:21" hidden="1" x14ac:dyDescent="0.25">
      <c r="A7826" s="405" t="s">
        <v>310</v>
      </c>
      <c r="B7826" s="405" t="s">
        <v>28811</v>
      </c>
      <c r="C7826" s="405" t="s">
        <v>327</v>
      </c>
      <c r="D7826" s="405"/>
      <c r="E7826" s="410">
        <v>40908</v>
      </c>
      <c r="F7826" s="410">
        <v>40953</v>
      </c>
      <c r="G7826" s="405" t="s">
        <v>2209</v>
      </c>
      <c r="H7826" s="405">
        <v>771840058</v>
      </c>
      <c r="I7826" s="405">
        <v>757180997</v>
      </c>
      <c r="J7826" s="405">
        <v>0.35981200000000002</v>
      </c>
      <c r="K7826" s="405">
        <v>32.486579999999996</v>
      </c>
      <c r="L7826" s="405" t="s">
        <v>314</v>
      </c>
      <c r="M7826" s="405" t="s">
        <v>361</v>
      </c>
      <c r="N7826" s="405" t="s">
        <v>374</v>
      </c>
      <c r="O7826" s="405" t="s">
        <v>361</v>
      </c>
      <c r="P7826" s="405" t="s">
        <v>2210</v>
      </c>
      <c r="Q7826" s="411">
        <v>9</v>
      </c>
      <c r="R7826" s="405" t="s">
        <v>318</v>
      </c>
      <c r="S7826" s="405" t="s">
        <v>414</v>
      </c>
      <c r="T7826" s="405" t="s">
        <v>32102</v>
      </c>
      <c r="U7826" s="405" t="s">
        <v>319</v>
      </c>
    </row>
    <row r="7827" spans="1:21" hidden="1" x14ac:dyDescent="0.25">
      <c r="A7827" s="405" t="s">
        <v>310</v>
      </c>
      <c r="B7827" s="405" t="s">
        <v>28925</v>
      </c>
      <c r="C7827" s="405" t="s">
        <v>327</v>
      </c>
      <c r="D7827" s="405"/>
      <c r="E7827" s="410">
        <v>40908</v>
      </c>
      <c r="F7827" s="410">
        <v>40953</v>
      </c>
      <c r="G7827" s="405" t="s">
        <v>11027</v>
      </c>
      <c r="H7827" s="405">
        <v>774427880</v>
      </c>
      <c r="I7827" s="405">
        <v>703414075</v>
      </c>
      <c r="J7827" s="405">
        <v>1.358973</v>
      </c>
      <c r="K7827" s="405">
        <v>34.412419999999997</v>
      </c>
      <c r="L7827" s="405" t="s">
        <v>6866</v>
      </c>
      <c r="M7827" s="405" t="s">
        <v>9685</v>
      </c>
      <c r="N7827" s="405" t="s">
        <v>9686</v>
      </c>
      <c r="O7827" s="405" t="s">
        <v>9687</v>
      </c>
      <c r="P7827" s="405" t="s">
        <v>9688</v>
      </c>
      <c r="Q7827" s="411">
        <v>9</v>
      </c>
      <c r="R7827" s="405" t="s">
        <v>333</v>
      </c>
      <c r="S7827" s="405" t="s">
        <v>17062</v>
      </c>
      <c r="T7827" s="405" t="s">
        <v>32102</v>
      </c>
      <c r="U7827" s="405" t="s">
        <v>319</v>
      </c>
    </row>
    <row r="7828" spans="1:21" hidden="1" x14ac:dyDescent="0.25">
      <c r="A7828" s="405" t="s">
        <v>310</v>
      </c>
      <c r="B7828" s="405" t="s">
        <v>2191</v>
      </c>
      <c r="C7828" s="405" t="s">
        <v>327</v>
      </c>
      <c r="D7828" s="405"/>
      <c r="E7828" s="410">
        <v>40908</v>
      </c>
      <c r="F7828" s="410">
        <v>40953</v>
      </c>
      <c r="G7828" s="405" t="s">
        <v>2192</v>
      </c>
      <c r="H7828" s="405" t="s">
        <v>2193</v>
      </c>
      <c r="I7828" s="405">
        <v>754847716</v>
      </c>
      <c r="J7828" s="405">
        <v>0.362645</v>
      </c>
      <c r="K7828" s="405">
        <v>32.697488</v>
      </c>
      <c r="L7828" s="405" t="s">
        <v>314</v>
      </c>
      <c r="M7828" s="405" t="s">
        <v>329</v>
      </c>
      <c r="N7828" s="405" t="s">
        <v>330</v>
      </c>
      <c r="O7828" s="405" t="s">
        <v>630</v>
      </c>
      <c r="P7828" s="405" t="s">
        <v>2194</v>
      </c>
      <c r="Q7828" s="411">
        <v>9</v>
      </c>
      <c r="R7828" s="405" t="s">
        <v>333</v>
      </c>
      <c r="S7828" s="405" t="s">
        <v>27180</v>
      </c>
      <c r="T7828" s="405" t="s">
        <v>32102</v>
      </c>
      <c r="U7828" s="405" t="s">
        <v>319</v>
      </c>
    </row>
    <row r="7829" spans="1:21" hidden="1" x14ac:dyDescent="0.25">
      <c r="A7829" s="405" t="s">
        <v>310</v>
      </c>
      <c r="B7829" s="405" t="s">
        <v>2224</v>
      </c>
      <c r="C7829" s="405" t="s">
        <v>327</v>
      </c>
      <c r="D7829" s="405"/>
      <c r="E7829" s="410">
        <v>40908</v>
      </c>
      <c r="F7829" s="410">
        <v>40953</v>
      </c>
      <c r="G7829" s="405" t="s">
        <v>2225</v>
      </c>
      <c r="H7829" s="405">
        <v>752539909</v>
      </c>
      <c r="I7829" s="405">
        <v>774630879</v>
      </c>
      <c r="J7829" s="405">
        <v>0.260023</v>
      </c>
      <c r="K7829" s="405">
        <v>32.858291999999999</v>
      </c>
      <c r="L7829" s="405" t="s">
        <v>314</v>
      </c>
      <c r="M7829" s="405" t="s">
        <v>329</v>
      </c>
      <c r="N7829" s="405" t="s">
        <v>803</v>
      </c>
      <c r="O7829" s="405" t="s">
        <v>653</v>
      </c>
      <c r="P7829" s="405" t="s">
        <v>2226</v>
      </c>
      <c r="Q7829" s="411">
        <v>9</v>
      </c>
      <c r="R7829" s="405" t="s">
        <v>318</v>
      </c>
      <c r="S7829" s="405" t="s">
        <v>27124</v>
      </c>
      <c r="T7829" s="405" t="s">
        <v>32102</v>
      </c>
      <c r="U7829" s="405" t="s">
        <v>319</v>
      </c>
    </row>
    <row r="7830" spans="1:21" hidden="1" x14ac:dyDescent="0.25">
      <c r="A7830" s="405" t="s">
        <v>310</v>
      </c>
      <c r="B7830" s="405" t="s">
        <v>27679</v>
      </c>
      <c r="C7830" s="405" t="s">
        <v>311</v>
      </c>
      <c r="D7830" s="405" t="s">
        <v>839</v>
      </c>
      <c r="E7830" s="410">
        <v>40908</v>
      </c>
      <c r="F7830" s="410">
        <v>40953</v>
      </c>
      <c r="G7830" s="405" t="s">
        <v>11586</v>
      </c>
      <c r="H7830" s="405">
        <v>773912085</v>
      </c>
      <c r="I7830" s="405">
        <v>753754586</v>
      </c>
      <c r="J7830" s="405">
        <v>0.65420489999999998</v>
      </c>
      <c r="K7830" s="405">
        <v>33.171511299999999</v>
      </c>
      <c r="L7830" s="405" t="s">
        <v>6866</v>
      </c>
      <c r="M7830" s="405" t="s">
        <v>9590</v>
      </c>
      <c r="N7830" s="405" t="s">
        <v>542</v>
      </c>
      <c r="O7830" s="405" t="s">
        <v>10061</v>
      </c>
      <c r="P7830" s="405" t="s">
        <v>11587</v>
      </c>
      <c r="Q7830" s="411">
        <v>9</v>
      </c>
      <c r="R7830" s="405" t="s">
        <v>318</v>
      </c>
      <c r="S7830" s="405" t="s">
        <v>6822</v>
      </c>
      <c r="T7830" s="405" t="s">
        <v>32102</v>
      </c>
      <c r="U7830" s="405" t="s">
        <v>319</v>
      </c>
    </row>
    <row r="7831" spans="1:21" hidden="1" x14ac:dyDescent="0.25">
      <c r="A7831" s="405" t="s">
        <v>310</v>
      </c>
      <c r="B7831" s="405" t="s">
        <v>2693</v>
      </c>
      <c r="C7831" s="405" t="s">
        <v>311</v>
      </c>
      <c r="D7831" s="405" t="s">
        <v>312</v>
      </c>
      <c r="E7831" s="410">
        <v>40908</v>
      </c>
      <c r="F7831" s="410">
        <v>40953</v>
      </c>
      <c r="G7831" s="405" t="s">
        <v>2694</v>
      </c>
      <c r="H7831" s="405">
        <v>773251557</v>
      </c>
      <c r="I7831" s="405"/>
      <c r="J7831" s="405">
        <v>0.66098500000000004</v>
      </c>
      <c r="K7831" s="405">
        <v>32.952981999999999</v>
      </c>
      <c r="L7831" s="405" t="s">
        <v>314</v>
      </c>
      <c r="M7831" s="405" t="s">
        <v>502</v>
      </c>
      <c r="N7831" s="405" t="s">
        <v>1229</v>
      </c>
      <c r="O7831" s="405" t="s">
        <v>502</v>
      </c>
      <c r="P7831" s="405" t="s">
        <v>2695</v>
      </c>
      <c r="Q7831" s="411">
        <v>9</v>
      </c>
      <c r="R7831" s="405" t="s">
        <v>318</v>
      </c>
      <c r="S7831" s="405" t="s">
        <v>27124</v>
      </c>
      <c r="T7831" s="405" t="s">
        <v>32102</v>
      </c>
      <c r="U7831" s="405" t="s">
        <v>319</v>
      </c>
    </row>
    <row r="7832" spans="1:21" hidden="1" x14ac:dyDescent="0.25">
      <c r="A7832" s="405" t="s">
        <v>310</v>
      </c>
      <c r="B7832" s="405" t="s">
        <v>11126</v>
      </c>
      <c r="C7832" s="405" t="s">
        <v>327</v>
      </c>
      <c r="D7832" s="405"/>
      <c r="E7832" s="410">
        <v>40908</v>
      </c>
      <c r="F7832" s="410">
        <v>40953</v>
      </c>
      <c r="G7832" s="405" t="s">
        <v>11127</v>
      </c>
      <c r="H7832" s="405">
        <v>782696547</v>
      </c>
      <c r="I7832" s="405"/>
      <c r="J7832" s="405">
        <v>0.59836800000000001</v>
      </c>
      <c r="K7832" s="405">
        <v>33.459879999999998</v>
      </c>
      <c r="L7832" s="405" t="s">
        <v>6866</v>
      </c>
      <c r="M7832" s="405" t="s">
        <v>11128</v>
      </c>
      <c r="N7832" s="405" t="s">
        <v>11129</v>
      </c>
      <c r="O7832" s="405" t="s">
        <v>11130</v>
      </c>
      <c r="P7832" s="405" t="s">
        <v>11131</v>
      </c>
      <c r="Q7832" s="411">
        <v>9</v>
      </c>
      <c r="R7832" s="405" t="s">
        <v>318</v>
      </c>
      <c r="S7832" s="405" t="s">
        <v>6822</v>
      </c>
      <c r="T7832" s="405" t="s">
        <v>32102</v>
      </c>
      <c r="U7832" s="405" t="s">
        <v>319</v>
      </c>
    </row>
    <row r="7833" spans="1:21" hidden="1" x14ac:dyDescent="0.25">
      <c r="A7833" s="405" t="s">
        <v>310</v>
      </c>
      <c r="B7833" s="405" t="s">
        <v>2232</v>
      </c>
      <c r="C7833" s="405" t="s">
        <v>327</v>
      </c>
      <c r="D7833" s="405"/>
      <c r="E7833" s="410">
        <v>40908</v>
      </c>
      <c r="F7833" s="410">
        <v>40953</v>
      </c>
      <c r="G7833" s="405" t="s">
        <v>2233</v>
      </c>
      <c r="H7833" s="405">
        <v>788288874</v>
      </c>
      <c r="I7833" s="405"/>
      <c r="J7833" s="405">
        <v>0.36627999999999999</v>
      </c>
      <c r="K7833" s="405">
        <v>32.816405000000003</v>
      </c>
      <c r="L7833" s="405" t="s">
        <v>314</v>
      </c>
      <c r="M7833" s="405" t="s">
        <v>329</v>
      </c>
      <c r="N7833" s="405" t="s">
        <v>803</v>
      </c>
      <c r="O7833" s="405" t="s">
        <v>653</v>
      </c>
      <c r="P7833" s="405" t="s">
        <v>2234</v>
      </c>
      <c r="Q7833" s="411">
        <v>9</v>
      </c>
      <c r="R7833" s="405" t="s">
        <v>333</v>
      </c>
      <c r="S7833" s="405" t="s">
        <v>27113</v>
      </c>
      <c r="T7833" s="405" t="s">
        <v>32102</v>
      </c>
      <c r="U7833" s="405" t="s">
        <v>319</v>
      </c>
    </row>
    <row r="7834" spans="1:21" hidden="1" x14ac:dyDescent="0.25">
      <c r="A7834" s="405" t="s">
        <v>310</v>
      </c>
      <c r="B7834" s="405" t="s">
        <v>20385</v>
      </c>
      <c r="C7834" s="405" t="s">
        <v>327</v>
      </c>
      <c r="D7834" s="405"/>
      <c r="E7834" s="410">
        <v>40908</v>
      </c>
      <c r="F7834" s="410">
        <v>40953</v>
      </c>
      <c r="G7834" s="405" t="s">
        <v>20386</v>
      </c>
      <c r="H7834" s="405">
        <v>772500129</v>
      </c>
      <c r="I7834" s="405"/>
      <c r="J7834" s="405">
        <v>-0.110903</v>
      </c>
      <c r="K7834" s="405">
        <v>30.426017999999999</v>
      </c>
      <c r="L7834" s="405" t="s">
        <v>590</v>
      </c>
      <c r="M7834" s="405" t="s">
        <v>870</v>
      </c>
      <c r="N7834" s="405" t="s">
        <v>20382</v>
      </c>
      <c r="O7834" s="405" t="s">
        <v>20387</v>
      </c>
      <c r="P7834" s="405" t="s">
        <v>20388</v>
      </c>
      <c r="Q7834" s="411">
        <v>9</v>
      </c>
      <c r="R7834" s="405" t="s">
        <v>19622</v>
      </c>
      <c r="S7834" s="405" t="s">
        <v>27183</v>
      </c>
      <c r="T7834" s="405" t="s">
        <v>32102</v>
      </c>
      <c r="U7834" s="405" t="s">
        <v>319</v>
      </c>
    </row>
    <row r="7835" spans="1:21" hidden="1" x14ac:dyDescent="0.25">
      <c r="A7835" s="405" t="s">
        <v>310</v>
      </c>
      <c r="B7835" s="405" t="s">
        <v>2654</v>
      </c>
      <c r="C7835" s="405" t="s">
        <v>311</v>
      </c>
      <c r="D7835" s="405" t="s">
        <v>312</v>
      </c>
      <c r="E7835" s="410">
        <v>40908</v>
      </c>
      <c r="F7835" s="410">
        <v>40953</v>
      </c>
      <c r="G7835" s="405" t="s">
        <v>2655</v>
      </c>
      <c r="H7835" s="405">
        <v>752534704</v>
      </c>
      <c r="I7835" s="405">
        <v>751686522</v>
      </c>
      <c r="J7835" s="405">
        <v>0.36744759999999999</v>
      </c>
      <c r="K7835" s="405">
        <v>32.7098206</v>
      </c>
      <c r="L7835" s="405" t="s">
        <v>314</v>
      </c>
      <c r="M7835" s="405" t="s">
        <v>329</v>
      </c>
      <c r="N7835" s="405" t="s">
        <v>330</v>
      </c>
      <c r="O7835" s="405" t="s">
        <v>630</v>
      </c>
      <c r="P7835" s="405" t="s">
        <v>1817</v>
      </c>
      <c r="Q7835" s="411">
        <v>9</v>
      </c>
      <c r="R7835" s="405" t="s">
        <v>353</v>
      </c>
      <c r="S7835" s="405" t="s">
        <v>27140</v>
      </c>
      <c r="T7835" s="405" t="s">
        <v>32102</v>
      </c>
      <c r="U7835" s="405" t="s">
        <v>319</v>
      </c>
    </row>
    <row r="7836" spans="1:21" hidden="1" x14ac:dyDescent="0.25">
      <c r="A7836" s="405" t="s">
        <v>310</v>
      </c>
      <c r="B7836" s="405" t="s">
        <v>20403</v>
      </c>
      <c r="C7836" s="405" t="s">
        <v>327</v>
      </c>
      <c r="D7836" s="405"/>
      <c r="E7836" s="410">
        <v>40908</v>
      </c>
      <c r="F7836" s="410">
        <v>40953</v>
      </c>
      <c r="G7836" s="405" t="s">
        <v>20404</v>
      </c>
      <c r="H7836" s="405">
        <v>775514342</v>
      </c>
      <c r="I7836" s="405"/>
      <c r="J7836" s="405">
        <v>-0.83881899999999998</v>
      </c>
      <c r="K7836" s="405">
        <v>30.020565000000001</v>
      </c>
      <c r="L7836" s="405" t="s">
        <v>590</v>
      </c>
      <c r="M7836" s="405" t="s">
        <v>19619</v>
      </c>
      <c r="N7836" s="405" t="s">
        <v>19620</v>
      </c>
      <c r="O7836" s="405" t="s">
        <v>19635</v>
      </c>
      <c r="P7836" s="405" t="s">
        <v>20405</v>
      </c>
      <c r="Q7836" s="411">
        <v>9</v>
      </c>
      <c r="R7836" s="405" t="s">
        <v>874</v>
      </c>
      <c r="S7836" s="405" t="s">
        <v>27398</v>
      </c>
      <c r="T7836" s="405" t="s">
        <v>32102</v>
      </c>
      <c r="U7836" s="405" t="s">
        <v>319</v>
      </c>
    </row>
    <row r="7837" spans="1:21" hidden="1" x14ac:dyDescent="0.25">
      <c r="A7837" s="405" t="s">
        <v>310</v>
      </c>
      <c r="B7837" s="405" t="s">
        <v>20400</v>
      </c>
      <c r="C7837" s="405" t="s">
        <v>327</v>
      </c>
      <c r="D7837" s="405"/>
      <c r="E7837" s="410">
        <v>40908</v>
      </c>
      <c r="F7837" s="410">
        <v>40953</v>
      </c>
      <c r="G7837" s="405" t="s">
        <v>20401</v>
      </c>
      <c r="H7837" s="405">
        <v>772330607</v>
      </c>
      <c r="I7837" s="405"/>
      <c r="J7837" s="405">
        <v>-0.87806099999999998</v>
      </c>
      <c r="K7837" s="405">
        <v>29.97194</v>
      </c>
      <c r="L7837" s="405" t="s">
        <v>590</v>
      </c>
      <c r="M7837" s="405" t="s">
        <v>19619</v>
      </c>
      <c r="N7837" s="405" t="s">
        <v>19620</v>
      </c>
      <c r="O7837" s="405" t="s">
        <v>2430</v>
      </c>
      <c r="P7837" s="405" t="s">
        <v>20402</v>
      </c>
      <c r="Q7837" s="411">
        <v>9</v>
      </c>
      <c r="R7837" s="405" t="s">
        <v>874</v>
      </c>
      <c r="S7837" s="405" t="s">
        <v>27398</v>
      </c>
      <c r="T7837" s="405" t="s">
        <v>32102</v>
      </c>
      <c r="U7837" s="405" t="s">
        <v>319</v>
      </c>
    </row>
    <row r="7838" spans="1:21" hidden="1" x14ac:dyDescent="0.25">
      <c r="A7838" s="405" t="s">
        <v>310</v>
      </c>
      <c r="B7838" s="405" t="s">
        <v>20368</v>
      </c>
      <c r="C7838" s="405" t="s">
        <v>327</v>
      </c>
      <c r="D7838" s="405"/>
      <c r="E7838" s="410">
        <v>40908</v>
      </c>
      <c r="F7838" s="410">
        <v>40953</v>
      </c>
      <c r="G7838" s="405" t="s">
        <v>20369</v>
      </c>
      <c r="H7838" s="405">
        <v>752650126</v>
      </c>
      <c r="I7838" s="405"/>
      <c r="J7838" s="405">
        <v>-0.44682100000000002</v>
      </c>
      <c r="K7838" s="405">
        <v>30.436489000000002</v>
      </c>
      <c r="L7838" s="405" t="s">
        <v>590</v>
      </c>
      <c r="M7838" s="405" t="s">
        <v>19725</v>
      </c>
      <c r="N7838" s="405" t="s">
        <v>19725</v>
      </c>
      <c r="O7838" s="405" t="s">
        <v>19943</v>
      </c>
      <c r="P7838" s="405" t="s">
        <v>20370</v>
      </c>
      <c r="Q7838" s="411">
        <v>9</v>
      </c>
      <c r="R7838" s="405" t="s">
        <v>874</v>
      </c>
      <c r="S7838" s="405" t="s">
        <v>27096</v>
      </c>
      <c r="T7838" s="405" t="s">
        <v>32102</v>
      </c>
      <c r="U7838" s="405" t="s">
        <v>319</v>
      </c>
    </row>
    <row r="7839" spans="1:21" hidden="1" x14ac:dyDescent="0.25">
      <c r="A7839" s="405" t="s">
        <v>310</v>
      </c>
      <c r="B7839" s="405" t="s">
        <v>11081</v>
      </c>
      <c r="C7839" s="405" t="s">
        <v>327</v>
      </c>
      <c r="D7839" s="405"/>
      <c r="E7839" s="410">
        <v>40908</v>
      </c>
      <c r="F7839" s="410">
        <v>40953</v>
      </c>
      <c r="G7839" s="405" t="s">
        <v>11082</v>
      </c>
      <c r="H7839" s="405">
        <v>776891352</v>
      </c>
      <c r="I7839" s="405">
        <v>776891352</v>
      </c>
      <c r="J7839" s="405">
        <v>0.77485499999999996</v>
      </c>
      <c r="K7839" s="405">
        <v>33.182915000000001</v>
      </c>
      <c r="L7839" s="405" t="s">
        <v>6866</v>
      </c>
      <c r="M7839" s="405" t="s">
        <v>3009</v>
      </c>
      <c r="N7839" s="405" t="s">
        <v>9842</v>
      </c>
      <c r="O7839" s="405" t="s">
        <v>10332</v>
      </c>
      <c r="P7839" s="405" t="s">
        <v>10470</v>
      </c>
      <c r="Q7839" s="411">
        <v>9</v>
      </c>
      <c r="R7839" s="405" t="s">
        <v>32772</v>
      </c>
      <c r="S7839" s="405" t="s">
        <v>27195</v>
      </c>
      <c r="T7839" s="405" t="s">
        <v>32212</v>
      </c>
      <c r="U7839" s="405" t="s">
        <v>2267</v>
      </c>
    </row>
    <row r="7840" spans="1:21" hidden="1" x14ac:dyDescent="0.25">
      <c r="A7840" s="405" t="s">
        <v>310</v>
      </c>
      <c r="B7840" s="405" t="s">
        <v>11560</v>
      </c>
      <c r="C7840" s="405" t="s">
        <v>311</v>
      </c>
      <c r="D7840" s="405" t="s">
        <v>839</v>
      </c>
      <c r="E7840" s="410">
        <v>40908</v>
      </c>
      <c r="F7840" s="410">
        <v>40953</v>
      </c>
      <c r="G7840" s="405" t="s">
        <v>11561</v>
      </c>
      <c r="H7840" s="405">
        <v>775402725</v>
      </c>
      <c r="I7840" s="405">
        <v>704477446</v>
      </c>
      <c r="J7840" s="405">
        <v>0.79723699999999997</v>
      </c>
      <c r="K7840" s="405">
        <v>33.971443000000001</v>
      </c>
      <c r="L7840" s="405" t="s">
        <v>6866</v>
      </c>
      <c r="M7840" s="405" t="s">
        <v>9534</v>
      </c>
      <c r="N7840" s="405" t="s">
        <v>9535</v>
      </c>
      <c r="O7840" s="405" t="s">
        <v>10922</v>
      </c>
      <c r="P7840" s="405" t="s">
        <v>11562</v>
      </c>
      <c r="Q7840" s="411">
        <v>9</v>
      </c>
      <c r="R7840" s="405" t="s">
        <v>7224</v>
      </c>
      <c r="S7840" s="405" t="s">
        <v>27309</v>
      </c>
      <c r="T7840" s="405" t="s">
        <v>32102</v>
      </c>
      <c r="U7840" s="405" t="s">
        <v>319</v>
      </c>
    </row>
    <row r="7841" spans="1:21" hidden="1" x14ac:dyDescent="0.25">
      <c r="A7841" s="405" t="s">
        <v>310</v>
      </c>
      <c r="B7841" s="405" t="s">
        <v>5110</v>
      </c>
      <c r="C7841" s="405" t="s">
        <v>327</v>
      </c>
      <c r="D7841" s="405"/>
      <c r="E7841" s="410">
        <v>40908</v>
      </c>
      <c r="F7841" s="410">
        <v>40953</v>
      </c>
      <c r="G7841" s="405" t="s">
        <v>5111</v>
      </c>
      <c r="H7841" s="405">
        <v>772401525</v>
      </c>
      <c r="I7841" s="405">
        <v>755911511</v>
      </c>
      <c r="J7841" s="405">
        <v>0.44012499999999999</v>
      </c>
      <c r="K7841" s="405">
        <v>33.160302000000001</v>
      </c>
      <c r="L7841" s="405" t="s">
        <v>314</v>
      </c>
      <c r="M7841" s="405" t="s">
        <v>349</v>
      </c>
      <c r="N7841" s="405" t="s">
        <v>5112</v>
      </c>
      <c r="O7841" s="405" t="s">
        <v>406</v>
      </c>
      <c r="P7841" s="405" t="s">
        <v>1114</v>
      </c>
      <c r="Q7841" s="411">
        <v>9</v>
      </c>
      <c r="R7841" s="405" t="s">
        <v>32478</v>
      </c>
      <c r="S7841" s="405" t="s">
        <v>27120</v>
      </c>
      <c r="T7841" s="405" t="s">
        <v>32102</v>
      </c>
      <c r="U7841" s="405" t="s">
        <v>319</v>
      </c>
    </row>
    <row r="7842" spans="1:21" hidden="1" x14ac:dyDescent="0.25">
      <c r="A7842" s="405" t="s">
        <v>310</v>
      </c>
      <c r="B7842" s="405" t="s">
        <v>11088</v>
      </c>
      <c r="C7842" s="405" t="s">
        <v>327</v>
      </c>
      <c r="D7842" s="405"/>
      <c r="E7842" s="410">
        <v>40908</v>
      </c>
      <c r="F7842" s="410">
        <v>40953</v>
      </c>
      <c r="G7842" s="405" t="s">
        <v>11089</v>
      </c>
      <c r="H7842" s="405">
        <v>782564791</v>
      </c>
      <c r="I7842" s="405"/>
      <c r="J7842" s="405">
        <v>1.038</v>
      </c>
      <c r="K7842" s="405">
        <v>34.192695000000001</v>
      </c>
      <c r="L7842" s="405" t="s">
        <v>6866</v>
      </c>
      <c r="M7842" s="405" t="s">
        <v>9514</v>
      </c>
      <c r="N7842" s="405" t="s">
        <v>9616</v>
      </c>
      <c r="O7842" s="405" t="s">
        <v>9571</v>
      </c>
      <c r="P7842" s="405" t="s">
        <v>10492</v>
      </c>
      <c r="Q7842" s="411">
        <v>9</v>
      </c>
      <c r="R7842" s="405" t="s">
        <v>7224</v>
      </c>
      <c r="S7842" s="405" t="s">
        <v>27142</v>
      </c>
      <c r="T7842" s="405" t="s">
        <v>32102</v>
      </c>
      <c r="U7842" s="405" t="s">
        <v>319</v>
      </c>
    </row>
    <row r="7843" spans="1:21" hidden="1" x14ac:dyDescent="0.25">
      <c r="A7843" s="405" t="s">
        <v>310</v>
      </c>
      <c r="B7843" s="405" t="s">
        <v>20371</v>
      </c>
      <c r="C7843" s="405" t="s">
        <v>327</v>
      </c>
      <c r="D7843" s="405"/>
      <c r="E7843" s="410">
        <v>40908</v>
      </c>
      <c r="F7843" s="410">
        <v>40953</v>
      </c>
      <c r="G7843" s="405" t="s">
        <v>20372</v>
      </c>
      <c r="H7843" s="405">
        <v>780796790</v>
      </c>
      <c r="I7843" s="405"/>
      <c r="J7843" s="405">
        <v>-0.45208700000000002</v>
      </c>
      <c r="K7843" s="405">
        <v>30.420079000000001</v>
      </c>
      <c r="L7843" s="405" t="s">
        <v>590</v>
      </c>
      <c r="M7843" s="405" t="s">
        <v>19725</v>
      </c>
      <c r="N7843" s="405" t="s">
        <v>19725</v>
      </c>
      <c r="O7843" s="405" t="s">
        <v>19992</v>
      </c>
      <c r="P7843" s="405" t="s">
        <v>20373</v>
      </c>
      <c r="Q7843" s="411">
        <v>9</v>
      </c>
      <c r="R7843" s="405" t="s">
        <v>874</v>
      </c>
      <c r="S7843" s="405" t="s">
        <v>27096</v>
      </c>
      <c r="T7843" s="405" t="s">
        <v>32102</v>
      </c>
      <c r="U7843" s="405" t="s">
        <v>319</v>
      </c>
    </row>
    <row r="7844" spans="1:21" hidden="1" x14ac:dyDescent="0.25">
      <c r="A7844" s="405" t="s">
        <v>310</v>
      </c>
      <c r="B7844" s="405" t="s">
        <v>27548</v>
      </c>
      <c r="C7844" s="405" t="s">
        <v>327</v>
      </c>
      <c r="D7844" s="405"/>
      <c r="E7844" s="410">
        <v>40908</v>
      </c>
      <c r="F7844" s="410">
        <v>40953</v>
      </c>
      <c r="G7844" s="405" t="s">
        <v>11033</v>
      </c>
      <c r="H7844" s="405">
        <v>779033833</v>
      </c>
      <c r="I7844" s="405"/>
      <c r="J7844" s="405">
        <v>0.66941899999999999</v>
      </c>
      <c r="K7844" s="405">
        <v>33.962603000000001</v>
      </c>
      <c r="L7844" s="405" t="s">
        <v>6866</v>
      </c>
      <c r="M7844" s="405" t="s">
        <v>9534</v>
      </c>
      <c r="N7844" s="405" t="s">
        <v>9997</v>
      </c>
      <c r="O7844" s="405" t="s">
        <v>10918</v>
      </c>
      <c r="P7844" s="405" t="s">
        <v>11034</v>
      </c>
      <c r="Q7844" s="411">
        <v>6</v>
      </c>
      <c r="R7844" s="405" t="s">
        <v>7224</v>
      </c>
      <c r="S7844" s="405" t="s">
        <v>27107</v>
      </c>
      <c r="T7844" s="405" t="s">
        <v>32102</v>
      </c>
      <c r="U7844" s="405" t="s">
        <v>319</v>
      </c>
    </row>
    <row r="7845" spans="1:21" hidden="1" x14ac:dyDescent="0.25">
      <c r="A7845" s="405" t="s">
        <v>310</v>
      </c>
      <c r="B7845" s="405" t="s">
        <v>27701</v>
      </c>
      <c r="C7845" s="405" t="s">
        <v>311</v>
      </c>
      <c r="D7845" s="405" t="s">
        <v>839</v>
      </c>
      <c r="E7845" s="410">
        <v>40908</v>
      </c>
      <c r="F7845" s="410">
        <v>40953</v>
      </c>
      <c r="G7845" s="405" t="s">
        <v>2748</v>
      </c>
      <c r="H7845" s="405">
        <v>772685447</v>
      </c>
      <c r="I7845" s="405"/>
      <c r="J7845" s="405">
        <v>0.39115699999999998</v>
      </c>
      <c r="K7845" s="405">
        <v>32.678947999999998</v>
      </c>
      <c r="L7845" s="405" t="s">
        <v>314</v>
      </c>
      <c r="M7845" s="405" t="s">
        <v>329</v>
      </c>
      <c r="N7845" s="405" t="s">
        <v>330</v>
      </c>
      <c r="O7845" s="405" t="s">
        <v>787</v>
      </c>
      <c r="P7845" s="405" t="s">
        <v>2749</v>
      </c>
      <c r="Q7845" s="411">
        <v>6</v>
      </c>
      <c r="R7845" s="405" t="s">
        <v>353</v>
      </c>
      <c r="S7845" s="405" t="s">
        <v>27051</v>
      </c>
      <c r="T7845" s="405" t="s">
        <v>32102</v>
      </c>
      <c r="U7845" s="405" t="s">
        <v>319</v>
      </c>
    </row>
    <row r="7846" spans="1:21" hidden="1" x14ac:dyDescent="0.25">
      <c r="A7846" s="405" t="s">
        <v>310</v>
      </c>
      <c r="B7846" s="405" t="s">
        <v>27948</v>
      </c>
      <c r="C7846" s="405" t="s">
        <v>327</v>
      </c>
      <c r="D7846" s="405"/>
      <c r="E7846" s="410">
        <v>40908</v>
      </c>
      <c r="F7846" s="410">
        <v>40953</v>
      </c>
      <c r="G7846" s="405" t="s">
        <v>20408</v>
      </c>
      <c r="H7846" s="405">
        <v>702874538</v>
      </c>
      <c r="I7846" s="405"/>
      <c r="J7846" s="405">
        <v>-0.89661999999999997</v>
      </c>
      <c r="K7846" s="405">
        <v>30.239675999999999</v>
      </c>
      <c r="L7846" s="405" t="s">
        <v>590</v>
      </c>
      <c r="M7846" s="405" t="s">
        <v>19659</v>
      </c>
      <c r="N7846" s="405" t="s">
        <v>19664</v>
      </c>
      <c r="O7846" s="405" t="s">
        <v>19659</v>
      </c>
      <c r="P7846" s="405" t="s">
        <v>20409</v>
      </c>
      <c r="Q7846" s="411">
        <v>6</v>
      </c>
      <c r="R7846" s="405" t="s">
        <v>967</v>
      </c>
      <c r="S7846" s="405" t="s">
        <v>27166</v>
      </c>
      <c r="T7846" s="405" t="s">
        <v>32102</v>
      </c>
      <c r="U7846" s="405" t="s">
        <v>319</v>
      </c>
    </row>
    <row r="7847" spans="1:21" hidden="1" x14ac:dyDescent="0.25">
      <c r="A7847" s="405" t="s">
        <v>310</v>
      </c>
      <c r="B7847" s="405" t="s">
        <v>28404</v>
      </c>
      <c r="C7847" s="405" t="s">
        <v>327</v>
      </c>
      <c r="D7847" s="405"/>
      <c r="E7847" s="410">
        <v>40908</v>
      </c>
      <c r="F7847" s="410">
        <v>40953</v>
      </c>
      <c r="G7847" s="405" t="s">
        <v>11030</v>
      </c>
      <c r="H7847" s="405">
        <v>787172581</v>
      </c>
      <c r="I7847" s="405"/>
      <c r="J7847" s="405">
        <v>1.0476700000000001</v>
      </c>
      <c r="K7847" s="405">
        <v>34.175806999999999</v>
      </c>
      <c r="L7847" s="405" t="s">
        <v>6866</v>
      </c>
      <c r="M7847" s="405" t="s">
        <v>9514</v>
      </c>
      <c r="N7847" s="405" t="s">
        <v>9529</v>
      </c>
      <c r="O7847" s="405" t="s">
        <v>9780</v>
      </c>
      <c r="P7847" s="405" t="s">
        <v>9572</v>
      </c>
      <c r="Q7847" s="411">
        <v>6</v>
      </c>
      <c r="R7847" s="405" t="s">
        <v>7224</v>
      </c>
      <c r="S7847" s="405" t="s">
        <v>27316</v>
      </c>
      <c r="T7847" s="405" t="s">
        <v>32102</v>
      </c>
      <c r="U7847" s="405" t="s">
        <v>319</v>
      </c>
    </row>
    <row r="7848" spans="1:21" hidden="1" x14ac:dyDescent="0.25">
      <c r="A7848" s="405" t="s">
        <v>310</v>
      </c>
      <c r="B7848" s="405" t="s">
        <v>28434</v>
      </c>
      <c r="C7848" s="405" t="s">
        <v>327</v>
      </c>
      <c r="D7848" s="405"/>
      <c r="E7848" s="410">
        <v>40908</v>
      </c>
      <c r="F7848" s="410">
        <v>40953</v>
      </c>
      <c r="G7848" s="405" t="s">
        <v>11026</v>
      </c>
      <c r="H7848" s="405">
        <v>775430423</v>
      </c>
      <c r="I7848" s="405"/>
      <c r="J7848" s="405">
        <v>0.61621090000000001</v>
      </c>
      <c r="K7848" s="405">
        <v>33.479099699999999</v>
      </c>
      <c r="L7848" s="405" t="s">
        <v>6866</v>
      </c>
      <c r="M7848" s="405" t="s">
        <v>5411</v>
      </c>
      <c r="N7848" s="405" t="s">
        <v>9984</v>
      </c>
      <c r="O7848" s="405" t="s">
        <v>9775</v>
      </c>
      <c r="P7848" s="405" t="s">
        <v>11023</v>
      </c>
      <c r="Q7848" s="411">
        <v>6</v>
      </c>
      <c r="R7848" s="405" t="s">
        <v>318</v>
      </c>
      <c r="S7848" s="405" t="s">
        <v>27134</v>
      </c>
      <c r="T7848" s="405" t="s">
        <v>32102</v>
      </c>
      <c r="U7848" s="405" t="s">
        <v>319</v>
      </c>
    </row>
    <row r="7849" spans="1:21" hidden="1" x14ac:dyDescent="0.25">
      <c r="A7849" s="405" t="s">
        <v>310</v>
      </c>
      <c r="B7849" s="405" t="s">
        <v>28668</v>
      </c>
      <c r="C7849" s="405" t="s">
        <v>311</v>
      </c>
      <c r="D7849" s="405" t="s">
        <v>1789</v>
      </c>
      <c r="E7849" s="410">
        <v>40908</v>
      </c>
      <c r="F7849" s="410">
        <v>40953</v>
      </c>
      <c r="G7849" s="405" t="s">
        <v>11480</v>
      </c>
      <c r="H7849" s="405">
        <v>784336250</v>
      </c>
      <c r="I7849" s="405"/>
      <c r="J7849" s="405">
        <v>0.68640800000000002</v>
      </c>
      <c r="K7849" s="405">
        <v>34.17389</v>
      </c>
      <c r="L7849" s="405" t="s">
        <v>6866</v>
      </c>
      <c r="M7849" s="405" t="s">
        <v>9534</v>
      </c>
      <c r="N7849" s="405" t="s">
        <v>10065</v>
      </c>
      <c r="O7849" s="405" t="s">
        <v>9881</v>
      </c>
      <c r="P7849" s="405" t="s">
        <v>10134</v>
      </c>
      <c r="Q7849" s="411">
        <v>6</v>
      </c>
      <c r="R7849" s="405" t="s">
        <v>7224</v>
      </c>
      <c r="S7849" s="405" t="s">
        <v>27073</v>
      </c>
      <c r="T7849" s="405" t="s">
        <v>32102</v>
      </c>
      <c r="U7849" s="405" t="s">
        <v>319</v>
      </c>
    </row>
    <row r="7850" spans="1:21" hidden="1" x14ac:dyDescent="0.25">
      <c r="A7850" s="405" t="s">
        <v>310</v>
      </c>
      <c r="B7850" s="405" t="s">
        <v>28675</v>
      </c>
      <c r="C7850" s="405" t="s">
        <v>327</v>
      </c>
      <c r="D7850" s="405"/>
      <c r="E7850" s="410">
        <v>40908</v>
      </c>
      <c r="F7850" s="410">
        <v>40953</v>
      </c>
      <c r="G7850" s="405" t="s">
        <v>11028</v>
      </c>
      <c r="H7850" s="405">
        <v>773190771</v>
      </c>
      <c r="I7850" s="405"/>
      <c r="J7850" s="405">
        <v>0.72786399999999996</v>
      </c>
      <c r="K7850" s="405">
        <v>33.960385000000002</v>
      </c>
      <c r="L7850" s="405" t="s">
        <v>6866</v>
      </c>
      <c r="M7850" s="405" t="s">
        <v>9534</v>
      </c>
      <c r="N7850" s="405" t="s">
        <v>9997</v>
      </c>
      <c r="O7850" s="405" t="s">
        <v>10918</v>
      </c>
      <c r="P7850" s="405" t="s">
        <v>11029</v>
      </c>
      <c r="Q7850" s="411">
        <v>6</v>
      </c>
      <c r="R7850" s="405" t="s">
        <v>7224</v>
      </c>
      <c r="S7850" s="405" t="s">
        <v>27074</v>
      </c>
      <c r="T7850" s="405" t="s">
        <v>32102</v>
      </c>
      <c r="U7850" s="405" t="s">
        <v>319</v>
      </c>
    </row>
    <row r="7851" spans="1:21" hidden="1" x14ac:dyDescent="0.25">
      <c r="A7851" s="405" t="s">
        <v>310</v>
      </c>
      <c r="B7851" s="405" t="s">
        <v>28724</v>
      </c>
      <c r="C7851" s="405" t="s">
        <v>327</v>
      </c>
      <c r="D7851" s="405"/>
      <c r="E7851" s="410">
        <v>40908</v>
      </c>
      <c r="F7851" s="410">
        <v>40953</v>
      </c>
      <c r="G7851" s="405" t="s">
        <v>11039</v>
      </c>
      <c r="H7851" s="405">
        <v>756061836</v>
      </c>
      <c r="I7851" s="405"/>
      <c r="J7851" s="405">
        <v>0.75882899999999998</v>
      </c>
      <c r="K7851" s="405">
        <v>33.946973</v>
      </c>
      <c r="L7851" s="405" t="s">
        <v>6866</v>
      </c>
      <c r="M7851" s="405" t="s">
        <v>9534</v>
      </c>
      <c r="N7851" s="405" t="s">
        <v>10085</v>
      </c>
      <c r="O7851" s="405" t="s">
        <v>10922</v>
      </c>
      <c r="P7851" s="405" t="s">
        <v>11040</v>
      </c>
      <c r="Q7851" s="411">
        <v>6</v>
      </c>
      <c r="R7851" s="405" t="s">
        <v>7224</v>
      </c>
      <c r="S7851" s="405" t="s">
        <v>27107</v>
      </c>
      <c r="T7851" s="405" t="s">
        <v>32102</v>
      </c>
      <c r="U7851" s="405" t="s">
        <v>319</v>
      </c>
    </row>
    <row r="7852" spans="1:21" hidden="1" x14ac:dyDescent="0.25">
      <c r="A7852" s="405" t="s">
        <v>310</v>
      </c>
      <c r="B7852" s="405" t="s">
        <v>29086</v>
      </c>
      <c r="C7852" s="405" t="s">
        <v>327</v>
      </c>
      <c r="D7852" s="405"/>
      <c r="E7852" s="410">
        <v>40908</v>
      </c>
      <c r="F7852" s="410">
        <v>40953</v>
      </c>
      <c r="G7852" s="405" t="s">
        <v>11073</v>
      </c>
      <c r="H7852" s="405">
        <v>700685353</v>
      </c>
      <c r="I7852" s="405"/>
      <c r="J7852" s="405">
        <v>0.61633159999999998</v>
      </c>
      <c r="K7852" s="405">
        <v>33.479212099999998</v>
      </c>
      <c r="L7852" s="405" t="s">
        <v>6866</v>
      </c>
      <c r="M7852" s="405" t="s">
        <v>5411</v>
      </c>
      <c r="N7852" s="405" t="s">
        <v>9984</v>
      </c>
      <c r="O7852" s="405" t="s">
        <v>9989</v>
      </c>
      <c r="P7852" s="405" t="s">
        <v>10069</v>
      </c>
      <c r="Q7852" s="411">
        <v>6</v>
      </c>
      <c r="R7852" s="405" t="s">
        <v>318</v>
      </c>
      <c r="S7852" s="405" t="s">
        <v>27134</v>
      </c>
      <c r="T7852" s="405" t="s">
        <v>32102</v>
      </c>
      <c r="U7852" s="405" t="s">
        <v>319</v>
      </c>
    </row>
    <row r="7853" spans="1:21" hidden="1" x14ac:dyDescent="0.25">
      <c r="A7853" s="405" t="s">
        <v>310</v>
      </c>
      <c r="B7853" s="405" t="s">
        <v>28162</v>
      </c>
      <c r="C7853" s="405" t="s">
        <v>327</v>
      </c>
      <c r="D7853" s="405"/>
      <c r="E7853" s="410">
        <v>40908</v>
      </c>
      <c r="F7853" s="410">
        <v>40953</v>
      </c>
      <c r="G7853" s="405" t="s">
        <v>2150</v>
      </c>
      <c r="H7853" s="405">
        <v>772660847</v>
      </c>
      <c r="I7853" s="405"/>
      <c r="J7853" s="405">
        <v>0.36025509999999999</v>
      </c>
      <c r="K7853" s="405">
        <v>32.736665000000002</v>
      </c>
      <c r="L7853" s="405" t="s">
        <v>314</v>
      </c>
      <c r="M7853" s="405" t="s">
        <v>329</v>
      </c>
      <c r="N7853" s="405" t="s">
        <v>330</v>
      </c>
      <c r="O7853" s="405" t="s">
        <v>331</v>
      </c>
      <c r="P7853" s="405" t="s">
        <v>455</v>
      </c>
      <c r="Q7853" s="411">
        <v>6</v>
      </c>
      <c r="R7853" s="405" t="s">
        <v>318</v>
      </c>
      <c r="S7853" s="405" t="s">
        <v>27140</v>
      </c>
      <c r="T7853" s="405" t="s">
        <v>32102</v>
      </c>
      <c r="U7853" s="405" t="s">
        <v>319</v>
      </c>
    </row>
    <row r="7854" spans="1:21" hidden="1" x14ac:dyDescent="0.25">
      <c r="A7854" s="405" t="s">
        <v>310</v>
      </c>
      <c r="B7854" s="405" t="s">
        <v>28535</v>
      </c>
      <c r="C7854" s="405" t="s">
        <v>327</v>
      </c>
      <c r="D7854" s="405"/>
      <c r="E7854" s="410">
        <v>40908</v>
      </c>
      <c r="F7854" s="410">
        <v>40953</v>
      </c>
      <c r="G7854" s="405" t="s">
        <v>2153</v>
      </c>
      <c r="H7854" s="405">
        <v>784526080</v>
      </c>
      <c r="I7854" s="405">
        <v>773339330</v>
      </c>
      <c r="J7854" s="405">
        <v>0.68672299999999997</v>
      </c>
      <c r="K7854" s="405">
        <v>32.912554999999998</v>
      </c>
      <c r="L7854" s="405" t="s">
        <v>314</v>
      </c>
      <c r="M7854" s="405" t="s">
        <v>502</v>
      </c>
      <c r="N7854" s="405" t="s">
        <v>1229</v>
      </c>
      <c r="O7854" s="405" t="s">
        <v>502</v>
      </c>
      <c r="P7854" s="405" t="s">
        <v>2154</v>
      </c>
      <c r="Q7854" s="411">
        <v>6</v>
      </c>
      <c r="R7854" s="405" t="s">
        <v>318</v>
      </c>
      <c r="S7854" s="405" t="s">
        <v>27113</v>
      </c>
      <c r="T7854" s="405" t="s">
        <v>32102</v>
      </c>
      <c r="U7854" s="405" t="s">
        <v>319</v>
      </c>
    </row>
    <row r="7855" spans="1:21" hidden="1" x14ac:dyDescent="0.25">
      <c r="A7855" s="405" t="s">
        <v>310</v>
      </c>
      <c r="B7855" s="405" t="s">
        <v>28889</v>
      </c>
      <c r="C7855" s="405" t="s">
        <v>327</v>
      </c>
      <c r="D7855" s="405"/>
      <c r="E7855" s="410">
        <v>40908</v>
      </c>
      <c r="F7855" s="410">
        <v>40953</v>
      </c>
      <c r="G7855" s="405" t="s">
        <v>2158</v>
      </c>
      <c r="H7855" s="405">
        <v>772327380</v>
      </c>
      <c r="I7855" s="405"/>
      <c r="J7855" s="405">
        <v>0.65033200000000002</v>
      </c>
      <c r="K7855" s="405">
        <v>32.975594999999998</v>
      </c>
      <c r="L7855" s="405" t="s">
        <v>314</v>
      </c>
      <c r="M7855" s="405" t="s">
        <v>502</v>
      </c>
      <c r="N7855" s="405" t="s">
        <v>503</v>
      </c>
      <c r="O7855" s="405" t="s">
        <v>504</v>
      </c>
      <c r="P7855" s="405" t="s">
        <v>1402</v>
      </c>
      <c r="Q7855" s="411">
        <v>6</v>
      </c>
      <c r="R7855" s="405" t="s">
        <v>318</v>
      </c>
      <c r="S7855" s="405" t="s">
        <v>27124</v>
      </c>
      <c r="T7855" s="405" t="s">
        <v>32102</v>
      </c>
      <c r="U7855" s="405" t="s">
        <v>319</v>
      </c>
    </row>
    <row r="7856" spans="1:21" hidden="1" x14ac:dyDescent="0.25">
      <c r="A7856" s="405" t="s">
        <v>310</v>
      </c>
      <c r="B7856" s="405" t="s">
        <v>2204</v>
      </c>
      <c r="C7856" s="405" t="s">
        <v>327</v>
      </c>
      <c r="D7856" s="405"/>
      <c r="E7856" s="410">
        <v>40908</v>
      </c>
      <c r="F7856" s="410">
        <v>40953</v>
      </c>
      <c r="G7856" s="405" t="s">
        <v>2205</v>
      </c>
      <c r="H7856" s="405">
        <v>712318897</v>
      </c>
      <c r="I7856" s="405">
        <v>704370405</v>
      </c>
      <c r="J7856" s="405">
        <v>0.34825200000000001</v>
      </c>
      <c r="K7856" s="405">
        <v>32.764186000000002</v>
      </c>
      <c r="L7856" s="405" t="s">
        <v>314</v>
      </c>
      <c r="M7856" s="405" t="s">
        <v>329</v>
      </c>
      <c r="N7856" s="405" t="s">
        <v>330</v>
      </c>
      <c r="O7856" s="405" t="s">
        <v>331</v>
      </c>
      <c r="P7856" s="405" t="s">
        <v>2206</v>
      </c>
      <c r="Q7856" s="411">
        <v>6</v>
      </c>
      <c r="R7856" s="405" t="s">
        <v>353</v>
      </c>
      <c r="S7856" s="405" t="s">
        <v>27120</v>
      </c>
      <c r="T7856" s="405" t="s">
        <v>32102</v>
      </c>
      <c r="U7856" s="405" t="s">
        <v>319</v>
      </c>
    </row>
    <row r="7857" spans="1:21" hidden="1" x14ac:dyDescent="0.25">
      <c r="A7857" s="405" t="s">
        <v>310</v>
      </c>
      <c r="B7857" s="405" t="s">
        <v>27492</v>
      </c>
      <c r="C7857" s="405" t="s">
        <v>327</v>
      </c>
      <c r="D7857" s="405"/>
      <c r="E7857" s="410">
        <v>40908</v>
      </c>
      <c r="F7857" s="410">
        <v>40953</v>
      </c>
      <c r="G7857" s="405" t="s">
        <v>11080</v>
      </c>
      <c r="H7857" s="405">
        <v>777912067</v>
      </c>
      <c r="I7857" s="405">
        <v>783712245</v>
      </c>
      <c r="J7857" s="405">
        <v>1.7647280000000001</v>
      </c>
      <c r="K7857" s="405">
        <v>33.655392999999997</v>
      </c>
      <c r="L7857" s="405" t="s">
        <v>6866</v>
      </c>
      <c r="M7857" s="405" t="s">
        <v>10515</v>
      </c>
      <c r="N7857" s="405" t="s">
        <v>10515</v>
      </c>
      <c r="O7857" s="405" t="s">
        <v>10645</v>
      </c>
      <c r="P7857" s="405" t="s">
        <v>10646</v>
      </c>
      <c r="Q7857" s="411">
        <v>6</v>
      </c>
      <c r="R7857" s="405" t="s">
        <v>10642</v>
      </c>
      <c r="S7857" s="405" t="s">
        <v>27334</v>
      </c>
      <c r="T7857" s="405" t="s">
        <v>32102</v>
      </c>
      <c r="U7857" s="405" t="s">
        <v>319</v>
      </c>
    </row>
    <row r="7858" spans="1:21" hidden="1" x14ac:dyDescent="0.25">
      <c r="A7858" s="405" t="s">
        <v>310</v>
      </c>
      <c r="B7858" s="405" t="s">
        <v>11077</v>
      </c>
      <c r="C7858" s="405" t="s">
        <v>327</v>
      </c>
      <c r="D7858" s="405"/>
      <c r="E7858" s="410">
        <v>40908</v>
      </c>
      <c r="F7858" s="410">
        <v>40953</v>
      </c>
      <c r="G7858" s="405" t="s">
        <v>11078</v>
      </c>
      <c r="H7858" s="405">
        <v>779838985</v>
      </c>
      <c r="I7858" s="405"/>
      <c r="J7858" s="405">
        <v>1.768597</v>
      </c>
      <c r="K7858" s="405">
        <v>33.667822999999999</v>
      </c>
      <c r="L7858" s="405" t="s">
        <v>6866</v>
      </c>
      <c r="M7858" s="405" t="s">
        <v>10515</v>
      </c>
      <c r="N7858" s="405" t="s">
        <v>10515</v>
      </c>
      <c r="O7858" s="405" t="s">
        <v>10645</v>
      </c>
      <c r="P7858" s="405" t="s">
        <v>11079</v>
      </c>
      <c r="Q7858" s="411">
        <v>6</v>
      </c>
      <c r="R7858" s="405" t="s">
        <v>10642</v>
      </c>
      <c r="S7858" s="405" t="s">
        <v>27333</v>
      </c>
      <c r="T7858" s="405" t="s">
        <v>32102</v>
      </c>
      <c r="U7858" s="405" t="s">
        <v>319</v>
      </c>
    </row>
    <row r="7859" spans="1:21" hidden="1" x14ac:dyDescent="0.25">
      <c r="A7859" s="405" t="s">
        <v>310</v>
      </c>
      <c r="B7859" s="405" t="s">
        <v>11074</v>
      </c>
      <c r="C7859" s="405" t="s">
        <v>327</v>
      </c>
      <c r="D7859" s="405"/>
      <c r="E7859" s="410">
        <v>40908</v>
      </c>
      <c r="F7859" s="410">
        <v>40953</v>
      </c>
      <c r="G7859" s="405" t="s">
        <v>11075</v>
      </c>
      <c r="H7859" s="405">
        <v>787605331</v>
      </c>
      <c r="I7859" s="405"/>
      <c r="J7859" s="405">
        <v>1.7074069999999999</v>
      </c>
      <c r="K7859" s="405">
        <v>33.602853000000003</v>
      </c>
      <c r="L7859" s="405" t="s">
        <v>6866</v>
      </c>
      <c r="M7859" s="405" t="s">
        <v>10515</v>
      </c>
      <c r="N7859" s="405" t="s">
        <v>10515</v>
      </c>
      <c r="O7859" s="405" t="s">
        <v>9881</v>
      </c>
      <c r="P7859" s="405" t="s">
        <v>11076</v>
      </c>
      <c r="Q7859" s="411">
        <v>6</v>
      </c>
      <c r="R7859" s="405" t="s">
        <v>5655</v>
      </c>
      <c r="S7859" s="405" t="s">
        <v>27322</v>
      </c>
      <c r="T7859" s="405" t="s">
        <v>32102</v>
      </c>
      <c r="U7859" s="405" t="s">
        <v>319</v>
      </c>
    </row>
    <row r="7860" spans="1:21" hidden="1" x14ac:dyDescent="0.25">
      <c r="A7860" s="405" t="s">
        <v>310</v>
      </c>
      <c r="B7860" s="405" t="s">
        <v>11145</v>
      </c>
      <c r="C7860" s="405" t="s">
        <v>327</v>
      </c>
      <c r="D7860" s="405"/>
      <c r="E7860" s="410">
        <v>40908</v>
      </c>
      <c r="F7860" s="410">
        <v>40953</v>
      </c>
      <c r="G7860" s="405" t="s">
        <v>11146</v>
      </c>
      <c r="H7860" s="405">
        <v>782473783</v>
      </c>
      <c r="I7860" s="405"/>
      <c r="J7860" s="405">
        <v>0.61633159999999998</v>
      </c>
      <c r="K7860" s="405">
        <v>33.479212099999998</v>
      </c>
      <c r="L7860" s="405" t="s">
        <v>6866</v>
      </c>
      <c r="M7860" s="405" t="s">
        <v>5411</v>
      </c>
      <c r="N7860" s="405" t="s">
        <v>9774</v>
      </c>
      <c r="O7860" s="405" t="s">
        <v>9985</v>
      </c>
      <c r="P7860" s="405" t="s">
        <v>11018</v>
      </c>
      <c r="Q7860" s="411">
        <v>6</v>
      </c>
      <c r="R7860" s="405" t="s">
        <v>318</v>
      </c>
      <c r="S7860" s="405" t="s">
        <v>27134</v>
      </c>
      <c r="T7860" s="405" t="s">
        <v>32102</v>
      </c>
      <c r="U7860" s="405" t="s">
        <v>319</v>
      </c>
    </row>
    <row r="7861" spans="1:21" hidden="1" x14ac:dyDescent="0.25">
      <c r="A7861" s="405" t="s">
        <v>310</v>
      </c>
      <c r="B7861" s="405" t="s">
        <v>2744</v>
      </c>
      <c r="C7861" s="405" t="s">
        <v>311</v>
      </c>
      <c r="D7861" s="405" t="s">
        <v>932</v>
      </c>
      <c r="E7861" s="410">
        <v>40908</v>
      </c>
      <c r="F7861" s="410">
        <v>40953</v>
      </c>
      <c r="G7861" s="405" t="s">
        <v>2745</v>
      </c>
      <c r="H7861" s="405">
        <v>772591952</v>
      </c>
      <c r="I7861" s="405"/>
      <c r="J7861" s="405">
        <v>0.39764500000000003</v>
      </c>
      <c r="K7861" s="405">
        <v>32.509410000000003</v>
      </c>
      <c r="L7861" s="405" t="s">
        <v>314</v>
      </c>
      <c r="M7861" s="405" t="s">
        <v>361</v>
      </c>
      <c r="N7861" s="405" t="s">
        <v>374</v>
      </c>
      <c r="O7861" s="405" t="s">
        <v>361</v>
      </c>
      <c r="P7861" s="405" t="s">
        <v>2668</v>
      </c>
      <c r="Q7861" s="411">
        <v>6</v>
      </c>
      <c r="R7861" s="405" t="s">
        <v>318</v>
      </c>
      <c r="S7861" s="405" t="s">
        <v>27137</v>
      </c>
      <c r="T7861" s="405" t="s">
        <v>32102</v>
      </c>
      <c r="U7861" s="405" t="s">
        <v>319</v>
      </c>
    </row>
    <row r="7862" spans="1:21" hidden="1" x14ac:dyDescent="0.25">
      <c r="A7862" s="405" t="s">
        <v>310</v>
      </c>
      <c r="B7862" s="405" t="s">
        <v>2201</v>
      </c>
      <c r="C7862" s="405" t="s">
        <v>327</v>
      </c>
      <c r="D7862" s="405"/>
      <c r="E7862" s="410">
        <v>40908</v>
      </c>
      <c r="F7862" s="410">
        <v>40953</v>
      </c>
      <c r="G7862" s="405" t="s">
        <v>2202</v>
      </c>
      <c r="H7862" s="405">
        <v>772621965</v>
      </c>
      <c r="I7862" s="405">
        <v>785295479</v>
      </c>
      <c r="J7862" s="405">
        <v>0.35843000000000003</v>
      </c>
      <c r="K7862" s="405">
        <v>32.750760999999997</v>
      </c>
      <c r="L7862" s="405" t="s">
        <v>314</v>
      </c>
      <c r="M7862" s="405" t="s">
        <v>329</v>
      </c>
      <c r="N7862" s="405" t="s">
        <v>330</v>
      </c>
      <c r="O7862" s="405" t="s">
        <v>331</v>
      </c>
      <c r="P7862" s="405" t="s">
        <v>2203</v>
      </c>
      <c r="Q7862" s="411">
        <v>6</v>
      </c>
      <c r="R7862" s="405" t="s">
        <v>318</v>
      </c>
      <c r="S7862" s="405" t="s">
        <v>27035</v>
      </c>
      <c r="T7862" s="405" t="s">
        <v>32102</v>
      </c>
      <c r="U7862" s="405" t="s">
        <v>319</v>
      </c>
    </row>
    <row r="7863" spans="1:21" hidden="1" x14ac:dyDescent="0.25">
      <c r="A7863" s="405" t="s">
        <v>310</v>
      </c>
      <c r="B7863" s="405" t="s">
        <v>11093</v>
      </c>
      <c r="C7863" s="405" t="s">
        <v>327</v>
      </c>
      <c r="D7863" s="405"/>
      <c r="E7863" s="410">
        <v>40908</v>
      </c>
      <c r="F7863" s="410">
        <v>40953</v>
      </c>
      <c r="G7863" s="405" t="s">
        <v>11094</v>
      </c>
      <c r="H7863" s="405">
        <v>701271884</v>
      </c>
      <c r="I7863" s="405"/>
      <c r="J7863" s="405">
        <v>1.3469850000000001</v>
      </c>
      <c r="K7863" s="405">
        <v>34.355330000000002</v>
      </c>
      <c r="L7863" s="405" t="s">
        <v>6866</v>
      </c>
      <c r="M7863" s="405" t="s">
        <v>9685</v>
      </c>
      <c r="N7863" s="405" t="s">
        <v>9686</v>
      </c>
      <c r="O7863" s="405" t="s">
        <v>9966</v>
      </c>
      <c r="P7863" s="405" t="s">
        <v>11095</v>
      </c>
      <c r="Q7863" s="411">
        <v>6</v>
      </c>
      <c r="R7863" s="405" t="s">
        <v>9541</v>
      </c>
      <c r="S7863" s="405" t="s">
        <v>27328</v>
      </c>
      <c r="T7863" s="405" t="s">
        <v>32102</v>
      </c>
      <c r="U7863" s="405" t="s">
        <v>319</v>
      </c>
    </row>
    <row r="7864" spans="1:21" hidden="1" x14ac:dyDescent="0.25">
      <c r="A7864" s="405" t="s">
        <v>310</v>
      </c>
      <c r="B7864" s="405" t="s">
        <v>2771</v>
      </c>
      <c r="C7864" s="405" t="s">
        <v>311</v>
      </c>
      <c r="D7864" s="405" t="s">
        <v>839</v>
      </c>
      <c r="E7864" s="410">
        <v>40908</v>
      </c>
      <c r="F7864" s="410">
        <v>40953</v>
      </c>
      <c r="G7864" s="405" t="s">
        <v>2772</v>
      </c>
      <c r="H7864" s="405">
        <v>702978013</v>
      </c>
      <c r="I7864" s="405">
        <v>701397694</v>
      </c>
      <c r="J7864" s="405">
        <v>0.36996200000000001</v>
      </c>
      <c r="K7864" s="405">
        <v>32.727136999999999</v>
      </c>
      <c r="L7864" s="405" t="s">
        <v>314</v>
      </c>
      <c r="M7864" s="405" t="s">
        <v>329</v>
      </c>
      <c r="N7864" s="405" t="s">
        <v>330</v>
      </c>
      <c r="O7864" s="405" t="s">
        <v>630</v>
      </c>
      <c r="P7864" s="405" t="s">
        <v>2773</v>
      </c>
      <c r="Q7864" s="411">
        <v>6</v>
      </c>
      <c r="R7864" s="405" t="s">
        <v>318</v>
      </c>
      <c r="S7864" s="405" t="s">
        <v>27106</v>
      </c>
      <c r="T7864" s="405" t="s">
        <v>32102</v>
      </c>
      <c r="U7864" s="405" t="s">
        <v>319</v>
      </c>
    </row>
    <row r="7865" spans="1:21" hidden="1" x14ac:dyDescent="0.25">
      <c r="A7865" s="405" t="s">
        <v>310</v>
      </c>
      <c r="B7865" s="405" t="s">
        <v>2161</v>
      </c>
      <c r="C7865" s="405" t="s">
        <v>327</v>
      </c>
      <c r="D7865" s="405"/>
      <c r="E7865" s="410">
        <v>40908</v>
      </c>
      <c r="F7865" s="410">
        <v>40953</v>
      </c>
      <c r="G7865" s="405" t="s">
        <v>2162</v>
      </c>
      <c r="H7865" s="405">
        <v>703221000</v>
      </c>
      <c r="I7865" s="405"/>
      <c r="J7865" s="405">
        <v>0.63003299999999995</v>
      </c>
      <c r="K7865" s="405">
        <v>32.981141999999998</v>
      </c>
      <c r="L7865" s="405" t="s">
        <v>314</v>
      </c>
      <c r="M7865" s="405" t="s">
        <v>502</v>
      </c>
      <c r="N7865" s="405" t="s">
        <v>503</v>
      </c>
      <c r="O7865" s="405" t="s">
        <v>504</v>
      </c>
      <c r="P7865" s="405" t="s">
        <v>2163</v>
      </c>
      <c r="Q7865" s="411">
        <v>6</v>
      </c>
      <c r="R7865" s="405" t="s">
        <v>318</v>
      </c>
      <c r="S7865" s="405" t="s">
        <v>27035</v>
      </c>
      <c r="T7865" s="405" t="s">
        <v>32102</v>
      </c>
      <c r="U7865" s="405" t="s">
        <v>319</v>
      </c>
    </row>
    <row r="7866" spans="1:21" hidden="1" x14ac:dyDescent="0.25">
      <c r="A7866" s="405" t="s">
        <v>310</v>
      </c>
      <c r="B7866" s="405" t="s">
        <v>2166</v>
      </c>
      <c r="C7866" s="405" t="s">
        <v>327</v>
      </c>
      <c r="D7866" s="405"/>
      <c r="E7866" s="410">
        <v>40908</v>
      </c>
      <c r="F7866" s="410">
        <v>40953</v>
      </c>
      <c r="G7866" s="405" t="s">
        <v>2167</v>
      </c>
      <c r="H7866" s="405">
        <v>772894864</v>
      </c>
      <c r="I7866" s="405"/>
      <c r="J7866" s="405">
        <v>0.658605</v>
      </c>
      <c r="K7866" s="405">
        <v>32.987898000000001</v>
      </c>
      <c r="L7866" s="405" t="s">
        <v>314</v>
      </c>
      <c r="M7866" s="405" t="s">
        <v>502</v>
      </c>
      <c r="N7866" s="405" t="s">
        <v>503</v>
      </c>
      <c r="O7866" s="405" t="s">
        <v>504</v>
      </c>
      <c r="P7866" s="405" t="s">
        <v>683</v>
      </c>
      <c r="Q7866" s="411">
        <v>6</v>
      </c>
      <c r="R7866" s="405" t="s">
        <v>318</v>
      </c>
      <c r="S7866" s="405" t="s">
        <v>27174</v>
      </c>
      <c r="T7866" s="405" t="s">
        <v>32102</v>
      </c>
      <c r="U7866" s="405" t="s">
        <v>319</v>
      </c>
    </row>
    <row r="7867" spans="1:21" hidden="1" x14ac:dyDescent="0.25">
      <c r="A7867" s="405" t="s">
        <v>310</v>
      </c>
      <c r="B7867" s="405" t="s">
        <v>2251</v>
      </c>
      <c r="C7867" s="405" t="s">
        <v>327</v>
      </c>
      <c r="D7867" s="405"/>
      <c r="E7867" s="410">
        <v>40908</v>
      </c>
      <c r="F7867" s="410">
        <v>40953</v>
      </c>
      <c r="G7867" s="405" t="s">
        <v>2252</v>
      </c>
      <c r="H7867" s="405">
        <v>772410931</v>
      </c>
      <c r="I7867" s="405"/>
      <c r="J7867" s="405">
        <v>0.35605500000000001</v>
      </c>
      <c r="K7867" s="405">
        <v>32.490932000000001</v>
      </c>
      <c r="L7867" s="405" t="s">
        <v>314</v>
      </c>
      <c r="M7867" s="405" t="s">
        <v>361</v>
      </c>
      <c r="N7867" s="405" t="s">
        <v>362</v>
      </c>
      <c r="O7867" s="405" t="s">
        <v>410</v>
      </c>
      <c r="P7867" s="405" t="s">
        <v>2210</v>
      </c>
      <c r="Q7867" s="411">
        <v>6</v>
      </c>
      <c r="R7867" s="405" t="s">
        <v>318</v>
      </c>
      <c r="S7867" s="405" t="s">
        <v>27152</v>
      </c>
      <c r="T7867" s="405" t="s">
        <v>32102</v>
      </c>
      <c r="U7867" s="405" t="s">
        <v>319</v>
      </c>
    </row>
    <row r="7868" spans="1:21" hidden="1" x14ac:dyDescent="0.25">
      <c r="A7868" s="405" t="s">
        <v>310</v>
      </c>
      <c r="B7868" s="405" t="s">
        <v>2759</v>
      </c>
      <c r="C7868" s="405" t="s">
        <v>311</v>
      </c>
      <c r="D7868" s="405" t="s">
        <v>312</v>
      </c>
      <c r="E7868" s="410">
        <v>40908</v>
      </c>
      <c r="F7868" s="410">
        <v>40953</v>
      </c>
      <c r="G7868" s="405" t="s">
        <v>2760</v>
      </c>
      <c r="H7868" s="405">
        <v>772932433</v>
      </c>
      <c r="I7868" s="405">
        <v>777788854</v>
      </c>
      <c r="J7868" s="405">
        <v>0.21015</v>
      </c>
      <c r="K7868" s="405">
        <v>32.774282999999997</v>
      </c>
      <c r="L7868" s="405" t="s">
        <v>314</v>
      </c>
      <c r="M7868" s="405" t="s">
        <v>329</v>
      </c>
      <c r="N7868" s="405" t="s">
        <v>803</v>
      </c>
      <c r="O7868" s="405" t="s">
        <v>909</v>
      </c>
      <c r="P7868" s="405" t="s">
        <v>2761</v>
      </c>
      <c r="Q7868" s="411">
        <v>6</v>
      </c>
      <c r="R7868" s="405" t="s">
        <v>353</v>
      </c>
      <c r="S7868" s="405" t="s">
        <v>27115</v>
      </c>
      <c r="T7868" s="405" t="s">
        <v>32102</v>
      </c>
      <c r="U7868" s="405" t="s">
        <v>319</v>
      </c>
    </row>
    <row r="7869" spans="1:21" hidden="1" x14ac:dyDescent="0.25">
      <c r="A7869" s="405" t="s">
        <v>310</v>
      </c>
      <c r="B7869" s="405" t="s">
        <v>2171</v>
      </c>
      <c r="C7869" s="405" t="s">
        <v>327</v>
      </c>
      <c r="D7869" s="405"/>
      <c r="E7869" s="410">
        <v>40908</v>
      </c>
      <c r="F7869" s="410">
        <v>40953</v>
      </c>
      <c r="G7869" s="405" t="s">
        <v>2172</v>
      </c>
      <c r="H7869" s="405">
        <v>702585252</v>
      </c>
      <c r="I7869" s="405">
        <v>758668934</v>
      </c>
      <c r="J7869" s="405">
        <v>0.64971999999999996</v>
      </c>
      <c r="K7869" s="405">
        <v>33.016345000000001</v>
      </c>
      <c r="L7869" s="405" t="s">
        <v>314</v>
      </c>
      <c r="M7869" s="405" t="s">
        <v>502</v>
      </c>
      <c r="N7869" s="405" t="s">
        <v>503</v>
      </c>
      <c r="O7869" s="405" t="s">
        <v>504</v>
      </c>
      <c r="P7869" s="405" t="s">
        <v>2173</v>
      </c>
      <c r="Q7869" s="411">
        <v>6</v>
      </c>
      <c r="R7869" s="405" t="s">
        <v>318</v>
      </c>
      <c r="S7869" s="405" t="s">
        <v>27149</v>
      </c>
      <c r="T7869" s="405" t="s">
        <v>32102</v>
      </c>
      <c r="U7869" s="405" t="s">
        <v>319</v>
      </c>
    </row>
    <row r="7870" spans="1:21" hidden="1" x14ac:dyDescent="0.25">
      <c r="A7870" s="405" t="s">
        <v>310</v>
      </c>
      <c r="B7870" s="405" t="s">
        <v>2215</v>
      </c>
      <c r="C7870" s="405" t="s">
        <v>327</v>
      </c>
      <c r="D7870" s="405"/>
      <c r="E7870" s="410">
        <v>40908</v>
      </c>
      <c r="F7870" s="410">
        <v>40953</v>
      </c>
      <c r="G7870" s="405" t="s">
        <v>2216</v>
      </c>
      <c r="H7870" s="405">
        <v>771874128</v>
      </c>
      <c r="I7870" s="405">
        <v>787955202</v>
      </c>
      <c r="J7870" s="405">
        <v>0.45021499999999998</v>
      </c>
      <c r="K7870" s="405">
        <v>32.686655000000002</v>
      </c>
      <c r="L7870" s="405" t="s">
        <v>314</v>
      </c>
      <c r="M7870" s="405" t="s">
        <v>329</v>
      </c>
      <c r="N7870" s="405" t="s">
        <v>330</v>
      </c>
      <c r="O7870" s="405" t="s">
        <v>787</v>
      </c>
      <c r="P7870" s="405" t="s">
        <v>2217</v>
      </c>
      <c r="Q7870" s="411">
        <v>6</v>
      </c>
      <c r="R7870" s="405" t="s">
        <v>318</v>
      </c>
      <c r="S7870" s="405" t="s">
        <v>27149</v>
      </c>
      <c r="T7870" s="405" t="s">
        <v>32102</v>
      </c>
      <c r="U7870" s="405" t="s">
        <v>319</v>
      </c>
    </row>
    <row r="7871" spans="1:21" hidden="1" x14ac:dyDescent="0.25">
      <c r="A7871" s="405" t="s">
        <v>310</v>
      </c>
      <c r="B7871" s="405" t="s">
        <v>27936</v>
      </c>
      <c r="C7871" s="405" t="s">
        <v>327</v>
      </c>
      <c r="D7871" s="405"/>
      <c r="E7871" s="410">
        <v>40908</v>
      </c>
      <c r="F7871" s="410">
        <v>40953</v>
      </c>
      <c r="G7871" s="405" t="s">
        <v>2139</v>
      </c>
      <c r="H7871" s="405">
        <v>772342440</v>
      </c>
      <c r="I7871" s="405"/>
      <c r="J7871" s="405">
        <v>0.21814800000000001</v>
      </c>
      <c r="K7871" s="405">
        <v>32.179305999999997</v>
      </c>
      <c r="L7871" s="405" t="s">
        <v>314</v>
      </c>
      <c r="M7871" s="405" t="s">
        <v>315</v>
      </c>
      <c r="N7871" s="405" t="s">
        <v>2136</v>
      </c>
      <c r="O7871" s="405" t="s">
        <v>1411</v>
      </c>
      <c r="P7871" s="405" t="s">
        <v>2140</v>
      </c>
      <c r="Q7871" s="411">
        <v>6</v>
      </c>
      <c r="R7871" s="405" t="s">
        <v>318</v>
      </c>
      <c r="S7871" s="405" t="s">
        <v>27135</v>
      </c>
      <c r="T7871" s="405" t="s">
        <v>32102</v>
      </c>
      <c r="U7871" s="405" t="s">
        <v>319</v>
      </c>
    </row>
    <row r="7872" spans="1:21" hidden="1" x14ac:dyDescent="0.25">
      <c r="A7872" s="405" t="s">
        <v>310</v>
      </c>
      <c r="B7872" s="405" t="s">
        <v>11019</v>
      </c>
      <c r="C7872" s="405" t="s">
        <v>327</v>
      </c>
      <c r="D7872" s="405"/>
      <c r="E7872" s="410">
        <v>40908</v>
      </c>
      <c r="F7872" s="410">
        <v>40953</v>
      </c>
      <c r="G7872" s="405" t="s">
        <v>11020</v>
      </c>
      <c r="H7872" s="405">
        <v>774305954</v>
      </c>
      <c r="I7872" s="405"/>
      <c r="J7872" s="405">
        <v>0.61621090000000001</v>
      </c>
      <c r="K7872" s="405">
        <v>33.479099699999999</v>
      </c>
      <c r="L7872" s="405" t="s">
        <v>6866</v>
      </c>
      <c r="M7872" s="405" t="s">
        <v>5411</v>
      </c>
      <c r="N7872" s="405" t="s">
        <v>9984</v>
      </c>
      <c r="O7872" s="405" t="s">
        <v>9775</v>
      </c>
      <c r="P7872" s="405" t="s">
        <v>11021</v>
      </c>
      <c r="Q7872" s="411">
        <v>6</v>
      </c>
      <c r="R7872" s="405" t="s">
        <v>318</v>
      </c>
      <c r="S7872" s="405" t="s">
        <v>27134</v>
      </c>
      <c r="T7872" s="405" t="s">
        <v>32102</v>
      </c>
      <c r="U7872" s="405" t="s">
        <v>319</v>
      </c>
    </row>
    <row r="7873" spans="1:21" hidden="1" x14ac:dyDescent="0.25">
      <c r="A7873" s="405" t="s">
        <v>310</v>
      </c>
      <c r="B7873" s="405" t="s">
        <v>2151</v>
      </c>
      <c r="C7873" s="405" t="s">
        <v>327</v>
      </c>
      <c r="D7873" s="405"/>
      <c r="E7873" s="410">
        <v>40908</v>
      </c>
      <c r="F7873" s="410">
        <v>40953</v>
      </c>
      <c r="G7873" s="405" t="s">
        <v>2152</v>
      </c>
      <c r="H7873" s="405">
        <v>772566956</v>
      </c>
      <c r="I7873" s="405">
        <v>782764105</v>
      </c>
      <c r="J7873" s="405">
        <v>0.3533326</v>
      </c>
      <c r="K7873" s="405">
        <v>32.732430399999998</v>
      </c>
      <c r="L7873" s="405" t="s">
        <v>314</v>
      </c>
      <c r="M7873" s="405" t="s">
        <v>329</v>
      </c>
      <c r="N7873" s="405" t="s">
        <v>330</v>
      </c>
      <c r="O7873" s="405" t="s">
        <v>331</v>
      </c>
      <c r="P7873" s="405" t="s">
        <v>784</v>
      </c>
      <c r="Q7873" s="411">
        <v>6</v>
      </c>
      <c r="R7873" s="405" t="s">
        <v>353</v>
      </c>
      <c r="S7873" s="405" t="s">
        <v>27110</v>
      </c>
      <c r="T7873" s="405" t="s">
        <v>32102</v>
      </c>
      <c r="U7873" s="405" t="s">
        <v>319</v>
      </c>
    </row>
    <row r="7874" spans="1:21" hidden="1" x14ac:dyDescent="0.25">
      <c r="A7874" s="405" t="s">
        <v>310</v>
      </c>
      <c r="B7874" s="405" t="s">
        <v>2159</v>
      </c>
      <c r="C7874" s="405" t="s">
        <v>327</v>
      </c>
      <c r="D7874" s="405"/>
      <c r="E7874" s="410">
        <v>40908</v>
      </c>
      <c r="F7874" s="410">
        <v>40953</v>
      </c>
      <c r="G7874" s="405" t="s">
        <v>2160</v>
      </c>
      <c r="H7874" s="405">
        <v>783935842</v>
      </c>
      <c r="I7874" s="405"/>
      <c r="J7874" s="405">
        <v>0.36846600000000002</v>
      </c>
      <c r="K7874" s="405">
        <v>32.729254400000002</v>
      </c>
      <c r="L7874" s="405" t="s">
        <v>314</v>
      </c>
      <c r="M7874" s="405" t="s">
        <v>329</v>
      </c>
      <c r="N7874" s="405" t="s">
        <v>330</v>
      </c>
      <c r="O7874" s="405" t="s">
        <v>630</v>
      </c>
      <c r="P7874" s="405" t="s">
        <v>601</v>
      </c>
      <c r="Q7874" s="411">
        <v>6</v>
      </c>
      <c r="R7874" s="405" t="s">
        <v>353</v>
      </c>
      <c r="S7874" s="405" t="s">
        <v>27049</v>
      </c>
      <c r="T7874" s="405" t="s">
        <v>32102</v>
      </c>
      <c r="U7874" s="405" t="s">
        <v>319</v>
      </c>
    </row>
    <row r="7875" spans="1:21" hidden="1" x14ac:dyDescent="0.25">
      <c r="A7875" s="405" t="s">
        <v>310</v>
      </c>
      <c r="B7875" s="405" t="s">
        <v>2189</v>
      </c>
      <c r="C7875" s="405" t="s">
        <v>327</v>
      </c>
      <c r="D7875" s="405"/>
      <c r="E7875" s="410">
        <v>40908</v>
      </c>
      <c r="F7875" s="410">
        <v>40953</v>
      </c>
      <c r="G7875" s="405" t="s">
        <v>2190</v>
      </c>
      <c r="H7875" s="405">
        <v>773467544</v>
      </c>
      <c r="I7875" s="405"/>
      <c r="J7875" s="405">
        <v>0.54663700000000004</v>
      </c>
      <c r="K7875" s="405">
        <v>32.032854999999998</v>
      </c>
      <c r="L7875" s="405" t="s">
        <v>314</v>
      </c>
      <c r="M7875" s="405" t="s">
        <v>675</v>
      </c>
      <c r="N7875" s="405" t="s">
        <v>1065</v>
      </c>
      <c r="O7875" s="405" t="s">
        <v>1248</v>
      </c>
      <c r="P7875" s="405" t="s">
        <v>1851</v>
      </c>
      <c r="Q7875" s="411">
        <v>6</v>
      </c>
      <c r="R7875" s="405" t="s">
        <v>318</v>
      </c>
      <c r="S7875" s="405" t="s">
        <v>27174</v>
      </c>
      <c r="T7875" s="405" t="s">
        <v>32102</v>
      </c>
      <c r="U7875" s="405" t="s">
        <v>319</v>
      </c>
    </row>
    <row r="7876" spans="1:21" hidden="1" x14ac:dyDescent="0.25">
      <c r="A7876" s="405" t="s">
        <v>310</v>
      </c>
      <c r="B7876" s="405" t="s">
        <v>11110</v>
      </c>
      <c r="C7876" s="405" t="s">
        <v>327</v>
      </c>
      <c r="D7876" s="405"/>
      <c r="E7876" s="410">
        <v>40908</v>
      </c>
      <c r="F7876" s="410">
        <v>40953</v>
      </c>
      <c r="G7876" s="405" t="s">
        <v>11111</v>
      </c>
      <c r="H7876" s="405">
        <v>782450997</v>
      </c>
      <c r="I7876" s="405"/>
      <c r="J7876" s="405">
        <v>0.95646600000000004</v>
      </c>
      <c r="K7876" s="405">
        <v>34.288648000000002</v>
      </c>
      <c r="L7876" s="405" t="s">
        <v>6866</v>
      </c>
      <c r="M7876" s="405" t="s">
        <v>9763</v>
      </c>
      <c r="N7876" s="405" t="s">
        <v>9764</v>
      </c>
      <c r="O7876" s="405" t="s">
        <v>10118</v>
      </c>
      <c r="P7876" s="405" t="s">
        <v>9691</v>
      </c>
      <c r="Q7876" s="411">
        <v>6</v>
      </c>
      <c r="R7876" s="405" t="s">
        <v>7224</v>
      </c>
      <c r="S7876" s="405" t="s">
        <v>27197</v>
      </c>
      <c r="T7876" s="405" t="s">
        <v>32102</v>
      </c>
      <c r="U7876" s="405" t="s">
        <v>319</v>
      </c>
    </row>
    <row r="7877" spans="1:21" hidden="1" x14ac:dyDescent="0.25">
      <c r="A7877" s="405" t="s">
        <v>310</v>
      </c>
      <c r="B7877" s="405" t="s">
        <v>2736</v>
      </c>
      <c r="C7877" s="405" t="s">
        <v>311</v>
      </c>
      <c r="D7877" s="405" t="s">
        <v>1013</v>
      </c>
      <c r="E7877" s="410">
        <v>40908</v>
      </c>
      <c r="F7877" s="410">
        <v>40953</v>
      </c>
      <c r="G7877" s="405" t="s">
        <v>2737</v>
      </c>
      <c r="H7877" s="405">
        <v>772857004</v>
      </c>
      <c r="I7877" s="405"/>
      <c r="J7877" s="405">
        <v>0.358713</v>
      </c>
      <c r="K7877" s="405">
        <v>32.750425999999997</v>
      </c>
      <c r="L7877" s="405" t="s">
        <v>314</v>
      </c>
      <c r="M7877" s="405" t="s">
        <v>329</v>
      </c>
      <c r="N7877" s="405" t="s">
        <v>330</v>
      </c>
      <c r="O7877" s="405" t="s">
        <v>331</v>
      </c>
      <c r="P7877" s="405" t="s">
        <v>2203</v>
      </c>
      <c r="Q7877" s="411">
        <v>6</v>
      </c>
      <c r="R7877" s="405" t="s">
        <v>318</v>
      </c>
      <c r="S7877" s="405" t="s">
        <v>27035</v>
      </c>
      <c r="T7877" s="405" t="s">
        <v>32102</v>
      </c>
      <c r="U7877" s="405" t="s">
        <v>319</v>
      </c>
    </row>
    <row r="7878" spans="1:21" hidden="1" x14ac:dyDescent="0.25">
      <c r="A7878" s="405" t="s">
        <v>310</v>
      </c>
      <c r="B7878" s="405" t="s">
        <v>11090</v>
      </c>
      <c r="C7878" s="405" t="s">
        <v>327</v>
      </c>
      <c r="D7878" s="405"/>
      <c r="E7878" s="410">
        <v>40908</v>
      </c>
      <c r="F7878" s="410">
        <v>40953</v>
      </c>
      <c r="G7878" s="405" t="s">
        <v>11091</v>
      </c>
      <c r="H7878" s="405">
        <v>701000841</v>
      </c>
      <c r="I7878" s="405"/>
      <c r="J7878" s="405">
        <v>1.3340179999999999</v>
      </c>
      <c r="K7878" s="405">
        <v>34.339751</v>
      </c>
      <c r="L7878" s="405" t="s">
        <v>6866</v>
      </c>
      <c r="M7878" s="405" t="s">
        <v>9685</v>
      </c>
      <c r="N7878" s="405" t="s">
        <v>9686</v>
      </c>
      <c r="O7878" s="405" t="s">
        <v>10055</v>
      </c>
      <c r="P7878" s="405" t="s">
        <v>11092</v>
      </c>
      <c r="Q7878" s="411">
        <v>6</v>
      </c>
      <c r="R7878" s="405" t="s">
        <v>9541</v>
      </c>
      <c r="S7878" s="405" t="s">
        <v>27328</v>
      </c>
      <c r="T7878" s="405" t="s">
        <v>32102</v>
      </c>
      <c r="U7878" s="405" t="s">
        <v>319</v>
      </c>
    </row>
    <row r="7879" spans="1:21" hidden="1" x14ac:dyDescent="0.25">
      <c r="A7879" s="405" t="s">
        <v>310</v>
      </c>
      <c r="B7879" s="405" t="s">
        <v>28247</v>
      </c>
      <c r="C7879" s="405" t="s">
        <v>327</v>
      </c>
      <c r="D7879" s="405"/>
      <c r="E7879" s="410">
        <v>40908</v>
      </c>
      <c r="F7879" s="410">
        <v>40953</v>
      </c>
      <c r="G7879" s="405" t="s">
        <v>11022</v>
      </c>
      <c r="H7879" s="405">
        <v>753973686</v>
      </c>
      <c r="I7879" s="405"/>
      <c r="J7879" s="405">
        <v>0.61621090000000001</v>
      </c>
      <c r="K7879" s="405">
        <v>33.479099699999999</v>
      </c>
      <c r="L7879" s="405" t="s">
        <v>6866</v>
      </c>
      <c r="M7879" s="405" t="s">
        <v>5411</v>
      </c>
      <c r="N7879" s="405" t="s">
        <v>9984</v>
      </c>
      <c r="O7879" s="405" t="s">
        <v>9775</v>
      </c>
      <c r="P7879" s="405" t="s">
        <v>11023</v>
      </c>
      <c r="Q7879" s="411">
        <v>6</v>
      </c>
      <c r="R7879" s="405" t="s">
        <v>318</v>
      </c>
      <c r="S7879" s="405" t="s">
        <v>27134</v>
      </c>
      <c r="T7879" s="405" t="s">
        <v>32102</v>
      </c>
      <c r="U7879" s="405" t="s">
        <v>319</v>
      </c>
    </row>
    <row r="7880" spans="1:21" hidden="1" x14ac:dyDescent="0.25">
      <c r="A7880" s="405" t="s">
        <v>310</v>
      </c>
      <c r="B7880" s="405" t="s">
        <v>2774</v>
      </c>
      <c r="C7880" s="405" t="s">
        <v>857</v>
      </c>
      <c r="D7880" s="405" t="s">
        <v>921</v>
      </c>
      <c r="E7880" s="410">
        <v>40908</v>
      </c>
      <c r="F7880" s="410">
        <v>40953</v>
      </c>
      <c r="G7880" s="405" t="s">
        <v>2775</v>
      </c>
      <c r="H7880" s="405">
        <v>788058782</v>
      </c>
      <c r="I7880" s="405">
        <v>782137683</v>
      </c>
      <c r="J7880" s="405">
        <v>0.36843300000000001</v>
      </c>
      <c r="K7880" s="405">
        <v>32.819465000000001</v>
      </c>
      <c r="L7880" s="405" t="s">
        <v>314</v>
      </c>
      <c r="M7880" s="405" t="s">
        <v>329</v>
      </c>
      <c r="N7880" s="405" t="s">
        <v>545</v>
      </c>
      <c r="O7880" s="405" t="s">
        <v>546</v>
      </c>
      <c r="P7880" s="405" t="s">
        <v>2776</v>
      </c>
      <c r="Q7880" s="411">
        <v>6</v>
      </c>
      <c r="R7880" s="405" t="s">
        <v>318</v>
      </c>
      <c r="S7880" s="405" t="s">
        <v>27035</v>
      </c>
      <c r="T7880" s="405" t="s">
        <v>32102</v>
      </c>
      <c r="U7880" s="405" t="s">
        <v>319</v>
      </c>
    </row>
    <row r="7881" spans="1:21" hidden="1" x14ac:dyDescent="0.25">
      <c r="A7881" s="405" t="s">
        <v>310</v>
      </c>
      <c r="B7881" s="405" t="s">
        <v>11024</v>
      </c>
      <c r="C7881" s="405" t="s">
        <v>327</v>
      </c>
      <c r="D7881" s="405"/>
      <c r="E7881" s="410">
        <v>40908</v>
      </c>
      <c r="F7881" s="410">
        <v>40953</v>
      </c>
      <c r="G7881" s="405" t="s">
        <v>11025</v>
      </c>
      <c r="H7881" s="405">
        <v>773301366</v>
      </c>
      <c r="I7881" s="405"/>
      <c r="J7881" s="405">
        <v>0.61633389999999999</v>
      </c>
      <c r="K7881" s="405">
        <v>33.479194800000002</v>
      </c>
      <c r="L7881" s="405" t="s">
        <v>6866</v>
      </c>
      <c r="M7881" s="405" t="s">
        <v>5411</v>
      </c>
      <c r="N7881" s="405" t="s">
        <v>9984</v>
      </c>
      <c r="O7881" s="405" t="s">
        <v>9985</v>
      </c>
      <c r="P7881" s="405" t="s">
        <v>11018</v>
      </c>
      <c r="Q7881" s="411">
        <v>6</v>
      </c>
      <c r="R7881" s="405" t="s">
        <v>318</v>
      </c>
      <c r="S7881" s="405" t="s">
        <v>27134</v>
      </c>
      <c r="T7881" s="405" t="s">
        <v>32102</v>
      </c>
      <c r="U7881" s="405" t="s">
        <v>319</v>
      </c>
    </row>
    <row r="7882" spans="1:21" hidden="1" x14ac:dyDescent="0.25">
      <c r="A7882" s="405" t="s">
        <v>310</v>
      </c>
      <c r="B7882" s="405" t="s">
        <v>2725</v>
      </c>
      <c r="C7882" s="405" t="s">
        <v>311</v>
      </c>
      <c r="D7882" s="405" t="s">
        <v>839</v>
      </c>
      <c r="E7882" s="410">
        <v>40908</v>
      </c>
      <c r="F7882" s="410">
        <v>40953</v>
      </c>
      <c r="G7882" s="405" t="s">
        <v>2726</v>
      </c>
      <c r="H7882" s="405">
        <v>772950002</v>
      </c>
      <c r="I7882" s="405"/>
      <c r="J7882" s="405">
        <v>0.35445100000000002</v>
      </c>
      <c r="K7882" s="405">
        <v>32.776687000000003</v>
      </c>
      <c r="L7882" s="405" t="s">
        <v>314</v>
      </c>
      <c r="M7882" s="405" t="s">
        <v>329</v>
      </c>
      <c r="N7882" s="405" t="s">
        <v>545</v>
      </c>
      <c r="O7882" s="405" t="s">
        <v>546</v>
      </c>
      <c r="P7882" s="405" t="s">
        <v>547</v>
      </c>
      <c r="Q7882" s="411">
        <v>6</v>
      </c>
      <c r="R7882" s="405" t="s">
        <v>353</v>
      </c>
      <c r="S7882" s="405" t="s">
        <v>27110</v>
      </c>
      <c r="T7882" s="405" t="s">
        <v>32102</v>
      </c>
      <c r="U7882" s="405" t="s">
        <v>319</v>
      </c>
    </row>
    <row r="7883" spans="1:21" hidden="1" x14ac:dyDescent="0.25">
      <c r="A7883" s="405" t="s">
        <v>310</v>
      </c>
      <c r="B7883" s="405" t="s">
        <v>20374</v>
      </c>
      <c r="C7883" s="405" t="s">
        <v>327</v>
      </c>
      <c r="D7883" s="405"/>
      <c r="E7883" s="410">
        <v>40908</v>
      </c>
      <c r="F7883" s="410">
        <v>40953</v>
      </c>
      <c r="G7883" s="405" t="s">
        <v>20375</v>
      </c>
      <c r="H7883" s="405">
        <v>773770408</v>
      </c>
      <c r="I7883" s="405"/>
      <c r="J7883" s="405">
        <v>-1.114703</v>
      </c>
      <c r="K7883" s="405">
        <v>30.100722999999999</v>
      </c>
      <c r="L7883" s="405" t="s">
        <v>590</v>
      </c>
      <c r="M7883" s="405" t="s">
        <v>19659</v>
      </c>
      <c r="N7883" s="405" t="s">
        <v>19677</v>
      </c>
      <c r="O7883" s="405" t="s">
        <v>2864</v>
      </c>
      <c r="P7883" s="405" t="s">
        <v>20376</v>
      </c>
      <c r="Q7883" s="411">
        <v>6</v>
      </c>
      <c r="R7883" s="405" t="s">
        <v>1527</v>
      </c>
      <c r="S7883" s="405" t="s">
        <v>27161</v>
      </c>
      <c r="T7883" s="405" t="s">
        <v>32102</v>
      </c>
      <c r="U7883" s="405" t="s">
        <v>319</v>
      </c>
    </row>
    <row r="7884" spans="1:21" hidden="1" x14ac:dyDescent="0.25">
      <c r="A7884" s="405" t="s">
        <v>310</v>
      </c>
      <c r="B7884" s="405" t="s">
        <v>2134</v>
      </c>
      <c r="C7884" s="405" t="s">
        <v>327</v>
      </c>
      <c r="D7884" s="405"/>
      <c r="E7884" s="410">
        <v>40908</v>
      </c>
      <c r="F7884" s="410">
        <v>40953</v>
      </c>
      <c r="G7884" s="405" t="s">
        <v>2135</v>
      </c>
      <c r="H7884" s="405">
        <v>788412560</v>
      </c>
      <c r="I7884" s="405"/>
      <c r="J7884" s="405">
        <v>0.24446599999999999</v>
      </c>
      <c r="K7884" s="405">
        <v>32.234026999999998</v>
      </c>
      <c r="L7884" s="405" t="s">
        <v>314</v>
      </c>
      <c r="M7884" s="405" t="s">
        <v>321</v>
      </c>
      <c r="N7884" s="405" t="s">
        <v>2136</v>
      </c>
      <c r="O7884" s="405" t="s">
        <v>2137</v>
      </c>
      <c r="P7884" s="405" t="s">
        <v>2138</v>
      </c>
      <c r="Q7884" s="411">
        <v>6</v>
      </c>
      <c r="R7884" s="405" t="s">
        <v>1623</v>
      </c>
      <c r="S7884" s="405" t="s">
        <v>27036</v>
      </c>
      <c r="T7884" s="405" t="s">
        <v>32102</v>
      </c>
      <c r="U7884" s="405" t="s">
        <v>319</v>
      </c>
    </row>
    <row r="7885" spans="1:21" hidden="1" x14ac:dyDescent="0.25">
      <c r="A7885" s="405" t="s">
        <v>310</v>
      </c>
      <c r="B7885" s="405" t="s">
        <v>20630</v>
      </c>
      <c r="C7885" s="405" t="s">
        <v>857</v>
      </c>
      <c r="D7885" s="405" t="s">
        <v>4394</v>
      </c>
      <c r="E7885" s="410">
        <v>40908</v>
      </c>
      <c r="F7885" s="410">
        <v>40953</v>
      </c>
      <c r="G7885" s="405" t="s">
        <v>20631</v>
      </c>
      <c r="H7885" s="405">
        <v>787796620</v>
      </c>
      <c r="I7885" s="405"/>
      <c r="J7885" s="405">
        <v>-0.80673399999999995</v>
      </c>
      <c r="K7885" s="405">
        <v>29.838407</v>
      </c>
      <c r="L7885" s="405" t="s">
        <v>590</v>
      </c>
      <c r="M7885" s="405" t="s">
        <v>19619</v>
      </c>
      <c r="N7885" s="405" t="s">
        <v>19793</v>
      </c>
      <c r="O7885" s="405" t="s">
        <v>19794</v>
      </c>
      <c r="P7885" s="405" t="s">
        <v>19938</v>
      </c>
      <c r="Q7885" s="411">
        <v>6</v>
      </c>
      <c r="R7885" s="405" t="s">
        <v>19622</v>
      </c>
      <c r="S7885" s="405" t="s">
        <v>27220</v>
      </c>
      <c r="T7885" s="405" t="s">
        <v>32102</v>
      </c>
      <c r="U7885" s="405" t="s">
        <v>319</v>
      </c>
    </row>
    <row r="7886" spans="1:21" hidden="1" x14ac:dyDescent="0.25">
      <c r="A7886" s="405" t="s">
        <v>310</v>
      </c>
      <c r="B7886" s="405" t="s">
        <v>28437</v>
      </c>
      <c r="C7886" s="405" t="s">
        <v>327</v>
      </c>
      <c r="D7886" s="405"/>
      <c r="E7886" s="410">
        <v>40908</v>
      </c>
      <c r="F7886" s="410">
        <v>40953</v>
      </c>
      <c r="G7886" s="405" t="s">
        <v>11105</v>
      </c>
      <c r="H7886" s="405">
        <v>782426720</v>
      </c>
      <c r="I7886" s="405"/>
      <c r="J7886" s="405">
        <v>0.960754</v>
      </c>
      <c r="K7886" s="405">
        <v>34.295358999999998</v>
      </c>
      <c r="L7886" s="405" t="s">
        <v>6866</v>
      </c>
      <c r="M7886" s="405" t="s">
        <v>9763</v>
      </c>
      <c r="N7886" s="405" t="s">
        <v>9764</v>
      </c>
      <c r="O7886" s="405" t="s">
        <v>10118</v>
      </c>
      <c r="P7886" s="405" t="s">
        <v>11106</v>
      </c>
      <c r="Q7886" s="411">
        <v>6</v>
      </c>
      <c r="R7886" s="405" t="s">
        <v>7224</v>
      </c>
      <c r="S7886" s="405" t="s">
        <v>27197</v>
      </c>
      <c r="T7886" s="405" t="s">
        <v>32102</v>
      </c>
      <c r="U7886" s="405" t="s">
        <v>319</v>
      </c>
    </row>
    <row r="7887" spans="1:21" hidden="1" x14ac:dyDescent="0.25">
      <c r="A7887" s="405" t="s">
        <v>310</v>
      </c>
      <c r="B7887" s="405" t="s">
        <v>2677</v>
      </c>
      <c r="C7887" s="405" t="s">
        <v>311</v>
      </c>
      <c r="D7887" s="405" t="s">
        <v>2678</v>
      </c>
      <c r="E7887" s="410">
        <v>40908</v>
      </c>
      <c r="F7887" s="410">
        <v>40953</v>
      </c>
      <c r="G7887" s="405" t="s">
        <v>2679</v>
      </c>
      <c r="H7887" s="405">
        <v>751866991</v>
      </c>
      <c r="I7887" s="405"/>
      <c r="J7887" s="405">
        <v>-0.19825899999999999</v>
      </c>
      <c r="K7887" s="405">
        <v>31.405839</v>
      </c>
      <c r="L7887" s="405" t="s">
        <v>314</v>
      </c>
      <c r="M7887" s="405" t="s">
        <v>343</v>
      </c>
      <c r="N7887" s="405" t="s">
        <v>344</v>
      </c>
      <c r="O7887" s="405" t="s">
        <v>727</v>
      </c>
      <c r="P7887" s="405" t="s">
        <v>1386</v>
      </c>
      <c r="Q7887" s="411">
        <v>6</v>
      </c>
      <c r="R7887" s="405" t="s">
        <v>318</v>
      </c>
      <c r="S7887" s="405" t="s">
        <v>27126</v>
      </c>
      <c r="T7887" s="405" t="s">
        <v>32102</v>
      </c>
      <c r="U7887" s="405" t="s">
        <v>319</v>
      </c>
    </row>
    <row r="7888" spans="1:21" hidden="1" x14ac:dyDescent="0.25">
      <c r="A7888" s="405" t="s">
        <v>310</v>
      </c>
      <c r="B7888" s="405" t="s">
        <v>11132</v>
      </c>
      <c r="C7888" s="405" t="s">
        <v>327</v>
      </c>
      <c r="D7888" s="405"/>
      <c r="E7888" s="410">
        <v>40908</v>
      </c>
      <c r="F7888" s="410">
        <v>40953</v>
      </c>
      <c r="G7888" s="405" t="s">
        <v>11133</v>
      </c>
      <c r="H7888" s="405">
        <v>779348427</v>
      </c>
      <c r="I7888" s="405">
        <v>755348527</v>
      </c>
      <c r="J7888" s="405">
        <v>0.59796199999999999</v>
      </c>
      <c r="K7888" s="405">
        <v>33.460785000000001</v>
      </c>
      <c r="L7888" s="405" t="s">
        <v>6866</v>
      </c>
      <c r="M7888" s="405" t="s">
        <v>1120</v>
      </c>
      <c r="N7888" s="405" t="s">
        <v>11134</v>
      </c>
      <c r="O7888" s="405" t="s">
        <v>11135</v>
      </c>
      <c r="P7888" s="405" t="s">
        <v>11136</v>
      </c>
      <c r="Q7888" s="411">
        <v>6</v>
      </c>
      <c r="R7888" s="405" t="s">
        <v>333</v>
      </c>
      <c r="S7888" s="405" t="s">
        <v>27259</v>
      </c>
      <c r="T7888" s="405" t="s">
        <v>32102</v>
      </c>
      <c r="U7888" s="405" t="s">
        <v>319</v>
      </c>
    </row>
    <row r="7889" spans="1:21" hidden="1" x14ac:dyDescent="0.25">
      <c r="A7889" s="405" t="s">
        <v>310</v>
      </c>
      <c r="B7889" s="405" t="s">
        <v>11140</v>
      </c>
      <c r="C7889" s="405" t="s">
        <v>327</v>
      </c>
      <c r="D7889" s="405"/>
      <c r="E7889" s="410">
        <v>40908</v>
      </c>
      <c r="F7889" s="410">
        <v>40953</v>
      </c>
      <c r="G7889" s="405" t="s">
        <v>11141</v>
      </c>
      <c r="H7889" s="405">
        <v>779348527</v>
      </c>
      <c r="I7889" s="405"/>
      <c r="J7889" s="405">
        <v>0.59797699999999998</v>
      </c>
      <c r="K7889" s="405">
        <v>33.460723000000002</v>
      </c>
      <c r="L7889" s="405" t="s">
        <v>6866</v>
      </c>
      <c r="M7889" s="405" t="s">
        <v>1120</v>
      </c>
      <c r="N7889" s="405" t="s">
        <v>11134</v>
      </c>
      <c r="O7889" s="405" t="s">
        <v>11135</v>
      </c>
      <c r="P7889" s="405" t="s">
        <v>11139</v>
      </c>
      <c r="Q7889" s="411">
        <v>6</v>
      </c>
      <c r="R7889" s="405" t="s">
        <v>333</v>
      </c>
      <c r="S7889" s="405" t="s">
        <v>27259</v>
      </c>
      <c r="T7889" s="405" t="s">
        <v>32102</v>
      </c>
      <c r="U7889" s="405" t="s">
        <v>319</v>
      </c>
    </row>
    <row r="7890" spans="1:21" hidden="1" x14ac:dyDescent="0.25">
      <c r="A7890" s="405" t="s">
        <v>310</v>
      </c>
      <c r="B7890" s="405" t="s">
        <v>2115</v>
      </c>
      <c r="C7890" s="405" t="s">
        <v>327</v>
      </c>
      <c r="D7890" s="405"/>
      <c r="E7890" s="410">
        <v>40908</v>
      </c>
      <c r="F7890" s="410">
        <v>40953</v>
      </c>
      <c r="G7890" s="405" t="s">
        <v>2116</v>
      </c>
      <c r="H7890" s="405">
        <v>771481742</v>
      </c>
      <c r="I7890" s="405"/>
      <c r="J7890" s="405">
        <v>0.31576300000000002</v>
      </c>
      <c r="K7890" s="405">
        <v>32.137081999999999</v>
      </c>
      <c r="L7890" s="405" t="s">
        <v>314</v>
      </c>
      <c r="M7890" s="405" t="s">
        <v>675</v>
      </c>
      <c r="N7890" s="405" t="s">
        <v>676</v>
      </c>
      <c r="O7890" s="405" t="s">
        <v>677</v>
      </c>
      <c r="P7890" s="405" t="s">
        <v>2117</v>
      </c>
      <c r="Q7890" s="411">
        <v>6</v>
      </c>
      <c r="R7890" s="405" t="s">
        <v>318</v>
      </c>
      <c r="S7890" s="405" t="s">
        <v>27148</v>
      </c>
      <c r="T7890" s="405" t="s">
        <v>32102</v>
      </c>
      <c r="U7890" s="405" t="s">
        <v>319</v>
      </c>
    </row>
    <row r="7891" spans="1:21" hidden="1" x14ac:dyDescent="0.25">
      <c r="A7891" s="405" t="s">
        <v>310</v>
      </c>
      <c r="B7891" s="405" t="s">
        <v>11546</v>
      </c>
      <c r="C7891" s="405" t="s">
        <v>311</v>
      </c>
      <c r="D7891" s="405" t="s">
        <v>312</v>
      </c>
      <c r="E7891" s="410">
        <v>40908</v>
      </c>
      <c r="F7891" s="410">
        <v>40953</v>
      </c>
      <c r="G7891" s="405" t="s">
        <v>11547</v>
      </c>
      <c r="H7891" s="405">
        <v>782641306</v>
      </c>
      <c r="I7891" s="405"/>
      <c r="J7891" s="405">
        <v>0.73609400000000003</v>
      </c>
      <c r="K7891" s="405">
        <v>34.134597999999997</v>
      </c>
      <c r="L7891" s="405" t="s">
        <v>6866</v>
      </c>
      <c r="M7891" s="405" t="s">
        <v>9534</v>
      </c>
      <c r="N7891" s="405" t="s">
        <v>10113</v>
      </c>
      <c r="O7891" s="405" t="s">
        <v>9770</v>
      </c>
      <c r="P7891" s="405" t="s">
        <v>11101</v>
      </c>
      <c r="Q7891" s="411">
        <v>6</v>
      </c>
      <c r="R7891" s="405" t="s">
        <v>7224</v>
      </c>
      <c r="S7891" s="405" t="s">
        <v>27309</v>
      </c>
      <c r="T7891" s="405" t="s">
        <v>32102</v>
      </c>
      <c r="U7891" s="405" t="s">
        <v>319</v>
      </c>
    </row>
    <row r="7892" spans="1:21" hidden="1" x14ac:dyDescent="0.25">
      <c r="A7892" s="405" t="s">
        <v>310</v>
      </c>
      <c r="B7892" s="405" t="s">
        <v>11047</v>
      </c>
      <c r="C7892" s="405" t="s">
        <v>327</v>
      </c>
      <c r="D7892" s="405"/>
      <c r="E7892" s="410">
        <v>40908</v>
      </c>
      <c r="F7892" s="410">
        <v>40953</v>
      </c>
      <c r="G7892" s="405" t="s">
        <v>11048</v>
      </c>
      <c r="H7892" s="405">
        <v>772619652</v>
      </c>
      <c r="I7892" s="405"/>
      <c r="J7892" s="405">
        <v>0.74252700000000005</v>
      </c>
      <c r="K7892" s="405">
        <v>34.099592000000001</v>
      </c>
      <c r="L7892" s="405" t="s">
        <v>6866</v>
      </c>
      <c r="M7892" s="405" t="s">
        <v>9534</v>
      </c>
      <c r="N7892" s="405" t="s">
        <v>10085</v>
      </c>
      <c r="O7892" s="405" t="s">
        <v>3870</v>
      </c>
      <c r="P7892" s="405" t="s">
        <v>11049</v>
      </c>
      <c r="Q7892" s="411">
        <v>6</v>
      </c>
      <c r="R7892" s="405" t="s">
        <v>7224</v>
      </c>
      <c r="S7892" s="405" t="s">
        <v>27309</v>
      </c>
      <c r="T7892" s="405" t="s">
        <v>32102</v>
      </c>
      <c r="U7892" s="405" t="s">
        <v>319</v>
      </c>
    </row>
    <row r="7893" spans="1:21" hidden="1" x14ac:dyDescent="0.25">
      <c r="A7893" s="405" t="s">
        <v>310</v>
      </c>
      <c r="B7893" s="405" t="s">
        <v>11099</v>
      </c>
      <c r="C7893" s="405" t="s">
        <v>327</v>
      </c>
      <c r="D7893" s="405"/>
      <c r="E7893" s="410">
        <v>40908</v>
      </c>
      <c r="F7893" s="410">
        <v>40953</v>
      </c>
      <c r="G7893" s="405" t="s">
        <v>11100</v>
      </c>
      <c r="H7893" s="405">
        <v>774400709</v>
      </c>
      <c r="I7893" s="405"/>
      <c r="J7893" s="405">
        <v>0.73993500000000001</v>
      </c>
      <c r="K7893" s="405">
        <v>34.140009999999997</v>
      </c>
      <c r="L7893" s="405" t="s">
        <v>6866</v>
      </c>
      <c r="M7893" s="405" t="s">
        <v>9534</v>
      </c>
      <c r="N7893" s="405" t="s">
        <v>10113</v>
      </c>
      <c r="O7893" s="405" t="s">
        <v>9770</v>
      </c>
      <c r="P7893" s="405" t="s">
        <v>11101</v>
      </c>
      <c r="Q7893" s="411">
        <v>6</v>
      </c>
      <c r="R7893" s="405" t="s">
        <v>7224</v>
      </c>
      <c r="S7893" s="405" t="s">
        <v>27309</v>
      </c>
      <c r="T7893" s="405" t="s">
        <v>32102</v>
      </c>
      <c r="U7893" s="405" t="s">
        <v>319</v>
      </c>
    </row>
    <row r="7894" spans="1:21" hidden="1" x14ac:dyDescent="0.25">
      <c r="A7894" s="405" t="s">
        <v>310</v>
      </c>
      <c r="B7894" s="405" t="s">
        <v>11066</v>
      </c>
      <c r="C7894" s="405" t="s">
        <v>327</v>
      </c>
      <c r="D7894" s="405"/>
      <c r="E7894" s="410">
        <v>40908</v>
      </c>
      <c r="F7894" s="410">
        <v>40953</v>
      </c>
      <c r="G7894" s="405" t="s">
        <v>11067</v>
      </c>
      <c r="H7894" s="405">
        <v>782261947</v>
      </c>
      <c r="I7894" s="405"/>
      <c r="J7894" s="405">
        <v>1.6762429999999999</v>
      </c>
      <c r="K7894" s="405">
        <v>33.487560000000002</v>
      </c>
      <c r="L7894" s="405" t="s">
        <v>6866</v>
      </c>
      <c r="M7894" s="405" t="s">
        <v>10515</v>
      </c>
      <c r="N7894" s="405" t="s">
        <v>10515</v>
      </c>
      <c r="O7894" s="405" t="s">
        <v>11068</v>
      </c>
      <c r="P7894" s="405" t="s">
        <v>11069</v>
      </c>
      <c r="Q7894" s="411">
        <v>6</v>
      </c>
      <c r="R7894" s="405" t="s">
        <v>10642</v>
      </c>
      <c r="S7894" s="405" t="s">
        <v>27322</v>
      </c>
      <c r="T7894" s="405" t="s">
        <v>32102</v>
      </c>
      <c r="U7894" s="405" t="s">
        <v>319</v>
      </c>
    </row>
    <row r="7895" spans="1:21" hidden="1" x14ac:dyDescent="0.25">
      <c r="A7895" s="405" t="s">
        <v>310</v>
      </c>
      <c r="B7895" s="405" t="s">
        <v>2248</v>
      </c>
      <c r="C7895" s="405" t="s">
        <v>327</v>
      </c>
      <c r="D7895" s="405"/>
      <c r="E7895" s="410">
        <v>40908</v>
      </c>
      <c r="F7895" s="410">
        <v>40953</v>
      </c>
      <c r="G7895" s="405" t="s">
        <v>2249</v>
      </c>
      <c r="H7895" s="405">
        <v>752625444</v>
      </c>
      <c r="I7895" s="405"/>
      <c r="J7895" s="405">
        <v>0.35387000000000002</v>
      </c>
      <c r="K7895" s="405">
        <v>32.554197000000002</v>
      </c>
      <c r="L7895" s="405" t="s">
        <v>314</v>
      </c>
      <c r="M7895" s="405" t="s">
        <v>992</v>
      </c>
      <c r="N7895" s="405" t="s">
        <v>362</v>
      </c>
      <c r="O7895" s="405" t="s">
        <v>936</v>
      </c>
      <c r="P7895" s="405" t="s">
        <v>2250</v>
      </c>
      <c r="Q7895" s="411">
        <v>6</v>
      </c>
      <c r="R7895" s="405" t="s">
        <v>1623</v>
      </c>
      <c r="S7895" s="405" t="s">
        <v>27036</v>
      </c>
      <c r="T7895" s="405" t="s">
        <v>32102</v>
      </c>
      <c r="U7895" s="405" t="s">
        <v>319</v>
      </c>
    </row>
    <row r="7896" spans="1:21" hidden="1" x14ac:dyDescent="0.25">
      <c r="A7896" s="405" t="s">
        <v>310</v>
      </c>
      <c r="B7896" s="405" t="s">
        <v>58</v>
      </c>
      <c r="C7896" s="405" t="s">
        <v>327</v>
      </c>
      <c r="D7896" s="405"/>
      <c r="E7896" s="410">
        <v>40908</v>
      </c>
      <c r="F7896" s="410">
        <v>40953</v>
      </c>
      <c r="G7896" s="405" t="s">
        <v>2227</v>
      </c>
      <c r="H7896" s="405">
        <v>701359593</v>
      </c>
      <c r="I7896" s="405"/>
      <c r="J7896" s="405">
        <v>0.51747699999999996</v>
      </c>
      <c r="K7896" s="405">
        <v>32.772472</v>
      </c>
      <c r="L7896" s="405" t="s">
        <v>314</v>
      </c>
      <c r="M7896" s="405" t="s">
        <v>329</v>
      </c>
      <c r="N7896" s="405" t="s">
        <v>528</v>
      </c>
      <c r="O7896" s="405" t="s">
        <v>2228</v>
      </c>
      <c r="P7896" s="405" t="s">
        <v>2229</v>
      </c>
      <c r="Q7896" s="411">
        <v>6</v>
      </c>
      <c r="R7896" s="405" t="s">
        <v>318</v>
      </c>
      <c r="S7896" s="405" t="s">
        <v>27141</v>
      </c>
      <c r="T7896" s="405" t="s">
        <v>32102</v>
      </c>
      <c r="U7896" s="405" t="s">
        <v>319</v>
      </c>
    </row>
    <row r="7897" spans="1:21" hidden="1" x14ac:dyDescent="0.25">
      <c r="A7897" s="405" t="s">
        <v>310</v>
      </c>
      <c r="B7897" s="405" t="s">
        <v>2198</v>
      </c>
      <c r="C7897" s="405" t="s">
        <v>327</v>
      </c>
      <c r="D7897" s="405"/>
      <c r="E7897" s="410">
        <v>40908</v>
      </c>
      <c r="F7897" s="410">
        <v>40953</v>
      </c>
      <c r="G7897" s="405" t="s">
        <v>2199</v>
      </c>
      <c r="H7897" s="405">
        <v>772400339</v>
      </c>
      <c r="I7897" s="405">
        <v>702400339</v>
      </c>
      <c r="J7897" s="405">
        <v>0.353379</v>
      </c>
      <c r="K7897" s="405">
        <v>32.783234</v>
      </c>
      <c r="L7897" s="405" t="s">
        <v>314</v>
      </c>
      <c r="M7897" s="405" t="s">
        <v>329</v>
      </c>
      <c r="N7897" s="405" t="s">
        <v>330</v>
      </c>
      <c r="O7897" s="405" t="s">
        <v>331</v>
      </c>
      <c r="P7897" s="405" t="s">
        <v>2200</v>
      </c>
      <c r="Q7897" s="411">
        <v>6</v>
      </c>
      <c r="R7897" s="405" t="s">
        <v>318</v>
      </c>
      <c r="S7897" s="405" t="s">
        <v>27108</v>
      </c>
      <c r="T7897" s="405" t="s">
        <v>32102</v>
      </c>
      <c r="U7897" s="405" t="s">
        <v>319</v>
      </c>
    </row>
    <row r="7898" spans="1:21" hidden="1" x14ac:dyDescent="0.25">
      <c r="A7898" s="405" t="s">
        <v>310</v>
      </c>
      <c r="B7898" s="405" t="s">
        <v>11085</v>
      </c>
      <c r="C7898" s="405" t="s">
        <v>327</v>
      </c>
      <c r="D7898" s="405"/>
      <c r="E7898" s="410">
        <v>40908</v>
      </c>
      <c r="F7898" s="410">
        <v>40953</v>
      </c>
      <c r="G7898" s="405" t="s">
        <v>11086</v>
      </c>
      <c r="H7898" s="405">
        <v>702642850</v>
      </c>
      <c r="I7898" s="405"/>
      <c r="J7898" s="405">
        <v>1.2641899999999999</v>
      </c>
      <c r="K7898" s="405">
        <v>34.373126999999997</v>
      </c>
      <c r="L7898" s="405" t="s">
        <v>6866</v>
      </c>
      <c r="M7898" s="405" t="s">
        <v>9550</v>
      </c>
      <c r="N7898" s="405" t="s">
        <v>9550</v>
      </c>
      <c r="O7898" s="405" t="s">
        <v>10601</v>
      </c>
      <c r="P7898" s="405" t="s">
        <v>11087</v>
      </c>
      <c r="Q7898" s="411">
        <v>6</v>
      </c>
      <c r="R7898" s="405" t="s">
        <v>7224</v>
      </c>
      <c r="S7898" s="405" t="s">
        <v>27074</v>
      </c>
      <c r="T7898" s="405" t="s">
        <v>32102</v>
      </c>
      <c r="U7898" s="405" t="s">
        <v>319</v>
      </c>
    </row>
    <row r="7899" spans="1:21" hidden="1" x14ac:dyDescent="0.25">
      <c r="A7899" s="405" t="s">
        <v>310</v>
      </c>
      <c r="B7899" s="405" t="s">
        <v>2164</v>
      </c>
      <c r="C7899" s="405" t="s">
        <v>327</v>
      </c>
      <c r="D7899" s="405"/>
      <c r="E7899" s="410">
        <v>40908</v>
      </c>
      <c r="F7899" s="410">
        <v>40953</v>
      </c>
      <c r="G7899" s="405" t="s">
        <v>2165</v>
      </c>
      <c r="H7899" s="405">
        <v>772382587</v>
      </c>
      <c r="I7899" s="405"/>
      <c r="J7899" s="405">
        <v>0.62877700000000003</v>
      </c>
      <c r="K7899" s="405">
        <v>32.989801999999997</v>
      </c>
      <c r="L7899" s="405" t="s">
        <v>314</v>
      </c>
      <c r="M7899" s="405" t="s">
        <v>502</v>
      </c>
      <c r="N7899" s="405" t="s">
        <v>503</v>
      </c>
      <c r="O7899" s="405" t="s">
        <v>504</v>
      </c>
      <c r="P7899" s="405" t="s">
        <v>2163</v>
      </c>
      <c r="Q7899" s="411">
        <v>6</v>
      </c>
      <c r="R7899" s="405" t="s">
        <v>318</v>
      </c>
      <c r="S7899" s="405" t="s">
        <v>27134</v>
      </c>
      <c r="T7899" s="405" t="s">
        <v>32102</v>
      </c>
      <c r="U7899" s="405" t="s">
        <v>319</v>
      </c>
    </row>
    <row r="7900" spans="1:21" hidden="1" x14ac:dyDescent="0.25">
      <c r="A7900" s="405" t="s">
        <v>310</v>
      </c>
      <c r="B7900" s="405" t="s">
        <v>2174</v>
      </c>
      <c r="C7900" s="405" t="s">
        <v>327</v>
      </c>
      <c r="D7900" s="405"/>
      <c r="E7900" s="410">
        <v>40908</v>
      </c>
      <c r="F7900" s="410">
        <v>40953</v>
      </c>
      <c r="G7900" s="405" t="s">
        <v>2175</v>
      </c>
      <c r="H7900" s="405">
        <v>701689678</v>
      </c>
      <c r="I7900" s="405"/>
      <c r="J7900" s="405">
        <v>0.63696799999999998</v>
      </c>
      <c r="K7900" s="405">
        <v>32.952240000000003</v>
      </c>
      <c r="L7900" s="405" t="s">
        <v>314</v>
      </c>
      <c r="M7900" s="405" t="s">
        <v>502</v>
      </c>
      <c r="N7900" s="405" t="s">
        <v>503</v>
      </c>
      <c r="O7900" s="405" t="s">
        <v>504</v>
      </c>
      <c r="P7900" s="405" t="s">
        <v>2176</v>
      </c>
      <c r="Q7900" s="411">
        <v>6</v>
      </c>
      <c r="R7900" s="405" t="s">
        <v>318</v>
      </c>
      <c r="S7900" s="405" t="s">
        <v>27108</v>
      </c>
      <c r="T7900" s="405" t="s">
        <v>32102</v>
      </c>
      <c r="U7900" s="405" t="s">
        <v>319</v>
      </c>
    </row>
    <row r="7901" spans="1:21" hidden="1" x14ac:dyDescent="0.25">
      <c r="A7901" s="405" t="s">
        <v>310</v>
      </c>
      <c r="B7901" s="405" t="s">
        <v>2218</v>
      </c>
      <c r="C7901" s="405" t="s">
        <v>327</v>
      </c>
      <c r="D7901" s="405"/>
      <c r="E7901" s="410">
        <v>40908</v>
      </c>
      <c r="F7901" s="410">
        <v>40953</v>
      </c>
      <c r="G7901" s="405" t="s">
        <v>2219</v>
      </c>
      <c r="H7901" s="405">
        <v>772521151</v>
      </c>
      <c r="I7901" s="405"/>
      <c r="J7901" s="405">
        <v>0.49594199999999999</v>
      </c>
      <c r="K7901" s="405">
        <v>32.755826999999996</v>
      </c>
      <c r="L7901" s="405" t="s">
        <v>314</v>
      </c>
      <c r="M7901" s="405" t="s">
        <v>329</v>
      </c>
      <c r="N7901" s="405" t="s">
        <v>545</v>
      </c>
      <c r="O7901" s="405" t="s">
        <v>336</v>
      </c>
      <c r="P7901" s="405" t="s">
        <v>2220</v>
      </c>
      <c r="Q7901" s="411">
        <v>6</v>
      </c>
      <c r="R7901" s="405" t="s">
        <v>318</v>
      </c>
      <c r="S7901" s="405" t="s">
        <v>414</v>
      </c>
      <c r="T7901" s="405" t="s">
        <v>32102</v>
      </c>
      <c r="U7901" s="405" t="s">
        <v>319</v>
      </c>
    </row>
    <row r="7902" spans="1:21" hidden="1" x14ac:dyDescent="0.25">
      <c r="A7902" s="405" t="s">
        <v>310</v>
      </c>
      <c r="B7902" s="405" t="s">
        <v>11124</v>
      </c>
      <c r="C7902" s="405" t="s">
        <v>327</v>
      </c>
      <c r="D7902" s="405"/>
      <c r="E7902" s="410">
        <v>40908</v>
      </c>
      <c r="F7902" s="410">
        <v>40953</v>
      </c>
      <c r="G7902" s="405" t="s">
        <v>11125</v>
      </c>
      <c r="H7902" s="405">
        <v>773773194</v>
      </c>
      <c r="I7902" s="405">
        <v>772645971</v>
      </c>
      <c r="J7902" s="405">
        <v>0.47356700000000002</v>
      </c>
      <c r="K7902" s="405">
        <v>33.349612</v>
      </c>
      <c r="L7902" s="405" t="s">
        <v>6866</v>
      </c>
      <c r="M7902" s="405" t="s">
        <v>5411</v>
      </c>
      <c r="N7902" s="405" t="s">
        <v>9774</v>
      </c>
      <c r="O7902" s="405" t="s">
        <v>10096</v>
      </c>
      <c r="P7902" s="405" t="s">
        <v>9776</v>
      </c>
      <c r="Q7902" s="411">
        <v>6</v>
      </c>
      <c r="R7902" s="405" t="s">
        <v>318</v>
      </c>
      <c r="S7902" s="405" t="s">
        <v>27134</v>
      </c>
      <c r="T7902" s="405" t="s">
        <v>32102</v>
      </c>
      <c r="U7902" s="405" t="s">
        <v>319</v>
      </c>
    </row>
    <row r="7903" spans="1:21" hidden="1" x14ac:dyDescent="0.25">
      <c r="A7903" s="405" t="s">
        <v>310</v>
      </c>
      <c r="B7903" s="405" t="s">
        <v>11107</v>
      </c>
      <c r="C7903" s="405" t="s">
        <v>327</v>
      </c>
      <c r="D7903" s="405"/>
      <c r="E7903" s="410">
        <v>40908</v>
      </c>
      <c r="F7903" s="410">
        <v>40953</v>
      </c>
      <c r="G7903" s="405" t="s">
        <v>11108</v>
      </c>
      <c r="H7903" s="405">
        <v>772583067</v>
      </c>
      <c r="I7903" s="405"/>
      <c r="J7903" s="405">
        <v>0.95882500000000004</v>
      </c>
      <c r="K7903" s="405">
        <v>34.286287999999999</v>
      </c>
      <c r="L7903" s="405" t="s">
        <v>6866</v>
      </c>
      <c r="M7903" s="405" t="s">
        <v>9763</v>
      </c>
      <c r="N7903" s="405" t="s">
        <v>9764</v>
      </c>
      <c r="O7903" s="405" t="s">
        <v>10118</v>
      </c>
      <c r="P7903" s="405" t="s">
        <v>9691</v>
      </c>
      <c r="Q7903" s="411">
        <v>6</v>
      </c>
      <c r="R7903" s="405" t="s">
        <v>7224</v>
      </c>
      <c r="S7903" s="405" t="s">
        <v>27197</v>
      </c>
      <c r="T7903" s="405" t="s">
        <v>32102</v>
      </c>
      <c r="U7903" s="405" t="s">
        <v>319</v>
      </c>
    </row>
    <row r="7904" spans="1:21" hidden="1" x14ac:dyDescent="0.25">
      <c r="A7904" s="405" t="s">
        <v>310</v>
      </c>
      <c r="B7904" s="405" t="s">
        <v>11112</v>
      </c>
      <c r="C7904" s="405" t="s">
        <v>327</v>
      </c>
      <c r="D7904" s="405"/>
      <c r="E7904" s="410">
        <v>40908</v>
      </c>
      <c r="F7904" s="410">
        <v>40953</v>
      </c>
      <c r="G7904" s="405" t="s">
        <v>11113</v>
      </c>
      <c r="H7904" s="405">
        <v>782640150</v>
      </c>
      <c r="I7904" s="405"/>
      <c r="J7904" s="405">
        <v>0.95225899999999997</v>
      </c>
      <c r="K7904" s="405">
        <v>34.291705999999998</v>
      </c>
      <c r="L7904" s="405" t="s">
        <v>6866</v>
      </c>
      <c r="M7904" s="405" t="s">
        <v>9763</v>
      </c>
      <c r="N7904" s="405" t="s">
        <v>9764</v>
      </c>
      <c r="O7904" s="405" t="s">
        <v>10905</v>
      </c>
      <c r="P7904" s="405" t="s">
        <v>11114</v>
      </c>
      <c r="Q7904" s="411">
        <v>6</v>
      </c>
      <c r="R7904" s="405" t="s">
        <v>7224</v>
      </c>
      <c r="S7904" s="405" t="s">
        <v>27197</v>
      </c>
      <c r="T7904" s="405" t="s">
        <v>32102</v>
      </c>
      <c r="U7904" s="405" t="s">
        <v>319</v>
      </c>
    </row>
    <row r="7905" spans="1:21" hidden="1" x14ac:dyDescent="0.25">
      <c r="A7905" s="405" t="s">
        <v>310</v>
      </c>
      <c r="B7905" s="405" t="s">
        <v>2207</v>
      </c>
      <c r="C7905" s="405" t="s">
        <v>327</v>
      </c>
      <c r="D7905" s="405"/>
      <c r="E7905" s="410">
        <v>40908</v>
      </c>
      <c r="F7905" s="410">
        <v>40953</v>
      </c>
      <c r="G7905" s="405" t="s">
        <v>2208</v>
      </c>
      <c r="H7905" s="405">
        <v>782342413</v>
      </c>
      <c r="I7905" s="405"/>
      <c r="J7905" s="405">
        <v>0.51009700000000002</v>
      </c>
      <c r="K7905" s="405">
        <v>32.364902999999998</v>
      </c>
      <c r="L7905" s="405" t="s">
        <v>314</v>
      </c>
      <c r="M7905" s="405" t="s">
        <v>361</v>
      </c>
      <c r="N7905" s="405" t="s">
        <v>374</v>
      </c>
      <c r="O7905" s="405" t="s">
        <v>427</v>
      </c>
      <c r="P7905" s="405" t="s">
        <v>427</v>
      </c>
      <c r="Q7905" s="411">
        <v>6</v>
      </c>
      <c r="R7905" s="405" t="s">
        <v>567</v>
      </c>
      <c r="S7905" s="405" t="s">
        <v>27146</v>
      </c>
      <c r="T7905" s="405" t="s">
        <v>32102</v>
      </c>
      <c r="U7905" s="405" t="s">
        <v>319</v>
      </c>
    </row>
    <row r="7906" spans="1:21" hidden="1" x14ac:dyDescent="0.25">
      <c r="A7906" s="405" t="s">
        <v>310</v>
      </c>
      <c r="B7906" s="405" t="s">
        <v>2777</v>
      </c>
      <c r="C7906" s="405" t="s">
        <v>311</v>
      </c>
      <c r="D7906" s="405" t="s">
        <v>1789</v>
      </c>
      <c r="E7906" s="410">
        <v>40908</v>
      </c>
      <c r="F7906" s="410">
        <v>40953</v>
      </c>
      <c r="G7906" s="405" t="s">
        <v>2778</v>
      </c>
      <c r="H7906" s="405">
        <v>753512130</v>
      </c>
      <c r="I7906" s="405"/>
      <c r="J7906" s="405">
        <v>0.33219700000000002</v>
      </c>
      <c r="K7906" s="405">
        <v>32.753248999999997</v>
      </c>
      <c r="L7906" s="405" t="s">
        <v>314</v>
      </c>
      <c r="M7906" s="405" t="s">
        <v>329</v>
      </c>
      <c r="N7906" s="405" t="s">
        <v>330</v>
      </c>
      <c r="O7906" s="405" t="s">
        <v>653</v>
      </c>
      <c r="P7906" s="405" t="s">
        <v>836</v>
      </c>
      <c r="Q7906" s="411">
        <v>6</v>
      </c>
      <c r="R7906" s="405" t="s">
        <v>318</v>
      </c>
      <c r="S7906" s="405" t="s">
        <v>27141</v>
      </c>
      <c r="T7906" s="405" t="s">
        <v>32102</v>
      </c>
      <c r="U7906" s="405" t="s">
        <v>319</v>
      </c>
    </row>
    <row r="7907" spans="1:21" hidden="1" x14ac:dyDescent="0.25">
      <c r="A7907" s="405" t="s">
        <v>310</v>
      </c>
      <c r="B7907" s="405" t="s">
        <v>60</v>
      </c>
      <c r="C7907" s="405" t="s">
        <v>327</v>
      </c>
      <c r="D7907" s="405"/>
      <c r="E7907" s="410">
        <v>40908</v>
      </c>
      <c r="F7907" s="410">
        <v>40923</v>
      </c>
      <c r="G7907" s="405" t="s">
        <v>2230</v>
      </c>
      <c r="H7907" s="405">
        <v>756384351</v>
      </c>
      <c r="I7907" s="405"/>
      <c r="J7907" s="405">
        <v>0.490342</v>
      </c>
      <c r="K7907" s="405">
        <v>32.819177000000003</v>
      </c>
      <c r="L7907" s="405" t="s">
        <v>314</v>
      </c>
      <c r="M7907" s="405" t="s">
        <v>329</v>
      </c>
      <c r="N7907" s="405" t="s">
        <v>528</v>
      </c>
      <c r="O7907" s="405" t="s">
        <v>1596</v>
      </c>
      <c r="P7907" s="405" t="s">
        <v>2231</v>
      </c>
      <c r="Q7907" s="411">
        <v>6</v>
      </c>
      <c r="R7907" s="405" t="s">
        <v>318</v>
      </c>
      <c r="S7907" s="405" t="s">
        <v>27141</v>
      </c>
      <c r="T7907" s="405" t="s">
        <v>32102</v>
      </c>
      <c r="U7907" s="405" t="s">
        <v>319</v>
      </c>
    </row>
    <row r="7908" spans="1:21" hidden="1" x14ac:dyDescent="0.25">
      <c r="A7908" s="405" t="s">
        <v>310</v>
      </c>
      <c r="B7908" s="405" t="s">
        <v>11142</v>
      </c>
      <c r="C7908" s="405" t="s">
        <v>327</v>
      </c>
      <c r="D7908" s="405"/>
      <c r="E7908" s="410">
        <v>40908</v>
      </c>
      <c r="F7908" s="410">
        <v>40953</v>
      </c>
      <c r="G7908" s="405" t="s">
        <v>11143</v>
      </c>
      <c r="H7908" s="405">
        <v>779348527</v>
      </c>
      <c r="I7908" s="405"/>
      <c r="J7908" s="405">
        <v>0.59796000000000005</v>
      </c>
      <c r="K7908" s="405">
        <v>33.460768000000002</v>
      </c>
      <c r="L7908" s="405" t="s">
        <v>6866</v>
      </c>
      <c r="M7908" s="405" t="s">
        <v>1120</v>
      </c>
      <c r="N7908" s="405" t="s">
        <v>11134</v>
      </c>
      <c r="O7908" s="405" t="s">
        <v>11135</v>
      </c>
      <c r="P7908" s="405" t="s">
        <v>11144</v>
      </c>
      <c r="Q7908" s="411">
        <v>4</v>
      </c>
      <c r="R7908" s="405" t="s">
        <v>333</v>
      </c>
      <c r="S7908" s="405" t="s">
        <v>27259</v>
      </c>
      <c r="T7908" s="405" t="s">
        <v>32102</v>
      </c>
      <c r="U7908" s="405" t="s">
        <v>319</v>
      </c>
    </row>
    <row r="7909" spans="1:21" hidden="1" x14ac:dyDescent="0.25">
      <c r="A7909" s="405" t="s">
        <v>310</v>
      </c>
      <c r="B7909" s="405" t="s">
        <v>11137</v>
      </c>
      <c r="C7909" s="405" t="s">
        <v>327</v>
      </c>
      <c r="D7909" s="405"/>
      <c r="E7909" s="410">
        <v>40908</v>
      </c>
      <c r="F7909" s="410">
        <v>40953</v>
      </c>
      <c r="G7909" s="405" t="s">
        <v>11138</v>
      </c>
      <c r="H7909" s="405">
        <v>779348527</v>
      </c>
      <c r="I7909" s="405"/>
      <c r="J7909" s="405">
        <v>0.59801499999999996</v>
      </c>
      <c r="K7909" s="405">
        <v>33.460833000000001</v>
      </c>
      <c r="L7909" s="405" t="s">
        <v>6866</v>
      </c>
      <c r="M7909" s="405" t="s">
        <v>1120</v>
      </c>
      <c r="N7909" s="405" t="s">
        <v>11134</v>
      </c>
      <c r="O7909" s="405" t="s">
        <v>11135</v>
      </c>
      <c r="P7909" s="405" t="s">
        <v>11139</v>
      </c>
      <c r="Q7909" s="411">
        <v>4</v>
      </c>
      <c r="R7909" s="405" t="s">
        <v>333</v>
      </c>
      <c r="S7909" s="405" t="s">
        <v>27259</v>
      </c>
      <c r="T7909" s="405" t="s">
        <v>32102</v>
      </c>
      <c r="U7909" s="405" t="s">
        <v>319</v>
      </c>
    </row>
    <row r="7910" spans="1:21" hidden="1" x14ac:dyDescent="0.25">
      <c r="A7910" s="405" t="s">
        <v>310</v>
      </c>
      <c r="B7910" s="405" t="s">
        <v>2141</v>
      </c>
      <c r="C7910" s="405" t="s">
        <v>327</v>
      </c>
      <c r="D7910" s="405"/>
      <c r="E7910" s="410">
        <v>40908</v>
      </c>
      <c r="F7910" s="410">
        <v>40953</v>
      </c>
      <c r="G7910" s="405" t="s">
        <v>2142</v>
      </c>
      <c r="H7910" s="405">
        <v>752209855</v>
      </c>
      <c r="I7910" s="405"/>
      <c r="J7910" s="405">
        <v>-8.9307999999999998E-2</v>
      </c>
      <c r="K7910" s="405">
        <v>31.452777999999999</v>
      </c>
      <c r="L7910" s="405" t="s">
        <v>314</v>
      </c>
      <c r="M7910" s="405" t="s">
        <v>343</v>
      </c>
      <c r="N7910" s="405" t="s">
        <v>344</v>
      </c>
      <c r="O7910" s="405" t="s">
        <v>723</v>
      </c>
      <c r="P7910" s="405" t="s">
        <v>724</v>
      </c>
      <c r="Q7910" s="411">
        <v>4</v>
      </c>
      <c r="R7910" s="405" t="s">
        <v>318</v>
      </c>
      <c r="S7910" s="405" t="s">
        <v>27135</v>
      </c>
      <c r="T7910" s="405" t="s">
        <v>32102</v>
      </c>
      <c r="U7910" s="405" t="s">
        <v>319</v>
      </c>
    </row>
    <row r="7911" spans="1:21" hidden="1" x14ac:dyDescent="0.25">
      <c r="A7911" s="405" t="s">
        <v>310</v>
      </c>
      <c r="B7911" s="405" t="s">
        <v>28777</v>
      </c>
      <c r="C7911" s="405" t="s">
        <v>311</v>
      </c>
      <c r="D7911" s="405" t="s">
        <v>11502</v>
      </c>
      <c r="E7911" s="410">
        <v>40906</v>
      </c>
      <c r="F7911" s="410">
        <v>40951</v>
      </c>
      <c r="G7911" s="405" t="s">
        <v>11503</v>
      </c>
      <c r="H7911" s="405">
        <v>781345801</v>
      </c>
      <c r="I7911" s="405"/>
      <c r="J7911" s="405">
        <v>1.4710319999999999</v>
      </c>
      <c r="K7911" s="405">
        <v>33.488027000000002</v>
      </c>
      <c r="L7911" s="405" t="s">
        <v>6866</v>
      </c>
      <c r="M7911" s="405" t="s">
        <v>9658</v>
      </c>
      <c r="N7911" s="405" t="s">
        <v>9658</v>
      </c>
      <c r="O7911" s="405" t="s">
        <v>11062</v>
      </c>
      <c r="P7911" s="405" t="s">
        <v>11504</v>
      </c>
      <c r="Q7911" s="411">
        <v>6</v>
      </c>
      <c r="R7911" s="405" t="s">
        <v>7224</v>
      </c>
      <c r="S7911" s="405" t="s">
        <v>27323</v>
      </c>
      <c r="T7911" s="405" t="s">
        <v>32102</v>
      </c>
      <c r="U7911" s="405" t="s">
        <v>319</v>
      </c>
    </row>
    <row r="7912" spans="1:21" hidden="1" x14ac:dyDescent="0.25">
      <c r="A7912" s="405" t="s">
        <v>310</v>
      </c>
      <c r="B7912" s="405" t="s">
        <v>2246</v>
      </c>
      <c r="C7912" s="405" t="s">
        <v>327</v>
      </c>
      <c r="D7912" s="405"/>
      <c r="E7912" s="410">
        <v>40905</v>
      </c>
      <c r="F7912" s="410">
        <v>40950</v>
      </c>
      <c r="G7912" s="405" t="s">
        <v>2247</v>
      </c>
      <c r="H7912" s="405">
        <v>782453039</v>
      </c>
      <c r="I7912" s="405"/>
      <c r="J7912" s="405">
        <v>0.31327199999999999</v>
      </c>
      <c r="K7912" s="405">
        <v>33.032273000000004</v>
      </c>
      <c r="L7912" s="405" t="s">
        <v>314</v>
      </c>
      <c r="M7912" s="405" t="s">
        <v>349</v>
      </c>
      <c r="N7912" s="405" t="s">
        <v>473</v>
      </c>
      <c r="O7912" s="405" t="s">
        <v>349</v>
      </c>
      <c r="P7912" s="405" t="s">
        <v>2245</v>
      </c>
      <c r="Q7912" s="411">
        <v>6</v>
      </c>
      <c r="R7912" s="405" t="s">
        <v>318</v>
      </c>
      <c r="S7912" s="405" t="s">
        <v>414</v>
      </c>
      <c r="T7912" s="405" t="s">
        <v>32102</v>
      </c>
      <c r="U7912" s="405" t="s">
        <v>319</v>
      </c>
    </row>
    <row r="7913" spans="1:21" hidden="1" x14ac:dyDescent="0.25">
      <c r="A7913" s="405" t="s">
        <v>310</v>
      </c>
      <c r="B7913" s="405" t="s">
        <v>28782</v>
      </c>
      <c r="C7913" s="405" t="s">
        <v>327</v>
      </c>
      <c r="D7913" s="405"/>
      <c r="E7913" s="410">
        <v>40899</v>
      </c>
      <c r="F7913" s="410">
        <v>40944</v>
      </c>
      <c r="G7913" s="405" t="s">
        <v>11064</v>
      </c>
      <c r="H7913" s="405">
        <v>782514391</v>
      </c>
      <c r="I7913" s="405"/>
      <c r="J7913" s="405">
        <v>1.434215</v>
      </c>
      <c r="K7913" s="405">
        <v>33.487707</v>
      </c>
      <c r="L7913" s="405" t="s">
        <v>6866</v>
      </c>
      <c r="M7913" s="405" t="s">
        <v>9658</v>
      </c>
      <c r="N7913" s="405" t="s">
        <v>9658</v>
      </c>
      <c r="O7913" s="405" t="s">
        <v>11062</v>
      </c>
      <c r="P7913" s="405" t="s">
        <v>11065</v>
      </c>
      <c r="Q7913" s="411">
        <v>9</v>
      </c>
      <c r="R7913" s="405" t="s">
        <v>10642</v>
      </c>
      <c r="S7913" s="405" t="s">
        <v>27324</v>
      </c>
      <c r="T7913" s="405" t="s">
        <v>32102</v>
      </c>
      <c r="U7913" s="405" t="s">
        <v>319</v>
      </c>
    </row>
    <row r="7914" spans="1:21" hidden="1" x14ac:dyDescent="0.25">
      <c r="A7914" s="405" t="s">
        <v>310</v>
      </c>
      <c r="B7914" s="405" t="s">
        <v>28533</v>
      </c>
      <c r="C7914" s="405" t="s">
        <v>311</v>
      </c>
      <c r="D7914" s="405" t="s">
        <v>839</v>
      </c>
      <c r="E7914" s="410">
        <v>40899</v>
      </c>
      <c r="F7914" s="410">
        <v>40944</v>
      </c>
      <c r="G7914" s="405" t="s">
        <v>2782</v>
      </c>
      <c r="H7914" s="405">
        <v>772556787</v>
      </c>
      <c r="I7914" s="405">
        <v>704556787</v>
      </c>
      <c r="J7914" s="405">
        <v>-0.35409639999999998</v>
      </c>
      <c r="K7914" s="405">
        <v>31.729536499999998</v>
      </c>
      <c r="L7914" s="405" t="s">
        <v>314</v>
      </c>
      <c r="M7914" s="405" t="s">
        <v>382</v>
      </c>
      <c r="N7914" s="405" t="s">
        <v>383</v>
      </c>
      <c r="O7914" s="405" t="s">
        <v>2783</v>
      </c>
      <c r="P7914" s="405" t="s">
        <v>1394</v>
      </c>
      <c r="Q7914" s="411">
        <v>6</v>
      </c>
      <c r="R7914" s="405" t="s">
        <v>402</v>
      </c>
      <c r="S7914" s="405" t="s">
        <v>27139</v>
      </c>
      <c r="T7914" s="405" t="s">
        <v>32102</v>
      </c>
      <c r="U7914" s="405" t="s">
        <v>319</v>
      </c>
    </row>
    <row r="7915" spans="1:21" hidden="1" x14ac:dyDescent="0.25">
      <c r="A7915" s="405" t="s">
        <v>310</v>
      </c>
      <c r="B7915" s="405" t="s">
        <v>11486</v>
      </c>
      <c r="C7915" s="405" t="s">
        <v>857</v>
      </c>
      <c r="D7915" s="405" t="s">
        <v>921</v>
      </c>
      <c r="E7915" s="410">
        <v>40899</v>
      </c>
      <c r="F7915" s="410">
        <v>40944</v>
      </c>
      <c r="G7915" s="405" t="s">
        <v>11487</v>
      </c>
      <c r="H7915" s="405">
        <v>759236583</v>
      </c>
      <c r="I7915" s="405"/>
      <c r="J7915" s="405">
        <v>0.79214799999999996</v>
      </c>
      <c r="K7915" s="405">
        <v>33.963754000000002</v>
      </c>
      <c r="L7915" s="405" t="s">
        <v>6866</v>
      </c>
      <c r="M7915" s="405" t="s">
        <v>9534</v>
      </c>
      <c r="N7915" s="405" t="s">
        <v>10085</v>
      </c>
      <c r="O7915" s="405" t="s">
        <v>10922</v>
      </c>
      <c r="P7915" s="405" t="s">
        <v>11046</v>
      </c>
      <c r="Q7915" s="411">
        <v>6</v>
      </c>
      <c r="R7915" s="405" t="s">
        <v>7224</v>
      </c>
      <c r="S7915" s="405" t="s">
        <v>27310</v>
      </c>
      <c r="T7915" s="405" t="s">
        <v>32102</v>
      </c>
      <c r="U7915" s="405" t="s">
        <v>319</v>
      </c>
    </row>
    <row r="7916" spans="1:21" hidden="1" x14ac:dyDescent="0.25">
      <c r="A7916" s="405" t="s">
        <v>310</v>
      </c>
      <c r="B7916" s="405" t="s">
        <v>28971</v>
      </c>
      <c r="C7916" s="405" t="s">
        <v>327</v>
      </c>
      <c r="D7916" s="405"/>
      <c r="E7916" s="410">
        <v>40898</v>
      </c>
      <c r="F7916" s="410">
        <v>40943</v>
      </c>
      <c r="G7916" s="405" t="s">
        <v>20395</v>
      </c>
      <c r="H7916" s="405">
        <v>782882044</v>
      </c>
      <c r="I7916" s="405"/>
      <c r="J7916" s="405">
        <v>-0.78281500000000004</v>
      </c>
      <c r="K7916" s="405">
        <v>29.918899</v>
      </c>
      <c r="L7916" s="405" t="s">
        <v>590</v>
      </c>
      <c r="M7916" s="405" t="s">
        <v>19619</v>
      </c>
      <c r="N7916" s="405" t="s">
        <v>19765</v>
      </c>
      <c r="O7916" s="405" t="s">
        <v>9881</v>
      </c>
      <c r="P7916" s="405" t="s">
        <v>20396</v>
      </c>
      <c r="Q7916" s="411">
        <v>9</v>
      </c>
      <c r="R7916" s="405" t="s">
        <v>883</v>
      </c>
      <c r="S7916" s="405" t="s">
        <v>27160</v>
      </c>
      <c r="T7916" s="405" t="s">
        <v>32102</v>
      </c>
      <c r="U7916" s="405" t="s">
        <v>319</v>
      </c>
    </row>
    <row r="7917" spans="1:21" hidden="1" x14ac:dyDescent="0.25">
      <c r="A7917" s="405" t="s">
        <v>310</v>
      </c>
      <c r="B7917" s="405" t="s">
        <v>2238</v>
      </c>
      <c r="C7917" s="405" t="s">
        <v>327</v>
      </c>
      <c r="D7917" s="405"/>
      <c r="E7917" s="410">
        <v>40897</v>
      </c>
      <c r="F7917" s="410">
        <v>40942</v>
      </c>
      <c r="G7917" s="405" t="s">
        <v>2239</v>
      </c>
      <c r="H7917" s="405">
        <v>772529080</v>
      </c>
      <c r="I7917" s="405"/>
      <c r="J7917" s="405">
        <v>0.36628500000000003</v>
      </c>
      <c r="K7917" s="405">
        <v>32.166013</v>
      </c>
      <c r="L7917" s="405" t="s">
        <v>314</v>
      </c>
      <c r="M7917" s="405" t="s">
        <v>675</v>
      </c>
      <c r="N7917" s="405" t="s">
        <v>676</v>
      </c>
      <c r="O7917" s="405" t="s">
        <v>1845</v>
      </c>
      <c r="P7917" s="405" t="s">
        <v>2240</v>
      </c>
      <c r="Q7917" s="411">
        <v>9</v>
      </c>
      <c r="R7917" s="405" t="s">
        <v>438</v>
      </c>
      <c r="S7917" s="405" t="s">
        <v>27128</v>
      </c>
      <c r="T7917" s="405" t="s">
        <v>32102</v>
      </c>
      <c r="U7917" s="405" t="s">
        <v>319</v>
      </c>
    </row>
    <row r="7918" spans="1:21" hidden="1" x14ac:dyDescent="0.25">
      <c r="A7918" s="405" t="s">
        <v>310</v>
      </c>
      <c r="B7918" s="405" t="s">
        <v>27923</v>
      </c>
      <c r="C7918" s="405" t="s">
        <v>327</v>
      </c>
      <c r="D7918" s="405"/>
      <c r="E7918" s="410">
        <v>40897</v>
      </c>
      <c r="F7918" s="410">
        <v>40942</v>
      </c>
      <c r="G7918" s="405" t="s">
        <v>2118</v>
      </c>
      <c r="H7918" s="405">
        <v>783095075</v>
      </c>
      <c r="I7918" s="405"/>
      <c r="J7918" s="405">
        <v>0.38723299999999999</v>
      </c>
      <c r="K7918" s="405">
        <v>32.162224999999999</v>
      </c>
      <c r="L7918" s="405" t="s">
        <v>314</v>
      </c>
      <c r="M7918" s="405" t="s">
        <v>675</v>
      </c>
      <c r="N7918" s="405" t="s">
        <v>676</v>
      </c>
      <c r="O7918" s="405" t="s">
        <v>2119</v>
      </c>
      <c r="P7918" s="405" t="s">
        <v>2068</v>
      </c>
      <c r="Q7918" s="411">
        <v>6</v>
      </c>
      <c r="R7918" s="405" t="s">
        <v>438</v>
      </c>
      <c r="S7918" s="405" t="s">
        <v>27128</v>
      </c>
      <c r="T7918" s="405" t="s">
        <v>32102</v>
      </c>
      <c r="U7918" s="405" t="s">
        <v>319</v>
      </c>
    </row>
    <row r="7919" spans="1:21" hidden="1" x14ac:dyDescent="0.25">
      <c r="A7919" s="405" t="s">
        <v>310</v>
      </c>
      <c r="B7919" s="405" t="s">
        <v>11044</v>
      </c>
      <c r="C7919" s="405" t="s">
        <v>327</v>
      </c>
      <c r="D7919" s="405"/>
      <c r="E7919" s="410">
        <v>40897</v>
      </c>
      <c r="F7919" s="410">
        <v>40942</v>
      </c>
      <c r="G7919" s="405" t="s">
        <v>11045</v>
      </c>
      <c r="H7919" s="405">
        <v>772185726</v>
      </c>
      <c r="I7919" s="405"/>
      <c r="J7919" s="405">
        <v>0.79641600000000001</v>
      </c>
      <c r="K7919" s="405">
        <v>33.962074999999999</v>
      </c>
      <c r="L7919" s="405" t="s">
        <v>6866</v>
      </c>
      <c r="M7919" s="405" t="s">
        <v>9534</v>
      </c>
      <c r="N7919" s="405" t="s">
        <v>10085</v>
      </c>
      <c r="O7919" s="405" t="s">
        <v>10922</v>
      </c>
      <c r="P7919" s="405" t="s">
        <v>11046</v>
      </c>
      <c r="Q7919" s="411">
        <v>6</v>
      </c>
      <c r="R7919" s="405" t="s">
        <v>7224</v>
      </c>
      <c r="S7919" s="405" t="s">
        <v>17013</v>
      </c>
      <c r="T7919" s="405" t="s">
        <v>32102</v>
      </c>
      <c r="U7919" s="405" t="s">
        <v>319</v>
      </c>
    </row>
    <row r="7920" spans="1:21" hidden="1" x14ac:dyDescent="0.25">
      <c r="A7920" s="405" t="s">
        <v>310</v>
      </c>
      <c r="B7920" s="405" t="s">
        <v>2793</v>
      </c>
      <c r="C7920" s="405" t="s">
        <v>311</v>
      </c>
      <c r="D7920" s="405" t="s">
        <v>932</v>
      </c>
      <c r="E7920" s="410">
        <v>40897</v>
      </c>
      <c r="F7920" s="410">
        <v>40942</v>
      </c>
      <c r="G7920" s="405" t="s">
        <v>2794</v>
      </c>
      <c r="H7920" s="405">
        <v>774819196</v>
      </c>
      <c r="I7920" s="405">
        <v>782368084</v>
      </c>
      <c r="J7920" s="405">
        <v>0.41346699999999997</v>
      </c>
      <c r="K7920" s="405">
        <v>33.18488</v>
      </c>
      <c r="L7920" s="405" t="s">
        <v>314</v>
      </c>
      <c r="M7920" s="405" t="s">
        <v>349</v>
      </c>
      <c r="N7920" s="405" t="s">
        <v>405</v>
      </c>
      <c r="O7920" s="405" t="s">
        <v>474</v>
      </c>
      <c r="P7920" s="405" t="s">
        <v>2795</v>
      </c>
      <c r="Q7920" s="411">
        <v>6</v>
      </c>
      <c r="R7920" s="405" t="s">
        <v>333</v>
      </c>
      <c r="S7920" s="405" t="s">
        <v>27106</v>
      </c>
      <c r="T7920" s="405" t="s">
        <v>32102</v>
      </c>
      <c r="U7920" s="405" t="s">
        <v>319</v>
      </c>
    </row>
    <row r="7921" spans="1:21" hidden="1" x14ac:dyDescent="0.25">
      <c r="A7921" s="405" t="s">
        <v>310</v>
      </c>
      <c r="B7921" s="405" t="s">
        <v>27812</v>
      </c>
      <c r="C7921" s="405" t="s">
        <v>327</v>
      </c>
      <c r="D7921" s="405"/>
      <c r="E7921" s="410">
        <v>40896</v>
      </c>
      <c r="F7921" s="410">
        <v>40941</v>
      </c>
      <c r="G7921" s="405" t="s">
        <v>2255</v>
      </c>
      <c r="H7921" s="405">
        <v>702526892</v>
      </c>
      <c r="I7921" s="405"/>
      <c r="J7921" s="405">
        <v>0.22003</v>
      </c>
      <c r="K7921" s="405">
        <v>32.335188333333335</v>
      </c>
      <c r="L7921" s="405" t="s">
        <v>314</v>
      </c>
      <c r="M7921" s="405" t="s">
        <v>321</v>
      </c>
      <c r="N7921" s="405" t="s">
        <v>322</v>
      </c>
      <c r="O7921" s="405" t="s">
        <v>2256</v>
      </c>
      <c r="P7921" s="405" t="s">
        <v>2257</v>
      </c>
      <c r="Q7921" s="411">
        <v>6</v>
      </c>
      <c r="R7921" s="405" t="s">
        <v>318</v>
      </c>
      <c r="S7921" s="405" t="s">
        <v>27137</v>
      </c>
      <c r="T7921" s="405" t="s">
        <v>32102</v>
      </c>
      <c r="U7921" s="405" t="s">
        <v>319</v>
      </c>
    </row>
    <row r="7922" spans="1:21" hidden="1" x14ac:dyDescent="0.25">
      <c r="A7922" s="405" t="s">
        <v>310</v>
      </c>
      <c r="B7922" s="405" t="s">
        <v>28179</v>
      </c>
      <c r="C7922" s="405" t="s">
        <v>327</v>
      </c>
      <c r="D7922" s="405"/>
      <c r="E7922" s="410">
        <v>40896</v>
      </c>
      <c r="F7922" s="410">
        <v>40941</v>
      </c>
      <c r="G7922" s="405" t="s">
        <v>11038</v>
      </c>
      <c r="H7922" s="405">
        <v>759946632</v>
      </c>
      <c r="I7922" s="405"/>
      <c r="J7922" s="405">
        <v>0.78074900000000003</v>
      </c>
      <c r="K7922" s="405">
        <v>33.937392000000003</v>
      </c>
      <c r="L7922" s="405" t="s">
        <v>6866</v>
      </c>
      <c r="M7922" s="405" t="s">
        <v>9534</v>
      </c>
      <c r="N7922" s="405" t="s">
        <v>10085</v>
      </c>
      <c r="O7922" s="405" t="s">
        <v>10922</v>
      </c>
      <c r="P7922" s="405" t="s">
        <v>10922</v>
      </c>
      <c r="Q7922" s="411">
        <v>6</v>
      </c>
      <c r="R7922" s="405" t="s">
        <v>7224</v>
      </c>
      <c r="S7922" s="405" t="s">
        <v>27197</v>
      </c>
      <c r="T7922" s="405" t="s">
        <v>32102</v>
      </c>
      <c r="U7922" s="405" t="s">
        <v>319</v>
      </c>
    </row>
    <row r="7923" spans="1:21" hidden="1" x14ac:dyDescent="0.25">
      <c r="A7923" s="405" t="s">
        <v>310</v>
      </c>
      <c r="B7923" s="405" t="s">
        <v>2211</v>
      </c>
      <c r="C7923" s="405" t="s">
        <v>327</v>
      </c>
      <c r="D7923" s="405"/>
      <c r="E7923" s="410">
        <v>40896</v>
      </c>
      <c r="F7923" s="410">
        <v>40941</v>
      </c>
      <c r="G7923" s="405" t="s">
        <v>2212</v>
      </c>
      <c r="H7923" s="405">
        <v>774029348</v>
      </c>
      <c r="I7923" s="405"/>
      <c r="J7923" s="405">
        <v>0.68777200000000005</v>
      </c>
      <c r="K7923" s="405">
        <v>31.831064999999999</v>
      </c>
      <c r="L7923" s="405" t="s">
        <v>314</v>
      </c>
      <c r="M7923" s="405" t="s">
        <v>445</v>
      </c>
      <c r="N7923" s="405" t="s">
        <v>570</v>
      </c>
      <c r="O7923" s="405" t="s">
        <v>2213</v>
      </c>
      <c r="P7923" s="405" t="s">
        <v>2214</v>
      </c>
      <c r="Q7923" s="411">
        <v>6</v>
      </c>
      <c r="R7923" s="405" t="s">
        <v>318</v>
      </c>
      <c r="S7923" s="405" t="s">
        <v>27113</v>
      </c>
      <c r="T7923" s="405" t="s">
        <v>32102</v>
      </c>
      <c r="U7923" s="405" t="s">
        <v>319</v>
      </c>
    </row>
    <row r="7924" spans="1:21" hidden="1" x14ac:dyDescent="0.25">
      <c r="A7924" s="405" t="s">
        <v>310</v>
      </c>
      <c r="B7924" s="405" t="s">
        <v>11115</v>
      </c>
      <c r="C7924" s="405" t="s">
        <v>327</v>
      </c>
      <c r="D7924" s="405"/>
      <c r="E7924" s="410">
        <v>40896</v>
      </c>
      <c r="F7924" s="410">
        <v>40941</v>
      </c>
      <c r="G7924" s="405" t="s">
        <v>11116</v>
      </c>
      <c r="H7924" s="405">
        <v>778186693</v>
      </c>
      <c r="I7924" s="405"/>
      <c r="J7924" s="405">
        <v>0.60212100000000002</v>
      </c>
      <c r="K7924" s="405">
        <v>33.965418</v>
      </c>
      <c r="L7924" s="405" t="s">
        <v>6866</v>
      </c>
      <c r="M7924" s="405" t="s">
        <v>9534</v>
      </c>
      <c r="N7924" s="405" t="s">
        <v>10113</v>
      </c>
      <c r="O7924" s="405" t="s">
        <v>10248</v>
      </c>
      <c r="P7924" s="405" t="s">
        <v>11117</v>
      </c>
      <c r="Q7924" s="411">
        <v>6</v>
      </c>
      <c r="R7924" s="405" t="s">
        <v>9541</v>
      </c>
      <c r="S7924" s="405" t="s">
        <v>27306</v>
      </c>
      <c r="T7924" s="405" t="s">
        <v>32102</v>
      </c>
      <c r="U7924" s="405" t="s">
        <v>319</v>
      </c>
    </row>
    <row r="7925" spans="1:21" hidden="1" x14ac:dyDescent="0.25">
      <c r="A7925" s="405" t="s">
        <v>310</v>
      </c>
      <c r="B7925" s="405" t="s">
        <v>2243</v>
      </c>
      <c r="C7925" s="405" t="s">
        <v>327</v>
      </c>
      <c r="D7925" s="405"/>
      <c r="E7925" s="410">
        <v>40895</v>
      </c>
      <c r="F7925" s="410">
        <v>40940</v>
      </c>
      <c r="G7925" s="405" t="s">
        <v>2244</v>
      </c>
      <c r="H7925" s="405">
        <v>782043174</v>
      </c>
      <c r="I7925" s="405"/>
      <c r="J7925" s="405">
        <v>0.31023499999999998</v>
      </c>
      <c r="K7925" s="405">
        <v>33.033284999999999</v>
      </c>
      <c r="L7925" s="405" t="s">
        <v>314</v>
      </c>
      <c r="M7925" s="405" t="s">
        <v>349</v>
      </c>
      <c r="N7925" s="405" t="s">
        <v>473</v>
      </c>
      <c r="O7925" s="405" t="s">
        <v>349</v>
      </c>
      <c r="P7925" s="405" t="s">
        <v>2245</v>
      </c>
      <c r="Q7925" s="411">
        <v>6</v>
      </c>
      <c r="R7925" s="405" t="s">
        <v>318</v>
      </c>
      <c r="S7925" s="405" t="s">
        <v>414</v>
      </c>
      <c r="T7925" s="405" t="s">
        <v>32102</v>
      </c>
      <c r="U7925" s="405" t="s">
        <v>319</v>
      </c>
    </row>
    <row r="7926" spans="1:21" hidden="1" x14ac:dyDescent="0.25">
      <c r="A7926" s="405" t="s">
        <v>310</v>
      </c>
      <c r="B7926" s="405" t="s">
        <v>2625</v>
      </c>
      <c r="C7926" s="405" t="s">
        <v>311</v>
      </c>
      <c r="D7926" s="405" t="s">
        <v>839</v>
      </c>
      <c r="E7926" s="410">
        <v>40894</v>
      </c>
      <c r="F7926" s="410">
        <v>40939</v>
      </c>
      <c r="G7926" s="405" t="s">
        <v>2626</v>
      </c>
      <c r="H7926" s="405">
        <v>778272031</v>
      </c>
      <c r="I7926" s="405"/>
      <c r="J7926" s="405">
        <v>0.25988299999999998</v>
      </c>
      <c r="K7926" s="405">
        <v>31.968959999999999</v>
      </c>
      <c r="L7926" s="405" t="s">
        <v>314</v>
      </c>
      <c r="M7926" s="405" t="s">
        <v>675</v>
      </c>
      <c r="N7926" s="405" t="s">
        <v>676</v>
      </c>
      <c r="O7926" s="405" t="s">
        <v>1589</v>
      </c>
      <c r="P7926" s="405" t="s">
        <v>1589</v>
      </c>
      <c r="Q7926" s="411">
        <v>9</v>
      </c>
      <c r="R7926" s="405" t="s">
        <v>438</v>
      </c>
      <c r="S7926" s="405" t="s">
        <v>27128</v>
      </c>
      <c r="T7926" s="405" t="s">
        <v>32102</v>
      </c>
      <c r="U7926" s="405" t="s">
        <v>319</v>
      </c>
    </row>
    <row r="7927" spans="1:21" hidden="1" x14ac:dyDescent="0.25">
      <c r="A7927" s="405" t="s">
        <v>310</v>
      </c>
      <c r="B7927" s="405" t="s">
        <v>27802</v>
      </c>
      <c r="C7927" s="405" t="s">
        <v>327</v>
      </c>
      <c r="D7927" s="405"/>
      <c r="E7927" s="410">
        <v>40892</v>
      </c>
      <c r="F7927" s="410">
        <v>40937</v>
      </c>
      <c r="G7927" s="405" t="s">
        <v>20363</v>
      </c>
      <c r="H7927" s="405">
        <v>752777318</v>
      </c>
      <c r="I7927" s="405">
        <v>782777318</v>
      </c>
      <c r="J7927" s="405">
        <v>-0.78356800000000004</v>
      </c>
      <c r="K7927" s="405">
        <v>30.180465000000002</v>
      </c>
      <c r="L7927" s="405" t="s">
        <v>590</v>
      </c>
      <c r="M7927" s="405" t="s">
        <v>19659</v>
      </c>
      <c r="N7927" s="405" t="s">
        <v>19604</v>
      </c>
      <c r="O7927" s="405" t="s">
        <v>20263</v>
      </c>
      <c r="P7927" s="405" t="s">
        <v>20364</v>
      </c>
      <c r="Q7927" s="411">
        <v>12</v>
      </c>
      <c r="R7927" s="405" t="s">
        <v>967</v>
      </c>
      <c r="S7927" s="405" t="s">
        <v>27393</v>
      </c>
      <c r="T7927" s="405" t="s">
        <v>32102</v>
      </c>
      <c r="U7927" s="405" t="s">
        <v>319</v>
      </c>
    </row>
    <row r="7928" spans="1:21" hidden="1" x14ac:dyDescent="0.25">
      <c r="A7928" s="405" t="s">
        <v>310</v>
      </c>
      <c r="B7928" s="405" t="s">
        <v>28683</v>
      </c>
      <c r="C7928" s="405" t="s">
        <v>327</v>
      </c>
      <c r="D7928" s="405"/>
      <c r="E7928" s="410">
        <v>40892</v>
      </c>
      <c r="F7928" s="410">
        <v>40937</v>
      </c>
      <c r="G7928" s="405" t="s">
        <v>10924</v>
      </c>
      <c r="H7928" s="405">
        <v>778939156</v>
      </c>
      <c r="I7928" s="405"/>
      <c r="J7928" s="405">
        <v>0.81512300000000004</v>
      </c>
      <c r="K7928" s="405">
        <v>33.975124999999998</v>
      </c>
      <c r="L7928" s="405" t="s">
        <v>6866</v>
      </c>
      <c r="M7928" s="405" t="s">
        <v>9534</v>
      </c>
      <c r="N7928" s="405" t="s">
        <v>10085</v>
      </c>
      <c r="O7928" s="405" t="s">
        <v>10922</v>
      </c>
      <c r="P7928" s="405" t="s">
        <v>10925</v>
      </c>
      <c r="Q7928" s="411">
        <v>6</v>
      </c>
      <c r="R7928" s="405" t="s">
        <v>7224</v>
      </c>
      <c r="S7928" s="405" t="s">
        <v>27298</v>
      </c>
      <c r="T7928" s="405" t="s">
        <v>32102</v>
      </c>
      <c r="U7928" s="405" t="s">
        <v>319</v>
      </c>
    </row>
    <row r="7929" spans="1:21" hidden="1" x14ac:dyDescent="0.25">
      <c r="A7929" s="405" t="s">
        <v>310</v>
      </c>
      <c r="B7929" s="405" t="s">
        <v>2100</v>
      </c>
      <c r="C7929" s="405" t="s">
        <v>327</v>
      </c>
      <c r="D7929" s="405"/>
      <c r="E7929" s="410">
        <v>40892</v>
      </c>
      <c r="F7929" s="410">
        <v>40937</v>
      </c>
      <c r="G7929" s="405" t="s">
        <v>2101</v>
      </c>
      <c r="H7929" s="405">
        <v>773479752</v>
      </c>
      <c r="I7929" s="405"/>
      <c r="J7929" s="405">
        <v>0.57830300000000001</v>
      </c>
      <c r="K7929" s="405">
        <v>32.125377</v>
      </c>
      <c r="L7929" s="405" t="s">
        <v>314</v>
      </c>
      <c r="M7929" s="405" t="s">
        <v>445</v>
      </c>
      <c r="N7929" s="405" t="s">
        <v>675</v>
      </c>
      <c r="O7929" s="405" t="s">
        <v>1608</v>
      </c>
      <c r="P7929" s="405" t="s">
        <v>1891</v>
      </c>
      <c r="Q7929" s="411">
        <v>6</v>
      </c>
      <c r="R7929" s="405" t="s">
        <v>318</v>
      </c>
      <c r="S7929" s="405" t="s">
        <v>27149</v>
      </c>
      <c r="T7929" s="405" t="s">
        <v>32102</v>
      </c>
      <c r="U7929" s="405" t="s">
        <v>319</v>
      </c>
    </row>
    <row r="7930" spans="1:21" hidden="1" x14ac:dyDescent="0.25">
      <c r="A7930" s="405" t="s">
        <v>310</v>
      </c>
      <c r="B7930" s="405" t="s">
        <v>11006</v>
      </c>
      <c r="C7930" s="405" t="s">
        <v>327</v>
      </c>
      <c r="D7930" s="405"/>
      <c r="E7930" s="410">
        <v>40892</v>
      </c>
      <c r="F7930" s="410">
        <v>40937</v>
      </c>
      <c r="G7930" s="405" t="s">
        <v>11007</v>
      </c>
      <c r="H7930" s="405">
        <v>772440359</v>
      </c>
      <c r="I7930" s="405"/>
      <c r="J7930" s="405">
        <v>0.81145699999999998</v>
      </c>
      <c r="K7930" s="405">
        <v>34.387428999999997</v>
      </c>
      <c r="L7930" s="405" t="s">
        <v>6866</v>
      </c>
      <c r="M7930" s="405" t="s">
        <v>9763</v>
      </c>
      <c r="N7930" s="405" t="s">
        <v>9848</v>
      </c>
      <c r="O7930" s="405" t="s">
        <v>11008</v>
      </c>
      <c r="P7930" s="405" t="s">
        <v>11009</v>
      </c>
      <c r="Q7930" s="411">
        <v>6</v>
      </c>
      <c r="R7930" s="405" t="s">
        <v>333</v>
      </c>
      <c r="S7930" s="405" t="s">
        <v>27190</v>
      </c>
      <c r="T7930" s="405" t="s">
        <v>32102</v>
      </c>
      <c r="U7930" s="405" t="s">
        <v>319</v>
      </c>
    </row>
    <row r="7931" spans="1:21" hidden="1" x14ac:dyDescent="0.25">
      <c r="A7931" s="405" t="s">
        <v>310</v>
      </c>
      <c r="B7931" s="405" t="s">
        <v>10973</v>
      </c>
      <c r="C7931" s="405" t="s">
        <v>327</v>
      </c>
      <c r="D7931" s="405"/>
      <c r="E7931" s="410">
        <v>40892</v>
      </c>
      <c r="F7931" s="410">
        <v>40937</v>
      </c>
      <c r="G7931" s="405" t="s">
        <v>10974</v>
      </c>
      <c r="H7931" s="405">
        <v>753279808</v>
      </c>
      <c r="I7931" s="405"/>
      <c r="J7931" s="405">
        <v>1.259099</v>
      </c>
      <c r="K7931" s="405">
        <v>34.719625000000001</v>
      </c>
      <c r="L7931" s="405" t="s">
        <v>6866</v>
      </c>
      <c r="M7931" s="405" t="s">
        <v>10163</v>
      </c>
      <c r="N7931" s="405" t="s">
        <v>10164</v>
      </c>
      <c r="O7931" s="405" t="s">
        <v>10975</v>
      </c>
      <c r="P7931" s="405" t="s">
        <v>10976</v>
      </c>
      <c r="Q7931" s="411">
        <v>6</v>
      </c>
      <c r="R7931" s="405" t="s">
        <v>9506</v>
      </c>
      <c r="S7931" s="405" t="s">
        <v>27318</v>
      </c>
      <c r="T7931" s="405" t="s">
        <v>32102</v>
      </c>
      <c r="U7931" s="405" t="s">
        <v>319</v>
      </c>
    </row>
    <row r="7932" spans="1:21" hidden="1" x14ac:dyDescent="0.25">
      <c r="A7932" s="405" t="s">
        <v>310</v>
      </c>
      <c r="B7932" s="405" t="s">
        <v>10944</v>
      </c>
      <c r="C7932" s="405" t="s">
        <v>327</v>
      </c>
      <c r="D7932" s="405"/>
      <c r="E7932" s="410">
        <v>40892</v>
      </c>
      <c r="F7932" s="410">
        <v>40937</v>
      </c>
      <c r="G7932" s="405" t="s">
        <v>10945</v>
      </c>
      <c r="H7932" s="405">
        <v>754612585</v>
      </c>
      <c r="I7932" s="405"/>
      <c r="J7932" s="405">
        <v>1.5055769999999999</v>
      </c>
      <c r="K7932" s="405">
        <v>33.460847000000001</v>
      </c>
      <c r="L7932" s="405" t="s">
        <v>6866</v>
      </c>
      <c r="M7932" s="405" t="s">
        <v>9658</v>
      </c>
      <c r="N7932" s="405" t="s">
        <v>9658</v>
      </c>
      <c r="O7932" s="405" t="s">
        <v>9659</v>
      </c>
      <c r="P7932" s="405" t="s">
        <v>10500</v>
      </c>
      <c r="Q7932" s="411">
        <v>6</v>
      </c>
      <c r="R7932" s="405" t="s">
        <v>10642</v>
      </c>
      <c r="S7932" s="405" t="s">
        <v>27324</v>
      </c>
      <c r="T7932" s="405" t="s">
        <v>32102</v>
      </c>
      <c r="U7932" s="405" t="s">
        <v>319</v>
      </c>
    </row>
    <row r="7933" spans="1:21" hidden="1" x14ac:dyDescent="0.25">
      <c r="A7933" s="405" t="s">
        <v>310</v>
      </c>
      <c r="B7933" s="405" t="s">
        <v>11003</v>
      </c>
      <c r="C7933" s="405" t="s">
        <v>327</v>
      </c>
      <c r="D7933" s="405"/>
      <c r="E7933" s="410">
        <v>40892</v>
      </c>
      <c r="F7933" s="410">
        <v>40937</v>
      </c>
      <c r="G7933" s="405" t="s">
        <v>11004</v>
      </c>
      <c r="H7933" s="405">
        <v>775714646</v>
      </c>
      <c r="I7933" s="405"/>
      <c r="J7933" s="405">
        <v>0.60203099999999998</v>
      </c>
      <c r="K7933" s="405">
        <v>34.012965999999999</v>
      </c>
      <c r="L7933" s="405" t="s">
        <v>6866</v>
      </c>
      <c r="M7933" s="405" t="s">
        <v>9534</v>
      </c>
      <c r="N7933" s="405" t="s">
        <v>10113</v>
      </c>
      <c r="O7933" s="405" t="s">
        <v>10248</v>
      </c>
      <c r="P7933" s="405" t="s">
        <v>11005</v>
      </c>
      <c r="Q7933" s="411">
        <v>6</v>
      </c>
      <c r="R7933" s="405" t="s">
        <v>9541</v>
      </c>
      <c r="S7933" s="405" t="s">
        <v>27314</v>
      </c>
      <c r="T7933" s="405" t="s">
        <v>32102</v>
      </c>
      <c r="U7933" s="405" t="s">
        <v>319</v>
      </c>
    </row>
    <row r="7934" spans="1:21" hidden="1" x14ac:dyDescent="0.25">
      <c r="A7934" s="405" t="s">
        <v>310</v>
      </c>
      <c r="B7934" s="405" t="s">
        <v>2112</v>
      </c>
      <c r="C7934" s="405" t="s">
        <v>327</v>
      </c>
      <c r="D7934" s="405"/>
      <c r="E7934" s="410">
        <v>40891</v>
      </c>
      <c r="F7934" s="410">
        <v>40936</v>
      </c>
      <c r="G7934" s="405" t="s">
        <v>2113</v>
      </c>
      <c r="H7934" s="405">
        <v>783183260</v>
      </c>
      <c r="I7934" s="405"/>
      <c r="J7934" s="405">
        <v>0.40728700000000001</v>
      </c>
      <c r="K7934" s="405">
        <v>32.647534999999998</v>
      </c>
      <c r="L7934" s="405" t="s">
        <v>314</v>
      </c>
      <c r="M7934" s="405" t="s">
        <v>361</v>
      </c>
      <c r="N7934" s="405" t="s">
        <v>362</v>
      </c>
      <c r="O7934" s="405" t="s">
        <v>363</v>
      </c>
      <c r="P7934" s="405" t="s">
        <v>2114</v>
      </c>
      <c r="Q7934" s="411">
        <v>9</v>
      </c>
      <c r="R7934" s="405" t="s">
        <v>318</v>
      </c>
      <c r="S7934" s="405" t="s">
        <v>27174</v>
      </c>
      <c r="T7934" s="405" t="s">
        <v>32102</v>
      </c>
      <c r="U7934" s="405" t="s">
        <v>319</v>
      </c>
    </row>
    <row r="7935" spans="1:21" hidden="1" x14ac:dyDescent="0.25">
      <c r="A7935" s="405" t="s">
        <v>310</v>
      </c>
      <c r="B7935" s="405" t="s">
        <v>28807</v>
      </c>
      <c r="C7935" s="405" t="s">
        <v>327</v>
      </c>
      <c r="D7935" s="405"/>
      <c r="E7935" s="410">
        <v>40891</v>
      </c>
      <c r="F7935" s="410">
        <v>40936</v>
      </c>
      <c r="G7935" s="405" t="s">
        <v>10946</v>
      </c>
      <c r="H7935" s="405">
        <v>772932782</v>
      </c>
      <c r="I7935" s="405"/>
      <c r="J7935" s="405">
        <v>0.59614699999999998</v>
      </c>
      <c r="K7935" s="405">
        <v>33.974663</v>
      </c>
      <c r="L7935" s="405" t="s">
        <v>6866</v>
      </c>
      <c r="M7935" s="405" t="s">
        <v>9534</v>
      </c>
      <c r="N7935" s="405" t="s">
        <v>9997</v>
      </c>
      <c r="O7935" s="405" t="s">
        <v>10248</v>
      </c>
      <c r="P7935" s="405" t="s">
        <v>10947</v>
      </c>
      <c r="Q7935" s="411">
        <v>6</v>
      </c>
      <c r="R7935" s="405" t="s">
        <v>9541</v>
      </c>
      <c r="S7935" s="405" t="s">
        <v>27302</v>
      </c>
      <c r="T7935" s="405" t="s">
        <v>32102</v>
      </c>
      <c r="U7935" s="405" t="s">
        <v>319</v>
      </c>
    </row>
    <row r="7936" spans="1:21" hidden="1" x14ac:dyDescent="0.25">
      <c r="A7936" s="405" t="s">
        <v>310</v>
      </c>
      <c r="B7936" s="405" t="s">
        <v>28806</v>
      </c>
      <c r="C7936" s="405" t="s">
        <v>311</v>
      </c>
      <c r="D7936" s="405" t="s">
        <v>839</v>
      </c>
      <c r="E7936" s="410">
        <v>40890</v>
      </c>
      <c r="F7936" s="410">
        <v>40935</v>
      </c>
      <c r="G7936" s="405" t="s">
        <v>11337</v>
      </c>
      <c r="H7936" s="405">
        <v>777527533</v>
      </c>
      <c r="I7936" s="405"/>
      <c r="J7936" s="405">
        <v>0.674064</v>
      </c>
      <c r="K7936" s="405">
        <v>33.947823</v>
      </c>
      <c r="L7936" s="405" t="s">
        <v>6866</v>
      </c>
      <c r="M7936" s="405" t="s">
        <v>9534</v>
      </c>
      <c r="N7936" s="405" t="s">
        <v>9997</v>
      </c>
      <c r="O7936" s="405" t="s">
        <v>10918</v>
      </c>
      <c r="P7936" s="405" t="s">
        <v>10919</v>
      </c>
      <c r="Q7936" s="411">
        <v>6</v>
      </c>
      <c r="R7936" s="405" t="s">
        <v>7224</v>
      </c>
      <c r="S7936" s="405" t="s">
        <v>27259</v>
      </c>
      <c r="T7936" s="405" t="s">
        <v>32102</v>
      </c>
      <c r="U7936" s="405" t="s">
        <v>319</v>
      </c>
    </row>
    <row r="7937" spans="1:21" hidden="1" x14ac:dyDescent="0.25">
      <c r="A7937" s="405" t="s">
        <v>310</v>
      </c>
      <c r="B7937" s="405" t="s">
        <v>28330</v>
      </c>
      <c r="C7937" s="405" t="s">
        <v>327</v>
      </c>
      <c r="D7937" s="405"/>
      <c r="E7937" s="410">
        <v>40888</v>
      </c>
      <c r="F7937" s="410">
        <v>40933</v>
      </c>
      <c r="G7937" s="405" t="s">
        <v>2066</v>
      </c>
      <c r="H7937" s="405">
        <v>772328464</v>
      </c>
      <c r="I7937" s="405"/>
      <c r="J7937" s="405">
        <v>0.39038699999999998</v>
      </c>
      <c r="K7937" s="405">
        <v>32.160297</v>
      </c>
      <c r="L7937" s="405" t="s">
        <v>314</v>
      </c>
      <c r="M7937" s="405" t="s">
        <v>675</v>
      </c>
      <c r="N7937" s="405" t="s">
        <v>676</v>
      </c>
      <c r="O7937" s="405" t="s">
        <v>2067</v>
      </c>
      <c r="P7937" s="405" t="s">
        <v>2068</v>
      </c>
      <c r="Q7937" s="411">
        <v>6</v>
      </c>
      <c r="R7937" s="405" t="s">
        <v>438</v>
      </c>
      <c r="S7937" s="405" t="s">
        <v>27131</v>
      </c>
      <c r="T7937" s="405" t="s">
        <v>32102</v>
      </c>
      <c r="U7937" s="405" t="s">
        <v>319</v>
      </c>
    </row>
    <row r="7938" spans="1:21" hidden="1" x14ac:dyDescent="0.25">
      <c r="A7938" s="405" t="s">
        <v>310</v>
      </c>
      <c r="B7938" s="405" t="s">
        <v>10932</v>
      </c>
      <c r="C7938" s="405" t="s">
        <v>327</v>
      </c>
      <c r="D7938" s="405"/>
      <c r="E7938" s="410">
        <v>40888</v>
      </c>
      <c r="F7938" s="410">
        <v>40933</v>
      </c>
      <c r="G7938" s="405" t="s">
        <v>10933</v>
      </c>
      <c r="H7938" s="405">
        <v>759946632</v>
      </c>
      <c r="I7938" s="405"/>
      <c r="J7938" s="405">
        <v>0.77826799999999996</v>
      </c>
      <c r="K7938" s="405">
        <v>33.941063</v>
      </c>
      <c r="L7938" s="405" t="s">
        <v>6866</v>
      </c>
      <c r="M7938" s="405" t="s">
        <v>9534</v>
      </c>
      <c r="N7938" s="405" t="s">
        <v>10085</v>
      </c>
      <c r="O7938" s="405" t="s">
        <v>10922</v>
      </c>
      <c r="P7938" s="405" t="s">
        <v>10922</v>
      </c>
      <c r="Q7938" s="411">
        <v>6</v>
      </c>
      <c r="R7938" s="405" t="s">
        <v>7224</v>
      </c>
      <c r="S7938" s="405" t="s">
        <v>27204</v>
      </c>
      <c r="T7938" s="405" t="s">
        <v>32102</v>
      </c>
      <c r="U7938" s="405" t="s">
        <v>319</v>
      </c>
    </row>
    <row r="7939" spans="1:21" hidden="1" x14ac:dyDescent="0.25">
      <c r="A7939" s="405" t="s">
        <v>310</v>
      </c>
      <c r="B7939" s="405" t="s">
        <v>27818</v>
      </c>
      <c r="C7939" s="405" t="s">
        <v>327</v>
      </c>
      <c r="D7939" s="405"/>
      <c r="E7939" s="410">
        <v>40887</v>
      </c>
      <c r="F7939" s="410">
        <v>40932</v>
      </c>
      <c r="G7939" s="405" t="s">
        <v>2645</v>
      </c>
      <c r="H7939" s="405">
        <v>752271088</v>
      </c>
      <c r="I7939" s="405"/>
      <c r="J7939" s="405">
        <v>0.20139666666666667</v>
      </c>
      <c r="K7939" s="405">
        <v>32.312888333333333</v>
      </c>
      <c r="L7939" s="405" t="s">
        <v>314</v>
      </c>
      <c r="M7939" s="405" t="s">
        <v>321</v>
      </c>
      <c r="N7939" s="405" t="s">
        <v>322</v>
      </c>
      <c r="O7939" s="405" t="s">
        <v>996</v>
      </c>
      <c r="P7939" s="405" t="s">
        <v>961</v>
      </c>
      <c r="Q7939" s="411">
        <v>6</v>
      </c>
      <c r="R7939" s="405" t="s">
        <v>567</v>
      </c>
      <c r="S7939" s="405" t="s">
        <v>27146</v>
      </c>
      <c r="T7939" s="405" t="s">
        <v>32102</v>
      </c>
      <c r="U7939" s="405" t="s">
        <v>319</v>
      </c>
    </row>
    <row r="7940" spans="1:21" hidden="1" x14ac:dyDescent="0.25">
      <c r="A7940" s="405" t="s">
        <v>310</v>
      </c>
      <c r="B7940" s="405" t="s">
        <v>10977</v>
      </c>
      <c r="C7940" s="405" t="s">
        <v>327</v>
      </c>
      <c r="D7940" s="405"/>
      <c r="E7940" s="410">
        <v>40887</v>
      </c>
      <c r="F7940" s="410">
        <v>40932</v>
      </c>
      <c r="G7940" s="405" t="s">
        <v>10978</v>
      </c>
      <c r="H7940" s="405">
        <v>772606563</v>
      </c>
      <c r="I7940" s="405"/>
      <c r="J7940" s="405">
        <v>1.269539</v>
      </c>
      <c r="K7940" s="405">
        <v>34.742806999999999</v>
      </c>
      <c r="L7940" s="405" t="s">
        <v>6866</v>
      </c>
      <c r="M7940" s="405" t="s">
        <v>10163</v>
      </c>
      <c r="N7940" s="405" t="s">
        <v>10164</v>
      </c>
      <c r="O7940" s="405" t="s">
        <v>10163</v>
      </c>
      <c r="P7940" s="405" t="s">
        <v>10979</v>
      </c>
      <c r="Q7940" s="411">
        <v>6</v>
      </c>
      <c r="R7940" s="405" t="s">
        <v>9506</v>
      </c>
      <c r="S7940" s="405" t="s">
        <v>27332</v>
      </c>
      <c r="T7940" s="405" t="s">
        <v>32102</v>
      </c>
      <c r="U7940" s="405" t="s">
        <v>319</v>
      </c>
    </row>
    <row r="7941" spans="1:21" hidden="1" x14ac:dyDescent="0.25">
      <c r="A7941" s="405" t="s">
        <v>310</v>
      </c>
      <c r="B7941" s="405" t="s">
        <v>11000</v>
      </c>
      <c r="C7941" s="405" t="s">
        <v>327</v>
      </c>
      <c r="D7941" s="405"/>
      <c r="E7941" s="410">
        <v>40887</v>
      </c>
      <c r="F7941" s="410">
        <v>40932</v>
      </c>
      <c r="G7941" s="405" t="s">
        <v>11001</v>
      </c>
      <c r="H7941" s="405">
        <v>773406205</v>
      </c>
      <c r="I7941" s="405"/>
      <c r="J7941" s="405">
        <v>0.59062599999999998</v>
      </c>
      <c r="K7941" s="405">
        <v>34.015625999999997</v>
      </c>
      <c r="L7941" s="405" t="s">
        <v>6866</v>
      </c>
      <c r="M7941" s="405" t="s">
        <v>9534</v>
      </c>
      <c r="N7941" s="405" t="s">
        <v>10113</v>
      </c>
      <c r="O7941" s="405" t="s">
        <v>10248</v>
      </c>
      <c r="P7941" s="405" t="s">
        <v>11002</v>
      </c>
      <c r="Q7941" s="411">
        <v>6</v>
      </c>
      <c r="R7941" s="405" t="s">
        <v>9541</v>
      </c>
      <c r="S7941" s="405" t="s">
        <v>27294</v>
      </c>
      <c r="T7941" s="405" t="s">
        <v>32102</v>
      </c>
      <c r="U7941" s="405" t="s">
        <v>319</v>
      </c>
    </row>
    <row r="7942" spans="1:21" hidden="1" x14ac:dyDescent="0.25">
      <c r="A7942" s="405" t="s">
        <v>310</v>
      </c>
      <c r="B7942" s="405" t="s">
        <v>2102</v>
      </c>
      <c r="C7942" s="405" t="s">
        <v>327</v>
      </c>
      <c r="D7942" s="405"/>
      <c r="E7942" s="410">
        <v>40886</v>
      </c>
      <c r="F7942" s="410">
        <v>40931</v>
      </c>
      <c r="G7942" s="405" t="s">
        <v>2103</v>
      </c>
      <c r="H7942" s="405">
        <v>772668993</v>
      </c>
      <c r="I7942" s="405">
        <v>702668993</v>
      </c>
      <c r="J7942" s="405">
        <v>0.41262300000000002</v>
      </c>
      <c r="K7942" s="405">
        <v>32.043754999999997</v>
      </c>
      <c r="L7942" s="405" t="s">
        <v>314</v>
      </c>
      <c r="M7942" s="405" t="s">
        <v>675</v>
      </c>
      <c r="N7942" s="405" t="s">
        <v>675</v>
      </c>
      <c r="O7942" s="405" t="s">
        <v>1134</v>
      </c>
      <c r="P7942" s="405" t="s">
        <v>2104</v>
      </c>
      <c r="Q7942" s="411">
        <v>12</v>
      </c>
      <c r="R7942" s="405" t="s">
        <v>353</v>
      </c>
      <c r="S7942" s="405" t="s">
        <v>27051</v>
      </c>
      <c r="T7942" s="405" t="s">
        <v>32102</v>
      </c>
      <c r="U7942" s="405" t="s">
        <v>319</v>
      </c>
    </row>
    <row r="7943" spans="1:21" hidden="1" x14ac:dyDescent="0.25">
      <c r="A7943" s="405" t="s">
        <v>310</v>
      </c>
      <c r="B7943" s="405" t="s">
        <v>28802</v>
      </c>
      <c r="C7943" s="405" t="s">
        <v>327</v>
      </c>
      <c r="D7943" s="405"/>
      <c r="E7943" s="410">
        <v>40886</v>
      </c>
      <c r="F7943" s="410">
        <v>40931</v>
      </c>
      <c r="G7943" s="405" t="s">
        <v>10917</v>
      </c>
      <c r="H7943" s="405">
        <v>772286577</v>
      </c>
      <c r="I7943" s="405"/>
      <c r="J7943" s="405">
        <v>0.67162900000000003</v>
      </c>
      <c r="K7943" s="405">
        <v>33.958888999999999</v>
      </c>
      <c r="L7943" s="405" t="s">
        <v>6866</v>
      </c>
      <c r="M7943" s="405" t="s">
        <v>9534</v>
      </c>
      <c r="N7943" s="405" t="s">
        <v>9997</v>
      </c>
      <c r="O7943" s="405" t="s">
        <v>10918</v>
      </c>
      <c r="P7943" s="405" t="s">
        <v>10919</v>
      </c>
      <c r="Q7943" s="411">
        <v>6</v>
      </c>
      <c r="R7943" s="405" t="s">
        <v>7224</v>
      </c>
      <c r="S7943" s="405" t="s">
        <v>27304</v>
      </c>
      <c r="T7943" s="405" t="s">
        <v>32102</v>
      </c>
      <c r="U7943" s="405" t="s">
        <v>319</v>
      </c>
    </row>
    <row r="7944" spans="1:21" hidden="1" x14ac:dyDescent="0.25">
      <c r="A7944" s="405" t="s">
        <v>310</v>
      </c>
      <c r="B7944" s="405" t="s">
        <v>18276</v>
      </c>
      <c r="C7944" s="405" t="s">
        <v>327</v>
      </c>
      <c r="D7944" s="405"/>
      <c r="E7944" s="410">
        <v>40886</v>
      </c>
      <c r="F7944" s="410">
        <v>40931</v>
      </c>
      <c r="G7944" s="405" t="s">
        <v>18277</v>
      </c>
      <c r="H7944" s="405">
        <v>718914351</v>
      </c>
      <c r="I7944" s="405">
        <v>711571083</v>
      </c>
      <c r="J7944" s="405">
        <v>2.75657</v>
      </c>
      <c r="K7944" s="405">
        <v>32.312663000000001</v>
      </c>
      <c r="L7944" s="405" t="s">
        <v>860</v>
      </c>
      <c r="M7944" s="405" t="s">
        <v>853</v>
      </c>
      <c r="N7944" s="405" t="s">
        <v>18246</v>
      </c>
      <c r="O7944" s="405" t="s">
        <v>18278</v>
      </c>
      <c r="P7944" s="405" t="s">
        <v>18279</v>
      </c>
      <c r="Q7944" s="411">
        <v>6</v>
      </c>
      <c r="R7944" s="405" t="s">
        <v>333</v>
      </c>
      <c r="S7944" s="405" t="s">
        <v>27306</v>
      </c>
      <c r="T7944" s="405" t="s">
        <v>32102</v>
      </c>
      <c r="U7944" s="405" t="s">
        <v>319</v>
      </c>
    </row>
    <row r="7945" spans="1:21" hidden="1" x14ac:dyDescent="0.25">
      <c r="A7945" s="405" t="s">
        <v>310</v>
      </c>
      <c r="B7945" s="405" t="s">
        <v>10930</v>
      </c>
      <c r="C7945" s="405" t="s">
        <v>327</v>
      </c>
      <c r="D7945" s="405"/>
      <c r="E7945" s="410">
        <v>40886</v>
      </c>
      <c r="F7945" s="410">
        <v>40931</v>
      </c>
      <c r="G7945" s="405" t="s">
        <v>10931</v>
      </c>
      <c r="H7945" s="405">
        <v>752706033</v>
      </c>
      <c r="I7945" s="405"/>
      <c r="J7945" s="405">
        <v>0.77732699999999999</v>
      </c>
      <c r="K7945" s="405">
        <v>33.946655</v>
      </c>
      <c r="L7945" s="405" t="s">
        <v>6866</v>
      </c>
      <c r="M7945" s="405" t="s">
        <v>9534</v>
      </c>
      <c r="N7945" s="405" t="s">
        <v>10085</v>
      </c>
      <c r="O7945" s="405" t="s">
        <v>10922</v>
      </c>
      <c r="P7945" s="405" t="s">
        <v>10922</v>
      </c>
      <c r="Q7945" s="411">
        <v>6</v>
      </c>
      <c r="R7945" s="405" t="s">
        <v>7224</v>
      </c>
      <c r="S7945" s="405" t="s">
        <v>27197</v>
      </c>
      <c r="T7945" s="405" t="s">
        <v>32102</v>
      </c>
      <c r="U7945" s="405" t="s">
        <v>319</v>
      </c>
    </row>
    <row r="7946" spans="1:21" hidden="1" x14ac:dyDescent="0.25">
      <c r="A7946" s="405" t="s">
        <v>310</v>
      </c>
      <c r="B7946" s="405" t="s">
        <v>2061</v>
      </c>
      <c r="C7946" s="405" t="s">
        <v>327</v>
      </c>
      <c r="D7946" s="405"/>
      <c r="E7946" s="410">
        <v>40885</v>
      </c>
      <c r="F7946" s="410">
        <v>40930</v>
      </c>
      <c r="G7946" s="405" t="s">
        <v>2062</v>
      </c>
      <c r="H7946" s="405">
        <v>774208333</v>
      </c>
      <c r="I7946" s="405"/>
      <c r="J7946" s="405">
        <v>0.111057</v>
      </c>
      <c r="K7946" s="405">
        <v>32.177475000000001</v>
      </c>
      <c r="L7946" s="405" t="s">
        <v>314</v>
      </c>
      <c r="M7946" s="405" t="s">
        <v>315</v>
      </c>
      <c r="N7946" s="405" t="s">
        <v>315</v>
      </c>
      <c r="O7946" s="405" t="s">
        <v>2063</v>
      </c>
      <c r="P7946" s="405" t="s">
        <v>2064</v>
      </c>
      <c r="Q7946" s="411">
        <v>6</v>
      </c>
      <c r="R7946" s="405" t="s">
        <v>318</v>
      </c>
      <c r="S7946" s="405" t="s">
        <v>27148</v>
      </c>
      <c r="T7946" s="405" t="s">
        <v>32102</v>
      </c>
      <c r="U7946" s="405" t="s">
        <v>319</v>
      </c>
    </row>
    <row r="7947" spans="1:21" hidden="1" x14ac:dyDescent="0.25">
      <c r="A7947" s="405" t="s">
        <v>310</v>
      </c>
      <c r="B7947" s="405" t="s">
        <v>10920</v>
      </c>
      <c r="C7947" s="405" t="s">
        <v>327</v>
      </c>
      <c r="D7947" s="405"/>
      <c r="E7947" s="410">
        <v>40885</v>
      </c>
      <c r="F7947" s="410">
        <v>40930</v>
      </c>
      <c r="G7947" s="405" t="s">
        <v>10921</v>
      </c>
      <c r="H7947" s="405">
        <v>7785339383</v>
      </c>
      <c r="I7947" s="405"/>
      <c r="J7947" s="405">
        <v>0.80418100000000003</v>
      </c>
      <c r="K7947" s="405">
        <v>33.952401000000002</v>
      </c>
      <c r="L7947" s="405" t="s">
        <v>6866</v>
      </c>
      <c r="M7947" s="405" t="s">
        <v>9534</v>
      </c>
      <c r="N7947" s="405" t="s">
        <v>10085</v>
      </c>
      <c r="O7947" s="405" t="s">
        <v>10922</v>
      </c>
      <c r="P7947" s="405" t="s">
        <v>10923</v>
      </c>
      <c r="Q7947" s="411">
        <v>6</v>
      </c>
      <c r="R7947" s="405" t="s">
        <v>7224</v>
      </c>
      <c r="S7947" s="405" t="s">
        <v>27310</v>
      </c>
      <c r="T7947" s="405" t="s">
        <v>32102</v>
      </c>
      <c r="U7947" s="405" t="s">
        <v>319</v>
      </c>
    </row>
    <row r="7948" spans="1:21" hidden="1" x14ac:dyDescent="0.25">
      <c r="A7948" s="405" t="s">
        <v>310</v>
      </c>
      <c r="B7948" s="405" t="s">
        <v>2629</v>
      </c>
      <c r="C7948" s="405" t="s">
        <v>327</v>
      </c>
      <c r="D7948" s="405"/>
      <c r="E7948" s="410">
        <v>40884</v>
      </c>
      <c r="F7948" s="410">
        <v>40929</v>
      </c>
      <c r="G7948" s="405" t="s">
        <v>2630</v>
      </c>
      <c r="H7948" s="405">
        <v>772461420</v>
      </c>
      <c r="I7948" s="405"/>
      <c r="J7948" s="405">
        <v>0.54433299999999996</v>
      </c>
      <c r="K7948" s="405">
        <v>32.141629999999999</v>
      </c>
      <c r="L7948" s="405" t="s">
        <v>314</v>
      </c>
      <c r="M7948" s="405" t="s">
        <v>675</v>
      </c>
      <c r="N7948" s="405" t="s">
        <v>675</v>
      </c>
      <c r="O7948" s="405" t="s">
        <v>1608</v>
      </c>
      <c r="P7948" s="405" t="s">
        <v>2631</v>
      </c>
      <c r="Q7948" s="411">
        <v>12</v>
      </c>
      <c r="R7948" s="405" t="s">
        <v>318</v>
      </c>
      <c r="S7948" s="405" t="s">
        <v>27149</v>
      </c>
      <c r="T7948" s="405" t="s">
        <v>32102</v>
      </c>
      <c r="U7948" s="405" t="s">
        <v>319</v>
      </c>
    </row>
    <row r="7949" spans="1:21" hidden="1" x14ac:dyDescent="0.25">
      <c r="A7949" s="405" t="s">
        <v>310</v>
      </c>
      <c r="B7949" s="405" t="s">
        <v>10948</v>
      </c>
      <c r="C7949" s="405" t="s">
        <v>327</v>
      </c>
      <c r="D7949" s="405"/>
      <c r="E7949" s="410">
        <v>40883</v>
      </c>
      <c r="F7949" s="410">
        <v>40928</v>
      </c>
      <c r="G7949" s="405" t="s">
        <v>10949</v>
      </c>
      <c r="H7949" s="405">
        <v>753953910</v>
      </c>
      <c r="I7949" s="405"/>
      <c r="J7949" s="405">
        <v>0.58744600000000002</v>
      </c>
      <c r="K7949" s="405">
        <v>33.973658999999998</v>
      </c>
      <c r="L7949" s="405" t="s">
        <v>6866</v>
      </c>
      <c r="M7949" s="405" t="s">
        <v>9534</v>
      </c>
      <c r="N7949" s="405" t="s">
        <v>9997</v>
      </c>
      <c r="O7949" s="405" t="s">
        <v>10248</v>
      </c>
      <c r="P7949" s="405" t="s">
        <v>10950</v>
      </c>
      <c r="Q7949" s="411">
        <v>6</v>
      </c>
      <c r="R7949" s="405" t="s">
        <v>9541</v>
      </c>
      <c r="S7949" s="405" t="s">
        <v>27302</v>
      </c>
      <c r="T7949" s="405" t="s">
        <v>32102</v>
      </c>
      <c r="U7949" s="405" t="s">
        <v>319</v>
      </c>
    </row>
    <row r="7950" spans="1:21" hidden="1" x14ac:dyDescent="0.25">
      <c r="A7950" s="405" t="s">
        <v>310</v>
      </c>
      <c r="B7950" s="405" t="s">
        <v>10926</v>
      </c>
      <c r="C7950" s="405" t="s">
        <v>327</v>
      </c>
      <c r="D7950" s="405"/>
      <c r="E7950" s="410">
        <v>40883</v>
      </c>
      <c r="F7950" s="410">
        <v>40928</v>
      </c>
      <c r="G7950" s="405" t="s">
        <v>10927</v>
      </c>
      <c r="H7950" s="405">
        <v>789243836</v>
      </c>
      <c r="I7950" s="405"/>
      <c r="J7950" s="405">
        <v>0.81792900000000002</v>
      </c>
      <c r="K7950" s="405">
        <v>33.961182999999998</v>
      </c>
      <c r="L7950" s="405" t="s">
        <v>6866</v>
      </c>
      <c r="M7950" s="405" t="s">
        <v>9534</v>
      </c>
      <c r="N7950" s="405" t="s">
        <v>10085</v>
      </c>
      <c r="O7950" s="405" t="s">
        <v>10922</v>
      </c>
      <c r="P7950" s="405" t="s">
        <v>10928</v>
      </c>
      <c r="Q7950" s="411">
        <v>6</v>
      </c>
      <c r="R7950" s="405" t="s">
        <v>7224</v>
      </c>
      <c r="S7950" s="405" t="s">
        <v>27204</v>
      </c>
      <c r="T7950" s="405" t="s">
        <v>32102</v>
      </c>
      <c r="U7950" s="405" t="s">
        <v>319</v>
      </c>
    </row>
    <row r="7951" spans="1:21" hidden="1" x14ac:dyDescent="0.25">
      <c r="A7951" s="405" t="s">
        <v>310</v>
      </c>
      <c r="B7951" s="405" t="s">
        <v>28721</v>
      </c>
      <c r="C7951" s="405" t="s">
        <v>327</v>
      </c>
      <c r="D7951" s="405"/>
      <c r="E7951" s="410">
        <v>40882</v>
      </c>
      <c r="F7951" s="410">
        <v>40927</v>
      </c>
      <c r="G7951" s="405" t="s">
        <v>10929</v>
      </c>
      <c r="H7951" s="405">
        <v>757970292</v>
      </c>
      <c r="I7951" s="405"/>
      <c r="J7951" s="405">
        <v>0.82053799999999999</v>
      </c>
      <c r="K7951" s="405">
        <v>33.961154999999998</v>
      </c>
      <c r="L7951" s="405" t="s">
        <v>6866</v>
      </c>
      <c r="M7951" s="405" t="s">
        <v>9534</v>
      </c>
      <c r="N7951" s="405" t="s">
        <v>10085</v>
      </c>
      <c r="O7951" s="405" t="s">
        <v>10922</v>
      </c>
      <c r="P7951" s="405" t="s">
        <v>10928</v>
      </c>
      <c r="Q7951" s="411">
        <v>6</v>
      </c>
      <c r="R7951" s="405" t="s">
        <v>7224</v>
      </c>
      <c r="S7951" s="405" t="s">
        <v>27309</v>
      </c>
      <c r="T7951" s="405" t="s">
        <v>32102</v>
      </c>
      <c r="U7951" s="405" t="s">
        <v>319</v>
      </c>
    </row>
    <row r="7952" spans="1:21" hidden="1" x14ac:dyDescent="0.25">
      <c r="A7952" s="405" t="s">
        <v>310</v>
      </c>
      <c r="B7952" s="405" t="s">
        <v>28489</v>
      </c>
      <c r="C7952" s="405" t="s">
        <v>327</v>
      </c>
      <c r="D7952" s="405"/>
      <c r="E7952" s="410">
        <v>40882</v>
      </c>
      <c r="F7952" s="410">
        <v>40927</v>
      </c>
      <c r="G7952" s="405" t="s">
        <v>2106</v>
      </c>
      <c r="H7952" s="405">
        <v>772532056</v>
      </c>
      <c r="I7952" s="405"/>
      <c r="J7952" s="405">
        <v>0.51912499999999995</v>
      </c>
      <c r="K7952" s="405">
        <v>33.085582000000002</v>
      </c>
      <c r="L7952" s="405" t="s">
        <v>314</v>
      </c>
      <c r="M7952" s="405" t="s">
        <v>349</v>
      </c>
      <c r="N7952" s="405" t="s">
        <v>405</v>
      </c>
      <c r="O7952" s="405" t="s">
        <v>2107</v>
      </c>
      <c r="P7952" s="405" t="s">
        <v>2108</v>
      </c>
      <c r="Q7952" s="411">
        <v>6</v>
      </c>
      <c r="R7952" s="405" t="s">
        <v>333</v>
      </c>
      <c r="S7952" s="405" t="s">
        <v>27106</v>
      </c>
      <c r="T7952" s="405" t="s">
        <v>32102</v>
      </c>
      <c r="U7952" s="405" t="s">
        <v>319</v>
      </c>
    </row>
    <row r="7953" spans="1:21" hidden="1" x14ac:dyDescent="0.25">
      <c r="A7953" s="405" t="s">
        <v>310</v>
      </c>
      <c r="B7953" s="405" t="s">
        <v>10967</v>
      </c>
      <c r="C7953" s="405" t="s">
        <v>327</v>
      </c>
      <c r="D7953" s="405"/>
      <c r="E7953" s="410">
        <v>40881</v>
      </c>
      <c r="F7953" s="410">
        <v>40926</v>
      </c>
      <c r="G7953" s="405" t="s">
        <v>10968</v>
      </c>
      <c r="H7953" s="405">
        <v>772635662</v>
      </c>
      <c r="I7953" s="405"/>
      <c r="J7953" s="405">
        <v>1.398533</v>
      </c>
      <c r="K7953" s="405">
        <v>34.494173000000004</v>
      </c>
      <c r="L7953" s="405" t="s">
        <v>6866</v>
      </c>
      <c r="M7953" s="405" t="s">
        <v>9705</v>
      </c>
      <c r="N7953" s="405" t="s">
        <v>9705</v>
      </c>
      <c r="O7953" s="405" t="s">
        <v>10969</v>
      </c>
      <c r="P7953" s="405" t="s">
        <v>9707</v>
      </c>
      <c r="Q7953" s="411">
        <v>9</v>
      </c>
      <c r="R7953" s="405" t="s">
        <v>333</v>
      </c>
      <c r="S7953" s="405" t="s">
        <v>27107</v>
      </c>
      <c r="T7953" s="405" t="s">
        <v>32102</v>
      </c>
      <c r="U7953" s="405" t="s">
        <v>319</v>
      </c>
    </row>
    <row r="7954" spans="1:21" hidden="1" x14ac:dyDescent="0.25">
      <c r="A7954" s="405" t="s">
        <v>310</v>
      </c>
      <c r="B7954" s="405" t="s">
        <v>10987</v>
      </c>
      <c r="C7954" s="405" t="s">
        <v>327</v>
      </c>
      <c r="D7954" s="405"/>
      <c r="E7954" s="410">
        <v>40881</v>
      </c>
      <c r="F7954" s="410">
        <v>40926</v>
      </c>
      <c r="G7954" s="405" t="s">
        <v>10988</v>
      </c>
      <c r="H7954" s="405">
        <v>777333163</v>
      </c>
      <c r="I7954" s="405"/>
      <c r="J7954" s="405">
        <v>1.2809630000000001</v>
      </c>
      <c r="K7954" s="405">
        <v>34.753323999999999</v>
      </c>
      <c r="L7954" s="405" t="s">
        <v>6866</v>
      </c>
      <c r="M7954" s="405" t="s">
        <v>10163</v>
      </c>
      <c r="N7954" s="405" t="s">
        <v>10164</v>
      </c>
      <c r="O7954" s="405" t="s">
        <v>10163</v>
      </c>
      <c r="P7954" s="405" t="s">
        <v>10989</v>
      </c>
      <c r="Q7954" s="411">
        <v>6</v>
      </c>
      <c r="R7954" s="405" t="s">
        <v>9506</v>
      </c>
      <c r="S7954" s="405" t="s">
        <v>27169</v>
      </c>
      <c r="T7954" s="405" t="s">
        <v>32102</v>
      </c>
      <c r="U7954" s="405" t="s">
        <v>319</v>
      </c>
    </row>
    <row r="7955" spans="1:21" hidden="1" x14ac:dyDescent="0.25">
      <c r="A7955" s="405" t="s">
        <v>310</v>
      </c>
      <c r="B7955" s="405" t="s">
        <v>10990</v>
      </c>
      <c r="C7955" s="405" t="s">
        <v>327</v>
      </c>
      <c r="D7955" s="405"/>
      <c r="E7955" s="410">
        <v>40881</v>
      </c>
      <c r="F7955" s="410">
        <v>40926</v>
      </c>
      <c r="G7955" s="405" t="s">
        <v>10991</v>
      </c>
      <c r="H7955" s="405">
        <v>777771589</v>
      </c>
      <c r="I7955" s="405">
        <v>701527101</v>
      </c>
      <c r="J7955" s="405">
        <v>0.72057099999999996</v>
      </c>
      <c r="K7955" s="405">
        <v>34.135724000000003</v>
      </c>
      <c r="L7955" s="405" t="s">
        <v>6866</v>
      </c>
      <c r="M7955" s="405" t="s">
        <v>9534</v>
      </c>
      <c r="N7955" s="405" t="s">
        <v>9997</v>
      </c>
      <c r="O7955" s="405" t="s">
        <v>10992</v>
      </c>
      <c r="P7955" s="405" t="s">
        <v>10993</v>
      </c>
      <c r="Q7955" s="411">
        <v>6</v>
      </c>
      <c r="R7955" s="405" t="s">
        <v>7224</v>
      </c>
      <c r="S7955" s="405" t="s">
        <v>27309</v>
      </c>
      <c r="T7955" s="405" t="s">
        <v>32102</v>
      </c>
      <c r="U7955" s="405" t="s">
        <v>319</v>
      </c>
    </row>
    <row r="7956" spans="1:21" hidden="1" x14ac:dyDescent="0.25">
      <c r="A7956" s="405" t="s">
        <v>310</v>
      </c>
      <c r="B7956" s="405" t="s">
        <v>28513</v>
      </c>
      <c r="C7956" s="405" t="s">
        <v>311</v>
      </c>
      <c r="D7956" s="405" t="s">
        <v>1789</v>
      </c>
      <c r="E7956" s="410">
        <v>40880</v>
      </c>
      <c r="F7956" s="410">
        <v>40925</v>
      </c>
      <c r="G7956" s="405" t="s">
        <v>2601</v>
      </c>
      <c r="H7956" s="405">
        <v>752816690</v>
      </c>
      <c r="I7956" s="405">
        <v>752259506</v>
      </c>
      <c r="J7956" s="405">
        <v>-0.34226580000000001</v>
      </c>
      <c r="K7956" s="405">
        <v>31.724567100000002</v>
      </c>
      <c r="L7956" s="405" t="s">
        <v>314</v>
      </c>
      <c r="M7956" s="405" t="s">
        <v>382</v>
      </c>
      <c r="N7956" s="405" t="s">
        <v>383</v>
      </c>
      <c r="O7956" s="405" t="s">
        <v>384</v>
      </c>
      <c r="P7956" s="405" t="s">
        <v>680</v>
      </c>
      <c r="Q7956" s="411">
        <v>6</v>
      </c>
      <c r="R7956" s="405" t="s">
        <v>402</v>
      </c>
      <c r="S7956" s="405" t="s">
        <v>27164</v>
      </c>
      <c r="T7956" s="405" t="s">
        <v>32102</v>
      </c>
      <c r="U7956" s="405" t="s">
        <v>319</v>
      </c>
    </row>
    <row r="7957" spans="1:21" hidden="1" x14ac:dyDescent="0.25">
      <c r="A7957" s="405" t="s">
        <v>310</v>
      </c>
      <c r="B7957" s="405" t="s">
        <v>11420</v>
      </c>
      <c r="C7957" s="405" t="s">
        <v>311</v>
      </c>
      <c r="D7957" s="405" t="s">
        <v>1789</v>
      </c>
      <c r="E7957" s="410">
        <v>40878</v>
      </c>
      <c r="F7957" s="410">
        <v>40923</v>
      </c>
      <c r="G7957" s="405" t="s">
        <v>11421</v>
      </c>
      <c r="H7957" s="405">
        <v>772367134</v>
      </c>
      <c r="I7957" s="405">
        <v>778805724</v>
      </c>
      <c r="J7957" s="405">
        <v>0.70394699999999999</v>
      </c>
      <c r="K7957" s="405">
        <v>34.082802000000001</v>
      </c>
      <c r="L7957" s="405" t="s">
        <v>6866</v>
      </c>
      <c r="M7957" s="405" t="s">
        <v>9534</v>
      </c>
      <c r="N7957" s="405" t="s">
        <v>10113</v>
      </c>
      <c r="O7957" s="405" t="s">
        <v>10114</v>
      </c>
      <c r="P7957" s="405" t="s">
        <v>11422</v>
      </c>
      <c r="Q7957" s="411">
        <v>6</v>
      </c>
      <c r="R7957" s="405" t="s">
        <v>7224</v>
      </c>
      <c r="S7957" s="405" t="s">
        <v>27310</v>
      </c>
      <c r="T7957" s="405" t="s">
        <v>32102</v>
      </c>
      <c r="U7957" s="405" t="s">
        <v>319</v>
      </c>
    </row>
    <row r="7958" spans="1:21" hidden="1" x14ac:dyDescent="0.25">
      <c r="A7958" s="405" t="s">
        <v>310</v>
      </c>
      <c r="B7958" s="405" t="s">
        <v>18267</v>
      </c>
      <c r="C7958" s="405" t="s">
        <v>327</v>
      </c>
      <c r="D7958" s="405"/>
      <c r="E7958" s="410">
        <v>40878</v>
      </c>
      <c r="F7958" s="410">
        <v>40923</v>
      </c>
      <c r="G7958" s="405" t="s">
        <v>18268</v>
      </c>
      <c r="H7958" s="405">
        <v>777808344</v>
      </c>
      <c r="I7958" s="405">
        <v>778886832</v>
      </c>
      <c r="J7958" s="405">
        <v>2.2419088999999999</v>
      </c>
      <c r="K7958" s="405">
        <v>32.899192599999999</v>
      </c>
      <c r="L7958" s="405" t="s">
        <v>860</v>
      </c>
      <c r="M7958" s="405" t="s">
        <v>18234</v>
      </c>
      <c r="N7958" s="405" t="s">
        <v>18250</v>
      </c>
      <c r="O7958" s="405" t="s">
        <v>8805</v>
      </c>
      <c r="P7958" s="405" t="s">
        <v>18239</v>
      </c>
      <c r="Q7958" s="411">
        <v>6</v>
      </c>
      <c r="R7958" s="405" t="s">
        <v>994</v>
      </c>
      <c r="S7958" s="405" t="s">
        <v>27162</v>
      </c>
      <c r="T7958" s="405" t="s">
        <v>32102</v>
      </c>
      <c r="U7958" s="405" t="s">
        <v>319</v>
      </c>
    </row>
    <row r="7959" spans="1:21" hidden="1" x14ac:dyDescent="0.25">
      <c r="A7959" s="405" t="s">
        <v>310</v>
      </c>
      <c r="B7959" s="405" t="s">
        <v>2097</v>
      </c>
      <c r="C7959" s="405" t="s">
        <v>327</v>
      </c>
      <c r="D7959" s="405"/>
      <c r="E7959" s="410">
        <v>40877</v>
      </c>
      <c r="F7959" s="410">
        <v>40922</v>
      </c>
      <c r="G7959" s="405" t="s">
        <v>2098</v>
      </c>
      <c r="H7959" s="405">
        <v>782306333</v>
      </c>
      <c r="I7959" s="405">
        <v>785657589</v>
      </c>
      <c r="J7959" s="405">
        <v>0.35333500000000001</v>
      </c>
      <c r="K7959" s="405">
        <v>32.731724999999997</v>
      </c>
      <c r="L7959" s="405" t="s">
        <v>314</v>
      </c>
      <c r="M7959" s="405" t="s">
        <v>329</v>
      </c>
      <c r="N7959" s="405" t="s">
        <v>330</v>
      </c>
      <c r="O7959" s="405" t="s">
        <v>331</v>
      </c>
      <c r="P7959" s="405" t="s">
        <v>2099</v>
      </c>
      <c r="Q7959" s="411">
        <v>12</v>
      </c>
      <c r="R7959" s="405" t="s">
        <v>353</v>
      </c>
      <c r="S7959" s="405" t="s">
        <v>27049</v>
      </c>
      <c r="T7959" s="405" t="s">
        <v>32102</v>
      </c>
      <c r="U7959" s="405" t="s">
        <v>319</v>
      </c>
    </row>
    <row r="7960" spans="1:21" hidden="1" x14ac:dyDescent="0.25">
      <c r="A7960" s="405" t="s">
        <v>310</v>
      </c>
      <c r="B7960" s="405" t="s">
        <v>28888</v>
      </c>
      <c r="C7960" s="405" t="s">
        <v>327</v>
      </c>
      <c r="D7960" s="405"/>
      <c r="E7960" s="410">
        <v>40877</v>
      </c>
      <c r="F7960" s="410">
        <v>40922</v>
      </c>
      <c r="G7960" s="405" t="s">
        <v>2074</v>
      </c>
      <c r="H7960" s="405">
        <v>752062390</v>
      </c>
      <c r="I7960" s="405">
        <v>775062390</v>
      </c>
      <c r="J7960" s="405">
        <v>-0.35601250000000001</v>
      </c>
      <c r="K7960" s="405">
        <v>31.726492400000001</v>
      </c>
      <c r="L7960" s="405" t="s">
        <v>314</v>
      </c>
      <c r="M7960" s="405" t="s">
        <v>900</v>
      </c>
      <c r="N7960" s="405" t="s">
        <v>900</v>
      </c>
      <c r="O7960" s="405" t="s">
        <v>900</v>
      </c>
      <c r="P7960" s="405" t="s">
        <v>2075</v>
      </c>
      <c r="Q7960" s="411">
        <v>6</v>
      </c>
      <c r="R7960" s="405" t="s">
        <v>318</v>
      </c>
      <c r="S7960" s="405" t="s">
        <v>27169</v>
      </c>
      <c r="T7960" s="405" t="s">
        <v>32102</v>
      </c>
      <c r="U7960" s="405" t="s">
        <v>319</v>
      </c>
    </row>
    <row r="7961" spans="1:21" hidden="1" x14ac:dyDescent="0.25">
      <c r="A7961" s="405" t="s">
        <v>310</v>
      </c>
      <c r="B7961" s="405" t="s">
        <v>10951</v>
      </c>
      <c r="C7961" s="405" t="s">
        <v>327</v>
      </c>
      <c r="D7961" s="405"/>
      <c r="E7961" s="410">
        <v>40877</v>
      </c>
      <c r="F7961" s="410">
        <v>40922</v>
      </c>
      <c r="G7961" s="405" t="s">
        <v>10952</v>
      </c>
      <c r="H7961" s="405">
        <v>773173098</v>
      </c>
      <c r="I7961" s="405"/>
      <c r="J7961" s="405">
        <v>1.759422</v>
      </c>
      <c r="K7961" s="405">
        <v>33.581972</v>
      </c>
      <c r="L7961" s="405" t="s">
        <v>6866</v>
      </c>
      <c r="M7961" s="405" t="s">
        <v>10515</v>
      </c>
      <c r="N7961" s="405" t="s">
        <v>10525</v>
      </c>
      <c r="O7961" s="405" t="s">
        <v>10526</v>
      </c>
      <c r="P7961" s="405" t="s">
        <v>10953</v>
      </c>
      <c r="Q7961" s="411">
        <v>6</v>
      </c>
      <c r="R7961" s="405" t="s">
        <v>7224</v>
      </c>
      <c r="S7961" s="405" t="s">
        <v>27322</v>
      </c>
      <c r="T7961" s="405" t="s">
        <v>32102</v>
      </c>
      <c r="U7961" s="405" t="s">
        <v>319</v>
      </c>
    </row>
    <row r="7962" spans="1:21" hidden="1" x14ac:dyDescent="0.25">
      <c r="A7962" s="405" t="s">
        <v>310</v>
      </c>
      <c r="B7962" s="405" t="s">
        <v>2109</v>
      </c>
      <c r="C7962" s="405" t="s">
        <v>327</v>
      </c>
      <c r="D7962" s="405"/>
      <c r="E7962" s="410">
        <v>40877</v>
      </c>
      <c r="F7962" s="410">
        <v>40922</v>
      </c>
      <c r="G7962" s="405" t="s">
        <v>2110</v>
      </c>
      <c r="H7962" s="405">
        <v>772451168</v>
      </c>
      <c r="I7962" s="405"/>
      <c r="J7962" s="405">
        <v>0.40933000000000003</v>
      </c>
      <c r="K7962" s="405">
        <v>32.566961999999997</v>
      </c>
      <c r="L7962" s="405" t="s">
        <v>314</v>
      </c>
      <c r="M7962" s="405" t="s">
        <v>361</v>
      </c>
      <c r="N7962" s="405" t="s">
        <v>362</v>
      </c>
      <c r="O7962" s="405" t="s">
        <v>410</v>
      </c>
      <c r="P7962" s="405" t="s">
        <v>2111</v>
      </c>
      <c r="Q7962" s="411">
        <v>6</v>
      </c>
      <c r="R7962" s="405" t="s">
        <v>994</v>
      </c>
      <c r="S7962" s="405" t="s">
        <v>27179</v>
      </c>
      <c r="T7962" s="405" t="s">
        <v>32102</v>
      </c>
      <c r="U7962" s="405" t="s">
        <v>319</v>
      </c>
    </row>
    <row r="7963" spans="1:21" hidden="1" x14ac:dyDescent="0.25">
      <c r="A7963" s="405" t="s">
        <v>310</v>
      </c>
      <c r="B7963" s="405" t="s">
        <v>2093</v>
      </c>
      <c r="C7963" s="405" t="s">
        <v>327</v>
      </c>
      <c r="D7963" s="405"/>
      <c r="E7963" s="410">
        <v>40877</v>
      </c>
      <c r="F7963" s="410">
        <v>40922</v>
      </c>
      <c r="G7963" s="405" t="s">
        <v>2094</v>
      </c>
      <c r="H7963" s="405">
        <v>772623217</v>
      </c>
      <c r="I7963" s="405"/>
      <c r="J7963" s="405">
        <v>0.70825499999999997</v>
      </c>
      <c r="K7963" s="405">
        <v>32.530226999999996</v>
      </c>
      <c r="L7963" s="405" t="s">
        <v>314</v>
      </c>
      <c r="M7963" s="405" t="s">
        <v>959</v>
      </c>
      <c r="N7963" s="405" t="s">
        <v>1308</v>
      </c>
      <c r="O7963" s="405" t="s">
        <v>2095</v>
      </c>
      <c r="P7963" s="405" t="s">
        <v>2096</v>
      </c>
      <c r="Q7963" s="411">
        <v>6</v>
      </c>
      <c r="R7963" s="405" t="s">
        <v>1263</v>
      </c>
      <c r="S7963" s="405" t="s">
        <v>27178</v>
      </c>
      <c r="T7963" s="405" t="s">
        <v>32102</v>
      </c>
      <c r="U7963" s="405" t="s">
        <v>319</v>
      </c>
    </row>
    <row r="7964" spans="1:21" hidden="1" x14ac:dyDescent="0.25">
      <c r="A7964" s="405" t="s">
        <v>310</v>
      </c>
      <c r="B7964" s="405" t="s">
        <v>2080</v>
      </c>
      <c r="C7964" s="405" t="s">
        <v>327</v>
      </c>
      <c r="D7964" s="405"/>
      <c r="E7964" s="410">
        <v>40877</v>
      </c>
      <c r="F7964" s="410">
        <v>40922</v>
      </c>
      <c r="G7964" s="405" t="s">
        <v>2081</v>
      </c>
      <c r="H7964" s="405">
        <v>772195972</v>
      </c>
      <c r="I7964" s="405"/>
      <c r="J7964" s="405">
        <v>0.453148</v>
      </c>
      <c r="K7964" s="405">
        <v>32.138092</v>
      </c>
      <c r="L7964" s="405" t="s">
        <v>314</v>
      </c>
      <c r="M7964" s="405" t="s">
        <v>675</v>
      </c>
      <c r="N7964" s="405" t="s">
        <v>1065</v>
      </c>
      <c r="O7964" s="405" t="s">
        <v>1608</v>
      </c>
      <c r="P7964" s="405" t="s">
        <v>1067</v>
      </c>
      <c r="Q7964" s="411">
        <v>6</v>
      </c>
      <c r="R7964" s="405" t="s">
        <v>318</v>
      </c>
      <c r="S7964" s="405" t="s">
        <v>27046</v>
      </c>
      <c r="T7964" s="405" t="s">
        <v>32102</v>
      </c>
      <c r="U7964" s="405" t="s">
        <v>319</v>
      </c>
    </row>
    <row r="7965" spans="1:21" hidden="1" x14ac:dyDescent="0.25">
      <c r="A7965" s="405" t="s">
        <v>310</v>
      </c>
      <c r="B7965" s="405" t="s">
        <v>2089</v>
      </c>
      <c r="C7965" s="405" t="s">
        <v>327</v>
      </c>
      <c r="D7965" s="405"/>
      <c r="E7965" s="410">
        <v>40877</v>
      </c>
      <c r="F7965" s="410">
        <v>40922</v>
      </c>
      <c r="G7965" s="405" t="s">
        <v>2090</v>
      </c>
      <c r="H7965" s="405">
        <v>706515892</v>
      </c>
      <c r="I7965" s="405"/>
      <c r="J7965" s="405">
        <v>0.17894499999999999</v>
      </c>
      <c r="K7965" s="405">
        <v>32.372928000000002</v>
      </c>
      <c r="L7965" s="405" t="s">
        <v>314</v>
      </c>
      <c r="M7965" s="405" t="s">
        <v>361</v>
      </c>
      <c r="N7965" s="405" t="s">
        <v>374</v>
      </c>
      <c r="O7965" s="405" t="s">
        <v>2091</v>
      </c>
      <c r="P7965" s="405" t="s">
        <v>2092</v>
      </c>
      <c r="Q7965" s="411">
        <v>6</v>
      </c>
      <c r="R7965" s="405" t="s">
        <v>318</v>
      </c>
      <c r="S7965" s="405" t="s">
        <v>27046</v>
      </c>
      <c r="T7965" s="405" t="s">
        <v>32102</v>
      </c>
      <c r="U7965" s="405" t="s">
        <v>319</v>
      </c>
    </row>
    <row r="7966" spans="1:21" hidden="1" x14ac:dyDescent="0.25">
      <c r="A7966" s="405" t="s">
        <v>310</v>
      </c>
      <c r="B7966" s="405" t="s">
        <v>10956</v>
      </c>
      <c r="C7966" s="405" t="s">
        <v>327</v>
      </c>
      <c r="D7966" s="405"/>
      <c r="E7966" s="410">
        <v>40876</v>
      </c>
      <c r="F7966" s="410">
        <v>40921</v>
      </c>
      <c r="G7966" s="405" t="s">
        <v>10957</v>
      </c>
      <c r="H7966" s="405">
        <v>782650745</v>
      </c>
      <c r="I7966" s="405"/>
      <c r="J7966" s="405">
        <v>1.040937</v>
      </c>
      <c r="K7966" s="405">
        <v>34.163732000000003</v>
      </c>
      <c r="L7966" s="405" t="s">
        <v>6866</v>
      </c>
      <c r="M7966" s="405" t="s">
        <v>9514</v>
      </c>
      <c r="N7966" s="405" t="s">
        <v>9529</v>
      </c>
      <c r="O7966" s="405" t="s">
        <v>9780</v>
      </c>
      <c r="P7966" s="405" t="s">
        <v>9914</v>
      </c>
      <c r="Q7966" s="411">
        <v>6</v>
      </c>
      <c r="R7966" s="405" t="s">
        <v>333</v>
      </c>
      <c r="S7966" s="405" t="s">
        <v>17013</v>
      </c>
      <c r="T7966" s="405" t="s">
        <v>32102</v>
      </c>
      <c r="U7966" s="405" t="s">
        <v>319</v>
      </c>
    </row>
    <row r="7967" spans="1:21" hidden="1" x14ac:dyDescent="0.25">
      <c r="A7967" s="405" t="s">
        <v>310</v>
      </c>
      <c r="B7967" s="405" t="s">
        <v>10994</v>
      </c>
      <c r="C7967" s="405" t="s">
        <v>327</v>
      </c>
      <c r="D7967" s="405"/>
      <c r="E7967" s="410">
        <v>40876</v>
      </c>
      <c r="F7967" s="410">
        <v>40921</v>
      </c>
      <c r="G7967" s="405" t="s">
        <v>10995</v>
      </c>
      <c r="H7967" s="405">
        <v>783737433</v>
      </c>
      <c r="I7967" s="405"/>
      <c r="J7967" s="405">
        <v>0.30165700000000001</v>
      </c>
      <c r="K7967" s="405">
        <v>34.012236000000001</v>
      </c>
      <c r="L7967" s="405" t="s">
        <v>6866</v>
      </c>
      <c r="M7967" s="405" t="s">
        <v>10390</v>
      </c>
      <c r="N7967" s="405" t="s">
        <v>10391</v>
      </c>
      <c r="O7967" s="405" t="s">
        <v>10395</v>
      </c>
      <c r="P7967" s="405" t="s">
        <v>10996</v>
      </c>
      <c r="Q7967" s="411">
        <v>6</v>
      </c>
      <c r="R7967" s="405" t="s">
        <v>7224</v>
      </c>
      <c r="S7967" s="405" t="s">
        <v>27304</v>
      </c>
      <c r="T7967" s="405" t="s">
        <v>32102</v>
      </c>
      <c r="U7967" s="405" t="s">
        <v>319</v>
      </c>
    </row>
    <row r="7968" spans="1:21" hidden="1" x14ac:dyDescent="0.25">
      <c r="A7968" s="405" t="s">
        <v>310</v>
      </c>
      <c r="B7968" s="405" t="s">
        <v>11010</v>
      </c>
      <c r="C7968" s="405" t="s">
        <v>327</v>
      </c>
      <c r="D7968" s="405"/>
      <c r="E7968" s="410">
        <v>40875</v>
      </c>
      <c r="F7968" s="410">
        <v>40920</v>
      </c>
      <c r="G7968" s="405" t="s">
        <v>11011</v>
      </c>
      <c r="H7968" s="405">
        <v>782348441</v>
      </c>
      <c r="I7968" s="405"/>
      <c r="J7968" s="405">
        <v>0.69169800000000004</v>
      </c>
      <c r="K7968" s="405">
        <v>33.948827999999999</v>
      </c>
      <c r="L7968" s="405" t="s">
        <v>6866</v>
      </c>
      <c r="M7968" s="405" t="s">
        <v>9534</v>
      </c>
      <c r="N7968" s="405" t="s">
        <v>10113</v>
      </c>
      <c r="O7968" s="405" t="s">
        <v>10918</v>
      </c>
      <c r="P7968" s="405" t="s">
        <v>11012</v>
      </c>
      <c r="Q7968" s="411">
        <v>6</v>
      </c>
      <c r="R7968" s="405" t="s">
        <v>7224</v>
      </c>
      <c r="S7968" s="405" t="s">
        <v>27298</v>
      </c>
      <c r="T7968" s="405" t="s">
        <v>32102</v>
      </c>
      <c r="U7968" s="405" t="s">
        <v>319</v>
      </c>
    </row>
    <row r="7969" spans="1:21" hidden="1" x14ac:dyDescent="0.25">
      <c r="A7969" s="405" t="s">
        <v>310</v>
      </c>
      <c r="B7969" s="405" t="s">
        <v>20360</v>
      </c>
      <c r="C7969" s="405" t="s">
        <v>327</v>
      </c>
      <c r="D7969" s="405"/>
      <c r="E7969" s="410">
        <v>40874</v>
      </c>
      <c r="F7969" s="410">
        <v>40919</v>
      </c>
      <c r="G7969" s="405" t="s">
        <v>20361</v>
      </c>
      <c r="H7969" s="405">
        <v>782276479</v>
      </c>
      <c r="I7969" s="405">
        <v>703399133</v>
      </c>
      <c r="J7969" s="405">
        <v>-0.43892300000000001</v>
      </c>
      <c r="K7969" s="405">
        <v>30.600738</v>
      </c>
      <c r="L7969" s="405" t="s">
        <v>590</v>
      </c>
      <c r="M7969" s="405" t="s">
        <v>19614</v>
      </c>
      <c r="N7969" s="405" t="s">
        <v>19615</v>
      </c>
      <c r="O7969" s="405" t="s">
        <v>19650</v>
      </c>
      <c r="P7969" s="405" t="s">
        <v>20362</v>
      </c>
      <c r="Q7969" s="411">
        <v>13</v>
      </c>
      <c r="R7969" s="405" t="s">
        <v>883</v>
      </c>
      <c r="S7969" s="405" t="s">
        <v>27160</v>
      </c>
      <c r="T7969" s="405" t="s">
        <v>32102</v>
      </c>
      <c r="U7969" s="405" t="s">
        <v>319</v>
      </c>
    </row>
    <row r="7970" spans="1:21" hidden="1" x14ac:dyDescent="0.25">
      <c r="A7970" s="405" t="s">
        <v>310</v>
      </c>
      <c r="B7970" s="405" t="s">
        <v>28224</v>
      </c>
      <c r="C7970" s="405" t="s">
        <v>327</v>
      </c>
      <c r="D7970" s="405"/>
      <c r="E7970" s="410">
        <v>40874</v>
      </c>
      <c r="F7970" s="410">
        <v>40919</v>
      </c>
      <c r="G7970" s="405" t="s">
        <v>10961</v>
      </c>
      <c r="H7970" s="405">
        <v>782545900</v>
      </c>
      <c r="I7970" s="405"/>
      <c r="J7970" s="405">
        <v>0.89737100000000003</v>
      </c>
      <c r="K7970" s="405">
        <v>34.348801999999999</v>
      </c>
      <c r="L7970" s="405" t="s">
        <v>6866</v>
      </c>
      <c r="M7970" s="405" t="s">
        <v>9763</v>
      </c>
      <c r="N7970" s="405" t="s">
        <v>9848</v>
      </c>
      <c r="O7970" s="405" t="s">
        <v>10962</v>
      </c>
      <c r="P7970" s="405" t="s">
        <v>10963</v>
      </c>
      <c r="Q7970" s="411">
        <v>6</v>
      </c>
      <c r="R7970" s="405" t="s">
        <v>7224</v>
      </c>
      <c r="S7970" s="405" t="s">
        <v>27190</v>
      </c>
      <c r="T7970" s="405" t="s">
        <v>32102</v>
      </c>
      <c r="U7970" s="405" t="s">
        <v>319</v>
      </c>
    </row>
    <row r="7971" spans="1:21" hidden="1" x14ac:dyDescent="0.25">
      <c r="A7971" s="405" t="s">
        <v>310</v>
      </c>
      <c r="B7971" s="405" t="s">
        <v>20587</v>
      </c>
      <c r="C7971" s="405" t="s">
        <v>327</v>
      </c>
      <c r="D7971" s="405"/>
      <c r="E7971" s="410">
        <v>40874</v>
      </c>
      <c r="F7971" s="410">
        <v>40919</v>
      </c>
      <c r="G7971" s="405" t="s">
        <v>20588</v>
      </c>
      <c r="H7971" s="405">
        <v>752371937</v>
      </c>
      <c r="I7971" s="405">
        <v>775723413</v>
      </c>
      <c r="J7971" s="405">
        <v>-0.84524500000000002</v>
      </c>
      <c r="K7971" s="405">
        <v>30.270343</v>
      </c>
      <c r="L7971" s="405" t="s">
        <v>590</v>
      </c>
      <c r="M7971" s="405" t="s">
        <v>19659</v>
      </c>
      <c r="N7971" s="405" t="s">
        <v>19681</v>
      </c>
      <c r="O7971" s="405" t="s">
        <v>11545</v>
      </c>
      <c r="P7971" s="405" t="s">
        <v>20589</v>
      </c>
      <c r="Q7971" s="411">
        <v>6</v>
      </c>
      <c r="R7971" s="405" t="s">
        <v>967</v>
      </c>
      <c r="S7971" s="405" t="s">
        <v>27399</v>
      </c>
      <c r="T7971" s="405" t="s">
        <v>32102</v>
      </c>
      <c r="U7971" s="405" t="s">
        <v>319</v>
      </c>
    </row>
    <row r="7972" spans="1:21" hidden="1" x14ac:dyDescent="0.25">
      <c r="A7972" s="405" t="s">
        <v>310</v>
      </c>
      <c r="B7972" s="405" t="s">
        <v>10983</v>
      </c>
      <c r="C7972" s="405" t="s">
        <v>327</v>
      </c>
      <c r="D7972" s="405"/>
      <c r="E7972" s="410">
        <v>40873</v>
      </c>
      <c r="F7972" s="410">
        <v>40918</v>
      </c>
      <c r="G7972" s="405" t="s">
        <v>10984</v>
      </c>
      <c r="H7972" s="405">
        <v>777604760</v>
      </c>
      <c r="I7972" s="405">
        <v>779196346</v>
      </c>
      <c r="J7972" s="405">
        <v>1.2647409999999999</v>
      </c>
      <c r="K7972" s="405">
        <v>34.729585999999998</v>
      </c>
      <c r="L7972" s="405" t="s">
        <v>6866</v>
      </c>
      <c r="M7972" s="405" t="s">
        <v>10163</v>
      </c>
      <c r="N7972" s="405" t="s">
        <v>10164</v>
      </c>
      <c r="O7972" s="405" t="s">
        <v>10163</v>
      </c>
      <c r="P7972" s="405" t="s">
        <v>10982</v>
      </c>
      <c r="Q7972" s="411">
        <v>6</v>
      </c>
      <c r="R7972" s="405" t="s">
        <v>9506</v>
      </c>
      <c r="S7972" s="405" t="s">
        <v>27184</v>
      </c>
      <c r="T7972" s="405" t="s">
        <v>32102</v>
      </c>
      <c r="U7972" s="405" t="s">
        <v>319</v>
      </c>
    </row>
    <row r="7973" spans="1:21" hidden="1" x14ac:dyDescent="0.25">
      <c r="A7973" s="405" t="s">
        <v>310</v>
      </c>
      <c r="B7973" s="405" t="s">
        <v>2082</v>
      </c>
      <c r="C7973" s="405" t="s">
        <v>327</v>
      </c>
      <c r="D7973" s="405"/>
      <c r="E7973" s="410">
        <v>40872</v>
      </c>
      <c r="F7973" s="410">
        <v>40917</v>
      </c>
      <c r="G7973" s="405" t="s">
        <v>2083</v>
      </c>
      <c r="H7973" s="405">
        <v>779399550</v>
      </c>
      <c r="I7973" s="405"/>
      <c r="J7973" s="405">
        <v>0.52586699999999997</v>
      </c>
      <c r="K7973" s="405">
        <v>32.088887</v>
      </c>
      <c r="L7973" s="405" t="s">
        <v>314</v>
      </c>
      <c r="M7973" s="405" t="s">
        <v>675</v>
      </c>
      <c r="N7973" s="405" t="s">
        <v>1065</v>
      </c>
      <c r="O7973" s="405" t="s">
        <v>1248</v>
      </c>
      <c r="P7973" s="405" t="s">
        <v>2084</v>
      </c>
      <c r="Q7973" s="411">
        <v>6</v>
      </c>
      <c r="R7973" s="405" t="s">
        <v>318</v>
      </c>
      <c r="S7973" s="405" t="s">
        <v>27174</v>
      </c>
      <c r="T7973" s="405" t="s">
        <v>32102</v>
      </c>
      <c r="U7973" s="405" t="s">
        <v>319</v>
      </c>
    </row>
    <row r="7974" spans="1:21" hidden="1" x14ac:dyDescent="0.25">
      <c r="A7974" s="405" t="s">
        <v>310</v>
      </c>
      <c r="B7974" s="405" t="s">
        <v>10997</v>
      </c>
      <c r="C7974" s="405" t="s">
        <v>327</v>
      </c>
      <c r="D7974" s="405"/>
      <c r="E7974" s="410">
        <v>40872</v>
      </c>
      <c r="F7974" s="410">
        <v>40917</v>
      </c>
      <c r="G7974" s="405" t="s">
        <v>10998</v>
      </c>
      <c r="H7974" s="405">
        <v>776102552</v>
      </c>
      <c r="I7974" s="405"/>
      <c r="J7974" s="405">
        <v>0.89719400000000005</v>
      </c>
      <c r="K7974" s="405">
        <v>34.369880000000002</v>
      </c>
      <c r="L7974" s="405" t="s">
        <v>6866</v>
      </c>
      <c r="M7974" s="405" t="s">
        <v>9763</v>
      </c>
      <c r="N7974" s="405" t="s">
        <v>9848</v>
      </c>
      <c r="O7974" s="405" t="s">
        <v>10962</v>
      </c>
      <c r="P7974" s="405" t="s">
        <v>10999</v>
      </c>
      <c r="Q7974" s="411">
        <v>6</v>
      </c>
      <c r="R7974" s="405" t="s">
        <v>7224</v>
      </c>
      <c r="S7974" s="405" t="s">
        <v>17062</v>
      </c>
      <c r="T7974" s="405" t="s">
        <v>32102</v>
      </c>
      <c r="U7974" s="405" t="s">
        <v>319</v>
      </c>
    </row>
    <row r="7975" spans="1:21" hidden="1" x14ac:dyDescent="0.25">
      <c r="A7975" s="405" t="s">
        <v>310</v>
      </c>
      <c r="B7975" s="405" t="s">
        <v>27619</v>
      </c>
      <c r="C7975" s="405" t="s">
        <v>327</v>
      </c>
      <c r="D7975" s="405"/>
      <c r="E7975" s="410">
        <v>40871</v>
      </c>
      <c r="F7975" s="410">
        <v>40916</v>
      </c>
      <c r="G7975" s="405" t="s">
        <v>10915</v>
      </c>
      <c r="H7975" s="405">
        <v>772488769</v>
      </c>
      <c r="I7975" s="405"/>
      <c r="J7975" s="405">
        <v>1.105313</v>
      </c>
      <c r="K7975" s="405">
        <v>34.194732999999999</v>
      </c>
      <c r="L7975" s="405" t="s">
        <v>6866</v>
      </c>
      <c r="M7975" s="405" t="s">
        <v>9514</v>
      </c>
      <c r="N7975" s="405" t="s">
        <v>9722</v>
      </c>
      <c r="O7975" s="405" t="s">
        <v>9530</v>
      </c>
      <c r="P7975" s="405" t="s">
        <v>10916</v>
      </c>
      <c r="Q7975" s="411">
        <v>6</v>
      </c>
      <c r="R7975" s="405" t="s">
        <v>7224</v>
      </c>
      <c r="S7975" s="405" t="s">
        <v>17062</v>
      </c>
      <c r="T7975" s="405" t="s">
        <v>32102</v>
      </c>
      <c r="U7975" s="405" t="s">
        <v>319</v>
      </c>
    </row>
    <row r="7976" spans="1:21" hidden="1" x14ac:dyDescent="0.25">
      <c r="A7976" s="405" t="s">
        <v>310</v>
      </c>
      <c r="B7976" s="405" t="s">
        <v>28924</v>
      </c>
      <c r="C7976" s="405" t="s">
        <v>327</v>
      </c>
      <c r="D7976" s="405"/>
      <c r="E7976" s="410">
        <v>40871</v>
      </c>
      <c r="F7976" s="410">
        <v>40916</v>
      </c>
      <c r="G7976" s="405" t="s">
        <v>10960</v>
      </c>
      <c r="H7976" s="405">
        <v>782813237</v>
      </c>
      <c r="I7976" s="405"/>
      <c r="J7976" s="405">
        <v>0.83729900000000002</v>
      </c>
      <c r="K7976" s="405">
        <v>34.266646999999999</v>
      </c>
      <c r="L7976" s="405" t="s">
        <v>6866</v>
      </c>
      <c r="M7976" s="405" t="s">
        <v>9763</v>
      </c>
      <c r="N7976" s="405" t="s">
        <v>9764</v>
      </c>
      <c r="O7976" s="405" t="s">
        <v>10880</v>
      </c>
      <c r="P7976" s="405" t="s">
        <v>10881</v>
      </c>
      <c r="Q7976" s="411">
        <v>6</v>
      </c>
      <c r="R7976" s="405" t="s">
        <v>7224</v>
      </c>
      <c r="S7976" s="405" t="s">
        <v>27203</v>
      </c>
      <c r="T7976" s="405" t="s">
        <v>32102</v>
      </c>
      <c r="U7976" s="405" t="s">
        <v>319</v>
      </c>
    </row>
    <row r="7977" spans="1:21" hidden="1" x14ac:dyDescent="0.25">
      <c r="A7977" s="405" t="s">
        <v>310</v>
      </c>
      <c r="B7977" s="405" t="s">
        <v>20357</v>
      </c>
      <c r="C7977" s="405" t="s">
        <v>327</v>
      </c>
      <c r="D7977" s="405"/>
      <c r="E7977" s="410">
        <v>40870</v>
      </c>
      <c r="F7977" s="410">
        <v>40915</v>
      </c>
      <c r="G7977" s="405" t="s">
        <v>20358</v>
      </c>
      <c r="H7977" s="405">
        <v>782901927</v>
      </c>
      <c r="I7977" s="405"/>
      <c r="J7977" s="405">
        <v>-0.82274999999999998</v>
      </c>
      <c r="K7977" s="405">
        <v>30.711748</v>
      </c>
      <c r="L7977" s="405" t="s">
        <v>590</v>
      </c>
      <c r="M7977" s="405" t="s">
        <v>879</v>
      </c>
      <c r="N7977" s="405" t="s">
        <v>20023</v>
      </c>
      <c r="O7977" s="405" t="s">
        <v>20145</v>
      </c>
      <c r="P7977" s="405" t="s">
        <v>20359</v>
      </c>
      <c r="Q7977" s="411">
        <v>6</v>
      </c>
      <c r="R7977" s="405" t="s">
        <v>333</v>
      </c>
      <c r="S7977" s="405" t="s">
        <v>27298</v>
      </c>
      <c r="T7977" s="405" t="s">
        <v>32102</v>
      </c>
      <c r="U7977" s="405" t="s">
        <v>319</v>
      </c>
    </row>
    <row r="7978" spans="1:21" hidden="1" x14ac:dyDescent="0.25">
      <c r="A7978" s="405" t="s">
        <v>310</v>
      </c>
      <c r="B7978" s="405" t="s">
        <v>10980</v>
      </c>
      <c r="C7978" s="405" t="s">
        <v>327</v>
      </c>
      <c r="D7978" s="405"/>
      <c r="E7978" s="410">
        <v>40870</v>
      </c>
      <c r="F7978" s="410">
        <v>40915</v>
      </c>
      <c r="G7978" s="405" t="s">
        <v>10981</v>
      </c>
      <c r="H7978" s="405">
        <v>775527896</v>
      </c>
      <c r="I7978" s="405"/>
      <c r="J7978" s="405">
        <v>1.259412</v>
      </c>
      <c r="K7978" s="405">
        <v>34.733308999999998</v>
      </c>
      <c r="L7978" s="405" t="s">
        <v>6866</v>
      </c>
      <c r="M7978" s="405" t="s">
        <v>10163</v>
      </c>
      <c r="N7978" s="405" t="s">
        <v>10164</v>
      </c>
      <c r="O7978" s="405" t="s">
        <v>10163</v>
      </c>
      <c r="P7978" s="405" t="s">
        <v>10982</v>
      </c>
      <c r="Q7978" s="411">
        <v>6</v>
      </c>
      <c r="R7978" s="405" t="s">
        <v>9506</v>
      </c>
      <c r="S7978" s="405" t="s">
        <v>27318</v>
      </c>
      <c r="T7978" s="405" t="s">
        <v>32102</v>
      </c>
      <c r="U7978" s="405" t="s">
        <v>319</v>
      </c>
    </row>
    <row r="7979" spans="1:21" hidden="1" x14ac:dyDescent="0.25">
      <c r="A7979" s="405" t="s">
        <v>310</v>
      </c>
      <c r="B7979" s="405" t="s">
        <v>28801</v>
      </c>
      <c r="C7979" s="405" t="s">
        <v>327</v>
      </c>
      <c r="D7979" s="405"/>
      <c r="E7979" s="410">
        <v>40869</v>
      </c>
      <c r="F7979" s="410">
        <v>40914</v>
      </c>
      <c r="G7979" s="405" t="s">
        <v>18269</v>
      </c>
      <c r="H7979" s="405">
        <v>751819838</v>
      </c>
      <c r="I7979" s="405"/>
      <c r="J7979" s="405">
        <v>1.9704969999999999</v>
      </c>
      <c r="K7979" s="405">
        <v>32.999000000000002</v>
      </c>
      <c r="L7979" s="405" t="s">
        <v>860</v>
      </c>
      <c r="M7979" s="405" t="s">
        <v>12189</v>
      </c>
      <c r="N7979" s="405" t="s">
        <v>18270</v>
      </c>
      <c r="O7979" s="405" t="s">
        <v>18271</v>
      </c>
      <c r="P7979" s="405" t="s">
        <v>18272</v>
      </c>
      <c r="Q7979" s="411">
        <v>6</v>
      </c>
      <c r="R7979" s="405" t="s">
        <v>353</v>
      </c>
      <c r="S7979" s="405" t="s">
        <v>27051</v>
      </c>
      <c r="T7979" s="405" t="s">
        <v>32102</v>
      </c>
      <c r="U7979" s="405" t="s">
        <v>319</v>
      </c>
    </row>
    <row r="7980" spans="1:21" hidden="1" x14ac:dyDescent="0.25">
      <c r="A7980" s="405" t="s">
        <v>310</v>
      </c>
      <c r="B7980" s="405" t="s">
        <v>20354</v>
      </c>
      <c r="C7980" s="405" t="s">
        <v>327</v>
      </c>
      <c r="D7980" s="405"/>
      <c r="E7980" s="410">
        <v>40869</v>
      </c>
      <c r="F7980" s="410">
        <v>40914</v>
      </c>
      <c r="G7980" s="405" t="s">
        <v>20355</v>
      </c>
      <c r="H7980" s="405">
        <v>752934305</v>
      </c>
      <c r="I7980" s="405">
        <v>759696135</v>
      </c>
      <c r="J7980" s="405">
        <v>-0.85625899999999999</v>
      </c>
      <c r="K7980" s="405">
        <v>30.680461999999999</v>
      </c>
      <c r="L7980" s="405" t="s">
        <v>590</v>
      </c>
      <c r="M7980" s="405" t="s">
        <v>879</v>
      </c>
      <c r="N7980" s="405" t="s">
        <v>879</v>
      </c>
      <c r="O7980" s="405" t="s">
        <v>20145</v>
      </c>
      <c r="P7980" s="405" t="s">
        <v>20356</v>
      </c>
      <c r="Q7980" s="411">
        <v>6</v>
      </c>
      <c r="R7980" s="405" t="s">
        <v>333</v>
      </c>
      <c r="S7980" s="405" t="s">
        <v>27406</v>
      </c>
      <c r="T7980" s="405" t="s">
        <v>32102</v>
      </c>
      <c r="U7980" s="405" t="s">
        <v>319</v>
      </c>
    </row>
    <row r="7981" spans="1:21" hidden="1" x14ac:dyDescent="0.25">
      <c r="A7981" s="405" t="s">
        <v>310</v>
      </c>
      <c r="B7981" s="405" t="s">
        <v>2078</v>
      </c>
      <c r="C7981" s="405" t="s">
        <v>327</v>
      </c>
      <c r="D7981" s="405"/>
      <c r="E7981" s="410">
        <v>40869</v>
      </c>
      <c r="F7981" s="410">
        <v>40914</v>
      </c>
      <c r="G7981" s="405" t="s">
        <v>2079</v>
      </c>
      <c r="H7981" s="405">
        <v>758537809</v>
      </c>
      <c r="I7981" s="405"/>
      <c r="J7981" s="405">
        <v>0.454677</v>
      </c>
      <c r="K7981" s="405">
        <v>32.145505</v>
      </c>
      <c r="L7981" s="405" t="s">
        <v>314</v>
      </c>
      <c r="M7981" s="405" t="s">
        <v>675</v>
      </c>
      <c r="N7981" s="405" t="s">
        <v>1065</v>
      </c>
      <c r="O7981" s="405" t="s">
        <v>1374</v>
      </c>
      <c r="P7981" s="405" t="s">
        <v>1567</v>
      </c>
      <c r="Q7981" s="411">
        <v>6</v>
      </c>
      <c r="R7981" s="405" t="s">
        <v>318</v>
      </c>
      <c r="S7981" s="405" t="s">
        <v>27046</v>
      </c>
      <c r="T7981" s="405" t="s">
        <v>32102</v>
      </c>
      <c r="U7981" s="405" t="s">
        <v>319</v>
      </c>
    </row>
    <row r="7982" spans="1:21" hidden="1" x14ac:dyDescent="0.25">
      <c r="A7982" s="405" t="s">
        <v>310</v>
      </c>
      <c r="B7982" s="405" t="s">
        <v>10970</v>
      </c>
      <c r="C7982" s="405" t="s">
        <v>327</v>
      </c>
      <c r="D7982" s="405"/>
      <c r="E7982" s="410">
        <v>40868</v>
      </c>
      <c r="F7982" s="410">
        <v>40913</v>
      </c>
      <c r="G7982" s="405" t="s">
        <v>10971</v>
      </c>
      <c r="H7982" s="405">
        <v>777603160</v>
      </c>
      <c r="I7982" s="405"/>
      <c r="J7982" s="405">
        <v>1.2516309999999999</v>
      </c>
      <c r="K7982" s="405">
        <v>34.743398999999997</v>
      </c>
      <c r="L7982" s="405" t="s">
        <v>6866</v>
      </c>
      <c r="M7982" s="405" t="s">
        <v>10163</v>
      </c>
      <c r="N7982" s="405" t="s">
        <v>10164</v>
      </c>
      <c r="O7982" s="405" t="s">
        <v>10168</v>
      </c>
      <c r="P7982" s="405" t="s">
        <v>10972</v>
      </c>
      <c r="Q7982" s="411">
        <v>6</v>
      </c>
      <c r="R7982" s="405" t="s">
        <v>9506</v>
      </c>
      <c r="S7982" s="405" t="s">
        <v>27318</v>
      </c>
      <c r="T7982" s="405" t="s">
        <v>32102</v>
      </c>
      <c r="U7982" s="405" t="s">
        <v>319</v>
      </c>
    </row>
    <row r="7983" spans="1:21" hidden="1" x14ac:dyDescent="0.25">
      <c r="A7983" s="405" t="s">
        <v>310</v>
      </c>
      <c r="B7983" s="405" t="s">
        <v>10964</v>
      </c>
      <c r="C7983" s="405" t="s">
        <v>327</v>
      </c>
      <c r="D7983" s="405"/>
      <c r="E7983" s="410">
        <v>40867</v>
      </c>
      <c r="F7983" s="410">
        <v>40912</v>
      </c>
      <c r="G7983" s="405" t="s">
        <v>10965</v>
      </c>
      <c r="H7983" s="405">
        <v>772462855</v>
      </c>
      <c r="I7983" s="405">
        <v>704798652</v>
      </c>
      <c r="J7983" s="405">
        <v>1.1872799999999999</v>
      </c>
      <c r="K7983" s="405">
        <v>34.119863000000002</v>
      </c>
      <c r="L7983" s="405" t="s">
        <v>6866</v>
      </c>
      <c r="M7983" s="405" t="s">
        <v>9504</v>
      </c>
      <c r="N7983" s="405" t="s">
        <v>9598</v>
      </c>
      <c r="O7983" s="405" t="s">
        <v>9598</v>
      </c>
      <c r="P7983" s="405" t="s">
        <v>10966</v>
      </c>
      <c r="Q7983" s="411">
        <v>9</v>
      </c>
      <c r="R7983" s="405" t="s">
        <v>7224</v>
      </c>
      <c r="S7983" s="405" t="s">
        <v>17062</v>
      </c>
      <c r="T7983" s="405" t="s">
        <v>32102</v>
      </c>
      <c r="U7983" s="405" t="s">
        <v>319</v>
      </c>
    </row>
    <row r="7984" spans="1:21" hidden="1" x14ac:dyDescent="0.25">
      <c r="A7984" s="405" t="s">
        <v>310</v>
      </c>
      <c r="B7984" s="405" t="s">
        <v>28742</v>
      </c>
      <c r="C7984" s="405" t="s">
        <v>327</v>
      </c>
      <c r="D7984" s="405"/>
      <c r="E7984" s="410">
        <v>40867</v>
      </c>
      <c r="F7984" s="410">
        <v>40912</v>
      </c>
      <c r="G7984" s="405" t="s">
        <v>10958</v>
      </c>
      <c r="H7984" s="405">
        <v>782477323</v>
      </c>
      <c r="I7984" s="405"/>
      <c r="J7984" s="405">
        <v>0.71682199999999996</v>
      </c>
      <c r="K7984" s="405">
        <v>34.133310000000002</v>
      </c>
      <c r="L7984" s="405" t="s">
        <v>6866</v>
      </c>
      <c r="M7984" s="405" t="s">
        <v>9534</v>
      </c>
      <c r="N7984" s="405" t="s">
        <v>10113</v>
      </c>
      <c r="O7984" s="405" t="s">
        <v>9770</v>
      </c>
      <c r="P7984" s="405" t="s">
        <v>10959</v>
      </c>
      <c r="Q7984" s="411">
        <v>6</v>
      </c>
      <c r="R7984" s="405" t="s">
        <v>7224</v>
      </c>
      <c r="S7984" s="405" t="s">
        <v>27309</v>
      </c>
      <c r="T7984" s="405" t="s">
        <v>32102</v>
      </c>
      <c r="U7984" s="405" t="s">
        <v>319</v>
      </c>
    </row>
    <row r="7985" spans="1:21" hidden="1" x14ac:dyDescent="0.25">
      <c r="A7985" s="405" t="s">
        <v>310</v>
      </c>
      <c r="B7985" s="405" t="s">
        <v>2076</v>
      </c>
      <c r="C7985" s="405" t="s">
        <v>327</v>
      </c>
      <c r="D7985" s="405"/>
      <c r="E7985" s="410">
        <v>40867</v>
      </c>
      <c r="F7985" s="410">
        <v>40912</v>
      </c>
      <c r="G7985" s="405" t="s">
        <v>2077</v>
      </c>
      <c r="H7985" s="405">
        <v>752620835</v>
      </c>
      <c r="I7985" s="405"/>
      <c r="J7985" s="405">
        <v>0.45293699999999998</v>
      </c>
      <c r="K7985" s="405">
        <v>32.145620000000001</v>
      </c>
      <c r="L7985" s="405" t="s">
        <v>314</v>
      </c>
      <c r="M7985" s="405" t="s">
        <v>675</v>
      </c>
      <c r="N7985" s="405" t="s">
        <v>1065</v>
      </c>
      <c r="O7985" s="405" t="s">
        <v>1374</v>
      </c>
      <c r="P7985" s="405" t="s">
        <v>1567</v>
      </c>
      <c r="Q7985" s="411">
        <v>6</v>
      </c>
      <c r="R7985" s="405" t="s">
        <v>318</v>
      </c>
      <c r="S7985" s="405" t="s">
        <v>27046</v>
      </c>
      <c r="T7985" s="405" t="s">
        <v>32102</v>
      </c>
      <c r="U7985" s="405" t="s">
        <v>319</v>
      </c>
    </row>
    <row r="7986" spans="1:21" hidden="1" x14ac:dyDescent="0.25">
      <c r="A7986" s="405" t="s">
        <v>310</v>
      </c>
      <c r="B7986" s="405" t="s">
        <v>28604</v>
      </c>
      <c r="C7986" s="405" t="s">
        <v>327</v>
      </c>
      <c r="D7986" s="405"/>
      <c r="E7986" s="410">
        <v>40867</v>
      </c>
      <c r="F7986" s="410">
        <v>40912</v>
      </c>
      <c r="G7986" s="405" t="s">
        <v>2065</v>
      </c>
      <c r="H7986" s="405">
        <v>789371520</v>
      </c>
      <c r="I7986" s="405"/>
      <c r="J7986" s="405">
        <v>0.29181499999999999</v>
      </c>
      <c r="K7986" s="405">
        <v>32.149932999999997</v>
      </c>
      <c r="L7986" s="405" t="s">
        <v>314</v>
      </c>
      <c r="M7986" s="405" t="s">
        <v>675</v>
      </c>
      <c r="N7986" s="405" t="s">
        <v>676</v>
      </c>
      <c r="O7986" s="405" t="s">
        <v>677</v>
      </c>
      <c r="P7986" s="405" t="s">
        <v>523</v>
      </c>
      <c r="Q7986" s="411">
        <v>6</v>
      </c>
      <c r="R7986" s="405" t="s">
        <v>438</v>
      </c>
      <c r="S7986" s="405" t="s">
        <v>27128</v>
      </c>
      <c r="T7986" s="405" t="s">
        <v>32102</v>
      </c>
      <c r="U7986" s="405" t="s">
        <v>319</v>
      </c>
    </row>
    <row r="7987" spans="1:21" hidden="1" x14ac:dyDescent="0.25">
      <c r="A7987" s="405" t="s">
        <v>310</v>
      </c>
      <c r="B7987" s="405" t="s">
        <v>11364</v>
      </c>
      <c r="C7987" s="405" t="s">
        <v>311</v>
      </c>
      <c r="D7987" s="405" t="s">
        <v>839</v>
      </c>
      <c r="E7987" s="410">
        <v>40867</v>
      </c>
      <c r="F7987" s="410">
        <v>40912</v>
      </c>
      <c r="G7987" s="405" t="s">
        <v>11365</v>
      </c>
      <c r="H7987" s="405">
        <v>778196270</v>
      </c>
      <c r="I7987" s="405"/>
      <c r="J7987" s="405">
        <v>0.73811599999999999</v>
      </c>
      <c r="K7987" s="405">
        <v>33.950432999999997</v>
      </c>
      <c r="L7987" s="405" t="s">
        <v>6866</v>
      </c>
      <c r="M7987" s="405" t="s">
        <v>9534</v>
      </c>
      <c r="N7987" s="405" t="s">
        <v>10085</v>
      </c>
      <c r="O7987" s="405" t="s">
        <v>10922</v>
      </c>
      <c r="P7987" s="405" t="s">
        <v>11366</v>
      </c>
      <c r="Q7987" s="411">
        <v>6</v>
      </c>
      <c r="R7987" s="405" t="s">
        <v>7224</v>
      </c>
      <c r="S7987" s="405" t="s">
        <v>27142</v>
      </c>
      <c r="T7987" s="405" t="s">
        <v>32102</v>
      </c>
      <c r="U7987" s="405" t="s">
        <v>319</v>
      </c>
    </row>
    <row r="7988" spans="1:21" hidden="1" x14ac:dyDescent="0.25">
      <c r="A7988" s="405" t="s">
        <v>310</v>
      </c>
      <c r="B7988" s="405" t="s">
        <v>10938</v>
      </c>
      <c r="C7988" s="405" t="s">
        <v>327</v>
      </c>
      <c r="D7988" s="405"/>
      <c r="E7988" s="410">
        <v>40867</v>
      </c>
      <c r="F7988" s="410">
        <v>40912</v>
      </c>
      <c r="G7988" s="405" t="s">
        <v>10939</v>
      </c>
      <c r="H7988" s="405">
        <v>758853447</v>
      </c>
      <c r="I7988" s="405"/>
      <c r="J7988" s="405">
        <v>0.75329199999999996</v>
      </c>
      <c r="K7988" s="405">
        <v>33.948757000000001</v>
      </c>
      <c r="L7988" s="405" t="s">
        <v>6866</v>
      </c>
      <c r="M7988" s="405" t="s">
        <v>9534</v>
      </c>
      <c r="N7988" s="405" t="s">
        <v>10085</v>
      </c>
      <c r="O7988" s="405" t="s">
        <v>10922</v>
      </c>
      <c r="P7988" s="405" t="s">
        <v>10940</v>
      </c>
      <c r="Q7988" s="411">
        <v>6</v>
      </c>
      <c r="R7988" s="405" t="s">
        <v>7224</v>
      </c>
      <c r="S7988" s="405" t="s">
        <v>27316</v>
      </c>
      <c r="T7988" s="405" t="s">
        <v>32102</v>
      </c>
      <c r="U7988" s="405" t="s">
        <v>319</v>
      </c>
    </row>
    <row r="7989" spans="1:21" hidden="1" x14ac:dyDescent="0.25">
      <c r="A7989" s="405" t="s">
        <v>310</v>
      </c>
      <c r="B7989" s="405" t="s">
        <v>2085</v>
      </c>
      <c r="C7989" s="405" t="s">
        <v>327</v>
      </c>
      <c r="D7989" s="405"/>
      <c r="E7989" s="410">
        <v>40867</v>
      </c>
      <c r="F7989" s="410">
        <v>40912</v>
      </c>
      <c r="G7989" s="405" t="s">
        <v>2086</v>
      </c>
      <c r="H7989" s="405">
        <v>751024540</v>
      </c>
      <c r="I7989" s="405">
        <v>777054540</v>
      </c>
      <c r="J7989" s="405">
        <v>0.18526000000000001</v>
      </c>
      <c r="K7989" s="405">
        <v>32.084989999999998</v>
      </c>
      <c r="L7989" s="405" t="s">
        <v>314</v>
      </c>
      <c r="M7989" s="405" t="s">
        <v>315</v>
      </c>
      <c r="N7989" s="405" t="s">
        <v>315</v>
      </c>
      <c r="O7989" s="405" t="s">
        <v>2087</v>
      </c>
      <c r="P7989" s="405" t="s">
        <v>2088</v>
      </c>
      <c r="Q7989" s="411">
        <v>6</v>
      </c>
      <c r="R7989" s="405" t="s">
        <v>318</v>
      </c>
      <c r="S7989" s="405" t="s">
        <v>27135</v>
      </c>
      <c r="T7989" s="405" t="s">
        <v>32102</v>
      </c>
      <c r="U7989" s="405" t="s">
        <v>319</v>
      </c>
    </row>
    <row r="7990" spans="1:21" hidden="1" x14ac:dyDescent="0.25">
      <c r="A7990" s="405" t="s">
        <v>310</v>
      </c>
      <c r="B7990" s="405" t="s">
        <v>20348</v>
      </c>
      <c r="C7990" s="405" t="s">
        <v>327</v>
      </c>
      <c r="D7990" s="405"/>
      <c r="E7990" s="410">
        <v>40866</v>
      </c>
      <c r="F7990" s="410">
        <v>40911</v>
      </c>
      <c r="G7990" s="405" t="s">
        <v>20349</v>
      </c>
      <c r="H7990" s="405">
        <v>772612018</v>
      </c>
      <c r="I7990" s="405">
        <v>702612018</v>
      </c>
      <c r="J7990" s="405">
        <v>-0.64217999999999997</v>
      </c>
      <c r="K7990" s="405">
        <v>30.150535999999999</v>
      </c>
      <c r="L7990" s="405" t="s">
        <v>590</v>
      </c>
      <c r="M7990" s="405" t="s">
        <v>19625</v>
      </c>
      <c r="N7990" s="405" t="s">
        <v>19642</v>
      </c>
      <c r="O7990" s="405" t="s">
        <v>19800</v>
      </c>
      <c r="P7990" s="405" t="s">
        <v>20350</v>
      </c>
      <c r="Q7990" s="411">
        <v>9</v>
      </c>
      <c r="R7990" s="405" t="s">
        <v>333</v>
      </c>
      <c r="S7990" s="405" t="s">
        <v>27116</v>
      </c>
      <c r="T7990" s="405" t="s">
        <v>32102</v>
      </c>
      <c r="U7990" s="405" t="s">
        <v>319</v>
      </c>
    </row>
    <row r="7991" spans="1:21" hidden="1" x14ac:dyDescent="0.25">
      <c r="A7991" s="405" t="s">
        <v>310</v>
      </c>
      <c r="B7991" s="405" t="s">
        <v>28767</v>
      </c>
      <c r="C7991" s="405" t="s">
        <v>327</v>
      </c>
      <c r="D7991" s="405"/>
      <c r="E7991" s="410">
        <v>40866</v>
      </c>
      <c r="F7991" s="410">
        <v>40911</v>
      </c>
      <c r="G7991" s="405" t="s">
        <v>10937</v>
      </c>
      <c r="H7991" s="405">
        <v>754251252</v>
      </c>
      <c r="I7991" s="405"/>
      <c r="J7991" s="405">
        <v>0.76277099999999998</v>
      </c>
      <c r="K7991" s="405">
        <v>33.949601000000001</v>
      </c>
      <c r="L7991" s="405" t="s">
        <v>6866</v>
      </c>
      <c r="M7991" s="405" t="s">
        <v>9534</v>
      </c>
      <c r="N7991" s="405" t="s">
        <v>10085</v>
      </c>
      <c r="O7991" s="405" t="s">
        <v>10922</v>
      </c>
      <c r="P7991" s="405" t="s">
        <v>10936</v>
      </c>
      <c r="Q7991" s="411">
        <v>6</v>
      </c>
      <c r="R7991" s="405" t="s">
        <v>7224</v>
      </c>
      <c r="S7991" s="405" t="s">
        <v>27074</v>
      </c>
      <c r="T7991" s="405" t="s">
        <v>32102</v>
      </c>
      <c r="U7991" s="405" t="s">
        <v>319</v>
      </c>
    </row>
    <row r="7992" spans="1:21" hidden="1" x14ac:dyDescent="0.25">
      <c r="A7992" s="405" t="s">
        <v>310</v>
      </c>
      <c r="B7992" s="405" t="s">
        <v>10934</v>
      </c>
      <c r="C7992" s="405" t="s">
        <v>327</v>
      </c>
      <c r="D7992" s="405"/>
      <c r="E7992" s="410">
        <v>40866</v>
      </c>
      <c r="F7992" s="410">
        <v>40911</v>
      </c>
      <c r="G7992" s="405" t="s">
        <v>10935</v>
      </c>
      <c r="H7992" s="405">
        <v>772978663</v>
      </c>
      <c r="I7992" s="405"/>
      <c r="J7992" s="405">
        <v>0.76197099999999995</v>
      </c>
      <c r="K7992" s="405">
        <v>33.948523000000002</v>
      </c>
      <c r="L7992" s="405" t="s">
        <v>6866</v>
      </c>
      <c r="M7992" s="405" t="s">
        <v>9534</v>
      </c>
      <c r="N7992" s="405" t="s">
        <v>10085</v>
      </c>
      <c r="O7992" s="405" t="s">
        <v>10922</v>
      </c>
      <c r="P7992" s="405" t="s">
        <v>10936</v>
      </c>
      <c r="Q7992" s="411">
        <v>6</v>
      </c>
      <c r="R7992" s="405" t="s">
        <v>7224</v>
      </c>
      <c r="S7992" s="405" t="s">
        <v>27283</v>
      </c>
      <c r="T7992" s="405" t="s">
        <v>32102</v>
      </c>
      <c r="U7992" s="405" t="s">
        <v>319</v>
      </c>
    </row>
    <row r="7993" spans="1:21" hidden="1" x14ac:dyDescent="0.25">
      <c r="A7993" s="405" t="s">
        <v>310</v>
      </c>
      <c r="B7993" s="405" t="s">
        <v>28597</v>
      </c>
      <c r="C7993" s="405" t="s">
        <v>327</v>
      </c>
      <c r="D7993" s="405"/>
      <c r="E7993" s="410">
        <v>40865</v>
      </c>
      <c r="F7993" s="410">
        <v>40910</v>
      </c>
      <c r="G7993" s="405" t="s">
        <v>2072</v>
      </c>
      <c r="H7993" s="405">
        <v>730032072</v>
      </c>
      <c r="I7993" s="405">
        <v>773423195</v>
      </c>
      <c r="J7993" s="405">
        <v>0.23283999999999999</v>
      </c>
      <c r="K7993" s="405">
        <v>32.315300000000001</v>
      </c>
      <c r="L7993" s="405" t="s">
        <v>314</v>
      </c>
      <c r="M7993" s="405" t="s">
        <v>321</v>
      </c>
      <c r="N7993" s="405" t="s">
        <v>322</v>
      </c>
      <c r="O7993" s="405" t="s">
        <v>996</v>
      </c>
      <c r="P7993" s="405" t="s">
        <v>2073</v>
      </c>
      <c r="Q7993" s="411">
        <v>6</v>
      </c>
      <c r="R7993" s="405" t="s">
        <v>318</v>
      </c>
      <c r="S7993" s="405" t="s">
        <v>27137</v>
      </c>
      <c r="T7993" s="405" t="s">
        <v>32102</v>
      </c>
      <c r="U7993" s="405" t="s">
        <v>319</v>
      </c>
    </row>
    <row r="7994" spans="1:21" hidden="1" x14ac:dyDescent="0.25">
      <c r="A7994" s="405" t="s">
        <v>310</v>
      </c>
      <c r="B7994" s="405" t="s">
        <v>2069</v>
      </c>
      <c r="C7994" s="405" t="s">
        <v>327</v>
      </c>
      <c r="D7994" s="405"/>
      <c r="E7994" s="410">
        <v>40865</v>
      </c>
      <c r="F7994" s="410">
        <v>40910</v>
      </c>
      <c r="G7994" s="405" t="s">
        <v>2070</v>
      </c>
      <c r="H7994" s="405">
        <v>774760636</v>
      </c>
      <c r="I7994" s="405">
        <v>774453815</v>
      </c>
      <c r="J7994" s="405">
        <v>0.22342166666666669</v>
      </c>
      <c r="K7994" s="405">
        <v>32.334693333333334</v>
      </c>
      <c r="L7994" s="405" t="s">
        <v>314</v>
      </c>
      <c r="M7994" s="405" t="s">
        <v>321</v>
      </c>
      <c r="N7994" s="405" t="s">
        <v>322</v>
      </c>
      <c r="O7994" s="405" t="s">
        <v>996</v>
      </c>
      <c r="P7994" s="405" t="s">
        <v>2071</v>
      </c>
      <c r="Q7994" s="411">
        <v>6</v>
      </c>
      <c r="R7994" s="405" t="s">
        <v>318</v>
      </c>
      <c r="S7994" s="405" t="s">
        <v>27137</v>
      </c>
      <c r="T7994" s="405" t="s">
        <v>32102</v>
      </c>
      <c r="U7994" s="405" t="s">
        <v>319</v>
      </c>
    </row>
    <row r="7995" spans="1:21" hidden="1" x14ac:dyDescent="0.25">
      <c r="A7995" s="405" t="s">
        <v>310</v>
      </c>
      <c r="B7995" s="405" t="s">
        <v>18273</v>
      </c>
      <c r="C7995" s="405" t="s">
        <v>327</v>
      </c>
      <c r="D7995" s="405"/>
      <c r="E7995" s="410">
        <v>40864</v>
      </c>
      <c r="F7995" s="410">
        <v>40909</v>
      </c>
      <c r="G7995" s="405" t="s">
        <v>18274</v>
      </c>
      <c r="H7995" s="405">
        <v>788102921</v>
      </c>
      <c r="I7995" s="405">
        <v>781067412</v>
      </c>
      <c r="J7995" s="405">
        <v>2.240653</v>
      </c>
      <c r="K7995" s="405">
        <v>32.879373999999999</v>
      </c>
      <c r="L7995" s="405" t="s">
        <v>860</v>
      </c>
      <c r="M7995" s="405" t="s">
        <v>18234</v>
      </c>
      <c r="N7995" s="405" t="s">
        <v>18275</v>
      </c>
      <c r="O7995" s="405" t="s">
        <v>18265</v>
      </c>
      <c r="P7995" s="405" t="s">
        <v>18266</v>
      </c>
      <c r="Q7995" s="411">
        <v>6</v>
      </c>
      <c r="R7995" s="405" t="s">
        <v>994</v>
      </c>
      <c r="S7995" s="405" t="s">
        <v>27179</v>
      </c>
      <c r="T7995" s="405" t="s">
        <v>32102</v>
      </c>
      <c r="U7995" s="405" t="s">
        <v>319</v>
      </c>
    </row>
    <row r="7996" spans="1:21" hidden="1" x14ac:dyDescent="0.25">
      <c r="A7996" s="405" t="s">
        <v>310</v>
      </c>
      <c r="B7996" s="405" t="s">
        <v>28137</v>
      </c>
      <c r="C7996" s="405" t="s">
        <v>327</v>
      </c>
      <c r="D7996" s="405"/>
      <c r="E7996" s="410">
        <v>40864</v>
      </c>
      <c r="F7996" s="410">
        <v>40909</v>
      </c>
      <c r="G7996" s="405" t="s">
        <v>10913</v>
      </c>
      <c r="H7996" s="405">
        <v>782515242</v>
      </c>
      <c r="I7996" s="405"/>
      <c r="J7996" s="405">
        <v>1.1311469999999999</v>
      </c>
      <c r="K7996" s="405">
        <v>34.221057000000002</v>
      </c>
      <c r="L7996" s="405" t="s">
        <v>6866</v>
      </c>
      <c r="M7996" s="405" t="s">
        <v>9514</v>
      </c>
      <c r="N7996" s="405" t="s">
        <v>9529</v>
      </c>
      <c r="O7996" s="405" t="s">
        <v>9530</v>
      </c>
      <c r="P7996" s="405" t="s">
        <v>10914</v>
      </c>
      <c r="Q7996" s="411">
        <v>6</v>
      </c>
      <c r="R7996" s="405" t="s">
        <v>333</v>
      </c>
      <c r="S7996" s="405" t="s">
        <v>27309</v>
      </c>
      <c r="T7996" s="405" t="s">
        <v>32102</v>
      </c>
      <c r="U7996" s="405" t="s">
        <v>319</v>
      </c>
    </row>
    <row r="7997" spans="1:21" hidden="1" x14ac:dyDescent="0.25">
      <c r="A7997" s="405" t="s">
        <v>310</v>
      </c>
      <c r="B7997" s="405" t="s">
        <v>10954</v>
      </c>
      <c r="C7997" s="405" t="s">
        <v>327</v>
      </c>
      <c r="D7997" s="405"/>
      <c r="E7997" s="410">
        <v>40864</v>
      </c>
      <c r="F7997" s="410">
        <v>40909</v>
      </c>
      <c r="G7997" s="405" t="s">
        <v>10955</v>
      </c>
      <c r="H7997" s="405">
        <v>777047205</v>
      </c>
      <c r="I7997" s="405"/>
      <c r="J7997" s="405">
        <v>1.8650549999999999</v>
      </c>
      <c r="K7997" s="405">
        <v>33.694257999999998</v>
      </c>
      <c r="L7997" s="405" t="s">
        <v>6866</v>
      </c>
      <c r="M7997" s="405" t="s">
        <v>10515</v>
      </c>
      <c r="N7997" s="405" t="s">
        <v>10525</v>
      </c>
      <c r="O7997" s="405" t="s">
        <v>10526</v>
      </c>
      <c r="P7997" s="405" t="s">
        <v>10771</v>
      </c>
      <c r="Q7997" s="411">
        <v>6</v>
      </c>
      <c r="R7997" s="405" t="s">
        <v>7224</v>
      </c>
      <c r="S7997" s="405" t="s">
        <v>27330</v>
      </c>
      <c r="T7997" s="405" t="s">
        <v>32102</v>
      </c>
      <c r="U7997" s="405" t="s">
        <v>319</v>
      </c>
    </row>
    <row r="7998" spans="1:21" hidden="1" x14ac:dyDescent="0.25">
      <c r="A7998" s="405" t="s">
        <v>310</v>
      </c>
      <c r="B7998" s="405" t="s">
        <v>11383</v>
      </c>
      <c r="C7998" s="405" t="s">
        <v>311</v>
      </c>
      <c r="D7998" s="405" t="s">
        <v>312</v>
      </c>
      <c r="E7998" s="410">
        <v>40864</v>
      </c>
      <c r="F7998" s="410">
        <v>40909</v>
      </c>
      <c r="G7998" s="405" t="s">
        <v>11384</v>
      </c>
      <c r="H7998" s="405">
        <v>779764253</v>
      </c>
      <c r="I7998" s="405"/>
      <c r="J7998" s="405">
        <v>1.1131770000000001</v>
      </c>
      <c r="K7998" s="405">
        <v>34.202722999999999</v>
      </c>
      <c r="L7998" s="405" t="s">
        <v>6866</v>
      </c>
      <c r="M7998" s="405" t="s">
        <v>9514</v>
      </c>
      <c r="N7998" s="405" t="s">
        <v>9529</v>
      </c>
      <c r="O7998" s="405" t="s">
        <v>9530</v>
      </c>
      <c r="P7998" s="405" t="s">
        <v>11385</v>
      </c>
      <c r="Q7998" s="411">
        <v>6</v>
      </c>
      <c r="R7998" s="405" t="s">
        <v>333</v>
      </c>
      <c r="S7998" s="405" t="s">
        <v>27300</v>
      </c>
      <c r="T7998" s="405" t="s">
        <v>32102</v>
      </c>
      <c r="U7998" s="405" t="s">
        <v>319</v>
      </c>
    </row>
    <row r="7999" spans="1:21" hidden="1" x14ac:dyDescent="0.25">
      <c r="A7999" s="405" t="s">
        <v>310</v>
      </c>
      <c r="B7999" s="405" t="s">
        <v>2031</v>
      </c>
      <c r="C7999" s="405" t="s">
        <v>327</v>
      </c>
      <c r="D7999" s="405"/>
      <c r="E7999" s="410">
        <v>40863</v>
      </c>
      <c r="F7999" s="410">
        <v>40908</v>
      </c>
      <c r="G7999" s="405" t="s">
        <v>2032</v>
      </c>
      <c r="H7999" s="405">
        <v>788677067</v>
      </c>
      <c r="I7999" s="405">
        <v>754095336</v>
      </c>
      <c r="J7999" s="405">
        <v>0.56801199999999996</v>
      </c>
      <c r="K7999" s="405">
        <v>31.939102999999999</v>
      </c>
      <c r="L7999" s="405" t="s">
        <v>314</v>
      </c>
      <c r="M7999" s="405" t="s">
        <v>675</v>
      </c>
      <c r="N7999" s="405" t="s">
        <v>675</v>
      </c>
      <c r="O7999" s="405" t="s">
        <v>1711</v>
      </c>
      <c r="P7999" s="405" t="s">
        <v>1456</v>
      </c>
      <c r="Q7999" s="411">
        <v>6</v>
      </c>
      <c r="R7999" s="405" t="s">
        <v>318</v>
      </c>
      <c r="S7999" s="405" t="s">
        <v>414</v>
      </c>
      <c r="T7999" s="405" t="s">
        <v>32102</v>
      </c>
      <c r="U7999" s="405" t="s">
        <v>319</v>
      </c>
    </row>
    <row r="8000" spans="1:21" hidden="1" x14ac:dyDescent="0.25">
      <c r="A8000" s="405" t="s">
        <v>310</v>
      </c>
      <c r="B8000" s="405" t="s">
        <v>2029</v>
      </c>
      <c r="C8000" s="405" t="s">
        <v>327</v>
      </c>
      <c r="D8000" s="405"/>
      <c r="E8000" s="410">
        <v>40862</v>
      </c>
      <c r="F8000" s="410">
        <v>40907</v>
      </c>
      <c r="G8000" s="405" t="s">
        <v>2030</v>
      </c>
      <c r="H8000" s="405">
        <v>781663555</v>
      </c>
      <c r="I8000" s="405"/>
      <c r="J8000" s="405">
        <v>0.25348799999999999</v>
      </c>
      <c r="K8000" s="405">
        <v>31.893070000000002</v>
      </c>
      <c r="L8000" s="405" t="s">
        <v>314</v>
      </c>
      <c r="M8000" s="405" t="s">
        <v>675</v>
      </c>
      <c r="N8000" s="405" t="s">
        <v>676</v>
      </c>
      <c r="O8000" s="405" t="s">
        <v>1921</v>
      </c>
      <c r="P8000" s="405" t="s">
        <v>1921</v>
      </c>
      <c r="Q8000" s="411">
        <v>12</v>
      </c>
      <c r="R8000" s="405" t="s">
        <v>353</v>
      </c>
      <c r="S8000" s="405" t="s">
        <v>27051</v>
      </c>
      <c r="T8000" s="405" t="s">
        <v>32102</v>
      </c>
      <c r="U8000" s="405" t="s">
        <v>319</v>
      </c>
    </row>
    <row r="8001" spans="1:21" hidden="1" x14ac:dyDescent="0.25">
      <c r="A8001" s="405" t="s">
        <v>310</v>
      </c>
      <c r="B8001" s="405" t="s">
        <v>27502</v>
      </c>
      <c r="C8001" s="405" t="s">
        <v>311</v>
      </c>
      <c r="D8001" s="405" t="s">
        <v>839</v>
      </c>
      <c r="E8001" s="410">
        <v>40862</v>
      </c>
      <c r="F8001" s="410">
        <v>40907</v>
      </c>
      <c r="G8001" s="405" t="s">
        <v>18539</v>
      </c>
      <c r="H8001" s="405">
        <v>777808381</v>
      </c>
      <c r="I8001" s="405"/>
      <c r="J8001" s="405">
        <v>2.215967</v>
      </c>
      <c r="K8001" s="405">
        <v>33.036918999999997</v>
      </c>
      <c r="L8001" s="405" t="s">
        <v>860</v>
      </c>
      <c r="M8001" s="405" t="s">
        <v>18234</v>
      </c>
      <c r="N8001" s="405" t="s">
        <v>18252</v>
      </c>
      <c r="O8001" s="405" t="s">
        <v>18260</v>
      </c>
      <c r="P8001" s="405" t="s">
        <v>18540</v>
      </c>
      <c r="Q8001" s="411">
        <v>6</v>
      </c>
      <c r="R8001" s="405" t="s">
        <v>994</v>
      </c>
      <c r="S8001" s="405" t="s">
        <v>27079</v>
      </c>
      <c r="T8001" s="405" t="s">
        <v>32102</v>
      </c>
      <c r="U8001" s="405" t="s">
        <v>319</v>
      </c>
    </row>
    <row r="8002" spans="1:21" hidden="1" x14ac:dyDescent="0.25">
      <c r="A8002" s="405" t="s">
        <v>310</v>
      </c>
      <c r="B8002" s="405" t="s">
        <v>2017</v>
      </c>
      <c r="C8002" s="405" t="s">
        <v>327</v>
      </c>
      <c r="D8002" s="405"/>
      <c r="E8002" s="410">
        <v>40862</v>
      </c>
      <c r="F8002" s="410">
        <v>40907</v>
      </c>
      <c r="G8002" s="405" t="s">
        <v>2018</v>
      </c>
      <c r="H8002" s="405">
        <v>773161088</v>
      </c>
      <c r="I8002" s="405"/>
      <c r="J8002" s="405">
        <v>0.53479299999999996</v>
      </c>
      <c r="K8002" s="405">
        <v>32.056752000000003</v>
      </c>
      <c r="L8002" s="405" t="s">
        <v>314</v>
      </c>
      <c r="M8002" s="405" t="s">
        <v>675</v>
      </c>
      <c r="N8002" s="405" t="s">
        <v>1065</v>
      </c>
      <c r="O8002" s="405" t="s">
        <v>1248</v>
      </c>
      <c r="P8002" s="405" t="s">
        <v>2019</v>
      </c>
      <c r="Q8002" s="411">
        <v>6</v>
      </c>
      <c r="R8002" s="405" t="s">
        <v>438</v>
      </c>
      <c r="S8002" s="405" t="s">
        <v>27174</v>
      </c>
      <c r="T8002" s="405" t="s">
        <v>32102</v>
      </c>
      <c r="U8002" s="405" t="s">
        <v>319</v>
      </c>
    </row>
    <row r="8003" spans="1:21" hidden="1" x14ac:dyDescent="0.25">
      <c r="A8003" s="405" t="s">
        <v>310</v>
      </c>
      <c r="B8003" s="405" t="s">
        <v>2551</v>
      </c>
      <c r="C8003" s="405" t="s">
        <v>327</v>
      </c>
      <c r="D8003" s="405"/>
      <c r="E8003" s="410">
        <v>40861</v>
      </c>
      <c r="F8003" s="410">
        <v>40906</v>
      </c>
      <c r="G8003" s="405" t="s">
        <v>2552</v>
      </c>
      <c r="H8003" s="405">
        <v>776502776</v>
      </c>
      <c r="I8003" s="405"/>
      <c r="J8003" s="405">
        <v>0.39122800000000002</v>
      </c>
      <c r="K8003" s="405">
        <v>32.135621999999998</v>
      </c>
      <c r="L8003" s="405" t="s">
        <v>314</v>
      </c>
      <c r="M8003" s="405" t="s">
        <v>675</v>
      </c>
      <c r="N8003" s="405" t="s">
        <v>1065</v>
      </c>
      <c r="O8003" s="405" t="s">
        <v>1066</v>
      </c>
      <c r="P8003" s="405" t="s">
        <v>2553</v>
      </c>
      <c r="Q8003" s="411">
        <v>6</v>
      </c>
      <c r="R8003" s="405" t="s">
        <v>318</v>
      </c>
      <c r="S8003" s="405" t="s">
        <v>27148</v>
      </c>
      <c r="T8003" s="405" t="s">
        <v>32102</v>
      </c>
      <c r="U8003" s="405" t="s">
        <v>319</v>
      </c>
    </row>
    <row r="8004" spans="1:21" hidden="1" x14ac:dyDescent="0.25">
      <c r="A8004" s="405" t="s">
        <v>310</v>
      </c>
      <c r="B8004" s="405" t="s">
        <v>28511</v>
      </c>
      <c r="C8004" s="405" t="s">
        <v>327</v>
      </c>
      <c r="D8004" s="405"/>
      <c r="E8004" s="410">
        <v>40860</v>
      </c>
      <c r="F8004" s="410">
        <v>40905</v>
      </c>
      <c r="G8004" s="405" t="s">
        <v>1992</v>
      </c>
      <c r="H8004" s="405">
        <v>775566795</v>
      </c>
      <c r="I8004" s="405"/>
      <c r="J8004" s="405">
        <v>0.11043333333333334</v>
      </c>
      <c r="K8004" s="405">
        <v>32.098811666666663</v>
      </c>
      <c r="L8004" s="405" t="s">
        <v>314</v>
      </c>
      <c r="M8004" s="405" t="s">
        <v>321</v>
      </c>
      <c r="N8004" s="405" t="s">
        <v>322</v>
      </c>
      <c r="O8004" s="405" t="s">
        <v>476</v>
      </c>
      <c r="P8004" s="405" t="s">
        <v>1895</v>
      </c>
      <c r="Q8004" s="411">
        <v>6</v>
      </c>
      <c r="R8004" s="405" t="s">
        <v>1623</v>
      </c>
      <c r="S8004" s="405" t="s">
        <v>27036</v>
      </c>
      <c r="T8004" s="405" t="s">
        <v>32102</v>
      </c>
      <c r="U8004" s="405" t="s">
        <v>319</v>
      </c>
    </row>
    <row r="8005" spans="1:21" hidden="1" x14ac:dyDescent="0.25">
      <c r="A8005" s="405" t="s">
        <v>310</v>
      </c>
      <c r="B8005" s="405" t="s">
        <v>20321</v>
      </c>
      <c r="C8005" s="405" t="s">
        <v>327</v>
      </c>
      <c r="D8005" s="405"/>
      <c r="E8005" s="410">
        <v>40859</v>
      </c>
      <c r="F8005" s="410">
        <v>40904</v>
      </c>
      <c r="G8005" s="405" t="s">
        <v>20322</v>
      </c>
      <c r="H8005" s="405">
        <v>753956486</v>
      </c>
      <c r="I8005" s="405"/>
      <c r="J8005" s="405">
        <v>-0.81790600000000002</v>
      </c>
      <c r="K8005" s="405">
        <v>30.688815999999999</v>
      </c>
      <c r="L8005" s="405" t="s">
        <v>590</v>
      </c>
      <c r="M8005" s="405" t="s">
        <v>879</v>
      </c>
      <c r="N8005" s="405" t="s">
        <v>879</v>
      </c>
      <c r="O8005" s="405" t="s">
        <v>20145</v>
      </c>
      <c r="P8005" s="405" t="s">
        <v>20304</v>
      </c>
      <c r="Q8005" s="411">
        <v>6</v>
      </c>
      <c r="R8005" s="405" t="s">
        <v>333</v>
      </c>
      <c r="S8005" s="405" t="s">
        <v>27298</v>
      </c>
      <c r="T8005" s="405" t="s">
        <v>32102</v>
      </c>
      <c r="U8005" s="405" t="s">
        <v>319</v>
      </c>
    </row>
    <row r="8006" spans="1:21" hidden="1" x14ac:dyDescent="0.25">
      <c r="A8006" s="405" t="s">
        <v>310</v>
      </c>
      <c r="B8006" s="405" t="s">
        <v>20336</v>
      </c>
      <c r="C8006" s="405" t="s">
        <v>327</v>
      </c>
      <c r="D8006" s="405"/>
      <c r="E8006" s="410">
        <v>40858</v>
      </c>
      <c r="F8006" s="410">
        <v>40903</v>
      </c>
      <c r="G8006" s="405" t="s">
        <v>20337</v>
      </c>
      <c r="H8006" s="405">
        <v>772464659</v>
      </c>
      <c r="I8006" s="405"/>
      <c r="J8006" s="405">
        <v>-0.62498100000000001</v>
      </c>
      <c r="K8006" s="405">
        <v>30.641369999999998</v>
      </c>
      <c r="L8006" s="405" t="s">
        <v>590</v>
      </c>
      <c r="M8006" s="405" t="s">
        <v>19614</v>
      </c>
      <c r="N8006" s="405" t="s">
        <v>19873</v>
      </c>
      <c r="O8006" s="405" t="s">
        <v>20338</v>
      </c>
      <c r="P8006" s="405" t="s">
        <v>19904</v>
      </c>
      <c r="Q8006" s="411">
        <v>9</v>
      </c>
      <c r="R8006" s="405" t="s">
        <v>333</v>
      </c>
      <c r="S8006" s="405" t="s">
        <v>27163</v>
      </c>
      <c r="T8006" s="405" t="s">
        <v>32102</v>
      </c>
      <c r="U8006" s="405" t="s">
        <v>319</v>
      </c>
    </row>
    <row r="8007" spans="1:21" hidden="1" x14ac:dyDescent="0.25">
      <c r="A8007" s="405" t="s">
        <v>310</v>
      </c>
      <c r="B8007" s="405" t="s">
        <v>10810</v>
      </c>
      <c r="C8007" s="405" t="s">
        <v>327</v>
      </c>
      <c r="D8007" s="405"/>
      <c r="E8007" s="410">
        <v>40858</v>
      </c>
      <c r="F8007" s="410">
        <v>40903</v>
      </c>
      <c r="G8007" s="405" t="s">
        <v>10811</v>
      </c>
      <c r="H8007" s="405">
        <v>774613187</v>
      </c>
      <c r="I8007" s="405"/>
      <c r="J8007" s="405">
        <v>0.78529300000000002</v>
      </c>
      <c r="K8007" s="405">
        <v>34.225726000000002</v>
      </c>
      <c r="L8007" s="405" t="s">
        <v>6866</v>
      </c>
      <c r="M8007" s="405" t="s">
        <v>9534</v>
      </c>
      <c r="N8007" s="405" t="s">
        <v>10191</v>
      </c>
      <c r="O8007" s="405" t="s">
        <v>10192</v>
      </c>
      <c r="P8007" s="405" t="s">
        <v>10812</v>
      </c>
      <c r="Q8007" s="411">
        <v>6</v>
      </c>
      <c r="R8007" s="405" t="s">
        <v>7224</v>
      </c>
      <c r="S8007" s="405" t="s">
        <v>27259</v>
      </c>
      <c r="T8007" s="405" t="s">
        <v>32102</v>
      </c>
      <c r="U8007" s="405" t="s">
        <v>319</v>
      </c>
    </row>
    <row r="8008" spans="1:21" hidden="1" x14ac:dyDescent="0.25">
      <c r="A8008" s="405" t="s">
        <v>310</v>
      </c>
      <c r="B8008" s="405" t="s">
        <v>20558</v>
      </c>
      <c r="C8008" s="405" t="s">
        <v>311</v>
      </c>
      <c r="D8008" s="405" t="s">
        <v>839</v>
      </c>
      <c r="E8008" s="410">
        <v>40857</v>
      </c>
      <c r="F8008" s="410">
        <v>40902</v>
      </c>
      <c r="G8008" s="405" t="s">
        <v>20559</v>
      </c>
      <c r="H8008" s="405">
        <v>773402838</v>
      </c>
      <c r="I8008" s="405"/>
      <c r="J8008" s="405">
        <v>-0.12779099999999999</v>
      </c>
      <c r="K8008" s="405">
        <v>30.889372999999999</v>
      </c>
      <c r="L8008" s="405" t="s">
        <v>590</v>
      </c>
      <c r="M8008" s="405" t="s">
        <v>19705</v>
      </c>
      <c r="N8008" s="405" t="s">
        <v>19706</v>
      </c>
      <c r="O8008" s="405" t="s">
        <v>19714</v>
      </c>
      <c r="P8008" s="405" t="s">
        <v>20560</v>
      </c>
      <c r="Q8008" s="411">
        <v>12</v>
      </c>
      <c r="R8008" s="405" t="s">
        <v>874</v>
      </c>
      <c r="S8008" s="405" t="s">
        <v>27220</v>
      </c>
      <c r="T8008" s="405" t="s">
        <v>32102</v>
      </c>
      <c r="U8008" s="405" t="s">
        <v>319</v>
      </c>
    </row>
    <row r="8009" spans="1:21" hidden="1" x14ac:dyDescent="0.25">
      <c r="A8009" s="405" t="s">
        <v>310</v>
      </c>
      <c r="B8009" s="405" t="s">
        <v>28602</v>
      </c>
      <c r="C8009" s="405" t="s">
        <v>327</v>
      </c>
      <c r="D8009" s="405"/>
      <c r="E8009" s="410">
        <v>40857</v>
      </c>
      <c r="F8009" s="410">
        <v>40902</v>
      </c>
      <c r="G8009" s="405" t="s">
        <v>10879</v>
      </c>
      <c r="H8009" s="405">
        <v>712860049</v>
      </c>
      <c r="I8009" s="405"/>
      <c r="J8009" s="405">
        <v>0.85232399999999997</v>
      </c>
      <c r="K8009" s="405">
        <v>34.281326999999997</v>
      </c>
      <c r="L8009" s="405" t="s">
        <v>6866</v>
      </c>
      <c r="M8009" s="405" t="s">
        <v>9763</v>
      </c>
      <c r="N8009" s="405" t="s">
        <v>9764</v>
      </c>
      <c r="O8009" s="405" t="s">
        <v>10880</v>
      </c>
      <c r="P8009" s="405" t="s">
        <v>10881</v>
      </c>
      <c r="Q8009" s="411">
        <v>6</v>
      </c>
      <c r="R8009" s="405" t="s">
        <v>7224</v>
      </c>
      <c r="S8009" s="405" t="s">
        <v>27203</v>
      </c>
      <c r="T8009" s="405" t="s">
        <v>32102</v>
      </c>
      <c r="U8009" s="405" t="s">
        <v>319</v>
      </c>
    </row>
    <row r="8010" spans="1:21" hidden="1" x14ac:dyDescent="0.25">
      <c r="A8010" s="405" t="s">
        <v>310</v>
      </c>
      <c r="B8010" s="405" t="s">
        <v>2004</v>
      </c>
      <c r="C8010" s="405" t="s">
        <v>327</v>
      </c>
      <c r="D8010" s="405"/>
      <c r="E8010" s="410">
        <v>40857</v>
      </c>
      <c r="F8010" s="410">
        <v>40902</v>
      </c>
      <c r="G8010" s="405" t="s">
        <v>2005</v>
      </c>
      <c r="H8010" s="405">
        <v>775893457</v>
      </c>
      <c r="I8010" s="405"/>
      <c r="J8010" s="405">
        <v>7.5573000000000001E-2</v>
      </c>
      <c r="K8010" s="405">
        <v>31.923241999999998</v>
      </c>
      <c r="L8010" s="405" t="s">
        <v>314</v>
      </c>
      <c r="M8010" s="405" t="s">
        <v>315</v>
      </c>
      <c r="N8010" s="405" t="s">
        <v>315</v>
      </c>
      <c r="O8010" s="405" t="s">
        <v>913</v>
      </c>
      <c r="P8010" s="405" t="s">
        <v>2006</v>
      </c>
      <c r="Q8010" s="411">
        <v>6</v>
      </c>
      <c r="R8010" s="405" t="s">
        <v>438</v>
      </c>
      <c r="S8010" s="405" t="s">
        <v>27131</v>
      </c>
      <c r="T8010" s="405" t="s">
        <v>32102</v>
      </c>
      <c r="U8010" s="405" t="s">
        <v>319</v>
      </c>
    </row>
    <row r="8011" spans="1:21" hidden="1" x14ac:dyDescent="0.25">
      <c r="A8011" s="405" t="s">
        <v>310</v>
      </c>
      <c r="B8011" s="405" t="s">
        <v>2012</v>
      </c>
      <c r="C8011" s="405" t="s">
        <v>327</v>
      </c>
      <c r="D8011" s="405"/>
      <c r="E8011" s="410">
        <v>40857</v>
      </c>
      <c r="F8011" s="410">
        <v>40902</v>
      </c>
      <c r="G8011" s="405" t="s">
        <v>2013</v>
      </c>
      <c r="H8011" s="405">
        <v>782475572</v>
      </c>
      <c r="I8011" s="405"/>
      <c r="J8011" s="405">
        <v>0.49856699999999998</v>
      </c>
      <c r="K8011" s="405">
        <v>32.017944999999997</v>
      </c>
      <c r="L8011" s="405" t="s">
        <v>314</v>
      </c>
      <c r="M8011" s="405" t="s">
        <v>675</v>
      </c>
      <c r="N8011" s="405" t="s">
        <v>1065</v>
      </c>
      <c r="O8011" s="405" t="s">
        <v>1248</v>
      </c>
      <c r="P8011" s="405" t="s">
        <v>1248</v>
      </c>
      <c r="Q8011" s="411">
        <v>6</v>
      </c>
      <c r="R8011" s="405" t="s">
        <v>318</v>
      </c>
      <c r="S8011" s="405" t="s">
        <v>27174</v>
      </c>
      <c r="T8011" s="405" t="s">
        <v>32102</v>
      </c>
      <c r="U8011" s="405" t="s">
        <v>319</v>
      </c>
    </row>
    <row r="8012" spans="1:21" hidden="1" x14ac:dyDescent="0.25">
      <c r="A8012" s="405" t="s">
        <v>310</v>
      </c>
      <c r="B8012" s="405" t="s">
        <v>10864</v>
      </c>
      <c r="C8012" s="405" t="s">
        <v>327</v>
      </c>
      <c r="D8012" s="405"/>
      <c r="E8012" s="410">
        <v>40856</v>
      </c>
      <c r="F8012" s="410">
        <v>40901</v>
      </c>
      <c r="G8012" s="405" t="s">
        <v>10865</v>
      </c>
      <c r="H8012" s="405">
        <v>774524155</v>
      </c>
      <c r="I8012" s="405"/>
      <c r="J8012" s="405">
        <v>1.536122</v>
      </c>
      <c r="K8012" s="405">
        <v>33.837705</v>
      </c>
      <c r="L8012" s="405" t="s">
        <v>6866</v>
      </c>
      <c r="M8012" s="405" t="s">
        <v>10012</v>
      </c>
      <c r="N8012" s="405" t="s">
        <v>10012</v>
      </c>
      <c r="O8012" s="405" t="s">
        <v>10779</v>
      </c>
      <c r="P8012" s="405" t="s">
        <v>10866</v>
      </c>
      <c r="Q8012" s="411">
        <v>6</v>
      </c>
      <c r="R8012" s="405" t="s">
        <v>7224</v>
      </c>
      <c r="S8012" s="405" t="s">
        <v>27298</v>
      </c>
      <c r="T8012" s="405" t="s">
        <v>32102</v>
      </c>
      <c r="U8012" s="405" t="s">
        <v>319</v>
      </c>
    </row>
    <row r="8013" spans="1:21" hidden="1" x14ac:dyDescent="0.25">
      <c r="A8013" s="405" t="s">
        <v>310</v>
      </c>
      <c r="B8013" s="405" t="s">
        <v>10886</v>
      </c>
      <c r="C8013" s="405" t="s">
        <v>327</v>
      </c>
      <c r="D8013" s="405"/>
      <c r="E8013" s="410">
        <v>40856</v>
      </c>
      <c r="F8013" s="410">
        <v>40901</v>
      </c>
      <c r="G8013" s="405" t="s">
        <v>10887</v>
      </c>
      <c r="H8013" s="405">
        <v>772932961</v>
      </c>
      <c r="I8013" s="405"/>
      <c r="J8013" s="405">
        <v>1.250035</v>
      </c>
      <c r="K8013" s="405">
        <v>34.272722000000002</v>
      </c>
      <c r="L8013" s="405" t="s">
        <v>6866</v>
      </c>
      <c r="M8013" s="405" t="s">
        <v>9575</v>
      </c>
      <c r="N8013" s="405" t="s">
        <v>9629</v>
      </c>
      <c r="O8013" s="405" t="s">
        <v>10888</v>
      </c>
      <c r="P8013" s="405" t="s">
        <v>10889</v>
      </c>
      <c r="Q8013" s="411">
        <v>6</v>
      </c>
      <c r="R8013" s="405" t="s">
        <v>9541</v>
      </c>
      <c r="S8013" s="405" t="s">
        <v>27086</v>
      </c>
      <c r="T8013" s="405" t="s">
        <v>32102</v>
      </c>
      <c r="U8013" s="405" t="s">
        <v>319</v>
      </c>
    </row>
    <row r="8014" spans="1:21" hidden="1" x14ac:dyDescent="0.25">
      <c r="A8014" s="405" t="s">
        <v>310</v>
      </c>
      <c r="B8014" s="405" t="s">
        <v>10851</v>
      </c>
      <c r="C8014" s="405" t="s">
        <v>327</v>
      </c>
      <c r="D8014" s="405"/>
      <c r="E8014" s="410">
        <v>40855</v>
      </c>
      <c r="F8014" s="410">
        <v>40900</v>
      </c>
      <c r="G8014" s="405" t="s">
        <v>10852</v>
      </c>
      <c r="H8014" s="405">
        <v>752112233</v>
      </c>
      <c r="I8014" s="405">
        <v>782761803</v>
      </c>
      <c r="J8014" s="405">
        <v>0.61633389999999999</v>
      </c>
      <c r="K8014" s="405">
        <v>33.479194800000002</v>
      </c>
      <c r="L8014" s="405" t="s">
        <v>6866</v>
      </c>
      <c r="M8014" s="405" t="s">
        <v>10853</v>
      </c>
      <c r="N8014" s="405" t="s">
        <v>10854</v>
      </c>
      <c r="O8014" s="405" t="s">
        <v>10854</v>
      </c>
      <c r="P8014" s="405" t="s">
        <v>10855</v>
      </c>
      <c r="Q8014" s="411">
        <v>12</v>
      </c>
      <c r="R8014" s="405" t="s">
        <v>318</v>
      </c>
      <c r="S8014" s="405" t="s">
        <v>6822</v>
      </c>
      <c r="T8014" s="405" t="s">
        <v>32102</v>
      </c>
      <c r="U8014" s="405" t="s">
        <v>319</v>
      </c>
    </row>
    <row r="8015" spans="1:21" hidden="1" x14ac:dyDescent="0.25">
      <c r="A8015" s="405" t="s">
        <v>310</v>
      </c>
      <c r="B8015" s="405" t="s">
        <v>10862</v>
      </c>
      <c r="C8015" s="405" t="s">
        <v>327</v>
      </c>
      <c r="D8015" s="405"/>
      <c r="E8015" s="410">
        <v>40855</v>
      </c>
      <c r="F8015" s="410">
        <v>40900</v>
      </c>
      <c r="G8015" s="405" t="s">
        <v>10863</v>
      </c>
      <c r="H8015" s="405">
        <v>785437472</v>
      </c>
      <c r="I8015" s="405"/>
      <c r="J8015" s="405">
        <v>1.4574450000000001</v>
      </c>
      <c r="K8015" s="405">
        <v>33.928117999999998</v>
      </c>
      <c r="L8015" s="405" t="s">
        <v>6866</v>
      </c>
      <c r="M8015" s="405" t="s">
        <v>10029</v>
      </c>
      <c r="N8015" s="405" t="s">
        <v>10030</v>
      </c>
      <c r="O8015" s="405" t="s">
        <v>10031</v>
      </c>
      <c r="P8015" s="405" t="s">
        <v>10089</v>
      </c>
      <c r="Q8015" s="411">
        <v>6</v>
      </c>
      <c r="R8015" s="405" t="s">
        <v>9541</v>
      </c>
      <c r="S8015" s="405" t="s">
        <v>27321</v>
      </c>
      <c r="T8015" s="405" t="s">
        <v>32102</v>
      </c>
      <c r="U8015" s="405" t="s">
        <v>319</v>
      </c>
    </row>
    <row r="8016" spans="1:21" hidden="1" x14ac:dyDescent="0.25">
      <c r="A8016" s="405" t="s">
        <v>310</v>
      </c>
      <c r="B8016" s="405" t="s">
        <v>31</v>
      </c>
      <c r="C8016" s="405" t="s">
        <v>311</v>
      </c>
      <c r="D8016" s="405" t="s">
        <v>932</v>
      </c>
      <c r="E8016" s="410">
        <v>40855</v>
      </c>
      <c r="F8016" s="410">
        <v>40900</v>
      </c>
      <c r="G8016" s="405" t="s">
        <v>11299</v>
      </c>
      <c r="H8016" s="405">
        <v>781465259</v>
      </c>
      <c r="I8016" s="405"/>
      <c r="J8016" s="405">
        <v>0.72853599999999996</v>
      </c>
      <c r="K8016" s="405">
        <v>34.103645999999998</v>
      </c>
      <c r="L8016" s="405" t="s">
        <v>6866</v>
      </c>
      <c r="M8016" s="405" t="s">
        <v>9534</v>
      </c>
      <c r="N8016" s="405" t="s">
        <v>9927</v>
      </c>
      <c r="O8016" s="405" t="s">
        <v>3870</v>
      </c>
      <c r="P8016" s="405" t="s">
        <v>11300</v>
      </c>
      <c r="Q8016" s="411">
        <v>6</v>
      </c>
      <c r="R8016" s="405" t="s">
        <v>7224</v>
      </c>
      <c r="S8016" s="405" t="s">
        <v>27310</v>
      </c>
      <c r="T8016" s="405" t="s">
        <v>32102</v>
      </c>
      <c r="U8016" s="405" t="s">
        <v>319</v>
      </c>
    </row>
    <row r="8017" spans="1:21" hidden="1" x14ac:dyDescent="0.25">
      <c r="A8017" s="405" t="s">
        <v>310</v>
      </c>
      <c r="B8017" s="405" t="s">
        <v>2026</v>
      </c>
      <c r="C8017" s="405" t="s">
        <v>327</v>
      </c>
      <c r="D8017" s="405"/>
      <c r="E8017" s="410">
        <v>40854</v>
      </c>
      <c r="F8017" s="410">
        <v>40899</v>
      </c>
      <c r="G8017" s="405" t="s">
        <v>2027</v>
      </c>
      <c r="H8017" s="405">
        <v>775394415</v>
      </c>
      <c r="I8017" s="405"/>
      <c r="J8017" s="405">
        <v>0.50465199999999999</v>
      </c>
      <c r="K8017" s="405">
        <v>32.720514999999999</v>
      </c>
      <c r="L8017" s="405" t="s">
        <v>314</v>
      </c>
      <c r="M8017" s="405" t="s">
        <v>329</v>
      </c>
      <c r="N8017" s="405" t="s">
        <v>545</v>
      </c>
      <c r="O8017" s="405" t="s">
        <v>336</v>
      </c>
      <c r="P8017" s="405" t="s">
        <v>1867</v>
      </c>
      <c r="Q8017" s="411">
        <v>6</v>
      </c>
      <c r="R8017" s="405" t="s">
        <v>353</v>
      </c>
      <c r="S8017" s="405" t="s">
        <v>27106</v>
      </c>
      <c r="T8017" s="405" t="s">
        <v>32102</v>
      </c>
      <c r="U8017" s="405" t="s">
        <v>319</v>
      </c>
    </row>
    <row r="8018" spans="1:21" hidden="1" x14ac:dyDescent="0.25">
      <c r="A8018" s="405" t="s">
        <v>310</v>
      </c>
      <c r="B8018" s="405" t="s">
        <v>1989</v>
      </c>
      <c r="C8018" s="405" t="s">
        <v>327</v>
      </c>
      <c r="D8018" s="405"/>
      <c r="E8018" s="410">
        <v>40852</v>
      </c>
      <c r="F8018" s="410">
        <v>40897</v>
      </c>
      <c r="G8018" s="405" t="s">
        <v>1990</v>
      </c>
      <c r="H8018" s="405">
        <v>777810116</v>
      </c>
      <c r="I8018" s="405"/>
      <c r="J8018" s="405">
        <v>0.15938333333333335</v>
      </c>
      <c r="K8018" s="405">
        <v>32.322203333333327</v>
      </c>
      <c r="L8018" s="405" t="s">
        <v>314</v>
      </c>
      <c r="M8018" s="405" t="s">
        <v>321</v>
      </c>
      <c r="N8018" s="405" t="s">
        <v>322</v>
      </c>
      <c r="O8018" s="405" t="s">
        <v>996</v>
      </c>
      <c r="P8018" s="405" t="s">
        <v>1000</v>
      </c>
      <c r="Q8018" s="411">
        <v>6</v>
      </c>
      <c r="R8018" s="405" t="s">
        <v>318</v>
      </c>
      <c r="S8018" s="405" t="s">
        <v>27113</v>
      </c>
      <c r="T8018" s="405" t="s">
        <v>32102</v>
      </c>
      <c r="U8018" s="405" t="s">
        <v>319</v>
      </c>
    </row>
    <row r="8019" spans="1:21" hidden="1" x14ac:dyDescent="0.25">
      <c r="A8019" s="405" t="s">
        <v>310</v>
      </c>
      <c r="B8019" s="405" t="s">
        <v>10833</v>
      </c>
      <c r="C8019" s="405" t="s">
        <v>327</v>
      </c>
      <c r="D8019" s="405"/>
      <c r="E8019" s="410">
        <v>40852</v>
      </c>
      <c r="F8019" s="410">
        <v>40897</v>
      </c>
      <c r="G8019" s="405" t="s">
        <v>10834</v>
      </c>
      <c r="H8019" s="405">
        <v>758484957</v>
      </c>
      <c r="I8019" s="405"/>
      <c r="J8019" s="405">
        <v>0.71604000000000001</v>
      </c>
      <c r="K8019" s="405">
        <v>33.850284000000002</v>
      </c>
      <c r="L8019" s="405" t="s">
        <v>6866</v>
      </c>
      <c r="M8019" s="405" t="s">
        <v>9566</v>
      </c>
      <c r="N8019" s="405" t="s">
        <v>9787</v>
      </c>
      <c r="O8019" s="405" t="s">
        <v>9788</v>
      </c>
      <c r="P8019" s="405" t="s">
        <v>10835</v>
      </c>
      <c r="Q8019" s="411">
        <v>6</v>
      </c>
      <c r="R8019" s="405" t="s">
        <v>7224</v>
      </c>
      <c r="S8019" s="405" t="s">
        <v>27107</v>
      </c>
      <c r="T8019" s="405" t="s">
        <v>32102</v>
      </c>
      <c r="U8019" s="405" t="s">
        <v>319</v>
      </c>
    </row>
    <row r="8020" spans="1:21" hidden="1" x14ac:dyDescent="0.25">
      <c r="A8020" s="405" t="s">
        <v>310</v>
      </c>
      <c r="B8020" s="405" t="s">
        <v>18258</v>
      </c>
      <c r="C8020" s="405" t="s">
        <v>327</v>
      </c>
      <c r="D8020" s="405"/>
      <c r="E8020" s="410">
        <v>40852</v>
      </c>
      <c r="F8020" s="410">
        <v>40897</v>
      </c>
      <c r="G8020" s="405" t="s">
        <v>18259</v>
      </c>
      <c r="H8020" s="405">
        <v>772252360</v>
      </c>
      <c r="I8020" s="405"/>
      <c r="J8020" s="405">
        <v>2.215687</v>
      </c>
      <c r="K8020" s="405">
        <v>33.037112</v>
      </c>
      <c r="L8020" s="405" t="s">
        <v>860</v>
      </c>
      <c r="M8020" s="405" t="s">
        <v>18234</v>
      </c>
      <c r="N8020" s="405" t="s">
        <v>18252</v>
      </c>
      <c r="O8020" s="405" t="s">
        <v>18260</v>
      </c>
      <c r="P8020" s="405" t="s">
        <v>18261</v>
      </c>
      <c r="Q8020" s="411">
        <v>6</v>
      </c>
      <c r="R8020" s="405" t="s">
        <v>994</v>
      </c>
      <c r="S8020" s="405" t="s">
        <v>27079</v>
      </c>
      <c r="T8020" s="405" t="s">
        <v>32102</v>
      </c>
      <c r="U8020" s="405" t="s">
        <v>319</v>
      </c>
    </row>
    <row r="8021" spans="1:21" hidden="1" x14ac:dyDescent="0.25">
      <c r="A8021" s="405" t="s">
        <v>310</v>
      </c>
      <c r="B8021" s="405" t="s">
        <v>18255</v>
      </c>
      <c r="C8021" s="405" t="s">
        <v>327</v>
      </c>
      <c r="D8021" s="405"/>
      <c r="E8021" s="410">
        <v>40852</v>
      </c>
      <c r="F8021" s="410">
        <v>40897</v>
      </c>
      <c r="G8021" s="405" t="s">
        <v>18256</v>
      </c>
      <c r="H8021" s="405">
        <v>777787808</v>
      </c>
      <c r="I8021" s="405">
        <v>771438481</v>
      </c>
      <c r="J8021" s="405">
        <v>2.2123895999999998</v>
      </c>
      <c r="K8021" s="405">
        <v>32.896462999999997</v>
      </c>
      <c r="L8021" s="405" t="s">
        <v>860</v>
      </c>
      <c r="M8021" s="405" t="s">
        <v>18234</v>
      </c>
      <c r="N8021" s="405" t="s">
        <v>18250</v>
      </c>
      <c r="O8021" s="405" t="s">
        <v>4147</v>
      </c>
      <c r="P8021" s="405" t="s">
        <v>18257</v>
      </c>
      <c r="Q8021" s="411">
        <v>6</v>
      </c>
      <c r="R8021" s="405" t="s">
        <v>994</v>
      </c>
      <c r="S8021" s="405" t="s">
        <v>27162</v>
      </c>
      <c r="T8021" s="405" t="s">
        <v>32102</v>
      </c>
      <c r="U8021" s="405" t="s">
        <v>319</v>
      </c>
    </row>
    <row r="8022" spans="1:21" hidden="1" x14ac:dyDescent="0.25">
      <c r="A8022" s="405" t="s">
        <v>310</v>
      </c>
      <c r="B8022" s="405" t="s">
        <v>28060</v>
      </c>
      <c r="C8022" s="405" t="s">
        <v>327</v>
      </c>
      <c r="D8022" s="405"/>
      <c r="E8022" s="410">
        <v>40850</v>
      </c>
      <c r="F8022" s="410">
        <v>40895</v>
      </c>
      <c r="G8022" s="405" t="s">
        <v>20334</v>
      </c>
      <c r="H8022" s="405">
        <v>772670106</v>
      </c>
      <c r="I8022" s="405"/>
      <c r="J8022" s="405">
        <v>-0.74402100000000004</v>
      </c>
      <c r="K8022" s="405">
        <v>30.159061999999999</v>
      </c>
      <c r="L8022" s="405" t="s">
        <v>590</v>
      </c>
      <c r="M8022" s="405" t="s">
        <v>19659</v>
      </c>
      <c r="N8022" s="405" t="s">
        <v>19604</v>
      </c>
      <c r="O8022" s="405" t="s">
        <v>20263</v>
      </c>
      <c r="P8022" s="405" t="s">
        <v>20261</v>
      </c>
      <c r="Q8022" s="411">
        <v>12</v>
      </c>
      <c r="R8022" s="405" t="s">
        <v>1527</v>
      </c>
      <c r="S8022" s="405" t="s">
        <v>27399</v>
      </c>
      <c r="T8022" s="405" t="s">
        <v>32102</v>
      </c>
      <c r="U8022" s="405" t="s">
        <v>319</v>
      </c>
    </row>
    <row r="8023" spans="1:21" hidden="1" x14ac:dyDescent="0.25">
      <c r="A8023" s="405" t="s">
        <v>310</v>
      </c>
      <c r="B8023" s="405" t="s">
        <v>10867</v>
      </c>
      <c r="C8023" s="405" t="s">
        <v>327</v>
      </c>
      <c r="D8023" s="405"/>
      <c r="E8023" s="410">
        <v>40850</v>
      </c>
      <c r="F8023" s="410">
        <v>40895</v>
      </c>
      <c r="G8023" s="405" t="s">
        <v>10868</v>
      </c>
      <c r="H8023" s="405">
        <v>772376147</v>
      </c>
      <c r="I8023" s="405"/>
      <c r="J8023" s="405">
        <v>1.5289550000000001</v>
      </c>
      <c r="K8023" s="405">
        <v>33.829796999999999</v>
      </c>
      <c r="L8023" s="405" t="s">
        <v>6866</v>
      </c>
      <c r="M8023" s="405" t="s">
        <v>10012</v>
      </c>
      <c r="N8023" s="405" t="s">
        <v>10012</v>
      </c>
      <c r="O8023" s="405" t="s">
        <v>10779</v>
      </c>
      <c r="P8023" s="405" t="s">
        <v>10869</v>
      </c>
      <c r="Q8023" s="411">
        <v>6</v>
      </c>
      <c r="R8023" s="405" t="s">
        <v>7224</v>
      </c>
      <c r="S8023" s="405" t="s">
        <v>27298</v>
      </c>
      <c r="T8023" s="405" t="s">
        <v>32102</v>
      </c>
      <c r="U8023" s="405" t="s">
        <v>319</v>
      </c>
    </row>
    <row r="8024" spans="1:21" hidden="1" x14ac:dyDescent="0.25">
      <c r="A8024" s="405" t="s">
        <v>310</v>
      </c>
      <c r="B8024" s="405" t="s">
        <v>18262</v>
      </c>
      <c r="C8024" s="405" t="s">
        <v>327</v>
      </c>
      <c r="D8024" s="405"/>
      <c r="E8024" s="410">
        <v>40849</v>
      </c>
      <c r="F8024" s="410">
        <v>40894</v>
      </c>
      <c r="G8024" s="405" t="s">
        <v>18263</v>
      </c>
      <c r="H8024" s="405">
        <v>772590843</v>
      </c>
      <c r="I8024" s="405"/>
      <c r="J8024" s="405">
        <v>2.2425730000000001</v>
      </c>
      <c r="K8024" s="405">
        <v>32.879137999999998</v>
      </c>
      <c r="L8024" s="405" t="s">
        <v>860</v>
      </c>
      <c r="M8024" s="405" t="s">
        <v>18234</v>
      </c>
      <c r="N8024" s="405" t="s">
        <v>18264</v>
      </c>
      <c r="O8024" s="405" t="s">
        <v>18265</v>
      </c>
      <c r="P8024" s="405" t="s">
        <v>18266</v>
      </c>
      <c r="Q8024" s="411">
        <v>9</v>
      </c>
      <c r="R8024" s="405" t="s">
        <v>994</v>
      </c>
      <c r="S8024" s="405" t="s">
        <v>27179</v>
      </c>
      <c r="T8024" s="405" t="s">
        <v>32102</v>
      </c>
      <c r="U8024" s="405" t="s">
        <v>319</v>
      </c>
    </row>
    <row r="8025" spans="1:21" hidden="1" x14ac:dyDescent="0.25">
      <c r="A8025" s="405" t="s">
        <v>310</v>
      </c>
      <c r="B8025" s="405" t="s">
        <v>20339</v>
      </c>
      <c r="C8025" s="405" t="s">
        <v>327</v>
      </c>
      <c r="D8025" s="405"/>
      <c r="E8025" s="410">
        <v>40849</v>
      </c>
      <c r="F8025" s="410">
        <v>40894</v>
      </c>
      <c r="G8025" s="405" t="s">
        <v>20340</v>
      </c>
      <c r="H8025" s="405">
        <v>772657040</v>
      </c>
      <c r="I8025" s="405"/>
      <c r="J8025" s="405">
        <v>-0.63830600000000004</v>
      </c>
      <c r="K8025" s="405">
        <v>30.247406000000002</v>
      </c>
      <c r="L8025" s="405" t="s">
        <v>590</v>
      </c>
      <c r="M8025" s="405" t="s">
        <v>19725</v>
      </c>
      <c r="N8025" s="405" t="s">
        <v>19725</v>
      </c>
      <c r="O8025" s="405" t="s">
        <v>19965</v>
      </c>
      <c r="P8025" s="405" t="s">
        <v>19965</v>
      </c>
      <c r="Q8025" s="411">
        <v>9</v>
      </c>
      <c r="R8025" s="405" t="s">
        <v>874</v>
      </c>
      <c r="S8025" s="405" t="s">
        <v>27173</v>
      </c>
      <c r="T8025" s="405" t="s">
        <v>32102</v>
      </c>
      <c r="U8025" s="405" t="s">
        <v>319</v>
      </c>
    </row>
    <row r="8026" spans="1:21" hidden="1" x14ac:dyDescent="0.25">
      <c r="A8026" s="405" t="s">
        <v>310</v>
      </c>
      <c r="B8026" s="405" t="s">
        <v>10815</v>
      </c>
      <c r="C8026" s="405" t="s">
        <v>327</v>
      </c>
      <c r="D8026" s="405"/>
      <c r="E8026" s="410">
        <v>40848</v>
      </c>
      <c r="F8026" s="410">
        <v>40893</v>
      </c>
      <c r="G8026" s="405" t="s">
        <v>10816</v>
      </c>
      <c r="H8026" s="405">
        <v>789061838</v>
      </c>
      <c r="I8026" s="405"/>
      <c r="J8026" s="405">
        <v>0.86614400000000002</v>
      </c>
      <c r="K8026" s="405">
        <v>34.004643999999999</v>
      </c>
      <c r="L8026" s="405" t="s">
        <v>6866</v>
      </c>
      <c r="M8026" s="405" t="s">
        <v>9534</v>
      </c>
      <c r="N8026" s="405" t="s">
        <v>10085</v>
      </c>
      <c r="O8026" s="405" t="s">
        <v>10817</v>
      </c>
      <c r="P8026" s="405" t="s">
        <v>10818</v>
      </c>
      <c r="Q8026" s="411">
        <v>6</v>
      </c>
      <c r="R8026" s="405" t="s">
        <v>7224</v>
      </c>
      <c r="S8026" s="405" t="s">
        <v>27309</v>
      </c>
      <c r="T8026" s="405" t="s">
        <v>32102</v>
      </c>
      <c r="U8026" s="405" t="s">
        <v>319</v>
      </c>
    </row>
    <row r="8027" spans="1:21" hidden="1" x14ac:dyDescent="0.25">
      <c r="A8027" s="405" t="s">
        <v>310</v>
      </c>
      <c r="B8027" s="405" t="s">
        <v>28543</v>
      </c>
      <c r="C8027" s="405" t="s">
        <v>327</v>
      </c>
      <c r="D8027" s="405"/>
      <c r="E8027" s="410">
        <v>40847</v>
      </c>
      <c r="F8027" s="410">
        <v>40892</v>
      </c>
      <c r="G8027" s="405" t="s">
        <v>1993</v>
      </c>
      <c r="H8027" s="405">
        <v>777419159</v>
      </c>
      <c r="I8027" s="405"/>
      <c r="J8027" s="405">
        <v>0.51590499999999995</v>
      </c>
      <c r="K8027" s="405">
        <v>32.516820000000003</v>
      </c>
      <c r="L8027" s="405" t="s">
        <v>314</v>
      </c>
      <c r="M8027" s="405" t="s">
        <v>361</v>
      </c>
      <c r="N8027" s="405" t="s">
        <v>362</v>
      </c>
      <c r="O8027" s="405" t="s">
        <v>523</v>
      </c>
      <c r="P8027" s="405" t="s">
        <v>1994</v>
      </c>
      <c r="Q8027" s="411">
        <v>12</v>
      </c>
      <c r="R8027" s="405" t="s">
        <v>318</v>
      </c>
      <c r="S8027" s="405" t="s">
        <v>27124</v>
      </c>
      <c r="T8027" s="405" t="s">
        <v>32102</v>
      </c>
      <c r="U8027" s="405" t="s">
        <v>319</v>
      </c>
    </row>
    <row r="8028" spans="1:21" hidden="1" x14ac:dyDescent="0.25">
      <c r="A8028" s="405" t="s">
        <v>310</v>
      </c>
      <c r="B8028" s="405" t="s">
        <v>27473</v>
      </c>
      <c r="C8028" s="405" t="s">
        <v>311</v>
      </c>
      <c r="D8028" s="405" t="s">
        <v>839</v>
      </c>
      <c r="E8028" s="410">
        <v>40847</v>
      </c>
      <c r="F8028" s="410">
        <v>40892</v>
      </c>
      <c r="G8028" s="405" t="s">
        <v>2522</v>
      </c>
      <c r="H8028" s="405">
        <v>779321177</v>
      </c>
      <c r="I8028" s="405"/>
      <c r="J8028" s="405">
        <v>0.68789599999999995</v>
      </c>
      <c r="K8028" s="405">
        <v>32.916471000000001</v>
      </c>
      <c r="L8028" s="405" t="s">
        <v>314</v>
      </c>
      <c r="M8028" s="405" t="s">
        <v>502</v>
      </c>
      <c r="N8028" s="405" t="s">
        <v>1229</v>
      </c>
      <c r="O8028" s="405" t="s">
        <v>502</v>
      </c>
      <c r="P8028" s="405" t="s">
        <v>2523</v>
      </c>
      <c r="Q8028" s="411">
        <v>12</v>
      </c>
      <c r="R8028" s="405" t="s">
        <v>318</v>
      </c>
      <c r="S8028" s="405" t="s">
        <v>27113</v>
      </c>
      <c r="T8028" s="405" t="s">
        <v>32102</v>
      </c>
      <c r="U8028" s="405" t="s">
        <v>319</v>
      </c>
    </row>
    <row r="8029" spans="1:21" hidden="1" x14ac:dyDescent="0.25">
      <c r="A8029" s="405" t="s">
        <v>310</v>
      </c>
      <c r="B8029" s="405" t="s">
        <v>2020</v>
      </c>
      <c r="C8029" s="405" t="s">
        <v>327</v>
      </c>
      <c r="D8029" s="405"/>
      <c r="E8029" s="410">
        <v>40847</v>
      </c>
      <c r="F8029" s="410">
        <v>40892</v>
      </c>
      <c r="G8029" s="405" t="s">
        <v>2021</v>
      </c>
      <c r="H8029" s="405">
        <v>772335259</v>
      </c>
      <c r="I8029" s="405"/>
      <c r="J8029" s="405">
        <v>0.83569300000000002</v>
      </c>
      <c r="K8029" s="405">
        <v>32.476965</v>
      </c>
      <c r="L8029" s="405" t="s">
        <v>314</v>
      </c>
      <c r="M8029" s="405" t="s">
        <v>959</v>
      </c>
      <c r="N8029" s="405" t="s">
        <v>1094</v>
      </c>
      <c r="O8029" s="405" t="s">
        <v>1095</v>
      </c>
      <c r="P8029" s="405" t="s">
        <v>2022</v>
      </c>
      <c r="Q8029" s="411">
        <v>12</v>
      </c>
      <c r="R8029" s="405" t="s">
        <v>353</v>
      </c>
      <c r="S8029" s="405" t="s">
        <v>27049</v>
      </c>
      <c r="T8029" s="405" t="s">
        <v>32102</v>
      </c>
      <c r="U8029" s="405" t="s">
        <v>319</v>
      </c>
    </row>
    <row r="8030" spans="1:21" hidden="1" x14ac:dyDescent="0.25">
      <c r="A8030" s="405" t="s">
        <v>310</v>
      </c>
      <c r="B8030" s="405" t="s">
        <v>2054</v>
      </c>
      <c r="C8030" s="405" t="s">
        <v>327</v>
      </c>
      <c r="D8030" s="405"/>
      <c r="E8030" s="410">
        <v>40847</v>
      </c>
      <c r="F8030" s="410">
        <v>40892</v>
      </c>
      <c r="G8030" s="405" t="s">
        <v>2055</v>
      </c>
      <c r="H8030" s="405">
        <v>751060877</v>
      </c>
      <c r="I8030" s="405"/>
      <c r="J8030" s="405">
        <v>0.68059999999999998</v>
      </c>
      <c r="K8030" s="405">
        <v>32.491182000000002</v>
      </c>
      <c r="L8030" s="405" t="s">
        <v>314</v>
      </c>
      <c r="M8030" s="405" t="s">
        <v>959</v>
      </c>
      <c r="N8030" s="405" t="s">
        <v>1308</v>
      </c>
      <c r="O8030" s="405" t="s">
        <v>2056</v>
      </c>
      <c r="P8030" s="405" t="s">
        <v>1439</v>
      </c>
      <c r="Q8030" s="411">
        <v>12</v>
      </c>
      <c r="R8030" s="405" t="s">
        <v>607</v>
      </c>
      <c r="S8030" s="405" t="s">
        <v>27177</v>
      </c>
      <c r="T8030" s="405" t="s">
        <v>32102</v>
      </c>
      <c r="U8030" s="405" t="s">
        <v>319</v>
      </c>
    </row>
    <row r="8031" spans="1:21" hidden="1" x14ac:dyDescent="0.25">
      <c r="A8031" s="405" t="s">
        <v>310</v>
      </c>
      <c r="B8031" s="405" t="s">
        <v>2051</v>
      </c>
      <c r="C8031" s="405" t="s">
        <v>327</v>
      </c>
      <c r="D8031" s="405"/>
      <c r="E8031" s="410">
        <v>40847</v>
      </c>
      <c r="F8031" s="410">
        <v>40892</v>
      </c>
      <c r="G8031" s="405" t="s">
        <v>2052</v>
      </c>
      <c r="H8031" s="405">
        <v>782955486</v>
      </c>
      <c r="I8031" s="405"/>
      <c r="J8031" s="405">
        <v>0.56274000000000002</v>
      </c>
      <c r="K8031" s="405">
        <v>32.250165000000003</v>
      </c>
      <c r="L8031" s="405" t="s">
        <v>314</v>
      </c>
      <c r="M8031" s="405" t="s">
        <v>361</v>
      </c>
      <c r="N8031" s="405" t="s">
        <v>374</v>
      </c>
      <c r="O8031" s="405" t="s">
        <v>662</v>
      </c>
      <c r="P8031" s="405" t="s">
        <v>2053</v>
      </c>
      <c r="Q8031" s="411">
        <v>9</v>
      </c>
      <c r="R8031" s="405" t="s">
        <v>318</v>
      </c>
      <c r="S8031" s="405" t="s">
        <v>27124</v>
      </c>
      <c r="T8031" s="405" t="s">
        <v>32102</v>
      </c>
      <c r="U8031" s="405" t="s">
        <v>319</v>
      </c>
    </row>
    <row r="8032" spans="1:21" hidden="1" x14ac:dyDescent="0.25">
      <c r="A8032" s="405" t="s">
        <v>310</v>
      </c>
      <c r="B8032" s="405" t="s">
        <v>2558</v>
      </c>
      <c r="C8032" s="405" t="s">
        <v>327</v>
      </c>
      <c r="D8032" s="405"/>
      <c r="E8032" s="410">
        <v>40847</v>
      </c>
      <c r="F8032" s="410">
        <v>40892</v>
      </c>
      <c r="G8032" s="405" t="s">
        <v>2559</v>
      </c>
      <c r="H8032" s="405">
        <v>782923461</v>
      </c>
      <c r="I8032" s="405"/>
      <c r="J8032" s="405">
        <v>0.35436099999999998</v>
      </c>
      <c r="K8032" s="405">
        <v>32.785350000000001</v>
      </c>
      <c r="L8032" s="405" t="s">
        <v>314</v>
      </c>
      <c r="M8032" s="405" t="s">
        <v>329</v>
      </c>
      <c r="N8032" s="405" t="s">
        <v>330</v>
      </c>
      <c r="O8032" s="405" t="s">
        <v>331</v>
      </c>
      <c r="P8032" s="405" t="s">
        <v>508</v>
      </c>
      <c r="Q8032" s="411">
        <v>9</v>
      </c>
      <c r="R8032" s="405" t="s">
        <v>353</v>
      </c>
      <c r="S8032" s="405" t="s">
        <v>27051</v>
      </c>
      <c r="T8032" s="405" t="s">
        <v>32102</v>
      </c>
      <c r="U8032" s="405" t="s">
        <v>319</v>
      </c>
    </row>
    <row r="8033" spans="1:21" hidden="1" x14ac:dyDescent="0.25">
      <c r="A8033" s="405" t="s">
        <v>310</v>
      </c>
      <c r="B8033" s="405" t="s">
        <v>2048</v>
      </c>
      <c r="C8033" s="405" t="s">
        <v>327</v>
      </c>
      <c r="D8033" s="405"/>
      <c r="E8033" s="410">
        <v>40847</v>
      </c>
      <c r="F8033" s="410">
        <v>40892</v>
      </c>
      <c r="G8033" s="405" t="s">
        <v>2049</v>
      </c>
      <c r="H8033" s="405">
        <v>702002111</v>
      </c>
      <c r="I8033" s="405"/>
      <c r="J8033" s="405">
        <v>0.275673</v>
      </c>
      <c r="K8033" s="405">
        <v>32.636454999999998</v>
      </c>
      <c r="L8033" s="405" t="s">
        <v>314</v>
      </c>
      <c r="M8033" s="405" t="s">
        <v>992</v>
      </c>
      <c r="N8033" s="405" t="s">
        <v>362</v>
      </c>
      <c r="O8033" s="405" t="s">
        <v>618</v>
      </c>
      <c r="P8033" s="405" t="s">
        <v>2050</v>
      </c>
      <c r="Q8033" s="411">
        <v>9</v>
      </c>
      <c r="R8033" s="405" t="s">
        <v>318</v>
      </c>
      <c r="S8033" s="405" t="s">
        <v>27112</v>
      </c>
      <c r="T8033" s="405" t="s">
        <v>32102</v>
      </c>
      <c r="U8033" s="405" t="s">
        <v>319</v>
      </c>
    </row>
    <row r="8034" spans="1:21" hidden="1" x14ac:dyDescent="0.25">
      <c r="A8034" s="405" t="s">
        <v>310</v>
      </c>
      <c r="B8034" s="405" t="s">
        <v>2042</v>
      </c>
      <c r="C8034" s="405" t="s">
        <v>327</v>
      </c>
      <c r="D8034" s="405"/>
      <c r="E8034" s="410">
        <v>40847</v>
      </c>
      <c r="F8034" s="410">
        <v>40892</v>
      </c>
      <c r="G8034" s="405" t="s">
        <v>2043</v>
      </c>
      <c r="H8034" s="405">
        <v>772573475</v>
      </c>
      <c r="I8034" s="405"/>
      <c r="J8034" s="405">
        <v>0.36336000000000002</v>
      </c>
      <c r="K8034" s="405">
        <v>32.581282000000002</v>
      </c>
      <c r="L8034" s="405" t="s">
        <v>314</v>
      </c>
      <c r="M8034" s="405" t="s">
        <v>992</v>
      </c>
      <c r="N8034" s="405" t="s">
        <v>362</v>
      </c>
      <c r="O8034" s="405" t="s">
        <v>936</v>
      </c>
      <c r="P8034" s="405" t="s">
        <v>1345</v>
      </c>
      <c r="Q8034" s="411">
        <v>9</v>
      </c>
      <c r="R8034" s="405" t="s">
        <v>353</v>
      </c>
      <c r="S8034" s="405" t="s">
        <v>27051</v>
      </c>
      <c r="T8034" s="405" t="s">
        <v>32102</v>
      </c>
      <c r="U8034" s="405" t="s">
        <v>319</v>
      </c>
    </row>
    <row r="8035" spans="1:21" hidden="1" x14ac:dyDescent="0.25">
      <c r="A8035" s="405" t="s">
        <v>310</v>
      </c>
      <c r="B8035" s="405" t="s">
        <v>10844</v>
      </c>
      <c r="C8035" s="405" t="s">
        <v>327</v>
      </c>
      <c r="D8035" s="405"/>
      <c r="E8035" s="410">
        <v>40847</v>
      </c>
      <c r="F8035" s="410">
        <v>40892</v>
      </c>
      <c r="G8035" s="405" t="s">
        <v>10845</v>
      </c>
      <c r="H8035" s="405">
        <v>772930111</v>
      </c>
      <c r="I8035" s="405"/>
      <c r="J8035" s="405">
        <v>1.4869829999999999</v>
      </c>
      <c r="K8035" s="405">
        <v>33.456744999999998</v>
      </c>
      <c r="L8035" s="405" t="s">
        <v>6866</v>
      </c>
      <c r="M8035" s="405" t="s">
        <v>9658</v>
      </c>
      <c r="N8035" s="405" t="s">
        <v>9658</v>
      </c>
      <c r="O8035" s="405" t="s">
        <v>9659</v>
      </c>
      <c r="P8035" s="405" t="s">
        <v>10761</v>
      </c>
      <c r="Q8035" s="411">
        <v>9</v>
      </c>
      <c r="R8035" s="405" t="s">
        <v>10642</v>
      </c>
      <c r="S8035" s="405" t="s">
        <v>27323</v>
      </c>
      <c r="T8035" s="405" t="s">
        <v>32102</v>
      </c>
      <c r="U8035" s="405" t="s">
        <v>319</v>
      </c>
    </row>
    <row r="8036" spans="1:21" hidden="1" x14ac:dyDescent="0.25">
      <c r="A8036" s="405" t="s">
        <v>310</v>
      </c>
      <c r="B8036" s="405" t="s">
        <v>28538</v>
      </c>
      <c r="C8036" s="405" t="s">
        <v>311</v>
      </c>
      <c r="D8036" s="405" t="s">
        <v>839</v>
      </c>
      <c r="E8036" s="410">
        <v>40847</v>
      </c>
      <c r="F8036" s="410">
        <v>40892</v>
      </c>
      <c r="G8036" s="405" t="s">
        <v>2506</v>
      </c>
      <c r="H8036" s="405">
        <v>783446676</v>
      </c>
      <c r="I8036" s="405"/>
      <c r="J8036" s="405">
        <v>0.52815500000000004</v>
      </c>
      <c r="K8036" s="405">
        <v>32.51229166666667</v>
      </c>
      <c r="L8036" s="405" t="s">
        <v>314</v>
      </c>
      <c r="M8036" s="405" t="s">
        <v>361</v>
      </c>
      <c r="N8036" s="405" t="s">
        <v>362</v>
      </c>
      <c r="O8036" s="405" t="s">
        <v>523</v>
      </c>
      <c r="P8036" s="405" t="s">
        <v>1994</v>
      </c>
      <c r="Q8036" s="411">
        <v>6</v>
      </c>
      <c r="R8036" s="405" t="s">
        <v>318</v>
      </c>
      <c r="S8036" s="405" t="s">
        <v>27124</v>
      </c>
      <c r="T8036" s="405" t="s">
        <v>32102</v>
      </c>
      <c r="U8036" s="405" t="s">
        <v>319</v>
      </c>
    </row>
    <row r="8037" spans="1:21" hidden="1" x14ac:dyDescent="0.25">
      <c r="A8037" s="405" t="s">
        <v>310</v>
      </c>
      <c r="B8037" s="405" t="s">
        <v>28117</v>
      </c>
      <c r="C8037" s="405" t="s">
        <v>327</v>
      </c>
      <c r="D8037" s="405"/>
      <c r="E8037" s="410">
        <v>40847</v>
      </c>
      <c r="F8037" s="410">
        <v>40892</v>
      </c>
      <c r="G8037" s="405" t="s">
        <v>2001</v>
      </c>
      <c r="H8037" s="405">
        <v>774810856</v>
      </c>
      <c r="I8037" s="405">
        <v>752124029</v>
      </c>
      <c r="J8037" s="405">
        <v>0.14058200000000001</v>
      </c>
      <c r="K8037" s="405">
        <v>31.891286000000001</v>
      </c>
      <c r="L8037" s="405" t="s">
        <v>314</v>
      </c>
      <c r="M8037" s="405" t="s">
        <v>339</v>
      </c>
      <c r="N8037" s="405" t="s">
        <v>339</v>
      </c>
      <c r="O8037" s="405" t="s">
        <v>2002</v>
      </c>
      <c r="P8037" s="405" t="s">
        <v>2003</v>
      </c>
      <c r="Q8037" s="411">
        <v>6</v>
      </c>
      <c r="R8037" s="405" t="s">
        <v>438</v>
      </c>
      <c r="S8037" s="405" t="s">
        <v>27131</v>
      </c>
      <c r="T8037" s="405" t="s">
        <v>32102</v>
      </c>
      <c r="U8037" s="405" t="s">
        <v>319</v>
      </c>
    </row>
    <row r="8038" spans="1:21" hidden="1" x14ac:dyDescent="0.25">
      <c r="A8038" s="405" t="s">
        <v>310</v>
      </c>
      <c r="B8038" s="405" t="s">
        <v>28164</v>
      </c>
      <c r="C8038" s="405" t="s">
        <v>857</v>
      </c>
      <c r="D8038" s="405" t="s">
        <v>2515</v>
      </c>
      <c r="E8038" s="410">
        <v>40847</v>
      </c>
      <c r="F8038" s="410">
        <v>40892</v>
      </c>
      <c r="G8038" s="405" t="s">
        <v>2516</v>
      </c>
      <c r="H8038" s="405">
        <v>783818945</v>
      </c>
      <c r="I8038" s="405"/>
      <c r="J8038" s="405">
        <v>0.19561500000000001</v>
      </c>
      <c r="K8038" s="405">
        <v>31.933026999999999</v>
      </c>
      <c r="L8038" s="405" t="s">
        <v>314</v>
      </c>
      <c r="M8038" s="405" t="s">
        <v>339</v>
      </c>
      <c r="N8038" s="405" t="s">
        <v>339</v>
      </c>
      <c r="O8038" s="405" t="s">
        <v>2002</v>
      </c>
      <c r="P8038" s="405" t="s">
        <v>2517</v>
      </c>
      <c r="Q8038" s="411">
        <v>6</v>
      </c>
      <c r="R8038" s="405" t="s">
        <v>318</v>
      </c>
      <c r="S8038" s="405" t="s">
        <v>27131</v>
      </c>
      <c r="T8038" s="405" t="s">
        <v>32102</v>
      </c>
      <c r="U8038" s="405" t="s">
        <v>319</v>
      </c>
    </row>
    <row r="8039" spans="1:21" hidden="1" x14ac:dyDescent="0.25">
      <c r="A8039" s="405" t="s">
        <v>310</v>
      </c>
      <c r="B8039" s="405" t="s">
        <v>27698</v>
      </c>
      <c r="C8039" s="405" t="s">
        <v>327</v>
      </c>
      <c r="D8039" s="405"/>
      <c r="E8039" s="410">
        <v>40847</v>
      </c>
      <c r="F8039" s="410">
        <v>40892</v>
      </c>
      <c r="G8039" s="405" t="s">
        <v>11262</v>
      </c>
      <c r="H8039" s="405">
        <v>777855385</v>
      </c>
      <c r="I8039" s="405"/>
      <c r="J8039" s="405">
        <v>1.4625520000000001</v>
      </c>
      <c r="K8039" s="405">
        <v>33.620832999999998</v>
      </c>
      <c r="L8039" s="405" t="s">
        <v>6866</v>
      </c>
      <c r="M8039" s="405" t="s">
        <v>9658</v>
      </c>
      <c r="N8039" s="405" t="s">
        <v>9658</v>
      </c>
      <c r="O8039" s="405" t="s">
        <v>11263</v>
      </c>
      <c r="P8039" s="405" t="s">
        <v>11264</v>
      </c>
      <c r="Q8039" s="411">
        <v>6</v>
      </c>
      <c r="R8039" s="405" t="s">
        <v>10642</v>
      </c>
      <c r="S8039" s="405" t="s">
        <v>27330</v>
      </c>
      <c r="T8039" s="405" t="s">
        <v>32102</v>
      </c>
      <c r="U8039" s="405" t="s">
        <v>319</v>
      </c>
    </row>
    <row r="8040" spans="1:21" hidden="1" x14ac:dyDescent="0.25">
      <c r="A8040" s="405" t="s">
        <v>310</v>
      </c>
      <c r="B8040" s="405" t="s">
        <v>10838</v>
      </c>
      <c r="C8040" s="405" t="s">
        <v>327</v>
      </c>
      <c r="D8040" s="405"/>
      <c r="E8040" s="410">
        <v>40847</v>
      </c>
      <c r="F8040" s="410">
        <v>40892</v>
      </c>
      <c r="G8040" s="405" t="s">
        <v>10839</v>
      </c>
      <c r="H8040" s="405">
        <v>772640375</v>
      </c>
      <c r="I8040" s="405"/>
      <c r="J8040" s="405">
        <v>1.789803</v>
      </c>
      <c r="K8040" s="405">
        <v>33.637715</v>
      </c>
      <c r="L8040" s="405" t="s">
        <v>6866</v>
      </c>
      <c r="M8040" s="405" t="s">
        <v>10515</v>
      </c>
      <c r="N8040" s="405" t="s">
        <v>10525</v>
      </c>
      <c r="O8040" s="405" t="s">
        <v>10526</v>
      </c>
      <c r="P8040" s="405" t="s">
        <v>10840</v>
      </c>
      <c r="Q8040" s="411">
        <v>6</v>
      </c>
      <c r="R8040" s="405" t="s">
        <v>7224</v>
      </c>
      <c r="S8040" s="405" t="s">
        <v>27298</v>
      </c>
      <c r="T8040" s="405" t="s">
        <v>32102</v>
      </c>
      <c r="U8040" s="405" t="s">
        <v>319</v>
      </c>
    </row>
    <row r="8041" spans="1:21" hidden="1" x14ac:dyDescent="0.25">
      <c r="A8041" s="405" t="s">
        <v>310</v>
      </c>
      <c r="B8041" s="405" t="s">
        <v>27711</v>
      </c>
      <c r="C8041" s="405" t="s">
        <v>327</v>
      </c>
      <c r="D8041" s="405"/>
      <c r="E8041" s="410">
        <v>40847</v>
      </c>
      <c r="F8041" s="410">
        <v>40892</v>
      </c>
      <c r="G8041" s="405" t="s">
        <v>10856</v>
      </c>
      <c r="H8041" s="405">
        <v>779890273</v>
      </c>
      <c r="I8041" s="405"/>
      <c r="J8041" s="405">
        <v>1.763452</v>
      </c>
      <c r="K8041" s="405">
        <v>33.645490000000002</v>
      </c>
      <c r="L8041" s="405" t="s">
        <v>6866</v>
      </c>
      <c r="M8041" s="405" t="s">
        <v>10515</v>
      </c>
      <c r="N8041" s="405" t="s">
        <v>10525</v>
      </c>
      <c r="O8041" s="405" t="s">
        <v>10526</v>
      </c>
      <c r="P8041" s="405" t="s">
        <v>10857</v>
      </c>
      <c r="Q8041" s="411">
        <v>6</v>
      </c>
      <c r="R8041" s="405" t="s">
        <v>7224</v>
      </c>
      <c r="S8041" s="405" t="s">
        <v>27298</v>
      </c>
      <c r="T8041" s="405" t="s">
        <v>32102</v>
      </c>
      <c r="U8041" s="405" t="s">
        <v>319</v>
      </c>
    </row>
    <row r="8042" spans="1:21" hidden="1" x14ac:dyDescent="0.25">
      <c r="A8042" s="405" t="s">
        <v>310</v>
      </c>
      <c r="B8042" s="405" t="s">
        <v>10841</v>
      </c>
      <c r="C8042" s="405" t="s">
        <v>311</v>
      </c>
      <c r="D8042" s="405" t="s">
        <v>32749</v>
      </c>
      <c r="E8042" s="410">
        <v>40847</v>
      </c>
      <c r="F8042" s="410">
        <v>40892</v>
      </c>
      <c r="G8042" s="405" t="s">
        <v>10842</v>
      </c>
      <c r="H8042" s="405">
        <v>772469252</v>
      </c>
      <c r="I8042" s="405"/>
      <c r="J8042" s="405">
        <v>1.789558</v>
      </c>
      <c r="K8042" s="405">
        <v>33.653913000000003</v>
      </c>
      <c r="L8042" s="405" t="s">
        <v>6866</v>
      </c>
      <c r="M8042" s="405" t="s">
        <v>10515</v>
      </c>
      <c r="N8042" s="405" t="s">
        <v>10525</v>
      </c>
      <c r="O8042" s="405" t="s">
        <v>10526</v>
      </c>
      <c r="P8042" s="405" t="s">
        <v>10843</v>
      </c>
      <c r="Q8042" s="411">
        <v>6</v>
      </c>
      <c r="R8042" s="405" t="s">
        <v>7224</v>
      </c>
      <c r="S8042" s="405" t="s">
        <v>27331</v>
      </c>
      <c r="T8042" s="405" t="s">
        <v>32102</v>
      </c>
      <c r="U8042" s="405" t="s">
        <v>319</v>
      </c>
    </row>
    <row r="8043" spans="1:21" hidden="1" x14ac:dyDescent="0.25">
      <c r="A8043" s="405" t="s">
        <v>310</v>
      </c>
      <c r="B8043" s="405" t="s">
        <v>10858</v>
      </c>
      <c r="C8043" s="405" t="s">
        <v>327</v>
      </c>
      <c r="D8043" s="405"/>
      <c r="E8043" s="410">
        <v>40847</v>
      </c>
      <c r="F8043" s="410">
        <v>40892</v>
      </c>
      <c r="G8043" s="405" t="s">
        <v>10859</v>
      </c>
      <c r="H8043" s="405">
        <v>789241129</v>
      </c>
      <c r="I8043" s="405"/>
      <c r="J8043" s="405">
        <v>1.4833620000000001</v>
      </c>
      <c r="K8043" s="405">
        <v>33.938473000000002</v>
      </c>
      <c r="L8043" s="405" t="s">
        <v>6866</v>
      </c>
      <c r="M8043" s="405" t="s">
        <v>10029</v>
      </c>
      <c r="N8043" s="405" t="s">
        <v>10029</v>
      </c>
      <c r="O8043" s="405" t="s">
        <v>10860</v>
      </c>
      <c r="P8043" s="405" t="s">
        <v>10861</v>
      </c>
      <c r="Q8043" s="411">
        <v>6</v>
      </c>
      <c r="R8043" s="405" t="s">
        <v>9541</v>
      </c>
      <c r="S8043" s="405" t="s">
        <v>27320</v>
      </c>
      <c r="T8043" s="405" t="s">
        <v>32102</v>
      </c>
      <c r="U8043" s="405" t="s">
        <v>319</v>
      </c>
    </row>
    <row r="8044" spans="1:21" hidden="1" x14ac:dyDescent="0.25">
      <c r="A8044" s="405" t="s">
        <v>310</v>
      </c>
      <c r="B8044" s="405" t="s">
        <v>2039</v>
      </c>
      <c r="C8044" s="405" t="s">
        <v>327</v>
      </c>
      <c r="D8044" s="405"/>
      <c r="E8044" s="410">
        <v>40847</v>
      </c>
      <c r="F8044" s="410">
        <v>40892</v>
      </c>
      <c r="G8044" s="405" t="s">
        <v>2040</v>
      </c>
      <c r="H8044" s="405">
        <v>772682098</v>
      </c>
      <c r="I8044" s="405">
        <v>716682098</v>
      </c>
      <c r="J8044" s="405">
        <v>0.399478</v>
      </c>
      <c r="K8044" s="405">
        <v>32.568461999999997</v>
      </c>
      <c r="L8044" s="405" t="s">
        <v>314</v>
      </c>
      <c r="M8044" s="405" t="s">
        <v>992</v>
      </c>
      <c r="N8044" s="405" t="s">
        <v>362</v>
      </c>
      <c r="O8044" s="405" t="s">
        <v>936</v>
      </c>
      <c r="P8044" s="405" t="s">
        <v>2041</v>
      </c>
      <c r="Q8044" s="411">
        <v>6</v>
      </c>
      <c r="R8044" s="405" t="s">
        <v>333</v>
      </c>
      <c r="S8044" s="405" t="s">
        <v>27138</v>
      </c>
      <c r="T8044" s="405" t="s">
        <v>32102</v>
      </c>
      <c r="U8044" s="405" t="s">
        <v>319</v>
      </c>
    </row>
    <row r="8045" spans="1:21" hidden="1" x14ac:dyDescent="0.25">
      <c r="A8045" s="405" t="s">
        <v>310</v>
      </c>
      <c r="B8045" s="405" t="s">
        <v>1984</v>
      </c>
      <c r="C8045" s="405" t="s">
        <v>327</v>
      </c>
      <c r="D8045" s="405"/>
      <c r="E8045" s="410">
        <v>40847</v>
      </c>
      <c r="F8045" s="410">
        <v>40892</v>
      </c>
      <c r="G8045" s="405" t="s">
        <v>1985</v>
      </c>
      <c r="H8045" s="405">
        <v>775200798</v>
      </c>
      <c r="I8045" s="405"/>
      <c r="J8045" s="405">
        <v>0.42169499999999999</v>
      </c>
      <c r="K8045" s="405">
        <v>32.578058333333338</v>
      </c>
      <c r="L8045" s="405" t="s">
        <v>314</v>
      </c>
      <c r="M8045" s="405" t="s">
        <v>361</v>
      </c>
      <c r="N8045" s="405" t="s">
        <v>362</v>
      </c>
      <c r="O8045" s="405" t="s">
        <v>1365</v>
      </c>
      <c r="P8045" s="405" t="s">
        <v>1165</v>
      </c>
      <c r="Q8045" s="411">
        <v>6</v>
      </c>
      <c r="R8045" s="405" t="s">
        <v>318</v>
      </c>
      <c r="S8045" s="405" t="s">
        <v>414</v>
      </c>
      <c r="T8045" s="405" t="s">
        <v>32102</v>
      </c>
      <c r="U8045" s="405" t="s">
        <v>319</v>
      </c>
    </row>
    <row r="8046" spans="1:21" hidden="1" x14ac:dyDescent="0.25">
      <c r="A8046" s="405" t="s">
        <v>310</v>
      </c>
      <c r="B8046" s="405" t="s">
        <v>28046</v>
      </c>
      <c r="C8046" s="405" t="s">
        <v>311</v>
      </c>
      <c r="D8046" s="405" t="s">
        <v>1013</v>
      </c>
      <c r="E8046" s="410">
        <v>40847</v>
      </c>
      <c r="F8046" s="410">
        <v>40892</v>
      </c>
      <c r="G8046" s="405" t="s">
        <v>2489</v>
      </c>
      <c r="H8046" s="405">
        <v>782673352</v>
      </c>
      <c r="I8046" s="405">
        <v>752673352</v>
      </c>
      <c r="J8046" s="405">
        <v>0.65995000000000004</v>
      </c>
      <c r="K8046" s="405">
        <v>32.160722</v>
      </c>
      <c r="L8046" s="405" t="s">
        <v>314</v>
      </c>
      <c r="M8046" s="405" t="s">
        <v>675</v>
      </c>
      <c r="N8046" s="405" t="s">
        <v>1065</v>
      </c>
      <c r="O8046" s="405" t="s">
        <v>814</v>
      </c>
      <c r="P8046" s="405" t="s">
        <v>2490</v>
      </c>
      <c r="Q8046" s="411">
        <v>6</v>
      </c>
      <c r="R8046" s="405" t="s">
        <v>318</v>
      </c>
      <c r="S8046" s="405" t="s">
        <v>27149</v>
      </c>
      <c r="T8046" s="405" t="s">
        <v>32102</v>
      </c>
      <c r="U8046" s="405" t="s">
        <v>319</v>
      </c>
    </row>
    <row r="8047" spans="1:21" hidden="1" x14ac:dyDescent="0.25">
      <c r="A8047" s="405" t="s">
        <v>310</v>
      </c>
      <c r="B8047" s="405" t="s">
        <v>2036</v>
      </c>
      <c r="C8047" s="405" t="s">
        <v>327</v>
      </c>
      <c r="D8047" s="405"/>
      <c r="E8047" s="410">
        <v>40847</v>
      </c>
      <c r="F8047" s="410">
        <v>40892</v>
      </c>
      <c r="G8047" s="405" t="s">
        <v>2037</v>
      </c>
      <c r="H8047" s="405">
        <v>772820167</v>
      </c>
      <c r="I8047" s="405"/>
      <c r="J8047" s="405">
        <v>0.43765799999999999</v>
      </c>
      <c r="K8047" s="405">
        <v>32.598320000000001</v>
      </c>
      <c r="L8047" s="405" t="s">
        <v>314</v>
      </c>
      <c r="M8047" s="405" t="s">
        <v>361</v>
      </c>
      <c r="N8047" s="405" t="s">
        <v>362</v>
      </c>
      <c r="O8047" s="405" t="s">
        <v>410</v>
      </c>
      <c r="P8047" s="405" t="s">
        <v>2038</v>
      </c>
      <c r="Q8047" s="411">
        <v>6</v>
      </c>
      <c r="R8047" s="405" t="s">
        <v>353</v>
      </c>
      <c r="S8047" s="405" t="s">
        <v>27129</v>
      </c>
      <c r="T8047" s="405" t="s">
        <v>32102</v>
      </c>
      <c r="U8047" s="405" t="s">
        <v>319</v>
      </c>
    </row>
    <row r="8048" spans="1:21" hidden="1" x14ac:dyDescent="0.25">
      <c r="A8048" s="405" t="s">
        <v>310</v>
      </c>
      <c r="B8048" s="405" t="s">
        <v>10899</v>
      </c>
      <c r="C8048" s="405" t="s">
        <v>327</v>
      </c>
      <c r="D8048" s="405"/>
      <c r="E8048" s="410">
        <v>40847</v>
      </c>
      <c r="F8048" s="410">
        <v>40892</v>
      </c>
      <c r="G8048" s="405" t="s">
        <v>10900</v>
      </c>
      <c r="H8048" s="405">
        <v>785245599</v>
      </c>
      <c r="I8048" s="405"/>
      <c r="J8048" s="405">
        <v>0.333482</v>
      </c>
      <c r="K8048" s="405">
        <v>33.992790999999997</v>
      </c>
      <c r="L8048" s="405" t="s">
        <v>6866</v>
      </c>
      <c r="M8048" s="405" t="s">
        <v>10390</v>
      </c>
      <c r="N8048" s="405" t="s">
        <v>10901</v>
      </c>
      <c r="O8048" s="405" t="s">
        <v>10395</v>
      </c>
      <c r="P8048" s="405" t="s">
        <v>10902</v>
      </c>
      <c r="Q8048" s="411">
        <v>6</v>
      </c>
      <c r="R8048" s="405" t="s">
        <v>7224</v>
      </c>
      <c r="S8048" s="405" t="s">
        <v>27304</v>
      </c>
      <c r="T8048" s="405" t="s">
        <v>32102</v>
      </c>
      <c r="U8048" s="405" t="s">
        <v>319</v>
      </c>
    </row>
    <row r="8049" spans="1:21" hidden="1" x14ac:dyDescent="0.25">
      <c r="A8049" s="405" t="s">
        <v>310</v>
      </c>
      <c r="B8049" s="405" t="s">
        <v>28916</v>
      </c>
      <c r="C8049" s="405" t="s">
        <v>327</v>
      </c>
      <c r="D8049" s="405"/>
      <c r="E8049" s="410">
        <v>40846</v>
      </c>
      <c r="F8049" s="410">
        <v>40891</v>
      </c>
      <c r="G8049" s="405" t="s">
        <v>2028</v>
      </c>
      <c r="H8049" s="405">
        <v>772487676</v>
      </c>
      <c r="I8049" s="405"/>
      <c r="J8049" s="405">
        <v>0.38552500000000001</v>
      </c>
      <c r="K8049" s="405">
        <v>32.855865999999999</v>
      </c>
      <c r="L8049" s="405" t="s">
        <v>314</v>
      </c>
      <c r="M8049" s="405" t="s">
        <v>329</v>
      </c>
      <c r="N8049" s="405" t="s">
        <v>528</v>
      </c>
      <c r="O8049" s="405" t="s">
        <v>529</v>
      </c>
      <c r="P8049" s="405" t="s">
        <v>1456</v>
      </c>
      <c r="Q8049" s="411">
        <v>12</v>
      </c>
      <c r="R8049" s="405" t="s">
        <v>318</v>
      </c>
      <c r="S8049" s="405" t="s">
        <v>27113</v>
      </c>
      <c r="T8049" s="405" t="s">
        <v>32102</v>
      </c>
      <c r="U8049" s="405" t="s">
        <v>319</v>
      </c>
    </row>
    <row r="8050" spans="1:21" hidden="1" x14ac:dyDescent="0.25">
      <c r="A8050" s="405" t="s">
        <v>310</v>
      </c>
      <c r="B8050" s="405" t="s">
        <v>27806</v>
      </c>
      <c r="C8050" s="405" t="s">
        <v>327</v>
      </c>
      <c r="D8050" s="405"/>
      <c r="E8050" s="410">
        <v>40846</v>
      </c>
      <c r="F8050" s="410">
        <v>40891</v>
      </c>
      <c r="G8050" s="405" t="s">
        <v>1991</v>
      </c>
      <c r="H8050" s="405">
        <v>752378275</v>
      </c>
      <c r="I8050" s="405">
        <v>756896637</v>
      </c>
      <c r="J8050" s="405">
        <v>-0.31854969999999999</v>
      </c>
      <c r="K8050" s="405">
        <v>31.7603051</v>
      </c>
      <c r="L8050" s="405" t="s">
        <v>314</v>
      </c>
      <c r="M8050" s="405" t="s">
        <v>382</v>
      </c>
      <c r="N8050" s="405" t="s">
        <v>941</v>
      </c>
      <c r="O8050" s="405" t="s">
        <v>1020</v>
      </c>
      <c r="P8050" s="405" t="s">
        <v>1310</v>
      </c>
      <c r="Q8050" s="411">
        <v>12</v>
      </c>
      <c r="R8050" s="405" t="s">
        <v>1263</v>
      </c>
      <c r="S8050" s="405" t="s">
        <v>27112</v>
      </c>
      <c r="T8050" s="405" t="s">
        <v>32102</v>
      </c>
      <c r="U8050" s="405" t="s">
        <v>319</v>
      </c>
    </row>
    <row r="8051" spans="1:21" hidden="1" x14ac:dyDescent="0.25">
      <c r="A8051" s="405" t="s">
        <v>310</v>
      </c>
      <c r="B8051" s="405" t="s">
        <v>10910</v>
      </c>
      <c r="C8051" s="405" t="s">
        <v>327</v>
      </c>
      <c r="D8051" s="405"/>
      <c r="E8051" s="410">
        <v>40846</v>
      </c>
      <c r="F8051" s="410">
        <v>40891</v>
      </c>
      <c r="G8051" s="405" t="s">
        <v>10911</v>
      </c>
      <c r="H8051" s="405">
        <v>775484181</v>
      </c>
      <c r="I8051" s="405"/>
      <c r="J8051" s="405">
        <v>0.87566999999999995</v>
      </c>
      <c r="K8051" s="405">
        <v>34.338386</v>
      </c>
      <c r="L8051" s="405" t="s">
        <v>6866</v>
      </c>
      <c r="M8051" s="405" t="s">
        <v>9763</v>
      </c>
      <c r="N8051" s="405" t="s">
        <v>9848</v>
      </c>
      <c r="O8051" s="405" t="s">
        <v>10122</v>
      </c>
      <c r="P8051" s="405" t="s">
        <v>10912</v>
      </c>
      <c r="Q8051" s="411">
        <v>6</v>
      </c>
      <c r="R8051" s="405" t="s">
        <v>7224</v>
      </c>
      <c r="S8051" s="405" t="s">
        <v>27190</v>
      </c>
      <c r="T8051" s="405" t="s">
        <v>32102</v>
      </c>
      <c r="U8051" s="405" t="s">
        <v>319</v>
      </c>
    </row>
    <row r="8052" spans="1:21" hidden="1" x14ac:dyDescent="0.25">
      <c r="A8052" s="405" t="s">
        <v>310</v>
      </c>
      <c r="B8052" s="405" t="s">
        <v>2014</v>
      </c>
      <c r="C8052" s="405" t="s">
        <v>327</v>
      </c>
      <c r="D8052" s="405"/>
      <c r="E8052" s="410">
        <v>40845</v>
      </c>
      <c r="F8052" s="410">
        <v>40890</v>
      </c>
      <c r="G8052" s="405" t="s">
        <v>2015</v>
      </c>
      <c r="H8052" s="405">
        <v>781594903</v>
      </c>
      <c r="I8052" s="405"/>
      <c r="J8052" s="405">
        <v>0.49045</v>
      </c>
      <c r="K8052" s="405">
        <v>32.029432999999997</v>
      </c>
      <c r="L8052" s="405" t="s">
        <v>314</v>
      </c>
      <c r="M8052" s="405" t="s">
        <v>675</v>
      </c>
      <c r="N8052" s="405" t="s">
        <v>1065</v>
      </c>
      <c r="O8052" s="405" t="s">
        <v>1248</v>
      </c>
      <c r="P8052" s="405" t="s">
        <v>2016</v>
      </c>
      <c r="Q8052" s="411">
        <v>9</v>
      </c>
      <c r="R8052" s="405" t="s">
        <v>318</v>
      </c>
      <c r="S8052" s="405" t="s">
        <v>27174</v>
      </c>
      <c r="T8052" s="405" t="s">
        <v>32102</v>
      </c>
      <c r="U8052" s="405" t="s">
        <v>319</v>
      </c>
    </row>
    <row r="8053" spans="1:21" hidden="1" x14ac:dyDescent="0.25">
      <c r="A8053" s="405" t="s">
        <v>310</v>
      </c>
      <c r="B8053" s="405" t="s">
        <v>28229</v>
      </c>
      <c r="C8053" s="405" t="s">
        <v>327</v>
      </c>
      <c r="D8053" s="405"/>
      <c r="E8053" s="410">
        <v>40845</v>
      </c>
      <c r="F8053" s="410">
        <v>40890</v>
      </c>
      <c r="G8053" s="405" t="s">
        <v>10870</v>
      </c>
      <c r="H8053" s="405">
        <v>781413280</v>
      </c>
      <c r="I8053" s="405"/>
      <c r="J8053" s="405">
        <v>1.0397700000000001</v>
      </c>
      <c r="K8053" s="405">
        <v>34.321908000000001</v>
      </c>
      <c r="L8053" s="405" t="s">
        <v>6866</v>
      </c>
      <c r="M8053" s="405" t="s">
        <v>6867</v>
      </c>
      <c r="N8053" s="405" t="s">
        <v>6868</v>
      </c>
      <c r="O8053" s="405" t="s">
        <v>10443</v>
      </c>
      <c r="P8053" s="405" t="s">
        <v>10871</v>
      </c>
      <c r="Q8053" s="411">
        <v>6</v>
      </c>
      <c r="R8053" s="405" t="s">
        <v>7224</v>
      </c>
      <c r="S8053" s="405" t="s">
        <v>27203</v>
      </c>
      <c r="T8053" s="405" t="s">
        <v>32102</v>
      </c>
      <c r="U8053" s="405" t="s">
        <v>319</v>
      </c>
    </row>
    <row r="8054" spans="1:21" hidden="1" x14ac:dyDescent="0.25">
      <c r="A8054" s="405" t="s">
        <v>310</v>
      </c>
      <c r="B8054" s="405" t="s">
        <v>20331</v>
      </c>
      <c r="C8054" s="405" t="s">
        <v>327</v>
      </c>
      <c r="D8054" s="405"/>
      <c r="E8054" s="410">
        <v>40843</v>
      </c>
      <c r="F8054" s="410">
        <v>40888</v>
      </c>
      <c r="G8054" s="405" t="s">
        <v>20332</v>
      </c>
      <c r="H8054" s="405">
        <v>772685439</v>
      </c>
      <c r="I8054" s="405"/>
      <c r="J8054" s="405">
        <v>-0.90967100000000001</v>
      </c>
      <c r="K8054" s="405">
        <v>30.340451000000002</v>
      </c>
      <c r="L8054" s="405" t="s">
        <v>590</v>
      </c>
      <c r="M8054" s="405" t="s">
        <v>19659</v>
      </c>
      <c r="N8054" s="405" t="s">
        <v>19664</v>
      </c>
      <c r="O8054" s="405" t="s">
        <v>19701</v>
      </c>
      <c r="P8054" s="405" t="s">
        <v>20333</v>
      </c>
      <c r="Q8054" s="411">
        <v>12</v>
      </c>
      <c r="R8054" s="405" t="s">
        <v>967</v>
      </c>
      <c r="S8054" s="405" t="s">
        <v>27393</v>
      </c>
      <c r="T8054" s="405" t="s">
        <v>32102</v>
      </c>
      <c r="U8054" s="405" t="s">
        <v>319</v>
      </c>
    </row>
    <row r="8055" spans="1:21" hidden="1" x14ac:dyDescent="0.25">
      <c r="A8055" s="405" t="s">
        <v>310</v>
      </c>
      <c r="B8055" s="405" t="s">
        <v>20323</v>
      </c>
      <c r="C8055" s="405" t="s">
        <v>327</v>
      </c>
      <c r="D8055" s="405"/>
      <c r="E8055" s="410">
        <v>40843</v>
      </c>
      <c r="F8055" s="410">
        <v>40888</v>
      </c>
      <c r="G8055" s="405" t="s">
        <v>20324</v>
      </c>
      <c r="H8055" s="405">
        <v>751767767</v>
      </c>
      <c r="I8055" s="405">
        <v>772329742</v>
      </c>
      <c r="J8055" s="405">
        <v>-0.54052299999999998</v>
      </c>
      <c r="K8055" s="405">
        <v>30.124037000000001</v>
      </c>
      <c r="L8055" s="405" t="s">
        <v>590</v>
      </c>
      <c r="M8055" s="405" t="s">
        <v>19625</v>
      </c>
      <c r="N8055" s="405" t="s">
        <v>19638</v>
      </c>
      <c r="O8055" s="405" t="s">
        <v>19878</v>
      </c>
      <c r="P8055" s="405" t="s">
        <v>19918</v>
      </c>
      <c r="Q8055" s="411">
        <v>6</v>
      </c>
      <c r="R8055" s="405" t="s">
        <v>874</v>
      </c>
      <c r="S8055" s="405" t="s">
        <v>27096</v>
      </c>
      <c r="T8055" s="405" t="s">
        <v>32102</v>
      </c>
      <c r="U8055" s="405" t="s">
        <v>319</v>
      </c>
    </row>
    <row r="8056" spans="1:21" hidden="1" x14ac:dyDescent="0.25">
      <c r="A8056" s="405" t="s">
        <v>310</v>
      </c>
      <c r="B8056" s="405" t="s">
        <v>2023</v>
      </c>
      <c r="C8056" s="405" t="s">
        <v>327</v>
      </c>
      <c r="D8056" s="405"/>
      <c r="E8056" s="410">
        <v>40841</v>
      </c>
      <c r="F8056" s="410">
        <v>40886</v>
      </c>
      <c r="G8056" s="405" t="s">
        <v>2024</v>
      </c>
      <c r="H8056" s="405">
        <v>701131253</v>
      </c>
      <c r="I8056" s="405">
        <v>757701465</v>
      </c>
      <c r="J8056" s="405">
        <v>-0.339223</v>
      </c>
      <c r="K8056" s="405">
        <v>31.663547999999999</v>
      </c>
      <c r="L8056" s="405" t="s">
        <v>314</v>
      </c>
      <c r="M8056" s="405" t="s">
        <v>959</v>
      </c>
      <c r="N8056" s="405" t="s">
        <v>1481</v>
      </c>
      <c r="O8056" s="405" t="s">
        <v>1581</v>
      </c>
      <c r="P8056" s="405" t="s">
        <v>2025</v>
      </c>
      <c r="Q8056" s="411">
        <v>6</v>
      </c>
      <c r="R8056" s="405" t="s">
        <v>402</v>
      </c>
      <c r="S8056" s="405" t="s">
        <v>27139</v>
      </c>
      <c r="T8056" s="405" t="s">
        <v>32102</v>
      </c>
      <c r="U8056" s="405" t="s">
        <v>319</v>
      </c>
    </row>
    <row r="8057" spans="1:21" hidden="1" x14ac:dyDescent="0.25">
      <c r="A8057" s="405" t="s">
        <v>310</v>
      </c>
      <c r="B8057" s="405" t="s">
        <v>10836</v>
      </c>
      <c r="C8057" s="405" t="s">
        <v>327</v>
      </c>
      <c r="D8057" s="405"/>
      <c r="E8057" s="410">
        <v>40841</v>
      </c>
      <c r="F8057" s="410">
        <v>40886</v>
      </c>
      <c r="G8057" s="405" t="s">
        <v>10837</v>
      </c>
      <c r="H8057" s="405">
        <v>751847133</v>
      </c>
      <c r="I8057" s="405"/>
      <c r="J8057" s="405">
        <v>0.721557</v>
      </c>
      <c r="K8057" s="405">
        <v>33.879716999999999</v>
      </c>
      <c r="L8057" s="405" t="s">
        <v>6866</v>
      </c>
      <c r="M8057" s="405" t="s">
        <v>9566</v>
      </c>
      <c r="N8057" s="405" t="s">
        <v>9787</v>
      </c>
      <c r="O8057" s="405" t="s">
        <v>9788</v>
      </c>
      <c r="P8057" s="405" t="s">
        <v>6012</v>
      </c>
      <c r="Q8057" s="411">
        <v>6</v>
      </c>
      <c r="R8057" s="405" t="s">
        <v>7224</v>
      </c>
      <c r="S8057" s="405" t="s">
        <v>27309</v>
      </c>
      <c r="T8057" s="405" t="s">
        <v>32102</v>
      </c>
      <c r="U8057" s="405" t="s">
        <v>319</v>
      </c>
    </row>
    <row r="8058" spans="1:21" hidden="1" x14ac:dyDescent="0.25">
      <c r="A8058" s="405" t="s">
        <v>310</v>
      </c>
      <c r="B8058" s="405" t="s">
        <v>10819</v>
      </c>
      <c r="C8058" s="405" t="s">
        <v>327</v>
      </c>
      <c r="D8058" s="405"/>
      <c r="E8058" s="410">
        <v>40840</v>
      </c>
      <c r="F8058" s="410">
        <v>40885</v>
      </c>
      <c r="G8058" s="405" t="s">
        <v>10820</v>
      </c>
      <c r="H8058" s="405">
        <v>775063124</v>
      </c>
      <c r="I8058" s="405"/>
      <c r="J8058" s="405">
        <v>0.87324999999999997</v>
      </c>
      <c r="K8058" s="405">
        <v>34.001767999999998</v>
      </c>
      <c r="L8058" s="405" t="s">
        <v>6866</v>
      </c>
      <c r="M8058" s="405" t="s">
        <v>9534</v>
      </c>
      <c r="N8058" s="405" t="s">
        <v>10085</v>
      </c>
      <c r="O8058" s="405" t="s">
        <v>10817</v>
      </c>
      <c r="P8058" s="405" t="s">
        <v>10818</v>
      </c>
      <c r="Q8058" s="411">
        <v>6</v>
      </c>
      <c r="R8058" s="405" t="s">
        <v>7224</v>
      </c>
      <c r="S8058" s="405" t="s">
        <v>27309</v>
      </c>
      <c r="T8058" s="405" t="s">
        <v>32102</v>
      </c>
      <c r="U8058" s="405" t="s">
        <v>319</v>
      </c>
    </row>
    <row r="8059" spans="1:21" hidden="1" x14ac:dyDescent="0.25">
      <c r="A8059" s="405" t="s">
        <v>310</v>
      </c>
      <c r="B8059" s="405" t="s">
        <v>10829</v>
      </c>
      <c r="C8059" s="405" t="s">
        <v>327</v>
      </c>
      <c r="D8059" s="405"/>
      <c r="E8059" s="410">
        <v>40839</v>
      </c>
      <c r="F8059" s="410">
        <v>40884</v>
      </c>
      <c r="G8059" s="405" t="s">
        <v>10830</v>
      </c>
      <c r="H8059" s="405">
        <v>752350214</v>
      </c>
      <c r="I8059" s="405"/>
      <c r="J8059" s="405">
        <v>0.70602100000000001</v>
      </c>
      <c r="K8059" s="405">
        <v>33.880164999999998</v>
      </c>
      <c r="L8059" s="405" t="s">
        <v>6866</v>
      </c>
      <c r="M8059" s="405" t="s">
        <v>9566</v>
      </c>
      <c r="N8059" s="405" t="s">
        <v>9787</v>
      </c>
      <c r="O8059" s="405" t="s">
        <v>9788</v>
      </c>
      <c r="P8059" s="405" t="s">
        <v>10732</v>
      </c>
      <c r="Q8059" s="411">
        <v>6</v>
      </c>
      <c r="R8059" s="405" t="s">
        <v>7224</v>
      </c>
      <c r="S8059" s="405" t="s">
        <v>27283</v>
      </c>
      <c r="T8059" s="405" t="s">
        <v>32102</v>
      </c>
      <c r="U8059" s="405" t="s">
        <v>319</v>
      </c>
    </row>
    <row r="8060" spans="1:21" hidden="1" x14ac:dyDescent="0.25">
      <c r="A8060" s="405" t="s">
        <v>310</v>
      </c>
      <c r="B8060" s="405" t="s">
        <v>10831</v>
      </c>
      <c r="C8060" s="405" t="s">
        <v>327</v>
      </c>
      <c r="D8060" s="405"/>
      <c r="E8060" s="410">
        <v>40839</v>
      </c>
      <c r="F8060" s="410">
        <v>40884</v>
      </c>
      <c r="G8060" s="405" t="s">
        <v>10832</v>
      </c>
      <c r="H8060" s="405">
        <v>783302495</v>
      </c>
      <c r="I8060" s="405">
        <v>753580946</v>
      </c>
      <c r="J8060" s="405">
        <v>0.70834299999999994</v>
      </c>
      <c r="K8060" s="405">
        <v>33.888309999999997</v>
      </c>
      <c r="L8060" s="405" t="s">
        <v>6866</v>
      </c>
      <c r="M8060" s="405" t="s">
        <v>9566</v>
      </c>
      <c r="N8060" s="405" t="s">
        <v>9787</v>
      </c>
      <c r="O8060" s="405" t="s">
        <v>9788</v>
      </c>
      <c r="P8060" s="405" t="s">
        <v>10732</v>
      </c>
      <c r="Q8060" s="411">
        <v>6</v>
      </c>
      <c r="R8060" s="405" t="s">
        <v>7224</v>
      </c>
      <c r="S8060" s="405" t="s">
        <v>27074</v>
      </c>
      <c r="T8060" s="405" t="s">
        <v>32102</v>
      </c>
      <c r="U8060" s="405" t="s">
        <v>319</v>
      </c>
    </row>
    <row r="8061" spans="1:21" hidden="1" x14ac:dyDescent="0.25">
      <c r="A8061" s="405" t="s">
        <v>310</v>
      </c>
      <c r="B8061" s="405" t="s">
        <v>2033</v>
      </c>
      <c r="C8061" s="405" t="s">
        <v>327</v>
      </c>
      <c r="D8061" s="405"/>
      <c r="E8061" s="410">
        <v>40839</v>
      </c>
      <c r="F8061" s="410">
        <v>40884</v>
      </c>
      <c r="G8061" s="405" t="s">
        <v>2034</v>
      </c>
      <c r="H8061" s="405">
        <v>752926398</v>
      </c>
      <c r="I8061" s="405"/>
      <c r="J8061" s="405">
        <v>0.36787999999999998</v>
      </c>
      <c r="K8061" s="405">
        <v>32.146777999999998</v>
      </c>
      <c r="L8061" s="405" t="s">
        <v>314</v>
      </c>
      <c r="M8061" s="405" t="s">
        <v>675</v>
      </c>
      <c r="N8061" s="405" t="s">
        <v>676</v>
      </c>
      <c r="O8061" s="405" t="s">
        <v>1845</v>
      </c>
      <c r="P8061" s="405" t="s">
        <v>2035</v>
      </c>
      <c r="Q8061" s="411">
        <v>6</v>
      </c>
      <c r="R8061" s="405" t="s">
        <v>438</v>
      </c>
      <c r="S8061" s="405" t="s">
        <v>27128</v>
      </c>
      <c r="T8061" s="405" t="s">
        <v>32102</v>
      </c>
      <c r="U8061" s="405" t="s">
        <v>319</v>
      </c>
    </row>
    <row r="8062" spans="1:21" hidden="1" x14ac:dyDescent="0.25">
      <c r="A8062" s="405" t="s">
        <v>310</v>
      </c>
      <c r="B8062" s="405" t="s">
        <v>10821</v>
      </c>
      <c r="C8062" s="405" t="s">
        <v>327</v>
      </c>
      <c r="D8062" s="405"/>
      <c r="E8062" s="410">
        <v>40839</v>
      </c>
      <c r="F8062" s="410">
        <v>40884</v>
      </c>
      <c r="G8062" s="405" t="s">
        <v>10822</v>
      </c>
      <c r="H8062" s="405">
        <v>780300354</v>
      </c>
      <c r="I8062" s="405"/>
      <c r="J8062" s="405">
        <v>0.86226100000000006</v>
      </c>
      <c r="K8062" s="405">
        <v>33.995998</v>
      </c>
      <c r="L8062" s="405" t="s">
        <v>6866</v>
      </c>
      <c r="M8062" s="405" t="s">
        <v>9534</v>
      </c>
      <c r="N8062" s="405" t="s">
        <v>10085</v>
      </c>
      <c r="O8062" s="405" t="s">
        <v>10817</v>
      </c>
      <c r="P8062" s="405" t="s">
        <v>10823</v>
      </c>
      <c r="Q8062" s="411">
        <v>6</v>
      </c>
      <c r="R8062" s="405" t="s">
        <v>7224</v>
      </c>
      <c r="S8062" s="405" t="s">
        <v>27259</v>
      </c>
      <c r="T8062" s="405" t="s">
        <v>32102</v>
      </c>
      <c r="U8062" s="405" t="s">
        <v>319</v>
      </c>
    </row>
    <row r="8063" spans="1:21" hidden="1" x14ac:dyDescent="0.25">
      <c r="A8063" s="405" t="s">
        <v>310</v>
      </c>
      <c r="B8063" s="405" t="s">
        <v>28732</v>
      </c>
      <c r="C8063" s="405" t="s">
        <v>327</v>
      </c>
      <c r="D8063" s="405"/>
      <c r="E8063" s="410">
        <v>40839</v>
      </c>
      <c r="F8063" s="410">
        <v>40884</v>
      </c>
      <c r="G8063" s="405" t="s">
        <v>10896</v>
      </c>
      <c r="H8063" s="405">
        <v>776258802</v>
      </c>
      <c r="I8063" s="405"/>
      <c r="J8063" s="405">
        <v>0.91966700000000001</v>
      </c>
      <c r="K8063" s="405">
        <v>34.153174</v>
      </c>
      <c r="L8063" s="405" t="s">
        <v>6866</v>
      </c>
      <c r="M8063" s="405" t="s">
        <v>9534</v>
      </c>
      <c r="N8063" s="405" t="s">
        <v>9535</v>
      </c>
      <c r="O8063" s="405" t="s">
        <v>10721</v>
      </c>
      <c r="P8063" s="405" t="s">
        <v>10897</v>
      </c>
      <c r="Q8063" s="411">
        <v>6</v>
      </c>
      <c r="R8063" s="405" t="s">
        <v>7224</v>
      </c>
      <c r="S8063" s="405" t="s">
        <v>27074</v>
      </c>
      <c r="T8063" s="405" t="s">
        <v>32102</v>
      </c>
      <c r="U8063" s="405" t="s">
        <v>319</v>
      </c>
    </row>
    <row r="8064" spans="1:21" hidden="1" x14ac:dyDescent="0.25">
      <c r="A8064" s="405" t="s">
        <v>310</v>
      </c>
      <c r="B8064" s="405" t="s">
        <v>28739</v>
      </c>
      <c r="C8064" s="405" t="s">
        <v>327</v>
      </c>
      <c r="D8064" s="405"/>
      <c r="E8064" s="410">
        <v>40839</v>
      </c>
      <c r="F8064" s="410">
        <v>40884</v>
      </c>
      <c r="G8064" s="405" t="s">
        <v>10898</v>
      </c>
      <c r="H8064" s="405">
        <v>785721927</v>
      </c>
      <c r="I8064" s="405"/>
      <c r="J8064" s="405">
        <v>0.81033599999999995</v>
      </c>
      <c r="K8064" s="405">
        <v>34.075885999999997</v>
      </c>
      <c r="L8064" s="405" t="s">
        <v>6866</v>
      </c>
      <c r="M8064" s="405" t="s">
        <v>9534</v>
      </c>
      <c r="N8064" s="405" t="s">
        <v>9535</v>
      </c>
      <c r="O8064" s="405" t="s">
        <v>10721</v>
      </c>
      <c r="P8064" s="405" t="s">
        <v>10897</v>
      </c>
      <c r="Q8064" s="411">
        <v>6</v>
      </c>
      <c r="R8064" s="405" t="s">
        <v>7224</v>
      </c>
      <c r="S8064" s="405" t="s">
        <v>27283</v>
      </c>
      <c r="T8064" s="405" t="s">
        <v>32102</v>
      </c>
      <c r="U8064" s="405" t="s">
        <v>319</v>
      </c>
    </row>
    <row r="8065" spans="1:21" hidden="1" x14ac:dyDescent="0.25">
      <c r="A8065" s="405" t="s">
        <v>310</v>
      </c>
      <c r="B8065" s="405" t="s">
        <v>28927</v>
      </c>
      <c r="C8065" s="405" t="s">
        <v>327</v>
      </c>
      <c r="D8065" s="405"/>
      <c r="E8065" s="410">
        <v>40838</v>
      </c>
      <c r="F8065" s="410">
        <v>40883</v>
      </c>
      <c r="G8065" s="405" t="s">
        <v>1999</v>
      </c>
      <c r="H8065" s="405">
        <v>777551791</v>
      </c>
      <c r="I8065" s="405"/>
      <c r="J8065" s="405">
        <v>0.45840639999999999</v>
      </c>
      <c r="K8065" s="405">
        <v>33.2178276</v>
      </c>
      <c r="L8065" s="405" t="s">
        <v>314</v>
      </c>
      <c r="M8065" s="405" t="s">
        <v>349</v>
      </c>
      <c r="N8065" s="405" t="s">
        <v>349</v>
      </c>
      <c r="O8065" s="405" t="s">
        <v>349</v>
      </c>
      <c r="P8065" s="405" t="s">
        <v>2000</v>
      </c>
      <c r="Q8065" s="411">
        <v>9</v>
      </c>
      <c r="R8065" s="405" t="s">
        <v>32478</v>
      </c>
      <c r="S8065" s="405" t="s">
        <v>27124</v>
      </c>
      <c r="T8065" s="405" t="s">
        <v>32102</v>
      </c>
      <c r="U8065" s="405" t="s">
        <v>319</v>
      </c>
    </row>
    <row r="8066" spans="1:21" hidden="1" x14ac:dyDescent="0.25">
      <c r="A8066" s="405" t="s">
        <v>310</v>
      </c>
      <c r="B8066" s="405" t="s">
        <v>27871</v>
      </c>
      <c r="C8066" s="405" t="s">
        <v>327</v>
      </c>
      <c r="D8066" s="405"/>
      <c r="E8066" s="410">
        <v>40838</v>
      </c>
      <c r="F8066" s="410">
        <v>40883</v>
      </c>
      <c r="G8066" s="405" t="s">
        <v>20341</v>
      </c>
      <c r="H8066" s="405">
        <v>752292929</v>
      </c>
      <c r="I8066" s="405"/>
      <c r="J8066" s="405">
        <v>-0.47148200000000001</v>
      </c>
      <c r="K8066" s="405">
        <v>30.164636999999999</v>
      </c>
      <c r="L8066" s="405" t="s">
        <v>590</v>
      </c>
      <c r="M8066" s="405" t="s">
        <v>19625</v>
      </c>
      <c r="N8066" s="405" t="s">
        <v>20342</v>
      </c>
      <c r="O8066" s="405" t="s">
        <v>20343</v>
      </c>
      <c r="P8066" s="405" t="s">
        <v>20344</v>
      </c>
      <c r="Q8066" s="411">
        <v>6</v>
      </c>
      <c r="R8066" s="405" t="s">
        <v>883</v>
      </c>
      <c r="S8066" s="405" t="s">
        <v>27173</v>
      </c>
      <c r="T8066" s="405" t="s">
        <v>32102</v>
      </c>
      <c r="U8066" s="405" t="s">
        <v>319</v>
      </c>
    </row>
    <row r="8067" spans="1:21" hidden="1" x14ac:dyDescent="0.25">
      <c r="A8067" s="405" t="s">
        <v>310</v>
      </c>
      <c r="B8067" s="405" t="s">
        <v>20328</v>
      </c>
      <c r="C8067" s="405" t="s">
        <v>327</v>
      </c>
      <c r="D8067" s="405"/>
      <c r="E8067" s="410">
        <v>40838</v>
      </c>
      <c r="F8067" s="410">
        <v>40883</v>
      </c>
      <c r="G8067" s="405" t="s">
        <v>20329</v>
      </c>
      <c r="H8067" s="405">
        <v>705901592</v>
      </c>
      <c r="I8067" s="405"/>
      <c r="J8067" s="405">
        <v>-0.79459900000000006</v>
      </c>
      <c r="K8067" s="405">
        <v>30.499775</v>
      </c>
      <c r="L8067" s="405" t="s">
        <v>590</v>
      </c>
      <c r="M8067" s="405" t="s">
        <v>19614</v>
      </c>
      <c r="N8067" s="405" t="s">
        <v>19654</v>
      </c>
      <c r="O8067" s="405" t="s">
        <v>19995</v>
      </c>
      <c r="P8067" s="405" t="s">
        <v>20330</v>
      </c>
      <c r="Q8067" s="411">
        <v>6</v>
      </c>
      <c r="R8067" s="405" t="s">
        <v>333</v>
      </c>
      <c r="S8067" s="405" t="s">
        <v>27166</v>
      </c>
      <c r="T8067" s="405" t="s">
        <v>32102</v>
      </c>
      <c r="U8067" s="405" t="s">
        <v>319</v>
      </c>
    </row>
    <row r="8068" spans="1:21" hidden="1" x14ac:dyDescent="0.25">
      <c r="A8068" s="405" t="s">
        <v>310</v>
      </c>
      <c r="B8068" s="405" t="s">
        <v>20325</v>
      </c>
      <c r="C8068" s="405" t="s">
        <v>327</v>
      </c>
      <c r="D8068" s="405"/>
      <c r="E8068" s="410">
        <v>40838</v>
      </c>
      <c r="F8068" s="410">
        <v>40883</v>
      </c>
      <c r="G8068" s="405" t="s">
        <v>20326</v>
      </c>
      <c r="H8068" s="405">
        <v>772984519</v>
      </c>
      <c r="I8068" s="405">
        <v>752984519</v>
      </c>
      <c r="J8068" s="405">
        <v>-0.61803300000000005</v>
      </c>
      <c r="K8068" s="405">
        <v>30.084294</v>
      </c>
      <c r="L8068" s="405" t="s">
        <v>590</v>
      </c>
      <c r="M8068" s="405" t="s">
        <v>19625</v>
      </c>
      <c r="N8068" s="405" t="s">
        <v>20033</v>
      </c>
      <c r="O8068" s="405" t="s">
        <v>20034</v>
      </c>
      <c r="P8068" s="405" t="s">
        <v>20327</v>
      </c>
      <c r="Q8068" s="411">
        <v>6</v>
      </c>
      <c r="R8068" s="405" t="s">
        <v>874</v>
      </c>
      <c r="S8068" s="405" t="s">
        <v>27240</v>
      </c>
      <c r="T8068" s="405" t="s">
        <v>32102</v>
      </c>
      <c r="U8068" s="405" t="s">
        <v>319</v>
      </c>
    </row>
    <row r="8069" spans="1:21" hidden="1" x14ac:dyDescent="0.25">
      <c r="A8069" s="405" t="s">
        <v>310</v>
      </c>
      <c r="B8069" s="405" t="s">
        <v>20318</v>
      </c>
      <c r="C8069" s="405" t="s">
        <v>327</v>
      </c>
      <c r="D8069" s="405"/>
      <c r="E8069" s="410">
        <v>40838</v>
      </c>
      <c r="F8069" s="410">
        <v>40883</v>
      </c>
      <c r="G8069" s="405" t="s">
        <v>20319</v>
      </c>
      <c r="H8069" s="405">
        <v>776483570</v>
      </c>
      <c r="I8069" s="405"/>
      <c r="J8069" s="405">
        <v>-0.62565499999999996</v>
      </c>
      <c r="K8069" s="405">
        <v>30.585443999999999</v>
      </c>
      <c r="L8069" s="405" t="s">
        <v>590</v>
      </c>
      <c r="M8069" s="405" t="s">
        <v>19614</v>
      </c>
      <c r="N8069" s="405" t="s">
        <v>19873</v>
      </c>
      <c r="O8069" s="405" t="s">
        <v>20138</v>
      </c>
      <c r="P8069" s="405" t="s">
        <v>20320</v>
      </c>
      <c r="Q8069" s="411">
        <v>6</v>
      </c>
      <c r="R8069" s="405" t="s">
        <v>333</v>
      </c>
      <c r="S8069" s="405" t="s">
        <v>27183</v>
      </c>
      <c r="T8069" s="405" t="s">
        <v>32102</v>
      </c>
      <c r="U8069" s="405" t="s">
        <v>319</v>
      </c>
    </row>
    <row r="8070" spans="1:21" hidden="1" x14ac:dyDescent="0.25">
      <c r="A8070" s="405" t="s">
        <v>310</v>
      </c>
      <c r="B8070" s="405" t="s">
        <v>20345</v>
      </c>
      <c r="C8070" s="405" t="s">
        <v>327</v>
      </c>
      <c r="D8070" s="405"/>
      <c r="E8070" s="410">
        <v>40838</v>
      </c>
      <c r="F8070" s="410">
        <v>40883</v>
      </c>
      <c r="G8070" s="405" t="s">
        <v>20346</v>
      </c>
      <c r="H8070" s="405">
        <v>752140137</v>
      </c>
      <c r="I8070" s="405"/>
      <c r="J8070" s="405">
        <v>-0.54801999999999995</v>
      </c>
      <c r="K8070" s="405">
        <v>30.237348999999998</v>
      </c>
      <c r="L8070" s="405" t="s">
        <v>590</v>
      </c>
      <c r="M8070" s="405" t="s">
        <v>19625</v>
      </c>
      <c r="N8070" s="405" t="s">
        <v>19642</v>
      </c>
      <c r="O8070" s="405" t="s">
        <v>20275</v>
      </c>
      <c r="P8070" s="405" t="s">
        <v>19659</v>
      </c>
      <c r="Q8070" s="411">
        <v>6</v>
      </c>
      <c r="R8070" s="405" t="s">
        <v>883</v>
      </c>
      <c r="S8070" s="405" t="s">
        <v>27271</v>
      </c>
      <c r="T8070" s="405" t="s">
        <v>32102</v>
      </c>
      <c r="U8070" s="405" t="s">
        <v>319</v>
      </c>
    </row>
    <row r="8071" spans="1:21" hidden="1" x14ac:dyDescent="0.25">
      <c r="A8071" s="405" t="s">
        <v>310</v>
      </c>
      <c r="B8071" s="405" t="s">
        <v>10826</v>
      </c>
      <c r="C8071" s="405" t="s">
        <v>327</v>
      </c>
      <c r="D8071" s="405"/>
      <c r="E8071" s="410">
        <v>40838</v>
      </c>
      <c r="F8071" s="410">
        <v>40883</v>
      </c>
      <c r="G8071" s="405" t="s">
        <v>10827</v>
      </c>
      <c r="H8071" s="405">
        <v>773996203</v>
      </c>
      <c r="I8071" s="405"/>
      <c r="J8071" s="405">
        <v>0.84636299999999998</v>
      </c>
      <c r="K8071" s="405">
        <v>34.006211</v>
      </c>
      <c r="L8071" s="405" t="s">
        <v>6866</v>
      </c>
      <c r="M8071" s="405" t="s">
        <v>9534</v>
      </c>
      <c r="N8071" s="405" t="s">
        <v>10085</v>
      </c>
      <c r="O8071" s="405" t="s">
        <v>10817</v>
      </c>
      <c r="P8071" s="405" t="s">
        <v>10828</v>
      </c>
      <c r="Q8071" s="411">
        <v>6</v>
      </c>
      <c r="R8071" s="405" t="s">
        <v>7224</v>
      </c>
      <c r="S8071" s="405" t="s">
        <v>27190</v>
      </c>
      <c r="T8071" s="405" t="s">
        <v>32102</v>
      </c>
      <c r="U8071" s="405" t="s">
        <v>319</v>
      </c>
    </row>
    <row r="8072" spans="1:21" hidden="1" x14ac:dyDescent="0.25">
      <c r="A8072" s="405" t="s">
        <v>310</v>
      </c>
      <c r="B8072" s="405" t="s">
        <v>27599</v>
      </c>
      <c r="C8072" s="405" t="s">
        <v>327</v>
      </c>
      <c r="D8072" s="405"/>
      <c r="E8072" s="410">
        <v>40837</v>
      </c>
      <c r="F8072" s="410">
        <v>40882</v>
      </c>
      <c r="G8072" s="405" t="s">
        <v>10877</v>
      </c>
      <c r="H8072" s="405">
        <v>752569449</v>
      </c>
      <c r="I8072" s="405"/>
      <c r="J8072" s="405">
        <v>0.67696800000000001</v>
      </c>
      <c r="K8072" s="405">
        <v>34.176588000000002</v>
      </c>
      <c r="L8072" s="405" t="s">
        <v>6866</v>
      </c>
      <c r="M8072" s="405" t="s">
        <v>9534</v>
      </c>
      <c r="N8072" s="405" t="s">
        <v>10065</v>
      </c>
      <c r="O8072" s="405" t="s">
        <v>9881</v>
      </c>
      <c r="P8072" s="405" t="s">
        <v>10878</v>
      </c>
      <c r="Q8072" s="411">
        <v>6</v>
      </c>
      <c r="R8072" s="405" t="s">
        <v>7224</v>
      </c>
      <c r="S8072" s="405" t="s">
        <v>27309</v>
      </c>
      <c r="T8072" s="405" t="s">
        <v>32102</v>
      </c>
      <c r="U8072" s="405" t="s">
        <v>319</v>
      </c>
    </row>
    <row r="8073" spans="1:21" hidden="1" x14ac:dyDescent="0.25">
      <c r="A8073" s="405" t="s">
        <v>310</v>
      </c>
      <c r="B8073" s="405" t="s">
        <v>10882</v>
      </c>
      <c r="C8073" s="405" t="s">
        <v>327</v>
      </c>
      <c r="D8073" s="405"/>
      <c r="E8073" s="410">
        <v>40837</v>
      </c>
      <c r="F8073" s="410">
        <v>40882</v>
      </c>
      <c r="G8073" s="405" t="s">
        <v>10883</v>
      </c>
      <c r="H8073" s="405">
        <v>774060973</v>
      </c>
      <c r="I8073" s="405"/>
      <c r="J8073" s="405">
        <v>1.2305489999999999</v>
      </c>
      <c r="K8073" s="405">
        <v>34.247652000000002</v>
      </c>
      <c r="L8073" s="405" t="s">
        <v>6866</v>
      </c>
      <c r="M8073" s="405" t="s">
        <v>9575</v>
      </c>
      <c r="N8073" s="405" t="s">
        <v>9852</v>
      </c>
      <c r="O8073" s="405" t="s">
        <v>10884</v>
      </c>
      <c r="P8073" s="405" t="s">
        <v>10885</v>
      </c>
      <c r="Q8073" s="411">
        <v>6</v>
      </c>
      <c r="R8073" s="405" t="s">
        <v>7224</v>
      </c>
      <c r="S8073" s="405" t="s">
        <v>27306</v>
      </c>
      <c r="T8073" s="405" t="s">
        <v>32102</v>
      </c>
      <c r="U8073" s="405" t="s">
        <v>319</v>
      </c>
    </row>
    <row r="8074" spans="1:21" hidden="1" x14ac:dyDescent="0.25">
      <c r="A8074" s="405" t="s">
        <v>310</v>
      </c>
      <c r="B8074" s="405" t="s">
        <v>2007</v>
      </c>
      <c r="C8074" s="405" t="s">
        <v>327</v>
      </c>
      <c r="D8074" s="405"/>
      <c r="E8074" s="410">
        <v>40837</v>
      </c>
      <c r="F8074" s="410">
        <v>40882</v>
      </c>
      <c r="G8074" s="405" t="s">
        <v>2008</v>
      </c>
      <c r="H8074" s="405">
        <v>775679338</v>
      </c>
      <c r="I8074" s="405"/>
      <c r="J8074" s="405">
        <v>0.13633999999999999</v>
      </c>
      <c r="K8074" s="405">
        <v>32.071637000000003</v>
      </c>
      <c r="L8074" s="405" t="s">
        <v>314</v>
      </c>
      <c r="M8074" s="405" t="s">
        <v>315</v>
      </c>
      <c r="N8074" s="405" t="s">
        <v>315</v>
      </c>
      <c r="O8074" s="405" t="s">
        <v>671</v>
      </c>
      <c r="P8074" s="405" t="s">
        <v>649</v>
      </c>
      <c r="Q8074" s="411">
        <v>6</v>
      </c>
      <c r="R8074" s="405" t="s">
        <v>318</v>
      </c>
      <c r="S8074" s="405" t="s">
        <v>414</v>
      </c>
      <c r="T8074" s="405" t="s">
        <v>32102</v>
      </c>
      <c r="U8074" s="405" t="s">
        <v>319</v>
      </c>
    </row>
    <row r="8075" spans="1:21" hidden="1" x14ac:dyDescent="0.25">
      <c r="A8075" s="405" t="s">
        <v>310</v>
      </c>
      <c r="B8075" s="405" t="s">
        <v>2529</v>
      </c>
      <c r="C8075" s="405" t="s">
        <v>311</v>
      </c>
      <c r="D8075" s="405" t="s">
        <v>2530</v>
      </c>
      <c r="E8075" s="410">
        <v>40836</v>
      </c>
      <c r="F8075" s="410">
        <v>40881</v>
      </c>
      <c r="G8075" s="405" t="s">
        <v>2531</v>
      </c>
      <c r="H8075" s="405">
        <v>752695426</v>
      </c>
      <c r="I8075" s="405"/>
      <c r="J8075" s="405">
        <v>0.38309300000000002</v>
      </c>
      <c r="K8075" s="405">
        <v>32.296767000000003</v>
      </c>
      <c r="L8075" s="405" t="s">
        <v>314</v>
      </c>
      <c r="M8075" s="405" t="s">
        <v>321</v>
      </c>
      <c r="N8075" s="405" t="s">
        <v>2472</v>
      </c>
      <c r="O8075" s="405" t="s">
        <v>2473</v>
      </c>
      <c r="P8075" s="405" t="s">
        <v>513</v>
      </c>
      <c r="Q8075" s="411">
        <v>12</v>
      </c>
      <c r="R8075" s="405" t="s">
        <v>318</v>
      </c>
      <c r="S8075" s="405" t="s">
        <v>27113</v>
      </c>
      <c r="T8075" s="405" t="s">
        <v>32102</v>
      </c>
      <c r="U8075" s="405" t="s">
        <v>319</v>
      </c>
    </row>
    <row r="8076" spans="1:21" hidden="1" x14ac:dyDescent="0.25">
      <c r="A8076" s="405" t="s">
        <v>310</v>
      </c>
      <c r="B8076" s="405" t="s">
        <v>10890</v>
      </c>
      <c r="C8076" s="405" t="s">
        <v>327</v>
      </c>
      <c r="D8076" s="405"/>
      <c r="E8076" s="410">
        <v>40836</v>
      </c>
      <c r="F8076" s="410">
        <v>40881</v>
      </c>
      <c r="G8076" s="405" t="s">
        <v>10891</v>
      </c>
      <c r="H8076" s="405">
        <v>777603228</v>
      </c>
      <c r="I8076" s="405"/>
      <c r="J8076" s="405">
        <v>1.237851</v>
      </c>
      <c r="K8076" s="405">
        <v>34.749868999999997</v>
      </c>
      <c r="L8076" s="405" t="s">
        <v>6866</v>
      </c>
      <c r="M8076" s="405" t="s">
        <v>10163</v>
      </c>
      <c r="N8076" s="405" t="s">
        <v>10164</v>
      </c>
      <c r="O8076" s="405" t="s">
        <v>10165</v>
      </c>
      <c r="P8076" s="405" t="s">
        <v>10892</v>
      </c>
      <c r="Q8076" s="411">
        <v>6</v>
      </c>
      <c r="R8076" s="405" t="s">
        <v>9506</v>
      </c>
      <c r="S8076" s="405" t="s">
        <v>27184</v>
      </c>
      <c r="T8076" s="405" t="s">
        <v>32102</v>
      </c>
      <c r="U8076" s="405" t="s">
        <v>319</v>
      </c>
    </row>
    <row r="8077" spans="1:21" hidden="1" x14ac:dyDescent="0.25">
      <c r="A8077" s="405" t="s">
        <v>310</v>
      </c>
      <c r="B8077" s="405" t="s">
        <v>10907</v>
      </c>
      <c r="C8077" s="405" t="s">
        <v>327</v>
      </c>
      <c r="D8077" s="405"/>
      <c r="E8077" s="410">
        <v>40836</v>
      </c>
      <c r="F8077" s="410">
        <v>40881</v>
      </c>
      <c r="G8077" s="405" t="s">
        <v>10908</v>
      </c>
      <c r="H8077" s="405">
        <v>774094930</v>
      </c>
      <c r="I8077" s="405">
        <v>775772843</v>
      </c>
      <c r="J8077" s="405">
        <v>0.87275800000000003</v>
      </c>
      <c r="K8077" s="405">
        <v>34.366961000000003</v>
      </c>
      <c r="L8077" s="405" t="s">
        <v>6866</v>
      </c>
      <c r="M8077" s="405" t="s">
        <v>9763</v>
      </c>
      <c r="N8077" s="405" t="s">
        <v>9848</v>
      </c>
      <c r="O8077" s="405" t="s">
        <v>10122</v>
      </c>
      <c r="P8077" s="405" t="s">
        <v>10909</v>
      </c>
      <c r="Q8077" s="411">
        <v>6</v>
      </c>
      <c r="R8077" s="405" t="s">
        <v>9541</v>
      </c>
      <c r="S8077" s="405" t="s">
        <v>27302</v>
      </c>
      <c r="T8077" s="405" t="s">
        <v>32102</v>
      </c>
      <c r="U8077" s="405" t="s">
        <v>319</v>
      </c>
    </row>
    <row r="8078" spans="1:21" hidden="1" x14ac:dyDescent="0.25">
      <c r="A8078" s="405" t="s">
        <v>310</v>
      </c>
      <c r="B8078" s="405" t="s">
        <v>28645</v>
      </c>
      <c r="C8078" s="405" t="s">
        <v>327</v>
      </c>
      <c r="D8078" s="405"/>
      <c r="E8078" s="410">
        <v>40835</v>
      </c>
      <c r="F8078" s="410">
        <v>40880</v>
      </c>
      <c r="G8078" s="405" t="s">
        <v>1997</v>
      </c>
      <c r="H8078" s="405">
        <v>751827800</v>
      </c>
      <c r="I8078" s="405"/>
      <c r="J8078" s="405">
        <v>-0.2401134</v>
      </c>
      <c r="K8078" s="405">
        <v>31.7606848</v>
      </c>
      <c r="L8078" s="405" t="s">
        <v>314</v>
      </c>
      <c r="M8078" s="405" t="s">
        <v>900</v>
      </c>
      <c r="N8078" s="405" t="s">
        <v>900</v>
      </c>
      <c r="O8078" s="405" t="s">
        <v>900</v>
      </c>
      <c r="P8078" s="405" t="s">
        <v>1998</v>
      </c>
      <c r="Q8078" s="411">
        <v>6</v>
      </c>
      <c r="R8078" s="405" t="s">
        <v>333</v>
      </c>
      <c r="S8078" s="405" t="s">
        <v>27176</v>
      </c>
      <c r="T8078" s="405" t="s">
        <v>32102</v>
      </c>
      <c r="U8078" s="405" t="s">
        <v>319</v>
      </c>
    </row>
    <row r="8079" spans="1:21" hidden="1" x14ac:dyDescent="0.25">
      <c r="A8079" s="405" t="s">
        <v>310</v>
      </c>
      <c r="B8079" s="405" t="s">
        <v>27631</v>
      </c>
      <c r="C8079" s="405" t="s">
        <v>327</v>
      </c>
      <c r="D8079" s="405"/>
      <c r="E8079" s="410">
        <v>40834</v>
      </c>
      <c r="F8079" s="410">
        <v>40879</v>
      </c>
      <c r="G8079" s="405" t="s">
        <v>20347</v>
      </c>
      <c r="H8079" s="405">
        <v>774415732</v>
      </c>
      <c r="I8079" s="405"/>
      <c r="J8079" s="405">
        <v>1.6579644</v>
      </c>
      <c r="K8079" s="405">
        <v>31.709802199999999</v>
      </c>
      <c r="L8079" s="405" t="s">
        <v>590</v>
      </c>
      <c r="M8079" s="405" t="s">
        <v>19608</v>
      </c>
      <c r="N8079" s="405" t="s">
        <v>19762</v>
      </c>
      <c r="O8079" s="405" t="s">
        <v>19784</v>
      </c>
      <c r="P8079" s="405" t="s">
        <v>19909</v>
      </c>
      <c r="Q8079" s="411">
        <v>9</v>
      </c>
      <c r="R8079" s="405" t="s">
        <v>318</v>
      </c>
      <c r="S8079" s="405" t="s">
        <v>27126</v>
      </c>
      <c r="T8079" s="405" t="s">
        <v>32102</v>
      </c>
      <c r="U8079" s="405" t="s">
        <v>319</v>
      </c>
    </row>
    <row r="8080" spans="1:21" hidden="1" x14ac:dyDescent="0.25">
      <c r="A8080" s="405" t="s">
        <v>310</v>
      </c>
      <c r="B8080" s="405" t="s">
        <v>10872</v>
      </c>
      <c r="C8080" s="405" t="s">
        <v>327</v>
      </c>
      <c r="D8080" s="405"/>
      <c r="E8080" s="410">
        <v>40834</v>
      </c>
      <c r="F8080" s="410">
        <v>40879</v>
      </c>
      <c r="G8080" s="405" t="s">
        <v>10873</v>
      </c>
      <c r="H8080" s="405">
        <v>775509207</v>
      </c>
      <c r="I8080" s="405"/>
      <c r="J8080" s="405">
        <v>1.07216</v>
      </c>
      <c r="K8080" s="405">
        <v>34.272117999999999</v>
      </c>
      <c r="L8080" s="405" t="s">
        <v>6866</v>
      </c>
      <c r="M8080" s="405" t="s">
        <v>9514</v>
      </c>
      <c r="N8080" s="405" t="s">
        <v>9529</v>
      </c>
      <c r="O8080" s="405" t="s">
        <v>10139</v>
      </c>
      <c r="P8080" s="405" t="s">
        <v>10874</v>
      </c>
      <c r="Q8080" s="411">
        <v>6</v>
      </c>
      <c r="R8080" s="405" t="s">
        <v>7224</v>
      </c>
      <c r="S8080" s="405" t="s">
        <v>27107</v>
      </c>
      <c r="T8080" s="405" t="s">
        <v>32102</v>
      </c>
      <c r="U8080" s="405" t="s">
        <v>319</v>
      </c>
    </row>
    <row r="8081" spans="1:21" hidden="1" x14ac:dyDescent="0.25">
      <c r="A8081" s="405" t="s">
        <v>310</v>
      </c>
      <c r="B8081" s="405" t="s">
        <v>10903</v>
      </c>
      <c r="C8081" s="405" t="s">
        <v>327</v>
      </c>
      <c r="D8081" s="405"/>
      <c r="E8081" s="410">
        <v>40834</v>
      </c>
      <c r="F8081" s="410">
        <v>40879</v>
      </c>
      <c r="G8081" s="405" t="s">
        <v>10904</v>
      </c>
      <c r="H8081" s="405">
        <v>772512051</v>
      </c>
      <c r="I8081" s="405"/>
      <c r="J8081" s="405">
        <v>0.959457</v>
      </c>
      <c r="K8081" s="405">
        <v>34.275348000000001</v>
      </c>
      <c r="L8081" s="405" t="s">
        <v>6866</v>
      </c>
      <c r="M8081" s="405" t="s">
        <v>9763</v>
      </c>
      <c r="N8081" s="405" t="s">
        <v>9764</v>
      </c>
      <c r="O8081" s="405" t="s">
        <v>10905</v>
      </c>
      <c r="P8081" s="405" t="s">
        <v>10906</v>
      </c>
      <c r="Q8081" s="411">
        <v>6</v>
      </c>
      <c r="R8081" s="405" t="s">
        <v>7224</v>
      </c>
      <c r="S8081" s="405" t="s">
        <v>27203</v>
      </c>
      <c r="T8081" s="405" t="s">
        <v>32102</v>
      </c>
      <c r="U8081" s="405" t="s">
        <v>319</v>
      </c>
    </row>
    <row r="8082" spans="1:21" hidden="1" x14ac:dyDescent="0.25">
      <c r="A8082" s="405" t="s">
        <v>310</v>
      </c>
      <c r="B8082" s="405" t="s">
        <v>28140</v>
      </c>
      <c r="C8082" s="405" t="s">
        <v>327</v>
      </c>
      <c r="D8082" s="405"/>
      <c r="E8082" s="410">
        <v>40833</v>
      </c>
      <c r="F8082" s="410">
        <v>40878</v>
      </c>
      <c r="G8082" s="405" t="s">
        <v>10875</v>
      </c>
      <c r="H8082" s="405">
        <v>703642776</v>
      </c>
      <c r="I8082" s="405">
        <v>774694059</v>
      </c>
      <c r="J8082" s="405">
        <v>0.49682300000000001</v>
      </c>
      <c r="K8082" s="405">
        <v>33.205438000000001</v>
      </c>
      <c r="L8082" s="405" t="s">
        <v>6866</v>
      </c>
      <c r="M8082" s="405" t="s">
        <v>9590</v>
      </c>
      <c r="N8082" s="405" t="s">
        <v>9591</v>
      </c>
      <c r="O8082" s="405" t="s">
        <v>9592</v>
      </c>
      <c r="P8082" s="405" t="s">
        <v>10876</v>
      </c>
      <c r="Q8082" s="411">
        <v>6</v>
      </c>
      <c r="R8082" s="405" t="s">
        <v>333</v>
      </c>
      <c r="S8082" s="405" t="s">
        <v>27120</v>
      </c>
      <c r="T8082" s="405" t="s">
        <v>32102</v>
      </c>
      <c r="U8082" s="405" t="s">
        <v>319</v>
      </c>
    </row>
    <row r="8083" spans="1:21" hidden="1" x14ac:dyDescent="0.25">
      <c r="A8083" s="405" t="s">
        <v>310</v>
      </c>
      <c r="B8083" s="405" t="s">
        <v>2009</v>
      </c>
      <c r="C8083" s="405" t="s">
        <v>327</v>
      </c>
      <c r="D8083" s="405"/>
      <c r="E8083" s="410">
        <v>40833</v>
      </c>
      <c r="F8083" s="410">
        <v>40878</v>
      </c>
      <c r="G8083" s="405" t="s">
        <v>2010</v>
      </c>
      <c r="H8083" s="405">
        <v>704541828</v>
      </c>
      <c r="I8083" s="405"/>
      <c r="J8083" s="405">
        <v>0.55063200000000001</v>
      </c>
      <c r="K8083" s="405">
        <v>32.027552999999997</v>
      </c>
      <c r="L8083" s="405" t="s">
        <v>314</v>
      </c>
      <c r="M8083" s="405" t="s">
        <v>675</v>
      </c>
      <c r="N8083" s="405" t="s">
        <v>1065</v>
      </c>
      <c r="O8083" s="405" t="s">
        <v>1248</v>
      </c>
      <c r="P8083" s="405" t="s">
        <v>2011</v>
      </c>
      <c r="Q8083" s="411">
        <v>6</v>
      </c>
      <c r="R8083" s="405" t="s">
        <v>318</v>
      </c>
      <c r="S8083" s="405" t="s">
        <v>27174</v>
      </c>
      <c r="T8083" s="405" t="s">
        <v>32102</v>
      </c>
      <c r="U8083" s="405" t="s">
        <v>319</v>
      </c>
    </row>
    <row r="8084" spans="1:21" hidden="1" x14ac:dyDescent="0.25">
      <c r="A8084" s="405" t="s">
        <v>310</v>
      </c>
      <c r="B8084" s="405" t="s">
        <v>27604</v>
      </c>
      <c r="C8084" s="405" t="s">
        <v>327</v>
      </c>
      <c r="D8084" s="405"/>
      <c r="E8084" s="410">
        <v>40831</v>
      </c>
      <c r="F8084" s="410">
        <v>40876</v>
      </c>
      <c r="G8084" s="405" t="s">
        <v>1890</v>
      </c>
      <c r="H8084" s="405">
        <v>775442315</v>
      </c>
      <c r="I8084" s="405"/>
      <c r="J8084" s="405">
        <v>0.45450200000000002</v>
      </c>
      <c r="K8084" s="405">
        <v>32.199572000000003</v>
      </c>
      <c r="L8084" s="405" t="s">
        <v>314</v>
      </c>
      <c r="M8084" s="405" t="s">
        <v>675</v>
      </c>
      <c r="N8084" s="405" t="s">
        <v>1065</v>
      </c>
      <c r="O8084" s="405" t="s">
        <v>1374</v>
      </c>
      <c r="P8084" s="405" t="s">
        <v>1891</v>
      </c>
      <c r="Q8084" s="411">
        <v>12</v>
      </c>
      <c r="R8084" s="405" t="s">
        <v>318</v>
      </c>
      <c r="S8084" s="405" t="s">
        <v>27113</v>
      </c>
      <c r="T8084" s="405" t="s">
        <v>32102</v>
      </c>
      <c r="U8084" s="405" t="s">
        <v>319</v>
      </c>
    </row>
    <row r="8085" spans="1:21" hidden="1" x14ac:dyDescent="0.25">
      <c r="A8085" s="405" t="s">
        <v>310</v>
      </c>
      <c r="B8085" s="405" t="s">
        <v>20310</v>
      </c>
      <c r="C8085" s="405" t="s">
        <v>327</v>
      </c>
      <c r="D8085" s="405"/>
      <c r="E8085" s="410">
        <v>40831</v>
      </c>
      <c r="F8085" s="410">
        <v>40876</v>
      </c>
      <c r="G8085" s="405" t="s">
        <v>20311</v>
      </c>
      <c r="H8085" s="405">
        <v>703719732</v>
      </c>
      <c r="I8085" s="405"/>
      <c r="J8085" s="405">
        <v>-0.118254</v>
      </c>
      <c r="K8085" s="405">
        <v>30.934569</v>
      </c>
      <c r="L8085" s="405" t="s">
        <v>590</v>
      </c>
      <c r="M8085" s="405" t="s">
        <v>19705</v>
      </c>
      <c r="N8085" s="405" t="s">
        <v>19706</v>
      </c>
      <c r="O8085" s="405" t="s">
        <v>19714</v>
      </c>
      <c r="P8085" s="405" t="s">
        <v>20312</v>
      </c>
      <c r="Q8085" s="411">
        <v>9</v>
      </c>
      <c r="R8085" s="405" t="s">
        <v>874</v>
      </c>
      <c r="S8085" s="405" t="s">
        <v>27161</v>
      </c>
      <c r="T8085" s="405" t="s">
        <v>32102</v>
      </c>
      <c r="U8085" s="405" t="s">
        <v>319</v>
      </c>
    </row>
    <row r="8086" spans="1:21" hidden="1" x14ac:dyDescent="0.25">
      <c r="A8086" s="405" t="s">
        <v>310</v>
      </c>
      <c r="B8086" s="405" t="s">
        <v>11156</v>
      </c>
      <c r="C8086" s="405" t="s">
        <v>311</v>
      </c>
      <c r="D8086" s="405" t="s">
        <v>33099</v>
      </c>
      <c r="E8086" s="410">
        <v>40831</v>
      </c>
      <c r="F8086" s="410">
        <v>40876</v>
      </c>
      <c r="G8086" s="405" t="s">
        <v>11157</v>
      </c>
      <c r="H8086" s="405">
        <v>783995916</v>
      </c>
      <c r="I8086" s="405">
        <v>750056358</v>
      </c>
      <c r="J8086" s="405">
        <v>1.848293</v>
      </c>
      <c r="K8086" s="405">
        <v>33.600107999999999</v>
      </c>
      <c r="L8086" s="405" t="s">
        <v>6866</v>
      </c>
      <c r="M8086" s="405" t="s">
        <v>10515</v>
      </c>
      <c r="N8086" s="405" t="s">
        <v>10525</v>
      </c>
      <c r="O8086" s="405" t="s">
        <v>10526</v>
      </c>
      <c r="P8086" s="405" t="s">
        <v>11158</v>
      </c>
      <c r="Q8086" s="411">
        <v>6</v>
      </c>
      <c r="R8086" s="405" t="s">
        <v>7224</v>
      </c>
      <c r="S8086" s="405" t="s">
        <v>27322</v>
      </c>
      <c r="T8086" s="405" t="s">
        <v>32102</v>
      </c>
      <c r="U8086" s="405" t="s">
        <v>319</v>
      </c>
    </row>
    <row r="8087" spans="1:21" hidden="1" x14ac:dyDescent="0.25">
      <c r="A8087" s="405" t="s">
        <v>310</v>
      </c>
      <c r="B8087" s="405" t="s">
        <v>10713</v>
      </c>
      <c r="C8087" s="405" t="s">
        <v>327</v>
      </c>
      <c r="D8087" s="405"/>
      <c r="E8087" s="410">
        <v>40831</v>
      </c>
      <c r="F8087" s="410">
        <v>40876</v>
      </c>
      <c r="G8087" s="405" t="s">
        <v>10714</v>
      </c>
      <c r="H8087" s="405">
        <v>776291258</v>
      </c>
      <c r="I8087" s="405"/>
      <c r="J8087" s="405">
        <v>1.234038</v>
      </c>
      <c r="K8087" s="405">
        <v>34.115912000000002</v>
      </c>
      <c r="L8087" s="405" t="s">
        <v>6866</v>
      </c>
      <c r="M8087" s="405" t="s">
        <v>9504</v>
      </c>
      <c r="N8087" s="405" t="s">
        <v>9598</v>
      </c>
      <c r="O8087" s="405" t="s">
        <v>9599</v>
      </c>
      <c r="P8087" s="405" t="s">
        <v>9598</v>
      </c>
      <c r="Q8087" s="411">
        <v>6</v>
      </c>
      <c r="R8087" s="405" t="s">
        <v>9541</v>
      </c>
      <c r="S8087" s="405" t="s">
        <v>27296</v>
      </c>
      <c r="T8087" s="405" t="s">
        <v>32102</v>
      </c>
      <c r="U8087" s="405" t="s">
        <v>319</v>
      </c>
    </row>
    <row r="8088" spans="1:21" hidden="1" x14ac:dyDescent="0.25">
      <c r="A8088" s="405" t="s">
        <v>310</v>
      </c>
      <c r="B8088" s="405" t="s">
        <v>29079</v>
      </c>
      <c r="C8088" s="405" t="s">
        <v>327</v>
      </c>
      <c r="D8088" s="405"/>
      <c r="E8088" s="410">
        <v>40830</v>
      </c>
      <c r="F8088" s="410">
        <v>40875</v>
      </c>
      <c r="G8088" s="405" t="s">
        <v>10762</v>
      </c>
      <c r="H8088" s="405">
        <v>782689055</v>
      </c>
      <c r="I8088" s="405"/>
      <c r="J8088" s="405">
        <v>0.61554759999999997</v>
      </c>
      <c r="K8088" s="405">
        <v>33.4786225</v>
      </c>
      <c r="L8088" s="405" t="s">
        <v>6866</v>
      </c>
      <c r="M8088" s="405" t="s">
        <v>9590</v>
      </c>
      <c r="N8088" s="405" t="s">
        <v>9592</v>
      </c>
      <c r="O8088" s="405" t="s">
        <v>9592</v>
      </c>
      <c r="P8088" s="405" t="s">
        <v>9595</v>
      </c>
      <c r="Q8088" s="411">
        <v>9</v>
      </c>
      <c r="R8088" s="405" t="s">
        <v>318</v>
      </c>
      <c r="S8088" s="405" t="s">
        <v>27135</v>
      </c>
      <c r="T8088" s="405" t="s">
        <v>32102</v>
      </c>
      <c r="U8088" s="405" t="s">
        <v>319</v>
      </c>
    </row>
    <row r="8089" spans="1:21" hidden="1" x14ac:dyDescent="0.25">
      <c r="A8089" s="405" t="s">
        <v>310</v>
      </c>
      <c r="B8089" s="405" t="s">
        <v>10808</v>
      </c>
      <c r="C8089" s="405" t="s">
        <v>327</v>
      </c>
      <c r="D8089" s="405"/>
      <c r="E8089" s="410">
        <v>40830</v>
      </c>
      <c r="F8089" s="410">
        <v>40875</v>
      </c>
      <c r="G8089" s="405" t="s">
        <v>10809</v>
      </c>
      <c r="H8089" s="405">
        <v>772645765</v>
      </c>
      <c r="I8089" s="405">
        <v>703200417</v>
      </c>
      <c r="J8089" s="405">
        <v>0.73167000000000004</v>
      </c>
      <c r="K8089" s="405">
        <v>34.114367000000001</v>
      </c>
      <c r="L8089" s="405" t="s">
        <v>6866</v>
      </c>
      <c r="M8089" s="405" t="s">
        <v>9534</v>
      </c>
      <c r="N8089" s="405" t="s">
        <v>9927</v>
      </c>
      <c r="O8089" s="405" t="s">
        <v>3870</v>
      </c>
      <c r="P8089" s="405" t="s">
        <v>9928</v>
      </c>
      <c r="Q8089" s="411">
        <v>6</v>
      </c>
      <c r="R8089" s="405" t="s">
        <v>7224</v>
      </c>
      <c r="S8089" s="405" t="s">
        <v>27309</v>
      </c>
      <c r="T8089" s="405" t="s">
        <v>32102</v>
      </c>
      <c r="U8089" s="405" t="s">
        <v>319</v>
      </c>
    </row>
    <row r="8090" spans="1:21" hidden="1" x14ac:dyDescent="0.25">
      <c r="A8090" s="405" t="s">
        <v>310</v>
      </c>
      <c r="B8090" s="405" t="s">
        <v>28773</v>
      </c>
      <c r="C8090" s="405" t="s">
        <v>311</v>
      </c>
      <c r="D8090" s="405" t="s">
        <v>1142</v>
      </c>
      <c r="E8090" s="410">
        <v>40829</v>
      </c>
      <c r="F8090" s="410">
        <v>40874</v>
      </c>
      <c r="G8090" s="405" t="s">
        <v>11162</v>
      </c>
      <c r="H8090" s="405">
        <v>777258052</v>
      </c>
      <c r="I8090" s="405"/>
      <c r="J8090" s="405">
        <v>1.8940650000000001</v>
      </c>
      <c r="K8090" s="405">
        <v>33.590392999999999</v>
      </c>
      <c r="L8090" s="405" t="s">
        <v>6866</v>
      </c>
      <c r="M8090" s="405" t="s">
        <v>10515</v>
      </c>
      <c r="N8090" s="405" t="s">
        <v>10525</v>
      </c>
      <c r="O8090" s="405" t="s">
        <v>10526</v>
      </c>
      <c r="P8090" s="405" t="s">
        <v>11163</v>
      </c>
      <c r="Q8090" s="411">
        <v>6</v>
      </c>
      <c r="R8090" s="405" t="s">
        <v>7224</v>
      </c>
      <c r="S8090" s="405" t="s">
        <v>27302</v>
      </c>
      <c r="T8090" s="405" t="s">
        <v>32102</v>
      </c>
      <c r="U8090" s="405" t="s">
        <v>319</v>
      </c>
    </row>
    <row r="8091" spans="1:21" hidden="1" x14ac:dyDescent="0.25">
      <c r="A8091" s="405" t="s">
        <v>310</v>
      </c>
      <c r="B8091" s="405" t="s">
        <v>20543</v>
      </c>
      <c r="C8091" s="405" t="s">
        <v>857</v>
      </c>
      <c r="D8091" s="405" t="s">
        <v>1037</v>
      </c>
      <c r="E8091" s="410">
        <v>40828</v>
      </c>
      <c r="F8091" s="410">
        <v>40873</v>
      </c>
      <c r="G8091" s="405" t="s">
        <v>20544</v>
      </c>
      <c r="H8091" s="405">
        <v>702985957</v>
      </c>
      <c r="I8091" s="405"/>
      <c r="J8091" s="405">
        <v>-0.83063399999999998</v>
      </c>
      <c r="K8091" s="405">
        <v>30.282246000000001</v>
      </c>
      <c r="L8091" s="405" t="s">
        <v>590</v>
      </c>
      <c r="M8091" s="405" t="s">
        <v>19659</v>
      </c>
      <c r="N8091" s="405" t="s">
        <v>19968</v>
      </c>
      <c r="O8091" s="405" t="s">
        <v>19659</v>
      </c>
      <c r="P8091" s="405" t="s">
        <v>20545</v>
      </c>
      <c r="Q8091" s="411">
        <v>12</v>
      </c>
      <c r="R8091" s="405" t="s">
        <v>967</v>
      </c>
      <c r="S8091" s="405" t="s">
        <v>27132</v>
      </c>
      <c r="T8091" s="405" t="s">
        <v>32102</v>
      </c>
      <c r="U8091" s="405" t="s">
        <v>319</v>
      </c>
    </row>
    <row r="8092" spans="1:21" hidden="1" x14ac:dyDescent="0.25">
      <c r="A8092" s="405" t="s">
        <v>310</v>
      </c>
      <c r="B8092" s="405" t="s">
        <v>28723</v>
      </c>
      <c r="C8092" s="405" t="s">
        <v>311</v>
      </c>
      <c r="D8092" s="405" t="s">
        <v>1789</v>
      </c>
      <c r="E8092" s="410">
        <v>40828</v>
      </c>
      <c r="F8092" s="410">
        <v>40873</v>
      </c>
      <c r="G8092" s="405" t="s">
        <v>11109</v>
      </c>
      <c r="H8092" s="405">
        <v>759242625</v>
      </c>
      <c r="I8092" s="405"/>
      <c r="J8092" s="405">
        <v>0.86635499999999999</v>
      </c>
      <c r="K8092" s="405">
        <v>34.004567999999999</v>
      </c>
      <c r="L8092" s="405" t="s">
        <v>6866</v>
      </c>
      <c r="M8092" s="405" t="s">
        <v>9534</v>
      </c>
      <c r="N8092" s="405" t="s">
        <v>10085</v>
      </c>
      <c r="O8092" s="405" t="s">
        <v>10817</v>
      </c>
      <c r="P8092" s="405" t="s">
        <v>10818</v>
      </c>
      <c r="Q8092" s="411">
        <v>6</v>
      </c>
      <c r="R8092" s="405" t="s">
        <v>7224</v>
      </c>
      <c r="S8092" s="405" t="s">
        <v>27316</v>
      </c>
      <c r="T8092" s="405" t="s">
        <v>32102</v>
      </c>
      <c r="U8092" s="405" t="s">
        <v>319</v>
      </c>
    </row>
    <row r="8093" spans="1:21" hidden="1" x14ac:dyDescent="0.25">
      <c r="A8093" s="405" t="s">
        <v>310</v>
      </c>
      <c r="B8093" s="405" t="s">
        <v>28756</v>
      </c>
      <c r="C8093" s="405" t="s">
        <v>327</v>
      </c>
      <c r="D8093" s="405"/>
      <c r="E8093" s="410">
        <v>40828</v>
      </c>
      <c r="F8093" s="410">
        <v>40873</v>
      </c>
      <c r="G8093" s="405" t="s">
        <v>10778</v>
      </c>
      <c r="H8093" s="405">
        <v>772686311</v>
      </c>
      <c r="I8093" s="405"/>
      <c r="J8093" s="405">
        <v>1.5173620000000001</v>
      </c>
      <c r="K8093" s="405">
        <v>33.855400000000003</v>
      </c>
      <c r="L8093" s="405" t="s">
        <v>6866</v>
      </c>
      <c r="M8093" s="405" t="s">
        <v>10012</v>
      </c>
      <c r="N8093" s="405" t="s">
        <v>10012</v>
      </c>
      <c r="O8093" s="405" t="s">
        <v>10779</v>
      </c>
      <c r="P8093" s="405" t="s">
        <v>10780</v>
      </c>
      <c r="Q8093" s="411">
        <v>6</v>
      </c>
      <c r="R8093" s="405" t="s">
        <v>9541</v>
      </c>
      <c r="S8093" s="405" t="s">
        <v>27086</v>
      </c>
      <c r="T8093" s="405" t="s">
        <v>32102</v>
      </c>
      <c r="U8093" s="405" t="s">
        <v>319</v>
      </c>
    </row>
    <row r="8094" spans="1:21" hidden="1" x14ac:dyDescent="0.25">
      <c r="A8094" s="405" t="s">
        <v>310</v>
      </c>
      <c r="B8094" s="405" t="s">
        <v>10756</v>
      </c>
      <c r="C8094" s="405" t="s">
        <v>327</v>
      </c>
      <c r="D8094" s="405"/>
      <c r="E8094" s="410">
        <v>40828</v>
      </c>
      <c r="F8094" s="410">
        <v>40873</v>
      </c>
      <c r="G8094" s="405" t="s">
        <v>10757</v>
      </c>
      <c r="H8094" s="405">
        <v>773407520</v>
      </c>
      <c r="I8094" s="405"/>
      <c r="J8094" s="405">
        <v>1.926787</v>
      </c>
      <c r="K8094" s="405">
        <v>33.578718000000002</v>
      </c>
      <c r="L8094" s="405" t="s">
        <v>6866</v>
      </c>
      <c r="M8094" s="405" t="s">
        <v>10515</v>
      </c>
      <c r="N8094" s="405" t="s">
        <v>10525</v>
      </c>
      <c r="O8094" s="405" t="s">
        <v>10526</v>
      </c>
      <c r="P8094" s="405" t="s">
        <v>10758</v>
      </c>
      <c r="Q8094" s="411">
        <v>6</v>
      </c>
      <c r="R8094" s="405" t="s">
        <v>7224</v>
      </c>
      <c r="S8094" s="405" t="s">
        <v>27298</v>
      </c>
      <c r="T8094" s="405" t="s">
        <v>32102</v>
      </c>
      <c r="U8094" s="405" t="s">
        <v>319</v>
      </c>
    </row>
    <row r="8095" spans="1:21" hidden="1" x14ac:dyDescent="0.25">
      <c r="A8095" s="405" t="s">
        <v>310</v>
      </c>
      <c r="B8095" s="405" t="s">
        <v>28768</v>
      </c>
      <c r="C8095" s="405" t="s">
        <v>327</v>
      </c>
      <c r="D8095" s="405"/>
      <c r="E8095" s="410">
        <v>40827</v>
      </c>
      <c r="F8095" s="410">
        <v>40872</v>
      </c>
      <c r="G8095" s="405" t="s">
        <v>10723</v>
      </c>
      <c r="H8095" s="405">
        <v>783234293</v>
      </c>
      <c r="I8095" s="405"/>
      <c r="J8095" s="405">
        <v>0.81940199999999996</v>
      </c>
      <c r="K8095" s="405">
        <v>34.077530000000003</v>
      </c>
      <c r="L8095" s="405" t="s">
        <v>6866</v>
      </c>
      <c r="M8095" s="405" t="s">
        <v>9534</v>
      </c>
      <c r="N8095" s="405" t="s">
        <v>10085</v>
      </c>
      <c r="O8095" s="405" t="s">
        <v>10721</v>
      </c>
      <c r="P8095" s="405" t="s">
        <v>10724</v>
      </c>
      <c r="Q8095" s="411">
        <v>6</v>
      </c>
      <c r="R8095" s="405" t="s">
        <v>7224</v>
      </c>
      <c r="S8095" s="405" t="s">
        <v>27107</v>
      </c>
      <c r="T8095" s="405" t="s">
        <v>32102</v>
      </c>
      <c r="U8095" s="405" t="s">
        <v>319</v>
      </c>
    </row>
    <row r="8096" spans="1:21" hidden="1" x14ac:dyDescent="0.25">
      <c r="A8096" s="405" t="s">
        <v>310</v>
      </c>
      <c r="B8096" s="405" t="s">
        <v>1899</v>
      </c>
      <c r="C8096" s="405" t="s">
        <v>327</v>
      </c>
      <c r="D8096" s="405"/>
      <c r="E8096" s="410">
        <v>40827</v>
      </c>
      <c r="F8096" s="410">
        <v>40872</v>
      </c>
      <c r="G8096" s="405" t="s">
        <v>1900</v>
      </c>
      <c r="H8096" s="405">
        <v>772494689</v>
      </c>
      <c r="I8096" s="405">
        <v>701494689</v>
      </c>
      <c r="J8096" s="405">
        <v>-0.34227289999999999</v>
      </c>
      <c r="K8096" s="405">
        <v>31.7245773</v>
      </c>
      <c r="L8096" s="405" t="s">
        <v>314</v>
      </c>
      <c r="M8096" s="405" t="s">
        <v>382</v>
      </c>
      <c r="N8096" s="405" t="s">
        <v>383</v>
      </c>
      <c r="O8096" s="405" t="s">
        <v>1394</v>
      </c>
      <c r="P8096" s="405" t="s">
        <v>1901</v>
      </c>
      <c r="Q8096" s="411">
        <v>6</v>
      </c>
      <c r="R8096" s="405" t="s">
        <v>402</v>
      </c>
      <c r="S8096" s="405" t="s">
        <v>17062</v>
      </c>
      <c r="T8096" s="405" t="s">
        <v>32102</v>
      </c>
      <c r="U8096" s="405" t="s">
        <v>319</v>
      </c>
    </row>
    <row r="8097" spans="1:21" hidden="1" x14ac:dyDescent="0.25">
      <c r="A8097" s="405" t="s">
        <v>310</v>
      </c>
      <c r="B8097" s="405" t="s">
        <v>20302</v>
      </c>
      <c r="C8097" s="405" t="s">
        <v>327</v>
      </c>
      <c r="D8097" s="405"/>
      <c r="E8097" s="410">
        <v>40827</v>
      </c>
      <c r="F8097" s="410">
        <v>40872</v>
      </c>
      <c r="G8097" s="405" t="s">
        <v>20303</v>
      </c>
      <c r="H8097" s="405">
        <v>751364488</v>
      </c>
      <c r="I8097" s="405">
        <v>787387867</v>
      </c>
      <c r="J8097" s="405">
        <v>-0.82415000000000005</v>
      </c>
      <c r="K8097" s="405">
        <v>30.690199</v>
      </c>
      <c r="L8097" s="405" t="s">
        <v>590</v>
      </c>
      <c r="M8097" s="405" t="s">
        <v>879</v>
      </c>
      <c r="N8097" s="405" t="s">
        <v>879</v>
      </c>
      <c r="O8097" s="405" t="s">
        <v>20145</v>
      </c>
      <c r="P8097" s="405" t="s">
        <v>20304</v>
      </c>
      <c r="Q8097" s="411">
        <v>6</v>
      </c>
      <c r="R8097" s="405" t="s">
        <v>333</v>
      </c>
      <c r="S8097" s="405" t="s">
        <v>27271</v>
      </c>
      <c r="T8097" s="405" t="s">
        <v>32102</v>
      </c>
      <c r="U8097" s="405" t="s">
        <v>319</v>
      </c>
    </row>
    <row r="8098" spans="1:21" hidden="1" x14ac:dyDescent="0.25">
      <c r="A8098" s="405" t="s">
        <v>310</v>
      </c>
      <c r="B8098" s="405" t="s">
        <v>28004</v>
      </c>
      <c r="C8098" s="405" t="s">
        <v>327</v>
      </c>
      <c r="D8098" s="405"/>
      <c r="E8098" s="410">
        <v>40826</v>
      </c>
      <c r="F8098" s="410">
        <v>40871</v>
      </c>
      <c r="G8098" s="405" t="s">
        <v>20316</v>
      </c>
      <c r="H8098" s="405">
        <v>702364619</v>
      </c>
      <c r="I8098" s="405"/>
      <c r="J8098" s="405">
        <v>-0.747139</v>
      </c>
      <c r="K8098" s="405">
        <v>30.156295</v>
      </c>
      <c r="L8098" s="405" t="s">
        <v>590</v>
      </c>
      <c r="M8098" s="405" t="s">
        <v>19659</v>
      </c>
      <c r="N8098" s="405" t="s">
        <v>19604</v>
      </c>
      <c r="O8098" s="405" t="s">
        <v>20263</v>
      </c>
      <c r="P8098" s="405" t="s">
        <v>20317</v>
      </c>
      <c r="Q8098" s="411">
        <v>6</v>
      </c>
      <c r="R8098" s="405" t="s">
        <v>1527</v>
      </c>
      <c r="S8098" s="405" t="s">
        <v>27399</v>
      </c>
      <c r="T8098" s="405" t="s">
        <v>32102</v>
      </c>
      <c r="U8098" s="405" t="s">
        <v>319</v>
      </c>
    </row>
    <row r="8099" spans="1:21" hidden="1" x14ac:dyDescent="0.25">
      <c r="A8099" s="405" t="s">
        <v>310</v>
      </c>
      <c r="B8099" s="405" t="s">
        <v>28311</v>
      </c>
      <c r="C8099" s="405" t="s">
        <v>327</v>
      </c>
      <c r="D8099" s="405"/>
      <c r="E8099" s="410">
        <v>40826</v>
      </c>
      <c r="F8099" s="410">
        <v>40871</v>
      </c>
      <c r="G8099" s="405" t="s">
        <v>1980</v>
      </c>
      <c r="H8099" s="405">
        <v>782289304</v>
      </c>
      <c r="I8099" s="405"/>
      <c r="J8099" s="405">
        <v>0.43912666666666667</v>
      </c>
      <c r="K8099" s="405">
        <v>32.587539999999997</v>
      </c>
      <c r="L8099" s="405" t="s">
        <v>314</v>
      </c>
      <c r="M8099" s="405" t="s">
        <v>361</v>
      </c>
      <c r="N8099" s="405" t="s">
        <v>362</v>
      </c>
      <c r="O8099" s="405" t="s">
        <v>1365</v>
      </c>
      <c r="P8099" s="405" t="s">
        <v>1981</v>
      </c>
      <c r="Q8099" s="411">
        <v>6</v>
      </c>
      <c r="R8099" s="405" t="s">
        <v>353</v>
      </c>
      <c r="S8099" s="405" t="s">
        <v>27115</v>
      </c>
      <c r="T8099" s="405" t="s">
        <v>32102</v>
      </c>
      <c r="U8099" s="405" t="s">
        <v>319</v>
      </c>
    </row>
    <row r="8100" spans="1:21" hidden="1" x14ac:dyDescent="0.25">
      <c r="A8100" s="405" t="s">
        <v>310</v>
      </c>
      <c r="B8100" s="405" t="s">
        <v>1916</v>
      </c>
      <c r="C8100" s="405" t="s">
        <v>327</v>
      </c>
      <c r="D8100" s="405"/>
      <c r="E8100" s="410">
        <v>40826</v>
      </c>
      <c r="F8100" s="410">
        <v>40871</v>
      </c>
      <c r="G8100" s="405" t="s">
        <v>1917</v>
      </c>
      <c r="H8100" s="405">
        <v>772336542</v>
      </c>
      <c r="I8100" s="405"/>
      <c r="J8100" s="405">
        <v>0.14446800000000001</v>
      </c>
      <c r="K8100" s="405">
        <v>32.072972999999998</v>
      </c>
      <c r="L8100" s="405" t="s">
        <v>314</v>
      </c>
      <c r="M8100" s="405" t="s">
        <v>315</v>
      </c>
      <c r="N8100" s="405" t="s">
        <v>315</v>
      </c>
      <c r="O8100" s="405" t="s">
        <v>671</v>
      </c>
      <c r="P8100" s="405" t="s">
        <v>1918</v>
      </c>
      <c r="Q8100" s="411">
        <v>6</v>
      </c>
      <c r="R8100" s="405" t="s">
        <v>318</v>
      </c>
      <c r="S8100" s="405" t="s">
        <v>414</v>
      </c>
      <c r="T8100" s="405" t="s">
        <v>32102</v>
      </c>
      <c r="U8100" s="405" t="s">
        <v>319</v>
      </c>
    </row>
    <row r="8101" spans="1:21" hidden="1" x14ac:dyDescent="0.25">
      <c r="A8101" s="405" t="s">
        <v>310</v>
      </c>
      <c r="B8101" s="405" t="s">
        <v>10719</v>
      </c>
      <c r="C8101" s="405" t="s">
        <v>327</v>
      </c>
      <c r="D8101" s="405"/>
      <c r="E8101" s="410">
        <v>40825</v>
      </c>
      <c r="F8101" s="410">
        <v>40870</v>
      </c>
      <c r="G8101" s="405" t="s">
        <v>10720</v>
      </c>
      <c r="H8101" s="405">
        <v>773905612</v>
      </c>
      <c r="I8101" s="405"/>
      <c r="J8101" s="405">
        <v>0.81318900000000005</v>
      </c>
      <c r="K8101" s="405">
        <v>34.069571000000003</v>
      </c>
      <c r="L8101" s="405" t="s">
        <v>6866</v>
      </c>
      <c r="M8101" s="405" t="s">
        <v>9534</v>
      </c>
      <c r="N8101" s="405" t="s">
        <v>10085</v>
      </c>
      <c r="O8101" s="405" t="s">
        <v>10721</v>
      </c>
      <c r="P8101" s="405" t="s">
        <v>10722</v>
      </c>
      <c r="Q8101" s="411">
        <v>6</v>
      </c>
      <c r="R8101" s="405" t="s">
        <v>7224</v>
      </c>
      <c r="S8101" s="405" t="s">
        <v>27303</v>
      </c>
      <c r="T8101" s="405" t="s">
        <v>32102</v>
      </c>
      <c r="U8101" s="405" t="s">
        <v>319</v>
      </c>
    </row>
    <row r="8102" spans="1:21" hidden="1" x14ac:dyDescent="0.25">
      <c r="A8102" s="405" t="s">
        <v>310</v>
      </c>
      <c r="B8102" s="405" t="s">
        <v>1909</v>
      </c>
      <c r="C8102" s="405" t="s">
        <v>857</v>
      </c>
      <c r="D8102" s="405" t="s">
        <v>33100</v>
      </c>
      <c r="E8102" s="410">
        <v>40825</v>
      </c>
      <c r="F8102" s="410">
        <v>40870</v>
      </c>
      <c r="G8102" s="405" t="s">
        <v>1910</v>
      </c>
      <c r="H8102" s="405">
        <v>754365514</v>
      </c>
      <c r="I8102" s="405"/>
      <c r="J8102" s="405">
        <v>0.52673999999999999</v>
      </c>
      <c r="K8102" s="405">
        <v>32.576061666666668</v>
      </c>
      <c r="L8102" s="405" t="s">
        <v>314</v>
      </c>
      <c r="M8102" s="405" t="s">
        <v>361</v>
      </c>
      <c r="N8102" s="405" t="s">
        <v>1911</v>
      </c>
      <c r="O8102" s="405" t="s">
        <v>433</v>
      </c>
      <c r="P8102" s="405" t="s">
        <v>1912</v>
      </c>
      <c r="Q8102" s="411">
        <v>6</v>
      </c>
      <c r="R8102" s="405" t="s">
        <v>353</v>
      </c>
      <c r="S8102" s="405" t="s">
        <v>27153</v>
      </c>
      <c r="T8102" s="405" t="s">
        <v>32102</v>
      </c>
      <c r="U8102" s="405" t="s">
        <v>319</v>
      </c>
    </row>
    <row r="8103" spans="1:21" hidden="1" x14ac:dyDescent="0.25">
      <c r="A8103" s="405" t="s">
        <v>310</v>
      </c>
      <c r="B8103" s="405" t="s">
        <v>28565</v>
      </c>
      <c r="C8103" s="405" t="s">
        <v>327</v>
      </c>
      <c r="D8103" s="405"/>
      <c r="E8103" s="410">
        <v>40824</v>
      </c>
      <c r="F8103" s="410">
        <v>40869</v>
      </c>
      <c r="G8103" s="405" t="s">
        <v>10791</v>
      </c>
      <c r="H8103" s="405">
        <v>773166674</v>
      </c>
      <c r="I8103" s="405"/>
      <c r="J8103" s="405">
        <v>1.005943</v>
      </c>
      <c r="K8103" s="405">
        <v>34.333601999999999</v>
      </c>
      <c r="L8103" s="405" t="s">
        <v>6866</v>
      </c>
      <c r="M8103" s="405" t="s">
        <v>9763</v>
      </c>
      <c r="N8103" s="405" t="s">
        <v>9764</v>
      </c>
      <c r="O8103" s="405" t="s">
        <v>10792</v>
      </c>
      <c r="P8103" s="405" t="s">
        <v>10793</v>
      </c>
      <c r="Q8103" s="411">
        <v>6</v>
      </c>
      <c r="R8103" s="405" t="s">
        <v>9541</v>
      </c>
      <c r="S8103" s="405" t="s">
        <v>27311</v>
      </c>
      <c r="T8103" s="405" t="s">
        <v>32102</v>
      </c>
      <c r="U8103" s="405" t="s">
        <v>319</v>
      </c>
    </row>
    <row r="8104" spans="1:21" hidden="1" x14ac:dyDescent="0.25">
      <c r="A8104" s="405" t="s">
        <v>310</v>
      </c>
      <c r="B8104" s="405" t="s">
        <v>10805</v>
      </c>
      <c r="C8104" s="405" t="s">
        <v>327</v>
      </c>
      <c r="D8104" s="405"/>
      <c r="E8104" s="410">
        <v>40824</v>
      </c>
      <c r="F8104" s="410">
        <v>40869</v>
      </c>
      <c r="G8104" s="405" t="s">
        <v>10806</v>
      </c>
      <c r="H8104" s="405">
        <v>757243652</v>
      </c>
      <c r="I8104" s="405"/>
      <c r="J8104" s="405">
        <v>0.71677900000000005</v>
      </c>
      <c r="K8104" s="405">
        <v>33.879295999999997</v>
      </c>
      <c r="L8104" s="405" t="s">
        <v>6866</v>
      </c>
      <c r="M8104" s="405" t="s">
        <v>9566</v>
      </c>
      <c r="N8104" s="405" t="s">
        <v>9787</v>
      </c>
      <c r="O8104" s="405" t="s">
        <v>9788</v>
      </c>
      <c r="P8104" s="405" t="s">
        <v>10807</v>
      </c>
      <c r="Q8104" s="411">
        <v>6</v>
      </c>
      <c r="R8104" s="405" t="s">
        <v>7224</v>
      </c>
      <c r="S8104" s="405" t="s">
        <v>27313</v>
      </c>
      <c r="T8104" s="405" t="s">
        <v>32102</v>
      </c>
      <c r="U8104" s="405" t="s">
        <v>319</v>
      </c>
    </row>
    <row r="8105" spans="1:21" hidden="1" x14ac:dyDescent="0.25">
      <c r="A8105" s="405" t="s">
        <v>310</v>
      </c>
      <c r="B8105" s="405" t="s">
        <v>11189</v>
      </c>
      <c r="C8105" s="405" t="s">
        <v>311</v>
      </c>
      <c r="D8105" s="405" t="s">
        <v>8702</v>
      </c>
      <c r="E8105" s="410">
        <v>40824</v>
      </c>
      <c r="F8105" s="410">
        <v>40869</v>
      </c>
      <c r="G8105" s="405" t="s">
        <v>11190</v>
      </c>
      <c r="H8105" s="405">
        <v>783297512</v>
      </c>
      <c r="I8105" s="405"/>
      <c r="J8105" s="405">
        <v>1.4970429999999999</v>
      </c>
      <c r="K8105" s="405">
        <v>33.826569999999997</v>
      </c>
      <c r="L8105" s="405" t="s">
        <v>6866</v>
      </c>
      <c r="M8105" s="405" t="s">
        <v>10012</v>
      </c>
      <c r="N8105" s="405" t="s">
        <v>10012</v>
      </c>
      <c r="O8105" s="405" t="s">
        <v>10012</v>
      </c>
      <c r="P8105" s="405" t="s">
        <v>11191</v>
      </c>
      <c r="Q8105" s="411">
        <v>6</v>
      </c>
      <c r="R8105" s="405" t="s">
        <v>7224</v>
      </c>
      <c r="S8105" s="405" t="s">
        <v>27326</v>
      </c>
      <c r="T8105" s="405" t="s">
        <v>32102</v>
      </c>
      <c r="U8105" s="405" t="s">
        <v>319</v>
      </c>
    </row>
    <row r="8106" spans="1:21" hidden="1" x14ac:dyDescent="0.25">
      <c r="A8106" s="405" t="s">
        <v>310</v>
      </c>
      <c r="B8106" s="405" t="s">
        <v>20307</v>
      </c>
      <c r="C8106" s="405" t="s">
        <v>327</v>
      </c>
      <c r="D8106" s="405"/>
      <c r="E8106" s="410">
        <v>40823</v>
      </c>
      <c r="F8106" s="410">
        <v>40868</v>
      </c>
      <c r="G8106" s="405" t="s">
        <v>20308</v>
      </c>
      <c r="H8106" s="405">
        <v>772646779</v>
      </c>
      <c r="I8106" s="405">
        <v>788135747</v>
      </c>
      <c r="J8106" s="405">
        <v>1.4325996000000001</v>
      </c>
      <c r="K8106" s="405">
        <v>31.353269600000001</v>
      </c>
      <c r="L8106" s="405" t="s">
        <v>590</v>
      </c>
      <c r="M8106" s="405" t="s">
        <v>7300</v>
      </c>
      <c r="N8106" s="405" t="s">
        <v>20091</v>
      </c>
      <c r="O8106" s="405" t="s">
        <v>10449</v>
      </c>
      <c r="P8106" s="405" t="s">
        <v>20309</v>
      </c>
      <c r="Q8106" s="411">
        <v>4</v>
      </c>
      <c r="R8106" s="405" t="s">
        <v>525</v>
      </c>
      <c r="S8106" s="405" t="s">
        <v>22481</v>
      </c>
      <c r="T8106" s="405" t="s">
        <v>32102</v>
      </c>
      <c r="U8106" s="405" t="s">
        <v>319</v>
      </c>
    </row>
    <row r="8107" spans="1:21" hidden="1" x14ac:dyDescent="0.25">
      <c r="A8107" s="405" t="s">
        <v>310</v>
      </c>
      <c r="B8107" s="405" t="s">
        <v>1977</v>
      </c>
      <c r="C8107" s="405" t="s">
        <v>327</v>
      </c>
      <c r="D8107" s="405"/>
      <c r="E8107" s="410">
        <v>40822</v>
      </c>
      <c r="F8107" s="410">
        <v>40867</v>
      </c>
      <c r="G8107" s="405" t="s">
        <v>1978</v>
      </c>
      <c r="H8107" s="405">
        <v>754079149</v>
      </c>
      <c r="I8107" s="405"/>
      <c r="J8107" s="405">
        <v>0.28725000000000001</v>
      </c>
      <c r="K8107" s="405">
        <v>31.872396999999999</v>
      </c>
      <c r="L8107" s="405" t="s">
        <v>314</v>
      </c>
      <c r="M8107" s="405" t="s">
        <v>675</v>
      </c>
      <c r="N8107" s="405" t="s">
        <v>676</v>
      </c>
      <c r="O8107" s="405" t="s">
        <v>1921</v>
      </c>
      <c r="P8107" s="405" t="s">
        <v>1979</v>
      </c>
      <c r="Q8107" s="411">
        <v>9</v>
      </c>
      <c r="R8107" s="405" t="s">
        <v>353</v>
      </c>
      <c r="S8107" s="405" t="s">
        <v>27051</v>
      </c>
      <c r="T8107" s="405" t="s">
        <v>32102</v>
      </c>
      <c r="U8107" s="405" t="s">
        <v>319</v>
      </c>
    </row>
    <row r="8108" spans="1:21" hidden="1" x14ac:dyDescent="0.25">
      <c r="A8108" s="405" t="s">
        <v>310</v>
      </c>
      <c r="B8108" s="405" t="s">
        <v>29118</v>
      </c>
      <c r="C8108" s="405" t="s">
        <v>327</v>
      </c>
      <c r="D8108" s="405"/>
      <c r="E8108" s="410">
        <v>40822</v>
      </c>
      <c r="F8108" s="410">
        <v>40867</v>
      </c>
      <c r="G8108" s="405" t="s">
        <v>10794</v>
      </c>
      <c r="H8108" s="405">
        <v>782965714</v>
      </c>
      <c r="I8108" s="405"/>
      <c r="J8108" s="405">
        <v>1.2175769999999999</v>
      </c>
      <c r="K8108" s="405">
        <v>34.304088999999998</v>
      </c>
      <c r="L8108" s="405" t="s">
        <v>6866</v>
      </c>
      <c r="M8108" s="405" t="s">
        <v>9575</v>
      </c>
      <c r="N8108" s="405" t="s">
        <v>9629</v>
      </c>
      <c r="O8108" s="405" t="s">
        <v>9630</v>
      </c>
      <c r="P8108" s="405" t="s">
        <v>10795</v>
      </c>
      <c r="Q8108" s="411">
        <v>6</v>
      </c>
      <c r="R8108" s="405" t="s">
        <v>7224</v>
      </c>
      <c r="S8108" s="405" t="s">
        <v>27086</v>
      </c>
      <c r="T8108" s="405" t="s">
        <v>32102</v>
      </c>
      <c r="U8108" s="405" t="s">
        <v>319</v>
      </c>
    </row>
    <row r="8109" spans="1:21" hidden="1" x14ac:dyDescent="0.25">
      <c r="A8109" s="405" t="s">
        <v>310</v>
      </c>
      <c r="B8109" s="405" t="s">
        <v>27524</v>
      </c>
      <c r="C8109" s="405" t="s">
        <v>311</v>
      </c>
      <c r="D8109" s="405" t="s">
        <v>8702</v>
      </c>
      <c r="E8109" s="410">
        <v>40822</v>
      </c>
      <c r="F8109" s="410">
        <v>40867</v>
      </c>
      <c r="G8109" s="405" t="s">
        <v>11180</v>
      </c>
      <c r="H8109" s="405">
        <v>753398064</v>
      </c>
      <c r="I8109" s="405"/>
      <c r="J8109" s="405">
        <v>1.4852780000000001</v>
      </c>
      <c r="K8109" s="405">
        <v>33.786937000000002</v>
      </c>
      <c r="L8109" s="405" t="s">
        <v>6866</v>
      </c>
      <c r="M8109" s="405" t="s">
        <v>10012</v>
      </c>
      <c r="N8109" s="405" t="s">
        <v>10012</v>
      </c>
      <c r="O8109" s="405" t="s">
        <v>10943</v>
      </c>
      <c r="P8109" s="405" t="s">
        <v>11181</v>
      </c>
      <c r="Q8109" s="411">
        <v>6</v>
      </c>
      <c r="R8109" s="405" t="s">
        <v>9541</v>
      </c>
      <c r="S8109" s="405" t="s">
        <v>27326</v>
      </c>
      <c r="T8109" s="405" t="s">
        <v>32102</v>
      </c>
      <c r="U8109" s="405" t="s">
        <v>319</v>
      </c>
    </row>
    <row r="8110" spans="1:21" hidden="1" x14ac:dyDescent="0.25">
      <c r="A8110" s="405" t="s">
        <v>310</v>
      </c>
      <c r="B8110" s="405" t="s">
        <v>10781</v>
      </c>
      <c r="C8110" s="405" t="s">
        <v>327</v>
      </c>
      <c r="D8110" s="405"/>
      <c r="E8110" s="410">
        <v>40822</v>
      </c>
      <c r="F8110" s="410">
        <v>40867</v>
      </c>
      <c r="G8110" s="405" t="s">
        <v>10782</v>
      </c>
      <c r="H8110" s="405">
        <v>787431987</v>
      </c>
      <c r="I8110" s="405">
        <v>772781830</v>
      </c>
      <c r="J8110" s="405">
        <v>0.76609799999999995</v>
      </c>
      <c r="K8110" s="405">
        <v>33.213692000000002</v>
      </c>
      <c r="L8110" s="405" t="s">
        <v>6866</v>
      </c>
      <c r="M8110" s="405" t="s">
        <v>3009</v>
      </c>
      <c r="N8110" s="405" t="s">
        <v>9842</v>
      </c>
      <c r="O8110" s="405" t="s">
        <v>10783</v>
      </c>
      <c r="P8110" s="405" t="s">
        <v>10784</v>
      </c>
      <c r="Q8110" s="411">
        <v>6</v>
      </c>
      <c r="R8110" s="405" t="s">
        <v>32478</v>
      </c>
      <c r="S8110" s="405" t="s">
        <v>27135</v>
      </c>
      <c r="T8110" s="405" t="s">
        <v>32102</v>
      </c>
      <c r="U8110" s="405" t="s">
        <v>319</v>
      </c>
    </row>
    <row r="8111" spans="1:21" hidden="1" x14ac:dyDescent="0.25">
      <c r="A8111" s="405" t="s">
        <v>310</v>
      </c>
      <c r="B8111" s="405" t="s">
        <v>11102</v>
      </c>
      <c r="C8111" s="405" t="s">
        <v>311</v>
      </c>
      <c r="D8111" s="405" t="s">
        <v>1789</v>
      </c>
      <c r="E8111" s="410">
        <v>40821</v>
      </c>
      <c r="F8111" s="410">
        <v>40866</v>
      </c>
      <c r="G8111" s="405" t="s">
        <v>11103</v>
      </c>
      <c r="H8111" s="405">
        <v>772376911</v>
      </c>
      <c r="I8111" s="405">
        <v>701376911</v>
      </c>
      <c r="J8111" s="405">
        <v>0.69739200000000001</v>
      </c>
      <c r="K8111" s="405">
        <v>34.210740000000001</v>
      </c>
      <c r="L8111" s="405" t="s">
        <v>6866</v>
      </c>
      <c r="M8111" s="405" t="s">
        <v>9534</v>
      </c>
      <c r="N8111" s="405" t="s">
        <v>10201</v>
      </c>
      <c r="O8111" s="405" t="s">
        <v>10202</v>
      </c>
      <c r="P8111" s="405" t="s">
        <v>11104</v>
      </c>
      <c r="Q8111" s="411">
        <v>9</v>
      </c>
      <c r="R8111" s="405" t="s">
        <v>7224</v>
      </c>
      <c r="S8111" s="405" t="s">
        <v>27259</v>
      </c>
      <c r="T8111" s="405" t="s">
        <v>32102</v>
      </c>
      <c r="U8111" s="405" t="s">
        <v>319</v>
      </c>
    </row>
    <row r="8112" spans="1:21" hidden="1" x14ac:dyDescent="0.25">
      <c r="A8112" s="405" t="s">
        <v>310</v>
      </c>
      <c r="B8112" s="405" t="s">
        <v>10769</v>
      </c>
      <c r="C8112" s="405" t="s">
        <v>327</v>
      </c>
      <c r="D8112" s="405"/>
      <c r="E8112" s="410">
        <v>40820</v>
      </c>
      <c r="F8112" s="410">
        <v>40865</v>
      </c>
      <c r="G8112" s="405" t="s">
        <v>10770</v>
      </c>
      <c r="H8112" s="405">
        <v>775907105</v>
      </c>
      <c r="I8112" s="405"/>
      <c r="J8112" s="405">
        <v>1.85314</v>
      </c>
      <c r="K8112" s="405">
        <v>33.687489999999997</v>
      </c>
      <c r="L8112" s="405" t="s">
        <v>6866</v>
      </c>
      <c r="M8112" s="405" t="s">
        <v>10515</v>
      </c>
      <c r="N8112" s="405" t="s">
        <v>10525</v>
      </c>
      <c r="O8112" s="405" t="s">
        <v>10526</v>
      </c>
      <c r="P8112" s="405" t="s">
        <v>10771</v>
      </c>
      <c r="Q8112" s="411">
        <v>6</v>
      </c>
      <c r="R8112" s="405" t="s">
        <v>7224</v>
      </c>
      <c r="S8112" s="405" t="s">
        <v>27298</v>
      </c>
      <c r="T8112" s="405" t="s">
        <v>32102</v>
      </c>
      <c r="U8112" s="405" t="s">
        <v>319</v>
      </c>
    </row>
    <row r="8113" spans="1:21" hidden="1" x14ac:dyDescent="0.25">
      <c r="A8113" s="405" t="s">
        <v>310</v>
      </c>
      <c r="B8113" s="405" t="s">
        <v>1941</v>
      </c>
      <c r="C8113" s="405" t="s">
        <v>327</v>
      </c>
      <c r="D8113" s="405"/>
      <c r="E8113" s="410">
        <v>40820</v>
      </c>
      <c r="F8113" s="410">
        <v>40865</v>
      </c>
      <c r="G8113" s="405" t="s">
        <v>1942</v>
      </c>
      <c r="H8113" s="405">
        <v>751832574</v>
      </c>
      <c r="I8113" s="405"/>
      <c r="J8113" s="405">
        <v>0.44230999999999998</v>
      </c>
      <c r="K8113" s="405">
        <v>32.578425000000003</v>
      </c>
      <c r="L8113" s="405" t="s">
        <v>314</v>
      </c>
      <c r="M8113" s="405" t="s">
        <v>361</v>
      </c>
      <c r="N8113" s="405" t="s">
        <v>362</v>
      </c>
      <c r="O8113" s="405" t="s">
        <v>410</v>
      </c>
      <c r="P8113" s="405" t="s">
        <v>410</v>
      </c>
      <c r="Q8113" s="411">
        <v>6</v>
      </c>
      <c r="R8113" s="405" t="s">
        <v>353</v>
      </c>
      <c r="S8113" s="405" t="s">
        <v>27049</v>
      </c>
      <c r="T8113" s="405" t="s">
        <v>32102</v>
      </c>
      <c r="U8113" s="405" t="s">
        <v>319</v>
      </c>
    </row>
    <row r="8114" spans="1:21" hidden="1" x14ac:dyDescent="0.25">
      <c r="A8114" s="405" t="s">
        <v>310</v>
      </c>
      <c r="B8114" s="405" t="s">
        <v>1967</v>
      </c>
      <c r="C8114" s="405" t="s">
        <v>327</v>
      </c>
      <c r="D8114" s="405"/>
      <c r="E8114" s="410">
        <v>40819</v>
      </c>
      <c r="F8114" s="410">
        <v>40864</v>
      </c>
      <c r="G8114" s="405" t="s">
        <v>1968</v>
      </c>
      <c r="H8114" s="405">
        <v>772463029</v>
      </c>
      <c r="I8114" s="405">
        <v>772372550</v>
      </c>
      <c r="J8114" s="405">
        <v>0.41818</v>
      </c>
      <c r="K8114" s="405">
        <v>33.187449999999998</v>
      </c>
      <c r="L8114" s="405" t="s">
        <v>314</v>
      </c>
      <c r="M8114" s="405" t="s">
        <v>349</v>
      </c>
      <c r="N8114" s="405" t="s">
        <v>405</v>
      </c>
      <c r="O8114" s="405" t="s">
        <v>474</v>
      </c>
      <c r="P8114" s="405" t="s">
        <v>1969</v>
      </c>
      <c r="Q8114" s="411">
        <v>9</v>
      </c>
      <c r="R8114" s="405" t="s">
        <v>318</v>
      </c>
      <c r="S8114" s="405" t="s">
        <v>6822</v>
      </c>
      <c r="T8114" s="405" t="s">
        <v>32102</v>
      </c>
      <c r="U8114" s="405" t="s">
        <v>319</v>
      </c>
    </row>
    <row r="8115" spans="1:21" hidden="1" x14ac:dyDescent="0.25">
      <c r="A8115" s="405" t="s">
        <v>310</v>
      </c>
      <c r="B8115" s="405" t="s">
        <v>29057</v>
      </c>
      <c r="C8115" s="405" t="s">
        <v>327</v>
      </c>
      <c r="D8115" s="405"/>
      <c r="E8115" s="410">
        <v>40819</v>
      </c>
      <c r="F8115" s="410">
        <v>40864</v>
      </c>
      <c r="G8115" s="405" t="s">
        <v>10804</v>
      </c>
      <c r="H8115" s="405">
        <v>758027797</v>
      </c>
      <c r="I8115" s="405"/>
      <c r="J8115" s="405">
        <v>0.73119999999999996</v>
      </c>
      <c r="K8115" s="405">
        <v>33.883735000000001</v>
      </c>
      <c r="L8115" s="405" t="s">
        <v>6866</v>
      </c>
      <c r="M8115" s="405" t="s">
        <v>9566</v>
      </c>
      <c r="N8115" s="405" t="s">
        <v>9787</v>
      </c>
      <c r="O8115" s="405" t="s">
        <v>9788</v>
      </c>
      <c r="P8115" s="405" t="s">
        <v>10622</v>
      </c>
      <c r="Q8115" s="411">
        <v>6</v>
      </c>
      <c r="R8115" s="405" t="s">
        <v>9541</v>
      </c>
      <c r="S8115" s="405" t="s">
        <v>27302</v>
      </c>
      <c r="T8115" s="405" t="s">
        <v>32102</v>
      </c>
      <c r="U8115" s="405" t="s">
        <v>319</v>
      </c>
    </row>
    <row r="8116" spans="1:21" hidden="1" x14ac:dyDescent="0.25">
      <c r="A8116" s="405" t="s">
        <v>310</v>
      </c>
      <c r="B8116" s="405" t="s">
        <v>1934</v>
      </c>
      <c r="C8116" s="405" t="s">
        <v>327</v>
      </c>
      <c r="D8116" s="405"/>
      <c r="E8116" s="410">
        <v>40817</v>
      </c>
      <c r="F8116" s="410">
        <v>40862</v>
      </c>
      <c r="G8116" s="405" t="s">
        <v>1935</v>
      </c>
      <c r="H8116" s="405">
        <v>772836820</v>
      </c>
      <c r="I8116" s="405"/>
      <c r="J8116" s="405">
        <v>0.350663</v>
      </c>
      <c r="K8116" s="405">
        <v>32.024045000000001</v>
      </c>
      <c r="L8116" s="405" t="s">
        <v>314</v>
      </c>
      <c r="M8116" s="405" t="s">
        <v>675</v>
      </c>
      <c r="N8116" s="405" t="s">
        <v>1936</v>
      </c>
      <c r="O8116" s="405" t="s">
        <v>1066</v>
      </c>
      <c r="P8116" s="405" t="s">
        <v>1071</v>
      </c>
      <c r="Q8116" s="411">
        <v>9</v>
      </c>
      <c r="R8116" s="405" t="s">
        <v>333</v>
      </c>
      <c r="S8116" s="405" t="s">
        <v>27112</v>
      </c>
      <c r="T8116" s="405" t="s">
        <v>32102</v>
      </c>
      <c r="U8116" s="405" t="s">
        <v>319</v>
      </c>
    </row>
    <row r="8117" spans="1:21" hidden="1" x14ac:dyDescent="0.25">
      <c r="A8117" s="405" t="s">
        <v>310</v>
      </c>
      <c r="B8117" s="405" t="s">
        <v>1972</v>
      </c>
      <c r="C8117" s="405" t="s">
        <v>327</v>
      </c>
      <c r="D8117" s="405"/>
      <c r="E8117" s="410">
        <v>40816</v>
      </c>
      <c r="F8117" s="410">
        <v>40861</v>
      </c>
      <c r="G8117" s="405" t="s">
        <v>1973</v>
      </c>
      <c r="H8117" s="405">
        <v>712406165</v>
      </c>
      <c r="I8117" s="405"/>
      <c r="J8117" s="405">
        <v>0.31985999999999998</v>
      </c>
      <c r="K8117" s="405">
        <v>32.503481999999998</v>
      </c>
      <c r="L8117" s="405" t="s">
        <v>314</v>
      </c>
      <c r="M8117" s="405" t="s">
        <v>361</v>
      </c>
      <c r="N8117" s="405" t="s">
        <v>374</v>
      </c>
      <c r="O8117" s="405" t="s">
        <v>361</v>
      </c>
      <c r="P8117" s="405" t="s">
        <v>1974</v>
      </c>
      <c r="Q8117" s="411">
        <v>12</v>
      </c>
      <c r="R8117" s="405" t="s">
        <v>1623</v>
      </c>
      <c r="S8117" s="405" t="s">
        <v>27036</v>
      </c>
      <c r="T8117" s="405" t="s">
        <v>32102</v>
      </c>
      <c r="U8117" s="405" t="s">
        <v>319</v>
      </c>
    </row>
    <row r="8118" spans="1:21" hidden="1" x14ac:dyDescent="0.25">
      <c r="A8118" s="405" t="s">
        <v>310</v>
      </c>
      <c r="B8118" s="405" t="s">
        <v>1943</v>
      </c>
      <c r="C8118" s="405" t="s">
        <v>327</v>
      </c>
      <c r="D8118" s="405"/>
      <c r="E8118" s="410">
        <v>40816</v>
      </c>
      <c r="F8118" s="410">
        <v>40861</v>
      </c>
      <c r="G8118" s="405" t="s">
        <v>1944</v>
      </c>
      <c r="H8118" s="405">
        <v>789327742</v>
      </c>
      <c r="I8118" s="405"/>
      <c r="J8118" s="405">
        <v>0.455152</v>
      </c>
      <c r="K8118" s="405">
        <v>32.556756999999998</v>
      </c>
      <c r="L8118" s="405" t="s">
        <v>314</v>
      </c>
      <c r="M8118" s="405" t="s">
        <v>361</v>
      </c>
      <c r="N8118" s="405" t="s">
        <v>362</v>
      </c>
      <c r="O8118" s="405" t="s">
        <v>410</v>
      </c>
      <c r="P8118" s="405" t="s">
        <v>1945</v>
      </c>
      <c r="Q8118" s="411">
        <v>12</v>
      </c>
      <c r="R8118" s="405" t="s">
        <v>353</v>
      </c>
      <c r="S8118" s="405" t="s">
        <v>27175</v>
      </c>
      <c r="T8118" s="405" t="s">
        <v>32102</v>
      </c>
      <c r="U8118" s="405" t="s">
        <v>319</v>
      </c>
    </row>
    <row r="8119" spans="1:21" hidden="1" x14ac:dyDescent="0.25">
      <c r="A8119" s="405" t="s">
        <v>310</v>
      </c>
      <c r="B8119" s="405" t="s">
        <v>28415</v>
      </c>
      <c r="C8119" s="405" t="s">
        <v>327</v>
      </c>
      <c r="D8119" s="405"/>
      <c r="E8119" s="410">
        <v>40816</v>
      </c>
      <c r="F8119" s="410">
        <v>40861</v>
      </c>
      <c r="G8119" s="405" t="s">
        <v>1902</v>
      </c>
      <c r="H8119" s="405">
        <v>712973716</v>
      </c>
      <c r="I8119" s="405"/>
      <c r="J8119" s="405">
        <v>0.53406166666666666</v>
      </c>
      <c r="K8119" s="405">
        <v>32.561913333333337</v>
      </c>
      <c r="L8119" s="405" t="s">
        <v>314</v>
      </c>
      <c r="M8119" s="405" t="s">
        <v>361</v>
      </c>
      <c r="N8119" s="405" t="s">
        <v>362</v>
      </c>
      <c r="O8119" s="405" t="s">
        <v>433</v>
      </c>
      <c r="P8119" s="405" t="s">
        <v>1903</v>
      </c>
      <c r="Q8119" s="411">
        <v>9</v>
      </c>
      <c r="R8119" s="405" t="s">
        <v>353</v>
      </c>
      <c r="S8119" s="405" t="s">
        <v>27114</v>
      </c>
      <c r="T8119" s="405" t="s">
        <v>32102</v>
      </c>
      <c r="U8119" s="405" t="s">
        <v>319</v>
      </c>
    </row>
    <row r="8120" spans="1:21" hidden="1" x14ac:dyDescent="0.25">
      <c r="A8120" s="405" t="s">
        <v>310</v>
      </c>
      <c r="B8120" s="405" t="s">
        <v>28983</v>
      </c>
      <c r="C8120" s="405" t="s">
        <v>327</v>
      </c>
      <c r="D8120" s="405"/>
      <c r="E8120" s="410">
        <v>40816</v>
      </c>
      <c r="F8120" s="410">
        <v>40861</v>
      </c>
      <c r="G8120" s="405" t="s">
        <v>1913</v>
      </c>
      <c r="H8120" s="405">
        <v>712076445</v>
      </c>
      <c r="I8120" s="405"/>
      <c r="J8120" s="405">
        <v>0.31974170000000002</v>
      </c>
      <c r="K8120" s="405">
        <v>32.621220600000001</v>
      </c>
      <c r="L8120" s="405" t="s">
        <v>314</v>
      </c>
      <c r="M8120" s="405" t="s">
        <v>361</v>
      </c>
      <c r="N8120" s="405" t="s">
        <v>362</v>
      </c>
      <c r="O8120" s="405" t="s">
        <v>410</v>
      </c>
      <c r="P8120" s="405" t="s">
        <v>421</v>
      </c>
      <c r="Q8120" s="411">
        <v>9</v>
      </c>
      <c r="R8120" s="405" t="s">
        <v>353</v>
      </c>
      <c r="S8120" s="405" t="s">
        <v>27106</v>
      </c>
      <c r="T8120" s="405" t="s">
        <v>32102</v>
      </c>
      <c r="U8120" s="405" t="s">
        <v>319</v>
      </c>
    </row>
    <row r="8121" spans="1:21" hidden="1" x14ac:dyDescent="0.25">
      <c r="A8121" s="405" t="s">
        <v>310</v>
      </c>
      <c r="B8121" s="405" t="s">
        <v>1887</v>
      </c>
      <c r="C8121" s="405" t="s">
        <v>327</v>
      </c>
      <c r="D8121" s="405"/>
      <c r="E8121" s="410">
        <v>40816</v>
      </c>
      <c r="F8121" s="410">
        <v>40861</v>
      </c>
      <c r="G8121" s="405" t="s">
        <v>1888</v>
      </c>
      <c r="H8121" s="405">
        <v>787656896</v>
      </c>
      <c r="I8121" s="405"/>
      <c r="J8121" s="405">
        <v>0.56876000000000004</v>
      </c>
      <c r="K8121" s="405">
        <v>32.185057999999998</v>
      </c>
      <c r="L8121" s="405" t="s">
        <v>314</v>
      </c>
      <c r="M8121" s="405" t="s">
        <v>675</v>
      </c>
      <c r="N8121" s="405" t="s">
        <v>1065</v>
      </c>
      <c r="O8121" s="405" t="s">
        <v>1608</v>
      </c>
      <c r="P8121" s="405" t="s">
        <v>1629</v>
      </c>
      <c r="Q8121" s="411">
        <v>9</v>
      </c>
      <c r="R8121" s="405" t="s">
        <v>318</v>
      </c>
      <c r="S8121" s="405" t="s">
        <v>27108</v>
      </c>
      <c r="T8121" s="405" t="s">
        <v>32102</v>
      </c>
      <c r="U8121" s="405" t="s">
        <v>319</v>
      </c>
    </row>
    <row r="8122" spans="1:21" hidden="1" x14ac:dyDescent="0.25">
      <c r="A8122" s="405" t="s">
        <v>310</v>
      </c>
      <c r="B8122" s="405" t="s">
        <v>10751</v>
      </c>
      <c r="C8122" s="405" t="s">
        <v>327</v>
      </c>
      <c r="D8122" s="405"/>
      <c r="E8122" s="410">
        <v>40816</v>
      </c>
      <c r="F8122" s="410">
        <v>40861</v>
      </c>
      <c r="G8122" s="405" t="s">
        <v>10752</v>
      </c>
      <c r="H8122" s="405">
        <v>753829562</v>
      </c>
      <c r="I8122" s="405"/>
      <c r="J8122" s="405">
        <v>0.70587699999999998</v>
      </c>
      <c r="K8122" s="405">
        <v>33.867472999999997</v>
      </c>
      <c r="L8122" s="405" t="s">
        <v>6866</v>
      </c>
      <c r="M8122" s="405" t="s">
        <v>9566</v>
      </c>
      <c r="N8122" s="405" t="s">
        <v>9787</v>
      </c>
      <c r="O8122" s="405" t="s">
        <v>9788</v>
      </c>
      <c r="P8122" s="405" t="s">
        <v>6012</v>
      </c>
      <c r="Q8122" s="411">
        <v>9</v>
      </c>
      <c r="R8122" s="405" t="s">
        <v>7224</v>
      </c>
      <c r="S8122" s="405" t="s">
        <v>27204</v>
      </c>
      <c r="T8122" s="405" t="s">
        <v>32102</v>
      </c>
      <c r="U8122" s="405" t="s">
        <v>319</v>
      </c>
    </row>
    <row r="8123" spans="1:21" hidden="1" x14ac:dyDescent="0.25">
      <c r="A8123" s="405" t="s">
        <v>310</v>
      </c>
      <c r="B8123" s="405" t="s">
        <v>2444</v>
      </c>
      <c r="C8123" s="405" t="s">
        <v>311</v>
      </c>
      <c r="D8123" s="405" t="s">
        <v>839</v>
      </c>
      <c r="E8123" s="410">
        <v>40816</v>
      </c>
      <c r="F8123" s="410">
        <v>40861</v>
      </c>
      <c r="G8123" s="405" t="s">
        <v>2445</v>
      </c>
      <c r="H8123" s="405">
        <v>752135414</v>
      </c>
      <c r="I8123" s="405"/>
      <c r="J8123" s="405">
        <v>0.43734329999999999</v>
      </c>
      <c r="K8123" s="405">
        <v>32.577604299999997</v>
      </c>
      <c r="L8123" s="405" t="s">
        <v>314</v>
      </c>
      <c r="M8123" s="405" t="s">
        <v>361</v>
      </c>
      <c r="N8123" s="405" t="s">
        <v>362</v>
      </c>
      <c r="O8123" s="405" t="s">
        <v>469</v>
      </c>
      <c r="P8123" s="405" t="s">
        <v>513</v>
      </c>
      <c r="Q8123" s="411">
        <v>9</v>
      </c>
      <c r="R8123" s="405" t="s">
        <v>333</v>
      </c>
      <c r="S8123" s="405" t="s">
        <v>27127</v>
      </c>
      <c r="T8123" s="405" t="s">
        <v>32102</v>
      </c>
      <c r="U8123" s="405" t="s">
        <v>319</v>
      </c>
    </row>
    <row r="8124" spans="1:21" hidden="1" x14ac:dyDescent="0.25">
      <c r="A8124" s="405" t="s">
        <v>310</v>
      </c>
      <c r="B8124" s="405" t="s">
        <v>1914</v>
      </c>
      <c r="C8124" s="405" t="s">
        <v>327</v>
      </c>
      <c r="D8124" s="405"/>
      <c r="E8124" s="410">
        <v>40816</v>
      </c>
      <c r="F8124" s="410">
        <v>40861</v>
      </c>
      <c r="G8124" s="405" t="s">
        <v>1915</v>
      </c>
      <c r="H8124" s="405">
        <v>777930642</v>
      </c>
      <c r="I8124" s="405"/>
      <c r="J8124" s="405">
        <v>0.67952199999999996</v>
      </c>
      <c r="K8124" s="405">
        <v>32.998291999999999</v>
      </c>
      <c r="L8124" s="405" t="s">
        <v>314</v>
      </c>
      <c r="M8124" s="405" t="s">
        <v>502</v>
      </c>
      <c r="N8124" s="405" t="s">
        <v>503</v>
      </c>
      <c r="O8124" s="405" t="s">
        <v>504</v>
      </c>
      <c r="P8124" s="405" t="s">
        <v>505</v>
      </c>
      <c r="Q8124" s="411">
        <v>9</v>
      </c>
      <c r="R8124" s="405" t="s">
        <v>353</v>
      </c>
      <c r="S8124" s="405" t="s">
        <v>27120</v>
      </c>
      <c r="T8124" s="405" t="s">
        <v>32102</v>
      </c>
      <c r="U8124" s="405" t="s">
        <v>319</v>
      </c>
    </row>
    <row r="8125" spans="1:21" hidden="1" x14ac:dyDescent="0.25">
      <c r="A8125" s="405" t="s">
        <v>310</v>
      </c>
      <c r="B8125" s="405" t="s">
        <v>1904</v>
      </c>
      <c r="C8125" s="405" t="s">
        <v>327</v>
      </c>
      <c r="D8125" s="405"/>
      <c r="E8125" s="410">
        <v>40816</v>
      </c>
      <c r="F8125" s="410">
        <v>40861</v>
      </c>
      <c r="G8125" s="405" t="s">
        <v>1905</v>
      </c>
      <c r="H8125" s="405">
        <v>772492224</v>
      </c>
      <c r="I8125" s="405"/>
      <c r="J8125" s="405">
        <v>0.49660833333333337</v>
      </c>
      <c r="K8125" s="405">
        <v>32.525221666666667</v>
      </c>
      <c r="L8125" s="405" t="s">
        <v>314</v>
      </c>
      <c r="M8125" s="405" t="s">
        <v>361</v>
      </c>
      <c r="N8125" s="405" t="s">
        <v>362</v>
      </c>
      <c r="O8125" s="405" t="s">
        <v>523</v>
      </c>
      <c r="P8125" s="405" t="s">
        <v>1906</v>
      </c>
      <c r="Q8125" s="411">
        <v>9</v>
      </c>
      <c r="R8125" s="405" t="s">
        <v>353</v>
      </c>
      <c r="S8125" s="405" t="s">
        <v>27153</v>
      </c>
      <c r="T8125" s="405" t="s">
        <v>32102</v>
      </c>
      <c r="U8125" s="405" t="s">
        <v>319</v>
      </c>
    </row>
    <row r="8126" spans="1:21" hidden="1" x14ac:dyDescent="0.25">
      <c r="A8126" s="405" t="s">
        <v>310</v>
      </c>
      <c r="B8126" s="405" t="s">
        <v>29077</v>
      </c>
      <c r="C8126" s="405" t="s">
        <v>327</v>
      </c>
      <c r="D8126" s="405"/>
      <c r="E8126" s="410">
        <v>40816</v>
      </c>
      <c r="F8126" s="410">
        <v>40861</v>
      </c>
      <c r="G8126" s="405" t="s">
        <v>10788</v>
      </c>
      <c r="H8126" s="405">
        <v>782372755</v>
      </c>
      <c r="I8126" s="405"/>
      <c r="J8126" s="405">
        <v>0.88837100000000002</v>
      </c>
      <c r="K8126" s="405">
        <v>34.300933999999998</v>
      </c>
      <c r="L8126" s="405" t="s">
        <v>6866</v>
      </c>
      <c r="M8126" s="405" t="s">
        <v>9763</v>
      </c>
      <c r="N8126" s="405" t="s">
        <v>9764</v>
      </c>
      <c r="O8126" s="405" t="s">
        <v>10789</v>
      </c>
      <c r="P8126" s="405" t="s">
        <v>10790</v>
      </c>
      <c r="Q8126" s="411">
        <v>6</v>
      </c>
      <c r="R8126" s="405" t="s">
        <v>7224</v>
      </c>
      <c r="S8126" s="405" t="s">
        <v>27204</v>
      </c>
      <c r="T8126" s="405" t="s">
        <v>32102</v>
      </c>
      <c r="U8126" s="405" t="s">
        <v>319</v>
      </c>
    </row>
    <row r="8127" spans="1:21" hidden="1" x14ac:dyDescent="0.25">
      <c r="A8127" s="405" t="s">
        <v>310</v>
      </c>
      <c r="B8127" s="405" t="s">
        <v>10763</v>
      </c>
      <c r="C8127" s="405" t="s">
        <v>327</v>
      </c>
      <c r="D8127" s="405"/>
      <c r="E8127" s="410">
        <v>40816</v>
      </c>
      <c r="F8127" s="410">
        <v>40861</v>
      </c>
      <c r="G8127" s="405" t="s">
        <v>10764</v>
      </c>
      <c r="H8127" s="405">
        <v>772580701</v>
      </c>
      <c r="I8127" s="405">
        <v>782810073</v>
      </c>
      <c r="J8127" s="405">
        <v>1.717203</v>
      </c>
      <c r="K8127" s="405">
        <v>33.608227999999997</v>
      </c>
      <c r="L8127" s="405" t="s">
        <v>6866</v>
      </c>
      <c r="M8127" s="405" t="s">
        <v>10515</v>
      </c>
      <c r="N8127" s="405" t="s">
        <v>10765</v>
      </c>
      <c r="O8127" s="405" t="s">
        <v>9881</v>
      </c>
      <c r="P8127" s="405" t="s">
        <v>10766</v>
      </c>
      <c r="Q8127" s="411">
        <v>6</v>
      </c>
      <c r="R8127" s="405" t="s">
        <v>10642</v>
      </c>
      <c r="S8127" s="405" t="s">
        <v>27298</v>
      </c>
      <c r="T8127" s="405" t="s">
        <v>32102</v>
      </c>
      <c r="U8127" s="405" t="s">
        <v>319</v>
      </c>
    </row>
    <row r="8128" spans="1:21" hidden="1" x14ac:dyDescent="0.25">
      <c r="A8128" s="405" t="s">
        <v>310</v>
      </c>
      <c r="B8128" s="405" t="s">
        <v>1949</v>
      </c>
      <c r="C8128" s="405" t="s">
        <v>327</v>
      </c>
      <c r="D8128" s="405"/>
      <c r="E8128" s="410">
        <v>40816</v>
      </c>
      <c r="F8128" s="410">
        <v>40861</v>
      </c>
      <c r="G8128" s="405" t="s">
        <v>1950</v>
      </c>
      <c r="H8128" s="405">
        <v>779820922</v>
      </c>
      <c r="I8128" s="405"/>
      <c r="J8128" s="405">
        <v>0.53951499999999997</v>
      </c>
      <c r="K8128" s="405">
        <v>32.581184999999998</v>
      </c>
      <c r="L8128" s="405" t="s">
        <v>314</v>
      </c>
      <c r="M8128" s="405" t="s">
        <v>361</v>
      </c>
      <c r="N8128" s="405" t="s">
        <v>362</v>
      </c>
      <c r="O8128" s="405" t="s">
        <v>433</v>
      </c>
      <c r="P8128" s="405" t="s">
        <v>645</v>
      </c>
      <c r="Q8128" s="411">
        <v>6</v>
      </c>
      <c r="R8128" s="405" t="s">
        <v>353</v>
      </c>
      <c r="S8128" s="405" t="s">
        <v>27153</v>
      </c>
      <c r="T8128" s="405" t="s">
        <v>32102</v>
      </c>
      <c r="U8128" s="405" t="s">
        <v>319</v>
      </c>
    </row>
    <row r="8129" spans="1:21" hidden="1" x14ac:dyDescent="0.25">
      <c r="A8129" s="405" t="s">
        <v>310</v>
      </c>
      <c r="B8129" s="405" t="s">
        <v>1975</v>
      </c>
      <c r="C8129" s="405" t="s">
        <v>327</v>
      </c>
      <c r="D8129" s="405"/>
      <c r="E8129" s="410">
        <v>40816</v>
      </c>
      <c r="F8129" s="410">
        <v>40861</v>
      </c>
      <c r="G8129" s="405" t="s">
        <v>1976</v>
      </c>
      <c r="H8129" s="405">
        <v>752400886</v>
      </c>
      <c r="I8129" s="405"/>
      <c r="J8129" s="405">
        <v>0.26646999999999998</v>
      </c>
      <c r="K8129" s="405">
        <v>32.551935</v>
      </c>
      <c r="L8129" s="405" t="s">
        <v>314</v>
      </c>
      <c r="M8129" s="405" t="s">
        <v>361</v>
      </c>
      <c r="N8129" s="405" t="s">
        <v>362</v>
      </c>
      <c r="O8129" s="405" t="s">
        <v>618</v>
      </c>
      <c r="P8129" s="405" t="s">
        <v>1341</v>
      </c>
      <c r="Q8129" s="411">
        <v>6</v>
      </c>
      <c r="R8129" s="405" t="s">
        <v>318</v>
      </c>
      <c r="S8129" s="405" t="s">
        <v>27137</v>
      </c>
      <c r="T8129" s="405" t="s">
        <v>32102</v>
      </c>
      <c r="U8129" s="405" t="s">
        <v>319</v>
      </c>
    </row>
    <row r="8130" spans="1:21" hidden="1" x14ac:dyDescent="0.25">
      <c r="A8130" s="405" t="s">
        <v>310</v>
      </c>
      <c r="B8130" s="405" t="s">
        <v>1955</v>
      </c>
      <c r="C8130" s="405" t="s">
        <v>327</v>
      </c>
      <c r="D8130" s="405"/>
      <c r="E8130" s="410">
        <v>40816</v>
      </c>
      <c r="F8130" s="410">
        <v>40861</v>
      </c>
      <c r="G8130" s="405" t="s">
        <v>1956</v>
      </c>
      <c r="H8130" s="405">
        <v>782667753</v>
      </c>
      <c r="I8130" s="405"/>
      <c r="J8130" s="405">
        <v>0.50597199999999998</v>
      </c>
      <c r="K8130" s="405">
        <v>32.721260000000001</v>
      </c>
      <c r="L8130" s="405" t="s">
        <v>314</v>
      </c>
      <c r="M8130" s="405" t="s">
        <v>329</v>
      </c>
      <c r="N8130" s="405" t="s">
        <v>545</v>
      </c>
      <c r="O8130" s="405" t="s">
        <v>336</v>
      </c>
      <c r="P8130" s="405" t="s">
        <v>1867</v>
      </c>
      <c r="Q8130" s="411">
        <v>6</v>
      </c>
      <c r="R8130" s="405" t="s">
        <v>318</v>
      </c>
      <c r="S8130" s="405" t="s">
        <v>27141</v>
      </c>
      <c r="T8130" s="405" t="s">
        <v>32102</v>
      </c>
      <c r="U8130" s="405" t="s">
        <v>319</v>
      </c>
    </row>
    <row r="8131" spans="1:21" hidden="1" x14ac:dyDescent="0.25">
      <c r="A8131" s="405" t="s">
        <v>310</v>
      </c>
      <c r="B8131" s="405" t="s">
        <v>11211</v>
      </c>
      <c r="C8131" s="405" t="s">
        <v>311</v>
      </c>
      <c r="D8131" s="405" t="s">
        <v>839</v>
      </c>
      <c r="E8131" s="410">
        <v>40816</v>
      </c>
      <c r="F8131" s="410">
        <v>40861</v>
      </c>
      <c r="G8131" s="405" t="s">
        <v>11212</v>
      </c>
      <c r="H8131" s="405">
        <v>777407684</v>
      </c>
      <c r="I8131" s="405"/>
      <c r="J8131" s="405">
        <v>0.33275100000000002</v>
      </c>
      <c r="K8131" s="405">
        <v>33.972304000000001</v>
      </c>
      <c r="L8131" s="405" t="s">
        <v>6866</v>
      </c>
      <c r="M8131" s="405" t="s">
        <v>10390</v>
      </c>
      <c r="N8131" s="405" t="s">
        <v>10391</v>
      </c>
      <c r="O8131" s="405" t="s">
        <v>10395</v>
      </c>
      <c r="P8131" s="405" t="s">
        <v>11213</v>
      </c>
      <c r="Q8131" s="411">
        <v>6</v>
      </c>
      <c r="R8131" s="405" t="s">
        <v>7224</v>
      </c>
      <c r="S8131" s="405" t="s">
        <v>27316</v>
      </c>
      <c r="T8131" s="405" t="s">
        <v>32102</v>
      </c>
      <c r="U8131" s="405" t="s">
        <v>319</v>
      </c>
    </row>
    <row r="8132" spans="1:21" hidden="1" x14ac:dyDescent="0.25">
      <c r="A8132" s="405" t="s">
        <v>310</v>
      </c>
      <c r="B8132" s="405" t="s">
        <v>10759</v>
      </c>
      <c r="C8132" s="405" t="s">
        <v>327</v>
      </c>
      <c r="D8132" s="405"/>
      <c r="E8132" s="410">
        <v>40816</v>
      </c>
      <c r="F8132" s="410">
        <v>40861</v>
      </c>
      <c r="G8132" s="405" t="s">
        <v>10760</v>
      </c>
      <c r="H8132" s="405">
        <v>782085179</v>
      </c>
      <c r="I8132" s="405"/>
      <c r="J8132" s="405">
        <v>1.482718</v>
      </c>
      <c r="K8132" s="405">
        <v>33.447515000000003</v>
      </c>
      <c r="L8132" s="405" t="s">
        <v>6866</v>
      </c>
      <c r="M8132" s="405" t="s">
        <v>9658</v>
      </c>
      <c r="N8132" s="405" t="s">
        <v>9658</v>
      </c>
      <c r="O8132" s="405" t="s">
        <v>9659</v>
      </c>
      <c r="P8132" s="405" t="s">
        <v>10761</v>
      </c>
      <c r="Q8132" s="411">
        <v>6</v>
      </c>
      <c r="R8132" s="405" t="s">
        <v>7224</v>
      </c>
      <c r="S8132" s="405" t="s">
        <v>27324</v>
      </c>
      <c r="T8132" s="405" t="s">
        <v>32102</v>
      </c>
      <c r="U8132" s="405" t="s">
        <v>319</v>
      </c>
    </row>
    <row r="8133" spans="1:21" hidden="1" x14ac:dyDescent="0.25">
      <c r="A8133" s="405" t="s">
        <v>310</v>
      </c>
      <c r="B8133" s="405" t="s">
        <v>10798</v>
      </c>
      <c r="C8133" s="405" t="s">
        <v>327</v>
      </c>
      <c r="D8133" s="405"/>
      <c r="E8133" s="410">
        <v>40816</v>
      </c>
      <c r="F8133" s="410">
        <v>40861</v>
      </c>
      <c r="G8133" s="405" t="s">
        <v>10799</v>
      </c>
      <c r="H8133" s="405">
        <v>759304336</v>
      </c>
      <c r="I8133" s="405"/>
      <c r="J8133" s="405">
        <v>0.72522299999999995</v>
      </c>
      <c r="K8133" s="405">
        <v>33.872244000000002</v>
      </c>
      <c r="L8133" s="405" t="s">
        <v>6866</v>
      </c>
      <c r="M8133" s="405" t="s">
        <v>9566</v>
      </c>
      <c r="N8133" s="405" t="s">
        <v>9787</v>
      </c>
      <c r="O8133" s="405" t="s">
        <v>9788</v>
      </c>
      <c r="P8133" s="405" t="s">
        <v>6012</v>
      </c>
      <c r="Q8133" s="411">
        <v>6</v>
      </c>
      <c r="R8133" s="405" t="s">
        <v>7224</v>
      </c>
      <c r="S8133" s="405" t="s">
        <v>27259</v>
      </c>
      <c r="T8133" s="405" t="s">
        <v>32102</v>
      </c>
      <c r="U8133" s="405" t="s">
        <v>319</v>
      </c>
    </row>
    <row r="8134" spans="1:21" hidden="1" x14ac:dyDescent="0.25">
      <c r="A8134" s="405" t="s">
        <v>310</v>
      </c>
      <c r="B8134" s="405" t="s">
        <v>10775</v>
      </c>
      <c r="C8134" s="405" t="s">
        <v>327</v>
      </c>
      <c r="D8134" s="405"/>
      <c r="E8134" s="410">
        <v>40815</v>
      </c>
      <c r="F8134" s="410">
        <v>40860</v>
      </c>
      <c r="G8134" s="405" t="s">
        <v>10776</v>
      </c>
      <c r="H8134" s="405">
        <v>774353479</v>
      </c>
      <c r="I8134" s="405"/>
      <c r="J8134" s="405">
        <v>1.270343</v>
      </c>
      <c r="K8134" s="405">
        <v>34.156973000000001</v>
      </c>
      <c r="L8134" s="405" t="s">
        <v>6866</v>
      </c>
      <c r="M8134" s="405" t="s">
        <v>9504</v>
      </c>
      <c r="N8134" s="405" t="s">
        <v>9504</v>
      </c>
      <c r="O8134" s="405" t="s">
        <v>10538</v>
      </c>
      <c r="P8134" s="405" t="s">
        <v>10777</v>
      </c>
      <c r="Q8134" s="411">
        <v>6</v>
      </c>
      <c r="R8134" s="405" t="s">
        <v>9541</v>
      </c>
      <c r="S8134" s="405" t="s">
        <v>27296</v>
      </c>
      <c r="T8134" s="405" t="s">
        <v>32102</v>
      </c>
      <c r="U8134" s="405" t="s">
        <v>319</v>
      </c>
    </row>
    <row r="8135" spans="1:21" hidden="1" x14ac:dyDescent="0.25">
      <c r="A8135" s="405" t="s">
        <v>310</v>
      </c>
      <c r="B8135" s="405" t="s">
        <v>1929</v>
      </c>
      <c r="C8135" s="405" t="s">
        <v>327</v>
      </c>
      <c r="D8135" s="405"/>
      <c r="E8135" s="410">
        <v>40815</v>
      </c>
      <c r="F8135" s="410">
        <v>40860</v>
      </c>
      <c r="G8135" s="405" t="s">
        <v>1930</v>
      </c>
      <c r="H8135" s="405">
        <v>782855478</v>
      </c>
      <c r="I8135" s="405"/>
      <c r="J8135" s="405">
        <v>0.53525500000000004</v>
      </c>
      <c r="K8135" s="405">
        <v>32.036951999999999</v>
      </c>
      <c r="L8135" s="405" t="s">
        <v>314</v>
      </c>
      <c r="M8135" s="405" t="s">
        <v>675</v>
      </c>
      <c r="N8135" s="405" t="s">
        <v>1065</v>
      </c>
      <c r="O8135" s="405" t="s">
        <v>1248</v>
      </c>
      <c r="P8135" s="405" t="s">
        <v>1931</v>
      </c>
      <c r="Q8135" s="411">
        <v>6</v>
      </c>
      <c r="R8135" s="405" t="s">
        <v>318</v>
      </c>
      <c r="S8135" s="405" t="s">
        <v>27174</v>
      </c>
      <c r="T8135" s="405" t="s">
        <v>32102</v>
      </c>
      <c r="U8135" s="405" t="s">
        <v>319</v>
      </c>
    </row>
    <row r="8136" spans="1:21" hidden="1" x14ac:dyDescent="0.25">
      <c r="A8136" s="405" t="s">
        <v>310</v>
      </c>
      <c r="B8136" s="405" t="s">
        <v>10800</v>
      </c>
      <c r="C8136" s="405" t="s">
        <v>327</v>
      </c>
      <c r="D8136" s="405"/>
      <c r="E8136" s="410">
        <v>40815</v>
      </c>
      <c r="F8136" s="410">
        <v>40860</v>
      </c>
      <c r="G8136" s="405" t="s">
        <v>10801</v>
      </c>
      <c r="H8136" s="405">
        <v>755557046</v>
      </c>
      <c r="I8136" s="405"/>
      <c r="J8136" s="405">
        <v>0.72465999999999997</v>
      </c>
      <c r="K8136" s="405">
        <v>33.877206000000001</v>
      </c>
      <c r="L8136" s="405" t="s">
        <v>6866</v>
      </c>
      <c r="M8136" s="405" t="s">
        <v>9566</v>
      </c>
      <c r="N8136" s="405" t="s">
        <v>9787</v>
      </c>
      <c r="O8136" s="405" t="s">
        <v>9788</v>
      </c>
      <c r="P8136" s="405" t="s">
        <v>6012</v>
      </c>
      <c r="Q8136" s="411">
        <v>6</v>
      </c>
      <c r="R8136" s="405" t="s">
        <v>7224</v>
      </c>
      <c r="S8136" s="405" t="s">
        <v>27204</v>
      </c>
      <c r="T8136" s="405" t="s">
        <v>32102</v>
      </c>
      <c r="U8136" s="405" t="s">
        <v>319</v>
      </c>
    </row>
    <row r="8137" spans="1:21" hidden="1" x14ac:dyDescent="0.25">
      <c r="A8137" s="405" t="s">
        <v>310</v>
      </c>
      <c r="B8137" s="405" t="s">
        <v>10753</v>
      </c>
      <c r="C8137" s="405" t="s">
        <v>327</v>
      </c>
      <c r="D8137" s="405"/>
      <c r="E8137" s="410">
        <v>40813</v>
      </c>
      <c r="F8137" s="410">
        <v>40858</v>
      </c>
      <c r="G8137" s="405" t="s">
        <v>10754</v>
      </c>
      <c r="H8137" s="405">
        <v>700262219</v>
      </c>
      <c r="I8137" s="405">
        <v>773402155</v>
      </c>
      <c r="J8137" s="405">
        <v>0.70508300000000002</v>
      </c>
      <c r="K8137" s="405">
        <v>33.857551999999998</v>
      </c>
      <c r="L8137" s="405" t="s">
        <v>6866</v>
      </c>
      <c r="M8137" s="405" t="s">
        <v>9566</v>
      </c>
      <c r="N8137" s="405" t="s">
        <v>9787</v>
      </c>
      <c r="O8137" s="405" t="s">
        <v>9788</v>
      </c>
      <c r="P8137" s="405" t="s">
        <v>10755</v>
      </c>
      <c r="Q8137" s="411">
        <v>6</v>
      </c>
      <c r="R8137" s="405" t="s">
        <v>7224</v>
      </c>
      <c r="S8137" s="405" t="s">
        <v>27142</v>
      </c>
      <c r="T8137" s="405" t="s">
        <v>32102</v>
      </c>
      <c r="U8137" s="405" t="s">
        <v>319</v>
      </c>
    </row>
    <row r="8138" spans="1:21" hidden="1" x14ac:dyDescent="0.25">
      <c r="A8138" s="405" t="s">
        <v>310</v>
      </c>
      <c r="B8138" s="405" t="s">
        <v>20305</v>
      </c>
      <c r="C8138" s="405" t="s">
        <v>327</v>
      </c>
      <c r="D8138" s="405"/>
      <c r="E8138" s="410">
        <v>40812</v>
      </c>
      <c r="F8138" s="410">
        <v>40857</v>
      </c>
      <c r="G8138" s="405" t="s">
        <v>20306</v>
      </c>
      <c r="H8138" s="405">
        <v>759521198</v>
      </c>
      <c r="I8138" s="405"/>
      <c r="J8138" s="405">
        <v>-0.83031100000000002</v>
      </c>
      <c r="K8138" s="405">
        <v>30.688020000000002</v>
      </c>
      <c r="L8138" s="405" t="s">
        <v>590</v>
      </c>
      <c r="M8138" s="405" t="s">
        <v>879</v>
      </c>
      <c r="N8138" s="405" t="s">
        <v>879</v>
      </c>
      <c r="O8138" s="405" t="s">
        <v>20145</v>
      </c>
      <c r="P8138" s="405" t="s">
        <v>20261</v>
      </c>
      <c r="Q8138" s="411">
        <v>6</v>
      </c>
      <c r="R8138" s="405" t="s">
        <v>333</v>
      </c>
      <c r="S8138" s="405" t="s">
        <v>27298</v>
      </c>
      <c r="T8138" s="405" t="s">
        <v>32102</v>
      </c>
      <c r="U8138" s="405" t="s">
        <v>319</v>
      </c>
    </row>
    <row r="8139" spans="1:21" hidden="1" x14ac:dyDescent="0.25">
      <c r="A8139" s="405" t="s">
        <v>310</v>
      </c>
      <c r="B8139" s="405" t="s">
        <v>1961</v>
      </c>
      <c r="C8139" s="405" t="s">
        <v>327</v>
      </c>
      <c r="D8139" s="405"/>
      <c r="E8139" s="410">
        <v>40811</v>
      </c>
      <c r="F8139" s="410">
        <v>40856</v>
      </c>
      <c r="G8139" s="405" t="s">
        <v>1962</v>
      </c>
      <c r="H8139" s="405">
        <v>772331529</v>
      </c>
      <c r="I8139" s="405"/>
      <c r="J8139" s="405">
        <v>-0.241565</v>
      </c>
      <c r="K8139" s="405">
        <v>31.615143</v>
      </c>
      <c r="L8139" s="405" t="s">
        <v>314</v>
      </c>
      <c r="M8139" s="405" t="s">
        <v>1080</v>
      </c>
      <c r="N8139" s="405" t="s">
        <v>1080</v>
      </c>
      <c r="O8139" s="405" t="s">
        <v>1082</v>
      </c>
      <c r="P8139" s="405" t="s">
        <v>1963</v>
      </c>
      <c r="Q8139" s="411">
        <v>9</v>
      </c>
      <c r="R8139" s="405" t="s">
        <v>318</v>
      </c>
      <c r="S8139" s="405" t="s">
        <v>414</v>
      </c>
      <c r="T8139" s="405" t="s">
        <v>32102</v>
      </c>
      <c r="U8139" s="405" t="s">
        <v>319</v>
      </c>
    </row>
    <row r="8140" spans="1:21" hidden="1" x14ac:dyDescent="0.25">
      <c r="A8140" s="405" t="s">
        <v>310</v>
      </c>
      <c r="B8140" s="405" t="s">
        <v>28011</v>
      </c>
      <c r="C8140" s="405" t="s">
        <v>327</v>
      </c>
      <c r="D8140" s="405"/>
      <c r="E8140" s="410">
        <v>40811</v>
      </c>
      <c r="F8140" s="410">
        <v>40856</v>
      </c>
      <c r="G8140" s="405" t="s">
        <v>10715</v>
      </c>
      <c r="H8140" s="405">
        <v>772493998</v>
      </c>
      <c r="I8140" s="405"/>
      <c r="J8140" s="405">
        <v>0.61633389999999999</v>
      </c>
      <c r="K8140" s="405">
        <v>33.479194800000002</v>
      </c>
      <c r="L8140" s="405" t="s">
        <v>6866</v>
      </c>
      <c r="M8140" s="405" t="s">
        <v>9590</v>
      </c>
      <c r="N8140" s="405" t="s">
        <v>10716</v>
      </c>
      <c r="O8140" s="405" t="s">
        <v>10717</v>
      </c>
      <c r="P8140" s="405" t="s">
        <v>10718</v>
      </c>
      <c r="Q8140" s="411">
        <v>9</v>
      </c>
      <c r="R8140" s="405" t="s">
        <v>333</v>
      </c>
      <c r="S8140" s="405" t="s">
        <v>6822</v>
      </c>
      <c r="T8140" s="405" t="s">
        <v>32102</v>
      </c>
      <c r="U8140" s="405" t="s">
        <v>319</v>
      </c>
    </row>
    <row r="8141" spans="1:21" hidden="1" x14ac:dyDescent="0.25">
      <c r="A8141" s="405" t="s">
        <v>310</v>
      </c>
      <c r="B8141" s="405" t="s">
        <v>10735</v>
      </c>
      <c r="C8141" s="405" t="s">
        <v>327</v>
      </c>
      <c r="D8141" s="405"/>
      <c r="E8141" s="410">
        <v>40811</v>
      </c>
      <c r="F8141" s="410">
        <v>40856</v>
      </c>
      <c r="G8141" s="405" t="s">
        <v>10736</v>
      </c>
      <c r="H8141" s="405">
        <v>758832538</v>
      </c>
      <c r="I8141" s="405"/>
      <c r="J8141" s="405">
        <v>0.71943900000000005</v>
      </c>
      <c r="K8141" s="405">
        <v>33.871640999999997</v>
      </c>
      <c r="L8141" s="405" t="s">
        <v>6866</v>
      </c>
      <c r="M8141" s="405" t="s">
        <v>9566</v>
      </c>
      <c r="N8141" s="405" t="s">
        <v>9787</v>
      </c>
      <c r="O8141" s="405" t="s">
        <v>9788</v>
      </c>
      <c r="P8141" s="405" t="s">
        <v>6012</v>
      </c>
      <c r="Q8141" s="411">
        <v>6</v>
      </c>
      <c r="R8141" s="405" t="s">
        <v>7224</v>
      </c>
      <c r="S8141" s="405" t="s">
        <v>27142</v>
      </c>
      <c r="T8141" s="405" t="s">
        <v>32102</v>
      </c>
      <c r="U8141" s="405" t="s">
        <v>319</v>
      </c>
    </row>
    <row r="8142" spans="1:21" hidden="1" x14ac:dyDescent="0.25">
      <c r="A8142" s="405" t="s">
        <v>310</v>
      </c>
      <c r="B8142" s="405" t="s">
        <v>1924</v>
      </c>
      <c r="C8142" s="405" t="s">
        <v>327</v>
      </c>
      <c r="D8142" s="405"/>
      <c r="E8142" s="410">
        <v>40811</v>
      </c>
      <c r="F8142" s="410">
        <v>40856</v>
      </c>
      <c r="G8142" s="405" t="s">
        <v>1925</v>
      </c>
      <c r="H8142" s="405">
        <v>773803243</v>
      </c>
      <c r="I8142" s="405"/>
      <c r="J8142" s="405">
        <v>0.33817000000000003</v>
      </c>
      <c r="K8142" s="405">
        <v>32.246414999999999</v>
      </c>
      <c r="L8142" s="405" t="s">
        <v>314</v>
      </c>
      <c r="M8142" s="405" t="s">
        <v>675</v>
      </c>
      <c r="N8142" s="405" t="s">
        <v>676</v>
      </c>
      <c r="O8142" s="405" t="s">
        <v>1845</v>
      </c>
      <c r="P8142" s="405" t="s">
        <v>1926</v>
      </c>
      <c r="Q8142" s="411">
        <v>6</v>
      </c>
      <c r="R8142" s="405" t="s">
        <v>438</v>
      </c>
      <c r="S8142" s="405" t="s">
        <v>27128</v>
      </c>
      <c r="T8142" s="405" t="s">
        <v>32102</v>
      </c>
      <c r="U8142" s="405" t="s">
        <v>319</v>
      </c>
    </row>
    <row r="8143" spans="1:21" hidden="1" x14ac:dyDescent="0.25">
      <c r="A8143" s="405" t="s">
        <v>310</v>
      </c>
      <c r="B8143" s="405" t="s">
        <v>28067</v>
      </c>
      <c r="C8143" s="405" t="s">
        <v>327</v>
      </c>
      <c r="D8143" s="405"/>
      <c r="E8143" s="410">
        <v>40811</v>
      </c>
      <c r="F8143" s="410">
        <v>40856</v>
      </c>
      <c r="G8143" s="405" t="s">
        <v>1892</v>
      </c>
      <c r="H8143" s="405">
        <v>789608335</v>
      </c>
      <c r="I8143" s="405"/>
      <c r="J8143" s="405">
        <v>0.19747000000000001</v>
      </c>
      <c r="K8143" s="405">
        <v>32.319751666666669</v>
      </c>
      <c r="L8143" s="405" t="s">
        <v>314</v>
      </c>
      <c r="M8143" s="405" t="s">
        <v>321</v>
      </c>
      <c r="N8143" s="405" t="s">
        <v>322</v>
      </c>
      <c r="O8143" s="405" t="s">
        <v>996</v>
      </c>
      <c r="P8143" s="405" t="s">
        <v>1893</v>
      </c>
      <c r="Q8143" s="411">
        <v>6</v>
      </c>
      <c r="R8143" s="405" t="s">
        <v>567</v>
      </c>
      <c r="S8143" s="405" t="s">
        <v>27146</v>
      </c>
      <c r="T8143" s="405" t="s">
        <v>32102</v>
      </c>
      <c r="U8143" s="405" t="s">
        <v>319</v>
      </c>
    </row>
    <row r="8144" spans="1:21" hidden="1" x14ac:dyDescent="0.25">
      <c r="A8144" s="405" t="s">
        <v>310</v>
      </c>
      <c r="B8144" s="405" t="s">
        <v>10746</v>
      </c>
      <c r="C8144" s="405" t="s">
        <v>327</v>
      </c>
      <c r="D8144" s="405"/>
      <c r="E8144" s="410">
        <v>40811</v>
      </c>
      <c r="F8144" s="410">
        <v>40856</v>
      </c>
      <c r="G8144" s="405" t="s">
        <v>10747</v>
      </c>
      <c r="H8144" s="405">
        <v>756956211</v>
      </c>
      <c r="I8144" s="405"/>
      <c r="J8144" s="405">
        <v>0.70453900000000003</v>
      </c>
      <c r="K8144" s="405">
        <v>33.866579000000002</v>
      </c>
      <c r="L8144" s="405" t="s">
        <v>6866</v>
      </c>
      <c r="M8144" s="405" t="s">
        <v>9566</v>
      </c>
      <c r="N8144" s="405" t="s">
        <v>9787</v>
      </c>
      <c r="O8144" s="405" t="s">
        <v>9788</v>
      </c>
      <c r="P8144" s="405" t="s">
        <v>10748</v>
      </c>
      <c r="Q8144" s="411">
        <v>6</v>
      </c>
      <c r="R8144" s="405" t="s">
        <v>9541</v>
      </c>
      <c r="S8144" s="405" t="s">
        <v>27320</v>
      </c>
      <c r="T8144" s="405" t="s">
        <v>32102</v>
      </c>
      <c r="U8144" s="405" t="s">
        <v>319</v>
      </c>
    </row>
    <row r="8145" spans="1:21" hidden="1" x14ac:dyDescent="0.25">
      <c r="A8145" s="405" t="s">
        <v>310</v>
      </c>
      <c r="B8145" s="405" t="s">
        <v>10749</v>
      </c>
      <c r="C8145" s="405" t="s">
        <v>327</v>
      </c>
      <c r="D8145" s="405"/>
      <c r="E8145" s="410">
        <v>40811</v>
      </c>
      <c r="F8145" s="410">
        <v>40856</v>
      </c>
      <c r="G8145" s="405" t="s">
        <v>10750</v>
      </c>
      <c r="H8145" s="405">
        <v>776318676</v>
      </c>
      <c r="I8145" s="405"/>
      <c r="J8145" s="405">
        <v>0.70405899999999999</v>
      </c>
      <c r="K8145" s="405">
        <v>33.867156999999999</v>
      </c>
      <c r="L8145" s="405" t="s">
        <v>6866</v>
      </c>
      <c r="M8145" s="405" t="s">
        <v>9566</v>
      </c>
      <c r="N8145" s="405" t="s">
        <v>9787</v>
      </c>
      <c r="O8145" s="405" t="s">
        <v>9788</v>
      </c>
      <c r="P8145" s="405" t="s">
        <v>10748</v>
      </c>
      <c r="Q8145" s="411">
        <v>6</v>
      </c>
      <c r="R8145" s="405" t="s">
        <v>9541</v>
      </c>
      <c r="S8145" s="405" t="s">
        <v>27320</v>
      </c>
      <c r="T8145" s="405" t="s">
        <v>32102</v>
      </c>
      <c r="U8145" s="405" t="s">
        <v>319</v>
      </c>
    </row>
    <row r="8146" spans="1:21" hidden="1" x14ac:dyDescent="0.25">
      <c r="A8146" s="405" t="s">
        <v>310</v>
      </c>
      <c r="B8146" s="405" t="s">
        <v>10742</v>
      </c>
      <c r="C8146" s="405" t="s">
        <v>327</v>
      </c>
      <c r="D8146" s="405"/>
      <c r="E8146" s="410">
        <v>40811</v>
      </c>
      <c r="F8146" s="410">
        <v>40856</v>
      </c>
      <c r="G8146" s="405" t="s">
        <v>10743</v>
      </c>
      <c r="H8146" s="405">
        <v>755182897</v>
      </c>
      <c r="I8146" s="405"/>
      <c r="J8146" s="405">
        <v>0.71550599999999998</v>
      </c>
      <c r="K8146" s="405">
        <v>33.877113999999999</v>
      </c>
      <c r="L8146" s="405" t="s">
        <v>6866</v>
      </c>
      <c r="M8146" s="405" t="s">
        <v>9566</v>
      </c>
      <c r="N8146" s="405" t="s">
        <v>9787</v>
      </c>
      <c r="O8146" s="405" t="s">
        <v>9788</v>
      </c>
      <c r="P8146" s="405" t="s">
        <v>10741</v>
      </c>
      <c r="Q8146" s="411">
        <v>6</v>
      </c>
      <c r="R8146" s="405" t="s">
        <v>7224</v>
      </c>
      <c r="S8146" s="405" t="s">
        <v>27309</v>
      </c>
      <c r="T8146" s="405" t="s">
        <v>32102</v>
      </c>
      <c r="U8146" s="405" t="s">
        <v>319</v>
      </c>
    </row>
    <row r="8147" spans="1:21" hidden="1" x14ac:dyDescent="0.25">
      <c r="A8147" s="405" t="s">
        <v>310</v>
      </c>
      <c r="B8147" s="405" t="s">
        <v>10737</v>
      </c>
      <c r="C8147" s="405" t="s">
        <v>327</v>
      </c>
      <c r="D8147" s="405"/>
      <c r="E8147" s="410">
        <v>40811</v>
      </c>
      <c r="F8147" s="410">
        <v>40856</v>
      </c>
      <c r="G8147" s="405" t="s">
        <v>10738</v>
      </c>
      <c r="H8147" s="405">
        <v>705820391</v>
      </c>
      <c r="I8147" s="405"/>
      <c r="J8147" s="405">
        <v>0.72549600000000003</v>
      </c>
      <c r="K8147" s="405">
        <v>33.863067999999998</v>
      </c>
      <c r="L8147" s="405" t="s">
        <v>6866</v>
      </c>
      <c r="M8147" s="405" t="s">
        <v>9566</v>
      </c>
      <c r="N8147" s="405" t="s">
        <v>9787</v>
      </c>
      <c r="O8147" s="405" t="s">
        <v>9788</v>
      </c>
      <c r="P8147" s="405" t="s">
        <v>9789</v>
      </c>
      <c r="Q8147" s="411">
        <v>6</v>
      </c>
      <c r="R8147" s="405" t="s">
        <v>9541</v>
      </c>
      <c r="S8147" s="405" t="s">
        <v>27086</v>
      </c>
      <c r="T8147" s="405" t="s">
        <v>32102</v>
      </c>
      <c r="U8147" s="405" t="s">
        <v>319</v>
      </c>
    </row>
    <row r="8148" spans="1:21" hidden="1" x14ac:dyDescent="0.25">
      <c r="A8148" s="405" t="s">
        <v>310</v>
      </c>
      <c r="B8148" s="405" t="s">
        <v>1932</v>
      </c>
      <c r="C8148" s="405" t="s">
        <v>327</v>
      </c>
      <c r="D8148" s="405"/>
      <c r="E8148" s="410">
        <v>40810</v>
      </c>
      <c r="F8148" s="410">
        <v>40855</v>
      </c>
      <c r="G8148" s="405" t="s">
        <v>1933</v>
      </c>
      <c r="H8148" s="405">
        <v>757732837</v>
      </c>
      <c r="I8148" s="405"/>
      <c r="J8148" s="405">
        <v>3.2807999999999997E-2</v>
      </c>
      <c r="K8148" s="405">
        <v>31.984971999999999</v>
      </c>
      <c r="L8148" s="405" t="s">
        <v>314</v>
      </c>
      <c r="M8148" s="405" t="s">
        <v>321</v>
      </c>
      <c r="N8148" s="405" t="s">
        <v>322</v>
      </c>
      <c r="O8148" s="405" t="s">
        <v>841</v>
      </c>
      <c r="P8148" s="405" t="s">
        <v>1855</v>
      </c>
      <c r="Q8148" s="411">
        <v>6</v>
      </c>
      <c r="R8148" s="405" t="s">
        <v>438</v>
      </c>
      <c r="S8148" s="405" t="s">
        <v>27131</v>
      </c>
      <c r="T8148" s="405" t="s">
        <v>32102</v>
      </c>
      <c r="U8148" s="405" t="s">
        <v>319</v>
      </c>
    </row>
    <row r="8149" spans="1:21" hidden="1" x14ac:dyDescent="0.25">
      <c r="A8149" s="405" t="s">
        <v>310</v>
      </c>
      <c r="B8149" s="405" t="s">
        <v>1951</v>
      </c>
      <c r="C8149" s="405" t="s">
        <v>327</v>
      </c>
      <c r="D8149" s="405"/>
      <c r="E8149" s="410">
        <v>40810</v>
      </c>
      <c r="F8149" s="410">
        <v>40855</v>
      </c>
      <c r="G8149" s="405" t="s">
        <v>1952</v>
      </c>
      <c r="H8149" s="405">
        <v>782358697</v>
      </c>
      <c r="I8149" s="405">
        <v>752358697</v>
      </c>
      <c r="J8149" s="405">
        <v>-0.33459299999999997</v>
      </c>
      <c r="K8149" s="405">
        <v>31.642102999999999</v>
      </c>
      <c r="L8149" s="405" t="s">
        <v>314</v>
      </c>
      <c r="M8149" s="405" t="s">
        <v>1189</v>
      </c>
      <c r="N8149" s="405" t="s">
        <v>1481</v>
      </c>
      <c r="O8149" s="405" t="s">
        <v>1953</v>
      </c>
      <c r="P8149" s="405" t="s">
        <v>1954</v>
      </c>
      <c r="Q8149" s="411">
        <v>6</v>
      </c>
      <c r="R8149" s="405" t="s">
        <v>874</v>
      </c>
      <c r="S8149" s="405" t="s">
        <v>27096</v>
      </c>
      <c r="T8149" s="405" t="s">
        <v>32102</v>
      </c>
      <c r="U8149" s="405" t="s">
        <v>319</v>
      </c>
    </row>
    <row r="8150" spans="1:21" hidden="1" x14ac:dyDescent="0.25">
      <c r="A8150" s="405" t="s">
        <v>310</v>
      </c>
      <c r="B8150" s="405" t="s">
        <v>1937</v>
      </c>
      <c r="C8150" s="405" t="s">
        <v>327</v>
      </c>
      <c r="D8150" s="405"/>
      <c r="E8150" s="410">
        <v>40809</v>
      </c>
      <c r="F8150" s="410">
        <v>40854</v>
      </c>
      <c r="G8150" s="405" t="s">
        <v>1938</v>
      </c>
      <c r="H8150" s="405">
        <v>752814272</v>
      </c>
      <c r="I8150" s="405"/>
      <c r="J8150" s="405">
        <v>0.34582499999999999</v>
      </c>
      <c r="K8150" s="405">
        <v>31.99991</v>
      </c>
      <c r="L8150" s="405" t="s">
        <v>314</v>
      </c>
      <c r="M8150" s="405" t="s">
        <v>675</v>
      </c>
      <c r="N8150" s="405" t="s">
        <v>675</v>
      </c>
      <c r="O8150" s="405" t="s">
        <v>1939</v>
      </c>
      <c r="P8150" s="405" t="s">
        <v>1940</v>
      </c>
      <c r="Q8150" s="411">
        <v>9</v>
      </c>
      <c r="R8150" s="405" t="s">
        <v>333</v>
      </c>
      <c r="S8150" s="405" t="s">
        <v>27112</v>
      </c>
      <c r="T8150" s="405" t="s">
        <v>32102</v>
      </c>
      <c r="U8150" s="405" t="s">
        <v>319</v>
      </c>
    </row>
    <row r="8151" spans="1:21" hidden="1" x14ac:dyDescent="0.25">
      <c r="A8151" s="405" t="s">
        <v>310</v>
      </c>
      <c r="B8151" s="405" t="s">
        <v>28923</v>
      </c>
      <c r="C8151" s="405" t="s">
        <v>327</v>
      </c>
      <c r="D8151" s="405"/>
      <c r="E8151" s="410">
        <v>40809</v>
      </c>
      <c r="F8151" s="410">
        <v>40854</v>
      </c>
      <c r="G8151" s="405" t="s">
        <v>10796</v>
      </c>
      <c r="H8151" s="405">
        <v>782611771</v>
      </c>
      <c r="I8151" s="405"/>
      <c r="J8151" s="405">
        <v>0.98546699999999998</v>
      </c>
      <c r="K8151" s="405">
        <v>34.172122999999999</v>
      </c>
      <c r="L8151" s="405" t="s">
        <v>6866</v>
      </c>
      <c r="M8151" s="405" t="s">
        <v>9514</v>
      </c>
      <c r="N8151" s="405" t="s">
        <v>9529</v>
      </c>
      <c r="O8151" s="405" t="s">
        <v>9571</v>
      </c>
      <c r="P8151" s="405" t="s">
        <v>10797</v>
      </c>
      <c r="Q8151" s="411">
        <v>6</v>
      </c>
      <c r="R8151" s="405" t="s">
        <v>7224</v>
      </c>
      <c r="S8151" s="405" t="s">
        <v>27316</v>
      </c>
      <c r="T8151" s="405" t="s">
        <v>32102</v>
      </c>
      <c r="U8151" s="405" t="s">
        <v>319</v>
      </c>
    </row>
    <row r="8152" spans="1:21" hidden="1" x14ac:dyDescent="0.25">
      <c r="A8152" s="405" t="s">
        <v>310</v>
      </c>
      <c r="B8152" s="405" t="s">
        <v>11122</v>
      </c>
      <c r="C8152" s="405" t="s">
        <v>311</v>
      </c>
      <c r="D8152" s="405" t="s">
        <v>839</v>
      </c>
      <c r="E8152" s="410">
        <v>40809</v>
      </c>
      <c r="F8152" s="410">
        <v>40854</v>
      </c>
      <c r="G8152" s="405" t="s">
        <v>11123</v>
      </c>
      <c r="H8152" s="405">
        <v>756718564</v>
      </c>
      <c r="I8152" s="405"/>
      <c r="J8152" s="405">
        <v>0.71381600000000001</v>
      </c>
      <c r="K8152" s="405">
        <v>33.88288</v>
      </c>
      <c r="L8152" s="405" t="s">
        <v>6866</v>
      </c>
      <c r="M8152" s="405" t="s">
        <v>9566</v>
      </c>
      <c r="N8152" s="405" t="s">
        <v>9787</v>
      </c>
      <c r="O8152" s="405" t="s">
        <v>9788</v>
      </c>
      <c r="P8152" s="405" t="s">
        <v>10727</v>
      </c>
      <c r="Q8152" s="411">
        <v>6</v>
      </c>
      <c r="R8152" s="405" t="s">
        <v>7224</v>
      </c>
      <c r="S8152" s="405" t="s">
        <v>27283</v>
      </c>
      <c r="T8152" s="405" t="s">
        <v>32102</v>
      </c>
      <c r="U8152" s="405" t="s">
        <v>319</v>
      </c>
    </row>
    <row r="8153" spans="1:21" hidden="1" x14ac:dyDescent="0.25">
      <c r="A8153" s="405" t="s">
        <v>310</v>
      </c>
      <c r="B8153" s="405" t="s">
        <v>10730</v>
      </c>
      <c r="C8153" s="405" t="s">
        <v>327</v>
      </c>
      <c r="D8153" s="405"/>
      <c r="E8153" s="410">
        <v>40809</v>
      </c>
      <c r="F8153" s="410">
        <v>40854</v>
      </c>
      <c r="G8153" s="405" t="s">
        <v>10731</v>
      </c>
      <c r="H8153" s="405">
        <v>754258104</v>
      </c>
      <c r="I8153" s="405"/>
      <c r="J8153" s="405">
        <v>0.70113300000000001</v>
      </c>
      <c r="K8153" s="405">
        <v>33.879536000000002</v>
      </c>
      <c r="L8153" s="405" t="s">
        <v>6866</v>
      </c>
      <c r="M8153" s="405" t="s">
        <v>9566</v>
      </c>
      <c r="N8153" s="405" t="s">
        <v>9787</v>
      </c>
      <c r="O8153" s="405" t="s">
        <v>9788</v>
      </c>
      <c r="P8153" s="405" t="s">
        <v>10732</v>
      </c>
      <c r="Q8153" s="411">
        <v>6</v>
      </c>
      <c r="R8153" s="405" t="s">
        <v>7224</v>
      </c>
      <c r="S8153" s="405" t="s">
        <v>27107</v>
      </c>
      <c r="T8153" s="405" t="s">
        <v>32102</v>
      </c>
      <c r="U8153" s="405" t="s">
        <v>319</v>
      </c>
    </row>
    <row r="8154" spans="1:21" hidden="1" x14ac:dyDescent="0.25">
      <c r="A8154" s="405" t="s">
        <v>310</v>
      </c>
      <c r="B8154" s="405" t="s">
        <v>10725</v>
      </c>
      <c r="C8154" s="405" t="s">
        <v>327</v>
      </c>
      <c r="D8154" s="405"/>
      <c r="E8154" s="410">
        <v>40809</v>
      </c>
      <c r="F8154" s="410">
        <v>40854</v>
      </c>
      <c r="G8154" s="405" t="s">
        <v>10726</v>
      </c>
      <c r="H8154" s="405">
        <v>757336485</v>
      </c>
      <c r="I8154" s="405"/>
      <c r="J8154" s="405">
        <v>0.71008400000000005</v>
      </c>
      <c r="K8154" s="405">
        <v>33.882593999999997</v>
      </c>
      <c r="L8154" s="405" t="s">
        <v>6866</v>
      </c>
      <c r="M8154" s="405" t="s">
        <v>9566</v>
      </c>
      <c r="N8154" s="405" t="s">
        <v>9787</v>
      </c>
      <c r="O8154" s="405" t="s">
        <v>9788</v>
      </c>
      <c r="P8154" s="405" t="s">
        <v>10727</v>
      </c>
      <c r="Q8154" s="411">
        <v>6</v>
      </c>
      <c r="R8154" s="405" t="s">
        <v>7224</v>
      </c>
      <c r="S8154" s="405" t="s">
        <v>27283</v>
      </c>
      <c r="T8154" s="405" t="s">
        <v>32102</v>
      </c>
      <c r="U8154" s="405" t="s">
        <v>319</v>
      </c>
    </row>
    <row r="8155" spans="1:21" hidden="1" x14ac:dyDescent="0.25">
      <c r="A8155" s="405" t="s">
        <v>310</v>
      </c>
      <c r="B8155" s="405" t="s">
        <v>10728</v>
      </c>
      <c r="C8155" s="405" t="s">
        <v>327</v>
      </c>
      <c r="D8155" s="405"/>
      <c r="E8155" s="410">
        <v>40809</v>
      </c>
      <c r="F8155" s="410">
        <v>40854</v>
      </c>
      <c r="G8155" s="405" t="s">
        <v>10729</v>
      </c>
      <c r="H8155" s="405">
        <v>750112718</v>
      </c>
      <c r="I8155" s="405"/>
      <c r="J8155" s="405">
        <v>0.71338100000000004</v>
      </c>
      <c r="K8155" s="405">
        <v>33.881925000000003</v>
      </c>
      <c r="L8155" s="405" t="s">
        <v>6866</v>
      </c>
      <c r="M8155" s="405" t="s">
        <v>9566</v>
      </c>
      <c r="N8155" s="405" t="s">
        <v>9787</v>
      </c>
      <c r="O8155" s="405" t="s">
        <v>9788</v>
      </c>
      <c r="P8155" s="405" t="s">
        <v>10727</v>
      </c>
      <c r="Q8155" s="411">
        <v>6</v>
      </c>
      <c r="R8155" s="405" t="s">
        <v>7224</v>
      </c>
      <c r="S8155" s="405" t="s">
        <v>27074</v>
      </c>
      <c r="T8155" s="405" t="s">
        <v>32102</v>
      </c>
      <c r="U8155" s="405" t="s">
        <v>319</v>
      </c>
    </row>
    <row r="8156" spans="1:21" hidden="1" x14ac:dyDescent="0.25">
      <c r="A8156" s="405" t="s">
        <v>310</v>
      </c>
      <c r="B8156" s="405" t="s">
        <v>10733</v>
      </c>
      <c r="C8156" s="405" t="s">
        <v>327</v>
      </c>
      <c r="D8156" s="405"/>
      <c r="E8156" s="410">
        <v>40809</v>
      </c>
      <c r="F8156" s="410">
        <v>40854</v>
      </c>
      <c r="G8156" s="405" t="s">
        <v>10734</v>
      </c>
      <c r="H8156" s="405">
        <v>758380687</v>
      </c>
      <c r="I8156" s="405"/>
      <c r="J8156" s="405">
        <v>0.72926800000000003</v>
      </c>
      <c r="K8156" s="405">
        <v>33.88993</v>
      </c>
      <c r="L8156" s="405" t="s">
        <v>6866</v>
      </c>
      <c r="M8156" s="405" t="s">
        <v>9566</v>
      </c>
      <c r="N8156" s="405" t="s">
        <v>9787</v>
      </c>
      <c r="O8156" s="405" t="s">
        <v>9788</v>
      </c>
      <c r="P8156" s="405" t="s">
        <v>10626</v>
      </c>
      <c r="Q8156" s="411">
        <v>6</v>
      </c>
      <c r="R8156" s="405" t="s">
        <v>9541</v>
      </c>
      <c r="S8156" s="405" t="s">
        <v>27086</v>
      </c>
      <c r="T8156" s="405" t="s">
        <v>32102</v>
      </c>
      <c r="U8156" s="405" t="s">
        <v>319</v>
      </c>
    </row>
    <row r="8157" spans="1:21" hidden="1" x14ac:dyDescent="0.25">
      <c r="A8157" s="405" t="s">
        <v>310</v>
      </c>
      <c r="B8157" s="405" t="s">
        <v>10744</v>
      </c>
      <c r="C8157" s="405" t="s">
        <v>327</v>
      </c>
      <c r="D8157" s="405"/>
      <c r="E8157" s="410">
        <v>40808</v>
      </c>
      <c r="F8157" s="410">
        <v>40853</v>
      </c>
      <c r="G8157" s="405" t="s">
        <v>10745</v>
      </c>
      <c r="H8157" s="405">
        <v>755916525</v>
      </c>
      <c r="I8157" s="405"/>
      <c r="J8157" s="405">
        <v>0.713781</v>
      </c>
      <c r="K8157" s="405">
        <v>33.876103999999998</v>
      </c>
      <c r="L8157" s="405" t="s">
        <v>6866</v>
      </c>
      <c r="M8157" s="405" t="s">
        <v>9566</v>
      </c>
      <c r="N8157" s="405" t="s">
        <v>9787</v>
      </c>
      <c r="O8157" s="405" t="s">
        <v>9788</v>
      </c>
      <c r="P8157" s="405" t="s">
        <v>10741</v>
      </c>
      <c r="Q8157" s="411">
        <v>6</v>
      </c>
      <c r="R8157" s="405" t="s">
        <v>7224</v>
      </c>
      <c r="S8157" s="405" t="s">
        <v>27310</v>
      </c>
      <c r="T8157" s="405" t="s">
        <v>32102</v>
      </c>
      <c r="U8157" s="405" t="s">
        <v>319</v>
      </c>
    </row>
    <row r="8158" spans="1:21" hidden="1" x14ac:dyDescent="0.25">
      <c r="A8158" s="405" t="s">
        <v>310</v>
      </c>
      <c r="B8158" s="405" t="s">
        <v>28430</v>
      </c>
      <c r="C8158" s="405" t="s">
        <v>327</v>
      </c>
      <c r="D8158" s="405"/>
      <c r="E8158" s="410">
        <v>40808</v>
      </c>
      <c r="F8158" s="410">
        <v>40853</v>
      </c>
      <c r="G8158" s="405" t="s">
        <v>1982</v>
      </c>
      <c r="H8158" s="405">
        <v>752883401</v>
      </c>
      <c r="I8158" s="405"/>
      <c r="J8158" s="405">
        <v>-0.35391499999999998</v>
      </c>
      <c r="K8158" s="405">
        <v>31.759872000000001</v>
      </c>
      <c r="L8158" s="405" t="s">
        <v>314</v>
      </c>
      <c r="M8158" s="405" t="s">
        <v>382</v>
      </c>
      <c r="N8158" s="405" t="s">
        <v>1265</v>
      </c>
      <c r="O8158" s="405" t="s">
        <v>942</v>
      </c>
      <c r="P8158" s="405" t="s">
        <v>1983</v>
      </c>
      <c r="Q8158" s="411">
        <v>6</v>
      </c>
      <c r="R8158" s="405" t="s">
        <v>402</v>
      </c>
      <c r="S8158" s="405" t="s">
        <v>27052</v>
      </c>
      <c r="T8158" s="405" t="s">
        <v>32102</v>
      </c>
      <c r="U8158" s="405" t="s">
        <v>319</v>
      </c>
    </row>
    <row r="8159" spans="1:21" hidden="1" x14ac:dyDescent="0.25">
      <c r="A8159" s="405" t="s">
        <v>310</v>
      </c>
      <c r="B8159" s="405" t="s">
        <v>1946</v>
      </c>
      <c r="C8159" s="405" t="s">
        <v>327</v>
      </c>
      <c r="D8159" s="405"/>
      <c r="E8159" s="410">
        <v>40808</v>
      </c>
      <c r="F8159" s="410">
        <v>40853</v>
      </c>
      <c r="G8159" s="405" t="s">
        <v>1947</v>
      </c>
      <c r="H8159" s="405">
        <v>704459350</v>
      </c>
      <c r="I8159" s="405">
        <v>753169653</v>
      </c>
      <c r="J8159" s="405">
        <v>-0.33702500000000002</v>
      </c>
      <c r="K8159" s="405">
        <v>31.612815000000001</v>
      </c>
      <c r="L8159" s="405" t="s">
        <v>314</v>
      </c>
      <c r="M8159" s="405" t="s">
        <v>1189</v>
      </c>
      <c r="N8159" s="405" t="s">
        <v>1481</v>
      </c>
      <c r="O8159" s="405" t="s">
        <v>1581</v>
      </c>
      <c r="P8159" s="405" t="s">
        <v>1948</v>
      </c>
      <c r="Q8159" s="411">
        <v>6</v>
      </c>
      <c r="R8159" s="405" t="s">
        <v>402</v>
      </c>
      <c r="S8159" s="405" t="s">
        <v>27154</v>
      </c>
      <c r="T8159" s="405" t="s">
        <v>32102</v>
      </c>
      <c r="U8159" s="405" t="s">
        <v>319</v>
      </c>
    </row>
    <row r="8160" spans="1:21" hidden="1" x14ac:dyDescent="0.25">
      <c r="A8160" s="405" t="s">
        <v>310</v>
      </c>
      <c r="B8160" s="405" t="s">
        <v>20277</v>
      </c>
      <c r="C8160" s="405" t="s">
        <v>327</v>
      </c>
      <c r="D8160" s="405"/>
      <c r="E8160" s="410">
        <v>40807</v>
      </c>
      <c r="F8160" s="410">
        <v>40824</v>
      </c>
      <c r="G8160" s="405" t="s">
        <v>20278</v>
      </c>
      <c r="H8160" s="405" t="s">
        <v>20279</v>
      </c>
      <c r="I8160" s="405" t="s">
        <v>2913</v>
      </c>
      <c r="J8160" s="405">
        <v>-0.29217199999999999</v>
      </c>
      <c r="K8160" s="405">
        <v>31.035990000000002</v>
      </c>
      <c r="L8160" s="405" t="s">
        <v>590</v>
      </c>
      <c r="M8160" s="405" t="s">
        <v>19705</v>
      </c>
      <c r="N8160" s="405" t="s">
        <v>20280</v>
      </c>
      <c r="O8160" s="405" t="s">
        <v>19706</v>
      </c>
      <c r="P8160" s="405" t="s">
        <v>20281</v>
      </c>
      <c r="Q8160" s="411">
        <v>13</v>
      </c>
      <c r="R8160" s="405" t="s">
        <v>32166</v>
      </c>
      <c r="S8160" s="405" t="s">
        <v>27405</v>
      </c>
      <c r="T8160" s="405" t="s">
        <v>32102</v>
      </c>
      <c r="U8160" s="405" t="s">
        <v>319</v>
      </c>
    </row>
    <row r="8161" spans="1:21" hidden="1" x14ac:dyDescent="0.25">
      <c r="A8161" s="405" t="s">
        <v>310</v>
      </c>
      <c r="B8161" s="405" t="s">
        <v>1919</v>
      </c>
      <c r="C8161" s="405" t="s">
        <v>327</v>
      </c>
      <c r="D8161" s="405"/>
      <c r="E8161" s="410">
        <v>40807</v>
      </c>
      <c r="F8161" s="410">
        <v>40852</v>
      </c>
      <c r="G8161" s="405" t="s">
        <v>1920</v>
      </c>
      <c r="H8161" s="405">
        <v>776047111</v>
      </c>
      <c r="I8161" s="405"/>
      <c r="J8161" s="405">
        <v>0.23476</v>
      </c>
      <c r="K8161" s="405">
        <v>31.891088</v>
      </c>
      <c r="L8161" s="405" t="s">
        <v>314</v>
      </c>
      <c r="M8161" s="405" t="s">
        <v>675</v>
      </c>
      <c r="N8161" s="405" t="s">
        <v>676</v>
      </c>
      <c r="O8161" s="405" t="s">
        <v>1921</v>
      </c>
      <c r="P8161" s="405" t="s">
        <v>1922</v>
      </c>
      <c r="Q8161" s="411">
        <v>9</v>
      </c>
      <c r="R8161" s="405" t="s">
        <v>353</v>
      </c>
      <c r="S8161" s="405" t="s">
        <v>27051</v>
      </c>
      <c r="T8161" s="405" t="s">
        <v>32102</v>
      </c>
      <c r="U8161" s="405" t="s">
        <v>319</v>
      </c>
    </row>
    <row r="8162" spans="1:21" hidden="1" x14ac:dyDescent="0.25">
      <c r="A8162" s="405" t="s">
        <v>310</v>
      </c>
      <c r="B8162" s="405" t="s">
        <v>27692</v>
      </c>
      <c r="C8162" s="405" t="s">
        <v>327</v>
      </c>
      <c r="D8162" s="405"/>
      <c r="E8162" s="410">
        <v>40807</v>
      </c>
      <c r="F8162" s="410">
        <v>40852</v>
      </c>
      <c r="G8162" s="405" t="s">
        <v>10767</v>
      </c>
      <c r="H8162" s="405">
        <v>785697447</v>
      </c>
      <c r="I8162" s="405"/>
      <c r="J8162" s="405">
        <v>1.785005</v>
      </c>
      <c r="K8162" s="405">
        <v>33.600372999999998</v>
      </c>
      <c r="L8162" s="405" t="s">
        <v>6866</v>
      </c>
      <c r="M8162" s="405" t="s">
        <v>10515</v>
      </c>
      <c r="N8162" s="405" t="s">
        <v>10525</v>
      </c>
      <c r="O8162" s="405" t="s">
        <v>10526</v>
      </c>
      <c r="P8162" s="405" t="s">
        <v>10768</v>
      </c>
      <c r="Q8162" s="411">
        <v>6</v>
      </c>
      <c r="R8162" s="405" t="s">
        <v>7224</v>
      </c>
      <c r="S8162" s="405" t="s">
        <v>27302</v>
      </c>
      <c r="T8162" s="405" t="s">
        <v>32102</v>
      </c>
      <c r="U8162" s="405" t="s">
        <v>319</v>
      </c>
    </row>
    <row r="8163" spans="1:21" hidden="1" x14ac:dyDescent="0.25">
      <c r="A8163" s="405" t="s">
        <v>310</v>
      </c>
      <c r="B8163" s="405" t="s">
        <v>1896</v>
      </c>
      <c r="C8163" s="405" t="s">
        <v>327</v>
      </c>
      <c r="D8163" s="405"/>
      <c r="E8163" s="410">
        <v>40807</v>
      </c>
      <c r="F8163" s="410">
        <v>40852</v>
      </c>
      <c r="G8163" s="405" t="s">
        <v>1897</v>
      </c>
      <c r="H8163" s="405">
        <v>757525880</v>
      </c>
      <c r="I8163" s="405">
        <v>702737907</v>
      </c>
      <c r="J8163" s="405">
        <v>3.8173100000000001E-2</v>
      </c>
      <c r="K8163" s="405">
        <v>32.077530500000002</v>
      </c>
      <c r="L8163" s="405" t="s">
        <v>314</v>
      </c>
      <c r="M8163" s="405" t="s">
        <v>321</v>
      </c>
      <c r="N8163" s="405" t="s">
        <v>322</v>
      </c>
      <c r="O8163" s="405" t="s">
        <v>476</v>
      </c>
      <c r="P8163" s="405" t="s">
        <v>1898</v>
      </c>
      <c r="Q8163" s="411">
        <v>6</v>
      </c>
      <c r="R8163" s="405" t="s">
        <v>1623</v>
      </c>
      <c r="S8163" s="405" t="s">
        <v>27036</v>
      </c>
      <c r="T8163" s="405" t="s">
        <v>32102</v>
      </c>
      <c r="U8163" s="405" t="s">
        <v>319</v>
      </c>
    </row>
    <row r="8164" spans="1:21" hidden="1" x14ac:dyDescent="0.25">
      <c r="A8164" s="405" t="s">
        <v>310</v>
      </c>
      <c r="B8164" s="405" t="s">
        <v>10772</v>
      </c>
      <c r="C8164" s="405" t="s">
        <v>327</v>
      </c>
      <c r="D8164" s="405"/>
      <c r="E8164" s="410">
        <v>40807</v>
      </c>
      <c r="F8164" s="410">
        <v>40852</v>
      </c>
      <c r="G8164" s="405" t="s">
        <v>10773</v>
      </c>
      <c r="H8164" s="405">
        <v>772985989</v>
      </c>
      <c r="I8164" s="405"/>
      <c r="J8164" s="405">
        <v>1.498542</v>
      </c>
      <c r="K8164" s="405">
        <v>33.802187000000004</v>
      </c>
      <c r="L8164" s="405" t="s">
        <v>6866</v>
      </c>
      <c r="M8164" s="405" t="s">
        <v>10012</v>
      </c>
      <c r="N8164" s="405" t="s">
        <v>10012</v>
      </c>
      <c r="O8164" s="405" t="s">
        <v>10012</v>
      </c>
      <c r="P8164" s="405" t="s">
        <v>10774</v>
      </c>
      <c r="Q8164" s="411">
        <v>6</v>
      </c>
      <c r="R8164" s="405" t="s">
        <v>7224</v>
      </c>
      <c r="S8164" s="405" t="s">
        <v>27283</v>
      </c>
      <c r="T8164" s="405" t="s">
        <v>32102</v>
      </c>
      <c r="U8164" s="405" t="s">
        <v>319</v>
      </c>
    </row>
    <row r="8165" spans="1:21" hidden="1" x14ac:dyDescent="0.25">
      <c r="A8165" s="405" t="s">
        <v>310</v>
      </c>
      <c r="B8165" s="405" t="s">
        <v>1927</v>
      </c>
      <c r="C8165" s="405" t="s">
        <v>327</v>
      </c>
      <c r="D8165" s="405"/>
      <c r="E8165" s="410">
        <v>40806</v>
      </c>
      <c r="F8165" s="410">
        <v>40851</v>
      </c>
      <c r="G8165" s="405" t="s">
        <v>1928</v>
      </c>
      <c r="H8165" s="405">
        <v>754976620</v>
      </c>
      <c r="I8165" s="405"/>
      <c r="J8165" s="405">
        <v>0.53847500000000004</v>
      </c>
      <c r="K8165" s="405">
        <v>32.035657999999998</v>
      </c>
      <c r="L8165" s="405" t="s">
        <v>314</v>
      </c>
      <c r="M8165" s="405" t="s">
        <v>675</v>
      </c>
      <c r="N8165" s="405" t="s">
        <v>1065</v>
      </c>
      <c r="O8165" s="405" t="s">
        <v>1248</v>
      </c>
      <c r="P8165" s="405" t="s">
        <v>1851</v>
      </c>
      <c r="Q8165" s="411">
        <v>9</v>
      </c>
      <c r="R8165" s="405" t="s">
        <v>318</v>
      </c>
      <c r="S8165" s="405" t="s">
        <v>27174</v>
      </c>
      <c r="T8165" s="405" t="s">
        <v>32102</v>
      </c>
      <c r="U8165" s="405" t="s">
        <v>319</v>
      </c>
    </row>
    <row r="8166" spans="1:21" hidden="1" x14ac:dyDescent="0.25">
      <c r="A8166" s="405" t="s">
        <v>310</v>
      </c>
      <c r="B8166" s="405" t="s">
        <v>28242</v>
      </c>
      <c r="C8166" s="405" t="s">
        <v>327</v>
      </c>
      <c r="D8166" s="405"/>
      <c r="E8166" s="410">
        <v>40806</v>
      </c>
      <c r="F8166" s="410">
        <v>40851</v>
      </c>
      <c r="G8166" s="405" t="s">
        <v>1894</v>
      </c>
      <c r="H8166" s="405">
        <v>777515179</v>
      </c>
      <c r="I8166" s="405">
        <v>772821427</v>
      </c>
      <c r="J8166" s="405">
        <v>9.6918333333333342E-2</v>
      </c>
      <c r="K8166" s="405">
        <v>32.097854999999996</v>
      </c>
      <c r="L8166" s="405" t="s">
        <v>314</v>
      </c>
      <c r="M8166" s="405" t="s">
        <v>321</v>
      </c>
      <c r="N8166" s="405" t="s">
        <v>322</v>
      </c>
      <c r="O8166" s="405" t="s">
        <v>476</v>
      </c>
      <c r="P8166" s="405" t="s">
        <v>1895</v>
      </c>
      <c r="Q8166" s="411">
        <v>6</v>
      </c>
      <c r="R8166" s="405" t="s">
        <v>1623</v>
      </c>
      <c r="S8166" s="405" t="s">
        <v>27036</v>
      </c>
      <c r="T8166" s="405" t="s">
        <v>32102</v>
      </c>
      <c r="U8166" s="405" t="s">
        <v>319</v>
      </c>
    </row>
    <row r="8167" spans="1:21" hidden="1" x14ac:dyDescent="0.25">
      <c r="A8167" s="405" t="s">
        <v>310</v>
      </c>
      <c r="B8167" s="405" t="s">
        <v>9720</v>
      </c>
      <c r="C8167" s="405" t="s">
        <v>327</v>
      </c>
      <c r="D8167" s="405"/>
      <c r="E8167" s="410">
        <v>40806</v>
      </c>
      <c r="F8167" s="410">
        <v>40851</v>
      </c>
      <c r="G8167" s="405" t="s">
        <v>9721</v>
      </c>
      <c r="H8167" s="405">
        <v>774696455</v>
      </c>
      <c r="I8167" s="405"/>
      <c r="J8167" s="405">
        <v>1.1422380000000001</v>
      </c>
      <c r="K8167" s="405">
        <v>34.215632999999997</v>
      </c>
      <c r="L8167" s="405" t="s">
        <v>6866</v>
      </c>
      <c r="M8167" s="405" t="s">
        <v>9514</v>
      </c>
      <c r="N8167" s="405" t="s">
        <v>9722</v>
      </c>
      <c r="O8167" s="405" t="s">
        <v>9530</v>
      </c>
      <c r="P8167" s="405" t="s">
        <v>9723</v>
      </c>
      <c r="Q8167" s="411">
        <v>6</v>
      </c>
      <c r="R8167" s="405" t="s">
        <v>333</v>
      </c>
      <c r="S8167" s="405" t="s">
        <v>27306</v>
      </c>
      <c r="T8167" s="405" t="s">
        <v>32102</v>
      </c>
      <c r="U8167" s="405" t="s">
        <v>319</v>
      </c>
    </row>
    <row r="8168" spans="1:21" hidden="1" x14ac:dyDescent="0.25">
      <c r="A8168" s="405" t="s">
        <v>310</v>
      </c>
      <c r="B8168" s="405" t="s">
        <v>20313</v>
      </c>
      <c r="C8168" s="405" t="s">
        <v>327</v>
      </c>
      <c r="D8168" s="405"/>
      <c r="E8168" s="410">
        <v>40806</v>
      </c>
      <c r="F8168" s="410">
        <v>40851</v>
      </c>
      <c r="G8168" s="405" t="s">
        <v>20314</v>
      </c>
      <c r="H8168" s="405">
        <v>754402104</v>
      </c>
      <c r="I8168" s="405"/>
      <c r="J8168" s="405">
        <v>-0.82833000000000001</v>
      </c>
      <c r="K8168" s="405">
        <v>30.755195000000001</v>
      </c>
      <c r="L8168" s="405" t="s">
        <v>590</v>
      </c>
      <c r="M8168" s="405" t="s">
        <v>879</v>
      </c>
      <c r="N8168" s="405" t="s">
        <v>879</v>
      </c>
      <c r="O8168" s="405" t="s">
        <v>20020</v>
      </c>
      <c r="P8168" s="405" t="s">
        <v>20315</v>
      </c>
      <c r="Q8168" s="411">
        <v>6</v>
      </c>
      <c r="R8168" s="405" t="s">
        <v>333</v>
      </c>
      <c r="S8168" s="405" t="s">
        <v>27404</v>
      </c>
      <c r="T8168" s="405" t="s">
        <v>32102</v>
      </c>
      <c r="U8168" s="405" t="s">
        <v>319</v>
      </c>
    </row>
    <row r="8169" spans="1:21" hidden="1" x14ac:dyDescent="0.25">
      <c r="A8169" s="405" t="s">
        <v>310</v>
      </c>
      <c r="B8169" s="405" t="s">
        <v>10802</v>
      </c>
      <c r="C8169" s="405" t="s">
        <v>327</v>
      </c>
      <c r="D8169" s="405"/>
      <c r="E8169" s="410">
        <v>40806</v>
      </c>
      <c r="F8169" s="410">
        <v>40851</v>
      </c>
      <c r="G8169" s="405" t="s">
        <v>10803</v>
      </c>
      <c r="H8169" s="405">
        <v>751995509</v>
      </c>
      <c r="I8169" s="405"/>
      <c r="J8169" s="405">
        <v>0.72392599999999996</v>
      </c>
      <c r="K8169" s="405">
        <v>33.865960000000001</v>
      </c>
      <c r="L8169" s="405" t="s">
        <v>6866</v>
      </c>
      <c r="M8169" s="405" t="s">
        <v>9566</v>
      </c>
      <c r="N8169" s="405" t="s">
        <v>9787</v>
      </c>
      <c r="O8169" s="405" t="s">
        <v>9788</v>
      </c>
      <c r="P8169" s="405" t="s">
        <v>9789</v>
      </c>
      <c r="Q8169" s="411">
        <v>6</v>
      </c>
      <c r="R8169" s="405" t="s">
        <v>7224</v>
      </c>
      <c r="S8169" s="405" t="s">
        <v>27190</v>
      </c>
      <c r="T8169" s="405" t="s">
        <v>32102</v>
      </c>
      <c r="U8169" s="405" t="s">
        <v>319</v>
      </c>
    </row>
    <row r="8170" spans="1:21" hidden="1" x14ac:dyDescent="0.25">
      <c r="A8170" s="405" t="s">
        <v>310</v>
      </c>
      <c r="B8170" s="405" t="s">
        <v>10739</v>
      </c>
      <c r="C8170" s="405" t="s">
        <v>327</v>
      </c>
      <c r="D8170" s="405"/>
      <c r="E8170" s="410">
        <v>40805</v>
      </c>
      <c r="F8170" s="410">
        <v>40850</v>
      </c>
      <c r="G8170" s="405" t="s">
        <v>10740</v>
      </c>
      <c r="H8170" s="405">
        <v>776521118</v>
      </c>
      <c r="I8170" s="405"/>
      <c r="J8170" s="405">
        <v>0.71692699999999998</v>
      </c>
      <c r="K8170" s="405">
        <v>33.875056000000001</v>
      </c>
      <c r="L8170" s="405" t="s">
        <v>6866</v>
      </c>
      <c r="M8170" s="405" t="s">
        <v>9566</v>
      </c>
      <c r="N8170" s="405" t="s">
        <v>9787</v>
      </c>
      <c r="O8170" s="405" t="s">
        <v>9788</v>
      </c>
      <c r="P8170" s="405" t="s">
        <v>10741</v>
      </c>
      <c r="Q8170" s="411">
        <v>6</v>
      </c>
      <c r="R8170" s="405" t="s">
        <v>7224</v>
      </c>
      <c r="S8170" s="405" t="s">
        <v>27204</v>
      </c>
      <c r="T8170" s="405" t="s">
        <v>32102</v>
      </c>
      <c r="U8170" s="405" t="s">
        <v>319</v>
      </c>
    </row>
    <row r="8171" spans="1:21" hidden="1" x14ac:dyDescent="0.25">
      <c r="A8171" s="405" t="s">
        <v>310</v>
      </c>
      <c r="B8171" s="405" t="s">
        <v>28332</v>
      </c>
      <c r="C8171" s="405" t="s">
        <v>327</v>
      </c>
      <c r="D8171" s="405"/>
      <c r="E8171" s="410">
        <v>40804</v>
      </c>
      <c r="F8171" s="410">
        <v>40849</v>
      </c>
      <c r="G8171" s="405" t="s">
        <v>1959</v>
      </c>
      <c r="H8171" s="405">
        <v>784599207</v>
      </c>
      <c r="I8171" s="405"/>
      <c r="J8171" s="405">
        <v>0.63396699999999995</v>
      </c>
      <c r="K8171" s="405">
        <v>32.105004999999998</v>
      </c>
      <c r="L8171" s="405" t="s">
        <v>314</v>
      </c>
      <c r="M8171" s="405" t="s">
        <v>675</v>
      </c>
      <c r="N8171" s="405" t="s">
        <v>675</v>
      </c>
      <c r="O8171" s="405" t="s">
        <v>814</v>
      </c>
      <c r="P8171" s="405" t="s">
        <v>1960</v>
      </c>
      <c r="Q8171" s="411">
        <v>6</v>
      </c>
      <c r="R8171" s="405" t="s">
        <v>318</v>
      </c>
      <c r="S8171" s="405" t="s">
        <v>27149</v>
      </c>
      <c r="T8171" s="405" t="s">
        <v>32102</v>
      </c>
      <c r="U8171" s="405" t="s">
        <v>319</v>
      </c>
    </row>
    <row r="8172" spans="1:21" hidden="1" x14ac:dyDescent="0.25">
      <c r="A8172" s="405" t="s">
        <v>310</v>
      </c>
      <c r="B8172" s="405" t="s">
        <v>27516</v>
      </c>
      <c r="C8172" s="405" t="s">
        <v>857</v>
      </c>
      <c r="D8172" s="405" t="s">
        <v>1037</v>
      </c>
      <c r="E8172" s="410">
        <v>40803</v>
      </c>
      <c r="F8172" s="410">
        <v>40848</v>
      </c>
      <c r="G8172" s="405" t="s">
        <v>11184</v>
      </c>
      <c r="H8172" s="405">
        <v>702504504</v>
      </c>
      <c r="I8172" s="405"/>
      <c r="J8172" s="405">
        <v>1.2567170000000001</v>
      </c>
      <c r="K8172" s="405">
        <v>34.168232000000003</v>
      </c>
      <c r="L8172" s="405" t="s">
        <v>6866</v>
      </c>
      <c r="M8172" s="405" t="s">
        <v>9504</v>
      </c>
      <c r="N8172" s="405" t="s">
        <v>9504</v>
      </c>
      <c r="O8172" s="405" t="s">
        <v>10538</v>
      </c>
      <c r="P8172" s="405" t="s">
        <v>11185</v>
      </c>
      <c r="Q8172" s="411">
        <v>9</v>
      </c>
      <c r="R8172" s="405" t="s">
        <v>9541</v>
      </c>
      <c r="S8172" s="405" t="s">
        <v>27296</v>
      </c>
      <c r="T8172" s="405" t="s">
        <v>32102</v>
      </c>
      <c r="U8172" s="405" t="s">
        <v>319</v>
      </c>
    </row>
    <row r="8173" spans="1:21" hidden="1" x14ac:dyDescent="0.25">
      <c r="A8173" s="405" t="s">
        <v>310</v>
      </c>
      <c r="B8173" s="405" t="s">
        <v>28631</v>
      </c>
      <c r="C8173" s="405" t="s">
        <v>327</v>
      </c>
      <c r="D8173" s="405"/>
      <c r="E8173" s="410">
        <v>40803</v>
      </c>
      <c r="F8173" s="410">
        <v>40848</v>
      </c>
      <c r="G8173" s="405" t="s">
        <v>1889</v>
      </c>
      <c r="H8173" s="405">
        <v>782397555</v>
      </c>
      <c r="I8173" s="405"/>
      <c r="J8173" s="405">
        <v>0.31574999999999998</v>
      </c>
      <c r="K8173" s="405">
        <v>32.149008000000002</v>
      </c>
      <c r="L8173" s="405" t="s">
        <v>314</v>
      </c>
      <c r="M8173" s="405" t="s">
        <v>675</v>
      </c>
      <c r="N8173" s="405" t="s">
        <v>676</v>
      </c>
      <c r="O8173" s="405" t="s">
        <v>677</v>
      </c>
      <c r="P8173" s="405" t="s">
        <v>677</v>
      </c>
      <c r="Q8173" s="411">
        <v>6</v>
      </c>
      <c r="R8173" s="405" t="s">
        <v>318</v>
      </c>
      <c r="S8173" s="405" t="s">
        <v>27148</v>
      </c>
      <c r="T8173" s="405" t="s">
        <v>32102</v>
      </c>
      <c r="U8173" s="405" t="s">
        <v>319</v>
      </c>
    </row>
    <row r="8174" spans="1:21" hidden="1" x14ac:dyDescent="0.25">
      <c r="A8174" s="405" t="s">
        <v>310</v>
      </c>
      <c r="B8174" s="405" t="s">
        <v>10785</v>
      </c>
      <c r="C8174" s="405" t="s">
        <v>327</v>
      </c>
      <c r="D8174" s="405"/>
      <c r="E8174" s="410">
        <v>40803</v>
      </c>
      <c r="F8174" s="410">
        <v>40848</v>
      </c>
      <c r="G8174" s="405" t="s">
        <v>10786</v>
      </c>
      <c r="H8174" s="405">
        <v>774073632</v>
      </c>
      <c r="I8174" s="405"/>
      <c r="J8174" s="405">
        <v>0.79500999999999999</v>
      </c>
      <c r="K8174" s="405">
        <v>34.366177</v>
      </c>
      <c r="L8174" s="405" t="s">
        <v>6866</v>
      </c>
      <c r="M8174" s="405" t="s">
        <v>9763</v>
      </c>
      <c r="N8174" s="405" t="s">
        <v>9848</v>
      </c>
      <c r="O8174" s="405" t="s">
        <v>10668</v>
      </c>
      <c r="P8174" s="405" t="s">
        <v>10787</v>
      </c>
      <c r="Q8174" s="411">
        <v>6</v>
      </c>
      <c r="R8174" s="405" t="s">
        <v>7224</v>
      </c>
      <c r="S8174" s="405" t="s">
        <v>27310</v>
      </c>
      <c r="T8174" s="405" t="s">
        <v>32102</v>
      </c>
      <c r="U8174" s="405" t="s">
        <v>319</v>
      </c>
    </row>
    <row r="8175" spans="1:21" hidden="1" x14ac:dyDescent="0.25">
      <c r="A8175" s="405" t="s">
        <v>310</v>
      </c>
      <c r="B8175" s="405" t="s">
        <v>29020</v>
      </c>
      <c r="C8175" s="405" t="s">
        <v>327</v>
      </c>
      <c r="D8175" s="405"/>
      <c r="E8175" s="410">
        <v>40802</v>
      </c>
      <c r="F8175" s="410">
        <v>40847</v>
      </c>
      <c r="G8175" s="405" t="s">
        <v>10623</v>
      </c>
      <c r="H8175" s="405">
        <v>759175273</v>
      </c>
      <c r="I8175" s="405"/>
      <c r="J8175" s="405">
        <v>0.72926299999999999</v>
      </c>
      <c r="K8175" s="405">
        <v>33.891423000000003</v>
      </c>
      <c r="L8175" s="405" t="s">
        <v>6866</v>
      </c>
      <c r="M8175" s="405" t="s">
        <v>9566</v>
      </c>
      <c r="N8175" s="405" t="s">
        <v>9787</v>
      </c>
      <c r="O8175" s="405" t="s">
        <v>9788</v>
      </c>
      <c r="P8175" s="405" t="s">
        <v>10622</v>
      </c>
      <c r="Q8175" s="411">
        <v>6</v>
      </c>
      <c r="R8175" s="405" t="s">
        <v>7224</v>
      </c>
      <c r="S8175" s="405" t="s">
        <v>27107</v>
      </c>
      <c r="T8175" s="405" t="s">
        <v>32102</v>
      </c>
      <c r="U8175" s="405" t="s">
        <v>319</v>
      </c>
    </row>
    <row r="8176" spans="1:21" hidden="1" x14ac:dyDescent="0.25">
      <c r="A8176" s="405" t="s">
        <v>310</v>
      </c>
      <c r="B8176" s="405" t="s">
        <v>1852</v>
      </c>
      <c r="C8176" s="405" t="s">
        <v>327</v>
      </c>
      <c r="D8176" s="405"/>
      <c r="E8176" s="410">
        <v>40802</v>
      </c>
      <c r="F8176" s="410">
        <v>40847</v>
      </c>
      <c r="G8176" s="405" t="s">
        <v>1853</v>
      </c>
      <c r="H8176" s="405">
        <v>775973182</v>
      </c>
      <c r="I8176" s="405"/>
      <c r="J8176" s="405">
        <v>3.0401999999999998E-2</v>
      </c>
      <c r="K8176" s="405">
        <v>31.989417</v>
      </c>
      <c r="L8176" s="405" t="s">
        <v>314</v>
      </c>
      <c r="M8176" s="405" t="s">
        <v>321</v>
      </c>
      <c r="N8176" s="405" t="s">
        <v>1854</v>
      </c>
      <c r="O8176" s="405" t="s">
        <v>841</v>
      </c>
      <c r="P8176" s="405" t="s">
        <v>1855</v>
      </c>
      <c r="Q8176" s="411">
        <v>6</v>
      </c>
      <c r="R8176" s="405" t="s">
        <v>438</v>
      </c>
      <c r="S8176" s="405" t="s">
        <v>27131</v>
      </c>
      <c r="T8176" s="405" t="s">
        <v>32102</v>
      </c>
      <c r="U8176" s="405" t="s">
        <v>319</v>
      </c>
    </row>
    <row r="8177" spans="1:21" hidden="1" x14ac:dyDescent="0.25">
      <c r="A8177" s="405" t="s">
        <v>310</v>
      </c>
      <c r="B8177" s="405" t="s">
        <v>27735</v>
      </c>
      <c r="C8177" s="405" t="s">
        <v>327</v>
      </c>
      <c r="D8177" s="405"/>
      <c r="E8177" s="410">
        <v>40802</v>
      </c>
      <c r="F8177" s="410">
        <v>40847</v>
      </c>
      <c r="G8177" s="405" t="s">
        <v>10632</v>
      </c>
      <c r="H8177" s="405">
        <v>754245100</v>
      </c>
      <c r="I8177" s="405"/>
      <c r="J8177" s="405">
        <v>0.723769</v>
      </c>
      <c r="K8177" s="405">
        <v>33.889583000000002</v>
      </c>
      <c r="L8177" s="405" t="s">
        <v>6866</v>
      </c>
      <c r="M8177" s="405" t="s">
        <v>9566</v>
      </c>
      <c r="N8177" s="405" t="s">
        <v>9787</v>
      </c>
      <c r="O8177" s="405" t="s">
        <v>9788</v>
      </c>
      <c r="P8177" s="405" t="s">
        <v>9906</v>
      </c>
      <c r="Q8177" s="411">
        <v>6</v>
      </c>
      <c r="R8177" s="405" t="s">
        <v>7224</v>
      </c>
      <c r="S8177" s="405" t="s">
        <v>27204</v>
      </c>
      <c r="T8177" s="405" t="s">
        <v>32102</v>
      </c>
      <c r="U8177" s="405" t="s">
        <v>319</v>
      </c>
    </row>
    <row r="8178" spans="1:21" hidden="1" x14ac:dyDescent="0.25">
      <c r="A8178" s="405" t="s">
        <v>310</v>
      </c>
      <c r="B8178" s="405" t="s">
        <v>11096</v>
      </c>
      <c r="C8178" s="405" t="s">
        <v>311</v>
      </c>
      <c r="D8178" s="405" t="s">
        <v>1013</v>
      </c>
      <c r="E8178" s="410">
        <v>40802</v>
      </c>
      <c r="F8178" s="410">
        <v>40847</v>
      </c>
      <c r="G8178" s="405" t="s">
        <v>11097</v>
      </c>
      <c r="H8178" s="405">
        <v>782823906</v>
      </c>
      <c r="I8178" s="405">
        <v>777771436</v>
      </c>
      <c r="J8178" s="405">
        <v>1.0038659999999999</v>
      </c>
      <c r="K8178" s="405">
        <v>34.327525000000001</v>
      </c>
      <c r="L8178" s="405" t="s">
        <v>6866</v>
      </c>
      <c r="M8178" s="405" t="s">
        <v>9763</v>
      </c>
      <c r="N8178" s="405" t="s">
        <v>9764</v>
      </c>
      <c r="O8178" s="405" t="s">
        <v>1590</v>
      </c>
      <c r="P8178" s="405" t="s">
        <v>11098</v>
      </c>
      <c r="Q8178" s="411">
        <v>6</v>
      </c>
      <c r="R8178" s="405" t="s">
        <v>7224</v>
      </c>
      <c r="S8178" s="405" t="s">
        <v>27311</v>
      </c>
      <c r="T8178" s="405" t="s">
        <v>32102</v>
      </c>
      <c r="U8178" s="405" t="s">
        <v>319</v>
      </c>
    </row>
    <row r="8179" spans="1:21" hidden="1" x14ac:dyDescent="0.25">
      <c r="A8179" s="405" t="s">
        <v>310</v>
      </c>
      <c r="B8179" s="405" t="s">
        <v>28159</v>
      </c>
      <c r="C8179" s="405" t="s">
        <v>327</v>
      </c>
      <c r="D8179" s="405"/>
      <c r="E8179" s="410">
        <v>40802</v>
      </c>
      <c r="F8179" s="410">
        <v>40847</v>
      </c>
      <c r="G8179" s="405" t="s">
        <v>1830</v>
      </c>
      <c r="H8179" s="405">
        <v>784094649</v>
      </c>
      <c r="I8179" s="405"/>
      <c r="J8179" s="405">
        <v>0.10844819999999999</v>
      </c>
      <c r="K8179" s="405">
        <v>32.171925299999998</v>
      </c>
      <c r="L8179" s="405" t="s">
        <v>314</v>
      </c>
      <c r="M8179" s="405" t="s">
        <v>321</v>
      </c>
      <c r="N8179" s="405" t="s">
        <v>322</v>
      </c>
      <c r="O8179" s="405" t="s">
        <v>476</v>
      </c>
      <c r="P8179" s="405" t="s">
        <v>1831</v>
      </c>
      <c r="Q8179" s="411">
        <v>6</v>
      </c>
      <c r="R8179" s="405" t="s">
        <v>1623</v>
      </c>
      <c r="S8179" s="405" t="s">
        <v>27036</v>
      </c>
      <c r="T8179" s="405" t="s">
        <v>32102</v>
      </c>
      <c r="U8179" s="405" t="s">
        <v>319</v>
      </c>
    </row>
    <row r="8180" spans="1:21" hidden="1" x14ac:dyDescent="0.25">
      <c r="A8180" s="405" t="s">
        <v>310</v>
      </c>
      <c r="B8180" s="405" t="s">
        <v>10627</v>
      </c>
      <c r="C8180" s="405" t="s">
        <v>327</v>
      </c>
      <c r="D8180" s="405"/>
      <c r="E8180" s="410">
        <v>40802</v>
      </c>
      <c r="F8180" s="410">
        <v>40847</v>
      </c>
      <c r="G8180" s="405" t="s">
        <v>10628</v>
      </c>
      <c r="H8180" s="405">
        <v>755005158</v>
      </c>
      <c r="I8180" s="405">
        <v>752388038</v>
      </c>
      <c r="J8180" s="405">
        <v>0.73436100000000004</v>
      </c>
      <c r="K8180" s="405">
        <v>33.889898000000002</v>
      </c>
      <c r="L8180" s="405" t="s">
        <v>6866</v>
      </c>
      <c r="M8180" s="405" t="s">
        <v>9566</v>
      </c>
      <c r="N8180" s="405" t="s">
        <v>9787</v>
      </c>
      <c r="O8180" s="405" t="s">
        <v>9788</v>
      </c>
      <c r="P8180" s="405" t="s">
        <v>10626</v>
      </c>
      <c r="Q8180" s="411">
        <v>6</v>
      </c>
      <c r="R8180" s="405" t="s">
        <v>7224</v>
      </c>
      <c r="S8180" s="405" t="s">
        <v>27309</v>
      </c>
      <c r="T8180" s="405" t="s">
        <v>32102</v>
      </c>
      <c r="U8180" s="405" t="s">
        <v>319</v>
      </c>
    </row>
    <row r="8181" spans="1:21" hidden="1" x14ac:dyDescent="0.25">
      <c r="A8181" s="405" t="s">
        <v>310</v>
      </c>
      <c r="B8181" s="405" t="s">
        <v>28317</v>
      </c>
      <c r="C8181" s="405" t="s">
        <v>327</v>
      </c>
      <c r="D8181" s="405"/>
      <c r="E8181" s="410">
        <v>40801</v>
      </c>
      <c r="F8181" s="410">
        <v>40846</v>
      </c>
      <c r="G8181" s="405" t="s">
        <v>1818</v>
      </c>
      <c r="H8181" s="405">
        <v>772933509</v>
      </c>
      <c r="I8181" s="405">
        <v>752933509</v>
      </c>
      <c r="J8181" s="405">
        <v>-0.34036539999999998</v>
      </c>
      <c r="K8181" s="405">
        <v>31.719447500000001</v>
      </c>
      <c r="L8181" s="405" t="s">
        <v>314</v>
      </c>
      <c r="M8181" s="405" t="s">
        <v>1080</v>
      </c>
      <c r="N8181" s="405" t="s">
        <v>1080</v>
      </c>
      <c r="O8181" s="405" t="s">
        <v>1082</v>
      </c>
      <c r="P8181" s="405" t="s">
        <v>1819</v>
      </c>
      <c r="Q8181" s="411">
        <v>9</v>
      </c>
      <c r="R8181" s="405" t="s">
        <v>402</v>
      </c>
      <c r="S8181" s="405" t="s">
        <v>27154</v>
      </c>
      <c r="T8181" s="405" t="s">
        <v>32102</v>
      </c>
      <c r="U8181" s="405" t="s">
        <v>319</v>
      </c>
    </row>
    <row r="8182" spans="1:21" hidden="1" x14ac:dyDescent="0.25">
      <c r="A8182" s="405" t="s">
        <v>310</v>
      </c>
      <c r="B8182" s="405" t="s">
        <v>1874</v>
      </c>
      <c r="C8182" s="405" t="s">
        <v>327</v>
      </c>
      <c r="D8182" s="405"/>
      <c r="E8182" s="410">
        <v>40801</v>
      </c>
      <c r="F8182" s="410">
        <v>40846</v>
      </c>
      <c r="G8182" s="405" t="s">
        <v>1875</v>
      </c>
      <c r="H8182" s="405">
        <v>784064480</v>
      </c>
      <c r="I8182" s="405"/>
      <c r="J8182" s="405">
        <v>-0.26211699999999999</v>
      </c>
      <c r="K8182" s="405">
        <v>31.601043000000001</v>
      </c>
      <c r="L8182" s="405" t="s">
        <v>314</v>
      </c>
      <c r="M8182" s="405" t="s">
        <v>1080</v>
      </c>
      <c r="N8182" s="405" t="s">
        <v>1080</v>
      </c>
      <c r="O8182" s="405" t="s">
        <v>1082</v>
      </c>
      <c r="P8182" s="405" t="s">
        <v>1876</v>
      </c>
      <c r="Q8182" s="411">
        <v>6</v>
      </c>
      <c r="R8182" s="405" t="s">
        <v>318</v>
      </c>
      <c r="S8182" s="405" t="s">
        <v>414</v>
      </c>
      <c r="T8182" s="405" t="s">
        <v>32102</v>
      </c>
      <c r="U8182" s="405" t="s">
        <v>319</v>
      </c>
    </row>
    <row r="8183" spans="1:21" hidden="1" x14ac:dyDescent="0.25">
      <c r="A8183" s="405" t="s">
        <v>310</v>
      </c>
      <c r="B8183" s="405" t="s">
        <v>10620</v>
      </c>
      <c r="C8183" s="405" t="s">
        <v>327</v>
      </c>
      <c r="D8183" s="405"/>
      <c r="E8183" s="410">
        <v>40801</v>
      </c>
      <c r="F8183" s="410">
        <v>40846</v>
      </c>
      <c r="G8183" s="405" t="s">
        <v>10621</v>
      </c>
      <c r="H8183" s="405">
        <v>753380152</v>
      </c>
      <c r="I8183" s="405"/>
      <c r="J8183" s="405">
        <v>0.72976099999999999</v>
      </c>
      <c r="K8183" s="405">
        <v>33.890481999999999</v>
      </c>
      <c r="L8183" s="405" t="s">
        <v>6866</v>
      </c>
      <c r="M8183" s="405" t="s">
        <v>9566</v>
      </c>
      <c r="N8183" s="405" t="s">
        <v>9787</v>
      </c>
      <c r="O8183" s="405" t="s">
        <v>9788</v>
      </c>
      <c r="P8183" s="405" t="s">
        <v>10622</v>
      </c>
      <c r="Q8183" s="411">
        <v>6</v>
      </c>
      <c r="R8183" s="405" t="s">
        <v>9541</v>
      </c>
      <c r="S8183" s="405" t="s">
        <v>27320</v>
      </c>
      <c r="T8183" s="405" t="s">
        <v>32102</v>
      </c>
      <c r="U8183" s="405" t="s">
        <v>319</v>
      </c>
    </row>
    <row r="8184" spans="1:21" hidden="1" x14ac:dyDescent="0.25">
      <c r="A8184" s="405" t="s">
        <v>310</v>
      </c>
      <c r="B8184" s="405" t="s">
        <v>10616</v>
      </c>
      <c r="C8184" s="405" t="s">
        <v>327</v>
      </c>
      <c r="D8184" s="405"/>
      <c r="E8184" s="410">
        <v>40801</v>
      </c>
      <c r="F8184" s="410">
        <v>40846</v>
      </c>
      <c r="G8184" s="405" t="s">
        <v>10617</v>
      </c>
      <c r="H8184" s="405">
        <v>772626694</v>
      </c>
      <c r="I8184" s="405">
        <v>703864247</v>
      </c>
      <c r="J8184" s="405">
        <v>0.93418833333333329</v>
      </c>
      <c r="K8184" s="405">
        <v>33.130838333333337</v>
      </c>
      <c r="L8184" s="405" t="s">
        <v>6866</v>
      </c>
      <c r="M8184" s="405" t="s">
        <v>3009</v>
      </c>
      <c r="N8184" s="405" t="s">
        <v>10618</v>
      </c>
      <c r="O8184" s="405" t="s">
        <v>9613</v>
      </c>
      <c r="P8184" s="405" t="s">
        <v>10619</v>
      </c>
      <c r="Q8184" s="411">
        <v>6</v>
      </c>
      <c r="R8184" s="405" t="s">
        <v>333</v>
      </c>
      <c r="S8184" s="405" t="s">
        <v>6822</v>
      </c>
      <c r="T8184" s="405" t="s">
        <v>32102</v>
      </c>
      <c r="U8184" s="405" t="s">
        <v>319</v>
      </c>
    </row>
    <row r="8185" spans="1:21" hidden="1" x14ac:dyDescent="0.25">
      <c r="A8185" s="405" t="s">
        <v>310</v>
      </c>
      <c r="B8185" s="405" t="s">
        <v>1838</v>
      </c>
      <c r="C8185" s="405" t="s">
        <v>327</v>
      </c>
      <c r="D8185" s="405"/>
      <c r="E8185" s="410">
        <v>40801</v>
      </c>
      <c r="F8185" s="410">
        <v>40846</v>
      </c>
      <c r="G8185" s="405" t="s">
        <v>1839</v>
      </c>
      <c r="H8185" s="405">
        <v>776613296</v>
      </c>
      <c r="I8185" s="405">
        <v>704915351</v>
      </c>
      <c r="J8185" s="405">
        <v>-0.36338500000000001</v>
      </c>
      <c r="K8185" s="405">
        <v>31.553902999999998</v>
      </c>
      <c r="L8185" s="405" t="s">
        <v>314</v>
      </c>
      <c r="M8185" s="405" t="s">
        <v>1189</v>
      </c>
      <c r="N8185" s="405" t="s">
        <v>941</v>
      </c>
      <c r="O8185" s="405" t="s">
        <v>1840</v>
      </c>
      <c r="P8185" s="405" t="s">
        <v>1841</v>
      </c>
      <c r="Q8185" s="411">
        <v>6</v>
      </c>
      <c r="R8185" s="405" t="s">
        <v>874</v>
      </c>
      <c r="S8185" s="405" t="s">
        <v>27098</v>
      </c>
      <c r="T8185" s="405" t="s">
        <v>32102</v>
      </c>
      <c r="U8185" s="405" t="s">
        <v>319</v>
      </c>
    </row>
    <row r="8186" spans="1:21" hidden="1" x14ac:dyDescent="0.25">
      <c r="A8186" s="405" t="s">
        <v>310</v>
      </c>
      <c r="B8186" s="405" t="s">
        <v>1847</v>
      </c>
      <c r="C8186" s="405" t="s">
        <v>327</v>
      </c>
      <c r="D8186" s="405"/>
      <c r="E8186" s="410">
        <v>40801</v>
      </c>
      <c r="F8186" s="410">
        <v>40846</v>
      </c>
      <c r="G8186" s="405" t="s">
        <v>1848</v>
      </c>
      <c r="H8186" s="405">
        <v>700109892</v>
      </c>
      <c r="I8186" s="405"/>
      <c r="J8186" s="405">
        <v>0.36021999999999998</v>
      </c>
      <c r="K8186" s="405">
        <v>32.244795000000003</v>
      </c>
      <c r="L8186" s="405" t="s">
        <v>314</v>
      </c>
      <c r="M8186" s="405" t="s">
        <v>675</v>
      </c>
      <c r="N8186" s="405" t="s">
        <v>1065</v>
      </c>
      <c r="O8186" s="405" t="s">
        <v>1845</v>
      </c>
      <c r="P8186" s="405" t="s">
        <v>1846</v>
      </c>
      <c r="Q8186" s="411">
        <v>6</v>
      </c>
      <c r="R8186" s="405" t="s">
        <v>438</v>
      </c>
      <c r="S8186" s="405" t="s">
        <v>27128</v>
      </c>
      <c r="T8186" s="405" t="s">
        <v>32102</v>
      </c>
      <c r="U8186" s="405" t="s">
        <v>319</v>
      </c>
    </row>
    <row r="8187" spans="1:21" hidden="1" x14ac:dyDescent="0.25">
      <c r="A8187" s="405" t="s">
        <v>310</v>
      </c>
      <c r="B8187" s="405" t="s">
        <v>1859</v>
      </c>
      <c r="C8187" s="405" t="s">
        <v>327</v>
      </c>
      <c r="D8187" s="405"/>
      <c r="E8187" s="410">
        <v>40800</v>
      </c>
      <c r="F8187" s="410">
        <v>40845</v>
      </c>
      <c r="G8187" s="405" t="s">
        <v>1860</v>
      </c>
      <c r="H8187" s="405">
        <v>752625822</v>
      </c>
      <c r="I8187" s="405">
        <v>751322638</v>
      </c>
      <c r="J8187" s="405">
        <v>-0.316662</v>
      </c>
      <c r="K8187" s="405">
        <v>31.825082999999999</v>
      </c>
      <c r="L8187" s="405" t="s">
        <v>314</v>
      </c>
      <c r="M8187" s="405" t="s">
        <v>382</v>
      </c>
      <c r="N8187" s="405" t="s">
        <v>1481</v>
      </c>
      <c r="O8187" s="405" t="s">
        <v>1076</v>
      </c>
      <c r="P8187" s="405" t="s">
        <v>1861</v>
      </c>
      <c r="Q8187" s="411">
        <v>13</v>
      </c>
      <c r="R8187" s="405" t="s">
        <v>402</v>
      </c>
      <c r="S8187" s="405" t="s">
        <v>27052</v>
      </c>
      <c r="T8187" s="405" t="s">
        <v>32102</v>
      </c>
      <c r="U8187" s="405" t="s">
        <v>319</v>
      </c>
    </row>
    <row r="8188" spans="1:21" hidden="1" x14ac:dyDescent="0.25">
      <c r="A8188" s="405" t="s">
        <v>310</v>
      </c>
      <c r="B8188" s="405" t="s">
        <v>28093</v>
      </c>
      <c r="C8188" s="405" t="s">
        <v>327</v>
      </c>
      <c r="D8188" s="405"/>
      <c r="E8188" s="410">
        <v>40800</v>
      </c>
      <c r="F8188" s="410">
        <v>40845</v>
      </c>
      <c r="G8188" s="405" t="s">
        <v>20300</v>
      </c>
      <c r="H8188" s="405">
        <v>774477715</v>
      </c>
      <c r="I8188" s="405"/>
      <c r="J8188" s="405">
        <v>1.7528488</v>
      </c>
      <c r="K8188" s="405">
        <v>31.766432600000002</v>
      </c>
      <c r="L8188" s="405" t="s">
        <v>590</v>
      </c>
      <c r="M8188" s="405" t="s">
        <v>19608</v>
      </c>
      <c r="N8188" s="405" t="s">
        <v>19609</v>
      </c>
      <c r="O8188" s="405" t="s">
        <v>19610</v>
      </c>
      <c r="P8188" s="405" t="s">
        <v>20301</v>
      </c>
      <c r="Q8188" s="411">
        <v>9</v>
      </c>
      <c r="R8188" s="405" t="s">
        <v>318</v>
      </c>
      <c r="S8188" s="405" t="s">
        <v>27109</v>
      </c>
      <c r="T8188" s="405" t="s">
        <v>32102</v>
      </c>
      <c r="U8188" s="405" t="s">
        <v>319</v>
      </c>
    </row>
    <row r="8189" spans="1:21" hidden="1" x14ac:dyDescent="0.25">
      <c r="A8189" s="405" t="s">
        <v>310</v>
      </c>
      <c r="B8189" s="405" t="s">
        <v>20287</v>
      </c>
      <c r="C8189" s="405" t="s">
        <v>327</v>
      </c>
      <c r="D8189" s="405"/>
      <c r="E8189" s="410">
        <v>40800</v>
      </c>
      <c r="F8189" s="410">
        <v>40845</v>
      </c>
      <c r="G8189" s="405" t="s">
        <v>20288</v>
      </c>
      <c r="H8189" s="405">
        <v>782508664</v>
      </c>
      <c r="I8189" s="405">
        <v>772463954</v>
      </c>
      <c r="J8189" s="405">
        <v>1.6884779000000001</v>
      </c>
      <c r="K8189" s="405">
        <v>31.7067379</v>
      </c>
      <c r="L8189" s="405" t="s">
        <v>590</v>
      </c>
      <c r="M8189" s="405" t="s">
        <v>19608</v>
      </c>
      <c r="N8189" s="405" t="s">
        <v>19783</v>
      </c>
      <c r="O8189" s="405" t="s">
        <v>20289</v>
      </c>
      <c r="P8189" s="405" t="s">
        <v>19808</v>
      </c>
      <c r="Q8189" s="411">
        <v>9</v>
      </c>
      <c r="R8189" s="405" t="s">
        <v>318</v>
      </c>
      <c r="S8189" s="405" t="s">
        <v>27126</v>
      </c>
      <c r="T8189" s="405" t="s">
        <v>32102</v>
      </c>
      <c r="U8189" s="405" t="s">
        <v>319</v>
      </c>
    </row>
    <row r="8190" spans="1:21" hidden="1" x14ac:dyDescent="0.25">
      <c r="A8190" s="405" t="s">
        <v>310</v>
      </c>
      <c r="B8190" s="405" t="s">
        <v>1823</v>
      </c>
      <c r="C8190" s="405" t="s">
        <v>327</v>
      </c>
      <c r="D8190" s="405"/>
      <c r="E8190" s="410">
        <v>40800</v>
      </c>
      <c r="F8190" s="410">
        <v>40845</v>
      </c>
      <c r="G8190" s="405" t="s">
        <v>1824</v>
      </c>
      <c r="H8190" s="405">
        <v>702381319</v>
      </c>
      <c r="I8190" s="405">
        <v>782975484</v>
      </c>
      <c r="J8190" s="405">
        <v>0.15608000000000002</v>
      </c>
      <c r="K8190" s="405">
        <v>32.320421666666668</v>
      </c>
      <c r="L8190" s="405" t="s">
        <v>314</v>
      </c>
      <c r="M8190" s="405" t="s">
        <v>321</v>
      </c>
      <c r="N8190" s="405" t="s">
        <v>322</v>
      </c>
      <c r="O8190" s="405" t="s">
        <v>996</v>
      </c>
      <c r="P8190" s="405" t="s">
        <v>1000</v>
      </c>
      <c r="Q8190" s="411">
        <v>6</v>
      </c>
      <c r="R8190" s="405" t="s">
        <v>318</v>
      </c>
      <c r="S8190" s="405" t="s">
        <v>27113</v>
      </c>
      <c r="T8190" s="405" t="s">
        <v>32102</v>
      </c>
      <c r="U8190" s="405" t="s">
        <v>319</v>
      </c>
    </row>
    <row r="8191" spans="1:21" hidden="1" x14ac:dyDescent="0.25">
      <c r="A8191" s="405" t="s">
        <v>310</v>
      </c>
      <c r="B8191" s="405" t="s">
        <v>10599</v>
      </c>
      <c r="C8191" s="405" t="s">
        <v>327</v>
      </c>
      <c r="D8191" s="405"/>
      <c r="E8191" s="410">
        <v>40800</v>
      </c>
      <c r="F8191" s="410">
        <v>40845</v>
      </c>
      <c r="G8191" s="405" t="s">
        <v>10600</v>
      </c>
      <c r="H8191" s="405">
        <v>704459037</v>
      </c>
      <c r="I8191" s="405"/>
      <c r="J8191" s="405">
        <v>1.263282</v>
      </c>
      <c r="K8191" s="405">
        <v>34.374955</v>
      </c>
      <c r="L8191" s="405" t="s">
        <v>6866</v>
      </c>
      <c r="M8191" s="405" t="s">
        <v>9550</v>
      </c>
      <c r="N8191" s="405" t="s">
        <v>9550</v>
      </c>
      <c r="O8191" s="405" t="s">
        <v>10601</v>
      </c>
      <c r="P8191" s="405" t="s">
        <v>10602</v>
      </c>
      <c r="Q8191" s="411">
        <v>6</v>
      </c>
      <c r="R8191" s="405" t="s">
        <v>7224</v>
      </c>
      <c r="S8191" s="405" t="s">
        <v>27086</v>
      </c>
      <c r="T8191" s="405" t="s">
        <v>32102</v>
      </c>
      <c r="U8191" s="405" t="s">
        <v>319</v>
      </c>
    </row>
    <row r="8192" spans="1:21" hidden="1" x14ac:dyDescent="0.25">
      <c r="A8192" s="405" t="s">
        <v>310</v>
      </c>
      <c r="B8192" s="405" t="s">
        <v>10650</v>
      </c>
      <c r="C8192" s="405" t="s">
        <v>327</v>
      </c>
      <c r="D8192" s="405"/>
      <c r="E8192" s="410">
        <v>40800</v>
      </c>
      <c r="F8192" s="410">
        <v>40845</v>
      </c>
      <c r="G8192" s="405" t="s">
        <v>10651</v>
      </c>
      <c r="H8192" s="405">
        <v>752723619</v>
      </c>
      <c r="I8192" s="405"/>
      <c r="J8192" s="405">
        <v>1.265153</v>
      </c>
      <c r="K8192" s="405">
        <v>33.946027000000001</v>
      </c>
      <c r="L8192" s="405" t="s">
        <v>6866</v>
      </c>
      <c r="M8192" s="405" t="s">
        <v>9504</v>
      </c>
      <c r="N8192" s="405" t="s">
        <v>9504</v>
      </c>
      <c r="O8192" s="405" t="s">
        <v>10109</v>
      </c>
      <c r="P8192" s="405" t="s">
        <v>10652</v>
      </c>
      <c r="Q8192" s="411">
        <v>4</v>
      </c>
      <c r="R8192" s="405" t="s">
        <v>9541</v>
      </c>
      <c r="S8192" s="405" t="s">
        <v>27308</v>
      </c>
      <c r="T8192" s="405" t="s">
        <v>32102</v>
      </c>
      <c r="U8192" s="405" t="s">
        <v>319</v>
      </c>
    </row>
    <row r="8193" spans="1:21" hidden="1" x14ac:dyDescent="0.25">
      <c r="A8193" s="405" t="s">
        <v>310</v>
      </c>
      <c r="B8193" s="405" t="s">
        <v>27967</v>
      </c>
      <c r="C8193" s="405" t="s">
        <v>327</v>
      </c>
      <c r="D8193" s="405"/>
      <c r="E8193" s="410">
        <v>40798</v>
      </c>
      <c r="F8193" s="410">
        <v>40843</v>
      </c>
      <c r="G8193" s="405" t="s">
        <v>10613</v>
      </c>
      <c r="H8193" s="405">
        <v>783413220</v>
      </c>
      <c r="I8193" s="405"/>
      <c r="J8193" s="405">
        <v>1.097167</v>
      </c>
      <c r="K8193" s="405">
        <v>34.231647000000002</v>
      </c>
      <c r="L8193" s="405" t="s">
        <v>6866</v>
      </c>
      <c r="M8193" s="405" t="s">
        <v>9514</v>
      </c>
      <c r="N8193" s="405" t="s">
        <v>9722</v>
      </c>
      <c r="O8193" s="405" t="s">
        <v>10614</v>
      </c>
      <c r="P8193" s="405" t="s">
        <v>10615</v>
      </c>
      <c r="Q8193" s="411">
        <v>9</v>
      </c>
      <c r="R8193" s="405" t="s">
        <v>7224</v>
      </c>
      <c r="S8193" s="405" t="s">
        <v>17062</v>
      </c>
      <c r="T8193" s="405" t="s">
        <v>32102</v>
      </c>
      <c r="U8193" s="405" t="s">
        <v>319</v>
      </c>
    </row>
    <row r="8194" spans="1:21" hidden="1" x14ac:dyDescent="0.25">
      <c r="A8194" s="405" t="s">
        <v>310</v>
      </c>
      <c r="B8194" s="405" t="s">
        <v>1849</v>
      </c>
      <c r="C8194" s="405" t="s">
        <v>327</v>
      </c>
      <c r="D8194" s="405"/>
      <c r="E8194" s="410">
        <v>40798</v>
      </c>
      <c r="F8194" s="410">
        <v>40843</v>
      </c>
      <c r="G8194" s="405" t="s">
        <v>1850</v>
      </c>
      <c r="H8194" s="405">
        <v>788520600</v>
      </c>
      <c r="I8194" s="405"/>
      <c r="J8194" s="405">
        <v>0.53956199999999999</v>
      </c>
      <c r="K8194" s="405">
        <v>32.037016999999999</v>
      </c>
      <c r="L8194" s="405" t="s">
        <v>314</v>
      </c>
      <c r="M8194" s="405" t="s">
        <v>675</v>
      </c>
      <c r="N8194" s="405" t="s">
        <v>1065</v>
      </c>
      <c r="O8194" s="405" t="s">
        <v>1248</v>
      </c>
      <c r="P8194" s="405" t="s">
        <v>1851</v>
      </c>
      <c r="Q8194" s="411">
        <v>6</v>
      </c>
      <c r="R8194" s="405" t="s">
        <v>318</v>
      </c>
      <c r="S8194" s="405" t="s">
        <v>27174</v>
      </c>
      <c r="T8194" s="405" t="s">
        <v>32102</v>
      </c>
      <c r="U8194" s="405" t="s">
        <v>319</v>
      </c>
    </row>
    <row r="8195" spans="1:21" hidden="1" x14ac:dyDescent="0.25">
      <c r="A8195" s="405" t="s">
        <v>310</v>
      </c>
      <c r="B8195" s="405" t="s">
        <v>10701</v>
      </c>
      <c r="C8195" s="405" t="s">
        <v>327</v>
      </c>
      <c r="D8195" s="405"/>
      <c r="E8195" s="410">
        <v>40797</v>
      </c>
      <c r="F8195" s="410">
        <v>40842</v>
      </c>
      <c r="G8195" s="405" t="s">
        <v>10702</v>
      </c>
      <c r="H8195" s="405">
        <v>782663518</v>
      </c>
      <c r="I8195" s="405"/>
      <c r="J8195" s="405">
        <v>0.68931200000000004</v>
      </c>
      <c r="K8195" s="405">
        <v>34.201188000000002</v>
      </c>
      <c r="L8195" s="405" t="s">
        <v>6866</v>
      </c>
      <c r="M8195" s="405" t="s">
        <v>9534</v>
      </c>
      <c r="N8195" s="405" t="s">
        <v>10065</v>
      </c>
      <c r="O8195" s="405" t="s">
        <v>6748</v>
      </c>
      <c r="P8195" s="405" t="s">
        <v>10703</v>
      </c>
      <c r="Q8195" s="411">
        <v>6</v>
      </c>
      <c r="R8195" s="405" t="s">
        <v>7224</v>
      </c>
      <c r="S8195" s="405" t="s">
        <v>27259</v>
      </c>
      <c r="T8195" s="405" t="s">
        <v>32102</v>
      </c>
      <c r="U8195" s="405" t="s">
        <v>319</v>
      </c>
    </row>
    <row r="8196" spans="1:21" hidden="1" x14ac:dyDescent="0.25">
      <c r="A8196" s="405" t="s">
        <v>310</v>
      </c>
      <c r="B8196" s="405" t="s">
        <v>10658</v>
      </c>
      <c r="C8196" s="405" t="s">
        <v>327</v>
      </c>
      <c r="D8196" s="405"/>
      <c r="E8196" s="410">
        <v>40797</v>
      </c>
      <c r="F8196" s="410">
        <v>40842</v>
      </c>
      <c r="G8196" s="405" t="s">
        <v>10659</v>
      </c>
      <c r="H8196" s="405">
        <v>777041254</v>
      </c>
      <c r="I8196" s="405"/>
      <c r="J8196" s="405">
        <v>1.1187530000000001</v>
      </c>
      <c r="K8196" s="405">
        <v>34.202133000000003</v>
      </c>
      <c r="L8196" s="405" t="s">
        <v>6866</v>
      </c>
      <c r="M8196" s="405" t="s">
        <v>9514</v>
      </c>
      <c r="N8196" s="405" t="s">
        <v>9529</v>
      </c>
      <c r="O8196" s="405" t="s">
        <v>9530</v>
      </c>
      <c r="P8196" s="405" t="s">
        <v>10660</v>
      </c>
      <c r="Q8196" s="411">
        <v>6</v>
      </c>
      <c r="R8196" s="405" t="s">
        <v>333</v>
      </c>
      <c r="S8196" s="405" t="s">
        <v>27310</v>
      </c>
      <c r="T8196" s="405" t="s">
        <v>32102</v>
      </c>
      <c r="U8196" s="405" t="s">
        <v>319</v>
      </c>
    </row>
    <row r="8197" spans="1:21" hidden="1" x14ac:dyDescent="0.25">
      <c r="A8197" s="405" t="s">
        <v>310</v>
      </c>
      <c r="B8197" s="405" t="s">
        <v>27708</v>
      </c>
      <c r="C8197" s="405" t="s">
        <v>311</v>
      </c>
      <c r="D8197" s="405" t="s">
        <v>839</v>
      </c>
      <c r="E8197" s="410">
        <v>40796</v>
      </c>
      <c r="F8197" s="410">
        <v>40841</v>
      </c>
      <c r="G8197" s="405" t="s">
        <v>20506</v>
      </c>
      <c r="H8197" s="405">
        <v>782308565</v>
      </c>
      <c r="I8197" s="405">
        <v>772774876</v>
      </c>
      <c r="J8197" s="405">
        <v>-0.55073399999999995</v>
      </c>
      <c r="K8197" s="405">
        <v>30.216663</v>
      </c>
      <c r="L8197" s="405" t="s">
        <v>590</v>
      </c>
      <c r="M8197" s="405" t="s">
        <v>19625</v>
      </c>
      <c r="N8197" s="405" t="s">
        <v>19626</v>
      </c>
      <c r="O8197" s="405" t="s">
        <v>19751</v>
      </c>
      <c r="P8197" s="405" t="s">
        <v>19950</v>
      </c>
      <c r="Q8197" s="411">
        <v>9</v>
      </c>
      <c r="R8197" s="405" t="s">
        <v>333</v>
      </c>
      <c r="S8197" s="405" t="s">
        <v>27397</v>
      </c>
      <c r="T8197" s="405" t="s">
        <v>32102</v>
      </c>
      <c r="U8197" s="405" t="s">
        <v>319</v>
      </c>
    </row>
    <row r="8198" spans="1:21" hidden="1" x14ac:dyDescent="0.25">
      <c r="A8198" s="405" t="s">
        <v>310</v>
      </c>
      <c r="B8198" s="405" t="s">
        <v>28321</v>
      </c>
      <c r="C8198" s="405" t="s">
        <v>327</v>
      </c>
      <c r="D8198" s="405"/>
      <c r="E8198" s="410">
        <v>40796</v>
      </c>
      <c r="F8198" s="410">
        <v>40841</v>
      </c>
      <c r="G8198" s="405" t="s">
        <v>10606</v>
      </c>
      <c r="H8198" s="405">
        <v>782093178</v>
      </c>
      <c r="I8198" s="405"/>
      <c r="J8198" s="405">
        <v>1.111108</v>
      </c>
      <c r="K8198" s="405">
        <v>34.212088000000001</v>
      </c>
      <c r="L8198" s="405" t="s">
        <v>6866</v>
      </c>
      <c r="M8198" s="405" t="s">
        <v>9514</v>
      </c>
      <c r="N8198" s="405" t="s">
        <v>9529</v>
      </c>
      <c r="O8198" s="405" t="s">
        <v>9530</v>
      </c>
      <c r="P8198" s="405" t="s">
        <v>10607</v>
      </c>
      <c r="Q8198" s="411">
        <v>6</v>
      </c>
      <c r="R8198" s="405" t="s">
        <v>333</v>
      </c>
      <c r="S8198" s="405" t="s">
        <v>27310</v>
      </c>
      <c r="T8198" s="405" t="s">
        <v>32102</v>
      </c>
      <c r="U8198" s="405" t="s">
        <v>319</v>
      </c>
    </row>
    <row r="8199" spans="1:21" hidden="1" x14ac:dyDescent="0.25">
      <c r="A8199" s="405" t="s">
        <v>310</v>
      </c>
      <c r="B8199" s="405" t="s">
        <v>10638</v>
      </c>
      <c r="C8199" s="405" t="s">
        <v>327</v>
      </c>
      <c r="D8199" s="405"/>
      <c r="E8199" s="410">
        <v>40796</v>
      </c>
      <c r="F8199" s="410">
        <v>40841</v>
      </c>
      <c r="G8199" s="405" t="s">
        <v>10639</v>
      </c>
      <c r="H8199" s="405">
        <v>776511465</v>
      </c>
      <c r="I8199" s="405"/>
      <c r="J8199" s="405">
        <v>1.4789730000000001</v>
      </c>
      <c r="K8199" s="405">
        <v>33.448985</v>
      </c>
      <c r="L8199" s="405" t="s">
        <v>6866</v>
      </c>
      <c r="M8199" s="405" t="s">
        <v>9658</v>
      </c>
      <c r="N8199" s="405" t="s">
        <v>9658</v>
      </c>
      <c r="O8199" s="405" t="s">
        <v>9659</v>
      </c>
      <c r="P8199" s="405" t="s">
        <v>10500</v>
      </c>
      <c r="Q8199" s="411">
        <v>6</v>
      </c>
      <c r="R8199" s="405" t="s">
        <v>7224</v>
      </c>
      <c r="S8199" s="405" t="s">
        <v>27325</v>
      </c>
      <c r="T8199" s="405" t="s">
        <v>32102</v>
      </c>
      <c r="U8199" s="405" t="s">
        <v>319</v>
      </c>
    </row>
    <row r="8200" spans="1:21" hidden="1" x14ac:dyDescent="0.25">
      <c r="A8200" s="405" t="s">
        <v>310</v>
      </c>
      <c r="B8200" s="405" t="s">
        <v>10624</v>
      </c>
      <c r="C8200" s="405" t="s">
        <v>327</v>
      </c>
      <c r="D8200" s="405"/>
      <c r="E8200" s="410">
        <v>40796</v>
      </c>
      <c r="F8200" s="410">
        <v>40841</v>
      </c>
      <c r="G8200" s="405" t="s">
        <v>10625</v>
      </c>
      <c r="H8200" s="405">
        <v>754291469</v>
      </c>
      <c r="I8200" s="405"/>
      <c r="J8200" s="405">
        <v>0.73244600000000004</v>
      </c>
      <c r="K8200" s="405">
        <v>33.890791</v>
      </c>
      <c r="L8200" s="405" t="s">
        <v>6866</v>
      </c>
      <c r="M8200" s="405" t="s">
        <v>9566</v>
      </c>
      <c r="N8200" s="405" t="s">
        <v>9787</v>
      </c>
      <c r="O8200" s="405" t="s">
        <v>9788</v>
      </c>
      <c r="P8200" s="405" t="s">
        <v>10626</v>
      </c>
      <c r="Q8200" s="411">
        <v>6</v>
      </c>
      <c r="R8200" s="405" t="s">
        <v>7224</v>
      </c>
      <c r="S8200" s="405" t="s">
        <v>27074</v>
      </c>
      <c r="T8200" s="405" t="s">
        <v>32102</v>
      </c>
      <c r="U8200" s="405" t="s">
        <v>319</v>
      </c>
    </row>
    <row r="8201" spans="1:21" hidden="1" x14ac:dyDescent="0.25">
      <c r="A8201" s="405" t="s">
        <v>310</v>
      </c>
      <c r="B8201" s="405" t="s">
        <v>1843</v>
      </c>
      <c r="C8201" s="405" t="s">
        <v>327</v>
      </c>
      <c r="D8201" s="405"/>
      <c r="E8201" s="410">
        <v>40796</v>
      </c>
      <c r="F8201" s="410">
        <v>40841</v>
      </c>
      <c r="G8201" s="405" t="s">
        <v>1844</v>
      </c>
      <c r="H8201" s="405">
        <v>772435253</v>
      </c>
      <c r="I8201" s="405"/>
      <c r="J8201" s="405">
        <v>0.371892</v>
      </c>
      <c r="K8201" s="405">
        <v>32.251306999999997</v>
      </c>
      <c r="L8201" s="405" t="s">
        <v>314</v>
      </c>
      <c r="M8201" s="405" t="s">
        <v>675</v>
      </c>
      <c r="N8201" s="405" t="s">
        <v>676</v>
      </c>
      <c r="O8201" s="405" t="s">
        <v>1845</v>
      </c>
      <c r="P8201" s="405" t="s">
        <v>1846</v>
      </c>
      <c r="Q8201" s="411">
        <v>6</v>
      </c>
      <c r="R8201" s="405" t="s">
        <v>438</v>
      </c>
      <c r="S8201" s="405" t="s">
        <v>27128</v>
      </c>
      <c r="T8201" s="405" t="s">
        <v>32102</v>
      </c>
      <c r="U8201" s="405" t="s">
        <v>319</v>
      </c>
    </row>
    <row r="8202" spans="1:21" hidden="1" x14ac:dyDescent="0.25">
      <c r="A8202" s="405" t="s">
        <v>310</v>
      </c>
      <c r="B8202" s="405" t="s">
        <v>1825</v>
      </c>
      <c r="C8202" s="405" t="s">
        <v>327</v>
      </c>
      <c r="D8202" s="405"/>
      <c r="E8202" s="410">
        <v>40796</v>
      </c>
      <c r="F8202" s="410">
        <v>40841</v>
      </c>
      <c r="G8202" s="405" t="s">
        <v>1826</v>
      </c>
      <c r="H8202" s="405">
        <v>785377411</v>
      </c>
      <c r="I8202" s="405"/>
      <c r="J8202" s="405">
        <v>0.42187799999999998</v>
      </c>
      <c r="K8202" s="405">
        <v>32.184536999999999</v>
      </c>
      <c r="L8202" s="405" t="s">
        <v>314</v>
      </c>
      <c r="M8202" s="405" t="s">
        <v>675</v>
      </c>
      <c r="N8202" s="405" t="s">
        <v>1065</v>
      </c>
      <c r="O8202" s="405" t="s">
        <v>1374</v>
      </c>
      <c r="P8202" s="405" t="s">
        <v>1374</v>
      </c>
      <c r="Q8202" s="411">
        <v>6</v>
      </c>
      <c r="R8202" s="405" t="s">
        <v>318</v>
      </c>
      <c r="S8202" s="405" t="s">
        <v>27113</v>
      </c>
      <c r="T8202" s="405" t="s">
        <v>32102</v>
      </c>
      <c r="U8202" s="405" t="s">
        <v>319</v>
      </c>
    </row>
    <row r="8203" spans="1:21" hidden="1" x14ac:dyDescent="0.25">
      <c r="A8203" s="405" t="s">
        <v>310</v>
      </c>
      <c r="B8203" s="405" t="s">
        <v>11031</v>
      </c>
      <c r="C8203" s="405" t="s">
        <v>857</v>
      </c>
      <c r="D8203" s="405" t="s">
        <v>4394</v>
      </c>
      <c r="E8203" s="410">
        <v>40796</v>
      </c>
      <c r="F8203" s="410">
        <v>40841</v>
      </c>
      <c r="G8203" s="405" t="s">
        <v>11032</v>
      </c>
      <c r="H8203" s="405">
        <v>757243652</v>
      </c>
      <c r="I8203" s="405"/>
      <c r="J8203" s="405">
        <v>0.71603499999999998</v>
      </c>
      <c r="K8203" s="405">
        <v>33.876885999999999</v>
      </c>
      <c r="L8203" s="405" t="s">
        <v>6866</v>
      </c>
      <c r="M8203" s="405" t="s">
        <v>9566</v>
      </c>
      <c r="N8203" s="405" t="s">
        <v>9787</v>
      </c>
      <c r="O8203" s="405" t="s">
        <v>9788</v>
      </c>
      <c r="P8203" s="405" t="s">
        <v>10741</v>
      </c>
      <c r="Q8203" s="411">
        <v>6</v>
      </c>
      <c r="R8203" s="405" t="s">
        <v>7224</v>
      </c>
      <c r="S8203" s="405" t="s">
        <v>27309</v>
      </c>
      <c r="T8203" s="405" t="s">
        <v>32102</v>
      </c>
      <c r="U8203" s="405" t="s">
        <v>319</v>
      </c>
    </row>
    <row r="8204" spans="1:21" hidden="1" x14ac:dyDescent="0.25">
      <c r="A8204" s="405" t="s">
        <v>310</v>
      </c>
      <c r="B8204" s="405" t="s">
        <v>10670</v>
      </c>
      <c r="C8204" s="405" t="s">
        <v>327</v>
      </c>
      <c r="D8204" s="405"/>
      <c r="E8204" s="410">
        <v>40796</v>
      </c>
      <c r="F8204" s="410">
        <v>40841</v>
      </c>
      <c r="G8204" s="405" t="s">
        <v>10671</v>
      </c>
      <c r="H8204" s="405">
        <v>782614943</v>
      </c>
      <c r="I8204" s="405"/>
      <c r="J8204" s="405">
        <v>0.79973099999999997</v>
      </c>
      <c r="K8204" s="405">
        <v>34.376297999999998</v>
      </c>
      <c r="L8204" s="405" t="s">
        <v>6866</v>
      </c>
      <c r="M8204" s="405" t="s">
        <v>9763</v>
      </c>
      <c r="N8204" s="405" t="s">
        <v>9848</v>
      </c>
      <c r="O8204" s="405" t="s">
        <v>10668</v>
      </c>
      <c r="P8204" s="405" t="s">
        <v>10672</v>
      </c>
      <c r="Q8204" s="411">
        <v>4</v>
      </c>
      <c r="R8204" s="405" t="s">
        <v>7224</v>
      </c>
      <c r="S8204" s="405" t="s">
        <v>27074</v>
      </c>
      <c r="T8204" s="405" t="s">
        <v>32102</v>
      </c>
      <c r="U8204" s="405" t="s">
        <v>319</v>
      </c>
    </row>
    <row r="8205" spans="1:21" hidden="1" x14ac:dyDescent="0.25">
      <c r="A8205" s="405" t="s">
        <v>310</v>
      </c>
      <c r="B8205" s="405" t="s">
        <v>33101</v>
      </c>
      <c r="C8205" s="405" t="s">
        <v>311</v>
      </c>
      <c r="D8205" s="405" t="s">
        <v>1013</v>
      </c>
      <c r="E8205" s="410">
        <v>40795</v>
      </c>
      <c r="F8205" s="410">
        <v>40840</v>
      </c>
      <c r="G8205" s="405" t="s">
        <v>2352</v>
      </c>
      <c r="H8205" s="405">
        <v>788515091</v>
      </c>
      <c r="I8205" s="405">
        <v>752119212</v>
      </c>
      <c r="J8205" s="405">
        <v>0.15715199999999999</v>
      </c>
      <c r="K8205" s="405">
        <v>32.131186999999997</v>
      </c>
      <c r="L8205" s="405" t="s">
        <v>314</v>
      </c>
      <c r="M8205" s="405" t="s">
        <v>315</v>
      </c>
      <c r="N8205" s="405" t="s">
        <v>315</v>
      </c>
      <c r="O8205" s="405" t="s">
        <v>1252</v>
      </c>
      <c r="P8205" s="405" t="s">
        <v>2353</v>
      </c>
      <c r="Q8205" s="411">
        <v>6</v>
      </c>
      <c r="R8205" s="405" t="s">
        <v>318</v>
      </c>
      <c r="S8205" s="405" t="s">
        <v>27135</v>
      </c>
      <c r="T8205" s="405" t="s">
        <v>32102</v>
      </c>
      <c r="U8205" s="405" t="s">
        <v>319</v>
      </c>
    </row>
    <row r="8206" spans="1:21" hidden="1" x14ac:dyDescent="0.25">
      <c r="A8206" s="405" t="s">
        <v>310</v>
      </c>
      <c r="B8206" s="405" t="s">
        <v>1871</v>
      </c>
      <c r="C8206" s="405" t="s">
        <v>327</v>
      </c>
      <c r="D8206" s="405"/>
      <c r="E8206" s="410">
        <v>40795</v>
      </c>
      <c r="F8206" s="410">
        <v>40840</v>
      </c>
      <c r="G8206" s="405" t="s">
        <v>1872</v>
      </c>
      <c r="H8206" s="405">
        <v>788152633</v>
      </c>
      <c r="I8206" s="405"/>
      <c r="J8206" s="405">
        <v>0.64899200000000001</v>
      </c>
      <c r="K8206" s="405">
        <v>32.096241999999997</v>
      </c>
      <c r="L8206" s="405" t="s">
        <v>314</v>
      </c>
      <c r="M8206" s="405" t="s">
        <v>675</v>
      </c>
      <c r="N8206" s="405" t="s">
        <v>675</v>
      </c>
      <c r="O8206" s="405" t="s">
        <v>814</v>
      </c>
      <c r="P8206" s="405" t="s">
        <v>1873</v>
      </c>
      <c r="Q8206" s="411">
        <v>6</v>
      </c>
      <c r="R8206" s="405" t="s">
        <v>318</v>
      </c>
      <c r="S8206" s="405" t="s">
        <v>27149</v>
      </c>
      <c r="T8206" s="405" t="s">
        <v>32102</v>
      </c>
      <c r="U8206" s="405" t="s">
        <v>319</v>
      </c>
    </row>
    <row r="8207" spans="1:21" ht="25.5" hidden="1" x14ac:dyDescent="0.25">
      <c r="A8207" s="405" t="s">
        <v>310</v>
      </c>
      <c r="B8207" s="413" t="s">
        <v>29027</v>
      </c>
      <c r="C8207" s="413" t="s">
        <v>311</v>
      </c>
      <c r="D8207" s="419" t="s">
        <v>33102</v>
      </c>
      <c r="E8207" s="418">
        <v>40793</v>
      </c>
      <c r="F8207" s="418">
        <v>40838</v>
      </c>
      <c r="G8207" s="413" t="s">
        <v>11070</v>
      </c>
      <c r="H8207" s="405">
        <v>772418183</v>
      </c>
      <c r="I8207" s="405">
        <v>756331246</v>
      </c>
      <c r="J8207" s="405">
        <v>0.24296400000000001</v>
      </c>
      <c r="K8207" s="405">
        <v>33.861721000000003</v>
      </c>
      <c r="L8207" s="405" t="s">
        <v>6866</v>
      </c>
      <c r="M8207" s="405" t="s">
        <v>5437</v>
      </c>
      <c r="N8207" s="405" t="s">
        <v>11071</v>
      </c>
      <c r="O8207" s="405" t="s">
        <v>975</v>
      </c>
      <c r="P8207" s="405" t="s">
        <v>11072</v>
      </c>
      <c r="Q8207" s="411">
        <v>6</v>
      </c>
      <c r="R8207" s="405" t="s">
        <v>7224</v>
      </c>
      <c r="S8207" s="405" t="s">
        <v>27304</v>
      </c>
      <c r="T8207" s="405" t="s">
        <v>32102</v>
      </c>
      <c r="U8207" s="405" t="s">
        <v>319</v>
      </c>
    </row>
    <row r="8208" spans="1:21" hidden="1" x14ac:dyDescent="0.25">
      <c r="A8208" s="405" t="s">
        <v>310</v>
      </c>
      <c r="B8208" s="405" t="s">
        <v>28216</v>
      </c>
      <c r="C8208" s="405" t="s">
        <v>327</v>
      </c>
      <c r="D8208" s="405"/>
      <c r="E8208" s="410">
        <v>40793</v>
      </c>
      <c r="F8208" s="410">
        <v>40838</v>
      </c>
      <c r="G8208" s="405" t="s">
        <v>1842</v>
      </c>
      <c r="H8208" s="405">
        <v>772666724</v>
      </c>
      <c r="I8208" s="405"/>
      <c r="J8208" s="405">
        <v>0.73375800000000002</v>
      </c>
      <c r="K8208" s="405">
        <v>32.903773000000001</v>
      </c>
      <c r="L8208" s="405" t="s">
        <v>314</v>
      </c>
      <c r="M8208" s="405" t="s">
        <v>502</v>
      </c>
      <c r="N8208" s="405" t="s">
        <v>1229</v>
      </c>
      <c r="O8208" s="405" t="s">
        <v>502</v>
      </c>
      <c r="P8208" s="405" t="s">
        <v>1567</v>
      </c>
      <c r="Q8208" s="411">
        <v>6</v>
      </c>
      <c r="R8208" s="405" t="s">
        <v>318</v>
      </c>
      <c r="S8208" s="405" t="s">
        <v>27141</v>
      </c>
      <c r="T8208" s="405" t="s">
        <v>32102</v>
      </c>
      <c r="U8208" s="405" t="s">
        <v>319</v>
      </c>
    </row>
    <row r="8209" spans="1:21" hidden="1" x14ac:dyDescent="0.25">
      <c r="A8209" s="405" t="s">
        <v>310</v>
      </c>
      <c r="B8209" s="405" t="s">
        <v>20292</v>
      </c>
      <c r="C8209" s="405" t="s">
        <v>327</v>
      </c>
      <c r="D8209" s="405"/>
      <c r="E8209" s="410">
        <v>40793</v>
      </c>
      <c r="F8209" s="410">
        <v>40838</v>
      </c>
      <c r="G8209" s="405" t="s">
        <v>20293</v>
      </c>
      <c r="H8209" s="405">
        <v>752208803</v>
      </c>
      <c r="I8209" s="405"/>
      <c r="J8209" s="405">
        <v>-0.84505200000000003</v>
      </c>
      <c r="K8209" s="405">
        <v>30.268041</v>
      </c>
      <c r="L8209" s="405" t="s">
        <v>590</v>
      </c>
      <c r="M8209" s="405" t="s">
        <v>19659</v>
      </c>
      <c r="N8209" s="405" t="s">
        <v>19681</v>
      </c>
      <c r="O8209" s="405" t="s">
        <v>9881</v>
      </c>
      <c r="P8209" s="405" t="s">
        <v>20294</v>
      </c>
      <c r="Q8209" s="411">
        <v>6</v>
      </c>
      <c r="R8209" s="405" t="s">
        <v>967</v>
      </c>
      <c r="S8209" s="405" t="s">
        <v>27393</v>
      </c>
      <c r="T8209" s="405" t="s">
        <v>32102</v>
      </c>
      <c r="U8209" s="405" t="s">
        <v>319</v>
      </c>
    </row>
    <row r="8210" spans="1:21" hidden="1" x14ac:dyDescent="0.25">
      <c r="A8210" s="405" t="s">
        <v>310</v>
      </c>
      <c r="B8210" s="405" t="s">
        <v>28934</v>
      </c>
      <c r="C8210" s="405" t="s">
        <v>327</v>
      </c>
      <c r="D8210" s="405"/>
      <c r="E8210" s="410">
        <v>40793</v>
      </c>
      <c r="F8210" s="410">
        <v>40838</v>
      </c>
      <c r="G8210" s="405" t="s">
        <v>1827</v>
      </c>
      <c r="H8210" s="405">
        <v>758092190</v>
      </c>
      <c r="I8210" s="405">
        <v>788520052</v>
      </c>
      <c r="J8210" s="405">
        <v>0.42267500000000002</v>
      </c>
      <c r="K8210" s="405">
        <v>32.184354999999996</v>
      </c>
      <c r="L8210" s="405" t="s">
        <v>314</v>
      </c>
      <c r="M8210" s="405" t="s">
        <v>675</v>
      </c>
      <c r="N8210" s="405" t="s">
        <v>1065</v>
      </c>
      <c r="O8210" s="405" t="s">
        <v>1374</v>
      </c>
      <c r="P8210" s="405" t="s">
        <v>1374</v>
      </c>
      <c r="Q8210" s="411">
        <v>6</v>
      </c>
      <c r="R8210" s="405" t="s">
        <v>318</v>
      </c>
      <c r="S8210" s="405" t="s">
        <v>27141</v>
      </c>
      <c r="T8210" s="405" t="s">
        <v>32102</v>
      </c>
      <c r="U8210" s="405" t="s">
        <v>319</v>
      </c>
    </row>
    <row r="8211" spans="1:21" hidden="1" x14ac:dyDescent="0.25">
      <c r="A8211" s="405" t="s">
        <v>310</v>
      </c>
      <c r="B8211" s="405" t="s">
        <v>27483</v>
      </c>
      <c r="C8211" s="405" t="s">
        <v>327</v>
      </c>
      <c r="D8211" s="405"/>
      <c r="E8211" s="410">
        <v>40792</v>
      </c>
      <c r="F8211" s="410">
        <v>40837</v>
      </c>
      <c r="G8211" s="405" t="s">
        <v>1858</v>
      </c>
      <c r="H8211" s="405">
        <v>772644106</v>
      </c>
      <c r="I8211" s="405">
        <v>754439131</v>
      </c>
      <c r="J8211" s="405">
        <v>-0.26883800000000002</v>
      </c>
      <c r="K8211" s="405">
        <v>31.747157000000001</v>
      </c>
      <c r="L8211" s="405" t="s">
        <v>314</v>
      </c>
      <c r="M8211" s="405" t="s">
        <v>900</v>
      </c>
      <c r="N8211" s="405" t="s">
        <v>1119</v>
      </c>
      <c r="O8211" s="405" t="s">
        <v>900</v>
      </c>
      <c r="P8211" s="405" t="s">
        <v>622</v>
      </c>
      <c r="Q8211" s="411">
        <v>6</v>
      </c>
      <c r="R8211" s="405" t="s">
        <v>1263</v>
      </c>
      <c r="S8211" s="405" t="s">
        <v>27134</v>
      </c>
      <c r="T8211" s="405" t="s">
        <v>32102</v>
      </c>
      <c r="U8211" s="405" t="s">
        <v>319</v>
      </c>
    </row>
    <row r="8212" spans="1:21" hidden="1" x14ac:dyDescent="0.25">
      <c r="A8212" s="405" t="s">
        <v>310</v>
      </c>
      <c r="B8212" s="405" t="s">
        <v>33103</v>
      </c>
      <c r="C8212" s="405" t="s">
        <v>311</v>
      </c>
      <c r="D8212" s="405" t="s">
        <v>839</v>
      </c>
      <c r="E8212" s="410">
        <v>40792</v>
      </c>
      <c r="F8212" s="410">
        <v>40837</v>
      </c>
      <c r="G8212" s="405" t="s">
        <v>2378</v>
      </c>
      <c r="H8212" s="405">
        <v>774667654</v>
      </c>
      <c r="I8212" s="405"/>
      <c r="J8212" s="405">
        <v>-0.26159300000000002</v>
      </c>
      <c r="K8212" s="405">
        <v>31.590592999999998</v>
      </c>
      <c r="L8212" s="405" t="s">
        <v>314</v>
      </c>
      <c r="M8212" s="405" t="s">
        <v>1080</v>
      </c>
      <c r="N8212" s="405" t="s">
        <v>1080</v>
      </c>
      <c r="O8212" s="405" t="s">
        <v>1082</v>
      </c>
      <c r="P8212" s="405" t="s">
        <v>2379</v>
      </c>
      <c r="Q8212" s="411">
        <v>6</v>
      </c>
      <c r="R8212" s="405" t="s">
        <v>318</v>
      </c>
      <c r="S8212" s="405" t="s">
        <v>414</v>
      </c>
      <c r="T8212" s="405" t="s">
        <v>32102</v>
      </c>
      <c r="U8212" s="405" t="s">
        <v>319</v>
      </c>
    </row>
    <row r="8213" spans="1:21" hidden="1" x14ac:dyDescent="0.25">
      <c r="A8213" s="405" t="s">
        <v>310</v>
      </c>
      <c r="B8213" s="405" t="s">
        <v>10708</v>
      </c>
      <c r="C8213" s="405" t="s">
        <v>327</v>
      </c>
      <c r="D8213" s="405"/>
      <c r="E8213" s="410">
        <v>40792</v>
      </c>
      <c r="F8213" s="410">
        <v>40837</v>
      </c>
      <c r="G8213" s="405" t="s">
        <v>10709</v>
      </c>
      <c r="H8213" s="405">
        <v>782897111</v>
      </c>
      <c r="I8213" s="405"/>
      <c r="J8213" s="405">
        <v>0.480765</v>
      </c>
      <c r="K8213" s="405">
        <v>33.489600000000003</v>
      </c>
      <c r="L8213" s="405" t="s">
        <v>6866</v>
      </c>
      <c r="M8213" s="405" t="s">
        <v>5411</v>
      </c>
      <c r="N8213" s="405" t="s">
        <v>10710</v>
      </c>
      <c r="O8213" s="405" t="s">
        <v>10711</v>
      </c>
      <c r="P8213" s="405" t="s">
        <v>10712</v>
      </c>
      <c r="Q8213" s="411">
        <v>6</v>
      </c>
      <c r="R8213" s="405" t="s">
        <v>318</v>
      </c>
      <c r="S8213" s="405" t="s">
        <v>27174</v>
      </c>
      <c r="T8213" s="405" t="s">
        <v>32102</v>
      </c>
      <c r="U8213" s="405" t="s">
        <v>319</v>
      </c>
    </row>
    <row r="8214" spans="1:21" hidden="1" x14ac:dyDescent="0.25">
      <c r="A8214" s="405" t="s">
        <v>310</v>
      </c>
      <c r="B8214" s="405" t="s">
        <v>10647</v>
      </c>
      <c r="C8214" s="405" t="s">
        <v>327</v>
      </c>
      <c r="D8214" s="405"/>
      <c r="E8214" s="410">
        <v>40790</v>
      </c>
      <c r="F8214" s="410">
        <v>40835</v>
      </c>
      <c r="G8214" s="405" t="s">
        <v>10648</v>
      </c>
      <c r="H8214" s="405">
        <v>788815050</v>
      </c>
      <c r="I8214" s="405">
        <v>782537422</v>
      </c>
      <c r="J8214" s="405">
        <v>1.283928</v>
      </c>
      <c r="K8214" s="405">
        <v>33.933052000000004</v>
      </c>
      <c r="L8214" s="405" t="s">
        <v>6866</v>
      </c>
      <c r="M8214" s="405" t="s">
        <v>10029</v>
      </c>
      <c r="N8214" s="405" t="s">
        <v>10260</v>
      </c>
      <c r="O8214" s="405" t="s">
        <v>10261</v>
      </c>
      <c r="P8214" s="405" t="s">
        <v>10649</v>
      </c>
      <c r="Q8214" s="411">
        <v>6</v>
      </c>
      <c r="R8214" s="405" t="s">
        <v>9541</v>
      </c>
      <c r="S8214" s="405" t="s">
        <v>27308</v>
      </c>
      <c r="T8214" s="405" t="s">
        <v>32102</v>
      </c>
      <c r="U8214" s="405" t="s">
        <v>319</v>
      </c>
    </row>
    <row r="8215" spans="1:21" hidden="1" x14ac:dyDescent="0.25">
      <c r="A8215" s="405" t="s">
        <v>310</v>
      </c>
      <c r="B8215" s="405" t="s">
        <v>27836</v>
      </c>
      <c r="C8215" s="405" t="s">
        <v>327</v>
      </c>
      <c r="D8215" s="405"/>
      <c r="E8215" s="410">
        <v>40790</v>
      </c>
      <c r="F8215" s="410">
        <v>40835</v>
      </c>
      <c r="G8215" s="405" t="s">
        <v>10634</v>
      </c>
      <c r="H8215" s="405">
        <v>758219062</v>
      </c>
      <c r="I8215" s="405"/>
      <c r="J8215" s="405">
        <v>0.72295399999999999</v>
      </c>
      <c r="K8215" s="405">
        <v>33.889834</v>
      </c>
      <c r="L8215" s="405" t="s">
        <v>6866</v>
      </c>
      <c r="M8215" s="405" t="s">
        <v>9566</v>
      </c>
      <c r="N8215" s="405" t="s">
        <v>9787</v>
      </c>
      <c r="O8215" s="405" t="s">
        <v>9788</v>
      </c>
      <c r="P8215" s="405" t="s">
        <v>9906</v>
      </c>
      <c r="Q8215" s="411">
        <v>6</v>
      </c>
      <c r="R8215" s="405" t="s">
        <v>7224</v>
      </c>
      <c r="S8215" s="405" t="s">
        <v>27107</v>
      </c>
      <c r="T8215" s="405" t="s">
        <v>32102</v>
      </c>
      <c r="U8215" s="405" t="s">
        <v>319</v>
      </c>
    </row>
    <row r="8216" spans="1:21" hidden="1" x14ac:dyDescent="0.25">
      <c r="A8216" s="405" t="s">
        <v>310</v>
      </c>
      <c r="B8216" s="405" t="s">
        <v>2361</v>
      </c>
      <c r="C8216" s="405" t="s">
        <v>311</v>
      </c>
      <c r="D8216" s="405" t="s">
        <v>1013</v>
      </c>
      <c r="E8216" s="410">
        <v>40786</v>
      </c>
      <c r="F8216" s="410">
        <v>40831</v>
      </c>
      <c r="G8216" s="405" t="s">
        <v>2362</v>
      </c>
      <c r="H8216" s="405">
        <v>772760039</v>
      </c>
      <c r="I8216" s="405"/>
      <c r="J8216" s="405">
        <v>0.33772799999999997</v>
      </c>
      <c r="K8216" s="405">
        <v>32.464033000000001</v>
      </c>
      <c r="L8216" s="405" t="s">
        <v>314</v>
      </c>
      <c r="M8216" s="405" t="s">
        <v>361</v>
      </c>
      <c r="N8216" s="405" t="s">
        <v>374</v>
      </c>
      <c r="O8216" s="405" t="s">
        <v>361</v>
      </c>
      <c r="P8216" s="405" t="s">
        <v>2363</v>
      </c>
      <c r="Q8216" s="411">
        <v>12</v>
      </c>
      <c r="R8216" s="405" t="s">
        <v>353</v>
      </c>
      <c r="S8216" s="405" t="s">
        <v>27153</v>
      </c>
      <c r="T8216" s="405" t="s">
        <v>32102</v>
      </c>
      <c r="U8216" s="405" t="s">
        <v>319</v>
      </c>
    </row>
    <row r="8217" spans="1:21" hidden="1" x14ac:dyDescent="0.25">
      <c r="A8217" s="405" t="s">
        <v>310</v>
      </c>
      <c r="B8217" s="405" t="s">
        <v>1856</v>
      </c>
      <c r="C8217" s="405" t="s">
        <v>327</v>
      </c>
      <c r="D8217" s="405"/>
      <c r="E8217" s="410">
        <v>40786</v>
      </c>
      <c r="F8217" s="410">
        <v>40831</v>
      </c>
      <c r="G8217" s="405" t="s">
        <v>1857</v>
      </c>
      <c r="H8217" s="405">
        <v>712491009</v>
      </c>
      <c r="I8217" s="405">
        <v>70684853</v>
      </c>
      <c r="J8217" s="405">
        <v>0.36671300000000001</v>
      </c>
      <c r="K8217" s="405">
        <v>32.756577999999998</v>
      </c>
      <c r="L8217" s="405" t="s">
        <v>314</v>
      </c>
      <c r="M8217" s="405" t="s">
        <v>329</v>
      </c>
      <c r="N8217" s="405" t="s">
        <v>330</v>
      </c>
      <c r="O8217" s="405" t="s">
        <v>331</v>
      </c>
      <c r="P8217" s="405" t="s">
        <v>366</v>
      </c>
      <c r="Q8217" s="411">
        <v>9</v>
      </c>
      <c r="R8217" s="405" t="s">
        <v>353</v>
      </c>
      <c r="S8217" s="405" t="s">
        <v>27111</v>
      </c>
      <c r="T8217" s="405" t="s">
        <v>32102</v>
      </c>
      <c r="U8217" s="405" t="s">
        <v>319</v>
      </c>
    </row>
    <row r="8218" spans="1:21" hidden="1" x14ac:dyDescent="0.25">
      <c r="A8218" s="405" t="s">
        <v>310</v>
      </c>
      <c r="B8218" s="405" t="s">
        <v>27799</v>
      </c>
      <c r="C8218" s="405" t="s">
        <v>311</v>
      </c>
      <c r="D8218" s="405" t="s">
        <v>839</v>
      </c>
      <c r="E8218" s="410">
        <v>40786</v>
      </c>
      <c r="F8218" s="410">
        <v>40831</v>
      </c>
      <c r="G8218" s="405" t="s">
        <v>11013</v>
      </c>
      <c r="H8218" s="405">
        <v>772636073</v>
      </c>
      <c r="I8218" s="405"/>
      <c r="J8218" s="405">
        <v>1.092503</v>
      </c>
      <c r="K8218" s="405">
        <v>34.200887999999999</v>
      </c>
      <c r="L8218" s="405" t="s">
        <v>6866</v>
      </c>
      <c r="M8218" s="405" t="s">
        <v>9514</v>
      </c>
      <c r="N8218" s="405" t="s">
        <v>9529</v>
      </c>
      <c r="O8218" s="405" t="s">
        <v>9530</v>
      </c>
      <c r="P8218" s="405" t="s">
        <v>11014</v>
      </c>
      <c r="Q8218" s="411">
        <v>6</v>
      </c>
      <c r="R8218" s="405" t="s">
        <v>7224</v>
      </c>
      <c r="S8218" s="405" t="s">
        <v>17062</v>
      </c>
      <c r="T8218" s="405" t="s">
        <v>32102</v>
      </c>
      <c r="U8218" s="405" t="s">
        <v>319</v>
      </c>
    </row>
    <row r="8219" spans="1:21" hidden="1" x14ac:dyDescent="0.25">
      <c r="A8219" s="405" t="s">
        <v>310</v>
      </c>
      <c r="B8219" s="405" t="s">
        <v>10643</v>
      </c>
      <c r="C8219" s="405" t="s">
        <v>327</v>
      </c>
      <c r="D8219" s="405"/>
      <c r="E8219" s="410">
        <v>40786</v>
      </c>
      <c r="F8219" s="410">
        <v>40831</v>
      </c>
      <c r="G8219" s="405" t="s">
        <v>10644</v>
      </c>
      <c r="H8219" s="405">
        <v>774298207</v>
      </c>
      <c r="I8219" s="405"/>
      <c r="J8219" s="405">
        <v>1.7605519999999999</v>
      </c>
      <c r="K8219" s="405">
        <v>33.669122999999999</v>
      </c>
      <c r="L8219" s="405" t="s">
        <v>6866</v>
      </c>
      <c r="M8219" s="405" t="s">
        <v>10515</v>
      </c>
      <c r="N8219" s="405" t="s">
        <v>10515</v>
      </c>
      <c r="O8219" s="405" t="s">
        <v>10645</v>
      </c>
      <c r="P8219" s="405" t="s">
        <v>10646</v>
      </c>
      <c r="Q8219" s="411">
        <v>6</v>
      </c>
      <c r="R8219" s="405" t="s">
        <v>10642</v>
      </c>
      <c r="S8219" s="405" t="s">
        <v>27325</v>
      </c>
      <c r="T8219" s="405" t="s">
        <v>32102</v>
      </c>
      <c r="U8219" s="405" t="s">
        <v>319</v>
      </c>
    </row>
    <row r="8220" spans="1:21" hidden="1" x14ac:dyDescent="0.25">
      <c r="A8220" s="405" t="s">
        <v>310</v>
      </c>
      <c r="B8220" s="405" t="s">
        <v>1877</v>
      </c>
      <c r="C8220" s="405" t="s">
        <v>327</v>
      </c>
      <c r="D8220" s="405"/>
      <c r="E8220" s="410">
        <v>40786</v>
      </c>
      <c r="F8220" s="410">
        <v>40831</v>
      </c>
      <c r="G8220" s="405" t="s">
        <v>1878</v>
      </c>
      <c r="H8220" s="405">
        <v>752755707</v>
      </c>
      <c r="I8220" s="405"/>
      <c r="J8220" s="405">
        <v>0.45530300000000001</v>
      </c>
      <c r="K8220" s="405">
        <v>32.545703000000003</v>
      </c>
      <c r="L8220" s="405" t="s">
        <v>314</v>
      </c>
      <c r="M8220" s="405" t="s">
        <v>361</v>
      </c>
      <c r="N8220" s="405" t="s">
        <v>362</v>
      </c>
      <c r="O8220" s="405" t="s">
        <v>410</v>
      </c>
      <c r="P8220" s="405" t="s">
        <v>1174</v>
      </c>
      <c r="Q8220" s="411">
        <v>6</v>
      </c>
      <c r="R8220" s="405" t="s">
        <v>318</v>
      </c>
      <c r="S8220" s="405" t="s">
        <v>27149</v>
      </c>
      <c r="T8220" s="405" t="s">
        <v>32102</v>
      </c>
      <c r="U8220" s="405" t="s">
        <v>319</v>
      </c>
    </row>
    <row r="8221" spans="1:21" hidden="1" x14ac:dyDescent="0.25">
      <c r="A8221" s="405" t="s">
        <v>310</v>
      </c>
      <c r="B8221" s="405" t="s">
        <v>1879</v>
      </c>
      <c r="C8221" s="405" t="s">
        <v>327</v>
      </c>
      <c r="D8221" s="405"/>
      <c r="E8221" s="410">
        <v>40786</v>
      </c>
      <c r="F8221" s="410">
        <v>40831</v>
      </c>
      <c r="G8221" s="405" t="s">
        <v>1880</v>
      </c>
      <c r="H8221" s="405">
        <v>774265049</v>
      </c>
      <c r="I8221" s="405"/>
      <c r="J8221" s="405">
        <v>0.27495999999999998</v>
      </c>
      <c r="K8221" s="405">
        <v>32.510083000000002</v>
      </c>
      <c r="L8221" s="405" t="s">
        <v>314</v>
      </c>
      <c r="M8221" s="405" t="s">
        <v>361</v>
      </c>
      <c r="N8221" s="405" t="s">
        <v>362</v>
      </c>
      <c r="O8221" s="405" t="s">
        <v>375</v>
      </c>
      <c r="P8221" s="405" t="s">
        <v>1881</v>
      </c>
      <c r="Q8221" s="411">
        <v>6</v>
      </c>
      <c r="R8221" s="405" t="s">
        <v>318</v>
      </c>
      <c r="S8221" s="405" t="s">
        <v>414</v>
      </c>
      <c r="T8221" s="405" t="s">
        <v>32102</v>
      </c>
      <c r="U8221" s="405" t="s">
        <v>319</v>
      </c>
    </row>
    <row r="8222" spans="1:21" hidden="1" x14ac:dyDescent="0.25">
      <c r="A8222" s="405" t="s">
        <v>310</v>
      </c>
      <c r="B8222" s="405" t="s">
        <v>1865</v>
      </c>
      <c r="C8222" s="405" t="s">
        <v>327</v>
      </c>
      <c r="D8222" s="405"/>
      <c r="E8222" s="410">
        <v>40786</v>
      </c>
      <c r="F8222" s="410">
        <v>40831</v>
      </c>
      <c r="G8222" s="405" t="s">
        <v>1866</v>
      </c>
      <c r="H8222" s="405">
        <v>777101531</v>
      </c>
      <c r="I8222" s="405"/>
      <c r="J8222" s="405">
        <v>0.50032200000000004</v>
      </c>
      <c r="K8222" s="405">
        <v>32.721077000000001</v>
      </c>
      <c r="L8222" s="405" t="s">
        <v>314</v>
      </c>
      <c r="M8222" s="405" t="s">
        <v>329</v>
      </c>
      <c r="N8222" s="405" t="s">
        <v>545</v>
      </c>
      <c r="O8222" s="405" t="s">
        <v>336</v>
      </c>
      <c r="P8222" s="405" t="s">
        <v>1867</v>
      </c>
      <c r="Q8222" s="411">
        <v>6</v>
      </c>
      <c r="R8222" s="405" t="s">
        <v>318</v>
      </c>
      <c r="S8222" s="405" t="s">
        <v>27141</v>
      </c>
      <c r="T8222" s="405" t="s">
        <v>32102</v>
      </c>
      <c r="U8222" s="405" t="s">
        <v>319</v>
      </c>
    </row>
    <row r="8223" spans="1:21" hidden="1" x14ac:dyDescent="0.25">
      <c r="A8223" s="405" t="s">
        <v>310</v>
      </c>
      <c r="B8223" s="405" t="s">
        <v>10693</v>
      </c>
      <c r="C8223" s="405" t="s">
        <v>327</v>
      </c>
      <c r="D8223" s="405"/>
      <c r="E8223" s="410">
        <v>40786</v>
      </c>
      <c r="F8223" s="410">
        <v>40831</v>
      </c>
      <c r="G8223" s="405" t="s">
        <v>10694</v>
      </c>
      <c r="H8223" s="405">
        <v>772547609</v>
      </c>
      <c r="I8223" s="405"/>
      <c r="J8223" s="405">
        <v>0.89542699999999997</v>
      </c>
      <c r="K8223" s="405">
        <v>34.265363999999998</v>
      </c>
      <c r="L8223" s="405" t="s">
        <v>6866</v>
      </c>
      <c r="M8223" s="405" t="s">
        <v>9763</v>
      </c>
      <c r="N8223" s="405" t="s">
        <v>9764</v>
      </c>
      <c r="O8223" s="405" t="s">
        <v>9792</v>
      </c>
      <c r="P8223" s="405" t="s">
        <v>10695</v>
      </c>
      <c r="Q8223" s="411">
        <v>6</v>
      </c>
      <c r="R8223" s="405" t="s">
        <v>7224</v>
      </c>
      <c r="S8223" s="405" t="s">
        <v>27190</v>
      </c>
      <c r="T8223" s="405" t="s">
        <v>32102</v>
      </c>
      <c r="U8223" s="405" t="s">
        <v>319</v>
      </c>
    </row>
    <row r="8224" spans="1:21" hidden="1" x14ac:dyDescent="0.25">
      <c r="A8224" s="405" t="s">
        <v>310</v>
      </c>
      <c r="B8224" s="405" t="s">
        <v>28081</v>
      </c>
      <c r="C8224" s="405" t="s">
        <v>327</v>
      </c>
      <c r="D8224" s="405"/>
      <c r="E8224" s="410">
        <v>40786</v>
      </c>
      <c r="F8224" s="410">
        <v>40831</v>
      </c>
      <c r="G8224" s="405" t="s">
        <v>1832</v>
      </c>
      <c r="H8224" s="405">
        <v>712996974</v>
      </c>
      <c r="I8224" s="405"/>
      <c r="J8224" s="405">
        <v>0.45234350000000001</v>
      </c>
      <c r="K8224" s="405">
        <v>32.588540500000001</v>
      </c>
      <c r="L8224" s="405" t="s">
        <v>314</v>
      </c>
      <c r="M8224" s="405" t="s">
        <v>361</v>
      </c>
      <c r="N8224" s="405" t="s">
        <v>362</v>
      </c>
      <c r="O8224" s="405" t="s">
        <v>523</v>
      </c>
      <c r="P8224" s="405" t="s">
        <v>1833</v>
      </c>
      <c r="Q8224" s="411">
        <v>6</v>
      </c>
      <c r="R8224" s="405" t="s">
        <v>318</v>
      </c>
      <c r="S8224" s="405" t="s">
        <v>27124</v>
      </c>
      <c r="T8224" s="405" t="s">
        <v>32102</v>
      </c>
      <c r="U8224" s="405" t="s">
        <v>319</v>
      </c>
    </row>
    <row r="8225" spans="1:21" hidden="1" x14ac:dyDescent="0.25">
      <c r="A8225" s="405" t="s">
        <v>310</v>
      </c>
      <c r="B8225" s="405" t="s">
        <v>10663</v>
      </c>
      <c r="C8225" s="405" t="s">
        <v>327</v>
      </c>
      <c r="D8225" s="405"/>
      <c r="E8225" s="410">
        <v>40786</v>
      </c>
      <c r="F8225" s="410">
        <v>40831</v>
      </c>
      <c r="G8225" s="405" t="s">
        <v>10664</v>
      </c>
      <c r="H8225" s="405">
        <v>784594470</v>
      </c>
      <c r="I8225" s="405"/>
      <c r="J8225" s="405">
        <v>1.1580029999999999</v>
      </c>
      <c r="K8225" s="405">
        <v>34.214522000000002</v>
      </c>
      <c r="L8225" s="405" t="s">
        <v>6866</v>
      </c>
      <c r="M8225" s="405" t="s">
        <v>9514</v>
      </c>
      <c r="N8225" s="405" t="s">
        <v>9529</v>
      </c>
      <c r="O8225" s="405" t="s">
        <v>9530</v>
      </c>
      <c r="P8225" s="405" t="s">
        <v>10665</v>
      </c>
      <c r="Q8225" s="411">
        <v>6</v>
      </c>
      <c r="R8225" s="405" t="s">
        <v>7224</v>
      </c>
      <c r="S8225" s="405" t="s">
        <v>27316</v>
      </c>
      <c r="T8225" s="405" t="s">
        <v>32102</v>
      </c>
      <c r="U8225" s="405" t="s">
        <v>319</v>
      </c>
    </row>
    <row r="8226" spans="1:21" hidden="1" x14ac:dyDescent="0.25">
      <c r="A8226" s="405" t="s">
        <v>310</v>
      </c>
      <c r="B8226" s="405" t="s">
        <v>1883</v>
      </c>
      <c r="C8226" s="405" t="s">
        <v>327</v>
      </c>
      <c r="D8226" s="405"/>
      <c r="E8226" s="410">
        <v>40786</v>
      </c>
      <c r="F8226" s="410">
        <v>40831</v>
      </c>
      <c r="G8226" s="405" t="s">
        <v>1884</v>
      </c>
      <c r="H8226" s="405">
        <v>712800234</v>
      </c>
      <c r="I8226" s="405"/>
      <c r="J8226" s="405">
        <v>0.31974170000000002</v>
      </c>
      <c r="K8226" s="405">
        <v>32.621220600000001</v>
      </c>
      <c r="L8226" s="405" t="s">
        <v>314</v>
      </c>
      <c r="M8226" s="405" t="s">
        <v>361</v>
      </c>
      <c r="N8226" s="405" t="s">
        <v>362</v>
      </c>
      <c r="O8226" s="405" t="s">
        <v>410</v>
      </c>
      <c r="P8226" s="405" t="s">
        <v>421</v>
      </c>
      <c r="Q8226" s="411">
        <v>6</v>
      </c>
      <c r="R8226" s="405" t="s">
        <v>353</v>
      </c>
      <c r="S8226" s="405" t="s">
        <v>27147</v>
      </c>
      <c r="T8226" s="405" t="s">
        <v>32102</v>
      </c>
      <c r="U8226" s="405" t="s">
        <v>319</v>
      </c>
    </row>
    <row r="8227" spans="1:21" hidden="1" x14ac:dyDescent="0.25">
      <c r="A8227" s="405" t="s">
        <v>310</v>
      </c>
      <c r="B8227" s="405" t="s">
        <v>10686</v>
      </c>
      <c r="C8227" s="405" t="s">
        <v>327</v>
      </c>
      <c r="D8227" s="405"/>
      <c r="E8227" s="410">
        <v>40785</v>
      </c>
      <c r="F8227" s="410">
        <v>40830</v>
      </c>
      <c r="G8227" s="405" t="s">
        <v>10687</v>
      </c>
      <c r="H8227" s="405">
        <v>704222256</v>
      </c>
      <c r="I8227" s="405"/>
      <c r="J8227" s="405">
        <v>1.2073119999999999</v>
      </c>
      <c r="K8227" s="405">
        <v>33.684750000000001</v>
      </c>
      <c r="L8227" s="405" t="s">
        <v>6866</v>
      </c>
      <c r="M8227" s="405" t="s">
        <v>9509</v>
      </c>
      <c r="N8227" s="405" t="s">
        <v>10036</v>
      </c>
      <c r="O8227" s="405" t="s">
        <v>10037</v>
      </c>
      <c r="P8227" s="405" t="s">
        <v>10685</v>
      </c>
      <c r="Q8227" s="411">
        <v>6</v>
      </c>
      <c r="R8227" s="405" t="s">
        <v>9541</v>
      </c>
      <c r="S8227" s="405" t="s">
        <v>27296</v>
      </c>
      <c r="T8227" s="405" t="s">
        <v>32102</v>
      </c>
      <c r="U8227" s="405" t="s">
        <v>319</v>
      </c>
    </row>
    <row r="8228" spans="1:21" hidden="1" x14ac:dyDescent="0.25">
      <c r="A8228" s="405" t="s">
        <v>310</v>
      </c>
      <c r="B8228" s="405" t="s">
        <v>10640</v>
      </c>
      <c r="C8228" s="405" t="s">
        <v>327</v>
      </c>
      <c r="D8228" s="405"/>
      <c r="E8228" s="410">
        <v>40785</v>
      </c>
      <c r="F8228" s="410">
        <v>40830</v>
      </c>
      <c r="G8228" s="405" t="s">
        <v>10641</v>
      </c>
      <c r="H8228" s="405">
        <v>772512934</v>
      </c>
      <c r="I8228" s="405">
        <v>774569106</v>
      </c>
      <c r="J8228" s="405">
        <v>1.6156219999999999</v>
      </c>
      <c r="K8228" s="405">
        <v>33.609883000000004</v>
      </c>
      <c r="L8228" s="405" t="s">
        <v>6866</v>
      </c>
      <c r="M8228" s="405" t="s">
        <v>10515</v>
      </c>
      <c r="N8228" s="405" t="s">
        <v>10515</v>
      </c>
      <c r="O8228" s="405" t="s">
        <v>10516</v>
      </c>
      <c r="P8228" s="405" t="s">
        <v>10517</v>
      </c>
      <c r="Q8228" s="411">
        <v>6</v>
      </c>
      <c r="R8228" s="405" t="s">
        <v>10642</v>
      </c>
      <c r="S8228" s="405" t="s">
        <v>27325</v>
      </c>
      <c r="T8228" s="405" t="s">
        <v>32102</v>
      </c>
      <c r="U8228" s="405" t="s">
        <v>319</v>
      </c>
    </row>
    <row r="8229" spans="1:21" hidden="1" x14ac:dyDescent="0.25">
      <c r="A8229" s="405" t="s">
        <v>310</v>
      </c>
      <c r="B8229" s="405" t="s">
        <v>10666</v>
      </c>
      <c r="C8229" s="405" t="s">
        <v>327</v>
      </c>
      <c r="D8229" s="405"/>
      <c r="E8229" s="410">
        <v>40785</v>
      </c>
      <c r="F8229" s="410">
        <v>40830</v>
      </c>
      <c r="G8229" s="405" t="s">
        <v>10667</v>
      </c>
      <c r="H8229" s="405">
        <v>782505920</v>
      </c>
      <c r="I8229" s="405"/>
      <c r="J8229" s="405">
        <v>0.79824399999999995</v>
      </c>
      <c r="K8229" s="405">
        <v>34.375658999999999</v>
      </c>
      <c r="L8229" s="405" t="s">
        <v>6866</v>
      </c>
      <c r="M8229" s="405" t="s">
        <v>9763</v>
      </c>
      <c r="N8229" s="405" t="s">
        <v>9848</v>
      </c>
      <c r="O8229" s="405" t="s">
        <v>10668</v>
      </c>
      <c r="P8229" s="405" t="s">
        <v>10669</v>
      </c>
      <c r="Q8229" s="411">
        <v>6</v>
      </c>
      <c r="R8229" s="405" t="s">
        <v>7224</v>
      </c>
      <c r="S8229" s="405" t="s">
        <v>27074</v>
      </c>
      <c r="T8229" s="405" t="s">
        <v>32102</v>
      </c>
      <c r="U8229" s="405" t="s">
        <v>319</v>
      </c>
    </row>
    <row r="8230" spans="1:21" hidden="1" x14ac:dyDescent="0.25">
      <c r="A8230" s="405" t="s">
        <v>310</v>
      </c>
      <c r="B8230" s="405" t="s">
        <v>28981</v>
      </c>
      <c r="C8230" s="405" t="s">
        <v>327</v>
      </c>
      <c r="D8230" s="405"/>
      <c r="E8230" s="410">
        <v>40784</v>
      </c>
      <c r="F8230" s="410">
        <v>40829</v>
      </c>
      <c r="G8230" s="405" t="s">
        <v>1882</v>
      </c>
      <c r="H8230" s="405">
        <v>757717638</v>
      </c>
      <c r="I8230" s="405"/>
      <c r="J8230" s="405">
        <v>0.15020166666666668</v>
      </c>
      <c r="K8230" s="405">
        <v>32.318378333333335</v>
      </c>
      <c r="L8230" s="405" t="s">
        <v>314</v>
      </c>
      <c r="M8230" s="405" t="s">
        <v>321</v>
      </c>
      <c r="N8230" s="405" t="s">
        <v>322</v>
      </c>
      <c r="O8230" s="405" t="s">
        <v>996</v>
      </c>
      <c r="P8230" s="405" t="s">
        <v>1652</v>
      </c>
      <c r="Q8230" s="411">
        <v>13</v>
      </c>
      <c r="R8230" s="405" t="s">
        <v>318</v>
      </c>
      <c r="S8230" s="405" t="s">
        <v>27113</v>
      </c>
      <c r="T8230" s="405" t="s">
        <v>32102</v>
      </c>
      <c r="U8230" s="405" t="s">
        <v>319</v>
      </c>
    </row>
    <row r="8231" spans="1:21" hidden="1" x14ac:dyDescent="0.25">
      <c r="A8231" s="405" t="s">
        <v>310</v>
      </c>
      <c r="B8231" s="405" t="s">
        <v>10690</v>
      </c>
      <c r="C8231" s="405" t="s">
        <v>327</v>
      </c>
      <c r="D8231" s="405"/>
      <c r="E8231" s="410">
        <v>40784</v>
      </c>
      <c r="F8231" s="410">
        <v>40829</v>
      </c>
      <c r="G8231" s="405" t="s">
        <v>10691</v>
      </c>
      <c r="H8231" s="405">
        <v>782853094</v>
      </c>
      <c r="I8231" s="405"/>
      <c r="J8231" s="405">
        <v>1.2030149999999999</v>
      </c>
      <c r="K8231" s="405">
        <v>34.319454</v>
      </c>
      <c r="L8231" s="405" t="s">
        <v>6866</v>
      </c>
      <c r="M8231" s="405" t="s">
        <v>9575</v>
      </c>
      <c r="N8231" s="405" t="s">
        <v>9629</v>
      </c>
      <c r="O8231" s="405" t="s">
        <v>9630</v>
      </c>
      <c r="P8231" s="405" t="s">
        <v>10692</v>
      </c>
      <c r="Q8231" s="411">
        <v>6</v>
      </c>
      <c r="R8231" s="405" t="s">
        <v>9541</v>
      </c>
      <c r="S8231" s="405" t="s">
        <v>27086</v>
      </c>
      <c r="T8231" s="405" t="s">
        <v>32102</v>
      </c>
      <c r="U8231" s="405" t="s">
        <v>319</v>
      </c>
    </row>
    <row r="8232" spans="1:21" hidden="1" x14ac:dyDescent="0.25">
      <c r="A8232" s="405" t="s">
        <v>310</v>
      </c>
      <c r="B8232" s="405" t="s">
        <v>11041</v>
      </c>
      <c r="C8232" s="405" t="s">
        <v>311</v>
      </c>
      <c r="D8232" s="405" t="s">
        <v>1789</v>
      </c>
      <c r="E8232" s="410">
        <v>40781</v>
      </c>
      <c r="F8232" s="410">
        <v>40826</v>
      </c>
      <c r="G8232" s="405" t="s">
        <v>11042</v>
      </c>
      <c r="H8232" s="405">
        <v>774506825</v>
      </c>
      <c r="I8232" s="405"/>
      <c r="J8232" s="405">
        <v>1.43483</v>
      </c>
      <c r="K8232" s="405">
        <v>33.918883000000001</v>
      </c>
      <c r="L8232" s="405" t="s">
        <v>6866</v>
      </c>
      <c r="M8232" s="405" t="s">
        <v>10029</v>
      </c>
      <c r="N8232" s="405" t="s">
        <v>10030</v>
      </c>
      <c r="O8232" s="405" t="s">
        <v>10031</v>
      </c>
      <c r="P8232" s="405" t="s">
        <v>11043</v>
      </c>
      <c r="Q8232" s="411">
        <v>6</v>
      </c>
      <c r="R8232" s="405" t="s">
        <v>9541</v>
      </c>
      <c r="S8232" s="405" t="s">
        <v>27329</v>
      </c>
      <c r="T8232" s="405" t="s">
        <v>32102</v>
      </c>
      <c r="U8232" s="405" t="s">
        <v>319</v>
      </c>
    </row>
    <row r="8233" spans="1:21" hidden="1" x14ac:dyDescent="0.25">
      <c r="A8233" s="405" t="s">
        <v>310</v>
      </c>
      <c r="B8233" s="405" t="s">
        <v>1862</v>
      </c>
      <c r="C8233" s="405" t="s">
        <v>327</v>
      </c>
      <c r="D8233" s="405"/>
      <c r="E8233" s="410">
        <v>40780</v>
      </c>
      <c r="F8233" s="410">
        <v>40825</v>
      </c>
      <c r="G8233" s="405" t="s">
        <v>1863</v>
      </c>
      <c r="H8233" s="405">
        <v>702300030</v>
      </c>
      <c r="I8233" s="405">
        <v>784229505</v>
      </c>
      <c r="J8233" s="405">
        <v>-0.35601250000000001</v>
      </c>
      <c r="K8233" s="405">
        <v>31.726492400000001</v>
      </c>
      <c r="L8233" s="405" t="s">
        <v>314</v>
      </c>
      <c r="M8233" s="405" t="s">
        <v>900</v>
      </c>
      <c r="N8233" s="405" t="s">
        <v>900</v>
      </c>
      <c r="O8233" s="405" t="s">
        <v>1302</v>
      </c>
      <c r="P8233" s="405" t="s">
        <v>1864</v>
      </c>
      <c r="Q8233" s="411">
        <v>13</v>
      </c>
      <c r="R8233" s="405" t="s">
        <v>1263</v>
      </c>
      <c r="S8233" s="405" t="s">
        <v>27053</v>
      </c>
      <c r="T8233" s="405" t="s">
        <v>32102</v>
      </c>
      <c r="U8233" s="405" t="s">
        <v>319</v>
      </c>
    </row>
    <row r="8234" spans="1:21" hidden="1" x14ac:dyDescent="0.25">
      <c r="A8234" s="405" t="s">
        <v>310</v>
      </c>
      <c r="B8234" s="405" t="s">
        <v>20295</v>
      </c>
      <c r="C8234" s="405" t="s">
        <v>327</v>
      </c>
      <c r="D8234" s="405"/>
      <c r="E8234" s="410">
        <v>40780</v>
      </c>
      <c r="F8234" s="410">
        <v>40825</v>
      </c>
      <c r="G8234" s="405" t="s">
        <v>20296</v>
      </c>
      <c r="H8234" s="405">
        <v>782313727</v>
      </c>
      <c r="I8234" s="405"/>
      <c r="J8234" s="405">
        <v>-0.15030399999999999</v>
      </c>
      <c r="K8234" s="405">
        <v>30.431345</v>
      </c>
      <c r="L8234" s="405" t="s">
        <v>590</v>
      </c>
      <c r="M8234" s="405" t="s">
        <v>19720</v>
      </c>
      <c r="N8234" s="405" t="s">
        <v>20297</v>
      </c>
      <c r="O8234" s="405" t="s">
        <v>20298</v>
      </c>
      <c r="P8234" s="405" t="s">
        <v>20299</v>
      </c>
      <c r="Q8234" s="411">
        <v>6</v>
      </c>
      <c r="R8234" s="405" t="s">
        <v>883</v>
      </c>
      <c r="S8234" s="405" t="s">
        <v>27183</v>
      </c>
      <c r="T8234" s="405" t="s">
        <v>32102</v>
      </c>
      <c r="U8234" s="405" t="s">
        <v>319</v>
      </c>
    </row>
    <row r="8235" spans="1:21" hidden="1" x14ac:dyDescent="0.25">
      <c r="A8235" s="405" t="s">
        <v>310</v>
      </c>
      <c r="B8235" s="405" t="s">
        <v>10635</v>
      </c>
      <c r="C8235" s="405" t="s">
        <v>327</v>
      </c>
      <c r="D8235" s="405"/>
      <c r="E8235" s="410">
        <v>40780</v>
      </c>
      <c r="F8235" s="410">
        <v>40825</v>
      </c>
      <c r="G8235" s="405" t="s">
        <v>10636</v>
      </c>
      <c r="H8235" s="405">
        <v>755442387</v>
      </c>
      <c r="I8235" s="405"/>
      <c r="J8235" s="405">
        <v>0.70788899999999999</v>
      </c>
      <c r="K8235" s="405">
        <v>33.871236000000003</v>
      </c>
      <c r="L8235" s="405" t="s">
        <v>6866</v>
      </c>
      <c r="M8235" s="405" t="s">
        <v>9566</v>
      </c>
      <c r="N8235" s="405" t="s">
        <v>9787</v>
      </c>
      <c r="O8235" s="405" t="s">
        <v>9788</v>
      </c>
      <c r="P8235" s="405" t="s">
        <v>10637</v>
      </c>
      <c r="Q8235" s="411">
        <v>6</v>
      </c>
      <c r="R8235" s="405" t="s">
        <v>9541</v>
      </c>
      <c r="S8235" s="405" t="s">
        <v>27086</v>
      </c>
      <c r="T8235" s="405" t="s">
        <v>32102</v>
      </c>
      <c r="U8235" s="405" t="s">
        <v>319</v>
      </c>
    </row>
    <row r="8236" spans="1:21" hidden="1" x14ac:dyDescent="0.25">
      <c r="A8236" s="405" t="s">
        <v>310</v>
      </c>
      <c r="B8236" s="405" t="s">
        <v>10611</v>
      </c>
      <c r="C8236" s="405" t="s">
        <v>327</v>
      </c>
      <c r="D8236" s="405"/>
      <c r="E8236" s="410">
        <v>40779</v>
      </c>
      <c r="F8236" s="410">
        <v>40824</v>
      </c>
      <c r="G8236" s="405" t="s">
        <v>10612</v>
      </c>
      <c r="H8236" s="405">
        <v>775488025</v>
      </c>
      <c r="I8236" s="405"/>
      <c r="J8236" s="405">
        <v>1.358922</v>
      </c>
      <c r="K8236" s="405">
        <v>34.417766999999998</v>
      </c>
      <c r="L8236" s="405" t="s">
        <v>6866</v>
      </c>
      <c r="M8236" s="405" t="s">
        <v>9685</v>
      </c>
      <c r="N8236" s="405" t="s">
        <v>9686</v>
      </c>
      <c r="O8236" s="405" t="s">
        <v>9687</v>
      </c>
      <c r="P8236" s="405" t="s">
        <v>10401</v>
      </c>
      <c r="Q8236" s="411">
        <v>6</v>
      </c>
      <c r="R8236" s="405" t="s">
        <v>9541</v>
      </c>
      <c r="S8236" s="405" t="s">
        <v>27302</v>
      </c>
      <c r="T8236" s="405" t="s">
        <v>32102</v>
      </c>
      <c r="U8236" s="405" t="s">
        <v>319</v>
      </c>
    </row>
    <row r="8237" spans="1:21" hidden="1" x14ac:dyDescent="0.25">
      <c r="A8237" s="405" t="s">
        <v>310</v>
      </c>
      <c r="B8237" s="405" t="s">
        <v>10696</v>
      </c>
      <c r="C8237" s="405" t="s">
        <v>327</v>
      </c>
      <c r="D8237" s="405"/>
      <c r="E8237" s="410">
        <v>40777</v>
      </c>
      <c r="F8237" s="410">
        <v>40822</v>
      </c>
      <c r="G8237" s="405" t="s">
        <v>10697</v>
      </c>
      <c r="H8237" s="405">
        <v>777268228</v>
      </c>
      <c r="I8237" s="405"/>
      <c r="J8237" s="405">
        <v>0.318743</v>
      </c>
      <c r="K8237" s="405">
        <v>33.979695999999997</v>
      </c>
      <c r="L8237" s="405" t="s">
        <v>6866</v>
      </c>
      <c r="M8237" s="405" t="s">
        <v>10390</v>
      </c>
      <c r="N8237" s="405" t="s">
        <v>10391</v>
      </c>
      <c r="O8237" s="405" t="s">
        <v>10395</v>
      </c>
      <c r="P8237" s="405" t="s">
        <v>10698</v>
      </c>
      <c r="Q8237" s="411">
        <v>6</v>
      </c>
      <c r="R8237" s="405" t="s">
        <v>7224</v>
      </c>
      <c r="S8237" s="405" t="s">
        <v>27259</v>
      </c>
      <c r="T8237" s="405" t="s">
        <v>32102</v>
      </c>
      <c r="U8237" s="405" t="s">
        <v>319</v>
      </c>
    </row>
    <row r="8238" spans="1:21" hidden="1" x14ac:dyDescent="0.25">
      <c r="A8238" s="405" t="s">
        <v>310</v>
      </c>
      <c r="B8238" s="405" t="s">
        <v>20290</v>
      </c>
      <c r="C8238" s="405" t="s">
        <v>327</v>
      </c>
      <c r="D8238" s="405"/>
      <c r="E8238" s="410">
        <v>40777</v>
      </c>
      <c r="F8238" s="410">
        <v>40822</v>
      </c>
      <c r="G8238" s="405" t="s">
        <v>20291</v>
      </c>
      <c r="H8238" s="405">
        <v>771657129</v>
      </c>
      <c r="I8238" s="405">
        <v>757003392</v>
      </c>
      <c r="J8238" s="405">
        <v>-0.79488099999999995</v>
      </c>
      <c r="K8238" s="405">
        <v>30.502313999999998</v>
      </c>
      <c r="L8238" s="405" t="s">
        <v>590</v>
      </c>
      <c r="M8238" s="405" t="s">
        <v>19614</v>
      </c>
      <c r="N8238" s="405" t="s">
        <v>19654</v>
      </c>
      <c r="O8238" s="405" t="s">
        <v>19995</v>
      </c>
      <c r="P8238" s="405" t="s">
        <v>19996</v>
      </c>
      <c r="Q8238" s="411">
        <v>6</v>
      </c>
      <c r="R8238" s="405" t="s">
        <v>333</v>
      </c>
      <c r="S8238" s="405" t="s">
        <v>27166</v>
      </c>
      <c r="T8238" s="405" t="s">
        <v>32102</v>
      </c>
      <c r="U8238" s="405" t="s">
        <v>319</v>
      </c>
    </row>
    <row r="8239" spans="1:21" hidden="1" x14ac:dyDescent="0.25">
      <c r="A8239" s="405" t="s">
        <v>310</v>
      </c>
      <c r="B8239" s="405" t="s">
        <v>20282</v>
      </c>
      <c r="C8239" s="405" t="s">
        <v>327</v>
      </c>
      <c r="D8239" s="405"/>
      <c r="E8239" s="410">
        <v>40777</v>
      </c>
      <c r="F8239" s="410">
        <v>40822</v>
      </c>
      <c r="G8239" s="405" t="s">
        <v>20283</v>
      </c>
      <c r="H8239" s="405">
        <v>752415177</v>
      </c>
      <c r="I8239" s="405"/>
      <c r="J8239" s="405">
        <v>-0.82208700000000001</v>
      </c>
      <c r="K8239" s="405">
        <v>30.703178999999999</v>
      </c>
      <c r="L8239" s="405" t="s">
        <v>590</v>
      </c>
      <c r="M8239" s="405" t="s">
        <v>879</v>
      </c>
      <c r="N8239" s="405" t="s">
        <v>879</v>
      </c>
      <c r="O8239" s="405" t="s">
        <v>20145</v>
      </c>
      <c r="P8239" s="405" t="s">
        <v>20284</v>
      </c>
      <c r="Q8239" s="411">
        <v>6</v>
      </c>
      <c r="R8239" s="405" t="s">
        <v>333</v>
      </c>
      <c r="S8239" s="405" t="s">
        <v>27298</v>
      </c>
      <c r="T8239" s="405" t="s">
        <v>32102</v>
      </c>
      <c r="U8239" s="405" t="s">
        <v>319</v>
      </c>
    </row>
    <row r="8240" spans="1:21" hidden="1" x14ac:dyDescent="0.25">
      <c r="A8240" s="405" t="s">
        <v>310</v>
      </c>
      <c r="B8240" s="405" t="s">
        <v>20285</v>
      </c>
      <c r="C8240" s="405" t="s">
        <v>327</v>
      </c>
      <c r="D8240" s="405"/>
      <c r="E8240" s="410">
        <v>40777</v>
      </c>
      <c r="F8240" s="410">
        <v>40822</v>
      </c>
      <c r="G8240" s="405" t="s">
        <v>20286</v>
      </c>
      <c r="H8240" s="405">
        <v>772644470</v>
      </c>
      <c r="I8240" s="405"/>
      <c r="J8240" s="405">
        <v>-0.56900300000000004</v>
      </c>
      <c r="K8240" s="405">
        <v>30.548492</v>
      </c>
      <c r="L8240" s="405" t="s">
        <v>590</v>
      </c>
      <c r="M8240" s="405" t="s">
        <v>19614</v>
      </c>
      <c r="N8240" s="405" t="s">
        <v>20230</v>
      </c>
      <c r="O8240" s="405" t="s">
        <v>20154</v>
      </c>
      <c r="P8240" s="405" t="s">
        <v>7093</v>
      </c>
      <c r="Q8240" s="411">
        <v>6</v>
      </c>
      <c r="R8240" s="405" t="s">
        <v>333</v>
      </c>
      <c r="S8240" s="405" t="s">
        <v>27173</v>
      </c>
      <c r="T8240" s="405" t="s">
        <v>32102</v>
      </c>
      <c r="U8240" s="405" t="s">
        <v>319</v>
      </c>
    </row>
    <row r="8241" spans="1:21" hidden="1" x14ac:dyDescent="0.25">
      <c r="A8241" s="405" t="s">
        <v>310</v>
      </c>
      <c r="B8241" s="405" t="s">
        <v>27798</v>
      </c>
      <c r="C8241" s="405" t="s">
        <v>327</v>
      </c>
      <c r="D8241" s="405"/>
      <c r="E8241" s="410">
        <v>40776</v>
      </c>
      <c r="F8241" s="410">
        <v>40821</v>
      </c>
      <c r="G8241" s="405" t="s">
        <v>10673</v>
      </c>
      <c r="H8241" s="405">
        <v>782612238</v>
      </c>
      <c r="I8241" s="405"/>
      <c r="J8241" s="405">
        <v>1.306303</v>
      </c>
      <c r="K8241" s="405">
        <v>34.291128</v>
      </c>
      <c r="L8241" s="405" t="s">
        <v>6866</v>
      </c>
      <c r="M8241" s="405" t="s">
        <v>9550</v>
      </c>
      <c r="N8241" s="405" t="s">
        <v>9638</v>
      </c>
      <c r="O8241" s="405" t="s">
        <v>9639</v>
      </c>
      <c r="P8241" s="405" t="s">
        <v>10674</v>
      </c>
      <c r="Q8241" s="411">
        <v>6</v>
      </c>
      <c r="R8241" s="405" t="s">
        <v>9541</v>
      </c>
      <c r="S8241" s="405" t="s">
        <v>27086</v>
      </c>
      <c r="T8241" s="405" t="s">
        <v>32102</v>
      </c>
      <c r="U8241" s="405" t="s">
        <v>319</v>
      </c>
    </row>
    <row r="8242" spans="1:21" hidden="1" x14ac:dyDescent="0.25">
      <c r="A8242" s="405" t="s">
        <v>310</v>
      </c>
      <c r="B8242" s="405" t="s">
        <v>10683</v>
      </c>
      <c r="C8242" s="405" t="s">
        <v>327</v>
      </c>
      <c r="D8242" s="405"/>
      <c r="E8242" s="410">
        <v>40776</v>
      </c>
      <c r="F8242" s="410">
        <v>40821</v>
      </c>
      <c r="G8242" s="405" t="s">
        <v>10684</v>
      </c>
      <c r="H8242" s="405">
        <v>775314620</v>
      </c>
      <c r="I8242" s="405"/>
      <c r="J8242" s="405">
        <v>1.207355</v>
      </c>
      <c r="K8242" s="405">
        <v>33.684638</v>
      </c>
      <c r="L8242" s="405" t="s">
        <v>6866</v>
      </c>
      <c r="M8242" s="405" t="s">
        <v>9509</v>
      </c>
      <c r="N8242" s="405" t="s">
        <v>9509</v>
      </c>
      <c r="O8242" s="405" t="s">
        <v>10037</v>
      </c>
      <c r="P8242" s="405" t="s">
        <v>10685</v>
      </c>
      <c r="Q8242" s="411">
        <v>6</v>
      </c>
      <c r="R8242" s="405" t="s">
        <v>9541</v>
      </c>
      <c r="S8242" s="405" t="s">
        <v>27296</v>
      </c>
      <c r="T8242" s="405" t="s">
        <v>32102</v>
      </c>
      <c r="U8242" s="405" t="s">
        <v>319</v>
      </c>
    </row>
    <row r="8243" spans="1:21" hidden="1" x14ac:dyDescent="0.25">
      <c r="A8243" s="405" t="s">
        <v>310</v>
      </c>
      <c r="B8243" s="405" t="s">
        <v>27774</v>
      </c>
      <c r="C8243" s="405" t="s">
        <v>327</v>
      </c>
      <c r="D8243" s="405"/>
      <c r="E8243" s="410">
        <v>40775</v>
      </c>
      <c r="F8243" s="410">
        <v>40820</v>
      </c>
      <c r="G8243" s="405" t="s">
        <v>1885</v>
      </c>
      <c r="H8243" s="405">
        <v>752790222</v>
      </c>
      <c r="I8243" s="405">
        <v>703020739</v>
      </c>
      <c r="J8243" s="405">
        <v>0.15010166666666666</v>
      </c>
      <c r="K8243" s="405">
        <v>32.318494999999999</v>
      </c>
      <c r="L8243" s="405" t="s">
        <v>314</v>
      </c>
      <c r="M8243" s="405" t="s">
        <v>321</v>
      </c>
      <c r="N8243" s="405" t="s">
        <v>1886</v>
      </c>
      <c r="O8243" s="405" t="s">
        <v>996</v>
      </c>
      <c r="P8243" s="405" t="s">
        <v>1652</v>
      </c>
      <c r="Q8243" s="411">
        <v>6</v>
      </c>
      <c r="R8243" s="405" t="s">
        <v>318</v>
      </c>
      <c r="S8243" s="405" t="s">
        <v>27113</v>
      </c>
      <c r="T8243" s="405" t="s">
        <v>32102</v>
      </c>
      <c r="U8243" s="405" t="s">
        <v>319</v>
      </c>
    </row>
    <row r="8244" spans="1:21" hidden="1" x14ac:dyDescent="0.25">
      <c r="A8244" s="405" t="s">
        <v>310</v>
      </c>
      <c r="B8244" s="405" t="s">
        <v>1834</v>
      </c>
      <c r="C8244" s="405" t="s">
        <v>327</v>
      </c>
      <c r="D8244" s="405"/>
      <c r="E8244" s="410">
        <v>40775</v>
      </c>
      <c r="F8244" s="410">
        <v>40820</v>
      </c>
      <c r="G8244" s="405" t="s">
        <v>1835</v>
      </c>
      <c r="H8244" s="405">
        <v>774022411</v>
      </c>
      <c r="I8244" s="405">
        <v>753270142</v>
      </c>
      <c r="J8244" s="405">
        <v>0.4134639</v>
      </c>
      <c r="K8244" s="405">
        <v>33.133922499999997</v>
      </c>
      <c r="L8244" s="405" t="s">
        <v>314</v>
      </c>
      <c r="M8244" s="405" t="s">
        <v>349</v>
      </c>
      <c r="N8244" s="405" t="s">
        <v>1836</v>
      </c>
      <c r="O8244" s="405" t="s">
        <v>1836</v>
      </c>
      <c r="P8244" s="405" t="s">
        <v>1837</v>
      </c>
      <c r="Q8244" s="411">
        <v>6</v>
      </c>
      <c r="R8244" s="405" t="s">
        <v>333</v>
      </c>
      <c r="S8244" s="405" t="s">
        <v>27162</v>
      </c>
      <c r="T8244" s="405" t="s">
        <v>32102</v>
      </c>
      <c r="U8244" s="405" t="s">
        <v>319</v>
      </c>
    </row>
    <row r="8245" spans="1:21" hidden="1" x14ac:dyDescent="0.25">
      <c r="A8245" s="405" t="s">
        <v>310</v>
      </c>
      <c r="B8245" s="405" t="s">
        <v>10603</v>
      </c>
      <c r="C8245" s="405" t="s">
        <v>327</v>
      </c>
      <c r="D8245" s="405"/>
      <c r="E8245" s="410">
        <v>40775</v>
      </c>
      <c r="F8245" s="410">
        <v>40820</v>
      </c>
      <c r="G8245" s="405" t="s">
        <v>10604</v>
      </c>
      <c r="H8245" s="405">
        <v>779731916</v>
      </c>
      <c r="I8245" s="405"/>
      <c r="J8245" s="405">
        <v>1.0907</v>
      </c>
      <c r="K8245" s="405">
        <v>34.272441999999998</v>
      </c>
      <c r="L8245" s="405" t="s">
        <v>6866</v>
      </c>
      <c r="M8245" s="405" t="s">
        <v>9514</v>
      </c>
      <c r="N8245" s="405" t="s">
        <v>9529</v>
      </c>
      <c r="O8245" s="405" t="s">
        <v>10139</v>
      </c>
      <c r="P8245" s="405" t="s">
        <v>10605</v>
      </c>
      <c r="Q8245" s="411">
        <v>6</v>
      </c>
      <c r="R8245" s="405" t="s">
        <v>7224</v>
      </c>
      <c r="S8245" s="405" t="s">
        <v>27107</v>
      </c>
      <c r="T8245" s="405" t="s">
        <v>32102</v>
      </c>
      <c r="U8245" s="405" t="s">
        <v>319</v>
      </c>
    </row>
    <row r="8246" spans="1:21" hidden="1" x14ac:dyDescent="0.25">
      <c r="A8246" s="405" t="s">
        <v>310</v>
      </c>
      <c r="B8246" s="405" t="s">
        <v>10656</v>
      </c>
      <c r="C8246" s="405" t="s">
        <v>327</v>
      </c>
      <c r="D8246" s="405"/>
      <c r="E8246" s="410">
        <v>40775</v>
      </c>
      <c r="F8246" s="410">
        <v>40820</v>
      </c>
      <c r="G8246" s="405" t="s">
        <v>10657</v>
      </c>
      <c r="H8246" s="405">
        <v>756053681</v>
      </c>
      <c r="I8246" s="405">
        <v>716141420</v>
      </c>
      <c r="J8246" s="405">
        <v>1.4120269999999999</v>
      </c>
      <c r="K8246" s="405">
        <v>34.111246999999999</v>
      </c>
      <c r="L8246" s="405" t="s">
        <v>6866</v>
      </c>
      <c r="M8246" s="405" t="s">
        <v>9504</v>
      </c>
      <c r="N8246" s="405" t="s">
        <v>9504</v>
      </c>
      <c r="O8246" s="405" t="s">
        <v>10105</v>
      </c>
      <c r="P8246" s="405" t="s">
        <v>10557</v>
      </c>
      <c r="Q8246" s="411">
        <v>6</v>
      </c>
      <c r="R8246" s="405" t="s">
        <v>9541</v>
      </c>
      <c r="S8246" s="405" t="s">
        <v>27294</v>
      </c>
      <c r="T8246" s="405" t="s">
        <v>32102</v>
      </c>
      <c r="U8246" s="405" t="s">
        <v>319</v>
      </c>
    </row>
    <row r="8247" spans="1:21" hidden="1" x14ac:dyDescent="0.25">
      <c r="A8247" s="405" t="s">
        <v>310</v>
      </c>
      <c r="B8247" s="405" t="s">
        <v>10705</v>
      </c>
      <c r="C8247" s="405" t="s">
        <v>327</v>
      </c>
      <c r="D8247" s="405"/>
      <c r="E8247" s="410">
        <v>40775</v>
      </c>
      <c r="F8247" s="410">
        <v>40820</v>
      </c>
      <c r="G8247" s="405" t="s">
        <v>10706</v>
      </c>
      <c r="H8247" s="405">
        <v>704558771</v>
      </c>
      <c r="I8247" s="405"/>
      <c r="J8247" s="405">
        <v>0.61143099999999995</v>
      </c>
      <c r="K8247" s="405">
        <v>33.987428000000001</v>
      </c>
      <c r="L8247" s="405" t="s">
        <v>6866</v>
      </c>
      <c r="M8247" s="405" t="s">
        <v>9534</v>
      </c>
      <c r="N8247" s="405" t="s">
        <v>10113</v>
      </c>
      <c r="O8247" s="405" t="s">
        <v>10248</v>
      </c>
      <c r="P8247" s="405" t="s">
        <v>10707</v>
      </c>
      <c r="Q8247" s="411">
        <v>6</v>
      </c>
      <c r="R8247" s="405" t="s">
        <v>9541</v>
      </c>
      <c r="S8247" s="405" t="s">
        <v>27308</v>
      </c>
      <c r="T8247" s="405" t="s">
        <v>32102</v>
      </c>
      <c r="U8247" s="405" t="s">
        <v>319</v>
      </c>
    </row>
    <row r="8248" spans="1:21" hidden="1" x14ac:dyDescent="0.25">
      <c r="A8248" s="405" t="s">
        <v>310</v>
      </c>
      <c r="B8248" s="405" t="s">
        <v>10653</v>
      </c>
      <c r="C8248" s="405" t="s">
        <v>327</v>
      </c>
      <c r="D8248" s="405"/>
      <c r="E8248" s="410">
        <v>40774</v>
      </c>
      <c r="F8248" s="410">
        <v>40819</v>
      </c>
      <c r="G8248" s="405" t="s">
        <v>10654</v>
      </c>
      <c r="H8248" s="405">
        <v>774101085</v>
      </c>
      <c r="I8248" s="405"/>
      <c r="J8248" s="405">
        <v>1.293317</v>
      </c>
      <c r="K8248" s="405">
        <v>33.87621</v>
      </c>
      <c r="L8248" s="405" t="s">
        <v>6866</v>
      </c>
      <c r="M8248" s="405" t="s">
        <v>10029</v>
      </c>
      <c r="N8248" s="405" t="s">
        <v>10260</v>
      </c>
      <c r="O8248" s="405" t="s">
        <v>10261</v>
      </c>
      <c r="P8248" s="405" t="s">
        <v>10655</v>
      </c>
      <c r="Q8248" s="411">
        <v>6</v>
      </c>
      <c r="R8248" s="405" t="s">
        <v>7224</v>
      </c>
      <c r="S8248" s="405" t="s">
        <v>27190</v>
      </c>
      <c r="T8248" s="405" t="s">
        <v>32102</v>
      </c>
      <c r="U8248" s="405" t="s">
        <v>319</v>
      </c>
    </row>
    <row r="8249" spans="1:21" hidden="1" x14ac:dyDescent="0.25">
      <c r="A8249" s="405" t="s">
        <v>310</v>
      </c>
      <c r="B8249" s="405" t="s">
        <v>28921</v>
      </c>
      <c r="C8249" s="405" t="s">
        <v>327</v>
      </c>
      <c r="D8249" s="405"/>
      <c r="E8249" s="410">
        <v>40774</v>
      </c>
      <c r="F8249" s="410">
        <v>40819</v>
      </c>
      <c r="G8249" s="405" t="s">
        <v>10699</v>
      </c>
      <c r="H8249" s="405">
        <v>782662390</v>
      </c>
      <c r="I8249" s="405"/>
      <c r="J8249" s="405">
        <v>0.32508999999999999</v>
      </c>
      <c r="K8249" s="405">
        <v>33.982214999999997</v>
      </c>
      <c r="L8249" s="405" t="s">
        <v>6866</v>
      </c>
      <c r="M8249" s="405" t="s">
        <v>10390</v>
      </c>
      <c r="N8249" s="405" t="s">
        <v>10391</v>
      </c>
      <c r="O8249" s="405" t="s">
        <v>10395</v>
      </c>
      <c r="P8249" s="405" t="s">
        <v>10700</v>
      </c>
      <c r="Q8249" s="411">
        <v>6</v>
      </c>
      <c r="R8249" s="405" t="s">
        <v>7224</v>
      </c>
      <c r="S8249" s="405" t="s">
        <v>27304</v>
      </c>
      <c r="T8249" s="405" t="s">
        <v>32102</v>
      </c>
      <c r="U8249" s="405" t="s">
        <v>319</v>
      </c>
    </row>
    <row r="8250" spans="1:21" hidden="1" x14ac:dyDescent="0.25">
      <c r="A8250" s="405" t="s">
        <v>310</v>
      </c>
      <c r="B8250" s="405" t="s">
        <v>28760</v>
      </c>
      <c r="C8250" s="405" t="s">
        <v>327</v>
      </c>
      <c r="D8250" s="405"/>
      <c r="E8250" s="410">
        <v>40773</v>
      </c>
      <c r="F8250" s="410">
        <v>40818</v>
      </c>
      <c r="G8250" s="405" t="s">
        <v>10688</v>
      </c>
      <c r="H8250" s="405">
        <v>772551528</v>
      </c>
      <c r="I8250" s="405"/>
      <c r="J8250" s="405">
        <v>1.5475950000000001</v>
      </c>
      <c r="K8250" s="405">
        <v>33.792763000000001</v>
      </c>
      <c r="L8250" s="405" t="s">
        <v>6866</v>
      </c>
      <c r="M8250" s="405" t="s">
        <v>10012</v>
      </c>
      <c r="N8250" s="405" t="s">
        <v>10012</v>
      </c>
      <c r="O8250" s="405" t="s">
        <v>10267</v>
      </c>
      <c r="P8250" s="405" t="s">
        <v>10689</v>
      </c>
      <c r="Q8250" s="411">
        <v>6</v>
      </c>
      <c r="R8250" s="405" t="s">
        <v>7224</v>
      </c>
      <c r="S8250" s="405" t="s">
        <v>27326</v>
      </c>
      <c r="T8250" s="405" t="s">
        <v>32102</v>
      </c>
      <c r="U8250" s="405" t="s">
        <v>319</v>
      </c>
    </row>
    <row r="8251" spans="1:21" hidden="1" x14ac:dyDescent="0.25">
      <c r="A8251" s="405" t="s">
        <v>310</v>
      </c>
      <c r="B8251" s="405" t="s">
        <v>1868</v>
      </c>
      <c r="C8251" s="405" t="s">
        <v>327</v>
      </c>
      <c r="D8251" s="405"/>
      <c r="E8251" s="410">
        <v>40772</v>
      </c>
      <c r="F8251" s="410">
        <v>40817</v>
      </c>
      <c r="G8251" s="405" t="s">
        <v>1869</v>
      </c>
      <c r="H8251" s="405">
        <v>772621219</v>
      </c>
      <c r="I8251" s="405"/>
      <c r="J8251" s="405">
        <v>0.32708500000000001</v>
      </c>
      <c r="K8251" s="405">
        <v>31.970272000000001</v>
      </c>
      <c r="L8251" s="405" t="s">
        <v>314</v>
      </c>
      <c r="M8251" s="405" t="s">
        <v>675</v>
      </c>
      <c r="N8251" s="405" t="s">
        <v>676</v>
      </c>
      <c r="O8251" s="405" t="s">
        <v>1589</v>
      </c>
      <c r="P8251" s="405" t="s">
        <v>1870</v>
      </c>
      <c r="Q8251" s="411">
        <v>9</v>
      </c>
      <c r="R8251" s="405" t="s">
        <v>353</v>
      </c>
      <c r="S8251" s="405" t="s">
        <v>27051</v>
      </c>
      <c r="T8251" s="405" t="s">
        <v>32102</v>
      </c>
      <c r="U8251" s="405" t="s">
        <v>319</v>
      </c>
    </row>
    <row r="8252" spans="1:21" hidden="1" x14ac:dyDescent="0.25">
      <c r="A8252" s="405" t="s">
        <v>310</v>
      </c>
      <c r="B8252" s="405" t="s">
        <v>1756</v>
      </c>
      <c r="C8252" s="405" t="s">
        <v>327</v>
      </c>
      <c r="D8252" s="405"/>
      <c r="E8252" s="410">
        <v>40771</v>
      </c>
      <c r="F8252" s="410">
        <v>40816</v>
      </c>
      <c r="G8252" s="405" t="s">
        <v>1757</v>
      </c>
      <c r="H8252" s="405">
        <v>772536097</v>
      </c>
      <c r="I8252" s="405"/>
      <c r="J8252" s="405">
        <v>0.15928833333333334</v>
      </c>
      <c r="K8252" s="405">
        <v>32.32226</v>
      </c>
      <c r="L8252" s="405" t="s">
        <v>314</v>
      </c>
      <c r="M8252" s="405" t="s">
        <v>321</v>
      </c>
      <c r="N8252" s="405" t="s">
        <v>322</v>
      </c>
      <c r="O8252" s="405" t="s">
        <v>996</v>
      </c>
      <c r="P8252" s="405" t="s">
        <v>1758</v>
      </c>
      <c r="Q8252" s="411">
        <v>13</v>
      </c>
      <c r="R8252" s="405" t="s">
        <v>318</v>
      </c>
      <c r="S8252" s="405" t="s">
        <v>27113</v>
      </c>
      <c r="T8252" s="405" t="s">
        <v>32102</v>
      </c>
      <c r="U8252" s="405" t="s">
        <v>319</v>
      </c>
    </row>
    <row r="8253" spans="1:21" hidden="1" x14ac:dyDescent="0.25">
      <c r="A8253" s="405" t="s">
        <v>310</v>
      </c>
      <c r="B8253" s="405" t="s">
        <v>28176</v>
      </c>
      <c r="C8253" s="405" t="s">
        <v>327</v>
      </c>
      <c r="D8253" s="405"/>
      <c r="E8253" s="410">
        <v>40771</v>
      </c>
      <c r="F8253" s="410">
        <v>40816</v>
      </c>
      <c r="G8253" s="405" t="s">
        <v>1736</v>
      </c>
      <c r="H8253" s="405">
        <v>772669639</v>
      </c>
      <c r="I8253" s="405"/>
      <c r="J8253" s="405">
        <v>0.42099300000000001</v>
      </c>
      <c r="K8253" s="405">
        <v>32.184502999999999</v>
      </c>
      <c r="L8253" s="405" t="s">
        <v>314</v>
      </c>
      <c r="M8253" s="405" t="s">
        <v>675</v>
      </c>
      <c r="N8253" s="405" t="s">
        <v>1065</v>
      </c>
      <c r="O8253" s="405" t="s">
        <v>1374</v>
      </c>
      <c r="P8253" s="405" t="s">
        <v>1374</v>
      </c>
      <c r="Q8253" s="411">
        <v>12</v>
      </c>
      <c r="R8253" s="405" t="s">
        <v>318</v>
      </c>
      <c r="S8253" s="405" t="s">
        <v>27113</v>
      </c>
      <c r="T8253" s="405" t="s">
        <v>32102</v>
      </c>
      <c r="U8253" s="405" t="s">
        <v>319</v>
      </c>
    </row>
    <row r="8254" spans="1:21" hidden="1" x14ac:dyDescent="0.25">
      <c r="A8254" s="405" t="s">
        <v>310</v>
      </c>
      <c r="B8254" s="405" t="s">
        <v>28526</v>
      </c>
      <c r="C8254" s="405" t="s">
        <v>327</v>
      </c>
      <c r="D8254" s="405"/>
      <c r="E8254" s="410">
        <v>40771</v>
      </c>
      <c r="F8254" s="410">
        <v>40816</v>
      </c>
      <c r="G8254" s="405" t="s">
        <v>1747</v>
      </c>
      <c r="H8254" s="405">
        <v>772684202</v>
      </c>
      <c r="I8254" s="405"/>
      <c r="J8254" s="405">
        <v>0.40526469999999998</v>
      </c>
      <c r="K8254" s="405">
        <v>32.656178099999998</v>
      </c>
      <c r="L8254" s="405" t="s">
        <v>314</v>
      </c>
      <c r="M8254" s="405" t="s">
        <v>361</v>
      </c>
      <c r="N8254" s="405" t="s">
        <v>498</v>
      </c>
      <c r="O8254" s="405" t="s">
        <v>498</v>
      </c>
      <c r="P8254" s="405" t="s">
        <v>1748</v>
      </c>
      <c r="Q8254" s="411">
        <v>6</v>
      </c>
      <c r="R8254" s="405" t="s">
        <v>318</v>
      </c>
      <c r="S8254" s="405" t="s">
        <v>27115</v>
      </c>
      <c r="T8254" s="405" t="s">
        <v>32102</v>
      </c>
      <c r="U8254" s="405" t="s">
        <v>319</v>
      </c>
    </row>
    <row r="8255" spans="1:21" hidden="1" x14ac:dyDescent="0.25">
      <c r="A8255" s="405" t="s">
        <v>310</v>
      </c>
      <c r="B8255" s="405" t="s">
        <v>1765</v>
      </c>
      <c r="C8255" s="405" t="s">
        <v>327</v>
      </c>
      <c r="D8255" s="405"/>
      <c r="E8255" s="410">
        <v>40771</v>
      </c>
      <c r="F8255" s="410">
        <v>40816</v>
      </c>
      <c r="G8255" s="405" t="s">
        <v>1766</v>
      </c>
      <c r="H8255" s="405">
        <v>782872626</v>
      </c>
      <c r="I8255" s="405"/>
      <c r="J8255" s="405">
        <v>-0.56418999999999997</v>
      </c>
      <c r="K8255" s="405">
        <v>31.662331999999999</v>
      </c>
      <c r="L8255" s="405" t="s">
        <v>314</v>
      </c>
      <c r="M8255" s="405" t="s">
        <v>398</v>
      </c>
      <c r="N8255" s="405" t="s">
        <v>399</v>
      </c>
      <c r="O8255" s="405" t="s">
        <v>740</v>
      </c>
      <c r="P8255" s="405" t="s">
        <v>740</v>
      </c>
      <c r="Q8255" s="411">
        <v>6</v>
      </c>
      <c r="R8255" s="405" t="s">
        <v>318</v>
      </c>
      <c r="S8255" s="405" t="s">
        <v>22481</v>
      </c>
      <c r="T8255" s="405" t="s">
        <v>32102</v>
      </c>
      <c r="U8255" s="405" t="s">
        <v>319</v>
      </c>
    </row>
    <row r="8256" spans="1:21" hidden="1" x14ac:dyDescent="0.25">
      <c r="A8256" s="405" t="s">
        <v>310</v>
      </c>
      <c r="B8256" s="405" t="s">
        <v>1759</v>
      </c>
      <c r="C8256" s="405" t="s">
        <v>327</v>
      </c>
      <c r="D8256" s="405"/>
      <c r="E8256" s="410">
        <v>40771</v>
      </c>
      <c r="F8256" s="410">
        <v>40816</v>
      </c>
      <c r="G8256" s="405" t="s">
        <v>1760</v>
      </c>
      <c r="H8256" s="405">
        <v>712166206</v>
      </c>
      <c r="I8256" s="405"/>
      <c r="J8256" s="405">
        <v>0.42377009999999998</v>
      </c>
      <c r="K8256" s="405">
        <v>32.562027</v>
      </c>
      <c r="L8256" s="405" t="s">
        <v>314</v>
      </c>
      <c r="M8256" s="405" t="s">
        <v>361</v>
      </c>
      <c r="N8256" s="405" t="s">
        <v>362</v>
      </c>
      <c r="O8256" s="405" t="s">
        <v>370</v>
      </c>
      <c r="P8256" s="405" t="s">
        <v>464</v>
      </c>
      <c r="Q8256" s="411">
        <v>6</v>
      </c>
      <c r="R8256" s="405" t="s">
        <v>353</v>
      </c>
      <c r="S8256" s="405" t="s">
        <v>27115</v>
      </c>
      <c r="T8256" s="405" t="s">
        <v>32102</v>
      </c>
      <c r="U8256" s="405" t="s">
        <v>319</v>
      </c>
    </row>
    <row r="8257" spans="1:21" hidden="1" x14ac:dyDescent="0.25">
      <c r="A8257" s="405" t="s">
        <v>310</v>
      </c>
      <c r="B8257" s="405" t="s">
        <v>10534</v>
      </c>
      <c r="C8257" s="405" t="s">
        <v>327</v>
      </c>
      <c r="D8257" s="405"/>
      <c r="E8257" s="410">
        <v>40770</v>
      </c>
      <c r="F8257" s="410">
        <v>40815</v>
      </c>
      <c r="G8257" s="405" t="s">
        <v>10535</v>
      </c>
      <c r="H8257" s="405">
        <v>784449908</v>
      </c>
      <c r="I8257" s="405"/>
      <c r="J8257" s="405">
        <v>1.5615220000000001</v>
      </c>
      <c r="K8257" s="405">
        <v>33.776631999999999</v>
      </c>
      <c r="L8257" s="405" t="s">
        <v>6866</v>
      </c>
      <c r="M8257" s="405" t="s">
        <v>10012</v>
      </c>
      <c r="N8257" s="405" t="s">
        <v>10012</v>
      </c>
      <c r="O8257" s="405" t="s">
        <v>10267</v>
      </c>
      <c r="P8257" s="405" t="s">
        <v>10536</v>
      </c>
      <c r="Q8257" s="411">
        <v>6</v>
      </c>
      <c r="R8257" s="405" t="s">
        <v>9541</v>
      </c>
      <c r="S8257" s="405" t="s">
        <v>27326</v>
      </c>
      <c r="T8257" s="405" t="s">
        <v>32102</v>
      </c>
      <c r="U8257" s="405" t="s">
        <v>319</v>
      </c>
    </row>
    <row r="8258" spans="1:21" hidden="1" x14ac:dyDescent="0.25">
      <c r="A8258" s="405" t="s">
        <v>310</v>
      </c>
      <c r="B8258" s="405" t="s">
        <v>28078</v>
      </c>
      <c r="C8258" s="405" t="s">
        <v>327</v>
      </c>
      <c r="D8258" s="405"/>
      <c r="E8258" s="410">
        <v>40770</v>
      </c>
      <c r="F8258" s="410">
        <v>40815</v>
      </c>
      <c r="G8258" s="405" t="s">
        <v>10475</v>
      </c>
      <c r="H8258" s="405">
        <v>755028449</v>
      </c>
      <c r="I8258" s="405"/>
      <c r="J8258" s="405">
        <v>0.79372989999999999</v>
      </c>
      <c r="K8258" s="405">
        <v>33.032234799999998</v>
      </c>
      <c r="L8258" s="405" t="s">
        <v>6866</v>
      </c>
      <c r="M8258" s="405" t="s">
        <v>3009</v>
      </c>
      <c r="N8258" s="405" t="s">
        <v>9842</v>
      </c>
      <c r="O8258" s="405" t="s">
        <v>4760</v>
      </c>
      <c r="P8258" s="405" t="s">
        <v>10476</v>
      </c>
      <c r="Q8258" s="411">
        <v>6</v>
      </c>
      <c r="R8258" s="405" t="s">
        <v>32478</v>
      </c>
      <c r="S8258" s="405" t="s">
        <v>27135</v>
      </c>
      <c r="T8258" s="405" t="s">
        <v>32102</v>
      </c>
      <c r="U8258" s="405" t="s">
        <v>319</v>
      </c>
    </row>
    <row r="8259" spans="1:21" hidden="1" x14ac:dyDescent="0.25">
      <c r="A8259" s="405" t="s">
        <v>310</v>
      </c>
      <c r="B8259" s="405" t="s">
        <v>10555</v>
      </c>
      <c r="C8259" s="405" t="s">
        <v>327</v>
      </c>
      <c r="D8259" s="405"/>
      <c r="E8259" s="410">
        <v>40769</v>
      </c>
      <c r="F8259" s="410">
        <v>40814</v>
      </c>
      <c r="G8259" s="405" t="s">
        <v>10556</v>
      </c>
      <c r="H8259" s="405">
        <v>772913527</v>
      </c>
      <c r="I8259" s="405"/>
      <c r="J8259" s="405">
        <v>1.4138329999999999</v>
      </c>
      <c r="K8259" s="405">
        <v>34.095202</v>
      </c>
      <c r="L8259" s="405" t="s">
        <v>6866</v>
      </c>
      <c r="M8259" s="405" t="s">
        <v>9504</v>
      </c>
      <c r="N8259" s="405" t="s">
        <v>9504</v>
      </c>
      <c r="O8259" s="405" t="s">
        <v>10105</v>
      </c>
      <c r="P8259" s="405" t="s">
        <v>10557</v>
      </c>
      <c r="Q8259" s="411">
        <v>6</v>
      </c>
      <c r="R8259" s="405" t="s">
        <v>9506</v>
      </c>
      <c r="S8259" s="405" t="s">
        <v>27294</v>
      </c>
      <c r="T8259" s="405" t="s">
        <v>32102</v>
      </c>
      <c r="U8259" s="405" t="s">
        <v>319</v>
      </c>
    </row>
    <row r="8260" spans="1:21" hidden="1" x14ac:dyDescent="0.25">
      <c r="A8260" s="405" t="s">
        <v>310</v>
      </c>
      <c r="B8260" s="405" t="s">
        <v>1749</v>
      </c>
      <c r="C8260" s="405" t="s">
        <v>327</v>
      </c>
      <c r="D8260" s="405"/>
      <c r="E8260" s="410">
        <v>40769</v>
      </c>
      <c r="F8260" s="410">
        <v>40814</v>
      </c>
      <c r="G8260" s="405" t="s">
        <v>1750</v>
      </c>
      <c r="H8260" s="405">
        <v>774224337</v>
      </c>
      <c r="I8260" s="405"/>
      <c r="J8260" s="405">
        <v>0.4359634</v>
      </c>
      <c r="K8260" s="405">
        <v>32.578455400000003</v>
      </c>
      <c r="L8260" s="405" t="s">
        <v>314</v>
      </c>
      <c r="M8260" s="405" t="s">
        <v>361</v>
      </c>
      <c r="N8260" s="405" t="s">
        <v>362</v>
      </c>
      <c r="O8260" s="405" t="s">
        <v>370</v>
      </c>
      <c r="P8260" s="405" t="s">
        <v>1232</v>
      </c>
      <c r="Q8260" s="411">
        <v>6</v>
      </c>
      <c r="R8260" s="405" t="s">
        <v>353</v>
      </c>
      <c r="S8260" s="405" t="s">
        <v>27115</v>
      </c>
      <c r="T8260" s="405" t="s">
        <v>32102</v>
      </c>
      <c r="U8260" s="405" t="s">
        <v>319</v>
      </c>
    </row>
    <row r="8261" spans="1:21" hidden="1" x14ac:dyDescent="0.25">
      <c r="A8261" s="405" t="s">
        <v>310</v>
      </c>
      <c r="B8261" s="405" t="s">
        <v>10521</v>
      </c>
      <c r="C8261" s="405" t="s">
        <v>327</v>
      </c>
      <c r="D8261" s="405"/>
      <c r="E8261" s="410">
        <v>40768</v>
      </c>
      <c r="F8261" s="410">
        <v>40813</v>
      </c>
      <c r="G8261" s="405" t="s">
        <v>10522</v>
      </c>
      <c r="H8261" s="405">
        <v>772645845</v>
      </c>
      <c r="I8261" s="405"/>
      <c r="J8261" s="405">
        <v>1.613272</v>
      </c>
      <c r="K8261" s="405">
        <v>33.614013</v>
      </c>
      <c r="L8261" s="405" t="s">
        <v>6866</v>
      </c>
      <c r="M8261" s="405" t="s">
        <v>10515</v>
      </c>
      <c r="N8261" s="405" t="s">
        <v>10515</v>
      </c>
      <c r="O8261" s="405" t="s">
        <v>10516</v>
      </c>
      <c r="P8261" s="405" t="s">
        <v>10517</v>
      </c>
      <c r="Q8261" s="411">
        <v>6</v>
      </c>
      <c r="R8261" s="405" t="s">
        <v>5655</v>
      </c>
      <c r="S8261" s="405" t="s">
        <v>27324</v>
      </c>
      <c r="T8261" s="405" t="s">
        <v>32102</v>
      </c>
      <c r="U8261" s="405" t="s">
        <v>319</v>
      </c>
    </row>
    <row r="8262" spans="1:21" hidden="1" x14ac:dyDescent="0.25">
      <c r="A8262" s="405" t="s">
        <v>310</v>
      </c>
      <c r="B8262" s="405" t="s">
        <v>10583</v>
      </c>
      <c r="C8262" s="405" t="s">
        <v>327</v>
      </c>
      <c r="D8262" s="405"/>
      <c r="E8262" s="410">
        <v>40767</v>
      </c>
      <c r="F8262" s="410">
        <v>40812</v>
      </c>
      <c r="G8262" s="405" t="s">
        <v>10584</v>
      </c>
      <c r="H8262" s="405">
        <v>772525326</v>
      </c>
      <c r="I8262" s="405"/>
      <c r="J8262" s="405">
        <v>1.0587070000000001</v>
      </c>
      <c r="K8262" s="405">
        <v>34.101345000000002</v>
      </c>
      <c r="L8262" s="405" t="s">
        <v>6866</v>
      </c>
      <c r="M8262" s="405" t="s">
        <v>9676</v>
      </c>
      <c r="N8262" s="405" t="s">
        <v>9676</v>
      </c>
      <c r="O8262" s="405" t="s">
        <v>10380</v>
      </c>
      <c r="P8262" s="405" t="s">
        <v>10585</v>
      </c>
      <c r="Q8262" s="411">
        <v>12</v>
      </c>
      <c r="R8262" s="405" t="s">
        <v>7224</v>
      </c>
      <c r="S8262" s="405" t="s">
        <v>27073</v>
      </c>
      <c r="T8262" s="405" t="s">
        <v>32102</v>
      </c>
      <c r="U8262" s="405" t="s">
        <v>319</v>
      </c>
    </row>
    <row r="8263" spans="1:21" hidden="1" x14ac:dyDescent="0.25">
      <c r="A8263" s="405" t="s">
        <v>310</v>
      </c>
      <c r="B8263" s="405" t="s">
        <v>1763</v>
      </c>
      <c r="C8263" s="405" t="s">
        <v>327</v>
      </c>
      <c r="D8263" s="405"/>
      <c r="E8263" s="410">
        <v>40767</v>
      </c>
      <c r="F8263" s="410">
        <v>40812</v>
      </c>
      <c r="G8263" s="405" t="s">
        <v>1764</v>
      </c>
      <c r="H8263" s="405">
        <v>704045114</v>
      </c>
      <c r="I8263" s="405"/>
      <c r="J8263" s="405">
        <v>-0.57684199999999997</v>
      </c>
      <c r="K8263" s="405">
        <v>31.63447</v>
      </c>
      <c r="L8263" s="405" t="s">
        <v>314</v>
      </c>
      <c r="M8263" s="405" t="s">
        <v>398</v>
      </c>
      <c r="N8263" s="405" t="s">
        <v>399</v>
      </c>
      <c r="O8263" s="405" t="s">
        <v>740</v>
      </c>
      <c r="P8263" s="405" t="s">
        <v>1560</v>
      </c>
      <c r="Q8263" s="411">
        <v>6</v>
      </c>
      <c r="R8263" s="405" t="s">
        <v>318</v>
      </c>
      <c r="S8263" s="405" t="s">
        <v>22481</v>
      </c>
      <c r="T8263" s="405" t="s">
        <v>32102</v>
      </c>
      <c r="U8263" s="405" t="s">
        <v>319</v>
      </c>
    </row>
    <row r="8264" spans="1:21" hidden="1" x14ac:dyDescent="0.25">
      <c r="A8264" s="405" t="s">
        <v>310</v>
      </c>
      <c r="B8264" s="405" t="s">
        <v>10565</v>
      </c>
      <c r="C8264" s="405" t="s">
        <v>327</v>
      </c>
      <c r="D8264" s="405"/>
      <c r="E8264" s="410">
        <v>40767</v>
      </c>
      <c r="F8264" s="410">
        <v>40812</v>
      </c>
      <c r="G8264" s="405" t="s">
        <v>10566</v>
      </c>
      <c r="H8264" s="405">
        <v>784578237</v>
      </c>
      <c r="I8264" s="405"/>
      <c r="J8264" s="405">
        <v>0.89817999999999998</v>
      </c>
      <c r="K8264" s="405">
        <v>34.180869999999999</v>
      </c>
      <c r="L8264" s="405" t="s">
        <v>6866</v>
      </c>
      <c r="M8264" s="405" t="s">
        <v>9514</v>
      </c>
      <c r="N8264" s="405" t="s">
        <v>9529</v>
      </c>
      <c r="O8264" s="405" t="s">
        <v>10567</v>
      </c>
      <c r="P8264" s="405" t="s">
        <v>10568</v>
      </c>
      <c r="Q8264" s="411">
        <v>6</v>
      </c>
      <c r="R8264" s="405" t="s">
        <v>333</v>
      </c>
      <c r="S8264" s="405" t="s">
        <v>27283</v>
      </c>
      <c r="T8264" s="405" t="s">
        <v>32102</v>
      </c>
      <c r="U8264" s="405" t="s">
        <v>319</v>
      </c>
    </row>
    <row r="8265" spans="1:21" hidden="1" x14ac:dyDescent="0.25">
      <c r="A8265" s="405" t="s">
        <v>310</v>
      </c>
      <c r="B8265" s="405" t="s">
        <v>1778</v>
      </c>
      <c r="C8265" s="405" t="s">
        <v>327</v>
      </c>
      <c r="D8265" s="405"/>
      <c r="E8265" s="410">
        <v>40767</v>
      </c>
      <c r="F8265" s="410">
        <v>40812</v>
      </c>
      <c r="G8265" s="405" t="s">
        <v>1779</v>
      </c>
      <c r="H8265" s="405">
        <v>782175925</v>
      </c>
      <c r="I8265" s="405"/>
      <c r="J8265" s="405">
        <v>4.1016999999999998E-2</v>
      </c>
      <c r="K8265" s="405">
        <v>31.965323000000001</v>
      </c>
      <c r="L8265" s="405" t="s">
        <v>314</v>
      </c>
      <c r="M8265" s="405" t="s">
        <v>321</v>
      </c>
      <c r="N8265" s="405" t="s">
        <v>322</v>
      </c>
      <c r="O8265" s="405" t="s">
        <v>841</v>
      </c>
      <c r="P8265" s="405" t="s">
        <v>1780</v>
      </c>
      <c r="Q8265" s="411">
        <v>6</v>
      </c>
      <c r="R8265" s="405" t="s">
        <v>438</v>
      </c>
      <c r="S8265" s="405" t="s">
        <v>27131</v>
      </c>
      <c r="T8265" s="405" t="s">
        <v>32102</v>
      </c>
      <c r="U8265" s="405" t="s">
        <v>319</v>
      </c>
    </row>
    <row r="8266" spans="1:21" hidden="1" x14ac:dyDescent="0.25">
      <c r="A8266" s="405" t="s">
        <v>310</v>
      </c>
      <c r="B8266" s="405" t="s">
        <v>29067</v>
      </c>
      <c r="C8266" s="405" t="s">
        <v>327</v>
      </c>
      <c r="D8266" s="405"/>
      <c r="E8266" s="410">
        <v>40766</v>
      </c>
      <c r="F8266" s="410">
        <v>40811</v>
      </c>
      <c r="G8266" s="405" t="s">
        <v>10490</v>
      </c>
      <c r="H8266" s="405">
        <v>772493182</v>
      </c>
      <c r="I8266" s="405"/>
      <c r="J8266" s="405">
        <v>1.0323770000000001</v>
      </c>
      <c r="K8266" s="405">
        <v>34.200851999999998</v>
      </c>
      <c r="L8266" s="405" t="s">
        <v>6866</v>
      </c>
      <c r="M8266" s="405" t="s">
        <v>9514</v>
      </c>
      <c r="N8266" s="405" t="s">
        <v>9616</v>
      </c>
      <c r="O8266" s="405" t="s">
        <v>10491</v>
      </c>
      <c r="P8266" s="405" t="s">
        <v>10492</v>
      </c>
      <c r="Q8266" s="411">
        <v>6</v>
      </c>
      <c r="R8266" s="405" t="s">
        <v>7224</v>
      </c>
      <c r="S8266" s="405" t="s">
        <v>17013</v>
      </c>
      <c r="T8266" s="405" t="s">
        <v>32102</v>
      </c>
      <c r="U8266" s="405" t="s">
        <v>319</v>
      </c>
    </row>
    <row r="8267" spans="1:21" hidden="1" x14ac:dyDescent="0.25">
      <c r="A8267" s="405" t="s">
        <v>310</v>
      </c>
      <c r="B8267" s="405" t="s">
        <v>10543</v>
      </c>
      <c r="C8267" s="405" t="s">
        <v>327</v>
      </c>
      <c r="D8267" s="405"/>
      <c r="E8267" s="410">
        <v>40766</v>
      </c>
      <c r="F8267" s="410">
        <v>40811</v>
      </c>
      <c r="G8267" s="405" t="s">
        <v>10544</v>
      </c>
      <c r="H8267" s="405">
        <v>775587061</v>
      </c>
      <c r="I8267" s="405"/>
      <c r="J8267" s="405">
        <v>1.380708</v>
      </c>
      <c r="K8267" s="405">
        <v>33.978482999999997</v>
      </c>
      <c r="L8267" s="405" t="s">
        <v>6866</v>
      </c>
      <c r="M8267" s="405" t="s">
        <v>10029</v>
      </c>
      <c r="N8267" s="405" t="s">
        <v>10029</v>
      </c>
      <c r="O8267" s="405" t="s">
        <v>10545</v>
      </c>
      <c r="P8267" s="405" t="s">
        <v>10546</v>
      </c>
      <c r="Q8267" s="411">
        <v>6</v>
      </c>
      <c r="R8267" s="405" t="s">
        <v>7224</v>
      </c>
      <c r="S8267" s="405" t="s">
        <v>27327</v>
      </c>
      <c r="T8267" s="405" t="s">
        <v>32102</v>
      </c>
      <c r="U8267" s="405" t="s">
        <v>319</v>
      </c>
    </row>
    <row r="8268" spans="1:21" hidden="1" x14ac:dyDescent="0.25">
      <c r="A8268" s="405" t="s">
        <v>310</v>
      </c>
      <c r="B8268" s="405" t="s">
        <v>10523</v>
      </c>
      <c r="C8268" s="405" t="s">
        <v>327</v>
      </c>
      <c r="D8268" s="405"/>
      <c r="E8268" s="410">
        <v>40766</v>
      </c>
      <c r="F8268" s="410">
        <v>40811</v>
      </c>
      <c r="G8268" s="405" t="s">
        <v>10524</v>
      </c>
      <c r="H8268" s="405">
        <v>774814768</v>
      </c>
      <c r="I8268" s="405"/>
      <c r="J8268" s="405">
        <v>1.851742</v>
      </c>
      <c r="K8268" s="405">
        <v>33.625357999999999</v>
      </c>
      <c r="L8268" s="405" t="s">
        <v>6866</v>
      </c>
      <c r="M8268" s="405" t="s">
        <v>10515</v>
      </c>
      <c r="N8268" s="405" t="s">
        <v>10525</v>
      </c>
      <c r="O8268" s="405" t="s">
        <v>10526</v>
      </c>
      <c r="P8268" s="405" t="s">
        <v>10527</v>
      </c>
      <c r="Q8268" s="411">
        <v>6</v>
      </c>
      <c r="R8268" s="405" t="s">
        <v>7224</v>
      </c>
      <c r="S8268" s="405" t="s">
        <v>27322</v>
      </c>
      <c r="T8268" s="405" t="s">
        <v>32102</v>
      </c>
      <c r="U8268" s="405" t="s">
        <v>319</v>
      </c>
    </row>
    <row r="8269" spans="1:21" hidden="1" x14ac:dyDescent="0.25">
      <c r="A8269" s="405" t="s">
        <v>310</v>
      </c>
      <c r="B8269" s="405" t="s">
        <v>10941</v>
      </c>
      <c r="C8269" s="405" t="s">
        <v>311</v>
      </c>
      <c r="D8269" s="405" t="s">
        <v>1013</v>
      </c>
      <c r="E8269" s="410">
        <v>40766</v>
      </c>
      <c r="F8269" s="410">
        <v>40811</v>
      </c>
      <c r="G8269" s="405" t="s">
        <v>10942</v>
      </c>
      <c r="H8269" s="405">
        <v>779733970</v>
      </c>
      <c r="I8269" s="405"/>
      <c r="J8269" s="405">
        <v>1.4690080000000001</v>
      </c>
      <c r="K8269" s="405">
        <v>33.785800000000002</v>
      </c>
      <c r="L8269" s="405" t="s">
        <v>6866</v>
      </c>
      <c r="M8269" s="405" t="s">
        <v>10012</v>
      </c>
      <c r="N8269" s="405" t="s">
        <v>10012</v>
      </c>
      <c r="O8269" s="405" t="s">
        <v>10943</v>
      </c>
      <c r="P8269" s="405" t="s">
        <v>10533</v>
      </c>
      <c r="Q8269" s="411">
        <v>6</v>
      </c>
      <c r="R8269" s="405" t="s">
        <v>7224</v>
      </c>
      <c r="S8269" s="405" t="s">
        <v>27306</v>
      </c>
      <c r="T8269" s="405" t="s">
        <v>32102</v>
      </c>
      <c r="U8269" s="405" t="s">
        <v>319</v>
      </c>
    </row>
    <row r="8270" spans="1:21" hidden="1" x14ac:dyDescent="0.25">
      <c r="A8270" s="405" t="s">
        <v>310</v>
      </c>
      <c r="B8270" s="405" t="s">
        <v>28578</v>
      </c>
      <c r="C8270" s="405" t="s">
        <v>327</v>
      </c>
      <c r="D8270" s="405"/>
      <c r="E8270" s="410">
        <v>40765</v>
      </c>
      <c r="F8270" s="410">
        <v>40810</v>
      </c>
      <c r="G8270" s="405" t="s">
        <v>1751</v>
      </c>
      <c r="H8270" s="405">
        <v>752620745</v>
      </c>
      <c r="I8270" s="405"/>
      <c r="J8270" s="405">
        <v>0.47113880000000002</v>
      </c>
      <c r="K8270" s="405">
        <v>32.518003299999997</v>
      </c>
      <c r="L8270" s="405" t="s">
        <v>314</v>
      </c>
      <c r="M8270" s="405" t="s">
        <v>361</v>
      </c>
      <c r="N8270" s="405" t="s">
        <v>362</v>
      </c>
      <c r="O8270" s="405" t="s">
        <v>1752</v>
      </c>
      <c r="P8270" s="405" t="s">
        <v>1753</v>
      </c>
      <c r="Q8270" s="411">
        <v>12</v>
      </c>
      <c r="R8270" s="405" t="s">
        <v>1623</v>
      </c>
      <c r="S8270" s="405" t="s">
        <v>27036</v>
      </c>
      <c r="T8270" s="405" t="s">
        <v>32102</v>
      </c>
      <c r="U8270" s="405" t="s">
        <v>319</v>
      </c>
    </row>
    <row r="8271" spans="1:21" hidden="1" x14ac:dyDescent="0.25">
      <c r="A8271" s="405" t="s">
        <v>310</v>
      </c>
      <c r="B8271" s="405" t="s">
        <v>28793</v>
      </c>
      <c r="C8271" s="405" t="s">
        <v>327</v>
      </c>
      <c r="D8271" s="405"/>
      <c r="E8271" s="410">
        <v>40765</v>
      </c>
      <c r="F8271" s="410">
        <v>40810</v>
      </c>
      <c r="G8271" s="405" t="s">
        <v>10537</v>
      </c>
      <c r="H8271" s="405">
        <v>775117745</v>
      </c>
      <c r="I8271" s="405"/>
      <c r="J8271" s="405">
        <v>1.3703050000000001</v>
      </c>
      <c r="K8271" s="405">
        <v>34.176586999999998</v>
      </c>
      <c r="L8271" s="405" t="s">
        <v>6866</v>
      </c>
      <c r="M8271" s="405" t="s">
        <v>9504</v>
      </c>
      <c r="N8271" s="405" t="s">
        <v>9504</v>
      </c>
      <c r="O8271" s="405" t="s">
        <v>10538</v>
      </c>
      <c r="P8271" s="405" t="s">
        <v>10539</v>
      </c>
      <c r="Q8271" s="411">
        <v>6</v>
      </c>
      <c r="R8271" s="405" t="s">
        <v>9506</v>
      </c>
      <c r="S8271" s="405" t="s">
        <v>27294</v>
      </c>
      <c r="T8271" s="405" t="s">
        <v>32102</v>
      </c>
      <c r="U8271" s="405" t="s">
        <v>319</v>
      </c>
    </row>
    <row r="8272" spans="1:21" hidden="1" x14ac:dyDescent="0.25">
      <c r="A8272" s="405" t="s">
        <v>310</v>
      </c>
      <c r="B8272" s="405" t="s">
        <v>1767</v>
      </c>
      <c r="C8272" s="405" t="s">
        <v>327</v>
      </c>
      <c r="D8272" s="405"/>
      <c r="E8272" s="410">
        <v>40765</v>
      </c>
      <c r="F8272" s="410">
        <v>40810</v>
      </c>
      <c r="G8272" s="405" t="s">
        <v>1768</v>
      </c>
      <c r="H8272" s="405">
        <v>785174775</v>
      </c>
      <c r="I8272" s="405"/>
      <c r="J8272" s="405">
        <v>0.52761800000000003</v>
      </c>
      <c r="K8272" s="405">
        <v>32.024996999999999</v>
      </c>
      <c r="L8272" s="405" t="s">
        <v>314</v>
      </c>
      <c r="M8272" s="405" t="s">
        <v>675</v>
      </c>
      <c r="N8272" s="405" t="s">
        <v>1065</v>
      </c>
      <c r="O8272" s="405" t="s">
        <v>1248</v>
      </c>
      <c r="P8272" s="405" t="s">
        <v>1769</v>
      </c>
      <c r="Q8272" s="411">
        <v>6</v>
      </c>
      <c r="R8272" s="405" t="s">
        <v>318</v>
      </c>
      <c r="S8272" s="405" t="s">
        <v>27148</v>
      </c>
      <c r="T8272" s="405" t="s">
        <v>32102</v>
      </c>
      <c r="U8272" s="405" t="s">
        <v>319</v>
      </c>
    </row>
    <row r="8273" spans="1:21" hidden="1" x14ac:dyDescent="0.25">
      <c r="A8273" s="405" t="s">
        <v>310</v>
      </c>
      <c r="B8273" s="405" t="s">
        <v>10528</v>
      </c>
      <c r="C8273" s="405" t="s">
        <v>327</v>
      </c>
      <c r="D8273" s="405"/>
      <c r="E8273" s="410">
        <v>40765</v>
      </c>
      <c r="F8273" s="410">
        <v>40810</v>
      </c>
      <c r="G8273" s="405" t="s">
        <v>10529</v>
      </c>
      <c r="H8273" s="405">
        <v>782180922</v>
      </c>
      <c r="I8273" s="405"/>
      <c r="J8273" s="405">
        <v>1.532565</v>
      </c>
      <c r="K8273" s="405">
        <v>34.036529999999999</v>
      </c>
      <c r="L8273" s="405" t="s">
        <v>6866</v>
      </c>
      <c r="M8273" s="405" t="s">
        <v>10029</v>
      </c>
      <c r="N8273" s="405" t="s">
        <v>10029</v>
      </c>
      <c r="O8273" s="405" t="s">
        <v>10435</v>
      </c>
      <c r="P8273" s="405" t="s">
        <v>10530</v>
      </c>
      <c r="Q8273" s="411">
        <v>4</v>
      </c>
      <c r="R8273" s="405" t="s">
        <v>7224</v>
      </c>
      <c r="S8273" s="405" t="s">
        <v>27298</v>
      </c>
      <c r="T8273" s="405" t="s">
        <v>32102</v>
      </c>
      <c r="U8273" s="405" t="s">
        <v>319</v>
      </c>
    </row>
    <row r="8274" spans="1:21" hidden="1" x14ac:dyDescent="0.25">
      <c r="A8274" s="405" t="s">
        <v>310</v>
      </c>
      <c r="B8274" s="405" t="s">
        <v>28505</v>
      </c>
      <c r="C8274" s="405" t="s">
        <v>311</v>
      </c>
      <c r="D8274" s="405" t="s">
        <v>1789</v>
      </c>
      <c r="E8274" s="410">
        <v>40764</v>
      </c>
      <c r="F8274" s="410">
        <v>40809</v>
      </c>
      <c r="G8274" s="405" t="s">
        <v>2253</v>
      </c>
      <c r="H8274" s="405">
        <v>772432383</v>
      </c>
      <c r="I8274" s="405"/>
      <c r="J8274" s="405">
        <v>-0.25170199999999998</v>
      </c>
      <c r="K8274" s="405">
        <v>31.52075</v>
      </c>
      <c r="L8274" s="405" t="s">
        <v>314</v>
      </c>
      <c r="M8274" s="405" t="s">
        <v>343</v>
      </c>
      <c r="N8274" s="405" t="s">
        <v>344</v>
      </c>
      <c r="O8274" s="405" t="s">
        <v>345</v>
      </c>
      <c r="P8274" s="405" t="s">
        <v>2254</v>
      </c>
      <c r="Q8274" s="411">
        <v>9</v>
      </c>
      <c r="R8274" s="405" t="s">
        <v>318</v>
      </c>
      <c r="S8274" s="405" t="s">
        <v>27126</v>
      </c>
      <c r="T8274" s="405" t="s">
        <v>32102</v>
      </c>
      <c r="U8274" s="405" t="s">
        <v>319</v>
      </c>
    </row>
    <row r="8275" spans="1:21" hidden="1" x14ac:dyDescent="0.25">
      <c r="A8275" s="405" t="s">
        <v>310</v>
      </c>
      <c r="B8275" s="405" t="s">
        <v>1797</v>
      </c>
      <c r="C8275" s="405" t="s">
        <v>327</v>
      </c>
      <c r="D8275" s="405"/>
      <c r="E8275" s="410">
        <v>40764</v>
      </c>
      <c r="F8275" s="410">
        <v>40809</v>
      </c>
      <c r="G8275" s="405" t="s">
        <v>1798</v>
      </c>
      <c r="H8275" s="405">
        <v>782887735</v>
      </c>
      <c r="I8275" s="405"/>
      <c r="J8275" s="405">
        <v>0.280385</v>
      </c>
      <c r="K8275" s="405">
        <v>31.985372999999999</v>
      </c>
      <c r="L8275" s="405" t="s">
        <v>314</v>
      </c>
      <c r="M8275" s="405" t="s">
        <v>675</v>
      </c>
      <c r="N8275" s="405" t="s">
        <v>676</v>
      </c>
      <c r="O8275" s="405" t="s">
        <v>1589</v>
      </c>
      <c r="P8275" s="405" t="s">
        <v>1799</v>
      </c>
      <c r="Q8275" s="411">
        <v>9</v>
      </c>
      <c r="R8275" s="405" t="s">
        <v>353</v>
      </c>
      <c r="S8275" s="405" t="s">
        <v>27051</v>
      </c>
      <c r="T8275" s="405" t="s">
        <v>32102</v>
      </c>
      <c r="U8275" s="405" t="s">
        <v>319</v>
      </c>
    </row>
    <row r="8276" spans="1:21" hidden="1" x14ac:dyDescent="0.25">
      <c r="A8276" s="405" t="s">
        <v>310</v>
      </c>
      <c r="B8276" s="405" t="s">
        <v>20239</v>
      </c>
      <c r="C8276" s="405" t="s">
        <v>327</v>
      </c>
      <c r="D8276" s="405"/>
      <c r="E8276" s="410">
        <v>40763</v>
      </c>
      <c r="F8276" s="410">
        <v>40808</v>
      </c>
      <c r="G8276" s="405" t="s">
        <v>20240</v>
      </c>
      <c r="H8276" s="405">
        <v>772517047</v>
      </c>
      <c r="I8276" s="405"/>
      <c r="J8276" s="405">
        <v>-0.47403000000000001</v>
      </c>
      <c r="K8276" s="405">
        <v>30.607073</v>
      </c>
      <c r="L8276" s="405" t="s">
        <v>590</v>
      </c>
      <c r="M8276" s="405" t="s">
        <v>19614</v>
      </c>
      <c r="N8276" s="405" t="s">
        <v>19615</v>
      </c>
      <c r="O8276" s="405" t="s">
        <v>19650</v>
      </c>
      <c r="P8276" s="405" t="s">
        <v>20241</v>
      </c>
      <c r="Q8276" s="411">
        <v>12</v>
      </c>
      <c r="R8276" s="405" t="s">
        <v>333</v>
      </c>
      <c r="S8276" s="405" t="s">
        <v>27160</v>
      </c>
      <c r="T8276" s="405" t="s">
        <v>32102</v>
      </c>
      <c r="U8276" s="405" t="s">
        <v>319</v>
      </c>
    </row>
    <row r="8277" spans="1:21" hidden="1" x14ac:dyDescent="0.25">
      <c r="A8277" s="405" t="s">
        <v>310</v>
      </c>
      <c r="B8277" s="405" t="s">
        <v>10586</v>
      </c>
      <c r="C8277" s="405" t="s">
        <v>327</v>
      </c>
      <c r="D8277" s="405"/>
      <c r="E8277" s="410">
        <v>40763</v>
      </c>
      <c r="F8277" s="410">
        <v>40808</v>
      </c>
      <c r="G8277" s="405" t="s">
        <v>10587</v>
      </c>
      <c r="H8277" s="405">
        <v>754487613</v>
      </c>
      <c r="I8277" s="405"/>
      <c r="J8277" s="405">
        <v>1.2742869999999999</v>
      </c>
      <c r="K8277" s="405">
        <v>34.376623000000002</v>
      </c>
      <c r="L8277" s="405" t="s">
        <v>6866</v>
      </c>
      <c r="M8277" s="405" t="s">
        <v>9550</v>
      </c>
      <c r="N8277" s="405" t="s">
        <v>9551</v>
      </c>
      <c r="O8277" s="405" t="s">
        <v>10588</v>
      </c>
      <c r="P8277" s="405" t="s">
        <v>10589</v>
      </c>
      <c r="Q8277" s="411">
        <v>6</v>
      </c>
      <c r="R8277" s="405" t="s">
        <v>7224</v>
      </c>
      <c r="S8277" s="405" t="s">
        <v>27086</v>
      </c>
      <c r="T8277" s="405" t="s">
        <v>32102</v>
      </c>
      <c r="U8277" s="405" t="s">
        <v>319</v>
      </c>
    </row>
    <row r="8278" spans="1:21" hidden="1" x14ac:dyDescent="0.25">
      <c r="A8278" s="405" t="s">
        <v>310</v>
      </c>
      <c r="B8278" s="405" t="s">
        <v>10513</v>
      </c>
      <c r="C8278" s="405" t="s">
        <v>327</v>
      </c>
      <c r="D8278" s="405"/>
      <c r="E8278" s="410">
        <v>40763</v>
      </c>
      <c r="F8278" s="410">
        <v>40808</v>
      </c>
      <c r="G8278" s="405" t="s">
        <v>10514</v>
      </c>
      <c r="H8278" s="405">
        <v>702188181</v>
      </c>
      <c r="I8278" s="405"/>
      <c r="J8278" s="405">
        <v>1.6177250000000001</v>
      </c>
      <c r="K8278" s="405">
        <v>33.612278000000003</v>
      </c>
      <c r="L8278" s="405" t="s">
        <v>6866</v>
      </c>
      <c r="M8278" s="405" t="s">
        <v>10515</v>
      </c>
      <c r="N8278" s="405" t="s">
        <v>10515</v>
      </c>
      <c r="O8278" s="405" t="s">
        <v>10516</v>
      </c>
      <c r="P8278" s="405" t="s">
        <v>10517</v>
      </c>
      <c r="Q8278" s="411">
        <v>6</v>
      </c>
      <c r="R8278" s="405" t="s">
        <v>5655</v>
      </c>
      <c r="S8278" s="405" t="s">
        <v>27324</v>
      </c>
      <c r="T8278" s="405" t="s">
        <v>32102</v>
      </c>
      <c r="U8278" s="405" t="s">
        <v>319</v>
      </c>
    </row>
    <row r="8279" spans="1:21" hidden="1" x14ac:dyDescent="0.25">
      <c r="A8279" s="405" t="s">
        <v>310</v>
      </c>
      <c r="B8279" s="405" t="s">
        <v>10480</v>
      </c>
      <c r="C8279" s="405" t="s">
        <v>327</v>
      </c>
      <c r="D8279" s="405"/>
      <c r="E8279" s="410">
        <v>40762</v>
      </c>
      <c r="F8279" s="410">
        <v>40807</v>
      </c>
      <c r="G8279" s="405" t="s">
        <v>10481</v>
      </c>
      <c r="H8279" s="405">
        <v>779129043</v>
      </c>
      <c r="I8279" s="405">
        <v>758192104</v>
      </c>
      <c r="J8279" s="405">
        <v>0.93334099999999998</v>
      </c>
      <c r="K8279" s="405">
        <v>33.130793400000002</v>
      </c>
      <c r="L8279" s="405" t="s">
        <v>6866</v>
      </c>
      <c r="M8279" s="405" t="s">
        <v>3009</v>
      </c>
      <c r="N8279" s="405" t="s">
        <v>9662</v>
      </c>
      <c r="O8279" s="405" t="s">
        <v>10320</v>
      </c>
      <c r="P8279" s="405" t="s">
        <v>10482</v>
      </c>
      <c r="Q8279" s="411">
        <v>12</v>
      </c>
      <c r="R8279" s="405" t="s">
        <v>333</v>
      </c>
      <c r="S8279" s="405" t="s">
        <v>27036</v>
      </c>
      <c r="T8279" s="405" t="s">
        <v>32102</v>
      </c>
      <c r="U8279" s="405" t="s">
        <v>319</v>
      </c>
    </row>
    <row r="8280" spans="1:21" hidden="1" x14ac:dyDescent="0.25">
      <c r="A8280" s="405" t="s">
        <v>310</v>
      </c>
      <c r="B8280" s="405" t="s">
        <v>10487</v>
      </c>
      <c r="C8280" s="405" t="s">
        <v>327</v>
      </c>
      <c r="D8280" s="405"/>
      <c r="E8280" s="410">
        <v>40762</v>
      </c>
      <c r="F8280" s="410">
        <v>40807</v>
      </c>
      <c r="G8280" s="405" t="s">
        <v>10488</v>
      </c>
      <c r="H8280" s="405">
        <v>772683529</v>
      </c>
      <c r="I8280" s="405"/>
      <c r="J8280" s="405">
        <v>0.61002199999999995</v>
      </c>
      <c r="K8280" s="405">
        <v>33.945335999999998</v>
      </c>
      <c r="L8280" s="405" t="s">
        <v>6866</v>
      </c>
      <c r="M8280" s="405" t="s">
        <v>9534</v>
      </c>
      <c r="N8280" s="405" t="s">
        <v>9997</v>
      </c>
      <c r="O8280" s="405" t="s">
        <v>10248</v>
      </c>
      <c r="P8280" s="405" t="s">
        <v>10489</v>
      </c>
      <c r="Q8280" s="411">
        <v>6</v>
      </c>
      <c r="R8280" s="405" t="s">
        <v>9541</v>
      </c>
      <c r="S8280" s="405" t="s">
        <v>27320</v>
      </c>
      <c r="T8280" s="405" t="s">
        <v>32102</v>
      </c>
      <c r="U8280" s="405" t="s">
        <v>319</v>
      </c>
    </row>
    <row r="8281" spans="1:21" hidden="1" x14ac:dyDescent="0.25">
      <c r="A8281" s="405" t="s">
        <v>310</v>
      </c>
      <c r="B8281" s="405" t="s">
        <v>29085</v>
      </c>
      <c r="C8281" s="405" t="s">
        <v>327</v>
      </c>
      <c r="D8281" s="405"/>
      <c r="E8281" s="410">
        <v>40761</v>
      </c>
      <c r="F8281" s="410">
        <v>40806</v>
      </c>
      <c r="G8281" s="405" t="s">
        <v>10578</v>
      </c>
      <c r="H8281" s="405">
        <v>782389148</v>
      </c>
      <c r="I8281" s="405"/>
      <c r="J8281" s="405">
        <v>1.2284189999999999</v>
      </c>
      <c r="K8281" s="405">
        <v>34.259774999999998</v>
      </c>
      <c r="L8281" s="405" t="s">
        <v>6866</v>
      </c>
      <c r="M8281" s="405" t="s">
        <v>9575</v>
      </c>
      <c r="N8281" s="405" t="s">
        <v>9629</v>
      </c>
      <c r="O8281" s="405" t="s">
        <v>10579</v>
      </c>
      <c r="P8281" s="405" t="s">
        <v>10580</v>
      </c>
      <c r="Q8281" s="411">
        <v>6</v>
      </c>
      <c r="R8281" s="405" t="s">
        <v>7224</v>
      </c>
      <c r="S8281" s="405" t="s">
        <v>27313</v>
      </c>
      <c r="T8281" s="405" t="s">
        <v>32102</v>
      </c>
      <c r="U8281" s="405" t="s">
        <v>319</v>
      </c>
    </row>
    <row r="8282" spans="1:21" hidden="1" x14ac:dyDescent="0.25">
      <c r="A8282" s="405" t="s">
        <v>310</v>
      </c>
      <c r="B8282" s="405" t="s">
        <v>10547</v>
      </c>
      <c r="C8282" s="405" t="s">
        <v>327</v>
      </c>
      <c r="D8282" s="405"/>
      <c r="E8282" s="410">
        <v>40761</v>
      </c>
      <c r="F8282" s="410">
        <v>40806</v>
      </c>
      <c r="G8282" s="405" t="s">
        <v>10548</v>
      </c>
      <c r="H8282" s="405">
        <v>772534611</v>
      </c>
      <c r="I8282" s="405"/>
      <c r="J8282" s="405">
        <v>1.6295029999999999</v>
      </c>
      <c r="K8282" s="405">
        <v>33.817568000000001</v>
      </c>
      <c r="L8282" s="405" t="s">
        <v>6866</v>
      </c>
      <c r="M8282" s="405" t="s">
        <v>10012</v>
      </c>
      <c r="N8282" s="405" t="s">
        <v>10012</v>
      </c>
      <c r="O8282" s="405" t="s">
        <v>10267</v>
      </c>
      <c r="P8282" s="405" t="s">
        <v>10549</v>
      </c>
      <c r="Q8282" s="411">
        <v>6</v>
      </c>
      <c r="R8282" s="405" t="s">
        <v>7224</v>
      </c>
      <c r="S8282" s="405" t="s">
        <v>17013</v>
      </c>
      <c r="T8282" s="405" t="s">
        <v>32102</v>
      </c>
      <c r="U8282" s="405" t="s">
        <v>319</v>
      </c>
    </row>
    <row r="8283" spans="1:21" hidden="1" x14ac:dyDescent="0.25">
      <c r="A8283" s="405" t="s">
        <v>310</v>
      </c>
      <c r="B8283" s="405" t="s">
        <v>1803</v>
      </c>
      <c r="C8283" s="405" t="s">
        <v>327</v>
      </c>
      <c r="D8283" s="405"/>
      <c r="E8283" s="410">
        <v>40761</v>
      </c>
      <c r="F8283" s="410">
        <v>40806</v>
      </c>
      <c r="G8283" s="405" t="s">
        <v>1804</v>
      </c>
      <c r="H8283" s="405">
        <v>772686870</v>
      </c>
      <c r="I8283" s="405"/>
      <c r="J8283" s="405">
        <v>-0.40154699999999999</v>
      </c>
      <c r="K8283" s="405">
        <v>31.162627000000001</v>
      </c>
      <c r="L8283" s="405" t="s">
        <v>314</v>
      </c>
      <c r="M8283" s="405" t="s">
        <v>1805</v>
      </c>
      <c r="N8283" s="405" t="s">
        <v>1805</v>
      </c>
      <c r="O8283" s="405" t="s">
        <v>1805</v>
      </c>
      <c r="P8283" s="405" t="s">
        <v>1806</v>
      </c>
      <c r="Q8283" s="411">
        <v>6</v>
      </c>
      <c r="R8283" s="405" t="s">
        <v>874</v>
      </c>
      <c r="S8283" s="405" t="s">
        <v>27098</v>
      </c>
      <c r="T8283" s="405" t="s">
        <v>32102</v>
      </c>
      <c r="U8283" s="405" t="s">
        <v>319</v>
      </c>
    </row>
    <row r="8284" spans="1:21" hidden="1" x14ac:dyDescent="0.25">
      <c r="A8284" s="405" t="s">
        <v>310</v>
      </c>
      <c r="B8284" s="405" t="s">
        <v>10593</v>
      </c>
      <c r="C8284" s="405" t="s">
        <v>327</v>
      </c>
      <c r="D8284" s="405"/>
      <c r="E8284" s="410">
        <v>40761</v>
      </c>
      <c r="F8284" s="410">
        <v>40806</v>
      </c>
      <c r="G8284" s="405" t="s">
        <v>10594</v>
      </c>
      <c r="H8284" s="405">
        <v>774530937</v>
      </c>
      <c r="I8284" s="405"/>
      <c r="J8284" s="405">
        <v>0.308813</v>
      </c>
      <c r="K8284" s="405">
        <v>33.998615999999998</v>
      </c>
      <c r="L8284" s="405" t="s">
        <v>6866</v>
      </c>
      <c r="M8284" s="405" t="s">
        <v>10390</v>
      </c>
      <c r="N8284" s="405" t="s">
        <v>10391</v>
      </c>
      <c r="O8284" s="405" t="s">
        <v>10395</v>
      </c>
      <c r="P8284" s="405" t="s">
        <v>10595</v>
      </c>
      <c r="Q8284" s="411">
        <v>6</v>
      </c>
      <c r="R8284" s="405" t="s">
        <v>7224</v>
      </c>
      <c r="S8284" s="405" t="s">
        <v>27304</v>
      </c>
      <c r="T8284" s="405" t="s">
        <v>32102</v>
      </c>
      <c r="U8284" s="405" t="s">
        <v>319</v>
      </c>
    </row>
    <row r="8285" spans="1:21" hidden="1" x14ac:dyDescent="0.25">
      <c r="A8285" s="405" t="s">
        <v>310</v>
      </c>
      <c r="B8285" s="405" t="s">
        <v>28844</v>
      </c>
      <c r="C8285" s="405" t="s">
        <v>327</v>
      </c>
      <c r="D8285" s="405"/>
      <c r="E8285" s="410">
        <v>40761</v>
      </c>
      <c r="F8285" s="410">
        <v>40806</v>
      </c>
      <c r="G8285" s="405" t="s">
        <v>1739</v>
      </c>
      <c r="H8285" s="405">
        <v>783865002</v>
      </c>
      <c r="I8285" s="405">
        <v>783865002</v>
      </c>
      <c r="J8285" s="405">
        <v>0.33432620000000002</v>
      </c>
      <c r="K8285" s="405">
        <v>32.672725700000001</v>
      </c>
      <c r="L8285" s="405" t="s">
        <v>314</v>
      </c>
      <c r="M8285" s="405" t="s">
        <v>361</v>
      </c>
      <c r="N8285" s="405" t="s">
        <v>362</v>
      </c>
      <c r="O8285" s="405" t="s">
        <v>498</v>
      </c>
      <c r="P8285" s="405" t="s">
        <v>1740</v>
      </c>
      <c r="Q8285" s="411">
        <v>6</v>
      </c>
      <c r="R8285" s="405" t="s">
        <v>353</v>
      </c>
      <c r="S8285" s="405" t="s">
        <v>27049</v>
      </c>
      <c r="T8285" s="405" t="s">
        <v>32102</v>
      </c>
      <c r="U8285" s="405" t="s">
        <v>319</v>
      </c>
    </row>
    <row r="8286" spans="1:21" hidden="1" x14ac:dyDescent="0.25">
      <c r="A8286" s="405" t="s">
        <v>310</v>
      </c>
      <c r="B8286" s="405" t="s">
        <v>20485</v>
      </c>
      <c r="C8286" s="405" t="s">
        <v>311</v>
      </c>
      <c r="D8286" s="405" t="s">
        <v>839</v>
      </c>
      <c r="E8286" s="410">
        <v>40760</v>
      </c>
      <c r="F8286" s="410">
        <v>40805</v>
      </c>
      <c r="G8286" s="405" t="s">
        <v>20486</v>
      </c>
      <c r="H8286" s="405">
        <v>752280416</v>
      </c>
      <c r="I8286" s="405"/>
      <c r="J8286" s="405">
        <v>3.7525000000000003E-2</v>
      </c>
      <c r="K8286" s="405">
        <v>30.481074</v>
      </c>
      <c r="L8286" s="405" t="s">
        <v>590</v>
      </c>
      <c r="M8286" s="405" t="s">
        <v>870</v>
      </c>
      <c r="N8286" s="405" t="s">
        <v>20193</v>
      </c>
      <c r="O8286" s="405" t="s">
        <v>20487</v>
      </c>
      <c r="P8286" s="405" t="s">
        <v>20488</v>
      </c>
      <c r="Q8286" s="411">
        <v>9</v>
      </c>
      <c r="R8286" s="405" t="s">
        <v>333</v>
      </c>
      <c r="S8286" s="405" t="s">
        <v>27249</v>
      </c>
      <c r="T8286" s="405" t="s">
        <v>32102</v>
      </c>
      <c r="U8286" s="405" t="s">
        <v>319</v>
      </c>
    </row>
    <row r="8287" spans="1:21" hidden="1" x14ac:dyDescent="0.25">
      <c r="A8287" s="405" t="s">
        <v>310</v>
      </c>
      <c r="B8287" s="405" t="s">
        <v>20234</v>
      </c>
      <c r="C8287" s="405" t="s">
        <v>327</v>
      </c>
      <c r="D8287" s="405"/>
      <c r="E8287" s="410">
        <v>40760</v>
      </c>
      <c r="F8287" s="410">
        <v>40805</v>
      </c>
      <c r="G8287" s="405" t="s">
        <v>20235</v>
      </c>
      <c r="H8287" s="405">
        <v>774668430</v>
      </c>
      <c r="I8287" s="405">
        <v>787295581</v>
      </c>
      <c r="J8287" s="405">
        <v>1.7874403000000001</v>
      </c>
      <c r="K8287" s="405">
        <v>32.013239599999999</v>
      </c>
      <c r="L8287" s="405" t="s">
        <v>590</v>
      </c>
      <c r="M8287" s="405" t="s">
        <v>19608</v>
      </c>
      <c r="N8287" s="405" t="s">
        <v>6003</v>
      </c>
      <c r="O8287" s="405" t="s">
        <v>3012</v>
      </c>
      <c r="P8287" s="405" t="s">
        <v>12995</v>
      </c>
      <c r="Q8287" s="411">
        <v>9</v>
      </c>
      <c r="R8287" s="405" t="s">
        <v>318</v>
      </c>
      <c r="S8287" s="405" t="s">
        <v>22481</v>
      </c>
      <c r="T8287" s="405" t="s">
        <v>32102</v>
      </c>
      <c r="U8287" s="405" t="s">
        <v>319</v>
      </c>
    </row>
    <row r="8288" spans="1:21" hidden="1" x14ac:dyDescent="0.25">
      <c r="A8288" s="405" t="s">
        <v>310</v>
      </c>
      <c r="B8288" s="405" t="s">
        <v>28990</v>
      </c>
      <c r="C8288" s="405" t="s">
        <v>327</v>
      </c>
      <c r="D8288" s="405"/>
      <c r="E8288" s="410">
        <v>40760</v>
      </c>
      <c r="F8288" s="410">
        <v>40805</v>
      </c>
      <c r="G8288" s="405" t="s">
        <v>20262</v>
      </c>
      <c r="H8288" s="405">
        <v>783640255</v>
      </c>
      <c r="I8288" s="405"/>
      <c r="J8288" s="405">
        <v>-0.74160999999999999</v>
      </c>
      <c r="K8288" s="405">
        <v>30.156347</v>
      </c>
      <c r="L8288" s="405" t="s">
        <v>590</v>
      </c>
      <c r="M8288" s="405" t="s">
        <v>19659</v>
      </c>
      <c r="N8288" s="405" t="s">
        <v>19604</v>
      </c>
      <c r="O8288" s="405" t="s">
        <v>20263</v>
      </c>
      <c r="P8288" s="405" t="s">
        <v>20264</v>
      </c>
      <c r="Q8288" s="411">
        <v>6</v>
      </c>
      <c r="R8288" s="405" t="s">
        <v>967</v>
      </c>
      <c r="S8288" s="405" t="s">
        <v>27399</v>
      </c>
      <c r="T8288" s="405" t="s">
        <v>32102</v>
      </c>
      <c r="U8288" s="405" t="s">
        <v>319</v>
      </c>
    </row>
    <row r="8289" spans="1:21" hidden="1" x14ac:dyDescent="0.25">
      <c r="A8289" s="405" t="s">
        <v>310</v>
      </c>
      <c r="B8289" s="405" t="s">
        <v>10531</v>
      </c>
      <c r="C8289" s="405" t="s">
        <v>327</v>
      </c>
      <c r="D8289" s="405"/>
      <c r="E8289" s="410">
        <v>40760</v>
      </c>
      <c r="F8289" s="410">
        <v>40805</v>
      </c>
      <c r="G8289" s="405" t="s">
        <v>10532</v>
      </c>
      <c r="H8289" s="405">
        <v>780324208</v>
      </c>
      <c r="I8289" s="405"/>
      <c r="J8289" s="405">
        <v>1.4674149999999999</v>
      </c>
      <c r="K8289" s="405">
        <v>33.786065000000001</v>
      </c>
      <c r="L8289" s="405" t="s">
        <v>6866</v>
      </c>
      <c r="M8289" s="405" t="s">
        <v>10012</v>
      </c>
      <c r="N8289" s="405" t="s">
        <v>10012</v>
      </c>
      <c r="O8289" s="405" t="s">
        <v>10012</v>
      </c>
      <c r="P8289" s="405" t="s">
        <v>10533</v>
      </c>
      <c r="Q8289" s="411">
        <v>6</v>
      </c>
      <c r="R8289" s="405" t="s">
        <v>7224</v>
      </c>
      <c r="S8289" s="405" t="s">
        <v>27283</v>
      </c>
      <c r="T8289" s="405" t="s">
        <v>32102</v>
      </c>
      <c r="U8289" s="405" t="s">
        <v>319</v>
      </c>
    </row>
    <row r="8290" spans="1:21" hidden="1" x14ac:dyDescent="0.25">
      <c r="A8290" s="405" t="s">
        <v>310</v>
      </c>
      <c r="B8290" s="405" t="s">
        <v>10483</v>
      </c>
      <c r="C8290" s="405" t="s">
        <v>327</v>
      </c>
      <c r="D8290" s="405"/>
      <c r="E8290" s="410">
        <v>40759</v>
      </c>
      <c r="F8290" s="410">
        <v>40804</v>
      </c>
      <c r="G8290" s="405" t="s">
        <v>10484</v>
      </c>
      <c r="H8290" s="405">
        <v>782510949</v>
      </c>
      <c r="I8290" s="405">
        <v>777891625</v>
      </c>
      <c r="J8290" s="405">
        <v>0.93592900000000001</v>
      </c>
      <c r="K8290" s="405">
        <v>33.132122600000002</v>
      </c>
      <c r="L8290" s="405" t="s">
        <v>6866</v>
      </c>
      <c r="M8290" s="405" t="s">
        <v>3009</v>
      </c>
      <c r="N8290" s="405" t="s">
        <v>9842</v>
      </c>
      <c r="O8290" s="405" t="s">
        <v>10332</v>
      </c>
      <c r="P8290" s="405" t="s">
        <v>10470</v>
      </c>
      <c r="Q8290" s="411">
        <v>9</v>
      </c>
      <c r="R8290" s="405" t="s">
        <v>32478</v>
      </c>
      <c r="S8290" s="405" t="s">
        <v>6822</v>
      </c>
      <c r="T8290" s="405" t="s">
        <v>32102</v>
      </c>
      <c r="U8290" s="405" t="s">
        <v>319</v>
      </c>
    </row>
    <row r="8291" spans="1:21" hidden="1" x14ac:dyDescent="0.25">
      <c r="A8291" s="405" t="s">
        <v>310</v>
      </c>
      <c r="B8291" s="405" t="s">
        <v>28520</v>
      </c>
      <c r="C8291" s="405" t="s">
        <v>327</v>
      </c>
      <c r="D8291" s="405"/>
      <c r="E8291" s="410">
        <v>40759</v>
      </c>
      <c r="F8291" s="410">
        <v>40804</v>
      </c>
      <c r="G8291" s="405" t="s">
        <v>1776</v>
      </c>
      <c r="H8291" s="405">
        <v>771626029</v>
      </c>
      <c r="I8291" s="405"/>
      <c r="J8291" s="405">
        <v>2.4943E-2</v>
      </c>
      <c r="K8291" s="405">
        <v>31.950396999999999</v>
      </c>
      <c r="L8291" s="405" t="s">
        <v>314</v>
      </c>
      <c r="M8291" s="405" t="s">
        <v>321</v>
      </c>
      <c r="N8291" s="405" t="s">
        <v>322</v>
      </c>
      <c r="O8291" s="405" t="s">
        <v>841</v>
      </c>
      <c r="P8291" s="405" t="s">
        <v>1777</v>
      </c>
      <c r="Q8291" s="411">
        <v>6</v>
      </c>
      <c r="R8291" s="405" t="s">
        <v>438</v>
      </c>
      <c r="S8291" s="405" t="s">
        <v>27131</v>
      </c>
      <c r="T8291" s="405" t="s">
        <v>32102</v>
      </c>
      <c r="U8291" s="405" t="s">
        <v>319</v>
      </c>
    </row>
    <row r="8292" spans="1:21" hidden="1" x14ac:dyDescent="0.25">
      <c r="A8292" s="405" t="s">
        <v>310</v>
      </c>
      <c r="B8292" s="405" t="s">
        <v>10485</v>
      </c>
      <c r="C8292" s="405" t="s">
        <v>327</v>
      </c>
      <c r="D8292" s="405"/>
      <c r="E8292" s="410">
        <v>40759</v>
      </c>
      <c r="F8292" s="410">
        <v>40804</v>
      </c>
      <c r="G8292" s="405" t="s">
        <v>10486</v>
      </c>
      <c r="H8292" s="405">
        <v>772683529</v>
      </c>
      <c r="I8292" s="405"/>
      <c r="J8292" s="405">
        <v>0.61032900000000001</v>
      </c>
      <c r="K8292" s="405">
        <v>33.952755000000003</v>
      </c>
      <c r="L8292" s="405" t="s">
        <v>6866</v>
      </c>
      <c r="M8292" s="405" t="s">
        <v>9534</v>
      </c>
      <c r="N8292" s="405" t="s">
        <v>9997</v>
      </c>
      <c r="O8292" s="405" t="s">
        <v>10248</v>
      </c>
      <c r="P8292" s="405" t="s">
        <v>10410</v>
      </c>
      <c r="Q8292" s="411">
        <v>6</v>
      </c>
      <c r="R8292" s="405" t="s">
        <v>9541</v>
      </c>
      <c r="S8292" s="405" t="s">
        <v>27320</v>
      </c>
      <c r="T8292" s="405" t="s">
        <v>32102</v>
      </c>
      <c r="U8292" s="405" t="s">
        <v>319</v>
      </c>
    </row>
    <row r="8293" spans="1:21" hidden="1" x14ac:dyDescent="0.25">
      <c r="A8293" s="405" t="s">
        <v>310</v>
      </c>
      <c r="B8293" s="405" t="s">
        <v>10508</v>
      </c>
      <c r="C8293" s="405" t="s">
        <v>327</v>
      </c>
      <c r="D8293" s="405"/>
      <c r="E8293" s="410">
        <v>40759</v>
      </c>
      <c r="F8293" s="410">
        <v>40804</v>
      </c>
      <c r="G8293" s="405" t="s">
        <v>10509</v>
      </c>
      <c r="H8293" s="405">
        <v>776510644</v>
      </c>
      <c r="I8293" s="405"/>
      <c r="J8293" s="405">
        <v>1.4786280000000001</v>
      </c>
      <c r="K8293" s="405">
        <v>33.449182</v>
      </c>
      <c r="L8293" s="405" t="s">
        <v>6866</v>
      </c>
      <c r="M8293" s="405" t="s">
        <v>9658</v>
      </c>
      <c r="N8293" s="405" t="s">
        <v>9658</v>
      </c>
      <c r="O8293" s="405" t="s">
        <v>9659</v>
      </c>
      <c r="P8293" s="405" t="s">
        <v>10500</v>
      </c>
      <c r="Q8293" s="411">
        <v>6</v>
      </c>
      <c r="R8293" s="405" t="s">
        <v>7224</v>
      </c>
      <c r="S8293" s="405" t="s">
        <v>27325</v>
      </c>
      <c r="T8293" s="405" t="s">
        <v>32102</v>
      </c>
      <c r="U8293" s="405" t="s">
        <v>319</v>
      </c>
    </row>
    <row r="8294" spans="1:21" hidden="1" x14ac:dyDescent="0.25">
      <c r="A8294" s="405" t="s">
        <v>310</v>
      </c>
      <c r="B8294" s="405" t="s">
        <v>10540</v>
      </c>
      <c r="C8294" s="405" t="s">
        <v>327</v>
      </c>
      <c r="D8294" s="405"/>
      <c r="E8294" s="410">
        <v>40759</v>
      </c>
      <c r="F8294" s="410">
        <v>40804</v>
      </c>
      <c r="G8294" s="405" t="s">
        <v>10541</v>
      </c>
      <c r="H8294" s="405">
        <v>782035976</v>
      </c>
      <c r="I8294" s="405"/>
      <c r="J8294" s="405">
        <v>1.2526299999999999</v>
      </c>
      <c r="K8294" s="405">
        <v>34.213943</v>
      </c>
      <c r="L8294" s="405" t="s">
        <v>6866</v>
      </c>
      <c r="M8294" s="405" t="s">
        <v>9504</v>
      </c>
      <c r="N8294" s="405" t="s">
        <v>9504</v>
      </c>
      <c r="O8294" s="405" t="s">
        <v>10538</v>
      </c>
      <c r="P8294" s="405" t="s">
        <v>10542</v>
      </c>
      <c r="Q8294" s="411">
        <v>6</v>
      </c>
      <c r="R8294" s="405" t="s">
        <v>9541</v>
      </c>
      <c r="S8294" s="405" t="s">
        <v>27296</v>
      </c>
      <c r="T8294" s="405" t="s">
        <v>32102</v>
      </c>
      <c r="U8294" s="405" t="s">
        <v>319</v>
      </c>
    </row>
    <row r="8295" spans="1:21" hidden="1" x14ac:dyDescent="0.25">
      <c r="A8295" s="405" t="s">
        <v>310</v>
      </c>
      <c r="B8295" s="405" t="s">
        <v>28018</v>
      </c>
      <c r="C8295" s="405" t="s">
        <v>327</v>
      </c>
      <c r="D8295" s="405"/>
      <c r="E8295" s="410">
        <v>40758</v>
      </c>
      <c r="F8295" s="410">
        <v>40803</v>
      </c>
      <c r="G8295" s="405" t="s">
        <v>1735</v>
      </c>
      <c r="H8295" s="405">
        <v>772657183</v>
      </c>
      <c r="I8295" s="405"/>
      <c r="J8295" s="405">
        <v>0.41869200000000001</v>
      </c>
      <c r="K8295" s="405">
        <v>32.182828000000001</v>
      </c>
      <c r="L8295" s="405" t="s">
        <v>314</v>
      </c>
      <c r="M8295" s="405" t="s">
        <v>675</v>
      </c>
      <c r="N8295" s="405" t="s">
        <v>1065</v>
      </c>
      <c r="O8295" s="405" t="s">
        <v>1374</v>
      </c>
      <c r="P8295" s="405" t="s">
        <v>956</v>
      </c>
      <c r="Q8295" s="411">
        <v>12</v>
      </c>
      <c r="R8295" s="405" t="s">
        <v>318</v>
      </c>
      <c r="S8295" s="405" t="s">
        <v>27113</v>
      </c>
      <c r="T8295" s="405" t="s">
        <v>32102</v>
      </c>
      <c r="U8295" s="405" t="s">
        <v>319</v>
      </c>
    </row>
    <row r="8296" spans="1:21" hidden="1" x14ac:dyDescent="0.25">
      <c r="A8296" s="405" t="s">
        <v>310</v>
      </c>
      <c r="B8296" s="405" t="s">
        <v>11235</v>
      </c>
      <c r="C8296" s="405" t="s">
        <v>327</v>
      </c>
      <c r="D8296" s="405"/>
      <c r="E8296" s="410">
        <v>40758</v>
      </c>
      <c r="F8296" s="410">
        <v>40881</v>
      </c>
      <c r="G8296" s="405" t="s">
        <v>11236</v>
      </c>
      <c r="H8296" s="405" t="s">
        <v>11237</v>
      </c>
      <c r="I8296" s="405" t="s">
        <v>11238</v>
      </c>
      <c r="J8296" s="405">
        <v>0.53602899999999998</v>
      </c>
      <c r="K8296" s="405">
        <v>33.496001</v>
      </c>
      <c r="L8296" s="405" t="s">
        <v>6866</v>
      </c>
      <c r="M8296" s="405" t="s">
        <v>5411</v>
      </c>
      <c r="N8296" s="405" t="s">
        <v>11239</v>
      </c>
      <c r="O8296" s="405" t="s">
        <v>10881</v>
      </c>
      <c r="P8296" s="405" t="s">
        <v>11240</v>
      </c>
      <c r="Q8296" s="411">
        <v>6</v>
      </c>
      <c r="R8296" s="405" t="s">
        <v>32164</v>
      </c>
      <c r="S8296" s="405" t="s">
        <v>27174</v>
      </c>
      <c r="T8296" s="405" t="s">
        <v>32102</v>
      </c>
      <c r="U8296" s="405" t="s">
        <v>319</v>
      </c>
    </row>
    <row r="8297" spans="1:21" hidden="1" x14ac:dyDescent="0.25">
      <c r="A8297" s="405" t="s">
        <v>310</v>
      </c>
      <c r="B8297" s="405" t="s">
        <v>28371</v>
      </c>
      <c r="C8297" s="405" t="s">
        <v>327</v>
      </c>
      <c r="D8297" s="405"/>
      <c r="E8297" s="410">
        <v>40757</v>
      </c>
      <c r="F8297" s="410">
        <v>40802</v>
      </c>
      <c r="G8297" s="405" t="s">
        <v>1781</v>
      </c>
      <c r="H8297" s="405">
        <v>772998563</v>
      </c>
      <c r="I8297" s="405">
        <v>772998563</v>
      </c>
      <c r="J8297" s="405">
        <v>0.30738700000000002</v>
      </c>
      <c r="K8297" s="405">
        <v>33.026997000000001</v>
      </c>
      <c r="L8297" s="405" t="s">
        <v>314</v>
      </c>
      <c r="M8297" s="405" t="s">
        <v>349</v>
      </c>
      <c r="N8297" s="405" t="s">
        <v>549</v>
      </c>
      <c r="O8297" s="405" t="s">
        <v>349</v>
      </c>
      <c r="P8297" s="405" t="s">
        <v>1782</v>
      </c>
      <c r="Q8297" s="411">
        <v>6</v>
      </c>
      <c r="R8297" s="405" t="s">
        <v>32478</v>
      </c>
      <c r="S8297" s="405" t="s">
        <v>27035</v>
      </c>
      <c r="T8297" s="405" t="s">
        <v>32102</v>
      </c>
      <c r="U8297" s="405" t="s">
        <v>319</v>
      </c>
    </row>
    <row r="8298" spans="1:21" hidden="1" x14ac:dyDescent="0.25">
      <c r="A8298" s="405" t="s">
        <v>310</v>
      </c>
      <c r="B8298" s="405" t="s">
        <v>10596</v>
      </c>
      <c r="C8298" s="405" t="s">
        <v>327</v>
      </c>
      <c r="D8298" s="405"/>
      <c r="E8298" s="410">
        <v>40757</v>
      </c>
      <c r="F8298" s="410">
        <v>40802</v>
      </c>
      <c r="G8298" s="405" t="s">
        <v>10597</v>
      </c>
      <c r="H8298" s="405">
        <v>752635647</v>
      </c>
      <c r="I8298" s="405"/>
      <c r="J8298" s="405">
        <v>0.9087615</v>
      </c>
      <c r="K8298" s="405">
        <v>33.122852299999998</v>
      </c>
      <c r="L8298" s="405" t="s">
        <v>6866</v>
      </c>
      <c r="M8298" s="405" t="s">
        <v>3009</v>
      </c>
      <c r="N8298" s="405" t="s">
        <v>9612</v>
      </c>
      <c r="O8298" s="405" t="s">
        <v>9613</v>
      </c>
      <c r="P8298" s="405" t="s">
        <v>10598</v>
      </c>
      <c r="Q8298" s="411">
        <v>6</v>
      </c>
      <c r="R8298" s="405" t="s">
        <v>333</v>
      </c>
      <c r="S8298" s="405" t="s">
        <v>6822</v>
      </c>
      <c r="T8298" s="405" t="s">
        <v>32102</v>
      </c>
      <c r="U8298" s="405" t="s">
        <v>319</v>
      </c>
    </row>
    <row r="8299" spans="1:21" hidden="1" x14ac:dyDescent="0.25">
      <c r="A8299" s="405" t="s">
        <v>310</v>
      </c>
      <c r="B8299" s="405" t="s">
        <v>10569</v>
      </c>
      <c r="C8299" s="405" t="s">
        <v>327</v>
      </c>
      <c r="D8299" s="405"/>
      <c r="E8299" s="410">
        <v>40757</v>
      </c>
      <c r="F8299" s="410">
        <v>40802</v>
      </c>
      <c r="G8299" s="405" t="s">
        <v>10570</v>
      </c>
      <c r="H8299" s="405">
        <v>782261471</v>
      </c>
      <c r="I8299" s="405"/>
      <c r="J8299" s="405">
        <v>1.034025</v>
      </c>
      <c r="K8299" s="405">
        <v>34.331898000000002</v>
      </c>
      <c r="L8299" s="405" t="s">
        <v>6866</v>
      </c>
      <c r="M8299" s="405" t="s">
        <v>6867</v>
      </c>
      <c r="N8299" s="405" t="s">
        <v>6868</v>
      </c>
      <c r="O8299" s="405" t="s">
        <v>10571</v>
      </c>
      <c r="P8299" s="405" t="s">
        <v>10572</v>
      </c>
      <c r="Q8299" s="411">
        <v>6</v>
      </c>
      <c r="R8299" s="405" t="s">
        <v>7224</v>
      </c>
      <c r="S8299" s="405" t="s">
        <v>27197</v>
      </c>
      <c r="T8299" s="405" t="s">
        <v>32102</v>
      </c>
      <c r="U8299" s="405" t="s">
        <v>319</v>
      </c>
    </row>
    <row r="8300" spans="1:21" hidden="1" x14ac:dyDescent="0.25">
      <c r="A8300" s="405" t="s">
        <v>310</v>
      </c>
      <c r="B8300" s="405" t="s">
        <v>1810</v>
      </c>
      <c r="C8300" s="405" t="s">
        <v>327</v>
      </c>
      <c r="D8300" s="405"/>
      <c r="E8300" s="410">
        <v>40755</v>
      </c>
      <c r="F8300" s="410">
        <v>40800</v>
      </c>
      <c r="G8300" s="405" t="s">
        <v>1811</v>
      </c>
      <c r="H8300" s="405">
        <v>773701234</v>
      </c>
      <c r="I8300" s="405">
        <v>704006880</v>
      </c>
      <c r="J8300" s="405">
        <v>0.48542800000000003</v>
      </c>
      <c r="K8300" s="405">
        <v>32.632866999999997</v>
      </c>
      <c r="L8300" s="405" t="s">
        <v>314</v>
      </c>
      <c r="M8300" s="405" t="s">
        <v>361</v>
      </c>
      <c r="N8300" s="405" t="s">
        <v>362</v>
      </c>
      <c r="O8300" s="405" t="s">
        <v>410</v>
      </c>
      <c r="P8300" s="405" t="s">
        <v>1812</v>
      </c>
      <c r="Q8300" s="411">
        <v>12</v>
      </c>
      <c r="R8300" s="405" t="s">
        <v>353</v>
      </c>
      <c r="S8300" s="405" t="s">
        <v>27153</v>
      </c>
      <c r="T8300" s="405" t="s">
        <v>32102</v>
      </c>
      <c r="U8300" s="405" t="s">
        <v>319</v>
      </c>
    </row>
    <row r="8301" spans="1:21" hidden="1" x14ac:dyDescent="0.25">
      <c r="A8301" s="405" t="s">
        <v>310</v>
      </c>
      <c r="B8301" s="405" t="s">
        <v>1783</v>
      </c>
      <c r="C8301" s="405" t="s">
        <v>327</v>
      </c>
      <c r="D8301" s="405"/>
      <c r="E8301" s="410">
        <v>40755</v>
      </c>
      <c r="F8301" s="410">
        <v>40800</v>
      </c>
      <c r="G8301" s="405" t="s">
        <v>1784</v>
      </c>
      <c r="H8301" s="405">
        <v>772378542</v>
      </c>
      <c r="I8301" s="405"/>
      <c r="J8301" s="405">
        <v>0.14133699999999999</v>
      </c>
      <c r="K8301" s="405">
        <v>32.543092999999999</v>
      </c>
      <c r="L8301" s="405" t="s">
        <v>314</v>
      </c>
      <c r="M8301" s="405" t="s">
        <v>361</v>
      </c>
      <c r="N8301" s="405" t="s">
        <v>374</v>
      </c>
      <c r="O8301" s="405" t="s">
        <v>638</v>
      </c>
      <c r="P8301" s="405" t="s">
        <v>677</v>
      </c>
      <c r="Q8301" s="411">
        <v>12</v>
      </c>
      <c r="R8301" s="405" t="s">
        <v>318</v>
      </c>
      <c r="S8301" s="405" t="s">
        <v>27112</v>
      </c>
      <c r="T8301" s="405" t="s">
        <v>32102</v>
      </c>
      <c r="U8301" s="405" t="s">
        <v>319</v>
      </c>
    </row>
    <row r="8302" spans="1:21" hidden="1" x14ac:dyDescent="0.25">
      <c r="A8302" s="405" t="s">
        <v>310</v>
      </c>
      <c r="B8302" s="405" t="s">
        <v>1794</v>
      </c>
      <c r="C8302" s="405" t="s">
        <v>327</v>
      </c>
      <c r="D8302" s="405"/>
      <c r="E8302" s="410">
        <v>40755</v>
      </c>
      <c r="F8302" s="410">
        <v>40800</v>
      </c>
      <c r="G8302" s="405" t="s">
        <v>1795</v>
      </c>
      <c r="H8302" s="405">
        <v>782799622</v>
      </c>
      <c r="I8302" s="405"/>
      <c r="J8302" s="405">
        <v>0.52482700000000004</v>
      </c>
      <c r="K8302" s="405">
        <v>32.258823</v>
      </c>
      <c r="L8302" s="405" t="s">
        <v>314</v>
      </c>
      <c r="M8302" s="405" t="s">
        <v>361</v>
      </c>
      <c r="N8302" s="405" t="s">
        <v>374</v>
      </c>
      <c r="O8302" s="405" t="s">
        <v>1796</v>
      </c>
      <c r="P8302" s="405" t="s">
        <v>663</v>
      </c>
      <c r="Q8302" s="411">
        <v>12</v>
      </c>
      <c r="R8302" s="405" t="s">
        <v>318</v>
      </c>
      <c r="S8302" s="405" t="s">
        <v>27152</v>
      </c>
      <c r="T8302" s="405" t="s">
        <v>32102</v>
      </c>
      <c r="U8302" s="405" t="s">
        <v>319</v>
      </c>
    </row>
    <row r="8303" spans="1:21" hidden="1" x14ac:dyDescent="0.25">
      <c r="A8303" s="405" t="s">
        <v>310</v>
      </c>
      <c r="B8303" s="405" t="s">
        <v>1745</v>
      </c>
      <c r="C8303" s="405" t="s">
        <v>327</v>
      </c>
      <c r="D8303" s="405"/>
      <c r="E8303" s="410">
        <v>40755</v>
      </c>
      <c r="F8303" s="410">
        <v>40800</v>
      </c>
      <c r="G8303" s="405" t="s">
        <v>1746</v>
      </c>
      <c r="H8303" s="405">
        <v>772441777</v>
      </c>
      <c r="I8303" s="405"/>
      <c r="J8303" s="405">
        <v>0.2601816666666667</v>
      </c>
      <c r="K8303" s="405">
        <v>32.547473333333329</v>
      </c>
      <c r="L8303" s="405" t="s">
        <v>314</v>
      </c>
      <c r="M8303" s="405" t="s">
        <v>361</v>
      </c>
      <c r="N8303" s="405" t="s">
        <v>362</v>
      </c>
      <c r="O8303" s="405" t="s">
        <v>618</v>
      </c>
      <c r="P8303" s="405" t="s">
        <v>1341</v>
      </c>
      <c r="Q8303" s="411">
        <v>12</v>
      </c>
      <c r="R8303" s="405" t="s">
        <v>318</v>
      </c>
      <c r="S8303" s="405" t="s">
        <v>27113</v>
      </c>
      <c r="T8303" s="405" t="s">
        <v>32102</v>
      </c>
      <c r="U8303" s="405" t="s">
        <v>319</v>
      </c>
    </row>
    <row r="8304" spans="1:21" hidden="1" x14ac:dyDescent="0.25">
      <c r="A8304" s="405" t="s">
        <v>310</v>
      </c>
      <c r="B8304" s="405" t="s">
        <v>28794</v>
      </c>
      <c r="C8304" s="405" t="s">
        <v>327</v>
      </c>
      <c r="D8304" s="405"/>
      <c r="E8304" s="410">
        <v>40755</v>
      </c>
      <c r="F8304" s="410">
        <v>40800</v>
      </c>
      <c r="G8304" s="405" t="s">
        <v>10499</v>
      </c>
      <c r="H8304" s="405">
        <v>752693506</v>
      </c>
      <c r="I8304" s="405"/>
      <c r="J8304" s="405">
        <v>1.4893780000000001</v>
      </c>
      <c r="K8304" s="405">
        <v>33.455792000000002</v>
      </c>
      <c r="L8304" s="405" t="s">
        <v>6866</v>
      </c>
      <c r="M8304" s="405" t="s">
        <v>9658</v>
      </c>
      <c r="N8304" s="405" t="s">
        <v>9658</v>
      </c>
      <c r="O8304" s="405" t="s">
        <v>9659</v>
      </c>
      <c r="P8304" s="405" t="s">
        <v>10500</v>
      </c>
      <c r="Q8304" s="411">
        <v>9</v>
      </c>
      <c r="R8304" s="405" t="s">
        <v>7224</v>
      </c>
      <c r="S8304" s="405" t="s">
        <v>27323</v>
      </c>
      <c r="T8304" s="405" t="s">
        <v>32102</v>
      </c>
      <c r="U8304" s="405" t="s">
        <v>319</v>
      </c>
    </row>
    <row r="8305" spans="1:21" hidden="1" x14ac:dyDescent="0.25">
      <c r="A8305" s="405" t="s">
        <v>310</v>
      </c>
      <c r="B8305" s="405" t="s">
        <v>1807</v>
      </c>
      <c r="C8305" s="405" t="s">
        <v>327</v>
      </c>
      <c r="D8305" s="405"/>
      <c r="E8305" s="410">
        <v>40755</v>
      </c>
      <c r="F8305" s="410">
        <v>40800</v>
      </c>
      <c r="G8305" s="405" t="s">
        <v>1808</v>
      </c>
      <c r="H8305" s="405">
        <v>752627663</v>
      </c>
      <c r="I8305" s="405"/>
      <c r="J8305" s="405">
        <v>0.26411000000000001</v>
      </c>
      <c r="K8305" s="405">
        <v>32.590052999999997</v>
      </c>
      <c r="L8305" s="405" t="s">
        <v>314</v>
      </c>
      <c r="M8305" s="405" t="s">
        <v>361</v>
      </c>
      <c r="N8305" s="405" t="s">
        <v>362</v>
      </c>
      <c r="O8305" s="405" t="s">
        <v>618</v>
      </c>
      <c r="P8305" s="405" t="s">
        <v>1809</v>
      </c>
      <c r="Q8305" s="411">
        <v>9</v>
      </c>
      <c r="R8305" s="405" t="s">
        <v>353</v>
      </c>
      <c r="S8305" s="405" t="s">
        <v>27158</v>
      </c>
      <c r="T8305" s="405" t="s">
        <v>32102</v>
      </c>
      <c r="U8305" s="405" t="s">
        <v>319</v>
      </c>
    </row>
    <row r="8306" spans="1:21" hidden="1" x14ac:dyDescent="0.25">
      <c r="A8306" s="405" t="s">
        <v>310</v>
      </c>
      <c r="B8306" s="405" t="s">
        <v>27824</v>
      </c>
      <c r="C8306" s="405" t="s">
        <v>327</v>
      </c>
      <c r="D8306" s="405"/>
      <c r="E8306" s="410">
        <v>40755</v>
      </c>
      <c r="F8306" s="410">
        <v>40800</v>
      </c>
      <c r="G8306" s="405" t="s">
        <v>1816</v>
      </c>
      <c r="H8306" s="405">
        <v>772461682</v>
      </c>
      <c r="I8306" s="405"/>
      <c r="J8306" s="405">
        <v>0.36744759999999999</v>
      </c>
      <c r="K8306" s="405">
        <v>32.7098206</v>
      </c>
      <c r="L8306" s="405" t="s">
        <v>314</v>
      </c>
      <c r="M8306" s="405" t="s">
        <v>329</v>
      </c>
      <c r="N8306" s="405" t="s">
        <v>330</v>
      </c>
      <c r="O8306" s="405" t="s">
        <v>1442</v>
      </c>
      <c r="P8306" s="405" t="s">
        <v>1817</v>
      </c>
      <c r="Q8306" s="411">
        <v>9</v>
      </c>
      <c r="R8306" s="405" t="s">
        <v>353</v>
      </c>
      <c r="S8306" s="405" t="s">
        <v>27140</v>
      </c>
      <c r="T8306" s="405" t="s">
        <v>32102</v>
      </c>
      <c r="U8306" s="405" t="s">
        <v>319</v>
      </c>
    </row>
    <row r="8307" spans="1:21" hidden="1" x14ac:dyDescent="0.25">
      <c r="A8307" s="405" t="s">
        <v>310</v>
      </c>
      <c r="B8307" s="405" t="s">
        <v>2287</v>
      </c>
      <c r="C8307" s="405" t="s">
        <v>311</v>
      </c>
      <c r="D8307" s="405" t="s">
        <v>839</v>
      </c>
      <c r="E8307" s="410">
        <v>40755</v>
      </c>
      <c r="F8307" s="410">
        <v>40800</v>
      </c>
      <c r="G8307" s="405" t="s">
        <v>2288</v>
      </c>
      <c r="H8307" s="405">
        <v>772435326</v>
      </c>
      <c r="I8307" s="405"/>
      <c r="J8307" s="405">
        <v>0.34097499999999997</v>
      </c>
      <c r="K8307" s="405">
        <v>32.825743000000003</v>
      </c>
      <c r="L8307" s="405" t="s">
        <v>314</v>
      </c>
      <c r="M8307" s="405" t="s">
        <v>329</v>
      </c>
      <c r="N8307" s="405" t="s">
        <v>803</v>
      </c>
      <c r="O8307" s="405" t="s">
        <v>653</v>
      </c>
      <c r="P8307" s="405" t="s">
        <v>2234</v>
      </c>
      <c r="Q8307" s="411">
        <v>9</v>
      </c>
      <c r="R8307" s="405" t="s">
        <v>333</v>
      </c>
      <c r="S8307" s="405" t="s">
        <v>27113</v>
      </c>
      <c r="T8307" s="405" t="s">
        <v>32102</v>
      </c>
      <c r="U8307" s="405" t="s">
        <v>319</v>
      </c>
    </row>
    <row r="8308" spans="1:21" hidden="1" x14ac:dyDescent="0.25">
      <c r="A8308" s="405" t="s">
        <v>310</v>
      </c>
      <c r="B8308" s="405" t="s">
        <v>1761</v>
      </c>
      <c r="C8308" s="405" t="s">
        <v>327</v>
      </c>
      <c r="D8308" s="405"/>
      <c r="E8308" s="410">
        <v>40755</v>
      </c>
      <c r="F8308" s="410">
        <v>40800</v>
      </c>
      <c r="G8308" s="405" t="s">
        <v>1762</v>
      </c>
      <c r="H8308" s="405">
        <v>774389405</v>
      </c>
      <c r="I8308" s="405"/>
      <c r="J8308" s="405">
        <v>0.31974170000000002</v>
      </c>
      <c r="K8308" s="405">
        <v>32.621220600000001</v>
      </c>
      <c r="L8308" s="405" t="s">
        <v>314</v>
      </c>
      <c r="M8308" s="405" t="s">
        <v>361</v>
      </c>
      <c r="N8308" s="405" t="s">
        <v>1206</v>
      </c>
      <c r="O8308" s="405" t="s">
        <v>469</v>
      </c>
      <c r="P8308" s="405" t="s">
        <v>513</v>
      </c>
      <c r="Q8308" s="411">
        <v>9</v>
      </c>
      <c r="R8308" s="405" t="s">
        <v>353</v>
      </c>
      <c r="S8308" s="405" t="s">
        <v>27115</v>
      </c>
      <c r="T8308" s="405" t="s">
        <v>32102</v>
      </c>
      <c r="U8308" s="405" t="s">
        <v>319</v>
      </c>
    </row>
    <row r="8309" spans="1:21" hidden="1" x14ac:dyDescent="0.25">
      <c r="A8309" s="405" t="s">
        <v>310</v>
      </c>
      <c r="B8309" s="405" t="s">
        <v>10493</v>
      </c>
      <c r="C8309" s="405" t="s">
        <v>327</v>
      </c>
      <c r="D8309" s="405"/>
      <c r="E8309" s="410">
        <v>40755</v>
      </c>
      <c r="F8309" s="410">
        <v>40800</v>
      </c>
      <c r="G8309" s="405" t="s">
        <v>10494</v>
      </c>
      <c r="H8309" s="405">
        <v>784953774</v>
      </c>
      <c r="I8309" s="405">
        <v>772555694</v>
      </c>
      <c r="J8309" s="405">
        <v>2.049607</v>
      </c>
      <c r="K8309" s="405">
        <v>33.487727</v>
      </c>
      <c r="L8309" s="405" t="s">
        <v>6866</v>
      </c>
      <c r="M8309" s="405" t="s">
        <v>10495</v>
      </c>
      <c r="N8309" s="405" t="s">
        <v>10496</v>
      </c>
      <c r="O8309" s="405" t="s">
        <v>10497</v>
      </c>
      <c r="P8309" s="405" t="s">
        <v>10498</v>
      </c>
      <c r="Q8309" s="411">
        <v>6</v>
      </c>
      <c r="R8309" s="405" t="s">
        <v>7224</v>
      </c>
      <c r="S8309" s="405" t="s">
        <v>27322</v>
      </c>
      <c r="T8309" s="405" t="s">
        <v>32102</v>
      </c>
      <c r="U8309" s="405" t="s">
        <v>319</v>
      </c>
    </row>
    <row r="8310" spans="1:21" hidden="1" x14ac:dyDescent="0.25">
      <c r="A8310" s="405" t="s">
        <v>310</v>
      </c>
      <c r="B8310" s="405" t="s">
        <v>2309</v>
      </c>
      <c r="C8310" s="405" t="s">
        <v>857</v>
      </c>
      <c r="D8310" s="405" t="s">
        <v>2310</v>
      </c>
      <c r="E8310" s="410">
        <v>40755</v>
      </c>
      <c r="F8310" s="410">
        <v>40800</v>
      </c>
      <c r="G8310" s="405" t="s">
        <v>2311</v>
      </c>
      <c r="H8310" s="405">
        <v>774039289</v>
      </c>
      <c r="I8310" s="405"/>
      <c r="J8310" s="405">
        <v>5.6899999999999999E-2</v>
      </c>
      <c r="K8310" s="405">
        <v>32.5212</v>
      </c>
      <c r="L8310" s="405" t="s">
        <v>314</v>
      </c>
      <c r="M8310" s="405" t="s">
        <v>361</v>
      </c>
      <c r="N8310" s="405" t="s">
        <v>639</v>
      </c>
      <c r="O8310" s="405" t="s">
        <v>638</v>
      </c>
      <c r="P8310" s="405" t="s">
        <v>2312</v>
      </c>
      <c r="Q8310" s="411">
        <v>6</v>
      </c>
      <c r="R8310" s="405" t="s">
        <v>353</v>
      </c>
      <c r="S8310" s="405" t="s">
        <v>27114</v>
      </c>
      <c r="T8310" s="405" t="s">
        <v>32102</v>
      </c>
      <c r="U8310" s="405" t="s">
        <v>319</v>
      </c>
    </row>
    <row r="8311" spans="1:21" hidden="1" x14ac:dyDescent="0.25">
      <c r="A8311" s="405" t="s">
        <v>310</v>
      </c>
      <c r="B8311" s="405" t="s">
        <v>1742</v>
      </c>
      <c r="C8311" s="405" t="s">
        <v>327</v>
      </c>
      <c r="D8311" s="405"/>
      <c r="E8311" s="410">
        <v>40755</v>
      </c>
      <c r="F8311" s="410">
        <v>40800</v>
      </c>
      <c r="G8311" s="405" t="s">
        <v>1743</v>
      </c>
      <c r="H8311" s="405">
        <v>783632797</v>
      </c>
      <c r="I8311" s="405"/>
      <c r="J8311" s="405">
        <v>0.423155</v>
      </c>
      <c r="K8311" s="405">
        <v>32.55799833333333</v>
      </c>
      <c r="L8311" s="405" t="s">
        <v>314</v>
      </c>
      <c r="M8311" s="405" t="s">
        <v>361</v>
      </c>
      <c r="N8311" s="405" t="s">
        <v>339</v>
      </c>
      <c r="O8311" s="405" t="s">
        <v>523</v>
      </c>
      <c r="P8311" s="405" t="s">
        <v>1744</v>
      </c>
      <c r="Q8311" s="411">
        <v>6</v>
      </c>
      <c r="R8311" s="405" t="s">
        <v>1263</v>
      </c>
      <c r="S8311" s="405" t="s">
        <v>27036</v>
      </c>
      <c r="T8311" s="405" t="s">
        <v>32102</v>
      </c>
      <c r="U8311" s="405" t="s">
        <v>319</v>
      </c>
    </row>
    <row r="8312" spans="1:21" hidden="1" x14ac:dyDescent="0.25">
      <c r="A8312" s="405" t="s">
        <v>310</v>
      </c>
      <c r="B8312" s="405" t="s">
        <v>10575</v>
      </c>
      <c r="C8312" s="405" t="s">
        <v>327</v>
      </c>
      <c r="D8312" s="405"/>
      <c r="E8312" s="410">
        <v>40755</v>
      </c>
      <c r="F8312" s="410">
        <v>40800</v>
      </c>
      <c r="G8312" s="405" t="s">
        <v>10576</v>
      </c>
      <c r="H8312" s="405">
        <v>772617352</v>
      </c>
      <c r="I8312" s="405">
        <v>772670392</v>
      </c>
      <c r="J8312" s="405">
        <v>0.53073499999999996</v>
      </c>
      <c r="K8312" s="405">
        <v>33.343735000000002</v>
      </c>
      <c r="L8312" s="405" t="s">
        <v>6866</v>
      </c>
      <c r="M8312" s="405" t="s">
        <v>5411</v>
      </c>
      <c r="N8312" s="405" t="s">
        <v>9774</v>
      </c>
      <c r="O8312" s="405" t="s">
        <v>9775</v>
      </c>
      <c r="P8312" s="405" t="s">
        <v>10577</v>
      </c>
      <c r="Q8312" s="411">
        <v>6</v>
      </c>
      <c r="R8312" s="405" t="s">
        <v>318</v>
      </c>
      <c r="S8312" s="405" t="s">
        <v>27135</v>
      </c>
      <c r="T8312" s="405" t="s">
        <v>32102</v>
      </c>
      <c r="U8312" s="405" t="s">
        <v>319</v>
      </c>
    </row>
    <row r="8313" spans="1:21" hidden="1" x14ac:dyDescent="0.25">
      <c r="A8313" s="405" t="s">
        <v>310</v>
      </c>
      <c r="B8313" s="405" t="s">
        <v>1792</v>
      </c>
      <c r="C8313" s="405" t="s">
        <v>327</v>
      </c>
      <c r="D8313" s="405"/>
      <c r="E8313" s="410">
        <v>40755</v>
      </c>
      <c r="F8313" s="410">
        <v>40800</v>
      </c>
      <c r="G8313" s="405" t="s">
        <v>1793</v>
      </c>
      <c r="H8313" s="405">
        <v>782187907</v>
      </c>
      <c r="I8313" s="405"/>
      <c r="J8313" s="405">
        <v>0.43734329999999999</v>
      </c>
      <c r="K8313" s="405">
        <v>32.577604299999997</v>
      </c>
      <c r="L8313" s="405" t="s">
        <v>314</v>
      </c>
      <c r="M8313" s="405" t="s">
        <v>361</v>
      </c>
      <c r="N8313" s="405" t="s">
        <v>362</v>
      </c>
      <c r="O8313" s="405" t="s">
        <v>469</v>
      </c>
      <c r="P8313" s="405" t="s">
        <v>513</v>
      </c>
      <c r="Q8313" s="411">
        <v>6</v>
      </c>
      <c r="R8313" s="405" t="s">
        <v>353</v>
      </c>
      <c r="S8313" s="405" t="s">
        <v>27115</v>
      </c>
      <c r="T8313" s="405" t="s">
        <v>32102</v>
      </c>
      <c r="U8313" s="405" t="s">
        <v>319</v>
      </c>
    </row>
    <row r="8314" spans="1:21" hidden="1" x14ac:dyDescent="0.25">
      <c r="A8314" s="405" t="s">
        <v>310</v>
      </c>
      <c r="B8314" s="405" t="s">
        <v>28775</v>
      </c>
      <c r="C8314" s="405" t="s">
        <v>327</v>
      </c>
      <c r="D8314" s="405"/>
      <c r="E8314" s="410">
        <v>40754</v>
      </c>
      <c r="F8314" s="410">
        <v>40799</v>
      </c>
      <c r="G8314" s="405" t="s">
        <v>10503</v>
      </c>
      <c r="H8314" s="405">
        <v>774986213</v>
      </c>
      <c r="I8314" s="405"/>
      <c r="J8314" s="405">
        <v>1.50962</v>
      </c>
      <c r="K8314" s="405">
        <v>33.454825</v>
      </c>
      <c r="L8314" s="405" t="s">
        <v>6866</v>
      </c>
      <c r="M8314" s="405" t="s">
        <v>9658</v>
      </c>
      <c r="N8314" s="405" t="s">
        <v>9658</v>
      </c>
      <c r="O8314" s="405" t="s">
        <v>10504</v>
      </c>
      <c r="P8314" s="405" t="s">
        <v>10500</v>
      </c>
      <c r="Q8314" s="411">
        <v>6</v>
      </c>
      <c r="R8314" s="405" t="s">
        <v>7224</v>
      </c>
      <c r="S8314" s="405" t="s">
        <v>27324</v>
      </c>
      <c r="T8314" s="405" t="s">
        <v>32102</v>
      </c>
      <c r="U8314" s="405" t="s">
        <v>319</v>
      </c>
    </row>
    <row r="8315" spans="1:21" hidden="1" x14ac:dyDescent="0.25">
      <c r="A8315" s="405" t="s">
        <v>310</v>
      </c>
      <c r="B8315" s="405" t="s">
        <v>1785</v>
      </c>
      <c r="C8315" s="405" t="s">
        <v>327</v>
      </c>
      <c r="D8315" s="405"/>
      <c r="E8315" s="410">
        <v>40754</v>
      </c>
      <c r="F8315" s="410">
        <v>40799</v>
      </c>
      <c r="G8315" s="405" t="s">
        <v>1786</v>
      </c>
      <c r="H8315" s="405">
        <v>752599073</v>
      </c>
      <c r="I8315" s="405">
        <v>752599073</v>
      </c>
      <c r="J8315" s="405">
        <v>-0.62965700000000002</v>
      </c>
      <c r="K8315" s="405">
        <v>31.544547999999999</v>
      </c>
      <c r="L8315" s="405" t="s">
        <v>314</v>
      </c>
      <c r="M8315" s="405" t="s">
        <v>382</v>
      </c>
      <c r="N8315" s="405" t="s">
        <v>988</v>
      </c>
      <c r="O8315" s="405" t="s">
        <v>988</v>
      </c>
      <c r="P8315" s="405" t="s">
        <v>1787</v>
      </c>
      <c r="Q8315" s="411">
        <v>6</v>
      </c>
      <c r="R8315" s="405" t="s">
        <v>402</v>
      </c>
      <c r="S8315" s="405" t="s">
        <v>27121</v>
      </c>
      <c r="T8315" s="405" t="s">
        <v>32102</v>
      </c>
      <c r="U8315" s="405" t="s">
        <v>319</v>
      </c>
    </row>
    <row r="8316" spans="1:21" hidden="1" x14ac:dyDescent="0.25">
      <c r="A8316" s="405" t="s">
        <v>310</v>
      </c>
      <c r="B8316" s="405" t="s">
        <v>1754</v>
      </c>
      <c r="C8316" s="405" t="s">
        <v>327</v>
      </c>
      <c r="D8316" s="405"/>
      <c r="E8316" s="410">
        <v>40754</v>
      </c>
      <c r="F8316" s="410">
        <v>40799</v>
      </c>
      <c r="G8316" s="405" t="s">
        <v>1755</v>
      </c>
      <c r="H8316" s="405">
        <v>705705563</v>
      </c>
      <c r="I8316" s="405">
        <v>715450474</v>
      </c>
      <c r="J8316" s="405">
        <v>0.23033500000000001</v>
      </c>
      <c r="K8316" s="405">
        <v>32.282315000000004</v>
      </c>
      <c r="L8316" s="405" t="s">
        <v>314</v>
      </c>
      <c r="M8316" s="405" t="s">
        <v>321</v>
      </c>
      <c r="N8316" s="405" t="s">
        <v>322</v>
      </c>
      <c r="O8316" s="405" t="s">
        <v>996</v>
      </c>
      <c r="P8316" s="405" t="s">
        <v>1726</v>
      </c>
      <c r="Q8316" s="411">
        <v>6</v>
      </c>
      <c r="R8316" s="405" t="s">
        <v>318</v>
      </c>
      <c r="S8316" s="405" t="s">
        <v>27108</v>
      </c>
      <c r="T8316" s="405" t="s">
        <v>32102</v>
      </c>
      <c r="U8316" s="405" t="s">
        <v>319</v>
      </c>
    </row>
    <row r="8317" spans="1:21" hidden="1" x14ac:dyDescent="0.25">
      <c r="A8317" s="405" t="s">
        <v>310</v>
      </c>
      <c r="B8317" s="405" t="s">
        <v>1770</v>
      </c>
      <c r="C8317" s="405" t="s">
        <v>327</v>
      </c>
      <c r="D8317" s="405"/>
      <c r="E8317" s="410">
        <v>40754</v>
      </c>
      <c r="F8317" s="410">
        <v>40799</v>
      </c>
      <c r="G8317" s="405" t="s">
        <v>1771</v>
      </c>
      <c r="H8317" s="405">
        <v>773336160</v>
      </c>
      <c r="I8317" s="405"/>
      <c r="J8317" s="405">
        <v>0.53440200000000004</v>
      </c>
      <c r="K8317" s="405">
        <v>32.026891999999997</v>
      </c>
      <c r="L8317" s="405" t="s">
        <v>314</v>
      </c>
      <c r="M8317" s="405" t="s">
        <v>675</v>
      </c>
      <c r="N8317" s="405" t="s">
        <v>1065</v>
      </c>
      <c r="O8317" s="405" t="s">
        <v>1248</v>
      </c>
      <c r="P8317" s="405" t="s">
        <v>1772</v>
      </c>
      <c r="Q8317" s="411">
        <v>6</v>
      </c>
      <c r="R8317" s="405" t="s">
        <v>318</v>
      </c>
      <c r="S8317" s="405" t="s">
        <v>27148</v>
      </c>
      <c r="T8317" s="405" t="s">
        <v>32102</v>
      </c>
      <c r="U8317" s="405" t="s">
        <v>319</v>
      </c>
    </row>
    <row r="8318" spans="1:21" hidden="1" x14ac:dyDescent="0.25">
      <c r="A8318" s="405" t="s">
        <v>310</v>
      </c>
      <c r="B8318" s="405" t="s">
        <v>1813</v>
      </c>
      <c r="C8318" s="405" t="s">
        <v>327</v>
      </c>
      <c r="D8318" s="405"/>
      <c r="E8318" s="410">
        <v>40752</v>
      </c>
      <c r="F8318" s="410">
        <v>40797</v>
      </c>
      <c r="G8318" s="405" t="s">
        <v>1814</v>
      </c>
      <c r="H8318" s="405">
        <v>772422762</v>
      </c>
      <c r="I8318" s="405">
        <v>779396854</v>
      </c>
      <c r="J8318" s="405">
        <v>0.19499666666666665</v>
      </c>
      <c r="K8318" s="405">
        <v>32.33161166666666</v>
      </c>
      <c r="L8318" s="405" t="s">
        <v>314</v>
      </c>
      <c r="M8318" s="405" t="s">
        <v>321</v>
      </c>
      <c r="N8318" s="405" t="s">
        <v>322</v>
      </c>
      <c r="O8318" s="405" t="s">
        <v>996</v>
      </c>
      <c r="P8318" s="405" t="s">
        <v>1815</v>
      </c>
      <c r="Q8318" s="411">
        <v>13</v>
      </c>
      <c r="R8318" s="405" t="s">
        <v>567</v>
      </c>
      <c r="S8318" s="405" t="s">
        <v>27146</v>
      </c>
      <c r="T8318" s="405" t="s">
        <v>32102</v>
      </c>
      <c r="U8318" s="405" t="s">
        <v>319</v>
      </c>
    </row>
    <row r="8319" spans="1:21" hidden="1" x14ac:dyDescent="0.25">
      <c r="A8319" s="405" t="s">
        <v>310</v>
      </c>
      <c r="B8319" s="405" t="s">
        <v>20242</v>
      </c>
      <c r="C8319" s="405" t="s">
        <v>327</v>
      </c>
      <c r="D8319" s="405"/>
      <c r="E8319" s="410">
        <v>40752</v>
      </c>
      <c r="F8319" s="410">
        <v>40797</v>
      </c>
      <c r="G8319" s="405" t="s">
        <v>20243</v>
      </c>
      <c r="H8319" s="405">
        <v>772531802</v>
      </c>
      <c r="I8319" s="405"/>
      <c r="J8319" s="405">
        <v>1.6982109999999999</v>
      </c>
      <c r="K8319" s="405">
        <v>31.710108000000002</v>
      </c>
      <c r="L8319" s="405" t="s">
        <v>590</v>
      </c>
      <c r="M8319" s="405" t="s">
        <v>19608</v>
      </c>
      <c r="N8319" s="405" t="s">
        <v>20244</v>
      </c>
      <c r="O8319" s="405" t="s">
        <v>20245</v>
      </c>
      <c r="P8319" s="405" t="s">
        <v>20246</v>
      </c>
      <c r="Q8319" s="411">
        <v>13</v>
      </c>
      <c r="R8319" s="405" t="s">
        <v>318</v>
      </c>
      <c r="S8319" s="405" t="s">
        <v>27126</v>
      </c>
      <c r="T8319" s="405" t="s">
        <v>32102</v>
      </c>
      <c r="U8319" s="405" t="s">
        <v>319</v>
      </c>
    </row>
    <row r="8320" spans="1:21" hidden="1" x14ac:dyDescent="0.25">
      <c r="A8320" s="405" t="s">
        <v>310</v>
      </c>
      <c r="B8320" s="405" t="s">
        <v>2291</v>
      </c>
      <c r="C8320" s="405" t="s">
        <v>857</v>
      </c>
      <c r="D8320" s="405" t="s">
        <v>2292</v>
      </c>
      <c r="E8320" s="410">
        <v>40751</v>
      </c>
      <c r="F8320" s="410">
        <v>40796</v>
      </c>
      <c r="G8320" s="405" t="s">
        <v>2293</v>
      </c>
      <c r="H8320" s="405">
        <v>782226347</v>
      </c>
      <c r="I8320" s="405"/>
      <c r="J8320" s="405">
        <v>0.25333800000000001</v>
      </c>
      <c r="K8320" s="405">
        <v>31.930582000000001</v>
      </c>
      <c r="L8320" s="405" t="s">
        <v>314</v>
      </c>
      <c r="M8320" s="405" t="s">
        <v>675</v>
      </c>
      <c r="N8320" s="405" t="s">
        <v>676</v>
      </c>
      <c r="O8320" s="405" t="s">
        <v>1589</v>
      </c>
      <c r="P8320" s="405" t="s">
        <v>2294</v>
      </c>
      <c r="Q8320" s="411">
        <v>9</v>
      </c>
      <c r="R8320" s="405" t="s">
        <v>353</v>
      </c>
      <c r="S8320" s="405" t="s">
        <v>27051</v>
      </c>
      <c r="T8320" s="405" t="s">
        <v>32102</v>
      </c>
      <c r="U8320" s="405" t="s">
        <v>319</v>
      </c>
    </row>
    <row r="8321" spans="1:21" hidden="1" x14ac:dyDescent="0.25">
      <c r="A8321" s="405" t="s">
        <v>310</v>
      </c>
      <c r="B8321" s="405" t="s">
        <v>10559</v>
      </c>
      <c r="C8321" s="405" t="s">
        <v>327</v>
      </c>
      <c r="D8321" s="405"/>
      <c r="E8321" s="410">
        <v>40751</v>
      </c>
      <c r="F8321" s="410">
        <v>40796</v>
      </c>
      <c r="G8321" s="405" t="s">
        <v>10560</v>
      </c>
      <c r="H8321" s="405">
        <v>786565801</v>
      </c>
      <c r="I8321" s="405"/>
      <c r="J8321" s="405">
        <v>1.3277270000000001</v>
      </c>
      <c r="K8321" s="405">
        <v>33.904291999999998</v>
      </c>
      <c r="L8321" s="405" t="s">
        <v>6866</v>
      </c>
      <c r="M8321" s="405" t="s">
        <v>10029</v>
      </c>
      <c r="N8321" s="405" t="s">
        <v>10260</v>
      </c>
      <c r="O8321" s="405" t="s">
        <v>10261</v>
      </c>
      <c r="P8321" s="405" t="s">
        <v>10561</v>
      </c>
      <c r="Q8321" s="411">
        <v>6</v>
      </c>
      <c r="R8321" s="405" t="s">
        <v>7224</v>
      </c>
      <c r="S8321" s="405" t="s">
        <v>27190</v>
      </c>
      <c r="T8321" s="405" t="s">
        <v>32102</v>
      </c>
      <c r="U8321" s="405" t="s">
        <v>319</v>
      </c>
    </row>
    <row r="8322" spans="1:21" hidden="1" x14ac:dyDescent="0.25">
      <c r="A8322" s="405" t="s">
        <v>310</v>
      </c>
      <c r="B8322" s="405" t="s">
        <v>20228</v>
      </c>
      <c r="C8322" s="405" t="s">
        <v>327</v>
      </c>
      <c r="D8322" s="405"/>
      <c r="E8322" s="410">
        <v>40751</v>
      </c>
      <c r="F8322" s="410">
        <v>40796</v>
      </c>
      <c r="G8322" s="405" t="s">
        <v>20229</v>
      </c>
      <c r="H8322" s="405">
        <v>772644470</v>
      </c>
      <c r="I8322" s="405"/>
      <c r="J8322" s="405">
        <v>-0.54967100000000002</v>
      </c>
      <c r="K8322" s="405">
        <v>30.560586000000001</v>
      </c>
      <c r="L8322" s="405" t="s">
        <v>590</v>
      </c>
      <c r="M8322" s="405" t="s">
        <v>19614</v>
      </c>
      <c r="N8322" s="405" t="s">
        <v>20230</v>
      </c>
      <c r="O8322" s="405" t="s">
        <v>20063</v>
      </c>
      <c r="P8322" s="405" t="s">
        <v>20155</v>
      </c>
      <c r="Q8322" s="411">
        <v>6</v>
      </c>
      <c r="R8322" s="405" t="s">
        <v>333</v>
      </c>
      <c r="S8322" s="405" t="s">
        <v>27220</v>
      </c>
      <c r="T8322" s="405" t="s">
        <v>32102</v>
      </c>
      <c r="U8322" s="405" t="s">
        <v>319</v>
      </c>
    </row>
    <row r="8323" spans="1:21" hidden="1" x14ac:dyDescent="0.25">
      <c r="A8323" s="405" t="s">
        <v>310</v>
      </c>
      <c r="B8323" s="405" t="s">
        <v>20268</v>
      </c>
      <c r="C8323" s="405" t="s">
        <v>327</v>
      </c>
      <c r="D8323" s="405"/>
      <c r="E8323" s="410">
        <v>40751</v>
      </c>
      <c r="F8323" s="410">
        <v>40796</v>
      </c>
      <c r="G8323" s="405" t="s">
        <v>20269</v>
      </c>
      <c r="H8323" s="405">
        <v>782268117</v>
      </c>
      <c r="I8323" s="405">
        <v>775161318</v>
      </c>
      <c r="J8323" s="405">
        <v>-0.463121</v>
      </c>
      <c r="K8323" s="405">
        <v>30.417807</v>
      </c>
      <c r="L8323" s="405" t="s">
        <v>590</v>
      </c>
      <c r="M8323" s="405" t="s">
        <v>19725</v>
      </c>
      <c r="N8323" s="405" t="s">
        <v>19725</v>
      </c>
      <c r="O8323" s="405" t="s">
        <v>19943</v>
      </c>
      <c r="P8323" s="405" t="s">
        <v>20270</v>
      </c>
      <c r="Q8323" s="411">
        <v>6</v>
      </c>
      <c r="R8323" s="405" t="s">
        <v>333</v>
      </c>
      <c r="S8323" s="405" t="s">
        <v>27397</v>
      </c>
      <c r="T8323" s="405" t="s">
        <v>32102</v>
      </c>
      <c r="U8323" s="405" t="s">
        <v>319</v>
      </c>
    </row>
    <row r="8324" spans="1:21" hidden="1" x14ac:dyDescent="0.25">
      <c r="A8324" s="405" t="s">
        <v>310</v>
      </c>
      <c r="B8324" s="405" t="s">
        <v>20255</v>
      </c>
      <c r="C8324" s="405" t="s">
        <v>327</v>
      </c>
      <c r="D8324" s="405"/>
      <c r="E8324" s="410">
        <v>40751</v>
      </c>
      <c r="F8324" s="410">
        <v>40796</v>
      </c>
      <c r="G8324" s="405" t="s">
        <v>20256</v>
      </c>
      <c r="H8324" s="405">
        <v>788663942</v>
      </c>
      <c r="I8324" s="405"/>
      <c r="J8324" s="405">
        <v>-0.46462900000000001</v>
      </c>
      <c r="K8324" s="405">
        <v>30.622733</v>
      </c>
      <c r="L8324" s="405" t="s">
        <v>590</v>
      </c>
      <c r="M8324" s="405" t="s">
        <v>19614</v>
      </c>
      <c r="N8324" s="405" t="s">
        <v>19615</v>
      </c>
      <c r="O8324" s="405" t="s">
        <v>20257</v>
      </c>
      <c r="P8324" s="405" t="s">
        <v>20258</v>
      </c>
      <c r="Q8324" s="411">
        <v>6</v>
      </c>
      <c r="R8324" s="405" t="s">
        <v>333</v>
      </c>
      <c r="S8324" s="405" t="s">
        <v>27160</v>
      </c>
      <c r="T8324" s="405" t="s">
        <v>32102</v>
      </c>
      <c r="U8324" s="405" t="s">
        <v>319</v>
      </c>
    </row>
    <row r="8325" spans="1:21" hidden="1" x14ac:dyDescent="0.25">
      <c r="A8325" s="405" t="s">
        <v>310</v>
      </c>
      <c r="B8325" s="405" t="s">
        <v>1773</v>
      </c>
      <c r="C8325" s="405" t="s">
        <v>327</v>
      </c>
      <c r="D8325" s="405"/>
      <c r="E8325" s="410">
        <v>40750</v>
      </c>
      <c r="F8325" s="410">
        <v>40795</v>
      </c>
      <c r="G8325" s="405" t="s">
        <v>1774</v>
      </c>
      <c r="H8325" s="405">
        <v>782678646</v>
      </c>
      <c r="I8325" s="405"/>
      <c r="J8325" s="405">
        <v>4.7802999999999998E-2</v>
      </c>
      <c r="K8325" s="405">
        <v>31.978113</v>
      </c>
      <c r="L8325" s="405" t="s">
        <v>314</v>
      </c>
      <c r="M8325" s="405" t="s">
        <v>321</v>
      </c>
      <c r="N8325" s="405" t="s">
        <v>322</v>
      </c>
      <c r="O8325" s="405" t="s">
        <v>841</v>
      </c>
      <c r="P8325" s="405" t="s">
        <v>1775</v>
      </c>
      <c r="Q8325" s="411">
        <v>6</v>
      </c>
      <c r="R8325" s="405" t="s">
        <v>438</v>
      </c>
      <c r="S8325" s="405" t="s">
        <v>27131</v>
      </c>
      <c r="T8325" s="405" t="s">
        <v>32102</v>
      </c>
      <c r="U8325" s="405" t="s">
        <v>319</v>
      </c>
    </row>
    <row r="8326" spans="1:21" hidden="1" x14ac:dyDescent="0.25">
      <c r="A8326" s="405" t="s">
        <v>310</v>
      </c>
      <c r="B8326" s="405" t="s">
        <v>20222</v>
      </c>
      <c r="C8326" s="405" t="s">
        <v>327</v>
      </c>
      <c r="D8326" s="405"/>
      <c r="E8326" s="410">
        <v>40749</v>
      </c>
      <c r="F8326" s="410">
        <v>40794</v>
      </c>
      <c r="G8326" s="405" t="s">
        <v>20223</v>
      </c>
      <c r="H8326" s="405">
        <v>752820299</v>
      </c>
      <c r="I8326" s="405">
        <v>754535854</v>
      </c>
      <c r="J8326" s="405">
        <v>-0.79200899999999996</v>
      </c>
      <c r="K8326" s="405">
        <v>30.680441999999999</v>
      </c>
      <c r="L8326" s="405" t="s">
        <v>590</v>
      </c>
      <c r="M8326" s="405" t="s">
        <v>879</v>
      </c>
      <c r="N8326" s="405" t="s">
        <v>879</v>
      </c>
      <c r="O8326" s="405" t="s">
        <v>20020</v>
      </c>
      <c r="P8326" s="405" t="s">
        <v>20142</v>
      </c>
      <c r="Q8326" s="411">
        <v>6</v>
      </c>
      <c r="R8326" s="405" t="s">
        <v>333</v>
      </c>
      <c r="S8326" s="405" t="s">
        <v>27271</v>
      </c>
      <c r="T8326" s="405" t="s">
        <v>32102</v>
      </c>
      <c r="U8326" s="405" t="s">
        <v>319</v>
      </c>
    </row>
    <row r="8327" spans="1:21" hidden="1" x14ac:dyDescent="0.25">
      <c r="A8327" s="405" t="s">
        <v>310</v>
      </c>
      <c r="B8327" s="405" t="s">
        <v>20459</v>
      </c>
      <c r="C8327" s="405" t="s">
        <v>327</v>
      </c>
      <c r="D8327" s="405"/>
      <c r="E8327" s="410">
        <v>40749</v>
      </c>
      <c r="F8327" s="410">
        <v>40794</v>
      </c>
      <c r="G8327" s="405" t="s">
        <v>20460</v>
      </c>
      <c r="H8327" s="405">
        <v>757504390</v>
      </c>
      <c r="I8327" s="405"/>
      <c r="J8327" s="405">
        <v>-0.847221</v>
      </c>
      <c r="K8327" s="405">
        <v>30.669060000000002</v>
      </c>
      <c r="L8327" s="405" t="s">
        <v>590</v>
      </c>
      <c r="M8327" s="405" t="s">
        <v>879</v>
      </c>
      <c r="N8327" s="405" t="s">
        <v>20145</v>
      </c>
      <c r="O8327" s="405" t="s">
        <v>20145</v>
      </c>
      <c r="P8327" s="405" t="s">
        <v>20461</v>
      </c>
      <c r="Q8327" s="411">
        <v>6</v>
      </c>
      <c r="R8327" s="405" t="s">
        <v>333</v>
      </c>
      <c r="S8327" s="405" t="s">
        <v>27271</v>
      </c>
      <c r="T8327" s="405" t="s">
        <v>32102</v>
      </c>
      <c r="U8327" s="405" t="s">
        <v>319</v>
      </c>
    </row>
    <row r="8328" spans="1:21" hidden="1" x14ac:dyDescent="0.25">
      <c r="A8328" s="405" t="s">
        <v>310</v>
      </c>
      <c r="B8328" s="405" t="s">
        <v>1800</v>
      </c>
      <c r="C8328" s="405" t="s">
        <v>327</v>
      </c>
      <c r="D8328" s="405"/>
      <c r="E8328" s="410">
        <v>40749</v>
      </c>
      <c r="F8328" s="410">
        <v>40794</v>
      </c>
      <c r="G8328" s="405" t="s">
        <v>1801</v>
      </c>
      <c r="H8328" s="405">
        <v>752515789</v>
      </c>
      <c r="I8328" s="405"/>
      <c r="J8328" s="405">
        <v>-0.245947</v>
      </c>
      <c r="K8328" s="405">
        <v>31.647002000000001</v>
      </c>
      <c r="L8328" s="405" t="s">
        <v>314</v>
      </c>
      <c r="M8328" s="405" t="s">
        <v>1080</v>
      </c>
      <c r="N8328" s="405" t="s">
        <v>1080</v>
      </c>
      <c r="O8328" s="405" t="s">
        <v>1082</v>
      </c>
      <c r="P8328" s="405" t="s">
        <v>1802</v>
      </c>
      <c r="Q8328" s="411">
        <v>6</v>
      </c>
      <c r="R8328" s="405" t="s">
        <v>333</v>
      </c>
      <c r="S8328" s="405" t="s">
        <v>27112</v>
      </c>
      <c r="T8328" s="405" t="s">
        <v>32102</v>
      </c>
      <c r="U8328" s="405" t="s">
        <v>319</v>
      </c>
    </row>
    <row r="8329" spans="1:21" hidden="1" x14ac:dyDescent="0.25">
      <c r="A8329" s="405" t="s">
        <v>310</v>
      </c>
      <c r="B8329" s="405" t="s">
        <v>20273</v>
      </c>
      <c r="C8329" s="405" t="s">
        <v>327</v>
      </c>
      <c r="D8329" s="405"/>
      <c r="E8329" s="410">
        <v>40747</v>
      </c>
      <c r="F8329" s="410">
        <v>40792</v>
      </c>
      <c r="G8329" s="405" t="s">
        <v>20274</v>
      </c>
      <c r="H8329" s="405">
        <v>772462110</v>
      </c>
      <c r="I8329" s="405"/>
      <c r="J8329" s="405">
        <v>-0.54741300000000004</v>
      </c>
      <c r="K8329" s="405">
        <v>30.252769000000001</v>
      </c>
      <c r="L8329" s="405" t="s">
        <v>590</v>
      </c>
      <c r="M8329" s="405" t="s">
        <v>19625</v>
      </c>
      <c r="N8329" s="405" t="s">
        <v>19642</v>
      </c>
      <c r="O8329" s="405" t="s">
        <v>20275</v>
      </c>
      <c r="P8329" s="405" t="s">
        <v>20276</v>
      </c>
      <c r="Q8329" s="411">
        <v>13</v>
      </c>
      <c r="R8329" s="405" t="s">
        <v>333</v>
      </c>
      <c r="S8329" s="405" t="s">
        <v>27096</v>
      </c>
      <c r="T8329" s="405" t="s">
        <v>32102</v>
      </c>
      <c r="U8329" s="405" t="s">
        <v>319</v>
      </c>
    </row>
    <row r="8330" spans="1:21" hidden="1" x14ac:dyDescent="0.25">
      <c r="A8330" s="405" t="s">
        <v>310</v>
      </c>
      <c r="B8330" s="405" t="s">
        <v>10552</v>
      </c>
      <c r="C8330" s="405" t="s">
        <v>327</v>
      </c>
      <c r="D8330" s="405"/>
      <c r="E8330" s="410">
        <v>40747</v>
      </c>
      <c r="F8330" s="410">
        <v>40792</v>
      </c>
      <c r="G8330" s="405" t="s">
        <v>10553</v>
      </c>
      <c r="H8330" s="405">
        <v>752440197</v>
      </c>
      <c r="I8330" s="405"/>
      <c r="J8330" s="405">
        <v>1.60877</v>
      </c>
      <c r="K8330" s="405">
        <v>33.794105000000002</v>
      </c>
      <c r="L8330" s="405" t="s">
        <v>6866</v>
      </c>
      <c r="M8330" s="405" t="s">
        <v>10012</v>
      </c>
      <c r="N8330" s="405" t="s">
        <v>10012</v>
      </c>
      <c r="O8330" s="405" t="s">
        <v>10267</v>
      </c>
      <c r="P8330" s="405" t="s">
        <v>10554</v>
      </c>
      <c r="Q8330" s="411">
        <v>6</v>
      </c>
      <c r="R8330" s="405" t="s">
        <v>9541</v>
      </c>
      <c r="S8330" s="405" t="s">
        <v>27302</v>
      </c>
      <c r="T8330" s="405" t="s">
        <v>32102</v>
      </c>
      <c r="U8330" s="405" t="s">
        <v>319</v>
      </c>
    </row>
    <row r="8331" spans="1:21" hidden="1" x14ac:dyDescent="0.25">
      <c r="A8331" s="405" t="s">
        <v>310</v>
      </c>
      <c r="B8331" s="405" t="s">
        <v>28979</v>
      </c>
      <c r="C8331" s="405" t="s">
        <v>327</v>
      </c>
      <c r="D8331" s="405"/>
      <c r="E8331" s="410">
        <v>40746</v>
      </c>
      <c r="F8331" s="410">
        <v>40791</v>
      </c>
      <c r="G8331" s="405" t="s">
        <v>20221</v>
      </c>
      <c r="H8331" s="405">
        <v>774854380</v>
      </c>
      <c r="I8331" s="405"/>
      <c r="J8331" s="405">
        <v>-0.63085899999999995</v>
      </c>
      <c r="K8331" s="405">
        <v>30.552303999999999</v>
      </c>
      <c r="L8331" s="405" t="s">
        <v>590</v>
      </c>
      <c r="M8331" s="405" t="s">
        <v>19614</v>
      </c>
      <c r="N8331" s="405" t="s">
        <v>19873</v>
      </c>
      <c r="O8331" s="405" t="s">
        <v>20138</v>
      </c>
      <c r="P8331" s="405" t="s">
        <v>19875</v>
      </c>
      <c r="Q8331" s="411">
        <v>12</v>
      </c>
      <c r="R8331" s="405" t="s">
        <v>333</v>
      </c>
      <c r="S8331" s="405" t="s">
        <v>27173</v>
      </c>
      <c r="T8331" s="405" t="s">
        <v>32102</v>
      </c>
      <c r="U8331" s="405" t="s">
        <v>319</v>
      </c>
    </row>
    <row r="8332" spans="1:21" hidden="1" x14ac:dyDescent="0.25">
      <c r="A8332" s="405" t="s">
        <v>310</v>
      </c>
      <c r="B8332" s="405" t="s">
        <v>20251</v>
      </c>
      <c r="C8332" s="405" t="s">
        <v>327</v>
      </c>
      <c r="D8332" s="405"/>
      <c r="E8332" s="410">
        <v>40746</v>
      </c>
      <c r="F8332" s="410">
        <v>40791</v>
      </c>
      <c r="G8332" s="405" t="s">
        <v>20252</v>
      </c>
      <c r="H8332" s="405">
        <v>772363653</v>
      </c>
      <c r="I8332" s="405"/>
      <c r="J8332" s="405">
        <v>-0.52276100000000003</v>
      </c>
      <c r="K8332" s="405">
        <v>30.754010999999998</v>
      </c>
      <c r="L8332" s="405" t="s">
        <v>590</v>
      </c>
      <c r="M8332" s="405" t="s">
        <v>19614</v>
      </c>
      <c r="N8332" s="405" t="s">
        <v>19615</v>
      </c>
      <c r="O8332" s="405" t="s">
        <v>20253</v>
      </c>
      <c r="P8332" s="405" t="s">
        <v>20254</v>
      </c>
      <c r="Q8332" s="411">
        <v>9</v>
      </c>
      <c r="R8332" s="405" t="s">
        <v>333</v>
      </c>
      <c r="S8332" s="405" t="s">
        <v>27163</v>
      </c>
      <c r="T8332" s="405" t="s">
        <v>32102</v>
      </c>
      <c r="U8332" s="405" t="s">
        <v>319</v>
      </c>
    </row>
    <row r="8333" spans="1:21" hidden="1" x14ac:dyDescent="0.25">
      <c r="A8333" s="405" t="s">
        <v>310</v>
      </c>
      <c r="B8333" s="405" t="s">
        <v>20259</v>
      </c>
      <c r="C8333" s="405" t="s">
        <v>327</v>
      </c>
      <c r="D8333" s="405"/>
      <c r="E8333" s="410">
        <v>40746</v>
      </c>
      <c r="F8333" s="410">
        <v>40791</v>
      </c>
      <c r="G8333" s="405" t="s">
        <v>20260</v>
      </c>
      <c r="H8333" s="405">
        <v>785435797</v>
      </c>
      <c r="I8333" s="405"/>
      <c r="J8333" s="405">
        <v>-0.91061000000000003</v>
      </c>
      <c r="K8333" s="405">
        <v>30.839183999999999</v>
      </c>
      <c r="L8333" s="405" t="s">
        <v>590</v>
      </c>
      <c r="M8333" s="405" t="s">
        <v>879</v>
      </c>
      <c r="N8333" s="405" t="s">
        <v>12376</v>
      </c>
      <c r="O8333" s="405" t="s">
        <v>20176</v>
      </c>
      <c r="P8333" s="405" t="s">
        <v>20261</v>
      </c>
      <c r="Q8333" s="411">
        <v>6</v>
      </c>
      <c r="R8333" s="405" t="s">
        <v>333</v>
      </c>
      <c r="S8333" s="405" t="s">
        <v>27404</v>
      </c>
      <c r="T8333" s="405" t="s">
        <v>32102</v>
      </c>
      <c r="U8333" s="405" t="s">
        <v>319</v>
      </c>
    </row>
    <row r="8334" spans="1:21" hidden="1" x14ac:dyDescent="0.25">
      <c r="A8334" s="405" t="s">
        <v>310</v>
      </c>
      <c r="B8334" s="405" t="s">
        <v>20224</v>
      </c>
      <c r="C8334" s="405" t="s">
        <v>327</v>
      </c>
      <c r="D8334" s="405"/>
      <c r="E8334" s="410">
        <v>40746</v>
      </c>
      <c r="F8334" s="410">
        <v>40791</v>
      </c>
      <c r="G8334" s="405" t="s">
        <v>20225</v>
      </c>
      <c r="H8334" s="405">
        <v>774516439</v>
      </c>
      <c r="I8334" s="405">
        <v>702516439</v>
      </c>
      <c r="J8334" s="405">
        <v>-1.0143740000000001</v>
      </c>
      <c r="K8334" s="405">
        <v>30.608509999999999</v>
      </c>
      <c r="L8334" s="405" t="s">
        <v>590</v>
      </c>
      <c r="M8334" s="405" t="s">
        <v>879</v>
      </c>
      <c r="N8334" s="405" t="s">
        <v>879</v>
      </c>
      <c r="O8334" s="405" t="s">
        <v>20226</v>
      </c>
      <c r="P8334" s="405" t="s">
        <v>20227</v>
      </c>
      <c r="Q8334" s="411">
        <v>6</v>
      </c>
      <c r="R8334" s="405" t="s">
        <v>333</v>
      </c>
      <c r="S8334" s="405" t="s">
        <v>27132</v>
      </c>
      <c r="T8334" s="405" t="s">
        <v>32102</v>
      </c>
      <c r="U8334" s="405" t="s">
        <v>319</v>
      </c>
    </row>
    <row r="8335" spans="1:21" hidden="1" x14ac:dyDescent="0.25">
      <c r="A8335" s="405" t="s">
        <v>310</v>
      </c>
      <c r="B8335" s="405" t="s">
        <v>10510</v>
      </c>
      <c r="C8335" s="405" t="s">
        <v>327</v>
      </c>
      <c r="D8335" s="405"/>
      <c r="E8335" s="410">
        <v>40745</v>
      </c>
      <c r="F8335" s="410">
        <v>40790</v>
      </c>
      <c r="G8335" s="405" t="s">
        <v>10511</v>
      </c>
      <c r="H8335" s="405">
        <v>774524550</v>
      </c>
      <c r="I8335" s="405"/>
      <c r="J8335" s="405">
        <v>0.81108100000000005</v>
      </c>
      <c r="K8335" s="405">
        <v>34.339827999999997</v>
      </c>
      <c r="L8335" s="405" t="s">
        <v>6866</v>
      </c>
      <c r="M8335" s="405" t="s">
        <v>9763</v>
      </c>
      <c r="N8335" s="405" t="s">
        <v>9848</v>
      </c>
      <c r="O8335" s="405" t="s">
        <v>9993</v>
      </c>
      <c r="P8335" s="405" t="s">
        <v>10512</v>
      </c>
      <c r="Q8335" s="411">
        <v>9</v>
      </c>
      <c r="R8335" s="405" t="s">
        <v>7224</v>
      </c>
      <c r="S8335" s="405" t="s">
        <v>27259</v>
      </c>
      <c r="T8335" s="405" t="s">
        <v>32102</v>
      </c>
      <c r="U8335" s="405" t="s">
        <v>319</v>
      </c>
    </row>
    <row r="8336" spans="1:21" hidden="1" x14ac:dyDescent="0.25">
      <c r="A8336" s="405" t="s">
        <v>310</v>
      </c>
      <c r="B8336" s="405" t="s">
        <v>27797</v>
      </c>
      <c r="C8336" s="405" t="s">
        <v>327</v>
      </c>
      <c r="D8336" s="405"/>
      <c r="E8336" s="410">
        <v>40745</v>
      </c>
      <c r="F8336" s="410">
        <v>40790</v>
      </c>
      <c r="G8336" s="405" t="s">
        <v>10581</v>
      </c>
      <c r="H8336" s="405">
        <v>702567086</v>
      </c>
      <c r="I8336" s="405"/>
      <c r="J8336" s="405">
        <v>1.2864390000000001</v>
      </c>
      <c r="K8336" s="405">
        <v>34.309220000000003</v>
      </c>
      <c r="L8336" s="405" t="s">
        <v>6866</v>
      </c>
      <c r="M8336" s="405" t="s">
        <v>9550</v>
      </c>
      <c r="N8336" s="405" t="s">
        <v>9638</v>
      </c>
      <c r="O8336" s="405" t="s">
        <v>10099</v>
      </c>
      <c r="P8336" s="405" t="s">
        <v>10582</v>
      </c>
      <c r="Q8336" s="411">
        <v>6</v>
      </c>
      <c r="R8336" s="405" t="s">
        <v>9541</v>
      </c>
      <c r="S8336" s="405" t="s">
        <v>27328</v>
      </c>
      <c r="T8336" s="405" t="s">
        <v>32102</v>
      </c>
      <c r="U8336" s="405" t="s">
        <v>319</v>
      </c>
    </row>
    <row r="8337" spans="1:21" hidden="1" x14ac:dyDescent="0.25">
      <c r="A8337" s="405" t="s">
        <v>310</v>
      </c>
      <c r="B8337" s="405" t="s">
        <v>1732</v>
      </c>
      <c r="C8337" s="405" t="s">
        <v>327</v>
      </c>
      <c r="D8337" s="405"/>
      <c r="E8337" s="410">
        <v>40745</v>
      </c>
      <c r="F8337" s="410">
        <v>40790</v>
      </c>
      <c r="G8337" s="405" t="s">
        <v>1733</v>
      </c>
      <c r="H8337" s="405">
        <v>782524271</v>
      </c>
      <c r="I8337" s="405"/>
      <c r="J8337" s="405">
        <v>0.56707200000000002</v>
      </c>
      <c r="K8337" s="405">
        <v>32.201450000000001</v>
      </c>
      <c r="L8337" s="405" t="s">
        <v>314</v>
      </c>
      <c r="M8337" s="405" t="s">
        <v>675</v>
      </c>
      <c r="N8337" s="405" t="s">
        <v>1065</v>
      </c>
      <c r="O8337" s="405" t="s">
        <v>1608</v>
      </c>
      <c r="P8337" s="405" t="s">
        <v>1734</v>
      </c>
      <c r="Q8337" s="411">
        <v>6</v>
      </c>
      <c r="R8337" s="405" t="s">
        <v>318</v>
      </c>
      <c r="S8337" s="405" t="s">
        <v>27125</v>
      </c>
      <c r="T8337" s="405" t="s">
        <v>32102</v>
      </c>
      <c r="U8337" s="405" t="s">
        <v>319</v>
      </c>
    </row>
    <row r="8338" spans="1:21" hidden="1" x14ac:dyDescent="0.25">
      <c r="A8338" s="405" t="s">
        <v>310</v>
      </c>
      <c r="B8338" s="405" t="s">
        <v>27834</v>
      </c>
      <c r="C8338" s="405" t="s">
        <v>327</v>
      </c>
      <c r="D8338" s="405"/>
      <c r="E8338" s="410">
        <v>40744</v>
      </c>
      <c r="F8338" s="410">
        <v>40789</v>
      </c>
      <c r="G8338" s="405" t="s">
        <v>1737</v>
      </c>
      <c r="H8338" s="405">
        <v>774190336</v>
      </c>
      <c r="I8338" s="405">
        <v>752221598</v>
      </c>
      <c r="J8338" s="405">
        <v>-0.25267333333333331</v>
      </c>
      <c r="K8338" s="405">
        <v>31.822016666666666</v>
      </c>
      <c r="L8338" s="405" t="s">
        <v>314</v>
      </c>
      <c r="M8338" s="405" t="s">
        <v>900</v>
      </c>
      <c r="N8338" s="405" t="s">
        <v>900</v>
      </c>
      <c r="O8338" s="405" t="s">
        <v>900</v>
      </c>
      <c r="P8338" s="405" t="s">
        <v>1738</v>
      </c>
      <c r="Q8338" s="411">
        <v>12</v>
      </c>
      <c r="R8338" s="405" t="s">
        <v>402</v>
      </c>
      <c r="S8338" s="405" t="s">
        <v>27052</v>
      </c>
      <c r="T8338" s="405" t="s">
        <v>32102</v>
      </c>
      <c r="U8338" s="405" t="s">
        <v>319</v>
      </c>
    </row>
    <row r="8339" spans="1:21" hidden="1" x14ac:dyDescent="0.25">
      <c r="A8339" s="405" t="s">
        <v>310</v>
      </c>
      <c r="B8339" s="405" t="s">
        <v>27618</v>
      </c>
      <c r="C8339" s="405" t="s">
        <v>311</v>
      </c>
      <c r="D8339" s="405" t="s">
        <v>1013</v>
      </c>
      <c r="E8339" s="410">
        <v>40744</v>
      </c>
      <c r="F8339" s="410">
        <v>40789</v>
      </c>
      <c r="G8339" s="405" t="s">
        <v>10985</v>
      </c>
      <c r="H8339" s="405">
        <v>782880295</v>
      </c>
      <c r="I8339" s="405"/>
      <c r="J8339" s="405">
        <v>0.94787999999999994</v>
      </c>
      <c r="K8339" s="405">
        <v>34.242972999999999</v>
      </c>
      <c r="L8339" s="405" t="s">
        <v>6866</v>
      </c>
      <c r="M8339" s="405" t="s">
        <v>9514</v>
      </c>
      <c r="N8339" s="405" t="s">
        <v>9529</v>
      </c>
      <c r="O8339" s="405" t="s">
        <v>10681</v>
      </c>
      <c r="P8339" s="405" t="s">
        <v>10986</v>
      </c>
      <c r="Q8339" s="411">
        <v>6</v>
      </c>
      <c r="R8339" s="405" t="s">
        <v>7224</v>
      </c>
      <c r="S8339" s="405" t="s">
        <v>27074</v>
      </c>
      <c r="T8339" s="405" t="s">
        <v>32102</v>
      </c>
      <c r="U8339" s="405" t="s">
        <v>319</v>
      </c>
    </row>
    <row r="8340" spans="1:21" hidden="1" x14ac:dyDescent="0.25">
      <c r="A8340" s="405" t="s">
        <v>310</v>
      </c>
      <c r="B8340" s="405" t="s">
        <v>28827</v>
      </c>
      <c r="C8340" s="405" t="s">
        <v>311</v>
      </c>
      <c r="D8340" s="405" t="s">
        <v>1789</v>
      </c>
      <c r="E8340" s="410">
        <v>40744</v>
      </c>
      <c r="F8340" s="410">
        <v>40789</v>
      </c>
      <c r="G8340" s="405" t="s">
        <v>2241</v>
      </c>
      <c r="H8340" s="405">
        <v>782177396</v>
      </c>
      <c r="I8340" s="405"/>
      <c r="J8340" s="405">
        <v>0.16804500000000003</v>
      </c>
      <c r="K8340" s="405">
        <v>32.329013333333336</v>
      </c>
      <c r="L8340" s="405" t="s">
        <v>314</v>
      </c>
      <c r="M8340" s="405" t="s">
        <v>321</v>
      </c>
      <c r="N8340" s="405" t="s">
        <v>322</v>
      </c>
      <c r="O8340" s="405" t="s">
        <v>996</v>
      </c>
      <c r="P8340" s="405" t="s">
        <v>2242</v>
      </c>
      <c r="Q8340" s="411">
        <v>6</v>
      </c>
      <c r="R8340" s="405" t="s">
        <v>318</v>
      </c>
      <c r="S8340" s="405" t="s">
        <v>27113</v>
      </c>
      <c r="T8340" s="405" t="s">
        <v>32102</v>
      </c>
      <c r="U8340" s="405" t="s">
        <v>319</v>
      </c>
    </row>
    <row r="8341" spans="1:21" hidden="1" x14ac:dyDescent="0.25">
      <c r="A8341" s="405" t="s">
        <v>310</v>
      </c>
      <c r="B8341" s="405" t="s">
        <v>10590</v>
      </c>
      <c r="C8341" s="405" t="s">
        <v>327</v>
      </c>
      <c r="D8341" s="405"/>
      <c r="E8341" s="410">
        <v>40744</v>
      </c>
      <c r="F8341" s="410">
        <v>40789</v>
      </c>
      <c r="G8341" s="405" t="s">
        <v>10591</v>
      </c>
      <c r="H8341" s="405">
        <v>782466766</v>
      </c>
      <c r="I8341" s="405"/>
      <c r="J8341" s="405">
        <v>1.291595</v>
      </c>
      <c r="K8341" s="405">
        <v>34.255561</v>
      </c>
      <c r="L8341" s="405" t="s">
        <v>6866</v>
      </c>
      <c r="M8341" s="405" t="s">
        <v>9550</v>
      </c>
      <c r="N8341" s="405" t="s">
        <v>9550</v>
      </c>
      <c r="O8341" s="405" t="s">
        <v>9869</v>
      </c>
      <c r="P8341" s="405" t="s">
        <v>10592</v>
      </c>
      <c r="Q8341" s="411">
        <v>6</v>
      </c>
      <c r="R8341" s="405" t="s">
        <v>333</v>
      </c>
      <c r="S8341" s="405" t="s">
        <v>27086</v>
      </c>
      <c r="T8341" s="405" t="s">
        <v>32102</v>
      </c>
      <c r="U8341" s="405" t="s">
        <v>319</v>
      </c>
    </row>
    <row r="8342" spans="1:21" hidden="1" x14ac:dyDescent="0.25">
      <c r="A8342" s="405" t="s">
        <v>310</v>
      </c>
      <c r="B8342" s="405" t="s">
        <v>10562</v>
      </c>
      <c r="C8342" s="405" t="s">
        <v>327</v>
      </c>
      <c r="D8342" s="405"/>
      <c r="E8342" s="410">
        <v>40743</v>
      </c>
      <c r="F8342" s="410">
        <v>40788</v>
      </c>
      <c r="G8342" s="405" t="s">
        <v>10563</v>
      </c>
      <c r="H8342" s="405">
        <v>776849911</v>
      </c>
      <c r="I8342" s="405"/>
      <c r="J8342" s="405">
        <v>1.30951</v>
      </c>
      <c r="K8342" s="405">
        <v>33.909998000000002</v>
      </c>
      <c r="L8342" s="405" t="s">
        <v>6866</v>
      </c>
      <c r="M8342" s="405" t="s">
        <v>10029</v>
      </c>
      <c r="N8342" s="405" t="s">
        <v>10260</v>
      </c>
      <c r="O8342" s="405" t="s">
        <v>10261</v>
      </c>
      <c r="P8342" s="405" t="s">
        <v>10564</v>
      </c>
      <c r="Q8342" s="411">
        <v>6</v>
      </c>
      <c r="R8342" s="405" t="s">
        <v>7224</v>
      </c>
      <c r="S8342" s="405" t="s">
        <v>27306</v>
      </c>
      <c r="T8342" s="405" t="s">
        <v>32102</v>
      </c>
      <c r="U8342" s="405" t="s">
        <v>319</v>
      </c>
    </row>
    <row r="8343" spans="1:21" hidden="1" x14ac:dyDescent="0.25">
      <c r="A8343" s="405" t="s">
        <v>310</v>
      </c>
      <c r="B8343" s="405" t="s">
        <v>20265</v>
      </c>
      <c r="C8343" s="405" t="s">
        <v>327</v>
      </c>
      <c r="D8343" s="405"/>
      <c r="E8343" s="410">
        <v>40743</v>
      </c>
      <c r="F8343" s="410">
        <v>40788</v>
      </c>
      <c r="G8343" s="405" t="s">
        <v>20266</v>
      </c>
      <c r="H8343" s="405">
        <v>774404239</v>
      </c>
      <c r="I8343" s="405"/>
      <c r="J8343" s="405">
        <v>-0.82619200000000004</v>
      </c>
      <c r="K8343" s="405">
        <v>29.914487000000001</v>
      </c>
      <c r="L8343" s="405" t="s">
        <v>590</v>
      </c>
      <c r="M8343" s="405" t="s">
        <v>19619</v>
      </c>
      <c r="N8343" s="405" t="s">
        <v>19765</v>
      </c>
      <c r="O8343" s="405" t="s">
        <v>10031</v>
      </c>
      <c r="P8343" s="405" t="s">
        <v>20267</v>
      </c>
      <c r="Q8343" s="411">
        <v>6</v>
      </c>
      <c r="R8343" s="405" t="s">
        <v>19622</v>
      </c>
      <c r="S8343" s="405" t="s">
        <v>27116</v>
      </c>
      <c r="T8343" s="405" t="s">
        <v>32102</v>
      </c>
      <c r="U8343" s="405" t="s">
        <v>319</v>
      </c>
    </row>
    <row r="8344" spans="1:21" hidden="1" x14ac:dyDescent="0.25">
      <c r="A8344" s="405" t="s">
        <v>310</v>
      </c>
      <c r="B8344" s="405" t="s">
        <v>20231</v>
      </c>
      <c r="C8344" s="405" t="s">
        <v>327</v>
      </c>
      <c r="D8344" s="405"/>
      <c r="E8344" s="410">
        <v>40742</v>
      </c>
      <c r="F8344" s="410">
        <v>40787</v>
      </c>
      <c r="G8344" s="405" t="s">
        <v>20232</v>
      </c>
      <c r="H8344" s="405">
        <v>772904964</v>
      </c>
      <c r="I8344" s="405">
        <v>774337764</v>
      </c>
      <c r="J8344" s="405">
        <v>1.6914615</v>
      </c>
      <c r="K8344" s="405">
        <v>31.688690300000001</v>
      </c>
      <c r="L8344" s="405" t="s">
        <v>590</v>
      </c>
      <c r="M8344" s="405" t="s">
        <v>19608</v>
      </c>
      <c r="N8344" s="405" t="s">
        <v>19762</v>
      </c>
      <c r="O8344" s="405" t="s">
        <v>4147</v>
      </c>
      <c r="P8344" s="405" t="s">
        <v>20233</v>
      </c>
      <c r="Q8344" s="411">
        <v>9</v>
      </c>
      <c r="R8344" s="405" t="s">
        <v>318</v>
      </c>
      <c r="S8344" s="405" t="s">
        <v>27126</v>
      </c>
      <c r="T8344" s="405" t="s">
        <v>32102</v>
      </c>
      <c r="U8344" s="405" t="s">
        <v>319</v>
      </c>
    </row>
    <row r="8345" spans="1:21" hidden="1" x14ac:dyDescent="0.25">
      <c r="A8345" s="405" t="s">
        <v>310</v>
      </c>
      <c r="B8345" s="405" t="s">
        <v>27856</v>
      </c>
      <c r="C8345" s="405" t="s">
        <v>327</v>
      </c>
      <c r="D8345" s="405"/>
      <c r="E8345" s="410">
        <v>40740</v>
      </c>
      <c r="F8345" s="410">
        <v>40785</v>
      </c>
      <c r="G8345" s="405" t="s">
        <v>10402</v>
      </c>
      <c r="H8345" s="405">
        <v>754242999</v>
      </c>
      <c r="I8345" s="405">
        <v>773878685</v>
      </c>
      <c r="J8345" s="405">
        <v>1.0237216666666666</v>
      </c>
      <c r="K8345" s="405">
        <v>32.968065000000003</v>
      </c>
      <c r="L8345" s="405" t="s">
        <v>6866</v>
      </c>
      <c r="M8345" s="405" t="s">
        <v>3009</v>
      </c>
      <c r="N8345" s="405" t="s">
        <v>9612</v>
      </c>
      <c r="O8345" s="405" t="s">
        <v>10403</v>
      </c>
      <c r="P8345" s="405" t="s">
        <v>10404</v>
      </c>
      <c r="Q8345" s="411">
        <v>12</v>
      </c>
      <c r="R8345" s="405" t="s">
        <v>333</v>
      </c>
      <c r="S8345" s="405" t="s">
        <v>27124</v>
      </c>
      <c r="T8345" s="405" t="s">
        <v>32102</v>
      </c>
      <c r="U8345" s="405" t="s">
        <v>319</v>
      </c>
    </row>
    <row r="8346" spans="1:21" hidden="1" x14ac:dyDescent="0.25">
      <c r="A8346" s="405" t="s">
        <v>310</v>
      </c>
      <c r="B8346" s="405" t="s">
        <v>10464</v>
      </c>
      <c r="C8346" s="405" t="s">
        <v>327</v>
      </c>
      <c r="D8346" s="405"/>
      <c r="E8346" s="410">
        <v>40740</v>
      </c>
      <c r="F8346" s="410">
        <v>40785</v>
      </c>
      <c r="G8346" s="405" t="s">
        <v>10465</v>
      </c>
      <c r="H8346" s="405">
        <v>774313654</v>
      </c>
      <c r="I8346" s="405"/>
      <c r="J8346" s="405">
        <v>1.382792</v>
      </c>
      <c r="K8346" s="405">
        <v>34.471463999999997</v>
      </c>
      <c r="L8346" s="405" t="s">
        <v>6866</v>
      </c>
      <c r="M8346" s="405" t="s">
        <v>9685</v>
      </c>
      <c r="N8346" s="405" t="s">
        <v>9880</v>
      </c>
      <c r="O8346" s="405" t="s">
        <v>10466</v>
      </c>
      <c r="P8346" s="405" t="s">
        <v>10467</v>
      </c>
      <c r="Q8346" s="411">
        <v>6</v>
      </c>
      <c r="R8346" s="405" t="s">
        <v>9506</v>
      </c>
      <c r="S8346" s="405" t="s">
        <v>27318</v>
      </c>
      <c r="T8346" s="405" t="s">
        <v>32102</v>
      </c>
      <c r="U8346" s="405" t="s">
        <v>319</v>
      </c>
    </row>
    <row r="8347" spans="1:21" hidden="1" x14ac:dyDescent="0.25">
      <c r="A8347" s="405" t="s">
        <v>310</v>
      </c>
      <c r="B8347" s="405" t="s">
        <v>1702</v>
      </c>
      <c r="C8347" s="405" t="s">
        <v>327</v>
      </c>
      <c r="D8347" s="405"/>
      <c r="E8347" s="410">
        <v>40739</v>
      </c>
      <c r="F8347" s="410">
        <v>40784</v>
      </c>
      <c r="G8347" s="405" t="s">
        <v>1703</v>
      </c>
      <c r="H8347" s="405">
        <v>751311195</v>
      </c>
      <c r="I8347" s="405"/>
      <c r="J8347" s="405">
        <v>-0.26587333333333335</v>
      </c>
      <c r="K8347" s="405">
        <v>31.735273333333332</v>
      </c>
      <c r="L8347" s="405" t="s">
        <v>314</v>
      </c>
      <c r="M8347" s="405" t="s">
        <v>900</v>
      </c>
      <c r="N8347" s="405" t="s">
        <v>900</v>
      </c>
      <c r="O8347" s="405" t="s">
        <v>900</v>
      </c>
      <c r="P8347" s="405" t="s">
        <v>1392</v>
      </c>
      <c r="Q8347" s="411">
        <v>9</v>
      </c>
      <c r="R8347" s="405" t="s">
        <v>402</v>
      </c>
      <c r="S8347" s="405" t="s">
        <v>27052</v>
      </c>
      <c r="T8347" s="405" t="s">
        <v>32102</v>
      </c>
      <c r="U8347" s="405" t="s">
        <v>319</v>
      </c>
    </row>
    <row r="8348" spans="1:21" hidden="1" x14ac:dyDescent="0.25">
      <c r="A8348" s="405" t="s">
        <v>310</v>
      </c>
      <c r="B8348" s="405" t="s">
        <v>20216</v>
      </c>
      <c r="C8348" s="405" t="s">
        <v>327</v>
      </c>
      <c r="D8348" s="405"/>
      <c r="E8348" s="410">
        <v>40739</v>
      </c>
      <c r="F8348" s="410">
        <v>40784</v>
      </c>
      <c r="G8348" s="405" t="s">
        <v>20217</v>
      </c>
      <c r="H8348" s="405">
        <v>783487709</v>
      </c>
      <c r="I8348" s="405">
        <v>781292203</v>
      </c>
      <c r="J8348" s="405">
        <v>1.6579644</v>
      </c>
      <c r="K8348" s="405">
        <v>31.709802199999999</v>
      </c>
      <c r="L8348" s="405" t="s">
        <v>590</v>
      </c>
      <c r="M8348" s="405" t="s">
        <v>19608</v>
      </c>
      <c r="N8348" s="405" t="s">
        <v>20218</v>
      </c>
      <c r="O8348" s="405" t="s">
        <v>20219</v>
      </c>
      <c r="P8348" s="405" t="s">
        <v>20220</v>
      </c>
      <c r="Q8348" s="411">
        <v>6</v>
      </c>
      <c r="R8348" s="405" t="s">
        <v>318</v>
      </c>
      <c r="S8348" s="405" t="s">
        <v>27126</v>
      </c>
      <c r="T8348" s="405" t="s">
        <v>32102</v>
      </c>
      <c r="U8348" s="405" t="s">
        <v>319</v>
      </c>
    </row>
    <row r="8349" spans="1:21" hidden="1" x14ac:dyDescent="0.25">
      <c r="A8349" s="405" t="s">
        <v>310</v>
      </c>
      <c r="B8349" s="405" t="s">
        <v>1642</v>
      </c>
      <c r="C8349" s="405" t="s">
        <v>327</v>
      </c>
      <c r="D8349" s="405"/>
      <c r="E8349" s="410">
        <v>40739</v>
      </c>
      <c r="F8349" s="410">
        <v>40784</v>
      </c>
      <c r="G8349" s="405" t="s">
        <v>1643</v>
      </c>
      <c r="H8349" s="405">
        <v>782420228</v>
      </c>
      <c r="I8349" s="405">
        <v>704420228</v>
      </c>
      <c r="J8349" s="405">
        <v>-0.26390666666666668</v>
      </c>
      <c r="K8349" s="405">
        <v>31.741573333333335</v>
      </c>
      <c r="L8349" s="405" t="s">
        <v>314</v>
      </c>
      <c r="M8349" s="405" t="s">
        <v>900</v>
      </c>
      <c r="N8349" s="405" t="s">
        <v>900</v>
      </c>
      <c r="O8349" s="405" t="s">
        <v>904</v>
      </c>
      <c r="P8349" s="405" t="s">
        <v>1521</v>
      </c>
      <c r="Q8349" s="411">
        <v>6</v>
      </c>
      <c r="R8349" s="405" t="s">
        <v>353</v>
      </c>
      <c r="S8349" s="405" t="s">
        <v>27153</v>
      </c>
      <c r="T8349" s="405" t="s">
        <v>32102</v>
      </c>
      <c r="U8349" s="405" t="s">
        <v>319</v>
      </c>
    </row>
    <row r="8350" spans="1:21" hidden="1" x14ac:dyDescent="0.25">
      <c r="A8350" s="405" t="s">
        <v>310</v>
      </c>
      <c r="B8350" s="405" t="s">
        <v>1630</v>
      </c>
      <c r="C8350" s="405" t="s">
        <v>327</v>
      </c>
      <c r="D8350" s="405"/>
      <c r="E8350" s="410">
        <v>40739</v>
      </c>
      <c r="F8350" s="410">
        <v>40784</v>
      </c>
      <c r="G8350" s="405" t="s">
        <v>1631</v>
      </c>
      <c r="H8350" s="405">
        <v>772653643</v>
      </c>
      <c r="I8350" s="405"/>
      <c r="J8350" s="405">
        <v>0.62674200000000002</v>
      </c>
      <c r="K8350" s="405">
        <v>32.193342000000001</v>
      </c>
      <c r="L8350" s="405" t="s">
        <v>314</v>
      </c>
      <c r="M8350" s="405" t="s">
        <v>675</v>
      </c>
      <c r="N8350" s="405" t="s">
        <v>1065</v>
      </c>
      <c r="O8350" s="405" t="s">
        <v>814</v>
      </c>
      <c r="P8350" s="405" t="s">
        <v>1632</v>
      </c>
      <c r="Q8350" s="411">
        <v>6</v>
      </c>
      <c r="R8350" s="405" t="s">
        <v>318</v>
      </c>
      <c r="S8350" s="405" t="s">
        <v>27149</v>
      </c>
      <c r="T8350" s="405" t="s">
        <v>32102</v>
      </c>
      <c r="U8350" s="405" t="s">
        <v>319</v>
      </c>
    </row>
    <row r="8351" spans="1:21" hidden="1" x14ac:dyDescent="0.25">
      <c r="A8351" s="405" t="s">
        <v>310</v>
      </c>
      <c r="B8351" s="405" t="s">
        <v>10451</v>
      </c>
      <c r="C8351" s="405" t="s">
        <v>327</v>
      </c>
      <c r="D8351" s="405"/>
      <c r="E8351" s="410">
        <v>40739</v>
      </c>
      <c r="F8351" s="410">
        <v>40784</v>
      </c>
      <c r="G8351" s="405" t="s">
        <v>10452</v>
      </c>
      <c r="H8351" s="405">
        <v>789049585</v>
      </c>
      <c r="I8351" s="405"/>
      <c r="J8351" s="405">
        <v>1.204979</v>
      </c>
      <c r="K8351" s="405">
        <v>34.307558999999998</v>
      </c>
      <c r="L8351" s="405" t="s">
        <v>6866</v>
      </c>
      <c r="M8351" s="405" t="s">
        <v>9575</v>
      </c>
      <c r="N8351" s="405" t="s">
        <v>9629</v>
      </c>
      <c r="O8351" s="405" t="s">
        <v>9630</v>
      </c>
      <c r="P8351" s="405" t="s">
        <v>10453</v>
      </c>
      <c r="Q8351" s="411">
        <v>6</v>
      </c>
      <c r="R8351" s="405" t="s">
        <v>9541</v>
      </c>
      <c r="S8351" s="405" t="s">
        <v>27086</v>
      </c>
      <c r="T8351" s="405" t="s">
        <v>32102</v>
      </c>
      <c r="U8351" s="405" t="s">
        <v>319</v>
      </c>
    </row>
    <row r="8352" spans="1:21" hidden="1" x14ac:dyDescent="0.25">
      <c r="A8352" s="405" t="s">
        <v>310</v>
      </c>
      <c r="B8352" s="405" t="s">
        <v>1658</v>
      </c>
      <c r="C8352" s="405" t="s">
        <v>327</v>
      </c>
      <c r="D8352" s="405"/>
      <c r="E8352" s="410">
        <v>40738</v>
      </c>
      <c r="F8352" s="410">
        <v>40783</v>
      </c>
      <c r="G8352" s="405" t="s">
        <v>1659</v>
      </c>
      <c r="H8352" s="405">
        <v>772824092</v>
      </c>
      <c r="I8352" s="405"/>
      <c r="J8352" s="405">
        <v>0.10844819999999999</v>
      </c>
      <c r="K8352" s="405">
        <v>32.171925299999998</v>
      </c>
      <c r="L8352" s="405" t="s">
        <v>314</v>
      </c>
      <c r="M8352" s="405" t="s">
        <v>321</v>
      </c>
      <c r="N8352" s="405" t="s">
        <v>322</v>
      </c>
      <c r="O8352" s="405" t="s">
        <v>1023</v>
      </c>
      <c r="P8352" s="405" t="s">
        <v>1660</v>
      </c>
      <c r="Q8352" s="411">
        <v>9</v>
      </c>
      <c r="R8352" s="405" t="s">
        <v>438</v>
      </c>
      <c r="S8352" s="405" t="s">
        <v>27131</v>
      </c>
      <c r="T8352" s="405" t="s">
        <v>32102</v>
      </c>
      <c r="U8352" s="405" t="s">
        <v>319</v>
      </c>
    </row>
    <row r="8353" spans="1:21" hidden="1" x14ac:dyDescent="0.25">
      <c r="A8353" s="405" t="s">
        <v>310</v>
      </c>
      <c r="B8353" s="405" t="s">
        <v>28629</v>
      </c>
      <c r="C8353" s="405" t="s">
        <v>327</v>
      </c>
      <c r="D8353" s="405"/>
      <c r="E8353" s="410">
        <v>40738</v>
      </c>
      <c r="F8353" s="410">
        <v>40783</v>
      </c>
      <c r="G8353" s="405" t="s">
        <v>18251</v>
      </c>
      <c r="H8353" s="405">
        <v>774441406</v>
      </c>
      <c r="I8353" s="405">
        <v>777775138</v>
      </c>
      <c r="J8353" s="405">
        <v>2.2041150000000003</v>
      </c>
      <c r="K8353" s="405">
        <v>32.91891833333333</v>
      </c>
      <c r="L8353" s="405" t="s">
        <v>860</v>
      </c>
      <c r="M8353" s="405" t="s">
        <v>18234</v>
      </c>
      <c r="N8353" s="405" t="s">
        <v>18252</v>
      </c>
      <c r="O8353" s="405" t="s">
        <v>18253</v>
      </c>
      <c r="P8353" s="405" t="s">
        <v>18254</v>
      </c>
      <c r="Q8353" s="411">
        <v>6</v>
      </c>
      <c r="R8353" s="405" t="s">
        <v>994</v>
      </c>
      <c r="S8353" s="405" t="s">
        <v>27193</v>
      </c>
      <c r="T8353" s="405" t="s">
        <v>32102</v>
      </c>
      <c r="U8353" s="405" t="s">
        <v>319</v>
      </c>
    </row>
    <row r="8354" spans="1:21" hidden="1" x14ac:dyDescent="0.25">
      <c r="A8354" s="405" t="s">
        <v>310</v>
      </c>
      <c r="B8354" s="405" t="s">
        <v>28214</v>
      </c>
      <c r="C8354" s="405" t="s">
        <v>327</v>
      </c>
      <c r="D8354" s="405"/>
      <c r="E8354" s="410">
        <v>40738</v>
      </c>
      <c r="F8354" s="410">
        <v>40783</v>
      </c>
      <c r="G8354" s="405" t="s">
        <v>1645</v>
      </c>
      <c r="H8354" s="405">
        <v>785225695</v>
      </c>
      <c r="I8354" s="405">
        <v>754264160</v>
      </c>
      <c r="J8354" s="405">
        <v>-0.31854969999999999</v>
      </c>
      <c r="K8354" s="405">
        <v>31.7603051</v>
      </c>
      <c r="L8354" s="405" t="s">
        <v>314</v>
      </c>
      <c r="M8354" s="405" t="s">
        <v>382</v>
      </c>
      <c r="N8354" s="405" t="s">
        <v>941</v>
      </c>
      <c r="O8354" s="405" t="s">
        <v>1020</v>
      </c>
      <c r="P8354" s="405" t="s">
        <v>1020</v>
      </c>
      <c r="Q8354" s="411">
        <v>6</v>
      </c>
      <c r="R8354" s="405" t="s">
        <v>402</v>
      </c>
      <c r="S8354" s="405" t="s">
        <v>27121</v>
      </c>
      <c r="T8354" s="405" t="s">
        <v>32102</v>
      </c>
      <c r="U8354" s="405" t="s">
        <v>319</v>
      </c>
    </row>
    <row r="8355" spans="1:21" hidden="1" x14ac:dyDescent="0.25">
      <c r="A8355" s="405" t="s">
        <v>310</v>
      </c>
      <c r="B8355" s="405" t="s">
        <v>1654</v>
      </c>
      <c r="C8355" s="405" t="s">
        <v>327</v>
      </c>
      <c r="D8355" s="405"/>
      <c r="E8355" s="410">
        <v>40738</v>
      </c>
      <c r="F8355" s="410">
        <v>40783</v>
      </c>
      <c r="G8355" s="405" t="s">
        <v>1655</v>
      </c>
      <c r="H8355" s="405">
        <v>752990045</v>
      </c>
      <c r="I8355" s="405"/>
      <c r="J8355" s="405">
        <v>-0.24434600000000001</v>
      </c>
      <c r="K8355" s="405">
        <v>31.493618999999999</v>
      </c>
      <c r="L8355" s="405" t="s">
        <v>314</v>
      </c>
      <c r="M8355" s="405" t="s">
        <v>343</v>
      </c>
      <c r="N8355" s="405" t="s">
        <v>1656</v>
      </c>
      <c r="O8355" s="405" t="s">
        <v>345</v>
      </c>
      <c r="P8355" s="405" t="s">
        <v>1657</v>
      </c>
      <c r="Q8355" s="411">
        <v>6</v>
      </c>
      <c r="R8355" s="405" t="s">
        <v>402</v>
      </c>
      <c r="S8355" s="405" t="s">
        <v>27164</v>
      </c>
      <c r="T8355" s="405" t="s">
        <v>32102</v>
      </c>
      <c r="U8355" s="405" t="s">
        <v>319</v>
      </c>
    </row>
    <row r="8356" spans="1:21" hidden="1" x14ac:dyDescent="0.25">
      <c r="A8356" s="405" t="s">
        <v>310</v>
      </c>
      <c r="B8356" s="405" t="s">
        <v>27716</v>
      </c>
      <c r="C8356" s="405" t="s">
        <v>327</v>
      </c>
      <c r="D8356" s="405"/>
      <c r="E8356" s="410">
        <v>40736</v>
      </c>
      <c r="F8356" s="410">
        <v>40781</v>
      </c>
      <c r="G8356" s="405" t="s">
        <v>20203</v>
      </c>
      <c r="H8356" s="405">
        <v>782947616</v>
      </c>
      <c r="I8356" s="405">
        <v>72376449</v>
      </c>
      <c r="J8356" s="405">
        <v>-0.61284099999999997</v>
      </c>
      <c r="K8356" s="405">
        <v>30.420632999999999</v>
      </c>
      <c r="L8356" s="405" t="s">
        <v>590</v>
      </c>
      <c r="M8356" s="405" t="s">
        <v>19725</v>
      </c>
      <c r="N8356" s="405" t="s">
        <v>20204</v>
      </c>
      <c r="O8356" s="405" t="s">
        <v>3283</v>
      </c>
      <c r="P8356" s="405" t="s">
        <v>20205</v>
      </c>
      <c r="Q8356" s="411">
        <v>9</v>
      </c>
      <c r="R8356" s="405" t="s">
        <v>1527</v>
      </c>
      <c r="S8356" s="405" t="s">
        <v>27403</v>
      </c>
      <c r="T8356" s="405" t="s">
        <v>32102</v>
      </c>
      <c r="U8356" s="405" t="s">
        <v>319</v>
      </c>
    </row>
    <row r="8357" spans="1:21" hidden="1" x14ac:dyDescent="0.25">
      <c r="A8357" s="405" t="s">
        <v>310</v>
      </c>
      <c r="B8357" s="405" t="s">
        <v>20213</v>
      </c>
      <c r="C8357" s="405" t="s">
        <v>327</v>
      </c>
      <c r="D8357" s="405"/>
      <c r="E8357" s="410">
        <v>40736</v>
      </c>
      <c r="F8357" s="410">
        <v>40781</v>
      </c>
      <c r="G8357" s="405" t="s">
        <v>20214</v>
      </c>
      <c r="H8357" s="405">
        <v>758727981</v>
      </c>
      <c r="I8357" s="405">
        <v>752696353</v>
      </c>
      <c r="J8357" s="405">
        <v>1.6838531999999999</v>
      </c>
      <c r="K8357" s="405">
        <v>31.7207498</v>
      </c>
      <c r="L8357" s="405" t="s">
        <v>590</v>
      </c>
      <c r="M8357" s="405" t="s">
        <v>19608</v>
      </c>
      <c r="N8357" s="405" t="s">
        <v>19783</v>
      </c>
      <c r="O8357" s="405" t="s">
        <v>19784</v>
      </c>
      <c r="P8357" s="405" t="s">
        <v>20215</v>
      </c>
      <c r="Q8357" s="411">
        <v>6</v>
      </c>
      <c r="R8357" s="405" t="s">
        <v>318</v>
      </c>
      <c r="S8357" s="405" t="s">
        <v>22481</v>
      </c>
      <c r="T8357" s="405" t="s">
        <v>32102</v>
      </c>
      <c r="U8357" s="405" t="s">
        <v>319</v>
      </c>
    </row>
    <row r="8358" spans="1:21" hidden="1" x14ac:dyDescent="0.25">
      <c r="A8358" s="405" t="s">
        <v>310</v>
      </c>
      <c r="B8358" s="405" t="s">
        <v>1704</v>
      </c>
      <c r="C8358" s="405" t="s">
        <v>327</v>
      </c>
      <c r="D8358" s="405"/>
      <c r="E8358" s="410">
        <v>40736</v>
      </c>
      <c r="F8358" s="410">
        <v>40781</v>
      </c>
      <c r="G8358" s="405" t="s">
        <v>1705</v>
      </c>
      <c r="H8358" s="405">
        <v>774533427</v>
      </c>
      <c r="I8358" s="405"/>
      <c r="J8358" s="405">
        <v>0.66169199999999995</v>
      </c>
      <c r="K8358" s="405">
        <v>32.090646999999997</v>
      </c>
      <c r="L8358" s="405" t="s">
        <v>314</v>
      </c>
      <c r="M8358" s="405" t="s">
        <v>675</v>
      </c>
      <c r="N8358" s="405" t="s">
        <v>675</v>
      </c>
      <c r="O8358" s="405" t="s">
        <v>814</v>
      </c>
      <c r="P8358" s="405" t="s">
        <v>1706</v>
      </c>
      <c r="Q8358" s="411">
        <v>6</v>
      </c>
      <c r="R8358" s="405" t="s">
        <v>318</v>
      </c>
      <c r="S8358" s="405" t="s">
        <v>27149</v>
      </c>
      <c r="T8358" s="405" t="s">
        <v>32102</v>
      </c>
      <c r="U8358" s="405" t="s">
        <v>319</v>
      </c>
    </row>
    <row r="8359" spans="1:21" hidden="1" x14ac:dyDescent="0.25">
      <c r="A8359" s="405" t="s">
        <v>310</v>
      </c>
      <c r="B8359" s="405" t="s">
        <v>28711</v>
      </c>
      <c r="C8359" s="405" t="s">
        <v>327</v>
      </c>
      <c r="D8359" s="405"/>
      <c r="E8359" s="410">
        <v>40735</v>
      </c>
      <c r="F8359" s="410">
        <v>40780</v>
      </c>
      <c r="G8359" s="405" t="s">
        <v>10411</v>
      </c>
      <c r="H8359" s="405">
        <v>784951198</v>
      </c>
      <c r="I8359" s="405"/>
      <c r="J8359" s="405">
        <v>0.60527399999999998</v>
      </c>
      <c r="K8359" s="405">
        <v>34.003005000000002</v>
      </c>
      <c r="L8359" s="405" t="s">
        <v>6866</v>
      </c>
      <c r="M8359" s="405" t="s">
        <v>9534</v>
      </c>
      <c r="N8359" s="405" t="s">
        <v>9997</v>
      </c>
      <c r="O8359" s="405" t="s">
        <v>10248</v>
      </c>
      <c r="P8359" s="405" t="s">
        <v>10412</v>
      </c>
      <c r="Q8359" s="411">
        <v>6</v>
      </c>
      <c r="R8359" s="405" t="s">
        <v>9541</v>
      </c>
      <c r="S8359" s="405" t="s">
        <v>27294</v>
      </c>
      <c r="T8359" s="405" t="s">
        <v>32102</v>
      </c>
      <c r="U8359" s="405" t="s">
        <v>319</v>
      </c>
    </row>
    <row r="8360" spans="1:21" hidden="1" x14ac:dyDescent="0.25">
      <c r="A8360" s="405" t="s">
        <v>310</v>
      </c>
      <c r="B8360" s="405" t="s">
        <v>20150</v>
      </c>
      <c r="C8360" s="405" t="s">
        <v>327</v>
      </c>
      <c r="D8360" s="405"/>
      <c r="E8360" s="410">
        <v>40735</v>
      </c>
      <c r="F8360" s="410">
        <v>40780</v>
      </c>
      <c r="G8360" s="405" t="s">
        <v>20151</v>
      </c>
      <c r="H8360" s="405">
        <v>757145348</v>
      </c>
      <c r="I8360" s="405"/>
      <c r="J8360" s="405">
        <v>-0.93646499999999999</v>
      </c>
      <c r="K8360" s="405">
        <v>30.616522</v>
      </c>
      <c r="L8360" s="405" t="s">
        <v>590</v>
      </c>
      <c r="M8360" s="405" t="s">
        <v>879</v>
      </c>
      <c r="N8360" s="405" t="s">
        <v>20023</v>
      </c>
      <c r="O8360" s="405" t="s">
        <v>20024</v>
      </c>
      <c r="P8360" s="405" t="s">
        <v>20025</v>
      </c>
      <c r="Q8360" s="411">
        <v>6</v>
      </c>
      <c r="R8360" s="405" t="s">
        <v>333</v>
      </c>
      <c r="S8360" s="405" t="s">
        <v>27098</v>
      </c>
      <c r="T8360" s="405" t="s">
        <v>32102</v>
      </c>
      <c r="U8360" s="405" t="s">
        <v>319</v>
      </c>
    </row>
    <row r="8361" spans="1:21" hidden="1" x14ac:dyDescent="0.25">
      <c r="A8361" s="405" t="s">
        <v>310</v>
      </c>
      <c r="B8361" s="405" t="s">
        <v>1640</v>
      </c>
      <c r="C8361" s="405" t="s">
        <v>327</v>
      </c>
      <c r="D8361" s="405"/>
      <c r="E8361" s="410">
        <v>40735</v>
      </c>
      <c r="F8361" s="410">
        <v>40780</v>
      </c>
      <c r="G8361" s="405" t="s">
        <v>1641</v>
      </c>
      <c r="H8361" s="405">
        <v>753524625</v>
      </c>
      <c r="I8361" s="405"/>
      <c r="J8361" s="405">
        <v>0.16749333333333333</v>
      </c>
      <c r="K8361" s="405">
        <v>32.329535</v>
      </c>
      <c r="L8361" s="405" t="s">
        <v>314</v>
      </c>
      <c r="M8361" s="405" t="s">
        <v>321</v>
      </c>
      <c r="N8361" s="405" t="s">
        <v>322</v>
      </c>
      <c r="O8361" s="405" t="s">
        <v>996</v>
      </c>
      <c r="P8361" s="405" t="s">
        <v>1000</v>
      </c>
      <c r="Q8361" s="411">
        <v>6</v>
      </c>
      <c r="R8361" s="405" t="s">
        <v>318</v>
      </c>
      <c r="S8361" s="405" t="s">
        <v>27113</v>
      </c>
      <c r="T8361" s="405" t="s">
        <v>32102</v>
      </c>
      <c r="U8361" s="405" t="s">
        <v>319</v>
      </c>
    </row>
    <row r="8362" spans="1:21" hidden="1" x14ac:dyDescent="0.25">
      <c r="A8362" s="405" t="s">
        <v>310</v>
      </c>
      <c r="B8362" s="405" t="s">
        <v>10893</v>
      </c>
      <c r="C8362" s="405" t="s">
        <v>311</v>
      </c>
      <c r="D8362" s="405" t="s">
        <v>1789</v>
      </c>
      <c r="E8362" s="410">
        <v>40735</v>
      </c>
      <c r="F8362" s="410">
        <v>40780</v>
      </c>
      <c r="G8362" s="405" t="s">
        <v>10894</v>
      </c>
      <c r="H8362" s="405">
        <v>703555230</v>
      </c>
      <c r="I8362" s="405">
        <v>772358537</v>
      </c>
      <c r="J8362" s="405">
        <v>0.700183</v>
      </c>
      <c r="K8362" s="405">
        <v>34.140856999999997</v>
      </c>
      <c r="L8362" s="405" t="s">
        <v>6866</v>
      </c>
      <c r="M8362" s="405" t="s">
        <v>9534</v>
      </c>
      <c r="N8362" s="405" t="s">
        <v>10113</v>
      </c>
      <c r="O8362" s="405" t="s">
        <v>9770</v>
      </c>
      <c r="P8362" s="405" t="s">
        <v>10895</v>
      </c>
      <c r="Q8362" s="411">
        <v>6</v>
      </c>
      <c r="R8362" s="405" t="s">
        <v>7224</v>
      </c>
      <c r="S8362" s="405" t="s">
        <v>27259</v>
      </c>
      <c r="T8362" s="405" t="s">
        <v>32102</v>
      </c>
      <c r="U8362" s="405" t="s">
        <v>319</v>
      </c>
    </row>
    <row r="8363" spans="1:21" hidden="1" x14ac:dyDescent="0.25">
      <c r="A8363" s="405" t="s">
        <v>310</v>
      </c>
      <c r="B8363" s="405" t="s">
        <v>28614</v>
      </c>
      <c r="C8363" s="405" t="s">
        <v>327</v>
      </c>
      <c r="D8363" s="405"/>
      <c r="E8363" s="410">
        <v>40734</v>
      </c>
      <c r="F8363" s="410">
        <v>40779</v>
      </c>
      <c r="G8363" s="405" t="s">
        <v>10442</v>
      </c>
      <c r="H8363" s="405">
        <v>772904009</v>
      </c>
      <c r="I8363" s="405"/>
      <c r="J8363" s="405">
        <v>1.03111</v>
      </c>
      <c r="K8363" s="405">
        <v>34.326084999999999</v>
      </c>
      <c r="L8363" s="405" t="s">
        <v>6866</v>
      </c>
      <c r="M8363" s="405" t="s">
        <v>6867</v>
      </c>
      <c r="N8363" s="405" t="s">
        <v>6868</v>
      </c>
      <c r="O8363" s="405" t="s">
        <v>10443</v>
      </c>
      <c r="P8363" s="405" t="s">
        <v>10444</v>
      </c>
      <c r="Q8363" s="411">
        <v>6</v>
      </c>
      <c r="R8363" s="405" t="s">
        <v>333</v>
      </c>
      <c r="S8363" s="405" t="s">
        <v>27197</v>
      </c>
      <c r="T8363" s="405" t="s">
        <v>32102</v>
      </c>
      <c r="U8363" s="405" t="s">
        <v>319</v>
      </c>
    </row>
    <row r="8364" spans="1:21" hidden="1" x14ac:dyDescent="0.25">
      <c r="A8364" s="405" t="s">
        <v>310</v>
      </c>
      <c r="B8364" s="405" t="s">
        <v>10445</v>
      </c>
      <c r="C8364" s="405" t="s">
        <v>327</v>
      </c>
      <c r="D8364" s="405"/>
      <c r="E8364" s="410">
        <v>40732</v>
      </c>
      <c r="F8364" s="410">
        <v>40777</v>
      </c>
      <c r="G8364" s="405" t="s">
        <v>10446</v>
      </c>
      <c r="H8364" s="405">
        <v>779971135</v>
      </c>
      <c r="I8364" s="405"/>
      <c r="J8364" s="405">
        <v>1.036017</v>
      </c>
      <c r="K8364" s="405">
        <v>34.155099999999997</v>
      </c>
      <c r="L8364" s="405" t="s">
        <v>6866</v>
      </c>
      <c r="M8364" s="405" t="s">
        <v>9514</v>
      </c>
      <c r="N8364" s="405" t="s">
        <v>9529</v>
      </c>
      <c r="O8364" s="405" t="s">
        <v>9571</v>
      </c>
      <c r="P8364" s="405" t="s">
        <v>10447</v>
      </c>
      <c r="Q8364" s="411">
        <v>13</v>
      </c>
      <c r="R8364" s="405" t="s">
        <v>7224</v>
      </c>
      <c r="S8364" s="405" t="s">
        <v>27142</v>
      </c>
      <c r="T8364" s="405" t="s">
        <v>32102</v>
      </c>
      <c r="U8364" s="405" t="s">
        <v>319</v>
      </c>
    </row>
    <row r="8365" spans="1:21" hidden="1" x14ac:dyDescent="0.25">
      <c r="A8365" s="405" t="s">
        <v>310</v>
      </c>
      <c r="B8365" s="405" t="s">
        <v>10440</v>
      </c>
      <c r="C8365" s="405" t="s">
        <v>327</v>
      </c>
      <c r="D8365" s="405"/>
      <c r="E8365" s="410">
        <v>40732</v>
      </c>
      <c r="F8365" s="410">
        <v>40777</v>
      </c>
      <c r="G8365" s="405" t="s">
        <v>10441</v>
      </c>
      <c r="H8365" s="405">
        <v>782116374</v>
      </c>
      <c r="I8365" s="405"/>
      <c r="J8365" s="405">
        <v>1.2831250000000001</v>
      </c>
      <c r="K8365" s="405">
        <v>33.916677</v>
      </c>
      <c r="L8365" s="405" t="s">
        <v>6866</v>
      </c>
      <c r="M8365" s="405" t="s">
        <v>10029</v>
      </c>
      <c r="N8365" s="405" t="s">
        <v>10260</v>
      </c>
      <c r="O8365" s="405" t="s">
        <v>10261</v>
      </c>
      <c r="P8365" s="405" t="s">
        <v>10439</v>
      </c>
      <c r="Q8365" s="411">
        <v>6</v>
      </c>
      <c r="R8365" s="405" t="s">
        <v>9541</v>
      </c>
      <c r="S8365" s="405" t="s">
        <v>27300</v>
      </c>
      <c r="T8365" s="405" t="s">
        <v>32102</v>
      </c>
      <c r="U8365" s="405" t="s">
        <v>319</v>
      </c>
    </row>
    <row r="8366" spans="1:21" hidden="1" x14ac:dyDescent="0.25">
      <c r="A8366" s="405" t="s">
        <v>310</v>
      </c>
      <c r="B8366" s="405" t="s">
        <v>27976</v>
      </c>
      <c r="C8366" s="405" t="s">
        <v>311</v>
      </c>
      <c r="D8366" s="405" t="s">
        <v>1013</v>
      </c>
      <c r="E8366" s="410">
        <v>40731</v>
      </c>
      <c r="F8366" s="410">
        <v>40776</v>
      </c>
      <c r="G8366" s="405" t="s">
        <v>2105</v>
      </c>
      <c r="H8366" s="405">
        <v>772708847</v>
      </c>
      <c r="I8366" s="405"/>
      <c r="J8366" s="405">
        <v>0.44933699999999999</v>
      </c>
      <c r="K8366" s="405">
        <v>32.172936999999997</v>
      </c>
      <c r="L8366" s="405" t="s">
        <v>314</v>
      </c>
      <c r="M8366" s="405" t="s">
        <v>675</v>
      </c>
      <c r="N8366" s="405" t="s">
        <v>1065</v>
      </c>
      <c r="O8366" s="405" t="s">
        <v>1374</v>
      </c>
      <c r="P8366" s="405" t="s">
        <v>1375</v>
      </c>
      <c r="Q8366" s="411">
        <v>9</v>
      </c>
      <c r="R8366" s="405" t="s">
        <v>318</v>
      </c>
      <c r="S8366" s="405" t="s">
        <v>27171</v>
      </c>
      <c r="T8366" s="405" t="s">
        <v>32102</v>
      </c>
      <c r="U8366" s="405" t="s">
        <v>319</v>
      </c>
    </row>
    <row r="8367" spans="1:21" hidden="1" x14ac:dyDescent="0.25">
      <c r="A8367" s="405" t="s">
        <v>310</v>
      </c>
      <c r="B8367" s="405" t="s">
        <v>28686</v>
      </c>
      <c r="C8367" s="405" t="s">
        <v>327</v>
      </c>
      <c r="D8367" s="405"/>
      <c r="E8367" s="410">
        <v>40731</v>
      </c>
      <c r="F8367" s="410">
        <v>40776</v>
      </c>
      <c r="G8367" s="405" t="s">
        <v>10409</v>
      </c>
      <c r="H8367" s="405">
        <v>779468165</v>
      </c>
      <c r="I8367" s="405"/>
      <c r="J8367" s="405">
        <v>0.61082899999999996</v>
      </c>
      <c r="K8367" s="405">
        <v>33.957239999999999</v>
      </c>
      <c r="L8367" s="405" t="s">
        <v>6866</v>
      </c>
      <c r="M8367" s="405" t="s">
        <v>9534</v>
      </c>
      <c r="N8367" s="405" t="s">
        <v>9997</v>
      </c>
      <c r="O8367" s="405" t="s">
        <v>10248</v>
      </c>
      <c r="P8367" s="405" t="s">
        <v>10410</v>
      </c>
      <c r="Q8367" s="411">
        <v>6</v>
      </c>
      <c r="R8367" s="405" t="s">
        <v>9541</v>
      </c>
      <c r="S8367" s="405" t="s">
        <v>27320</v>
      </c>
      <c r="T8367" s="405" t="s">
        <v>32102</v>
      </c>
      <c r="U8367" s="405" t="s">
        <v>319</v>
      </c>
    </row>
    <row r="8368" spans="1:21" hidden="1" x14ac:dyDescent="0.25">
      <c r="A8368" s="405" t="s">
        <v>310</v>
      </c>
      <c r="B8368" s="405" t="s">
        <v>1624</v>
      </c>
      <c r="C8368" s="405" t="s">
        <v>327</v>
      </c>
      <c r="D8368" s="405"/>
      <c r="E8368" s="410">
        <v>40731</v>
      </c>
      <c r="F8368" s="410">
        <v>40776</v>
      </c>
      <c r="G8368" s="405" t="s">
        <v>1625</v>
      </c>
      <c r="H8368" s="405">
        <v>774161413</v>
      </c>
      <c r="I8368" s="405"/>
      <c r="J8368" s="405">
        <v>0.58160199999999995</v>
      </c>
      <c r="K8368" s="405">
        <v>32.194645000000001</v>
      </c>
      <c r="L8368" s="405" t="s">
        <v>314</v>
      </c>
      <c r="M8368" s="405" t="s">
        <v>675</v>
      </c>
      <c r="N8368" s="405" t="s">
        <v>1065</v>
      </c>
      <c r="O8368" s="405" t="s">
        <v>814</v>
      </c>
      <c r="P8368" s="405" t="s">
        <v>1626</v>
      </c>
      <c r="Q8368" s="411">
        <v>6</v>
      </c>
      <c r="R8368" s="405" t="s">
        <v>318</v>
      </c>
      <c r="S8368" s="405" t="s">
        <v>27125</v>
      </c>
      <c r="T8368" s="405" t="s">
        <v>32102</v>
      </c>
      <c r="U8368" s="405" t="s">
        <v>319</v>
      </c>
    </row>
    <row r="8369" spans="1:21" hidden="1" x14ac:dyDescent="0.25">
      <c r="A8369" s="405" t="s">
        <v>310</v>
      </c>
      <c r="B8369" s="405" t="s">
        <v>1715</v>
      </c>
      <c r="C8369" s="405" t="s">
        <v>327</v>
      </c>
      <c r="D8369" s="405"/>
      <c r="E8369" s="410">
        <v>40731</v>
      </c>
      <c r="F8369" s="410">
        <v>40776</v>
      </c>
      <c r="G8369" s="405" t="s">
        <v>1716</v>
      </c>
      <c r="H8369" s="405">
        <v>782030690</v>
      </c>
      <c r="I8369" s="405"/>
      <c r="J8369" s="405">
        <v>0.35187800000000002</v>
      </c>
      <c r="K8369" s="405">
        <v>32.080722999999999</v>
      </c>
      <c r="L8369" s="405" t="s">
        <v>314</v>
      </c>
      <c r="M8369" s="405" t="s">
        <v>675</v>
      </c>
      <c r="N8369" s="405" t="s">
        <v>1717</v>
      </c>
      <c r="O8369" s="405" t="s">
        <v>1066</v>
      </c>
      <c r="P8369" s="405" t="s">
        <v>1718</v>
      </c>
      <c r="Q8369" s="411">
        <v>6</v>
      </c>
      <c r="R8369" s="405" t="s">
        <v>438</v>
      </c>
      <c r="S8369" s="405" t="s">
        <v>27131</v>
      </c>
      <c r="T8369" s="405" t="s">
        <v>32102</v>
      </c>
      <c r="U8369" s="405" t="s">
        <v>319</v>
      </c>
    </row>
    <row r="8370" spans="1:21" hidden="1" x14ac:dyDescent="0.25">
      <c r="A8370" s="405" t="s">
        <v>310</v>
      </c>
      <c r="B8370" s="405" t="s">
        <v>10468</v>
      </c>
      <c r="C8370" s="405" t="s">
        <v>327</v>
      </c>
      <c r="D8370" s="405"/>
      <c r="E8370" s="410">
        <v>40730</v>
      </c>
      <c r="F8370" s="410">
        <v>40775</v>
      </c>
      <c r="G8370" s="405" t="s">
        <v>10469</v>
      </c>
      <c r="H8370" s="405">
        <v>754876517</v>
      </c>
      <c r="I8370" s="405">
        <v>756949471</v>
      </c>
      <c r="J8370" s="405">
        <v>0.93592900000000001</v>
      </c>
      <c r="K8370" s="405">
        <v>33.132122600000002</v>
      </c>
      <c r="L8370" s="405" t="s">
        <v>6866</v>
      </c>
      <c r="M8370" s="405" t="s">
        <v>3009</v>
      </c>
      <c r="N8370" s="405" t="s">
        <v>9842</v>
      </c>
      <c r="O8370" s="405" t="s">
        <v>10332</v>
      </c>
      <c r="P8370" s="405" t="s">
        <v>10470</v>
      </c>
      <c r="Q8370" s="411">
        <v>6</v>
      </c>
      <c r="R8370" s="405" t="s">
        <v>32478</v>
      </c>
      <c r="S8370" s="405" t="s">
        <v>6822</v>
      </c>
      <c r="T8370" s="405" t="s">
        <v>32102</v>
      </c>
      <c r="U8370" s="405" t="s">
        <v>319</v>
      </c>
    </row>
    <row r="8371" spans="1:21" hidden="1" x14ac:dyDescent="0.25">
      <c r="A8371" s="405" t="s">
        <v>310</v>
      </c>
      <c r="B8371" s="405" t="s">
        <v>28250</v>
      </c>
      <c r="C8371" s="405" t="s">
        <v>327</v>
      </c>
      <c r="D8371" s="405"/>
      <c r="E8371" s="410">
        <v>40729</v>
      </c>
      <c r="F8371" s="410">
        <v>40774</v>
      </c>
      <c r="G8371" s="405" t="s">
        <v>10405</v>
      </c>
      <c r="H8371" s="405">
        <v>772368881</v>
      </c>
      <c r="I8371" s="405">
        <v>776032480</v>
      </c>
      <c r="J8371" s="405">
        <v>0.93334099999999998</v>
      </c>
      <c r="K8371" s="405">
        <v>33.130793400000002</v>
      </c>
      <c r="L8371" s="405" t="s">
        <v>6866</v>
      </c>
      <c r="M8371" s="405" t="s">
        <v>3009</v>
      </c>
      <c r="N8371" s="405" t="s">
        <v>10406</v>
      </c>
      <c r="O8371" s="405" t="s">
        <v>10407</v>
      </c>
      <c r="P8371" s="405" t="s">
        <v>10408</v>
      </c>
      <c r="Q8371" s="411">
        <v>12</v>
      </c>
      <c r="R8371" s="405" t="s">
        <v>333</v>
      </c>
      <c r="S8371" s="405" t="s">
        <v>27036</v>
      </c>
      <c r="T8371" s="405" t="s">
        <v>32102</v>
      </c>
      <c r="U8371" s="405" t="s">
        <v>319</v>
      </c>
    </row>
    <row r="8372" spans="1:21" hidden="1" x14ac:dyDescent="0.25">
      <c r="A8372" s="405" t="s">
        <v>310</v>
      </c>
      <c r="B8372" s="405" t="s">
        <v>27722</v>
      </c>
      <c r="C8372" s="405" t="s">
        <v>327</v>
      </c>
      <c r="D8372" s="405"/>
      <c r="E8372" s="410">
        <v>40729</v>
      </c>
      <c r="F8372" s="410">
        <v>40774</v>
      </c>
      <c r="G8372" s="405" t="s">
        <v>1730</v>
      </c>
      <c r="H8372" s="405">
        <v>773728771</v>
      </c>
      <c r="I8372" s="405">
        <v>752340359</v>
      </c>
      <c r="J8372" s="405">
        <v>-0.26587333333333335</v>
      </c>
      <c r="K8372" s="405">
        <v>31.735273333333332</v>
      </c>
      <c r="L8372" s="405" t="s">
        <v>314</v>
      </c>
      <c r="M8372" s="405" t="s">
        <v>900</v>
      </c>
      <c r="N8372" s="405" t="s">
        <v>900</v>
      </c>
      <c r="O8372" s="405" t="s">
        <v>900</v>
      </c>
      <c r="P8372" s="405" t="s">
        <v>1392</v>
      </c>
      <c r="Q8372" s="411">
        <v>6</v>
      </c>
      <c r="R8372" s="405" t="s">
        <v>402</v>
      </c>
      <c r="S8372" s="405" t="s">
        <v>27139</v>
      </c>
      <c r="T8372" s="405" t="s">
        <v>32102</v>
      </c>
      <c r="U8372" s="405" t="s">
        <v>319</v>
      </c>
    </row>
    <row r="8373" spans="1:21" hidden="1" x14ac:dyDescent="0.25">
      <c r="A8373" s="405" t="s">
        <v>310</v>
      </c>
      <c r="B8373" s="405" t="s">
        <v>28936</v>
      </c>
      <c r="C8373" s="405" t="s">
        <v>327</v>
      </c>
      <c r="D8373" s="405"/>
      <c r="E8373" s="410">
        <v>40728</v>
      </c>
      <c r="F8373" s="410">
        <v>40773</v>
      </c>
      <c r="G8373" s="405" t="s">
        <v>1731</v>
      </c>
      <c r="H8373" s="405">
        <v>772725200</v>
      </c>
      <c r="I8373" s="405">
        <v>772576285</v>
      </c>
      <c r="J8373" s="405">
        <v>-0.35402080000000002</v>
      </c>
      <c r="K8373" s="405">
        <v>31.729536599999999</v>
      </c>
      <c r="L8373" s="405" t="s">
        <v>314</v>
      </c>
      <c r="M8373" s="405" t="s">
        <v>382</v>
      </c>
      <c r="N8373" s="405" t="s">
        <v>382</v>
      </c>
      <c r="O8373" s="405" t="s">
        <v>1518</v>
      </c>
      <c r="P8373" s="405" t="s">
        <v>385</v>
      </c>
      <c r="Q8373" s="411">
        <v>13</v>
      </c>
      <c r="R8373" s="405" t="s">
        <v>353</v>
      </c>
      <c r="S8373" s="405" t="s">
        <v>27153</v>
      </c>
      <c r="T8373" s="405" t="s">
        <v>32102</v>
      </c>
      <c r="U8373" s="405" t="s">
        <v>319</v>
      </c>
    </row>
    <row r="8374" spans="1:21" hidden="1" x14ac:dyDescent="0.25">
      <c r="A8374" s="405" t="s">
        <v>310</v>
      </c>
      <c r="B8374" s="405" t="s">
        <v>27518</v>
      </c>
      <c r="C8374" s="405" t="s">
        <v>327</v>
      </c>
      <c r="D8374" s="405"/>
      <c r="E8374" s="410">
        <v>40728</v>
      </c>
      <c r="F8374" s="410">
        <v>40773</v>
      </c>
      <c r="G8374" s="405" t="s">
        <v>20158</v>
      </c>
      <c r="H8374" s="405">
        <v>782156294</v>
      </c>
      <c r="I8374" s="405"/>
      <c r="J8374" s="405">
        <v>-0.52156400000000003</v>
      </c>
      <c r="K8374" s="405">
        <v>30.083891999999999</v>
      </c>
      <c r="L8374" s="405" t="s">
        <v>590</v>
      </c>
      <c r="M8374" s="405" t="s">
        <v>19625</v>
      </c>
      <c r="N8374" s="405" t="s">
        <v>19642</v>
      </c>
      <c r="O8374" s="405" t="s">
        <v>19639</v>
      </c>
      <c r="P8374" s="405" t="s">
        <v>19797</v>
      </c>
      <c r="Q8374" s="411">
        <v>6</v>
      </c>
      <c r="R8374" s="405" t="s">
        <v>883</v>
      </c>
      <c r="S8374" s="405" t="s">
        <v>27173</v>
      </c>
      <c r="T8374" s="405" t="s">
        <v>32102</v>
      </c>
      <c r="U8374" s="405" t="s">
        <v>319</v>
      </c>
    </row>
    <row r="8375" spans="1:21" hidden="1" x14ac:dyDescent="0.25">
      <c r="A8375" s="405" t="s">
        <v>310</v>
      </c>
      <c r="B8375" s="405" t="s">
        <v>28490</v>
      </c>
      <c r="C8375" s="405" t="s">
        <v>857</v>
      </c>
      <c r="D8375" s="405" t="s">
        <v>33104</v>
      </c>
      <c r="E8375" s="410">
        <v>40727</v>
      </c>
      <c r="F8375" s="410">
        <v>40772</v>
      </c>
      <c r="G8375" s="405" t="s">
        <v>2123</v>
      </c>
      <c r="H8375" s="405">
        <v>778514073</v>
      </c>
      <c r="I8375" s="405">
        <v>753946612</v>
      </c>
      <c r="J8375" s="405">
        <v>6.9614999999999996E-2</v>
      </c>
      <c r="K8375" s="405">
        <v>32.077288333333328</v>
      </c>
      <c r="L8375" s="405" t="s">
        <v>314</v>
      </c>
      <c r="M8375" s="405" t="s">
        <v>321</v>
      </c>
      <c r="N8375" s="405" t="s">
        <v>322</v>
      </c>
      <c r="O8375" s="405" t="s">
        <v>476</v>
      </c>
      <c r="P8375" s="405" t="s">
        <v>2124</v>
      </c>
      <c r="Q8375" s="411">
        <v>6</v>
      </c>
      <c r="R8375" s="405" t="s">
        <v>1623</v>
      </c>
      <c r="S8375" s="405" t="s">
        <v>27173</v>
      </c>
      <c r="T8375" s="405" t="s">
        <v>32102</v>
      </c>
      <c r="U8375" s="405" t="s">
        <v>319</v>
      </c>
    </row>
    <row r="8376" spans="1:21" hidden="1" x14ac:dyDescent="0.25">
      <c r="A8376" s="405" t="s">
        <v>310</v>
      </c>
      <c r="B8376" s="405" t="s">
        <v>10471</v>
      </c>
      <c r="C8376" s="405" t="s">
        <v>327</v>
      </c>
      <c r="D8376" s="405"/>
      <c r="E8376" s="410">
        <v>40727</v>
      </c>
      <c r="F8376" s="410">
        <v>40772</v>
      </c>
      <c r="G8376" s="405" t="s">
        <v>10472</v>
      </c>
      <c r="H8376" s="405">
        <v>782803566</v>
      </c>
      <c r="I8376" s="405"/>
      <c r="J8376" s="405">
        <v>0.61554759999999997</v>
      </c>
      <c r="K8376" s="405">
        <v>33.4786225</v>
      </c>
      <c r="L8376" s="405" t="s">
        <v>6866</v>
      </c>
      <c r="M8376" s="405" t="s">
        <v>9590</v>
      </c>
      <c r="N8376" s="405" t="s">
        <v>9591</v>
      </c>
      <c r="O8376" s="405" t="s">
        <v>10473</v>
      </c>
      <c r="P8376" s="405" t="s">
        <v>10474</v>
      </c>
      <c r="Q8376" s="411">
        <v>6</v>
      </c>
      <c r="R8376" s="405" t="s">
        <v>318</v>
      </c>
      <c r="S8376" s="405" t="s">
        <v>27135</v>
      </c>
      <c r="T8376" s="405" t="s">
        <v>32102</v>
      </c>
      <c r="U8376" s="405" t="s">
        <v>319</v>
      </c>
    </row>
    <row r="8377" spans="1:21" hidden="1" x14ac:dyDescent="0.25">
      <c r="A8377" s="405" t="s">
        <v>310</v>
      </c>
      <c r="B8377" s="405" t="s">
        <v>10437</v>
      </c>
      <c r="C8377" s="405" t="s">
        <v>327</v>
      </c>
      <c r="D8377" s="405"/>
      <c r="E8377" s="410">
        <v>40726</v>
      </c>
      <c r="F8377" s="410">
        <v>40771</v>
      </c>
      <c r="G8377" s="405" t="s">
        <v>10438</v>
      </c>
      <c r="H8377" s="405">
        <v>774773423</v>
      </c>
      <c r="I8377" s="405"/>
      <c r="J8377" s="405">
        <v>1.283175</v>
      </c>
      <c r="K8377" s="405">
        <v>33.916400000000003</v>
      </c>
      <c r="L8377" s="405" t="s">
        <v>6866</v>
      </c>
      <c r="M8377" s="405" t="s">
        <v>10029</v>
      </c>
      <c r="N8377" s="405" t="s">
        <v>10260</v>
      </c>
      <c r="O8377" s="405" t="s">
        <v>10261</v>
      </c>
      <c r="P8377" s="405" t="s">
        <v>10439</v>
      </c>
      <c r="Q8377" s="411">
        <v>6</v>
      </c>
      <c r="R8377" s="405" t="s">
        <v>7224</v>
      </c>
      <c r="S8377" s="405" t="s">
        <v>27306</v>
      </c>
      <c r="T8377" s="405" t="s">
        <v>32102</v>
      </c>
      <c r="U8377" s="405" t="s">
        <v>319</v>
      </c>
    </row>
    <row r="8378" spans="1:21" hidden="1" x14ac:dyDescent="0.25">
      <c r="A8378" s="405" t="s">
        <v>310</v>
      </c>
      <c r="B8378" s="405" t="s">
        <v>10846</v>
      </c>
      <c r="C8378" s="405" t="s">
        <v>311</v>
      </c>
      <c r="D8378" s="405" t="s">
        <v>1789</v>
      </c>
      <c r="E8378" s="410">
        <v>40725</v>
      </c>
      <c r="F8378" s="410">
        <v>40770</v>
      </c>
      <c r="G8378" s="405" t="s">
        <v>10847</v>
      </c>
      <c r="H8378" s="405">
        <v>789416717</v>
      </c>
      <c r="I8378" s="405"/>
      <c r="J8378" s="405">
        <v>1.573887</v>
      </c>
      <c r="K8378" s="405">
        <v>33.802847999999997</v>
      </c>
      <c r="L8378" s="405" t="s">
        <v>6866</v>
      </c>
      <c r="M8378" s="405" t="s">
        <v>10012</v>
      </c>
      <c r="N8378" s="405" t="s">
        <v>10012</v>
      </c>
      <c r="O8378" s="405" t="s">
        <v>10267</v>
      </c>
      <c r="P8378" s="405" t="s">
        <v>10848</v>
      </c>
      <c r="Q8378" s="411">
        <v>6</v>
      </c>
      <c r="R8378" s="405" t="s">
        <v>7224</v>
      </c>
      <c r="S8378" s="405" t="s">
        <v>17062</v>
      </c>
      <c r="T8378" s="405" t="s">
        <v>32102</v>
      </c>
      <c r="U8378" s="405" t="s">
        <v>319</v>
      </c>
    </row>
    <row r="8379" spans="1:21" hidden="1" x14ac:dyDescent="0.25">
      <c r="A8379" s="405" t="s">
        <v>310</v>
      </c>
      <c r="B8379" s="405" t="s">
        <v>10420</v>
      </c>
      <c r="C8379" s="405" t="s">
        <v>327</v>
      </c>
      <c r="D8379" s="405"/>
      <c r="E8379" s="410">
        <v>40725</v>
      </c>
      <c r="F8379" s="410">
        <v>40770</v>
      </c>
      <c r="G8379" s="405" t="s">
        <v>10421</v>
      </c>
      <c r="H8379" s="405">
        <v>774131800</v>
      </c>
      <c r="I8379" s="405"/>
      <c r="J8379" s="405">
        <v>1.5496479999999999</v>
      </c>
      <c r="K8379" s="405">
        <v>33.760278</v>
      </c>
      <c r="L8379" s="405" t="s">
        <v>6866</v>
      </c>
      <c r="M8379" s="405" t="s">
        <v>10012</v>
      </c>
      <c r="N8379" s="405" t="s">
        <v>10012</v>
      </c>
      <c r="O8379" s="405" t="s">
        <v>10267</v>
      </c>
      <c r="P8379" s="405" t="s">
        <v>10268</v>
      </c>
      <c r="Q8379" s="411">
        <v>6</v>
      </c>
      <c r="R8379" s="405" t="s">
        <v>9541</v>
      </c>
      <c r="S8379" s="405" t="s">
        <v>27302</v>
      </c>
      <c r="T8379" s="405" t="s">
        <v>32102</v>
      </c>
      <c r="U8379" s="405" t="s">
        <v>319</v>
      </c>
    </row>
    <row r="8380" spans="1:21" hidden="1" x14ac:dyDescent="0.25">
      <c r="A8380" s="405" t="s">
        <v>310</v>
      </c>
      <c r="B8380" s="405" t="s">
        <v>28931</v>
      </c>
      <c r="C8380" s="405" t="s">
        <v>311</v>
      </c>
      <c r="D8380" s="405" t="s">
        <v>2127</v>
      </c>
      <c r="E8380" s="410">
        <v>40724</v>
      </c>
      <c r="F8380" s="410">
        <v>40769</v>
      </c>
      <c r="G8380" s="405" t="s">
        <v>2128</v>
      </c>
      <c r="H8380" s="405">
        <v>772589211</v>
      </c>
      <c r="I8380" s="405">
        <v>776976903</v>
      </c>
      <c r="J8380" s="405">
        <v>0.43157000000000001</v>
      </c>
      <c r="K8380" s="405">
        <v>32.569215</v>
      </c>
      <c r="L8380" s="405" t="s">
        <v>314</v>
      </c>
      <c r="M8380" s="405" t="s">
        <v>361</v>
      </c>
      <c r="N8380" s="405" t="s">
        <v>362</v>
      </c>
      <c r="O8380" s="405" t="s">
        <v>1365</v>
      </c>
      <c r="P8380" s="405" t="s">
        <v>1236</v>
      </c>
      <c r="Q8380" s="411">
        <v>12</v>
      </c>
      <c r="R8380" s="405" t="s">
        <v>318</v>
      </c>
      <c r="S8380" s="405" t="s">
        <v>27149</v>
      </c>
      <c r="T8380" s="405" t="s">
        <v>32102</v>
      </c>
      <c r="U8380" s="405" t="s">
        <v>319</v>
      </c>
    </row>
    <row r="8381" spans="1:21" hidden="1" x14ac:dyDescent="0.25">
      <c r="A8381" s="405" t="s">
        <v>310</v>
      </c>
      <c r="B8381" s="405" t="s">
        <v>2148</v>
      </c>
      <c r="C8381" s="405" t="s">
        <v>311</v>
      </c>
      <c r="D8381" s="405" t="s">
        <v>839</v>
      </c>
      <c r="E8381" s="410">
        <v>40724</v>
      </c>
      <c r="F8381" s="410">
        <v>40769</v>
      </c>
      <c r="G8381" s="405" t="s">
        <v>2149</v>
      </c>
      <c r="H8381" s="405">
        <v>782545000</v>
      </c>
      <c r="I8381" s="405"/>
      <c r="J8381" s="405">
        <v>0.385542</v>
      </c>
      <c r="K8381" s="405">
        <v>32.597327999999997</v>
      </c>
      <c r="L8381" s="405" t="s">
        <v>314</v>
      </c>
      <c r="M8381" s="405" t="s">
        <v>992</v>
      </c>
      <c r="N8381" s="405" t="s">
        <v>987</v>
      </c>
      <c r="O8381" s="405" t="s">
        <v>937</v>
      </c>
      <c r="P8381" s="405" t="s">
        <v>993</v>
      </c>
      <c r="Q8381" s="411">
        <v>12</v>
      </c>
      <c r="R8381" s="405" t="s">
        <v>1527</v>
      </c>
      <c r="S8381" s="405" t="s">
        <v>27132</v>
      </c>
      <c r="T8381" s="405" t="s">
        <v>32102</v>
      </c>
      <c r="U8381" s="405" t="s">
        <v>319</v>
      </c>
    </row>
    <row r="8382" spans="1:21" hidden="1" x14ac:dyDescent="0.25">
      <c r="A8382" s="405" t="s">
        <v>310</v>
      </c>
      <c r="B8382" s="405" t="s">
        <v>20162</v>
      </c>
      <c r="C8382" s="405" t="s">
        <v>327</v>
      </c>
      <c r="D8382" s="405"/>
      <c r="E8382" s="410">
        <v>40724</v>
      </c>
      <c r="F8382" s="410">
        <v>40769</v>
      </c>
      <c r="G8382" s="405" t="s">
        <v>20163</v>
      </c>
      <c r="H8382" s="405">
        <v>782521741</v>
      </c>
      <c r="I8382" s="405"/>
      <c r="J8382" s="405">
        <v>-7.1072999999999997E-2</v>
      </c>
      <c r="K8382" s="405">
        <v>30.710165</v>
      </c>
      <c r="L8382" s="405" t="s">
        <v>590</v>
      </c>
      <c r="M8382" s="405" t="s">
        <v>19705</v>
      </c>
      <c r="N8382" s="405" t="s">
        <v>2250</v>
      </c>
      <c r="O8382" s="405" t="s">
        <v>2250</v>
      </c>
      <c r="P8382" s="405" t="s">
        <v>20164</v>
      </c>
      <c r="Q8382" s="411">
        <v>12</v>
      </c>
      <c r="R8382" s="405" t="s">
        <v>874</v>
      </c>
      <c r="S8382" s="405" t="s">
        <v>27163</v>
      </c>
      <c r="T8382" s="405" t="s">
        <v>32102</v>
      </c>
      <c r="U8382" s="405" t="s">
        <v>319</v>
      </c>
    </row>
    <row r="8383" spans="1:21" hidden="1" x14ac:dyDescent="0.25">
      <c r="A8383" s="405" t="s">
        <v>310</v>
      </c>
      <c r="B8383" s="405" t="s">
        <v>1689</v>
      </c>
      <c r="C8383" s="405" t="s">
        <v>327</v>
      </c>
      <c r="D8383" s="405"/>
      <c r="E8383" s="410">
        <v>40724</v>
      </c>
      <c r="F8383" s="410">
        <v>40769</v>
      </c>
      <c r="G8383" s="405" t="s">
        <v>1690</v>
      </c>
      <c r="H8383" s="405">
        <v>782000266</v>
      </c>
      <c r="I8383" s="405">
        <v>782737159</v>
      </c>
      <c r="J8383" s="405">
        <v>0.31190200000000001</v>
      </c>
      <c r="K8383" s="405">
        <v>32.506504999999997</v>
      </c>
      <c r="L8383" s="405" t="s">
        <v>314</v>
      </c>
      <c r="M8383" s="405" t="s">
        <v>361</v>
      </c>
      <c r="N8383" s="405" t="s">
        <v>374</v>
      </c>
      <c r="O8383" s="405" t="s">
        <v>361</v>
      </c>
      <c r="P8383" s="405" t="s">
        <v>516</v>
      </c>
      <c r="Q8383" s="411">
        <v>12</v>
      </c>
      <c r="R8383" s="405" t="s">
        <v>318</v>
      </c>
      <c r="S8383" s="405" t="s">
        <v>27035</v>
      </c>
      <c r="T8383" s="405" t="s">
        <v>32102</v>
      </c>
      <c r="U8383" s="405" t="s">
        <v>319</v>
      </c>
    </row>
    <row r="8384" spans="1:21" hidden="1" x14ac:dyDescent="0.25">
      <c r="A8384" s="405" t="s">
        <v>310</v>
      </c>
      <c r="B8384" s="405" t="s">
        <v>28939</v>
      </c>
      <c r="C8384" s="405" t="s">
        <v>327</v>
      </c>
      <c r="D8384" s="405"/>
      <c r="E8384" s="410">
        <v>40724</v>
      </c>
      <c r="F8384" s="410">
        <v>40769</v>
      </c>
      <c r="G8384" s="405" t="s">
        <v>1646</v>
      </c>
      <c r="H8384" s="405">
        <v>705336478</v>
      </c>
      <c r="I8384" s="405"/>
      <c r="J8384" s="405">
        <v>0.36483833333333332</v>
      </c>
      <c r="K8384" s="405">
        <v>32.607838333333333</v>
      </c>
      <c r="L8384" s="405" t="s">
        <v>314</v>
      </c>
      <c r="M8384" s="405" t="s">
        <v>361</v>
      </c>
      <c r="N8384" s="405" t="s">
        <v>362</v>
      </c>
      <c r="O8384" s="405" t="s">
        <v>379</v>
      </c>
      <c r="P8384" s="405" t="s">
        <v>1647</v>
      </c>
      <c r="Q8384" s="411">
        <v>12</v>
      </c>
      <c r="R8384" s="405" t="s">
        <v>353</v>
      </c>
      <c r="S8384" s="405" t="s">
        <v>27153</v>
      </c>
      <c r="T8384" s="405" t="s">
        <v>32102</v>
      </c>
      <c r="U8384" s="405" t="s">
        <v>319</v>
      </c>
    </row>
    <row r="8385" spans="1:21" hidden="1" x14ac:dyDescent="0.25">
      <c r="A8385" s="405" t="s">
        <v>310</v>
      </c>
      <c r="B8385" s="405" t="s">
        <v>28263</v>
      </c>
      <c r="C8385" s="405" t="s">
        <v>327</v>
      </c>
      <c r="D8385" s="405"/>
      <c r="E8385" s="410">
        <v>40724</v>
      </c>
      <c r="F8385" s="410">
        <v>40769</v>
      </c>
      <c r="G8385" s="405" t="s">
        <v>1691</v>
      </c>
      <c r="H8385" s="405">
        <v>782610285</v>
      </c>
      <c r="I8385" s="405"/>
      <c r="J8385" s="405">
        <v>0.77569999999999995</v>
      </c>
      <c r="K8385" s="405">
        <v>32.742277999999999</v>
      </c>
      <c r="L8385" s="405" t="s">
        <v>314</v>
      </c>
      <c r="M8385" s="405" t="s">
        <v>959</v>
      </c>
      <c r="N8385" s="405" t="s">
        <v>1308</v>
      </c>
      <c r="O8385" s="405" t="s">
        <v>960</v>
      </c>
      <c r="P8385" s="405" t="s">
        <v>1692</v>
      </c>
      <c r="Q8385" s="411">
        <v>9</v>
      </c>
      <c r="R8385" s="405" t="s">
        <v>1263</v>
      </c>
      <c r="S8385" s="405" t="s">
        <v>27036</v>
      </c>
      <c r="T8385" s="405" t="s">
        <v>32102</v>
      </c>
      <c r="U8385" s="405" t="s">
        <v>319</v>
      </c>
    </row>
    <row r="8386" spans="1:21" hidden="1" x14ac:dyDescent="0.25">
      <c r="A8386" s="405" t="s">
        <v>310</v>
      </c>
      <c r="B8386" s="405" t="s">
        <v>1684</v>
      </c>
      <c r="C8386" s="405" t="s">
        <v>327</v>
      </c>
      <c r="D8386" s="405"/>
      <c r="E8386" s="410">
        <v>40724</v>
      </c>
      <c r="F8386" s="410">
        <v>40769</v>
      </c>
      <c r="G8386" s="405" t="s">
        <v>1685</v>
      </c>
      <c r="H8386" s="405">
        <v>772388146</v>
      </c>
      <c r="I8386" s="405"/>
      <c r="J8386" s="405">
        <v>0.53266999999999998</v>
      </c>
      <c r="K8386" s="405">
        <v>32.554147</v>
      </c>
      <c r="L8386" s="405" t="s">
        <v>314</v>
      </c>
      <c r="M8386" s="405" t="s">
        <v>361</v>
      </c>
      <c r="N8386" s="405" t="s">
        <v>362</v>
      </c>
      <c r="O8386" s="405" t="s">
        <v>433</v>
      </c>
      <c r="P8386" s="405" t="s">
        <v>1686</v>
      </c>
      <c r="Q8386" s="411">
        <v>9</v>
      </c>
      <c r="R8386" s="405" t="s">
        <v>353</v>
      </c>
      <c r="S8386" s="405" t="s">
        <v>27153</v>
      </c>
      <c r="T8386" s="405" t="s">
        <v>32102</v>
      </c>
      <c r="U8386" s="405" t="s">
        <v>319</v>
      </c>
    </row>
    <row r="8387" spans="1:21" hidden="1" x14ac:dyDescent="0.25">
      <c r="A8387" s="405" t="s">
        <v>310</v>
      </c>
      <c r="B8387" s="405" t="s">
        <v>1722</v>
      </c>
      <c r="C8387" s="405" t="s">
        <v>327</v>
      </c>
      <c r="D8387" s="405"/>
      <c r="E8387" s="410">
        <v>40724</v>
      </c>
      <c r="F8387" s="410">
        <v>40769</v>
      </c>
      <c r="G8387" s="405" t="s">
        <v>1723</v>
      </c>
      <c r="H8387" s="405">
        <v>751816024</v>
      </c>
      <c r="I8387" s="405"/>
      <c r="J8387" s="405">
        <v>0.40010000000000001</v>
      </c>
      <c r="K8387" s="405">
        <v>32.547643000000001</v>
      </c>
      <c r="L8387" s="405" t="s">
        <v>314</v>
      </c>
      <c r="M8387" s="405" t="s">
        <v>361</v>
      </c>
      <c r="N8387" s="405" t="s">
        <v>362</v>
      </c>
      <c r="O8387" s="405" t="s">
        <v>469</v>
      </c>
      <c r="P8387" s="405" t="s">
        <v>1724</v>
      </c>
      <c r="Q8387" s="411">
        <v>9</v>
      </c>
      <c r="R8387" s="405" t="s">
        <v>994</v>
      </c>
      <c r="S8387" s="405" t="s">
        <v>27162</v>
      </c>
      <c r="T8387" s="405" t="s">
        <v>32102</v>
      </c>
      <c r="U8387" s="405" t="s">
        <v>319</v>
      </c>
    </row>
    <row r="8388" spans="1:21" hidden="1" x14ac:dyDescent="0.25">
      <c r="A8388" s="405" t="s">
        <v>310</v>
      </c>
      <c r="B8388" s="405" t="s">
        <v>28076</v>
      </c>
      <c r="C8388" s="405" t="s">
        <v>327</v>
      </c>
      <c r="D8388" s="405"/>
      <c r="E8388" s="410">
        <v>40724</v>
      </c>
      <c r="F8388" s="410">
        <v>40769</v>
      </c>
      <c r="G8388" s="405" t="s">
        <v>1644</v>
      </c>
      <c r="H8388" s="405">
        <v>774056066</v>
      </c>
      <c r="I8388" s="405"/>
      <c r="J8388" s="405">
        <v>0.33132333333333336</v>
      </c>
      <c r="K8388" s="405">
        <v>32.675668333333334</v>
      </c>
      <c r="L8388" s="405" t="s">
        <v>314</v>
      </c>
      <c r="M8388" s="405" t="s">
        <v>361</v>
      </c>
      <c r="N8388" s="405" t="s">
        <v>362</v>
      </c>
      <c r="O8388" s="405" t="s">
        <v>498</v>
      </c>
      <c r="P8388" s="405" t="s">
        <v>499</v>
      </c>
      <c r="Q8388" s="411">
        <v>9</v>
      </c>
      <c r="R8388" s="405" t="s">
        <v>318</v>
      </c>
      <c r="S8388" s="405" t="s">
        <v>27137</v>
      </c>
      <c r="T8388" s="405" t="s">
        <v>32102</v>
      </c>
      <c r="U8388" s="405" t="s">
        <v>319</v>
      </c>
    </row>
    <row r="8389" spans="1:21" hidden="1" x14ac:dyDescent="0.25">
      <c r="A8389" s="405" t="s">
        <v>310</v>
      </c>
      <c r="B8389" s="405" t="s">
        <v>27887</v>
      </c>
      <c r="C8389" s="405" t="s">
        <v>327</v>
      </c>
      <c r="D8389" s="405"/>
      <c r="E8389" s="410">
        <v>40724</v>
      </c>
      <c r="F8389" s="410">
        <v>40769</v>
      </c>
      <c r="G8389" s="405" t="s">
        <v>1681</v>
      </c>
      <c r="H8389" s="405">
        <v>772523972</v>
      </c>
      <c r="I8389" s="405"/>
      <c r="J8389" s="405">
        <v>8.0123E-2</v>
      </c>
      <c r="K8389" s="405">
        <v>32.513064999999997</v>
      </c>
      <c r="L8389" s="405" t="s">
        <v>314</v>
      </c>
      <c r="M8389" s="405" t="s">
        <v>361</v>
      </c>
      <c r="N8389" s="405" t="s">
        <v>1682</v>
      </c>
      <c r="O8389" s="405" t="s">
        <v>638</v>
      </c>
      <c r="P8389" s="405" t="s">
        <v>1683</v>
      </c>
      <c r="Q8389" s="411">
        <v>6</v>
      </c>
      <c r="R8389" s="405" t="s">
        <v>318</v>
      </c>
      <c r="S8389" s="405" t="s">
        <v>27110</v>
      </c>
      <c r="T8389" s="405" t="s">
        <v>32102</v>
      </c>
      <c r="U8389" s="405" t="s">
        <v>319</v>
      </c>
    </row>
    <row r="8390" spans="1:21" hidden="1" x14ac:dyDescent="0.25">
      <c r="A8390" s="405" t="s">
        <v>310</v>
      </c>
      <c r="B8390" s="405" t="s">
        <v>28202</v>
      </c>
      <c r="C8390" s="405" t="s">
        <v>327</v>
      </c>
      <c r="D8390" s="405"/>
      <c r="E8390" s="410">
        <v>40724</v>
      </c>
      <c r="F8390" s="410">
        <v>40769</v>
      </c>
      <c r="G8390" s="405" t="s">
        <v>10400</v>
      </c>
      <c r="H8390" s="405">
        <v>775488025</v>
      </c>
      <c r="I8390" s="405"/>
      <c r="J8390" s="405">
        <v>1.358662</v>
      </c>
      <c r="K8390" s="405">
        <v>34.41778</v>
      </c>
      <c r="L8390" s="405" t="s">
        <v>6866</v>
      </c>
      <c r="M8390" s="405" t="s">
        <v>9685</v>
      </c>
      <c r="N8390" s="405" t="s">
        <v>9686</v>
      </c>
      <c r="O8390" s="405" t="s">
        <v>9687</v>
      </c>
      <c r="P8390" s="405" t="s">
        <v>10401</v>
      </c>
      <c r="Q8390" s="411">
        <v>6</v>
      </c>
      <c r="R8390" s="405" t="s">
        <v>9541</v>
      </c>
      <c r="S8390" s="405" t="s">
        <v>27302</v>
      </c>
      <c r="T8390" s="405" t="s">
        <v>32102</v>
      </c>
      <c r="U8390" s="405" t="s">
        <v>319</v>
      </c>
    </row>
    <row r="8391" spans="1:21" hidden="1" x14ac:dyDescent="0.25">
      <c r="A8391" s="405" t="s">
        <v>310</v>
      </c>
      <c r="B8391" s="405" t="s">
        <v>28912</v>
      </c>
      <c r="C8391" s="405" t="s">
        <v>327</v>
      </c>
      <c r="D8391" s="405"/>
      <c r="E8391" s="410">
        <v>40724</v>
      </c>
      <c r="F8391" s="410">
        <v>40769</v>
      </c>
      <c r="G8391" s="405" t="s">
        <v>1669</v>
      </c>
      <c r="H8391" s="405">
        <v>752688890</v>
      </c>
      <c r="I8391" s="405"/>
      <c r="J8391" s="405">
        <v>0.50285299999999999</v>
      </c>
      <c r="K8391" s="405">
        <v>32.393386999999997</v>
      </c>
      <c r="L8391" s="405" t="s">
        <v>314</v>
      </c>
      <c r="M8391" s="405" t="s">
        <v>361</v>
      </c>
      <c r="N8391" s="405" t="s">
        <v>374</v>
      </c>
      <c r="O8391" s="405" t="s">
        <v>427</v>
      </c>
      <c r="P8391" s="405" t="s">
        <v>1670</v>
      </c>
      <c r="Q8391" s="411">
        <v>6</v>
      </c>
      <c r="R8391" s="405" t="s">
        <v>567</v>
      </c>
      <c r="S8391" s="405" t="s">
        <v>27146</v>
      </c>
      <c r="T8391" s="405" t="s">
        <v>32102</v>
      </c>
      <c r="U8391" s="405" t="s">
        <v>319</v>
      </c>
    </row>
    <row r="8392" spans="1:21" hidden="1" x14ac:dyDescent="0.25">
      <c r="A8392" s="405" t="s">
        <v>310</v>
      </c>
      <c r="B8392" s="405" t="s">
        <v>10413</v>
      </c>
      <c r="C8392" s="405" t="s">
        <v>327</v>
      </c>
      <c r="D8392" s="405"/>
      <c r="E8392" s="410">
        <v>40724</v>
      </c>
      <c r="F8392" s="410">
        <v>40769</v>
      </c>
      <c r="G8392" s="405" t="s">
        <v>10414</v>
      </c>
      <c r="H8392" s="405">
        <v>772608350</v>
      </c>
      <c r="I8392" s="405"/>
      <c r="J8392" s="405">
        <v>1.484154</v>
      </c>
      <c r="K8392" s="405">
        <v>33.923602000000002</v>
      </c>
      <c r="L8392" s="405" t="s">
        <v>6866</v>
      </c>
      <c r="M8392" s="405" t="s">
        <v>10029</v>
      </c>
      <c r="N8392" s="405" t="s">
        <v>10030</v>
      </c>
      <c r="O8392" s="405" t="s">
        <v>10031</v>
      </c>
      <c r="P8392" s="405" t="s">
        <v>10415</v>
      </c>
      <c r="Q8392" s="411">
        <v>6</v>
      </c>
      <c r="R8392" s="405" t="s">
        <v>333</v>
      </c>
      <c r="S8392" s="405" t="s">
        <v>27127</v>
      </c>
      <c r="T8392" s="405" t="s">
        <v>32102</v>
      </c>
      <c r="U8392" s="405" t="s">
        <v>319</v>
      </c>
    </row>
    <row r="8393" spans="1:21" hidden="1" x14ac:dyDescent="0.25">
      <c r="A8393" s="405" t="s">
        <v>310</v>
      </c>
      <c r="B8393" s="405" t="s">
        <v>1667</v>
      </c>
      <c r="C8393" s="405" t="s">
        <v>327</v>
      </c>
      <c r="D8393" s="405"/>
      <c r="E8393" s="410">
        <v>40724</v>
      </c>
      <c r="F8393" s="410">
        <v>40769</v>
      </c>
      <c r="G8393" s="405" t="s">
        <v>1668</v>
      </c>
      <c r="H8393" s="405">
        <v>772364547</v>
      </c>
      <c r="I8393" s="405"/>
      <c r="J8393" s="405">
        <v>0.51010200000000006</v>
      </c>
      <c r="K8393" s="405">
        <v>32.478369999999998</v>
      </c>
      <c r="L8393" s="405" t="s">
        <v>314</v>
      </c>
      <c r="M8393" s="405" t="s">
        <v>361</v>
      </c>
      <c r="N8393" s="405" t="s">
        <v>421</v>
      </c>
      <c r="O8393" s="405" t="s">
        <v>523</v>
      </c>
      <c r="P8393" s="405" t="s">
        <v>1296</v>
      </c>
      <c r="Q8393" s="411">
        <v>6</v>
      </c>
      <c r="R8393" s="405" t="s">
        <v>318</v>
      </c>
      <c r="S8393" s="405" t="s">
        <v>27148</v>
      </c>
      <c r="T8393" s="405" t="s">
        <v>32102</v>
      </c>
      <c r="U8393" s="405" t="s">
        <v>319</v>
      </c>
    </row>
    <row r="8394" spans="1:21" hidden="1" x14ac:dyDescent="0.25">
      <c r="A8394" s="405" t="s">
        <v>310</v>
      </c>
      <c r="B8394" s="405" t="s">
        <v>1678</v>
      </c>
      <c r="C8394" s="405" t="s">
        <v>857</v>
      </c>
      <c r="D8394" s="405" t="s">
        <v>33105</v>
      </c>
      <c r="E8394" s="410">
        <v>40724</v>
      </c>
      <c r="F8394" s="410">
        <v>40769</v>
      </c>
      <c r="G8394" s="405" t="s">
        <v>1679</v>
      </c>
      <c r="H8394" s="405">
        <v>782080614</v>
      </c>
      <c r="I8394" s="405"/>
      <c r="J8394" s="405">
        <v>0.768625</v>
      </c>
      <c r="K8394" s="405">
        <v>32.477460000000001</v>
      </c>
      <c r="L8394" s="405" t="s">
        <v>314</v>
      </c>
      <c r="M8394" s="405" t="s">
        <v>959</v>
      </c>
      <c r="N8394" s="405" t="s">
        <v>1094</v>
      </c>
      <c r="O8394" s="405" t="s">
        <v>1094</v>
      </c>
      <c r="P8394" s="405" t="s">
        <v>1680</v>
      </c>
      <c r="Q8394" s="411">
        <v>6</v>
      </c>
      <c r="R8394" s="405" t="s">
        <v>353</v>
      </c>
      <c r="S8394" s="405" t="s">
        <v>27120</v>
      </c>
      <c r="T8394" s="405" t="s">
        <v>32102</v>
      </c>
      <c r="U8394" s="405" t="s">
        <v>319</v>
      </c>
    </row>
    <row r="8395" spans="1:21" hidden="1" x14ac:dyDescent="0.25">
      <c r="A8395" s="405" t="s">
        <v>310</v>
      </c>
      <c r="B8395" s="405" t="s">
        <v>10425</v>
      </c>
      <c r="C8395" s="405" t="s">
        <v>327</v>
      </c>
      <c r="D8395" s="405"/>
      <c r="E8395" s="410">
        <v>40724</v>
      </c>
      <c r="F8395" s="410">
        <v>40769</v>
      </c>
      <c r="G8395" s="405" t="s">
        <v>10426</v>
      </c>
      <c r="H8395" s="405">
        <v>772626782</v>
      </c>
      <c r="I8395" s="405"/>
      <c r="J8395" s="405">
        <v>1.444852</v>
      </c>
      <c r="K8395" s="405">
        <v>33.905748000000003</v>
      </c>
      <c r="L8395" s="405" t="s">
        <v>6866</v>
      </c>
      <c r="M8395" s="405" t="s">
        <v>10029</v>
      </c>
      <c r="N8395" s="405" t="s">
        <v>10030</v>
      </c>
      <c r="O8395" s="405" t="s">
        <v>4793</v>
      </c>
      <c r="P8395" s="405" t="s">
        <v>10424</v>
      </c>
      <c r="Q8395" s="411">
        <v>6</v>
      </c>
      <c r="R8395" s="405" t="s">
        <v>9541</v>
      </c>
      <c r="S8395" s="405" t="s">
        <v>27086</v>
      </c>
      <c r="T8395" s="405" t="s">
        <v>32102</v>
      </c>
      <c r="U8395" s="405" t="s">
        <v>319</v>
      </c>
    </row>
    <row r="8396" spans="1:21" hidden="1" x14ac:dyDescent="0.25">
      <c r="A8396" s="405" t="s">
        <v>310</v>
      </c>
      <c r="B8396" s="405" t="s">
        <v>1696</v>
      </c>
      <c r="C8396" s="405" t="s">
        <v>327</v>
      </c>
      <c r="D8396" s="405"/>
      <c r="E8396" s="410">
        <v>40724</v>
      </c>
      <c r="F8396" s="410">
        <v>40769</v>
      </c>
      <c r="G8396" s="405" t="s">
        <v>1697</v>
      </c>
      <c r="H8396" s="405">
        <v>774236785</v>
      </c>
      <c r="I8396" s="405"/>
      <c r="J8396" s="405">
        <v>0.27114199999999999</v>
      </c>
      <c r="K8396" s="405">
        <v>32.871282000000001</v>
      </c>
      <c r="L8396" s="405" t="s">
        <v>314</v>
      </c>
      <c r="M8396" s="405" t="s">
        <v>329</v>
      </c>
      <c r="N8396" s="405" t="s">
        <v>803</v>
      </c>
      <c r="O8396" s="405" t="s">
        <v>653</v>
      </c>
      <c r="P8396" s="405" t="s">
        <v>1593</v>
      </c>
      <c r="Q8396" s="411">
        <v>6</v>
      </c>
      <c r="R8396" s="405" t="s">
        <v>353</v>
      </c>
      <c r="S8396" s="405" t="s">
        <v>27034</v>
      </c>
      <c r="T8396" s="405" t="s">
        <v>32102</v>
      </c>
      <c r="U8396" s="405" t="s">
        <v>319</v>
      </c>
    </row>
    <row r="8397" spans="1:21" hidden="1" x14ac:dyDescent="0.25">
      <c r="A8397" s="405" t="s">
        <v>310</v>
      </c>
      <c r="B8397" s="405" t="s">
        <v>1687</v>
      </c>
      <c r="C8397" s="405" t="s">
        <v>327</v>
      </c>
      <c r="D8397" s="405"/>
      <c r="E8397" s="410">
        <v>40724</v>
      </c>
      <c r="F8397" s="410">
        <v>40769</v>
      </c>
      <c r="G8397" s="405" t="s">
        <v>1688</v>
      </c>
      <c r="H8397" s="405">
        <v>777095890</v>
      </c>
      <c r="I8397" s="405"/>
      <c r="J8397" s="405">
        <v>0.31624200000000002</v>
      </c>
      <c r="K8397" s="405">
        <v>32.506749999999997</v>
      </c>
      <c r="L8397" s="405" t="s">
        <v>314</v>
      </c>
      <c r="M8397" s="405" t="s">
        <v>361</v>
      </c>
      <c r="N8397" s="405" t="s">
        <v>374</v>
      </c>
      <c r="O8397" s="405" t="s">
        <v>361</v>
      </c>
      <c r="P8397" s="405" t="s">
        <v>516</v>
      </c>
      <c r="Q8397" s="411">
        <v>6</v>
      </c>
      <c r="R8397" s="405" t="s">
        <v>318</v>
      </c>
      <c r="S8397" s="405" t="s">
        <v>27035</v>
      </c>
      <c r="T8397" s="405" t="s">
        <v>32102</v>
      </c>
      <c r="U8397" s="405" t="s">
        <v>319</v>
      </c>
    </row>
    <row r="8398" spans="1:21" hidden="1" x14ac:dyDescent="0.25">
      <c r="A8398" s="405" t="s">
        <v>310</v>
      </c>
      <c r="B8398" s="405" t="s">
        <v>1719</v>
      </c>
      <c r="C8398" s="405" t="s">
        <v>327</v>
      </c>
      <c r="D8398" s="405"/>
      <c r="E8398" s="410">
        <v>40724</v>
      </c>
      <c r="F8398" s="410">
        <v>40769</v>
      </c>
      <c r="G8398" s="405" t="s">
        <v>1720</v>
      </c>
      <c r="H8398" s="405">
        <v>772901272</v>
      </c>
      <c r="I8398" s="405"/>
      <c r="J8398" s="405">
        <v>0.25073800000000002</v>
      </c>
      <c r="K8398" s="405">
        <v>32.558717000000001</v>
      </c>
      <c r="L8398" s="405" t="s">
        <v>314</v>
      </c>
      <c r="M8398" s="405" t="s">
        <v>361</v>
      </c>
      <c r="N8398" s="405" t="s">
        <v>362</v>
      </c>
      <c r="O8398" s="405" t="s">
        <v>618</v>
      </c>
      <c r="P8398" s="405" t="s">
        <v>1721</v>
      </c>
      <c r="Q8398" s="411">
        <v>6</v>
      </c>
      <c r="R8398" s="405" t="s">
        <v>318</v>
      </c>
      <c r="S8398" s="405" t="s">
        <v>27137</v>
      </c>
      <c r="T8398" s="405" t="s">
        <v>32102</v>
      </c>
      <c r="U8398" s="405" t="s">
        <v>319</v>
      </c>
    </row>
    <row r="8399" spans="1:21" hidden="1" x14ac:dyDescent="0.25">
      <c r="A8399" s="405" t="s">
        <v>310</v>
      </c>
      <c r="B8399" s="405" t="s">
        <v>1676</v>
      </c>
      <c r="C8399" s="405" t="s">
        <v>327</v>
      </c>
      <c r="D8399" s="405"/>
      <c r="E8399" s="410">
        <v>40724</v>
      </c>
      <c r="F8399" s="410">
        <v>40769</v>
      </c>
      <c r="G8399" s="405" t="s">
        <v>1677</v>
      </c>
      <c r="H8399" s="405">
        <v>706329169</v>
      </c>
      <c r="I8399" s="405"/>
      <c r="J8399" s="405">
        <v>0.46134500000000001</v>
      </c>
      <c r="K8399" s="405">
        <v>32.606862999999997</v>
      </c>
      <c r="L8399" s="405" t="s">
        <v>314</v>
      </c>
      <c r="M8399" s="405" t="s">
        <v>361</v>
      </c>
      <c r="N8399" s="405" t="s">
        <v>362</v>
      </c>
      <c r="O8399" s="405" t="s">
        <v>410</v>
      </c>
      <c r="P8399" s="405" t="s">
        <v>424</v>
      </c>
      <c r="Q8399" s="411">
        <v>6</v>
      </c>
      <c r="R8399" s="405" t="s">
        <v>353</v>
      </c>
      <c r="S8399" s="405" t="s">
        <v>27120</v>
      </c>
      <c r="T8399" s="405" t="s">
        <v>32102</v>
      </c>
      <c r="U8399" s="405" t="s">
        <v>319</v>
      </c>
    </row>
    <row r="8400" spans="1:21" hidden="1" x14ac:dyDescent="0.25">
      <c r="A8400" s="405" t="s">
        <v>310</v>
      </c>
      <c r="B8400" s="405" t="s">
        <v>2195</v>
      </c>
      <c r="C8400" s="405" t="s">
        <v>311</v>
      </c>
      <c r="D8400" s="405" t="s">
        <v>839</v>
      </c>
      <c r="E8400" s="410">
        <v>40724</v>
      </c>
      <c r="F8400" s="410">
        <v>40769</v>
      </c>
      <c r="G8400" s="405" t="s">
        <v>2196</v>
      </c>
      <c r="H8400" s="405">
        <v>775562190</v>
      </c>
      <c r="I8400" s="405"/>
      <c r="J8400" s="405">
        <v>0.24490000000000001</v>
      </c>
      <c r="K8400" s="405">
        <v>32.602580000000003</v>
      </c>
      <c r="L8400" s="405" t="s">
        <v>314</v>
      </c>
      <c r="M8400" s="405" t="s">
        <v>361</v>
      </c>
      <c r="N8400" s="405" t="s">
        <v>362</v>
      </c>
      <c r="O8400" s="405" t="s">
        <v>618</v>
      </c>
      <c r="P8400" s="405" t="s">
        <v>2197</v>
      </c>
      <c r="Q8400" s="411">
        <v>6</v>
      </c>
      <c r="R8400" s="405" t="s">
        <v>994</v>
      </c>
      <c r="S8400" s="405" t="s">
        <v>27162</v>
      </c>
      <c r="T8400" s="405" t="s">
        <v>32102</v>
      </c>
      <c r="U8400" s="405" t="s">
        <v>319</v>
      </c>
    </row>
    <row r="8401" spans="1:21" hidden="1" x14ac:dyDescent="0.25">
      <c r="A8401" s="405" t="s">
        <v>310</v>
      </c>
      <c r="B8401" s="405" t="s">
        <v>28546</v>
      </c>
      <c r="C8401" s="405" t="s">
        <v>327</v>
      </c>
      <c r="D8401" s="405"/>
      <c r="E8401" s="410">
        <v>40724</v>
      </c>
      <c r="F8401" s="410">
        <v>40769</v>
      </c>
      <c r="G8401" s="405" t="s">
        <v>1636</v>
      </c>
      <c r="H8401" s="405">
        <v>775206878</v>
      </c>
      <c r="I8401" s="405"/>
      <c r="J8401" s="405">
        <v>0.391567</v>
      </c>
      <c r="K8401" s="405">
        <v>32.189534999999999</v>
      </c>
      <c r="L8401" s="405" t="s">
        <v>314</v>
      </c>
      <c r="M8401" s="405" t="s">
        <v>675</v>
      </c>
      <c r="N8401" s="405" t="s">
        <v>1065</v>
      </c>
      <c r="O8401" s="405" t="s">
        <v>1374</v>
      </c>
      <c r="P8401" s="405" t="s">
        <v>1634</v>
      </c>
      <c r="Q8401" s="411">
        <v>6</v>
      </c>
      <c r="R8401" s="405" t="s">
        <v>318</v>
      </c>
      <c r="S8401" s="405" t="s">
        <v>27125</v>
      </c>
      <c r="T8401" s="405" t="s">
        <v>32102</v>
      </c>
      <c r="U8401" s="405" t="s">
        <v>319</v>
      </c>
    </row>
    <row r="8402" spans="1:21" hidden="1" x14ac:dyDescent="0.25">
      <c r="A8402" s="405" t="s">
        <v>310</v>
      </c>
      <c r="B8402" s="405" t="s">
        <v>10422</v>
      </c>
      <c r="C8402" s="405" t="s">
        <v>327</v>
      </c>
      <c r="D8402" s="405"/>
      <c r="E8402" s="410">
        <v>40724</v>
      </c>
      <c r="F8402" s="410">
        <v>40769</v>
      </c>
      <c r="G8402" s="405" t="s">
        <v>10423</v>
      </c>
      <c r="H8402" s="405">
        <v>784966667</v>
      </c>
      <c r="I8402" s="405"/>
      <c r="J8402" s="405">
        <v>1.4842420000000001</v>
      </c>
      <c r="K8402" s="405">
        <v>33.923637999999997</v>
      </c>
      <c r="L8402" s="405" t="s">
        <v>6866</v>
      </c>
      <c r="M8402" s="405" t="s">
        <v>10029</v>
      </c>
      <c r="N8402" s="405" t="s">
        <v>10030</v>
      </c>
      <c r="O8402" s="405" t="s">
        <v>4793</v>
      </c>
      <c r="P8402" s="405" t="s">
        <v>10424</v>
      </c>
      <c r="Q8402" s="411">
        <v>6</v>
      </c>
      <c r="R8402" s="405" t="s">
        <v>9541</v>
      </c>
      <c r="S8402" s="405" t="s">
        <v>27320</v>
      </c>
      <c r="T8402" s="405" t="s">
        <v>32102</v>
      </c>
      <c r="U8402" s="405" t="s">
        <v>319</v>
      </c>
    </row>
    <row r="8403" spans="1:21" hidden="1" x14ac:dyDescent="0.25">
      <c r="A8403" s="405" t="s">
        <v>310</v>
      </c>
      <c r="B8403" s="405" t="s">
        <v>2146</v>
      </c>
      <c r="C8403" s="405" t="s">
        <v>311</v>
      </c>
      <c r="D8403" s="405" t="s">
        <v>839</v>
      </c>
      <c r="E8403" s="410">
        <v>40724</v>
      </c>
      <c r="F8403" s="410">
        <v>40769</v>
      </c>
      <c r="G8403" s="405" t="s">
        <v>2147</v>
      </c>
      <c r="H8403" s="405">
        <v>782504949</v>
      </c>
      <c r="I8403" s="405"/>
      <c r="J8403" s="405">
        <v>0.109708</v>
      </c>
      <c r="K8403" s="405">
        <v>32.518298000000001</v>
      </c>
      <c r="L8403" s="405" t="s">
        <v>314</v>
      </c>
      <c r="M8403" s="405" t="s">
        <v>361</v>
      </c>
      <c r="N8403" s="405" t="s">
        <v>638</v>
      </c>
      <c r="O8403" s="405" t="s">
        <v>374</v>
      </c>
      <c r="P8403" s="405" t="s">
        <v>638</v>
      </c>
      <c r="Q8403" s="411">
        <v>6</v>
      </c>
      <c r="R8403" s="405" t="s">
        <v>318</v>
      </c>
      <c r="S8403" s="405" t="s">
        <v>27137</v>
      </c>
      <c r="T8403" s="405" t="s">
        <v>32102</v>
      </c>
      <c r="U8403" s="405" t="s">
        <v>319</v>
      </c>
    </row>
    <row r="8404" spans="1:21" hidden="1" x14ac:dyDescent="0.25">
      <c r="A8404" s="405" t="s">
        <v>310</v>
      </c>
      <c r="B8404" s="405" t="s">
        <v>1693</v>
      </c>
      <c r="C8404" s="405" t="s">
        <v>327</v>
      </c>
      <c r="D8404" s="405"/>
      <c r="E8404" s="410">
        <v>40724</v>
      </c>
      <c r="F8404" s="410">
        <v>40769</v>
      </c>
      <c r="G8404" s="405" t="s">
        <v>1694</v>
      </c>
      <c r="H8404" s="405">
        <v>772379394</v>
      </c>
      <c r="I8404" s="405"/>
      <c r="J8404" s="405">
        <v>0.32875700000000002</v>
      </c>
      <c r="K8404" s="405">
        <v>32.504218000000002</v>
      </c>
      <c r="L8404" s="405" t="s">
        <v>314</v>
      </c>
      <c r="M8404" s="405" t="s">
        <v>361</v>
      </c>
      <c r="N8404" s="405" t="s">
        <v>374</v>
      </c>
      <c r="O8404" s="405" t="s">
        <v>361</v>
      </c>
      <c r="P8404" s="405" t="s">
        <v>1695</v>
      </c>
      <c r="Q8404" s="411">
        <v>6</v>
      </c>
      <c r="R8404" s="405" t="s">
        <v>353</v>
      </c>
      <c r="S8404" s="405" t="s">
        <v>27108</v>
      </c>
      <c r="T8404" s="405" t="s">
        <v>32102</v>
      </c>
      <c r="U8404" s="405" t="s">
        <v>319</v>
      </c>
    </row>
    <row r="8405" spans="1:21" hidden="1" x14ac:dyDescent="0.25">
      <c r="A8405" s="405" t="s">
        <v>310</v>
      </c>
      <c r="B8405" s="405" t="s">
        <v>1671</v>
      </c>
      <c r="C8405" s="405" t="s">
        <v>327</v>
      </c>
      <c r="D8405" s="405"/>
      <c r="E8405" s="410">
        <v>40724</v>
      </c>
      <c r="F8405" s="410">
        <v>40769</v>
      </c>
      <c r="G8405" s="405" t="s">
        <v>1672</v>
      </c>
      <c r="H8405" s="405">
        <v>772919986</v>
      </c>
      <c r="I8405" s="405"/>
      <c r="J8405" s="405">
        <v>0.57506800000000002</v>
      </c>
      <c r="K8405" s="405">
        <v>32.471462000000002</v>
      </c>
      <c r="L8405" s="405" t="s">
        <v>314</v>
      </c>
      <c r="M8405" s="405" t="s">
        <v>959</v>
      </c>
      <c r="N8405" s="405" t="s">
        <v>1673</v>
      </c>
      <c r="O8405" s="405" t="s">
        <v>1674</v>
      </c>
      <c r="P8405" s="405" t="s">
        <v>1675</v>
      </c>
      <c r="Q8405" s="411">
        <v>6</v>
      </c>
      <c r="R8405" s="405" t="s">
        <v>353</v>
      </c>
      <c r="S8405" s="405" t="s">
        <v>27153</v>
      </c>
      <c r="T8405" s="405" t="s">
        <v>32102</v>
      </c>
      <c r="U8405" s="405" t="s">
        <v>319</v>
      </c>
    </row>
    <row r="8406" spans="1:21" hidden="1" x14ac:dyDescent="0.25">
      <c r="A8406" s="405" t="s">
        <v>310</v>
      </c>
      <c r="B8406" s="405" t="s">
        <v>27972</v>
      </c>
      <c r="C8406" s="405" t="s">
        <v>327</v>
      </c>
      <c r="D8406" s="405"/>
      <c r="E8406" s="410">
        <v>40723</v>
      </c>
      <c r="F8406" s="410">
        <v>40768</v>
      </c>
      <c r="G8406" s="405" t="s">
        <v>1637</v>
      </c>
      <c r="H8406" s="405">
        <v>772381103</v>
      </c>
      <c r="I8406" s="405">
        <v>705747233</v>
      </c>
      <c r="J8406" s="405">
        <v>-0.31854969999999999</v>
      </c>
      <c r="K8406" s="405">
        <v>31.7603051</v>
      </c>
      <c r="L8406" s="405" t="s">
        <v>314</v>
      </c>
      <c r="M8406" s="405" t="s">
        <v>382</v>
      </c>
      <c r="N8406" s="405" t="s">
        <v>941</v>
      </c>
      <c r="O8406" s="405" t="s">
        <v>1638</v>
      </c>
      <c r="P8406" s="405" t="s">
        <v>1639</v>
      </c>
      <c r="Q8406" s="411">
        <v>6</v>
      </c>
      <c r="R8406" s="405" t="s">
        <v>353</v>
      </c>
      <c r="S8406" s="405" t="s">
        <v>27172</v>
      </c>
      <c r="T8406" s="405" t="s">
        <v>32102</v>
      </c>
      <c r="U8406" s="405" t="s">
        <v>319</v>
      </c>
    </row>
    <row r="8407" spans="1:21" hidden="1" x14ac:dyDescent="0.25">
      <c r="A8407" s="405" t="s">
        <v>310</v>
      </c>
      <c r="B8407" s="405" t="s">
        <v>20167</v>
      </c>
      <c r="C8407" s="405" t="s">
        <v>327</v>
      </c>
      <c r="D8407" s="405"/>
      <c r="E8407" s="410">
        <v>40722</v>
      </c>
      <c r="F8407" s="410">
        <v>40767</v>
      </c>
      <c r="G8407" s="405" t="s">
        <v>20168</v>
      </c>
      <c r="H8407" s="405">
        <v>776341805</v>
      </c>
      <c r="I8407" s="405">
        <v>752341805</v>
      </c>
      <c r="J8407" s="405">
        <v>-0.38153300000000001</v>
      </c>
      <c r="K8407" s="405">
        <v>30.545380999999999</v>
      </c>
      <c r="L8407" s="405" t="s">
        <v>590</v>
      </c>
      <c r="M8407" s="405" t="s">
        <v>19614</v>
      </c>
      <c r="N8407" s="405" t="s">
        <v>19615</v>
      </c>
      <c r="O8407" s="405" t="s">
        <v>20112</v>
      </c>
      <c r="P8407" s="405" t="s">
        <v>20169</v>
      </c>
      <c r="Q8407" s="411">
        <v>6</v>
      </c>
      <c r="R8407" s="405" t="s">
        <v>333</v>
      </c>
      <c r="S8407" s="405" t="s">
        <v>27104</v>
      </c>
      <c r="T8407" s="405" t="s">
        <v>32102</v>
      </c>
      <c r="U8407" s="405" t="s">
        <v>319</v>
      </c>
    </row>
    <row r="8408" spans="1:21" hidden="1" x14ac:dyDescent="0.25">
      <c r="A8408" s="405" t="s">
        <v>310</v>
      </c>
      <c r="B8408" s="405" t="s">
        <v>20397</v>
      </c>
      <c r="C8408" s="405" t="s">
        <v>311</v>
      </c>
      <c r="D8408" s="405" t="s">
        <v>839</v>
      </c>
      <c r="E8408" s="410">
        <v>40721</v>
      </c>
      <c r="F8408" s="410">
        <v>40766</v>
      </c>
      <c r="G8408" s="405" t="s">
        <v>20398</v>
      </c>
      <c r="H8408" s="405">
        <v>772529815</v>
      </c>
      <c r="I8408" s="405"/>
      <c r="J8408" s="405">
        <v>-1.010554</v>
      </c>
      <c r="K8408" s="405">
        <v>30.584524999999999</v>
      </c>
      <c r="L8408" s="405" t="s">
        <v>590</v>
      </c>
      <c r="M8408" s="405" t="s">
        <v>879</v>
      </c>
      <c r="N8408" s="405" t="s">
        <v>20023</v>
      </c>
      <c r="O8408" s="405" t="s">
        <v>20226</v>
      </c>
      <c r="P8408" s="405" t="s">
        <v>20399</v>
      </c>
      <c r="Q8408" s="411">
        <v>12</v>
      </c>
      <c r="R8408" s="405" t="s">
        <v>333</v>
      </c>
      <c r="S8408" s="405" t="s">
        <v>27183</v>
      </c>
      <c r="T8408" s="405" t="s">
        <v>32102</v>
      </c>
      <c r="U8408" s="405" t="s">
        <v>319</v>
      </c>
    </row>
    <row r="8409" spans="1:21" hidden="1" x14ac:dyDescent="0.25">
      <c r="A8409" s="405" t="s">
        <v>310</v>
      </c>
      <c r="B8409" s="405" t="s">
        <v>20210</v>
      </c>
      <c r="C8409" s="405" t="s">
        <v>327</v>
      </c>
      <c r="D8409" s="405"/>
      <c r="E8409" s="410">
        <v>40721</v>
      </c>
      <c r="F8409" s="410">
        <v>40766</v>
      </c>
      <c r="G8409" s="405" t="s">
        <v>20211</v>
      </c>
      <c r="H8409" s="405">
        <v>701690250</v>
      </c>
      <c r="I8409" s="405"/>
      <c r="J8409" s="405">
        <v>-0.62415600000000004</v>
      </c>
      <c r="K8409" s="405">
        <v>30.382809999999999</v>
      </c>
      <c r="L8409" s="405" t="s">
        <v>590</v>
      </c>
      <c r="M8409" s="405" t="s">
        <v>19725</v>
      </c>
      <c r="N8409" s="405" t="s">
        <v>19725</v>
      </c>
      <c r="O8409" s="405" t="s">
        <v>3283</v>
      </c>
      <c r="P8409" s="405" t="s">
        <v>20212</v>
      </c>
      <c r="Q8409" s="411">
        <v>6</v>
      </c>
      <c r="R8409" s="405" t="s">
        <v>1527</v>
      </c>
      <c r="S8409" s="405" t="s">
        <v>27161</v>
      </c>
      <c r="T8409" s="405" t="s">
        <v>32102</v>
      </c>
      <c r="U8409" s="405" t="s">
        <v>319</v>
      </c>
    </row>
    <row r="8410" spans="1:21" hidden="1" x14ac:dyDescent="0.25">
      <c r="A8410" s="405" t="s">
        <v>310</v>
      </c>
      <c r="B8410" s="405" t="s">
        <v>27622</v>
      </c>
      <c r="C8410" s="405" t="s">
        <v>327</v>
      </c>
      <c r="D8410" s="405"/>
      <c r="E8410" s="410">
        <v>40721</v>
      </c>
      <c r="F8410" s="410">
        <v>40766</v>
      </c>
      <c r="G8410" s="405" t="s">
        <v>20182</v>
      </c>
      <c r="H8410" s="405">
        <v>785200312</v>
      </c>
      <c r="I8410" s="405">
        <v>701284516</v>
      </c>
      <c r="J8410" s="405">
        <v>-0.70789100000000005</v>
      </c>
      <c r="K8410" s="405">
        <v>30.120857999999998</v>
      </c>
      <c r="L8410" s="405" t="s">
        <v>590</v>
      </c>
      <c r="M8410" s="405" t="s">
        <v>20032</v>
      </c>
      <c r="N8410" s="405" t="s">
        <v>20033</v>
      </c>
      <c r="O8410" s="405" t="s">
        <v>20183</v>
      </c>
      <c r="P8410" s="405" t="s">
        <v>20184</v>
      </c>
      <c r="Q8410" s="411">
        <v>6</v>
      </c>
      <c r="R8410" s="405" t="s">
        <v>333</v>
      </c>
      <c r="S8410" s="405" t="s">
        <v>27132</v>
      </c>
      <c r="T8410" s="405" t="s">
        <v>32102</v>
      </c>
      <c r="U8410" s="405" t="s">
        <v>319</v>
      </c>
    </row>
    <row r="8411" spans="1:21" hidden="1" x14ac:dyDescent="0.25">
      <c r="A8411" s="405" t="s">
        <v>310</v>
      </c>
      <c r="B8411" s="405" t="s">
        <v>28102</v>
      </c>
      <c r="C8411" s="405" t="s">
        <v>327</v>
      </c>
      <c r="D8411" s="405"/>
      <c r="E8411" s="410">
        <v>40721</v>
      </c>
      <c r="F8411" s="410">
        <v>40766</v>
      </c>
      <c r="G8411" s="405" t="s">
        <v>20185</v>
      </c>
      <c r="H8411" s="405">
        <v>784413904</v>
      </c>
      <c r="I8411" s="405"/>
      <c r="J8411" s="405">
        <v>-0.56822799999999996</v>
      </c>
      <c r="K8411" s="405">
        <v>30.559688999999999</v>
      </c>
      <c r="L8411" s="405" t="s">
        <v>590</v>
      </c>
      <c r="M8411" s="405" t="s">
        <v>19614</v>
      </c>
      <c r="N8411" s="405" t="s">
        <v>19615</v>
      </c>
      <c r="O8411" s="405" t="s">
        <v>20063</v>
      </c>
      <c r="P8411" s="405" t="s">
        <v>20186</v>
      </c>
      <c r="Q8411" s="411">
        <v>6</v>
      </c>
      <c r="R8411" s="405" t="s">
        <v>333</v>
      </c>
      <c r="S8411" s="405" t="s">
        <v>27129</v>
      </c>
      <c r="T8411" s="405" t="s">
        <v>32102</v>
      </c>
      <c r="U8411" s="405" t="s">
        <v>319</v>
      </c>
    </row>
    <row r="8412" spans="1:21" hidden="1" x14ac:dyDescent="0.25">
      <c r="A8412" s="405" t="s">
        <v>310</v>
      </c>
      <c r="B8412" s="405" t="s">
        <v>1648</v>
      </c>
      <c r="C8412" s="405" t="s">
        <v>327</v>
      </c>
      <c r="D8412" s="405"/>
      <c r="E8412" s="410">
        <v>40720</v>
      </c>
      <c r="F8412" s="410">
        <v>40765</v>
      </c>
      <c r="G8412" s="405" t="s">
        <v>1649</v>
      </c>
      <c r="H8412" s="405">
        <v>772479069</v>
      </c>
      <c r="I8412" s="405"/>
      <c r="J8412" s="405">
        <v>0.15789666666666669</v>
      </c>
      <c r="K8412" s="405">
        <v>32.323841666666667</v>
      </c>
      <c r="L8412" s="405" t="s">
        <v>314</v>
      </c>
      <c r="M8412" s="405" t="s">
        <v>321</v>
      </c>
      <c r="N8412" s="405" t="s">
        <v>322</v>
      </c>
      <c r="O8412" s="405" t="s">
        <v>996</v>
      </c>
      <c r="P8412" s="405" t="s">
        <v>1000</v>
      </c>
      <c r="Q8412" s="411">
        <v>13</v>
      </c>
      <c r="R8412" s="405" t="s">
        <v>567</v>
      </c>
      <c r="S8412" s="405" t="s">
        <v>27146</v>
      </c>
      <c r="T8412" s="405" t="s">
        <v>32102</v>
      </c>
      <c r="U8412" s="405" t="s">
        <v>319</v>
      </c>
    </row>
    <row r="8413" spans="1:21" hidden="1" x14ac:dyDescent="0.25">
      <c r="A8413" s="405" t="s">
        <v>310</v>
      </c>
      <c r="B8413" s="405" t="s">
        <v>1712</v>
      </c>
      <c r="C8413" s="405" t="s">
        <v>327</v>
      </c>
      <c r="D8413" s="405"/>
      <c r="E8413" s="410">
        <v>40720</v>
      </c>
      <c r="F8413" s="410">
        <v>40765</v>
      </c>
      <c r="G8413" s="405" t="s">
        <v>1713</v>
      </c>
      <c r="H8413" s="405">
        <v>779920963</v>
      </c>
      <c r="I8413" s="405"/>
      <c r="J8413" s="405">
        <v>0.53795700000000002</v>
      </c>
      <c r="K8413" s="405">
        <v>31.933843</v>
      </c>
      <c r="L8413" s="405" t="s">
        <v>314</v>
      </c>
      <c r="M8413" s="405" t="s">
        <v>675</v>
      </c>
      <c r="N8413" s="405" t="s">
        <v>675</v>
      </c>
      <c r="O8413" s="405" t="s">
        <v>1711</v>
      </c>
      <c r="P8413" s="405" t="s">
        <v>1714</v>
      </c>
      <c r="Q8413" s="411">
        <v>6</v>
      </c>
      <c r="R8413" s="405" t="s">
        <v>318</v>
      </c>
      <c r="S8413" s="405" t="s">
        <v>414</v>
      </c>
      <c r="T8413" s="405" t="s">
        <v>32102</v>
      </c>
      <c r="U8413" s="405" t="s">
        <v>319</v>
      </c>
    </row>
    <row r="8414" spans="1:21" hidden="1" x14ac:dyDescent="0.25">
      <c r="A8414" s="405" t="s">
        <v>310</v>
      </c>
      <c r="B8414" s="405" t="s">
        <v>20147</v>
      </c>
      <c r="C8414" s="405" t="s">
        <v>327</v>
      </c>
      <c r="D8414" s="405"/>
      <c r="E8414" s="410">
        <v>40719</v>
      </c>
      <c r="F8414" s="410">
        <v>40764</v>
      </c>
      <c r="G8414" s="405" t="s">
        <v>20148</v>
      </c>
      <c r="H8414" s="405">
        <v>775851694</v>
      </c>
      <c r="I8414" s="405">
        <v>777781462</v>
      </c>
      <c r="J8414" s="405">
        <v>-0.89669600000000005</v>
      </c>
      <c r="K8414" s="405">
        <v>30.622992</v>
      </c>
      <c r="L8414" s="405" t="s">
        <v>590</v>
      </c>
      <c r="M8414" s="405" t="s">
        <v>879</v>
      </c>
      <c r="N8414" s="405" t="s">
        <v>879</v>
      </c>
      <c r="O8414" s="405" t="s">
        <v>20024</v>
      </c>
      <c r="P8414" s="405" t="s">
        <v>20149</v>
      </c>
      <c r="Q8414" s="411">
        <v>6</v>
      </c>
      <c r="R8414" s="405" t="s">
        <v>333</v>
      </c>
      <c r="S8414" s="405" t="s">
        <v>27098</v>
      </c>
      <c r="T8414" s="405" t="s">
        <v>32102</v>
      </c>
      <c r="U8414" s="405" t="s">
        <v>319</v>
      </c>
    </row>
    <row r="8415" spans="1:21" hidden="1" x14ac:dyDescent="0.25">
      <c r="A8415" s="405" t="s">
        <v>310</v>
      </c>
      <c r="B8415" s="405" t="s">
        <v>1665</v>
      </c>
      <c r="C8415" s="405" t="s">
        <v>327</v>
      </c>
      <c r="D8415" s="405"/>
      <c r="E8415" s="410">
        <v>40719</v>
      </c>
      <c r="F8415" s="410">
        <v>40764</v>
      </c>
      <c r="G8415" s="405" t="s">
        <v>1666</v>
      </c>
      <c r="H8415" s="405">
        <v>772919961</v>
      </c>
      <c r="I8415" s="405">
        <v>772919961</v>
      </c>
      <c r="J8415" s="405">
        <v>0.27889999999999998</v>
      </c>
      <c r="K8415" s="405">
        <v>32.975974999999998</v>
      </c>
      <c r="L8415" s="405" t="s">
        <v>314</v>
      </c>
      <c r="M8415" s="405" t="s">
        <v>349</v>
      </c>
      <c r="N8415" s="405" t="s">
        <v>349</v>
      </c>
      <c r="O8415" s="405" t="s">
        <v>1446</v>
      </c>
      <c r="P8415" s="405" t="s">
        <v>931</v>
      </c>
      <c r="Q8415" s="411">
        <v>6</v>
      </c>
      <c r="R8415" s="405" t="s">
        <v>32478</v>
      </c>
      <c r="S8415" s="405" t="s">
        <v>27120</v>
      </c>
      <c r="T8415" s="405" t="s">
        <v>32102</v>
      </c>
      <c r="U8415" s="405" t="s">
        <v>319</v>
      </c>
    </row>
    <row r="8416" spans="1:21" hidden="1" x14ac:dyDescent="0.25">
      <c r="A8416" s="405" t="s">
        <v>310</v>
      </c>
      <c r="B8416" s="405" t="s">
        <v>10429</v>
      </c>
      <c r="C8416" s="405" t="s">
        <v>327</v>
      </c>
      <c r="D8416" s="405"/>
      <c r="E8416" s="410">
        <v>40718</v>
      </c>
      <c r="F8416" s="410">
        <v>40763</v>
      </c>
      <c r="G8416" s="405" t="s">
        <v>10430</v>
      </c>
      <c r="H8416" s="405">
        <v>779959407</v>
      </c>
      <c r="I8416" s="405"/>
      <c r="J8416" s="405">
        <v>1.4451970000000001</v>
      </c>
      <c r="K8416" s="405">
        <v>34.108307000000003</v>
      </c>
      <c r="L8416" s="405" t="s">
        <v>6866</v>
      </c>
      <c r="M8416" s="405" t="s">
        <v>9504</v>
      </c>
      <c r="N8416" s="405" t="s">
        <v>9504</v>
      </c>
      <c r="O8416" s="405" t="s">
        <v>10105</v>
      </c>
      <c r="P8416" s="405" t="s">
        <v>9932</v>
      </c>
      <c r="Q8416" s="411">
        <v>4</v>
      </c>
      <c r="R8416" s="405" t="s">
        <v>32478</v>
      </c>
      <c r="S8416" s="405" t="s">
        <v>27127</v>
      </c>
      <c r="T8416" s="405" t="s">
        <v>32102</v>
      </c>
      <c r="U8416" s="405" t="s">
        <v>319</v>
      </c>
    </row>
    <row r="8417" spans="1:21" hidden="1" x14ac:dyDescent="0.25">
      <c r="A8417" s="405" t="s">
        <v>310</v>
      </c>
      <c r="B8417" s="405" t="s">
        <v>10849</v>
      </c>
      <c r="C8417" s="405" t="s">
        <v>857</v>
      </c>
      <c r="D8417" s="405" t="s">
        <v>1050</v>
      </c>
      <c r="E8417" s="410">
        <v>40717</v>
      </c>
      <c r="F8417" s="410">
        <v>40762</v>
      </c>
      <c r="G8417" s="405" t="s">
        <v>10850</v>
      </c>
      <c r="H8417" s="405">
        <v>774364974</v>
      </c>
      <c r="I8417" s="405"/>
      <c r="J8417" s="405">
        <v>1.548845</v>
      </c>
      <c r="K8417" s="405">
        <v>33.753382000000002</v>
      </c>
      <c r="L8417" s="405" t="s">
        <v>6866</v>
      </c>
      <c r="M8417" s="405" t="s">
        <v>10012</v>
      </c>
      <c r="N8417" s="405" t="s">
        <v>10012</v>
      </c>
      <c r="O8417" s="405" t="s">
        <v>10267</v>
      </c>
      <c r="P8417" s="405" t="s">
        <v>10356</v>
      </c>
      <c r="Q8417" s="411">
        <v>6</v>
      </c>
      <c r="R8417" s="405" t="s">
        <v>9541</v>
      </c>
      <c r="S8417" s="405" t="s">
        <v>27302</v>
      </c>
      <c r="T8417" s="405" t="s">
        <v>32102</v>
      </c>
      <c r="U8417" s="405" t="s">
        <v>319</v>
      </c>
    </row>
    <row r="8418" spans="1:21" hidden="1" x14ac:dyDescent="0.25">
      <c r="A8418" s="405" t="s">
        <v>310</v>
      </c>
      <c r="B8418" s="405" t="s">
        <v>27672</v>
      </c>
      <c r="C8418" s="405" t="s">
        <v>327</v>
      </c>
      <c r="D8418" s="405"/>
      <c r="E8418" s="410">
        <v>40716</v>
      </c>
      <c r="F8418" s="410">
        <v>40761</v>
      </c>
      <c r="G8418" s="405" t="s">
        <v>20140</v>
      </c>
      <c r="H8418" s="405">
        <v>752447147</v>
      </c>
      <c r="I8418" s="405"/>
      <c r="J8418" s="405">
        <v>-0.63912500000000005</v>
      </c>
      <c r="K8418" s="405">
        <v>30.522459999999999</v>
      </c>
      <c r="L8418" s="405" t="s">
        <v>590</v>
      </c>
      <c r="M8418" s="405" t="s">
        <v>19614</v>
      </c>
      <c r="N8418" s="405" t="s">
        <v>19614</v>
      </c>
      <c r="O8418" s="405" t="s">
        <v>20015</v>
      </c>
      <c r="P8418" s="405" t="s">
        <v>20015</v>
      </c>
      <c r="Q8418" s="411">
        <v>12</v>
      </c>
      <c r="R8418" s="405" t="s">
        <v>333</v>
      </c>
      <c r="S8418" s="405" t="s">
        <v>27132</v>
      </c>
      <c r="T8418" s="405" t="s">
        <v>32102</v>
      </c>
      <c r="U8418" s="405" t="s">
        <v>319</v>
      </c>
    </row>
    <row r="8419" spans="1:21" hidden="1" x14ac:dyDescent="0.25">
      <c r="A8419" s="405" t="s">
        <v>310</v>
      </c>
      <c r="B8419" s="405" t="s">
        <v>20174</v>
      </c>
      <c r="C8419" s="405" t="s">
        <v>327</v>
      </c>
      <c r="D8419" s="405"/>
      <c r="E8419" s="410">
        <v>40716</v>
      </c>
      <c r="F8419" s="410">
        <v>40761</v>
      </c>
      <c r="G8419" s="405" t="s">
        <v>20175</v>
      </c>
      <c r="H8419" s="405">
        <v>752942977</v>
      </c>
      <c r="I8419" s="405"/>
      <c r="J8419" s="405">
        <v>-0.92979599999999996</v>
      </c>
      <c r="K8419" s="405">
        <v>30.826592000000002</v>
      </c>
      <c r="L8419" s="405" t="s">
        <v>590</v>
      </c>
      <c r="M8419" s="405" t="s">
        <v>879</v>
      </c>
      <c r="N8419" s="405" t="s">
        <v>12376</v>
      </c>
      <c r="O8419" s="405" t="s">
        <v>20176</v>
      </c>
      <c r="P8419" s="405" t="s">
        <v>20177</v>
      </c>
      <c r="Q8419" s="411">
        <v>12</v>
      </c>
      <c r="R8419" s="405" t="s">
        <v>333</v>
      </c>
      <c r="S8419" s="405" t="s">
        <v>27104</v>
      </c>
      <c r="T8419" s="405" t="s">
        <v>32102</v>
      </c>
      <c r="U8419" s="405" t="s">
        <v>319</v>
      </c>
    </row>
    <row r="8420" spans="1:21" hidden="1" x14ac:dyDescent="0.25">
      <c r="A8420" s="405" t="s">
        <v>310</v>
      </c>
      <c r="B8420" s="405" t="s">
        <v>27875</v>
      </c>
      <c r="C8420" s="405" t="s">
        <v>327</v>
      </c>
      <c r="D8420" s="405"/>
      <c r="E8420" s="410">
        <v>40716</v>
      </c>
      <c r="F8420" s="410">
        <v>40761</v>
      </c>
      <c r="G8420" s="405" t="s">
        <v>20141</v>
      </c>
      <c r="H8420" s="405">
        <v>753029391</v>
      </c>
      <c r="I8420" s="405"/>
      <c r="J8420" s="405">
        <v>-0.79511100000000001</v>
      </c>
      <c r="K8420" s="405">
        <v>30.675806000000001</v>
      </c>
      <c r="L8420" s="405" t="s">
        <v>590</v>
      </c>
      <c r="M8420" s="405" t="s">
        <v>879</v>
      </c>
      <c r="N8420" s="405" t="s">
        <v>880</v>
      </c>
      <c r="O8420" s="405" t="s">
        <v>20020</v>
      </c>
      <c r="P8420" s="405" t="s">
        <v>20142</v>
      </c>
      <c r="Q8420" s="411">
        <v>9</v>
      </c>
      <c r="R8420" s="405" t="s">
        <v>333</v>
      </c>
      <c r="S8420" s="405" t="s">
        <v>27271</v>
      </c>
      <c r="T8420" s="405" t="s">
        <v>32102</v>
      </c>
      <c r="U8420" s="405" t="s">
        <v>319</v>
      </c>
    </row>
    <row r="8421" spans="1:21" hidden="1" x14ac:dyDescent="0.25">
      <c r="A8421" s="405" t="s">
        <v>310</v>
      </c>
      <c r="B8421" s="405" t="s">
        <v>27889</v>
      </c>
      <c r="C8421" s="405" t="s">
        <v>327</v>
      </c>
      <c r="D8421" s="405"/>
      <c r="E8421" s="410">
        <v>40716</v>
      </c>
      <c r="F8421" s="410">
        <v>40761</v>
      </c>
      <c r="G8421" s="405" t="s">
        <v>20187</v>
      </c>
      <c r="H8421" s="405">
        <v>782387321</v>
      </c>
      <c r="I8421" s="405"/>
      <c r="J8421" s="405">
        <v>-0.40167399999999998</v>
      </c>
      <c r="K8421" s="405">
        <v>30.523173</v>
      </c>
      <c r="L8421" s="405" t="s">
        <v>590</v>
      </c>
      <c r="M8421" s="405" t="s">
        <v>19614</v>
      </c>
      <c r="N8421" s="405" t="s">
        <v>19615</v>
      </c>
      <c r="O8421" s="405" t="s">
        <v>20188</v>
      </c>
      <c r="P8421" s="405" t="s">
        <v>788</v>
      </c>
      <c r="Q8421" s="411">
        <v>9</v>
      </c>
      <c r="R8421" s="405" t="s">
        <v>333</v>
      </c>
      <c r="S8421" s="405" t="s">
        <v>27172</v>
      </c>
      <c r="T8421" s="405" t="s">
        <v>32102</v>
      </c>
      <c r="U8421" s="405" t="s">
        <v>319</v>
      </c>
    </row>
    <row r="8422" spans="1:21" hidden="1" x14ac:dyDescent="0.25">
      <c r="A8422" s="405" t="s">
        <v>310</v>
      </c>
      <c r="B8422" s="405" t="s">
        <v>28648</v>
      </c>
      <c r="C8422" s="405" t="s">
        <v>327</v>
      </c>
      <c r="D8422" s="405"/>
      <c r="E8422" s="410">
        <v>40716</v>
      </c>
      <c r="F8422" s="410">
        <v>40761</v>
      </c>
      <c r="G8422" s="405" t="s">
        <v>1707</v>
      </c>
      <c r="H8422" s="405">
        <v>773082841</v>
      </c>
      <c r="I8422" s="405">
        <v>778811830</v>
      </c>
      <c r="J8422" s="405">
        <v>0.53481500000000004</v>
      </c>
      <c r="K8422" s="405">
        <v>32.183008000000001</v>
      </c>
      <c r="L8422" s="405" t="s">
        <v>314</v>
      </c>
      <c r="M8422" s="405" t="s">
        <v>675</v>
      </c>
      <c r="N8422" s="405" t="s">
        <v>675</v>
      </c>
      <c r="O8422" s="405" t="s">
        <v>1608</v>
      </c>
      <c r="P8422" s="405" t="s">
        <v>1708</v>
      </c>
      <c r="Q8422" s="411">
        <v>6</v>
      </c>
      <c r="R8422" s="405" t="s">
        <v>318</v>
      </c>
      <c r="S8422" s="405" t="s">
        <v>27108</v>
      </c>
      <c r="T8422" s="405" t="s">
        <v>32102</v>
      </c>
      <c r="U8422" s="405" t="s">
        <v>319</v>
      </c>
    </row>
    <row r="8423" spans="1:21" hidden="1" x14ac:dyDescent="0.25">
      <c r="A8423" s="405" t="s">
        <v>310</v>
      </c>
      <c r="B8423" s="405" t="s">
        <v>29141</v>
      </c>
      <c r="C8423" s="405" t="s">
        <v>327</v>
      </c>
      <c r="D8423" s="405"/>
      <c r="E8423" s="410">
        <v>40716</v>
      </c>
      <c r="F8423" s="410">
        <v>40761</v>
      </c>
      <c r="G8423" s="405" t="s">
        <v>1653</v>
      </c>
      <c r="H8423" s="405">
        <v>772517365</v>
      </c>
      <c r="I8423" s="405"/>
      <c r="J8423" s="405">
        <v>-0.26587333333333335</v>
      </c>
      <c r="K8423" s="405">
        <v>31.735273333333332</v>
      </c>
      <c r="L8423" s="405" t="s">
        <v>314</v>
      </c>
      <c r="M8423" s="405" t="s">
        <v>900</v>
      </c>
      <c r="N8423" s="405" t="s">
        <v>900</v>
      </c>
      <c r="O8423" s="405" t="s">
        <v>900</v>
      </c>
      <c r="P8423" s="405" t="s">
        <v>1392</v>
      </c>
      <c r="Q8423" s="411">
        <v>6</v>
      </c>
      <c r="R8423" s="405" t="s">
        <v>353</v>
      </c>
      <c r="S8423" s="405" t="s">
        <v>27147</v>
      </c>
      <c r="T8423" s="405" t="s">
        <v>32102</v>
      </c>
      <c r="U8423" s="405" t="s">
        <v>319</v>
      </c>
    </row>
    <row r="8424" spans="1:21" hidden="1" x14ac:dyDescent="0.25">
      <c r="A8424" s="405" t="s">
        <v>310</v>
      </c>
      <c r="B8424" s="405" t="s">
        <v>27665</v>
      </c>
      <c r="C8424" s="405" t="s">
        <v>327</v>
      </c>
      <c r="D8424" s="405"/>
      <c r="E8424" s="410">
        <v>40716</v>
      </c>
      <c r="F8424" s="410">
        <v>40761</v>
      </c>
      <c r="G8424" s="405" t="s">
        <v>20137</v>
      </c>
      <c r="H8424" s="405">
        <v>772637999</v>
      </c>
      <c r="I8424" s="405"/>
      <c r="J8424" s="405">
        <v>-0.644868</v>
      </c>
      <c r="K8424" s="405">
        <v>30.548275</v>
      </c>
      <c r="L8424" s="405" t="s">
        <v>590</v>
      </c>
      <c r="M8424" s="405" t="s">
        <v>19614</v>
      </c>
      <c r="N8424" s="405" t="s">
        <v>19873</v>
      </c>
      <c r="O8424" s="405" t="s">
        <v>20138</v>
      </c>
      <c r="P8424" s="405" t="s">
        <v>20139</v>
      </c>
      <c r="Q8424" s="411">
        <v>6</v>
      </c>
      <c r="R8424" s="405" t="s">
        <v>333</v>
      </c>
      <c r="S8424" s="405" t="s">
        <v>27173</v>
      </c>
      <c r="T8424" s="405" t="s">
        <v>32102</v>
      </c>
      <c r="U8424" s="405" t="s">
        <v>319</v>
      </c>
    </row>
    <row r="8425" spans="1:21" hidden="1" x14ac:dyDescent="0.25">
      <c r="A8425" s="405" t="s">
        <v>310</v>
      </c>
      <c r="B8425" s="405" t="s">
        <v>20191</v>
      </c>
      <c r="C8425" s="405" t="s">
        <v>327</v>
      </c>
      <c r="D8425" s="405"/>
      <c r="E8425" s="410">
        <v>40716</v>
      </c>
      <c r="F8425" s="410">
        <v>40761</v>
      </c>
      <c r="G8425" s="405" t="s">
        <v>20192</v>
      </c>
      <c r="H8425" s="405">
        <v>772422819</v>
      </c>
      <c r="I8425" s="405"/>
      <c r="J8425" s="405">
        <v>8.43E-4</v>
      </c>
      <c r="K8425" s="405">
        <v>30.439644999999999</v>
      </c>
      <c r="L8425" s="405" t="s">
        <v>590</v>
      </c>
      <c r="M8425" s="405" t="s">
        <v>870</v>
      </c>
      <c r="N8425" s="405" t="s">
        <v>20193</v>
      </c>
      <c r="O8425" s="405" t="s">
        <v>20194</v>
      </c>
      <c r="P8425" s="405" t="s">
        <v>20195</v>
      </c>
      <c r="Q8425" s="411">
        <v>6</v>
      </c>
      <c r="R8425" s="405" t="s">
        <v>333</v>
      </c>
      <c r="S8425" s="405" t="s">
        <v>27183</v>
      </c>
      <c r="T8425" s="405" t="s">
        <v>32102</v>
      </c>
      <c r="U8425" s="405" t="s">
        <v>319</v>
      </c>
    </row>
    <row r="8426" spans="1:21" hidden="1" x14ac:dyDescent="0.25">
      <c r="A8426" s="405" t="s">
        <v>310</v>
      </c>
      <c r="B8426" s="405" t="s">
        <v>20152</v>
      </c>
      <c r="C8426" s="405" t="s">
        <v>327</v>
      </c>
      <c r="D8426" s="405"/>
      <c r="E8426" s="410">
        <v>40716</v>
      </c>
      <c r="F8426" s="410">
        <v>40761</v>
      </c>
      <c r="G8426" s="405" t="s">
        <v>20153</v>
      </c>
      <c r="H8426" s="405">
        <v>782754363</v>
      </c>
      <c r="I8426" s="405"/>
      <c r="J8426" s="405">
        <v>-0.54946099999999998</v>
      </c>
      <c r="K8426" s="405">
        <v>30.559912000000001</v>
      </c>
      <c r="L8426" s="405" t="s">
        <v>590</v>
      </c>
      <c r="M8426" s="405" t="s">
        <v>19614</v>
      </c>
      <c r="N8426" s="405" t="s">
        <v>19615</v>
      </c>
      <c r="O8426" s="405" t="s">
        <v>20154</v>
      </c>
      <c r="P8426" s="405" t="s">
        <v>20155</v>
      </c>
      <c r="Q8426" s="411">
        <v>6</v>
      </c>
      <c r="R8426" s="405" t="s">
        <v>333</v>
      </c>
      <c r="S8426" s="405" t="s">
        <v>27393</v>
      </c>
      <c r="T8426" s="405" t="s">
        <v>32102</v>
      </c>
      <c r="U8426" s="405" t="s">
        <v>319</v>
      </c>
    </row>
    <row r="8427" spans="1:21" hidden="1" x14ac:dyDescent="0.25">
      <c r="A8427" s="405" t="s">
        <v>310</v>
      </c>
      <c r="B8427" s="405" t="s">
        <v>20178</v>
      </c>
      <c r="C8427" s="405" t="s">
        <v>327</v>
      </c>
      <c r="D8427" s="405"/>
      <c r="E8427" s="410">
        <v>40716</v>
      </c>
      <c r="F8427" s="410">
        <v>40761</v>
      </c>
      <c r="G8427" s="405" t="s">
        <v>20179</v>
      </c>
      <c r="H8427" s="405">
        <v>703200620</v>
      </c>
      <c r="I8427" s="405">
        <v>703200620</v>
      </c>
      <c r="J8427" s="405">
        <v>-0.60586799999999996</v>
      </c>
      <c r="K8427" s="405">
        <v>30.677326000000001</v>
      </c>
      <c r="L8427" s="405" t="s">
        <v>590</v>
      </c>
      <c r="M8427" s="405" t="s">
        <v>19614</v>
      </c>
      <c r="N8427" s="405" t="s">
        <v>19873</v>
      </c>
      <c r="O8427" s="405" t="s">
        <v>20180</v>
      </c>
      <c r="P8427" s="405" t="s">
        <v>20181</v>
      </c>
      <c r="Q8427" s="411">
        <v>6</v>
      </c>
      <c r="R8427" s="405" t="s">
        <v>333</v>
      </c>
      <c r="S8427" s="405" t="s">
        <v>27275</v>
      </c>
      <c r="T8427" s="405" t="s">
        <v>32102</v>
      </c>
      <c r="U8427" s="405" t="s">
        <v>319</v>
      </c>
    </row>
    <row r="8428" spans="1:21" hidden="1" x14ac:dyDescent="0.25">
      <c r="A8428" s="405" t="s">
        <v>310</v>
      </c>
      <c r="B8428" s="405" t="s">
        <v>28659</v>
      </c>
      <c r="C8428" s="405" t="s">
        <v>327</v>
      </c>
      <c r="D8428" s="405"/>
      <c r="E8428" s="410">
        <v>40715</v>
      </c>
      <c r="F8428" s="410">
        <v>40760</v>
      </c>
      <c r="G8428" s="405" t="s">
        <v>1661</v>
      </c>
      <c r="H8428" s="405">
        <v>772823107</v>
      </c>
      <c r="I8428" s="405"/>
      <c r="J8428" s="405">
        <v>0.213448</v>
      </c>
      <c r="K8428" s="405">
        <v>31.683402999999998</v>
      </c>
      <c r="L8428" s="405" t="s">
        <v>314</v>
      </c>
      <c r="M8428" s="405" t="s">
        <v>339</v>
      </c>
      <c r="N8428" s="405" t="s">
        <v>339</v>
      </c>
      <c r="O8428" s="405" t="s">
        <v>1662</v>
      </c>
      <c r="P8428" s="405" t="s">
        <v>388</v>
      </c>
      <c r="Q8428" s="411">
        <v>6</v>
      </c>
      <c r="R8428" s="405" t="s">
        <v>318</v>
      </c>
      <c r="S8428" s="405" t="s">
        <v>27035</v>
      </c>
      <c r="T8428" s="405" t="s">
        <v>32102</v>
      </c>
      <c r="U8428" s="405" t="s">
        <v>319</v>
      </c>
    </row>
    <row r="8429" spans="1:21" hidden="1" x14ac:dyDescent="0.25">
      <c r="A8429" s="405" t="s">
        <v>310</v>
      </c>
      <c r="B8429" s="405" t="s">
        <v>27986</v>
      </c>
      <c r="C8429" s="405" t="s">
        <v>327</v>
      </c>
      <c r="D8429" s="405"/>
      <c r="E8429" s="410">
        <v>40714</v>
      </c>
      <c r="F8429" s="410">
        <v>40759</v>
      </c>
      <c r="G8429" s="405" t="s">
        <v>20134</v>
      </c>
      <c r="H8429" s="405">
        <v>772465465</v>
      </c>
      <c r="I8429" s="405"/>
      <c r="J8429" s="405">
        <v>0.54425900000000005</v>
      </c>
      <c r="K8429" s="405">
        <v>30.321739999999998</v>
      </c>
      <c r="L8429" s="405" t="s">
        <v>590</v>
      </c>
      <c r="M8429" s="405" t="s">
        <v>20125</v>
      </c>
      <c r="N8429" s="405" t="s">
        <v>20126</v>
      </c>
      <c r="O8429" s="405" t="s">
        <v>20135</v>
      </c>
      <c r="P8429" s="405" t="s">
        <v>20136</v>
      </c>
      <c r="Q8429" s="411">
        <v>12</v>
      </c>
      <c r="R8429" s="405" t="s">
        <v>353</v>
      </c>
      <c r="S8429" s="405" t="s">
        <v>27129</v>
      </c>
      <c r="T8429" s="405" t="s">
        <v>32102</v>
      </c>
      <c r="U8429" s="405" t="s">
        <v>319</v>
      </c>
    </row>
    <row r="8430" spans="1:21" hidden="1" x14ac:dyDescent="0.25">
      <c r="A8430" s="405" t="s">
        <v>310</v>
      </c>
      <c r="B8430" s="405" t="s">
        <v>51</v>
      </c>
      <c r="C8430" s="405" t="s">
        <v>327</v>
      </c>
      <c r="D8430" s="405"/>
      <c r="E8430" s="410">
        <v>40714</v>
      </c>
      <c r="F8430" s="410">
        <v>40759</v>
      </c>
      <c r="G8430" s="405" t="s">
        <v>20172</v>
      </c>
      <c r="H8430" s="405">
        <v>772571961</v>
      </c>
      <c r="I8430" s="405">
        <v>782698870</v>
      </c>
      <c r="J8430" s="405">
        <v>-0.66310100000000005</v>
      </c>
      <c r="K8430" s="405">
        <v>30.170725999999998</v>
      </c>
      <c r="L8430" s="405" t="s">
        <v>590</v>
      </c>
      <c r="M8430" s="405" t="s">
        <v>19725</v>
      </c>
      <c r="N8430" s="405" t="s">
        <v>19725</v>
      </c>
      <c r="O8430" s="405" t="s">
        <v>20013</v>
      </c>
      <c r="P8430" s="405" t="s">
        <v>20173</v>
      </c>
      <c r="Q8430" s="411">
        <v>6</v>
      </c>
      <c r="R8430" s="405" t="s">
        <v>333</v>
      </c>
      <c r="S8430" s="405" t="s">
        <v>27399</v>
      </c>
      <c r="T8430" s="405" t="s">
        <v>32102</v>
      </c>
      <c r="U8430" s="405" t="s">
        <v>319</v>
      </c>
    </row>
    <row r="8431" spans="1:21" hidden="1" x14ac:dyDescent="0.25">
      <c r="A8431" s="405" t="s">
        <v>310</v>
      </c>
      <c r="B8431" s="405" t="s">
        <v>1709</v>
      </c>
      <c r="C8431" s="405" t="s">
        <v>327</v>
      </c>
      <c r="D8431" s="405"/>
      <c r="E8431" s="410">
        <v>40714</v>
      </c>
      <c r="F8431" s="410">
        <v>40759</v>
      </c>
      <c r="G8431" s="405" t="s">
        <v>1710</v>
      </c>
      <c r="H8431" s="405">
        <v>775806896</v>
      </c>
      <c r="I8431" s="405"/>
      <c r="J8431" s="405">
        <v>0.55688800000000005</v>
      </c>
      <c r="K8431" s="405">
        <v>31.953897000000001</v>
      </c>
      <c r="L8431" s="405" t="s">
        <v>314</v>
      </c>
      <c r="M8431" s="405" t="s">
        <v>675</v>
      </c>
      <c r="N8431" s="405" t="s">
        <v>675</v>
      </c>
      <c r="O8431" s="405" t="s">
        <v>1711</v>
      </c>
      <c r="P8431" s="405" t="s">
        <v>1711</v>
      </c>
      <c r="Q8431" s="411">
        <v>6</v>
      </c>
      <c r="R8431" s="405" t="s">
        <v>318</v>
      </c>
      <c r="S8431" s="405" t="s">
        <v>414</v>
      </c>
      <c r="T8431" s="405" t="s">
        <v>32102</v>
      </c>
      <c r="U8431" s="405" t="s">
        <v>319</v>
      </c>
    </row>
    <row r="8432" spans="1:21" hidden="1" x14ac:dyDescent="0.25">
      <c r="A8432" s="405" t="s">
        <v>310</v>
      </c>
      <c r="B8432" s="405" t="s">
        <v>1650</v>
      </c>
      <c r="C8432" s="405" t="s">
        <v>327</v>
      </c>
      <c r="D8432" s="405"/>
      <c r="E8432" s="410">
        <v>40714</v>
      </c>
      <c r="F8432" s="410">
        <v>40759</v>
      </c>
      <c r="G8432" s="405" t="s">
        <v>1651</v>
      </c>
      <c r="H8432" s="405">
        <v>782774643</v>
      </c>
      <c r="I8432" s="405">
        <v>759774643</v>
      </c>
      <c r="J8432" s="405">
        <v>0.28523166666666666</v>
      </c>
      <c r="K8432" s="405">
        <v>32.489136666666667</v>
      </c>
      <c r="L8432" s="405" t="s">
        <v>314</v>
      </c>
      <c r="M8432" s="405" t="s">
        <v>321</v>
      </c>
      <c r="N8432" s="405" t="s">
        <v>322</v>
      </c>
      <c r="O8432" s="405" t="s">
        <v>996</v>
      </c>
      <c r="P8432" s="405" t="s">
        <v>1652</v>
      </c>
      <c r="Q8432" s="411">
        <v>6</v>
      </c>
      <c r="R8432" s="405" t="s">
        <v>318</v>
      </c>
      <c r="S8432" s="405" t="s">
        <v>27113</v>
      </c>
      <c r="T8432" s="405" t="s">
        <v>32102</v>
      </c>
      <c r="U8432" s="405" t="s">
        <v>319</v>
      </c>
    </row>
    <row r="8433" spans="1:21" hidden="1" x14ac:dyDescent="0.25">
      <c r="A8433" s="405" t="s">
        <v>310</v>
      </c>
      <c r="B8433" s="405" t="s">
        <v>28938</v>
      </c>
      <c r="C8433" s="405" t="s">
        <v>327</v>
      </c>
      <c r="D8433" s="405"/>
      <c r="E8433" s="410">
        <v>40714</v>
      </c>
      <c r="F8433" s="410">
        <v>40759</v>
      </c>
      <c r="G8433" s="405" t="s">
        <v>1635</v>
      </c>
      <c r="H8433" s="405">
        <v>750042580</v>
      </c>
      <c r="I8433" s="405">
        <v>775042501</v>
      </c>
      <c r="J8433" s="405">
        <v>0.39895700000000001</v>
      </c>
      <c r="K8433" s="405">
        <v>32.183751999999998</v>
      </c>
      <c r="L8433" s="405" t="s">
        <v>314</v>
      </c>
      <c r="M8433" s="405" t="s">
        <v>675</v>
      </c>
      <c r="N8433" s="405" t="s">
        <v>1065</v>
      </c>
      <c r="O8433" s="405" t="s">
        <v>1374</v>
      </c>
      <c r="P8433" s="405" t="s">
        <v>1634</v>
      </c>
      <c r="Q8433" s="411">
        <v>6</v>
      </c>
      <c r="R8433" s="405" t="s">
        <v>318</v>
      </c>
      <c r="S8433" s="405" t="s">
        <v>27125</v>
      </c>
      <c r="T8433" s="405" t="s">
        <v>32102</v>
      </c>
      <c r="U8433" s="405" t="s">
        <v>319</v>
      </c>
    </row>
    <row r="8434" spans="1:21" hidden="1" x14ac:dyDescent="0.25">
      <c r="A8434" s="405" t="s">
        <v>310</v>
      </c>
      <c r="B8434" s="405" t="s">
        <v>10459</v>
      </c>
      <c r="C8434" s="405" t="s">
        <v>327</v>
      </c>
      <c r="D8434" s="405"/>
      <c r="E8434" s="410">
        <v>40714</v>
      </c>
      <c r="F8434" s="410">
        <v>40759</v>
      </c>
      <c r="G8434" s="405" t="s">
        <v>10460</v>
      </c>
      <c r="H8434" s="405">
        <v>775645322</v>
      </c>
      <c r="I8434" s="405"/>
      <c r="J8434" s="405">
        <v>1.2053940000000001</v>
      </c>
      <c r="K8434" s="405">
        <v>34.323250000000002</v>
      </c>
      <c r="L8434" s="405" t="s">
        <v>6866</v>
      </c>
      <c r="M8434" s="405" t="s">
        <v>9575</v>
      </c>
      <c r="N8434" s="405" t="s">
        <v>9629</v>
      </c>
      <c r="O8434" s="405" t="s">
        <v>9630</v>
      </c>
      <c r="P8434" s="405" t="s">
        <v>10461</v>
      </c>
      <c r="Q8434" s="411">
        <v>6</v>
      </c>
      <c r="R8434" s="405" t="s">
        <v>7224</v>
      </c>
      <c r="S8434" s="405" t="s">
        <v>27313</v>
      </c>
      <c r="T8434" s="405" t="s">
        <v>32102</v>
      </c>
      <c r="U8434" s="405" t="s">
        <v>319</v>
      </c>
    </row>
    <row r="8435" spans="1:21" hidden="1" x14ac:dyDescent="0.25">
      <c r="A8435" s="405" t="s">
        <v>310</v>
      </c>
      <c r="B8435" s="405" t="s">
        <v>20197</v>
      </c>
      <c r="C8435" s="405" t="s">
        <v>327</v>
      </c>
      <c r="D8435" s="405"/>
      <c r="E8435" s="410">
        <v>40713</v>
      </c>
      <c r="F8435" s="410">
        <v>40758</v>
      </c>
      <c r="G8435" s="405" t="s">
        <v>20198</v>
      </c>
      <c r="H8435" s="405">
        <v>704133136</v>
      </c>
      <c r="I8435" s="405"/>
      <c r="J8435" s="405">
        <v>-0.82163900000000001</v>
      </c>
      <c r="K8435" s="405">
        <v>29.905577000000001</v>
      </c>
      <c r="L8435" s="405" t="s">
        <v>590</v>
      </c>
      <c r="M8435" s="405" t="s">
        <v>19619</v>
      </c>
      <c r="N8435" s="405" t="s">
        <v>19765</v>
      </c>
      <c r="O8435" s="405" t="s">
        <v>16533</v>
      </c>
      <c r="P8435" s="405" t="s">
        <v>20199</v>
      </c>
      <c r="Q8435" s="411">
        <v>9</v>
      </c>
      <c r="R8435" s="405" t="s">
        <v>19622</v>
      </c>
      <c r="S8435" s="405" t="s">
        <v>27116</v>
      </c>
      <c r="T8435" s="405" t="s">
        <v>32102</v>
      </c>
      <c r="U8435" s="405" t="s">
        <v>319</v>
      </c>
    </row>
    <row r="8436" spans="1:21" hidden="1" x14ac:dyDescent="0.25">
      <c r="A8436" s="405" t="s">
        <v>310</v>
      </c>
      <c r="B8436" s="405" t="s">
        <v>27520</v>
      </c>
      <c r="C8436" s="405" t="s">
        <v>327</v>
      </c>
      <c r="D8436" s="405"/>
      <c r="E8436" s="410">
        <v>40713</v>
      </c>
      <c r="F8436" s="410">
        <v>40758</v>
      </c>
      <c r="G8436" s="405" t="s">
        <v>1725</v>
      </c>
      <c r="H8436" s="405">
        <v>702748747</v>
      </c>
      <c r="I8436" s="405"/>
      <c r="J8436" s="405">
        <v>0.23016166666666665</v>
      </c>
      <c r="K8436" s="405">
        <v>32.283128333333337</v>
      </c>
      <c r="L8436" s="405" t="s">
        <v>314</v>
      </c>
      <c r="M8436" s="405" t="s">
        <v>321</v>
      </c>
      <c r="N8436" s="405" t="s">
        <v>322</v>
      </c>
      <c r="O8436" s="405" t="s">
        <v>996</v>
      </c>
      <c r="P8436" s="405" t="s">
        <v>1726</v>
      </c>
      <c r="Q8436" s="411">
        <v>6</v>
      </c>
      <c r="R8436" s="405" t="s">
        <v>318</v>
      </c>
      <c r="S8436" s="405" t="s">
        <v>27108</v>
      </c>
      <c r="T8436" s="405" t="s">
        <v>32102</v>
      </c>
      <c r="U8436" s="405" t="s">
        <v>319</v>
      </c>
    </row>
    <row r="8437" spans="1:21" hidden="1" x14ac:dyDescent="0.25">
      <c r="A8437" s="405" t="s">
        <v>310</v>
      </c>
      <c r="B8437" s="405" t="s">
        <v>10418</v>
      </c>
      <c r="C8437" s="405" t="s">
        <v>327</v>
      </c>
      <c r="D8437" s="405"/>
      <c r="E8437" s="410">
        <v>40713</v>
      </c>
      <c r="F8437" s="410">
        <v>40758</v>
      </c>
      <c r="G8437" s="405" t="s">
        <v>10419</v>
      </c>
      <c r="H8437" s="405">
        <v>774177167</v>
      </c>
      <c r="I8437" s="405"/>
      <c r="J8437" s="405">
        <v>1.4129849999999999</v>
      </c>
      <c r="K8437" s="405">
        <v>33.745064999999997</v>
      </c>
      <c r="L8437" s="405" t="s">
        <v>6866</v>
      </c>
      <c r="M8437" s="405" t="s">
        <v>10012</v>
      </c>
      <c r="N8437" s="405" t="s">
        <v>10012</v>
      </c>
      <c r="O8437" s="405" t="s">
        <v>10092</v>
      </c>
      <c r="P8437" s="405" t="s">
        <v>10209</v>
      </c>
      <c r="Q8437" s="411">
        <v>6</v>
      </c>
      <c r="R8437" s="405" t="s">
        <v>7224</v>
      </c>
      <c r="S8437" s="405" t="s">
        <v>17013</v>
      </c>
      <c r="T8437" s="405" t="s">
        <v>32102</v>
      </c>
      <c r="U8437" s="405" t="s">
        <v>319</v>
      </c>
    </row>
    <row r="8438" spans="1:21" hidden="1" x14ac:dyDescent="0.25">
      <c r="A8438" s="405" t="s">
        <v>310</v>
      </c>
      <c r="B8438" s="405" t="s">
        <v>28494</v>
      </c>
      <c r="C8438" s="405" t="s">
        <v>327</v>
      </c>
      <c r="D8438" s="405"/>
      <c r="E8438" s="410">
        <v>40712</v>
      </c>
      <c r="F8438" s="410">
        <v>40757</v>
      </c>
      <c r="G8438" s="405" t="s">
        <v>20196</v>
      </c>
      <c r="H8438" s="405">
        <v>782542402</v>
      </c>
      <c r="I8438" s="405"/>
      <c r="J8438" s="405">
        <v>-0.91123399999999999</v>
      </c>
      <c r="K8438" s="405">
        <v>30.113872000000001</v>
      </c>
      <c r="L8438" s="405" t="s">
        <v>590</v>
      </c>
      <c r="M8438" s="405" t="s">
        <v>19659</v>
      </c>
      <c r="N8438" s="405" t="s">
        <v>19677</v>
      </c>
      <c r="O8438" s="405" t="s">
        <v>19726</v>
      </c>
      <c r="P8438" s="405" t="s">
        <v>19746</v>
      </c>
      <c r="Q8438" s="411">
        <v>12</v>
      </c>
      <c r="R8438" s="405" t="s">
        <v>967</v>
      </c>
      <c r="S8438" s="405" t="s">
        <v>27132</v>
      </c>
      <c r="T8438" s="405" t="s">
        <v>32102</v>
      </c>
      <c r="U8438" s="405" t="s">
        <v>319</v>
      </c>
    </row>
    <row r="8439" spans="1:21" hidden="1" x14ac:dyDescent="0.25">
      <c r="A8439" s="405" t="s">
        <v>310</v>
      </c>
      <c r="B8439" s="405" t="s">
        <v>20200</v>
      </c>
      <c r="C8439" s="405" t="s">
        <v>327</v>
      </c>
      <c r="D8439" s="405"/>
      <c r="E8439" s="410">
        <v>40712</v>
      </c>
      <c r="F8439" s="410">
        <v>40757</v>
      </c>
      <c r="G8439" s="405" t="s">
        <v>20201</v>
      </c>
      <c r="H8439" s="405">
        <v>775894112</v>
      </c>
      <c r="I8439" s="405"/>
      <c r="J8439" s="405">
        <v>-0.79964100000000005</v>
      </c>
      <c r="K8439" s="405">
        <v>29.939965000000001</v>
      </c>
      <c r="L8439" s="405" t="s">
        <v>590</v>
      </c>
      <c r="M8439" s="405" t="s">
        <v>19619</v>
      </c>
      <c r="N8439" s="405" t="s">
        <v>19765</v>
      </c>
      <c r="O8439" s="405" t="s">
        <v>10466</v>
      </c>
      <c r="P8439" s="405" t="s">
        <v>20202</v>
      </c>
      <c r="Q8439" s="411">
        <v>9</v>
      </c>
      <c r="R8439" s="405" t="s">
        <v>19622</v>
      </c>
      <c r="S8439" s="405" t="s">
        <v>27160</v>
      </c>
      <c r="T8439" s="405" t="s">
        <v>32102</v>
      </c>
      <c r="U8439" s="405" t="s">
        <v>319</v>
      </c>
    </row>
    <row r="8440" spans="1:21" hidden="1" x14ac:dyDescent="0.25">
      <c r="A8440" s="405" t="s">
        <v>310</v>
      </c>
      <c r="B8440" s="405" t="s">
        <v>27671</v>
      </c>
      <c r="C8440" s="405" t="s">
        <v>327</v>
      </c>
      <c r="D8440" s="405"/>
      <c r="E8440" s="410">
        <v>40712</v>
      </c>
      <c r="F8440" s="410">
        <v>40757</v>
      </c>
      <c r="G8440" s="405" t="s">
        <v>10448</v>
      </c>
      <c r="H8440" s="405">
        <v>756867499</v>
      </c>
      <c r="I8440" s="405"/>
      <c r="J8440" s="405">
        <v>1.097278</v>
      </c>
      <c r="K8440" s="405">
        <v>33.229382999999999</v>
      </c>
      <c r="L8440" s="405" t="s">
        <v>6866</v>
      </c>
      <c r="M8440" s="405" t="s">
        <v>9520</v>
      </c>
      <c r="N8440" s="405" t="s">
        <v>9521</v>
      </c>
      <c r="O8440" s="405" t="s">
        <v>10449</v>
      </c>
      <c r="P8440" s="405" t="s">
        <v>10450</v>
      </c>
      <c r="Q8440" s="411">
        <v>6</v>
      </c>
      <c r="R8440" s="405" t="s">
        <v>32478</v>
      </c>
      <c r="S8440" s="405" t="s">
        <v>27135</v>
      </c>
      <c r="T8440" s="405" t="s">
        <v>32102</v>
      </c>
      <c r="U8440" s="405" t="s">
        <v>319</v>
      </c>
    </row>
    <row r="8441" spans="1:21" hidden="1" x14ac:dyDescent="0.25">
      <c r="A8441" s="405" t="s">
        <v>310</v>
      </c>
      <c r="B8441" s="405" t="s">
        <v>28601</v>
      </c>
      <c r="C8441" s="405" t="s">
        <v>327</v>
      </c>
      <c r="D8441" s="405"/>
      <c r="E8441" s="410">
        <v>40712</v>
      </c>
      <c r="F8441" s="410">
        <v>40757</v>
      </c>
      <c r="G8441" s="405" t="s">
        <v>10434</v>
      </c>
      <c r="H8441" s="405">
        <v>772565648</v>
      </c>
      <c r="I8441" s="405"/>
      <c r="J8441" s="405">
        <v>1.5448329999999999</v>
      </c>
      <c r="K8441" s="405">
        <v>34.077888000000002</v>
      </c>
      <c r="L8441" s="405" t="s">
        <v>6866</v>
      </c>
      <c r="M8441" s="405" t="s">
        <v>10029</v>
      </c>
      <c r="N8441" s="405" t="s">
        <v>10029</v>
      </c>
      <c r="O8441" s="405" t="s">
        <v>10435</v>
      </c>
      <c r="P8441" s="405" t="s">
        <v>10436</v>
      </c>
      <c r="Q8441" s="411">
        <v>6</v>
      </c>
      <c r="R8441" s="405" t="s">
        <v>9541</v>
      </c>
      <c r="S8441" s="405" t="s">
        <v>27320</v>
      </c>
      <c r="T8441" s="405" t="s">
        <v>32102</v>
      </c>
      <c r="U8441" s="405" t="s">
        <v>319</v>
      </c>
    </row>
    <row r="8442" spans="1:21" hidden="1" x14ac:dyDescent="0.25">
      <c r="A8442" s="405" t="s">
        <v>310</v>
      </c>
      <c r="B8442" s="405" t="s">
        <v>10427</v>
      </c>
      <c r="C8442" s="405" t="s">
        <v>327</v>
      </c>
      <c r="D8442" s="405"/>
      <c r="E8442" s="410">
        <v>40712</v>
      </c>
      <c r="F8442" s="410">
        <v>40757</v>
      </c>
      <c r="G8442" s="405" t="s">
        <v>10428</v>
      </c>
      <c r="H8442" s="405">
        <v>784969372</v>
      </c>
      <c r="I8442" s="405"/>
      <c r="J8442" s="405">
        <v>1.442218</v>
      </c>
      <c r="K8442" s="405">
        <v>33.904674999999997</v>
      </c>
      <c r="L8442" s="405" t="s">
        <v>6866</v>
      </c>
      <c r="M8442" s="405" t="s">
        <v>10029</v>
      </c>
      <c r="N8442" s="405" t="s">
        <v>10030</v>
      </c>
      <c r="O8442" s="405" t="s">
        <v>4793</v>
      </c>
      <c r="P8442" s="405" t="s">
        <v>10424</v>
      </c>
      <c r="Q8442" s="411">
        <v>6</v>
      </c>
      <c r="R8442" s="405" t="s">
        <v>9541</v>
      </c>
      <c r="S8442" s="405" t="s">
        <v>27321</v>
      </c>
      <c r="T8442" s="405" t="s">
        <v>32102</v>
      </c>
      <c r="U8442" s="405" t="s">
        <v>319</v>
      </c>
    </row>
    <row r="8443" spans="1:21" hidden="1" x14ac:dyDescent="0.25">
      <c r="A8443" s="405" t="s">
        <v>310</v>
      </c>
      <c r="B8443" s="405" t="s">
        <v>27977</v>
      </c>
      <c r="C8443" s="405" t="s">
        <v>327</v>
      </c>
      <c r="D8443" s="405"/>
      <c r="E8443" s="410">
        <v>40711</v>
      </c>
      <c r="F8443" s="410">
        <v>40756</v>
      </c>
      <c r="G8443" s="405" t="s">
        <v>1633</v>
      </c>
      <c r="H8443" s="405">
        <v>753285908</v>
      </c>
      <c r="I8443" s="405"/>
      <c r="J8443" s="405">
        <v>0.39705800000000002</v>
      </c>
      <c r="K8443" s="405">
        <v>32.181792000000002</v>
      </c>
      <c r="L8443" s="405" t="s">
        <v>314</v>
      </c>
      <c r="M8443" s="405" t="s">
        <v>675</v>
      </c>
      <c r="N8443" s="405" t="s">
        <v>1065</v>
      </c>
      <c r="O8443" s="405" t="s">
        <v>1374</v>
      </c>
      <c r="P8443" s="405" t="s">
        <v>1634</v>
      </c>
      <c r="Q8443" s="411">
        <v>6</v>
      </c>
      <c r="R8443" s="405" t="s">
        <v>318</v>
      </c>
      <c r="S8443" s="405" t="s">
        <v>27046</v>
      </c>
      <c r="T8443" s="405" t="s">
        <v>32102</v>
      </c>
      <c r="U8443" s="405" t="s">
        <v>319</v>
      </c>
    </row>
    <row r="8444" spans="1:21" hidden="1" x14ac:dyDescent="0.25">
      <c r="A8444" s="405" t="s">
        <v>310</v>
      </c>
      <c r="B8444" s="405" t="s">
        <v>28438</v>
      </c>
      <c r="C8444" s="405" t="s">
        <v>327</v>
      </c>
      <c r="D8444" s="405"/>
      <c r="E8444" s="410">
        <v>40710</v>
      </c>
      <c r="F8444" s="410">
        <v>40755</v>
      </c>
      <c r="G8444" s="405" t="s">
        <v>1523</v>
      </c>
      <c r="H8444" s="405">
        <v>702740472</v>
      </c>
      <c r="I8444" s="405"/>
      <c r="J8444" s="405">
        <v>-0.39500469999999999</v>
      </c>
      <c r="K8444" s="405">
        <v>31.695496599999998</v>
      </c>
      <c r="L8444" s="405" t="s">
        <v>314</v>
      </c>
      <c r="M8444" s="405" t="s">
        <v>382</v>
      </c>
      <c r="N8444" s="405" t="s">
        <v>988</v>
      </c>
      <c r="O8444" s="405" t="s">
        <v>1260</v>
      </c>
      <c r="P8444" s="405" t="s">
        <v>1524</v>
      </c>
      <c r="Q8444" s="411">
        <v>6</v>
      </c>
      <c r="R8444" s="405" t="s">
        <v>402</v>
      </c>
      <c r="S8444" s="405" t="s">
        <v>27154</v>
      </c>
      <c r="T8444" s="405" t="s">
        <v>32102</v>
      </c>
      <c r="U8444" s="405" t="s">
        <v>319</v>
      </c>
    </row>
    <row r="8445" spans="1:21" hidden="1" x14ac:dyDescent="0.25">
      <c r="A8445" s="405" t="s">
        <v>310</v>
      </c>
      <c r="B8445" s="405" t="s">
        <v>1528</v>
      </c>
      <c r="C8445" s="405" t="s">
        <v>327</v>
      </c>
      <c r="D8445" s="405"/>
      <c r="E8445" s="410">
        <v>40710</v>
      </c>
      <c r="F8445" s="410">
        <v>40755</v>
      </c>
      <c r="G8445" s="405" t="s">
        <v>1529</v>
      </c>
      <c r="H8445" s="405">
        <v>712342312</v>
      </c>
      <c r="I8445" s="405"/>
      <c r="J8445" s="405">
        <v>0.39868749999999997</v>
      </c>
      <c r="K8445" s="405">
        <v>32.579081500000001</v>
      </c>
      <c r="L8445" s="405" t="s">
        <v>314</v>
      </c>
      <c r="M8445" s="405" t="s">
        <v>361</v>
      </c>
      <c r="N8445" s="405" t="s">
        <v>1165</v>
      </c>
      <c r="O8445" s="405" t="s">
        <v>370</v>
      </c>
      <c r="P8445" s="405" t="s">
        <v>1530</v>
      </c>
      <c r="Q8445" s="411">
        <v>6</v>
      </c>
      <c r="R8445" s="405" t="s">
        <v>353</v>
      </c>
      <c r="S8445" s="405" t="s">
        <v>27153</v>
      </c>
      <c r="T8445" s="405" t="s">
        <v>32102</v>
      </c>
      <c r="U8445" s="405" t="s">
        <v>319</v>
      </c>
    </row>
    <row r="8446" spans="1:21" hidden="1" x14ac:dyDescent="0.25">
      <c r="A8446" s="405" t="s">
        <v>310</v>
      </c>
      <c r="B8446" s="405" t="s">
        <v>27640</v>
      </c>
      <c r="C8446" s="405" t="s">
        <v>311</v>
      </c>
      <c r="D8446" s="405" t="s">
        <v>839</v>
      </c>
      <c r="E8446" s="410">
        <v>40709</v>
      </c>
      <c r="F8446" s="410">
        <v>40754</v>
      </c>
      <c r="G8446" s="405" t="s">
        <v>10813</v>
      </c>
      <c r="H8446" s="405">
        <v>772848795</v>
      </c>
      <c r="I8446" s="405"/>
      <c r="J8446" s="405">
        <v>1.2625630000000001</v>
      </c>
      <c r="K8446" s="405">
        <v>34.755878000000003</v>
      </c>
      <c r="L8446" s="405" t="s">
        <v>6866</v>
      </c>
      <c r="M8446" s="405" t="s">
        <v>10163</v>
      </c>
      <c r="N8446" s="405" t="s">
        <v>10164</v>
      </c>
      <c r="O8446" s="405" t="s">
        <v>10163</v>
      </c>
      <c r="P8446" s="405" t="s">
        <v>10814</v>
      </c>
      <c r="Q8446" s="411">
        <v>9</v>
      </c>
      <c r="R8446" s="405" t="s">
        <v>9541</v>
      </c>
      <c r="S8446" s="405" t="s">
        <v>27169</v>
      </c>
      <c r="T8446" s="405" t="s">
        <v>32102</v>
      </c>
      <c r="U8446" s="405" t="s">
        <v>319</v>
      </c>
    </row>
    <row r="8447" spans="1:21" hidden="1" x14ac:dyDescent="0.25">
      <c r="A8447" s="405" t="s">
        <v>310</v>
      </c>
      <c r="B8447" s="405" t="s">
        <v>10359</v>
      </c>
      <c r="C8447" s="405" t="s">
        <v>327</v>
      </c>
      <c r="D8447" s="405"/>
      <c r="E8447" s="410">
        <v>40709</v>
      </c>
      <c r="F8447" s="410">
        <v>40754</v>
      </c>
      <c r="G8447" s="405" t="s">
        <v>10360</v>
      </c>
      <c r="H8447" s="405">
        <v>777265471</v>
      </c>
      <c r="I8447" s="405"/>
      <c r="J8447" s="405">
        <v>1.550578</v>
      </c>
      <c r="K8447" s="405">
        <v>33.752253000000003</v>
      </c>
      <c r="L8447" s="405" t="s">
        <v>6866</v>
      </c>
      <c r="M8447" s="405" t="s">
        <v>10012</v>
      </c>
      <c r="N8447" s="405" t="s">
        <v>10012</v>
      </c>
      <c r="O8447" s="405" t="s">
        <v>10267</v>
      </c>
      <c r="P8447" s="405" t="s">
        <v>10356</v>
      </c>
      <c r="Q8447" s="411">
        <v>6</v>
      </c>
      <c r="R8447" s="405" t="s">
        <v>9541</v>
      </c>
      <c r="S8447" s="405" t="s">
        <v>27302</v>
      </c>
      <c r="T8447" s="405" t="s">
        <v>32102</v>
      </c>
      <c r="U8447" s="405" t="s">
        <v>319</v>
      </c>
    </row>
    <row r="8448" spans="1:21" hidden="1" x14ac:dyDescent="0.25">
      <c r="A8448" s="405" t="s">
        <v>310</v>
      </c>
      <c r="B8448" s="405" t="s">
        <v>1512</v>
      </c>
      <c r="C8448" s="405" t="s">
        <v>327</v>
      </c>
      <c r="D8448" s="405"/>
      <c r="E8448" s="410">
        <v>40709</v>
      </c>
      <c r="F8448" s="410">
        <v>40754</v>
      </c>
      <c r="G8448" s="405" t="s">
        <v>1513</v>
      </c>
      <c r="H8448" s="405">
        <v>772602067</v>
      </c>
      <c r="I8448" s="405">
        <v>701602067</v>
      </c>
      <c r="J8448" s="405">
        <v>-0.34227289999999999</v>
      </c>
      <c r="K8448" s="405">
        <v>31.7245773</v>
      </c>
      <c r="L8448" s="405" t="s">
        <v>314</v>
      </c>
      <c r="M8448" s="405" t="s">
        <v>382</v>
      </c>
      <c r="N8448" s="405" t="s">
        <v>383</v>
      </c>
      <c r="O8448" s="405" t="s">
        <v>1514</v>
      </c>
      <c r="P8448" s="405" t="s">
        <v>1515</v>
      </c>
      <c r="Q8448" s="411">
        <v>6</v>
      </c>
      <c r="R8448" s="405" t="s">
        <v>402</v>
      </c>
      <c r="S8448" s="405" t="s">
        <v>27052</v>
      </c>
      <c r="T8448" s="405" t="s">
        <v>32102</v>
      </c>
      <c r="U8448" s="405" t="s">
        <v>319</v>
      </c>
    </row>
    <row r="8449" spans="1:21" hidden="1" x14ac:dyDescent="0.25">
      <c r="A8449" s="405" t="s">
        <v>310</v>
      </c>
      <c r="B8449" s="405" t="s">
        <v>1525</v>
      </c>
      <c r="C8449" s="405" t="s">
        <v>327</v>
      </c>
      <c r="D8449" s="405"/>
      <c r="E8449" s="410">
        <v>40709</v>
      </c>
      <c r="F8449" s="410">
        <v>40754</v>
      </c>
      <c r="G8449" s="405" t="s">
        <v>1526</v>
      </c>
      <c r="H8449" s="405">
        <v>772539955</v>
      </c>
      <c r="I8449" s="405">
        <v>751539955</v>
      </c>
      <c r="J8449" s="405">
        <v>-0.35409639999999998</v>
      </c>
      <c r="K8449" s="405">
        <v>31.729536499999998</v>
      </c>
      <c r="L8449" s="405" t="s">
        <v>314</v>
      </c>
      <c r="M8449" s="405" t="s">
        <v>382</v>
      </c>
      <c r="N8449" s="405" t="s">
        <v>383</v>
      </c>
      <c r="O8449" s="405" t="s">
        <v>897</v>
      </c>
      <c r="P8449" s="405" t="s">
        <v>1187</v>
      </c>
      <c r="Q8449" s="411">
        <v>6</v>
      </c>
      <c r="R8449" s="405" t="s">
        <v>1527</v>
      </c>
      <c r="S8449" s="405" t="s">
        <v>27166</v>
      </c>
      <c r="T8449" s="405" t="s">
        <v>32102</v>
      </c>
      <c r="U8449" s="405" t="s">
        <v>319</v>
      </c>
    </row>
    <row r="8450" spans="1:21" hidden="1" x14ac:dyDescent="0.25">
      <c r="A8450" s="405" t="s">
        <v>310</v>
      </c>
      <c r="B8450" s="405" t="s">
        <v>10349</v>
      </c>
      <c r="C8450" s="405" t="s">
        <v>327</v>
      </c>
      <c r="D8450" s="405"/>
      <c r="E8450" s="410">
        <v>40709</v>
      </c>
      <c r="F8450" s="410">
        <v>40754</v>
      </c>
      <c r="G8450" s="405" t="s">
        <v>10350</v>
      </c>
      <c r="H8450" s="405">
        <v>775362424</v>
      </c>
      <c r="I8450" s="405"/>
      <c r="J8450" s="405">
        <v>1.386612</v>
      </c>
      <c r="K8450" s="405">
        <v>33.748756999999998</v>
      </c>
      <c r="L8450" s="405" t="s">
        <v>6866</v>
      </c>
      <c r="M8450" s="405" t="s">
        <v>10012</v>
      </c>
      <c r="N8450" s="405" t="s">
        <v>10012</v>
      </c>
      <c r="O8450" s="405" t="s">
        <v>10092</v>
      </c>
      <c r="P8450" s="405" t="s">
        <v>10351</v>
      </c>
      <c r="Q8450" s="411">
        <v>6</v>
      </c>
      <c r="R8450" s="405" t="s">
        <v>7224</v>
      </c>
      <c r="S8450" s="405" t="s">
        <v>27283</v>
      </c>
      <c r="T8450" s="405" t="s">
        <v>32102</v>
      </c>
      <c r="U8450" s="405" t="s">
        <v>319</v>
      </c>
    </row>
    <row r="8451" spans="1:21" hidden="1" x14ac:dyDescent="0.25">
      <c r="A8451" s="405" t="s">
        <v>310</v>
      </c>
      <c r="B8451" s="405" t="s">
        <v>28928</v>
      </c>
      <c r="C8451" s="405" t="s">
        <v>327</v>
      </c>
      <c r="D8451" s="405"/>
      <c r="E8451" s="410">
        <v>40709</v>
      </c>
      <c r="F8451" s="410">
        <v>40754</v>
      </c>
      <c r="G8451" s="405" t="s">
        <v>1531</v>
      </c>
      <c r="H8451" s="405">
        <v>754491121</v>
      </c>
      <c r="I8451" s="405"/>
      <c r="J8451" s="405">
        <v>-0.35601250000000001</v>
      </c>
      <c r="K8451" s="405">
        <v>31.726492400000001</v>
      </c>
      <c r="L8451" s="405" t="s">
        <v>314</v>
      </c>
      <c r="M8451" s="405" t="s">
        <v>900</v>
      </c>
      <c r="N8451" s="405" t="s">
        <v>900</v>
      </c>
      <c r="O8451" s="405" t="s">
        <v>900</v>
      </c>
      <c r="P8451" s="405" t="s">
        <v>1532</v>
      </c>
      <c r="Q8451" s="411">
        <v>6</v>
      </c>
      <c r="R8451" s="405" t="s">
        <v>402</v>
      </c>
      <c r="S8451" s="405" t="s">
        <v>27052</v>
      </c>
      <c r="T8451" s="405" t="s">
        <v>32102</v>
      </c>
      <c r="U8451" s="405" t="s">
        <v>319</v>
      </c>
    </row>
    <row r="8452" spans="1:21" hidden="1" x14ac:dyDescent="0.25">
      <c r="A8452" s="405" t="s">
        <v>310</v>
      </c>
      <c r="B8452" s="405" t="s">
        <v>1613</v>
      </c>
      <c r="C8452" s="405" t="s">
        <v>327</v>
      </c>
      <c r="D8452" s="405"/>
      <c r="E8452" s="410">
        <v>40708</v>
      </c>
      <c r="F8452" s="410">
        <v>40753</v>
      </c>
      <c r="G8452" s="405" t="s">
        <v>1614</v>
      </c>
      <c r="H8452" s="405">
        <v>774784195</v>
      </c>
      <c r="I8452" s="405"/>
      <c r="J8452" s="405">
        <v>0.573017</v>
      </c>
      <c r="K8452" s="405">
        <v>31.942723000000001</v>
      </c>
      <c r="L8452" s="405" t="s">
        <v>314</v>
      </c>
      <c r="M8452" s="405" t="s">
        <v>675</v>
      </c>
      <c r="N8452" s="405" t="s">
        <v>675</v>
      </c>
      <c r="O8452" s="405" t="s">
        <v>1615</v>
      </c>
      <c r="P8452" s="405" t="s">
        <v>1456</v>
      </c>
      <c r="Q8452" s="411">
        <v>6</v>
      </c>
      <c r="R8452" s="405" t="s">
        <v>318</v>
      </c>
      <c r="S8452" s="405" t="s">
        <v>414</v>
      </c>
      <c r="T8452" s="405" t="s">
        <v>32102</v>
      </c>
      <c r="U8452" s="405" t="s">
        <v>319</v>
      </c>
    </row>
    <row r="8453" spans="1:21" hidden="1" x14ac:dyDescent="0.25">
      <c r="A8453" s="405" t="s">
        <v>310</v>
      </c>
      <c r="B8453" s="405" t="s">
        <v>1573</v>
      </c>
      <c r="C8453" s="405" t="s">
        <v>327</v>
      </c>
      <c r="D8453" s="405"/>
      <c r="E8453" s="410">
        <v>40707</v>
      </c>
      <c r="F8453" s="410">
        <v>40752</v>
      </c>
      <c r="G8453" s="405" t="s">
        <v>1574</v>
      </c>
      <c r="H8453" s="405">
        <v>772418038</v>
      </c>
      <c r="I8453" s="405"/>
      <c r="J8453" s="405">
        <v>-0.268812</v>
      </c>
      <c r="K8453" s="405">
        <v>31.648154999999999</v>
      </c>
      <c r="L8453" s="405" t="s">
        <v>314</v>
      </c>
      <c r="M8453" s="405" t="s">
        <v>1080</v>
      </c>
      <c r="N8453" s="405" t="s">
        <v>1080</v>
      </c>
      <c r="O8453" s="405" t="s">
        <v>1082</v>
      </c>
      <c r="P8453" s="405" t="s">
        <v>1575</v>
      </c>
      <c r="Q8453" s="411">
        <v>9</v>
      </c>
      <c r="R8453" s="405" t="s">
        <v>402</v>
      </c>
      <c r="S8453" s="405" t="s">
        <v>27170</v>
      </c>
      <c r="T8453" s="405" t="s">
        <v>32102</v>
      </c>
      <c r="U8453" s="405" t="s">
        <v>319</v>
      </c>
    </row>
    <row r="8454" spans="1:21" hidden="1" x14ac:dyDescent="0.25">
      <c r="A8454" s="405" t="s">
        <v>310</v>
      </c>
      <c r="B8454" s="405" t="s">
        <v>1610</v>
      </c>
      <c r="C8454" s="405" t="s">
        <v>327</v>
      </c>
      <c r="D8454" s="405"/>
      <c r="E8454" s="410">
        <v>40707</v>
      </c>
      <c r="F8454" s="410">
        <v>40752</v>
      </c>
      <c r="G8454" s="405" t="s">
        <v>1611</v>
      </c>
      <c r="H8454" s="405">
        <v>777670589</v>
      </c>
      <c r="I8454" s="405"/>
      <c r="J8454" s="405">
        <v>-0.26041799999999998</v>
      </c>
      <c r="K8454" s="405">
        <v>31.613593000000002</v>
      </c>
      <c r="L8454" s="405" t="s">
        <v>314</v>
      </c>
      <c r="M8454" s="405" t="s">
        <v>1080</v>
      </c>
      <c r="N8454" s="405" t="s">
        <v>1080</v>
      </c>
      <c r="O8454" s="405" t="s">
        <v>1082</v>
      </c>
      <c r="P8454" s="405" t="s">
        <v>1612</v>
      </c>
      <c r="Q8454" s="411">
        <v>6</v>
      </c>
      <c r="R8454" s="405" t="s">
        <v>333</v>
      </c>
      <c r="S8454" s="405" t="s">
        <v>27112</v>
      </c>
      <c r="T8454" s="405" t="s">
        <v>32102</v>
      </c>
      <c r="U8454" s="405" t="s">
        <v>319</v>
      </c>
    </row>
    <row r="8455" spans="1:21" hidden="1" x14ac:dyDescent="0.25">
      <c r="A8455" s="405" t="s">
        <v>310</v>
      </c>
      <c r="B8455" s="405" t="s">
        <v>1550</v>
      </c>
      <c r="C8455" s="405" t="s">
        <v>327</v>
      </c>
      <c r="D8455" s="405"/>
      <c r="E8455" s="410">
        <v>40706</v>
      </c>
      <c r="F8455" s="410">
        <v>40751</v>
      </c>
      <c r="G8455" s="405" t="s">
        <v>1551</v>
      </c>
      <c r="H8455" s="405">
        <v>701407118</v>
      </c>
      <c r="I8455" s="405">
        <v>772407118</v>
      </c>
      <c r="J8455" s="405">
        <v>-0.361757</v>
      </c>
      <c r="K8455" s="405">
        <v>31.546786999999998</v>
      </c>
      <c r="L8455" s="405" t="s">
        <v>314</v>
      </c>
      <c r="M8455" s="405" t="s">
        <v>1189</v>
      </c>
      <c r="N8455" s="405" t="s">
        <v>1552</v>
      </c>
      <c r="O8455" s="405" t="s">
        <v>1553</v>
      </c>
      <c r="P8455" s="405" t="s">
        <v>1554</v>
      </c>
      <c r="Q8455" s="411">
        <v>9</v>
      </c>
      <c r="R8455" s="405" t="s">
        <v>402</v>
      </c>
      <c r="S8455" s="405" t="s">
        <v>27121</v>
      </c>
      <c r="T8455" s="405" t="s">
        <v>32102</v>
      </c>
      <c r="U8455" s="405" t="s">
        <v>319</v>
      </c>
    </row>
    <row r="8456" spans="1:21" hidden="1" x14ac:dyDescent="0.25">
      <c r="A8456" s="405" t="s">
        <v>310</v>
      </c>
      <c r="B8456" s="405" t="s">
        <v>2044</v>
      </c>
      <c r="C8456" s="405" t="s">
        <v>311</v>
      </c>
      <c r="D8456" s="405" t="s">
        <v>839</v>
      </c>
      <c r="E8456" s="410">
        <v>40706</v>
      </c>
      <c r="F8456" s="410">
        <v>40751</v>
      </c>
      <c r="G8456" s="405" t="s">
        <v>2045</v>
      </c>
      <c r="H8456" s="405">
        <v>751366888</v>
      </c>
      <c r="I8456" s="405">
        <v>772075366</v>
      </c>
      <c r="J8456" s="405">
        <v>-0.36297299999999999</v>
      </c>
      <c r="K8456" s="405">
        <v>31.677579999999999</v>
      </c>
      <c r="L8456" s="405" t="s">
        <v>314</v>
      </c>
      <c r="M8456" s="405" t="s">
        <v>1189</v>
      </c>
      <c r="N8456" s="405" t="s">
        <v>2046</v>
      </c>
      <c r="O8456" s="405" t="s">
        <v>1581</v>
      </c>
      <c r="P8456" s="405" t="s">
        <v>2047</v>
      </c>
      <c r="Q8456" s="411">
        <v>9</v>
      </c>
      <c r="R8456" s="405" t="s">
        <v>402</v>
      </c>
      <c r="S8456" s="405" t="s">
        <v>27052</v>
      </c>
      <c r="T8456" s="405" t="s">
        <v>32102</v>
      </c>
      <c r="U8456" s="405" t="s">
        <v>319</v>
      </c>
    </row>
    <row r="8457" spans="1:21" hidden="1" x14ac:dyDescent="0.25">
      <c r="A8457" s="405" t="s">
        <v>310</v>
      </c>
      <c r="B8457" s="405" t="s">
        <v>89</v>
      </c>
      <c r="C8457" s="405" t="s">
        <v>327</v>
      </c>
      <c r="D8457" s="405"/>
      <c r="E8457" s="410">
        <v>40706</v>
      </c>
      <c r="F8457" s="410">
        <v>40751</v>
      </c>
      <c r="G8457" s="405" t="s">
        <v>1571</v>
      </c>
      <c r="H8457" s="405">
        <v>774200258</v>
      </c>
      <c r="I8457" s="405">
        <v>706275562</v>
      </c>
      <c r="J8457" s="405">
        <v>-0.34125800000000001</v>
      </c>
      <c r="K8457" s="405">
        <v>31.759155</v>
      </c>
      <c r="L8457" s="405" t="s">
        <v>314</v>
      </c>
      <c r="M8457" s="405" t="s">
        <v>382</v>
      </c>
      <c r="N8457" s="405" t="s">
        <v>941</v>
      </c>
      <c r="O8457" s="405" t="s">
        <v>1572</v>
      </c>
      <c r="P8457" s="405" t="s">
        <v>943</v>
      </c>
      <c r="Q8457" s="411">
        <v>6</v>
      </c>
      <c r="R8457" s="405" t="s">
        <v>333</v>
      </c>
      <c r="S8457" s="405" t="s">
        <v>27132</v>
      </c>
      <c r="T8457" s="405" t="s">
        <v>32102</v>
      </c>
      <c r="U8457" s="405" t="s">
        <v>319</v>
      </c>
    </row>
    <row r="8458" spans="1:21" hidden="1" x14ac:dyDescent="0.25">
      <c r="A8458" s="405" t="s">
        <v>310</v>
      </c>
      <c r="B8458" s="405" t="s">
        <v>28301</v>
      </c>
      <c r="C8458" s="405" t="s">
        <v>311</v>
      </c>
      <c r="D8458" s="405" t="s">
        <v>839</v>
      </c>
      <c r="E8458" s="410">
        <v>40706</v>
      </c>
      <c r="F8458" s="410">
        <v>40751</v>
      </c>
      <c r="G8458" s="405" t="s">
        <v>1995</v>
      </c>
      <c r="H8458" s="405">
        <v>753978263</v>
      </c>
      <c r="I8458" s="405">
        <v>778742561</v>
      </c>
      <c r="J8458" s="405">
        <v>-0.26587333333333335</v>
      </c>
      <c r="K8458" s="405">
        <v>31.735273333333332</v>
      </c>
      <c r="L8458" s="405" t="s">
        <v>314</v>
      </c>
      <c r="M8458" s="405" t="s">
        <v>900</v>
      </c>
      <c r="N8458" s="405" t="s">
        <v>900</v>
      </c>
      <c r="O8458" s="405" t="s">
        <v>900</v>
      </c>
      <c r="P8458" s="405" t="s">
        <v>1996</v>
      </c>
      <c r="Q8458" s="411">
        <v>6</v>
      </c>
      <c r="R8458" s="405" t="s">
        <v>353</v>
      </c>
      <c r="S8458" s="405" t="s">
        <v>27153</v>
      </c>
      <c r="T8458" s="405" t="s">
        <v>32102</v>
      </c>
      <c r="U8458" s="405" t="s">
        <v>319</v>
      </c>
    </row>
    <row r="8459" spans="1:21" hidden="1" x14ac:dyDescent="0.25">
      <c r="A8459" s="405" t="s">
        <v>310</v>
      </c>
      <c r="B8459" s="405" t="s">
        <v>28338</v>
      </c>
      <c r="C8459" s="405" t="s">
        <v>327</v>
      </c>
      <c r="D8459" s="405"/>
      <c r="E8459" s="410">
        <v>40706</v>
      </c>
      <c r="F8459" s="410">
        <v>40751</v>
      </c>
      <c r="G8459" s="405" t="s">
        <v>1522</v>
      </c>
      <c r="H8459" s="405">
        <v>772307458</v>
      </c>
      <c r="I8459" s="405">
        <v>756307458</v>
      </c>
      <c r="J8459" s="405">
        <v>-0.26587333333333335</v>
      </c>
      <c r="K8459" s="405">
        <v>31.735273333333332</v>
      </c>
      <c r="L8459" s="405" t="s">
        <v>314</v>
      </c>
      <c r="M8459" s="405" t="s">
        <v>900</v>
      </c>
      <c r="N8459" s="405" t="s">
        <v>900</v>
      </c>
      <c r="O8459" s="405" t="s">
        <v>900</v>
      </c>
      <c r="P8459" s="405" t="s">
        <v>1392</v>
      </c>
      <c r="Q8459" s="411">
        <v>6</v>
      </c>
      <c r="R8459" s="405" t="s">
        <v>402</v>
      </c>
      <c r="S8459" s="405" t="s">
        <v>27073</v>
      </c>
      <c r="T8459" s="405" t="s">
        <v>32102</v>
      </c>
      <c r="U8459" s="405" t="s">
        <v>319</v>
      </c>
    </row>
    <row r="8460" spans="1:21" hidden="1" x14ac:dyDescent="0.25">
      <c r="A8460" s="405" t="s">
        <v>310</v>
      </c>
      <c r="B8460" s="405" t="s">
        <v>10367</v>
      </c>
      <c r="C8460" s="405" t="s">
        <v>327</v>
      </c>
      <c r="D8460" s="405"/>
      <c r="E8460" s="410">
        <v>40706</v>
      </c>
      <c r="F8460" s="410">
        <v>40751</v>
      </c>
      <c r="G8460" s="405" t="s">
        <v>10368</v>
      </c>
      <c r="H8460" s="405">
        <v>779959406</v>
      </c>
      <c r="I8460" s="405">
        <v>779960679</v>
      </c>
      <c r="J8460" s="405">
        <v>1.444798</v>
      </c>
      <c r="K8460" s="405">
        <v>34.103617999999997</v>
      </c>
      <c r="L8460" s="405" t="s">
        <v>6866</v>
      </c>
      <c r="M8460" s="405" t="s">
        <v>9504</v>
      </c>
      <c r="N8460" s="405" t="s">
        <v>9504</v>
      </c>
      <c r="O8460" s="405" t="s">
        <v>10105</v>
      </c>
      <c r="P8460" s="405" t="s">
        <v>9932</v>
      </c>
      <c r="Q8460" s="411">
        <v>6</v>
      </c>
      <c r="R8460" s="405" t="s">
        <v>32478</v>
      </c>
      <c r="S8460" s="405" t="s">
        <v>27127</v>
      </c>
      <c r="T8460" s="405" t="s">
        <v>32102</v>
      </c>
      <c r="U8460" s="405" t="s">
        <v>319</v>
      </c>
    </row>
    <row r="8461" spans="1:21" hidden="1" x14ac:dyDescent="0.25">
      <c r="A8461" s="405" t="s">
        <v>310</v>
      </c>
      <c r="B8461" s="405" t="s">
        <v>20122</v>
      </c>
      <c r="C8461" s="405" t="s">
        <v>327</v>
      </c>
      <c r="D8461" s="405"/>
      <c r="E8461" s="410">
        <v>40706</v>
      </c>
      <c r="F8461" s="410">
        <v>40751</v>
      </c>
      <c r="G8461" s="405" t="s">
        <v>20123</v>
      </c>
      <c r="H8461" s="405">
        <v>703405595</v>
      </c>
      <c r="I8461" s="405"/>
      <c r="J8461" s="405">
        <v>-0.80402700000000005</v>
      </c>
      <c r="K8461" s="405">
        <v>29.851963000000001</v>
      </c>
      <c r="L8461" s="405" t="s">
        <v>590</v>
      </c>
      <c r="M8461" s="405" t="s">
        <v>19619</v>
      </c>
      <c r="N8461" s="405" t="s">
        <v>19793</v>
      </c>
      <c r="O8461" s="405" t="s">
        <v>19794</v>
      </c>
      <c r="P8461" s="405" t="s">
        <v>19854</v>
      </c>
      <c r="Q8461" s="411">
        <v>6</v>
      </c>
      <c r="R8461" s="405" t="s">
        <v>19622</v>
      </c>
      <c r="S8461" s="405" t="s">
        <v>27220</v>
      </c>
      <c r="T8461" s="405" t="s">
        <v>32102</v>
      </c>
      <c r="U8461" s="405" t="s">
        <v>319</v>
      </c>
    </row>
    <row r="8462" spans="1:21" hidden="1" x14ac:dyDescent="0.25">
      <c r="A8462" s="405" t="s">
        <v>310</v>
      </c>
      <c r="B8462" s="405" t="s">
        <v>1587</v>
      </c>
      <c r="C8462" s="405" t="s">
        <v>327</v>
      </c>
      <c r="D8462" s="405"/>
      <c r="E8462" s="410">
        <v>40706</v>
      </c>
      <c r="F8462" s="410">
        <v>40751</v>
      </c>
      <c r="G8462" s="405" t="s">
        <v>1588</v>
      </c>
      <c r="H8462" s="405">
        <v>753451701</v>
      </c>
      <c r="I8462" s="405"/>
      <c r="J8462" s="405">
        <v>0.30888199999999999</v>
      </c>
      <c r="K8462" s="405">
        <v>32.008747999999997</v>
      </c>
      <c r="L8462" s="405" t="s">
        <v>314</v>
      </c>
      <c r="M8462" s="405" t="s">
        <v>675</v>
      </c>
      <c r="N8462" s="405" t="s">
        <v>676</v>
      </c>
      <c r="O8462" s="405" t="s">
        <v>1589</v>
      </c>
      <c r="P8462" s="405" t="s">
        <v>1590</v>
      </c>
      <c r="Q8462" s="411">
        <v>6</v>
      </c>
      <c r="R8462" s="405" t="s">
        <v>318</v>
      </c>
      <c r="S8462" s="405" t="s">
        <v>27141</v>
      </c>
      <c r="T8462" s="405" t="s">
        <v>32102</v>
      </c>
      <c r="U8462" s="405" t="s">
        <v>319</v>
      </c>
    </row>
    <row r="8463" spans="1:21" hidden="1" x14ac:dyDescent="0.25">
      <c r="A8463" s="405" t="s">
        <v>310</v>
      </c>
      <c r="B8463" s="405" t="s">
        <v>1987</v>
      </c>
      <c r="C8463" s="405" t="s">
        <v>311</v>
      </c>
      <c r="D8463" s="405" t="s">
        <v>839</v>
      </c>
      <c r="E8463" s="410">
        <v>40706</v>
      </c>
      <c r="F8463" s="410">
        <v>40751</v>
      </c>
      <c r="G8463" s="405" t="s">
        <v>1988</v>
      </c>
      <c r="H8463" s="405">
        <v>753458253</v>
      </c>
      <c r="I8463" s="405"/>
      <c r="J8463" s="405">
        <v>0.39783800000000002</v>
      </c>
      <c r="K8463" s="405">
        <v>32.181997000000003</v>
      </c>
      <c r="L8463" s="405" t="s">
        <v>314</v>
      </c>
      <c r="M8463" s="405" t="s">
        <v>675</v>
      </c>
      <c r="N8463" s="405" t="s">
        <v>1065</v>
      </c>
      <c r="O8463" s="405" t="s">
        <v>1374</v>
      </c>
      <c r="P8463" s="405" t="s">
        <v>1634</v>
      </c>
      <c r="Q8463" s="411">
        <v>6</v>
      </c>
      <c r="R8463" s="405" t="s">
        <v>318</v>
      </c>
      <c r="S8463" s="405" t="s">
        <v>27125</v>
      </c>
      <c r="T8463" s="405" t="s">
        <v>32102</v>
      </c>
      <c r="U8463" s="405" t="s">
        <v>319</v>
      </c>
    </row>
    <row r="8464" spans="1:21" hidden="1" x14ac:dyDescent="0.25">
      <c r="A8464" s="405" t="s">
        <v>310</v>
      </c>
      <c r="B8464" s="405" t="s">
        <v>10328</v>
      </c>
      <c r="C8464" s="405" t="s">
        <v>327</v>
      </c>
      <c r="D8464" s="405"/>
      <c r="E8464" s="410">
        <v>40706</v>
      </c>
      <c r="F8464" s="410">
        <v>40751</v>
      </c>
      <c r="G8464" s="405" t="s">
        <v>10329</v>
      </c>
      <c r="H8464" s="405">
        <v>752893464</v>
      </c>
      <c r="I8464" s="405">
        <v>75289342</v>
      </c>
      <c r="J8464" s="405">
        <v>1.06626</v>
      </c>
      <c r="K8464" s="405">
        <v>34.191189999999999</v>
      </c>
      <c r="L8464" s="405" t="s">
        <v>6866</v>
      </c>
      <c r="M8464" s="405" t="s">
        <v>9514</v>
      </c>
      <c r="N8464" s="405" t="s">
        <v>9529</v>
      </c>
      <c r="O8464" s="405" t="s">
        <v>9516</v>
      </c>
      <c r="P8464" s="405" t="s">
        <v>10330</v>
      </c>
      <c r="Q8464" s="411">
        <v>6</v>
      </c>
      <c r="R8464" s="405" t="s">
        <v>7224</v>
      </c>
      <c r="S8464" s="405" t="s">
        <v>17062</v>
      </c>
      <c r="T8464" s="405" t="s">
        <v>32102</v>
      </c>
      <c r="U8464" s="405" t="s">
        <v>319</v>
      </c>
    </row>
    <row r="8465" spans="1:21" hidden="1" x14ac:dyDescent="0.25">
      <c r="A8465" s="405" t="s">
        <v>310</v>
      </c>
      <c r="B8465" s="405" t="s">
        <v>10361</v>
      </c>
      <c r="C8465" s="405" t="s">
        <v>327</v>
      </c>
      <c r="D8465" s="405"/>
      <c r="E8465" s="410">
        <v>40705</v>
      </c>
      <c r="F8465" s="410">
        <v>40750</v>
      </c>
      <c r="G8465" s="405" t="s">
        <v>10362</v>
      </c>
      <c r="H8465" s="405">
        <v>772483643</v>
      </c>
      <c r="I8465" s="405"/>
      <c r="J8465" s="405">
        <v>1.6546700000000001</v>
      </c>
      <c r="K8465" s="405">
        <v>33.813229999999997</v>
      </c>
      <c r="L8465" s="405" t="s">
        <v>6866</v>
      </c>
      <c r="M8465" s="405" t="s">
        <v>10012</v>
      </c>
      <c r="N8465" s="405" t="s">
        <v>10012</v>
      </c>
      <c r="O8465" s="405" t="s">
        <v>10267</v>
      </c>
      <c r="P8465" s="405" t="s">
        <v>10036</v>
      </c>
      <c r="Q8465" s="411">
        <v>9</v>
      </c>
      <c r="R8465" s="405" t="s">
        <v>7224</v>
      </c>
      <c r="S8465" s="405" t="s">
        <v>17062</v>
      </c>
      <c r="T8465" s="405" t="s">
        <v>32102</v>
      </c>
      <c r="U8465" s="405" t="s">
        <v>319</v>
      </c>
    </row>
    <row r="8466" spans="1:21" hidden="1" x14ac:dyDescent="0.25">
      <c r="A8466" s="405" t="s">
        <v>310</v>
      </c>
      <c r="B8466" s="405" t="s">
        <v>1591</v>
      </c>
      <c r="C8466" s="405" t="s">
        <v>327</v>
      </c>
      <c r="D8466" s="405"/>
      <c r="E8466" s="410">
        <v>40705</v>
      </c>
      <c r="F8466" s="410">
        <v>40750</v>
      </c>
      <c r="G8466" s="405" t="s">
        <v>1592</v>
      </c>
      <c r="H8466" s="405">
        <v>782354033</v>
      </c>
      <c r="I8466" s="405">
        <v>752354033</v>
      </c>
      <c r="J8466" s="405">
        <v>0.266845</v>
      </c>
      <c r="K8466" s="405">
        <v>32.879719999999999</v>
      </c>
      <c r="L8466" s="405" t="s">
        <v>314</v>
      </c>
      <c r="M8466" s="405" t="s">
        <v>329</v>
      </c>
      <c r="N8466" s="405" t="s">
        <v>803</v>
      </c>
      <c r="O8466" s="405" t="s">
        <v>653</v>
      </c>
      <c r="P8466" s="405" t="s">
        <v>1593</v>
      </c>
      <c r="Q8466" s="411">
        <v>6</v>
      </c>
      <c r="R8466" s="405" t="s">
        <v>353</v>
      </c>
      <c r="S8466" s="405" t="s">
        <v>27034</v>
      </c>
      <c r="T8466" s="405" t="s">
        <v>32102</v>
      </c>
      <c r="U8466" s="405" t="s">
        <v>319</v>
      </c>
    </row>
    <row r="8467" spans="1:21" hidden="1" x14ac:dyDescent="0.25">
      <c r="A8467" s="405" t="s">
        <v>310</v>
      </c>
      <c r="B8467" s="405" t="s">
        <v>2057</v>
      </c>
      <c r="C8467" s="405" t="s">
        <v>857</v>
      </c>
      <c r="D8467" s="405" t="s">
        <v>33106</v>
      </c>
      <c r="E8467" s="410">
        <v>40705</v>
      </c>
      <c r="F8467" s="410">
        <v>40750</v>
      </c>
      <c r="G8467" s="405" t="s">
        <v>2058</v>
      </c>
      <c r="H8467" s="405">
        <v>702086982</v>
      </c>
      <c r="I8467" s="405"/>
      <c r="J8467" s="405">
        <v>-0.34216000000000002</v>
      </c>
      <c r="K8467" s="405">
        <v>31.690816999999999</v>
      </c>
      <c r="L8467" s="405" t="s">
        <v>314</v>
      </c>
      <c r="M8467" s="405" t="s">
        <v>1189</v>
      </c>
      <c r="N8467" s="405" t="s">
        <v>1481</v>
      </c>
      <c r="O8467" s="405" t="s">
        <v>1953</v>
      </c>
      <c r="P8467" s="405" t="s">
        <v>2059</v>
      </c>
      <c r="Q8467" s="411">
        <v>6</v>
      </c>
      <c r="R8467" s="405" t="s">
        <v>2060</v>
      </c>
      <c r="S8467" s="405" t="s">
        <v>27166</v>
      </c>
      <c r="T8467" s="405" t="s">
        <v>32102</v>
      </c>
      <c r="U8467" s="405" t="s">
        <v>319</v>
      </c>
    </row>
    <row r="8468" spans="1:21" hidden="1" x14ac:dyDescent="0.25">
      <c r="A8468" s="405" t="s">
        <v>310</v>
      </c>
      <c r="B8468" s="405" t="s">
        <v>1606</v>
      </c>
      <c r="C8468" s="405" t="s">
        <v>327</v>
      </c>
      <c r="D8468" s="405"/>
      <c r="E8468" s="410">
        <v>40704</v>
      </c>
      <c r="F8468" s="410">
        <v>40749</v>
      </c>
      <c r="G8468" s="405" t="s">
        <v>1607</v>
      </c>
      <c r="H8468" s="405">
        <v>775399110</v>
      </c>
      <c r="I8468" s="405"/>
      <c r="J8468" s="405">
        <v>0.53324300000000002</v>
      </c>
      <c r="K8468" s="405">
        <v>32.171593000000001</v>
      </c>
      <c r="L8468" s="405" t="s">
        <v>314</v>
      </c>
      <c r="M8468" s="405" t="s">
        <v>675</v>
      </c>
      <c r="N8468" s="405" t="s">
        <v>675</v>
      </c>
      <c r="O8468" s="405" t="s">
        <v>1608</v>
      </c>
      <c r="P8468" s="405" t="s">
        <v>1609</v>
      </c>
      <c r="Q8468" s="411">
        <v>12</v>
      </c>
      <c r="R8468" s="405" t="s">
        <v>318</v>
      </c>
      <c r="S8468" s="405" t="s">
        <v>27108</v>
      </c>
      <c r="T8468" s="405" t="s">
        <v>32102</v>
      </c>
      <c r="U8468" s="405" t="s">
        <v>319</v>
      </c>
    </row>
    <row r="8469" spans="1:21" hidden="1" x14ac:dyDescent="0.25">
      <c r="A8469" s="405" t="s">
        <v>310</v>
      </c>
      <c r="B8469" s="405" t="s">
        <v>10374</v>
      </c>
      <c r="C8469" s="405" t="s">
        <v>327</v>
      </c>
      <c r="D8469" s="405"/>
      <c r="E8469" s="410">
        <v>40704</v>
      </c>
      <c r="F8469" s="410">
        <v>40749</v>
      </c>
      <c r="G8469" s="405" t="s">
        <v>10375</v>
      </c>
      <c r="H8469" s="405">
        <v>772411184</v>
      </c>
      <c r="I8469" s="405"/>
      <c r="J8469" s="405">
        <v>1.17713</v>
      </c>
      <c r="K8469" s="405">
        <v>33.716876999999997</v>
      </c>
      <c r="L8469" s="405" t="s">
        <v>6866</v>
      </c>
      <c r="M8469" s="405" t="s">
        <v>9509</v>
      </c>
      <c r="N8469" s="405" t="s">
        <v>9509</v>
      </c>
      <c r="O8469" s="405" t="s">
        <v>10376</v>
      </c>
      <c r="P8469" s="405" t="s">
        <v>10377</v>
      </c>
      <c r="Q8469" s="411">
        <v>9</v>
      </c>
      <c r="R8469" s="405" t="s">
        <v>9541</v>
      </c>
      <c r="S8469" s="405" t="s">
        <v>27296</v>
      </c>
      <c r="T8469" s="405" t="s">
        <v>32102</v>
      </c>
      <c r="U8469" s="405" t="s">
        <v>319</v>
      </c>
    </row>
    <row r="8470" spans="1:21" hidden="1" x14ac:dyDescent="0.25">
      <c r="A8470" s="405" t="s">
        <v>310</v>
      </c>
      <c r="B8470" s="405" t="s">
        <v>10341</v>
      </c>
      <c r="C8470" s="405" t="s">
        <v>327</v>
      </c>
      <c r="D8470" s="405"/>
      <c r="E8470" s="410">
        <v>40704</v>
      </c>
      <c r="F8470" s="410">
        <v>40749</v>
      </c>
      <c r="G8470" s="405" t="s">
        <v>10342</v>
      </c>
      <c r="H8470" s="405">
        <v>702917742</v>
      </c>
      <c r="I8470" s="405">
        <v>782756242</v>
      </c>
      <c r="J8470" s="405">
        <v>0.75201600000000002</v>
      </c>
      <c r="K8470" s="405">
        <v>34.166122999999999</v>
      </c>
      <c r="L8470" s="405" t="s">
        <v>6866</v>
      </c>
      <c r="M8470" s="405" t="s">
        <v>9534</v>
      </c>
      <c r="N8470" s="405" t="s">
        <v>10113</v>
      </c>
      <c r="O8470" s="405" t="s">
        <v>9770</v>
      </c>
      <c r="P8470" s="405" t="s">
        <v>10343</v>
      </c>
      <c r="Q8470" s="411">
        <v>4</v>
      </c>
      <c r="R8470" s="405" t="s">
        <v>7224</v>
      </c>
      <c r="S8470" s="405" t="s">
        <v>27310</v>
      </c>
      <c r="T8470" s="405" t="s">
        <v>32102</v>
      </c>
      <c r="U8470" s="405" t="s">
        <v>319</v>
      </c>
    </row>
    <row r="8471" spans="1:21" hidden="1" x14ac:dyDescent="0.25">
      <c r="A8471" s="405" t="s">
        <v>310</v>
      </c>
      <c r="B8471" s="405" t="s">
        <v>1579</v>
      </c>
      <c r="C8471" s="405" t="s">
        <v>327</v>
      </c>
      <c r="D8471" s="405"/>
      <c r="E8471" s="410">
        <v>40703</v>
      </c>
      <c r="F8471" s="410">
        <v>40748</v>
      </c>
      <c r="G8471" s="405" t="s">
        <v>1580</v>
      </c>
      <c r="H8471" s="405">
        <v>703445765</v>
      </c>
      <c r="I8471" s="405">
        <v>772412886</v>
      </c>
      <c r="J8471" s="405">
        <v>-0.31084499999999998</v>
      </c>
      <c r="K8471" s="405">
        <v>31.606400000000001</v>
      </c>
      <c r="L8471" s="405" t="s">
        <v>314</v>
      </c>
      <c r="M8471" s="405" t="s">
        <v>1189</v>
      </c>
      <c r="N8471" s="405" t="s">
        <v>1481</v>
      </c>
      <c r="O8471" s="405" t="s">
        <v>1581</v>
      </c>
      <c r="P8471" s="405" t="s">
        <v>1582</v>
      </c>
      <c r="Q8471" s="411">
        <v>6</v>
      </c>
      <c r="R8471" s="405" t="s">
        <v>402</v>
      </c>
      <c r="S8471" s="405" t="s">
        <v>27121</v>
      </c>
      <c r="T8471" s="405" t="s">
        <v>32102</v>
      </c>
      <c r="U8471" s="405" t="s">
        <v>319</v>
      </c>
    </row>
    <row r="8472" spans="1:21" hidden="1" x14ac:dyDescent="0.25">
      <c r="A8472" s="405" t="s">
        <v>310</v>
      </c>
      <c r="B8472" s="405" t="s">
        <v>10372</v>
      </c>
      <c r="C8472" s="405" t="s">
        <v>327</v>
      </c>
      <c r="D8472" s="405"/>
      <c r="E8472" s="410">
        <v>40702</v>
      </c>
      <c r="F8472" s="410">
        <v>40747</v>
      </c>
      <c r="G8472" s="405" t="s">
        <v>10373</v>
      </c>
      <c r="H8472" s="405">
        <v>779465418</v>
      </c>
      <c r="I8472" s="405"/>
      <c r="J8472" s="405">
        <v>1.078627</v>
      </c>
      <c r="K8472" s="405">
        <v>34.274994999999997</v>
      </c>
      <c r="L8472" s="405" t="s">
        <v>6866</v>
      </c>
      <c r="M8472" s="405" t="s">
        <v>9514</v>
      </c>
      <c r="N8472" s="405" t="s">
        <v>9529</v>
      </c>
      <c r="O8472" s="405" t="s">
        <v>10139</v>
      </c>
      <c r="P8472" s="405" t="s">
        <v>10281</v>
      </c>
      <c r="Q8472" s="411">
        <v>6</v>
      </c>
      <c r="R8472" s="405" t="s">
        <v>7224</v>
      </c>
      <c r="S8472" s="405" t="s">
        <v>27107</v>
      </c>
      <c r="T8472" s="405" t="s">
        <v>32102</v>
      </c>
      <c r="U8472" s="405" t="s">
        <v>319</v>
      </c>
    </row>
    <row r="8473" spans="1:21" hidden="1" x14ac:dyDescent="0.25">
      <c r="A8473" s="405" t="s">
        <v>310</v>
      </c>
      <c r="B8473" s="405" t="s">
        <v>28336</v>
      </c>
      <c r="C8473" s="405" t="s">
        <v>327</v>
      </c>
      <c r="D8473" s="405"/>
      <c r="E8473" s="410">
        <v>40701</v>
      </c>
      <c r="F8473" s="410">
        <v>40746</v>
      </c>
      <c r="G8473" s="405" t="s">
        <v>1520</v>
      </c>
      <c r="H8473" s="405">
        <v>757753333</v>
      </c>
      <c r="I8473" s="405"/>
      <c r="J8473" s="405">
        <v>-0.26587333333333335</v>
      </c>
      <c r="K8473" s="405">
        <v>31.735273333333332</v>
      </c>
      <c r="L8473" s="405" t="s">
        <v>314</v>
      </c>
      <c r="M8473" s="405" t="s">
        <v>900</v>
      </c>
      <c r="N8473" s="405" t="s">
        <v>900</v>
      </c>
      <c r="O8473" s="405" t="s">
        <v>900</v>
      </c>
      <c r="P8473" s="405" t="s">
        <v>1521</v>
      </c>
      <c r="Q8473" s="411">
        <v>6</v>
      </c>
      <c r="R8473" s="405" t="s">
        <v>318</v>
      </c>
      <c r="S8473" s="405" t="s">
        <v>27106</v>
      </c>
      <c r="T8473" s="405" t="s">
        <v>32102</v>
      </c>
      <c r="U8473" s="405" t="s">
        <v>319</v>
      </c>
    </row>
    <row r="8474" spans="1:21" hidden="1" x14ac:dyDescent="0.25">
      <c r="A8474" s="405" t="s">
        <v>310</v>
      </c>
      <c r="B8474" s="405" t="s">
        <v>10338</v>
      </c>
      <c r="C8474" s="405" t="s">
        <v>327</v>
      </c>
      <c r="D8474" s="405"/>
      <c r="E8474" s="410">
        <v>40699</v>
      </c>
      <c r="F8474" s="410">
        <v>40744</v>
      </c>
      <c r="G8474" s="405" t="s">
        <v>10339</v>
      </c>
      <c r="H8474" s="405">
        <v>782186871</v>
      </c>
      <c r="I8474" s="405"/>
      <c r="J8474" s="405">
        <v>0.90534099999999995</v>
      </c>
      <c r="K8474" s="405">
        <v>34.235684999999997</v>
      </c>
      <c r="L8474" s="405" t="s">
        <v>6866</v>
      </c>
      <c r="M8474" s="405" t="s">
        <v>9763</v>
      </c>
      <c r="N8474" s="405" t="s">
        <v>9764</v>
      </c>
      <c r="O8474" s="405" t="s">
        <v>9604</v>
      </c>
      <c r="P8474" s="405" t="s">
        <v>10340</v>
      </c>
      <c r="Q8474" s="411">
        <v>12</v>
      </c>
      <c r="R8474" s="405" t="s">
        <v>7224</v>
      </c>
      <c r="S8474" s="405" t="s">
        <v>27073</v>
      </c>
      <c r="T8474" s="405" t="s">
        <v>32102</v>
      </c>
      <c r="U8474" s="405" t="s">
        <v>319</v>
      </c>
    </row>
    <row r="8475" spans="1:21" hidden="1" x14ac:dyDescent="0.25">
      <c r="A8475" s="405" t="s">
        <v>310</v>
      </c>
      <c r="B8475" s="405" t="s">
        <v>27707</v>
      </c>
      <c r="C8475" s="405" t="s">
        <v>327</v>
      </c>
      <c r="D8475" s="405"/>
      <c r="E8475" s="410">
        <v>40699</v>
      </c>
      <c r="F8475" s="410">
        <v>40744</v>
      </c>
      <c r="G8475" s="405" t="s">
        <v>1621</v>
      </c>
      <c r="H8475" s="405">
        <v>782843066</v>
      </c>
      <c r="I8475" s="405"/>
      <c r="J8475" s="405">
        <v>3.8181E-2</v>
      </c>
      <c r="K8475" s="405">
        <v>32.077401700000003</v>
      </c>
      <c r="L8475" s="405" t="s">
        <v>314</v>
      </c>
      <c r="M8475" s="405" t="s">
        <v>321</v>
      </c>
      <c r="N8475" s="405" t="s">
        <v>322</v>
      </c>
      <c r="O8475" s="405" t="s">
        <v>476</v>
      </c>
      <c r="P8475" s="405" t="s">
        <v>1622</v>
      </c>
      <c r="Q8475" s="411">
        <v>6</v>
      </c>
      <c r="R8475" s="405" t="s">
        <v>1623</v>
      </c>
      <c r="S8475" s="405" t="s">
        <v>27036</v>
      </c>
      <c r="T8475" s="405" t="s">
        <v>32102</v>
      </c>
      <c r="U8475" s="405" t="s">
        <v>319</v>
      </c>
    </row>
    <row r="8476" spans="1:21" hidden="1" x14ac:dyDescent="0.25">
      <c r="A8476" s="405" t="s">
        <v>310</v>
      </c>
      <c r="B8476" s="405" t="s">
        <v>10386</v>
      </c>
      <c r="C8476" s="405" t="s">
        <v>327</v>
      </c>
      <c r="D8476" s="405"/>
      <c r="E8476" s="410">
        <v>40699</v>
      </c>
      <c r="F8476" s="410">
        <v>40744</v>
      </c>
      <c r="G8476" s="405" t="s">
        <v>10387</v>
      </c>
      <c r="H8476" s="405">
        <v>775674192</v>
      </c>
      <c r="I8476" s="405"/>
      <c r="J8476" s="405">
        <v>1.268716</v>
      </c>
      <c r="K8476" s="405">
        <v>34.717934</v>
      </c>
      <c r="L8476" s="405" t="s">
        <v>6866</v>
      </c>
      <c r="M8476" s="405" t="s">
        <v>10163</v>
      </c>
      <c r="N8476" s="405" t="s">
        <v>10164</v>
      </c>
      <c r="O8476" s="405" t="s">
        <v>10163</v>
      </c>
      <c r="P8476" s="405" t="s">
        <v>10388</v>
      </c>
      <c r="Q8476" s="411">
        <v>6</v>
      </c>
      <c r="R8476" s="405" t="s">
        <v>9506</v>
      </c>
      <c r="S8476" s="405" t="s">
        <v>27184</v>
      </c>
      <c r="T8476" s="405" t="s">
        <v>32102</v>
      </c>
      <c r="U8476" s="405" t="s">
        <v>319</v>
      </c>
    </row>
    <row r="8477" spans="1:21" hidden="1" x14ac:dyDescent="0.25">
      <c r="A8477" s="405" t="s">
        <v>310</v>
      </c>
      <c r="B8477" s="405" t="s">
        <v>1558</v>
      </c>
      <c r="C8477" s="405" t="s">
        <v>327</v>
      </c>
      <c r="D8477" s="405"/>
      <c r="E8477" s="410">
        <v>40698</v>
      </c>
      <c r="F8477" s="410">
        <v>40743</v>
      </c>
      <c r="G8477" s="405" t="s">
        <v>1559</v>
      </c>
      <c r="H8477" s="405">
        <v>772433528</v>
      </c>
      <c r="I8477" s="405">
        <v>701313740</v>
      </c>
      <c r="J8477" s="405">
        <v>-0.57775799999999999</v>
      </c>
      <c r="K8477" s="405">
        <v>31.630607999999999</v>
      </c>
      <c r="L8477" s="405" t="s">
        <v>314</v>
      </c>
      <c r="M8477" s="405" t="s">
        <v>398</v>
      </c>
      <c r="N8477" s="405" t="s">
        <v>399</v>
      </c>
      <c r="O8477" s="405" t="s">
        <v>740</v>
      </c>
      <c r="P8477" s="405" t="s">
        <v>1560</v>
      </c>
      <c r="Q8477" s="411">
        <v>6</v>
      </c>
      <c r="R8477" s="405" t="s">
        <v>318</v>
      </c>
      <c r="S8477" s="405" t="s">
        <v>22481</v>
      </c>
      <c r="T8477" s="405" t="s">
        <v>32102</v>
      </c>
      <c r="U8477" s="405" t="s">
        <v>319</v>
      </c>
    </row>
    <row r="8478" spans="1:21" hidden="1" x14ac:dyDescent="0.25">
      <c r="A8478" s="405" t="s">
        <v>310</v>
      </c>
      <c r="B8478" s="405" t="s">
        <v>1533</v>
      </c>
      <c r="C8478" s="405" t="s">
        <v>327</v>
      </c>
      <c r="D8478" s="405"/>
      <c r="E8478" s="410">
        <v>40698</v>
      </c>
      <c r="F8478" s="410">
        <v>40743</v>
      </c>
      <c r="G8478" s="405" t="s">
        <v>1534</v>
      </c>
      <c r="H8478" s="405">
        <v>772645052</v>
      </c>
      <c r="I8478" s="405">
        <v>706305337</v>
      </c>
      <c r="J8478" s="405">
        <v>-0.35402080000000002</v>
      </c>
      <c r="K8478" s="405">
        <v>31.729536599999999</v>
      </c>
      <c r="L8478" s="405" t="s">
        <v>314</v>
      </c>
      <c r="M8478" s="405" t="s">
        <v>382</v>
      </c>
      <c r="N8478" s="405" t="s">
        <v>382</v>
      </c>
      <c r="O8478" s="405" t="s">
        <v>1265</v>
      </c>
      <c r="P8478" s="405" t="s">
        <v>1535</v>
      </c>
      <c r="Q8478" s="411">
        <v>6</v>
      </c>
      <c r="R8478" s="405" t="s">
        <v>353</v>
      </c>
      <c r="S8478" s="405" t="s">
        <v>27121</v>
      </c>
      <c r="T8478" s="405" t="s">
        <v>32102</v>
      </c>
      <c r="U8478" s="405" t="s">
        <v>319</v>
      </c>
    </row>
    <row r="8479" spans="1:21" hidden="1" x14ac:dyDescent="0.25">
      <c r="A8479" s="405" t="s">
        <v>310</v>
      </c>
      <c r="B8479" s="405" t="s">
        <v>10397</v>
      </c>
      <c r="C8479" s="405" t="s">
        <v>327</v>
      </c>
      <c r="D8479" s="405"/>
      <c r="E8479" s="410">
        <v>40698</v>
      </c>
      <c r="F8479" s="410">
        <v>40743</v>
      </c>
      <c r="G8479" s="405" t="s">
        <v>10398</v>
      </c>
      <c r="H8479" s="405">
        <v>782756242</v>
      </c>
      <c r="I8479" s="405"/>
      <c r="J8479" s="405">
        <v>0.752413</v>
      </c>
      <c r="K8479" s="405">
        <v>34.166350000000001</v>
      </c>
      <c r="L8479" s="405" t="s">
        <v>6866</v>
      </c>
      <c r="M8479" s="405" t="s">
        <v>9534</v>
      </c>
      <c r="N8479" s="405" t="s">
        <v>9927</v>
      </c>
      <c r="O8479" s="405" t="s">
        <v>9770</v>
      </c>
      <c r="P8479" s="405" t="s">
        <v>10399</v>
      </c>
      <c r="Q8479" s="411">
        <v>4</v>
      </c>
      <c r="R8479" s="405" t="s">
        <v>7224</v>
      </c>
      <c r="S8479" s="405" t="s">
        <v>27310</v>
      </c>
      <c r="T8479" s="405" t="s">
        <v>32102</v>
      </c>
      <c r="U8479" s="405" t="s">
        <v>319</v>
      </c>
    </row>
    <row r="8480" spans="1:21" hidden="1" x14ac:dyDescent="0.25">
      <c r="A8480" s="405" t="s">
        <v>310</v>
      </c>
      <c r="B8480" s="405" t="s">
        <v>10363</v>
      </c>
      <c r="C8480" s="405" t="s">
        <v>327</v>
      </c>
      <c r="D8480" s="405"/>
      <c r="E8480" s="410">
        <v>40697</v>
      </c>
      <c r="F8480" s="410">
        <v>40742</v>
      </c>
      <c r="G8480" s="405" t="s">
        <v>10364</v>
      </c>
      <c r="H8480" s="405">
        <v>779347832</v>
      </c>
      <c r="I8480" s="405"/>
      <c r="J8480" s="405">
        <v>1.4787729999999999</v>
      </c>
      <c r="K8480" s="405">
        <v>33.781312999999997</v>
      </c>
      <c r="L8480" s="405" t="s">
        <v>6866</v>
      </c>
      <c r="M8480" s="405" t="s">
        <v>10012</v>
      </c>
      <c r="N8480" s="405" t="s">
        <v>10012</v>
      </c>
      <c r="O8480" s="405" t="s">
        <v>10365</v>
      </c>
      <c r="P8480" s="405" t="s">
        <v>10366</v>
      </c>
      <c r="Q8480" s="411">
        <v>6</v>
      </c>
      <c r="R8480" s="405" t="s">
        <v>7224</v>
      </c>
      <c r="S8480" s="405" t="s">
        <v>27298</v>
      </c>
      <c r="T8480" s="405" t="s">
        <v>32102</v>
      </c>
      <c r="U8480" s="405" t="s">
        <v>319</v>
      </c>
    </row>
    <row r="8481" spans="1:21" hidden="1" x14ac:dyDescent="0.25">
      <c r="A8481" s="405" t="s">
        <v>310</v>
      </c>
      <c r="B8481" s="405" t="s">
        <v>1619</v>
      </c>
      <c r="C8481" s="405" t="s">
        <v>327</v>
      </c>
      <c r="D8481" s="405"/>
      <c r="E8481" s="410">
        <v>40697</v>
      </c>
      <c r="F8481" s="410">
        <v>40742</v>
      </c>
      <c r="G8481" s="405" t="s">
        <v>1620</v>
      </c>
      <c r="H8481" s="405">
        <v>772475454</v>
      </c>
      <c r="I8481" s="405">
        <v>702475454</v>
      </c>
      <c r="J8481" s="405">
        <v>-0.34227289999999999</v>
      </c>
      <c r="K8481" s="405">
        <v>31.7245773</v>
      </c>
      <c r="L8481" s="405" t="s">
        <v>314</v>
      </c>
      <c r="M8481" s="405" t="s">
        <v>382</v>
      </c>
      <c r="N8481" s="405" t="s">
        <v>383</v>
      </c>
      <c r="O8481" s="405" t="s">
        <v>1032</v>
      </c>
      <c r="P8481" s="405" t="s">
        <v>1400</v>
      </c>
      <c r="Q8481" s="411">
        <v>6</v>
      </c>
      <c r="R8481" s="405" t="s">
        <v>402</v>
      </c>
      <c r="S8481" s="405" t="s">
        <v>27052</v>
      </c>
      <c r="T8481" s="405" t="s">
        <v>32102</v>
      </c>
      <c r="U8481" s="405" t="s">
        <v>319</v>
      </c>
    </row>
    <row r="8482" spans="1:21" hidden="1" x14ac:dyDescent="0.25">
      <c r="A8482" s="405" t="s">
        <v>310</v>
      </c>
      <c r="B8482" s="405" t="s">
        <v>20110</v>
      </c>
      <c r="C8482" s="405" t="s">
        <v>327</v>
      </c>
      <c r="D8482" s="405"/>
      <c r="E8482" s="410">
        <v>40697</v>
      </c>
      <c r="F8482" s="410">
        <v>40742</v>
      </c>
      <c r="G8482" s="405" t="s">
        <v>20111</v>
      </c>
      <c r="H8482" s="405">
        <v>786129265</v>
      </c>
      <c r="I8482" s="405"/>
      <c r="J8482" s="405">
        <v>-0.36885800000000002</v>
      </c>
      <c r="K8482" s="405">
        <v>30.549475999999999</v>
      </c>
      <c r="L8482" s="405" t="s">
        <v>590</v>
      </c>
      <c r="M8482" s="405" t="s">
        <v>19614</v>
      </c>
      <c r="N8482" s="405" t="s">
        <v>19615</v>
      </c>
      <c r="O8482" s="405" t="s">
        <v>20112</v>
      </c>
      <c r="P8482" s="405" t="s">
        <v>20113</v>
      </c>
      <c r="Q8482" s="411">
        <v>6</v>
      </c>
      <c r="R8482" s="405" t="s">
        <v>333</v>
      </c>
      <c r="S8482" s="405" t="s">
        <v>27104</v>
      </c>
      <c r="T8482" s="405" t="s">
        <v>32102</v>
      </c>
      <c r="U8482" s="405" t="s">
        <v>319</v>
      </c>
    </row>
    <row r="8483" spans="1:21" hidden="1" x14ac:dyDescent="0.25">
      <c r="A8483" s="405" t="s">
        <v>310</v>
      </c>
      <c r="B8483" s="405" t="s">
        <v>10383</v>
      </c>
      <c r="C8483" s="405" t="s">
        <v>327</v>
      </c>
      <c r="D8483" s="405"/>
      <c r="E8483" s="410">
        <v>40696</v>
      </c>
      <c r="F8483" s="410">
        <v>40741</v>
      </c>
      <c r="G8483" s="405" t="s">
        <v>10384</v>
      </c>
      <c r="H8483" s="405">
        <v>772602838</v>
      </c>
      <c r="I8483" s="405"/>
      <c r="J8483" s="405">
        <v>1.24708</v>
      </c>
      <c r="K8483" s="405">
        <v>34.738064000000001</v>
      </c>
      <c r="L8483" s="405" t="s">
        <v>6866</v>
      </c>
      <c r="M8483" s="405" t="s">
        <v>10163</v>
      </c>
      <c r="N8483" s="405" t="s">
        <v>10164</v>
      </c>
      <c r="O8483" s="405" t="s">
        <v>10168</v>
      </c>
      <c r="P8483" s="405" t="s">
        <v>10385</v>
      </c>
      <c r="Q8483" s="411">
        <v>9</v>
      </c>
      <c r="R8483" s="405" t="s">
        <v>9541</v>
      </c>
      <c r="S8483" s="405" t="s">
        <v>27318</v>
      </c>
      <c r="T8483" s="405" t="s">
        <v>32102</v>
      </c>
      <c r="U8483" s="405" t="s">
        <v>319</v>
      </c>
    </row>
    <row r="8484" spans="1:21" hidden="1" x14ac:dyDescent="0.25">
      <c r="A8484" s="405" t="s">
        <v>310</v>
      </c>
      <c r="B8484" s="405" t="s">
        <v>1544</v>
      </c>
      <c r="C8484" s="405" t="s">
        <v>327</v>
      </c>
      <c r="D8484" s="405"/>
      <c r="E8484" s="410">
        <v>40696</v>
      </c>
      <c r="F8484" s="410">
        <v>40741</v>
      </c>
      <c r="G8484" s="405" t="s">
        <v>1545</v>
      </c>
      <c r="H8484" s="405">
        <v>752598696</v>
      </c>
      <c r="I8484" s="405"/>
      <c r="J8484" s="405">
        <v>0.26968999999999999</v>
      </c>
      <c r="K8484" s="405">
        <v>32.222203999999998</v>
      </c>
      <c r="L8484" s="405" t="s">
        <v>314</v>
      </c>
      <c r="M8484" s="405" t="s">
        <v>315</v>
      </c>
      <c r="N8484" s="405" t="s">
        <v>718</v>
      </c>
      <c r="O8484" s="405" t="s">
        <v>719</v>
      </c>
      <c r="P8484" s="405" t="s">
        <v>1546</v>
      </c>
      <c r="Q8484" s="411">
        <v>6</v>
      </c>
      <c r="R8484" s="405" t="s">
        <v>318</v>
      </c>
      <c r="S8484" s="405" t="s">
        <v>414</v>
      </c>
      <c r="T8484" s="405" t="s">
        <v>32102</v>
      </c>
      <c r="U8484" s="405" t="s">
        <v>319</v>
      </c>
    </row>
    <row r="8485" spans="1:21" hidden="1" x14ac:dyDescent="0.25">
      <c r="A8485" s="405" t="s">
        <v>310</v>
      </c>
      <c r="B8485" s="405" t="s">
        <v>28132</v>
      </c>
      <c r="C8485" s="405" t="s">
        <v>327</v>
      </c>
      <c r="D8485" s="405"/>
      <c r="E8485" s="410">
        <v>40695</v>
      </c>
      <c r="F8485" s="410">
        <v>40740</v>
      </c>
      <c r="G8485" s="405" t="s">
        <v>18249</v>
      </c>
      <c r="H8485" s="405">
        <v>775939447</v>
      </c>
      <c r="I8485" s="405"/>
      <c r="J8485" s="405">
        <v>2.2495007999999999</v>
      </c>
      <c r="K8485" s="405">
        <v>32.901675699999998</v>
      </c>
      <c r="L8485" s="405" t="s">
        <v>860</v>
      </c>
      <c r="M8485" s="405" t="s">
        <v>18234</v>
      </c>
      <c r="N8485" s="405" t="s">
        <v>18250</v>
      </c>
      <c r="O8485" s="405" t="s">
        <v>4147</v>
      </c>
      <c r="P8485" s="405" t="s">
        <v>18236</v>
      </c>
      <c r="Q8485" s="411">
        <v>9</v>
      </c>
      <c r="R8485" s="405" t="s">
        <v>994</v>
      </c>
      <c r="S8485" s="405" t="s">
        <v>27376</v>
      </c>
      <c r="T8485" s="405" t="s">
        <v>32102</v>
      </c>
      <c r="U8485" s="405" t="s">
        <v>319</v>
      </c>
    </row>
    <row r="8486" spans="1:21" hidden="1" x14ac:dyDescent="0.25">
      <c r="A8486" s="405" t="s">
        <v>310</v>
      </c>
      <c r="B8486" s="405" t="s">
        <v>1568</v>
      </c>
      <c r="C8486" s="405" t="s">
        <v>327</v>
      </c>
      <c r="D8486" s="405"/>
      <c r="E8486" s="410">
        <v>40694</v>
      </c>
      <c r="F8486" s="410">
        <v>40739</v>
      </c>
      <c r="G8486" s="405" t="s">
        <v>1569</v>
      </c>
      <c r="H8486" s="405">
        <v>782739951</v>
      </c>
      <c r="I8486" s="405"/>
      <c r="J8486" s="405">
        <v>0.47325200000000001</v>
      </c>
      <c r="K8486" s="405">
        <v>32.575828000000001</v>
      </c>
      <c r="L8486" s="405" t="s">
        <v>314</v>
      </c>
      <c r="M8486" s="405" t="s">
        <v>361</v>
      </c>
      <c r="N8486" s="405" t="s">
        <v>362</v>
      </c>
      <c r="O8486" s="405" t="s">
        <v>410</v>
      </c>
      <c r="P8486" s="405" t="s">
        <v>1570</v>
      </c>
      <c r="Q8486" s="411">
        <v>12</v>
      </c>
      <c r="R8486" s="405" t="s">
        <v>353</v>
      </c>
      <c r="S8486" s="405" t="s">
        <v>27120</v>
      </c>
      <c r="T8486" s="405" t="s">
        <v>32102</v>
      </c>
      <c r="U8486" s="405" t="s">
        <v>319</v>
      </c>
    </row>
    <row r="8487" spans="1:21" hidden="1" x14ac:dyDescent="0.25">
      <c r="A8487" s="405" t="s">
        <v>310</v>
      </c>
      <c r="B8487" s="405" t="s">
        <v>28399</v>
      </c>
      <c r="C8487" s="405" t="s">
        <v>327</v>
      </c>
      <c r="D8487" s="405"/>
      <c r="E8487" s="410">
        <v>40694</v>
      </c>
      <c r="F8487" s="410">
        <v>40739</v>
      </c>
      <c r="G8487" s="405" t="s">
        <v>10326</v>
      </c>
      <c r="H8487" s="405">
        <v>773224867</v>
      </c>
      <c r="I8487" s="405"/>
      <c r="J8487" s="405">
        <v>1.021075</v>
      </c>
      <c r="K8487" s="405">
        <v>34.180072000000003</v>
      </c>
      <c r="L8487" s="405" t="s">
        <v>6866</v>
      </c>
      <c r="M8487" s="405" t="s">
        <v>9514</v>
      </c>
      <c r="N8487" s="405" t="s">
        <v>9529</v>
      </c>
      <c r="O8487" s="405" t="s">
        <v>9571</v>
      </c>
      <c r="P8487" s="405" t="s">
        <v>10327</v>
      </c>
      <c r="Q8487" s="411">
        <v>6</v>
      </c>
      <c r="R8487" s="405" t="s">
        <v>7224</v>
      </c>
      <c r="S8487" s="405" t="s">
        <v>17062</v>
      </c>
      <c r="T8487" s="405" t="s">
        <v>32102</v>
      </c>
      <c r="U8487" s="405" t="s">
        <v>319</v>
      </c>
    </row>
    <row r="8488" spans="1:21" hidden="1" x14ac:dyDescent="0.25">
      <c r="A8488" s="405" t="s">
        <v>310</v>
      </c>
      <c r="B8488" s="405" t="s">
        <v>29140</v>
      </c>
      <c r="C8488" s="405" t="s">
        <v>327</v>
      </c>
      <c r="D8488" s="405"/>
      <c r="E8488" s="410">
        <v>40694</v>
      </c>
      <c r="F8488" s="410">
        <v>40739</v>
      </c>
      <c r="G8488" s="405" t="s">
        <v>1536</v>
      </c>
      <c r="H8488" s="405">
        <v>712830196</v>
      </c>
      <c r="I8488" s="405"/>
      <c r="J8488" s="405">
        <v>0.42218999999999995</v>
      </c>
      <c r="K8488" s="405">
        <v>32.56207666666667</v>
      </c>
      <c r="L8488" s="405" t="s">
        <v>314</v>
      </c>
      <c r="M8488" s="405" t="s">
        <v>361</v>
      </c>
      <c r="N8488" s="405" t="s">
        <v>362</v>
      </c>
      <c r="O8488" s="405" t="s">
        <v>410</v>
      </c>
      <c r="P8488" s="405" t="s">
        <v>1537</v>
      </c>
      <c r="Q8488" s="411">
        <v>6</v>
      </c>
      <c r="R8488" s="405" t="s">
        <v>353</v>
      </c>
      <c r="S8488" s="405" t="s">
        <v>27034</v>
      </c>
      <c r="T8488" s="405" t="s">
        <v>32102</v>
      </c>
      <c r="U8488" s="405" t="s">
        <v>319</v>
      </c>
    </row>
    <row r="8489" spans="1:21" hidden="1" x14ac:dyDescent="0.25">
      <c r="A8489" s="405" t="s">
        <v>310</v>
      </c>
      <c r="B8489" s="405" t="s">
        <v>1598</v>
      </c>
      <c r="C8489" s="405" t="s">
        <v>327</v>
      </c>
      <c r="D8489" s="405"/>
      <c r="E8489" s="410">
        <v>40694</v>
      </c>
      <c r="F8489" s="410">
        <v>40739</v>
      </c>
      <c r="G8489" s="405" t="s">
        <v>1599</v>
      </c>
      <c r="H8489" s="405">
        <v>781794404</v>
      </c>
      <c r="I8489" s="405"/>
      <c r="J8489" s="405">
        <v>0.499222</v>
      </c>
      <c r="K8489" s="405">
        <v>32.832928000000003</v>
      </c>
      <c r="L8489" s="405" t="s">
        <v>314</v>
      </c>
      <c r="M8489" s="405" t="s">
        <v>329</v>
      </c>
      <c r="N8489" s="405" t="s">
        <v>528</v>
      </c>
      <c r="O8489" s="405" t="s">
        <v>1596</v>
      </c>
      <c r="P8489" s="405" t="s">
        <v>1600</v>
      </c>
      <c r="Q8489" s="411">
        <v>6</v>
      </c>
      <c r="R8489" s="405" t="s">
        <v>318</v>
      </c>
      <c r="S8489" s="405" t="s">
        <v>27141</v>
      </c>
      <c r="T8489" s="405" t="s">
        <v>32102</v>
      </c>
      <c r="U8489" s="405" t="s">
        <v>319</v>
      </c>
    </row>
    <row r="8490" spans="1:21" hidden="1" x14ac:dyDescent="0.25">
      <c r="A8490" s="405" t="s">
        <v>310</v>
      </c>
      <c r="B8490" s="405" t="s">
        <v>28043</v>
      </c>
      <c r="C8490" s="405" t="s">
        <v>327</v>
      </c>
      <c r="D8490" s="405"/>
      <c r="E8490" s="410">
        <v>40694</v>
      </c>
      <c r="F8490" s="410">
        <v>40739</v>
      </c>
      <c r="G8490" s="405" t="s">
        <v>1541</v>
      </c>
      <c r="H8490" s="405">
        <v>782026827</v>
      </c>
      <c r="I8490" s="405"/>
      <c r="J8490" s="405">
        <v>0.221419</v>
      </c>
      <c r="K8490" s="405">
        <v>32.185937000000003</v>
      </c>
      <c r="L8490" s="405" t="s">
        <v>314</v>
      </c>
      <c r="M8490" s="405" t="s">
        <v>315</v>
      </c>
      <c r="N8490" s="405" t="s">
        <v>718</v>
      </c>
      <c r="O8490" s="405" t="s">
        <v>1411</v>
      </c>
      <c r="P8490" s="405" t="s">
        <v>1542</v>
      </c>
      <c r="Q8490" s="411">
        <v>6</v>
      </c>
      <c r="R8490" s="405" t="s">
        <v>318</v>
      </c>
      <c r="S8490" s="405" t="s">
        <v>27137</v>
      </c>
      <c r="T8490" s="405" t="s">
        <v>32102</v>
      </c>
      <c r="U8490" s="405" t="s">
        <v>319</v>
      </c>
    </row>
    <row r="8491" spans="1:21" hidden="1" x14ac:dyDescent="0.25">
      <c r="A8491" s="405" t="s">
        <v>310</v>
      </c>
      <c r="B8491" s="405" t="s">
        <v>1594</v>
      </c>
      <c r="C8491" s="405" t="s">
        <v>327</v>
      </c>
      <c r="D8491" s="405"/>
      <c r="E8491" s="410">
        <v>40694</v>
      </c>
      <c r="F8491" s="410">
        <v>40739</v>
      </c>
      <c r="G8491" s="405" t="s">
        <v>1595</v>
      </c>
      <c r="H8491" s="405">
        <v>752633886</v>
      </c>
      <c r="I8491" s="405">
        <v>702583747</v>
      </c>
      <c r="J8491" s="405">
        <v>0.495085</v>
      </c>
      <c r="K8491" s="405">
        <v>32.822111999999997</v>
      </c>
      <c r="L8491" s="405" t="s">
        <v>314</v>
      </c>
      <c r="M8491" s="405" t="s">
        <v>329</v>
      </c>
      <c r="N8491" s="405" t="s">
        <v>528</v>
      </c>
      <c r="O8491" s="405" t="s">
        <v>1596</v>
      </c>
      <c r="P8491" s="405" t="s">
        <v>1597</v>
      </c>
      <c r="Q8491" s="411">
        <v>6</v>
      </c>
      <c r="R8491" s="405" t="s">
        <v>318</v>
      </c>
      <c r="S8491" s="405" t="s">
        <v>27141</v>
      </c>
      <c r="T8491" s="405" t="s">
        <v>32102</v>
      </c>
      <c r="U8491" s="405" t="s">
        <v>319</v>
      </c>
    </row>
    <row r="8492" spans="1:21" hidden="1" x14ac:dyDescent="0.25">
      <c r="A8492" s="405" t="s">
        <v>310</v>
      </c>
      <c r="B8492" s="405" t="s">
        <v>10357</v>
      </c>
      <c r="C8492" s="405" t="s">
        <v>327</v>
      </c>
      <c r="D8492" s="405"/>
      <c r="E8492" s="410">
        <v>40694</v>
      </c>
      <c r="F8492" s="410">
        <v>40739</v>
      </c>
      <c r="G8492" s="405" t="s">
        <v>10358</v>
      </c>
      <c r="H8492" s="405">
        <v>775112491</v>
      </c>
      <c r="I8492" s="405"/>
      <c r="J8492" s="405">
        <v>1.5565629999999999</v>
      </c>
      <c r="K8492" s="405">
        <v>33.749406999999998</v>
      </c>
      <c r="L8492" s="405" t="s">
        <v>6866</v>
      </c>
      <c r="M8492" s="405" t="s">
        <v>10012</v>
      </c>
      <c r="N8492" s="405" t="s">
        <v>10012</v>
      </c>
      <c r="O8492" s="405" t="s">
        <v>10267</v>
      </c>
      <c r="P8492" s="405" t="s">
        <v>10356</v>
      </c>
      <c r="Q8492" s="411">
        <v>6</v>
      </c>
      <c r="R8492" s="405" t="s">
        <v>9541</v>
      </c>
      <c r="S8492" s="405" t="s">
        <v>27302</v>
      </c>
      <c r="T8492" s="405" t="s">
        <v>32102</v>
      </c>
      <c r="U8492" s="405" t="s">
        <v>319</v>
      </c>
    </row>
    <row r="8493" spans="1:21" hidden="1" x14ac:dyDescent="0.25">
      <c r="A8493" s="405" t="s">
        <v>310</v>
      </c>
      <c r="B8493" s="405" t="s">
        <v>10393</v>
      </c>
      <c r="C8493" s="405" t="s">
        <v>327</v>
      </c>
      <c r="D8493" s="405"/>
      <c r="E8493" s="410">
        <v>40694</v>
      </c>
      <c r="F8493" s="410">
        <v>40739</v>
      </c>
      <c r="G8493" s="405" t="s">
        <v>10394</v>
      </c>
      <c r="H8493" s="405">
        <v>777773386</v>
      </c>
      <c r="I8493" s="405"/>
      <c r="J8493" s="405">
        <v>0.32726699999999997</v>
      </c>
      <c r="K8493" s="405">
        <v>33.984748000000003</v>
      </c>
      <c r="L8493" s="405" t="s">
        <v>6866</v>
      </c>
      <c r="M8493" s="405" t="s">
        <v>10390</v>
      </c>
      <c r="N8493" s="405" t="s">
        <v>10391</v>
      </c>
      <c r="O8493" s="405" t="s">
        <v>10395</v>
      </c>
      <c r="P8493" s="405" t="s">
        <v>10396</v>
      </c>
      <c r="Q8493" s="411">
        <v>6</v>
      </c>
      <c r="R8493" s="405" t="s">
        <v>7224</v>
      </c>
      <c r="S8493" s="405" t="s">
        <v>27304</v>
      </c>
      <c r="T8493" s="405" t="s">
        <v>32102</v>
      </c>
      <c r="U8493" s="405" t="s">
        <v>319</v>
      </c>
    </row>
    <row r="8494" spans="1:21" hidden="1" x14ac:dyDescent="0.25">
      <c r="A8494" s="405" t="s">
        <v>310</v>
      </c>
      <c r="B8494" s="405" t="s">
        <v>1576</v>
      </c>
      <c r="C8494" s="405" t="s">
        <v>327</v>
      </c>
      <c r="D8494" s="405"/>
      <c r="E8494" s="410">
        <v>40694</v>
      </c>
      <c r="F8494" s="410">
        <v>40739</v>
      </c>
      <c r="G8494" s="405" t="s">
        <v>1577</v>
      </c>
      <c r="H8494" s="405">
        <v>772419146</v>
      </c>
      <c r="I8494" s="405"/>
      <c r="J8494" s="405">
        <v>0.36636200000000002</v>
      </c>
      <c r="K8494" s="405">
        <v>32.540520000000001</v>
      </c>
      <c r="L8494" s="405" t="s">
        <v>314</v>
      </c>
      <c r="M8494" s="405" t="s">
        <v>361</v>
      </c>
      <c r="N8494" s="405" t="s">
        <v>362</v>
      </c>
      <c r="O8494" s="405" t="s">
        <v>469</v>
      </c>
      <c r="P8494" s="405" t="s">
        <v>1578</v>
      </c>
      <c r="Q8494" s="411">
        <v>4</v>
      </c>
      <c r="R8494" s="405" t="s">
        <v>353</v>
      </c>
      <c r="S8494" s="405" t="s">
        <v>27153</v>
      </c>
      <c r="T8494" s="405" t="s">
        <v>32102</v>
      </c>
      <c r="U8494" s="405" t="s">
        <v>319</v>
      </c>
    </row>
    <row r="8495" spans="1:21" hidden="1" x14ac:dyDescent="0.25">
      <c r="A8495" s="405" t="s">
        <v>310</v>
      </c>
      <c r="B8495" s="405" t="s">
        <v>20106</v>
      </c>
      <c r="C8495" s="405" t="s">
        <v>327</v>
      </c>
      <c r="D8495" s="405"/>
      <c r="E8495" s="410">
        <v>40693</v>
      </c>
      <c r="F8495" s="410">
        <v>40738</v>
      </c>
      <c r="G8495" s="405" t="s">
        <v>20107</v>
      </c>
      <c r="H8495" s="405">
        <v>772950662</v>
      </c>
      <c r="I8495" s="405">
        <v>759341889</v>
      </c>
      <c r="J8495" s="405">
        <v>-0.29305700000000001</v>
      </c>
      <c r="K8495" s="405">
        <v>30.601723</v>
      </c>
      <c r="L8495" s="405" t="s">
        <v>590</v>
      </c>
      <c r="M8495" s="405" t="s">
        <v>19614</v>
      </c>
      <c r="N8495" s="405" t="s">
        <v>19615</v>
      </c>
      <c r="O8495" s="405" t="s">
        <v>20108</v>
      </c>
      <c r="P8495" s="405" t="s">
        <v>20109</v>
      </c>
      <c r="Q8495" s="411">
        <v>12</v>
      </c>
      <c r="R8495" s="405" t="s">
        <v>333</v>
      </c>
      <c r="S8495" s="405" t="s">
        <v>27183</v>
      </c>
      <c r="T8495" s="405" t="s">
        <v>32102</v>
      </c>
      <c r="U8495" s="405" t="s">
        <v>319</v>
      </c>
    </row>
    <row r="8496" spans="1:21" hidden="1" x14ac:dyDescent="0.25">
      <c r="A8496" s="405" t="s">
        <v>310</v>
      </c>
      <c r="B8496" s="405" t="s">
        <v>27500</v>
      </c>
      <c r="C8496" s="405" t="s">
        <v>327</v>
      </c>
      <c r="D8496" s="405"/>
      <c r="E8496" s="410">
        <v>40693</v>
      </c>
      <c r="F8496" s="410">
        <v>40738</v>
      </c>
      <c r="G8496" s="405" t="s">
        <v>10381</v>
      </c>
      <c r="H8496" s="405">
        <v>772943456</v>
      </c>
      <c r="I8496" s="405"/>
      <c r="J8496" s="405">
        <v>1.2165299999999999</v>
      </c>
      <c r="K8496" s="405">
        <v>34.013392000000003</v>
      </c>
      <c r="L8496" s="405" t="s">
        <v>6866</v>
      </c>
      <c r="M8496" s="405" t="s">
        <v>9504</v>
      </c>
      <c r="N8496" s="405" t="s">
        <v>9504</v>
      </c>
      <c r="O8496" s="405" t="s">
        <v>10109</v>
      </c>
      <c r="P8496" s="405" t="s">
        <v>10382</v>
      </c>
      <c r="Q8496" s="411">
        <v>6</v>
      </c>
      <c r="R8496" s="405" t="s">
        <v>9541</v>
      </c>
      <c r="S8496" s="405" t="s">
        <v>27296</v>
      </c>
      <c r="T8496" s="405" t="s">
        <v>32102</v>
      </c>
      <c r="U8496" s="405" t="s">
        <v>319</v>
      </c>
    </row>
    <row r="8497" spans="1:21" hidden="1" x14ac:dyDescent="0.25">
      <c r="A8497" s="405" t="s">
        <v>310</v>
      </c>
      <c r="B8497" s="405" t="s">
        <v>28588</v>
      </c>
      <c r="C8497" s="405" t="s">
        <v>327</v>
      </c>
      <c r="D8497" s="405"/>
      <c r="E8497" s="410">
        <v>40693</v>
      </c>
      <c r="F8497" s="410">
        <v>40738</v>
      </c>
      <c r="G8497" s="405" t="s">
        <v>10331</v>
      </c>
      <c r="H8497" s="405">
        <v>775467646</v>
      </c>
      <c r="I8497" s="405">
        <v>704638819</v>
      </c>
      <c r="J8497" s="405">
        <v>0.93592900000000001</v>
      </c>
      <c r="K8497" s="405">
        <v>33.132122600000002</v>
      </c>
      <c r="L8497" s="405" t="s">
        <v>6866</v>
      </c>
      <c r="M8497" s="405" t="s">
        <v>3009</v>
      </c>
      <c r="N8497" s="405" t="s">
        <v>9842</v>
      </c>
      <c r="O8497" s="405" t="s">
        <v>10332</v>
      </c>
      <c r="P8497" s="405" t="s">
        <v>10333</v>
      </c>
      <c r="Q8497" s="411">
        <v>6</v>
      </c>
      <c r="R8497" s="405" t="s">
        <v>333</v>
      </c>
      <c r="S8497" s="405" t="s">
        <v>6822</v>
      </c>
      <c r="T8497" s="405" t="s">
        <v>32102</v>
      </c>
      <c r="U8497" s="405" t="s">
        <v>319</v>
      </c>
    </row>
    <row r="8498" spans="1:21" hidden="1" x14ac:dyDescent="0.25">
      <c r="A8498" s="405" t="s">
        <v>310</v>
      </c>
      <c r="B8498" s="405" t="s">
        <v>10347</v>
      </c>
      <c r="C8498" s="405" t="s">
        <v>327</v>
      </c>
      <c r="D8498" s="405"/>
      <c r="E8498" s="410">
        <v>40693</v>
      </c>
      <c r="F8498" s="410">
        <v>40738</v>
      </c>
      <c r="G8498" s="405" t="s">
        <v>10348</v>
      </c>
      <c r="H8498" s="405">
        <v>774103362</v>
      </c>
      <c r="I8498" s="405"/>
      <c r="J8498" s="405">
        <v>1.511455</v>
      </c>
      <c r="K8498" s="405">
        <v>33.870269999999998</v>
      </c>
      <c r="L8498" s="405" t="s">
        <v>6866</v>
      </c>
      <c r="M8498" s="405" t="s">
        <v>10029</v>
      </c>
      <c r="N8498" s="405" t="s">
        <v>10029</v>
      </c>
      <c r="O8498" s="405" t="s">
        <v>10029</v>
      </c>
      <c r="P8498" s="405" t="s">
        <v>10346</v>
      </c>
      <c r="Q8498" s="411">
        <v>4</v>
      </c>
      <c r="R8498" s="405" t="s">
        <v>7224</v>
      </c>
      <c r="S8498" s="405" t="s">
        <v>17013</v>
      </c>
      <c r="T8498" s="405" t="s">
        <v>32102</v>
      </c>
      <c r="U8498" s="405" t="s">
        <v>319</v>
      </c>
    </row>
    <row r="8499" spans="1:21" hidden="1" x14ac:dyDescent="0.25">
      <c r="A8499" s="405" t="s">
        <v>310</v>
      </c>
      <c r="B8499" s="405" t="s">
        <v>1516</v>
      </c>
      <c r="C8499" s="405" t="s">
        <v>327</v>
      </c>
      <c r="D8499" s="405"/>
      <c r="E8499" s="410">
        <v>40692</v>
      </c>
      <c r="F8499" s="410">
        <v>40737</v>
      </c>
      <c r="G8499" s="405" t="s">
        <v>1517</v>
      </c>
      <c r="H8499" s="405">
        <v>772929810</v>
      </c>
      <c r="I8499" s="405"/>
      <c r="J8499" s="405">
        <v>-0.35402080000000002</v>
      </c>
      <c r="K8499" s="405">
        <v>31.729536599999999</v>
      </c>
      <c r="L8499" s="405" t="s">
        <v>314</v>
      </c>
      <c r="M8499" s="405" t="s">
        <v>382</v>
      </c>
      <c r="N8499" s="405" t="s">
        <v>382</v>
      </c>
      <c r="O8499" s="405" t="s">
        <v>1518</v>
      </c>
      <c r="P8499" s="405" t="s">
        <v>1519</v>
      </c>
      <c r="Q8499" s="411">
        <v>6</v>
      </c>
      <c r="R8499" s="405" t="s">
        <v>402</v>
      </c>
      <c r="S8499" s="405" t="s">
        <v>27052</v>
      </c>
      <c r="T8499" s="405" t="s">
        <v>32102</v>
      </c>
      <c r="U8499" s="405" t="s">
        <v>319</v>
      </c>
    </row>
    <row r="8500" spans="1:21" hidden="1" x14ac:dyDescent="0.25">
      <c r="A8500" s="405" t="s">
        <v>310</v>
      </c>
      <c r="B8500" s="405" t="s">
        <v>28608</v>
      </c>
      <c r="C8500" s="405" t="s">
        <v>327</v>
      </c>
      <c r="D8500" s="405"/>
      <c r="E8500" s="410">
        <v>40692</v>
      </c>
      <c r="F8500" s="410">
        <v>40737</v>
      </c>
      <c r="G8500" s="405" t="s">
        <v>1511</v>
      </c>
      <c r="H8500" s="405">
        <v>757970421</v>
      </c>
      <c r="I8500" s="405"/>
      <c r="J8500" s="405">
        <v>0.44702700000000001</v>
      </c>
      <c r="K8500" s="405">
        <v>32.168976999999998</v>
      </c>
      <c r="L8500" s="405" t="s">
        <v>314</v>
      </c>
      <c r="M8500" s="405" t="s">
        <v>675</v>
      </c>
      <c r="N8500" s="405" t="s">
        <v>1065</v>
      </c>
      <c r="O8500" s="405" t="s">
        <v>1374</v>
      </c>
      <c r="P8500" s="405" t="s">
        <v>1375</v>
      </c>
      <c r="Q8500" s="411">
        <v>6</v>
      </c>
      <c r="R8500" s="405" t="s">
        <v>318</v>
      </c>
      <c r="S8500" s="405" t="s">
        <v>27113</v>
      </c>
      <c r="T8500" s="405" t="s">
        <v>32102</v>
      </c>
      <c r="U8500" s="405" t="s">
        <v>319</v>
      </c>
    </row>
    <row r="8501" spans="1:21" hidden="1" x14ac:dyDescent="0.25">
      <c r="A8501" s="405" t="s">
        <v>310</v>
      </c>
      <c r="B8501" s="405" t="s">
        <v>1547</v>
      </c>
      <c r="C8501" s="405" t="s">
        <v>327</v>
      </c>
      <c r="D8501" s="405"/>
      <c r="E8501" s="410">
        <v>40691</v>
      </c>
      <c r="F8501" s="410">
        <v>40736</v>
      </c>
      <c r="G8501" s="405" t="s">
        <v>1548</v>
      </c>
      <c r="H8501" s="405">
        <v>772363141</v>
      </c>
      <c r="I8501" s="405"/>
      <c r="J8501" s="405">
        <v>0.25742999999999999</v>
      </c>
      <c r="K8501" s="405">
        <v>32.272343999999997</v>
      </c>
      <c r="L8501" s="405" t="s">
        <v>314</v>
      </c>
      <c r="M8501" s="405" t="s">
        <v>315</v>
      </c>
      <c r="N8501" s="405" t="s">
        <v>718</v>
      </c>
      <c r="O8501" s="405" t="s">
        <v>719</v>
      </c>
      <c r="P8501" s="405" t="s">
        <v>1549</v>
      </c>
      <c r="Q8501" s="411">
        <v>6</v>
      </c>
      <c r="R8501" s="405" t="s">
        <v>567</v>
      </c>
      <c r="S8501" s="405" t="s">
        <v>27146</v>
      </c>
      <c r="T8501" s="405" t="s">
        <v>32102</v>
      </c>
      <c r="U8501" s="405" t="s">
        <v>319</v>
      </c>
    </row>
    <row r="8502" spans="1:21" hidden="1" x14ac:dyDescent="0.25">
      <c r="A8502" s="405" t="s">
        <v>310</v>
      </c>
      <c r="B8502" s="405" t="s">
        <v>20351</v>
      </c>
      <c r="C8502" s="405" t="s">
        <v>311</v>
      </c>
      <c r="D8502" s="405" t="s">
        <v>1013</v>
      </c>
      <c r="E8502" s="410">
        <v>40690</v>
      </c>
      <c r="F8502" s="410">
        <v>40735</v>
      </c>
      <c r="G8502" s="405" t="s">
        <v>20352</v>
      </c>
      <c r="H8502" s="405">
        <v>772607047</v>
      </c>
      <c r="I8502" s="405">
        <v>701607047</v>
      </c>
      <c r="J8502" s="405">
        <v>-0.61565899999999996</v>
      </c>
      <c r="K8502" s="405">
        <v>30.666740000000001</v>
      </c>
      <c r="L8502" s="405" t="s">
        <v>590</v>
      </c>
      <c r="M8502" s="405" t="s">
        <v>19614</v>
      </c>
      <c r="N8502" s="405" t="s">
        <v>19873</v>
      </c>
      <c r="O8502" s="405" t="s">
        <v>19974</v>
      </c>
      <c r="P8502" s="405" t="s">
        <v>20353</v>
      </c>
      <c r="Q8502" s="411">
        <v>6</v>
      </c>
      <c r="R8502" s="405" t="s">
        <v>333</v>
      </c>
      <c r="S8502" s="405" t="s">
        <v>27183</v>
      </c>
      <c r="T8502" s="405" t="s">
        <v>32102</v>
      </c>
      <c r="U8502" s="405" t="s">
        <v>319</v>
      </c>
    </row>
    <row r="8503" spans="1:21" hidden="1" x14ac:dyDescent="0.25">
      <c r="A8503" s="405" t="s">
        <v>310</v>
      </c>
      <c r="B8503" s="405" t="s">
        <v>20129</v>
      </c>
      <c r="C8503" s="405" t="s">
        <v>327</v>
      </c>
      <c r="D8503" s="405"/>
      <c r="E8503" s="410">
        <v>40688</v>
      </c>
      <c r="F8503" s="410">
        <v>40733</v>
      </c>
      <c r="G8503" s="405" t="s">
        <v>20130</v>
      </c>
      <c r="H8503" s="405">
        <v>702895055</v>
      </c>
      <c r="I8503" s="405">
        <v>752139348</v>
      </c>
      <c r="J8503" s="405">
        <v>-0.484981</v>
      </c>
      <c r="K8503" s="405">
        <v>30.419592000000002</v>
      </c>
      <c r="L8503" s="405" t="s">
        <v>590</v>
      </c>
      <c r="M8503" s="405" t="s">
        <v>19725</v>
      </c>
      <c r="N8503" s="405" t="s">
        <v>19725</v>
      </c>
      <c r="O8503" s="405" t="s">
        <v>20131</v>
      </c>
      <c r="P8503" s="405" t="s">
        <v>20132</v>
      </c>
      <c r="Q8503" s="411">
        <v>9</v>
      </c>
      <c r="R8503" s="405" t="s">
        <v>333</v>
      </c>
      <c r="S8503" s="405" t="s">
        <v>27173</v>
      </c>
      <c r="T8503" s="405" t="s">
        <v>32102</v>
      </c>
      <c r="U8503" s="405" t="s">
        <v>319</v>
      </c>
    </row>
    <row r="8504" spans="1:21" hidden="1" x14ac:dyDescent="0.25">
      <c r="A8504" s="405" t="s">
        <v>310</v>
      </c>
      <c r="B8504" s="405" t="s">
        <v>1555</v>
      </c>
      <c r="C8504" s="405" t="s">
        <v>327</v>
      </c>
      <c r="D8504" s="405"/>
      <c r="E8504" s="410">
        <v>40688</v>
      </c>
      <c r="F8504" s="410">
        <v>40733</v>
      </c>
      <c r="G8504" s="405" t="s">
        <v>1556</v>
      </c>
      <c r="H8504" s="405">
        <v>772512562</v>
      </c>
      <c r="I8504" s="405">
        <v>772479131</v>
      </c>
      <c r="J8504" s="405">
        <v>-0.54764500000000005</v>
      </c>
      <c r="K8504" s="405">
        <v>31.665188000000001</v>
      </c>
      <c r="L8504" s="405" t="s">
        <v>314</v>
      </c>
      <c r="M8504" s="405" t="s">
        <v>398</v>
      </c>
      <c r="N8504" s="405" t="s">
        <v>399</v>
      </c>
      <c r="O8504" s="405" t="s">
        <v>740</v>
      </c>
      <c r="P8504" s="405" t="s">
        <v>1557</v>
      </c>
      <c r="Q8504" s="411">
        <v>6</v>
      </c>
      <c r="R8504" s="405" t="s">
        <v>318</v>
      </c>
      <c r="S8504" s="405" t="s">
        <v>22481</v>
      </c>
      <c r="T8504" s="405" t="s">
        <v>32102</v>
      </c>
      <c r="U8504" s="405" t="s">
        <v>319</v>
      </c>
    </row>
    <row r="8505" spans="1:21" hidden="1" x14ac:dyDescent="0.25">
      <c r="A8505" s="405" t="s">
        <v>310</v>
      </c>
      <c r="B8505" s="405" t="s">
        <v>1583</v>
      </c>
      <c r="C8505" s="405" t="s">
        <v>327</v>
      </c>
      <c r="D8505" s="405"/>
      <c r="E8505" s="410">
        <v>40688</v>
      </c>
      <c r="F8505" s="410">
        <v>40733</v>
      </c>
      <c r="G8505" s="405" t="s">
        <v>1584</v>
      </c>
      <c r="H8505" s="405">
        <v>774311237</v>
      </c>
      <c r="I8505" s="405">
        <v>772700933</v>
      </c>
      <c r="J8505" s="405">
        <v>31.596080000000001</v>
      </c>
      <c r="K8505" s="405">
        <v>-0.69793799999999995</v>
      </c>
      <c r="L8505" s="405" t="s">
        <v>314</v>
      </c>
      <c r="M8505" s="405" t="s">
        <v>398</v>
      </c>
      <c r="N8505" s="405" t="s">
        <v>399</v>
      </c>
      <c r="O8505" s="405" t="s">
        <v>1585</v>
      </c>
      <c r="P8505" s="405" t="s">
        <v>1586</v>
      </c>
      <c r="Q8505" s="411">
        <v>6</v>
      </c>
      <c r="R8505" s="405" t="s">
        <v>402</v>
      </c>
      <c r="S8505" s="405" t="s">
        <v>27121</v>
      </c>
      <c r="T8505" s="405" t="s">
        <v>32102</v>
      </c>
      <c r="U8505" s="405" t="s">
        <v>319</v>
      </c>
    </row>
    <row r="8506" spans="1:21" hidden="1" x14ac:dyDescent="0.25">
      <c r="A8506" s="405" t="s">
        <v>310</v>
      </c>
      <c r="B8506" s="405" t="s">
        <v>27766</v>
      </c>
      <c r="C8506" s="405" t="s">
        <v>327</v>
      </c>
      <c r="D8506" s="405"/>
      <c r="E8506" s="410">
        <v>40685</v>
      </c>
      <c r="F8506" s="410">
        <v>40730</v>
      </c>
      <c r="G8506" s="405" t="s">
        <v>20133</v>
      </c>
      <c r="H8506" s="405">
        <v>774175544</v>
      </c>
      <c r="I8506" s="405"/>
      <c r="J8506" s="405">
        <v>-0.482126</v>
      </c>
      <c r="K8506" s="405">
        <v>30.419567000000001</v>
      </c>
      <c r="L8506" s="405" t="s">
        <v>590</v>
      </c>
      <c r="M8506" s="405" t="s">
        <v>19725</v>
      </c>
      <c r="N8506" s="405" t="s">
        <v>19725</v>
      </c>
      <c r="O8506" s="405" t="s">
        <v>19938</v>
      </c>
      <c r="P8506" s="405" t="s">
        <v>3459</v>
      </c>
      <c r="Q8506" s="411">
        <v>9</v>
      </c>
      <c r="R8506" s="405" t="s">
        <v>333</v>
      </c>
      <c r="S8506" s="405" t="s">
        <v>27397</v>
      </c>
      <c r="T8506" s="405" t="s">
        <v>32102</v>
      </c>
      <c r="U8506" s="405" t="s">
        <v>319</v>
      </c>
    </row>
    <row r="8507" spans="1:21" hidden="1" x14ac:dyDescent="0.25">
      <c r="A8507" s="405" t="s">
        <v>310</v>
      </c>
      <c r="B8507" s="405" t="s">
        <v>27734</v>
      </c>
      <c r="C8507" s="405" t="s">
        <v>327</v>
      </c>
      <c r="D8507" s="405"/>
      <c r="E8507" s="410">
        <v>40685</v>
      </c>
      <c r="F8507" s="410">
        <v>40730</v>
      </c>
      <c r="G8507" s="405" t="s">
        <v>20100</v>
      </c>
      <c r="H8507" s="405">
        <v>772467090</v>
      </c>
      <c r="I8507" s="405">
        <v>702447845</v>
      </c>
      <c r="J8507" s="405">
        <v>-0.70569800000000005</v>
      </c>
      <c r="K8507" s="405">
        <v>30.106635000000001</v>
      </c>
      <c r="L8507" s="405" t="s">
        <v>590</v>
      </c>
      <c r="M8507" s="405" t="s">
        <v>20032</v>
      </c>
      <c r="N8507" s="405" t="s">
        <v>20033</v>
      </c>
      <c r="O8507" s="405" t="s">
        <v>20101</v>
      </c>
      <c r="P8507" s="405" t="s">
        <v>20102</v>
      </c>
      <c r="Q8507" s="411">
        <v>9</v>
      </c>
      <c r="R8507" s="405" t="s">
        <v>333</v>
      </c>
      <c r="S8507" s="405" t="s">
        <v>27401</v>
      </c>
      <c r="T8507" s="405" t="s">
        <v>32102</v>
      </c>
      <c r="U8507" s="405" t="s">
        <v>319</v>
      </c>
    </row>
    <row r="8508" spans="1:21" hidden="1" x14ac:dyDescent="0.25">
      <c r="A8508" s="405" t="s">
        <v>310</v>
      </c>
      <c r="B8508" s="405" t="s">
        <v>20114</v>
      </c>
      <c r="C8508" s="405" t="s">
        <v>327</v>
      </c>
      <c r="D8508" s="405"/>
      <c r="E8508" s="410">
        <v>40685</v>
      </c>
      <c r="F8508" s="410">
        <v>40730</v>
      </c>
      <c r="G8508" s="405" t="s">
        <v>20115</v>
      </c>
      <c r="H8508" s="405">
        <v>775176047</v>
      </c>
      <c r="I8508" s="405"/>
      <c r="J8508" s="405">
        <v>-0.11516</v>
      </c>
      <c r="K8508" s="405">
        <v>30.432352000000002</v>
      </c>
      <c r="L8508" s="405" t="s">
        <v>590</v>
      </c>
      <c r="M8508" s="405" t="s">
        <v>870</v>
      </c>
      <c r="N8508" s="405" t="s">
        <v>19755</v>
      </c>
      <c r="O8508" s="405" t="s">
        <v>20116</v>
      </c>
      <c r="P8508" s="405" t="s">
        <v>20117</v>
      </c>
      <c r="Q8508" s="411">
        <v>9</v>
      </c>
      <c r="R8508" s="405" t="s">
        <v>883</v>
      </c>
      <c r="S8508" s="405" t="s">
        <v>27183</v>
      </c>
      <c r="T8508" s="405" t="s">
        <v>32102</v>
      </c>
      <c r="U8508" s="405" t="s">
        <v>319</v>
      </c>
    </row>
    <row r="8509" spans="1:21" hidden="1" x14ac:dyDescent="0.25">
      <c r="A8509" s="405" t="s">
        <v>310</v>
      </c>
      <c r="B8509" s="405" t="s">
        <v>10344</v>
      </c>
      <c r="C8509" s="405" t="s">
        <v>327</v>
      </c>
      <c r="D8509" s="405"/>
      <c r="E8509" s="410">
        <v>40685</v>
      </c>
      <c r="F8509" s="410">
        <v>40730</v>
      </c>
      <c r="G8509" s="405" t="s">
        <v>10345</v>
      </c>
      <c r="H8509" s="405">
        <v>782527367</v>
      </c>
      <c r="I8509" s="405"/>
      <c r="J8509" s="405">
        <v>1.5113650000000001</v>
      </c>
      <c r="K8509" s="405">
        <v>33.870313000000003</v>
      </c>
      <c r="L8509" s="405" t="s">
        <v>6866</v>
      </c>
      <c r="M8509" s="405" t="s">
        <v>10029</v>
      </c>
      <c r="N8509" s="405" t="s">
        <v>10029</v>
      </c>
      <c r="O8509" s="405" t="s">
        <v>10029</v>
      </c>
      <c r="P8509" s="405" t="s">
        <v>10346</v>
      </c>
      <c r="Q8509" s="411">
        <v>6</v>
      </c>
      <c r="R8509" s="405" t="s">
        <v>7224</v>
      </c>
      <c r="S8509" s="405" t="s">
        <v>17013</v>
      </c>
      <c r="T8509" s="405" t="s">
        <v>32102</v>
      </c>
      <c r="U8509" s="405" t="s">
        <v>319</v>
      </c>
    </row>
    <row r="8510" spans="1:21" hidden="1" x14ac:dyDescent="0.25">
      <c r="A8510" s="405" t="s">
        <v>310</v>
      </c>
      <c r="B8510" s="405" t="s">
        <v>28904</v>
      </c>
      <c r="C8510" s="405" t="s">
        <v>327</v>
      </c>
      <c r="D8510" s="405"/>
      <c r="E8510" s="410">
        <v>40685</v>
      </c>
      <c r="F8510" s="410">
        <v>40730</v>
      </c>
      <c r="G8510" s="405" t="s">
        <v>20103</v>
      </c>
      <c r="H8510" s="405">
        <v>774762724</v>
      </c>
      <c r="I8510" s="405"/>
      <c r="J8510" s="405">
        <v>-0.67718400000000001</v>
      </c>
      <c r="K8510" s="405">
        <v>30.576758999999999</v>
      </c>
      <c r="L8510" s="405" t="s">
        <v>590</v>
      </c>
      <c r="M8510" s="405" t="s">
        <v>19614</v>
      </c>
      <c r="N8510" s="405" t="s">
        <v>19873</v>
      </c>
      <c r="O8510" s="405" t="s">
        <v>20104</v>
      </c>
      <c r="P8510" s="405" t="s">
        <v>20105</v>
      </c>
      <c r="Q8510" s="411">
        <v>6</v>
      </c>
      <c r="R8510" s="405" t="s">
        <v>333</v>
      </c>
      <c r="S8510" s="405" t="s">
        <v>27104</v>
      </c>
      <c r="T8510" s="405" t="s">
        <v>32102</v>
      </c>
      <c r="U8510" s="405" t="s">
        <v>319</v>
      </c>
    </row>
    <row r="8511" spans="1:21" hidden="1" x14ac:dyDescent="0.25">
      <c r="A8511" s="405" t="s">
        <v>310</v>
      </c>
      <c r="B8511" s="405" t="s">
        <v>10354</v>
      </c>
      <c r="C8511" s="405" t="s">
        <v>327</v>
      </c>
      <c r="D8511" s="405"/>
      <c r="E8511" s="410">
        <v>40684</v>
      </c>
      <c r="F8511" s="410">
        <v>40729</v>
      </c>
      <c r="G8511" s="405" t="s">
        <v>10355</v>
      </c>
      <c r="H8511" s="405">
        <v>784425254</v>
      </c>
      <c r="I8511" s="405"/>
      <c r="J8511" s="405">
        <v>1.5590200000000001</v>
      </c>
      <c r="K8511" s="405">
        <v>33.751553000000001</v>
      </c>
      <c r="L8511" s="405" t="s">
        <v>6866</v>
      </c>
      <c r="M8511" s="405" t="s">
        <v>10012</v>
      </c>
      <c r="N8511" s="405" t="s">
        <v>10012</v>
      </c>
      <c r="O8511" s="405" t="s">
        <v>10267</v>
      </c>
      <c r="P8511" s="405" t="s">
        <v>10356</v>
      </c>
      <c r="Q8511" s="411">
        <v>6</v>
      </c>
      <c r="R8511" s="405" t="s">
        <v>9541</v>
      </c>
      <c r="S8511" s="405" t="s">
        <v>27302</v>
      </c>
      <c r="T8511" s="405" t="s">
        <v>32102</v>
      </c>
      <c r="U8511" s="405" t="s">
        <v>319</v>
      </c>
    </row>
    <row r="8512" spans="1:21" hidden="1" x14ac:dyDescent="0.25">
      <c r="A8512" s="405" t="s">
        <v>310</v>
      </c>
      <c r="B8512" s="405" t="s">
        <v>28432</v>
      </c>
      <c r="C8512" s="405" t="s">
        <v>327</v>
      </c>
      <c r="D8512" s="405"/>
      <c r="E8512" s="410">
        <v>40683</v>
      </c>
      <c r="F8512" s="410">
        <v>40728</v>
      </c>
      <c r="G8512" s="405" t="s">
        <v>10325</v>
      </c>
      <c r="H8512" s="405">
        <v>782763304</v>
      </c>
      <c r="I8512" s="405">
        <v>752359048</v>
      </c>
      <c r="J8512" s="405">
        <v>0.719885</v>
      </c>
      <c r="K8512" s="405">
        <v>33.056413333333332</v>
      </c>
      <c r="L8512" s="405" t="s">
        <v>6866</v>
      </c>
      <c r="M8512" s="405" t="s">
        <v>3009</v>
      </c>
      <c r="N8512" s="405" t="s">
        <v>9842</v>
      </c>
      <c r="O8512" s="405" t="s">
        <v>10323</v>
      </c>
      <c r="P8512" s="405" t="s">
        <v>10324</v>
      </c>
      <c r="Q8512" s="411">
        <v>12</v>
      </c>
      <c r="R8512" s="405" t="s">
        <v>333</v>
      </c>
      <c r="S8512" s="405" t="s">
        <v>6822</v>
      </c>
      <c r="T8512" s="405" t="s">
        <v>32102</v>
      </c>
      <c r="U8512" s="405" t="s">
        <v>319</v>
      </c>
    </row>
    <row r="8513" spans="1:21" hidden="1" x14ac:dyDescent="0.25">
      <c r="A8513" s="405" t="s">
        <v>310</v>
      </c>
      <c r="B8513" s="405" t="s">
        <v>27526</v>
      </c>
      <c r="C8513" s="405" t="s">
        <v>327</v>
      </c>
      <c r="D8513" s="405"/>
      <c r="E8513" s="410">
        <v>40683</v>
      </c>
      <c r="F8513" s="410">
        <v>40728</v>
      </c>
      <c r="G8513" s="405" t="s">
        <v>10352</v>
      </c>
      <c r="H8513" s="405">
        <v>772584039</v>
      </c>
      <c r="I8513" s="405"/>
      <c r="J8513" s="405">
        <v>1.3942570000000001</v>
      </c>
      <c r="K8513" s="405">
        <v>33.762895</v>
      </c>
      <c r="L8513" s="405" t="s">
        <v>6866</v>
      </c>
      <c r="M8513" s="405" t="s">
        <v>10029</v>
      </c>
      <c r="N8513" s="405" t="s">
        <v>10012</v>
      </c>
      <c r="O8513" s="405" t="s">
        <v>10092</v>
      </c>
      <c r="P8513" s="405" t="s">
        <v>10353</v>
      </c>
      <c r="Q8513" s="411">
        <v>6</v>
      </c>
      <c r="R8513" s="405" t="s">
        <v>9541</v>
      </c>
      <c r="S8513" s="405" t="s">
        <v>27302</v>
      </c>
      <c r="T8513" s="405" t="s">
        <v>32102</v>
      </c>
      <c r="U8513" s="405" t="s">
        <v>319</v>
      </c>
    </row>
    <row r="8514" spans="1:21" hidden="1" x14ac:dyDescent="0.25">
      <c r="A8514" s="405" t="s">
        <v>310</v>
      </c>
      <c r="B8514" s="405" t="s">
        <v>28141</v>
      </c>
      <c r="C8514" s="405" t="s">
        <v>327</v>
      </c>
      <c r="D8514" s="405"/>
      <c r="E8514" s="410">
        <v>40683</v>
      </c>
      <c r="F8514" s="410">
        <v>40728</v>
      </c>
      <c r="G8514" s="405" t="s">
        <v>10322</v>
      </c>
      <c r="H8514" s="405">
        <v>752359048</v>
      </c>
      <c r="I8514" s="405">
        <v>752933618</v>
      </c>
      <c r="J8514" s="405">
        <v>0.70089833333333329</v>
      </c>
      <c r="K8514" s="405">
        <v>33.062971666666662</v>
      </c>
      <c r="L8514" s="405" t="s">
        <v>6866</v>
      </c>
      <c r="M8514" s="405" t="s">
        <v>3009</v>
      </c>
      <c r="N8514" s="405" t="s">
        <v>9842</v>
      </c>
      <c r="O8514" s="405" t="s">
        <v>10323</v>
      </c>
      <c r="P8514" s="405" t="s">
        <v>10324</v>
      </c>
      <c r="Q8514" s="411">
        <v>6</v>
      </c>
      <c r="R8514" s="405" t="s">
        <v>333</v>
      </c>
      <c r="S8514" s="405" t="s">
        <v>6822</v>
      </c>
      <c r="T8514" s="405" t="s">
        <v>32102</v>
      </c>
      <c r="U8514" s="405" t="s">
        <v>319</v>
      </c>
    </row>
    <row r="8515" spans="1:21" hidden="1" x14ac:dyDescent="0.25">
      <c r="A8515" s="405" t="s">
        <v>310</v>
      </c>
      <c r="B8515" s="405" t="s">
        <v>1509</v>
      </c>
      <c r="C8515" s="405" t="s">
        <v>327</v>
      </c>
      <c r="D8515" s="405"/>
      <c r="E8515" s="410">
        <v>40683</v>
      </c>
      <c r="F8515" s="410">
        <v>40728</v>
      </c>
      <c r="G8515" s="405" t="s">
        <v>1510</v>
      </c>
      <c r="H8515" s="405">
        <v>755626766</v>
      </c>
      <c r="I8515" s="405"/>
      <c r="J8515" s="405">
        <v>0.44989299999999999</v>
      </c>
      <c r="K8515" s="405">
        <v>32.171942999999999</v>
      </c>
      <c r="L8515" s="405" t="s">
        <v>314</v>
      </c>
      <c r="M8515" s="405" t="s">
        <v>675</v>
      </c>
      <c r="N8515" s="405" t="s">
        <v>1065</v>
      </c>
      <c r="O8515" s="405" t="s">
        <v>1374</v>
      </c>
      <c r="P8515" s="405" t="s">
        <v>1375</v>
      </c>
      <c r="Q8515" s="411">
        <v>6</v>
      </c>
      <c r="R8515" s="405" t="s">
        <v>318</v>
      </c>
      <c r="S8515" s="405" t="s">
        <v>27113</v>
      </c>
      <c r="T8515" s="405" t="s">
        <v>32102</v>
      </c>
      <c r="U8515" s="405" t="s">
        <v>319</v>
      </c>
    </row>
    <row r="8516" spans="1:21" hidden="1" x14ac:dyDescent="0.25">
      <c r="A8516" s="405" t="s">
        <v>310</v>
      </c>
      <c r="B8516" s="405" t="s">
        <v>10824</v>
      </c>
      <c r="C8516" s="405" t="s">
        <v>311</v>
      </c>
      <c r="D8516" s="405" t="s">
        <v>839</v>
      </c>
      <c r="E8516" s="410">
        <v>40683</v>
      </c>
      <c r="F8516" s="410">
        <v>40728</v>
      </c>
      <c r="G8516" s="405" t="s">
        <v>10825</v>
      </c>
      <c r="H8516" s="405">
        <v>782637379</v>
      </c>
      <c r="I8516" s="405"/>
      <c r="J8516" s="405">
        <v>0.92352299999999998</v>
      </c>
      <c r="K8516" s="405">
        <v>34.271090000000001</v>
      </c>
      <c r="L8516" s="405" t="s">
        <v>6866</v>
      </c>
      <c r="M8516" s="405" t="s">
        <v>9763</v>
      </c>
      <c r="N8516" s="405" t="s">
        <v>9764</v>
      </c>
      <c r="O8516" s="405" t="s">
        <v>9792</v>
      </c>
      <c r="P8516" s="405" t="s">
        <v>9981</v>
      </c>
      <c r="Q8516" s="411">
        <v>6</v>
      </c>
      <c r="R8516" s="405" t="s">
        <v>7224</v>
      </c>
      <c r="S8516" s="405" t="s">
        <v>27073</v>
      </c>
      <c r="T8516" s="405" t="s">
        <v>32102</v>
      </c>
      <c r="U8516" s="405" t="s">
        <v>319</v>
      </c>
    </row>
    <row r="8517" spans="1:21" hidden="1" x14ac:dyDescent="0.25">
      <c r="A8517" s="405" t="s">
        <v>310</v>
      </c>
      <c r="B8517" s="405" t="s">
        <v>1616</v>
      </c>
      <c r="C8517" s="405" t="s">
        <v>327</v>
      </c>
      <c r="D8517" s="405"/>
      <c r="E8517" s="410">
        <v>40683</v>
      </c>
      <c r="F8517" s="410">
        <v>40728</v>
      </c>
      <c r="G8517" s="405" t="s">
        <v>1617</v>
      </c>
      <c r="H8517" s="405">
        <v>756850223</v>
      </c>
      <c r="I8517" s="405"/>
      <c r="J8517" s="405">
        <v>0.35954999999999998</v>
      </c>
      <c r="K8517" s="405">
        <v>32.980004999999998</v>
      </c>
      <c r="L8517" s="405" t="s">
        <v>314</v>
      </c>
      <c r="M8517" s="405" t="s">
        <v>349</v>
      </c>
      <c r="N8517" s="405" t="s">
        <v>350</v>
      </c>
      <c r="O8517" s="405" t="s">
        <v>656</v>
      </c>
      <c r="P8517" s="405" t="s">
        <v>1618</v>
      </c>
      <c r="Q8517" s="411">
        <v>6</v>
      </c>
      <c r="R8517" s="405" t="s">
        <v>318</v>
      </c>
      <c r="S8517" s="405" t="s">
        <v>27135</v>
      </c>
      <c r="T8517" s="405" t="s">
        <v>32102</v>
      </c>
      <c r="U8517" s="405" t="s">
        <v>319</v>
      </c>
    </row>
    <row r="8518" spans="1:21" hidden="1" x14ac:dyDescent="0.25">
      <c r="A8518" s="405" t="s">
        <v>310</v>
      </c>
      <c r="B8518" s="405" t="s">
        <v>1601</v>
      </c>
      <c r="C8518" s="405" t="s">
        <v>327</v>
      </c>
      <c r="D8518" s="405"/>
      <c r="E8518" s="410">
        <v>40683</v>
      </c>
      <c r="F8518" s="410">
        <v>40728</v>
      </c>
      <c r="G8518" s="405" t="s">
        <v>1602</v>
      </c>
      <c r="H8518" s="405">
        <v>782453556</v>
      </c>
      <c r="I8518" s="405"/>
      <c r="J8518" s="405">
        <v>0.29203699999999999</v>
      </c>
      <c r="K8518" s="405">
        <v>31.983996999999999</v>
      </c>
      <c r="L8518" s="405" t="s">
        <v>314</v>
      </c>
      <c r="M8518" s="405" t="s">
        <v>675</v>
      </c>
      <c r="N8518" s="405" t="s">
        <v>676</v>
      </c>
      <c r="O8518" s="405" t="s">
        <v>1589</v>
      </c>
      <c r="P8518" s="405" t="s">
        <v>1603</v>
      </c>
      <c r="Q8518" s="411">
        <v>6</v>
      </c>
      <c r="R8518" s="405" t="s">
        <v>438</v>
      </c>
      <c r="S8518" s="405" t="s">
        <v>27131</v>
      </c>
      <c r="T8518" s="405" t="s">
        <v>32102</v>
      </c>
      <c r="U8518" s="405" t="s">
        <v>319</v>
      </c>
    </row>
    <row r="8519" spans="1:21" hidden="1" x14ac:dyDescent="0.25">
      <c r="A8519" s="405" t="s">
        <v>310</v>
      </c>
      <c r="B8519" s="405" t="s">
        <v>10334</v>
      </c>
      <c r="C8519" s="405" t="s">
        <v>327</v>
      </c>
      <c r="D8519" s="405"/>
      <c r="E8519" s="410">
        <v>40683</v>
      </c>
      <c r="F8519" s="410">
        <v>40728</v>
      </c>
      <c r="G8519" s="405" t="s">
        <v>10335</v>
      </c>
      <c r="H8519" s="405">
        <v>777828585</v>
      </c>
      <c r="I8519" s="405"/>
      <c r="J8519" s="405">
        <v>0.83206899999999995</v>
      </c>
      <c r="K8519" s="405">
        <v>34.162883999999998</v>
      </c>
      <c r="L8519" s="405" t="s">
        <v>6866</v>
      </c>
      <c r="M8519" s="405" t="s">
        <v>9534</v>
      </c>
      <c r="N8519" s="405" t="s">
        <v>10252</v>
      </c>
      <c r="O8519" s="405" t="s">
        <v>10336</v>
      </c>
      <c r="P8519" s="405" t="s">
        <v>10337</v>
      </c>
      <c r="Q8519" s="411">
        <v>6</v>
      </c>
      <c r="R8519" s="405" t="s">
        <v>7224</v>
      </c>
      <c r="S8519" s="405" t="s">
        <v>27073</v>
      </c>
      <c r="T8519" s="405" t="s">
        <v>32102</v>
      </c>
      <c r="U8519" s="405" t="s">
        <v>319</v>
      </c>
    </row>
    <row r="8520" spans="1:21" hidden="1" x14ac:dyDescent="0.25">
      <c r="A8520" s="405" t="s">
        <v>310</v>
      </c>
      <c r="B8520" s="405" t="s">
        <v>10369</v>
      </c>
      <c r="C8520" s="405" t="s">
        <v>327</v>
      </c>
      <c r="D8520" s="405"/>
      <c r="E8520" s="410">
        <v>40683</v>
      </c>
      <c r="F8520" s="410">
        <v>40728</v>
      </c>
      <c r="G8520" s="405" t="s">
        <v>10370</v>
      </c>
      <c r="H8520" s="405">
        <v>779405873</v>
      </c>
      <c r="I8520" s="405"/>
      <c r="J8520" s="405">
        <v>1.0681670000000001</v>
      </c>
      <c r="K8520" s="405">
        <v>34.276184999999998</v>
      </c>
      <c r="L8520" s="405" t="s">
        <v>6866</v>
      </c>
      <c r="M8520" s="405" t="s">
        <v>9514</v>
      </c>
      <c r="N8520" s="405" t="s">
        <v>9529</v>
      </c>
      <c r="O8520" s="405" t="s">
        <v>10139</v>
      </c>
      <c r="P8520" s="405" t="s">
        <v>10371</v>
      </c>
      <c r="Q8520" s="411">
        <v>6</v>
      </c>
      <c r="R8520" s="405" t="s">
        <v>7224</v>
      </c>
      <c r="S8520" s="405" t="s">
        <v>27107</v>
      </c>
      <c r="T8520" s="405" t="s">
        <v>32102</v>
      </c>
      <c r="U8520" s="405" t="s">
        <v>319</v>
      </c>
    </row>
    <row r="8521" spans="1:21" hidden="1" x14ac:dyDescent="0.25">
      <c r="A8521" s="405" t="s">
        <v>310</v>
      </c>
      <c r="B8521" s="405" t="s">
        <v>28705</v>
      </c>
      <c r="C8521" s="405" t="s">
        <v>327</v>
      </c>
      <c r="D8521" s="405"/>
      <c r="E8521" s="410">
        <v>40682</v>
      </c>
      <c r="F8521" s="410">
        <v>40727</v>
      </c>
      <c r="G8521" s="405" t="s">
        <v>10389</v>
      </c>
      <c r="H8521" s="405">
        <v>785975401</v>
      </c>
      <c r="I8521" s="405"/>
      <c r="J8521" s="405">
        <v>0.25714300000000001</v>
      </c>
      <c r="K8521" s="405">
        <v>33.994284999999998</v>
      </c>
      <c r="L8521" s="405" t="s">
        <v>6866</v>
      </c>
      <c r="M8521" s="405" t="s">
        <v>10390</v>
      </c>
      <c r="N8521" s="405" t="s">
        <v>10391</v>
      </c>
      <c r="O8521" s="405" t="s">
        <v>10392</v>
      </c>
      <c r="P8521" s="405" t="s">
        <v>10392</v>
      </c>
      <c r="Q8521" s="411">
        <v>13</v>
      </c>
      <c r="R8521" s="405" t="s">
        <v>7224</v>
      </c>
      <c r="S8521" s="405" t="s">
        <v>27304</v>
      </c>
      <c r="T8521" s="405" t="s">
        <v>32102</v>
      </c>
      <c r="U8521" s="405" t="s">
        <v>319</v>
      </c>
    </row>
    <row r="8522" spans="1:21" hidden="1" x14ac:dyDescent="0.25">
      <c r="A8522" s="405" t="s">
        <v>310</v>
      </c>
      <c r="B8522" s="405" t="s">
        <v>28840</v>
      </c>
      <c r="C8522" s="405" t="s">
        <v>327</v>
      </c>
      <c r="D8522" s="405"/>
      <c r="E8522" s="410">
        <v>40682</v>
      </c>
      <c r="F8522" s="410">
        <v>40727</v>
      </c>
      <c r="G8522" s="405" t="s">
        <v>20118</v>
      </c>
      <c r="H8522" s="405">
        <v>782656525</v>
      </c>
      <c r="I8522" s="405">
        <v>757971712</v>
      </c>
      <c r="J8522" s="405">
        <v>-1.2742020000000001</v>
      </c>
      <c r="K8522" s="405">
        <v>30.022770000000001</v>
      </c>
      <c r="L8522" s="405" t="s">
        <v>590</v>
      </c>
      <c r="M8522" s="405" t="s">
        <v>5312</v>
      </c>
      <c r="N8522" s="405" t="s">
        <v>20119</v>
      </c>
      <c r="O8522" s="405" t="s">
        <v>20120</v>
      </c>
      <c r="P8522" s="405" t="s">
        <v>20121</v>
      </c>
      <c r="Q8522" s="411">
        <v>9</v>
      </c>
      <c r="R8522" s="405" t="s">
        <v>967</v>
      </c>
      <c r="S8522" s="405" t="s">
        <v>27166</v>
      </c>
      <c r="T8522" s="405" t="s">
        <v>32102</v>
      </c>
      <c r="U8522" s="405" t="s">
        <v>319</v>
      </c>
    </row>
    <row r="8523" spans="1:21" hidden="1" x14ac:dyDescent="0.25">
      <c r="A8523" s="405" t="s">
        <v>310</v>
      </c>
      <c r="B8523" s="405" t="s">
        <v>10378</v>
      </c>
      <c r="C8523" s="405" t="s">
        <v>327</v>
      </c>
      <c r="D8523" s="405"/>
      <c r="E8523" s="410">
        <v>40682</v>
      </c>
      <c r="F8523" s="410">
        <v>40727</v>
      </c>
      <c r="G8523" s="405" t="s">
        <v>10379</v>
      </c>
      <c r="H8523" s="405">
        <v>774193211</v>
      </c>
      <c r="I8523" s="405"/>
      <c r="J8523" s="405">
        <v>1.0774220000000001</v>
      </c>
      <c r="K8523" s="405">
        <v>34.091155000000001</v>
      </c>
      <c r="L8523" s="405" t="s">
        <v>6866</v>
      </c>
      <c r="M8523" s="405" t="s">
        <v>9676</v>
      </c>
      <c r="N8523" s="405" t="s">
        <v>9676</v>
      </c>
      <c r="O8523" s="405" t="s">
        <v>10380</v>
      </c>
      <c r="P8523" s="405" t="s">
        <v>10380</v>
      </c>
      <c r="Q8523" s="411">
        <v>6</v>
      </c>
      <c r="R8523" s="405" t="s">
        <v>7224</v>
      </c>
      <c r="S8523" s="405" t="s">
        <v>27259</v>
      </c>
      <c r="T8523" s="405" t="s">
        <v>32102</v>
      </c>
      <c r="U8523" s="405" t="s">
        <v>319</v>
      </c>
    </row>
    <row r="8524" spans="1:21" hidden="1" x14ac:dyDescent="0.25">
      <c r="A8524" s="405" t="s">
        <v>310</v>
      </c>
      <c r="B8524" s="405" t="s">
        <v>1565</v>
      </c>
      <c r="C8524" s="405" t="s">
        <v>327</v>
      </c>
      <c r="D8524" s="405"/>
      <c r="E8524" s="410">
        <v>40682</v>
      </c>
      <c r="F8524" s="410">
        <v>40727</v>
      </c>
      <c r="G8524" s="405" t="s">
        <v>1566</v>
      </c>
      <c r="H8524" s="405">
        <v>752620835</v>
      </c>
      <c r="I8524" s="405"/>
      <c r="J8524" s="405">
        <v>0.45358300000000001</v>
      </c>
      <c r="K8524" s="405">
        <v>32.145581999999997</v>
      </c>
      <c r="L8524" s="405" t="s">
        <v>314</v>
      </c>
      <c r="M8524" s="405" t="s">
        <v>675</v>
      </c>
      <c r="N8524" s="405" t="s">
        <v>1065</v>
      </c>
      <c r="O8524" s="405" t="s">
        <v>1374</v>
      </c>
      <c r="P8524" s="405" t="s">
        <v>1567</v>
      </c>
      <c r="Q8524" s="411">
        <v>6</v>
      </c>
      <c r="R8524" s="405" t="s">
        <v>318</v>
      </c>
      <c r="S8524" s="405" t="s">
        <v>27046</v>
      </c>
      <c r="T8524" s="405" t="s">
        <v>32102</v>
      </c>
      <c r="U8524" s="405" t="s">
        <v>319</v>
      </c>
    </row>
    <row r="8525" spans="1:21" hidden="1" x14ac:dyDescent="0.25">
      <c r="A8525" s="405" t="s">
        <v>310</v>
      </c>
      <c r="B8525" s="405" t="s">
        <v>1561</v>
      </c>
      <c r="C8525" s="405" t="s">
        <v>327</v>
      </c>
      <c r="D8525" s="405"/>
      <c r="E8525" s="410">
        <v>40680</v>
      </c>
      <c r="F8525" s="410">
        <v>40725</v>
      </c>
      <c r="G8525" s="405" t="s">
        <v>1562</v>
      </c>
      <c r="H8525" s="405">
        <v>773261553</v>
      </c>
      <c r="I8525" s="405">
        <v>703461902</v>
      </c>
      <c r="J8525" s="405">
        <v>-0.55565500000000001</v>
      </c>
      <c r="K8525" s="405">
        <v>31.598102000000001</v>
      </c>
      <c r="L8525" s="405" t="s">
        <v>314</v>
      </c>
      <c r="M8525" s="405" t="s">
        <v>398</v>
      </c>
      <c r="N8525" s="405" t="s">
        <v>399</v>
      </c>
      <c r="O8525" s="405" t="s">
        <v>1563</v>
      </c>
      <c r="P8525" s="405" t="s">
        <v>1564</v>
      </c>
      <c r="Q8525" s="411">
        <v>6</v>
      </c>
      <c r="R8525" s="405" t="s">
        <v>318</v>
      </c>
      <c r="S8525" s="405" t="s">
        <v>27046</v>
      </c>
      <c r="T8525" s="405" t="s">
        <v>32102</v>
      </c>
      <c r="U8525" s="405" t="s">
        <v>319</v>
      </c>
    </row>
    <row r="8526" spans="1:21" hidden="1" x14ac:dyDescent="0.25">
      <c r="A8526" s="405" t="s">
        <v>310</v>
      </c>
      <c r="B8526" s="405" t="s">
        <v>28823</v>
      </c>
      <c r="C8526" s="405" t="s">
        <v>311</v>
      </c>
      <c r="D8526" s="405" t="s">
        <v>1789</v>
      </c>
      <c r="E8526" s="410">
        <v>40679</v>
      </c>
      <c r="F8526" s="410">
        <v>40724</v>
      </c>
      <c r="G8526" s="405" t="s">
        <v>1923</v>
      </c>
      <c r="H8526" s="405">
        <v>773949382</v>
      </c>
      <c r="I8526" s="405"/>
      <c r="J8526" s="405">
        <v>-7.9447000000000004E-2</v>
      </c>
      <c r="K8526" s="405">
        <v>31.457301000000001</v>
      </c>
      <c r="L8526" s="405" t="s">
        <v>314</v>
      </c>
      <c r="M8526" s="405" t="s">
        <v>343</v>
      </c>
      <c r="N8526" s="405" t="s">
        <v>344</v>
      </c>
      <c r="O8526" s="405" t="s">
        <v>723</v>
      </c>
      <c r="P8526" s="405" t="s">
        <v>723</v>
      </c>
      <c r="Q8526" s="411">
        <v>12</v>
      </c>
      <c r="R8526" s="405" t="s">
        <v>1527</v>
      </c>
      <c r="S8526" s="405" t="s">
        <v>27161</v>
      </c>
      <c r="T8526" s="405" t="s">
        <v>32102</v>
      </c>
      <c r="U8526" s="405" t="s">
        <v>319</v>
      </c>
    </row>
    <row r="8527" spans="1:21" hidden="1" x14ac:dyDescent="0.25">
      <c r="A8527" s="405" t="s">
        <v>310</v>
      </c>
      <c r="B8527" s="405" t="s">
        <v>10263</v>
      </c>
      <c r="C8527" s="405" t="s">
        <v>327</v>
      </c>
      <c r="D8527" s="405"/>
      <c r="E8527" s="410">
        <v>40679</v>
      </c>
      <c r="F8527" s="410">
        <v>40724</v>
      </c>
      <c r="G8527" s="405" t="s">
        <v>10264</v>
      </c>
      <c r="H8527" s="405">
        <v>782504468</v>
      </c>
      <c r="I8527" s="405">
        <v>752504468</v>
      </c>
      <c r="J8527" s="405">
        <v>1.4023270000000001</v>
      </c>
      <c r="K8527" s="405">
        <v>33.758360000000003</v>
      </c>
      <c r="L8527" s="405" t="s">
        <v>6866</v>
      </c>
      <c r="M8527" s="405" t="s">
        <v>10012</v>
      </c>
      <c r="N8527" s="405" t="s">
        <v>10012</v>
      </c>
      <c r="O8527" s="405" t="s">
        <v>10092</v>
      </c>
      <c r="P8527" s="405" t="s">
        <v>10265</v>
      </c>
      <c r="Q8527" s="411">
        <v>6</v>
      </c>
      <c r="R8527" s="405" t="s">
        <v>9541</v>
      </c>
      <c r="S8527" s="405" t="s">
        <v>27302</v>
      </c>
      <c r="T8527" s="405" t="s">
        <v>32102</v>
      </c>
      <c r="U8527" s="405" t="s">
        <v>319</v>
      </c>
    </row>
    <row r="8528" spans="1:21" hidden="1" x14ac:dyDescent="0.25">
      <c r="A8528" s="405" t="s">
        <v>310</v>
      </c>
      <c r="B8528" s="405" t="s">
        <v>28337</v>
      </c>
      <c r="C8528" s="405" t="s">
        <v>327</v>
      </c>
      <c r="D8528" s="405"/>
      <c r="E8528" s="410">
        <v>40679</v>
      </c>
      <c r="F8528" s="410">
        <v>40724</v>
      </c>
      <c r="G8528" s="405" t="s">
        <v>1387</v>
      </c>
      <c r="H8528" s="405">
        <v>752537677</v>
      </c>
      <c r="I8528" s="405"/>
      <c r="J8528" s="405">
        <v>-0.2401134</v>
      </c>
      <c r="K8528" s="405">
        <v>31.7606848</v>
      </c>
      <c r="L8528" s="405" t="s">
        <v>314</v>
      </c>
      <c r="M8528" s="405" t="s">
        <v>900</v>
      </c>
      <c r="N8528" s="405" t="s">
        <v>900</v>
      </c>
      <c r="O8528" s="405" t="s">
        <v>900</v>
      </c>
      <c r="P8528" s="405" t="s">
        <v>1388</v>
      </c>
      <c r="Q8528" s="411">
        <v>6</v>
      </c>
      <c r="R8528" s="405" t="s">
        <v>333</v>
      </c>
      <c r="S8528" s="405" t="s">
        <v>27169</v>
      </c>
      <c r="T8528" s="405" t="s">
        <v>32102</v>
      </c>
      <c r="U8528" s="405" t="s">
        <v>319</v>
      </c>
    </row>
    <row r="8529" spans="1:21" hidden="1" x14ac:dyDescent="0.25">
      <c r="A8529" s="405" t="s">
        <v>310</v>
      </c>
      <c r="B8529" s="405" t="s">
        <v>1433</v>
      </c>
      <c r="C8529" s="405" t="s">
        <v>327</v>
      </c>
      <c r="D8529" s="405"/>
      <c r="E8529" s="410">
        <v>40679</v>
      </c>
      <c r="F8529" s="410">
        <v>40724</v>
      </c>
      <c r="G8529" s="405" t="s">
        <v>1434</v>
      </c>
      <c r="H8529" s="405">
        <v>774213746</v>
      </c>
      <c r="I8529" s="405"/>
      <c r="J8529" s="405">
        <v>0.54175799999999996</v>
      </c>
      <c r="K8529" s="405">
        <v>32.007461999999997</v>
      </c>
      <c r="L8529" s="405" t="s">
        <v>314</v>
      </c>
      <c r="M8529" s="405" t="s">
        <v>675</v>
      </c>
      <c r="N8529" s="405" t="s">
        <v>1065</v>
      </c>
      <c r="O8529" s="405" t="s">
        <v>1248</v>
      </c>
      <c r="P8529" s="405" t="s">
        <v>1435</v>
      </c>
      <c r="Q8529" s="411">
        <v>6</v>
      </c>
      <c r="R8529" s="405" t="s">
        <v>318</v>
      </c>
      <c r="S8529" s="405" t="s">
        <v>27148</v>
      </c>
      <c r="T8529" s="405" t="s">
        <v>32102</v>
      </c>
      <c r="U8529" s="405" t="s">
        <v>319</v>
      </c>
    </row>
    <row r="8530" spans="1:21" hidden="1" x14ac:dyDescent="0.25">
      <c r="A8530" s="405" t="s">
        <v>310</v>
      </c>
      <c r="B8530" s="405" t="s">
        <v>28816</v>
      </c>
      <c r="C8530" s="405" t="s">
        <v>327</v>
      </c>
      <c r="D8530" s="405"/>
      <c r="E8530" s="410">
        <v>40678</v>
      </c>
      <c r="F8530" s="410">
        <v>40723</v>
      </c>
      <c r="G8530" s="405" t="s">
        <v>1465</v>
      </c>
      <c r="H8530" s="405">
        <v>782000831</v>
      </c>
      <c r="I8530" s="405">
        <v>750000831</v>
      </c>
      <c r="J8530" s="405">
        <v>-0.36241299999999999</v>
      </c>
      <c r="K8530" s="405">
        <v>31.806087000000002</v>
      </c>
      <c r="L8530" s="405" t="s">
        <v>314</v>
      </c>
      <c r="M8530" s="405" t="s">
        <v>382</v>
      </c>
      <c r="N8530" s="405" t="s">
        <v>941</v>
      </c>
      <c r="O8530" s="405" t="s">
        <v>1260</v>
      </c>
      <c r="P8530" s="405" t="s">
        <v>1466</v>
      </c>
      <c r="Q8530" s="411">
        <v>6</v>
      </c>
      <c r="R8530" s="405" t="s">
        <v>318</v>
      </c>
      <c r="S8530" s="405" t="s">
        <v>27134</v>
      </c>
      <c r="T8530" s="405" t="s">
        <v>32102</v>
      </c>
      <c r="U8530" s="405" t="s">
        <v>319</v>
      </c>
    </row>
    <row r="8531" spans="1:21" hidden="1" x14ac:dyDescent="0.25">
      <c r="A8531" s="405" t="s">
        <v>310</v>
      </c>
      <c r="B8531" s="405" t="s">
        <v>1376</v>
      </c>
      <c r="C8531" s="405" t="s">
        <v>327</v>
      </c>
      <c r="D8531" s="405"/>
      <c r="E8531" s="410">
        <v>40678</v>
      </c>
      <c r="F8531" s="410">
        <v>40723</v>
      </c>
      <c r="G8531" s="405" t="s">
        <v>1377</v>
      </c>
      <c r="H8531" s="405">
        <v>771645197</v>
      </c>
      <c r="I8531" s="405">
        <v>754121104</v>
      </c>
      <c r="J8531" s="405">
        <v>-0.39477190000000001</v>
      </c>
      <c r="K8531" s="405">
        <v>31.695807200000001</v>
      </c>
      <c r="L8531" s="405" t="s">
        <v>314</v>
      </c>
      <c r="M8531" s="405" t="s">
        <v>382</v>
      </c>
      <c r="N8531" s="405" t="s">
        <v>988</v>
      </c>
      <c r="O8531" s="405" t="s">
        <v>1260</v>
      </c>
      <c r="P8531" s="405" t="s">
        <v>1378</v>
      </c>
      <c r="Q8531" s="411">
        <v>6</v>
      </c>
      <c r="R8531" s="405" t="s">
        <v>1263</v>
      </c>
      <c r="S8531" s="405" t="s">
        <v>27049</v>
      </c>
      <c r="T8531" s="405" t="s">
        <v>32102</v>
      </c>
      <c r="U8531" s="405" t="s">
        <v>319</v>
      </c>
    </row>
    <row r="8532" spans="1:21" hidden="1" x14ac:dyDescent="0.25">
      <c r="A8532" s="405" t="s">
        <v>310</v>
      </c>
      <c r="B8532" s="405" t="s">
        <v>28241</v>
      </c>
      <c r="C8532" s="405" t="s">
        <v>327</v>
      </c>
      <c r="D8532" s="405"/>
      <c r="E8532" s="410">
        <v>40678</v>
      </c>
      <c r="F8532" s="410">
        <v>40723</v>
      </c>
      <c r="G8532" s="405" t="s">
        <v>20026</v>
      </c>
      <c r="H8532" s="405">
        <v>772466066</v>
      </c>
      <c r="I8532" s="405">
        <v>783985393</v>
      </c>
      <c r="J8532" s="405">
        <v>1.6579644</v>
      </c>
      <c r="K8532" s="405">
        <v>31.709802199999999</v>
      </c>
      <c r="L8532" s="405" t="s">
        <v>590</v>
      </c>
      <c r="M8532" s="405" t="s">
        <v>19608</v>
      </c>
      <c r="N8532" s="405" t="s">
        <v>19762</v>
      </c>
      <c r="O8532" s="405" t="s">
        <v>19784</v>
      </c>
      <c r="P8532" s="405" t="s">
        <v>20027</v>
      </c>
      <c r="Q8532" s="411">
        <v>6</v>
      </c>
      <c r="R8532" s="405" t="s">
        <v>318</v>
      </c>
      <c r="S8532" s="405" t="s">
        <v>27109</v>
      </c>
      <c r="T8532" s="405" t="s">
        <v>32102</v>
      </c>
      <c r="U8532" s="405" t="s">
        <v>319</v>
      </c>
    </row>
    <row r="8533" spans="1:21" hidden="1" x14ac:dyDescent="0.25">
      <c r="A8533" s="405" t="s">
        <v>310</v>
      </c>
      <c r="B8533" s="405" t="s">
        <v>27942</v>
      </c>
      <c r="C8533" s="405" t="s">
        <v>311</v>
      </c>
      <c r="D8533" s="405" t="s">
        <v>839</v>
      </c>
      <c r="E8533" s="410">
        <v>40677</v>
      </c>
      <c r="F8533" s="410">
        <v>40722</v>
      </c>
      <c r="G8533" s="405" t="s">
        <v>1957</v>
      </c>
      <c r="H8533" s="405">
        <v>772420747</v>
      </c>
      <c r="I8533" s="405">
        <v>702420747</v>
      </c>
      <c r="J8533" s="405">
        <v>-0.29323300000000002</v>
      </c>
      <c r="K8533" s="405">
        <v>31.718046999999999</v>
      </c>
      <c r="L8533" s="405" t="s">
        <v>314</v>
      </c>
      <c r="M8533" s="405" t="s">
        <v>382</v>
      </c>
      <c r="N8533" s="405" t="s">
        <v>941</v>
      </c>
      <c r="O8533" s="405" t="s">
        <v>1076</v>
      </c>
      <c r="P8533" s="405" t="s">
        <v>1958</v>
      </c>
      <c r="Q8533" s="411">
        <v>12</v>
      </c>
      <c r="R8533" s="405" t="s">
        <v>874</v>
      </c>
      <c r="S8533" s="405" t="s">
        <v>27098</v>
      </c>
      <c r="T8533" s="405" t="s">
        <v>32102</v>
      </c>
      <c r="U8533" s="405" t="s">
        <v>319</v>
      </c>
    </row>
    <row r="8534" spans="1:21" hidden="1" x14ac:dyDescent="0.25">
      <c r="A8534" s="405" t="s">
        <v>310</v>
      </c>
      <c r="B8534" s="405" t="s">
        <v>20082</v>
      </c>
      <c r="C8534" s="405" t="s">
        <v>327</v>
      </c>
      <c r="D8534" s="405"/>
      <c r="E8534" s="410">
        <v>40677</v>
      </c>
      <c r="F8534" s="410">
        <v>40722</v>
      </c>
      <c r="G8534" s="405" t="s">
        <v>20083</v>
      </c>
      <c r="H8534" s="405">
        <v>772496463</v>
      </c>
      <c r="I8534" s="405"/>
      <c r="J8534" s="405">
        <v>-0.80955299999999997</v>
      </c>
      <c r="K8534" s="405">
        <v>30.071247</v>
      </c>
      <c r="L8534" s="405" t="s">
        <v>590</v>
      </c>
      <c r="M8534" s="405" t="s">
        <v>19659</v>
      </c>
      <c r="N8534" s="405" t="s">
        <v>19604</v>
      </c>
      <c r="O8534" s="405" t="s">
        <v>19660</v>
      </c>
      <c r="P8534" s="405" t="s">
        <v>20084</v>
      </c>
      <c r="Q8534" s="411">
        <v>12</v>
      </c>
      <c r="R8534" s="405" t="s">
        <v>883</v>
      </c>
      <c r="S8534" s="405" t="s">
        <v>27160</v>
      </c>
      <c r="T8534" s="405" t="s">
        <v>32102</v>
      </c>
      <c r="U8534" s="405" t="s">
        <v>319</v>
      </c>
    </row>
    <row r="8535" spans="1:21" hidden="1" x14ac:dyDescent="0.25">
      <c r="A8535" s="405" t="s">
        <v>310</v>
      </c>
      <c r="B8535" s="405" t="s">
        <v>28324</v>
      </c>
      <c r="C8535" s="405" t="s">
        <v>327</v>
      </c>
      <c r="D8535" s="405"/>
      <c r="E8535" s="410">
        <v>40677</v>
      </c>
      <c r="F8535" s="410">
        <v>40722</v>
      </c>
      <c r="G8535" s="405" t="s">
        <v>1500</v>
      </c>
      <c r="H8535" s="405">
        <v>781314254</v>
      </c>
      <c r="I8535" s="405"/>
      <c r="J8535" s="405">
        <v>0.35149799999999998</v>
      </c>
      <c r="K8535" s="405">
        <v>32.964148000000002</v>
      </c>
      <c r="L8535" s="405" t="s">
        <v>314</v>
      </c>
      <c r="M8535" s="405" t="s">
        <v>349</v>
      </c>
      <c r="N8535" s="405" t="s">
        <v>405</v>
      </c>
      <c r="O8535" s="405" t="s">
        <v>1501</v>
      </c>
      <c r="P8535" s="405" t="s">
        <v>1502</v>
      </c>
      <c r="Q8535" s="411">
        <v>12</v>
      </c>
      <c r="R8535" s="405" t="s">
        <v>318</v>
      </c>
      <c r="S8535" s="405" t="s">
        <v>414</v>
      </c>
      <c r="T8535" s="405" t="s">
        <v>32102</v>
      </c>
      <c r="U8535" s="405" t="s">
        <v>319</v>
      </c>
    </row>
    <row r="8536" spans="1:21" hidden="1" x14ac:dyDescent="0.25">
      <c r="A8536" s="405" t="s">
        <v>310</v>
      </c>
      <c r="B8536" s="405" t="s">
        <v>1467</v>
      </c>
      <c r="C8536" s="405" t="s">
        <v>327</v>
      </c>
      <c r="D8536" s="405"/>
      <c r="E8536" s="410">
        <v>40677</v>
      </c>
      <c r="F8536" s="410">
        <v>40722</v>
      </c>
      <c r="G8536" s="405" t="s">
        <v>1468</v>
      </c>
      <c r="H8536" s="405">
        <v>772438117</v>
      </c>
      <c r="I8536" s="405"/>
      <c r="J8536" s="405">
        <v>-0.45904299999999998</v>
      </c>
      <c r="K8536" s="405">
        <v>31.652688000000001</v>
      </c>
      <c r="L8536" s="405" t="s">
        <v>314</v>
      </c>
      <c r="M8536" s="405" t="s">
        <v>398</v>
      </c>
      <c r="N8536" s="405" t="s">
        <v>399</v>
      </c>
      <c r="O8536" s="405" t="s">
        <v>1469</v>
      </c>
      <c r="P8536" s="405" t="s">
        <v>1470</v>
      </c>
      <c r="Q8536" s="411">
        <v>9</v>
      </c>
      <c r="R8536" s="405" t="s">
        <v>353</v>
      </c>
      <c r="S8536" s="405" t="s">
        <v>27034</v>
      </c>
      <c r="T8536" s="405" t="s">
        <v>32102</v>
      </c>
      <c r="U8536" s="405" t="s">
        <v>319</v>
      </c>
    </row>
    <row r="8537" spans="1:21" hidden="1" x14ac:dyDescent="0.25">
      <c r="A8537" s="405" t="s">
        <v>310</v>
      </c>
      <c r="B8537" s="405" t="s">
        <v>27515</v>
      </c>
      <c r="C8537" s="405" t="s">
        <v>857</v>
      </c>
      <c r="D8537" s="405" t="s">
        <v>1037</v>
      </c>
      <c r="E8537" s="410">
        <v>40677</v>
      </c>
      <c r="F8537" s="410">
        <v>40722</v>
      </c>
      <c r="G8537" s="405" t="s">
        <v>10704</v>
      </c>
      <c r="H8537" s="405">
        <v>775699393</v>
      </c>
      <c r="I8537" s="405"/>
      <c r="J8537" s="405">
        <v>1.552843</v>
      </c>
      <c r="K8537" s="405">
        <v>33.761004999999997</v>
      </c>
      <c r="L8537" s="405" t="s">
        <v>6866</v>
      </c>
      <c r="M8537" s="405" t="s">
        <v>10012</v>
      </c>
      <c r="N8537" s="405" t="s">
        <v>10012</v>
      </c>
      <c r="O8537" s="405" t="s">
        <v>10267</v>
      </c>
      <c r="P8537" s="405" t="s">
        <v>10268</v>
      </c>
      <c r="Q8537" s="411">
        <v>6</v>
      </c>
      <c r="R8537" s="405" t="s">
        <v>7224</v>
      </c>
      <c r="S8537" s="405" t="s">
        <v>27302</v>
      </c>
      <c r="T8537" s="405" t="s">
        <v>32102</v>
      </c>
      <c r="U8537" s="405" t="s">
        <v>319</v>
      </c>
    </row>
    <row r="8538" spans="1:21" hidden="1" x14ac:dyDescent="0.25">
      <c r="A8538" s="405" t="s">
        <v>310</v>
      </c>
      <c r="B8538" s="405" t="s">
        <v>1420</v>
      </c>
      <c r="C8538" s="405" t="s">
        <v>327</v>
      </c>
      <c r="D8538" s="405"/>
      <c r="E8538" s="410">
        <v>40677</v>
      </c>
      <c r="F8538" s="410">
        <v>40722</v>
      </c>
      <c r="G8538" s="405" t="s">
        <v>1421</v>
      </c>
      <c r="H8538" s="405">
        <v>783945798</v>
      </c>
      <c r="I8538" s="405">
        <v>753813199</v>
      </c>
      <c r="J8538" s="405">
        <v>-0.57938299999999998</v>
      </c>
      <c r="K8538" s="405">
        <v>31.648807999999999</v>
      </c>
      <c r="L8538" s="405" t="s">
        <v>314</v>
      </c>
      <c r="M8538" s="405" t="s">
        <v>398</v>
      </c>
      <c r="N8538" s="405" t="s">
        <v>399</v>
      </c>
      <c r="O8538" s="405" t="s">
        <v>740</v>
      </c>
      <c r="P8538" s="405" t="s">
        <v>1221</v>
      </c>
      <c r="Q8538" s="411">
        <v>6</v>
      </c>
      <c r="R8538" s="405" t="s">
        <v>318</v>
      </c>
      <c r="S8538" s="405" t="s">
        <v>22481</v>
      </c>
      <c r="T8538" s="405" t="s">
        <v>32102</v>
      </c>
      <c r="U8538" s="405" t="s">
        <v>319</v>
      </c>
    </row>
    <row r="8539" spans="1:21" hidden="1" x14ac:dyDescent="0.25">
      <c r="A8539" s="405" t="s">
        <v>310</v>
      </c>
      <c r="B8539" s="405" t="s">
        <v>1479</v>
      </c>
      <c r="C8539" s="405" t="s">
        <v>327</v>
      </c>
      <c r="D8539" s="405"/>
      <c r="E8539" s="410">
        <v>40677</v>
      </c>
      <c r="F8539" s="410">
        <v>40722</v>
      </c>
      <c r="G8539" s="405" t="s">
        <v>1480</v>
      </c>
      <c r="H8539" s="405">
        <v>772668352</v>
      </c>
      <c r="I8539" s="405">
        <v>776492144</v>
      </c>
      <c r="J8539" s="405">
        <v>-0.33521800000000002</v>
      </c>
      <c r="K8539" s="405">
        <v>31.694210000000002</v>
      </c>
      <c r="L8539" s="405" t="s">
        <v>314</v>
      </c>
      <c r="M8539" s="405" t="s">
        <v>1189</v>
      </c>
      <c r="N8539" s="405" t="s">
        <v>1481</v>
      </c>
      <c r="O8539" s="405" t="s">
        <v>1190</v>
      </c>
      <c r="P8539" s="405" t="s">
        <v>1482</v>
      </c>
      <c r="Q8539" s="411">
        <v>6</v>
      </c>
      <c r="R8539" s="405" t="s">
        <v>402</v>
      </c>
      <c r="S8539" s="405" t="s">
        <v>27121</v>
      </c>
      <c r="T8539" s="405" t="s">
        <v>32102</v>
      </c>
      <c r="U8539" s="405" t="s">
        <v>319</v>
      </c>
    </row>
    <row r="8540" spans="1:21" hidden="1" x14ac:dyDescent="0.25">
      <c r="A8540" s="405" t="s">
        <v>310</v>
      </c>
      <c r="B8540" s="405" t="s">
        <v>1382</v>
      </c>
      <c r="C8540" s="405" t="s">
        <v>327</v>
      </c>
      <c r="D8540" s="405"/>
      <c r="E8540" s="410">
        <v>40677</v>
      </c>
      <c r="F8540" s="410">
        <v>40722</v>
      </c>
      <c r="G8540" s="405" t="s">
        <v>1383</v>
      </c>
      <c r="H8540" s="405">
        <v>772500242</v>
      </c>
      <c r="I8540" s="405"/>
      <c r="J8540" s="405">
        <v>0.42131059999999998</v>
      </c>
      <c r="K8540" s="405">
        <v>32.572800600000001</v>
      </c>
      <c r="L8540" s="405" t="s">
        <v>314</v>
      </c>
      <c r="M8540" s="405" t="s">
        <v>361</v>
      </c>
      <c r="N8540" s="405" t="s">
        <v>370</v>
      </c>
      <c r="O8540" s="405" t="s">
        <v>370</v>
      </c>
      <c r="P8540" s="405" t="s">
        <v>1165</v>
      </c>
      <c r="Q8540" s="411">
        <v>6</v>
      </c>
      <c r="R8540" s="405" t="s">
        <v>353</v>
      </c>
      <c r="S8540" s="405" t="s">
        <v>27153</v>
      </c>
      <c r="T8540" s="405" t="s">
        <v>32102</v>
      </c>
      <c r="U8540" s="405" t="s">
        <v>319</v>
      </c>
    </row>
    <row r="8541" spans="1:21" hidden="1" x14ac:dyDescent="0.25">
      <c r="A8541" s="405" t="s">
        <v>310</v>
      </c>
      <c r="B8541" s="405" t="s">
        <v>1496</v>
      </c>
      <c r="C8541" s="405" t="s">
        <v>327</v>
      </c>
      <c r="D8541" s="405"/>
      <c r="E8541" s="410">
        <v>40677</v>
      </c>
      <c r="F8541" s="410">
        <v>40722</v>
      </c>
      <c r="G8541" s="405" t="s">
        <v>1497</v>
      </c>
      <c r="H8541" s="405">
        <v>752458306</v>
      </c>
      <c r="I8541" s="405">
        <v>772458306</v>
      </c>
      <c r="J8541" s="405">
        <v>0.41032299999999999</v>
      </c>
      <c r="K8541" s="405">
        <v>33.106813000000002</v>
      </c>
      <c r="L8541" s="405" t="s">
        <v>314</v>
      </c>
      <c r="M8541" s="405" t="s">
        <v>349</v>
      </c>
      <c r="N8541" s="405" t="s">
        <v>350</v>
      </c>
      <c r="O8541" s="405" t="s">
        <v>1498</v>
      </c>
      <c r="P8541" s="405" t="s">
        <v>1499</v>
      </c>
      <c r="Q8541" s="411">
        <v>6</v>
      </c>
      <c r="R8541" s="405" t="s">
        <v>318</v>
      </c>
      <c r="S8541" s="405" t="s">
        <v>27135</v>
      </c>
      <c r="T8541" s="405" t="s">
        <v>32102</v>
      </c>
      <c r="U8541" s="405" t="s">
        <v>319</v>
      </c>
    </row>
    <row r="8542" spans="1:21" hidden="1" x14ac:dyDescent="0.25">
      <c r="A8542" s="405" t="s">
        <v>310</v>
      </c>
      <c r="B8542" s="405" t="s">
        <v>10255</v>
      </c>
      <c r="C8542" s="405" t="s">
        <v>327</v>
      </c>
      <c r="D8542" s="405"/>
      <c r="E8542" s="410">
        <v>40677</v>
      </c>
      <c r="F8542" s="410">
        <v>40722</v>
      </c>
      <c r="G8542" s="405" t="s">
        <v>10256</v>
      </c>
      <c r="H8542" s="405">
        <v>775495006</v>
      </c>
      <c r="I8542" s="405"/>
      <c r="J8542" s="405">
        <v>0.77309700000000003</v>
      </c>
      <c r="K8542" s="405">
        <v>34.132565</v>
      </c>
      <c r="L8542" s="405" t="s">
        <v>6866</v>
      </c>
      <c r="M8542" s="405" t="s">
        <v>9534</v>
      </c>
      <c r="N8542" s="405" t="s">
        <v>10252</v>
      </c>
      <c r="O8542" s="405" t="s">
        <v>10192</v>
      </c>
      <c r="P8542" s="405" t="s">
        <v>10257</v>
      </c>
      <c r="Q8542" s="411">
        <v>6</v>
      </c>
      <c r="R8542" s="405" t="s">
        <v>7224</v>
      </c>
      <c r="S8542" s="405" t="s">
        <v>27310</v>
      </c>
      <c r="T8542" s="405" t="s">
        <v>32102</v>
      </c>
      <c r="U8542" s="405" t="s">
        <v>319</v>
      </c>
    </row>
    <row r="8543" spans="1:21" hidden="1" x14ac:dyDescent="0.25">
      <c r="A8543" s="405" t="s">
        <v>310</v>
      </c>
      <c r="B8543" s="405" t="s">
        <v>20074</v>
      </c>
      <c r="C8543" s="405" t="s">
        <v>327</v>
      </c>
      <c r="D8543" s="405"/>
      <c r="E8543" s="410">
        <v>40676</v>
      </c>
      <c r="F8543" s="410">
        <v>40721</v>
      </c>
      <c r="G8543" s="405" t="s">
        <v>20075</v>
      </c>
      <c r="H8543" s="405">
        <v>782670070</v>
      </c>
      <c r="I8543" s="405"/>
      <c r="J8543" s="405">
        <v>-1.118676</v>
      </c>
      <c r="K8543" s="405">
        <v>29.665521999999999</v>
      </c>
      <c r="L8543" s="405" t="s">
        <v>590</v>
      </c>
      <c r="M8543" s="405" t="s">
        <v>20070</v>
      </c>
      <c r="N8543" s="405" t="s">
        <v>20076</v>
      </c>
      <c r="O8543" s="405" t="s">
        <v>20072</v>
      </c>
      <c r="P8543" s="405" t="s">
        <v>20077</v>
      </c>
      <c r="Q8543" s="411">
        <v>9</v>
      </c>
      <c r="R8543" s="405" t="s">
        <v>967</v>
      </c>
      <c r="S8543" s="405" t="s">
        <v>27310</v>
      </c>
      <c r="T8543" s="405" t="s">
        <v>32102</v>
      </c>
      <c r="U8543" s="405" t="s">
        <v>319</v>
      </c>
    </row>
    <row r="8544" spans="1:21" hidden="1" x14ac:dyDescent="0.25">
      <c r="A8544" s="405" t="s">
        <v>310</v>
      </c>
      <c r="B8544" s="405" t="s">
        <v>20078</v>
      </c>
      <c r="C8544" s="405" t="s">
        <v>327</v>
      </c>
      <c r="D8544" s="405"/>
      <c r="E8544" s="410">
        <v>40676</v>
      </c>
      <c r="F8544" s="410">
        <v>40721</v>
      </c>
      <c r="G8544" s="405" t="s">
        <v>20079</v>
      </c>
      <c r="H8544" s="405">
        <v>772601255</v>
      </c>
      <c r="I8544" s="405"/>
      <c r="J8544" s="405">
        <v>-1.267282</v>
      </c>
      <c r="K8544" s="405">
        <v>29.999725000000002</v>
      </c>
      <c r="L8544" s="405" t="s">
        <v>590</v>
      </c>
      <c r="M8544" s="405" t="s">
        <v>5312</v>
      </c>
      <c r="N8544" s="405" t="s">
        <v>20080</v>
      </c>
      <c r="O8544" s="405" t="s">
        <v>16533</v>
      </c>
      <c r="P8544" s="405" t="s">
        <v>20081</v>
      </c>
      <c r="Q8544" s="411">
        <v>6</v>
      </c>
      <c r="R8544" s="405" t="s">
        <v>967</v>
      </c>
      <c r="S8544" s="405" t="s">
        <v>27259</v>
      </c>
      <c r="T8544" s="405" t="s">
        <v>32102</v>
      </c>
      <c r="U8544" s="405" t="s">
        <v>319</v>
      </c>
    </row>
    <row r="8545" spans="1:21" hidden="1" x14ac:dyDescent="0.25">
      <c r="A8545" s="405" t="s">
        <v>310</v>
      </c>
      <c r="B8545" s="405" t="s">
        <v>1413</v>
      </c>
      <c r="C8545" s="405" t="s">
        <v>327</v>
      </c>
      <c r="D8545" s="405"/>
      <c r="E8545" s="410">
        <v>40676</v>
      </c>
      <c r="F8545" s="410">
        <v>40721</v>
      </c>
      <c r="G8545" s="405" t="s">
        <v>1414</v>
      </c>
      <c r="H8545" s="405">
        <v>752649819</v>
      </c>
      <c r="I8545" s="405"/>
      <c r="J8545" s="405">
        <v>-0.111086</v>
      </c>
      <c r="K8545" s="405">
        <v>31.482151999999999</v>
      </c>
      <c r="L8545" s="405" t="s">
        <v>314</v>
      </c>
      <c r="M8545" s="405" t="s">
        <v>343</v>
      </c>
      <c r="N8545" s="405" t="s">
        <v>344</v>
      </c>
      <c r="O8545" s="405" t="s">
        <v>391</v>
      </c>
      <c r="P8545" s="405" t="s">
        <v>1415</v>
      </c>
      <c r="Q8545" s="411">
        <v>6</v>
      </c>
      <c r="R8545" s="405" t="s">
        <v>318</v>
      </c>
      <c r="S8545" s="405" t="s">
        <v>27035</v>
      </c>
      <c r="T8545" s="405" t="s">
        <v>32102</v>
      </c>
      <c r="U8545" s="405" t="s">
        <v>319</v>
      </c>
    </row>
    <row r="8546" spans="1:21" hidden="1" x14ac:dyDescent="0.25">
      <c r="A8546" s="405" t="s">
        <v>310</v>
      </c>
      <c r="B8546" s="405" t="s">
        <v>20068</v>
      </c>
      <c r="C8546" s="405" t="s">
        <v>327</v>
      </c>
      <c r="D8546" s="405"/>
      <c r="E8546" s="410">
        <v>40676</v>
      </c>
      <c r="F8546" s="410">
        <v>40721</v>
      </c>
      <c r="G8546" s="405" t="s">
        <v>20069</v>
      </c>
      <c r="H8546" s="405">
        <v>784960063</v>
      </c>
      <c r="I8546" s="405">
        <v>785620261</v>
      </c>
      <c r="J8546" s="405">
        <v>-1.109189</v>
      </c>
      <c r="K8546" s="405">
        <v>29.669867</v>
      </c>
      <c r="L8546" s="405" t="s">
        <v>590</v>
      </c>
      <c r="M8546" s="405" t="s">
        <v>20070</v>
      </c>
      <c r="N8546" s="405" t="s">
        <v>20071</v>
      </c>
      <c r="O8546" s="405" t="s">
        <v>20072</v>
      </c>
      <c r="P8546" s="405" t="s">
        <v>20073</v>
      </c>
      <c r="Q8546" s="411">
        <v>6</v>
      </c>
      <c r="R8546" s="405" t="s">
        <v>967</v>
      </c>
      <c r="S8546" s="405" t="s">
        <v>27402</v>
      </c>
      <c r="T8546" s="405" t="s">
        <v>32102</v>
      </c>
      <c r="U8546" s="405" t="s">
        <v>319</v>
      </c>
    </row>
    <row r="8547" spans="1:21" hidden="1" x14ac:dyDescent="0.25">
      <c r="A8547" s="405" t="s">
        <v>310</v>
      </c>
      <c r="B8547" s="405" t="s">
        <v>10317</v>
      </c>
      <c r="C8547" s="405" t="s">
        <v>327</v>
      </c>
      <c r="D8547" s="405"/>
      <c r="E8547" s="410">
        <v>40675</v>
      </c>
      <c r="F8547" s="410">
        <v>40720</v>
      </c>
      <c r="G8547" s="405" t="s">
        <v>10318</v>
      </c>
      <c r="H8547" s="405">
        <v>776500932</v>
      </c>
      <c r="I8547" s="405">
        <v>752500932</v>
      </c>
      <c r="J8547" s="405">
        <v>0.71988333333333332</v>
      </c>
      <c r="K8547" s="405">
        <v>33.056463333333333</v>
      </c>
      <c r="L8547" s="405" t="s">
        <v>6866</v>
      </c>
      <c r="M8547" s="405" t="s">
        <v>3009</v>
      </c>
      <c r="N8547" s="405" t="s">
        <v>10319</v>
      </c>
      <c r="O8547" s="405" t="s">
        <v>10320</v>
      </c>
      <c r="P8547" s="405" t="s">
        <v>10321</v>
      </c>
      <c r="Q8547" s="411">
        <v>6</v>
      </c>
      <c r="R8547" s="405" t="s">
        <v>333</v>
      </c>
      <c r="S8547" s="405" t="s">
        <v>27036</v>
      </c>
      <c r="T8547" s="405" t="s">
        <v>32102</v>
      </c>
      <c r="U8547" s="405" t="s">
        <v>319</v>
      </c>
    </row>
    <row r="8548" spans="1:21" hidden="1" x14ac:dyDescent="0.25">
      <c r="A8548" s="405" t="s">
        <v>310</v>
      </c>
      <c r="B8548" s="405" t="s">
        <v>10240</v>
      </c>
      <c r="C8548" s="405" t="s">
        <v>327</v>
      </c>
      <c r="D8548" s="405"/>
      <c r="E8548" s="410">
        <v>40674</v>
      </c>
      <c r="F8548" s="410">
        <v>40719</v>
      </c>
      <c r="G8548" s="405" t="s">
        <v>10241</v>
      </c>
      <c r="H8548" s="405">
        <v>772644776</v>
      </c>
      <c r="I8548" s="405"/>
      <c r="J8548" s="405">
        <v>1.0911580000000001</v>
      </c>
      <c r="K8548" s="405">
        <v>34.192835000000002</v>
      </c>
      <c r="L8548" s="405" t="s">
        <v>6866</v>
      </c>
      <c r="M8548" s="405" t="s">
        <v>9514</v>
      </c>
      <c r="N8548" s="405" t="s">
        <v>9529</v>
      </c>
      <c r="O8548" s="405" t="s">
        <v>9530</v>
      </c>
      <c r="P8548" s="405" t="s">
        <v>10242</v>
      </c>
      <c r="Q8548" s="411">
        <v>9</v>
      </c>
      <c r="R8548" s="405" t="s">
        <v>7224</v>
      </c>
      <c r="S8548" s="405" t="s">
        <v>17013</v>
      </c>
      <c r="T8548" s="405" t="s">
        <v>32102</v>
      </c>
      <c r="U8548" s="405" t="s">
        <v>319</v>
      </c>
    </row>
    <row r="8549" spans="1:21" hidden="1" x14ac:dyDescent="0.25">
      <c r="A8549" s="405" t="s">
        <v>310</v>
      </c>
      <c r="B8549" s="405" t="s">
        <v>28537</v>
      </c>
      <c r="C8549" s="405" t="s">
        <v>327</v>
      </c>
      <c r="D8549" s="405"/>
      <c r="E8549" s="410">
        <v>40674</v>
      </c>
      <c r="F8549" s="410">
        <v>40719</v>
      </c>
      <c r="G8549" s="405" t="s">
        <v>1393</v>
      </c>
      <c r="H8549" s="405">
        <v>712980980</v>
      </c>
      <c r="I8549" s="405">
        <v>700809289</v>
      </c>
      <c r="J8549" s="405">
        <v>-0.36220340000000001</v>
      </c>
      <c r="K8549" s="405">
        <v>31.7453708</v>
      </c>
      <c r="L8549" s="405" t="s">
        <v>314</v>
      </c>
      <c r="M8549" s="405" t="s">
        <v>382</v>
      </c>
      <c r="N8549" s="405" t="s">
        <v>1394</v>
      </c>
      <c r="O8549" s="405" t="s">
        <v>1395</v>
      </c>
      <c r="P8549" s="405" t="s">
        <v>1396</v>
      </c>
      <c r="Q8549" s="411">
        <v>6</v>
      </c>
      <c r="R8549" s="405" t="s">
        <v>402</v>
      </c>
      <c r="S8549" s="405" t="s">
        <v>27170</v>
      </c>
      <c r="T8549" s="405" t="s">
        <v>32102</v>
      </c>
      <c r="U8549" s="405" t="s">
        <v>319</v>
      </c>
    </row>
    <row r="8550" spans="1:21" hidden="1" x14ac:dyDescent="0.25">
      <c r="A8550" s="405" t="s">
        <v>310</v>
      </c>
      <c r="B8550" s="405" t="s">
        <v>28935</v>
      </c>
      <c r="C8550" s="405" t="s">
        <v>327</v>
      </c>
      <c r="D8550" s="405"/>
      <c r="E8550" s="410">
        <v>40674</v>
      </c>
      <c r="F8550" s="410">
        <v>40719</v>
      </c>
      <c r="G8550" s="405" t="s">
        <v>1391</v>
      </c>
      <c r="H8550" s="405">
        <v>772672673</v>
      </c>
      <c r="I8550" s="405">
        <v>777663801</v>
      </c>
      <c r="J8550" s="405">
        <v>-0.26587333333333335</v>
      </c>
      <c r="K8550" s="405">
        <v>31.735273333333332</v>
      </c>
      <c r="L8550" s="405" t="s">
        <v>314</v>
      </c>
      <c r="M8550" s="405" t="s">
        <v>900</v>
      </c>
      <c r="N8550" s="405" t="s">
        <v>900</v>
      </c>
      <c r="O8550" s="405" t="s">
        <v>900</v>
      </c>
      <c r="P8550" s="405" t="s">
        <v>1392</v>
      </c>
      <c r="Q8550" s="411">
        <v>6</v>
      </c>
      <c r="R8550" s="405" t="s">
        <v>402</v>
      </c>
      <c r="S8550" s="405" t="s">
        <v>27121</v>
      </c>
      <c r="T8550" s="405" t="s">
        <v>32102</v>
      </c>
      <c r="U8550" s="405" t="s">
        <v>319</v>
      </c>
    </row>
    <row r="8551" spans="1:21" hidden="1" x14ac:dyDescent="0.25">
      <c r="A8551" s="405" t="s">
        <v>310</v>
      </c>
      <c r="B8551" s="405" t="s">
        <v>10279</v>
      </c>
      <c r="C8551" s="405" t="s">
        <v>327</v>
      </c>
      <c r="D8551" s="405"/>
      <c r="E8551" s="410">
        <v>40674</v>
      </c>
      <c r="F8551" s="410">
        <v>40719</v>
      </c>
      <c r="G8551" s="405" t="s">
        <v>10280</v>
      </c>
      <c r="H8551" s="405">
        <v>786244675</v>
      </c>
      <c r="I8551" s="405"/>
      <c r="J8551" s="405">
        <v>1.0784750000000001</v>
      </c>
      <c r="K8551" s="405">
        <v>34.272922999999999</v>
      </c>
      <c r="L8551" s="405" t="s">
        <v>6866</v>
      </c>
      <c r="M8551" s="405" t="s">
        <v>9514</v>
      </c>
      <c r="N8551" s="405" t="s">
        <v>9529</v>
      </c>
      <c r="O8551" s="405" t="s">
        <v>10139</v>
      </c>
      <c r="P8551" s="405" t="s">
        <v>10281</v>
      </c>
      <c r="Q8551" s="411">
        <v>6</v>
      </c>
      <c r="R8551" s="405" t="s">
        <v>7224</v>
      </c>
      <c r="S8551" s="405" t="s">
        <v>27107</v>
      </c>
      <c r="T8551" s="405" t="s">
        <v>32102</v>
      </c>
      <c r="U8551" s="405" t="s">
        <v>319</v>
      </c>
    </row>
    <row r="8552" spans="1:21" hidden="1" x14ac:dyDescent="0.25">
      <c r="A8552" s="405" t="s">
        <v>310</v>
      </c>
      <c r="B8552" s="405" t="s">
        <v>1444</v>
      </c>
      <c r="C8552" s="405" t="s">
        <v>327</v>
      </c>
      <c r="D8552" s="405"/>
      <c r="E8552" s="410">
        <v>40674</v>
      </c>
      <c r="F8552" s="410">
        <v>40719</v>
      </c>
      <c r="G8552" s="405" t="s">
        <v>1445</v>
      </c>
      <c r="H8552" s="405">
        <v>782642046</v>
      </c>
      <c r="I8552" s="405">
        <v>752642046</v>
      </c>
      <c r="J8552" s="405">
        <v>0.26409199999999999</v>
      </c>
      <c r="K8552" s="405">
        <v>32.959207999999997</v>
      </c>
      <c r="L8552" s="405" t="s">
        <v>314</v>
      </c>
      <c r="M8552" s="405" t="s">
        <v>349</v>
      </c>
      <c r="N8552" s="405" t="s">
        <v>349</v>
      </c>
      <c r="O8552" s="405" t="s">
        <v>349</v>
      </c>
      <c r="P8552" s="405" t="s">
        <v>1446</v>
      </c>
      <c r="Q8552" s="411">
        <v>6</v>
      </c>
      <c r="R8552" s="405" t="s">
        <v>318</v>
      </c>
      <c r="S8552" s="405" t="s">
        <v>27035</v>
      </c>
      <c r="T8552" s="405" t="s">
        <v>32102</v>
      </c>
      <c r="U8552" s="405" t="s">
        <v>319</v>
      </c>
    </row>
    <row r="8553" spans="1:21" hidden="1" x14ac:dyDescent="0.25">
      <c r="A8553" s="405" t="s">
        <v>310</v>
      </c>
      <c r="B8553" s="405" t="s">
        <v>10250</v>
      </c>
      <c r="C8553" s="405" t="s">
        <v>327</v>
      </c>
      <c r="D8553" s="405"/>
      <c r="E8553" s="410">
        <v>40674</v>
      </c>
      <c r="F8553" s="410">
        <v>40719</v>
      </c>
      <c r="G8553" s="405" t="s">
        <v>10251</v>
      </c>
      <c r="H8553" s="405">
        <v>776531428</v>
      </c>
      <c r="I8553" s="405"/>
      <c r="J8553" s="405">
        <v>0.79706100000000002</v>
      </c>
      <c r="K8553" s="405">
        <v>34.157062000000003</v>
      </c>
      <c r="L8553" s="405" t="s">
        <v>6866</v>
      </c>
      <c r="M8553" s="405" t="s">
        <v>9534</v>
      </c>
      <c r="N8553" s="405" t="s">
        <v>10252</v>
      </c>
      <c r="O8553" s="405" t="s">
        <v>10253</v>
      </c>
      <c r="P8553" s="405" t="s">
        <v>10254</v>
      </c>
      <c r="Q8553" s="411">
        <v>6</v>
      </c>
      <c r="R8553" s="405" t="s">
        <v>7224</v>
      </c>
      <c r="S8553" s="405" t="s">
        <v>27204</v>
      </c>
      <c r="T8553" s="405" t="s">
        <v>32102</v>
      </c>
      <c r="U8553" s="405" t="s">
        <v>319</v>
      </c>
    </row>
    <row r="8554" spans="1:21" hidden="1" x14ac:dyDescent="0.25">
      <c r="A8554" s="405" t="s">
        <v>310</v>
      </c>
      <c r="B8554" s="405" t="s">
        <v>28781</v>
      </c>
      <c r="C8554" s="405" t="s">
        <v>327</v>
      </c>
      <c r="D8554" s="405"/>
      <c r="E8554" s="410">
        <v>40673</v>
      </c>
      <c r="F8554" s="410">
        <v>40718</v>
      </c>
      <c r="G8554" s="405" t="s">
        <v>10243</v>
      </c>
      <c r="H8554" s="405">
        <v>782486143</v>
      </c>
      <c r="I8554" s="405">
        <v>703737755</v>
      </c>
      <c r="J8554" s="405">
        <v>0.68005099999999996</v>
      </c>
      <c r="K8554" s="405">
        <v>34.165165000000002</v>
      </c>
      <c r="L8554" s="405" t="s">
        <v>6866</v>
      </c>
      <c r="M8554" s="405" t="s">
        <v>9534</v>
      </c>
      <c r="N8554" s="405" t="s">
        <v>10065</v>
      </c>
      <c r="O8554" s="405" t="s">
        <v>10244</v>
      </c>
      <c r="P8554" s="405" t="s">
        <v>10245</v>
      </c>
      <c r="Q8554" s="411">
        <v>6</v>
      </c>
      <c r="R8554" s="405" t="s">
        <v>7224</v>
      </c>
      <c r="S8554" s="405" t="s">
        <v>27309</v>
      </c>
      <c r="T8554" s="405" t="s">
        <v>32102</v>
      </c>
      <c r="U8554" s="405" t="s">
        <v>319</v>
      </c>
    </row>
    <row r="8555" spans="1:21" hidden="1" x14ac:dyDescent="0.25">
      <c r="A8555" s="405" t="s">
        <v>310</v>
      </c>
      <c r="B8555" s="405" t="s">
        <v>10290</v>
      </c>
      <c r="C8555" s="405" t="s">
        <v>327</v>
      </c>
      <c r="D8555" s="405"/>
      <c r="E8555" s="410">
        <v>40673</v>
      </c>
      <c r="F8555" s="410">
        <v>40718</v>
      </c>
      <c r="G8555" s="405" t="s">
        <v>10291</v>
      </c>
      <c r="H8555" s="405">
        <v>772398754</v>
      </c>
      <c r="I8555" s="405"/>
      <c r="J8555" s="405">
        <v>1.040802</v>
      </c>
      <c r="K8555" s="405">
        <v>33.841119999999997</v>
      </c>
      <c r="L8555" s="405" t="s">
        <v>6866</v>
      </c>
      <c r="M8555" s="405" t="s">
        <v>10152</v>
      </c>
      <c r="N8555" s="405" t="s">
        <v>10152</v>
      </c>
      <c r="O8555" s="405" t="s">
        <v>10152</v>
      </c>
      <c r="P8555" s="405" t="s">
        <v>10292</v>
      </c>
      <c r="Q8555" s="411">
        <v>6</v>
      </c>
      <c r="R8555" s="405" t="s">
        <v>9541</v>
      </c>
      <c r="S8555" s="405" t="s">
        <v>27308</v>
      </c>
      <c r="T8555" s="405" t="s">
        <v>32102</v>
      </c>
      <c r="U8555" s="405" t="s">
        <v>319</v>
      </c>
    </row>
    <row r="8556" spans="1:21" hidden="1" x14ac:dyDescent="0.25">
      <c r="A8556" s="405" t="s">
        <v>310</v>
      </c>
      <c r="B8556" s="405" t="s">
        <v>10313</v>
      </c>
      <c r="C8556" s="405" t="s">
        <v>327</v>
      </c>
      <c r="D8556" s="405"/>
      <c r="E8556" s="410">
        <v>40673</v>
      </c>
      <c r="F8556" s="410">
        <v>40718</v>
      </c>
      <c r="G8556" s="405" t="s">
        <v>10314</v>
      </c>
      <c r="H8556" s="405">
        <v>788182854</v>
      </c>
      <c r="I8556" s="405"/>
      <c r="J8556" s="405">
        <v>0.90410900000000005</v>
      </c>
      <c r="K8556" s="405">
        <v>34.281784999999999</v>
      </c>
      <c r="L8556" s="405" t="s">
        <v>6866</v>
      </c>
      <c r="M8556" s="405" t="s">
        <v>9763</v>
      </c>
      <c r="N8556" s="405" t="s">
        <v>9764</v>
      </c>
      <c r="O8556" s="405" t="s">
        <v>9792</v>
      </c>
      <c r="P8556" s="405" t="s">
        <v>10315</v>
      </c>
      <c r="Q8556" s="411">
        <v>6</v>
      </c>
      <c r="R8556" s="405" t="s">
        <v>7224</v>
      </c>
      <c r="S8556" s="405" t="s">
        <v>27073</v>
      </c>
      <c r="T8556" s="405" t="s">
        <v>32102</v>
      </c>
      <c r="U8556" s="405" t="s">
        <v>319</v>
      </c>
    </row>
    <row r="8557" spans="1:21" hidden="1" x14ac:dyDescent="0.25">
      <c r="A8557" s="405" t="s">
        <v>310</v>
      </c>
      <c r="B8557" s="405" t="s">
        <v>10309</v>
      </c>
      <c r="C8557" s="405" t="s">
        <v>327</v>
      </c>
      <c r="D8557" s="405"/>
      <c r="E8557" s="410">
        <v>40673</v>
      </c>
      <c r="F8557" s="410">
        <v>40718</v>
      </c>
      <c r="G8557" s="405" t="s">
        <v>10310</v>
      </c>
      <c r="H8557" s="405">
        <v>778379432</v>
      </c>
      <c r="I8557" s="405"/>
      <c r="J8557" s="405">
        <v>1.4226019999999999</v>
      </c>
      <c r="K8557" s="405">
        <v>34.593975999999998</v>
      </c>
      <c r="L8557" s="405" t="s">
        <v>6866</v>
      </c>
      <c r="M8557" s="405" t="s">
        <v>9705</v>
      </c>
      <c r="N8557" s="405" t="s">
        <v>9705</v>
      </c>
      <c r="O8557" s="405" t="s">
        <v>10311</v>
      </c>
      <c r="P8557" s="405" t="s">
        <v>10312</v>
      </c>
      <c r="Q8557" s="411">
        <v>6</v>
      </c>
      <c r="R8557" s="405" t="s">
        <v>9506</v>
      </c>
      <c r="S8557" s="405" t="s">
        <v>27169</v>
      </c>
      <c r="T8557" s="405" t="s">
        <v>32102</v>
      </c>
      <c r="U8557" s="405" t="s">
        <v>319</v>
      </c>
    </row>
    <row r="8558" spans="1:21" hidden="1" x14ac:dyDescent="0.25">
      <c r="A8558" s="405" t="s">
        <v>310</v>
      </c>
      <c r="B8558" s="405" t="s">
        <v>10300</v>
      </c>
      <c r="C8558" s="405" t="s">
        <v>327</v>
      </c>
      <c r="D8558" s="405"/>
      <c r="E8558" s="410">
        <v>40673</v>
      </c>
      <c r="F8558" s="410">
        <v>40718</v>
      </c>
      <c r="G8558" s="405" t="s">
        <v>10301</v>
      </c>
      <c r="H8558" s="405">
        <v>772664891</v>
      </c>
      <c r="I8558" s="405"/>
      <c r="J8558" s="405">
        <v>1.3954329999999999</v>
      </c>
      <c r="K8558" s="405">
        <v>34.455283999999999</v>
      </c>
      <c r="L8558" s="405" t="s">
        <v>6866</v>
      </c>
      <c r="M8558" s="405" t="s">
        <v>9685</v>
      </c>
      <c r="N8558" s="405" t="s">
        <v>9880</v>
      </c>
      <c r="O8558" s="405" t="s">
        <v>4147</v>
      </c>
      <c r="P8558" s="405" t="s">
        <v>10302</v>
      </c>
      <c r="Q8558" s="411">
        <v>6</v>
      </c>
      <c r="R8558" s="405" t="s">
        <v>10303</v>
      </c>
      <c r="S8558" s="405" t="s">
        <v>27318</v>
      </c>
      <c r="T8558" s="405" t="s">
        <v>32102</v>
      </c>
      <c r="U8558" s="405" t="s">
        <v>319</v>
      </c>
    </row>
    <row r="8559" spans="1:21" hidden="1" x14ac:dyDescent="0.25">
      <c r="A8559" s="405" t="s">
        <v>310</v>
      </c>
      <c r="B8559" s="405" t="s">
        <v>10287</v>
      </c>
      <c r="C8559" s="405" t="s">
        <v>327</v>
      </c>
      <c r="D8559" s="405"/>
      <c r="E8559" s="410">
        <v>40673</v>
      </c>
      <c r="F8559" s="410">
        <v>40718</v>
      </c>
      <c r="G8559" s="405" t="s">
        <v>10288</v>
      </c>
      <c r="H8559" s="405">
        <v>775486873</v>
      </c>
      <c r="I8559" s="405"/>
      <c r="J8559" s="405">
        <v>1.1919999999999999</v>
      </c>
      <c r="K8559" s="405">
        <v>34.324320999999998</v>
      </c>
      <c r="L8559" s="405" t="s">
        <v>6866</v>
      </c>
      <c r="M8559" s="405" t="s">
        <v>9575</v>
      </c>
      <c r="N8559" s="405" t="s">
        <v>9629</v>
      </c>
      <c r="O8559" s="405" t="s">
        <v>10224</v>
      </c>
      <c r="P8559" s="405" t="s">
        <v>10289</v>
      </c>
      <c r="Q8559" s="411">
        <v>6</v>
      </c>
      <c r="R8559" s="405" t="s">
        <v>9541</v>
      </c>
      <c r="S8559" s="405" t="s">
        <v>27086</v>
      </c>
      <c r="T8559" s="405" t="s">
        <v>32102</v>
      </c>
      <c r="U8559" s="405" t="s">
        <v>319</v>
      </c>
    </row>
    <row r="8560" spans="1:21" hidden="1" x14ac:dyDescent="0.25">
      <c r="A8560" s="405" t="s">
        <v>310</v>
      </c>
      <c r="B8560" s="405" t="s">
        <v>29059</v>
      </c>
      <c r="C8560" s="405" t="s">
        <v>857</v>
      </c>
      <c r="D8560" s="405" t="s">
        <v>1037</v>
      </c>
      <c r="E8560" s="410">
        <v>40673</v>
      </c>
      <c r="F8560" s="410">
        <v>40718</v>
      </c>
      <c r="G8560" s="405" t="s">
        <v>10677</v>
      </c>
      <c r="H8560" s="405">
        <v>776415440</v>
      </c>
      <c r="I8560" s="405"/>
      <c r="J8560" s="405">
        <v>1.0565599999999999</v>
      </c>
      <c r="K8560" s="405">
        <v>34.200578</v>
      </c>
      <c r="L8560" s="405" t="s">
        <v>6866</v>
      </c>
      <c r="M8560" s="405" t="s">
        <v>9514</v>
      </c>
      <c r="N8560" s="405" t="s">
        <v>9529</v>
      </c>
      <c r="O8560" s="405" t="s">
        <v>10678</v>
      </c>
      <c r="P8560" s="405" t="s">
        <v>9714</v>
      </c>
      <c r="Q8560" s="411">
        <v>4</v>
      </c>
      <c r="R8560" s="405" t="s">
        <v>7224</v>
      </c>
      <c r="S8560" s="405" t="s">
        <v>27074</v>
      </c>
      <c r="T8560" s="405" t="s">
        <v>32102</v>
      </c>
      <c r="U8560" s="405" t="s">
        <v>319</v>
      </c>
    </row>
    <row r="8561" spans="1:21" hidden="1" x14ac:dyDescent="0.25">
      <c r="A8561" s="405" t="s">
        <v>310</v>
      </c>
      <c r="B8561" s="405" t="s">
        <v>44</v>
      </c>
      <c r="C8561" s="405" t="s">
        <v>327</v>
      </c>
      <c r="D8561" s="405"/>
      <c r="E8561" s="410">
        <v>40672</v>
      </c>
      <c r="F8561" s="410">
        <v>40717</v>
      </c>
      <c r="G8561" s="405" t="s">
        <v>1431</v>
      </c>
      <c r="H8561" s="405">
        <v>782367853</v>
      </c>
      <c r="I8561" s="405"/>
      <c r="J8561" s="405">
        <v>0.53669199999999995</v>
      </c>
      <c r="K8561" s="405">
        <v>32.0047</v>
      </c>
      <c r="L8561" s="405" t="s">
        <v>314</v>
      </c>
      <c r="M8561" s="405" t="s">
        <v>675</v>
      </c>
      <c r="N8561" s="405" t="s">
        <v>1065</v>
      </c>
      <c r="O8561" s="405" t="s">
        <v>1248</v>
      </c>
      <c r="P8561" s="405" t="s">
        <v>1432</v>
      </c>
      <c r="Q8561" s="411">
        <v>6</v>
      </c>
      <c r="R8561" s="405" t="s">
        <v>318</v>
      </c>
      <c r="S8561" s="405" t="s">
        <v>27148</v>
      </c>
      <c r="T8561" s="405" t="s">
        <v>32102</v>
      </c>
      <c r="U8561" s="405" t="s">
        <v>319</v>
      </c>
    </row>
    <row r="8562" spans="1:21" hidden="1" x14ac:dyDescent="0.25">
      <c r="A8562" s="405" t="s">
        <v>310</v>
      </c>
      <c r="B8562" s="405" t="s">
        <v>1</v>
      </c>
      <c r="C8562" s="405" t="s">
        <v>327</v>
      </c>
      <c r="D8562" s="405"/>
      <c r="E8562" s="410">
        <v>40671</v>
      </c>
      <c r="F8562" s="410">
        <v>40716</v>
      </c>
      <c r="G8562" s="405" t="s">
        <v>10266</v>
      </c>
      <c r="H8562" s="405">
        <v>772897376</v>
      </c>
      <c r="I8562" s="405"/>
      <c r="J8562" s="405">
        <v>1.5548869999999999</v>
      </c>
      <c r="K8562" s="405">
        <v>33.763772000000003</v>
      </c>
      <c r="L8562" s="405" t="s">
        <v>6866</v>
      </c>
      <c r="M8562" s="405" t="s">
        <v>10012</v>
      </c>
      <c r="N8562" s="405" t="s">
        <v>10012</v>
      </c>
      <c r="O8562" s="405" t="s">
        <v>10267</v>
      </c>
      <c r="P8562" s="405" t="s">
        <v>10268</v>
      </c>
      <c r="Q8562" s="411">
        <v>6</v>
      </c>
      <c r="R8562" s="405" t="s">
        <v>9541</v>
      </c>
      <c r="S8562" s="405" t="s">
        <v>27302</v>
      </c>
      <c r="T8562" s="405" t="s">
        <v>32102</v>
      </c>
      <c r="U8562" s="405" t="s">
        <v>319</v>
      </c>
    </row>
    <row r="8563" spans="1:21" hidden="1" x14ac:dyDescent="0.25">
      <c r="A8563" s="405" t="s">
        <v>310</v>
      </c>
      <c r="B8563" s="405" t="s">
        <v>10273</v>
      </c>
      <c r="C8563" s="405" t="s">
        <v>327</v>
      </c>
      <c r="D8563" s="405"/>
      <c r="E8563" s="410">
        <v>40670</v>
      </c>
      <c r="F8563" s="410">
        <v>40715</v>
      </c>
      <c r="G8563" s="405" t="s">
        <v>10274</v>
      </c>
      <c r="H8563" s="405">
        <v>774440341</v>
      </c>
      <c r="I8563" s="405"/>
      <c r="J8563" s="405">
        <v>1.6419349999999999</v>
      </c>
      <c r="K8563" s="405">
        <v>33.815522999999999</v>
      </c>
      <c r="L8563" s="405" t="s">
        <v>6866</v>
      </c>
      <c r="M8563" s="405" t="s">
        <v>10012</v>
      </c>
      <c r="N8563" s="405" t="s">
        <v>10012</v>
      </c>
      <c r="O8563" s="405" t="s">
        <v>10267</v>
      </c>
      <c r="P8563" s="405" t="s">
        <v>10275</v>
      </c>
      <c r="Q8563" s="411">
        <v>6</v>
      </c>
      <c r="R8563" s="405" t="s">
        <v>32478</v>
      </c>
      <c r="S8563" s="405" t="s">
        <v>27127</v>
      </c>
      <c r="T8563" s="405" t="s">
        <v>32102</v>
      </c>
      <c r="U8563" s="405" t="s">
        <v>319</v>
      </c>
    </row>
    <row r="8564" spans="1:21" hidden="1" x14ac:dyDescent="0.25">
      <c r="A8564" s="405" t="s">
        <v>310</v>
      </c>
      <c r="B8564" s="405" t="s">
        <v>10246</v>
      </c>
      <c r="C8564" s="405" t="s">
        <v>327</v>
      </c>
      <c r="D8564" s="405"/>
      <c r="E8564" s="410">
        <v>40669</v>
      </c>
      <c r="F8564" s="410">
        <v>40714</v>
      </c>
      <c r="G8564" s="405" t="s">
        <v>10247</v>
      </c>
      <c r="H8564" s="405">
        <v>782851097</v>
      </c>
      <c r="I8564" s="405"/>
      <c r="J8564" s="405">
        <v>0.61508399999999996</v>
      </c>
      <c r="K8564" s="405">
        <v>33.963683000000003</v>
      </c>
      <c r="L8564" s="405" t="s">
        <v>6866</v>
      </c>
      <c r="M8564" s="405" t="s">
        <v>9534</v>
      </c>
      <c r="N8564" s="405" t="s">
        <v>9997</v>
      </c>
      <c r="O8564" s="405" t="s">
        <v>10248</v>
      </c>
      <c r="P8564" s="405" t="s">
        <v>10249</v>
      </c>
      <c r="Q8564" s="411">
        <v>6</v>
      </c>
      <c r="R8564" s="405" t="s">
        <v>9541</v>
      </c>
      <c r="S8564" s="405" t="s">
        <v>27314</v>
      </c>
      <c r="T8564" s="405" t="s">
        <v>32102</v>
      </c>
      <c r="U8564" s="405" t="s">
        <v>319</v>
      </c>
    </row>
    <row r="8565" spans="1:21" hidden="1" x14ac:dyDescent="0.25">
      <c r="A8565" s="405" t="s">
        <v>310</v>
      </c>
      <c r="B8565" s="405" t="s">
        <v>10258</v>
      </c>
      <c r="C8565" s="405" t="s">
        <v>327</v>
      </c>
      <c r="D8565" s="405"/>
      <c r="E8565" s="410">
        <v>40669</v>
      </c>
      <c r="F8565" s="410">
        <v>40714</v>
      </c>
      <c r="G8565" s="405" t="s">
        <v>10259</v>
      </c>
      <c r="H8565" s="405">
        <v>782606676</v>
      </c>
      <c r="I8565" s="405"/>
      <c r="J8565" s="405">
        <v>1.3028</v>
      </c>
      <c r="K8565" s="405">
        <v>33.880487000000002</v>
      </c>
      <c r="L8565" s="405" t="s">
        <v>6866</v>
      </c>
      <c r="M8565" s="405" t="s">
        <v>10029</v>
      </c>
      <c r="N8565" s="405" t="s">
        <v>10260</v>
      </c>
      <c r="O8565" s="405" t="s">
        <v>10261</v>
      </c>
      <c r="P8565" s="405" t="s">
        <v>10262</v>
      </c>
      <c r="Q8565" s="411">
        <v>6</v>
      </c>
      <c r="R8565" s="405" t="s">
        <v>7224</v>
      </c>
      <c r="S8565" s="405" t="s">
        <v>27190</v>
      </c>
      <c r="T8565" s="405" t="s">
        <v>32102</v>
      </c>
      <c r="U8565" s="405" t="s">
        <v>319</v>
      </c>
    </row>
    <row r="8566" spans="1:21" hidden="1" x14ac:dyDescent="0.25">
      <c r="A8566" s="405" t="s">
        <v>310</v>
      </c>
      <c r="B8566" s="405" t="s">
        <v>20065</v>
      </c>
      <c r="C8566" s="405" t="s">
        <v>327</v>
      </c>
      <c r="D8566" s="405"/>
      <c r="E8566" s="410">
        <v>40669</v>
      </c>
      <c r="F8566" s="410">
        <v>40714</v>
      </c>
      <c r="G8566" s="405" t="s">
        <v>20066</v>
      </c>
      <c r="H8566" s="405">
        <v>773256767</v>
      </c>
      <c r="I8566" s="405"/>
      <c r="J8566" s="405">
        <v>-0.82333100000000004</v>
      </c>
      <c r="K8566" s="405">
        <v>30.191338999999999</v>
      </c>
      <c r="L8566" s="405" t="s">
        <v>590</v>
      </c>
      <c r="M8566" s="405" t="s">
        <v>19659</v>
      </c>
      <c r="N8566" s="405" t="s">
        <v>19604</v>
      </c>
      <c r="O8566" s="405" t="s">
        <v>19826</v>
      </c>
      <c r="P8566" s="405" t="s">
        <v>20067</v>
      </c>
      <c r="Q8566" s="411">
        <v>6</v>
      </c>
      <c r="R8566" s="405" t="s">
        <v>967</v>
      </c>
      <c r="S8566" s="405" t="s">
        <v>27393</v>
      </c>
      <c r="T8566" s="405" t="s">
        <v>32102</v>
      </c>
      <c r="U8566" s="405" t="s">
        <v>319</v>
      </c>
    </row>
    <row r="8567" spans="1:21" hidden="1" x14ac:dyDescent="0.25">
      <c r="A8567" s="405" t="s">
        <v>310</v>
      </c>
      <c r="B8567" s="405" t="s">
        <v>20058</v>
      </c>
      <c r="C8567" s="405" t="s">
        <v>327</v>
      </c>
      <c r="D8567" s="405"/>
      <c r="E8567" s="410">
        <v>40668</v>
      </c>
      <c r="F8567" s="410">
        <v>40713</v>
      </c>
      <c r="G8567" s="405" t="s">
        <v>20059</v>
      </c>
      <c r="H8567" s="405">
        <v>772949460</v>
      </c>
      <c r="I8567" s="405"/>
      <c r="J8567" s="405">
        <v>-0.89429400000000003</v>
      </c>
      <c r="K8567" s="405">
        <v>30.378674</v>
      </c>
      <c r="L8567" s="405" t="s">
        <v>590</v>
      </c>
      <c r="M8567" s="405" t="s">
        <v>19659</v>
      </c>
      <c r="N8567" s="405" t="s">
        <v>19664</v>
      </c>
      <c r="O8567" s="405" t="s">
        <v>20060</v>
      </c>
      <c r="P8567" s="405" t="s">
        <v>20061</v>
      </c>
      <c r="Q8567" s="411">
        <v>12</v>
      </c>
      <c r="R8567" s="405" t="s">
        <v>1527</v>
      </c>
      <c r="S8567" s="405" t="s">
        <v>27401</v>
      </c>
      <c r="T8567" s="405" t="s">
        <v>32102</v>
      </c>
      <c r="U8567" s="405" t="s">
        <v>319</v>
      </c>
    </row>
    <row r="8568" spans="1:21" hidden="1" x14ac:dyDescent="0.25">
      <c r="A8568" s="405" t="s">
        <v>310</v>
      </c>
      <c r="B8568" s="405" t="s">
        <v>20096</v>
      </c>
      <c r="C8568" s="405" t="s">
        <v>327</v>
      </c>
      <c r="D8568" s="405"/>
      <c r="E8568" s="410">
        <v>40668</v>
      </c>
      <c r="F8568" s="410">
        <v>40713</v>
      </c>
      <c r="G8568" s="405" t="s">
        <v>20097</v>
      </c>
      <c r="H8568" s="405">
        <v>752657399</v>
      </c>
      <c r="I8568" s="405">
        <v>7766657399</v>
      </c>
      <c r="J8568" s="405">
        <v>1.6511434</v>
      </c>
      <c r="K8568" s="405">
        <v>31.516481200000001</v>
      </c>
      <c r="L8568" s="405" t="s">
        <v>590</v>
      </c>
      <c r="M8568" s="405" t="s">
        <v>7300</v>
      </c>
      <c r="N8568" s="405" t="s">
        <v>20091</v>
      </c>
      <c r="O8568" s="405" t="s">
        <v>20098</v>
      </c>
      <c r="P8568" s="405" t="s">
        <v>20099</v>
      </c>
      <c r="Q8568" s="411">
        <v>12</v>
      </c>
      <c r="R8568" s="405" t="s">
        <v>318</v>
      </c>
      <c r="S8568" s="405" t="s">
        <v>27126</v>
      </c>
      <c r="T8568" s="405" t="s">
        <v>32102</v>
      </c>
      <c r="U8568" s="405" t="s">
        <v>319</v>
      </c>
    </row>
    <row r="8569" spans="1:21" hidden="1" x14ac:dyDescent="0.25">
      <c r="A8569" s="405" t="s">
        <v>310</v>
      </c>
      <c r="B8569" s="405" t="s">
        <v>20040</v>
      </c>
      <c r="C8569" s="405" t="s">
        <v>327</v>
      </c>
      <c r="D8569" s="405"/>
      <c r="E8569" s="410">
        <v>40668</v>
      </c>
      <c r="F8569" s="410">
        <v>40713</v>
      </c>
      <c r="G8569" s="405" t="s">
        <v>20041</v>
      </c>
      <c r="H8569" s="405">
        <v>773543512</v>
      </c>
      <c r="I8569" s="405"/>
      <c r="J8569" s="405">
        <v>-0.73362700000000003</v>
      </c>
      <c r="K8569" s="405">
        <v>30.497484</v>
      </c>
      <c r="L8569" s="405" t="s">
        <v>590</v>
      </c>
      <c r="M8569" s="405" t="s">
        <v>19614</v>
      </c>
      <c r="N8569" s="405" t="s">
        <v>19654</v>
      </c>
      <c r="O8569" s="405" t="s">
        <v>19995</v>
      </c>
      <c r="P8569" s="405" t="s">
        <v>20042</v>
      </c>
      <c r="Q8569" s="411">
        <v>9</v>
      </c>
      <c r="R8569" s="405" t="s">
        <v>333</v>
      </c>
      <c r="S8569" s="405" t="s">
        <v>27098</v>
      </c>
      <c r="T8569" s="405" t="s">
        <v>32102</v>
      </c>
      <c r="U8569" s="405" t="s">
        <v>319</v>
      </c>
    </row>
    <row r="8570" spans="1:21" hidden="1" x14ac:dyDescent="0.25">
      <c r="A8570" s="405" t="s">
        <v>310</v>
      </c>
      <c r="B8570" s="405" t="s">
        <v>28692</v>
      </c>
      <c r="C8570" s="405" t="s">
        <v>327</v>
      </c>
      <c r="D8570" s="405"/>
      <c r="E8570" s="410">
        <v>40668</v>
      </c>
      <c r="F8570" s="410">
        <v>40713</v>
      </c>
      <c r="G8570" s="405" t="s">
        <v>10282</v>
      </c>
      <c r="H8570" s="405">
        <v>752811654</v>
      </c>
      <c r="I8570" s="405"/>
      <c r="J8570" s="405">
        <v>0.70259000000000005</v>
      </c>
      <c r="K8570" s="405">
        <v>34.169739999999997</v>
      </c>
      <c r="L8570" s="405" t="s">
        <v>6866</v>
      </c>
      <c r="M8570" s="405" t="s">
        <v>9534</v>
      </c>
      <c r="N8570" s="405" t="s">
        <v>10065</v>
      </c>
      <c r="O8570" s="405" t="s">
        <v>9881</v>
      </c>
      <c r="P8570" s="405" t="s">
        <v>10283</v>
      </c>
      <c r="Q8570" s="411">
        <v>6</v>
      </c>
      <c r="R8570" s="405" t="s">
        <v>7224</v>
      </c>
      <c r="S8570" s="405" t="s">
        <v>27310</v>
      </c>
      <c r="T8570" s="405" t="s">
        <v>32102</v>
      </c>
      <c r="U8570" s="405" t="s">
        <v>319</v>
      </c>
    </row>
    <row r="8571" spans="1:21" hidden="1" x14ac:dyDescent="0.25">
      <c r="A8571" s="405" t="s">
        <v>310</v>
      </c>
      <c r="B8571" s="405" t="s">
        <v>20055</v>
      </c>
      <c r="C8571" s="405" t="s">
        <v>327</v>
      </c>
      <c r="D8571" s="405"/>
      <c r="E8571" s="410">
        <v>40668</v>
      </c>
      <c r="F8571" s="410">
        <v>40713</v>
      </c>
      <c r="G8571" s="405" t="s">
        <v>20056</v>
      </c>
      <c r="H8571" s="405">
        <v>781022049</v>
      </c>
      <c r="I8571" s="405"/>
      <c r="J8571" s="405">
        <v>-0.913358</v>
      </c>
      <c r="K8571" s="405">
        <v>30.380002000000001</v>
      </c>
      <c r="L8571" s="405" t="s">
        <v>590</v>
      </c>
      <c r="M8571" s="405" t="s">
        <v>19659</v>
      </c>
      <c r="N8571" s="405" t="s">
        <v>19664</v>
      </c>
      <c r="O8571" s="405" t="s">
        <v>19664</v>
      </c>
      <c r="P8571" s="405" t="s">
        <v>20057</v>
      </c>
      <c r="Q8571" s="411">
        <v>6</v>
      </c>
      <c r="R8571" s="405" t="s">
        <v>967</v>
      </c>
      <c r="S8571" s="405" t="s">
        <v>27401</v>
      </c>
      <c r="T8571" s="405" t="s">
        <v>32102</v>
      </c>
      <c r="U8571" s="405" t="s">
        <v>319</v>
      </c>
    </row>
    <row r="8572" spans="1:21" hidden="1" x14ac:dyDescent="0.25">
      <c r="A8572" s="405" t="s">
        <v>310</v>
      </c>
      <c r="B8572" s="405" t="s">
        <v>20038</v>
      </c>
      <c r="C8572" s="405" t="s">
        <v>327</v>
      </c>
      <c r="D8572" s="405"/>
      <c r="E8572" s="410">
        <v>40667</v>
      </c>
      <c r="F8572" s="410">
        <v>40712</v>
      </c>
      <c r="G8572" s="405" t="s">
        <v>20039</v>
      </c>
      <c r="H8572" s="405">
        <v>772417666</v>
      </c>
      <c r="I8572" s="405"/>
      <c r="J8572" s="405">
        <v>-0.43131399999999998</v>
      </c>
      <c r="K8572" s="405">
        <v>30.549645000000002</v>
      </c>
      <c r="L8572" s="405" t="s">
        <v>590</v>
      </c>
      <c r="M8572" s="405" t="s">
        <v>19614</v>
      </c>
      <c r="N8572" s="405" t="s">
        <v>19615</v>
      </c>
      <c r="O8572" s="405" t="s">
        <v>19650</v>
      </c>
      <c r="P8572" s="405" t="s">
        <v>19650</v>
      </c>
      <c r="Q8572" s="411">
        <v>12</v>
      </c>
      <c r="R8572" s="405" t="s">
        <v>883</v>
      </c>
      <c r="S8572" s="405" t="s">
        <v>27096</v>
      </c>
      <c r="T8572" s="405" t="s">
        <v>32102</v>
      </c>
      <c r="U8572" s="405" t="s">
        <v>319</v>
      </c>
    </row>
    <row r="8573" spans="1:21" hidden="1" x14ac:dyDescent="0.25">
      <c r="A8573" s="405" t="s">
        <v>310</v>
      </c>
      <c r="B8573" s="405" t="s">
        <v>1422</v>
      </c>
      <c r="C8573" s="405" t="s">
        <v>327</v>
      </c>
      <c r="D8573" s="405"/>
      <c r="E8573" s="410">
        <v>40667</v>
      </c>
      <c r="F8573" s="410">
        <v>40712</v>
      </c>
      <c r="G8573" s="405" t="s">
        <v>1423</v>
      </c>
      <c r="H8573" s="405">
        <v>781465782</v>
      </c>
      <c r="I8573" s="405">
        <v>705996849</v>
      </c>
      <c r="J8573" s="405">
        <v>-0.58325800000000005</v>
      </c>
      <c r="K8573" s="405">
        <v>31.646647000000002</v>
      </c>
      <c r="L8573" s="405" t="s">
        <v>314</v>
      </c>
      <c r="M8573" s="405" t="s">
        <v>398</v>
      </c>
      <c r="N8573" s="405" t="s">
        <v>399</v>
      </c>
      <c r="O8573" s="405" t="s">
        <v>740</v>
      </c>
      <c r="P8573" s="405" t="s">
        <v>1424</v>
      </c>
      <c r="Q8573" s="411">
        <v>6</v>
      </c>
      <c r="R8573" s="405" t="s">
        <v>318</v>
      </c>
      <c r="S8573" s="405" t="s">
        <v>22481</v>
      </c>
      <c r="T8573" s="405" t="s">
        <v>32102</v>
      </c>
      <c r="U8573" s="405" t="s">
        <v>319</v>
      </c>
    </row>
    <row r="8574" spans="1:21" hidden="1" x14ac:dyDescent="0.25">
      <c r="A8574" s="405" t="s">
        <v>310</v>
      </c>
      <c r="B8574" s="405" t="s">
        <v>20046</v>
      </c>
      <c r="C8574" s="405" t="s">
        <v>327</v>
      </c>
      <c r="D8574" s="405"/>
      <c r="E8574" s="410">
        <v>40666</v>
      </c>
      <c r="F8574" s="410">
        <v>40711</v>
      </c>
      <c r="G8574" s="405" t="s">
        <v>20047</v>
      </c>
      <c r="H8574" s="405">
        <v>782308834</v>
      </c>
      <c r="I8574" s="405">
        <v>751308834</v>
      </c>
      <c r="J8574" s="405">
        <v>-0.91379500000000002</v>
      </c>
      <c r="K8574" s="405">
        <v>30.527911</v>
      </c>
      <c r="L8574" s="405" t="s">
        <v>590</v>
      </c>
      <c r="M8574" s="405" t="s">
        <v>19659</v>
      </c>
      <c r="N8574" s="405" t="s">
        <v>19664</v>
      </c>
      <c r="O8574" s="405" t="s">
        <v>20048</v>
      </c>
      <c r="P8574" s="405" t="s">
        <v>20049</v>
      </c>
      <c r="Q8574" s="411">
        <v>6</v>
      </c>
      <c r="R8574" s="405" t="s">
        <v>1527</v>
      </c>
      <c r="S8574" s="405" t="s">
        <v>27240</v>
      </c>
      <c r="T8574" s="405" t="s">
        <v>32102</v>
      </c>
      <c r="U8574" s="405" t="s">
        <v>319</v>
      </c>
    </row>
    <row r="8575" spans="1:21" hidden="1" x14ac:dyDescent="0.25">
      <c r="A8575" s="405" t="s">
        <v>310</v>
      </c>
      <c r="B8575" s="405" t="s">
        <v>20050</v>
      </c>
      <c r="C8575" s="405" t="s">
        <v>327</v>
      </c>
      <c r="D8575" s="405"/>
      <c r="E8575" s="410">
        <v>40666</v>
      </c>
      <c r="F8575" s="410">
        <v>40711</v>
      </c>
      <c r="G8575" s="405" t="s">
        <v>20051</v>
      </c>
      <c r="H8575" s="405">
        <v>777839122</v>
      </c>
      <c r="I8575" s="405"/>
      <c r="J8575" s="405">
        <v>-0.98521599999999998</v>
      </c>
      <c r="K8575" s="405">
        <v>30.360961</v>
      </c>
      <c r="L8575" s="405" t="s">
        <v>590</v>
      </c>
      <c r="M8575" s="405" t="s">
        <v>19659</v>
      </c>
      <c r="N8575" s="405" t="s">
        <v>19664</v>
      </c>
      <c r="O8575" s="405" t="s">
        <v>19664</v>
      </c>
      <c r="P8575" s="405" t="s">
        <v>19915</v>
      </c>
      <c r="Q8575" s="411">
        <v>6</v>
      </c>
      <c r="R8575" s="405" t="s">
        <v>967</v>
      </c>
      <c r="S8575" s="405" t="s">
        <v>27396</v>
      </c>
      <c r="T8575" s="405" t="s">
        <v>32102</v>
      </c>
      <c r="U8575" s="405" t="s">
        <v>319</v>
      </c>
    </row>
    <row r="8576" spans="1:21" hidden="1" x14ac:dyDescent="0.25">
      <c r="A8576" s="405" t="s">
        <v>310</v>
      </c>
      <c r="B8576" s="405" t="s">
        <v>20052</v>
      </c>
      <c r="C8576" s="405" t="s">
        <v>327</v>
      </c>
      <c r="D8576" s="405"/>
      <c r="E8576" s="410">
        <v>40666</v>
      </c>
      <c r="F8576" s="410">
        <v>40711</v>
      </c>
      <c r="G8576" s="405" t="s">
        <v>20053</v>
      </c>
      <c r="H8576" s="405">
        <v>777912605</v>
      </c>
      <c r="I8576" s="405"/>
      <c r="J8576" s="405">
        <v>-0.98433999999999999</v>
      </c>
      <c r="K8576" s="405">
        <v>30.339369999999999</v>
      </c>
      <c r="L8576" s="405" t="s">
        <v>590</v>
      </c>
      <c r="M8576" s="405" t="s">
        <v>19659</v>
      </c>
      <c r="N8576" s="405" t="s">
        <v>19664</v>
      </c>
      <c r="O8576" s="405" t="s">
        <v>19664</v>
      </c>
      <c r="P8576" s="405" t="s">
        <v>20054</v>
      </c>
      <c r="Q8576" s="411">
        <v>6</v>
      </c>
      <c r="R8576" s="405" t="s">
        <v>967</v>
      </c>
      <c r="S8576" s="405" t="s">
        <v>27393</v>
      </c>
      <c r="T8576" s="405" t="s">
        <v>32102</v>
      </c>
      <c r="U8576" s="405" t="s">
        <v>319</v>
      </c>
    </row>
    <row r="8577" spans="1:21" hidden="1" x14ac:dyDescent="0.25">
      <c r="A8577" s="405" t="s">
        <v>310</v>
      </c>
      <c r="B8577" s="405" t="s">
        <v>10305</v>
      </c>
      <c r="C8577" s="405" t="s">
        <v>327</v>
      </c>
      <c r="D8577" s="405"/>
      <c r="E8577" s="410">
        <v>40665</v>
      </c>
      <c r="F8577" s="410">
        <v>40710</v>
      </c>
      <c r="G8577" s="405" t="s">
        <v>10306</v>
      </c>
      <c r="H8577" s="405">
        <v>777254674</v>
      </c>
      <c r="I8577" s="405"/>
      <c r="J8577" s="405">
        <v>1.4005350000000001</v>
      </c>
      <c r="K8577" s="405">
        <v>34.626415999999999</v>
      </c>
      <c r="L8577" s="405" t="s">
        <v>6866</v>
      </c>
      <c r="M8577" s="405" t="s">
        <v>9705</v>
      </c>
      <c r="N8577" s="405" t="s">
        <v>9705</v>
      </c>
      <c r="O8577" s="405" t="s">
        <v>10307</v>
      </c>
      <c r="P8577" s="405" t="s">
        <v>10308</v>
      </c>
      <c r="Q8577" s="411">
        <v>6</v>
      </c>
      <c r="R8577" s="405" t="s">
        <v>9506</v>
      </c>
      <c r="S8577" s="405" t="s">
        <v>27169</v>
      </c>
      <c r="T8577" s="405" t="s">
        <v>32102</v>
      </c>
      <c r="U8577" s="405" t="s">
        <v>319</v>
      </c>
    </row>
    <row r="8578" spans="1:21" hidden="1" x14ac:dyDescent="0.25">
      <c r="A8578" s="405" t="s">
        <v>310</v>
      </c>
      <c r="B8578" s="405" t="s">
        <v>28848</v>
      </c>
      <c r="C8578" s="405" t="s">
        <v>327</v>
      </c>
      <c r="D8578" s="405"/>
      <c r="E8578" s="410">
        <v>40665</v>
      </c>
      <c r="F8578" s="410">
        <v>40680</v>
      </c>
      <c r="G8578" s="405" t="s">
        <v>20005</v>
      </c>
      <c r="H8578" s="405">
        <v>772642267</v>
      </c>
      <c r="I8578" s="405"/>
      <c r="J8578" s="405">
        <v>-0.89782200000000001</v>
      </c>
      <c r="K8578" s="405">
        <v>30.284331000000002</v>
      </c>
      <c r="L8578" s="405" t="s">
        <v>590</v>
      </c>
      <c r="M8578" s="405" t="s">
        <v>19659</v>
      </c>
      <c r="N8578" s="405" t="s">
        <v>19681</v>
      </c>
      <c r="O8578" s="405" t="s">
        <v>6748</v>
      </c>
      <c r="P8578" s="405" t="s">
        <v>20006</v>
      </c>
      <c r="Q8578" s="411">
        <v>6</v>
      </c>
      <c r="R8578" s="405" t="s">
        <v>967</v>
      </c>
      <c r="S8578" s="405" t="s">
        <v>27161</v>
      </c>
      <c r="T8578" s="405" t="s">
        <v>32102</v>
      </c>
      <c r="U8578" s="405" t="s">
        <v>319</v>
      </c>
    </row>
    <row r="8579" spans="1:21" hidden="1" x14ac:dyDescent="0.25">
      <c r="A8579" s="405" t="s">
        <v>310</v>
      </c>
      <c r="B8579" s="405" t="s">
        <v>1491</v>
      </c>
      <c r="C8579" s="405" t="s">
        <v>327</v>
      </c>
      <c r="D8579" s="405"/>
      <c r="E8579" s="410">
        <v>40664</v>
      </c>
      <c r="F8579" s="410">
        <v>40709</v>
      </c>
      <c r="G8579" s="405" t="s">
        <v>1492</v>
      </c>
      <c r="H8579" s="405">
        <v>772868349</v>
      </c>
      <c r="I8579" s="405">
        <v>758319373</v>
      </c>
      <c r="J8579" s="405">
        <v>0.36178500000000002</v>
      </c>
      <c r="K8579" s="405">
        <v>32.993695000000002</v>
      </c>
      <c r="L8579" s="405" t="s">
        <v>314</v>
      </c>
      <c r="M8579" s="405" t="s">
        <v>349</v>
      </c>
      <c r="N8579" s="405" t="s">
        <v>350</v>
      </c>
      <c r="O8579" s="405" t="s">
        <v>656</v>
      </c>
      <c r="P8579" s="405" t="s">
        <v>1493</v>
      </c>
      <c r="Q8579" s="411">
        <v>6</v>
      </c>
      <c r="R8579" s="405" t="s">
        <v>318</v>
      </c>
      <c r="S8579" s="405" t="s">
        <v>27135</v>
      </c>
      <c r="T8579" s="405" t="s">
        <v>32102</v>
      </c>
      <c r="U8579" s="405" t="s">
        <v>319</v>
      </c>
    </row>
    <row r="8580" spans="1:21" hidden="1" x14ac:dyDescent="0.25">
      <c r="A8580" s="405" t="s">
        <v>310</v>
      </c>
      <c r="B8580" s="405" t="s">
        <v>1471</v>
      </c>
      <c r="C8580" s="405" t="s">
        <v>327</v>
      </c>
      <c r="D8580" s="405"/>
      <c r="E8580" s="410">
        <v>40663</v>
      </c>
      <c r="F8580" s="410">
        <v>40708</v>
      </c>
      <c r="G8580" s="405" t="s">
        <v>1472</v>
      </c>
      <c r="H8580" s="405">
        <v>772582616</v>
      </c>
      <c r="I8580" s="405"/>
      <c r="J8580" s="405">
        <v>0.28504699999999999</v>
      </c>
      <c r="K8580" s="405">
        <v>32.448708000000003</v>
      </c>
      <c r="L8580" s="405" t="s">
        <v>314</v>
      </c>
      <c r="M8580" s="405" t="s">
        <v>361</v>
      </c>
      <c r="N8580" s="405" t="s">
        <v>374</v>
      </c>
      <c r="O8580" s="405" t="s">
        <v>375</v>
      </c>
      <c r="P8580" s="405" t="s">
        <v>1473</v>
      </c>
      <c r="Q8580" s="411">
        <v>12</v>
      </c>
      <c r="R8580" s="405" t="s">
        <v>318</v>
      </c>
      <c r="S8580" s="405" t="s">
        <v>27149</v>
      </c>
      <c r="T8580" s="405" t="s">
        <v>32102</v>
      </c>
      <c r="U8580" s="405" t="s">
        <v>319</v>
      </c>
    </row>
    <row r="8581" spans="1:21" hidden="1" x14ac:dyDescent="0.25">
      <c r="A8581" s="405" t="s">
        <v>310</v>
      </c>
      <c r="B8581" s="405" t="s">
        <v>27963</v>
      </c>
      <c r="C8581" s="405" t="s">
        <v>311</v>
      </c>
      <c r="D8581" s="405" t="s">
        <v>839</v>
      </c>
      <c r="E8581" s="410">
        <v>40663</v>
      </c>
      <c r="F8581" s="410">
        <v>40708</v>
      </c>
      <c r="G8581" s="405" t="s">
        <v>1986</v>
      </c>
      <c r="H8581" s="405">
        <v>782664433</v>
      </c>
      <c r="I8581" s="405"/>
      <c r="J8581" s="405">
        <v>0.41394500000000001</v>
      </c>
      <c r="K8581" s="405">
        <v>32.570913333333337</v>
      </c>
      <c r="L8581" s="405" t="s">
        <v>314</v>
      </c>
      <c r="M8581" s="405" t="s">
        <v>361</v>
      </c>
      <c r="N8581" s="405" t="s">
        <v>362</v>
      </c>
      <c r="O8581" s="405" t="s">
        <v>1365</v>
      </c>
      <c r="P8581" s="405" t="s">
        <v>1165</v>
      </c>
      <c r="Q8581" s="411">
        <v>9</v>
      </c>
      <c r="R8581" s="405" t="s">
        <v>353</v>
      </c>
      <c r="S8581" s="405" t="s">
        <v>27034</v>
      </c>
      <c r="T8581" s="405" t="s">
        <v>32102</v>
      </c>
      <c r="U8581" s="405" t="s">
        <v>319</v>
      </c>
    </row>
    <row r="8582" spans="1:21" hidden="1" x14ac:dyDescent="0.25">
      <c r="A8582" s="405" t="s">
        <v>310</v>
      </c>
      <c r="B8582" s="405" t="s">
        <v>1407</v>
      </c>
      <c r="C8582" s="405" t="s">
        <v>327</v>
      </c>
      <c r="D8582" s="405"/>
      <c r="E8582" s="410">
        <v>40663</v>
      </c>
      <c r="F8582" s="410">
        <v>40708</v>
      </c>
      <c r="G8582" s="405" t="s">
        <v>1408</v>
      </c>
      <c r="H8582" s="405">
        <v>772414132</v>
      </c>
      <c r="I8582" s="405"/>
      <c r="J8582" s="405">
        <v>0.24215499999999998</v>
      </c>
      <c r="K8582" s="405">
        <v>32.338531666666668</v>
      </c>
      <c r="L8582" s="405" t="s">
        <v>314</v>
      </c>
      <c r="M8582" s="405" t="s">
        <v>321</v>
      </c>
      <c r="N8582" s="405" t="s">
        <v>322</v>
      </c>
      <c r="O8582" s="405" t="s">
        <v>996</v>
      </c>
      <c r="P8582" s="405" t="s">
        <v>1409</v>
      </c>
      <c r="Q8582" s="411">
        <v>9</v>
      </c>
      <c r="R8582" s="405" t="s">
        <v>318</v>
      </c>
      <c r="S8582" s="405" t="s">
        <v>414</v>
      </c>
      <c r="T8582" s="405" t="s">
        <v>32102</v>
      </c>
      <c r="U8582" s="405" t="s">
        <v>319</v>
      </c>
    </row>
    <row r="8583" spans="1:21" hidden="1" x14ac:dyDescent="0.25">
      <c r="A8583" s="405" t="s">
        <v>310</v>
      </c>
      <c r="B8583" s="405" t="s">
        <v>29083</v>
      </c>
      <c r="C8583" s="405" t="s">
        <v>327</v>
      </c>
      <c r="D8583" s="405"/>
      <c r="E8583" s="410">
        <v>40663</v>
      </c>
      <c r="F8583" s="410">
        <v>40708</v>
      </c>
      <c r="G8583" s="405" t="s">
        <v>10286</v>
      </c>
      <c r="H8583" s="405">
        <v>772918614</v>
      </c>
      <c r="I8583" s="405"/>
      <c r="J8583" s="405">
        <v>1.1953210000000001</v>
      </c>
      <c r="K8583" s="405">
        <v>34.321145000000001</v>
      </c>
      <c r="L8583" s="405" t="s">
        <v>6866</v>
      </c>
      <c r="M8583" s="405" t="s">
        <v>9575</v>
      </c>
      <c r="N8583" s="405" t="s">
        <v>9629</v>
      </c>
      <c r="O8583" s="405" t="s">
        <v>10224</v>
      </c>
      <c r="P8583" s="405" t="s">
        <v>10285</v>
      </c>
      <c r="Q8583" s="411">
        <v>6</v>
      </c>
      <c r="R8583" s="405" t="s">
        <v>9541</v>
      </c>
      <c r="S8583" s="405" t="s">
        <v>27086</v>
      </c>
      <c r="T8583" s="405" t="s">
        <v>32102</v>
      </c>
      <c r="U8583" s="405" t="s">
        <v>319</v>
      </c>
    </row>
    <row r="8584" spans="1:21" hidden="1" x14ac:dyDescent="0.25">
      <c r="A8584" s="405" t="s">
        <v>310</v>
      </c>
      <c r="B8584" s="405" t="s">
        <v>29107</v>
      </c>
      <c r="C8584" s="405" t="s">
        <v>311</v>
      </c>
      <c r="D8584" s="405" t="s">
        <v>312</v>
      </c>
      <c r="E8584" s="410">
        <v>40663</v>
      </c>
      <c r="F8584" s="410">
        <v>40708</v>
      </c>
      <c r="G8584" s="405" t="s">
        <v>10675</v>
      </c>
      <c r="H8584" s="405">
        <v>774630135</v>
      </c>
      <c r="I8584" s="405">
        <v>772680044</v>
      </c>
      <c r="J8584" s="405">
        <v>1.0191950000000001</v>
      </c>
      <c r="K8584" s="405">
        <v>34.178829999999998</v>
      </c>
      <c r="L8584" s="405" t="s">
        <v>6866</v>
      </c>
      <c r="M8584" s="405" t="s">
        <v>9514</v>
      </c>
      <c r="N8584" s="405" t="s">
        <v>9529</v>
      </c>
      <c r="O8584" s="405" t="s">
        <v>9571</v>
      </c>
      <c r="P8584" s="405" t="s">
        <v>10676</v>
      </c>
      <c r="Q8584" s="411">
        <v>6</v>
      </c>
      <c r="R8584" s="405" t="s">
        <v>7224</v>
      </c>
      <c r="S8584" s="405" t="s">
        <v>17013</v>
      </c>
      <c r="T8584" s="405" t="s">
        <v>32102</v>
      </c>
      <c r="U8584" s="405" t="s">
        <v>319</v>
      </c>
    </row>
    <row r="8585" spans="1:21" hidden="1" x14ac:dyDescent="0.25">
      <c r="A8585" s="405" t="s">
        <v>310</v>
      </c>
      <c r="B8585" s="405" t="s">
        <v>1451</v>
      </c>
      <c r="C8585" s="405" t="s">
        <v>327</v>
      </c>
      <c r="D8585" s="405"/>
      <c r="E8585" s="410">
        <v>40663</v>
      </c>
      <c r="F8585" s="410">
        <v>40708</v>
      </c>
      <c r="G8585" s="405" t="s">
        <v>1452</v>
      </c>
      <c r="H8585" s="405">
        <v>773042402</v>
      </c>
      <c r="I8585" s="405"/>
      <c r="J8585" s="405">
        <v>0.43180499999999999</v>
      </c>
      <c r="K8585" s="405">
        <v>32.567487999999997</v>
      </c>
      <c r="L8585" s="405" t="s">
        <v>314</v>
      </c>
      <c r="M8585" s="405" t="s">
        <v>361</v>
      </c>
      <c r="N8585" s="405" t="s">
        <v>362</v>
      </c>
      <c r="O8585" s="405" t="s">
        <v>410</v>
      </c>
      <c r="P8585" s="405" t="s">
        <v>1236</v>
      </c>
      <c r="Q8585" s="411">
        <v>6</v>
      </c>
      <c r="R8585" s="405" t="s">
        <v>318</v>
      </c>
      <c r="S8585" s="405" t="s">
        <v>27149</v>
      </c>
      <c r="T8585" s="405" t="s">
        <v>32102</v>
      </c>
      <c r="U8585" s="405" t="s">
        <v>319</v>
      </c>
    </row>
    <row r="8586" spans="1:21" hidden="1" x14ac:dyDescent="0.25">
      <c r="A8586" s="405" t="s">
        <v>310</v>
      </c>
      <c r="B8586" s="405" t="s">
        <v>1964</v>
      </c>
      <c r="C8586" s="405" t="s">
        <v>311</v>
      </c>
      <c r="D8586" s="405" t="s">
        <v>312</v>
      </c>
      <c r="E8586" s="410">
        <v>40663</v>
      </c>
      <c r="F8586" s="410">
        <v>40708</v>
      </c>
      <c r="G8586" s="405" t="s">
        <v>1965</v>
      </c>
      <c r="H8586" s="405">
        <v>709801215</v>
      </c>
      <c r="I8586" s="405">
        <v>752575048</v>
      </c>
      <c r="J8586" s="405">
        <v>0.53202300000000002</v>
      </c>
      <c r="K8586" s="405">
        <v>32.346032999999998</v>
      </c>
      <c r="L8586" s="405" t="s">
        <v>314</v>
      </c>
      <c r="M8586" s="405" t="s">
        <v>361</v>
      </c>
      <c r="N8586" s="405" t="s">
        <v>374</v>
      </c>
      <c r="O8586" s="405" t="s">
        <v>427</v>
      </c>
      <c r="P8586" s="405" t="s">
        <v>1966</v>
      </c>
      <c r="Q8586" s="411">
        <v>6</v>
      </c>
      <c r="R8586" s="405" t="s">
        <v>318</v>
      </c>
      <c r="S8586" s="405" t="s">
        <v>27146</v>
      </c>
      <c r="T8586" s="405" t="s">
        <v>32102</v>
      </c>
      <c r="U8586" s="405" t="s">
        <v>319</v>
      </c>
    </row>
    <row r="8587" spans="1:21" hidden="1" x14ac:dyDescent="0.25">
      <c r="A8587" s="405" t="s">
        <v>310</v>
      </c>
      <c r="B8587" s="405" t="s">
        <v>1506</v>
      </c>
      <c r="C8587" s="405" t="s">
        <v>327</v>
      </c>
      <c r="D8587" s="405"/>
      <c r="E8587" s="410">
        <v>40663</v>
      </c>
      <c r="F8587" s="410">
        <v>40708</v>
      </c>
      <c r="G8587" s="405" t="s">
        <v>1507</v>
      </c>
      <c r="H8587" s="405">
        <v>772524642</v>
      </c>
      <c r="I8587" s="405"/>
      <c r="J8587" s="405">
        <v>0.37319000000000002</v>
      </c>
      <c r="K8587" s="405">
        <v>32.560305</v>
      </c>
      <c r="L8587" s="405" t="s">
        <v>314</v>
      </c>
      <c r="M8587" s="405" t="s">
        <v>992</v>
      </c>
      <c r="N8587" s="405" t="s">
        <v>362</v>
      </c>
      <c r="O8587" s="405" t="s">
        <v>936</v>
      </c>
      <c r="P8587" s="405" t="s">
        <v>1508</v>
      </c>
      <c r="Q8587" s="411">
        <v>6</v>
      </c>
      <c r="R8587" s="405" t="s">
        <v>353</v>
      </c>
      <c r="S8587" s="405" t="s">
        <v>27153</v>
      </c>
      <c r="T8587" s="405" t="s">
        <v>32102</v>
      </c>
      <c r="U8587" s="405" t="s">
        <v>319</v>
      </c>
    </row>
    <row r="8588" spans="1:21" hidden="1" x14ac:dyDescent="0.25">
      <c r="A8588" s="405" t="s">
        <v>310</v>
      </c>
      <c r="B8588" s="405" t="s">
        <v>1486</v>
      </c>
      <c r="C8588" s="405" t="s">
        <v>327</v>
      </c>
      <c r="D8588" s="405"/>
      <c r="E8588" s="410">
        <v>40663</v>
      </c>
      <c r="F8588" s="410">
        <v>40708</v>
      </c>
      <c r="G8588" s="405" t="s">
        <v>1487</v>
      </c>
      <c r="H8588" s="405">
        <v>781505485</v>
      </c>
      <c r="I8588" s="405"/>
      <c r="J8588" s="405">
        <v>0.66784699999999997</v>
      </c>
      <c r="K8588" s="405">
        <v>32.594383000000001</v>
      </c>
      <c r="L8588" s="405" t="s">
        <v>314</v>
      </c>
      <c r="M8588" s="405" t="s">
        <v>959</v>
      </c>
      <c r="N8588" s="405" t="s">
        <v>1308</v>
      </c>
      <c r="O8588" s="405" t="s">
        <v>960</v>
      </c>
      <c r="P8588" s="405" t="s">
        <v>1488</v>
      </c>
      <c r="Q8588" s="411">
        <v>6</v>
      </c>
      <c r="R8588" s="405" t="s">
        <v>318</v>
      </c>
      <c r="S8588" s="405" t="s">
        <v>27137</v>
      </c>
      <c r="T8588" s="405" t="s">
        <v>32102</v>
      </c>
      <c r="U8588" s="405" t="s">
        <v>319</v>
      </c>
    </row>
    <row r="8589" spans="1:21" hidden="1" x14ac:dyDescent="0.25">
      <c r="A8589" s="405" t="s">
        <v>310</v>
      </c>
      <c r="B8589" s="405" t="s">
        <v>1447</v>
      </c>
      <c r="C8589" s="405" t="s">
        <v>327</v>
      </c>
      <c r="D8589" s="405"/>
      <c r="E8589" s="410">
        <v>40663</v>
      </c>
      <c r="F8589" s="410">
        <v>40708</v>
      </c>
      <c r="G8589" s="405" t="s">
        <v>1448</v>
      </c>
      <c r="H8589" s="405">
        <v>782031219</v>
      </c>
      <c r="I8589" s="405"/>
      <c r="J8589" s="405">
        <v>0.33137499999999998</v>
      </c>
      <c r="K8589" s="405">
        <v>32.536009999999997</v>
      </c>
      <c r="L8589" s="405" t="s">
        <v>314</v>
      </c>
      <c r="M8589" s="405" t="s">
        <v>992</v>
      </c>
      <c r="N8589" s="405" t="s">
        <v>362</v>
      </c>
      <c r="O8589" s="405" t="s">
        <v>1449</v>
      </c>
      <c r="P8589" s="405" t="s">
        <v>1450</v>
      </c>
      <c r="Q8589" s="411">
        <v>6</v>
      </c>
      <c r="R8589" s="405" t="s">
        <v>353</v>
      </c>
      <c r="S8589" s="405" t="s">
        <v>27129</v>
      </c>
      <c r="T8589" s="405" t="s">
        <v>32102</v>
      </c>
      <c r="U8589" s="405" t="s">
        <v>319</v>
      </c>
    </row>
    <row r="8590" spans="1:21" hidden="1" x14ac:dyDescent="0.25">
      <c r="A8590" s="405" t="s">
        <v>310</v>
      </c>
      <c r="B8590" s="405" t="s">
        <v>1428</v>
      </c>
      <c r="C8590" s="405" t="s">
        <v>327</v>
      </c>
      <c r="D8590" s="405"/>
      <c r="E8590" s="410">
        <v>40663</v>
      </c>
      <c r="F8590" s="410">
        <v>40708</v>
      </c>
      <c r="G8590" s="405" t="s">
        <v>1429</v>
      </c>
      <c r="H8590" s="405">
        <v>774093048</v>
      </c>
      <c r="I8590" s="405"/>
      <c r="J8590" s="405">
        <v>0.53946499999999997</v>
      </c>
      <c r="K8590" s="405">
        <v>31.997223000000002</v>
      </c>
      <c r="L8590" s="405" t="s">
        <v>314</v>
      </c>
      <c r="M8590" s="405" t="s">
        <v>675</v>
      </c>
      <c r="N8590" s="405" t="s">
        <v>1065</v>
      </c>
      <c r="O8590" s="405" t="s">
        <v>1248</v>
      </c>
      <c r="P8590" s="405" t="s">
        <v>1430</v>
      </c>
      <c r="Q8590" s="411">
        <v>6</v>
      </c>
      <c r="R8590" s="405" t="s">
        <v>318</v>
      </c>
      <c r="S8590" s="405" t="s">
        <v>27148</v>
      </c>
      <c r="T8590" s="405" t="s">
        <v>32102</v>
      </c>
      <c r="U8590" s="405" t="s">
        <v>319</v>
      </c>
    </row>
    <row r="8591" spans="1:21" hidden="1" x14ac:dyDescent="0.25">
      <c r="A8591" s="405" t="s">
        <v>310</v>
      </c>
      <c r="B8591" s="405" t="s">
        <v>1459</v>
      </c>
      <c r="C8591" s="405" t="s">
        <v>327</v>
      </c>
      <c r="D8591" s="405"/>
      <c r="E8591" s="410">
        <v>40663</v>
      </c>
      <c r="F8591" s="410">
        <v>40708</v>
      </c>
      <c r="G8591" s="405" t="s">
        <v>1460</v>
      </c>
      <c r="H8591" s="405">
        <v>772617908</v>
      </c>
      <c r="I8591" s="405"/>
      <c r="J8591" s="405">
        <v>0.44604700000000003</v>
      </c>
      <c r="K8591" s="405">
        <v>32.554459999999999</v>
      </c>
      <c r="L8591" s="405" t="s">
        <v>314</v>
      </c>
      <c r="M8591" s="405" t="s">
        <v>361</v>
      </c>
      <c r="N8591" s="405" t="s">
        <v>362</v>
      </c>
      <c r="O8591" s="405" t="s">
        <v>410</v>
      </c>
      <c r="P8591" s="405" t="s">
        <v>1461</v>
      </c>
      <c r="Q8591" s="411">
        <v>6</v>
      </c>
      <c r="R8591" s="405" t="s">
        <v>318</v>
      </c>
      <c r="S8591" s="405" t="s">
        <v>27149</v>
      </c>
      <c r="T8591" s="405" t="s">
        <v>32102</v>
      </c>
      <c r="U8591" s="405" t="s">
        <v>319</v>
      </c>
    </row>
    <row r="8592" spans="1:21" hidden="1" x14ac:dyDescent="0.25">
      <c r="A8592" s="405" t="s">
        <v>310</v>
      </c>
      <c r="B8592" s="405" t="s">
        <v>28385</v>
      </c>
      <c r="C8592" s="405" t="s">
        <v>327</v>
      </c>
      <c r="D8592" s="405"/>
      <c r="E8592" s="410">
        <v>40663</v>
      </c>
      <c r="F8592" s="410">
        <v>40708</v>
      </c>
      <c r="G8592" s="405" t="s">
        <v>10316</v>
      </c>
      <c r="H8592" s="405">
        <v>756659817</v>
      </c>
      <c r="I8592" s="405"/>
      <c r="J8592" s="405">
        <v>0.93278099999999997</v>
      </c>
      <c r="K8592" s="405">
        <v>34.284571999999997</v>
      </c>
      <c r="L8592" s="405" t="s">
        <v>6866</v>
      </c>
      <c r="M8592" s="405" t="s">
        <v>9763</v>
      </c>
      <c r="N8592" s="405" t="s">
        <v>9764</v>
      </c>
      <c r="O8592" s="405" t="s">
        <v>9765</v>
      </c>
      <c r="P8592" s="405" t="s">
        <v>9766</v>
      </c>
      <c r="Q8592" s="411">
        <v>6</v>
      </c>
      <c r="R8592" s="405" t="s">
        <v>7224</v>
      </c>
      <c r="S8592" s="405" t="s">
        <v>27073</v>
      </c>
      <c r="T8592" s="405" t="s">
        <v>32102</v>
      </c>
      <c r="U8592" s="405" t="s">
        <v>319</v>
      </c>
    </row>
    <row r="8593" spans="1:21" hidden="1" x14ac:dyDescent="0.25">
      <c r="A8593" s="405" t="s">
        <v>310</v>
      </c>
      <c r="B8593" s="405" t="s">
        <v>28666</v>
      </c>
      <c r="C8593" s="405" t="s">
        <v>327</v>
      </c>
      <c r="D8593" s="405"/>
      <c r="E8593" s="410">
        <v>40663</v>
      </c>
      <c r="F8593" s="410">
        <v>40708</v>
      </c>
      <c r="G8593" s="405" t="s">
        <v>1373</v>
      </c>
      <c r="H8593" s="405">
        <v>757970421</v>
      </c>
      <c r="I8593" s="405"/>
      <c r="J8593" s="405">
        <v>0.44675999999999999</v>
      </c>
      <c r="K8593" s="405">
        <v>32.168146999999998</v>
      </c>
      <c r="L8593" s="405" t="s">
        <v>314</v>
      </c>
      <c r="M8593" s="405" t="s">
        <v>675</v>
      </c>
      <c r="N8593" s="405" t="s">
        <v>1065</v>
      </c>
      <c r="O8593" s="405" t="s">
        <v>1374</v>
      </c>
      <c r="P8593" s="405" t="s">
        <v>1375</v>
      </c>
      <c r="Q8593" s="411">
        <v>6</v>
      </c>
      <c r="R8593" s="405" t="s">
        <v>318</v>
      </c>
      <c r="S8593" s="405" t="s">
        <v>27113</v>
      </c>
      <c r="T8593" s="405" t="s">
        <v>32102</v>
      </c>
      <c r="U8593" s="405" t="s">
        <v>319</v>
      </c>
    </row>
    <row r="8594" spans="1:21" hidden="1" x14ac:dyDescent="0.25">
      <c r="A8594" s="405" t="s">
        <v>310</v>
      </c>
      <c r="B8594" s="405" t="s">
        <v>20089</v>
      </c>
      <c r="C8594" s="405" t="s">
        <v>327</v>
      </c>
      <c r="D8594" s="405"/>
      <c r="E8594" s="410">
        <v>40658</v>
      </c>
      <c r="F8594" s="410">
        <v>40703</v>
      </c>
      <c r="G8594" s="405" t="s">
        <v>20090</v>
      </c>
      <c r="H8594" s="405">
        <v>772623938</v>
      </c>
      <c r="I8594" s="405">
        <v>772563512</v>
      </c>
      <c r="J8594" s="405">
        <v>1.4331402</v>
      </c>
      <c r="K8594" s="405">
        <v>31.351841</v>
      </c>
      <c r="L8594" s="405" t="s">
        <v>590</v>
      </c>
      <c r="M8594" s="405" t="s">
        <v>7300</v>
      </c>
      <c r="N8594" s="405" t="s">
        <v>20091</v>
      </c>
      <c r="O8594" s="405" t="s">
        <v>20092</v>
      </c>
      <c r="P8594" s="405" t="s">
        <v>20093</v>
      </c>
      <c r="Q8594" s="411">
        <v>12</v>
      </c>
      <c r="R8594" s="405" t="s">
        <v>318</v>
      </c>
      <c r="S8594" s="405" t="s">
        <v>27126</v>
      </c>
      <c r="T8594" s="405" t="s">
        <v>32102</v>
      </c>
      <c r="U8594" s="405" t="s">
        <v>319</v>
      </c>
    </row>
    <row r="8595" spans="1:21" hidden="1" x14ac:dyDescent="0.25">
      <c r="A8595" s="405" t="s">
        <v>310</v>
      </c>
      <c r="B8595" s="405" t="s">
        <v>1474</v>
      </c>
      <c r="C8595" s="405" t="s">
        <v>327</v>
      </c>
      <c r="D8595" s="405"/>
      <c r="E8595" s="410">
        <v>40658</v>
      </c>
      <c r="F8595" s="410">
        <v>40703</v>
      </c>
      <c r="G8595" s="405" t="s">
        <v>1475</v>
      </c>
      <c r="H8595" s="405">
        <v>772567675</v>
      </c>
      <c r="I8595" s="405">
        <v>705787214</v>
      </c>
      <c r="J8595" s="405">
        <v>-0.40480500000000003</v>
      </c>
      <c r="K8595" s="405">
        <v>31.312092</v>
      </c>
      <c r="L8595" s="405" t="s">
        <v>314</v>
      </c>
      <c r="M8595" s="405" t="s">
        <v>1189</v>
      </c>
      <c r="N8595" s="405" t="s">
        <v>1476</v>
      </c>
      <c r="O8595" s="405" t="s">
        <v>1477</v>
      </c>
      <c r="P8595" s="405" t="s">
        <v>1478</v>
      </c>
      <c r="Q8595" s="411">
        <v>9</v>
      </c>
      <c r="R8595" s="405" t="s">
        <v>525</v>
      </c>
      <c r="S8595" s="405" t="s">
        <v>27112</v>
      </c>
      <c r="T8595" s="405" t="s">
        <v>32102</v>
      </c>
      <c r="U8595" s="405" t="s">
        <v>319</v>
      </c>
    </row>
    <row r="8596" spans="1:21" hidden="1" x14ac:dyDescent="0.25">
      <c r="A8596" s="405" t="s">
        <v>310</v>
      </c>
      <c r="B8596" s="405" t="s">
        <v>28947</v>
      </c>
      <c r="C8596" s="405" t="s">
        <v>327</v>
      </c>
      <c r="D8596" s="405"/>
      <c r="E8596" s="410">
        <v>40657</v>
      </c>
      <c r="F8596" s="410">
        <v>40702</v>
      </c>
      <c r="G8596" s="405" t="s">
        <v>1410</v>
      </c>
      <c r="H8596" s="405">
        <v>751912522</v>
      </c>
      <c r="I8596" s="405"/>
      <c r="J8596" s="405">
        <v>0.205287</v>
      </c>
      <c r="K8596" s="405">
        <v>32.120184000000002</v>
      </c>
      <c r="L8596" s="405" t="s">
        <v>314</v>
      </c>
      <c r="M8596" s="405" t="s">
        <v>315</v>
      </c>
      <c r="N8596" s="405" t="s">
        <v>718</v>
      </c>
      <c r="O8596" s="405" t="s">
        <v>1411</v>
      </c>
      <c r="P8596" s="405" t="s">
        <v>1412</v>
      </c>
      <c r="Q8596" s="411">
        <v>6</v>
      </c>
      <c r="R8596" s="405" t="s">
        <v>318</v>
      </c>
      <c r="S8596" s="405" t="s">
        <v>27135</v>
      </c>
      <c r="T8596" s="405" t="s">
        <v>32102</v>
      </c>
      <c r="U8596" s="405" t="s">
        <v>319</v>
      </c>
    </row>
    <row r="8597" spans="1:21" hidden="1" x14ac:dyDescent="0.25">
      <c r="A8597" s="405" t="s">
        <v>310</v>
      </c>
      <c r="B8597" s="405" t="s">
        <v>1970</v>
      </c>
      <c r="C8597" s="405" t="s">
        <v>311</v>
      </c>
      <c r="D8597" s="405" t="s">
        <v>839</v>
      </c>
      <c r="E8597" s="410">
        <v>40657</v>
      </c>
      <c r="F8597" s="410">
        <v>40702</v>
      </c>
      <c r="G8597" s="405" t="s">
        <v>1971</v>
      </c>
      <c r="H8597" s="405">
        <v>774194019</v>
      </c>
      <c r="I8597" s="405">
        <v>785993590</v>
      </c>
      <c r="J8597" s="405">
        <v>-0.33470800000000001</v>
      </c>
      <c r="K8597" s="405">
        <v>31.693636999999999</v>
      </c>
      <c r="L8597" s="405" t="s">
        <v>314</v>
      </c>
      <c r="M8597" s="405" t="s">
        <v>1189</v>
      </c>
      <c r="N8597" s="405" t="s">
        <v>1481</v>
      </c>
      <c r="O8597" s="405" t="s">
        <v>1581</v>
      </c>
      <c r="P8597" s="405" t="s">
        <v>1482</v>
      </c>
      <c r="Q8597" s="411">
        <v>6</v>
      </c>
      <c r="R8597" s="405" t="s">
        <v>402</v>
      </c>
      <c r="S8597" s="405" t="s">
        <v>27052</v>
      </c>
      <c r="T8597" s="405" t="s">
        <v>32102</v>
      </c>
      <c r="U8597" s="405" t="s">
        <v>319</v>
      </c>
    </row>
    <row r="8598" spans="1:21" hidden="1" x14ac:dyDescent="0.25">
      <c r="A8598" s="405" t="s">
        <v>310</v>
      </c>
      <c r="B8598" s="405" t="s">
        <v>18244</v>
      </c>
      <c r="C8598" s="405" t="s">
        <v>327</v>
      </c>
      <c r="D8598" s="405"/>
      <c r="E8598" s="410">
        <v>40657</v>
      </c>
      <c r="F8598" s="410">
        <v>40702</v>
      </c>
      <c r="G8598" s="405" t="s">
        <v>18245</v>
      </c>
      <c r="H8598" s="405">
        <v>782566619</v>
      </c>
      <c r="I8598" s="405">
        <v>701155521</v>
      </c>
      <c r="J8598" s="405">
        <v>2.7614640000000001</v>
      </c>
      <c r="K8598" s="405">
        <v>32.303345</v>
      </c>
      <c r="L8598" s="405" t="s">
        <v>860</v>
      </c>
      <c r="M8598" s="405" t="s">
        <v>853</v>
      </c>
      <c r="N8598" s="405" t="s">
        <v>18246</v>
      </c>
      <c r="O8598" s="405" t="s">
        <v>18247</v>
      </c>
      <c r="P8598" s="405" t="s">
        <v>18248</v>
      </c>
      <c r="Q8598" s="411">
        <v>6</v>
      </c>
      <c r="R8598" s="405" t="s">
        <v>994</v>
      </c>
      <c r="S8598" s="405" t="s">
        <v>27375</v>
      </c>
      <c r="T8598" s="405" t="s">
        <v>32102</v>
      </c>
      <c r="U8598" s="405" t="s">
        <v>319</v>
      </c>
    </row>
    <row r="8599" spans="1:21" hidden="1" x14ac:dyDescent="0.25">
      <c r="A8599" s="405" t="s">
        <v>310</v>
      </c>
      <c r="B8599" s="405" t="s">
        <v>27663</v>
      </c>
      <c r="C8599" s="405" t="s">
        <v>327</v>
      </c>
      <c r="D8599" s="405"/>
      <c r="E8599" s="410">
        <v>40655</v>
      </c>
      <c r="F8599" s="410">
        <v>40700</v>
      </c>
      <c r="G8599" s="405" t="s">
        <v>20085</v>
      </c>
      <c r="H8599" s="405">
        <v>772571287</v>
      </c>
      <c r="I8599" s="405">
        <v>702812880</v>
      </c>
      <c r="J8599" s="405">
        <v>-0.51073299999999999</v>
      </c>
      <c r="K8599" s="405">
        <v>30.272169999999999</v>
      </c>
      <c r="L8599" s="405" t="s">
        <v>590</v>
      </c>
      <c r="M8599" s="405" t="s">
        <v>19625</v>
      </c>
      <c r="N8599" s="405" t="s">
        <v>20086</v>
      </c>
      <c r="O8599" s="405" t="s">
        <v>20087</v>
      </c>
      <c r="P8599" s="405" t="s">
        <v>20088</v>
      </c>
      <c r="Q8599" s="411">
        <v>9</v>
      </c>
      <c r="R8599" s="405" t="s">
        <v>333</v>
      </c>
      <c r="S8599" s="405" t="s">
        <v>27183</v>
      </c>
      <c r="T8599" s="405" t="s">
        <v>32102</v>
      </c>
      <c r="U8599" s="405" t="s">
        <v>319</v>
      </c>
    </row>
    <row r="8600" spans="1:21" hidden="1" x14ac:dyDescent="0.25">
      <c r="A8600" s="405" t="s">
        <v>310</v>
      </c>
      <c r="B8600" s="405" t="s">
        <v>27658</v>
      </c>
      <c r="C8600" s="405" t="s">
        <v>327</v>
      </c>
      <c r="D8600" s="405"/>
      <c r="E8600" s="410">
        <v>40655</v>
      </c>
      <c r="F8600" s="410">
        <v>40700</v>
      </c>
      <c r="G8600" s="405" t="s">
        <v>20014</v>
      </c>
      <c r="H8600" s="405">
        <v>753407903</v>
      </c>
      <c r="I8600" s="405"/>
      <c r="J8600" s="405">
        <v>-0.61477320000000002</v>
      </c>
      <c r="K8600" s="405">
        <v>30.648285999999999</v>
      </c>
      <c r="L8600" s="405" t="s">
        <v>590</v>
      </c>
      <c r="M8600" s="405" t="s">
        <v>19614</v>
      </c>
      <c r="N8600" s="405" t="s">
        <v>19654</v>
      </c>
      <c r="O8600" s="405" t="s">
        <v>20015</v>
      </c>
      <c r="P8600" s="405" t="s">
        <v>20016</v>
      </c>
      <c r="Q8600" s="411">
        <v>9</v>
      </c>
      <c r="R8600" s="405" t="s">
        <v>1527</v>
      </c>
      <c r="S8600" s="405" t="s">
        <v>27394</v>
      </c>
      <c r="T8600" s="405" t="s">
        <v>32102</v>
      </c>
      <c r="U8600" s="405" t="s">
        <v>319</v>
      </c>
    </row>
    <row r="8601" spans="1:21" hidden="1" x14ac:dyDescent="0.25">
      <c r="A8601" s="405" t="s">
        <v>310</v>
      </c>
      <c r="B8601" s="405" t="s">
        <v>20028</v>
      </c>
      <c r="C8601" s="405" t="s">
        <v>327</v>
      </c>
      <c r="D8601" s="405"/>
      <c r="E8601" s="410">
        <v>40655</v>
      </c>
      <c r="F8601" s="410">
        <v>40700</v>
      </c>
      <c r="G8601" s="405" t="s">
        <v>20029</v>
      </c>
      <c r="H8601" s="405">
        <v>704398778</v>
      </c>
      <c r="I8601" s="405"/>
      <c r="J8601" s="405">
        <v>-0.58572000000000002</v>
      </c>
      <c r="K8601" s="405">
        <v>30.148150000000001</v>
      </c>
      <c r="L8601" s="405" t="s">
        <v>590</v>
      </c>
      <c r="M8601" s="405" t="s">
        <v>19625</v>
      </c>
      <c r="N8601" s="405" t="s">
        <v>19626</v>
      </c>
      <c r="O8601" s="405" t="s">
        <v>13002</v>
      </c>
      <c r="P8601" s="405" t="s">
        <v>19628</v>
      </c>
      <c r="Q8601" s="411">
        <v>9</v>
      </c>
      <c r="R8601" s="405" t="s">
        <v>333</v>
      </c>
      <c r="S8601" s="405" t="s">
        <v>27401</v>
      </c>
      <c r="T8601" s="405" t="s">
        <v>32102</v>
      </c>
      <c r="U8601" s="405" t="s">
        <v>319</v>
      </c>
    </row>
    <row r="8602" spans="1:21" hidden="1" x14ac:dyDescent="0.25">
      <c r="A8602" s="405" t="s">
        <v>310</v>
      </c>
      <c r="B8602" s="405" t="s">
        <v>20043</v>
      </c>
      <c r="C8602" s="405" t="s">
        <v>327</v>
      </c>
      <c r="D8602" s="405"/>
      <c r="E8602" s="410">
        <v>40655</v>
      </c>
      <c r="F8602" s="410">
        <v>40700</v>
      </c>
      <c r="G8602" s="405" t="s">
        <v>20044</v>
      </c>
      <c r="H8602" s="405">
        <v>772451573</v>
      </c>
      <c r="I8602" s="405">
        <v>772641675</v>
      </c>
      <c r="J8602" s="405">
        <v>-0.41062199999999999</v>
      </c>
      <c r="K8602" s="405">
        <v>30.572213999999999</v>
      </c>
      <c r="L8602" s="405" t="s">
        <v>590</v>
      </c>
      <c r="M8602" s="405" t="s">
        <v>19614</v>
      </c>
      <c r="N8602" s="405" t="s">
        <v>19615</v>
      </c>
      <c r="O8602" s="405" t="s">
        <v>19650</v>
      </c>
      <c r="P8602" s="405" t="s">
        <v>20045</v>
      </c>
      <c r="Q8602" s="411">
        <v>9</v>
      </c>
      <c r="R8602" s="405" t="s">
        <v>333</v>
      </c>
      <c r="S8602" s="405" t="s">
        <v>27160</v>
      </c>
      <c r="T8602" s="405" t="s">
        <v>32102</v>
      </c>
      <c r="U8602" s="405" t="s">
        <v>319</v>
      </c>
    </row>
    <row r="8603" spans="1:21" hidden="1" x14ac:dyDescent="0.25">
      <c r="A8603" s="405" t="s">
        <v>310</v>
      </c>
      <c r="B8603" s="405" t="s">
        <v>28913</v>
      </c>
      <c r="C8603" s="405" t="s">
        <v>327</v>
      </c>
      <c r="D8603" s="405"/>
      <c r="E8603" s="410">
        <v>40655</v>
      </c>
      <c r="F8603" s="410">
        <v>40700</v>
      </c>
      <c r="G8603" s="405" t="s">
        <v>20012</v>
      </c>
      <c r="H8603" s="405">
        <v>782771185</v>
      </c>
      <c r="I8603" s="405"/>
      <c r="J8603" s="405">
        <v>-0.64682499999999998</v>
      </c>
      <c r="K8603" s="405">
        <v>30.226282999999999</v>
      </c>
      <c r="L8603" s="405" t="s">
        <v>590</v>
      </c>
      <c r="M8603" s="405" t="s">
        <v>19725</v>
      </c>
      <c r="N8603" s="405" t="s">
        <v>19725</v>
      </c>
      <c r="O8603" s="405" t="s">
        <v>20013</v>
      </c>
      <c r="P8603" s="405" t="s">
        <v>19769</v>
      </c>
      <c r="Q8603" s="411">
        <v>9</v>
      </c>
      <c r="R8603" s="405" t="s">
        <v>333</v>
      </c>
      <c r="S8603" s="405" t="s">
        <v>27401</v>
      </c>
      <c r="T8603" s="405" t="s">
        <v>32102</v>
      </c>
      <c r="U8603" s="405" t="s">
        <v>319</v>
      </c>
    </row>
    <row r="8604" spans="1:21" hidden="1" x14ac:dyDescent="0.25">
      <c r="A8604" s="405" t="s">
        <v>310</v>
      </c>
      <c r="B8604" s="405" t="s">
        <v>27491</v>
      </c>
      <c r="C8604" s="405" t="s">
        <v>327</v>
      </c>
      <c r="D8604" s="405"/>
      <c r="E8604" s="410">
        <v>40655</v>
      </c>
      <c r="F8604" s="410">
        <v>40700</v>
      </c>
      <c r="G8604" s="405" t="s">
        <v>20022</v>
      </c>
      <c r="H8604" s="405">
        <v>775247612</v>
      </c>
      <c r="I8604" s="405"/>
      <c r="J8604" s="405">
        <v>-0.93767800000000001</v>
      </c>
      <c r="K8604" s="405">
        <v>30.622610999999999</v>
      </c>
      <c r="L8604" s="405" t="s">
        <v>590</v>
      </c>
      <c r="M8604" s="405" t="s">
        <v>879</v>
      </c>
      <c r="N8604" s="405" t="s">
        <v>20023</v>
      </c>
      <c r="O8604" s="405" t="s">
        <v>20024</v>
      </c>
      <c r="P8604" s="405" t="s">
        <v>20025</v>
      </c>
      <c r="Q8604" s="411">
        <v>6</v>
      </c>
      <c r="R8604" s="405" t="s">
        <v>333</v>
      </c>
      <c r="S8604" s="405" t="s">
        <v>27098</v>
      </c>
      <c r="T8604" s="405" t="s">
        <v>32102</v>
      </c>
      <c r="U8604" s="405" t="s">
        <v>319</v>
      </c>
    </row>
    <row r="8605" spans="1:21" hidden="1" x14ac:dyDescent="0.25">
      <c r="A8605" s="405" t="s">
        <v>310</v>
      </c>
      <c r="B8605" s="405" t="s">
        <v>20017</v>
      </c>
      <c r="C8605" s="405" t="s">
        <v>327</v>
      </c>
      <c r="D8605" s="405"/>
      <c r="E8605" s="410">
        <v>40655</v>
      </c>
      <c r="F8605" s="410">
        <v>40700</v>
      </c>
      <c r="G8605" s="405" t="s">
        <v>20018</v>
      </c>
      <c r="H8605" s="405">
        <v>756428226</v>
      </c>
      <c r="I8605" s="405"/>
      <c r="J8605" s="405">
        <v>-0.784659</v>
      </c>
      <c r="K8605" s="405">
        <v>30.671271000000001</v>
      </c>
      <c r="L8605" s="405" t="s">
        <v>590</v>
      </c>
      <c r="M8605" s="405" t="s">
        <v>879</v>
      </c>
      <c r="N8605" s="405" t="s">
        <v>20019</v>
      </c>
      <c r="O8605" s="405" t="s">
        <v>20020</v>
      </c>
      <c r="P8605" s="405" t="s">
        <v>20021</v>
      </c>
      <c r="Q8605" s="411">
        <v>6</v>
      </c>
      <c r="R8605" s="405" t="s">
        <v>333</v>
      </c>
      <c r="S8605" s="405" t="s">
        <v>27104</v>
      </c>
      <c r="T8605" s="405" t="s">
        <v>32102</v>
      </c>
      <c r="U8605" s="405" t="s">
        <v>319</v>
      </c>
    </row>
    <row r="8606" spans="1:21" hidden="1" x14ac:dyDescent="0.25">
      <c r="A8606" s="405" t="s">
        <v>310</v>
      </c>
      <c r="B8606" s="405" t="s">
        <v>20030</v>
      </c>
      <c r="C8606" s="405" t="s">
        <v>327</v>
      </c>
      <c r="D8606" s="405"/>
      <c r="E8606" s="410">
        <v>40655</v>
      </c>
      <c r="F8606" s="410">
        <v>40700</v>
      </c>
      <c r="G8606" s="405" t="s">
        <v>20031</v>
      </c>
      <c r="H8606" s="405">
        <v>776040886</v>
      </c>
      <c r="I8606" s="405"/>
      <c r="J8606" s="405">
        <v>-0.62240399999999996</v>
      </c>
      <c r="K8606" s="405">
        <v>30.11139</v>
      </c>
      <c r="L8606" s="405" t="s">
        <v>590</v>
      </c>
      <c r="M8606" s="405" t="s">
        <v>20032</v>
      </c>
      <c r="N8606" s="405" t="s">
        <v>20033</v>
      </c>
      <c r="O8606" s="405" t="s">
        <v>20034</v>
      </c>
      <c r="P8606" s="405" t="s">
        <v>20035</v>
      </c>
      <c r="Q8606" s="411">
        <v>6</v>
      </c>
      <c r="R8606" s="405" t="s">
        <v>874</v>
      </c>
      <c r="S8606" s="405" t="s">
        <v>27173</v>
      </c>
      <c r="T8606" s="405" t="s">
        <v>32102</v>
      </c>
      <c r="U8606" s="405" t="s">
        <v>319</v>
      </c>
    </row>
    <row r="8607" spans="1:21" hidden="1" x14ac:dyDescent="0.25">
      <c r="A8607" s="405" t="s">
        <v>310</v>
      </c>
      <c r="B8607" s="405" t="s">
        <v>1416</v>
      </c>
      <c r="C8607" s="405" t="s">
        <v>327</v>
      </c>
      <c r="D8607" s="405"/>
      <c r="E8607" s="410">
        <v>40655</v>
      </c>
      <c r="F8607" s="410">
        <v>40700</v>
      </c>
      <c r="G8607" s="405" t="s">
        <v>1417</v>
      </c>
      <c r="H8607" s="405">
        <v>704782899</v>
      </c>
      <c r="I8607" s="405">
        <v>701953740</v>
      </c>
      <c r="J8607" s="405">
        <v>-0.34496300000000002</v>
      </c>
      <c r="K8607" s="405">
        <v>31.621690000000001</v>
      </c>
      <c r="L8607" s="405" t="s">
        <v>314</v>
      </c>
      <c r="M8607" s="405" t="s">
        <v>1189</v>
      </c>
      <c r="N8607" s="405" t="s">
        <v>941</v>
      </c>
      <c r="O8607" s="405" t="s">
        <v>1418</v>
      </c>
      <c r="P8607" s="405" t="s">
        <v>1419</v>
      </c>
      <c r="Q8607" s="411">
        <v>6</v>
      </c>
      <c r="R8607" s="405" t="s">
        <v>402</v>
      </c>
      <c r="S8607" s="405" t="s">
        <v>27121</v>
      </c>
      <c r="T8607" s="405" t="s">
        <v>32102</v>
      </c>
      <c r="U8607" s="405" t="s">
        <v>319</v>
      </c>
    </row>
    <row r="8608" spans="1:21" hidden="1" x14ac:dyDescent="0.25">
      <c r="A8608" s="405" t="s">
        <v>310</v>
      </c>
      <c r="B8608" s="405" t="s">
        <v>28124</v>
      </c>
      <c r="C8608" s="405" t="s">
        <v>311</v>
      </c>
      <c r="D8608" s="405" t="s">
        <v>839</v>
      </c>
      <c r="E8608" s="410">
        <v>40653</v>
      </c>
      <c r="F8608" s="410">
        <v>40698</v>
      </c>
      <c r="G8608" s="405" t="s">
        <v>20335</v>
      </c>
      <c r="H8608" s="405">
        <v>701942839</v>
      </c>
      <c r="I8608" s="405"/>
      <c r="J8608" s="405">
        <v>-0.85036599999999996</v>
      </c>
      <c r="K8608" s="405">
        <v>30.015539</v>
      </c>
      <c r="L8608" s="405" t="s">
        <v>590</v>
      </c>
      <c r="M8608" s="405" t="s">
        <v>19619</v>
      </c>
      <c r="N8608" s="405" t="s">
        <v>19620</v>
      </c>
      <c r="O8608" s="405" t="s">
        <v>19635</v>
      </c>
      <c r="P8608" s="405" t="s">
        <v>19635</v>
      </c>
      <c r="Q8608" s="411">
        <v>12</v>
      </c>
      <c r="R8608" s="405" t="s">
        <v>874</v>
      </c>
      <c r="S8608" s="405" t="s">
        <v>27098</v>
      </c>
      <c r="T8608" s="405" t="s">
        <v>32102</v>
      </c>
      <c r="U8608" s="405" t="s">
        <v>319</v>
      </c>
    </row>
    <row r="8609" spans="1:21" hidden="1" x14ac:dyDescent="0.25">
      <c r="A8609" s="405" t="s">
        <v>310</v>
      </c>
      <c r="B8609" s="405" t="s">
        <v>28643</v>
      </c>
      <c r="C8609" s="405" t="s">
        <v>327</v>
      </c>
      <c r="D8609" s="405"/>
      <c r="E8609" s="410">
        <v>40653</v>
      </c>
      <c r="F8609" s="410">
        <v>40698</v>
      </c>
      <c r="G8609" s="405" t="s">
        <v>1438</v>
      </c>
      <c r="H8609" s="405">
        <v>772687294</v>
      </c>
      <c r="I8609" s="405"/>
      <c r="J8609" s="405">
        <v>0.477987</v>
      </c>
      <c r="K8609" s="405">
        <v>32.045377000000002</v>
      </c>
      <c r="L8609" s="405" t="s">
        <v>314</v>
      </c>
      <c r="M8609" s="405" t="s">
        <v>675</v>
      </c>
      <c r="N8609" s="405" t="s">
        <v>1065</v>
      </c>
      <c r="O8609" s="405" t="s">
        <v>1248</v>
      </c>
      <c r="P8609" s="405" t="s">
        <v>1439</v>
      </c>
      <c r="Q8609" s="411">
        <v>9</v>
      </c>
      <c r="R8609" s="405" t="s">
        <v>353</v>
      </c>
      <c r="S8609" s="405" t="s">
        <v>27115</v>
      </c>
      <c r="T8609" s="405" t="s">
        <v>32102</v>
      </c>
      <c r="U8609" s="405" t="s">
        <v>319</v>
      </c>
    </row>
    <row r="8610" spans="1:21" hidden="1" x14ac:dyDescent="0.25">
      <c r="A8610" s="405" t="s">
        <v>310</v>
      </c>
      <c r="B8610" s="405" t="s">
        <v>27649</v>
      </c>
      <c r="C8610" s="405" t="s">
        <v>327</v>
      </c>
      <c r="D8610" s="405"/>
      <c r="E8610" s="410">
        <v>40653</v>
      </c>
      <c r="F8610" s="410">
        <v>40698</v>
      </c>
      <c r="G8610" s="405" t="s">
        <v>10293</v>
      </c>
      <c r="H8610" s="405">
        <v>752550150</v>
      </c>
      <c r="I8610" s="405"/>
      <c r="J8610" s="405">
        <v>1.3928130000000001</v>
      </c>
      <c r="K8610" s="405">
        <v>34.453623</v>
      </c>
      <c r="L8610" s="405" t="s">
        <v>6866</v>
      </c>
      <c r="M8610" s="405" t="s">
        <v>9685</v>
      </c>
      <c r="N8610" s="405" t="s">
        <v>10294</v>
      </c>
      <c r="O8610" s="405" t="s">
        <v>10294</v>
      </c>
      <c r="P8610" s="405" t="s">
        <v>10295</v>
      </c>
      <c r="Q8610" s="411">
        <v>6</v>
      </c>
      <c r="R8610" s="405" t="s">
        <v>9541</v>
      </c>
      <c r="S8610" s="405" t="s">
        <v>27169</v>
      </c>
      <c r="T8610" s="405" t="s">
        <v>32102</v>
      </c>
      <c r="U8610" s="405" t="s">
        <v>319</v>
      </c>
    </row>
    <row r="8611" spans="1:21" hidden="1" x14ac:dyDescent="0.25">
      <c r="A8611" s="405" t="s">
        <v>310</v>
      </c>
      <c r="B8611" s="405" t="s">
        <v>27791</v>
      </c>
      <c r="C8611" s="405" t="s">
        <v>327</v>
      </c>
      <c r="D8611" s="405"/>
      <c r="E8611" s="410">
        <v>40653</v>
      </c>
      <c r="F8611" s="410">
        <v>40698</v>
      </c>
      <c r="G8611" s="405" t="s">
        <v>10284</v>
      </c>
      <c r="H8611" s="405">
        <v>777262947</v>
      </c>
      <c r="I8611" s="405"/>
      <c r="J8611" s="405">
        <v>1.1960120000000001</v>
      </c>
      <c r="K8611" s="405">
        <v>34.3202</v>
      </c>
      <c r="L8611" s="405" t="s">
        <v>6866</v>
      </c>
      <c r="M8611" s="405" t="s">
        <v>9575</v>
      </c>
      <c r="N8611" s="405" t="s">
        <v>9629</v>
      </c>
      <c r="O8611" s="405" t="s">
        <v>9630</v>
      </c>
      <c r="P8611" s="405" t="s">
        <v>10285</v>
      </c>
      <c r="Q8611" s="411">
        <v>6</v>
      </c>
      <c r="R8611" s="405" t="s">
        <v>9541</v>
      </c>
      <c r="S8611" s="405" t="s">
        <v>27086</v>
      </c>
      <c r="T8611" s="405" t="s">
        <v>32102</v>
      </c>
      <c r="U8611" s="405" t="s">
        <v>319</v>
      </c>
    </row>
    <row r="8612" spans="1:21" hidden="1" x14ac:dyDescent="0.25">
      <c r="A8612" s="405" t="s">
        <v>310</v>
      </c>
      <c r="B8612" s="405" t="s">
        <v>28572</v>
      </c>
      <c r="C8612" s="405" t="s">
        <v>311</v>
      </c>
      <c r="D8612" s="405" t="s">
        <v>839</v>
      </c>
      <c r="E8612" s="410">
        <v>40653</v>
      </c>
      <c r="F8612" s="410">
        <v>40698</v>
      </c>
      <c r="G8612" s="405" t="s">
        <v>1907</v>
      </c>
      <c r="H8612" s="405">
        <v>703834460</v>
      </c>
      <c r="I8612" s="405">
        <v>776834460</v>
      </c>
      <c r="J8612" s="405">
        <v>-0.34227289999999999</v>
      </c>
      <c r="K8612" s="405">
        <v>31.7245773</v>
      </c>
      <c r="L8612" s="405" t="s">
        <v>314</v>
      </c>
      <c r="M8612" s="405" t="s">
        <v>382</v>
      </c>
      <c r="N8612" s="405" t="s">
        <v>988</v>
      </c>
      <c r="O8612" s="405" t="s">
        <v>1908</v>
      </c>
      <c r="P8612" s="405" t="s">
        <v>1901</v>
      </c>
      <c r="Q8612" s="411">
        <v>6</v>
      </c>
      <c r="R8612" s="405" t="s">
        <v>318</v>
      </c>
      <c r="S8612" s="405" t="s">
        <v>414</v>
      </c>
      <c r="T8612" s="405" t="s">
        <v>32102</v>
      </c>
      <c r="U8612" s="405" t="s">
        <v>319</v>
      </c>
    </row>
    <row r="8613" spans="1:21" hidden="1" x14ac:dyDescent="0.25">
      <c r="A8613" s="405" t="s">
        <v>310</v>
      </c>
      <c r="B8613" s="405" t="s">
        <v>29019</v>
      </c>
      <c r="C8613" s="405" t="s">
        <v>327</v>
      </c>
      <c r="D8613" s="405"/>
      <c r="E8613" s="410">
        <v>40653</v>
      </c>
      <c r="F8613" s="410">
        <v>40698</v>
      </c>
      <c r="G8613" s="405" t="s">
        <v>10296</v>
      </c>
      <c r="H8613" s="405">
        <v>772862930</v>
      </c>
      <c r="I8613" s="405"/>
      <c r="J8613" s="405">
        <v>1.025307</v>
      </c>
      <c r="K8613" s="405">
        <v>34.366902000000003</v>
      </c>
      <c r="L8613" s="405" t="s">
        <v>6866</v>
      </c>
      <c r="M8613" s="405" t="s">
        <v>6867</v>
      </c>
      <c r="N8613" s="405" t="s">
        <v>10297</v>
      </c>
      <c r="O8613" s="405" t="s">
        <v>10298</v>
      </c>
      <c r="P8613" s="405" t="s">
        <v>10299</v>
      </c>
      <c r="Q8613" s="411">
        <v>6</v>
      </c>
      <c r="R8613" s="405" t="s">
        <v>7224</v>
      </c>
      <c r="S8613" s="405" t="s">
        <v>27311</v>
      </c>
      <c r="T8613" s="405" t="s">
        <v>32102</v>
      </c>
      <c r="U8613" s="405" t="s">
        <v>319</v>
      </c>
    </row>
    <row r="8614" spans="1:21" hidden="1" x14ac:dyDescent="0.25">
      <c r="A8614" s="405" t="s">
        <v>310</v>
      </c>
      <c r="B8614" s="405" t="s">
        <v>28660</v>
      </c>
      <c r="C8614" s="405" t="s">
        <v>327</v>
      </c>
      <c r="D8614" s="405"/>
      <c r="E8614" s="410">
        <v>40653</v>
      </c>
      <c r="F8614" s="410">
        <v>40698</v>
      </c>
      <c r="G8614" s="405" t="s">
        <v>1397</v>
      </c>
      <c r="H8614" s="405">
        <v>789191600</v>
      </c>
      <c r="I8614" s="405"/>
      <c r="J8614" s="405">
        <v>0.16168833333333332</v>
      </c>
      <c r="K8614" s="405">
        <v>32.328838333333337</v>
      </c>
      <c r="L8614" s="405" t="s">
        <v>314</v>
      </c>
      <c r="M8614" s="405" t="s">
        <v>321</v>
      </c>
      <c r="N8614" s="405" t="s">
        <v>322</v>
      </c>
      <c r="O8614" s="405" t="s">
        <v>996</v>
      </c>
      <c r="P8614" s="405" t="s">
        <v>1000</v>
      </c>
      <c r="Q8614" s="411">
        <v>6</v>
      </c>
      <c r="R8614" s="405" t="s">
        <v>318</v>
      </c>
      <c r="S8614" s="405" t="s">
        <v>27113</v>
      </c>
      <c r="T8614" s="405" t="s">
        <v>32102</v>
      </c>
      <c r="U8614" s="405" t="s">
        <v>319</v>
      </c>
    </row>
    <row r="8615" spans="1:21" hidden="1" x14ac:dyDescent="0.25">
      <c r="A8615" s="405" t="s">
        <v>310</v>
      </c>
      <c r="B8615" s="405" t="s">
        <v>20094</v>
      </c>
      <c r="C8615" s="405" t="s">
        <v>327</v>
      </c>
      <c r="D8615" s="405"/>
      <c r="E8615" s="410">
        <v>40653</v>
      </c>
      <c r="F8615" s="410">
        <v>40698</v>
      </c>
      <c r="G8615" s="405" t="s">
        <v>20095</v>
      </c>
      <c r="H8615" s="405">
        <v>782462386</v>
      </c>
      <c r="I8615" s="405">
        <v>785849968</v>
      </c>
      <c r="J8615" s="405">
        <v>1.6579644</v>
      </c>
      <c r="K8615" s="405">
        <v>31.709802199999999</v>
      </c>
      <c r="L8615" s="405" t="s">
        <v>590</v>
      </c>
      <c r="M8615" s="405" t="s">
        <v>19608</v>
      </c>
      <c r="N8615" s="405" t="s">
        <v>19762</v>
      </c>
      <c r="O8615" s="405" t="s">
        <v>19784</v>
      </c>
      <c r="P8615" s="405" t="s">
        <v>20027</v>
      </c>
      <c r="Q8615" s="411">
        <v>6</v>
      </c>
      <c r="R8615" s="405" t="s">
        <v>318</v>
      </c>
      <c r="S8615" s="405" t="s">
        <v>27109</v>
      </c>
      <c r="T8615" s="405" t="s">
        <v>32102</v>
      </c>
      <c r="U8615" s="405" t="s">
        <v>319</v>
      </c>
    </row>
    <row r="8616" spans="1:21" hidden="1" x14ac:dyDescent="0.25">
      <c r="A8616" s="405" t="s">
        <v>310</v>
      </c>
      <c r="B8616" s="405" t="s">
        <v>1389</v>
      </c>
      <c r="C8616" s="405" t="s">
        <v>327</v>
      </c>
      <c r="D8616" s="405"/>
      <c r="E8616" s="410">
        <v>40653</v>
      </c>
      <c r="F8616" s="410">
        <v>40698</v>
      </c>
      <c r="G8616" s="405" t="s">
        <v>1390</v>
      </c>
      <c r="H8616" s="405">
        <v>773116522</v>
      </c>
      <c r="I8616" s="405">
        <v>705006522</v>
      </c>
      <c r="J8616" s="405">
        <v>0.34896166666666667</v>
      </c>
      <c r="K8616" s="405">
        <v>32.307319999999997</v>
      </c>
      <c r="L8616" s="405" t="s">
        <v>314</v>
      </c>
      <c r="M8616" s="405" t="s">
        <v>321</v>
      </c>
      <c r="N8616" s="405" t="s">
        <v>322</v>
      </c>
      <c r="O8616" s="405" t="s">
        <v>1017</v>
      </c>
      <c r="P8616" s="405" t="s">
        <v>956</v>
      </c>
      <c r="Q8616" s="411">
        <v>6</v>
      </c>
      <c r="R8616" s="405" t="s">
        <v>567</v>
      </c>
      <c r="S8616" s="405" t="s">
        <v>27146</v>
      </c>
      <c r="T8616" s="405" t="s">
        <v>32102</v>
      </c>
      <c r="U8616" s="405" t="s">
        <v>319</v>
      </c>
    </row>
    <row r="8617" spans="1:21" hidden="1" x14ac:dyDescent="0.25">
      <c r="A8617" s="405" t="s">
        <v>310</v>
      </c>
      <c r="B8617" s="405" t="s">
        <v>1398</v>
      </c>
      <c r="C8617" s="405" t="s">
        <v>327</v>
      </c>
      <c r="D8617" s="405"/>
      <c r="E8617" s="410">
        <v>40652</v>
      </c>
      <c r="F8617" s="410">
        <v>40697</v>
      </c>
      <c r="G8617" s="405" t="s">
        <v>1399</v>
      </c>
      <c r="H8617" s="405">
        <v>752457111</v>
      </c>
      <c r="I8617" s="405">
        <v>771656659</v>
      </c>
      <c r="J8617" s="405">
        <v>-0.34227289999999999</v>
      </c>
      <c r="K8617" s="405">
        <v>31.7245773</v>
      </c>
      <c r="L8617" s="405" t="s">
        <v>314</v>
      </c>
      <c r="M8617" s="405" t="s">
        <v>382</v>
      </c>
      <c r="N8617" s="405" t="s">
        <v>383</v>
      </c>
      <c r="O8617" s="405" t="s">
        <v>1032</v>
      </c>
      <c r="P8617" s="405" t="s">
        <v>1400</v>
      </c>
      <c r="Q8617" s="411">
        <v>6</v>
      </c>
      <c r="R8617" s="405" t="s">
        <v>402</v>
      </c>
      <c r="S8617" s="405" t="s">
        <v>27164</v>
      </c>
      <c r="T8617" s="405" t="s">
        <v>32102</v>
      </c>
      <c r="U8617" s="405" t="s">
        <v>319</v>
      </c>
    </row>
    <row r="8618" spans="1:21" hidden="1" x14ac:dyDescent="0.25">
      <c r="A8618" s="405" t="s">
        <v>310</v>
      </c>
      <c r="B8618" s="405" t="s">
        <v>28154</v>
      </c>
      <c r="C8618" s="405" t="s">
        <v>311</v>
      </c>
      <c r="D8618" s="405" t="s">
        <v>10679</v>
      </c>
      <c r="E8618" s="410">
        <v>40651</v>
      </c>
      <c r="F8618" s="410">
        <v>40696</v>
      </c>
      <c r="G8618" s="405" t="s">
        <v>10680</v>
      </c>
      <c r="H8618" s="405">
        <v>782492941</v>
      </c>
      <c r="I8618" s="405">
        <v>772861774</v>
      </c>
      <c r="J8618" s="405">
        <v>0.96133999999999997</v>
      </c>
      <c r="K8618" s="405">
        <v>34.216403</v>
      </c>
      <c r="L8618" s="405" t="s">
        <v>6866</v>
      </c>
      <c r="M8618" s="405" t="s">
        <v>9514</v>
      </c>
      <c r="N8618" s="405" t="s">
        <v>9529</v>
      </c>
      <c r="O8618" s="405" t="s">
        <v>10681</v>
      </c>
      <c r="P8618" s="405" t="s">
        <v>10682</v>
      </c>
      <c r="Q8618" s="411">
        <v>6</v>
      </c>
      <c r="R8618" s="405" t="s">
        <v>333</v>
      </c>
      <c r="S8618" s="405" t="s">
        <v>27302</v>
      </c>
      <c r="T8618" s="405" t="s">
        <v>32102</v>
      </c>
      <c r="U8618" s="405" t="s">
        <v>319</v>
      </c>
    </row>
    <row r="8619" spans="1:21" hidden="1" x14ac:dyDescent="0.25">
      <c r="A8619" s="405" t="s">
        <v>310</v>
      </c>
      <c r="B8619" s="405" t="s">
        <v>10276</v>
      </c>
      <c r="C8619" s="405" t="s">
        <v>327</v>
      </c>
      <c r="D8619" s="405"/>
      <c r="E8619" s="410">
        <v>40651</v>
      </c>
      <c r="F8619" s="410">
        <v>40696</v>
      </c>
      <c r="G8619" s="405" t="s">
        <v>10277</v>
      </c>
      <c r="H8619" s="405">
        <v>772886528</v>
      </c>
      <c r="I8619" s="405"/>
      <c r="J8619" s="405">
        <v>0.92027000000000003</v>
      </c>
      <c r="K8619" s="405">
        <v>34.193533000000002</v>
      </c>
      <c r="L8619" s="405" t="s">
        <v>6866</v>
      </c>
      <c r="M8619" s="405" t="s">
        <v>9514</v>
      </c>
      <c r="N8619" s="405" t="s">
        <v>9529</v>
      </c>
      <c r="O8619" s="405" t="s">
        <v>9923</v>
      </c>
      <c r="P8619" s="405" t="s">
        <v>10278</v>
      </c>
      <c r="Q8619" s="411">
        <v>6</v>
      </c>
      <c r="R8619" s="405" t="s">
        <v>7224</v>
      </c>
      <c r="S8619" s="405" t="s">
        <v>27283</v>
      </c>
      <c r="T8619" s="405" t="s">
        <v>32102</v>
      </c>
      <c r="U8619" s="405" t="s">
        <v>319</v>
      </c>
    </row>
    <row r="8620" spans="1:21" hidden="1" x14ac:dyDescent="0.25">
      <c r="A8620" s="405" t="s">
        <v>310</v>
      </c>
      <c r="B8620" s="405" t="s">
        <v>10269</v>
      </c>
      <c r="C8620" s="405" t="s">
        <v>327</v>
      </c>
      <c r="D8620" s="405"/>
      <c r="E8620" s="410">
        <v>40650</v>
      </c>
      <c r="F8620" s="410">
        <v>40695</v>
      </c>
      <c r="G8620" s="405" t="s">
        <v>10270</v>
      </c>
      <c r="H8620" s="405">
        <v>788590676</v>
      </c>
      <c r="I8620" s="405"/>
      <c r="J8620" s="405">
        <v>1.2033469999999999</v>
      </c>
      <c r="K8620" s="405">
        <v>34.085284999999999</v>
      </c>
      <c r="L8620" s="405" t="s">
        <v>6866</v>
      </c>
      <c r="M8620" s="405" t="s">
        <v>9504</v>
      </c>
      <c r="N8620" s="405" t="s">
        <v>9598</v>
      </c>
      <c r="O8620" s="405" t="s">
        <v>9598</v>
      </c>
      <c r="P8620" s="405" t="s">
        <v>9599</v>
      </c>
      <c r="Q8620" s="411">
        <v>6</v>
      </c>
      <c r="R8620" s="405" t="s">
        <v>9506</v>
      </c>
      <c r="S8620" s="405" t="s">
        <v>27294</v>
      </c>
      <c r="T8620" s="405" t="s">
        <v>32102</v>
      </c>
      <c r="U8620" s="405" t="s">
        <v>319</v>
      </c>
    </row>
    <row r="8621" spans="1:21" hidden="1" x14ac:dyDescent="0.25">
      <c r="A8621" s="405" t="s">
        <v>310</v>
      </c>
      <c r="B8621" s="405" t="s">
        <v>64</v>
      </c>
      <c r="C8621" s="405" t="s">
        <v>327</v>
      </c>
      <c r="D8621" s="405"/>
      <c r="E8621" s="410">
        <v>40649</v>
      </c>
      <c r="F8621" s="410">
        <v>40694</v>
      </c>
      <c r="G8621" s="405" t="s">
        <v>10239</v>
      </c>
      <c r="H8621" s="405">
        <v>772386763</v>
      </c>
      <c r="I8621" s="405"/>
      <c r="J8621" s="405">
        <v>0.61554759999999997</v>
      </c>
      <c r="K8621" s="405">
        <v>33.4786225</v>
      </c>
      <c r="L8621" s="405" t="s">
        <v>6866</v>
      </c>
      <c r="M8621" s="405" t="s">
        <v>9590</v>
      </c>
      <c r="N8621" s="405" t="s">
        <v>9595</v>
      </c>
      <c r="O8621" s="405" t="s">
        <v>9592</v>
      </c>
      <c r="P8621" s="405" t="s">
        <v>9595</v>
      </c>
      <c r="Q8621" s="411">
        <v>9</v>
      </c>
      <c r="R8621" s="405" t="s">
        <v>318</v>
      </c>
      <c r="S8621" s="405" t="s">
        <v>27135</v>
      </c>
      <c r="T8621" s="405" t="s">
        <v>32102</v>
      </c>
      <c r="U8621" s="405" t="s">
        <v>319</v>
      </c>
    </row>
    <row r="8622" spans="1:21" hidden="1" x14ac:dyDescent="0.25">
      <c r="A8622" s="405" t="s">
        <v>310</v>
      </c>
      <c r="B8622" s="405" t="s">
        <v>28079</v>
      </c>
      <c r="C8622" s="405" t="s">
        <v>327</v>
      </c>
      <c r="D8622" s="405"/>
      <c r="E8622" s="410">
        <v>40649</v>
      </c>
      <c r="F8622" s="410">
        <v>40694</v>
      </c>
      <c r="G8622" s="405" t="s">
        <v>1180</v>
      </c>
      <c r="H8622" s="405">
        <v>753762620</v>
      </c>
      <c r="I8622" s="405"/>
      <c r="J8622" s="405">
        <v>0.1804316</v>
      </c>
      <c r="K8622" s="405">
        <v>32.2794393</v>
      </c>
      <c r="L8622" s="405" t="s">
        <v>314</v>
      </c>
      <c r="M8622" s="405" t="s">
        <v>321</v>
      </c>
      <c r="N8622" s="405" t="s">
        <v>322</v>
      </c>
      <c r="O8622" s="405" t="s">
        <v>1023</v>
      </c>
      <c r="P8622" s="405" t="s">
        <v>1181</v>
      </c>
      <c r="Q8622" s="411">
        <v>6</v>
      </c>
      <c r="R8622" s="405" t="s">
        <v>353</v>
      </c>
      <c r="S8622" s="405" t="s">
        <v>27129</v>
      </c>
      <c r="T8622" s="405" t="s">
        <v>32102</v>
      </c>
      <c r="U8622" s="405" t="s">
        <v>319</v>
      </c>
    </row>
    <row r="8623" spans="1:21" hidden="1" x14ac:dyDescent="0.25">
      <c r="A8623" s="405" t="s">
        <v>310</v>
      </c>
      <c r="B8623" s="405" t="s">
        <v>28829</v>
      </c>
      <c r="C8623" s="405" t="s">
        <v>327</v>
      </c>
      <c r="D8623" s="405"/>
      <c r="E8623" s="410">
        <v>40649</v>
      </c>
      <c r="F8623" s="410">
        <v>40694</v>
      </c>
      <c r="G8623" s="405" t="s">
        <v>10204</v>
      </c>
      <c r="H8623" s="405">
        <v>772685018</v>
      </c>
      <c r="I8623" s="405">
        <v>782961451</v>
      </c>
      <c r="J8623" s="405">
        <v>0.93418833333333329</v>
      </c>
      <c r="K8623" s="405">
        <v>33.130838333333337</v>
      </c>
      <c r="L8623" s="405" t="s">
        <v>6866</v>
      </c>
      <c r="M8623" s="405" t="s">
        <v>3009</v>
      </c>
      <c r="N8623" s="405" t="s">
        <v>10205</v>
      </c>
      <c r="O8623" s="405" t="s">
        <v>9586</v>
      </c>
      <c r="P8623" s="405" t="s">
        <v>10206</v>
      </c>
      <c r="Q8623" s="411">
        <v>6</v>
      </c>
      <c r="R8623" s="405" t="s">
        <v>333</v>
      </c>
      <c r="S8623" s="405" t="s">
        <v>27195</v>
      </c>
      <c r="T8623" s="405" t="s">
        <v>32102</v>
      </c>
      <c r="U8623" s="405" t="s">
        <v>319</v>
      </c>
    </row>
    <row r="8624" spans="1:21" hidden="1" x14ac:dyDescent="0.25">
      <c r="A8624" s="405" t="s">
        <v>310</v>
      </c>
      <c r="B8624" s="405" t="s">
        <v>1266</v>
      </c>
      <c r="C8624" s="405" t="s">
        <v>327</v>
      </c>
      <c r="D8624" s="405"/>
      <c r="E8624" s="410">
        <v>40649</v>
      </c>
      <c r="F8624" s="410">
        <v>40694</v>
      </c>
      <c r="G8624" s="405" t="s">
        <v>1267</v>
      </c>
      <c r="H8624" s="405">
        <v>782678095</v>
      </c>
      <c r="I8624" s="405"/>
      <c r="J8624" s="405">
        <v>-0.28229500000000002</v>
      </c>
      <c r="K8624" s="405">
        <v>31.680700000000002</v>
      </c>
      <c r="L8624" s="405" t="s">
        <v>314</v>
      </c>
      <c r="M8624" s="405" t="s">
        <v>1080</v>
      </c>
      <c r="N8624" s="405" t="s">
        <v>1080</v>
      </c>
      <c r="O8624" s="405" t="s">
        <v>1082</v>
      </c>
      <c r="P8624" s="405" t="s">
        <v>1268</v>
      </c>
      <c r="Q8624" s="411">
        <v>6</v>
      </c>
      <c r="R8624" s="405" t="s">
        <v>402</v>
      </c>
      <c r="S8624" s="405" t="s">
        <v>27164</v>
      </c>
      <c r="T8624" s="405" t="s">
        <v>32102</v>
      </c>
      <c r="U8624" s="405" t="s">
        <v>319</v>
      </c>
    </row>
    <row r="8625" spans="1:21" hidden="1" x14ac:dyDescent="0.25">
      <c r="A8625" s="405" t="s">
        <v>310</v>
      </c>
      <c r="B8625" s="405" t="s">
        <v>28974</v>
      </c>
      <c r="C8625" s="405" t="s">
        <v>311</v>
      </c>
      <c r="D8625" s="405" t="s">
        <v>839</v>
      </c>
      <c r="E8625" s="410">
        <v>40648</v>
      </c>
      <c r="F8625" s="410">
        <v>40693</v>
      </c>
      <c r="G8625" s="405" t="s">
        <v>20271</v>
      </c>
      <c r="H8625" s="405">
        <v>772309016</v>
      </c>
      <c r="I8625" s="405"/>
      <c r="J8625" s="405">
        <v>-0.84906999999999999</v>
      </c>
      <c r="K8625" s="405">
        <v>29.918658000000001</v>
      </c>
      <c r="L8625" s="405" t="s">
        <v>590</v>
      </c>
      <c r="M8625" s="405" t="s">
        <v>19619</v>
      </c>
      <c r="N8625" s="405" t="s">
        <v>19620</v>
      </c>
      <c r="O8625" s="405" t="s">
        <v>2430</v>
      </c>
      <c r="P8625" s="405" t="s">
        <v>20272</v>
      </c>
      <c r="Q8625" s="411">
        <v>12</v>
      </c>
      <c r="R8625" s="405" t="s">
        <v>19622</v>
      </c>
      <c r="S8625" s="405" t="s">
        <v>27116</v>
      </c>
      <c r="T8625" s="405" t="s">
        <v>32102</v>
      </c>
      <c r="U8625" s="405" t="s">
        <v>319</v>
      </c>
    </row>
    <row r="8626" spans="1:21" hidden="1" x14ac:dyDescent="0.25">
      <c r="A8626" s="405" t="s">
        <v>310</v>
      </c>
      <c r="B8626" s="405" t="s">
        <v>1304</v>
      </c>
      <c r="C8626" s="405" t="s">
        <v>327</v>
      </c>
      <c r="D8626" s="405"/>
      <c r="E8626" s="410">
        <v>40648</v>
      </c>
      <c r="F8626" s="410">
        <v>40693</v>
      </c>
      <c r="G8626" s="405" t="s">
        <v>1305</v>
      </c>
      <c r="H8626" s="405">
        <v>756380531</v>
      </c>
      <c r="I8626" s="405">
        <v>782314630</v>
      </c>
      <c r="J8626" s="405">
        <v>-0.29643700000000001</v>
      </c>
      <c r="K8626" s="405">
        <v>31.832229999999999</v>
      </c>
      <c r="L8626" s="405" t="s">
        <v>314</v>
      </c>
      <c r="M8626" s="405" t="s">
        <v>382</v>
      </c>
      <c r="N8626" s="405" t="s">
        <v>941</v>
      </c>
      <c r="O8626" s="405" t="s">
        <v>1076</v>
      </c>
      <c r="P8626" s="405" t="s">
        <v>1306</v>
      </c>
      <c r="Q8626" s="411">
        <v>6</v>
      </c>
      <c r="R8626" s="405" t="s">
        <v>353</v>
      </c>
      <c r="S8626" s="405" t="s">
        <v>27051</v>
      </c>
      <c r="T8626" s="405" t="s">
        <v>32102</v>
      </c>
      <c r="U8626" s="405" t="s">
        <v>319</v>
      </c>
    </row>
    <row r="8627" spans="1:21" hidden="1" x14ac:dyDescent="0.25">
      <c r="A8627" s="405" t="s">
        <v>310</v>
      </c>
      <c r="B8627" s="405" t="s">
        <v>20009</v>
      </c>
      <c r="C8627" s="405" t="s">
        <v>327</v>
      </c>
      <c r="D8627" s="405"/>
      <c r="E8627" s="410">
        <v>40648</v>
      </c>
      <c r="F8627" s="410">
        <v>40693</v>
      </c>
      <c r="G8627" s="405" t="s">
        <v>20010</v>
      </c>
      <c r="H8627" s="405">
        <v>753263119</v>
      </c>
      <c r="I8627" s="405"/>
      <c r="J8627" s="405">
        <v>-0.79622499999999996</v>
      </c>
      <c r="K8627" s="405">
        <v>29.847874000000001</v>
      </c>
      <c r="L8627" s="405" t="s">
        <v>590</v>
      </c>
      <c r="M8627" s="405" t="s">
        <v>19619</v>
      </c>
      <c r="N8627" s="405" t="s">
        <v>19793</v>
      </c>
      <c r="O8627" s="405" t="s">
        <v>19794</v>
      </c>
      <c r="P8627" s="405" t="s">
        <v>20011</v>
      </c>
      <c r="Q8627" s="411">
        <v>6</v>
      </c>
      <c r="R8627" s="405" t="s">
        <v>19622</v>
      </c>
      <c r="S8627" s="405" t="s">
        <v>27220</v>
      </c>
      <c r="T8627" s="405" t="s">
        <v>32102</v>
      </c>
      <c r="U8627" s="405" t="s">
        <v>319</v>
      </c>
    </row>
    <row r="8628" spans="1:21" hidden="1" x14ac:dyDescent="0.25">
      <c r="A8628" s="405" t="s">
        <v>310</v>
      </c>
      <c r="B8628" s="405" t="s">
        <v>1223</v>
      </c>
      <c r="C8628" s="405" t="s">
        <v>327</v>
      </c>
      <c r="D8628" s="405"/>
      <c r="E8628" s="410">
        <v>40647</v>
      </c>
      <c r="F8628" s="410">
        <v>40692</v>
      </c>
      <c r="G8628" s="405" t="s">
        <v>1224</v>
      </c>
      <c r="H8628" s="405">
        <v>772430664</v>
      </c>
      <c r="I8628" s="405">
        <v>702430664</v>
      </c>
      <c r="J8628" s="405">
        <v>-0.693415</v>
      </c>
      <c r="K8628" s="405">
        <v>31.525948</v>
      </c>
      <c r="L8628" s="405" t="s">
        <v>314</v>
      </c>
      <c r="M8628" s="405" t="s">
        <v>398</v>
      </c>
      <c r="N8628" s="405" t="s">
        <v>399</v>
      </c>
      <c r="O8628" s="405" t="s">
        <v>1225</v>
      </c>
      <c r="P8628" s="405" t="s">
        <v>1226</v>
      </c>
      <c r="Q8628" s="411">
        <v>9</v>
      </c>
      <c r="R8628" s="405" t="s">
        <v>402</v>
      </c>
      <c r="S8628" s="405" t="s">
        <v>27121</v>
      </c>
      <c r="T8628" s="405" t="s">
        <v>32102</v>
      </c>
      <c r="U8628" s="405" t="s">
        <v>319</v>
      </c>
    </row>
    <row r="8629" spans="1:21" hidden="1" x14ac:dyDescent="0.25">
      <c r="A8629" s="405" t="s">
        <v>310</v>
      </c>
      <c r="B8629" s="405" t="s">
        <v>1207</v>
      </c>
      <c r="C8629" s="405" t="s">
        <v>327</v>
      </c>
      <c r="D8629" s="405"/>
      <c r="E8629" s="410">
        <v>40647</v>
      </c>
      <c r="F8629" s="410">
        <v>40692</v>
      </c>
      <c r="G8629" s="405" t="s">
        <v>1208</v>
      </c>
      <c r="H8629" s="405">
        <v>772384959</v>
      </c>
      <c r="I8629" s="405"/>
      <c r="J8629" s="405">
        <v>-9.9280999999999994E-2</v>
      </c>
      <c r="K8629" s="405">
        <v>31.495339999999999</v>
      </c>
      <c r="L8629" s="405" t="s">
        <v>314</v>
      </c>
      <c r="M8629" s="405" t="s">
        <v>343</v>
      </c>
      <c r="N8629" s="405" t="s">
        <v>344</v>
      </c>
      <c r="O8629" s="405" t="s">
        <v>391</v>
      </c>
      <c r="P8629" s="405" t="s">
        <v>1209</v>
      </c>
      <c r="Q8629" s="411">
        <v>9</v>
      </c>
      <c r="R8629" s="405" t="s">
        <v>318</v>
      </c>
      <c r="S8629" s="405" t="s">
        <v>27152</v>
      </c>
      <c r="T8629" s="405" t="s">
        <v>32102</v>
      </c>
      <c r="U8629" s="405" t="s">
        <v>319</v>
      </c>
    </row>
    <row r="8630" spans="1:21" hidden="1" x14ac:dyDescent="0.25">
      <c r="A8630" s="405" t="s">
        <v>310</v>
      </c>
      <c r="B8630" s="405" t="s">
        <v>19963</v>
      </c>
      <c r="C8630" s="405" t="s">
        <v>327</v>
      </c>
      <c r="D8630" s="405"/>
      <c r="E8630" s="410">
        <v>40646</v>
      </c>
      <c r="F8630" s="410">
        <v>40691</v>
      </c>
      <c r="G8630" s="405" t="s">
        <v>19964</v>
      </c>
      <c r="H8630" s="405">
        <v>784131913</v>
      </c>
      <c r="I8630" s="405"/>
      <c r="J8630" s="405">
        <v>-0.639984</v>
      </c>
      <c r="K8630" s="405">
        <v>30.258417000000001</v>
      </c>
      <c r="L8630" s="405" t="s">
        <v>590</v>
      </c>
      <c r="M8630" s="405" t="s">
        <v>19725</v>
      </c>
      <c r="N8630" s="405" t="s">
        <v>19725</v>
      </c>
      <c r="O8630" s="405" t="s">
        <v>19965</v>
      </c>
      <c r="P8630" s="405" t="s">
        <v>5559</v>
      </c>
      <c r="Q8630" s="411">
        <v>9</v>
      </c>
      <c r="R8630" s="405" t="s">
        <v>333</v>
      </c>
      <c r="S8630" s="405" t="s">
        <v>27116</v>
      </c>
      <c r="T8630" s="405" t="s">
        <v>32102</v>
      </c>
      <c r="U8630" s="405" t="s">
        <v>319</v>
      </c>
    </row>
    <row r="8631" spans="1:21" hidden="1" x14ac:dyDescent="0.25">
      <c r="A8631" s="405" t="s">
        <v>310</v>
      </c>
      <c r="B8631" s="405" t="s">
        <v>27728</v>
      </c>
      <c r="C8631" s="405" t="s">
        <v>311</v>
      </c>
      <c r="D8631" s="405" t="s">
        <v>839</v>
      </c>
      <c r="E8631" s="410">
        <v>40646</v>
      </c>
      <c r="F8631" s="410">
        <v>40691</v>
      </c>
      <c r="G8631" s="405" t="s">
        <v>18517</v>
      </c>
      <c r="H8631" s="405">
        <v>774272665</v>
      </c>
      <c r="I8631" s="405">
        <v>788558525</v>
      </c>
      <c r="J8631" s="405">
        <v>2.2125650000000001</v>
      </c>
      <c r="K8631" s="405">
        <v>33.065641999999997</v>
      </c>
      <c r="L8631" s="405" t="s">
        <v>860</v>
      </c>
      <c r="M8631" s="405" t="s">
        <v>18234</v>
      </c>
      <c r="N8631" s="405" t="s">
        <v>18252</v>
      </c>
      <c r="O8631" s="405" t="s">
        <v>18260</v>
      </c>
      <c r="P8631" s="405" t="s">
        <v>18518</v>
      </c>
      <c r="Q8631" s="411">
        <v>9</v>
      </c>
      <c r="R8631" s="405" t="s">
        <v>994</v>
      </c>
      <c r="S8631" s="405" t="s">
        <v>27079</v>
      </c>
      <c r="T8631" s="405" t="s">
        <v>32102</v>
      </c>
      <c r="U8631" s="405" t="s">
        <v>319</v>
      </c>
    </row>
    <row r="8632" spans="1:21" hidden="1" x14ac:dyDescent="0.25">
      <c r="A8632" s="405" t="s">
        <v>310</v>
      </c>
      <c r="B8632" s="405" t="s">
        <v>27885</v>
      </c>
      <c r="C8632" s="405" t="s">
        <v>327</v>
      </c>
      <c r="D8632" s="405"/>
      <c r="E8632" s="410">
        <v>40646</v>
      </c>
      <c r="F8632" s="410">
        <v>40691</v>
      </c>
      <c r="G8632" s="405" t="s">
        <v>1164</v>
      </c>
      <c r="H8632" s="405">
        <v>752487299</v>
      </c>
      <c r="I8632" s="405"/>
      <c r="J8632" s="405">
        <v>0.41633666666666669</v>
      </c>
      <c r="K8632" s="405">
        <v>32.571598333333334</v>
      </c>
      <c r="L8632" s="405" t="s">
        <v>314</v>
      </c>
      <c r="M8632" s="405" t="s">
        <v>361</v>
      </c>
      <c r="N8632" s="405" t="s">
        <v>370</v>
      </c>
      <c r="O8632" s="405" t="s">
        <v>370</v>
      </c>
      <c r="P8632" s="405" t="s">
        <v>1165</v>
      </c>
      <c r="Q8632" s="411">
        <v>6</v>
      </c>
      <c r="R8632" s="405" t="s">
        <v>353</v>
      </c>
      <c r="S8632" s="405" t="s">
        <v>27153</v>
      </c>
      <c r="T8632" s="405" t="s">
        <v>32102</v>
      </c>
      <c r="U8632" s="405" t="s">
        <v>319</v>
      </c>
    </row>
    <row r="8633" spans="1:21" hidden="1" x14ac:dyDescent="0.25">
      <c r="A8633" s="405" t="s">
        <v>310</v>
      </c>
      <c r="B8633" s="405" t="s">
        <v>27487</v>
      </c>
      <c r="C8633" s="405" t="s">
        <v>327</v>
      </c>
      <c r="D8633" s="405"/>
      <c r="E8633" s="410">
        <v>40645</v>
      </c>
      <c r="F8633" s="410">
        <v>40690</v>
      </c>
      <c r="G8633" s="405" t="s">
        <v>1264</v>
      </c>
      <c r="H8633" s="405">
        <v>701887771</v>
      </c>
      <c r="I8633" s="405">
        <v>757407649</v>
      </c>
      <c r="J8633" s="405">
        <v>-0.31088300000000002</v>
      </c>
      <c r="K8633" s="405">
        <v>31.758973000000001</v>
      </c>
      <c r="L8633" s="405" t="s">
        <v>314</v>
      </c>
      <c r="M8633" s="405" t="s">
        <v>382</v>
      </c>
      <c r="N8633" s="405" t="s">
        <v>383</v>
      </c>
      <c r="O8633" s="405" t="s">
        <v>1265</v>
      </c>
      <c r="P8633" s="405" t="s">
        <v>1265</v>
      </c>
      <c r="Q8633" s="411">
        <v>6</v>
      </c>
      <c r="R8633" s="405" t="s">
        <v>402</v>
      </c>
      <c r="S8633" s="405" t="s">
        <v>27164</v>
      </c>
      <c r="T8633" s="405" t="s">
        <v>32102</v>
      </c>
      <c r="U8633" s="405" t="s">
        <v>319</v>
      </c>
    </row>
    <row r="8634" spans="1:21" hidden="1" x14ac:dyDescent="0.25">
      <c r="A8634" s="405" t="s">
        <v>310</v>
      </c>
      <c r="B8634" s="405" t="s">
        <v>27761</v>
      </c>
      <c r="C8634" s="405" t="s">
        <v>327</v>
      </c>
      <c r="D8634" s="405"/>
      <c r="E8634" s="410">
        <v>40645</v>
      </c>
      <c r="F8634" s="410">
        <v>40690</v>
      </c>
      <c r="G8634" s="405" t="s">
        <v>1259</v>
      </c>
      <c r="H8634" s="405">
        <v>782310641</v>
      </c>
      <c r="I8634" s="405">
        <v>774519314</v>
      </c>
      <c r="J8634" s="405">
        <v>-0.363535</v>
      </c>
      <c r="K8634" s="405">
        <v>31.786525000000001</v>
      </c>
      <c r="L8634" s="405" t="s">
        <v>314</v>
      </c>
      <c r="M8634" s="405" t="s">
        <v>382</v>
      </c>
      <c r="N8634" s="405" t="s">
        <v>941</v>
      </c>
      <c r="O8634" s="405" t="s">
        <v>1260</v>
      </c>
      <c r="P8634" s="405" t="s">
        <v>1261</v>
      </c>
      <c r="Q8634" s="411">
        <v>6</v>
      </c>
      <c r="R8634" s="405" t="s">
        <v>318</v>
      </c>
      <c r="S8634" s="405" t="s">
        <v>27134</v>
      </c>
      <c r="T8634" s="405" t="s">
        <v>32102</v>
      </c>
      <c r="U8634" s="405" t="s">
        <v>319</v>
      </c>
    </row>
    <row r="8635" spans="1:21" hidden="1" x14ac:dyDescent="0.25">
      <c r="A8635" s="405" t="s">
        <v>310</v>
      </c>
      <c r="B8635" s="405" t="s">
        <v>28425</v>
      </c>
      <c r="C8635" s="405" t="s">
        <v>327</v>
      </c>
      <c r="D8635" s="405"/>
      <c r="E8635" s="410">
        <v>40645</v>
      </c>
      <c r="F8635" s="410">
        <v>40690</v>
      </c>
      <c r="G8635" s="405" t="s">
        <v>1741</v>
      </c>
      <c r="H8635" s="405">
        <v>752479480</v>
      </c>
      <c r="I8635" s="405"/>
      <c r="J8635" s="405">
        <v>-0.26390666666666668</v>
      </c>
      <c r="K8635" s="405">
        <v>31.741573333333335</v>
      </c>
      <c r="L8635" s="405" t="s">
        <v>314</v>
      </c>
      <c r="M8635" s="405" t="s">
        <v>900</v>
      </c>
      <c r="N8635" s="405" t="s">
        <v>900</v>
      </c>
      <c r="O8635" s="405" t="s">
        <v>900</v>
      </c>
      <c r="P8635" s="405" t="s">
        <v>1521</v>
      </c>
      <c r="Q8635" s="411">
        <v>6</v>
      </c>
      <c r="R8635" s="405" t="s">
        <v>353</v>
      </c>
      <c r="S8635" s="405" t="s">
        <v>27153</v>
      </c>
      <c r="T8635" s="405" t="s">
        <v>32102</v>
      </c>
      <c r="U8635" s="405" t="s">
        <v>319</v>
      </c>
    </row>
    <row r="8636" spans="1:21" hidden="1" x14ac:dyDescent="0.25">
      <c r="A8636" s="405" t="s">
        <v>310</v>
      </c>
      <c r="B8636" s="405" t="s">
        <v>1297</v>
      </c>
      <c r="C8636" s="405" t="s">
        <v>327</v>
      </c>
      <c r="D8636" s="405"/>
      <c r="E8636" s="410">
        <v>40645</v>
      </c>
      <c r="F8636" s="410">
        <v>40690</v>
      </c>
      <c r="G8636" s="405" t="s">
        <v>1298</v>
      </c>
      <c r="H8636" s="405">
        <v>701400240</v>
      </c>
      <c r="I8636" s="405">
        <v>785345159</v>
      </c>
      <c r="J8636" s="405">
        <v>-0.75051000000000001</v>
      </c>
      <c r="K8636" s="405">
        <v>31.618929999999999</v>
      </c>
      <c r="L8636" s="405" t="s">
        <v>314</v>
      </c>
      <c r="M8636" s="405" t="s">
        <v>398</v>
      </c>
      <c r="N8636" s="405" t="s">
        <v>399</v>
      </c>
      <c r="O8636" s="405" t="s">
        <v>1299</v>
      </c>
      <c r="P8636" s="405" t="s">
        <v>401</v>
      </c>
      <c r="Q8636" s="411">
        <v>6</v>
      </c>
      <c r="R8636" s="405" t="s">
        <v>402</v>
      </c>
      <c r="S8636" s="405" t="s">
        <v>27154</v>
      </c>
      <c r="T8636" s="405" t="s">
        <v>32102</v>
      </c>
      <c r="U8636" s="405" t="s">
        <v>319</v>
      </c>
    </row>
    <row r="8637" spans="1:21" hidden="1" x14ac:dyDescent="0.25">
      <c r="A8637" s="405" t="s">
        <v>310</v>
      </c>
      <c r="B8637" s="405" t="s">
        <v>1358</v>
      </c>
      <c r="C8637" s="405" t="s">
        <v>327</v>
      </c>
      <c r="D8637" s="405"/>
      <c r="E8637" s="410">
        <v>40644</v>
      </c>
      <c r="F8637" s="410">
        <v>40689</v>
      </c>
      <c r="G8637" s="405" t="s">
        <v>1359</v>
      </c>
      <c r="H8637" s="405">
        <v>777693973</v>
      </c>
      <c r="I8637" s="405"/>
      <c r="J8637" s="405">
        <v>0.93461700000000003</v>
      </c>
      <c r="K8637" s="405">
        <v>31.476127000000002</v>
      </c>
      <c r="L8637" s="405" t="s">
        <v>314</v>
      </c>
      <c r="M8637" s="405" t="s">
        <v>1360</v>
      </c>
      <c r="N8637" s="405" t="s">
        <v>1361</v>
      </c>
      <c r="O8637" s="405" t="s">
        <v>411</v>
      </c>
      <c r="P8637" s="405" t="s">
        <v>1362</v>
      </c>
      <c r="Q8637" s="411">
        <v>9</v>
      </c>
      <c r="R8637" s="405" t="s">
        <v>353</v>
      </c>
      <c r="S8637" s="405" t="s">
        <v>27115</v>
      </c>
      <c r="T8637" s="405" t="s">
        <v>32102</v>
      </c>
      <c r="U8637" s="405" t="s">
        <v>319</v>
      </c>
    </row>
    <row r="8638" spans="1:21" hidden="1" x14ac:dyDescent="0.25">
      <c r="A8638" s="405" t="s">
        <v>310</v>
      </c>
      <c r="B8638" s="405" t="s">
        <v>28517</v>
      </c>
      <c r="C8638" s="405" t="s">
        <v>327</v>
      </c>
      <c r="D8638" s="405"/>
      <c r="E8638" s="410">
        <v>40644</v>
      </c>
      <c r="F8638" s="410">
        <v>40689</v>
      </c>
      <c r="G8638" s="405" t="s">
        <v>1192</v>
      </c>
      <c r="H8638" s="405">
        <v>782180732</v>
      </c>
      <c r="I8638" s="405">
        <v>758202919</v>
      </c>
      <c r="J8638" s="405">
        <v>0.37587499999999996</v>
      </c>
      <c r="K8638" s="405">
        <v>32.739664999999995</v>
      </c>
      <c r="L8638" s="405" t="s">
        <v>314</v>
      </c>
      <c r="M8638" s="405" t="s">
        <v>329</v>
      </c>
      <c r="N8638" s="405" t="s">
        <v>330</v>
      </c>
      <c r="O8638" s="405" t="s">
        <v>706</v>
      </c>
      <c r="P8638" s="405" t="s">
        <v>358</v>
      </c>
      <c r="Q8638" s="411">
        <v>6</v>
      </c>
      <c r="R8638" s="405" t="s">
        <v>333</v>
      </c>
      <c r="S8638" s="405" t="s">
        <v>27140</v>
      </c>
      <c r="T8638" s="405" t="s">
        <v>32102</v>
      </c>
      <c r="U8638" s="405" t="s">
        <v>319</v>
      </c>
    </row>
    <row r="8639" spans="1:21" hidden="1" x14ac:dyDescent="0.25">
      <c r="A8639" s="405" t="s">
        <v>310</v>
      </c>
      <c r="B8639" s="405" t="s">
        <v>1175</v>
      </c>
      <c r="C8639" s="405" t="s">
        <v>327</v>
      </c>
      <c r="D8639" s="405"/>
      <c r="E8639" s="410">
        <v>40644</v>
      </c>
      <c r="F8639" s="410">
        <v>40689</v>
      </c>
      <c r="G8639" s="405" t="s">
        <v>1176</v>
      </c>
      <c r="H8639" s="405">
        <v>752370184</v>
      </c>
      <c r="I8639" s="405"/>
      <c r="J8639" s="405">
        <v>0.23193166666666667</v>
      </c>
      <c r="K8639" s="405">
        <v>32.318483333333333</v>
      </c>
      <c r="L8639" s="405" t="s">
        <v>314</v>
      </c>
      <c r="M8639" s="405" t="s">
        <v>321</v>
      </c>
      <c r="N8639" s="405" t="s">
        <v>322</v>
      </c>
      <c r="O8639" s="405" t="s">
        <v>996</v>
      </c>
      <c r="P8639" s="405" t="s">
        <v>1000</v>
      </c>
      <c r="Q8639" s="411">
        <v>6</v>
      </c>
      <c r="R8639" s="405" t="s">
        <v>318</v>
      </c>
      <c r="S8639" s="405" t="s">
        <v>27113</v>
      </c>
      <c r="T8639" s="405" t="s">
        <v>32102</v>
      </c>
      <c r="U8639" s="405" t="s">
        <v>319</v>
      </c>
    </row>
    <row r="8640" spans="1:21" hidden="1" x14ac:dyDescent="0.25">
      <c r="A8640" s="405" t="s">
        <v>310</v>
      </c>
      <c r="B8640" s="405" t="s">
        <v>1300</v>
      </c>
      <c r="C8640" s="405" t="s">
        <v>327</v>
      </c>
      <c r="D8640" s="405"/>
      <c r="E8640" s="410">
        <v>40644</v>
      </c>
      <c r="F8640" s="410">
        <v>40689</v>
      </c>
      <c r="G8640" s="405" t="s">
        <v>1301</v>
      </c>
      <c r="H8640" s="405">
        <v>754336167</v>
      </c>
      <c r="I8640" s="405">
        <v>776340727</v>
      </c>
      <c r="J8640" s="405">
        <v>-0.194297</v>
      </c>
      <c r="K8640" s="405">
        <v>31.834285000000001</v>
      </c>
      <c r="L8640" s="405" t="s">
        <v>314</v>
      </c>
      <c r="M8640" s="405" t="s">
        <v>900</v>
      </c>
      <c r="N8640" s="405" t="s">
        <v>1119</v>
      </c>
      <c r="O8640" s="405" t="s">
        <v>1302</v>
      </c>
      <c r="P8640" s="405" t="s">
        <v>1303</v>
      </c>
      <c r="Q8640" s="411">
        <v>6</v>
      </c>
      <c r="R8640" s="405" t="s">
        <v>333</v>
      </c>
      <c r="S8640" s="405" t="s">
        <v>27098</v>
      </c>
      <c r="T8640" s="405" t="s">
        <v>32102</v>
      </c>
      <c r="U8640" s="405" t="s">
        <v>319</v>
      </c>
    </row>
    <row r="8641" spans="1:21" hidden="1" x14ac:dyDescent="0.25">
      <c r="A8641" s="405" t="s">
        <v>310</v>
      </c>
      <c r="B8641" s="405" t="s">
        <v>29074</v>
      </c>
      <c r="C8641" s="405" t="s">
        <v>327</v>
      </c>
      <c r="D8641" s="405"/>
      <c r="E8641" s="410">
        <v>40643</v>
      </c>
      <c r="F8641" s="410">
        <v>40688</v>
      </c>
      <c r="G8641" s="405" t="s">
        <v>10226</v>
      </c>
      <c r="H8641" s="405">
        <v>788340288</v>
      </c>
      <c r="I8641" s="405"/>
      <c r="J8641" s="405">
        <v>1.271965</v>
      </c>
      <c r="K8641" s="405">
        <v>34.360492999999998</v>
      </c>
      <c r="L8641" s="405" t="s">
        <v>6866</v>
      </c>
      <c r="M8641" s="405" t="s">
        <v>9550</v>
      </c>
      <c r="N8641" s="405" t="s">
        <v>10227</v>
      </c>
      <c r="O8641" s="405" t="s">
        <v>10227</v>
      </c>
      <c r="P8641" s="405" t="s">
        <v>10228</v>
      </c>
      <c r="Q8641" s="411">
        <v>6</v>
      </c>
      <c r="R8641" s="405" t="s">
        <v>333</v>
      </c>
      <c r="S8641" s="405" t="s">
        <v>27319</v>
      </c>
      <c r="T8641" s="405" t="s">
        <v>32102</v>
      </c>
      <c r="U8641" s="405" t="s">
        <v>319</v>
      </c>
    </row>
    <row r="8642" spans="1:21" hidden="1" x14ac:dyDescent="0.25">
      <c r="A8642" s="405" t="s">
        <v>310</v>
      </c>
      <c r="B8642" s="405" t="s">
        <v>1242</v>
      </c>
      <c r="C8642" s="405" t="s">
        <v>327</v>
      </c>
      <c r="D8642" s="405"/>
      <c r="E8642" s="410">
        <v>40643</v>
      </c>
      <c r="F8642" s="410">
        <v>40688</v>
      </c>
      <c r="G8642" s="405" t="s">
        <v>1243</v>
      </c>
      <c r="H8642" s="405">
        <v>701500153</v>
      </c>
      <c r="I8642" s="405">
        <v>702752579</v>
      </c>
      <c r="J8642" s="405">
        <v>0.28571200000000002</v>
      </c>
      <c r="K8642" s="405">
        <v>32.351894999999999</v>
      </c>
      <c r="L8642" s="405" t="s">
        <v>314</v>
      </c>
      <c r="M8642" s="405" t="s">
        <v>321</v>
      </c>
      <c r="N8642" s="405" t="s">
        <v>1244</v>
      </c>
      <c r="O8642" s="405" t="s">
        <v>519</v>
      </c>
      <c r="P8642" s="405" t="s">
        <v>1245</v>
      </c>
      <c r="Q8642" s="411">
        <v>6</v>
      </c>
      <c r="R8642" s="405" t="s">
        <v>318</v>
      </c>
      <c r="S8642" s="405" t="s">
        <v>27108</v>
      </c>
      <c r="T8642" s="405" t="s">
        <v>32102</v>
      </c>
      <c r="U8642" s="405" t="s">
        <v>319</v>
      </c>
    </row>
    <row r="8643" spans="1:21" hidden="1" x14ac:dyDescent="0.25">
      <c r="A8643" s="405" t="s">
        <v>310</v>
      </c>
      <c r="B8643" s="405" t="s">
        <v>10222</v>
      </c>
      <c r="C8643" s="405" t="s">
        <v>327</v>
      </c>
      <c r="D8643" s="405"/>
      <c r="E8643" s="410">
        <v>40643</v>
      </c>
      <c r="F8643" s="410">
        <v>40688</v>
      </c>
      <c r="G8643" s="405" t="s">
        <v>10223</v>
      </c>
      <c r="H8643" s="405">
        <v>774283268</v>
      </c>
      <c r="I8643" s="405"/>
      <c r="J8643" s="405">
        <v>1.192277</v>
      </c>
      <c r="K8643" s="405">
        <v>34.319656000000002</v>
      </c>
      <c r="L8643" s="405" t="s">
        <v>6866</v>
      </c>
      <c r="M8643" s="405" t="s">
        <v>9575</v>
      </c>
      <c r="N8643" s="405" t="s">
        <v>9629</v>
      </c>
      <c r="O8643" s="405" t="s">
        <v>10224</v>
      </c>
      <c r="P8643" s="405" t="s">
        <v>10225</v>
      </c>
      <c r="Q8643" s="411">
        <v>6</v>
      </c>
      <c r="R8643" s="405" t="s">
        <v>9541</v>
      </c>
      <c r="S8643" s="405" t="s">
        <v>27086</v>
      </c>
      <c r="T8643" s="405" t="s">
        <v>32102</v>
      </c>
      <c r="U8643" s="405" t="s">
        <v>319</v>
      </c>
    </row>
    <row r="8644" spans="1:21" hidden="1" x14ac:dyDescent="0.25">
      <c r="A8644" s="405" t="s">
        <v>310</v>
      </c>
      <c r="B8644" s="405" t="s">
        <v>27813</v>
      </c>
      <c r="C8644" s="405" t="s">
        <v>327</v>
      </c>
      <c r="D8644" s="405"/>
      <c r="E8644" s="410">
        <v>40642</v>
      </c>
      <c r="F8644" s="410">
        <v>40687</v>
      </c>
      <c r="G8644" s="405" t="s">
        <v>1371</v>
      </c>
      <c r="H8644" s="405">
        <v>771387026</v>
      </c>
      <c r="I8644" s="405">
        <v>701070031</v>
      </c>
      <c r="J8644" s="405">
        <v>0.1804316</v>
      </c>
      <c r="K8644" s="405">
        <v>32.2794393</v>
      </c>
      <c r="L8644" s="405" t="s">
        <v>314</v>
      </c>
      <c r="M8644" s="405" t="s">
        <v>321</v>
      </c>
      <c r="N8644" s="405" t="s">
        <v>322</v>
      </c>
      <c r="O8644" s="405" t="s">
        <v>1023</v>
      </c>
      <c r="P8644" s="405" t="s">
        <v>1372</v>
      </c>
      <c r="Q8644" s="411">
        <v>6</v>
      </c>
      <c r="R8644" s="405" t="s">
        <v>353</v>
      </c>
      <c r="S8644" s="405" t="s">
        <v>27129</v>
      </c>
      <c r="T8644" s="405" t="s">
        <v>32102</v>
      </c>
      <c r="U8644" s="405" t="s">
        <v>319</v>
      </c>
    </row>
    <row r="8645" spans="1:21" hidden="1" x14ac:dyDescent="0.25">
      <c r="A8645" s="405" t="s">
        <v>310</v>
      </c>
      <c r="B8645" s="405" t="s">
        <v>28303</v>
      </c>
      <c r="C8645" s="405" t="s">
        <v>327</v>
      </c>
      <c r="D8645" s="405"/>
      <c r="E8645" s="410">
        <v>40642</v>
      </c>
      <c r="F8645" s="410">
        <v>40687</v>
      </c>
      <c r="G8645" s="405" t="s">
        <v>1185</v>
      </c>
      <c r="H8645" s="405">
        <v>772487138</v>
      </c>
      <c r="I8645" s="405">
        <v>704487138</v>
      </c>
      <c r="J8645" s="405">
        <v>-0.35409639999999998</v>
      </c>
      <c r="K8645" s="405">
        <v>31.729536499999998</v>
      </c>
      <c r="L8645" s="405" t="s">
        <v>314</v>
      </c>
      <c r="M8645" s="405" t="s">
        <v>382</v>
      </c>
      <c r="N8645" s="405" t="s">
        <v>383</v>
      </c>
      <c r="O8645" s="405" t="s">
        <v>1186</v>
      </c>
      <c r="P8645" s="405" t="s">
        <v>1187</v>
      </c>
      <c r="Q8645" s="411">
        <v>6</v>
      </c>
      <c r="R8645" s="405" t="s">
        <v>333</v>
      </c>
      <c r="S8645" s="405" t="s">
        <v>27098</v>
      </c>
      <c r="T8645" s="405" t="s">
        <v>32102</v>
      </c>
      <c r="U8645" s="405" t="s">
        <v>319</v>
      </c>
    </row>
    <row r="8646" spans="1:21" hidden="1" x14ac:dyDescent="0.25">
      <c r="A8646" s="405" t="s">
        <v>310</v>
      </c>
      <c r="B8646" s="405" t="s">
        <v>28246</v>
      </c>
      <c r="C8646" s="405" t="s">
        <v>327</v>
      </c>
      <c r="D8646" s="405"/>
      <c r="E8646" s="410">
        <v>40642</v>
      </c>
      <c r="F8646" s="410">
        <v>40687</v>
      </c>
      <c r="G8646" s="405" t="s">
        <v>1183</v>
      </c>
      <c r="H8646" s="405">
        <v>752465161</v>
      </c>
      <c r="I8646" s="405"/>
      <c r="J8646" s="405">
        <v>-0.25267333333333331</v>
      </c>
      <c r="K8646" s="405">
        <v>31.822016666666666</v>
      </c>
      <c r="L8646" s="405" t="s">
        <v>314</v>
      </c>
      <c r="M8646" s="405" t="s">
        <v>900</v>
      </c>
      <c r="N8646" s="405" t="s">
        <v>900</v>
      </c>
      <c r="O8646" s="405" t="s">
        <v>900</v>
      </c>
      <c r="P8646" s="405" t="s">
        <v>1184</v>
      </c>
      <c r="Q8646" s="411">
        <v>6</v>
      </c>
      <c r="R8646" s="405" t="s">
        <v>318</v>
      </c>
      <c r="S8646" s="405" t="s">
        <v>27134</v>
      </c>
      <c r="T8646" s="405" t="s">
        <v>32102</v>
      </c>
      <c r="U8646" s="405" t="s">
        <v>319</v>
      </c>
    </row>
    <row r="8647" spans="1:21" hidden="1" x14ac:dyDescent="0.25">
      <c r="A8647" s="405" t="s">
        <v>310</v>
      </c>
      <c r="B8647" s="405" t="s">
        <v>10199</v>
      </c>
      <c r="C8647" s="405" t="s">
        <v>327</v>
      </c>
      <c r="D8647" s="405"/>
      <c r="E8647" s="410">
        <v>40642</v>
      </c>
      <c r="F8647" s="410">
        <v>40687</v>
      </c>
      <c r="G8647" s="405" t="s">
        <v>10200</v>
      </c>
      <c r="H8647" s="405">
        <v>787297760</v>
      </c>
      <c r="I8647" s="405"/>
      <c r="J8647" s="405">
        <v>0.60684700000000003</v>
      </c>
      <c r="K8647" s="405">
        <v>34.136826999999997</v>
      </c>
      <c r="L8647" s="405" t="s">
        <v>6866</v>
      </c>
      <c r="M8647" s="405" t="s">
        <v>9534</v>
      </c>
      <c r="N8647" s="405" t="s">
        <v>10201</v>
      </c>
      <c r="O8647" s="405" t="s">
        <v>10202</v>
      </c>
      <c r="P8647" s="405" t="s">
        <v>10203</v>
      </c>
      <c r="Q8647" s="411">
        <v>6</v>
      </c>
      <c r="R8647" s="405" t="s">
        <v>7224</v>
      </c>
      <c r="S8647" s="405" t="s">
        <v>27073</v>
      </c>
      <c r="T8647" s="405" t="s">
        <v>32102</v>
      </c>
      <c r="U8647" s="405" t="s">
        <v>319</v>
      </c>
    </row>
    <row r="8648" spans="1:21" hidden="1" x14ac:dyDescent="0.25">
      <c r="A8648" s="405" t="s">
        <v>310</v>
      </c>
      <c r="B8648" s="405" t="s">
        <v>10217</v>
      </c>
      <c r="C8648" s="405" t="s">
        <v>327</v>
      </c>
      <c r="D8648" s="405"/>
      <c r="E8648" s="410">
        <v>40641</v>
      </c>
      <c r="F8648" s="410">
        <v>40686</v>
      </c>
      <c r="G8648" s="405" t="s">
        <v>10218</v>
      </c>
      <c r="H8648" s="405">
        <v>754968316</v>
      </c>
      <c r="I8648" s="405">
        <v>77793970</v>
      </c>
      <c r="J8648" s="405">
        <v>1.0724480000000001</v>
      </c>
      <c r="K8648" s="405">
        <v>34.271568000000002</v>
      </c>
      <c r="L8648" s="405" t="s">
        <v>6866</v>
      </c>
      <c r="M8648" s="405" t="s">
        <v>9514</v>
      </c>
      <c r="N8648" s="405" t="s">
        <v>9529</v>
      </c>
      <c r="O8648" s="405" t="s">
        <v>10139</v>
      </c>
      <c r="P8648" s="405" t="s">
        <v>10219</v>
      </c>
      <c r="Q8648" s="411">
        <v>6</v>
      </c>
      <c r="R8648" s="405" t="s">
        <v>7224</v>
      </c>
      <c r="S8648" s="405" t="s">
        <v>27107</v>
      </c>
      <c r="T8648" s="405" t="s">
        <v>32102</v>
      </c>
      <c r="U8648" s="405" t="s">
        <v>319</v>
      </c>
    </row>
    <row r="8649" spans="1:21" hidden="1" x14ac:dyDescent="0.25">
      <c r="A8649" s="405" t="s">
        <v>310</v>
      </c>
      <c r="B8649" s="405" t="s">
        <v>27551</v>
      </c>
      <c r="C8649" s="405" t="s">
        <v>327</v>
      </c>
      <c r="D8649" s="405"/>
      <c r="E8649" s="410">
        <v>40639</v>
      </c>
      <c r="F8649" s="410">
        <v>40684</v>
      </c>
      <c r="G8649" s="405" t="s">
        <v>20007</v>
      </c>
      <c r="H8649" s="405">
        <v>701050660</v>
      </c>
      <c r="I8649" s="405"/>
      <c r="J8649" s="405">
        <v>-0.85565400000000003</v>
      </c>
      <c r="K8649" s="405">
        <v>29.892071000000001</v>
      </c>
      <c r="L8649" s="405" t="s">
        <v>590</v>
      </c>
      <c r="M8649" s="405" t="s">
        <v>19619</v>
      </c>
      <c r="N8649" s="405" t="s">
        <v>19793</v>
      </c>
      <c r="O8649" s="405" t="s">
        <v>19794</v>
      </c>
      <c r="P8649" s="405" t="s">
        <v>20008</v>
      </c>
      <c r="Q8649" s="411">
        <v>9</v>
      </c>
      <c r="R8649" s="405" t="s">
        <v>874</v>
      </c>
      <c r="S8649" s="405" t="s">
        <v>27205</v>
      </c>
      <c r="T8649" s="405" t="s">
        <v>32102</v>
      </c>
      <c r="U8649" s="405" t="s">
        <v>319</v>
      </c>
    </row>
    <row r="8650" spans="1:21" hidden="1" x14ac:dyDescent="0.25">
      <c r="A8650" s="405" t="s">
        <v>310</v>
      </c>
      <c r="B8650" s="405" t="s">
        <v>19999</v>
      </c>
      <c r="C8650" s="405" t="s">
        <v>327</v>
      </c>
      <c r="D8650" s="405"/>
      <c r="E8650" s="410">
        <v>40639</v>
      </c>
      <c r="F8650" s="410">
        <v>40684</v>
      </c>
      <c r="G8650" s="405" t="s">
        <v>20000</v>
      </c>
      <c r="H8650" s="405">
        <v>776533336</v>
      </c>
      <c r="I8650" s="405">
        <v>752533346</v>
      </c>
      <c r="J8650" s="405">
        <v>-0.46433200000000002</v>
      </c>
      <c r="K8650" s="405">
        <v>30.607182999999999</v>
      </c>
      <c r="L8650" s="405" t="s">
        <v>590</v>
      </c>
      <c r="M8650" s="405" t="s">
        <v>19614</v>
      </c>
      <c r="N8650" s="405" t="s">
        <v>19615</v>
      </c>
      <c r="O8650" s="405" t="s">
        <v>19616</v>
      </c>
      <c r="P8650" s="405" t="s">
        <v>20001</v>
      </c>
      <c r="Q8650" s="411">
        <v>9</v>
      </c>
      <c r="R8650" s="405" t="s">
        <v>333</v>
      </c>
      <c r="S8650" s="405" t="s">
        <v>27096</v>
      </c>
      <c r="T8650" s="405" t="s">
        <v>32102</v>
      </c>
      <c r="U8650" s="405" t="s">
        <v>319</v>
      </c>
    </row>
    <row r="8651" spans="1:21" hidden="1" x14ac:dyDescent="0.25">
      <c r="A8651" s="405" t="s">
        <v>310</v>
      </c>
      <c r="B8651" s="405" t="s">
        <v>63</v>
      </c>
      <c r="C8651" s="405" t="s">
        <v>311</v>
      </c>
      <c r="D8651" s="405" t="s">
        <v>1013</v>
      </c>
      <c r="E8651" s="410">
        <v>40639</v>
      </c>
      <c r="F8651" s="410">
        <v>40684</v>
      </c>
      <c r="G8651" s="405" t="s">
        <v>10661</v>
      </c>
      <c r="H8651" s="405">
        <v>771889449</v>
      </c>
      <c r="I8651" s="405"/>
      <c r="J8651" s="405">
        <v>1.0556319999999999</v>
      </c>
      <c r="K8651" s="405">
        <v>33.826681999999998</v>
      </c>
      <c r="L8651" s="405" t="s">
        <v>6866</v>
      </c>
      <c r="M8651" s="405" t="s">
        <v>10152</v>
      </c>
      <c r="N8651" s="405" t="s">
        <v>10152</v>
      </c>
      <c r="O8651" s="405" t="s">
        <v>10152</v>
      </c>
      <c r="P8651" s="405" t="s">
        <v>10662</v>
      </c>
      <c r="Q8651" s="411">
        <v>6</v>
      </c>
      <c r="R8651" s="405" t="s">
        <v>9541</v>
      </c>
      <c r="S8651" s="405" t="s">
        <v>27308</v>
      </c>
      <c r="T8651" s="405" t="s">
        <v>32102</v>
      </c>
      <c r="U8651" s="405" t="s">
        <v>319</v>
      </c>
    </row>
    <row r="8652" spans="1:21" hidden="1" x14ac:dyDescent="0.25">
      <c r="A8652" s="405" t="s">
        <v>310</v>
      </c>
      <c r="B8652" s="405" t="s">
        <v>29056</v>
      </c>
      <c r="C8652" s="405" t="s">
        <v>327</v>
      </c>
      <c r="D8652" s="405"/>
      <c r="E8652" s="410">
        <v>40638</v>
      </c>
      <c r="F8652" s="410">
        <v>40683</v>
      </c>
      <c r="G8652" s="405" t="s">
        <v>1198</v>
      </c>
      <c r="H8652" s="405">
        <v>772588913</v>
      </c>
      <c r="I8652" s="405">
        <v>701294050</v>
      </c>
      <c r="J8652" s="405">
        <v>-0.34227289999999999</v>
      </c>
      <c r="K8652" s="405">
        <v>31.7245773</v>
      </c>
      <c r="L8652" s="405" t="s">
        <v>314</v>
      </c>
      <c r="M8652" s="405" t="s">
        <v>382</v>
      </c>
      <c r="N8652" s="405" t="s">
        <v>383</v>
      </c>
      <c r="O8652" s="405" t="s">
        <v>1199</v>
      </c>
      <c r="P8652" s="405" t="s">
        <v>1199</v>
      </c>
      <c r="Q8652" s="411">
        <v>9</v>
      </c>
      <c r="R8652" s="405" t="s">
        <v>402</v>
      </c>
      <c r="S8652" s="405" t="s">
        <v>27121</v>
      </c>
      <c r="T8652" s="405" t="s">
        <v>32102</v>
      </c>
      <c r="U8652" s="405" t="s">
        <v>319</v>
      </c>
    </row>
    <row r="8653" spans="1:21" hidden="1" x14ac:dyDescent="0.25">
      <c r="A8653" s="405" t="s">
        <v>310</v>
      </c>
      <c r="B8653" s="405" t="s">
        <v>28737</v>
      </c>
      <c r="C8653" s="405" t="s">
        <v>327</v>
      </c>
      <c r="D8653" s="405"/>
      <c r="E8653" s="410">
        <v>40638</v>
      </c>
      <c r="F8653" s="410">
        <v>40683</v>
      </c>
      <c r="G8653" s="405" t="s">
        <v>10190</v>
      </c>
      <c r="H8653" s="405">
        <v>774935495</v>
      </c>
      <c r="I8653" s="405"/>
      <c r="J8653" s="405">
        <v>0.68501999999999996</v>
      </c>
      <c r="K8653" s="405">
        <v>34.192937000000001</v>
      </c>
      <c r="L8653" s="405" t="s">
        <v>6866</v>
      </c>
      <c r="M8653" s="405" t="s">
        <v>9534</v>
      </c>
      <c r="N8653" s="405" t="s">
        <v>10191</v>
      </c>
      <c r="O8653" s="405" t="s">
        <v>10192</v>
      </c>
      <c r="P8653" s="405" t="s">
        <v>10193</v>
      </c>
      <c r="Q8653" s="411">
        <v>6</v>
      </c>
      <c r="R8653" s="405" t="s">
        <v>7224</v>
      </c>
      <c r="S8653" s="405" t="s">
        <v>27310</v>
      </c>
      <c r="T8653" s="405" t="s">
        <v>32102</v>
      </c>
      <c r="U8653" s="405" t="s">
        <v>319</v>
      </c>
    </row>
    <row r="8654" spans="1:21" hidden="1" x14ac:dyDescent="0.25">
      <c r="A8654" s="405" t="s">
        <v>310</v>
      </c>
      <c r="B8654" s="405" t="s">
        <v>10207</v>
      </c>
      <c r="C8654" s="405" t="s">
        <v>327</v>
      </c>
      <c r="D8654" s="405"/>
      <c r="E8654" s="410">
        <v>40638</v>
      </c>
      <c r="F8654" s="410">
        <v>40683</v>
      </c>
      <c r="G8654" s="405" t="s">
        <v>10208</v>
      </c>
      <c r="H8654" s="405">
        <v>779764636</v>
      </c>
      <c r="I8654" s="405"/>
      <c r="J8654" s="405">
        <v>1.4125920000000001</v>
      </c>
      <c r="K8654" s="405">
        <v>33.745823000000001</v>
      </c>
      <c r="L8654" s="405" t="s">
        <v>6866</v>
      </c>
      <c r="M8654" s="405" t="s">
        <v>10012</v>
      </c>
      <c r="N8654" s="405" t="s">
        <v>10012</v>
      </c>
      <c r="O8654" s="405" t="s">
        <v>10092</v>
      </c>
      <c r="P8654" s="405" t="s">
        <v>10209</v>
      </c>
      <c r="Q8654" s="411">
        <v>6</v>
      </c>
      <c r="R8654" s="405" t="s">
        <v>9541</v>
      </c>
      <c r="S8654" s="405" t="s">
        <v>27300</v>
      </c>
      <c r="T8654" s="405" t="s">
        <v>32102</v>
      </c>
      <c r="U8654" s="405" t="s">
        <v>319</v>
      </c>
    </row>
    <row r="8655" spans="1:21" hidden="1" x14ac:dyDescent="0.25">
      <c r="A8655" s="405" t="s">
        <v>310</v>
      </c>
      <c r="B8655" s="405" t="s">
        <v>10210</v>
      </c>
      <c r="C8655" s="405" t="s">
        <v>327</v>
      </c>
      <c r="D8655" s="405"/>
      <c r="E8655" s="410">
        <v>40638</v>
      </c>
      <c r="F8655" s="410">
        <v>40683</v>
      </c>
      <c r="G8655" s="405" t="s">
        <v>10211</v>
      </c>
      <c r="H8655" s="405">
        <v>783802535</v>
      </c>
      <c r="I8655" s="405"/>
      <c r="J8655" s="405">
        <v>1.2231479999999999</v>
      </c>
      <c r="K8655" s="405">
        <v>34.104973000000001</v>
      </c>
      <c r="L8655" s="405" t="s">
        <v>6866</v>
      </c>
      <c r="M8655" s="405" t="s">
        <v>9504</v>
      </c>
      <c r="N8655" s="405" t="s">
        <v>9598</v>
      </c>
      <c r="O8655" s="405" t="s">
        <v>9598</v>
      </c>
      <c r="P8655" s="405" t="s">
        <v>10212</v>
      </c>
      <c r="Q8655" s="411">
        <v>6</v>
      </c>
      <c r="R8655" s="405" t="s">
        <v>9541</v>
      </c>
      <c r="S8655" s="405" t="s">
        <v>27296</v>
      </c>
      <c r="T8655" s="405" t="s">
        <v>32102</v>
      </c>
      <c r="U8655" s="405" t="s">
        <v>319</v>
      </c>
    </row>
    <row r="8656" spans="1:21" hidden="1" x14ac:dyDescent="0.25">
      <c r="A8656" s="405" t="s">
        <v>310</v>
      </c>
      <c r="B8656" s="405" t="s">
        <v>1212</v>
      </c>
      <c r="C8656" s="405" t="s">
        <v>327</v>
      </c>
      <c r="D8656" s="405"/>
      <c r="E8656" s="410">
        <v>40637</v>
      </c>
      <c r="F8656" s="410">
        <v>40682</v>
      </c>
      <c r="G8656" s="405" t="s">
        <v>1213</v>
      </c>
      <c r="H8656" s="405">
        <v>772490349</v>
      </c>
      <c r="I8656" s="405">
        <v>782803920</v>
      </c>
      <c r="J8656" s="405">
        <v>-0.35019800000000001</v>
      </c>
      <c r="K8656" s="405">
        <v>31.559418000000001</v>
      </c>
      <c r="L8656" s="405" t="s">
        <v>314</v>
      </c>
      <c r="M8656" s="405" t="s">
        <v>1189</v>
      </c>
      <c r="N8656" s="405" t="s">
        <v>941</v>
      </c>
      <c r="O8656" s="405" t="s">
        <v>1214</v>
      </c>
      <c r="P8656" s="405" t="s">
        <v>1215</v>
      </c>
      <c r="Q8656" s="411">
        <v>12</v>
      </c>
      <c r="R8656" s="405" t="s">
        <v>318</v>
      </c>
      <c r="S8656" s="405" t="s">
        <v>27134</v>
      </c>
      <c r="T8656" s="405" t="s">
        <v>32102</v>
      </c>
      <c r="U8656" s="405" t="s">
        <v>319</v>
      </c>
    </row>
    <row r="8657" spans="1:21" hidden="1" x14ac:dyDescent="0.25">
      <c r="A8657" s="405" t="s">
        <v>310</v>
      </c>
      <c r="B8657" s="405" t="s">
        <v>29009</v>
      </c>
      <c r="C8657" s="405" t="s">
        <v>327</v>
      </c>
      <c r="D8657" s="405"/>
      <c r="E8657" s="410">
        <v>40637</v>
      </c>
      <c r="F8657" s="410">
        <v>40682</v>
      </c>
      <c r="G8657" s="405" t="s">
        <v>1262</v>
      </c>
      <c r="H8657" s="405">
        <v>754964449</v>
      </c>
      <c r="I8657" s="405">
        <v>730060402</v>
      </c>
      <c r="J8657" s="405">
        <v>-0.34073199999999998</v>
      </c>
      <c r="K8657" s="405">
        <v>31.750052</v>
      </c>
      <c r="L8657" s="405" t="s">
        <v>314</v>
      </c>
      <c r="M8657" s="405" t="s">
        <v>382</v>
      </c>
      <c r="N8657" s="405" t="s">
        <v>383</v>
      </c>
      <c r="O8657" s="405" t="s">
        <v>942</v>
      </c>
      <c r="P8657" s="405" t="s">
        <v>943</v>
      </c>
      <c r="Q8657" s="411">
        <v>9</v>
      </c>
      <c r="R8657" s="405" t="s">
        <v>1263</v>
      </c>
      <c r="S8657" s="405" t="s">
        <v>27161</v>
      </c>
      <c r="T8657" s="405" t="s">
        <v>32102</v>
      </c>
      <c r="U8657" s="405" t="s">
        <v>319</v>
      </c>
    </row>
    <row r="8658" spans="1:21" hidden="1" x14ac:dyDescent="0.25">
      <c r="A8658" s="405" t="s">
        <v>310</v>
      </c>
      <c r="B8658" s="405" t="s">
        <v>1216</v>
      </c>
      <c r="C8658" s="405" t="s">
        <v>327</v>
      </c>
      <c r="D8658" s="405"/>
      <c r="E8658" s="410">
        <v>40637</v>
      </c>
      <c r="F8658" s="410">
        <v>40682</v>
      </c>
      <c r="G8658" s="405" t="s">
        <v>1217</v>
      </c>
      <c r="H8658" s="405">
        <v>704789726</v>
      </c>
      <c r="I8658" s="405"/>
      <c r="J8658" s="405">
        <v>-0.580067</v>
      </c>
      <c r="K8658" s="405">
        <v>31.645488</v>
      </c>
      <c r="L8658" s="405" t="s">
        <v>314</v>
      </c>
      <c r="M8658" s="405" t="s">
        <v>398</v>
      </c>
      <c r="N8658" s="405" t="s">
        <v>399</v>
      </c>
      <c r="O8658" s="405" t="s">
        <v>740</v>
      </c>
      <c r="P8658" s="405" t="s">
        <v>1218</v>
      </c>
      <c r="Q8658" s="411">
        <v>6</v>
      </c>
      <c r="R8658" s="405" t="s">
        <v>318</v>
      </c>
      <c r="S8658" s="405" t="s">
        <v>22481</v>
      </c>
      <c r="T8658" s="405" t="s">
        <v>32102</v>
      </c>
      <c r="U8658" s="405" t="s">
        <v>319</v>
      </c>
    </row>
    <row r="8659" spans="1:21" hidden="1" x14ac:dyDescent="0.25">
      <c r="A8659" s="405" t="s">
        <v>310</v>
      </c>
      <c r="B8659" s="405" t="s">
        <v>28233</v>
      </c>
      <c r="C8659" s="405" t="s">
        <v>327</v>
      </c>
      <c r="D8659" s="405"/>
      <c r="E8659" s="410">
        <v>40637</v>
      </c>
      <c r="F8659" s="410">
        <v>40682</v>
      </c>
      <c r="G8659" s="405" t="s">
        <v>1333</v>
      </c>
      <c r="H8659" s="405">
        <v>772921827</v>
      </c>
      <c r="I8659" s="405"/>
      <c r="J8659" s="405">
        <v>0.36119699999999999</v>
      </c>
      <c r="K8659" s="405">
        <v>33.073084999999999</v>
      </c>
      <c r="L8659" s="405" t="s">
        <v>314</v>
      </c>
      <c r="M8659" s="405" t="s">
        <v>349</v>
      </c>
      <c r="N8659" s="405" t="s">
        <v>473</v>
      </c>
      <c r="O8659" s="405" t="s">
        <v>656</v>
      </c>
      <c r="P8659" s="405" t="s">
        <v>1334</v>
      </c>
      <c r="Q8659" s="411">
        <v>6</v>
      </c>
      <c r="R8659" s="405" t="s">
        <v>318</v>
      </c>
      <c r="S8659" s="405" t="s">
        <v>27135</v>
      </c>
      <c r="T8659" s="405" t="s">
        <v>32102</v>
      </c>
      <c r="U8659" s="405" t="s">
        <v>319</v>
      </c>
    </row>
    <row r="8660" spans="1:21" hidden="1" x14ac:dyDescent="0.25">
      <c r="A8660" s="405" t="s">
        <v>310</v>
      </c>
      <c r="B8660" s="405" t="s">
        <v>1219</v>
      </c>
      <c r="C8660" s="405" t="s">
        <v>327</v>
      </c>
      <c r="D8660" s="405"/>
      <c r="E8660" s="410">
        <v>40636</v>
      </c>
      <c r="F8660" s="410">
        <v>40681</v>
      </c>
      <c r="G8660" s="405" t="s">
        <v>1220</v>
      </c>
      <c r="H8660" s="405">
        <v>773275856</v>
      </c>
      <c r="I8660" s="405">
        <v>751179278</v>
      </c>
      <c r="J8660" s="405">
        <v>-0.57874499999999995</v>
      </c>
      <c r="K8660" s="405">
        <v>31.645921999999999</v>
      </c>
      <c r="L8660" s="405" t="s">
        <v>314</v>
      </c>
      <c r="M8660" s="405" t="s">
        <v>398</v>
      </c>
      <c r="N8660" s="405" t="s">
        <v>399</v>
      </c>
      <c r="O8660" s="405" t="s">
        <v>740</v>
      </c>
      <c r="P8660" s="405" t="s">
        <v>1221</v>
      </c>
      <c r="Q8660" s="411">
        <v>6</v>
      </c>
      <c r="R8660" s="405" t="s">
        <v>318</v>
      </c>
      <c r="S8660" s="405" t="s">
        <v>22481</v>
      </c>
      <c r="T8660" s="405" t="s">
        <v>32102</v>
      </c>
      <c r="U8660" s="405" t="s">
        <v>319</v>
      </c>
    </row>
    <row r="8661" spans="1:21" hidden="1" x14ac:dyDescent="0.25">
      <c r="A8661" s="405" t="s">
        <v>310</v>
      </c>
      <c r="B8661" s="405" t="s">
        <v>1250</v>
      </c>
      <c r="C8661" s="405" t="s">
        <v>327</v>
      </c>
      <c r="D8661" s="405"/>
      <c r="E8661" s="410">
        <v>40636</v>
      </c>
      <c r="F8661" s="410">
        <v>40681</v>
      </c>
      <c r="G8661" s="405" t="s">
        <v>1251</v>
      </c>
      <c r="H8661" s="405">
        <v>782977077</v>
      </c>
      <c r="I8661" s="405"/>
      <c r="J8661" s="405">
        <v>0.17203499999999999</v>
      </c>
      <c r="K8661" s="405">
        <v>32.130360000000003</v>
      </c>
      <c r="L8661" s="405" t="s">
        <v>314</v>
      </c>
      <c r="M8661" s="405" t="s">
        <v>315</v>
      </c>
      <c r="N8661" s="405" t="s">
        <v>315</v>
      </c>
      <c r="O8661" s="405" t="s">
        <v>1252</v>
      </c>
      <c r="P8661" s="405" t="s">
        <v>1253</v>
      </c>
      <c r="Q8661" s="411">
        <v>6</v>
      </c>
      <c r="R8661" s="405" t="s">
        <v>318</v>
      </c>
      <c r="S8661" s="405" t="s">
        <v>27137</v>
      </c>
      <c r="T8661" s="405" t="s">
        <v>32102</v>
      </c>
      <c r="U8661" s="405" t="s">
        <v>319</v>
      </c>
    </row>
    <row r="8662" spans="1:21" hidden="1" x14ac:dyDescent="0.25">
      <c r="A8662" s="405" t="s">
        <v>310</v>
      </c>
      <c r="B8662" s="405" t="s">
        <v>1166</v>
      </c>
      <c r="C8662" s="405" t="s">
        <v>327</v>
      </c>
      <c r="D8662" s="405"/>
      <c r="E8662" s="410">
        <v>40636</v>
      </c>
      <c r="F8662" s="410">
        <v>40681</v>
      </c>
      <c r="G8662" s="405" t="s">
        <v>1167</v>
      </c>
      <c r="H8662" s="405">
        <v>752394291</v>
      </c>
      <c r="I8662" s="405">
        <v>752402230</v>
      </c>
      <c r="J8662" s="405">
        <v>-0.35409639999999998</v>
      </c>
      <c r="K8662" s="405">
        <v>31.729536499999998</v>
      </c>
      <c r="L8662" s="405" t="s">
        <v>314</v>
      </c>
      <c r="M8662" s="405" t="s">
        <v>382</v>
      </c>
      <c r="N8662" s="405" t="s">
        <v>383</v>
      </c>
      <c r="O8662" s="405" t="s">
        <v>1168</v>
      </c>
      <c r="P8662" s="405" t="s">
        <v>1169</v>
      </c>
      <c r="Q8662" s="411">
        <v>6</v>
      </c>
      <c r="R8662" s="405" t="s">
        <v>402</v>
      </c>
      <c r="S8662" s="405" t="s">
        <v>27052</v>
      </c>
      <c r="T8662" s="405" t="s">
        <v>32102</v>
      </c>
      <c r="U8662" s="405" t="s">
        <v>319</v>
      </c>
    </row>
    <row r="8663" spans="1:21" hidden="1" x14ac:dyDescent="0.25">
      <c r="A8663" s="405" t="s">
        <v>310</v>
      </c>
      <c r="B8663" s="405" t="s">
        <v>28716</v>
      </c>
      <c r="C8663" s="405" t="s">
        <v>311</v>
      </c>
      <c r="D8663" s="405" t="s">
        <v>932</v>
      </c>
      <c r="E8663" s="410">
        <v>40634</v>
      </c>
      <c r="F8663" s="410">
        <v>40679</v>
      </c>
      <c r="G8663" s="405" t="s">
        <v>18519</v>
      </c>
      <c r="H8663" s="405">
        <v>758394039</v>
      </c>
      <c r="I8663" s="405">
        <v>775872788</v>
      </c>
      <c r="J8663" s="405">
        <v>1.830363</v>
      </c>
      <c r="K8663" s="405">
        <v>33.021748000000002</v>
      </c>
      <c r="L8663" s="405" t="s">
        <v>860</v>
      </c>
      <c r="M8663" s="405" t="s">
        <v>12189</v>
      </c>
      <c r="N8663" s="405" t="s">
        <v>18298</v>
      </c>
      <c r="O8663" s="405" t="s">
        <v>18520</v>
      </c>
      <c r="P8663" s="405" t="s">
        <v>18521</v>
      </c>
      <c r="Q8663" s="411">
        <v>4</v>
      </c>
      <c r="R8663" s="405" t="s">
        <v>318</v>
      </c>
      <c r="S8663" s="405" t="s">
        <v>27243</v>
      </c>
      <c r="T8663" s="405" t="s">
        <v>32102</v>
      </c>
      <c r="U8663" s="405" t="s">
        <v>319</v>
      </c>
    </row>
    <row r="8664" spans="1:21" hidden="1" x14ac:dyDescent="0.25">
      <c r="A8664" s="405" t="s">
        <v>310</v>
      </c>
      <c r="B8664" s="405" t="s">
        <v>1254</v>
      </c>
      <c r="C8664" s="405" t="s">
        <v>327</v>
      </c>
      <c r="D8664" s="405"/>
      <c r="E8664" s="410">
        <v>40633</v>
      </c>
      <c r="F8664" s="410">
        <v>40678</v>
      </c>
      <c r="G8664" s="405" t="s">
        <v>1255</v>
      </c>
      <c r="H8664" s="405">
        <v>752515782</v>
      </c>
      <c r="I8664" s="405"/>
      <c r="J8664" s="405">
        <v>0.51768999999999998</v>
      </c>
      <c r="K8664" s="405">
        <v>32.472565000000003</v>
      </c>
      <c r="L8664" s="405" t="s">
        <v>314</v>
      </c>
      <c r="M8664" s="405" t="s">
        <v>361</v>
      </c>
      <c r="N8664" s="405" t="s">
        <v>362</v>
      </c>
      <c r="O8664" s="405" t="s">
        <v>523</v>
      </c>
      <c r="P8664" s="405" t="s">
        <v>1256</v>
      </c>
      <c r="Q8664" s="411">
        <v>13</v>
      </c>
      <c r="R8664" s="405" t="s">
        <v>318</v>
      </c>
      <c r="S8664" s="405" t="s">
        <v>27148</v>
      </c>
      <c r="T8664" s="405" t="s">
        <v>32102</v>
      </c>
      <c r="U8664" s="405" t="s">
        <v>319</v>
      </c>
    </row>
    <row r="8665" spans="1:21" hidden="1" x14ac:dyDescent="0.25">
      <c r="A8665" s="405" t="s">
        <v>310</v>
      </c>
      <c r="B8665" s="405" t="s">
        <v>1335</v>
      </c>
      <c r="C8665" s="405" t="s">
        <v>327</v>
      </c>
      <c r="D8665" s="405"/>
      <c r="E8665" s="410">
        <v>40633</v>
      </c>
      <c r="F8665" s="410">
        <v>40678</v>
      </c>
      <c r="G8665" s="405" t="s">
        <v>1336</v>
      </c>
      <c r="H8665" s="405">
        <v>776757574</v>
      </c>
      <c r="I8665" s="405"/>
      <c r="J8665" s="405">
        <v>0.41933199999999998</v>
      </c>
      <c r="K8665" s="405">
        <v>32.584446999999997</v>
      </c>
      <c r="L8665" s="405" t="s">
        <v>314</v>
      </c>
      <c r="M8665" s="405" t="s">
        <v>361</v>
      </c>
      <c r="N8665" s="405" t="s">
        <v>362</v>
      </c>
      <c r="O8665" s="405" t="s">
        <v>410</v>
      </c>
      <c r="P8665" s="405" t="s">
        <v>1337</v>
      </c>
      <c r="Q8665" s="411">
        <v>12</v>
      </c>
      <c r="R8665" s="405" t="s">
        <v>353</v>
      </c>
      <c r="S8665" s="405" t="s">
        <v>27115</v>
      </c>
      <c r="T8665" s="405" t="s">
        <v>32102</v>
      </c>
      <c r="U8665" s="405" t="s">
        <v>319</v>
      </c>
    </row>
    <row r="8666" spans="1:21" hidden="1" x14ac:dyDescent="0.25">
      <c r="A8666" s="405" t="s">
        <v>310</v>
      </c>
      <c r="B8666" s="405" t="s">
        <v>1227</v>
      </c>
      <c r="C8666" s="405" t="s">
        <v>327</v>
      </c>
      <c r="D8666" s="405"/>
      <c r="E8666" s="410">
        <v>40633</v>
      </c>
      <c r="F8666" s="410">
        <v>40678</v>
      </c>
      <c r="G8666" s="405" t="s">
        <v>1228</v>
      </c>
      <c r="H8666" s="405">
        <v>772926321</v>
      </c>
      <c r="I8666" s="405"/>
      <c r="J8666" s="405">
        <v>0.69297600000000004</v>
      </c>
      <c r="K8666" s="405">
        <v>32.905903000000002</v>
      </c>
      <c r="L8666" s="405" t="s">
        <v>314</v>
      </c>
      <c r="M8666" s="405" t="s">
        <v>502</v>
      </c>
      <c r="N8666" s="405" t="s">
        <v>1229</v>
      </c>
      <c r="O8666" s="405" t="s">
        <v>502</v>
      </c>
      <c r="P8666" s="405" t="s">
        <v>1230</v>
      </c>
      <c r="Q8666" s="411">
        <v>12</v>
      </c>
      <c r="R8666" s="405" t="s">
        <v>318</v>
      </c>
      <c r="S8666" s="405" t="s">
        <v>27113</v>
      </c>
      <c r="T8666" s="405" t="s">
        <v>32102</v>
      </c>
      <c r="U8666" s="405" t="s">
        <v>319</v>
      </c>
    </row>
    <row r="8667" spans="1:21" hidden="1" x14ac:dyDescent="0.25">
      <c r="A8667" s="405" t="s">
        <v>310</v>
      </c>
      <c r="B8667" s="405" t="s">
        <v>1352</v>
      </c>
      <c r="C8667" s="405" t="s">
        <v>327</v>
      </c>
      <c r="D8667" s="405"/>
      <c r="E8667" s="410">
        <v>40633</v>
      </c>
      <c r="F8667" s="410">
        <v>40678</v>
      </c>
      <c r="G8667" s="405" t="s">
        <v>1353</v>
      </c>
      <c r="H8667" s="405">
        <v>752655390</v>
      </c>
      <c r="I8667" s="405"/>
      <c r="J8667" s="405">
        <v>0.499643</v>
      </c>
      <c r="K8667" s="405">
        <v>32.593187999999998</v>
      </c>
      <c r="L8667" s="405" t="s">
        <v>314</v>
      </c>
      <c r="M8667" s="405" t="s">
        <v>361</v>
      </c>
      <c r="N8667" s="405" t="s">
        <v>362</v>
      </c>
      <c r="O8667" s="405" t="s">
        <v>433</v>
      </c>
      <c r="P8667" s="405" t="s">
        <v>1354</v>
      </c>
      <c r="Q8667" s="411">
        <v>12</v>
      </c>
      <c r="R8667" s="405" t="s">
        <v>318</v>
      </c>
      <c r="S8667" s="405" t="s">
        <v>27137</v>
      </c>
      <c r="T8667" s="405" t="s">
        <v>32102</v>
      </c>
      <c r="U8667" s="405" t="s">
        <v>319</v>
      </c>
    </row>
    <row r="8668" spans="1:21" hidden="1" x14ac:dyDescent="0.25">
      <c r="A8668" s="405" t="s">
        <v>310</v>
      </c>
      <c r="B8668" s="405" t="s">
        <v>1314</v>
      </c>
      <c r="C8668" s="405" t="s">
        <v>327</v>
      </c>
      <c r="D8668" s="405"/>
      <c r="E8668" s="410">
        <v>40633</v>
      </c>
      <c r="F8668" s="410">
        <v>40678</v>
      </c>
      <c r="G8668" s="405" t="s">
        <v>1315</v>
      </c>
      <c r="H8668" s="405">
        <v>772507945</v>
      </c>
      <c r="I8668" s="405"/>
      <c r="J8668" s="405">
        <v>0.46292299999999997</v>
      </c>
      <c r="K8668" s="405">
        <v>32.600430000000003</v>
      </c>
      <c r="L8668" s="405" t="s">
        <v>314</v>
      </c>
      <c r="M8668" s="405" t="s">
        <v>361</v>
      </c>
      <c r="N8668" s="405" t="s">
        <v>362</v>
      </c>
      <c r="O8668" s="405" t="s">
        <v>410</v>
      </c>
      <c r="P8668" s="405" t="s">
        <v>1316</v>
      </c>
      <c r="Q8668" s="411">
        <v>12</v>
      </c>
      <c r="R8668" s="405" t="s">
        <v>353</v>
      </c>
      <c r="S8668" s="405" t="s">
        <v>27115</v>
      </c>
      <c r="T8668" s="405" t="s">
        <v>32102</v>
      </c>
      <c r="U8668" s="405" t="s">
        <v>319</v>
      </c>
    </row>
    <row r="8669" spans="1:21" hidden="1" x14ac:dyDescent="0.25">
      <c r="A8669" s="405" t="s">
        <v>310</v>
      </c>
      <c r="B8669" s="405" t="s">
        <v>1727</v>
      </c>
      <c r="C8669" s="405" t="s">
        <v>311</v>
      </c>
      <c r="D8669" s="405" t="s">
        <v>1111</v>
      </c>
      <c r="E8669" s="410">
        <v>40633</v>
      </c>
      <c r="F8669" s="410">
        <v>40678</v>
      </c>
      <c r="G8669" s="405" t="s">
        <v>1728</v>
      </c>
      <c r="H8669" s="405">
        <v>782586312</v>
      </c>
      <c r="I8669" s="405"/>
      <c r="J8669" s="405">
        <v>0.66601999999999995</v>
      </c>
      <c r="K8669" s="405">
        <v>32.540528000000002</v>
      </c>
      <c r="L8669" s="405" t="s">
        <v>314</v>
      </c>
      <c r="M8669" s="405" t="s">
        <v>959</v>
      </c>
      <c r="N8669" s="405" t="s">
        <v>1094</v>
      </c>
      <c r="O8669" s="405" t="s">
        <v>1094</v>
      </c>
      <c r="P8669" s="405" t="s">
        <v>1729</v>
      </c>
      <c r="Q8669" s="411">
        <v>12</v>
      </c>
      <c r="R8669" s="405" t="s">
        <v>333</v>
      </c>
      <c r="S8669" s="405" t="s">
        <v>27165</v>
      </c>
      <c r="T8669" s="405" t="s">
        <v>32102</v>
      </c>
      <c r="U8669" s="405" t="s">
        <v>319</v>
      </c>
    </row>
    <row r="8670" spans="1:21" hidden="1" x14ac:dyDescent="0.25">
      <c r="A8670" s="405" t="s">
        <v>310</v>
      </c>
      <c r="B8670" s="405" t="s">
        <v>1349</v>
      </c>
      <c r="C8670" s="405" t="s">
        <v>327</v>
      </c>
      <c r="D8670" s="405"/>
      <c r="E8670" s="410">
        <v>40633</v>
      </c>
      <c r="F8670" s="410">
        <v>40678</v>
      </c>
      <c r="G8670" s="405" t="s">
        <v>1350</v>
      </c>
      <c r="H8670" s="405">
        <v>757755854</v>
      </c>
      <c r="I8670" s="405"/>
      <c r="J8670" s="405">
        <v>0.46333000000000002</v>
      </c>
      <c r="K8670" s="405">
        <v>32.430149999999998</v>
      </c>
      <c r="L8670" s="405" t="s">
        <v>314</v>
      </c>
      <c r="M8670" s="405" t="s">
        <v>361</v>
      </c>
      <c r="N8670" s="405" t="s">
        <v>374</v>
      </c>
      <c r="O8670" s="405" t="s">
        <v>952</v>
      </c>
      <c r="P8670" s="405" t="s">
        <v>1351</v>
      </c>
      <c r="Q8670" s="411">
        <v>12</v>
      </c>
      <c r="R8670" s="405" t="s">
        <v>353</v>
      </c>
      <c r="S8670" s="405" t="s">
        <v>27153</v>
      </c>
      <c r="T8670" s="405" t="s">
        <v>32102</v>
      </c>
      <c r="U8670" s="405" t="s">
        <v>319</v>
      </c>
    </row>
    <row r="8671" spans="1:21" hidden="1" x14ac:dyDescent="0.25">
      <c r="A8671" s="405" t="s">
        <v>310</v>
      </c>
      <c r="B8671" s="405" t="s">
        <v>1363</v>
      </c>
      <c r="C8671" s="405" t="s">
        <v>327</v>
      </c>
      <c r="D8671" s="405"/>
      <c r="E8671" s="410">
        <v>40633</v>
      </c>
      <c r="F8671" s="410">
        <v>40678</v>
      </c>
      <c r="G8671" s="405" t="s">
        <v>1364</v>
      </c>
      <c r="H8671" s="405">
        <v>787659160</v>
      </c>
      <c r="I8671" s="405"/>
      <c r="J8671" s="405">
        <v>0.44427833333333333</v>
      </c>
      <c r="K8671" s="405">
        <v>32.626440000000002</v>
      </c>
      <c r="L8671" s="405" t="s">
        <v>314</v>
      </c>
      <c r="M8671" s="405" t="s">
        <v>361</v>
      </c>
      <c r="N8671" s="405" t="s">
        <v>362</v>
      </c>
      <c r="O8671" s="405" t="s">
        <v>1365</v>
      </c>
      <c r="P8671" s="405" t="s">
        <v>1366</v>
      </c>
      <c r="Q8671" s="411">
        <v>9</v>
      </c>
      <c r="R8671" s="405" t="s">
        <v>353</v>
      </c>
      <c r="S8671" s="405" t="s">
        <v>27120</v>
      </c>
      <c r="T8671" s="405" t="s">
        <v>32102</v>
      </c>
      <c r="U8671" s="405" t="s">
        <v>319</v>
      </c>
    </row>
    <row r="8672" spans="1:21" hidden="1" x14ac:dyDescent="0.25">
      <c r="A8672" s="405" t="s">
        <v>310</v>
      </c>
      <c r="B8672" s="405" t="s">
        <v>1338</v>
      </c>
      <c r="C8672" s="405" t="s">
        <v>327</v>
      </c>
      <c r="D8672" s="405"/>
      <c r="E8672" s="410">
        <v>40633</v>
      </c>
      <c r="F8672" s="410">
        <v>40678</v>
      </c>
      <c r="G8672" s="405" t="s">
        <v>1339</v>
      </c>
      <c r="H8672" s="405">
        <v>712968035</v>
      </c>
      <c r="I8672" s="405"/>
      <c r="J8672" s="405">
        <v>0.28348499999999999</v>
      </c>
      <c r="K8672" s="405">
        <v>32.544702000000001</v>
      </c>
      <c r="L8672" s="405" t="s">
        <v>314</v>
      </c>
      <c r="M8672" s="405" t="s">
        <v>992</v>
      </c>
      <c r="N8672" s="405" t="s">
        <v>1340</v>
      </c>
      <c r="O8672" s="405" t="s">
        <v>1341</v>
      </c>
      <c r="P8672" s="405" t="s">
        <v>1342</v>
      </c>
      <c r="Q8672" s="411">
        <v>9</v>
      </c>
      <c r="R8672" s="405" t="s">
        <v>353</v>
      </c>
      <c r="S8672" s="405" t="s">
        <v>27049</v>
      </c>
      <c r="T8672" s="405" t="s">
        <v>32102</v>
      </c>
      <c r="U8672" s="405" t="s">
        <v>319</v>
      </c>
    </row>
    <row r="8673" spans="1:21" hidden="1" x14ac:dyDescent="0.25">
      <c r="A8673" s="405" t="s">
        <v>310</v>
      </c>
      <c r="B8673" s="405" t="s">
        <v>1343</v>
      </c>
      <c r="C8673" s="405" t="s">
        <v>327</v>
      </c>
      <c r="D8673" s="405"/>
      <c r="E8673" s="410">
        <v>40633</v>
      </c>
      <c r="F8673" s="410">
        <v>40678</v>
      </c>
      <c r="G8673" s="405" t="s">
        <v>1344</v>
      </c>
      <c r="H8673" s="405">
        <v>782494980</v>
      </c>
      <c r="I8673" s="405"/>
      <c r="J8673" s="405">
        <v>0.36473800000000001</v>
      </c>
      <c r="K8673" s="405">
        <v>32.512273</v>
      </c>
      <c r="L8673" s="405" t="s">
        <v>314</v>
      </c>
      <c r="M8673" s="405" t="s">
        <v>361</v>
      </c>
      <c r="N8673" s="405" t="s">
        <v>374</v>
      </c>
      <c r="O8673" s="405" t="s">
        <v>361</v>
      </c>
      <c r="P8673" s="405" t="s">
        <v>1345</v>
      </c>
      <c r="Q8673" s="411">
        <v>9</v>
      </c>
      <c r="R8673" s="405" t="s">
        <v>353</v>
      </c>
      <c r="S8673" s="405" t="s">
        <v>27115</v>
      </c>
      <c r="T8673" s="405" t="s">
        <v>32102</v>
      </c>
      <c r="U8673" s="405" t="s">
        <v>319</v>
      </c>
    </row>
    <row r="8674" spans="1:21" hidden="1" x14ac:dyDescent="0.25">
      <c r="A8674" s="405" t="s">
        <v>310</v>
      </c>
      <c r="B8674" s="405" t="s">
        <v>1257</v>
      </c>
      <c r="C8674" s="405" t="s">
        <v>327</v>
      </c>
      <c r="D8674" s="405"/>
      <c r="E8674" s="410">
        <v>40633</v>
      </c>
      <c r="F8674" s="410">
        <v>40678</v>
      </c>
      <c r="G8674" s="405" t="s">
        <v>1258</v>
      </c>
      <c r="H8674" s="405">
        <v>712802393</v>
      </c>
      <c r="I8674" s="405"/>
      <c r="J8674" s="405">
        <v>0.38312000000000002</v>
      </c>
      <c r="K8674" s="405">
        <v>32.592256999999996</v>
      </c>
      <c r="L8674" s="405" t="s">
        <v>314</v>
      </c>
      <c r="M8674" s="405" t="s">
        <v>992</v>
      </c>
      <c r="N8674" s="405" t="s">
        <v>362</v>
      </c>
      <c r="O8674" s="405" t="s">
        <v>936</v>
      </c>
      <c r="P8674" s="405" t="s">
        <v>937</v>
      </c>
      <c r="Q8674" s="411">
        <v>9</v>
      </c>
      <c r="R8674" s="405" t="s">
        <v>353</v>
      </c>
      <c r="S8674" s="405" t="s">
        <v>27114</v>
      </c>
      <c r="T8674" s="405" t="s">
        <v>32102</v>
      </c>
      <c r="U8674" s="405" t="s">
        <v>319</v>
      </c>
    </row>
    <row r="8675" spans="1:21" hidden="1" x14ac:dyDescent="0.25">
      <c r="A8675" s="405" t="s">
        <v>310</v>
      </c>
      <c r="B8675" s="405" t="s">
        <v>1294</v>
      </c>
      <c r="C8675" s="405" t="s">
        <v>327</v>
      </c>
      <c r="D8675" s="405"/>
      <c r="E8675" s="410">
        <v>40633</v>
      </c>
      <c r="F8675" s="410">
        <v>40678</v>
      </c>
      <c r="G8675" s="405" t="s">
        <v>1295</v>
      </c>
      <c r="H8675" s="405">
        <v>772499799</v>
      </c>
      <c r="I8675" s="405"/>
      <c r="J8675" s="405">
        <v>0.50963999999999998</v>
      </c>
      <c r="K8675" s="405">
        <v>32.470681999999996</v>
      </c>
      <c r="L8675" s="405" t="s">
        <v>314</v>
      </c>
      <c r="M8675" s="405" t="s">
        <v>361</v>
      </c>
      <c r="N8675" s="405" t="s">
        <v>362</v>
      </c>
      <c r="O8675" s="405" t="s">
        <v>523</v>
      </c>
      <c r="P8675" s="405" t="s">
        <v>1296</v>
      </c>
      <c r="Q8675" s="411">
        <v>9</v>
      </c>
      <c r="R8675" s="405" t="s">
        <v>318</v>
      </c>
      <c r="S8675" s="405" t="s">
        <v>27148</v>
      </c>
      <c r="T8675" s="405" t="s">
        <v>32102</v>
      </c>
      <c r="U8675" s="405" t="s">
        <v>319</v>
      </c>
    </row>
    <row r="8676" spans="1:21" hidden="1" x14ac:dyDescent="0.25">
      <c r="A8676" s="405" t="s">
        <v>310</v>
      </c>
      <c r="B8676" s="405" t="s">
        <v>27598</v>
      </c>
      <c r="C8676" s="405" t="s">
        <v>327</v>
      </c>
      <c r="D8676" s="405"/>
      <c r="E8676" s="410">
        <v>40633</v>
      </c>
      <c r="F8676" s="410">
        <v>40678</v>
      </c>
      <c r="G8676" s="405" t="s">
        <v>1307</v>
      </c>
      <c r="H8676" s="405">
        <v>772925211</v>
      </c>
      <c r="I8676" s="405"/>
      <c r="J8676" s="405">
        <v>0.82894199999999996</v>
      </c>
      <c r="K8676" s="405">
        <v>32.498517</v>
      </c>
      <c r="L8676" s="405" t="s">
        <v>314</v>
      </c>
      <c r="M8676" s="405" t="s">
        <v>959</v>
      </c>
      <c r="N8676" s="405" t="s">
        <v>1308</v>
      </c>
      <c r="O8676" s="405" t="s">
        <v>1309</v>
      </c>
      <c r="P8676" s="405" t="s">
        <v>1310</v>
      </c>
      <c r="Q8676" s="411">
        <v>6</v>
      </c>
      <c r="R8676" s="405" t="s">
        <v>1263</v>
      </c>
      <c r="S8676" s="405" t="s">
        <v>27036</v>
      </c>
      <c r="T8676" s="405" t="s">
        <v>32102</v>
      </c>
      <c r="U8676" s="405" t="s">
        <v>319</v>
      </c>
    </row>
    <row r="8677" spans="1:21" hidden="1" x14ac:dyDescent="0.25">
      <c r="A8677" s="405" t="s">
        <v>310</v>
      </c>
      <c r="B8677" s="405" t="s">
        <v>27667</v>
      </c>
      <c r="C8677" s="405" t="s">
        <v>327</v>
      </c>
      <c r="D8677" s="405"/>
      <c r="E8677" s="410">
        <v>40633</v>
      </c>
      <c r="F8677" s="410">
        <v>40678</v>
      </c>
      <c r="G8677" s="405" t="s">
        <v>1368</v>
      </c>
      <c r="H8677" s="405">
        <v>772663799</v>
      </c>
      <c r="I8677" s="405">
        <v>772540658</v>
      </c>
      <c r="J8677" s="405">
        <v>0.29502833333333334</v>
      </c>
      <c r="K8677" s="405">
        <v>32.504571666666671</v>
      </c>
      <c r="L8677" s="405" t="s">
        <v>314</v>
      </c>
      <c r="M8677" s="405" t="s">
        <v>321</v>
      </c>
      <c r="N8677" s="405" t="s">
        <v>322</v>
      </c>
      <c r="O8677" s="405" t="s">
        <v>1369</v>
      </c>
      <c r="P8677" s="405" t="s">
        <v>1370</v>
      </c>
      <c r="Q8677" s="411">
        <v>6</v>
      </c>
      <c r="R8677" s="405" t="s">
        <v>318</v>
      </c>
      <c r="S8677" s="405" t="s">
        <v>27137</v>
      </c>
      <c r="T8677" s="405" t="s">
        <v>32102</v>
      </c>
      <c r="U8677" s="405" t="s">
        <v>319</v>
      </c>
    </row>
    <row r="8678" spans="1:21" hidden="1" x14ac:dyDescent="0.25">
      <c r="A8678" s="405" t="s">
        <v>310</v>
      </c>
      <c r="B8678" s="405" t="s">
        <v>28646</v>
      </c>
      <c r="C8678" s="405" t="s">
        <v>327</v>
      </c>
      <c r="D8678" s="405"/>
      <c r="E8678" s="410">
        <v>40633</v>
      </c>
      <c r="F8678" s="410">
        <v>40678</v>
      </c>
      <c r="G8678" s="405" t="s">
        <v>1195</v>
      </c>
      <c r="H8678" s="405">
        <v>757004407</v>
      </c>
      <c r="I8678" s="405"/>
      <c r="J8678" s="405">
        <v>0.46043333333333336</v>
      </c>
      <c r="K8678" s="405">
        <v>32.532723333333337</v>
      </c>
      <c r="L8678" s="405" t="s">
        <v>314</v>
      </c>
      <c r="M8678" s="405" t="s">
        <v>361</v>
      </c>
      <c r="N8678" s="405" t="s">
        <v>362</v>
      </c>
      <c r="O8678" s="405" t="s">
        <v>523</v>
      </c>
      <c r="P8678" s="405" t="s">
        <v>524</v>
      </c>
      <c r="Q8678" s="411">
        <v>6</v>
      </c>
      <c r="R8678" s="405" t="s">
        <v>353</v>
      </c>
      <c r="S8678" s="405" t="s">
        <v>27049</v>
      </c>
      <c r="T8678" s="405" t="s">
        <v>32102</v>
      </c>
      <c r="U8678" s="405" t="s">
        <v>319</v>
      </c>
    </row>
    <row r="8679" spans="1:21" hidden="1" x14ac:dyDescent="0.25">
      <c r="A8679" s="405" t="s">
        <v>310</v>
      </c>
      <c r="B8679" s="405" t="s">
        <v>27506</v>
      </c>
      <c r="C8679" s="405" t="s">
        <v>327</v>
      </c>
      <c r="D8679" s="405"/>
      <c r="E8679" s="410">
        <v>40633</v>
      </c>
      <c r="F8679" s="410">
        <v>40678</v>
      </c>
      <c r="G8679" s="405" t="s">
        <v>1233</v>
      </c>
      <c r="H8679" s="405">
        <v>754335034</v>
      </c>
      <c r="I8679" s="405"/>
      <c r="J8679" s="405">
        <v>0.63158199999999998</v>
      </c>
      <c r="K8679" s="405">
        <v>32.993467000000003</v>
      </c>
      <c r="L8679" s="405" t="s">
        <v>314</v>
      </c>
      <c r="M8679" s="405" t="s">
        <v>502</v>
      </c>
      <c r="N8679" s="405" t="s">
        <v>503</v>
      </c>
      <c r="O8679" s="405" t="s">
        <v>504</v>
      </c>
      <c r="P8679" s="405" t="s">
        <v>1234</v>
      </c>
      <c r="Q8679" s="411">
        <v>6</v>
      </c>
      <c r="R8679" s="405" t="s">
        <v>318</v>
      </c>
      <c r="S8679" s="405" t="s">
        <v>27148</v>
      </c>
      <c r="T8679" s="405" t="s">
        <v>32102</v>
      </c>
      <c r="U8679" s="405" t="s">
        <v>319</v>
      </c>
    </row>
    <row r="8680" spans="1:21" hidden="1" x14ac:dyDescent="0.25">
      <c r="A8680" s="405" t="s">
        <v>310</v>
      </c>
      <c r="B8680" s="405" t="s">
        <v>1322</v>
      </c>
      <c r="C8680" s="405" t="s">
        <v>327</v>
      </c>
      <c r="D8680" s="405"/>
      <c r="E8680" s="410">
        <v>40633</v>
      </c>
      <c r="F8680" s="410">
        <v>40678</v>
      </c>
      <c r="G8680" s="405" t="s">
        <v>1323</v>
      </c>
      <c r="H8680" s="405">
        <v>782507624</v>
      </c>
      <c r="I8680" s="405"/>
      <c r="J8680" s="405">
        <v>0.41208699999999998</v>
      </c>
      <c r="K8680" s="405">
        <v>32.603493</v>
      </c>
      <c r="L8680" s="405" t="s">
        <v>314</v>
      </c>
      <c r="M8680" s="405" t="s">
        <v>361</v>
      </c>
      <c r="N8680" s="405" t="s">
        <v>362</v>
      </c>
      <c r="O8680" s="405" t="s">
        <v>410</v>
      </c>
      <c r="P8680" s="405" t="s">
        <v>1324</v>
      </c>
      <c r="Q8680" s="411">
        <v>6</v>
      </c>
      <c r="R8680" s="405" t="s">
        <v>333</v>
      </c>
      <c r="S8680" s="405" t="s">
        <v>27146</v>
      </c>
      <c r="T8680" s="405" t="s">
        <v>32102</v>
      </c>
      <c r="U8680" s="405" t="s">
        <v>319</v>
      </c>
    </row>
    <row r="8681" spans="1:21" hidden="1" x14ac:dyDescent="0.25">
      <c r="A8681" s="405" t="s">
        <v>310</v>
      </c>
      <c r="B8681" s="405" t="s">
        <v>1820</v>
      </c>
      <c r="C8681" s="405" t="s">
        <v>311</v>
      </c>
      <c r="D8681" s="405" t="s">
        <v>312</v>
      </c>
      <c r="E8681" s="410">
        <v>40633</v>
      </c>
      <c r="F8681" s="410">
        <v>40678</v>
      </c>
      <c r="G8681" s="405" t="s">
        <v>1821</v>
      </c>
      <c r="H8681" s="405">
        <v>757418646</v>
      </c>
      <c r="I8681" s="405"/>
      <c r="J8681" s="405">
        <v>7.9091999999999996E-2</v>
      </c>
      <c r="K8681" s="405">
        <v>32.453401999999997</v>
      </c>
      <c r="L8681" s="405" t="s">
        <v>314</v>
      </c>
      <c r="M8681" s="405" t="s">
        <v>361</v>
      </c>
      <c r="N8681" s="405" t="s">
        <v>1279</v>
      </c>
      <c r="O8681" s="405" t="s">
        <v>1280</v>
      </c>
      <c r="P8681" s="405" t="s">
        <v>1822</v>
      </c>
      <c r="Q8681" s="411">
        <v>6</v>
      </c>
      <c r="R8681" s="405" t="s">
        <v>353</v>
      </c>
      <c r="S8681" s="405" t="s">
        <v>27153</v>
      </c>
      <c r="T8681" s="405" t="s">
        <v>32102</v>
      </c>
      <c r="U8681" s="405" t="s">
        <v>319</v>
      </c>
    </row>
    <row r="8682" spans="1:21" hidden="1" x14ac:dyDescent="0.25">
      <c r="A8682" s="405" t="s">
        <v>310</v>
      </c>
      <c r="B8682" s="405" t="s">
        <v>1274</v>
      </c>
      <c r="C8682" s="405" t="s">
        <v>327</v>
      </c>
      <c r="D8682" s="405"/>
      <c r="E8682" s="410">
        <v>40633</v>
      </c>
      <c r="F8682" s="410">
        <v>40678</v>
      </c>
      <c r="G8682" s="405" t="s">
        <v>1275</v>
      </c>
      <c r="H8682" s="405">
        <v>712865802</v>
      </c>
      <c r="I8682" s="405"/>
      <c r="J8682" s="405">
        <v>0.29234700000000002</v>
      </c>
      <c r="K8682" s="405">
        <v>32.508082999999999</v>
      </c>
      <c r="L8682" s="405" t="s">
        <v>314</v>
      </c>
      <c r="M8682" s="405" t="s">
        <v>361</v>
      </c>
      <c r="N8682" s="405" t="s">
        <v>374</v>
      </c>
      <c r="O8682" s="405" t="s">
        <v>375</v>
      </c>
      <c r="P8682" s="405" t="s">
        <v>1276</v>
      </c>
      <c r="Q8682" s="411">
        <v>6</v>
      </c>
      <c r="R8682" s="405" t="s">
        <v>353</v>
      </c>
      <c r="S8682" s="405" t="s">
        <v>27158</v>
      </c>
      <c r="T8682" s="405" t="s">
        <v>32102</v>
      </c>
      <c r="U8682" s="405" t="s">
        <v>319</v>
      </c>
    </row>
    <row r="8683" spans="1:21" hidden="1" x14ac:dyDescent="0.25">
      <c r="A8683" s="405" t="s">
        <v>310</v>
      </c>
      <c r="B8683" s="405" t="s">
        <v>1288</v>
      </c>
      <c r="C8683" s="405" t="s">
        <v>327</v>
      </c>
      <c r="D8683" s="405"/>
      <c r="E8683" s="410">
        <v>40633</v>
      </c>
      <c r="F8683" s="410">
        <v>40678</v>
      </c>
      <c r="G8683" s="405" t="s">
        <v>1289</v>
      </c>
      <c r="H8683" s="405">
        <v>782308647</v>
      </c>
      <c r="I8683" s="405"/>
      <c r="J8683" s="405">
        <v>0.57698199999999999</v>
      </c>
      <c r="K8683" s="405">
        <v>32.579228000000001</v>
      </c>
      <c r="L8683" s="405" t="s">
        <v>314</v>
      </c>
      <c r="M8683" s="405" t="s">
        <v>361</v>
      </c>
      <c r="N8683" s="405" t="s">
        <v>1290</v>
      </c>
      <c r="O8683" s="405" t="s">
        <v>433</v>
      </c>
      <c r="P8683" s="405" t="s">
        <v>1291</v>
      </c>
      <c r="Q8683" s="411">
        <v>6</v>
      </c>
      <c r="R8683" s="405" t="s">
        <v>1263</v>
      </c>
      <c r="S8683" s="405" t="s">
        <v>27036</v>
      </c>
      <c r="T8683" s="405" t="s">
        <v>32102</v>
      </c>
      <c r="U8683" s="405" t="s">
        <v>319</v>
      </c>
    </row>
    <row r="8684" spans="1:21" hidden="1" x14ac:dyDescent="0.25">
      <c r="A8684" s="405" t="s">
        <v>310</v>
      </c>
      <c r="B8684" s="405" t="s">
        <v>1311</v>
      </c>
      <c r="C8684" s="405" t="s">
        <v>327</v>
      </c>
      <c r="D8684" s="405"/>
      <c r="E8684" s="410">
        <v>40633</v>
      </c>
      <c r="F8684" s="410">
        <v>40678</v>
      </c>
      <c r="G8684" s="405" t="s">
        <v>1312</v>
      </c>
      <c r="H8684" s="405">
        <v>774950469</v>
      </c>
      <c r="I8684" s="405">
        <v>782523274</v>
      </c>
      <c r="J8684" s="405">
        <v>0.62788500000000003</v>
      </c>
      <c r="K8684" s="405">
        <v>32.682313000000001</v>
      </c>
      <c r="L8684" s="405" t="s">
        <v>314</v>
      </c>
      <c r="M8684" s="405" t="s">
        <v>959</v>
      </c>
      <c r="N8684" s="405" t="s">
        <v>1308</v>
      </c>
      <c r="O8684" s="405" t="s">
        <v>961</v>
      </c>
      <c r="P8684" s="405" t="s">
        <v>1313</v>
      </c>
      <c r="Q8684" s="411">
        <v>6</v>
      </c>
      <c r="R8684" s="405" t="s">
        <v>353</v>
      </c>
      <c r="S8684" s="405" t="s">
        <v>27110</v>
      </c>
      <c r="T8684" s="405" t="s">
        <v>32102</v>
      </c>
      <c r="U8684" s="405" t="s">
        <v>319</v>
      </c>
    </row>
    <row r="8685" spans="1:21" hidden="1" x14ac:dyDescent="0.25">
      <c r="A8685" s="405" t="s">
        <v>310</v>
      </c>
      <c r="B8685" s="405" t="s">
        <v>28098</v>
      </c>
      <c r="C8685" s="405" t="s">
        <v>327</v>
      </c>
      <c r="D8685" s="405"/>
      <c r="E8685" s="410">
        <v>40633</v>
      </c>
      <c r="F8685" s="410">
        <v>40678</v>
      </c>
      <c r="G8685" s="405" t="s">
        <v>10187</v>
      </c>
      <c r="H8685" s="405">
        <v>752341203</v>
      </c>
      <c r="I8685" s="405">
        <v>716419203</v>
      </c>
      <c r="J8685" s="405">
        <v>1.0274350000000001</v>
      </c>
      <c r="K8685" s="405">
        <v>33.090283333333332</v>
      </c>
      <c r="L8685" s="405" t="s">
        <v>6866</v>
      </c>
      <c r="M8685" s="405" t="s">
        <v>3009</v>
      </c>
      <c r="N8685" s="405" t="s">
        <v>9612</v>
      </c>
      <c r="O8685" s="405" t="s">
        <v>10188</v>
      </c>
      <c r="P8685" s="405" t="s">
        <v>10189</v>
      </c>
      <c r="Q8685" s="411">
        <v>6</v>
      </c>
      <c r="R8685" s="405" t="s">
        <v>333</v>
      </c>
      <c r="S8685" s="405" t="s">
        <v>6822</v>
      </c>
      <c r="T8685" s="405" t="s">
        <v>32102</v>
      </c>
      <c r="U8685" s="405" t="s">
        <v>319</v>
      </c>
    </row>
    <row r="8686" spans="1:21" hidden="1" x14ac:dyDescent="0.25">
      <c r="A8686" s="405" t="s">
        <v>310</v>
      </c>
      <c r="B8686" s="405" t="s">
        <v>1292</v>
      </c>
      <c r="C8686" s="405" t="s">
        <v>327</v>
      </c>
      <c r="D8686" s="405"/>
      <c r="E8686" s="410">
        <v>40633</v>
      </c>
      <c r="F8686" s="410">
        <v>40678</v>
      </c>
      <c r="G8686" s="405" t="s">
        <v>1293</v>
      </c>
      <c r="H8686" s="405">
        <v>752508702</v>
      </c>
      <c r="I8686" s="405">
        <v>776862561</v>
      </c>
      <c r="J8686" s="405">
        <v>0.44158799999999998</v>
      </c>
      <c r="K8686" s="405">
        <v>32.610393000000002</v>
      </c>
      <c r="L8686" s="405" t="s">
        <v>314</v>
      </c>
      <c r="M8686" s="405" t="s">
        <v>361</v>
      </c>
      <c r="N8686" s="405" t="s">
        <v>362</v>
      </c>
      <c r="O8686" s="405" t="s">
        <v>410</v>
      </c>
      <c r="P8686" s="405" t="s">
        <v>956</v>
      </c>
      <c r="Q8686" s="411">
        <v>6</v>
      </c>
      <c r="R8686" s="405" t="s">
        <v>353</v>
      </c>
      <c r="S8686" s="405" t="s">
        <v>27034</v>
      </c>
      <c r="T8686" s="405" t="s">
        <v>32102</v>
      </c>
      <c r="U8686" s="405" t="s">
        <v>319</v>
      </c>
    </row>
    <row r="8687" spans="1:21" hidden="1" x14ac:dyDescent="0.25">
      <c r="A8687" s="405" t="s">
        <v>310</v>
      </c>
      <c r="B8687" s="405" t="s">
        <v>1210</v>
      </c>
      <c r="C8687" s="405" t="s">
        <v>327</v>
      </c>
      <c r="D8687" s="405"/>
      <c r="E8687" s="410">
        <v>40633</v>
      </c>
      <c r="F8687" s="410">
        <v>40678</v>
      </c>
      <c r="G8687" s="405" t="s">
        <v>1211</v>
      </c>
      <c r="H8687" s="405">
        <v>752961423</v>
      </c>
      <c r="I8687" s="405"/>
      <c r="J8687" s="405">
        <v>0.26214799999999999</v>
      </c>
      <c r="K8687" s="405">
        <v>32.218670000000003</v>
      </c>
      <c r="L8687" s="405" t="s">
        <v>314</v>
      </c>
      <c r="M8687" s="405" t="s">
        <v>315</v>
      </c>
      <c r="N8687" s="405" t="s">
        <v>718</v>
      </c>
      <c r="O8687" s="405" t="s">
        <v>719</v>
      </c>
      <c r="P8687" s="405" t="s">
        <v>346</v>
      </c>
      <c r="Q8687" s="411">
        <v>6</v>
      </c>
      <c r="R8687" s="405" t="s">
        <v>318</v>
      </c>
      <c r="S8687" s="405" t="s">
        <v>27167</v>
      </c>
      <c r="T8687" s="405" t="s">
        <v>32102</v>
      </c>
      <c r="U8687" s="405" t="s">
        <v>319</v>
      </c>
    </row>
    <row r="8688" spans="1:21" hidden="1" x14ac:dyDescent="0.25">
      <c r="A8688" s="405" t="s">
        <v>310</v>
      </c>
      <c r="B8688" s="405" t="s">
        <v>1285</v>
      </c>
      <c r="C8688" s="405" t="s">
        <v>327</v>
      </c>
      <c r="D8688" s="405"/>
      <c r="E8688" s="410">
        <v>40633</v>
      </c>
      <c r="F8688" s="410">
        <v>40678</v>
      </c>
      <c r="G8688" s="405" t="s">
        <v>1286</v>
      </c>
      <c r="H8688" s="405">
        <v>773202790</v>
      </c>
      <c r="I8688" s="405">
        <v>759537470</v>
      </c>
      <c r="J8688" s="405">
        <v>7.9292000000000001E-2</v>
      </c>
      <c r="K8688" s="405">
        <v>32.457186999999998</v>
      </c>
      <c r="L8688" s="405" t="s">
        <v>314</v>
      </c>
      <c r="M8688" s="405" t="s">
        <v>361</v>
      </c>
      <c r="N8688" s="405" t="s">
        <v>374</v>
      </c>
      <c r="O8688" s="405" t="s">
        <v>1279</v>
      </c>
      <c r="P8688" s="405" t="s">
        <v>1287</v>
      </c>
      <c r="Q8688" s="411">
        <v>6</v>
      </c>
      <c r="R8688" s="405" t="s">
        <v>353</v>
      </c>
      <c r="S8688" s="405" t="s">
        <v>27110</v>
      </c>
      <c r="T8688" s="405" t="s">
        <v>32102</v>
      </c>
      <c r="U8688" s="405" t="s">
        <v>319</v>
      </c>
    </row>
    <row r="8689" spans="1:21" hidden="1" x14ac:dyDescent="0.25">
      <c r="A8689" s="405" t="s">
        <v>310</v>
      </c>
      <c r="B8689" s="405" t="s">
        <v>1317</v>
      </c>
      <c r="C8689" s="405" t="s">
        <v>327</v>
      </c>
      <c r="D8689" s="405"/>
      <c r="E8689" s="410">
        <v>40633</v>
      </c>
      <c r="F8689" s="410">
        <v>40678</v>
      </c>
      <c r="G8689" s="405" t="s">
        <v>1318</v>
      </c>
      <c r="H8689" s="405">
        <v>751900297</v>
      </c>
      <c r="I8689" s="405"/>
      <c r="J8689" s="405">
        <v>0.49731999999999998</v>
      </c>
      <c r="K8689" s="405">
        <v>32.473598000000003</v>
      </c>
      <c r="L8689" s="405" t="s">
        <v>314</v>
      </c>
      <c r="M8689" s="405" t="s">
        <v>361</v>
      </c>
      <c r="N8689" s="405" t="s">
        <v>362</v>
      </c>
      <c r="O8689" s="405" t="s">
        <v>523</v>
      </c>
      <c r="P8689" s="405" t="s">
        <v>523</v>
      </c>
      <c r="Q8689" s="411">
        <v>6</v>
      </c>
      <c r="R8689" s="405" t="s">
        <v>353</v>
      </c>
      <c r="S8689" s="405" t="s">
        <v>27034</v>
      </c>
      <c r="T8689" s="405" t="s">
        <v>32102</v>
      </c>
      <c r="U8689" s="405" t="s">
        <v>319</v>
      </c>
    </row>
    <row r="8690" spans="1:21" hidden="1" x14ac:dyDescent="0.25">
      <c r="A8690" s="405" t="s">
        <v>310</v>
      </c>
      <c r="B8690" s="405" t="s">
        <v>1319</v>
      </c>
      <c r="C8690" s="405" t="s">
        <v>327</v>
      </c>
      <c r="D8690" s="405"/>
      <c r="E8690" s="410">
        <v>40633</v>
      </c>
      <c r="F8690" s="410">
        <v>40678</v>
      </c>
      <c r="G8690" s="405" t="s">
        <v>1320</v>
      </c>
      <c r="H8690" s="405">
        <v>752497640</v>
      </c>
      <c r="I8690" s="405"/>
      <c r="J8690" s="405">
        <v>0.324687</v>
      </c>
      <c r="K8690" s="405">
        <v>32.677126999999999</v>
      </c>
      <c r="L8690" s="405" t="s">
        <v>314</v>
      </c>
      <c r="M8690" s="405" t="s">
        <v>361</v>
      </c>
      <c r="N8690" s="405" t="s">
        <v>362</v>
      </c>
      <c r="O8690" s="405" t="s">
        <v>363</v>
      </c>
      <c r="P8690" s="405" t="s">
        <v>1321</v>
      </c>
      <c r="Q8690" s="411">
        <v>6</v>
      </c>
      <c r="R8690" s="405" t="s">
        <v>353</v>
      </c>
      <c r="S8690" s="405" t="s">
        <v>27049</v>
      </c>
      <c r="T8690" s="405" t="s">
        <v>32102</v>
      </c>
      <c r="U8690" s="405" t="s">
        <v>319</v>
      </c>
    </row>
    <row r="8691" spans="1:21" hidden="1" x14ac:dyDescent="0.25">
      <c r="A8691" s="405" t="s">
        <v>310</v>
      </c>
      <c r="B8691" s="405" t="s">
        <v>1277</v>
      </c>
      <c r="C8691" s="405" t="s">
        <v>327</v>
      </c>
      <c r="D8691" s="405"/>
      <c r="E8691" s="410">
        <v>40633</v>
      </c>
      <c r="F8691" s="410">
        <v>40678</v>
      </c>
      <c r="G8691" s="405" t="s">
        <v>1278</v>
      </c>
      <c r="H8691" s="405">
        <v>712858370</v>
      </c>
      <c r="I8691" s="405"/>
      <c r="J8691" s="405">
        <v>7.7437000000000006E-2</v>
      </c>
      <c r="K8691" s="405">
        <v>32.461604999999999</v>
      </c>
      <c r="L8691" s="405" t="s">
        <v>314</v>
      </c>
      <c r="M8691" s="405" t="s">
        <v>361</v>
      </c>
      <c r="N8691" s="405" t="s">
        <v>1279</v>
      </c>
      <c r="O8691" s="405" t="s">
        <v>1280</v>
      </c>
      <c r="P8691" s="405" t="s">
        <v>1281</v>
      </c>
      <c r="Q8691" s="411">
        <v>6</v>
      </c>
      <c r="R8691" s="405" t="s">
        <v>353</v>
      </c>
      <c r="S8691" s="405" t="s">
        <v>27106</v>
      </c>
      <c r="T8691" s="405" t="s">
        <v>32102</v>
      </c>
      <c r="U8691" s="405" t="s">
        <v>319</v>
      </c>
    </row>
    <row r="8692" spans="1:21" hidden="1" x14ac:dyDescent="0.25">
      <c r="A8692" s="405" t="s">
        <v>310</v>
      </c>
      <c r="B8692" s="405" t="s">
        <v>1196</v>
      </c>
      <c r="C8692" s="405" t="s">
        <v>327</v>
      </c>
      <c r="D8692" s="405"/>
      <c r="E8692" s="410">
        <v>40633</v>
      </c>
      <c r="F8692" s="410">
        <v>40678</v>
      </c>
      <c r="G8692" s="405" t="s">
        <v>1197</v>
      </c>
      <c r="H8692" s="405">
        <v>772448744</v>
      </c>
      <c r="I8692" s="405"/>
      <c r="J8692" s="405">
        <v>0.22003</v>
      </c>
      <c r="K8692" s="405">
        <v>32.335188333333335</v>
      </c>
      <c r="L8692" s="405" t="s">
        <v>314</v>
      </c>
      <c r="M8692" s="405" t="s">
        <v>321</v>
      </c>
      <c r="N8692" s="405" t="s">
        <v>322</v>
      </c>
      <c r="O8692" s="405" t="s">
        <v>996</v>
      </c>
      <c r="P8692" s="405" t="s">
        <v>997</v>
      </c>
      <c r="Q8692" s="411">
        <v>6</v>
      </c>
      <c r="R8692" s="405" t="s">
        <v>567</v>
      </c>
      <c r="S8692" s="405" t="s">
        <v>27146</v>
      </c>
      <c r="T8692" s="405" t="s">
        <v>32102</v>
      </c>
      <c r="U8692" s="405" t="s">
        <v>319</v>
      </c>
    </row>
    <row r="8693" spans="1:21" hidden="1" x14ac:dyDescent="0.25">
      <c r="A8693" s="405" t="s">
        <v>310</v>
      </c>
      <c r="B8693" s="405" t="s">
        <v>1346</v>
      </c>
      <c r="C8693" s="405" t="s">
        <v>327</v>
      </c>
      <c r="D8693" s="405"/>
      <c r="E8693" s="410">
        <v>40633</v>
      </c>
      <c r="F8693" s="410">
        <v>40678</v>
      </c>
      <c r="G8693" s="405" t="s">
        <v>1347</v>
      </c>
      <c r="H8693" s="405">
        <v>705116644</v>
      </c>
      <c r="I8693" s="405"/>
      <c r="J8693" s="405">
        <v>0.23915</v>
      </c>
      <c r="K8693" s="405">
        <v>32.622751999999998</v>
      </c>
      <c r="L8693" s="405" t="s">
        <v>314</v>
      </c>
      <c r="M8693" s="405" t="s">
        <v>992</v>
      </c>
      <c r="N8693" s="405" t="s">
        <v>362</v>
      </c>
      <c r="O8693" s="405" t="s">
        <v>618</v>
      </c>
      <c r="P8693" s="405" t="s">
        <v>1348</v>
      </c>
      <c r="Q8693" s="411">
        <v>6</v>
      </c>
      <c r="R8693" s="405" t="s">
        <v>353</v>
      </c>
      <c r="S8693" s="405" t="s">
        <v>27049</v>
      </c>
      <c r="T8693" s="405" t="s">
        <v>32102</v>
      </c>
      <c r="U8693" s="405" t="s">
        <v>319</v>
      </c>
    </row>
    <row r="8694" spans="1:21" hidden="1" x14ac:dyDescent="0.25">
      <c r="A8694" s="405" t="s">
        <v>310</v>
      </c>
      <c r="B8694" s="405" t="s">
        <v>28152</v>
      </c>
      <c r="C8694" s="405" t="s">
        <v>327</v>
      </c>
      <c r="D8694" s="405"/>
      <c r="E8694" s="410">
        <v>40633</v>
      </c>
      <c r="F8694" s="410">
        <v>40678</v>
      </c>
      <c r="G8694" s="405" t="s">
        <v>1182</v>
      </c>
      <c r="H8694" s="405">
        <v>712855217</v>
      </c>
      <c r="I8694" s="405"/>
      <c r="J8694" s="405">
        <v>0.54534999999999989</v>
      </c>
      <c r="K8694" s="405">
        <v>32.529516666666673</v>
      </c>
      <c r="L8694" s="405" t="s">
        <v>314</v>
      </c>
      <c r="M8694" s="405" t="s">
        <v>361</v>
      </c>
      <c r="N8694" s="405" t="s">
        <v>362</v>
      </c>
      <c r="O8694" s="405" t="s">
        <v>523</v>
      </c>
      <c r="P8694" s="405" t="s">
        <v>523</v>
      </c>
      <c r="Q8694" s="411">
        <v>4</v>
      </c>
      <c r="R8694" s="405" t="s">
        <v>353</v>
      </c>
      <c r="S8694" s="405" t="s">
        <v>27106</v>
      </c>
      <c r="T8694" s="405" t="s">
        <v>32102</v>
      </c>
      <c r="U8694" s="405" t="s">
        <v>319</v>
      </c>
    </row>
    <row r="8695" spans="1:21" hidden="1" x14ac:dyDescent="0.25">
      <c r="A8695" s="405" t="s">
        <v>310</v>
      </c>
      <c r="B8695" s="405" t="s">
        <v>28495</v>
      </c>
      <c r="C8695" s="405" t="s">
        <v>327</v>
      </c>
      <c r="D8695" s="405"/>
      <c r="E8695" s="410">
        <v>40632</v>
      </c>
      <c r="F8695" s="410">
        <v>40677</v>
      </c>
      <c r="G8695" s="405" t="s">
        <v>1240</v>
      </c>
      <c r="H8695" s="405">
        <v>772630603</v>
      </c>
      <c r="I8695" s="405">
        <v>782011061</v>
      </c>
      <c r="J8695" s="405">
        <v>0.106845</v>
      </c>
      <c r="K8695" s="405">
        <v>31.916875000000001</v>
      </c>
      <c r="L8695" s="405" t="s">
        <v>314</v>
      </c>
      <c r="M8695" s="405" t="s">
        <v>315</v>
      </c>
      <c r="N8695" s="405" t="s">
        <v>315</v>
      </c>
      <c r="O8695" s="405" t="s">
        <v>913</v>
      </c>
      <c r="P8695" s="405" t="s">
        <v>1241</v>
      </c>
      <c r="Q8695" s="411">
        <v>6</v>
      </c>
      <c r="R8695" s="405" t="s">
        <v>438</v>
      </c>
      <c r="S8695" s="405" t="s">
        <v>27131</v>
      </c>
      <c r="T8695" s="405" t="s">
        <v>32102</v>
      </c>
      <c r="U8695" s="405" t="s">
        <v>319</v>
      </c>
    </row>
    <row r="8696" spans="1:21" hidden="1" x14ac:dyDescent="0.25">
      <c r="A8696" s="405" t="s">
        <v>310</v>
      </c>
      <c r="B8696" s="405" t="s">
        <v>10196</v>
      </c>
      <c r="C8696" s="405" t="s">
        <v>327</v>
      </c>
      <c r="D8696" s="405"/>
      <c r="E8696" s="410">
        <v>40632</v>
      </c>
      <c r="F8696" s="410">
        <v>40677</v>
      </c>
      <c r="G8696" s="405" t="s">
        <v>10197</v>
      </c>
      <c r="H8696" s="405">
        <v>774144754</v>
      </c>
      <c r="I8696" s="405"/>
      <c r="J8696" s="405">
        <v>1.0612280000000001</v>
      </c>
      <c r="K8696" s="405">
        <v>34.154960000000003</v>
      </c>
      <c r="L8696" s="405" t="s">
        <v>6866</v>
      </c>
      <c r="M8696" s="405" t="s">
        <v>9514</v>
      </c>
      <c r="N8696" s="405" t="s">
        <v>9529</v>
      </c>
      <c r="O8696" s="405" t="s">
        <v>9780</v>
      </c>
      <c r="P8696" s="405" t="s">
        <v>10198</v>
      </c>
      <c r="Q8696" s="411">
        <v>6</v>
      </c>
      <c r="R8696" s="405" t="s">
        <v>9541</v>
      </c>
      <c r="S8696" s="405" t="s">
        <v>27086</v>
      </c>
      <c r="T8696" s="405" t="s">
        <v>32102</v>
      </c>
      <c r="U8696" s="405" t="s">
        <v>319</v>
      </c>
    </row>
    <row r="8697" spans="1:21" hidden="1" x14ac:dyDescent="0.25">
      <c r="A8697" s="405" t="s">
        <v>310</v>
      </c>
      <c r="B8697" s="405" t="s">
        <v>1355</v>
      </c>
      <c r="C8697" s="405" t="s">
        <v>327</v>
      </c>
      <c r="D8697" s="405"/>
      <c r="E8697" s="410">
        <v>40630</v>
      </c>
      <c r="F8697" s="410">
        <v>40675</v>
      </c>
      <c r="G8697" s="405" t="s">
        <v>1356</v>
      </c>
      <c r="H8697" s="405">
        <v>789069742</v>
      </c>
      <c r="I8697" s="405"/>
      <c r="J8697" s="405">
        <v>0.56074500000000005</v>
      </c>
      <c r="K8697" s="405">
        <v>32.416576999999997</v>
      </c>
      <c r="L8697" s="405" t="s">
        <v>314</v>
      </c>
      <c r="M8697" s="405" t="s">
        <v>361</v>
      </c>
      <c r="N8697" s="405" t="s">
        <v>374</v>
      </c>
      <c r="O8697" s="405" t="s">
        <v>427</v>
      </c>
      <c r="P8697" s="405" t="s">
        <v>1357</v>
      </c>
      <c r="Q8697" s="411">
        <v>6</v>
      </c>
      <c r="R8697" s="405" t="s">
        <v>318</v>
      </c>
      <c r="S8697" s="405" t="s">
        <v>27146</v>
      </c>
      <c r="T8697" s="405" t="s">
        <v>32102</v>
      </c>
      <c r="U8697" s="405" t="s">
        <v>319</v>
      </c>
    </row>
    <row r="8698" spans="1:21" hidden="1" x14ac:dyDescent="0.25">
      <c r="A8698" s="405" t="s">
        <v>310</v>
      </c>
      <c r="B8698" s="405" t="s">
        <v>27700</v>
      </c>
      <c r="C8698" s="405" t="s">
        <v>327</v>
      </c>
      <c r="D8698" s="405"/>
      <c r="E8698" s="410">
        <v>40629</v>
      </c>
      <c r="F8698" s="410">
        <v>40674</v>
      </c>
      <c r="G8698" s="405" t="s">
        <v>19971</v>
      </c>
      <c r="H8698" s="405">
        <v>702322336</v>
      </c>
      <c r="I8698" s="405"/>
      <c r="J8698" s="405">
        <v>-0.68210599999999999</v>
      </c>
      <c r="K8698" s="405">
        <v>30.430695</v>
      </c>
      <c r="L8698" s="405" t="s">
        <v>590</v>
      </c>
      <c r="M8698" s="405" t="s">
        <v>19725</v>
      </c>
      <c r="N8698" s="405" t="s">
        <v>19654</v>
      </c>
      <c r="O8698" s="405" t="s">
        <v>19655</v>
      </c>
      <c r="P8698" s="405" t="s">
        <v>707</v>
      </c>
      <c r="Q8698" s="411">
        <v>12</v>
      </c>
      <c r="R8698" s="405" t="s">
        <v>333</v>
      </c>
      <c r="S8698" s="405" t="s">
        <v>27173</v>
      </c>
      <c r="T8698" s="405" t="s">
        <v>32102</v>
      </c>
      <c r="U8698" s="405" t="s">
        <v>319</v>
      </c>
    </row>
    <row r="8699" spans="1:21" hidden="1" x14ac:dyDescent="0.25">
      <c r="A8699" s="405" t="s">
        <v>310</v>
      </c>
      <c r="B8699" s="405" t="s">
        <v>28049</v>
      </c>
      <c r="C8699" s="405" t="s">
        <v>327</v>
      </c>
      <c r="D8699" s="405"/>
      <c r="E8699" s="410">
        <v>40629</v>
      </c>
      <c r="F8699" s="410">
        <v>40674</v>
      </c>
      <c r="G8699" s="405" t="s">
        <v>19961</v>
      </c>
      <c r="H8699" s="405">
        <v>774991643</v>
      </c>
      <c r="I8699" s="405">
        <v>777992378</v>
      </c>
      <c r="J8699" s="405">
        <v>1.8636233333333332</v>
      </c>
      <c r="K8699" s="405">
        <v>31.86531166666667</v>
      </c>
      <c r="L8699" s="405" t="s">
        <v>590</v>
      </c>
      <c r="M8699" s="405" t="s">
        <v>19608</v>
      </c>
      <c r="N8699" s="405" t="s">
        <v>19609</v>
      </c>
      <c r="O8699" s="405" t="s">
        <v>19610</v>
      </c>
      <c r="P8699" s="405" t="s">
        <v>19962</v>
      </c>
      <c r="Q8699" s="411">
        <v>9</v>
      </c>
      <c r="R8699" s="405" t="s">
        <v>318</v>
      </c>
      <c r="S8699" s="405" t="s">
        <v>27109</v>
      </c>
      <c r="T8699" s="405" t="s">
        <v>32102</v>
      </c>
      <c r="U8699" s="405" t="s">
        <v>319</v>
      </c>
    </row>
    <row r="8700" spans="1:21" hidden="1" x14ac:dyDescent="0.25">
      <c r="A8700" s="405" t="s">
        <v>310</v>
      </c>
      <c r="B8700" s="405" t="s">
        <v>28548</v>
      </c>
      <c r="C8700" s="405" t="s">
        <v>327</v>
      </c>
      <c r="D8700" s="405"/>
      <c r="E8700" s="410">
        <v>40629</v>
      </c>
      <c r="F8700" s="410">
        <v>40674</v>
      </c>
      <c r="G8700" s="405" t="s">
        <v>1193</v>
      </c>
      <c r="H8700" s="405">
        <v>777154189</v>
      </c>
      <c r="I8700" s="405"/>
      <c r="J8700" s="405">
        <v>0.18512166666666668</v>
      </c>
      <c r="K8700" s="405">
        <v>32.333840000000002</v>
      </c>
      <c r="L8700" s="405" t="s">
        <v>314</v>
      </c>
      <c r="M8700" s="405" t="s">
        <v>321</v>
      </c>
      <c r="N8700" s="405" t="s">
        <v>322</v>
      </c>
      <c r="O8700" s="405" t="s">
        <v>996</v>
      </c>
      <c r="P8700" s="405" t="s">
        <v>1194</v>
      </c>
      <c r="Q8700" s="411">
        <v>6</v>
      </c>
      <c r="R8700" s="405" t="s">
        <v>567</v>
      </c>
      <c r="S8700" s="405" t="s">
        <v>27146</v>
      </c>
      <c r="T8700" s="405" t="s">
        <v>32102</v>
      </c>
      <c r="U8700" s="405" t="s">
        <v>319</v>
      </c>
    </row>
    <row r="8701" spans="1:21" hidden="1" x14ac:dyDescent="0.25">
      <c r="A8701" s="405" t="s">
        <v>310</v>
      </c>
      <c r="B8701" s="405" t="s">
        <v>19972</v>
      </c>
      <c r="C8701" s="405" t="s">
        <v>327</v>
      </c>
      <c r="D8701" s="405"/>
      <c r="E8701" s="410">
        <v>40628</v>
      </c>
      <c r="F8701" s="410">
        <v>40673</v>
      </c>
      <c r="G8701" s="405" t="s">
        <v>19973</v>
      </c>
      <c r="H8701" s="405">
        <v>701944061</v>
      </c>
      <c r="I8701" s="405"/>
      <c r="J8701" s="405">
        <v>-0.60020200000000001</v>
      </c>
      <c r="K8701" s="405">
        <v>30.67512</v>
      </c>
      <c r="L8701" s="405" t="s">
        <v>590</v>
      </c>
      <c r="M8701" s="405" t="s">
        <v>19614</v>
      </c>
      <c r="N8701" s="405" t="s">
        <v>19873</v>
      </c>
      <c r="O8701" s="405" t="s">
        <v>19974</v>
      </c>
      <c r="P8701" s="405" t="s">
        <v>19975</v>
      </c>
      <c r="Q8701" s="411">
        <v>12</v>
      </c>
      <c r="R8701" s="405" t="s">
        <v>333</v>
      </c>
      <c r="S8701" s="405" t="s">
        <v>27113</v>
      </c>
      <c r="T8701" s="405" t="s">
        <v>32102</v>
      </c>
      <c r="U8701" s="405" t="s">
        <v>319</v>
      </c>
    </row>
    <row r="8702" spans="1:21" hidden="1" x14ac:dyDescent="0.25">
      <c r="A8702" s="405" t="s">
        <v>310</v>
      </c>
      <c r="B8702" s="405" t="s">
        <v>20247</v>
      </c>
      <c r="C8702" s="405" t="s">
        <v>311</v>
      </c>
      <c r="D8702" s="405" t="s">
        <v>839</v>
      </c>
      <c r="E8702" s="410">
        <v>40628</v>
      </c>
      <c r="F8702" s="410">
        <v>40673</v>
      </c>
      <c r="G8702" s="405" t="s">
        <v>20248</v>
      </c>
      <c r="H8702" s="405">
        <v>772621196</v>
      </c>
      <c r="I8702" s="405"/>
      <c r="J8702" s="405">
        <v>-0.54350200000000004</v>
      </c>
      <c r="K8702" s="405">
        <v>30.196473000000001</v>
      </c>
      <c r="L8702" s="405" t="s">
        <v>590</v>
      </c>
      <c r="M8702" s="405" t="s">
        <v>19625</v>
      </c>
      <c r="N8702" s="405" t="s">
        <v>19626</v>
      </c>
      <c r="O8702" s="405" t="s">
        <v>20249</v>
      </c>
      <c r="P8702" s="405" t="s">
        <v>20250</v>
      </c>
      <c r="Q8702" s="411">
        <v>6</v>
      </c>
      <c r="R8702" s="405" t="s">
        <v>333</v>
      </c>
      <c r="S8702" s="405" t="s">
        <v>27161</v>
      </c>
      <c r="T8702" s="405" t="s">
        <v>32102</v>
      </c>
      <c r="U8702" s="405" t="s">
        <v>319</v>
      </c>
    </row>
    <row r="8703" spans="1:21" hidden="1" x14ac:dyDescent="0.25">
      <c r="A8703" s="405" t="s">
        <v>310</v>
      </c>
      <c r="B8703" s="405" t="s">
        <v>1200</v>
      </c>
      <c r="C8703" s="405" t="s">
        <v>327</v>
      </c>
      <c r="D8703" s="405"/>
      <c r="E8703" s="410">
        <v>40628</v>
      </c>
      <c r="F8703" s="410">
        <v>40673</v>
      </c>
      <c r="G8703" s="405" t="s">
        <v>1201</v>
      </c>
      <c r="H8703" s="405">
        <v>773140319</v>
      </c>
      <c r="I8703" s="405"/>
      <c r="J8703" s="405">
        <v>0.36042333333333332</v>
      </c>
      <c r="K8703" s="405">
        <v>32.756658333333334</v>
      </c>
      <c r="L8703" s="405" t="s">
        <v>314</v>
      </c>
      <c r="M8703" s="405" t="s">
        <v>329</v>
      </c>
      <c r="N8703" s="405" t="s">
        <v>330</v>
      </c>
      <c r="O8703" s="405" t="s">
        <v>331</v>
      </c>
      <c r="P8703" s="405" t="s">
        <v>707</v>
      </c>
      <c r="Q8703" s="411">
        <v>6</v>
      </c>
      <c r="R8703" s="405" t="s">
        <v>353</v>
      </c>
      <c r="S8703" s="405" t="s">
        <v>27112</v>
      </c>
      <c r="T8703" s="405" t="s">
        <v>32102</v>
      </c>
      <c r="U8703" s="405" t="s">
        <v>319</v>
      </c>
    </row>
    <row r="8704" spans="1:21" hidden="1" x14ac:dyDescent="0.25">
      <c r="A8704" s="405" t="s">
        <v>310</v>
      </c>
      <c r="B8704" s="405" t="s">
        <v>19987</v>
      </c>
      <c r="C8704" s="405" t="s">
        <v>327</v>
      </c>
      <c r="D8704" s="405"/>
      <c r="E8704" s="410">
        <v>40624</v>
      </c>
      <c r="F8704" s="410">
        <v>40669</v>
      </c>
      <c r="G8704" s="405" t="s">
        <v>19988</v>
      </c>
      <c r="H8704" s="405">
        <v>775974845</v>
      </c>
      <c r="I8704" s="405"/>
      <c r="J8704" s="405">
        <v>-0.56298499999999996</v>
      </c>
      <c r="K8704" s="405">
        <v>30.097311000000001</v>
      </c>
      <c r="L8704" s="405" t="s">
        <v>590</v>
      </c>
      <c r="M8704" s="405" t="s">
        <v>19625</v>
      </c>
      <c r="N8704" s="405" t="s">
        <v>19638</v>
      </c>
      <c r="O8704" s="405" t="s">
        <v>19639</v>
      </c>
      <c r="P8704" s="405" t="s">
        <v>19989</v>
      </c>
      <c r="Q8704" s="411">
        <v>9</v>
      </c>
      <c r="R8704" s="405" t="s">
        <v>874</v>
      </c>
      <c r="S8704" s="405" t="s">
        <v>27401</v>
      </c>
      <c r="T8704" s="405" t="s">
        <v>32102</v>
      </c>
      <c r="U8704" s="405" t="s">
        <v>319</v>
      </c>
    </row>
    <row r="8705" spans="1:21" hidden="1" x14ac:dyDescent="0.25">
      <c r="A8705" s="405" t="s">
        <v>310</v>
      </c>
      <c r="B8705" s="405" t="s">
        <v>20002</v>
      </c>
      <c r="C8705" s="405" t="s">
        <v>327</v>
      </c>
      <c r="D8705" s="405"/>
      <c r="E8705" s="410">
        <v>40624</v>
      </c>
      <c r="F8705" s="410">
        <v>40669</v>
      </c>
      <c r="G8705" s="405" t="s">
        <v>20003</v>
      </c>
      <c r="H8705" s="405">
        <v>772908234</v>
      </c>
      <c r="I8705" s="405"/>
      <c r="J8705" s="405">
        <v>-0.13347200000000001</v>
      </c>
      <c r="K8705" s="405">
        <v>30.503260000000001</v>
      </c>
      <c r="L8705" s="405" t="s">
        <v>590</v>
      </c>
      <c r="M8705" s="405" t="s">
        <v>870</v>
      </c>
      <c r="N8705" s="405" t="s">
        <v>870</v>
      </c>
      <c r="O8705" s="405" t="s">
        <v>20004</v>
      </c>
      <c r="P8705" s="405" t="s">
        <v>19743</v>
      </c>
      <c r="Q8705" s="411">
        <v>9</v>
      </c>
      <c r="R8705" s="405" t="s">
        <v>883</v>
      </c>
      <c r="S8705" s="405" t="s">
        <v>27183</v>
      </c>
      <c r="T8705" s="405" t="s">
        <v>32102</v>
      </c>
      <c r="U8705" s="405" t="s">
        <v>319</v>
      </c>
    </row>
    <row r="8706" spans="1:21" hidden="1" x14ac:dyDescent="0.25">
      <c r="A8706" s="405" t="s">
        <v>310</v>
      </c>
      <c r="B8706" s="405" t="s">
        <v>19990</v>
      </c>
      <c r="C8706" s="405" t="s">
        <v>327</v>
      </c>
      <c r="D8706" s="405"/>
      <c r="E8706" s="410">
        <v>40624</v>
      </c>
      <c r="F8706" s="410">
        <v>40669</v>
      </c>
      <c r="G8706" s="405" t="s">
        <v>19991</v>
      </c>
      <c r="H8706" s="405">
        <v>701938324</v>
      </c>
      <c r="I8706" s="405"/>
      <c r="J8706" s="405">
        <v>-0.46095900000000001</v>
      </c>
      <c r="K8706" s="405">
        <v>30.417318000000002</v>
      </c>
      <c r="L8706" s="405" t="s">
        <v>590</v>
      </c>
      <c r="M8706" s="405" t="s">
        <v>19725</v>
      </c>
      <c r="N8706" s="405" t="s">
        <v>19725</v>
      </c>
      <c r="O8706" s="405" t="s">
        <v>19992</v>
      </c>
      <c r="P8706" s="405" t="s">
        <v>19992</v>
      </c>
      <c r="Q8706" s="411">
        <v>6</v>
      </c>
      <c r="R8706" s="405" t="s">
        <v>333</v>
      </c>
      <c r="S8706" s="405" t="s">
        <v>27397</v>
      </c>
      <c r="T8706" s="405" t="s">
        <v>32102</v>
      </c>
      <c r="U8706" s="405" t="s">
        <v>319</v>
      </c>
    </row>
    <row r="8707" spans="1:21" hidden="1" x14ac:dyDescent="0.25">
      <c r="A8707" s="405" t="s">
        <v>310</v>
      </c>
      <c r="B8707" s="405" t="s">
        <v>19993</v>
      </c>
      <c r="C8707" s="405" t="s">
        <v>327</v>
      </c>
      <c r="D8707" s="405"/>
      <c r="E8707" s="410">
        <v>40624</v>
      </c>
      <c r="F8707" s="410">
        <v>40669</v>
      </c>
      <c r="G8707" s="405" t="s">
        <v>19994</v>
      </c>
      <c r="H8707" s="405">
        <v>754309261</v>
      </c>
      <c r="I8707" s="405"/>
      <c r="J8707" s="405">
        <v>-0.79105800000000004</v>
      </c>
      <c r="K8707" s="405">
        <v>30.501791999999998</v>
      </c>
      <c r="L8707" s="405" t="s">
        <v>590</v>
      </c>
      <c r="M8707" s="405" t="s">
        <v>19614</v>
      </c>
      <c r="N8707" s="405" t="s">
        <v>19995</v>
      </c>
      <c r="O8707" s="405" t="s">
        <v>19995</v>
      </c>
      <c r="P8707" s="405" t="s">
        <v>19996</v>
      </c>
      <c r="Q8707" s="411">
        <v>6</v>
      </c>
      <c r="R8707" s="405" t="s">
        <v>333</v>
      </c>
      <c r="S8707" s="405" t="s">
        <v>27166</v>
      </c>
      <c r="T8707" s="405" t="s">
        <v>32102</v>
      </c>
      <c r="U8707" s="405" t="s">
        <v>319</v>
      </c>
    </row>
    <row r="8708" spans="1:21" hidden="1" x14ac:dyDescent="0.25">
      <c r="A8708" s="405" t="s">
        <v>310</v>
      </c>
      <c r="B8708" s="405" t="s">
        <v>28523</v>
      </c>
      <c r="C8708" s="405" t="s">
        <v>327</v>
      </c>
      <c r="D8708" s="405"/>
      <c r="E8708" s="410">
        <v>40623</v>
      </c>
      <c r="F8708" s="410">
        <v>40668</v>
      </c>
      <c r="G8708" s="405" t="s">
        <v>1235</v>
      </c>
      <c r="H8708" s="405">
        <v>782048111</v>
      </c>
      <c r="I8708" s="405">
        <v>782088354</v>
      </c>
      <c r="J8708" s="405">
        <v>0.100725</v>
      </c>
      <c r="K8708" s="405">
        <v>31.929497999999999</v>
      </c>
      <c r="L8708" s="405" t="s">
        <v>314</v>
      </c>
      <c r="M8708" s="405" t="s">
        <v>315</v>
      </c>
      <c r="N8708" s="405" t="s">
        <v>315</v>
      </c>
      <c r="O8708" s="405" t="s">
        <v>913</v>
      </c>
      <c r="P8708" s="405" t="s">
        <v>1236</v>
      </c>
      <c r="Q8708" s="411">
        <v>6</v>
      </c>
      <c r="R8708" s="405" t="s">
        <v>438</v>
      </c>
      <c r="S8708" s="405" t="s">
        <v>27131</v>
      </c>
      <c r="T8708" s="405" t="s">
        <v>32102</v>
      </c>
      <c r="U8708" s="405" t="s">
        <v>319</v>
      </c>
    </row>
    <row r="8709" spans="1:21" hidden="1" x14ac:dyDescent="0.25">
      <c r="A8709" s="405" t="s">
        <v>310</v>
      </c>
      <c r="B8709" s="405" t="s">
        <v>1327</v>
      </c>
      <c r="C8709" s="405" t="s">
        <v>327</v>
      </c>
      <c r="D8709" s="405"/>
      <c r="E8709" s="410">
        <v>40623</v>
      </c>
      <c r="F8709" s="410">
        <v>40668</v>
      </c>
      <c r="G8709" s="405" t="s">
        <v>1328</v>
      </c>
      <c r="H8709" s="405">
        <v>752999778</v>
      </c>
      <c r="I8709" s="405"/>
      <c r="J8709" s="405">
        <v>0.405503</v>
      </c>
      <c r="K8709" s="405">
        <v>32.041117999999997</v>
      </c>
      <c r="L8709" s="405" t="s">
        <v>314</v>
      </c>
      <c r="M8709" s="405" t="s">
        <v>675</v>
      </c>
      <c r="N8709" s="405" t="s">
        <v>675</v>
      </c>
      <c r="O8709" s="405" t="s">
        <v>1329</v>
      </c>
      <c r="P8709" s="405" t="s">
        <v>1330</v>
      </c>
      <c r="Q8709" s="411">
        <v>6</v>
      </c>
      <c r="R8709" s="405" t="s">
        <v>318</v>
      </c>
      <c r="S8709" s="405" t="s">
        <v>27035</v>
      </c>
      <c r="T8709" s="405" t="s">
        <v>32102</v>
      </c>
      <c r="U8709" s="405" t="s">
        <v>319</v>
      </c>
    </row>
    <row r="8710" spans="1:21" hidden="1" x14ac:dyDescent="0.25">
      <c r="A8710" s="405" t="s">
        <v>310</v>
      </c>
      <c r="B8710" s="405" t="s">
        <v>1788</v>
      </c>
      <c r="C8710" s="405" t="s">
        <v>311</v>
      </c>
      <c r="D8710" s="405" t="s">
        <v>1789</v>
      </c>
      <c r="E8710" s="410">
        <v>40623</v>
      </c>
      <c r="F8710" s="410">
        <v>40668</v>
      </c>
      <c r="G8710" s="405" t="s">
        <v>1790</v>
      </c>
      <c r="H8710" s="405">
        <v>752837703</v>
      </c>
      <c r="I8710" s="405"/>
      <c r="J8710" s="405">
        <v>0.17724000000000001</v>
      </c>
      <c r="K8710" s="405">
        <v>32.108102000000002</v>
      </c>
      <c r="L8710" s="405" t="s">
        <v>314</v>
      </c>
      <c r="M8710" s="405" t="s">
        <v>315</v>
      </c>
      <c r="N8710" s="405" t="s">
        <v>315</v>
      </c>
      <c r="O8710" s="405" t="s">
        <v>1252</v>
      </c>
      <c r="P8710" s="405" t="s">
        <v>1791</v>
      </c>
      <c r="Q8710" s="411">
        <v>6</v>
      </c>
      <c r="R8710" s="405" t="s">
        <v>318</v>
      </c>
      <c r="S8710" s="405" t="s">
        <v>27137</v>
      </c>
      <c r="T8710" s="405" t="s">
        <v>32102</v>
      </c>
      <c r="U8710" s="405" t="s">
        <v>319</v>
      </c>
    </row>
    <row r="8711" spans="1:21" hidden="1" x14ac:dyDescent="0.25">
      <c r="A8711" s="405" t="s">
        <v>310</v>
      </c>
      <c r="B8711" s="405" t="s">
        <v>28725</v>
      </c>
      <c r="C8711" s="405" t="s">
        <v>327</v>
      </c>
      <c r="D8711" s="405"/>
      <c r="E8711" s="410">
        <v>40623</v>
      </c>
      <c r="F8711" s="410">
        <v>40668</v>
      </c>
      <c r="G8711" s="405" t="s">
        <v>18240</v>
      </c>
      <c r="H8711" s="405">
        <v>773228220</v>
      </c>
      <c r="I8711" s="405"/>
      <c r="J8711" s="405">
        <v>2.7581500000000001</v>
      </c>
      <c r="K8711" s="405">
        <v>32.239367000000001</v>
      </c>
      <c r="L8711" s="405" t="s">
        <v>860</v>
      </c>
      <c r="M8711" s="405" t="s">
        <v>853</v>
      </c>
      <c r="N8711" s="405" t="s">
        <v>18241</v>
      </c>
      <c r="O8711" s="405" t="s">
        <v>18242</v>
      </c>
      <c r="P8711" s="405" t="s">
        <v>18243</v>
      </c>
      <c r="Q8711" s="411">
        <v>6</v>
      </c>
      <c r="R8711" s="405" t="s">
        <v>333</v>
      </c>
      <c r="S8711" s="405" t="s">
        <v>27034</v>
      </c>
      <c r="T8711" s="405" t="s">
        <v>32102</v>
      </c>
      <c r="U8711" s="405" t="s">
        <v>319</v>
      </c>
    </row>
    <row r="8712" spans="1:21" hidden="1" x14ac:dyDescent="0.25">
      <c r="A8712" s="405" t="s">
        <v>310</v>
      </c>
      <c r="B8712" s="405" t="s">
        <v>28433</v>
      </c>
      <c r="C8712" s="405" t="s">
        <v>327</v>
      </c>
      <c r="D8712" s="405"/>
      <c r="E8712" s="410">
        <v>40622</v>
      </c>
      <c r="F8712" s="410">
        <v>40667</v>
      </c>
      <c r="G8712" s="405" t="s">
        <v>1188</v>
      </c>
      <c r="H8712" s="405">
        <v>772071229</v>
      </c>
      <c r="I8712" s="405">
        <v>704121091</v>
      </c>
      <c r="J8712" s="405">
        <v>-0.34036539999999998</v>
      </c>
      <c r="K8712" s="405">
        <v>31.719447500000001</v>
      </c>
      <c r="L8712" s="405" t="s">
        <v>314</v>
      </c>
      <c r="M8712" s="405" t="s">
        <v>1189</v>
      </c>
      <c r="N8712" s="405" t="s">
        <v>988</v>
      </c>
      <c r="O8712" s="405" t="s">
        <v>1190</v>
      </c>
      <c r="P8712" s="405" t="s">
        <v>1191</v>
      </c>
      <c r="Q8712" s="411">
        <v>9</v>
      </c>
      <c r="R8712" s="405" t="s">
        <v>333</v>
      </c>
      <c r="S8712" s="405" t="s">
        <v>27166</v>
      </c>
      <c r="T8712" s="405" t="s">
        <v>32102</v>
      </c>
      <c r="U8712" s="405" t="s">
        <v>319</v>
      </c>
    </row>
    <row r="8713" spans="1:21" hidden="1" x14ac:dyDescent="0.25">
      <c r="A8713" s="405" t="s">
        <v>310</v>
      </c>
      <c r="B8713" s="405" t="s">
        <v>28245</v>
      </c>
      <c r="C8713" s="405" t="s">
        <v>327</v>
      </c>
      <c r="D8713" s="405"/>
      <c r="E8713" s="410">
        <v>40622</v>
      </c>
      <c r="F8713" s="410">
        <v>40667</v>
      </c>
      <c r="G8713" s="405" t="s">
        <v>1325</v>
      </c>
      <c r="H8713" s="405">
        <v>772450253</v>
      </c>
      <c r="I8713" s="405"/>
      <c r="J8713" s="405">
        <v>-0.26088800000000001</v>
      </c>
      <c r="K8713" s="405">
        <v>31.64227</v>
      </c>
      <c r="L8713" s="405" t="s">
        <v>314</v>
      </c>
      <c r="M8713" s="405" t="s">
        <v>1080</v>
      </c>
      <c r="N8713" s="405" t="s">
        <v>1080</v>
      </c>
      <c r="O8713" s="405" t="s">
        <v>1082</v>
      </c>
      <c r="P8713" s="405" t="s">
        <v>1326</v>
      </c>
      <c r="Q8713" s="411">
        <v>6</v>
      </c>
      <c r="R8713" s="405" t="s">
        <v>353</v>
      </c>
      <c r="S8713" s="405" t="s">
        <v>27168</v>
      </c>
      <c r="T8713" s="405" t="s">
        <v>32102</v>
      </c>
      <c r="U8713" s="405" t="s">
        <v>319</v>
      </c>
    </row>
    <row r="8714" spans="1:21" hidden="1" x14ac:dyDescent="0.25">
      <c r="A8714" s="405" t="s">
        <v>310</v>
      </c>
      <c r="B8714" s="405" t="s">
        <v>1246</v>
      </c>
      <c r="C8714" s="405" t="s">
        <v>327</v>
      </c>
      <c r="D8714" s="405"/>
      <c r="E8714" s="410">
        <v>40622</v>
      </c>
      <c r="F8714" s="410">
        <v>40667</v>
      </c>
      <c r="G8714" s="405" t="s">
        <v>1247</v>
      </c>
      <c r="H8714" s="405">
        <v>772971769</v>
      </c>
      <c r="I8714" s="405"/>
      <c r="J8714" s="405">
        <v>0.49904500000000002</v>
      </c>
      <c r="K8714" s="405">
        <v>31.977599999999999</v>
      </c>
      <c r="L8714" s="405" t="s">
        <v>314</v>
      </c>
      <c r="M8714" s="405" t="s">
        <v>675</v>
      </c>
      <c r="N8714" s="405" t="s">
        <v>1065</v>
      </c>
      <c r="O8714" s="405" t="s">
        <v>1248</v>
      </c>
      <c r="P8714" s="405" t="s">
        <v>1249</v>
      </c>
      <c r="Q8714" s="411">
        <v>6</v>
      </c>
      <c r="R8714" s="405" t="s">
        <v>318</v>
      </c>
      <c r="S8714" s="405" t="s">
        <v>27148</v>
      </c>
      <c r="T8714" s="405" t="s">
        <v>32102</v>
      </c>
      <c r="U8714" s="405" t="s">
        <v>319</v>
      </c>
    </row>
    <row r="8715" spans="1:21" hidden="1" x14ac:dyDescent="0.25">
      <c r="A8715" s="405" t="s">
        <v>310</v>
      </c>
      <c r="B8715" s="405" t="s">
        <v>20236</v>
      </c>
      <c r="C8715" s="405" t="s">
        <v>311</v>
      </c>
      <c r="D8715" s="405" t="s">
        <v>839</v>
      </c>
      <c r="E8715" s="410">
        <v>40622</v>
      </c>
      <c r="F8715" s="410">
        <v>40667</v>
      </c>
      <c r="G8715" s="405" t="s">
        <v>20237</v>
      </c>
      <c r="H8715" s="405">
        <v>772573401</v>
      </c>
      <c r="I8715" s="405">
        <v>702683549</v>
      </c>
      <c r="J8715" s="405">
        <v>-0.50951999999999997</v>
      </c>
      <c r="K8715" s="405">
        <v>30.118168000000001</v>
      </c>
      <c r="L8715" s="405" t="s">
        <v>590</v>
      </c>
      <c r="M8715" s="405" t="s">
        <v>19625</v>
      </c>
      <c r="N8715" s="405" t="s">
        <v>19642</v>
      </c>
      <c r="O8715" s="405" t="s">
        <v>19639</v>
      </c>
      <c r="P8715" s="405" t="s">
        <v>20238</v>
      </c>
      <c r="Q8715" s="411">
        <v>6</v>
      </c>
      <c r="R8715" s="405" t="s">
        <v>874</v>
      </c>
      <c r="S8715" s="405" t="s">
        <v>27173</v>
      </c>
      <c r="T8715" s="405" t="s">
        <v>32102</v>
      </c>
      <c r="U8715" s="405" t="s">
        <v>319</v>
      </c>
    </row>
    <row r="8716" spans="1:21" hidden="1" x14ac:dyDescent="0.25">
      <c r="A8716" s="405" t="s">
        <v>310</v>
      </c>
      <c r="B8716" s="405" t="s">
        <v>1271</v>
      </c>
      <c r="C8716" s="405" t="s">
        <v>327</v>
      </c>
      <c r="D8716" s="405"/>
      <c r="E8716" s="410">
        <v>40622</v>
      </c>
      <c r="F8716" s="410">
        <v>40667</v>
      </c>
      <c r="G8716" s="405" t="s">
        <v>1272</v>
      </c>
      <c r="H8716" s="405">
        <v>756524296</v>
      </c>
      <c r="I8716" s="405"/>
      <c r="J8716" s="405">
        <v>-0.27505299999999999</v>
      </c>
      <c r="K8716" s="405">
        <v>31.681702000000001</v>
      </c>
      <c r="L8716" s="405" t="s">
        <v>314</v>
      </c>
      <c r="M8716" s="405" t="s">
        <v>1080</v>
      </c>
      <c r="N8716" s="405" t="s">
        <v>1080</v>
      </c>
      <c r="O8716" s="405" t="s">
        <v>1082</v>
      </c>
      <c r="P8716" s="405" t="s">
        <v>1273</v>
      </c>
      <c r="Q8716" s="411">
        <v>6</v>
      </c>
      <c r="R8716" s="405" t="s">
        <v>402</v>
      </c>
      <c r="S8716" s="405" t="s">
        <v>27164</v>
      </c>
      <c r="T8716" s="405" t="s">
        <v>32102</v>
      </c>
      <c r="U8716" s="405" t="s">
        <v>319</v>
      </c>
    </row>
    <row r="8717" spans="1:21" hidden="1" x14ac:dyDescent="0.25">
      <c r="A8717" s="405" t="s">
        <v>310</v>
      </c>
      <c r="B8717" s="405" t="s">
        <v>19997</v>
      </c>
      <c r="C8717" s="405" t="s">
        <v>327</v>
      </c>
      <c r="D8717" s="405"/>
      <c r="E8717" s="410">
        <v>40622</v>
      </c>
      <c r="F8717" s="410">
        <v>40667</v>
      </c>
      <c r="G8717" s="405" t="s">
        <v>19998</v>
      </c>
      <c r="H8717" s="405">
        <v>772888392</v>
      </c>
      <c r="I8717" s="405"/>
      <c r="J8717" s="405">
        <v>-0.70388300000000004</v>
      </c>
      <c r="K8717" s="405">
        <v>30.387443999999999</v>
      </c>
      <c r="L8717" s="405" t="s">
        <v>590</v>
      </c>
      <c r="M8717" s="405" t="s">
        <v>19614</v>
      </c>
      <c r="N8717" s="405" t="s">
        <v>19654</v>
      </c>
      <c r="O8717" s="405" t="s">
        <v>19655</v>
      </c>
      <c r="P8717" s="405" t="s">
        <v>19656</v>
      </c>
      <c r="Q8717" s="411">
        <v>6</v>
      </c>
      <c r="R8717" s="405" t="s">
        <v>333</v>
      </c>
      <c r="S8717" s="405" t="s">
        <v>27394</v>
      </c>
      <c r="T8717" s="405" t="s">
        <v>32102</v>
      </c>
      <c r="U8717" s="405" t="s">
        <v>319</v>
      </c>
    </row>
    <row r="8718" spans="1:21" hidden="1" x14ac:dyDescent="0.25">
      <c r="A8718" s="405" t="s">
        <v>310</v>
      </c>
      <c r="B8718" s="405" t="s">
        <v>10229</v>
      </c>
      <c r="C8718" s="405" t="s">
        <v>327</v>
      </c>
      <c r="D8718" s="405"/>
      <c r="E8718" s="410">
        <v>40619</v>
      </c>
      <c r="F8718" s="410">
        <v>40664</v>
      </c>
      <c r="G8718" s="405" t="s">
        <v>10230</v>
      </c>
      <c r="H8718" s="405">
        <v>777256126</v>
      </c>
      <c r="I8718" s="405"/>
      <c r="J8718" s="405">
        <v>1.287115</v>
      </c>
      <c r="K8718" s="405">
        <v>34.369</v>
      </c>
      <c r="L8718" s="405" t="s">
        <v>6866</v>
      </c>
      <c r="M8718" s="405" t="s">
        <v>9550</v>
      </c>
      <c r="N8718" s="405" t="s">
        <v>9550</v>
      </c>
      <c r="O8718" s="405" t="s">
        <v>9754</v>
      </c>
      <c r="P8718" s="405" t="s">
        <v>10231</v>
      </c>
      <c r="Q8718" s="411">
        <v>6</v>
      </c>
      <c r="R8718" s="405" t="s">
        <v>333</v>
      </c>
      <c r="S8718" s="405" t="s">
        <v>27086</v>
      </c>
      <c r="T8718" s="405" t="s">
        <v>32102</v>
      </c>
      <c r="U8718" s="405" t="s">
        <v>319</v>
      </c>
    </row>
    <row r="8719" spans="1:21" hidden="1" x14ac:dyDescent="0.25">
      <c r="A8719" s="405" t="s">
        <v>310</v>
      </c>
      <c r="B8719" s="405" t="s">
        <v>10232</v>
      </c>
      <c r="C8719" s="405" t="s">
        <v>327</v>
      </c>
      <c r="D8719" s="405"/>
      <c r="E8719" s="410">
        <v>40619</v>
      </c>
      <c r="F8719" s="410">
        <v>40664</v>
      </c>
      <c r="G8719" s="405" t="s">
        <v>10233</v>
      </c>
      <c r="H8719" s="405">
        <v>774630484</v>
      </c>
      <c r="I8719" s="405"/>
      <c r="J8719" s="405">
        <v>0.92151000000000005</v>
      </c>
      <c r="K8719" s="405">
        <v>34.282395000000001</v>
      </c>
      <c r="L8719" s="405" t="s">
        <v>6866</v>
      </c>
      <c r="M8719" s="405" t="s">
        <v>9763</v>
      </c>
      <c r="N8719" s="405" t="s">
        <v>9764</v>
      </c>
      <c r="O8719" s="405" t="s">
        <v>9765</v>
      </c>
      <c r="P8719" s="405" t="s">
        <v>10234</v>
      </c>
      <c r="Q8719" s="411">
        <v>6</v>
      </c>
      <c r="R8719" s="405" t="s">
        <v>7224</v>
      </c>
      <c r="S8719" s="405" t="s">
        <v>27073</v>
      </c>
      <c r="T8719" s="405" t="s">
        <v>32102</v>
      </c>
      <c r="U8719" s="405" t="s">
        <v>319</v>
      </c>
    </row>
    <row r="8720" spans="1:21" hidden="1" x14ac:dyDescent="0.25">
      <c r="A8720" s="405" t="s">
        <v>310</v>
      </c>
      <c r="B8720" s="405" t="s">
        <v>19976</v>
      </c>
      <c r="C8720" s="405" t="s">
        <v>327</v>
      </c>
      <c r="D8720" s="405"/>
      <c r="E8720" s="410">
        <v>40619</v>
      </c>
      <c r="F8720" s="410">
        <v>40664</v>
      </c>
      <c r="G8720" s="405" t="s">
        <v>19977</v>
      </c>
      <c r="H8720" s="405">
        <v>702519717</v>
      </c>
      <c r="I8720" s="405">
        <v>772589802</v>
      </c>
      <c r="J8720" s="405">
        <v>-0.56918599999999997</v>
      </c>
      <c r="K8720" s="405">
        <v>30.135217999999998</v>
      </c>
      <c r="L8720" s="405" t="s">
        <v>590</v>
      </c>
      <c r="M8720" s="405" t="s">
        <v>19625</v>
      </c>
      <c r="N8720" s="405" t="s">
        <v>19978</v>
      </c>
      <c r="O8720" s="405" t="s">
        <v>19979</v>
      </c>
      <c r="P8720" s="405" t="s">
        <v>19980</v>
      </c>
      <c r="Q8720" s="411">
        <v>6</v>
      </c>
      <c r="R8720" s="405" t="s">
        <v>333</v>
      </c>
      <c r="S8720" s="405" t="s">
        <v>27173</v>
      </c>
      <c r="T8720" s="405" t="s">
        <v>32102</v>
      </c>
      <c r="U8720" s="405" t="s">
        <v>319</v>
      </c>
    </row>
    <row r="8721" spans="1:21" hidden="1" x14ac:dyDescent="0.25">
      <c r="A8721" s="405" t="s">
        <v>310</v>
      </c>
      <c r="B8721" s="405" t="s">
        <v>1053</v>
      </c>
      <c r="C8721" s="405" t="s">
        <v>327</v>
      </c>
      <c r="D8721" s="405"/>
      <c r="E8721" s="410">
        <v>40618</v>
      </c>
      <c r="F8721" s="410">
        <v>40663</v>
      </c>
      <c r="G8721" s="405" t="s">
        <v>1054</v>
      </c>
      <c r="H8721" s="405">
        <v>774290590</v>
      </c>
      <c r="I8721" s="405"/>
      <c r="J8721" s="405">
        <v>-0.78597300000000003</v>
      </c>
      <c r="K8721" s="405">
        <v>31.452362000000001</v>
      </c>
      <c r="L8721" s="405" t="s">
        <v>314</v>
      </c>
      <c r="M8721" s="405" t="s">
        <v>398</v>
      </c>
      <c r="N8721" s="405" t="s">
        <v>399</v>
      </c>
      <c r="O8721" s="405" t="s">
        <v>1055</v>
      </c>
      <c r="P8721" s="405" t="s">
        <v>1056</v>
      </c>
      <c r="Q8721" s="411">
        <v>9</v>
      </c>
      <c r="R8721" s="405" t="s">
        <v>402</v>
      </c>
      <c r="S8721" s="405" t="s">
        <v>27154</v>
      </c>
      <c r="T8721" s="405" t="s">
        <v>32102</v>
      </c>
      <c r="U8721" s="405" t="s">
        <v>319</v>
      </c>
    </row>
    <row r="8722" spans="1:21" hidden="1" x14ac:dyDescent="0.25">
      <c r="A8722" s="405" t="s">
        <v>310</v>
      </c>
      <c r="B8722" s="405" t="s">
        <v>18505</v>
      </c>
      <c r="C8722" s="405" t="s">
        <v>311</v>
      </c>
      <c r="D8722" s="405" t="s">
        <v>1789</v>
      </c>
      <c r="E8722" s="410">
        <v>40618</v>
      </c>
      <c r="F8722" s="410">
        <v>40663</v>
      </c>
      <c r="G8722" s="405" t="s">
        <v>18506</v>
      </c>
      <c r="H8722" s="405">
        <v>772979840</v>
      </c>
      <c r="I8722" s="405"/>
      <c r="J8722" s="405">
        <v>2.223608</v>
      </c>
      <c r="K8722" s="405">
        <v>32.971656000000003</v>
      </c>
      <c r="L8722" s="405" t="s">
        <v>860</v>
      </c>
      <c r="M8722" s="405" t="s">
        <v>18234</v>
      </c>
      <c r="N8722" s="405" t="s">
        <v>18252</v>
      </c>
      <c r="O8722" s="405" t="s">
        <v>18253</v>
      </c>
      <c r="P8722" s="405" t="s">
        <v>18507</v>
      </c>
      <c r="Q8722" s="411">
        <v>9</v>
      </c>
      <c r="R8722" s="405" t="s">
        <v>994</v>
      </c>
      <c r="S8722" s="405" t="s">
        <v>27179</v>
      </c>
      <c r="T8722" s="405" t="s">
        <v>32102</v>
      </c>
      <c r="U8722" s="405" t="s">
        <v>319</v>
      </c>
    </row>
    <row r="8723" spans="1:21" hidden="1" x14ac:dyDescent="0.25">
      <c r="A8723" s="405" t="s">
        <v>310</v>
      </c>
      <c r="B8723" s="405" t="s">
        <v>1034</v>
      </c>
      <c r="C8723" s="405" t="s">
        <v>327</v>
      </c>
      <c r="D8723" s="405"/>
      <c r="E8723" s="410">
        <v>40618</v>
      </c>
      <c r="F8723" s="410">
        <v>40663</v>
      </c>
      <c r="G8723" s="405" t="s">
        <v>1035</v>
      </c>
      <c r="H8723" s="405">
        <v>702364692</v>
      </c>
      <c r="I8723" s="405"/>
      <c r="J8723" s="405">
        <v>-0.54052</v>
      </c>
      <c r="K8723" s="405">
        <v>31.666229999999999</v>
      </c>
      <c r="L8723" s="405" t="s">
        <v>314</v>
      </c>
      <c r="M8723" s="405" t="s">
        <v>398</v>
      </c>
      <c r="N8723" s="405" t="s">
        <v>399</v>
      </c>
      <c r="O8723" s="405" t="s">
        <v>740</v>
      </c>
      <c r="P8723" s="405" t="s">
        <v>1036</v>
      </c>
      <c r="Q8723" s="411">
        <v>6</v>
      </c>
      <c r="R8723" s="405" t="s">
        <v>318</v>
      </c>
      <c r="S8723" s="405" t="s">
        <v>27046</v>
      </c>
      <c r="T8723" s="405" t="s">
        <v>32102</v>
      </c>
      <c r="U8723" s="405" t="s">
        <v>319</v>
      </c>
    </row>
    <row r="8724" spans="1:21" hidden="1" x14ac:dyDescent="0.25">
      <c r="A8724" s="405" t="s">
        <v>310</v>
      </c>
      <c r="B8724" s="405" t="s">
        <v>28821</v>
      </c>
      <c r="C8724" s="405" t="s">
        <v>327</v>
      </c>
      <c r="D8724" s="405"/>
      <c r="E8724" s="410">
        <v>40617</v>
      </c>
      <c r="F8724" s="410">
        <v>40662</v>
      </c>
      <c r="G8724" s="405" t="s">
        <v>1016</v>
      </c>
      <c r="H8724" s="405">
        <v>772601826</v>
      </c>
      <c r="I8724" s="405"/>
      <c r="J8724" s="405">
        <v>0.34896166666666667</v>
      </c>
      <c r="K8724" s="405">
        <v>32.307319999999997</v>
      </c>
      <c r="L8724" s="405" t="s">
        <v>314</v>
      </c>
      <c r="M8724" s="405" t="s">
        <v>321</v>
      </c>
      <c r="N8724" s="405" t="s">
        <v>322</v>
      </c>
      <c r="O8724" s="405" t="s">
        <v>1017</v>
      </c>
      <c r="P8724" s="405" t="s">
        <v>956</v>
      </c>
      <c r="Q8724" s="411">
        <v>13</v>
      </c>
      <c r="R8724" s="405" t="s">
        <v>333</v>
      </c>
      <c r="S8724" s="405" t="s">
        <v>27112</v>
      </c>
      <c r="T8724" s="405" t="s">
        <v>32102</v>
      </c>
      <c r="U8724" s="405" t="s">
        <v>319</v>
      </c>
    </row>
    <row r="8725" spans="1:21" hidden="1" x14ac:dyDescent="0.25">
      <c r="A8725" s="405" t="s">
        <v>310</v>
      </c>
      <c r="B8725" s="405" t="s">
        <v>1125</v>
      </c>
      <c r="C8725" s="405" t="s">
        <v>327</v>
      </c>
      <c r="D8725" s="405"/>
      <c r="E8725" s="410">
        <v>40617</v>
      </c>
      <c r="F8725" s="410">
        <v>40662</v>
      </c>
      <c r="G8725" s="405" t="s">
        <v>1126</v>
      </c>
      <c r="H8725" s="405">
        <v>772604659</v>
      </c>
      <c r="I8725" s="405">
        <v>702604659</v>
      </c>
      <c r="J8725" s="405">
        <v>-0.26828299999999999</v>
      </c>
      <c r="K8725" s="405">
        <v>31.809750000000001</v>
      </c>
      <c r="L8725" s="405" t="s">
        <v>314</v>
      </c>
      <c r="M8725" s="405" t="s">
        <v>382</v>
      </c>
      <c r="N8725" s="405" t="s">
        <v>988</v>
      </c>
      <c r="O8725" s="405" t="s">
        <v>1076</v>
      </c>
      <c r="P8725" s="405" t="s">
        <v>1127</v>
      </c>
      <c r="Q8725" s="411">
        <v>9</v>
      </c>
      <c r="R8725" s="405" t="s">
        <v>402</v>
      </c>
      <c r="S8725" s="405" t="s">
        <v>27052</v>
      </c>
      <c r="T8725" s="405" t="s">
        <v>32102</v>
      </c>
      <c r="U8725" s="405" t="s">
        <v>319</v>
      </c>
    </row>
    <row r="8726" spans="1:21" hidden="1" x14ac:dyDescent="0.25">
      <c r="A8726" s="405" t="s">
        <v>310</v>
      </c>
      <c r="B8726" s="405" t="s">
        <v>1078</v>
      </c>
      <c r="C8726" s="405" t="s">
        <v>327</v>
      </c>
      <c r="D8726" s="405"/>
      <c r="E8726" s="410">
        <v>40617</v>
      </c>
      <c r="F8726" s="410">
        <v>40662</v>
      </c>
      <c r="G8726" s="405" t="s">
        <v>1079</v>
      </c>
      <c r="H8726" s="405">
        <v>779411349</v>
      </c>
      <c r="I8726" s="405">
        <v>782354639</v>
      </c>
      <c r="J8726" s="405">
        <v>-0.24663199999999999</v>
      </c>
      <c r="K8726" s="405">
        <v>31.653967000000002</v>
      </c>
      <c r="L8726" s="405" t="s">
        <v>314</v>
      </c>
      <c r="M8726" s="405" t="s">
        <v>1080</v>
      </c>
      <c r="N8726" s="405" t="s">
        <v>1081</v>
      </c>
      <c r="O8726" s="405" t="s">
        <v>1082</v>
      </c>
      <c r="P8726" s="405" t="s">
        <v>1083</v>
      </c>
      <c r="Q8726" s="411">
        <v>6</v>
      </c>
      <c r="R8726" s="405" t="s">
        <v>402</v>
      </c>
      <c r="S8726" s="405" t="s">
        <v>27164</v>
      </c>
      <c r="T8726" s="405" t="s">
        <v>32102</v>
      </c>
      <c r="U8726" s="405" t="s">
        <v>319</v>
      </c>
    </row>
    <row r="8727" spans="1:21" hidden="1" x14ac:dyDescent="0.25">
      <c r="A8727" s="405" t="s">
        <v>310</v>
      </c>
      <c r="B8727" s="405" t="s">
        <v>27849</v>
      </c>
      <c r="C8727" s="405" t="s">
        <v>327</v>
      </c>
      <c r="D8727" s="405"/>
      <c r="E8727" s="410">
        <v>40617</v>
      </c>
      <c r="F8727" s="410">
        <v>40662</v>
      </c>
      <c r="G8727" s="405" t="s">
        <v>10633</v>
      </c>
      <c r="H8727" s="405">
        <v>753419203</v>
      </c>
      <c r="I8727" s="405"/>
      <c r="J8727" s="405">
        <v>1.0247916666666665</v>
      </c>
      <c r="K8727" s="405">
        <v>33.090339999999998</v>
      </c>
      <c r="L8727" s="405" t="s">
        <v>6866</v>
      </c>
      <c r="M8727" s="405" t="s">
        <v>3009</v>
      </c>
      <c r="N8727" s="405" t="s">
        <v>9612</v>
      </c>
      <c r="O8727" s="405" t="s">
        <v>10188</v>
      </c>
      <c r="P8727" s="405" t="s">
        <v>10189</v>
      </c>
      <c r="Q8727" s="411">
        <v>6</v>
      </c>
      <c r="R8727" s="405" t="s">
        <v>333</v>
      </c>
      <c r="S8727" s="405" t="s">
        <v>6822</v>
      </c>
      <c r="T8727" s="405" t="s">
        <v>32102</v>
      </c>
      <c r="U8727" s="405" t="s">
        <v>319</v>
      </c>
    </row>
    <row r="8728" spans="1:21" hidden="1" x14ac:dyDescent="0.25">
      <c r="A8728" s="405" t="s">
        <v>310</v>
      </c>
      <c r="B8728" s="405" t="s">
        <v>28414</v>
      </c>
      <c r="C8728" s="405" t="s">
        <v>327</v>
      </c>
      <c r="D8728" s="405"/>
      <c r="E8728" s="410">
        <v>40617</v>
      </c>
      <c r="F8728" s="410">
        <v>40662</v>
      </c>
      <c r="G8728" s="405" t="s">
        <v>1004</v>
      </c>
      <c r="H8728" s="405">
        <v>702395300</v>
      </c>
      <c r="I8728" s="405"/>
      <c r="J8728" s="405">
        <v>0.24215499999999998</v>
      </c>
      <c r="K8728" s="405">
        <v>32.338531666666668</v>
      </c>
      <c r="L8728" s="405" t="s">
        <v>314</v>
      </c>
      <c r="M8728" s="405" t="s">
        <v>321</v>
      </c>
      <c r="N8728" s="405" t="s">
        <v>322</v>
      </c>
      <c r="O8728" s="405" t="s">
        <v>996</v>
      </c>
      <c r="P8728" s="405" t="s">
        <v>1005</v>
      </c>
      <c r="Q8728" s="411">
        <v>6</v>
      </c>
      <c r="R8728" s="405" t="s">
        <v>318</v>
      </c>
      <c r="S8728" s="405" t="s">
        <v>414</v>
      </c>
      <c r="T8728" s="405" t="s">
        <v>32102</v>
      </c>
      <c r="U8728" s="405" t="s">
        <v>319</v>
      </c>
    </row>
    <row r="8729" spans="1:21" hidden="1" x14ac:dyDescent="0.25">
      <c r="A8729" s="405" t="s">
        <v>310</v>
      </c>
      <c r="B8729" s="405" t="s">
        <v>1057</v>
      </c>
      <c r="C8729" s="405" t="s">
        <v>327</v>
      </c>
      <c r="D8729" s="405"/>
      <c r="E8729" s="410">
        <v>40617</v>
      </c>
      <c r="F8729" s="410">
        <v>40662</v>
      </c>
      <c r="G8729" s="405" t="s">
        <v>1058</v>
      </c>
      <c r="H8729" s="405">
        <v>775142272</v>
      </c>
      <c r="I8729" s="405"/>
      <c r="J8729" s="405">
        <v>0.117065</v>
      </c>
      <c r="K8729" s="405">
        <v>31.920991999999998</v>
      </c>
      <c r="L8729" s="405" t="s">
        <v>314</v>
      </c>
      <c r="M8729" s="405" t="s">
        <v>315</v>
      </c>
      <c r="N8729" s="405" t="s">
        <v>315</v>
      </c>
      <c r="O8729" s="405" t="s">
        <v>913</v>
      </c>
      <c r="P8729" s="405" t="s">
        <v>1059</v>
      </c>
      <c r="Q8729" s="411">
        <v>6</v>
      </c>
      <c r="R8729" s="405" t="s">
        <v>438</v>
      </c>
      <c r="S8729" s="405" t="s">
        <v>27128</v>
      </c>
      <c r="T8729" s="405" t="s">
        <v>32102</v>
      </c>
      <c r="U8729" s="405" t="s">
        <v>319</v>
      </c>
    </row>
    <row r="8730" spans="1:21" hidden="1" x14ac:dyDescent="0.25">
      <c r="A8730" s="405" t="s">
        <v>310</v>
      </c>
      <c r="B8730" s="405" t="s">
        <v>10124</v>
      </c>
      <c r="C8730" s="405" t="s">
        <v>327</v>
      </c>
      <c r="D8730" s="405"/>
      <c r="E8730" s="410">
        <v>40617</v>
      </c>
      <c r="F8730" s="410">
        <v>40662</v>
      </c>
      <c r="G8730" s="405" t="s">
        <v>10125</v>
      </c>
      <c r="H8730" s="405">
        <v>772497842</v>
      </c>
      <c r="I8730" s="405">
        <v>776929817</v>
      </c>
      <c r="J8730" s="405">
        <v>1.060562</v>
      </c>
      <c r="K8730" s="405">
        <v>34.203899999999997</v>
      </c>
      <c r="L8730" s="405" t="s">
        <v>6866</v>
      </c>
      <c r="M8730" s="405" t="s">
        <v>9514</v>
      </c>
      <c r="N8730" s="405" t="s">
        <v>9515</v>
      </c>
      <c r="O8730" s="405" t="s">
        <v>9681</v>
      </c>
      <c r="P8730" s="405" t="s">
        <v>10126</v>
      </c>
      <c r="Q8730" s="411">
        <v>4</v>
      </c>
      <c r="R8730" s="405" t="s">
        <v>7224</v>
      </c>
      <c r="S8730" s="405" t="s">
        <v>27074</v>
      </c>
      <c r="T8730" s="405" t="s">
        <v>32102</v>
      </c>
      <c r="U8730" s="405" t="s">
        <v>319</v>
      </c>
    </row>
    <row r="8731" spans="1:21" hidden="1" x14ac:dyDescent="0.25">
      <c r="A8731" s="405" t="s">
        <v>310</v>
      </c>
      <c r="B8731" s="405" t="s">
        <v>27523</v>
      </c>
      <c r="C8731" s="405" t="s">
        <v>327</v>
      </c>
      <c r="D8731" s="405"/>
      <c r="E8731" s="410">
        <v>40616</v>
      </c>
      <c r="F8731" s="410">
        <v>40661</v>
      </c>
      <c r="G8731" s="405" t="s">
        <v>18233</v>
      </c>
      <c r="H8731" s="405">
        <v>701735163</v>
      </c>
      <c r="I8731" s="405">
        <v>780579420</v>
      </c>
      <c r="J8731" s="405">
        <v>2.2123895999999998</v>
      </c>
      <c r="K8731" s="405">
        <v>32.896462999999997</v>
      </c>
      <c r="L8731" s="405" t="s">
        <v>860</v>
      </c>
      <c r="M8731" s="405" t="s">
        <v>18234</v>
      </c>
      <c r="N8731" s="405" t="s">
        <v>18235</v>
      </c>
      <c r="O8731" s="405" t="s">
        <v>13002</v>
      </c>
      <c r="P8731" s="405" t="s">
        <v>18236</v>
      </c>
      <c r="Q8731" s="411">
        <v>6</v>
      </c>
      <c r="R8731" s="405" t="s">
        <v>18237</v>
      </c>
      <c r="S8731" s="405" t="s">
        <v>27079</v>
      </c>
      <c r="T8731" s="405" t="s">
        <v>32102</v>
      </c>
      <c r="U8731" s="405" t="s">
        <v>319</v>
      </c>
    </row>
    <row r="8732" spans="1:21" hidden="1" x14ac:dyDescent="0.25">
      <c r="A8732" s="405" t="s">
        <v>310</v>
      </c>
      <c r="B8732" s="405" t="s">
        <v>1018</v>
      </c>
      <c r="C8732" s="405" t="s">
        <v>327</v>
      </c>
      <c r="D8732" s="405"/>
      <c r="E8732" s="410">
        <v>40616</v>
      </c>
      <c r="F8732" s="410">
        <v>40661</v>
      </c>
      <c r="G8732" s="405" t="s">
        <v>1019</v>
      </c>
      <c r="H8732" s="405">
        <v>756963964</v>
      </c>
      <c r="I8732" s="405">
        <v>781485500</v>
      </c>
      <c r="J8732" s="405">
        <v>-0.35402080000000002</v>
      </c>
      <c r="K8732" s="405">
        <v>31.729536599999999</v>
      </c>
      <c r="L8732" s="405" t="s">
        <v>314</v>
      </c>
      <c r="M8732" s="405" t="s">
        <v>382</v>
      </c>
      <c r="N8732" s="405" t="s">
        <v>988</v>
      </c>
      <c r="O8732" s="405" t="s">
        <v>1020</v>
      </c>
      <c r="P8732" s="405" t="s">
        <v>1021</v>
      </c>
      <c r="Q8732" s="411">
        <v>6</v>
      </c>
      <c r="R8732" s="405" t="s">
        <v>402</v>
      </c>
      <c r="S8732" s="405" t="s">
        <v>27121</v>
      </c>
      <c r="T8732" s="405" t="s">
        <v>32102</v>
      </c>
      <c r="U8732" s="405" t="s">
        <v>319</v>
      </c>
    </row>
    <row r="8733" spans="1:21" hidden="1" x14ac:dyDescent="0.25">
      <c r="A8733" s="405" t="s">
        <v>310</v>
      </c>
      <c r="B8733" s="405" t="s">
        <v>1128</v>
      </c>
      <c r="C8733" s="405" t="s">
        <v>327</v>
      </c>
      <c r="D8733" s="405"/>
      <c r="E8733" s="410">
        <v>40615</v>
      </c>
      <c r="F8733" s="410">
        <v>40660</v>
      </c>
      <c r="G8733" s="405" t="s">
        <v>1129</v>
      </c>
      <c r="H8733" s="405">
        <v>782435535</v>
      </c>
      <c r="I8733" s="405"/>
      <c r="J8733" s="405">
        <v>0.57971700000000004</v>
      </c>
      <c r="K8733" s="405">
        <v>32.678071000000003</v>
      </c>
      <c r="L8733" s="405" t="s">
        <v>314</v>
      </c>
      <c r="M8733" s="405" t="s">
        <v>329</v>
      </c>
      <c r="N8733" s="405" t="s">
        <v>545</v>
      </c>
      <c r="O8733" s="405" t="s">
        <v>1130</v>
      </c>
      <c r="P8733" s="405" t="s">
        <v>1131</v>
      </c>
      <c r="Q8733" s="411">
        <v>9</v>
      </c>
      <c r="R8733" s="405" t="s">
        <v>318</v>
      </c>
      <c r="S8733" s="405" t="s">
        <v>27152</v>
      </c>
      <c r="T8733" s="405" t="s">
        <v>32102</v>
      </c>
      <c r="U8733" s="405" t="s">
        <v>319</v>
      </c>
    </row>
    <row r="8734" spans="1:21" hidden="1" x14ac:dyDescent="0.25">
      <c r="A8734" s="405" t="s">
        <v>310</v>
      </c>
      <c r="B8734" s="405" t="s">
        <v>28868</v>
      </c>
      <c r="C8734" s="405" t="s">
        <v>327</v>
      </c>
      <c r="D8734" s="405"/>
      <c r="E8734" s="410">
        <v>40615</v>
      </c>
      <c r="F8734" s="410">
        <v>40660</v>
      </c>
      <c r="G8734" s="405" t="s">
        <v>1048</v>
      </c>
      <c r="H8734" s="405">
        <v>702592546</v>
      </c>
      <c r="I8734" s="405">
        <v>706712059</v>
      </c>
      <c r="J8734" s="405">
        <v>-0.63164699999999996</v>
      </c>
      <c r="K8734" s="405">
        <v>31.551997</v>
      </c>
      <c r="L8734" s="405" t="s">
        <v>314</v>
      </c>
      <c r="M8734" s="405" t="s">
        <v>398</v>
      </c>
      <c r="N8734" s="405" t="s">
        <v>399</v>
      </c>
      <c r="O8734" s="405" t="s">
        <v>399</v>
      </c>
      <c r="P8734" s="405" t="s">
        <v>1049</v>
      </c>
      <c r="Q8734" s="411">
        <v>6</v>
      </c>
      <c r="R8734" s="405" t="s">
        <v>402</v>
      </c>
      <c r="S8734" s="405" t="s">
        <v>27139</v>
      </c>
      <c r="T8734" s="405" t="s">
        <v>32102</v>
      </c>
      <c r="U8734" s="405" t="s">
        <v>319</v>
      </c>
    </row>
    <row r="8735" spans="1:21" hidden="1" x14ac:dyDescent="0.25">
      <c r="A8735" s="405" t="s">
        <v>310</v>
      </c>
      <c r="B8735" s="405" t="s">
        <v>1154</v>
      </c>
      <c r="C8735" s="405" t="s">
        <v>327</v>
      </c>
      <c r="D8735" s="405"/>
      <c r="E8735" s="410">
        <v>40615</v>
      </c>
      <c r="F8735" s="410">
        <v>40660</v>
      </c>
      <c r="G8735" s="405" t="s">
        <v>1155</v>
      </c>
      <c r="H8735" s="405">
        <v>392966213</v>
      </c>
      <c r="I8735" s="405">
        <v>705137963</v>
      </c>
      <c r="J8735" s="405">
        <v>0.28011950000000002</v>
      </c>
      <c r="K8735" s="405">
        <v>32.475913599999998</v>
      </c>
      <c r="L8735" s="405" t="s">
        <v>314</v>
      </c>
      <c r="M8735" s="405" t="s">
        <v>321</v>
      </c>
      <c r="N8735" s="405" t="s">
        <v>322</v>
      </c>
      <c r="O8735" s="405" t="s">
        <v>996</v>
      </c>
      <c r="P8735" s="405" t="s">
        <v>1156</v>
      </c>
      <c r="Q8735" s="411">
        <v>6</v>
      </c>
      <c r="R8735" s="405" t="s">
        <v>333</v>
      </c>
      <c r="S8735" s="405" t="s">
        <v>27146</v>
      </c>
      <c r="T8735" s="405" t="s">
        <v>32102</v>
      </c>
      <c r="U8735" s="405" t="s">
        <v>319</v>
      </c>
    </row>
    <row r="8736" spans="1:21" hidden="1" x14ac:dyDescent="0.25">
      <c r="A8736" s="405" t="s">
        <v>310</v>
      </c>
      <c r="B8736" s="405" t="s">
        <v>1068</v>
      </c>
      <c r="C8736" s="405" t="s">
        <v>327</v>
      </c>
      <c r="D8736" s="405"/>
      <c r="E8736" s="410">
        <v>40615</v>
      </c>
      <c r="F8736" s="410">
        <v>40660</v>
      </c>
      <c r="G8736" s="405" t="s">
        <v>1069</v>
      </c>
      <c r="H8736" s="405">
        <v>754624703</v>
      </c>
      <c r="I8736" s="405"/>
      <c r="J8736" s="405">
        <v>0.34508299999999997</v>
      </c>
      <c r="K8736" s="405">
        <v>32.023217000000002</v>
      </c>
      <c r="L8736" s="405" t="s">
        <v>314</v>
      </c>
      <c r="M8736" s="405" t="s">
        <v>675</v>
      </c>
      <c r="N8736" s="405" t="s">
        <v>1070</v>
      </c>
      <c r="O8736" s="405" t="s">
        <v>1066</v>
      </c>
      <c r="P8736" s="405" t="s">
        <v>1071</v>
      </c>
      <c r="Q8736" s="411">
        <v>6</v>
      </c>
      <c r="R8736" s="405" t="s">
        <v>318</v>
      </c>
      <c r="S8736" s="405" t="s">
        <v>27035</v>
      </c>
      <c r="T8736" s="405" t="s">
        <v>32102</v>
      </c>
      <c r="U8736" s="405" t="s">
        <v>319</v>
      </c>
    </row>
    <row r="8737" spans="1:21" hidden="1" x14ac:dyDescent="0.25">
      <c r="A8737" s="405" t="s">
        <v>310</v>
      </c>
      <c r="B8737" s="405" t="s">
        <v>1074</v>
      </c>
      <c r="C8737" s="405" t="s">
        <v>327</v>
      </c>
      <c r="D8737" s="405"/>
      <c r="E8737" s="410">
        <v>40614</v>
      </c>
      <c r="F8737" s="410">
        <v>40659</v>
      </c>
      <c r="G8737" s="405" t="s">
        <v>1075</v>
      </c>
      <c r="H8737" s="405">
        <v>783482587</v>
      </c>
      <c r="I8737" s="405">
        <v>773746778</v>
      </c>
      <c r="J8737" s="405">
        <v>-0.30446499999999999</v>
      </c>
      <c r="K8737" s="405">
        <v>31.716818</v>
      </c>
      <c r="L8737" s="405" t="s">
        <v>314</v>
      </c>
      <c r="M8737" s="405" t="s">
        <v>382</v>
      </c>
      <c r="N8737" s="405" t="s">
        <v>941</v>
      </c>
      <c r="O8737" s="405" t="s">
        <v>1076</v>
      </c>
      <c r="P8737" s="405" t="s">
        <v>1077</v>
      </c>
      <c r="Q8737" s="411">
        <v>9</v>
      </c>
      <c r="R8737" s="405" t="s">
        <v>874</v>
      </c>
      <c r="S8737" s="405" t="s">
        <v>27163</v>
      </c>
      <c r="T8737" s="405" t="s">
        <v>32102</v>
      </c>
      <c r="U8737" s="405" t="s">
        <v>319</v>
      </c>
    </row>
    <row r="8738" spans="1:21" hidden="1" x14ac:dyDescent="0.25">
      <c r="A8738" s="405" t="s">
        <v>310</v>
      </c>
      <c r="B8738" s="405" t="s">
        <v>27825</v>
      </c>
      <c r="C8738" s="405" t="s">
        <v>311</v>
      </c>
      <c r="D8738" s="405" t="s">
        <v>839</v>
      </c>
      <c r="E8738" s="410">
        <v>40614</v>
      </c>
      <c r="F8738" s="410">
        <v>40659</v>
      </c>
      <c r="G8738" s="405" t="s">
        <v>1663</v>
      </c>
      <c r="H8738" s="405">
        <v>782211422</v>
      </c>
      <c r="I8738" s="405">
        <v>703842926</v>
      </c>
      <c r="J8738" s="405">
        <v>-0.34670200000000001</v>
      </c>
      <c r="K8738" s="405">
        <v>31.745538</v>
      </c>
      <c r="L8738" s="405" t="s">
        <v>314</v>
      </c>
      <c r="M8738" s="405" t="s">
        <v>382</v>
      </c>
      <c r="N8738" s="405" t="s">
        <v>941</v>
      </c>
      <c r="O8738" s="405" t="s">
        <v>942</v>
      </c>
      <c r="P8738" s="405" t="s">
        <v>1664</v>
      </c>
      <c r="Q8738" s="411">
        <v>6</v>
      </c>
      <c r="R8738" s="405" t="s">
        <v>874</v>
      </c>
      <c r="S8738" s="405" t="s">
        <v>27104</v>
      </c>
      <c r="T8738" s="405" t="s">
        <v>32102</v>
      </c>
      <c r="U8738" s="405" t="s">
        <v>319</v>
      </c>
    </row>
    <row r="8739" spans="1:21" hidden="1" x14ac:dyDescent="0.25">
      <c r="A8739" s="405" t="s">
        <v>310</v>
      </c>
      <c r="B8739" s="405" t="s">
        <v>28139</v>
      </c>
      <c r="C8739" s="405" t="s">
        <v>327</v>
      </c>
      <c r="D8739" s="405"/>
      <c r="E8739" s="410">
        <v>40614</v>
      </c>
      <c r="F8739" s="410">
        <v>40659</v>
      </c>
      <c r="G8739" s="405" t="s">
        <v>1157</v>
      </c>
      <c r="H8739" s="405">
        <v>772415288</v>
      </c>
      <c r="I8739" s="405">
        <v>772318530</v>
      </c>
      <c r="J8739" s="405">
        <v>-0.19126689999999999</v>
      </c>
      <c r="K8739" s="405">
        <v>31.678638899999999</v>
      </c>
      <c r="L8739" s="405" t="s">
        <v>314</v>
      </c>
      <c r="M8739" s="405" t="s">
        <v>900</v>
      </c>
      <c r="N8739" s="405" t="s">
        <v>900</v>
      </c>
      <c r="O8739" s="405" t="s">
        <v>900</v>
      </c>
      <c r="P8739" s="405" t="s">
        <v>1158</v>
      </c>
      <c r="Q8739" s="411">
        <v>6</v>
      </c>
      <c r="R8739" s="405" t="s">
        <v>402</v>
      </c>
      <c r="S8739" s="405" t="s">
        <v>27139</v>
      </c>
      <c r="T8739" s="405" t="s">
        <v>32102</v>
      </c>
      <c r="U8739" s="405" t="s">
        <v>319</v>
      </c>
    </row>
    <row r="8740" spans="1:21" hidden="1" x14ac:dyDescent="0.25">
      <c r="A8740" s="405" t="s">
        <v>310</v>
      </c>
      <c r="B8740" s="405" t="s">
        <v>28941</v>
      </c>
      <c r="C8740" s="405" t="s">
        <v>327</v>
      </c>
      <c r="D8740" s="405"/>
      <c r="E8740" s="410">
        <v>40614</v>
      </c>
      <c r="F8740" s="410">
        <v>40659</v>
      </c>
      <c r="G8740" s="405" t="s">
        <v>1022</v>
      </c>
      <c r="H8740" s="405">
        <v>775544115</v>
      </c>
      <c r="I8740" s="405"/>
      <c r="J8740" s="405">
        <v>0.1804316</v>
      </c>
      <c r="K8740" s="405">
        <v>32.2794393</v>
      </c>
      <c r="L8740" s="405" t="s">
        <v>314</v>
      </c>
      <c r="M8740" s="405" t="s">
        <v>321</v>
      </c>
      <c r="N8740" s="405" t="s">
        <v>322</v>
      </c>
      <c r="O8740" s="405" t="s">
        <v>1023</v>
      </c>
      <c r="P8740" s="405" t="s">
        <v>1024</v>
      </c>
      <c r="Q8740" s="411">
        <v>6</v>
      </c>
      <c r="R8740" s="405" t="s">
        <v>353</v>
      </c>
      <c r="S8740" s="405" t="s">
        <v>27111</v>
      </c>
      <c r="T8740" s="405" t="s">
        <v>32102</v>
      </c>
      <c r="U8740" s="405" t="s">
        <v>319</v>
      </c>
    </row>
    <row r="8741" spans="1:21" hidden="1" x14ac:dyDescent="0.25">
      <c r="A8741" s="405" t="s">
        <v>310</v>
      </c>
      <c r="B8741" s="405" t="s">
        <v>29050</v>
      </c>
      <c r="C8741" s="405" t="s">
        <v>327</v>
      </c>
      <c r="D8741" s="405"/>
      <c r="E8741" s="410">
        <v>40614</v>
      </c>
      <c r="F8741" s="410">
        <v>40659</v>
      </c>
      <c r="G8741" s="405" t="s">
        <v>1025</v>
      </c>
      <c r="H8741" s="405">
        <v>772630140</v>
      </c>
      <c r="I8741" s="405"/>
      <c r="J8741" s="405">
        <v>5.6955400000000003E-2</v>
      </c>
      <c r="K8741" s="405">
        <v>32.0967038</v>
      </c>
      <c r="L8741" s="405" t="s">
        <v>314</v>
      </c>
      <c r="M8741" s="405" t="s">
        <v>321</v>
      </c>
      <c r="N8741" s="405" t="s">
        <v>322</v>
      </c>
      <c r="O8741" s="405" t="s">
        <v>476</v>
      </c>
      <c r="P8741" s="405" t="s">
        <v>1026</v>
      </c>
      <c r="Q8741" s="411">
        <v>6</v>
      </c>
      <c r="R8741" s="405" t="s">
        <v>353</v>
      </c>
      <c r="S8741" s="405" t="s">
        <v>27129</v>
      </c>
      <c r="T8741" s="405" t="s">
        <v>32102</v>
      </c>
      <c r="U8741" s="405" t="s">
        <v>319</v>
      </c>
    </row>
    <row r="8742" spans="1:21" hidden="1" x14ac:dyDescent="0.25">
      <c r="A8742" s="405" t="s">
        <v>310</v>
      </c>
      <c r="B8742" s="405" t="s">
        <v>18512</v>
      </c>
      <c r="C8742" s="405" t="s">
        <v>311</v>
      </c>
      <c r="D8742" s="405" t="s">
        <v>312</v>
      </c>
      <c r="E8742" s="410">
        <v>40614</v>
      </c>
      <c r="F8742" s="410">
        <v>40659</v>
      </c>
      <c r="G8742" s="405" t="s">
        <v>18513</v>
      </c>
      <c r="H8742" s="405">
        <v>772896681</v>
      </c>
      <c r="I8742" s="405">
        <v>792896681</v>
      </c>
      <c r="J8742" s="405">
        <v>2.2328701</v>
      </c>
      <c r="K8742" s="405">
        <v>32.907559200000001</v>
      </c>
      <c r="L8742" s="405" t="s">
        <v>860</v>
      </c>
      <c r="M8742" s="405" t="s">
        <v>18234</v>
      </c>
      <c r="N8742" s="405" t="s">
        <v>18250</v>
      </c>
      <c r="O8742" s="405" t="s">
        <v>13002</v>
      </c>
      <c r="P8742" s="405" t="s">
        <v>18239</v>
      </c>
      <c r="Q8742" s="411">
        <v>6</v>
      </c>
      <c r="R8742" s="405" t="s">
        <v>994</v>
      </c>
      <c r="S8742" s="405" t="s">
        <v>27335</v>
      </c>
      <c r="T8742" s="405" t="s">
        <v>32102</v>
      </c>
      <c r="U8742" s="405" t="s">
        <v>319</v>
      </c>
    </row>
    <row r="8743" spans="1:21" hidden="1" x14ac:dyDescent="0.25">
      <c r="A8743" s="405" t="s">
        <v>310</v>
      </c>
      <c r="B8743" s="405" t="s">
        <v>1117</v>
      </c>
      <c r="C8743" s="405" t="s">
        <v>327</v>
      </c>
      <c r="D8743" s="405"/>
      <c r="E8743" s="410">
        <v>40614</v>
      </c>
      <c r="F8743" s="410">
        <v>40659</v>
      </c>
      <c r="G8743" s="405" t="s">
        <v>1118</v>
      </c>
      <c r="H8743" s="405">
        <v>782656810</v>
      </c>
      <c r="I8743" s="405">
        <v>758200729</v>
      </c>
      <c r="J8743" s="405">
        <v>-0.190108</v>
      </c>
      <c r="K8743" s="405">
        <v>31.769649999999999</v>
      </c>
      <c r="L8743" s="405" t="s">
        <v>314</v>
      </c>
      <c r="M8743" s="405" t="s">
        <v>900</v>
      </c>
      <c r="N8743" s="405" t="s">
        <v>1119</v>
      </c>
      <c r="O8743" s="405" t="s">
        <v>1120</v>
      </c>
      <c r="P8743" s="405" t="s">
        <v>1121</v>
      </c>
      <c r="Q8743" s="411">
        <v>6</v>
      </c>
      <c r="R8743" s="405" t="s">
        <v>525</v>
      </c>
      <c r="S8743" s="405" t="s">
        <v>27035</v>
      </c>
      <c r="T8743" s="405" t="s">
        <v>32102</v>
      </c>
      <c r="U8743" s="405" t="s">
        <v>319</v>
      </c>
    </row>
    <row r="8744" spans="1:21" hidden="1" x14ac:dyDescent="0.25">
      <c r="A8744" s="405" t="s">
        <v>310</v>
      </c>
      <c r="B8744" s="405" t="s">
        <v>1698</v>
      </c>
      <c r="C8744" s="405" t="s">
        <v>311</v>
      </c>
      <c r="D8744" s="405" t="s">
        <v>839</v>
      </c>
      <c r="E8744" s="410">
        <v>40614</v>
      </c>
      <c r="F8744" s="410">
        <v>40659</v>
      </c>
      <c r="G8744" s="405" t="s">
        <v>1699</v>
      </c>
      <c r="H8744" s="405">
        <v>774856778</v>
      </c>
      <c r="I8744" s="405"/>
      <c r="J8744" s="405">
        <v>0.25531199999999998</v>
      </c>
      <c r="K8744" s="405">
        <v>31.943738</v>
      </c>
      <c r="L8744" s="405" t="s">
        <v>314</v>
      </c>
      <c r="M8744" s="405" t="s">
        <v>675</v>
      </c>
      <c r="N8744" s="405" t="s">
        <v>676</v>
      </c>
      <c r="O8744" s="405" t="s">
        <v>1700</v>
      </c>
      <c r="P8744" s="405" t="s">
        <v>1701</v>
      </c>
      <c r="Q8744" s="411">
        <v>6</v>
      </c>
      <c r="R8744" s="405" t="s">
        <v>438</v>
      </c>
      <c r="S8744" s="405" t="s">
        <v>27131</v>
      </c>
      <c r="T8744" s="405" t="s">
        <v>32102</v>
      </c>
      <c r="U8744" s="405" t="s">
        <v>319</v>
      </c>
    </row>
    <row r="8745" spans="1:21" hidden="1" x14ac:dyDescent="0.25">
      <c r="A8745" s="405" t="s">
        <v>310</v>
      </c>
      <c r="B8745" s="405" t="s">
        <v>10146</v>
      </c>
      <c r="C8745" s="405" t="s">
        <v>327</v>
      </c>
      <c r="D8745" s="405"/>
      <c r="E8745" s="410">
        <v>40613</v>
      </c>
      <c r="F8745" s="410">
        <v>40658</v>
      </c>
      <c r="G8745" s="405" t="s">
        <v>10147</v>
      </c>
      <c r="H8745" s="405">
        <v>777103234</v>
      </c>
      <c r="I8745" s="405"/>
      <c r="J8745" s="405">
        <v>1.101153</v>
      </c>
      <c r="K8745" s="405">
        <v>33.956865000000001</v>
      </c>
      <c r="L8745" s="405" t="s">
        <v>6866</v>
      </c>
      <c r="M8745" s="405" t="s">
        <v>9676</v>
      </c>
      <c r="N8745" s="405" t="s">
        <v>9676</v>
      </c>
      <c r="O8745" s="405" t="s">
        <v>10148</v>
      </c>
      <c r="P8745" s="405" t="s">
        <v>10149</v>
      </c>
      <c r="Q8745" s="411">
        <v>6</v>
      </c>
      <c r="R8745" s="405" t="s">
        <v>9541</v>
      </c>
      <c r="S8745" s="405" t="s">
        <v>27317</v>
      </c>
      <c r="T8745" s="405" t="s">
        <v>32102</v>
      </c>
      <c r="U8745" s="405" t="s">
        <v>319</v>
      </c>
    </row>
    <row r="8746" spans="1:21" hidden="1" x14ac:dyDescent="0.25">
      <c r="A8746" s="405" t="s">
        <v>310</v>
      </c>
      <c r="B8746" s="405" t="s">
        <v>10137</v>
      </c>
      <c r="C8746" s="405" t="s">
        <v>327</v>
      </c>
      <c r="D8746" s="405"/>
      <c r="E8746" s="410">
        <v>40613</v>
      </c>
      <c r="F8746" s="410">
        <v>40658</v>
      </c>
      <c r="G8746" s="405" t="s">
        <v>10138</v>
      </c>
      <c r="H8746" s="405">
        <v>703117370</v>
      </c>
      <c r="I8746" s="405"/>
      <c r="J8746" s="405">
        <v>1.078757</v>
      </c>
      <c r="K8746" s="405">
        <v>34.268904999999997</v>
      </c>
      <c r="L8746" s="405" t="s">
        <v>6866</v>
      </c>
      <c r="M8746" s="405" t="s">
        <v>9514</v>
      </c>
      <c r="N8746" s="405" t="s">
        <v>9529</v>
      </c>
      <c r="O8746" s="405" t="s">
        <v>10139</v>
      </c>
      <c r="P8746" s="405" t="s">
        <v>10140</v>
      </c>
      <c r="Q8746" s="411">
        <v>6</v>
      </c>
      <c r="R8746" s="405" t="s">
        <v>7224</v>
      </c>
      <c r="S8746" s="405" t="s">
        <v>27107</v>
      </c>
      <c r="T8746" s="405" t="s">
        <v>32102</v>
      </c>
      <c r="U8746" s="405" t="s">
        <v>319</v>
      </c>
    </row>
    <row r="8747" spans="1:21" hidden="1" x14ac:dyDescent="0.25">
      <c r="A8747" s="405" t="s">
        <v>310</v>
      </c>
      <c r="B8747" s="405" t="s">
        <v>10135</v>
      </c>
      <c r="C8747" s="405" t="s">
        <v>327</v>
      </c>
      <c r="D8747" s="405"/>
      <c r="E8747" s="410">
        <v>40613</v>
      </c>
      <c r="F8747" s="410">
        <v>40658</v>
      </c>
      <c r="G8747" s="405" t="s">
        <v>10136</v>
      </c>
      <c r="H8747" s="405">
        <v>772376623</v>
      </c>
      <c r="I8747" s="405">
        <v>704807823</v>
      </c>
      <c r="J8747" s="405">
        <v>0.90439999999999998</v>
      </c>
      <c r="K8747" s="405">
        <v>34.162644999999998</v>
      </c>
      <c r="L8747" s="405" t="s">
        <v>6866</v>
      </c>
      <c r="M8747" s="405" t="s">
        <v>9514</v>
      </c>
      <c r="N8747" s="405" t="s">
        <v>9529</v>
      </c>
      <c r="O8747" s="405" t="s">
        <v>9923</v>
      </c>
      <c r="P8747" s="405" t="s">
        <v>1256</v>
      </c>
      <c r="Q8747" s="411">
        <v>6</v>
      </c>
      <c r="R8747" s="405" t="s">
        <v>7224</v>
      </c>
      <c r="S8747" s="405" t="s">
        <v>27306</v>
      </c>
      <c r="T8747" s="405" t="s">
        <v>32102</v>
      </c>
      <c r="U8747" s="405" t="s">
        <v>319</v>
      </c>
    </row>
    <row r="8748" spans="1:21" hidden="1" x14ac:dyDescent="0.25">
      <c r="A8748" s="405" t="s">
        <v>310</v>
      </c>
      <c r="B8748" s="405" t="s">
        <v>10141</v>
      </c>
      <c r="C8748" s="405" t="s">
        <v>327</v>
      </c>
      <c r="D8748" s="405"/>
      <c r="E8748" s="410">
        <v>40612</v>
      </c>
      <c r="F8748" s="410">
        <v>40657</v>
      </c>
      <c r="G8748" s="405" t="s">
        <v>10142</v>
      </c>
      <c r="H8748" s="405">
        <v>758078489</v>
      </c>
      <c r="I8748" s="405"/>
      <c r="J8748" s="405">
        <v>1.0884469999999999</v>
      </c>
      <c r="K8748" s="405">
        <v>34.278844999999997</v>
      </c>
      <c r="L8748" s="405" t="s">
        <v>6866</v>
      </c>
      <c r="M8748" s="405" t="s">
        <v>9514</v>
      </c>
      <c r="N8748" s="405" t="s">
        <v>9722</v>
      </c>
      <c r="O8748" s="405" t="s">
        <v>10139</v>
      </c>
      <c r="P8748" s="405" t="s">
        <v>10143</v>
      </c>
      <c r="Q8748" s="411">
        <v>6</v>
      </c>
      <c r="R8748" s="405" t="s">
        <v>7224</v>
      </c>
      <c r="S8748" s="405" t="s">
        <v>27306</v>
      </c>
      <c r="T8748" s="405" t="s">
        <v>32102</v>
      </c>
      <c r="U8748" s="405" t="s">
        <v>319</v>
      </c>
    </row>
    <row r="8749" spans="1:21" hidden="1" x14ac:dyDescent="0.25">
      <c r="A8749" s="405" t="s">
        <v>310</v>
      </c>
      <c r="B8749" s="405" t="s">
        <v>1151</v>
      </c>
      <c r="C8749" s="405" t="s">
        <v>327</v>
      </c>
      <c r="D8749" s="405"/>
      <c r="E8749" s="410">
        <v>40609</v>
      </c>
      <c r="F8749" s="410">
        <v>40654</v>
      </c>
      <c r="G8749" s="405" t="s">
        <v>1152</v>
      </c>
      <c r="H8749" s="405">
        <v>774898325</v>
      </c>
      <c r="I8749" s="405">
        <v>772641284</v>
      </c>
      <c r="J8749" s="405">
        <v>-0.32232833333333333</v>
      </c>
      <c r="K8749" s="405">
        <v>31.792136666666671</v>
      </c>
      <c r="L8749" s="405" t="s">
        <v>314</v>
      </c>
      <c r="M8749" s="405" t="s">
        <v>382</v>
      </c>
      <c r="N8749" s="405" t="s">
        <v>941</v>
      </c>
      <c r="O8749" s="405" t="s">
        <v>1076</v>
      </c>
      <c r="P8749" s="405" t="s">
        <v>1153</v>
      </c>
      <c r="Q8749" s="411">
        <v>13</v>
      </c>
      <c r="R8749" s="405" t="s">
        <v>402</v>
      </c>
      <c r="S8749" s="405" t="s">
        <v>27154</v>
      </c>
      <c r="T8749" s="405" t="s">
        <v>32102</v>
      </c>
      <c r="U8749" s="405" t="s">
        <v>319</v>
      </c>
    </row>
    <row r="8750" spans="1:21" hidden="1" x14ac:dyDescent="0.25">
      <c r="A8750" s="405" t="s">
        <v>310</v>
      </c>
      <c r="B8750" s="405" t="s">
        <v>10177</v>
      </c>
      <c r="C8750" s="405" t="s">
        <v>327</v>
      </c>
      <c r="D8750" s="405"/>
      <c r="E8750" s="410">
        <v>40609</v>
      </c>
      <c r="F8750" s="410">
        <v>40654</v>
      </c>
      <c r="G8750" s="405" t="s">
        <v>10178</v>
      </c>
      <c r="H8750" s="405">
        <v>772949824</v>
      </c>
      <c r="I8750" s="405"/>
      <c r="J8750" s="405">
        <v>0.87719100000000005</v>
      </c>
      <c r="K8750" s="405">
        <v>34.267448999999999</v>
      </c>
      <c r="L8750" s="405" t="s">
        <v>6866</v>
      </c>
      <c r="M8750" s="405" t="s">
        <v>9763</v>
      </c>
      <c r="N8750" s="405" t="s">
        <v>9764</v>
      </c>
      <c r="O8750" s="405" t="s">
        <v>9765</v>
      </c>
      <c r="P8750" s="405" t="s">
        <v>10179</v>
      </c>
      <c r="Q8750" s="411">
        <v>6</v>
      </c>
      <c r="R8750" s="405" t="s">
        <v>7224</v>
      </c>
      <c r="S8750" s="405" t="s">
        <v>27073</v>
      </c>
      <c r="T8750" s="405" t="s">
        <v>32102</v>
      </c>
      <c r="U8750" s="405" t="s">
        <v>319</v>
      </c>
    </row>
    <row r="8751" spans="1:21" hidden="1" x14ac:dyDescent="0.25">
      <c r="A8751" s="405" t="s">
        <v>310</v>
      </c>
      <c r="B8751" s="405" t="s">
        <v>1060</v>
      </c>
      <c r="C8751" s="405" t="s">
        <v>327</v>
      </c>
      <c r="D8751" s="405"/>
      <c r="E8751" s="410">
        <v>40609</v>
      </c>
      <c r="F8751" s="410">
        <v>40654</v>
      </c>
      <c r="G8751" s="405" t="s">
        <v>1061</v>
      </c>
      <c r="H8751" s="405">
        <v>774061700</v>
      </c>
      <c r="I8751" s="405"/>
      <c r="J8751" s="405">
        <v>9.0730000000000005E-2</v>
      </c>
      <c r="K8751" s="405">
        <v>31.920642000000001</v>
      </c>
      <c r="L8751" s="405" t="s">
        <v>314</v>
      </c>
      <c r="M8751" s="405" t="s">
        <v>315</v>
      </c>
      <c r="N8751" s="405" t="s">
        <v>315</v>
      </c>
      <c r="O8751" s="405" t="s">
        <v>913</v>
      </c>
      <c r="P8751" s="405" t="s">
        <v>1062</v>
      </c>
      <c r="Q8751" s="411">
        <v>6</v>
      </c>
      <c r="R8751" s="405" t="s">
        <v>438</v>
      </c>
      <c r="S8751" s="405" t="s">
        <v>27128</v>
      </c>
      <c r="T8751" s="405" t="s">
        <v>32102</v>
      </c>
      <c r="U8751" s="405" t="s">
        <v>319</v>
      </c>
    </row>
    <row r="8752" spans="1:21" hidden="1" x14ac:dyDescent="0.25">
      <c r="A8752" s="405" t="s">
        <v>310</v>
      </c>
      <c r="B8752" s="405" t="s">
        <v>27910</v>
      </c>
      <c r="C8752" s="405" t="s">
        <v>311</v>
      </c>
      <c r="D8752" s="405" t="s">
        <v>21816</v>
      </c>
      <c r="E8752" s="410">
        <v>40608</v>
      </c>
      <c r="F8752" s="410">
        <v>40653</v>
      </c>
      <c r="G8752" s="405" t="s">
        <v>20206</v>
      </c>
      <c r="H8752" s="405">
        <v>782579929</v>
      </c>
      <c r="I8752" s="405"/>
      <c r="J8752" s="405">
        <v>-1.054082</v>
      </c>
      <c r="K8752" s="405">
        <v>30.164615000000001</v>
      </c>
      <c r="L8752" s="405" t="s">
        <v>590</v>
      </c>
      <c r="M8752" s="405" t="s">
        <v>19659</v>
      </c>
      <c r="N8752" s="405" t="s">
        <v>19677</v>
      </c>
      <c r="O8752" s="405" t="s">
        <v>20207</v>
      </c>
      <c r="P8752" s="405" t="s">
        <v>20208</v>
      </c>
      <c r="Q8752" s="411">
        <v>13</v>
      </c>
      <c r="R8752" s="405" t="s">
        <v>967</v>
      </c>
      <c r="S8752" s="405" t="s">
        <v>27401</v>
      </c>
      <c r="T8752" s="405" t="s">
        <v>32102</v>
      </c>
      <c r="U8752" s="405" t="s">
        <v>319</v>
      </c>
    </row>
    <row r="8753" spans="1:21" hidden="1" x14ac:dyDescent="0.25">
      <c r="A8753" s="405" t="s">
        <v>310</v>
      </c>
      <c r="B8753" s="405" t="s">
        <v>28469</v>
      </c>
      <c r="C8753" s="405" t="s">
        <v>327</v>
      </c>
      <c r="D8753" s="405"/>
      <c r="E8753" s="410">
        <v>40608</v>
      </c>
      <c r="F8753" s="410">
        <v>40653</v>
      </c>
      <c r="G8753" s="405" t="s">
        <v>10130</v>
      </c>
      <c r="H8753" s="405">
        <v>752751072</v>
      </c>
      <c r="I8753" s="405"/>
      <c r="J8753" s="405">
        <v>0.61554759999999997</v>
      </c>
      <c r="K8753" s="405">
        <v>33.4786225</v>
      </c>
      <c r="L8753" s="405" t="s">
        <v>6866</v>
      </c>
      <c r="M8753" s="405" t="s">
        <v>9590</v>
      </c>
      <c r="N8753" s="405" t="s">
        <v>9591</v>
      </c>
      <c r="O8753" s="405" t="s">
        <v>5538</v>
      </c>
      <c r="P8753" s="405" t="s">
        <v>10131</v>
      </c>
      <c r="Q8753" s="411">
        <v>9</v>
      </c>
      <c r="R8753" s="405" t="s">
        <v>318</v>
      </c>
      <c r="S8753" s="405" t="s">
        <v>6822</v>
      </c>
      <c r="T8753" s="405" t="s">
        <v>32102</v>
      </c>
      <c r="U8753" s="405" t="s">
        <v>319</v>
      </c>
    </row>
    <row r="8754" spans="1:21" hidden="1" x14ac:dyDescent="0.25">
      <c r="A8754" s="405" t="s">
        <v>310</v>
      </c>
      <c r="B8754" s="405" t="s">
        <v>10161</v>
      </c>
      <c r="C8754" s="405" t="s">
        <v>327</v>
      </c>
      <c r="D8754" s="405"/>
      <c r="E8754" s="410">
        <v>40608</v>
      </c>
      <c r="F8754" s="410">
        <v>40653</v>
      </c>
      <c r="G8754" s="405" t="s">
        <v>10162</v>
      </c>
      <c r="H8754" s="405">
        <v>777263875</v>
      </c>
      <c r="I8754" s="405"/>
      <c r="J8754" s="405">
        <v>1.235948</v>
      </c>
      <c r="K8754" s="405">
        <v>34.744259</v>
      </c>
      <c r="L8754" s="405" t="s">
        <v>6866</v>
      </c>
      <c r="M8754" s="405" t="s">
        <v>10163</v>
      </c>
      <c r="N8754" s="405" t="s">
        <v>10164</v>
      </c>
      <c r="O8754" s="405" t="s">
        <v>10165</v>
      </c>
      <c r="P8754" s="405" t="s">
        <v>10166</v>
      </c>
      <c r="Q8754" s="411">
        <v>6</v>
      </c>
      <c r="R8754" s="405" t="s">
        <v>9506</v>
      </c>
      <c r="S8754" s="405" t="s">
        <v>27169</v>
      </c>
      <c r="T8754" s="405" t="s">
        <v>32102</v>
      </c>
      <c r="U8754" s="405" t="s">
        <v>319</v>
      </c>
    </row>
    <row r="8755" spans="1:21" hidden="1" x14ac:dyDescent="0.25">
      <c r="A8755" s="405" t="s">
        <v>310</v>
      </c>
      <c r="B8755" s="405" t="s">
        <v>998</v>
      </c>
      <c r="C8755" s="405" t="s">
        <v>327</v>
      </c>
      <c r="D8755" s="405"/>
      <c r="E8755" s="410">
        <v>40607</v>
      </c>
      <c r="F8755" s="410">
        <v>40652</v>
      </c>
      <c r="G8755" s="405" t="s">
        <v>999</v>
      </c>
      <c r="H8755" s="405">
        <v>772367913</v>
      </c>
      <c r="I8755" s="405"/>
      <c r="J8755" s="405">
        <v>0.15964499999999998</v>
      </c>
      <c r="K8755" s="405">
        <v>32.326616666666673</v>
      </c>
      <c r="L8755" s="405" t="s">
        <v>314</v>
      </c>
      <c r="M8755" s="405" t="s">
        <v>321</v>
      </c>
      <c r="N8755" s="405" t="s">
        <v>322</v>
      </c>
      <c r="O8755" s="405" t="s">
        <v>996</v>
      </c>
      <c r="P8755" s="405" t="s">
        <v>1000</v>
      </c>
      <c r="Q8755" s="411">
        <v>6</v>
      </c>
      <c r="R8755" s="405" t="s">
        <v>567</v>
      </c>
      <c r="S8755" s="405" t="s">
        <v>27146</v>
      </c>
      <c r="T8755" s="405" t="s">
        <v>32102</v>
      </c>
      <c r="U8755" s="405" t="s">
        <v>319</v>
      </c>
    </row>
    <row r="8756" spans="1:21" hidden="1" x14ac:dyDescent="0.25">
      <c r="A8756" s="405" t="s">
        <v>310</v>
      </c>
      <c r="B8756" s="405" t="s">
        <v>1122</v>
      </c>
      <c r="C8756" s="405" t="s">
        <v>327</v>
      </c>
      <c r="D8756" s="405"/>
      <c r="E8756" s="410">
        <v>40605</v>
      </c>
      <c r="F8756" s="410">
        <v>40650</v>
      </c>
      <c r="G8756" s="405" t="s">
        <v>1123</v>
      </c>
      <c r="H8756" s="405">
        <v>782453403</v>
      </c>
      <c r="I8756" s="405"/>
      <c r="J8756" s="405">
        <v>-0.214225</v>
      </c>
      <c r="K8756" s="405">
        <v>31.732296999999999</v>
      </c>
      <c r="L8756" s="405" t="s">
        <v>314</v>
      </c>
      <c r="M8756" s="405" t="s">
        <v>900</v>
      </c>
      <c r="N8756" s="405" t="s">
        <v>1119</v>
      </c>
      <c r="O8756" s="405" t="s">
        <v>1120</v>
      </c>
      <c r="P8756" s="405" t="s">
        <v>1124</v>
      </c>
      <c r="Q8756" s="411">
        <v>9</v>
      </c>
      <c r="R8756" s="405" t="s">
        <v>333</v>
      </c>
      <c r="S8756" s="405" t="s">
        <v>27096</v>
      </c>
      <c r="T8756" s="405" t="s">
        <v>32102</v>
      </c>
      <c r="U8756" s="405" t="s">
        <v>319</v>
      </c>
    </row>
    <row r="8757" spans="1:21" hidden="1" x14ac:dyDescent="0.25">
      <c r="A8757" s="405" t="s">
        <v>310</v>
      </c>
      <c r="B8757" s="405" t="s">
        <v>1030</v>
      </c>
      <c r="C8757" s="405" t="s">
        <v>327</v>
      </c>
      <c r="D8757" s="405"/>
      <c r="E8757" s="410">
        <v>40605</v>
      </c>
      <c r="F8757" s="410">
        <v>40650</v>
      </c>
      <c r="G8757" s="405" t="s">
        <v>1031</v>
      </c>
      <c r="H8757" s="405">
        <v>772468226</v>
      </c>
      <c r="I8757" s="405">
        <v>704468226</v>
      </c>
      <c r="J8757" s="405">
        <v>-0.39477190000000001</v>
      </c>
      <c r="K8757" s="405">
        <v>31.695807200000001</v>
      </c>
      <c r="L8757" s="405" t="s">
        <v>314</v>
      </c>
      <c r="M8757" s="405" t="s">
        <v>382</v>
      </c>
      <c r="N8757" s="405" t="s">
        <v>988</v>
      </c>
      <c r="O8757" s="405" t="s">
        <v>1032</v>
      </c>
      <c r="P8757" s="405" t="s">
        <v>1033</v>
      </c>
      <c r="Q8757" s="411">
        <v>9</v>
      </c>
      <c r="R8757" s="405" t="s">
        <v>318</v>
      </c>
      <c r="S8757" s="405" t="s">
        <v>27152</v>
      </c>
      <c r="T8757" s="405" t="s">
        <v>32102</v>
      </c>
      <c r="U8757" s="405" t="s">
        <v>319</v>
      </c>
    </row>
    <row r="8758" spans="1:21" hidden="1" x14ac:dyDescent="0.25">
      <c r="A8758" s="405" t="s">
        <v>310</v>
      </c>
      <c r="B8758" s="405" t="s">
        <v>27792</v>
      </c>
      <c r="C8758" s="405" t="s">
        <v>327</v>
      </c>
      <c r="D8758" s="405"/>
      <c r="E8758" s="410">
        <v>40605</v>
      </c>
      <c r="F8758" s="410">
        <v>40650</v>
      </c>
      <c r="G8758" s="405" t="s">
        <v>1162</v>
      </c>
      <c r="H8758" s="405">
        <v>774113973</v>
      </c>
      <c r="I8758" s="405">
        <v>755081879</v>
      </c>
      <c r="J8758" s="405">
        <v>0.28523166666666666</v>
      </c>
      <c r="K8758" s="405">
        <v>32.489136666666667</v>
      </c>
      <c r="L8758" s="405" t="s">
        <v>314</v>
      </c>
      <c r="M8758" s="405" t="s">
        <v>321</v>
      </c>
      <c r="N8758" s="405" t="s">
        <v>322</v>
      </c>
      <c r="O8758" s="405" t="s">
        <v>996</v>
      </c>
      <c r="P8758" s="405" t="s">
        <v>1163</v>
      </c>
      <c r="Q8758" s="411">
        <v>6</v>
      </c>
      <c r="R8758" s="405" t="s">
        <v>318</v>
      </c>
      <c r="S8758" s="405" t="s">
        <v>27113</v>
      </c>
      <c r="T8758" s="405" t="s">
        <v>32102</v>
      </c>
      <c r="U8758" s="405" t="s">
        <v>319</v>
      </c>
    </row>
    <row r="8759" spans="1:21" hidden="1" x14ac:dyDescent="0.25">
      <c r="A8759" s="405" t="s">
        <v>310</v>
      </c>
      <c r="B8759" s="405" t="s">
        <v>1044</v>
      </c>
      <c r="C8759" s="405" t="s">
        <v>327</v>
      </c>
      <c r="D8759" s="405"/>
      <c r="E8759" s="410">
        <v>40605</v>
      </c>
      <c r="F8759" s="410">
        <v>40650</v>
      </c>
      <c r="G8759" s="405" t="s">
        <v>1045</v>
      </c>
      <c r="H8759" s="405">
        <v>715713508</v>
      </c>
      <c r="I8759" s="405"/>
      <c r="J8759" s="405">
        <v>-0.58046500000000001</v>
      </c>
      <c r="K8759" s="405">
        <v>31.645551999999999</v>
      </c>
      <c r="L8759" s="405" t="s">
        <v>314</v>
      </c>
      <c r="M8759" s="405" t="s">
        <v>398</v>
      </c>
      <c r="N8759" s="405" t="s">
        <v>399</v>
      </c>
      <c r="O8759" s="405" t="s">
        <v>740</v>
      </c>
      <c r="P8759" s="405" t="s">
        <v>1046</v>
      </c>
      <c r="Q8759" s="411">
        <v>6</v>
      </c>
      <c r="R8759" s="405" t="s">
        <v>318</v>
      </c>
      <c r="S8759" s="405" t="s">
        <v>22481</v>
      </c>
      <c r="T8759" s="405" t="s">
        <v>32102</v>
      </c>
      <c r="U8759" s="405" t="s">
        <v>319</v>
      </c>
    </row>
    <row r="8760" spans="1:21" hidden="1" x14ac:dyDescent="0.25">
      <c r="A8760" s="405" t="s">
        <v>310</v>
      </c>
      <c r="B8760" s="405" t="s">
        <v>27546</v>
      </c>
      <c r="C8760" s="405" t="s">
        <v>327</v>
      </c>
      <c r="D8760" s="405"/>
      <c r="E8760" s="410">
        <v>40604</v>
      </c>
      <c r="F8760" s="410">
        <v>40649</v>
      </c>
      <c r="G8760" s="405" t="s">
        <v>18238</v>
      </c>
      <c r="H8760" s="405">
        <v>777035777</v>
      </c>
      <c r="I8760" s="405"/>
      <c r="J8760" s="405">
        <v>2.2290616666666665</v>
      </c>
      <c r="K8760" s="405">
        <v>32.912048333333338</v>
      </c>
      <c r="L8760" s="405" t="s">
        <v>860</v>
      </c>
      <c r="M8760" s="405" t="s">
        <v>18234</v>
      </c>
      <c r="N8760" s="405" t="s">
        <v>18235</v>
      </c>
      <c r="O8760" s="405" t="s">
        <v>13002</v>
      </c>
      <c r="P8760" s="405" t="s">
        <v>18239</v>
      </c>
      <c r="Q8760" s="411">
        <v>6</v>
      </c>
      <c r="R8760" s="405" t="s">
        <v>994</v>
      </c>
      <c r="S8760" s="405" t="s">
        <v>27162</v>
      </c>
      <c r="T8760" s="405" t="s">
        <v>32102</v>
      </c>
      <c r="U8760" s="405" t="s">
        <v>319</v>
      </c>
    </row>
    <row r="8761" spans="1:21" hidden="1" x14ac:dyDescent="0.25">
      <c r="A8761" s="405" t="s">
        <v>310</v>
      </c>
      <c r="B8761" s="405" t="s">
        <v>10150</v>
      </c>
      <c r="C8761" s="405" t="s">
        <v>327</v>
      </c>
      <c r="D8761" s="405"/>
      <c r="E8761" s="410">
        <v>40604</v>
      </c>
      <c r="F8761" s="410">
        <v>40649</v>
      </c>
      <c r="G8761" s="405" t="s">
        <v>10151</v>
      </c>
      <c r="H8761" s="405">
        <v>785328199</v>
      </c>
      <c r="I8761" s="405"/>
      <c r="J8761" s="405">
        <v>1.1373519999999999</v>
      </c>
      <c r="K8761" s="405">
        <v>33.876551999999997</v>
      </c>
      <c r="L8761" s="405" t="s">
        <v>6866</v>
      </c>
      <c r="M8761" s="405" t="s">
        <v>10152</v>
      </c>
      <c r="N8761" s="405" t="s">
        <v>10153</v>
      </c>
      <c r="O8761" s="405" t="s">
        <v>10154</v>
      </c>
      <c r="P8761" s="405" t="s">
        <v>10155</v>
      </c>
      <c r="Q8761" s="411">
        <v>6</v>
      </c>
      <c r="R8761" s="405" t="s">
        <v>7224</v>
      </c>
      <c r="S8761" s="405" t="s">
        <v>27107</v>
      </c>
      <c r="T8761" s="405" t="s">
        <v>32102</v>
      </c>
      <c r="U8761" s="405" t="s">
        <v>319</v>
      </c>
    </row>
    <row r="8762" spans="1:21" hidden="1" x14ac:dyDescent="0.25">
      <c r="A8762" s="405" t="s">
        <v>310</v>
      </c>
      <c r="B8762" s="405" t="s">
        <v>57</v>
      </c>
      <c r="C8762" s="405" t="s">
        <v>327</v>
      </c>
      <c r="D8762" s="405"/>
      <c r="E8762" s="410">
        <v>40602</v>
      </c>
      <c r="F8762" s="410">
        <v>40647</v>
      </c>
      <c r="G8762" s="405" t="s">
        <v>1087</v>
      </c>
      <c r="H8762" s="405">
        <v>772865830</v>
      </c>
      <c r="I8762" s="405"/>
      <c r="J8762" s="405">
        <v>0.27634300000000001</v>
      </c>
      <c r="K8762" s="405">
        <v>32.600517000000004</v>
      </c>
      <c r="L8762" s="405" t="s">
        <v>314</v>
      </c>
      <c r="M8762" s="405" t="s">
        <v>992</v>
      </c>
      <c r="N8762" s="405" t="s">
        <v>618</v>
      </c>
      <c r="O8762" s="405" t="s">
        <v>618</v>
      </c>
      <c r="P8762" s="405" t="s">
        <v>1088</v>
      </c>
      <c r="Q8762" s="411">
        <v>12</v>
      </c>
      <c r="R8762" s="405" t="s">
        <v>318</v>
      </c>
      <c r="S8762" s="405" t="s">
        <v>27035</v>
      </c>
      <c r="T8762" s="405" t="s">
        <v>32102</v>
      </c>
      <c r="U8762" s="405" t="s">
        <v>319</v>
      </c>
    </row>
    <row r="8763" spans="1:21" hidden="1" x14ac:dyDescent="0.25">
      <c r="A8763" s="405" t="s">
        <v>310</v>
      </c>
      <c r="B8763" s="405" t="s">
        <v>1136</v>
      </c>
      <c r="C8763" s="405" t="s">
        <v>327</v>
      </c>
      <c r="D8763" s="405"/>
      <c r="E8763" s="410">
        <v>40602</v>
      </c>
      <c r="F8763" s="410">
        <v>40647</v>
      </c>
      <c r="G8763" s="405" t="s">
        <v>1137</v>
      </c>
      <c r="H8763" s="405">
        <v>772502242</v>
      </c>
      <c r="I8763" s="405"/>
      <c r="J8763" s="405">
        <v>0.52987799999999996</v>
      </c>
      <c r="K8763" s="405">
        <v>32.447096999999999</v>
      </c>
      <c r="L8763" s="405" t="s">
        <v>314</v>
      </c>
      <c r="M8763" s="405" t="s">
        <v>361</v>
      </c>
      <c r="N8763" s="405" t="s">
        <v>362</v>
      </c>
      <c r="O8763" s="405" t="s">
        <v>523</v>
      </c>
      <c r="P8763" s="405" t="s">
        <v>1138</v>
      </c>
      <c r="Q8763" s="411">
        <v>12</v>
      </c>
      <c r="R8763" s="405" t="s">
        <v>525</v>
      </c>
      <c r="S8763" s="405" t="s">
        <v>27112</v>
      </c>
      <c r="T8763" s="405" t="s">
        <v>32102</v>
      </c>
      <c r="U8763" s="405" t="s">
        <v>319</v>
      </c>
    </row>
    <row r="8764" spans="1:21" hidden="1" x14ac:dyDescent="0.25">
      <c r="A8764" s="405" t="s">
        <v>310</v>
      </c>
      <c r="B8764" s="405" t="s">
        <v>1099</v>
      </c>
      <c r="C8764" s="405" t="s">
        <v>327</v>
      </c>
      <c r="D8764" s="405"/>
      <c r="E8764" s="410">
        <v>40602</v>
      </c>
      <c r="F8764" s="410">
        <v>40647</v>
      </c>
      <c r="G8764" s="405" t="s">
        <v>1100</v>
      </c>
      <c r="H8764" s="405">
        <v>781464982</v>
      </c>
      <c r="I8764" s="405"/>
      <c r="J8764" s="405">
        <v>0.54265799999999997</v>
      </c>
      <c r="K8764" s="405">
        <v>32.615122999999997</v>
      </c>
      <c r="L8764" s="405" t="s">
        <v>314</v>
      </c>
      <c r="M8764" s="405" t="s">
        <v>361</v>
      </c>
      <c r="N8764" s="405" t="s">
        <v>362</v>
      </c>
      <c r="O8764" s="405" t="s">
        <v>433</v>
      </c>
      <c r="P8764" s="405" t="s">
        <v>1101</v>
      </c>
      <c r="Q8764" s="411">
        <v>9</v>
      </c>
      <c r="R8764" s="405" t="s">
        <v>353</v>
      </c>
      <c r="S8764" s="405" t="s">
        <v>27115</v>
      </c>
      <c r="T8764" s="405" t="s">
        <v>32102</v>
      </c>
      <c r="U8764" s="405" t="s">
        <v>319</v>
      </c>
    </row>
    <row r="8765" spans="1:21" hidden="1" x14ac:dyDescent="0.25">
      <c r="A8765" s="405" t="s">
        <v>310</v>
      </c>
      <c r="B8765" s="405" t="s">
        <v>1146</v>
      </c>
      <c r="C8765" s="405" t="s">
        <v>327</v>
      </c>
      <c r="D8765" s="405"/>
      <c r="E8765" s="410">
        <v>40602</v>
      </c>
      <c r="F8765" s="410">
        <v>40647</v>
      </c>
      <c r="G8765" s="405" t="s">
        <v>1147</v>
      </c>
      <c r="H8765" s="405">
        <v>752655819</v>
      </c>
      <c r="I8765" s="405"/>
      <c r="J8765" s="405">
        <v>0.542628</v>
      </c>
      <c r="K8765" s="405">
        <v>32.647677000000002</v>
      </c>
      <c r="L8765" s="405" t="s">
        <v>314</v>
      </c>
      <c r="M8765" s="405" t="s">
        <v>361</v>
      </c>
      <c r="N8765" s="405" t="s">
        <v>362</v>
      </c>
      <c r="O8765" s="405" t="s">
        <v>433</v>
      </c>
      <c r="P8765" s="405" t="s">
        <v>1148</v>
      </c>
      <c r="Q8765" s="411">
        <v>9</v>
      </c>
      <c r="R8765" s="405" t="s">
        <v>353</v>
      </c>
      <c r="S8765" s="405" t="s">
        <v>27051</v>
      </c>
      <c r="T8765" s="405" t="s">
        <v>32102</v>
      </c>
      <c r="U8765" s="405" t="s">
        <v>319</v>
      </c>
    </row>
    <row r="8766" spans="1:21" hidden="1" x14ac:dyDescent="0.25">
      <c r="A8766" s="405" t="s">
        <v>310</v>
      </c>
      <c r="B8766" s="405" t="s">
        <v>28277</v>
      </c>
      <c r="C8766" s="405" t="s">
        <v>327</v>
      </c>
      <c r="D8766" s="405"/>
      <c r="E8766" s="410">
        <v>40602</v>
      </c>
      <c r="F8766" s="410">
        <v>40647</v>
      </c>
      <c r="G8766" s="405" t="s">
        <v>1097</v>
      </c>
      <c r="H8766" s="405">
        <v>782613717</v>
      </c>
      <c r="I8766" s="405"/>
      <c r="J8766" s="405">
        <v>0.35886499999999999</v>
      </c>
      <c r="K8766" s="405">
        <v>32.502127000000002</v>
      </c>
      <c r="L8766" s="405" t="s">
        <v>314</v>
      </c>
      <c r="M8766" s="405" t="s">
        <v>361</v>
      </c>
      <c r="N8766" s="405" t="s">
        <v>374</v>
      </c>
      <c r="O8766" s="405" t="s">
        <v>361</v>
      </c>
      <c r="P8766" s="405" t="s">
        <v>1098</v>
      </c>
      <c r="Q8766" s="411">
        <v>6</v>
      </c>
      <c r="R8766" s="405" t="s">
        <v>318</v>
      </c>
      <c r="S8766" s="405" t="s">
        <v>414</v>
      </c>
      <c r="T8766" s="405" t="s">
        <v>32102</v>
      </c>
      <c r="U8766" s="405" t="s">
        <v>319</v>
      </c>
    </row>
    <row r="8767" spans="1:21" hidden="1" x14ac:dyDescent="0.25">
      <c r="A8767" s="405" t="s">
        <v>310</v>
      </c>
      <c r="B8767" s="405" t="s">
        <v>1092</v>
      </c>
      <c r="C8767" s="405" t="s">
        <v>327</v>
      </c>
      <c r="D8767" s="405"/>
      <c r="E8767" s="410">
        <v>40602</v>
      </c>
      <c r="F8767" s="410">
        <v>40647</v>
      </c>
      <c r="G8767" s="405" t="s">
        <v>1093</v>
      </c>
      <c r="H8767" s="405">
        <v>788741557</v>
      </c>
      <c r="I8767" s="405"/>
      <c r="J8767" s="405">
        <v>0.836642</v>
      </c>
      <c r="K8767" s="405">
        <v>32.471538000000002</v>
      </c>
      <c r="L8767" s="405" t="s">
        <v>314</v>
      </c>
      <c r="M8767" s="405" t="s">
        <v>959</v>
      </c>
      <c r="N8767" s="405" t="s">
        <v>1094</v>
      </c>
      <c r="O8767" s="405" t="s">
        <v>1095</v>
      </c>
      <c r="P8767" s="405" t="s">
        <v>1096</v>
      </c>
      <c r="Q8767" s="411">
        <v>6</v>
      </c>
      <c r="R8767" s="405" t="s">
        <v>333</v>
      </c>
      <c r="S8767" s="405" t="s">
        <v>27036</v>
      </c>
      <c r="T8767" s="405" t="s">
        <v>32102</v>
      </c>
      <c r="U8767" s="405" t="s">
        <v>319</v>
      </c>
    </row>
    <row r="8768" spans="1:21" hidden="1" x14ac:dyDescent="0.25">
      <c r="A8768" s="405" t="s">
        <v>310</v>
      </c>
      <c r="B8768" s="405" t="s">
        <v>1102</v>
      </c>
      <c r="C8768" s="405" t="s">
        <v>327</v>
      </c>
      <c r="D8768" s="405"/>
      <c r="E8768" s="410">
        <v>40602</v>
      </c>
      <c r="F8768" s="410">
        <v>40647</v>
      </c>
      <c r="G8768" s="405" t="s">
        <v>1103</v>
      </c>
      <c r="H8768" s="405">
        <v>717326633</v>
      </c>
      <c r="I8768" s="405"/>
      <c r="J8768" s="405">
        <v>0.54029700000000003</v>
      </c>
      <c r="K8768" s="405">
        <v>32.45431</v>
      </c>
      <c r="L8768" s="405" t="s">
        <v>314</v>
      </c>
      <c r="M8768" s="405" t="s">
        <v>361</v>
      </c>
      <c r="N8768" s="405" t="s">
        <v>362</v>
      </c>
      <c r="O8768" s="405" t="s">
        <v>523</v>
      </c>
      <c r="P8768" s="405" t="s">
        <v>1104</v>
      </c>
      <c r="Q8768" s="411">
        <v>6</v>
      </c>
      <c r="R8768" s="405" t="s">
        <v>318</v>
      </c>
      <c r="S8768" s="405" t="s">
        <v>27148</v>
      </c>
      <c r="T8768" s="405" t="s">
        <v>32102</v>
      </c>
      <c r="U8768" s="405" t="s">
        <v>319</v>
      </c>
    </row>
    <row r="8769" spans="1:21" hidden="1" x14ac:dyDescent="0.25">
      <c r="A8769" s="405" t="s">
        <v>310</v>
      </c>
      <c r="B8769" s="405" t="s">
        <v>1089</v>
      </c>
      <c r="C8769" s="405" t="s">
        <v>327</v>
      </c>
      <c r="D8769" s="405"/>
      <c r="E8769" s="410">
        <v>40602</v>
      </c>
      <c r="F8769" s="410">
        <v>40647</v>
      </c>
      <c r="G8769" s="405" t="s">
        <v>1090</v>
      </c>
      <c r="H8769" s="405">
        <v>782388323</v>
      </c>
      <c r="I8769" s="405"/>
      <c r="J8769" s="405">
        <v>0.531582</v>
      </c>
      <c r="K8769" s="405">
        <v>32.373168</v>
      </c>
      <c r="L8769" s="405" t="s">
        <v>314</v>
      </c>
      <c r="M8769" s="405" t="s">
        <v>361</v>
      </c>
      <c r="N8769" s="405" t="s">
        <v>374</v>
      </c>
      <c r="O8769" s="405" t="s">
        <v>427</v>
      </c>
      <c r="P8769" s="405" t="s">
        <v>1091</v>
      </c>
      <c r="Q8769" s="411">
        <v>6</v>
      </c>
      <c r="R8769" s="405" t="s">
        <v>318</v>
      </c>
      <c r="S8769" s="405" t="s">
        <v>27146</v>
      </c>
      <c r="T8769" s="405" t="s">
        <v>32102</v>
      </c>
      <c r="U8769" s="405" t="s">
        <v>319</v>
      </c>
    </row>
    <row r="8770" spans="1:21" hidden="1" x14ac:dyDescent="0.25">
      <c r="A8770" s="405" t="s">
        <v>310</v>
      </c>
      <c r="B8770" s="405" t="s">
        <v>1115</v>
      </c>
      <c r="C8770" s="405" t="s">
        <v>327</v>
      </c>
      <c r="D8770" s="405"/>
      <c r="E8770" s="410">
        <v>40602</v>
      </c>
      <c r="F8770" s="410">
        <v>40647</v>
      </c>
      <c r="G8770" s="405" t="s">
        <v>1116</v>
      </c>
      <c r="H8770" s="405">
        <v>772480936</v>
      </c>
      <c r="I8770" s="405"/>
      <c r="J8770" s="405">
        <v>0.50593999999999995</v>
      </c>
      <c r="K8770" s="405">
        <v>32.473930000000003</v>
      </c>
      <c r="L8770" s="405" t="s">
        <v>314</v>
      </c>
      <c r="M8770" s="405" t="s">
        <v>361</v>
      </c>
      <c r="N8770" s="405" t="s">
        <v>362</v>
      </c>
      <c r="O8770" s="405" t="s">
        <v>523</v>
      </c>
      <c r="P8770" s="405" t="s">
        <v>523</v>
      </c>
      <c r="Q8770" s="411">
        <v>6</v>
      </c>
      <c r="R8770" s="405" t="s">
        <v>318</v>
      </c>
      <c r="S8770" s="405" t="s">
        <v>27148</v>
      </c>
      <c r="T8770" s="405" t="s">
        <v>32102</v>
      </c>
      <c r="U8770" s="405" t="s">
        <v>319</v>
      </c>
    </row>
    <row r="8771" spans="1:21" hidden="1" x14ac:dyDescent="0.25">
      <c r="A8771" s="405" t="s">
        <v>310</v>
      </c>
      <c r="B8771" s="405" t="s">
        <v>1139</v>
      </c>
      <c r="C8771" s="405" t="s">
        <v>327</v>
      </c>
      <c r="D8771" s="405"/>
      <c r="E8771" s="410">
        <v>40602</v>
      </c>
      <c r="F8771" s="410">
        <v>40647</v>
      </c>
      <c r="G8771" s="405" t="s">
        <v>1140</v>
      </c>
      <c r="H8771" s="405">
        <v>772463252</v>
      </c>
      <c r="I8771" s="405"/>
      <c r="J8771" s="405">
        <v>0.394175</v>
      </c>
      <c r="K8771" s="405">
        <v>32.585231999999998</v>
      </c>
      <c r="L8771" s="405" t="s">
        <v>314</v>
      </c>
      <c r="M8771" s="405" t="s">
        <v>361</v>
      </c>
      <c r="N8771" s="405" t="s">
        <v>362</v>
      </c>
      <c r="O8771" s="405" t="s">
        <v>936</v>
      </c>
      <c r="P8771" s="405" t="s">
        <v>937</v>
      </c>
      <c r="Q8771" s="411">
        <v>6</v>
      </c>
      <c r="R8771" s="405" t="s">
        <v>318</v>
      </c>
      <c r="S8771" s="405" t="s">
        <v>414</v>
      </c>
      <c r="T8771" s="405" t="s">
        <v>32102</v>
      </c>
      <c r="U8771" s="405" t="s">
        <v>319</v>
      </c>
    </row>
    <row r="8772" spans="1:21" hidden="1" x14ac:dyDescent="0.25">
      <c r="A8772" s="405" t="s">
        <v>310</v>
      </c>
      <c r="B8772" s="405" t="s">
        <v>27903</v>
      </c>
      <c r="C8772" s="405" t="s">
        <v>327</v>
      </c>
      <c r="D8772" s="405"/>
      <c r="E8772" s="410">
        <v>40602</v>
      </c>
      <c r="F8772" s="410">
        <v>40647</v>
      </c>
      <c r="G8772" s="405" t="s">
        <v>995</v>
      </c>
      <c r="H8772" s="405">
        <v>772646714</v>
      </c>
      <c r="I8772" s="405">
        <v>702646714</v>
      </c>
      <c r="J8772" s="405">
        <v>0.22344166666666665</v>
      </c>
      <c r="K8772" s="405">
        <v>32.334674999999997</v>
      </c>
      <c r="L8772" s="405" t="s">
        <v>314</v>
      </c>
      <c r="M8772" s="405" t="s">
        <v>321</v>
      </c>
      <c r="N8772" s="405" t="s">
        <v>322</v>
      </c>
      <c r="O8772" s="405" t="s">
        <v>996</v>
      </c>
      <c r="P8772" s="405" t="s">
        <v>997</v>
      </c>
      <c r="Q8772" s="411">
        <v>6</v>
      </c>
      <c r="R8772" s="405" t="s">
        <v>567</v>
      </c>
      <c r="S8772" s="405" t="s">
        <v>27146</v>
      </c>
      <c r="T8772" s="405" t="s">
        <v>32102</v>
      </c>
      <c r="U8772" s="405" t="s">
        <v>319</v>
      </c>
    </row>
    <row r="8773" spans="1:21" hidden="1" x14ac:dyDescent="0.25">
      <c r="A8773" s="405" t="s">
        <v>310</v>
      </c>
      <c r="B8773" s="405" t="s">
        <v>990</v>
      </c>
      <c r="C8773" s="405" t="s">
        <v>327</v>
      </c>
      <c r="D8773" s="405"/>
      <c r="E8773" s="410">
        <v>40602</v>
      </c>
      <c r="F8773" s="410">
        <v>40647</v>
      </c>
      <c r="G8773" s="405" t="s">
        <v>991</v>
      </c>
      <c r="H8773" s="405">
        <v>772673700</v>
      </c>
      <c r="I8773" s="405"/>
      <c r="J8773" s="405">
        <v>0.39949000000000001</v>
      </c>
      <c r="K8773" s="405">
        <v>32.593257999999999</v>
      </c>
      <c r="L8773" s="405" t="s">
        <v>314</v>
      </c>
      <c r="M8773" s="405" t="s">
        <v>992</v>
      </c>
      <c r="N8773" s="405" t="s">
        <v>362</v>
      </c>
      <c r="O8773" s="405" t="s">
        <v>936</v>
      </c>
      <c r="P8773" s="405" t="s">
        <v>993</v>
      </c>
      <c r="Q8773" s="411">
        <v>6</v>
      </c>
      <c r="R8773" s="405" t="s">
        <v>994</v>
      </c>
      <c r="S8773" s="405" t="s">
        <v>27079</v>
      </c>
      <c r="T8773" s="405" t="s">
        <v>32102</v>
      </c>
      <c r="U8773" s="405" t="s">
        <v>319</v>
      </c>
    </row>
    <row r="8774" spans="1:21" hidden="1" x14ac:dyDescent="0.25">
      <c r="A8774" s="405" t="s">
        <v>310</v>
      </c>
      <c r="B8774" s="405" t="s">
        <v>10172</v>
      </c>
      <c r="C8774" s="405" t="s">
        <v>327</v>
      </c>
      <c r="D8774" s="405"/>
      <c r="E8774" s="410">
        <v>40602</v>
      </c>
      <c r="F8774" s="410">
        <v>40647</v>
      </c>
      <c r="G8774" s="405" t="s">
        <v>10173</v>
      </c>
      <c r="H8774" s="405">
        <v>772968246</v>
      </c>
      <c r="I8774" s="405"/>
      <c r="J8774" s="405">
        <v>0.89526300000000003</v>
      </c>
      <c r="K8774" s="405">
        <v>34.271053999999999</v>
      </c>
      <c r="L8774" s="405" t="s">
        <v>6866</v>
      </c>
      <c r="M8774" s="405" t="s">
        <v>9763</v>
      </c>
      <c r="N8774" s="405" t="s">
        <v>10174</v>
      </c>
      <c r="O8774" s="405" t="s">
        <v>9765</v>
      </c>
      <c r="P8774" s="405" t="s">
        <v>10175</v>
      </c>
      <c r="Q8774" s="411">
        <v>6</v>
      </c>
      <c r="R8774" s="405" t="s">
        <v>333</v>
      </c>
      <c r="S8774" s="405" t="s">
        <v>27073</v>
      </c>
      <c r="T8774" s="405" t="s">
        <v>32102</v>
      </c>
      <c r="U8774" s="405" t="s">
        <v>319</v>
      </c>
    </row>
    <row r="8775" spans="1:21" hidden="1" x14ac:dyDescent="0.25">
      <c r="A8775" s="405" t="s">
        <v>310</v>
      </c>
      <c r="B8775" s="405" t="s">
        <v>10184</v>
      </c>
      <c r="C8775" s="405" t="s">
        <v>327</v>
      </c>
      <c r="D8775" s="405"/>
      <c r="E8775" s="410">
        <v>40602</v>
      </c>
      <c r="F8775" s="410">
        <v>40647</v>
      </c>
      <c r="G8775" s="405" t="s">
        <v>10185</v>
      </c>
      <c r="H8775" s="405">
        <v>772378807</v>
      </c>
      <c r="I8775" s="405"/>
      <c r="J8775" s="405">
        <v>0.95569700000000002</v>
      </c>
      <c r="K8775" s="405">
        <v>34.284652999999999</v>
      </c>
      <c r="L8775" s="405" t="s">
        <v>6866</v>
      </c>
      <c r="M8775" s="405" t="s">
        <v>9763</v>
      </c>
      <c r="N8775" s="405" t="s">
        <v>9764</v>
      </c>
      <c r="O8775" s="405" t="s">
        <v>10118</v>
      </c>
      <c r="P8775" s="405" t="s">
        <v>10186</v>
      </c>
      <c r="Q8775" s="411">
        <v>6</v>
      </c>
      <c r="R8775" s="405" t="s">
        <v>7224</v>
      </c>
      <c r="S8775" s="405" t="s">
        <v>27197</v>
      </c>
      <c r="T8775" s="405" t="s">
        <v>32102</v>
      </c>
      <c r="U8775" s="405" t="s">
        <v>319</v>
      </c>
    </row>
    <row r="8776" spans="1:21" hidden="1" x14ac:dyDescent="0.25">
      <c r="A8776" s="405" t="s">
        <v>310</v>
      </c>
      <c r="B8776" s="405" t="s">
        <v>10629</v>
      </c>
      <c r="C8776" s="405" t="s">
        <v>311</v>
      </c>
      <c r="D8776" s="405" t="s">
        <v>8702</v>
      </c>
      <c r="E8776" s="410">
        <v>40602</v>
      </c>
      <c r="F8776" s="410">
        <v>40647</v>
      </c>
      <c r="G8776" s="405" t="s">
        <v>10630</v>
      </c>
      <c r="H8776" s="405">
        <v>782345931</v>
      </c>
      <c r="I8776" s="405"/>
      <c r="J8776" s="405">
        <v>0.96239699999999995</v>
      </c>
      <c r="K8776" s="405">
        <v>34.297131</v>
      </c>
      <c r="L8776" s="405" t="s">
        <v>6866</v>
      </c>
      <c r="M8776" s="405" t="s">
        <v>9763</v>
      </c>
      <c r="N8776" s="405" t="s">
        <v>10631</v>
      </c>
      <c r="O8776" s="405" t="s">
        <v>10118</v>
      </c>
      <c r="P8776" s="405" t="s">
        <v>9691</v>
      </c>
      <c r="Q8776" s="411">
        <v>6</v>
      </c>
      <c r="R8776" s="405" t="s">
        <v>7224</v>
      </c>
      <c r="S8776" s="405" t="s">
        <v>27203</v>
      </c>
      <c r="T8776" s="405" t="s">
        <v>32102</v>
      </c>
      <c r="U8776" s="405" t="s">
        <v>319</v>
      </c>
    </row>
    <row r="8777" spans="1:21" hidden="1" x14ac:dyDescent="0.25">
      <c r="A8777" s="405" t="s">
        <v>310</v>
      </c>
      <c r="B8777" s="405" t="s">
        <v>27752</v>
      </c>
      <c r="C8777" s="405" t="s">
        <v>327</v>
      </c>
      <c r="D8777" s="405"/>
      <c r="E8777" s="410">
        <v>40601</v>
      </c>
      <c r="F8777" s="410">
        <v>40646</v>
      </c>
      <c r="G8777" s="405" t="s">
        <v>19937</v>
      </c>
      <c r="H8777" s="405">
        <v>701530028</v>
      </c>
      <c r="I8777" s="405"/>
      <c r="J8777" s="405">
        <v>-0.49143199999999998</v>
      </c>
      <c r="K8777" s="405">
        <v>30.445844000000001</v>
      </c>
      <c r="L8777" s="405" t="s">
        <v>590</v>
      </c>
      <c r="M8777" s="405" t="s">
        <v>19725</v>
      </c>
      <c r="N8777" s="405" t="s">
        <v>19725</v>
      </c>
      <c r="O8777" s="405" t="s">
        <v>19938</v>
      </c>
      <c r="P8777" s="405" t="s">
        <v>19939</v>
      </c>
      <c r="Q8777" s="411">
        <v>9</v>
      </c>
      <c r="R8777" s="405" t="s">
        <v>333</v>
      </c>
      <c r="S8777" s="405" t="s">
        <v>27397</v>
      </c>
      <c r="T8777" s="405" t="s">
        <v>32102</v>
      </c>
      <c r="U8777" s="405" t="s">
        <v>319</v>
      </c>
    </row>
    <row r="8778" spans="1:21" hidden="1" x14ac:dyDescent="0.25">
      <c r="A8778" s="405" t="s">
        <v>310</v>
      </c>
      <c r="B8778" s="405" t="s">
        <v>28977</v>
      </c>
      <c r="C8778" s="405" t="s">
        <v>327</v>
      </c>
      <c r="D8778" s="405"/>
      <c r="E8778" s="410">
        <v>40597</v>
      </c>
      <c r="F8778" s="410">
        <v>40642</v>
      </c>
      <c r="G8778" s="405" t="s">
        <v>19930</v>
      </c>
      <c r="H8778" s="405">
        <v>772573416</v>
      </c>
      <c r="I8778" s="405"/>
      <c r="J8778" s="405">
        <v>-0.83644300000000005</v>
      </c>
      <c r="K8778" s="405">
        <v>29.919073999999998</v>
      </c>
      <c r="L8778" s="405" t="s">
        <v>590</v>
      </c>
      <c r="M8778" s="405" t="s">
        <v>19619</v>
      </c>
      <c r="N8778" s="405" t="s">
        <v>19765</v>
      </c>
      <c r="O8778" s="405" t="s">
        <v>10031</v>
      </c>
      <c r="P8778" s="405" t="s">
        <v>19931</v>
      </c>
      <c r="Q8778" s="411">
        <v>6</v>
      </c>
      <c r="R8778" s="405" t="s">
        <v>19622</v>
      </c>
      <c r="S8778" s="405" t="s">
        <v>5986</v>
      </c>
      <c r="T8778" s="405" t="s">
        <v>32102</v>
      </c>
      <c r="U8778" s="405" t="s">
        <v>319</v>
      </c>
    </row>
    <row r="8779" spans="1:21" hidden="1" x14ac:dyDescent="0.25">
      <c r="A8779" s="405" t="s">
        <v>310</v>
      </c>
      <c r="B8779" s="405" t="s">
        <v>28168</v>
      </c>
      <c r="C8779" s="405" t="s">
        <v>327</v>
      </c>
      <c r="D8779" s="405"/>
      <c r="E8779" s="410">
        <v>40597</v>
      </c>
      <c r="F8779" s="410">
        <v>40642</v>
      </c>
      <c r="G8779" s="405" t="s">
        <v>19919</v>
      </c>
      <c r="H8779" s="405">
        <v>774901693</v>
      </c>
      <c r="I8779" s="405"/>
      <c r="J8779" s="405">
        <v>1.6579644</v>
      </c>
      <c r="K8779" s="405">
        <v>31.709802199999999</v>
      </c>
      <c r="L8779" s="405" t="s">
        <v>590</v>
      </c>
      <c r="M8779" s="405" t="s">
        <v>19608</v>
      </c>
      <c r="N8779" s="405" t="s">
        <v>19920</v>
      </c>
      <c r="O8779" s="405" t="s">
        <v>19780</v>
      </c>
      <c r="P8779" s="405" t="s">
        <v>19921</v>
      </c>
      <c r="Q8779" s="411">
        <v>6</v>
      </c>
      <c r="R8779" s="405" t="s">
        <v>318</v>
      </c>
      <c r="S8779" s="405" t="s">
        <v>27126</v>
      </c>
      <c r="T8779" s="405" t="s">
        <v>32102</v>
      </c>
      <c r="U8779" s="405" t="s">
        <v>319</v>
      </c>
    </row>
    <row r="8780" spans="1:21" hidden="1" x14ac:dyDescent="0.25">
      <c r="A8780" s="405" t="s">
        <v>310</v>
      </c>
      <c r="B8780" s="405" t="s">
        <v>27732</v>
      </c>
      <c r="C8780" s="405" t="s">
        <v>327</v>
      </c>
      <c r="D8780" s="405"/>
      <c r="E8780" s="410">
        <v>40596</v>
      </c>
      <c r="F8780" s="410">
        <v>40641</v>
      </c>
      <c r="G8780" s="405" t="s">
        <v>19942</v>
      </c>
      <c r="H8780" s="405">
        <v>78356422</v>
      </c>
      <c r="I8780" s="405"/>
      <c r="J8780" s="405">
        <v>-0.45719199999999999</v>
      </c>
      <c r="K8780" s="405">
        <v>30.415208</v>
      </c>
      <c r="L8780" s="405" t="s">
        <v>590</v>
      </c>
      <c r="M8780" s="405" t="s">
        <v>19725</v>
      </c>
      <c r="N8780" s="405" t="s">
        <v>19725</v>
      </c>
      <c r="O8780" s="405" t="s">
        <v>19943</v>
      </c>
      <c r="P8780" s="405" t="s">
        <v>19944</v>
      </c>
      <c r="Q8780" s="411">
        <v>9</v>
      </c>
      <c r="R8780" s="405" t="s">
        <v>333</v>
      </c>
      <c r="S8780" s="405" t="s">
        <v>27397</v>
      </c>
      <c r="T8780" s="405" t="s">
        <v>32102</v>
      </c>
      <c r="U8780" s="405" t="s">
        <v>319</v>
      </c>
    </row>
    <row r="8781" spans="1:21" hidden="1" x14ac:dyDescent="0.25">
      <c r="A8781" s="405" t="s">
        <v>310</v>
      </c>
      <c r="B8781" s="405" t="s">
        <v>19947</v>
      </c>
      <c r="C8781" s="405" t="s">
        <v>327</v>
      </c>
      <c r="D8781" s="405"/>
      <c r="E8781" s="410">
        <v>40596</v>
      </c>
      <c r="F8781" s="410">
        <v>40641</v>
      </c>
      <c r="G8781" s="405" t="s">
        <v>19948</v>
      </c>
      <c r="H8781" s="405">
        <v>783572398</v>
      </c>
      <c r="I8781" s="405"/>
      <c r="J8781" s="405">
        <v>-0.55111399999999999</v>
      </c>
      <c r="K8781" s="405">
        <v>30.215140000000002</v>
      </c>
      <c r="L8781" s="405" t="s">
        <v>590</v>
      </c>
      <c r="M8781" s="405" t="s">
        <v>19625</v>
      </c>
      <c r="N8781" s="405" t="s">
        <v>19626</v>
      </c>
      <c r="O8781" s="405" t="s">
        <v>19949</v>
      </c>
      <c r="P8781" s="405" t="s">
        <v>19950</v>
      </c>
      <c r="Q8781" s="411">
        <v>9</v>
      </c>
      <c r="R8781" s="405" t="s">
        <v>333</v>
      </c>
      <c r="S8781" s="405" t="s">
        <v>27397</v>
      </c>
      <c r="T8781" s="405" t="s">
        <v>32102</v>
      </c>
      <c r="U8781" s="405" t="s">
        <v>319</v>
      </c>
    </row>
    <row r="8782" spans="1:21" hidden="1" x14ac:dyDescent="0.25">
      <c r="A8782" s="405" t="s">
        <v>310</v>
      </c>
      <c r="B8782" s="405" t="s">
        <v>27850</v>
      </c>
      <c r="C8782" s="405" t="s">
        <v>327</v>
      </c>
      <c r="D8782" s="405"/>
      <c r="E8782" s="410">
        <v>40596</v>
      </c>
      <c r="F8782" s="410">
        <v>40641</v>
      </c>
      <c r="G8782" s="405" t="s">
        <v>19913</v>
      </c>
      <c r="H8782" s="405">
        <v>752655408</v>
      </c>
      <c r="I8782" s="405"/>
      <c r="J8782" s="405">
        <v>-0.65937400000000002</v>
      </c>
      <c r="K8782" s="405">
        <v>30.607642999999999</v>
      </c>
      <c r="L8782" s="405" t="s">
        <v>590</v>
      </c>
      <c r="M8782" s="405" t="s">
        <v>19614</v>
      </c>
      <c r="N8782" s="405" t="s">
        <v>19614</v>
      </c>
      <c r="O8782" s="405" t="s">
        <v>19914</v>
      </c>
      <c r="P8782" s="405" t="s">
        <v>19915</v>
      </c>
      <c r="Q8782" s="411">
        <v>9</v>
      </c>
      <c r="R8782" s="405" t="s">
        <v>333</v>
      </c>
      <c r="S8782" s="405" t="s">
        <v>27166</v>
      </c>
      <c r="T8782" s="405" t="s">
        <v>32102</v>
      </c>
      <c r="U8782" s="405" t="s">
        <v>319</v>
      </c>
    </row>
    <row r="8783" spans="1:21" hidden="1" x14ac:dyDescent="0.25">
      <c r="A8783" s="405" t="s">
        <v>310</v>
      </c>
      <c r="B8783" s="405" t="s">
        <v>28185</v>
      </c>
      <c r="C8783" s="405" t="s">
        <v>327</v>
      </c>
      <c r="D8783" s="405"/>
      <c r="E8783" s="410">
        <v>40596</v>
      </c>
      <c r="F8783" s="410">
        <v>40641</v>
      </c>
      <c r="G8783" s="405" t="s">
        <v>10144</v>
      </c>
      <c r="H8783" s="405">
        <v>775029752</v>
      </c>
      <c r="I8783" s="405"/>
      <c r="J8783" s="405">
        <v>1.216836</v>
      </c>
      <c r="K8783" s="405">
        <v>34.314447000000001</v>
      </c>
      <c r="L8783" s="405" t="s">
        <v>6866</v>
      </c>
      <c r="M8783" s="405" t="s">
        <v>9575</v>
      </c>
      <c r="N8783" s="405" t="s">
        <v>9629</v>
      </c>
      <c r="O8783" s="405" t="s">
        <v>9630</v>
      </c>
      <c r="P8783" s="405" t="s">
        <v>10145</v>
      </c>
      <c r="Q8783" s="411">
        <v>6</v>
      </c>
      <c r="R8783" s="405" t="s">
        <v>7224</v>
      </c>
      <c r="S8783" s="405" t="s">
        <v>27313</v>
      </c>
      <c r="T8783" s="405" t="s">
        <v>32102</v>
      </c>
      <c r="U8783" s="405" t="s">
        <v>319</v>
      </c>
    </row>
    <row r="8784" spans="1:21" hidden="1" x14ac:dyDescent="0.25">
      <c r="A8784" s="405" t="s">
        <v>310</v>
      </c>
      <c r="B8784" s="405" t="s">
        <v>28792</v>
      </c>
      <c r="C8784" s="405" t="s">
        <v>327</v>
      </c>
      <c r="D8784" s="405"/>
      <c r="E8784" s="410">
        <v>40596</v>
      </c>
      <c r="F8784" s="410">
        <v>40641</v>
      </c>
      <c r="G8784" s="405" t="s">
        <v>10170</v>
      </c>
      <c r="H8784" s="405">
        <v>776997856</v>
      </c>
      <c r="I8784" s="405"/>
      <c r="J8784" s="405">
        <v>0.76487799999999995</v>
      </c>
      <c r="K8784" s="405">
        <v>34.080433999999997</v>
      </c>
      <c r="L8784" s="405" t="s">
        <v>6866</v>
      </c>
      <c r="M8784" s="405" t="s">
        <v>9534</v>
      </c>
      <c r="N8784" s="405" t="s">
        <v>9535</v>
      </c>
      <c r="O8784" s="405" t="s">
        <v>9536</v>
      </c>
      <c r="P8784" s="405" t="s">
        <v>10171</v>
      </c>
      <c r="Q8784" s="411">
        <v>6</v>
      </c>
      <c r="R8784" s="405" t="s">
        <v>7224</v>
      </c>
      <c r="S8784" s="405" t="s">
        <v>27310</v>
      </c>
      <c r="T8784" s="405" t="s">
        <v>32102</v>
      </c>
      <c r="U8784" s="405" t="s">
        <v>319</v>
      </c>
    </row>
    <row r="8785" spans="1:21" hidden="1" x14ac:dyDescent="0.25">
      <c r="A8785" s="405" t="s">
        <v>310</v>
      </c>
      <c r="B8785" s="405" t="s">
        <v>1063</v>
      </c>
      <c r="C8785" s="405" t="s">
        <v>327</v>
      </c>
      <c r="D8785" s="405"/>
      <c r="E8785" s="410">
        <v>40595</v>
      </c>
      <c r="F8785" s="410">
        <v>40640</v>
      </c>
      <c r="G8785" s="405" t="s">
        <v>1064</v>
      </c>
      <c r="H8785" s="405">
        <v>772685275</v>
      </c>
      <c r="I8785" s="405"/>
      <c r="J8785" s="405">
        <v>0.38459700000000002</v>
      </c>
      <c r="K8785" s="405">
        <v>32.057468</v>
      </c>
      <c r="L8785" s="405" t="s">
        <v>314</v>
      </c>
      <c r="M8785" s="405" t="s">
        <v>675</v>
      </c>
      <c r="N8785" s="405" t="s">
        <v>1065</v>
      </c>
      <c r="O8785" s="405" t="s">
        <v>1066</v>
      </c>
      <c r="P8785" s="405" t="s">
        <v>1067</v>
      </c>
      <c r="Q8785" s="411">
        <v>6</v>
      </c>
      <c r="R8785" s="405" t="s">
        <v>318</v>
      </c>
      <c r="S8785" s="405" t="s">
        <v>27035</v>
      </c>
      <c r="T8785" s="405" t="s">
        <v>32102</v>
      </c>
      <c r="U8785" s="405" t="s">
        <v>319</v>
      </c>
    </row>
    <row r="8786" spans="1:21" hidden="1" x14ac:dyDescent="0.25">
      <c r="A8786" s="405" t="s">
        <v>310</v>
      </c>
      <c r="B8786" s="405" t="s">
        <v>10182</v>
      </c>
      <c r="C8786" s="405" t="s">
        <v>327</v>
      </c>
      <c r="D8786" s="405"/>
      <c r="E8786" s="410">
        <v>40595</v>
      </c>
      <c r="F8786" s="410">
        <v>40640</v>
      </c>
      <c r="G8786" s="405" t="s">
        <v>10183</v>
      </c>
      <c r="H8786" s="405">
        <v>782345931</v>
      </c>
      <c r="I8786" s="405"/>
      <c r="J8786" s="405">
        <v>0.96009299999999997</v>
      </c>
      <c r="K8786" s="405">
        <v>34.295226</v>
      </c>
      <c r="L8786" s="405" t="s">
        <v>6866</v>
      </c>
      <c r="M8786" s="405" t="s">
        <v>9763</v>
      </c>
      <c r="N8786" s="405" t="s">
        <v>9764</v>
      </c>
      <c r="O8786" s="405" t="s">
        <v>10118</v>
      </c>
      <c r="P8786" s="405" t="s">
        <v>9691</v>
      </c>
      <c r="Q8786" s="411">
        <v>6</v>
      </c>
      <c r="R8786" s="405" t="s">
        <v>7224</v>
      </c>
      <c r="S8786" s="405" t="s">
        <v>27197</v>
      </c>
      <c r="T8786" s="405" t="s">
        <v>32102</v>
      </c>
      <c r="U8786" s="405" t="s">
        <v>319</v>
      </c>
    </row>
    <row r="8787" spans="1:21" hidden="1" x14ac:dyDescent="0.25">
      <c r="A8787" s="405" t="s">
        <v>310</v>
      </c>
      <c r="B8787" s="405" t="s">
        <v>1627</v>
      </c>
      <c r="C8787" s="405" t="s">
        <v>311</v>
      </c>
      <c r="D8787" s="405" t="s">
        <v>839</v>
      </c>
      <c r="E8787" s="410">
        <v>40594</v>
      </c>
      <c r="F8787" s="410">
        <v>40639</v>
      </c>
      <c r="G8787" s="405" t="s">
        <v>1628</v>
      </c>
      <c r="H8787" s="405">
        <v>751058111</v>
      </c>
      <c r="I8787" s="405">
        <v>772406144</v>
      </c>
      <c r="J8787" s="405">
        <v>0.56628299999999998</v>
      </c>
      <c r="K8787" s="405">
        <v>32.187021999999999</v>
      </c>
      <c r="L8787" s="405" t="s">
        <v>314</v>
      </c>
      <c r="M8787" s="405" t="s">
        <v>675</v>
      </c>
      <c r="N8787" s="405" t="s">
        <v>1065</v>
      </c>
      <c r="O8787" s="405" t="s">
        <v>1608</v>
      </c>
      <c r="P8787" s="405" t="s">
        <v>1629</v>
      </c>
      <c r="Q8787" s="411">
        <v>12</v>
      </c>
      <c r="R8787" s="405" t="s">
        <v>318</v>
      </c>
      <c r="S8787" s="405" t="s">
        <v>27108</v>
      </c>
      <c r="T8787" s="405" t="s">
        <v>32102</v>
      </c>
      <c r="U8787" s="405" t="s">
        <v>319</v>
      </c>
    </row>
    <row r="8788" spans="1:21" hidden="1" x14ac:dyDescent="0.25">
      <c r="A8788" s="405" t="s">
        <v>310</v>
      </c>
      <c r="B8788" s="405" t="s">
        <v>28120</v>
      </c>
      <c r="C8788" s="405" t="s">
        <v>311</v>
      </c>
      <c r="D8788" s="405" t="s">
        <v>839</v>
      </c>
      <c r="E8788" s="410">
        <v>40594</v>
      </c>
      <c r="F8788" s="410">
        <v>40639</v>
      </c>
      <c r="G8788" s="405" t="s">
        <v>20209</v>
      </c>
      <c r="H8788" s="405">
        <v>774232997</v>
      </c>
      <c r="I8788" s="405"/>
      <c r="J8788" s="405">
        <v>-0.83821599999999996</v>
      </c>
      <c r="K8788" s="405">
        <v>29.94294</v>
      </c>
      <c r="L8788" s="405" t="s">
        <v>590</v>
      </c>
      <c r="M8788" s="405" t="s">
        <v>19619</v>
      </c>
      <c r="N8788" s="405" t="s">
        <v>19620</v>
      </c>
      <c r="O8788" s="405" t="s">
        <v>2430</v>
      </c>
      <c r="P8788" s="405" t="s">
        <v>5799</v>
      </c>
      <c r="Q8788" s="411">
        <v>6</v>
      </c>
      <c r="R8788" s="405" t="s">
        <v>19622</v>
      </c>
      <c r="S8788" s="405" t="s">
        <v>27116</v>
      </c>
      <c r="T8788" s="405" t="s">
        <v>32102</v>
      </c>
      <c r="U8788" s="405" t="s">
        <v>319</v>
      </c>
    </row>
    <row r="8789" spans="1:21" hidden="1" x14ac:dyDescent="0.25">
      <c r="A8789" s="405" t="s">
        <v>310</v>
      </c>
      <c r="B8789" s="405" t="s">
        <v>28869</v>
      </c>
      <c r="C8789" s="405" t="s">
        <v>327</v>
      </c>
      <c r="D8789" s="405"/>
      <c r="E8789" s="410">
        <v>40594</v>
      </c>
      <c r="F8789" s="410">
        <v>40639</v>
      </c>
      <c r="G8789" s="405" t="s">
        <v>10167</v>
      </c>
      <c r="H8789" s="405">
        <v>779377147</v>
      </c>
      <c r="I8789" s="405"/>
      <c r="J8789" s="405">
        <v>1.2528379999999999</v>
      </c>
      <c r="K8789" s="405">
        <v>34.741542000000003</v>
      </c>
      <c r="L8789" s="405" t="s">
        <v>6866</v>
      </c>
      <c r="M8789" s="405" t="s">
        <v>10163</v>
      </c>
      <c r="N8789" s="405" t="s">
        <v>10164</v>
      </c>
      <c r="O8789" s="405" t="s">
        <v>10168</v>
      </c>
      <c r="P8789" s="405" t="s">
        <v>10169</v>
      </c>
      <c r="Q8789" s="411">
        <v>6</v>
      </c>
      <c r="R8789" s="405" t="s">
        <v>9541</v>
      </c>
      <c r="S8789" s="405" t="s">
        <v>27318</v>
      </c>
      <c r="T8789" s="405" t="s">
        <v>32102</v>
      </c>
      <c r="U8789" s="405" t="s">
        <v>319</v>
      </c>
    </row>
    <row r="8790" spans="1:21" hidden="1" x14ac:dyDescent="0.25">
      <c r="A8790" s="405" t="s">
        <v>310</v>
      </c>
      <c r="B8790" s="405" t="s">
        <v>10180</v>
      </c>
      <c r="C8790" s="405" t="s">
        <v>327</v>
      </c>
      <c r="D8790" s="405"/>
      <c r="E8790" s="410">
        <v>40594</v>
      </c>
      <c r="F8790" s="410">
        <v>40639</v>
      </c>
      <c r="G8790" s="405" t="s">
        <v>10181</v>
      </c>
      <c r="H8790" s="405">
        <v>782981200</v>
      </c>
      <c r="I8790" s="405"/>
      <c r="J8790" s="405">
        <v>0.96184099999999995</v>
      </c>
      <c r="K8790" s="405">
        <v>34.295923999999999</v>
      </c>
      <c r="L8790" s="405" t="s">
        <v>6866</v>
      </c>
      <c r="M8790" s="405" t="s">
        <v>9763</v>
      </c>
      <c r="N8790" s="405" t="s">
        <v>9764</v>
      </c>
      <c r="O8790" s="405" t="s">
        <v>10118</v>
      </c>
      <c r="P8790" s="405" t="s">
        <v>9691</v>
      </c>
      <c r="Q8790" s="411">
        <v>6</v>
      </c>
      <c r="R8790" s="405" t="s">
        <v>7224</v>
      </c>
      <c r="S8790" s="405" t="s">
        <v>27203</v>
      </c>
      <c r="T8790" s="405" t="s">
        <v>32102</v>
      </c>
      <c r="U8790" s="405" t="s">
        <v>319</v>
      </c>
    </row>
    <row r="8791" spans="1:21" hidden="1" x14ac:dyDescent="0.25">
      <c r="A8791" s="405" t="s">
        <v>310</v>
      </c>
      <c r="B8791" s="405" t="s">
        <v>10608</v>
      </c>
      <c r="C8791" s="405" t="s">
        <v>311</v>
      </c>
      <c r="D8791" s="405" t="s">
        <v>1789</v>
      </c>
      <c r="E8791" s="410">
        <v>40594</v>
      </c>
      <c r="F8791" s="410">
        <v>40639</v>
      </c>
      <c r="G8791" s="405" t="s">
        <v>10609</v>
      </c>
      <c r="H8791" s="405">
        <v>772479099</v>
      </c>
      <c r="I8791" s="405"/>
      <c r="J8791" s="405">
        <v>0.99096399999999996</v>
      </c>
      <c r="K8791" s="405">
        <v>34.168388</v>
      </c>
      <c r="L8791" s="405" t="s">
        <v>6866</v>
      </c>
      <c r="M8791" s="405" t="s">
        <v>9514</v>
      </c>
      <c r="N8791" s="405" t="s">
        <v>9529</v>
      </c>
      <c r="O8791" s="405" t="s">
        <v>9571</v>
      </c>
      <c r="P8791" s="405" t="s">
        <v>10610</v>
      </c>
      <c r="Q8791" s="411">
        <v>6</v>
      </c>
      <c r="R8791" s="405" t="s">
        <v>7224</v>
      </c>
      <c r="S8791" s="405" t="s">
        <v>17062</v>
      </c>
      <c r="T8791" s="405" t="s">
        <v>32102</v>
      </c>
      <c r="U8791" s="405" t="s">
        <v>319</v>
      </c>
    </row>
    <row r="8792" spans="1:21" hidden="1" x14ac:dyDescent="0.25">
      <c r="A8792" s="405" t="s">
        <v>310</v>
      </c>
      <c r="B8792" s="405" t="s">
        <v>10158</v>
      </c>
      <c r="C8792" s="405" t="s">
        <v>327</v>
      </c>
      <c r="D8792" s="405"/>
      <c r="E8792" s="410">
        <v>40593</v>
      </c>
      <c r="F8792" s="410">
        <v>40638</v>
      </c>
      <c r="G8792" s="405" t="s">
        <v>10159</v>
      </c>
      <c r="H8792" s="405">
        <v>778009853</v>
      </c>
      <c r="I8792" s="405"/>
      <c r="J8792" s="405">
        <v>1.270778</v>
      </c>
      <c r="K8792" s="405">
        <v>34.379682000000003</v>
      </c>
      <c r="L8792" s="405" t="s">
        <v>6866</v>
      </c>
      <c r="M8792" s="405" t="s">
        <v>9550</v>
      </c>
      <c r="N8792" s="405" t="s">
        <v>10160</v>
      </c>
      <c r="O8792" s="405" t="s">
        <v>10160</v>
      </c>
      <c r="P8792" s="405" t="s">
        <v>9953</v>
      </c>
      <c r="Q8792" s="411">
        <v>6</v>
      </c>
      <c r="R8792" s="405" t="s">
        <v>7224</v>
      </c>
      <c r="S8792" s="405" t="s">
        <v>27309</v>
      </c>
      <c r="T8792" s="405" t="s">
        <v>32102</v>
      </c>
      <c r="U8792" s="405" t="s">
        <v>319</v>
      </c>
    </row>
    <row r="8793" spans="1:21" hidden="1" x14ac:dyDescent="0.25">
      <c r="A8793" s="405" t="s">
        <v>310</v>
      </c>
      <c r="B8793" s="405" t="s">
        <v>27872</v>
      </c>
      <c r="C8793" s="405" t="s">
        <v>327</v>
      </c>
      <c r="D8793" s="405"/>
      <c r="E8793" s="410">
        <v>40592</v>
      </c>
      <c r="F8793" s="410">
        <v>40637</v>
      </c>
      <c r="G8793" s="405" t="s">
        <v>19910</v>
      </c>
      <c r="H8793" s="405">
        <v>772891881</v>
      </c>
      <c r="I8793" s="405"/>
      <c r="J8793" s="405">
        <v>-0.64685800000000004</v>
      </c>
      <c r="K8793" s="405">
        <v>30.563894000000001</v>
      </c>
      <c r="L8793" s="405" t="s">
        <v>590</v>
      </c>
      <c r="M8793" s="405" t="s">
        <v>19614</v>
      </c>
      <c r="N8793" s="405" t="s">
        <v>19873</v>
      </c>
      <c r="O8793" s="405" t="s">
        <v>19911</v>
      </c>
      <c r="P8793" s="405" t="s">
        <v>19912</v>
      </c>
      <c r="Q8793" s="411">
        <v>12</v>
      </c>
      <c r="R8793" s="405" t="s">
        <v>333</v>
      </c>
      <c r="S8793" s="405" t="s">
        <v>27173</v>
      </c>
      <c r="T8793" s="405" t="s">
        <v>32102</v>
      </c>
      <c r="U8793" s="405" t="s">
        <v>319</v>
      </c>
    </row>
    <row r="8794" spans="1:21" hidden="1" x14ac:dyDescent="0.25">
      <c r="A8794" s="405" t="s">
        <v>310</v>
      </c>
      <c r="B8794" s="405" t="s">
        <v>1132</v>
      </c>
      <c r="C8794" s="405" t="s">
        <v>327</v>
      </c>
      <c r="D8794" s="405"/>
      <c r="E8794" s="410">
        <v>40591</v>
      </c>
      <c r="F8794" s="410">
        <v>40636</v>
      </c>
      <c r="G8794" s="405" t="s">
        <v>1133</v>
      </c>
      <c r="H8794" s="405">
        <v>772575953</v>
      </c>
      <c r="I8794" s="405"/>
      <c r="J8794" s="405">
        <v>0.40051199999999998</v>
      </c>
      <c r="K8794" s="405">
        <v>32.020842000000002</v>
      </c>
      <c r="L8794" s="405" t="s">
        <v>314</v>
      </c>
      <c r="M8794" s="405" t="s">
        <v>675</v>
      </c>
      <c r="N8794" s="405" t="s">
        <v>675</v>
      </c>
      <c r="O8794" s="405" t="s">
        <v>1134</v>
      </c>
      <c r="P8794" s="405" t="s">
        <v>1135</v>
      </c>
      <c r="Q8794" s="411">
        <v>12</v>
      </c>
      <c r="R8794" s="405" t="s">
        <v>353</v>
      </c>
      <c r="S8794" s="405" t="s">
        <v>27034</v>
      </c>
      <c r="T8794" s="405" t="s">
        <v>32102</v>
      </c>
      <c r="U8794" s="405" t="s">
        <v>319</v>
      </c>
    </row>
    <row r="8795" spans="1:21" hidden="1" x14ac:dyDescent="0.25">
      <c r="A8795" s="405" t="s">
        <v>310</v>
      </c>
      <c r="B8795" s="405" t="s">
        <v>27737</v>
      </c>
      <c r="C8795" s="405" t="s">
        <v>327</v>
      </c>
      <c r="D8795" s="405"/>
      <c r="E8795" s="410">
        <v>40591</v>
      </c>
      <c r="F8795" s="410">
        <v>40636</v>
      </c>
      <c r="G8795" s="405" t="s">
        <v>10157</v>
      </c>
      <c r="H8795" s="405">
        <v>772663991</v>
      </c>
      <c r="I8795" s="405"/>
      <c r="J8795" s="405">
        <v>1.212828</v>
      </c>
      <c r="K8795" s="405">
        <v>34.122436999999998</v>
      </c>
      <c r="L8795" s="405" t="s">
        <v>6866</v>
      </c>
      <c r="M8795" s="405" t="s">
        <v>9504</v>
      </c>
      <c r="N8795" s="405" t="s">
        <v>9598</v>
      </c>
      <c r="O8795" s="405" t="s">
        <v>9598</v>
      </c>
      <c r="P8795" s="405" t="s">
        <v>9598</v>
      </c>
      <c r="Q8795" s="411">
        <v>6</v>
      </c>
      <c r="R8795" s="405" t="s">
        <v>7224</v>
      </c>
      <c r="S8795" s="405" t="s">
        <v>17062</v>
      </c>
      <c r="T8795" s="405" t="s">
        <v>32102</v>
      </c>
      <c r="U8795" s="405" t="s">
        <v>319</v>
      </c>
    </row>
    <row r="8796" spans="1:21" hidden="1" x14ac:dyDescent="0.25">
      <c r="A8796" s="405" t="s">
        <v>310</v>
      </c>
      <c r="B8796" s="405" t="s">
        <v>28817</v>
      </c>
      <c r="C8796" s="405" t="s">
        <v>327</v>
      </c>
      <c r="D8796" s="405"/>
      <c r="E8796" s="410">
        <v>40591</v>
      </c>
      <c r="F8796" s="410">
        <v>40636</v>
      </c>
      <c r="G8796" s="405" t="s">
        <v>19922</v>
      </c>
      <c r="H8796" s="405">
        <v>782157442</v>
      </c>
      <c r="I8796" s="405"/>
      <c r="J8796" s="405">
        <v>-0.69835199999999997</v>
      </c>
      <c r="K8796" s="405">
        <v>30.390281000000002</v>
      </c>
      <c r="L8796" s="405" t="s">
        <v>590</v>
      </c>
      <c r="M8796" s="405" t="s">
        <v>19614</v>
      </c>
      <c r="N8796" s="405" t="s">
        <v>19654</v>
      </c>
      <c r="O8796" s="405" t="s">
        <v>19655</v>
      </c>
      <c r="P8796" s="405" t="s">
        <v>19923</v>
      </c>
      <c r="Q8796" s="411">
        <v>6</v>
      </c>
      <c r="R8796" s="405" t="s">
        <v>333</v>
      </c>
      <c r="S8796" s="405" t="s">
        <v>27240</v>
      </c>
      <c r="T8796" s="405" t="s">
        <v>32102</v>
      </c>
      <c r="U8796" s="405" t="s">
        <v>319</v>
      </c>
    </row>
    <row r="8797" spans="1:21" hidden="1" x14ac:dyDescent="0.25">
      <c r="A8797" s="405" t="s">
        <v>310</v>
      </c>
      <c r="B8797" s="405" t="s">
        <v>19924</v>
      </c>
      <c r="C8797" s="405" t="s">
        <v>327</v>
      </c>
      <c r="D8797" s="405"/>
      <c r="E8797" s="410">
        <v>40591</v>
      </c>
      <c r="F8797" s="410">
        <v>40636</v>
      </c>
      <c r="G8797" s="405" t="s">
        <v>19925</v>
      </c>
      <c r="H8797" s="405">
        <v>702327482</v>
      </c>
      <c r="I8797" s="405"/>
      <c r="J8797" s="405">
        <v>-0.26442199999999999</v>
      </c>
      <c r="K8797" s="405">
        <v>30.11524</v>
      </c>
      <c r="L8797" s="405" t="s">
        <v>590</v>
      </c>
      <c r="M8797" s="405" t="s">
        <v>19926</v>
      </c>
      <c r="N8797" s="405" t="s">
        <v>19927</v>
      </c>
      <c r="O8797" s="405" t="s">
        <v>19928</v>
      </c>
      <c r="P8797" s="405" t="s">
        <v>19929</v>
      </c>
      <c r="Q8797" s="411">
        <v>6</v>
      </c>
      <c r="R8797" s="405" t="s">
        <v>333</v>
      </c>
      <c r="S8797" s="405" t="s">
        <v>27173</v>
      </c>
      <c r="T8797" s="405" t="s">
        <v>32102</v>
      </c>
      <c r="U8797" s="405" t="s">
        <v>319</v>
      </c>
    </row>
    <row r="8798" spans="1:21" hidden="1" x14ac:dyDescent="0.25">
      <c r="A8798" s="405" t="s">
        <v>310</v>
      </c>
      <c r="B8798" s="405" t="s">
        <v>27519</v>
      </c>
      <c r="C8798" s="405" t="s">
        <v>327</v>
      </c>
      <c r="D8798" s="405"/>
      <c r="E8798" s="410">
        <v>40590</v>
      </c>
      <c r="F8798" s="410">
        <v>40635</v>
      </c>
      <c r="G8798" s="405" t="s">
        <v>1149</v>
      </c>
      <c r="H8798" s="405">
        <v>784822921</v>
      </c>
      <c r="I8798" s="405">
        <v>752791084</v>
      </c>
      <c r="J8798" s="405">
        <v>-0.34226580000000001</v>
      </c>
      <c r="K8798" s="405">
        <v>31.724567100000002</v>
      </c>
      <c r="L8798" s="405" t="s">
        <v>314</v>
      </c>
      <c r="M8798" s="405" t="s">
        <v>382</v>
      </c>
      <c r="N8798" s="405" t="s">
        <v>383</v>
      </c>
      <c r="O8798" s="405" t="s">
        <v>1052</v>
      </c>
      <c r="P8798" s="405" t="s">
        <v>1150</v>
      </c>
      <c r="Q8798" s="411">
        <v>6</v>
      </c>
      <c r="R8798" s="405" t="s">
        <v>967</v>
      </c>
      <c r="S8798" s="405" t="s">
        <v>27161</v>
      </c>
      <c r="T8798" s="405" t="s">
        <v>32102</v>
      </c>
      <c r="U8798" s="405" t="s">
        <v>319</v>
      </c>
    </row>
    <row r="8799" spans="1:21" hidden="1" x14ac:dyDescent="0.25">
      <c r="A8799" s="405" t="s">
        <v>310</v>
      </c>
      <c r="B8799" s="405" t="s">
        <v>10132</v>
      </c>
      <c r="C8799" s="405" t="s">
        <v>327</v>
      </c>
      <c r="D8799" s="405"/>
      <c r="E8799" s="410">
        <v>40590</v>
      </c>
      <c r="F8799" s="410">
        <v>40635</v>
      </c>
      <c r="G8799" s="405" t="s">
        <v>10133</v>
      </c>
      <c r="H8799" s="405">
        <v>776281062</v>
      </c>
      <c r="I8799" s="405">
        <v>756281062</v>
      </c>
      <c r="J8799" s="405">
        <v>0.68622700000000003</v>
      </c>
      <c r="K8799" s="405">
        <v>34.173952999999997</v>
      </c>
      <c r="L8799" s="405" t="s">
        <v>6866</v>
      </c>
      <c r="M8799" s="405" t="s">
        <v>9534</v>
      </c>
      <c r="N8799" s="405" t="s">
        <v>10065</v>
      </c>
      <c r="O8799" s="405" t="s">
        <v>9881</v>
      </c>
      <c r="P8799" s="405" t="s">
        <v>10134</v>
      </c>
      <c r="Q8799" s="411">
        <v>6</v>
      </c>
      <c r="R8799" s="405" t="s">
        <v>7224</v>
      </c>
      <c r="S8799" s="405" t="s">
        <v>27309</v>
      </c>
      <c r="T8799" s="405" t="s">
        <v>32102</v>
      </c>
      <c r="U8799" s="405" t="s">
        <v>319</v>
      </c>
    </row>
    <row r="8800" spans="1:21" hidden="1" x14ac:dyDescent="0.25">
      <c r="A8800" s="405" t="s">
        <v>310</v>
      </c>
      <c r="B8800" s="405" t="s">
        <v>27930</v>
      </c>
      <c r="C8800" s="405" t="s">
        <v>327</v>
      </c>
      <c r="D8800" s="405"/>
      <c r="E8800" s="410">
        <v>40589</v>
      </c>
      <c r="F8800" s="410">
        <v>40634</v>
      </c>
      <c r="G8800" s="405" t="s">
        <v>19908</v>
      </c>
      <c r="H8800" s="405">
        <v>774291848</v>
      </c>
      <c r="I8800" s="405">
        <v>774127724</v>
      </c>
      <c r="J8800" s="405">
        <v>1.6579644</v>
      </c>
      <c r="K8800" s="405">
        <v>31.709802199999999</v>
      </c>
      <c r="L8800" s="405" t="s">
        <v>590</v>
      </c>
      <c r="M8800" s="405" t="s">
        <v>19608</v>
      </c>
      <c r="N8800" s="405" t="s">
        <v>19762</v>
      </c>
      <c r="O8800" s="405" t="s">
        <v>19784</v>
      </c>
      <c r="P8800" s="405" t="s">
        <v>19909</v>
      </c>
      <c r="Q8800" s="411">
        <v>6</v>
      </c>
      <c r="R8800" s="405" t="s">
        <v>318</v>
      </c>
      <c r="S8800" s="405" t="s">
        <v>27126</v>
      </c>
      <c r="T8800" s="405" t="s">
        <v>32102</v>
      </c>
      <c r="U8800" s="405" t="s">
        <v>319</v>
      </c>
    </row>
    <row r="8801" spans="1:21" hidden="1" x14ac:dyDescent="0.25">
      <c r="A8801" s="405" t="s">
        <v>310</v>
      </c>
      <c r="B8801" s="405" t="s">
        <v>28061</v>
      </c>
      <c r="C8801" s="405" t="s">
        <v>327</v>
      </c>
      <c r="D8801" s="405"/>
      <c r="E8801" s="410">
        <v>40588</v>
      </c>
      <c r="F8801" s="410">
        <v>40633</v>
      </c>
      <c r="G8801" s="405" t="s">
        <v>875</v>
      </c>
      <c r="H8801" s="405">
        <v>772571812</v>
      </c>
      <c r="I8801" s="405"/>
      <c r="J8801" s="405">
        <v>0.39089610000000002</v>
      </c>
      <c r="K8801" s="405">
        <v>32.533915200000003</v>
      </c>
      <c r="L8801" s="405" t="s">
        <v>314</v>
      </c>
      <c r="M8801" s="405" t="s">
        <v>361</v>
      </c>
      <c r="N8801" s="405" t="s">
        <v>362</v>
      </c>
      <c r="O8801" s="405" t="s">
        <v>480</v>
      </c>
      <c r="P8801" s="405" t="s">
        <v>876</v>
      </c>
      <c r="Q8801" s="411">
        <v>9</v>
      </c>
      <c r="R8801" s="405" t="s">
        <v>318</v>
      </c>
      <c r="S8801" s="405" t="s">
        <v>27113</v>
      </c>
      <c r="T8801" s="405" t="s">
        <v>32102</v>
      </c>
      <c r="U8801" s="405" t="s">
        <v>319</v>
      </c>
    </row>
    <row r="8802" spans="1:21" hidden="1" x14ac:dyDescent="0.25">
      <c r="A8802" s="405" t="s">
        <v>310</v>
      </c>
      <c r="B8802" s="405" t="s">
        <v>27891</v>
      </c>
      <c r="C8802" s="405" t="s">
        <v>327</v>
      </c>
      <c r="D8802" s="405"/>
      <c r="E8802" s="410">
        <v>40588</v>
      </c>
      <c r="F8802" s="410">
        <v>40633</v>
      </c>
      <c r="G8802" s="405" t="s">
        <v>947</v>
      </c>
      <c r="H8802" s="405">
        <v>772993099</v>
      </c>
      <c r="I8802" s="405">
        <v>782034351</v>
      </c>
      <c r="J8802" s="405">
        <v>-0.31738300000000003</v>
      </c>
      <c r="K8802" s="405">
        <v>31.74999</v>
      </c>
      <c r="L8802" s="405" t="s">
        <v>314</v>
      </c>
      <c r="M8802" s="405" t="s">
        <v>382</v>
      </c>
      <c r="N8802" s="405" t="s">
        <v>383</v>
      </c>
      <c r="O8802" s="405" t="s">
        <v>948</v>
      </c>
      <c r="P8802" s="405" t="s">
        <v>949</v>
      </c>
      <c r="Q8802" s="411">
        <v>6</v>
      </c>
      <c r="R8802" s="405" t="s">
        <v>874</v>
      </c>
      <c r="S8802" s="405" t="s">
        <v>27132</v>
      </c>
      <c r="T8802" s="405" t="s">
        <v>32102</v>
      </c>
      <c r="U8802" s="405" t="s">
        <v>319</v>
      </c>
    </row>
    <row r="8803" spans="1:21" hidden="1" x14ac:dyDescent="0.25">
      <c r="A8803" s="405" t="s">
        <v>310</v>
      </c>
      <c r="B8803" s="405" t="s">
        <v>18501</v>
      </c>
      <c r="C8803" s="405" t="s">
        <v>327</v>
      </c>
      <c r="D8803" s="405"/>
      <c r="E8803" s="410">
        <v>40588</v>
      </c>
      <c r="F8803" s="410">
        <v>40633</v>
      </c>
      <c r="G8803" s="405" t="s">
        <v>18502</v>
      </c>
      <c r="H8803" s="405">
        <v>772693082</v>
      </c>
      <c r="I8803" s="405"/>
      <c r="J8803" s="405">
        <v>2.7823169999999999</v>
      </c>
      <c r="K8803" s="405">
        <v>32.292273000000002</v>
      </c>
      <c r="L8803" s="405" t="s">
        <v>860</v>
      </c>
      <c r="M8803" s="405" t="s">
        <v>853</v>
      </c>
      <c r="N8803" s="405" t="s">
        <v>18246</v>
      </c>
      <c r="O8803" s="405" t="s">
        <v>18503</v>
      </c>
      <c r="P8803" s="405" t="s">
        <v>18504</v>
      </c>
      <c r="Q8803" s="411">
        <v>6</v>
      </c>
      <c r="R8803" s="405" t="s">
        <v>994</v>
      </c>
      <c r="S8803" s="405" t="s">
        <v>27086</v>
      </c>
      <c r="T8803" s="405" t="s">
        <v>32102</v>
      </c>
      <c r="U8803" s="405" t="s">
        <v>319</v>
      </c>
    </row>
    <row r="8804" spans="1:21" hidden="1" x14ac:dyDescent="0.25">
      <c r="A8804" s="405" t="s">
        <v>310</v>
      </c>
      <c r="B8804" s="405" t="s">
        <v>10120</v>
      </c>
      <c r="C8804" s="405" t="s">
        <v>327</v>
      </c>
      <c r="D8804" s="405"/>
      <c r="E8804" s="410">
        <v>40587</v>
      </c>
      <c r="F8804" s="410">
        <v>40632</v>
      </c>
      <c r="G8804" s="405" t="s">
        <v>10121</v>
      </c>
      <c r="H8804" s="405">
        <v>778905699</v>
      </c>
      <c r="I8804" s="405"/>
      <c r="J8804" s="405">
        <v>0.85847700000000005</v>
      </c>
      <c r="K8804" s="405">
        <v>34.363402000000001</v>
      </c>
      <c r="L8804" s="405" t="s">
        <v>6866</v>
      </c>
      <c r="M8804" s="405" t="s">
        <v>9763</v>
      </c>
      <c r="N8804" s="405" t="s">
        <v>9848</v>
      </c>
      <c r="O8804" s="405" t="s">
        <v>10122</v>
      </c>
      <c r="P8804" s="405" t="s">
        <v>10123</v>
      </c>
      <c r="Q8804" s="411">
        <v>9</v>
      </c>
      <c r="R8804" s="405" t="s">
        <v>7224</v>
      </c>
      <c r="S8804" s="405" t="s">
        <v>27073</v>
      </c>
      <c r="T8804" s="405" t="s">
        <v>32102</v>
      </c>
      <c r="U8804" s="405" t="s">
        <v>319</v>
      </c>
    </row>
    <row r="8805" spans="1:21" hidden="1" x14ac:dyDescent="0.25">
      <c r="A8805" s="405" t="s">
        <v>310</v>
      </c>
      <c r="B8805" s="405" t="s">
        <v>27705</v>
      </c>
      <c r="C8805" s="405" t="s">
        <v>327</v>
      </c>
      <c r="D8805" s="405"/>
      <c r="E8805" s="410">
        <v>40586</v>
      </c>
      <c r="F8805" s="410">
        <v>40631</v>
      </c>
      <c r="G8805" s="405" t="s">
        <v>940</v>
      </c>
      <c r="H8805" s="405">
        <v>750442020</v>
      </c>
      <c r="I8805" s="405">
        <v>751702353</v>
      </c>
      <c r="J8805" s="405">
        <v>-0.34503200000000001</v>
      </c>
      <c r="K8805" s="405">
        <v>31.750957</v>
      </c>
      <c r="L8805" s="405" t="s">
        <v>314</v>
      </c>
      <c r="M8805" s="405" t="s">
        <v>382</v>
      </c>
      <c r="N8805" s="405" t="s">
        <v>941</v>
      </c>
      <c r="O8805" s="405" t="s">
        <v>942</v>
      </c>
      <c r="P8805" s="405" t="s">
        <v>943</v>
      </c>
      <c r="Q8805" s="411">
        <v>6</v>
      </c>
      <c r="R8805" s="405" t="s">
        <v>874</v>
      </c>
      <c r="S8805" s="405" t="s">
        <v>27161</v>
      </c>
      <c r="T8805" s="405" t="s">
        <v>32102</v>
      </c>
      <c r="U8805" s="405" t="s">
        <v>319</v>
      </c>
    </row>
    <row r="8806" spans="1:21" hidden="1" x14ac:dyDescent="0.25">
      <c r="A8806" s="405" t="s">
        <v>310</v>
      </c>
      <c r="B8806" s="405" t="s">
        <v>10107</v>
      </c>
      <c r="C8806" s="405" t="s">
        <v>327</v>
      </c>
      <c r="D8806" s="405"/>
      <c r="E8806" s="410">
        <v>40584</v>
      </c>
      <c r="F8806" s="410">
        <v>40629</v>
      </c>
      <c r="G8806" s="405" t="s">
        <v>10108</v>
      </c>
      <c r="H8806" s="405">
        <v>774326678</v>
      </c>
      <c r="I8806" s="405"/>
      <c r="J8806" s="405">
        <v>1.2657480000000001</v>
      </c>
      <c r="K8806" s="405">
        <v>33.991669999999999</v>
      </c>
      <c r="L8806" s="405" t="s">
        <v>6866</v>
      </c>
      <c r="M8806" s="405" t="s">
        <v>9504</v>
      </c>
      <c r="N8806" s="405" t="s">
        <v>9504</v>
      </c>
      <c r="O8806" s="405" t="s">
        <v>10109</v>
      </c>
      <c r="P8806" s="405" t="s">
        <v>10110</v>
      </c>
      <c r="Q8806" s="411">
        <v>6</v>
      </c>
      <c r="R8806" s="405" t="s">
        <v>9541</v>
      </c>
      <c r="S8806" s="405" t="s">
        <v>27296</v>
      </c>
      <c r="T8806" s="405" t="s">
        <v>32102</v>
      </c>
      <c r="U8806" s="405" t="s">
        <v>319</v>
      </c>
    </row>
    <row r="8807" spans="1:21" hidden="1" x14ac:dyDescent="0.25">
      <c r="A8807" s="405" t="s">
        <v>310</v>
      </c>
      <c r="B8807" s="405" t="s">
        <v>10094</v>
      </c>
      <c r="C8807" s="405" t="s">
        <v>327</v>
      </c>
      <c r="D8807" s="405"/>
      <c r="E8807" s="410">
        <v>40584</v>
      </c>
      <c r="F8807" s="410">
        <v>40629</v>
      </c>
      <c r="G8807" s="405" t="s">
        <v>10095</v>
      </c>
      <c r="H8807" s="405">
        <v>787838169</v>
      </c>
      <c r="I8807" s="405"/>
      <c r="J8807" s="405">
        <v>0.44248799999999999</v>
      </c>
      <c r="K8807" s="405">
        <v>33.332766999999997</v>
      </c>
      <c r="L8807" s="405" t="s">
        <v>6866</v>
      </c>
      <c r="M8807" s="405" t="s">
        <v>5411</v>
      </c>
      <c r="N8807" s="405" t="s">
        <v>9774</v>
      </c>
      <c r="O8807" s="405" t="s">
        <v>10096</v>
      </c>
      <c r="P8807" s="405" t="s">
        <v>10097</v>
      </c>
      <c r="Q8807" s="411">
        <v>6</v>
      </c>
      <c r="R8807" s="405" t="s">
        <v>318</v>
      </c>
      <c r="S8807" s="405" t="s">
        <v>27134</v>
      </c>
      <c r="T8807" s="405" t="s">
        <v>32102</v>
      </c>
      <c r="U8807" s="405" t="s">
        <v>319</v>
      </c>
    </row>
    <row r="8808" spans="1:21" hidden="1" x14ac:dyDescent="0.25">
      <c r="A8808" s="405" t="s">
        <v>310</v>
      </c>
      <c r="B8808" s="405" t="s">
        <v>10116</v>
      </c>
      <c r="C8808" s="405" t="s">
        <v>327</v>
      </c>
      <c r="D8808" s="405"/>
      <c r="E8808" s="410">
        <v>40584</v>
      </c>
      <c r="F8808" s="410">
        <v>40629</v>
      </c>
      <c r="G8808" s="405" t="s">
        <v>10117</v>
      </c>
      <c r="H8808" s="405">
        <v>772953710</v>
      </c>
      <c r="I8808" s="405"/>
      <c r="J8808" s="405">
        <v>0.96353800000000001</v>
      </c>
      <c r="K8808" s="405">
        <v>34.298274999999997</v>
      </c>
      <c r="L8808" s="405" t="s">
        <v>6866</v>
      </c>
      <c r="M8808" s="405" t="s">
        <v>9763</v>
      </c>
      <c r="N8808" s="405" t="s">
        <v>9764</v>
      </c>
      <c r="O8808" s="405" t="s">
        <v>10118</v>
      </c>
      <c r="P8808" s="405" t="s">
        <v>10119</v>
      </c>
      <c r="Q8808" s="411">
        <v>6</v>
      </c>
      <c r="R8808" s="405" t="s">
        <v>7224</v>
      </c>
      <c r="S8808" s="405" t="s">
        <v>27197</v>
      </c>
      <c r="T8808" s="405" t="s">
        <v>32102</v>
      </c>
      <c r="U8808" s="405" t="s">
        <v>319</v>
      </c>
    </row>
    <row r="8809" spans="1:21" hidden="1" x14ac:dyDescent="0.25">
      <c r="A8809" s="405" t="s">
        <v>310</v>
      </c>
      <c r="B8809" s="405" t="s">
        <v>28579</v>
      </c>
      <c r="C8809" s="405" t="s">
        <v>327</v>
      </c>
      <c r="D8809" s="405"/>
      <c r="E8809" s="410">
        <v>40583</v>
      </c>
      <c r="F8809" s="410">
        <v>40628</v>
      </c>
      <c r="G8809" s="405" t="s">
        <v>10076</v>
      </c>
      <c r="H8809" s="405">
        <v>702059819</v>
      </c>
      <c r="I8809" s="405"/>
      <c r="J8809" s="405">
        <v>1.130795</v>
      </c>
      <c r="K8809" s="405">
        <v>34.219213000000003</v>
      </c>
      <c r="L8809" s="405" t="s">
        <v>6866</v>
      </c>
      <c r="M8809" s="405" t="s">
        <v>9514</v>
      </c>
      <c r="N8809" s="405" t="s">
        <v>9529</v>
      </c>
      <c r="O8809" s="405" t="s">
        <v>9530</v>
      </c>
      <c r="P8809" s="405" t="s">
        <v>10077</v>
      </c>
      <c r="Q8809" s="411">
        <v>6</v>
      </c>
      <c r="R8809" s="405" t="s">
        <v>333</v>
      </c>
      <c r="S8809" s="405" t="s">
        <v>27316</v>
      </c>
      <c r="T8809" s="405" t="s">
        <v>32102</v>
      </c>
      <c r="U8809" s="405" t="s">
        <v>319</v>
      </c>
    </row>
    <row r="8810" spans="1:21" hidden="1" x14ac:dyDescent="0.25">
      <c r="A8810" s="405" t="s">
        <v>310</v>
      </c>
      <c r="B8810" s="405" t="s">
        <v>911</v>
      </c>
      <c r="C8810" s="405" t="s">
        <v>327</v>
      </c>
      <c r="D8810" s="405"/>
      <c r="E8810" s="410">
        <v>40583</v>
      </c>
      <c r="F8810" s="410">
        <v>40628</v>
      </c>
      <c r="G8810" s="405" t="s">
        <v>912</v>
      </c>
      <c r="H8810" s="405">
        <v>753226389</v>
      </c>
      <c r="I8810" s="405">
        <v>774011305</v>
      </c>
      <c r="J8810" s="405">
        <v>0.10614</v>
      </c>
      <c r="K8810" s="405">
        <v>31.931577999999998</v>
      </c>
      <c r="L8810" s="405" t="s">
        <v>314</v>
      </c>
      <c r="M8810" s="405" t="s">
        <v>315</v>
      </c>
      <c r="N8810" s="405" t="s">
        <v>315</v>
      </c>
      <c r="O8810" s="405" t="s">
        <v>913</v>
      </c>
      <c r="P8810" s="405" t="s">
        <v>914</v>
      </c>
      <c r="Q8810" s="411">
        <v>6</v>
      </c>
      <c r="R8810" s="405" t="s">
        <v>438</v>
      </c>
      <c r="S8810" s="405" t="s">
        <v>27128</v>
      </c>
      <c r="T8810" s="405" t="s">
        <v>32102</v>
      </c>
      <c r="U8810" s="405" t="s">
        <v>319</v>
      </c>
    </row>
    <row r="8811" spans="1:21" hidden="1" x14ac:dyDescent="0.25">
      <c r="A8811" s="405" t="s">
        <v>310</v>
      </c>
      <c r="B8811" s="405" t="s">
        <v>929</v>
      </c>
      <c r="C8811" s="405" t="s">
        <v>327</v>
      </c>
      <c r="D8811" s="405"/>
      <c r="E8811" s="410">
        <v>40583</v>
      </c>
      <c r="F8811" s="410">
        <v>40628</v>
      </c>
      <c r="G8811" s="405" t="s">
        <v>930</v>
      </c>
      <c r="H8811" s="405">
        <v>782321798</v>
      </c>
      <c r="I8811" s="405">
        <v>782395901</v>
      </c>
      <c r="J8811" s="405">
        <v>0.27905200000000002</v>
      </c>
      <c r="K8811" s="405">
        <v>32.977106999999997</v>
      </c>
      <c r="L8811" s="405" t="s">
        <v>314</v>
      </c>
      <c r="M8811" s="405" t="s">
        <v>349</v>
      </c>
      <c r="N8811" s="405" t="s">
        <v>349</v>
      </c>
      <c r="O8811" s="405" t="s">
        <v>349</v>
      </c>
      <c r="P8811" s="405" t="s">
        <v>931</v>
      </c>
      <c r="Q8811" s="411">
        <v>6</v>
      </c>
      <c r="R8811" s="405" t="s">
        <v>32478</v>
      </c>
      <c r="S8811" s="405" t="s">
        <v>27120</v>
      </c>
      <c r="T8811" s="405" t="s">
        <v>32102</v>
      </c>
      <c r="U8811" s="405" t="s">
        <v>319</v>
      </c>
    </row>
    <row r="8812" spans="1:21" hidden="1" x14ac:dyDescent="0.25">
      <c r="A8812" s="405" t="s">
        <v>310</v>
      </c>
      <c r="B8812" s="405" t="s">
        <v>80</v>
      </c>
      <c r="C8812" s="405" t="s">
        <v>327</v>
      </c>
      <c r="D8812" s="405"/>
      <c r="E8812" s="410">
        <v>40582</v>
      </c>
      <c r="F8812" s="410">
        <v>40627</v>
      </c>
      <c r="G8812" s="405" t="s">
        <v>903</v>
      </c>
      <c r="H8812" s="405">
        <v>776065370</v>
      </c>
      <c r="I8812" s="405">
        <v>703065370</v>
      </c>
      <c r="J8812" s="405">
        <v>-0.17843700000000001</v>
      </c>
      <c r="K8812" s="405">
        <v>31.775289999999998</v>
      </c>
      <c r="L8812" s="405" t="s">
        <v>314</v>
      </c>
      <c r="M8812" s="405" t="s">
        <v>900</v>
      </c>
      <c r="N8812" s="405" t="s">
        <v>900</v>
      </c>
      <c r="O8812" s="405" t="s">
        <v>904</v>
      </c>
      <c r="P8812" s="405" t="s">
        <v>905</v>
      </c>
      <c r="Q8812" s="411">
        <v>12</v>
      </c>
      <c r="R8812" s="405" t="s">
        <v>318</v>
      </c>
      <c r="S8812" s="405" t="s">
        <v>27134</v>
      </c>
      <c r="T8812" s="405" t="s">
        <v>32102</v>
      </c>
      <c r="U8812" s="405" t="s">
        <v>319</v>
      </c>
    </row>
    <row r="8813" spans="1:21" hidden="1" x14ac:dyDescent="0.25">
      <c r="A8813" s="405" t="s">
        <v>310</v>
      </c>
      <c r="B8813" s="405" t="s">
        <v>19891</v>
      </c>
      <c r="C8813" s="405" t="s">
        <v>327</v>
      </c>
      <c r="D8813" s="405"/>
      <c r="E8813" s="410">
        <v>40581</v>
      </c>
      <c r="F8813" s="410">
        <v>40626</v>
      </c>
      <c r="G8813" s="405" t="s">
        <v>19892</v>
      </c>
      <c r="H8813" s="405">
        <v>772953232</v>
      </c>
      <c r="I8813" s="405"/>
      <c r="J8813" s="405">
        <v>-0.61336599999999997</v>
      </c>
      <c r="K8813" s="405">
        <v>30.626403</v>
      </c>
      <c r="L8813" s="405" t="s">
        <v>590</v>
      </c>
      <c r="M8813" s="405" t="s">
        <v>19614</v>
      </c>
      <c r="N8813" s="405" t="s">
        <v>19873</v>
      </c>
      <c r="O8813" s="405" t="s">
        <v>19893</v>
      </c>
      <c r="P8813" s="405" t="s">
        <v>19894</v>
      </c>
      <c r="Q8813" s="411">
        <v>12</v>
      </c>
      <c r="R8813" s="405" t="s">
        <v>333</v>
      </c>
      <c r="S8813" s="405" t="s">
        <v>27393</v>
      </c>
      <c r="T8813" s="405" t="s">
        <v>32102</v>
      </c>
      <c r="U8813" s="405" t="s">
        <v>319</v>
      </c>
    </row>
    <row r="8814" spans="1:21" hidden="1" x14ac:dyDescent="0.25">
      <c r="A8814" s="405" t="s">
        <v>310</v>
      </c>
      <c r="B8814" s="405" t="s">
        <v>19905</v>
      </c>
      <c r="C8814" s="405" t="s">
        <v>327</v>
      </c>
      <c r="D8814" s="405"/>
      <c r="E8814" s="410">
        <v>40579</v>
      </c>
      <c r="F8814" s="410">
        <v>40624</v>
      </c>
      <c r="G8814" s="405" t="s">
        <v>19906</v>
      </c>
      <c r="H8814" s="405">
        <v>771609244</v>
      </c>
      <c r="I8814" s="405"/>
      <c r="J8814" s="405">
        <v>-1.0988329999999999</v>
      </c>
      <c r="K8814" s="405">
        <v>30.252936999999999</v>
      </c>
      <c r="L8814" s="405" t="s">
        <v>590</v>
      </c>
      <c r="M8814" s="405" t="s">
        <v>19659</v>
      </c>
      <c r="N8814" s="405" t="s">
        <v>19677</v>
      </c>
      <c r="O8814" s="405" t="s">
        <v>2520</v>
      </c>
      <c r="P8814" s="405" t="s">
        <v>19907</v>
      </c>
      <c r="Q8814" s="411">
        <v>12</v>
      </c>
      <c r="R8814" s="405" t="s">
        <v>967</v>
      </c>
      <c r="S8814" s="405" t="s">
        <v>27399</v>
      </c>
      <c r="T8814" s="405" t="s">
        <v>32102</v>
      </c>
      <c r="U8814" s="405" t="s">
        <v>319</v>
      </c>
    </row>
    <row r="8815" spans="1:21" hidden="1" x14ac:dyDescent="0.25">
      <c r="A8815" s="405" t="s">
        <v>310</v>
      </c>
      <c r="B8815" s="405" t="s">
        <v>79</v>
      </c>
      <c r="C8815" s="405" t="s">
        <v>327</v>
      </c>
      <c r="D8815" s="405"/>
      <c r="E8815" s="410">
        <v>40579</v>
      </c>
      <c r="F8815" s="410">
        <v>40624</v>
      </c>
      <c r="G8815" s="405" t="s">
        <v>899</v>
      </c>
      <c r="H8815" s="405">
        <v>772333296</v>
      </c>
      <c r="I8815" s="405"/>
      <c r="J8815" s="405">
        <v>-0.35601250000000001</v>
      </c>
      <c r="K8815" s="405">
        <v>31.726492400000001</v>
      </c>
      <c r="L8815" s="405" t="s">
        <v>314</v>
      </c>
      <c r="M8815" s="405" t="s">
        <v>900</v>
      </c>
      <c r="N8815" s="405" t="s">
        <v>900</v>
      </c>
      <c r="O8815" s="405" t="s">
        <v>901</v>
      </c>
      <c r="P8815" s="405" t="s">
        <v>902</v>
      </c>
      <c r="Q8815" s="411">
        <v>6</v>
      </c>
      <c r="R8815" s="405" t="s">
        <v>318</v>
      </c>
      <c r="S8815" s="405" t="s">
        <v>27137</v>
      </c>
      <c r="T8815" s="405" t="s">
        <v>32102</v>
      </c>
      <c r="U8815" s="405" t="s">
        <v>319</v>
      </c>
    </row>
    <row r="8816" spans="1:21" hidden="1" x14ac:dyDescent="0.25">
      <c r="A8816" s="405" t="s">
        <v>310</v>
      </c>
      <c r="B8816" s="405" t="s">
        <v>10103</v>
      </c>
      <c r="C8816" s="405" t="s">
        <v>327</v>
      </c>
      <c r="D8816" s="405"/>
      <c r="E8816" s="410">
        <v>40578</v>
      </c>
      <c r="F8816" s="410">
        <v>40623</v>
      </c>
      <c r="G8816" s="405" t="s">
        <v>10104</v>
      </c>
      <c r="H8816" s="405">
        <v>772584690</v>
      </c>
      <c r="I8816" s="405"/>
      <c r="J8816" s="405">
        <v>1.3997729999999999</v>
      </c>
      <c r="K8816" s="405">
        <v>34.091521999999998</v>
      </c>
      <c r="L8816" s="405" t="s">
        <v>6866</v>
      </c>
      <c r="M8816" s="405" t="s">
        <v>9504</v>
      </c>
      <c r="N8816" s="405" t="s">
        <v>9504</v>
      </c>
      <c r="O8816" s="405" t="s">
        <v>10105</v>
      </c>
      <c r="P8816" s="405" t="s">
        <v>10106</v>
      </c>
      <c r="Q8816" s="411">
        <v>9</v>
      </c>
      <c r="R8816" s="405" t="s">
        <v>9541</v>
      </c>
      <c r="S8816" s="405" t="s">
        <v>27296</v>
      </c>
      <c r="T8816" s="405" t="s">
        <v>32102</v>
      </c>
      <c r="U8816" s="405" t="s">
        <v>319</v>
      </c>
    </row>
    <row r="8817" spans="1:21" hidden="1" x14ac:dyDescent="0.25">
      <c r="A8817" s="405" t="s">
        <v>310</v>
      </c>
      <c r="B8817" s="405" t="s">
        <v>28329</v>
      </c>
      <c r="C8817" s="405" t="s">
        <v>327</v>
      </c>
      <c r="D8817" s="405"/>
      <c r="E8817" s="410">
        <v>40577</v>
      </c>
      <c r="F8817" s="410">
        <v>40622</v>
      </c>
      <c r="G8817" s="405" t="s">
        <v>885</v>
      </c>
      <c r="H8817" s="405">
        <v>772971688</v>
      </c>
      <c r="I8817" s="405">
        <v>776971688</v>
      </c>
      <c r="J8817" s="405">
        <v>0.40948059999999997</v>
      </c>
      <c r="K8817" s="405">
        <v>32.7119608</v>
      </c>
      <c r="L8817" s="405" t="s">
        <v>314</v>
      </c>
      <c r="M8817" s="405" t="s">
        <v>329</v>
      </c>
      <c r="N8817" s="405" t="s">
        <v>330</v>
      </c>
      <c r="O8817" s="405" t="s">
        <v>630</v>
      </c>
      <c r="P8817" s="405" t="s">
        <v>886</v>
      </c>
      <c r="Q8817" s="411">
        <v>6</v>
      </c>
      <c r="R8817" s="405" t="s">
        <v>318</v>
      </c>
      <c r="S8817" s="405" t="s">
        <v>27135</v>
      </c>
      <c r="T8817" s="405" t="s">
        <v>32102</v>
      </c>
      <c r="U8817" s="405" t="s">
        <v>319</v>
      </c>
    </row>
    <row r="8818" spans="1:21" hidden="1" x14ac:dyDescent="0.25">
      <c r="A8818" s="405" t="s">
        <v>310</v>
      </c>
      <c r="B8818" s="405" t="s">
        <v>20189</v>
      </c>
      <c r="C8818" s="405" t="s">
        <v>311</v>
      </c>
      <c r="D8818" s="405" t="s">
        <v>6148</v>
      </c>
      <c r="E8818" s="410">
        <v>40576</v>
      </c>
      <c r="F8818" s="410">
        <v>40621</v>
      </c>
      <c r="G8818" s="405" t="s">
        <v>20190</v>
      </c>
      <c r="H8818" s="405">
        <v>772674314</v>
      </c>
      <c r="I8818" s="405"/>
      <c r="J8818" s="405">
        <v>-0.81885399999999997</v>
      </c>
      <c r="K8818" s="405">
        <v>30.267828999999999</v>
      </c>
      <c r="L8818" s="405" t="s">
        <v>590</v>
      </c>
      <c r="M8818" s="405" t="s">
        <v>19659</v>
      </c>
      <c r="N8818" s="405" t="s">
        <v>19968</v>
      </c>
      <c r="O8818" s="405" t="s">
        <v>19659</v>
      </c>
      <c r="P8818" s="405" t="s">
        <v>20171</v>
      </c>
      <c r="Q8818" s="411">
        <v>12</v>
      </c>
      <c r="R8818" s="405" t="s">
        <v>967</v>
      </c>
      <c r="S8818" s="405" t="s">
        <v>27399</v>
      </c>
      <c r="T8818" s="405" t="s">
        <v>32102</v>
      </c>
      <c r="U8818" s="405" t="s">
        <v>319</v>
      </c>
    </row>
    <row r="8819" spans="1:21" hidden="1" x14ac:dyDescent="0.25">
      <c r="A8819" s="405" t="s">
        <v>310</v>
      </c>
      <c r="B8819" s="405" t="s">
        <v>27961</v>
      </c>
      <c r="C8819" s="405" t="s">
        <v>327</v>
      </c>
      <c r="D8819" s="405"/>
      <c r="E8819" s="410">
        <v>40576</v>
      </c>
      <c r="F8819" s="410">
        <v>40621</v>
      </c>
      <c r="G8819" s="405" t="s">
        <v>10081</v>
      </c>
      <c r="H8819" s="405">
        <v>783894665</v>
      </c>
      <c r="I8819" s="405"/>
      <c r="J8819" s="405">
        <v>1.1329800000000001</v>
      </c>
      <c r="K8819" s="405">
        <v>34.206538000000002</v>
      </c>
      <c r="L8819" s="405" t="s">
        <v>6866</v>
      </c>
      <c r="M8819" s="405" t="s">
        <v>9514</v>
      </c>
      <c r="N8819" s="405" t="s">
        <v>9529</v>
      </c>
      <c r="O8819" s="405" t="s">
        <v>9530</v>
      </c>
      <c r="P8819" s="405" t="s">
        <v>10082</v>
      </c>
      <c r="Q8819" s="411">
        <v>6</v>
      </c>
      <c r="R8819" s="405" t="s">
        <v>7224</v>
      </c>
      <c r="S8819" s="405" t="s">
        <v>27316</v>
      </c>
      <c r="T8819" s="405" t="s">
        <v>32102</v>
      </c>
      <c r="U8819" s="405" t="s">
        <v>319</v>
      </c>
    </row>
    <row r="8820" spans="1:21" hidden="1" x14ac:dyDescent="0.25">
      <c r="A8820" s="405" t="s">
        <v>310</v>
      </c>
      <c r="B8820" s="405" t="s">
        <v>19897</v>
      </c>
      <c r="C8820" s="405" t="s">
        <v>327</v>
      </c>
      <c r="D8820" s="405"/>
      <c r="E8820" s="410">
        <v>40575</v>
      </c>
      <c r="F8820" s="410">
        <v>40620</v>
      </c>
      <c r="G8820" s="405" t="s">
        <v>19898</v>
      </c>
      <c r="H8820" s="405">
        <v>777092179</v>
      </c>
      <c r="I8820" s="405"/>
      <c r="J8820" s="405">
        <v>-0.23988000000000001</v>
      </c>
      <c r="K8820" s="405">
        <v>30.784424999999999</v>
      </c>
      <c r="L8820" s="405" t="s">
        <v>590</v>
      </c>
      <c r="M8820" s="405" t="s">
        <v>19705</v>
      </c>
      <c r="N8820" s="405" t="s">
        <v>19706</v>
      </c>
      <c r="O8820" s="405" t="s">
        <v>19707</v>
      </c>
      <c r="P8820" s="405" t="s">
        <v>19899</v>
      </c>
      <c r="Q8820" s="411">
        <v>9</v>
      </c>
      <c r="R8820" s="405" t="s">
        <v>874</v>
      </c>
      <c r="S8820" s="405" t="s">
        <v>27205</v>
      </c>
      <c r="T8820" s="405" t="s">
        <v>32102</v>
      </c>
      <c r="U8820" s="405" t="s">
        <v>319</v>
      </c>
    </row>
    <row r="8821" spans="1:21" hidden="1" x14ac:dyDescent="0.25">
      <c r="A8821" s="405" t="s">
        <v>310</v>
      </c>
      <c r="B8821" s="405" t="s">
        <v>968</v>
      </c>
      <c r="C8821" s="405" t="s">
        <v>327</v>
      </c>
      <c r="D8821" s="405"/>
      <c r="E8821" s="410">
        <v>40574</v>
      </c>
      <c r="F8821" s="410">
        <v>40619</v>
      </c>
      <c r="G8821" s="405" t="s">
        <v>969</v>
      </c>
      <c r="H8821" s="405">
        <v>772467445</v>
      </c>
      <c r="I8821" s="405"/>
      <c r="J8821" s="405">
        <v>0.40722999999999998</v>
      </c>
      <c r="K8821" s="405">
        <v>32.55424</v>
      </c>
      <c r="L8821" s="405" t="s">
        <v>314</v>
      </c>
      <c r="M8821" s="405" t="s">
        <v>361</v>
      </c>
      <c r="N8821" s="405" t="s">
        <v>362</v>
      </c>
      <c r="O8821" s="405" t="s">
        <v>410</v>
      </c>
      <c r="P8821" s="405" t="s">
        <v>510</v>
      </c>
      <c r="Q8821" s="411">
        <v>12</v>
      </c>
      <c r="R8821" s="405" t="s">
        <v>318</v>
      </c>
      <c r="S8821" s="405" t="s">
        <v>27149</v>
      </c>
      <c r="T8821" s="405" t="s">
        <v>32102</v>
      </c>
      <c r="U8821" s="405" t="s">
        <v>319</v>
      </c>
    </row>
    <row r="8822" spans="1:21" hidden="1" x14ac:dyDescent="0.25">
      <c r="A8822" s="405" t="s">
        <v>310</v>
      </c>
      <c r="B8822" s="405" t="s">
        <v>972</v>
      </c>
      <c r="C8822" s="405" t="s">
        <v>327</v>
      </c>
      <c r="D8822" s="405"/>
      <c r="E8822" s="410">
        <v>40574</v>
      </c>
      <c r="F8822" s="410">
        <v>40619</v>
      </c>
      <c r="G8822" s="405" t="s">
        <v>973</v>
      </c>
      <c r="H8822" s="405">
        <v>754508967</v>
      </c>
      <c r="I8822" s="405"/>
      <c r="J8822" s="405">
        <v>0.44699800000000001</v>
      </c>
      <c r="K8822" s="405">
        <v>32.471021999999998</v>
      </c>
      <c r="L8822" s="405" t="s">
        <v>314</v>
      </c>
      <c r="M8822" s="405" t="s">
        <v>361</v>
      </c>
      <c r="N8822" s="405" t="s">
        <v>374</v>
      </c>
      <c r="O8822" s="405" t="s">
        <v>974</v>
      </c>
      <c r="P8822" s="405" t="s">
        <v>975</v>
      </c>
      <c r="Q8822" s="411">
        <v>12</v>
      </c>
      <c r="R8822" s="405" t="s">
        <v>318</v>
      </c>
      <c r="S8822" s="405" t="s">
        <v>27124</v>
      </c>
      <c r="T8822" s="405" t="s">
        <v>32102</v>
      </c>
      <c r="U8822" s="405" t="s">
        <v>319</v>
      </c>
    </row>
    <row r="8823" spans="1:21" hidden="1" x14ac:dyDescent="0.25">
      <c r="A8823" s="405" t="s">
        <v>310</v>
      </c>
      <c r="B8823" s="405" t="s">
        <v>979</v>
      </c>
      <c r="C8823" s="405" t="s">
        <v>327</v>
      </c>
      <c r="D8823" s="405"/>
      <c r="E8823" s="410">
        <v>40574</v>
      </c>
      <c r="F8823" s="410">
        <v>40619</v>
      </c>
      <c r="G8823" s="405" t="s">
        <v>980</v>
      </c>
      <c r="H8823" s="405">
        <v>792848280</v>
      </c>
      <c r="I8823" s="405"/>
      <c r="J8823" s="405">
        <v>0.33704000000000001</v>
      </c>
      <c r="K8823" s="405">
        <v>32.509602999999998</v>
      </c>
      <c r="L8823" s="405" t="s">
        <v>314</v>
      </c>
      <c r="M8823" s="405" t="s">
        <v>361</v>
      </c>
      <c r="N8823" s="405" t="s">
        <v>362</v>
      </c>
      <c r="O8823" s="405" t="s">
        <v>374</v>
      </c>
      <c r="P8823" s="405" t="s">
        <v>981</v>
      </c>
      <c r="Q8823" s="411">
        <v>12</v>
      </c>
      <c r="R8823" s="405" t="s">
        <v>525</v>
      </c>
      <c r="S8823" s="405" t="s">
        <v>414</v>
      </c>
      <c r="T8823" s="405" t="s">
        <v>32102</v>
      </c>
      <c r="U8823" s="405" t="s">
        <v>319</v>
      </c>
    </row>
    <row r="8824" spans="1:21" hidden="1" x14ac:dyDescent="0.25">
      <c r="A8824" s="405" t="s">
        <v>310</v>
      </c>
      <c r="B8824" s="405" t="s">
        <v>950</v>
      </c>
      <c r="C8824" s="405" t="s">
        <v>327</v>
      </c>
      <c r="D8824" s="405"/>
      <c r="E8824" s="410">
        <v>40574</v>
      </c>
      <c r="F8824" s="410">
        <v>40619</v>
      </c>
      <c r="G8824" s="405" t="s">
        <v>951</v>
      </c>
      <c r="H8824" s="405">
        <v>772468971</v>
      </c>
      <c r="I8824" s="405"/>
      <c r="J8824" s="405">
        <v>0.442305</v>
      </c>
      <c r="K8824" s="405">
        <v>32.389724999999999</v>
      </c>
      <c r="L8824" s="405" t="s">
        <v>314</v>
      </c>
      <c r="M8824" s="405" t="s">
        <v>361</v>
      </c>
      <c r="N8824" s="405" t="s">
        <v>374</v>
      </c>
      <c r="O8824" s="405" t="s">
        <v>952</v>
      </c>
      <c r="P8824" s="405" t="s">
        <v>953</v>
      </c>
      <c r="Q8824" s="411">
        <v>9</v>
      </c>
      <c r="R8824" s="405" t="s">
        <v>318</v>
      </c>
      <c r="S8824" s="405" t="s">
        <v>27046</v>
      </c>
      <c r="T8824" s="405" t="s">
        <v>32102</v>
      </c>
      <c r="U8824" s="405" t="s">
        <v>319</v>
      </c>
    </row>
    <row r="8825" spans="1:21" hidden="1" x14ac:dyDescent="0.25">
      <c r="A8825" s="405" t="s">
        <v>310</v>
      </c>
      <c r="B8825" s="405" t="s">
        <v>970</v>
      </c>
      <c r="C8825" s="405" t="s">
        <v>327</v>
      </c>
      <c r="D8825" s="405"/>
      <c r="E8825" s="410">
        <v>40574</v>
      </c>
      <c r="F8825" s="410">
        <v>40619</v>
      </c>
      <c r="G8825" s="405" t="s">
        <v>971</v>
      </c>
      <c r="H8825" s="405">
        <v>772397296</v>
      </c>
      <c r="I8825" s="405"/>
      <c r="J8825" s="405">
        <v>0.52373499999999995</v>
      </c>
      <c r="K8825" s="405">
        <v>32.651094999999998</v>
      </c>
      <c r="L8825" s="405" t="s">
        <v>314</v>
      </c>
      <c r="M8825" s="405" t="s">
        <v>361</v>
      </c>
      <c r="N8825" s="405" t="s">
        <v>362</v>
      </c>
      <c r="O8825" s="405" t="s">
        <v>433</v>
      </c>
      <c r="P8825" s="405" t="s">
        <v>434</v>
      </c>
      <c r="Q8825" s="411">
        <v>9</v>
      </c>
      <c r="R8825" s="405" t="s">
        <v>353</v>
      </c>
      <c r="S8825" s="405" t="s">
        <v>27115</v>
      </c>
      <c r="T8825" s="405" t="s">
        <v>32102</v>
      </c>
      <c r="U8825" s="405" t="s">
        <v>319</v>
      </c>
    </row>
    <row r="8826" spans="1:21" hidden="1" x14ac:dyDescent="0.25">
      <c r="A8826" s="405" t="s">
        <v>310</v>
      </c>
      <c r="B8826" s="405" t="s">
        <v>957</v>
      </c>
      <c r="C8826" s="405" t="s">
        <v>327</v>
      </c>
      <c r="D8826" s="405"/>
      <c r="E8826" s="410">
        <v>40574</v>
      </c>
      <c r="F8826" s="410">
        <v>40619</v>
      </c>
      <c r="G8826" s="405" t="s">
        <v>958</v>
      </c>
      <c r="H8826" s="405">
        <v>772423782</v>
      </c>
      <c r="I8826" s="405"/>
      <c r="J8826" s="405">
        <v>0.617788</v>
      </c>
      <c r="K8826" s="405">
        <v>32.569245000000002</v>
      </c>
      <c r="L8826" s="405" t="s">
        <v>314</v>
      </c>
      <c r="M8826" s="405" t="s">
        <v>959</v>
      </c>
      <c r="N8826" s="405" t="s">
        <v>960</v>
      </c>
      <c r="O8826" s="405" t="s">
        <v>961</v>
      </c>
      <c r="P8826" s="405" t="s">
        <v>962</v>
      </c>
      <c r="Q8826" s="411">
        <v>9</v>
      </c>
      <c r="R8826" s="405" t="s">
        <v>333</v>
      </c>
      <c r="S8826" s="405" t="s">
        <v>27162</v>
      </c>
      <c r="T8826" s="405" t="s">
        <v>32102</v>
      </c>
      <c r="U8826" s="405" t="s">
        <v>319</v>
      </c>
    </row>
    <row r="8827" spans="1:21" hidden="1" x14ac:dyDescent="0.25">
      <c r="A8827" s="405" t="s">
        <v>310</v>
      </c>
      <c r="B8827" s="405" t="s">
        <v>1604</v>
      </c>
      <c r="C8827" s="405" t="s">
        <v>311</v>
      </c>
      <c r="D8827" s="405" t="s">
        <v>839</v>
      </c>
      <c r="E8827" s="410">
        <v>40574</v>
      </c>
      <c r="F8827" s="410">
        <v>40619</v>
      </c>
      <c r="G8827" s="405" t="s">
        <v>1605</v>
      </c>
      <c r="H8827" s="405">
        <v>772442039</v>
      </c>
      <c r="I8827" s="405"/>
      <c r="J8827" s="405">
        <v>0.61579200000000001</v>
      </c>
      <c r="K8827" s="405">
        <v>32.571902000000001</v>
      </c>
      <c r="L8827" s="405" t="s">
        <v>314</v>
      </c>
      <c r="M8827" s="405" t="s">
        <v>959</v>
      </c>
      <c r="N8827" s="405" t="s">
        <v>960</v>
      </c>
      <c r="O8827" s="405" t="s">
        <v>961</v>
      </c>
      <c r="P8827" s="405" t="s">
        <v>962</v>
      </c>
      <c r="Q8827" s="411">
        <v>9</v>
      </c>
      <c r="R8827" s="405" t="s">
        <v>333</v>
      </c>
      <c r="S8827" s="405" t="s">
        <v>27162</v>
      </c>
      <c r="T8827" s="405" t="s">
        <v>32102</v>
      </c>
      <c r="U8827" s="405" t="s">
        <v>319</v>
      </c>
    </row>
    <row r="8828" spans="1:21" hidden="1" x14ac:dyDescent="0.25">
      <c r="A8828" s="405" t="s">
        <v>310</v>
      </c>
      <c r="B8828" s="405" t="s">
        <v>954</v>
      </c>
      <c r="C8828" s="405" t="s">
        <v>327</v>
      </c>
      <c r="D8828" s="405"/>
      <c r="E8828" s="410">
        <v>40574</v>
      </c>
      <c r="F8828" s="410">
        <v>40619</v>
      </c>
      <c r="G8828" s="405" t="s">
        <v>955</v>
      </c>
      <c r="H8828" s="405">
        <v>772460725</v>
      </c>
      <c r="I8828" s="405"/>
      <c r="J8828" s="405">
        <v>0.44529299999999999</v>
      </c>
      <c r="K8828" s="405">
        <v>32.614049999999999</v>
      </c>
      <c r="L8828" s="405" t="s">
        <v>314</v>
      </c>
      <c r="M8828" s="405" t="s">
        <v>361</v>
      </c>
      <c r="N8828" s="405" t="s">
        <v>362</v>
      </c>
      <c r="O8828" s="405" t="s">
        <v>410</v>
      </c>
      <c r="P8828" s="405" t="s">
        <v>956</v>
      </c>
      <c r="Q8828" s="411">
        <v>9</v>
      </c>
      <c r="R8828" s="405" t="s">
        <v>318</v>
      </c>
      <c r="S8828" s="405" t="s">
        <v>27137</v>
      </c>
      <c r="T8828" s="405" t="s">
        <v>32102</v>
      </c>
      <c r="U8828" s="405" t="s">
        <v>319</v>
      </c>
    </row>
    <row r="8829" spans="1:21" hidden="1" x14ac:dyDescent="0.25">
      <c r="A8829" s="405" t="s">
        <v>310</v>
      </c>
      <c r="B8829" s="405" t="s">
        <v>985</v>
      </c>
      <c r="C8829" s="405" t="s">
        <v>327</v>
      </c>
      <c r="D8829" s="405"/>
      <c r="E8829" s="410">
        <v>40574</v>
      </c>
      <c r="F8829" s="410">
        <v>40619</v>
      </c>
      <c r="G8829" s="405" t="s">
        <v>986</v>
      </c>
      <c r="H8829" s="405">
        <v>772615531</v>
      </c>
      <c r="I8829" s="405"/>
      <c r="J8829" s="405">
        <v>0.35527999999999998</v>
      </c>
      <c r="K8829" s="405">
        <v>32.598148000000002</v>
      </c>
      <c r="L8829" s="405" t="s">
        <v>314</v>
      </c>
      <c r="M8829" s="405" t="s">
        <v>361</v>
      </c>
      <c r="N8829" s="405" t="s">
        <v>362</v>
      </c>
      <c r="O8829" s="405" t="s">
        <v>987</v>
      </c>
      <c r="P8829" s="405" t="s">
        <v>988</v>
      </c>
      <c r="Q8829" s="411">
        <v>6</v>
      </c>
      <c r="R8829" s="405" t="s">
        <v>333</v>
      </c>
      <c r="S8829" s="405" t="s">
        <v>27150</v>
      </c>
      <c r="T8829" s="405" t="s">
        <v>32102</v>
      </c>
      <c r="U8829" s="405" t="s">
        <v>319</v>
      </c>
    </row>
    <row r="8830" spans="1:21" hidden="1" x14ac:dyDescent="0.25">
      <c r="A8830" s="405" t="s">
        <v>310</v>
      </c>
      <c r="B8830" s="405" t="s">
        <v>10087</v>
      </c>
      <c r="C8830" s="405" t="s">
        <v>327</v>
      </c>
      <c r="D8830" s="405"/>
      <c r="E8830" s="410">
        <v>40574</v>
      </c>
      <c r="F8830" s="410">
        <v>40619</v>
      </c>
      <c r="G8830" s="405" t="s">
        <v>10088</v>
      </c>
      <c r="H8830" s="405">
        <v>782607902</v>
      </c>
      <c r="I8830" s="405"/>
      <c r="J8830" s="405">
        <v>1.4524870000000001</v>
      </c>
      <c r="K8830" s="405">
        <v>33.922792999999999</v>
      </c>
      <c r="L8830" s="405" t="s">
        <v>6866</v>
      </c>
      <c r="M8830" s="405" t="s">
        <v>10029</v>
      </c>
      <c r="N8830" s="405" t="s">
        <v>10030</v>
      </c>
      <c r="O8830" s="405" t="s">
        <v>10031</v>
      </c>
      <c r="P8830" s="405" t="s">
        <v>10089</v>
      </c>
      <c r="Q8830" s="411">
        <v>6</v>
      </c>
      <c r="R8830" s="405" t="s">
        <v>333</v>
      </c>
      <c r="S8830" s="405" t="s">
        <v>27127</v>
      </c>
      <c r="T8830" s="405" t="s">
        <v>32102</v>
      </c>
      <c r="U8830" s="405" t="s">
        <v>319</v>
      </c>
    </row>
    <row r="8831" spans="1:21" hidden="1" x14ac:dyDescent="0.25">
      <c r="A8831" s="405" t="s">
        <v>310</v>
      </c>
      <c r="B8831" s="405" t="s">
        <v>976</v>
      </c>
      <c r="C8831" s="405" t="s">
        <v>327</v>
      </c>
      <c r="D8831" s="405"/>
      <c r="E8831" s="410">
        <v>40574</v>
      </c>
      <c r="F8831" s="410">
        <v>40619</v>
      </c>
      <c r="G8831" s="405" t="s">
        <v>977</v>
      </c>
      <c r="H8831" s="405">
        <v>772354245</v>
      </c>
      <c r="I8831" s="405"/>
      <c r="J8831" s="405">
        <v>0.354522</v>
      </c>
      <c r="K8831" s="405">
        <v>32.767437999999999</v>
      </c>
      <c r="L8831" s="405" t="s">
        <v>314</v>
      </c>
      <c r="M8831" s="405" t="s">
        <v>329</v>
      </c>
      <c r="N8831" s="405" t="s">
        <v>330</v>
      </c>
      <c r="O8831" s="405" t="s">
        <v>331</v>
      </c>
      <c r="P8831" s="405" t="s">
        <v>978</v>
      </c>
      <c r="Q8831" s="411">
        <v>6</v>
      </c>
      <c r="R8831" s="405" t="s">
        <v>318</v>
      </c>
      <c r="S8831" s="405" t="s">
        <v>27141</v>
      </c>
      <c r="T8831" s="405" t="s">
        <v>32102</v>
      </c>
      <c r="U8831" s="405" t="s">
        <v>319</v>
      </c>
    </row>
    <row r="8832" spans="1:21" hidden="1" x14ac:dyDescent="0.25">
      <c r="A8832" s="405" t="s">
        <v>310</v>
      </c>
      <c r="B8832" s="405" t="s">
        <v>927</v>
      </c>
      <c r="C8832" s="405" t="s">
        <v>327</v>
      </c>
      <c r="D8832" s="405"/>
      <c r="E8832" s="410">
        <v>40574</v>
      </c>
      <c r="F8832" s="410">
        <v>40619</v>
      </c>
      <c r="G8832" s="405" t="s">
        <v>928</v>
      </c>
      <c r="H8832" s="405">
        <v>701563230</v>
      </c>
      <c r="I8832" s="405">
        <v>712398427</v>
      </c>
      <c r="J8832" s="405">
        <v>0.37476599999999999</v>
      </c>
      <c r="K8832" s="405">
        <v>32.764186000000002</v>
      </c>
      <c r="L8832" s="405" t="s">
        <v>314</v>
      </c>
      <c r="M8832" s="405" t="s">
        <v>329</v>
      </c>
      <c r="N8832" s="405" t="s">
        <v>330</v>
      </c>
      <c r="O8832" s="405" t="s">
        <v>706</v>
      </c>
      <c r="P8832" s="405" t="s">
        <v>771</v>
      </c>
      <c r="Q8832" s="411">
        <v>6</v>
      </c>
      <c r="R8832" s="405" t="s">
        <v>318</v>
      </c>
      <c r="S8832" s="405" t="s">
        <v>6822</v>
      </c>
      <c r="T8832" s="405" t="s">
        <v>32102</v>
      </c>
      <c r="U8832" s="405" t="s">
        <v>319</v>
      </c>
    </row>
    <row r="8833" spans="1:21" hidden="1" x14ac:dyDescent="0.25">
      <c r="A8833" s="405" t="s">
        <v>310</v>
      </c>
      <c r="B8833" s="405" t="s">
        <v>934</v>
      </c>
      <c r="C8833" s="405" t="s">
        <v>327</v>
      </c>
      <c r="D8833" s="405"/>
      <c r="E8833" s="410">
        <v>40574</v>
      </c>
      <c r="F8833" s="410">
        <v>40619</v>
      </c>
      <c r="G8833" s="405" t="s">
        <v>935</v>
      </c>
      <c r="H8833" s="405">
        <v>704008895</v>
      </c>
      <c r="I8833" s="405"/>
      <c r="J8833" s="405">
        <v>0.39435500000000001</v>
      </c>
      <c r="K8833" s="405">
        <v>32.592232000000003</v>
      </c>
      <c r="L8833" s="405" t="s">
        <v>314</v>
      </c>
      <c r="M8833" s="405" t="s">
        <v>361</v>
      </c>
      <c r="N8833" s="405" t="s">
        <v>362</v>
      </c>
      <c r="O8833" s="405" t="s">
        <v>936</v>
      </c>
      <c r="P8833" s="405" t="s">
        <v>937</v>
      </c>
      <c r="Q8833" s="411">
        <v>6</v>
      </c>
      <c r="R8833" s="405" t="s">
        <v>353</v>
      </c>
      <c r="S8833" s="405" t="s">
        <v>27153</v>
      </c>
      <c r="T8833" s="405" t="s">
        <v>32102</v>
      </c>
      <c r="U8833" s="405" t="s">
        <v>319</v>
      </c>
    </row>
    <row r="8834" spans="1:21" hidden="1" x14ac:dyDescent="0.25">
      <c r="A8834" s="405" t="s">
        <v>310</v>
      </c>
      <c r="B8834" s="405" t="s">
        <v>938</v>
      </c>
      <c r="C8834" s="405" t="s">
        <v>327</v>
      </c>
      <c r="D8834" s="405"/>
      <c r="E8834" s="410">
        <v>40574</v>
      </c>
      <c r="F8834" s="410">
        <v>40619</v>
      </c>
      <c r="G8834" s="405" t="s">
        <v>939</v>
      </c>
      <c r="H8834" s="405">
        <v>773224499</v>
      </c>
      <c r="I8834" s="405">
        <v>773114499</v>
      </c>
      <c r="J8834" s="405">
        <v>0.44455</v>
      </c>
      <c r="K8834" s="405">
        <v>32.627671999999997</v>
      </c>
      <c r="L8834" s="405" t="s">
        <v>314</v>
      </c>
      <c r="M8834" s="405" t="s">
        <v>361</v>
      </c>
      <c r="N8834" s="405" t="s">
        <v>362</v>
      </c>
      <c r="O8834" s="405" t="s">
        <v>410</v>
      </c>
      <c r="P8834" s="405" t="s">
        <v>557</v>
      </c>
      <c r="Q8834" s="411">
        <v>6</v>
      </c>
      <c r="R8834" s="405" t="s">
        <v>353</v>
      </c>
      <c r="S8834" s="405" t="s">
        <v>27120</v>
      </c>
      <c r="T8834" s="405" t="s">
        <v>32102</v>
      </c>
      <c r="U8834" s="405" t="s">
        <v>319</v>
      </c>
    </row>
    <row r="8835" spans="1:21" hidden="1" x14ac:dyDescent="0.25">
      <c r="A8835" s="405" t="s">
        <v>310</v>
      </c>
      <c r="B8835" s="405" t="s">
        <v>907</v>
      </c>
      <c r="C8835" s="405" t="s">
        <v>327</v>
      </c>
      <c r="D8835" s="405"/>
      <c r="E8835" s="410">
        <v>40574</v>
      </c>
      <c r="F8835" s="410">
        <v>40619</v>
      </c>
      <c r="G8835" s="405" t="s">
        <v>908</v>
      </c>
      <c r="H8835" s="405">
        <v>772852921</v>
      </c>
      <c r="I8835" s="405"/>
      <c r="J8835" s="405">
        <v>0.34776699999999999</v>
      </c>
      <c r="K8835" s="405">
        <v>32.761716</v>
      </c>
      <c r="L8835" s="405" t="s">
        <v>314</v>
      </c>
      <c r="M8835" s="405" t="s">
        <v>329</v>
      </c>
      <c r="N8835" s="405" t="s">
        <v>803</v>
      </c>
      <c r="O8835" s="405" t="s">
        <v>909</v>
      </c>
      <c r="P8835" s="405" t="s">
        <v>910</v>
      </c>
      <c r="Q8835" s="411">
        <v>6</v>
      </c>
      <c r="R8835" s="405" t="s">
        <v>353</v>
      </c>
      <c r="S8835" s="405" t="s">
        <v>27110</v>
      </c>
      <c r="T8835" s="405" t="s">
        <v>32102</v>
      </c>
      <c r="U8835" s="405" t="s">
        <v>319</v>
      </c>
    </row>
    <row r="8836" spans="1:21" hidden="1" x14ac:dyDescent="0.25">
      <c r="A8836" s="405" t="s">
        <v>310</v>
      </c>
      <c r="B8836" s="405" t="s">
        <v>10073</v>
      </c>
      <c r="C8836" s="405" t="s">
        <v>327</v>
      </c>
      <c r="D8836" s="405"/>
      <c r="E8836" s="410">
        <v>40571</v>
      </c>
      <c r="F8836" s="410">
        <v>40616</v>
      </c>
      <c r="G8836" s="405" t="s">
        <v>10074</v>
      </c>
      <c r="H8836" s="405">
        <v>772550583</v>
      </c>
      <c r="I8836" s="405"/>
      <c r="J8836" s="405">
        <v>1.0115730000000001</v>
      </c>
      <c r="K8836" s="405">
        <v>34.329011999999999</v>
      </c>
      <c r="L8836" s="405" t="s">
        <v>6866</v>
      </c>
      <c r="M8836" s="405" t="s">
        <v>6867</v>
      </c>
      <c r="N8836" s="405" t="s">
        <v>6868</v>
      </c>
      <c r="O8836" s="405" t="s">
        <v>10075</v>
      </c>
      <c r="P8836" s="405" t="s">
        <v>4023</v>
      </c>
      <c r="Q8836" s="411">
        <v>9</v>
      </c>
      <c r="R8836" s="405" t="s">
        <v>333</v>
      </c>
      <c r="S8836" s="405" t="s">
        <v>27311</v>
      </c>
      <c r="T8836" s="405" t="s">
        <v>32102</v>
      </c>
      <c r="U8836" s="405" t="s">
        <v>319</v>
      </c>
    </row>
    <row r="8837" spans="1:21" hidden="1" x14ac:dyDescent="0.25">
      <c r="A8837" s="405" t="s">
        <v>310</v>
      </c>
      <c r="B8837" s="405" t="s">
        <v>28958</v>
      </c>
      <c r="C8837" s="405" t="s">
        <v>327</v>
      </c>
      <c r="D8837" s="405"/>
      <c r="E8837" s="410">
        <v>40568</v>
      </c>
      <c r="F8837" s="410">
        <v>40613</v>
      </c>
      <c r="G8837" s="405" t="s">
        <v>19902</v>
      </c>
      <c r="H8837" s="405">
        <v>750404590</v>
      </c>
      <c r="I8837" s="405"/>
      <c r="J8837" s="405">
        <v>-0.61607000000000001</v>
      </c>
      <c r="K8837" s="405">
        <v>30.648357000000001</v>
      </c>
      <c r="L8837" s="405" t="s">
        <v>590</v>
      </c>
      <c r="M8837" s="405" t="s">
        <v>19614</v>
      </c>
      <c r="N8837" s="405" t="s">
        <v>19873</v>
      </c>
      <c r="O8837" s="405" t="s">
        <v>19903</v>
      </c>
      <c r="P8837" s="405" t="s">
        <v>19904</v>
      </c>
      <c r="Q8837" s="411">
        <v>12</v>
      </c>
      <c r="R8837" s="405" t="s">
        <v>333</v>
      </c>
      <c r="S8837" s="405" t="s">
        <v>27104</v>
      </c>
      <c r="T8837" s="405" t="s">
        <v>32102</v>
      </c>
      <c r="U8837" s="405" t="s">
        <v>319</v>
      </c>
    </row>
    <row r="8838" spans="1:21" hidden="1" x14ac:dyDescent="0.25">
      <c r="A8838" s="405" t="s">
        <v>310</v>
      </c>
      <c r="B8838" s="405" t="s">
        <v>10078</v>
      </c>
      <c r="C8838" s="405" t="s">
        <v>327</v>
      </c>
      <c r="D8838" s="405"/>
      <c r="E8838" s="410">
        <v>40568</v>
      </c>
      <c r="F8838" s="410">
        <v>40613</v>
      </c>
      <c r="G8838" s="405" t="s">
        <v>10079</v>
      </c>
      <c r="H8838" s="405">
        <v>781598387</v>
      </c>
      <c r="I8838" s="405"/>
      <c r="J8838" s="405">
        <v>0.72603600000000001</v>
      </c>
      <c r="K8838" s="405">
        <v>34.112088</v>
      </c>
      <c r="L8838" s="405" t="s">
        <v>6866</v>
      </c>
      <c r="M8838" s="405" t="s">
        <v>9534</v>
      </c>
      <c r="N8838" s="405" t="s">
        <v>9927</v>
      </c>
      <c r="O8838" s="405" t="s">
        <v>3870</v>
      </c>
      <c r="P8838" s="405" t="s">
        <v>10080</v>
      </c>
      <c r="Q8838" s="411">
        <v>6</v>
      </c>
      <c r="R8838" s="405" t="s">
        <v>333</v>
      </c>
      <c r="S8838" s="405" t="s">
        <v>27073</v>
      </c>
      <c r="T8838" s="405" t="s">
        <v>32102</v>
      </c>
      <c r="U8838" s="405" t="s">
        <v>319</v>
      </c>
    </row>
    <row r="8839" spans="1:21" hidden="1" x14ac:dyDescent="0.25">
      <c r="A8839" s="405" t="s">
        <v>310</v>
      </c>
      <c r="B8839" s="405" t="s">
        <v>10083</v>
      </c>
      <c r="C8839" s="405" t="s">
        <v>327</v>
      </c>
      <c r="D8839" s="405"/>
      <c r="E8839" s="410">
        <v>40567</v>
      </c>
      <c r="F8839" s="410">
        <v>40612</v>
      </c>
      <c r="G8839" s="405" t="s">
        <v>10084</v>
      </c>
      <c r="H8839" s="405">
        <v>703265938</v>
      </c>
      <c r="I8839" s="405"/>
      <c r="J8839" s="405">
        <v>0.75167899999999999</v>
      </c>
      <c r="K8839" s="405">
        <v>34.122655000000002</v>
      </c>
      <c r="L8839" s="405" t="s">
        <v>6866</v>
      </c>
      <c r="M8839" s="405" t="s">
        <v>9534</v>
      </c>
      <c r="N8839" s="405" t="s">
        <v>10085</v>
      </c>
      <c r="O8839" s="405" t="s">
        <v>3870</v>
      </c>
      <c r="P8839" s="405" t="s">
        <v>10086</v>
      </c>
      <c r="Q8839" s="411">
        <v>6</v>
      </c>
      <c r="R8839" s="405" t="s">
        <v>7224</v>
      </c>
      <c r="S8839" s="405" t="s">
        <v>27309</v>
      </c>
      <c r="T8839" s="405" t="s">
        <v>32102</v>
      </c>
      <c r="U8839" s="405" t="s">
        <v>319</v>
      </c>
    </row>
    <row r="8840" spans="1:21" hidden="1" x14ac:dyDescent="0.25">
      <c r="A8840" s="405" t="s">
        <v>310</v>
      </c>
      <c r="B8840" s="405" t="s">
        <v>28227</v>
      </c>
      <c r="C8840" s="405" t="s">
        <v>327</v>
      </c>
      <c r="D8840" s="405"/>
      <c r="E8840" s="410">
        <v>40564</v>
      </c>
      <c r="F8840" s="410">
        <v>40609</v>
      </c>
      <c r="G8840" s="405" t="s">
        <v>10558</v>
      </c>
      <c r="H8840" s="405">
        <v>782346502</v>
      </c>
      <c r="I8840" s="405"/>
      <c r="J8840" s="405">
        <v>1.2059070000000001</v>
      </c>
      <c r="K8840" s="405">
        <v>34.313643999999996</v>
      </c>
      <c r="L8840" s="405" t="s">
        <v>6866</v>
      </c>
      <c r="M8840" s="405" t="s">
        <v>9575</v>
      </c>
      <c r="N8840" s="405" t="s">
        <v>9629</v>
      </c>
      <c r="O8840" s="405" t="s">
        <v>9630</v>
      </c>
      <c r="P8840" s="405" t="s">
        <v>10102</v>
      </c>
      <c r="Q8840" s="411">
        <v>6</v>
      </c>
      <c r="R8840" s="405" t="s">
        <v>7224</v>
      </c>
      <c r="S8840" s="405" t="s">
        <v>27313</v>
      </c>
      <c r="T8840" s="405" t="s">
        <v>32102</v>
      </c>
      <c r="U8840" s="405" t="s">
        <v>319</v>
      </c>
    </row>
    <row r="8841" spans="1:21" hidden="1" x14ac:dyDescent="0.25">
      <c r="A8841" s="405" t="s">
        <v>310</v>
      </c>
      <c r="B8841" s="405" t="s">
        <v>10090</v>
      </c>
      <c r="C8841" s="405" t="s">
        <v>327</v>
      </c>
      <c r="D8841" s="405"/>
      <c r="E8841" s="410">
        <v>40564</v>
      </c>
      <c r="F8841" s="410">
        <v>40609</v>
      </c>
      <c r="G8841" s="405" t="s">
        <v>10091</v>
      </c>
      <c r="H8841" s="405">
        <v>782307713</v>
      </c>
      <c r="I8841" s="405"/>
      <c r="J8841" s="405">
        <v>1.408058</v>
      </c>
      <c r="K8841" s="405">
        <v>33.753684999999997</v>
      </c>
      <c r="L8841" s="405" t="s">
        <v>6866</v>
      </c>
      <c r="M8841" s="405" t="s">
        <v>10012</v>
      </c>
      <c r="N8841" s="405" t="s">
        <v>10012</v>
      </c>
      <c r="O8841" s="405" t="s">
        <v>10092</v>
      </c>
      <c r="P8841" s="405" t="s">
        <v>10093</v>
      </c>
      <c r="Q8841" s="411">
        <v>6</v>
      </c>
      <c r="R8841" s="405" t="s">
        <v>7224</v>
      </c>
      <c r="S8841" s="405" t="s">
        <v>17013</v>
      </c>
      <c r="T8841" s="405" t="s">
        <v>32102</v>
      </c>
      <c r="U8841" s="405" t="s">
        <v>319</v>
      </c>
    </row>
    <row r="8842" spans="1:21" hidden="1" x14ac:dyDescent="0.25">
      <c r="A8842" s="405" t="s">
        <v>310</v>
      </c>
      <c r="B8842" s="405" t="s">
        <v>27783</v>
      </c>
      <c r="C8842" s="405" t="s">
        <v>327</v>
      </c>
      <c r="D8842" s="405"/>
      <c r="E8842" s="410">
        <v>40563</v>
      </c>
      <c r="F8842" s="410">
        <v>40608</v>
      </c>
      <c r="G8842" s="405" t="s">
        <v>10098</v>
      </c>
      <c r="H8842" s="405">
        <v>778903171</v>
      </c>
      <c r="I8842" s="405"/>
      <c r="J8842" s="405">
        <v>1.3026770000000001</v>
      </c>
      <c r="K8842" s="405">
        <v>34.301228999999999</v>
      </c>
      <c r="L8842" s="405" t="s">
        <v>6866</v>
      </c>
      <c r="M8842" s="405" t="s">
        <v>9550</v>
      </c>
      <c r="N8842" s="405" t="s">
        <v>9638</v>
      </c>
      <c r="O8842" s="405" t="s">
        <v>10099</v>
      </c>
      <c r="P8842" s="405" t="s">
        <v>10100</v>
      </c>
      <c r="Q8842" s="411">
        <v>6</v>
      </c>
      <c r="R8842" s="405" t="s">
        <v>9541</v>
      </c>
      <c r="S8842" s="405" t="s">
        <v>27200</v>
      </c>
      <c r="T8842" s="405" t="s">
        <v>32102</v>
      </c>
      <c r="U8842" s="405" t="s">
        <v>319</v>
      </c>
    </row>
    <row r="8843" spans="1:21" hidden="1" x14ac:dyDescent="0.25">
      <c r="A8843" s="405" t="s">
        <v>310</v>
      </c>
      <c r="B8843" s="405" t="s">
        <v>28373</v>
      </c>
      <c r="C8843" s="405" t="s">
        <v>327</v>
      </c>
      <c r="D8843" s="405"/>
      <c r="E8843" s="410">
        <v>40562</v>
      </c>
      <c r="F8843" s="410">
        <v>40607</v>
      </c>
      <c r="G8843" s="405" t="s">
        <v>854</v>
      </c>
      <c r="H8843" s="405">
        <v>753256644</v>
      </c>
      <c r="I8843" s="405"/>
      <c r="J8843" s="405">
        <v>0.25981166666666666</v>
      </c>
      <c r="K8843" s="405">
        <v>32.289034999999998</v>
      </c>
      <c r="L8843" s="405" t="s">
        <v>314</v>
      </c>
      <c r="M8843" s="405" t="s">
        <v>315</v>
      </c>
      <c r="N8843" s="405" t="s">
        <v>315</v>
      </c>
      <c r="O8843" s="405" t="s">
        <v>316</v>
      </c>
      <c r="P8843" s="405" t="s">
        <v>855</v>
      </c>
      <c r="Q8843" s="411">
        <v>6</v>
      </c>
      <c r="R8843" s="405" t="s">
        <v>567</v>
      </c>
      <c r="S8843" s="405" t="s">
        <v>27146</v>
      </c>
      <c r="T8843" s="405" t="s">
        <v>32102</v>
      </c>
      <c r="U8843" s="405" t="s">
        <v>319</v>
      </c>
    </row>
    <row r="8844" spans="1:21" hidden="1" x14ac:dyDescent="0.25">
      <c r="A8844" s="405" t="s">
        <v>310</v>
      </c>
      <c r="B8844" s="405" t="s">
        <v>10111</v>
      </c>
      <c r="C8844" s="405" t="s">
        <v>327</v>
      </c>
      <c r="D8844" s="405"/>
      <c r="E8844" s="410">
        <v>40561</v>
      </c>
      <c r="F8844" s="410">
        <v>40606</v>
      </c>
      <c r="G8844" s="405" t="s">
        <v>10112</v>
      </c>
      <c r="H8844" s="405">
        <v>787756602</v>
      </c>
      <c r="I8844" s="405"/>
      <c r="J8844" s="405">
        <v>0.69849799999999995</v>
      </c>
      <c r="K8844" s="405">
        <v>34.035629</v>
      </c>
      <c r="L8844" s="405" t="s">
        <v>6866</v>
      </c>
      <c r="M8844" s="405" t="s">
        <v>9534</v>
      </c>
      <c r="N8844" s="405" t="s">
        <v>10113</v>
      </c>
      <c r="O8844" s="405" t="s">
        <v>10114</v>
      </c>
      <c r="P8844" s="405" t="s">
        <v>10115</v>
      </c>
      <c r="Q8844" s="411">
        <v>6</v>
      </c>
      <c r="R8844" s="405" t="s">
        <v>9541</v>
      </c>
      <c r="S8844" s="405" t="s">
        <v>27309</v>
      </c>
      <c r="T8844" s="405" t="s">
        <v>32102</v>
      </c>
      <c r="U8844" s="405" t="s">
        <v>319</v>
      </c>
    </row>
    <row r="8845" spans="1:21" hidden="1" x14ac:dyDescent="0.25">
      <c r="A8845" s="405" t="s">
        <v>310</v>
      </c>
      <c r="B8845" s="405" t="s">
        <v>28206</v>
      </c>
      <c r="C8845" s="405" t="s">
        <v>311</v>
      </c>
      <c r="D8845" s="405" t="s">
        <v>839</v>
      </c>
      <c r="E8845" s="410">
        <v>40558</v>
      </c>
      <c r="F8845" s="410">
        <v>40603</v>
      </c>
      <c r="G8845" s="405" t="s">
        <v>10550</v>
      </c>
      <c r="H8845" s="405">
        <v>757540962</v>
      </c>
      <c r="I8845" s="405"/>
      <c r="J8845" s="405">
        <v>1.2147330000000001</v>
      </c>
      <c r="K8845" s="405">
        <v>34.224018000000001</v>
      </c>
      <c r="L8845" s="405" t="s">
        <v>6866</v>
      </c>
      <c r="M8845" s="405" t="s">
        <v>9575</v>
      </c>
      <c r="N8845" s="405" t="s">
        <v>9852</v>
      </c>
      <c r="O8845" s="405" t="s">
        <v>9853</v>
      </c>
      <c r="P8845" s="405" t="s">
        <v>10551</v>
      </c>
      <c r="Q8845" s="411">
        <v>6</v>
      </c>
      <c r="R8845" s="405" t="s">
        <v>9541</v>
      </c>
      <c r="S8845" s="405" t="s">
        <v>27200</v>
      </c>
      <c r="T8845" s="405" t="s">
        <v>32102</v>
      </c>
      <c r="U8845" s="405" t="s">
        <v>319</v>
      </c>
    </row>
    <row r="8846" spans="1:21" hidden="1" x14ac:dyDescent="0.25">
      <c r="A8846" s="405" t="s">
        <v>310</v>
      </c>
      <c r="B8846" s="405" t="s">
        <v>28395</v>
      </c>
      <c r="C8846" s="405" t="s">
        <v>327</v>
      </c>
      <c r="D8846" s="405"/>
      <c r="E8846" s="410">
        <v>40558</v>
      </c>
      <c r="F8846" s="410">
        <v>40603</v>
      </c>
      <c r="G8846" s="405" t="s">
        <v>893</v>
      </c>
      <c r="H8846" s="405">
        <v>702900018</v>
      </c>
      <c r="I8846" s="405">
        <v>782900018</v>
      </c>
      <c r="J8846" s="405">
        <v>-0.34227289999999999</v>
      </c>
      <c r="K8846" s="405">
        <v>31.7245773</v>
      </c>
      <c r="L8846" s="405" t="s">
        <v>314</v>
      </c>
      <c r="M8846" s="405" t="s">
        <v>382</v>
      </c>
      <c r="N8846" s="405" t="s">
        <v>383</v>
      </c>
      <c r="O8846" s="405" t="s">
        <v>894</v>
      </c>
      <c r="P8846" s="405" t="s">
        <v>411</v>
      </c>
      <c r="Q8846" s="411">
        <v>6</v>
      </c>
      <c r="R8846" s="405" t="s">
        <v>333</v>
      </c>
      <c r="S8846" s="405" t="s">
        <v>27160</v>
      </c>
      <c r="T8846" s="405" t="s">
        <v>32102</v>
      </c>
      <c r="U8846" s="405" t="s">
        <v>319</v>
      </c>
    </row>
    <row r="8847" spans="1:21" hidden="1" x14ac:dyDescent="0.25">
      <c r="A8847" s="405" t="s">
        <v>310</v>
      </c>
      <c r="B8847" s="405" t="s">
        <v>28396</v>
      </c>
      <c r="C8847" s="405" t="s">
        <v>327</v>
      </c>
      <c r="D8847" s="405"/>
      <c r="E8847" s="410">
        <v>40558</v>
      </c>
      <c r="F8847" s="410">
        <v>40603</v>
      </c>
      <c r="G8847" s="405" t="s">
        <v>10101</v>
      </c>
      <c r="H8847" s="405">
        <v>782785899</v>
      </c>
      <c r="I8847" s="405"/>
      <c r="J8847" s="405">
        <v>1.2054510000000001</v>
      </c>
      <c r="K8847" s="405">
        <v>34.313758999999997</v>
      </c>
      <c r="L8847" s="405" t="s">
        <v>6866</v>
      </c>
      <c r="M8847" s="405" t="s">
        <v>9575</v>
      </c>
      <c r="N8847" s="405" t="s">
        <v>9629</v>
      </c>
      <c r="O8847" s="405" t="s">
        <v>9630</v>
      </c>
      <c r="P8847" s="405" t="s">
        <v>10102</v>
      </c>
      <c r="Q8847" s="411">
        <v>6</v>
      </c>
      <c r="R8847" s="405" t="s">
        <v>7224</v>
      </c>
      <c r="S8847" s="405" t="s">
        <v>27313</v>
      </c>
      <c r="T8847" s="405" t="s">
        <v>32102</v>
      </c>
      <c r="U8847" s="405" t="s">
        <v>319</v>
      </c>
    </row>
    <row r="8848" spans="1:21" hidden="1" x14ac:dyDescent="0.25">
      <c r="A8848" s="405" t="s">
        <v>310</v>
      </c>
      <c r="B8848" s="405" t="s">
        <v>895</v>
      </c>
      <c r="C8848" s="405" t="s">
        <v>327</v>
      </c>
      <c r="D8848" s="405"/>
      <c r="E8848" s="410">
        <v>40558</v>
      </c>
      <c r="F8848" s="410">
        <v>40603</v>
      </c>
      <c r="G8848" s="405" t="s">
        <v>896</v>
      </c>
      <c r="H8848" s="405">
        <v>772517673</v>
      </c>
      <c r="I8848" s="405">
        <v>753822148</v>
      </c>
      <c r="J8848" s="405">
        <v>-0.35409639999999998</v>
      </c>
      <c r="K8848" s="405">
        <v>31.729536499999998</v>
      </c>
      <c r="L8848" s="405" t="s">
        <v>314</v>
      </c>
      <c r="M8848" s="405" t="s">
        <v>382</v>
      </c>
      <c r="N8848" s="405" t="s">
        <v>383</v>
      </c>
      <c r="O8848" s="405" t="s">
        <v>897</v>
      </c>
      <c r="P8848" s="405" t="s">
        <v>898</v>
      </c>
      <c r="Q8848" s="411">
        <v>6</v>
      </c>
      <c r="R8848" s="405" t="s">
        <v>318</v>
      </c>
      <c r="S8848" s="405" t="s">
        <v>27049</v>
      </c>
      <c r="T8848" s="405" t="s">
        <v>32102</v>
      </c>
      <c r="U8848" s="405" t="s">
        <v>319</v>
      </c>
    </row>
    <row r="8849" spans="1:21" hidden="1" x14ac:dyDescent="0.25">
      <c r="A8849" s="405" t="s">
        <v>310</v>
      </c>
      <c r="B8849" s="405" t="s">
        <v>10462</v>
      </c>
      <c r="C8849" s="405" t="s">
        <v>311</v>
      </c>
      <c r="D8849" s="405" t="s">
        <v>839</v>
      </c>
      <c r="E8849" s="410">
        <v>40557</v>
      </c>
      <c r="F8849" s="410">
        <v>40602</v>
      </c>
      <c r="G8849" s="405" t="s">
        <v>10463</v>
      </c>
      <c r="H8849" s="405">
        <v>783378104</v>
      </c>
      <c r="I8849" s="405"/>
      <c r="J8849" s="405">
        <v>0.91465700000000005</v>
      </c>
      <c r="K8849" s="405">
        <v>34.260415999999999</v>
      </c>
      <c r="L8849" s="405" t="s">
        <v>6866</v>
      </c>
      <c r="M8849" s="405" t="s">
        <v>9763</v>
      </c>
      <c r="N8849" s="405" t="s">
        <v>9764</v>
      </c>
      <c r="O8849" s="405" t="s">
        <v>9792</v>
      </c>
      <c r="P8849" s="405" t="s">
        <v>9796</v>
      </c>
      <c r="Q8849" s="411">
        <v>6</v>
      </c>
      <c r="R8849" s="405" t="s">
        <v>7224</v>
      </c>
      <c r="S8849" s="405" t="s">
        <v>27073</v>
      </c>
      <c r="T8849" s="405" t="s">
        <v>32102</v>
      </c>
      <c r="U8849" s="405" t="s">
        <v>319</v>
      </c>
    </row>
    <row r="8850" spans="1:21" hidden="1" x14ac:dyDescent="0.25">
      <c r="A8850" s="405" t="s">
        <v>310</v>
      </c>
      <c r="B8850" s="405" t="s">
        <v>29113</v>
      </c>
      <c r="C8850" s="405" t="s">
        <v>327</v>
      </c>
      <c r="D8850" s="405"/>
      <c r="E8850" s="410">
        <v>40554</v>
      </c>
      <c r="F8850" s="410">
        <v>40599</v>
      </c>
      <c r="G8850" s="405" t="s">
        <v>10025</v>
      </c>
      <c r="H8850" s="405">
        <v>752319346</v>
      </c>
      <c r="I8850" s="405"/>
      <c r="J8850" s="405">
        <v>1.2245459999999999</v>
      </c>
      <c r="K8850" s="405">
        <v>34.224612</v>
      </c>
      <c r="L8850" s="405" t="s">
        <v>6866</v>
      </c>
      <c r="M8850" s="405" t="s">
        <v>9575</v>
      </c>
      <c r="N8850" s="405" t="s">
        <v>9852</v>
      </c>
      <c r="O8850" s="405" t="s">
        <v>9853</v>
      </c>
      <c r="P8850" s="405" t="s">
        <v>10026</v>
      </c>
      <c r="Q8850" s="411">
        <v>9</v>
      </c>
      <c r="R8850" s="405" t="s">
        <v>9541</v>
      </c>
      <c r="S8850" s="405" t="s">
        <v>27200</v>
      </c>
      <c r="T8850" s="405" t="s">
        <v>32102</v>
      </c>
      <c r="U8850" s="405" t="s">
        <v>319</v>
      </c>
    </row>
    <row r="8851" spans="1:21" hidden="1" x14ac:dyDescent="0.25">
      <c r="A8851" s="405" t="s">
        <v>310</v>
      </c>
      <c r="B8851" s="405" t="s">
        <v>28575</v>
      </c>
      <c r="C8851" s="405" t="s">
        <v>327</v>
      </c>
      <c r="D8851" s="405"/>
      <c r="E8851" s="410">
        <v>40553</v>
      </c>
      <c r="F8851" s="410">
        <v>40598</v>
      </c>
      <c r="G8851" s="405" t="s">
        <v>708</v>
      </c>
      <c r="H8851" s="405">
        <v>704660395</v>
      </c>
      <c r="I8851" s="405">
        <v>772660395</v>
      </c>
      <c r="J8851" s="405">
        <v>-0.35629529999999998</v>
      </c>
      <c r="K8851" s="405">
        <v>31.725985300000001</v>
      </c>
      <c r="L8851" s="405" t="s">
        <v>314</v>
      </c>
      <c r="M8851" s="405" t="s">
        <v>382</v>
      </c>
      <c r="N8851" s="405" t="s">
        <v>383</v>
      </c>
      <c r="O8851" s="405" t="s">
        <v>709</v>
      </c>
      <c r="P8851" s="405" t="s">
        <v>710</v>
      </c>
      <c r="Q8851" s="411">
        <v>6</v>
      </c>
      <c r="R8851" s="405" t="s">
        <v>402</v>
      </c>
      <c r="S8851" s="405" t="s">
        <v>27154</v>
      </c>
      <c r="T8851" s="405" t="s">
        <v>32102</v>
      </c>
      <c r="U8851" s="405" t="s">
        <v>319</v>
      </c>
    </row>
    <row r="8852" spans="1:21" hidden="1" x14ac:dyDescent="0.25">
      <c r="A8852" s="405" t="s">
        <v>310</v>
      </c>
      <c r="B8852" s="405" t="s">
        <v>738</v>
      </c>
      <c r="C8852" s="405" t="s">
        <v>327</v>
      </c>
      <c r="D8852" s="405"/>
      <c r="E8852" s="410">
        <v>40552</v>
      </c>
      <c r="F8852" s="410">
        <v>40597</v>
      </c>
      <c r="G8852" s="405" t="s">
        <v>739</v>
      </c>
      <c r="H8852" s="405">
        <v>784117134</v>
      </c>
      <c r="I8852" s="405">
        <v>753266897</v>
      </c>
      <c r="J8852" s="405">
        <v>-0.54025999999999996</v>
      </c>
      <c r="K8852" s="405">
        <v>31.673867000000001</v>
      </c>
      <c r="L8852" s="405" t="s">
        <v>314</v>
      </c>
      <c r="M8852" s="405" t="s">
        <v>398</v>
      </c>
      <c r="N8852" s="405" t="s">
        <v>399</v>
      </c>
      <c r="O8852" s="405" t="s">
        <v>740</v>
      </c>
      <c r="P8852" s="405" t="s">
        <v>741</v>
      </c>
      <c r="Q8852" s="411">
        <v>6</v>
      </c>
      <c r="R8852" s="405" t="s">
        <v>318</v>
      </c>
      <c r="S8852" s="405" t="s">
        <v>22481</v>
      </c>
      <c r="T8852" s="405" t="s">
        <v>32102</v>
      </c>
      <c r="U8852" s="405" t="s">
        <v>319</v>
      </c>
    </row>
    <row r="8853" spans="1:21" hidden="1" x14ac:dyDescent="0.25">
      <c r="A8853" s="405" t="s">
        <v>310</v>
      </c>
      <c r="B8853" s="405" t="s">
        <v>10003</v>
      </c>
      <c r="C8853" s="405" t="s">
        <v>327</v>
      </c>
      <c r="D8853" s="405"/>
      <c r="E8853" s="410">
        <v>40548</v>
      </c>
      <c r="F8853" s="410">
        <v>40593</v>
      </c>
      <c r="G8853" s="405" t="s">
        <v>10004</v>
      </c>
      <c r="H8853" s="405">
        <v>772667772</v>
      </c>
      <c r="I8853" s="405"/>
      <c r="J8853" s="405">
        <v>1.1766669999999999</v>
      </c>
      <c r="K8853" s="405">
        <v>33.830812000000002</v>
      </c>
      <c r="L8853" s="405" t="s">
        <v>6866</v>
      </c>
      <c r="M8853" s="405" t="s">
        <v>9509</v>
      </c>
      <c r="N8853" s="405" t="s">
        <v>9509</v>
      </c>
      <c r="O8853" s="405" t="s">
        <v>9804</v>
      </c>
      <c r="P8853" s="405" t="s">
        <v>10005</v>
      </c>
      <c r="Q8853" s="411">
        <v>6</v>
      </c>
      <c r="R8853" s="405" t="s">
        <v>7224</v>
      </c>
      <c r="S8853" s="405" t="s">
        <v>27294</v>
      </c>
      <c r="T8853" s="405" t="s">
        <v>32102</v>
      </c>
      <c r="U8853" s="405" t="s">
        <v>319</v>
      </c>
    </row>
    <row r="8854" spans="1:21" hidden="1" x14ac:dyDescent="0.25">
      <c r="A8854" s="405" t="s">
        <v>310</v>
      </c>
      <c r="B8854" s="405" t="s">
        <v>744</v>
      </c>
      <c r="C8854" s="405" t="s">
        <v>327</v>
      </c>
      <c r="D8854" s="405"/>
      <c r="E8854" s="410">
        <v>40548</v>
      </c>
      <c r="F8854" s="410">
        <v>40593</v>
      </c>
      <c r="G8854" s="405" t="s">
        <v>745</v>
      </c>
      <c r="H8854" s="405">
        <v>782769015</v>
      </c>
      <c r="I8854" s="405">
        <v>702262369</v>
      </c>
      <c r="J8854" s="405">
        <v>-0.56882200000000005</v>
      </c>
      <c r="K8854" s="405">
        <v>31.628405000000001</v>
      </c>
      <c r="L8854" s="405" t="s">
        <v>314</v>
      </c>
      <c r="M8854" s="405" t="s">
        <v>398</v>
      </c>
      <c r="N8854" s="405" t="s">
        <v>399</v>
      </c>
      <c r="O8854" s="405" t="s">
        <v>740</v>
      </c>
      <c r="P8854" s="405" t="s">
        <v>746</v>
      </c>
      <c r="Q8854" s="411">
        <v>6</v>
      </c>
      <c r="R8854" s="405" t="s">
        <v>318</v>
      </c>
      <c r="S8854" s="405" t="s">
        <v>22481</v>
      </c>
      <c r="T8854" s="405" t="s">
        <v>32102</v>
      </c>
      <c r="U8854" s="405" t="s">
        <v>319</v>
      </c>
    </row>
    <row r="8855" spans="1:21" hidden="1" x14ac:dyDescent="0.25">
      <c r="A8855" s="405" t="s">
        <v>310</v>
      </c>
      <c r="B8855" s="405" t="s">
        <v>10010</v>
      </c>
      <c r="C8855" s="405" t="s">
        <v>327</v>
      </c>
      <c r="D8855" s="405"/>
      <c r="E8855" s="410">
        <v>40547</v>
      </c>
      <c r="F8855" s="410">
        <v>40592</v>
      </c>
      <c r="G8855" s="405" t="s">
        <v>10011</v>
      </c>
      <c r="H8855" s="405">
        <v>783552778</v>
      </c>
      <c r="I8855" s="405"/>
      <c r="J8855" s="405">
        <v>1.4892069999999999</v>
      </c>
      <c r="K8855" s="405">
        <v>33.78098</v>
      </c>
      <c r="L8855" s="405" t="s">
        <v>6866</v>
      </c>
      <c r="M8855" s="405" t="s">
        <v>10012</v>
      </c>
      <c r="N8855" s="405" t="s">
        <v>10012</v>
      </c>
      <c r="O8855" s="405" t="s">
        <v>10012</v>
      </c>
      <c r="P8855" s="405" t="s">
        <v>10013</v>
      </c>
      <c r="Q8855" s="411">
        <v>6</v>
      </c>
      <c r="R8855" s="405" t="s">
        <v>7224</v>
      </c>
      <c r="S8855" s="405" t="s">
        <v>27298</v>
      </c>
      <c r="T8855" s="405" t="s">
        <v>32102</v>
      </c>
      <c r="U8855" s="405" t="s">
        <v>319</v>
      </c>
    </row>
    <row r="8856" spans="1:21" hidden="1" x14ac:dyDescent="0.25">
      <c r="A8856" s="405" t="s">
        <v>310</v>
      </c>
      <c r="B8856" s="405" t="s">
        <v>10045</v>
      </c>
      <c r="C8856" s="405" t="s">
        <v>327</v>
      </c>
      <c r="D8856" s="405"/>
      <c r="E8856" s="410">
        <v>40547</v>
      </c>
      <c r="F8856" s="410">
        <v>40592</v>
      </c>
      <c r="G8856" s="405" t="s">
        <v>10046</v>
      </c>
      <c r="H8856" s="405">
        <v>778768673</v>
      </c>
      <c r="I8856" s="405"/>
      <c r="J8856" s="405">
        <v>1.1842729999999999</v>
      </c>
      <c r="K8856" s="405">
        <v>33.630037000000002</v>
      </c>
      <c r="L8856" s="405" t="s">
        <v>6866</v>
      </c>
      <c r="M8856" s="405" t="s">
        <v>9509</v>
      </c>
      <c r="N8856" s="405" t="s">
        <v>9509</v>
      </c>
      <c r="O8856" s="405" t="s">
        <v>9857</v>
      </c>
      <c r="P8856" s="405" t="s">
        <v>9858</v>
      </c>
      <c r="Q8856" s="411">
        <v>6</v>
      </c>
      <c r="R8856" s="405" t="s">
        <v>9541</v>
      </c>
      <c r="S8856" s="405" t="s">
        <v>27296</v>
      </c>
      <c r="T8856" s="405" t="s">
        <v>32102</v>
      </c>
      <c r="U8856" s="405" t="s">
        <v>319</v>
      </c>
    </row>
    <row r="8857" spans="1:21" hidden="1" x14ac:dyDescent="0.25">
      <c r="A8857" s="405" t="s">
        <v>310</v>
      </c>
      <c r="B8857" s="405" t="s">
        <v>742</v>
      </c>
      <c r="C8857" s="405" t="s">
        <v>327</v>
      </c>
      <c r="D8857" s="405"/>
      <c r="E8857" s="410">
        <v>40544</v>
      </c>
      <c r="F8857" s="410">
        <v>40589</v>
      </c>
      <c r="G8857" s="405" t="s">
        <v>743</v>
      </c>
      <c r="H8857" s="405">
        <v>750518187</v>
      </c>
      <c r="I8857" s="405">
        <v>702663522</v>
      </c>
      <c r="J8857" s="405">
        <v>-0.539045</v>
      </c>
      <c r="K8857" s="405">
        <v>31.672708</v>
      </c>
      <c r="L8857" s="405" t="s">
        <v>314</v>
      </c>
      <c r="M8857" s="405" t="s">
        <v>398</v>
      </c>
      <c r="N8857" s="405" t="s">
        <v>399</v>
      </c>
      <c r="O8857" s="405" t="s">
        <v>740</v>
      </c>
      <c r="P8857" s="405" t="s">
        <v>741</v>
      </c>
      <c r="Q8857" s="411">
        <v>6</v>
      </c>
      <c r="R8857" s="405" t="s">
        <v>318</v>
      </c>
      <c r="S8857" s="405" t="s">
        <v>22481</v>
      </c>
      <c r="T8857" s="405" t="s">
        <v>32102</v>
      </c>
      <c r="U8857" s="405" t="s">
        <v>319</v>
      </c>
    </row>
    <row r="8858" spans="1:21" hidden="1" x14ac:dyDescent="0.25">
      <c r="A8858" s="405" t="s">
        <v>310</v>
      </c>
      <c r="B8858" s="413" t="s">
        <v>27727</v>
      </c>
      <c r="C8858" s="413" t="s">
        <v>311</v>
      </c>
      <c r="D8858" s="413" t="s">
        <v>32481</v>
      </c>
      <c r="E8858" s="418">
        <v>40543</v>
      </c>
      <c r="F8858" s="418">
        <v>40588</v>
      </c>
      <c r="G8858" s="413" t="s">
        <v>1543</v>
      </c>
      <c r="H8858" s="405">
        <v>754877821</v>
      </c>
      <c r="I8858" s="405"/>
      <c r="J8858" s="405">
        <v>0.36168640000000002</v>
      </c>
      <c r="K8858" s="405">
        <v>32.7504262</v>
      </c>
      <c r="L8858" s="405" t="s">
        <v>314</v>
      </c>
      <c r="M8858" s="405" t="s">
        <v>329</v>
      </c>
      <c r="N8858" s="405" t="s">
        <v>330</v>
      </c>
      <c r="O8858" s="405" t="s">
        <v>706</v>
      </c>
      <c r="P8858" s="405" t="s">
        <v>707</v>
      </c>
      <c r="Q8858" s="411">
        <v>12</v>
      </c>
      <c r="R8858" s="405" t="s">
        <v>333</v>
      </c>
      <c r="S8858" s="405" t="s">
        <v>27133</v>
      </c>
      <c r="T8858" s="405" t="s">
        <v>32102</v>
      </c>
      <c r="U8858" s="405" t="s">
        <v>319</v>
      </c>
    </row>
    <row r="8859" spans="1:21" hidden="1" x14ac:dyDescent="0.25">
      <c r="A8859" s="405" t="s">
        <v>310</v>
      </c>
      <c r="B8859" s="405" t="s">
        <v>27563</v>
      </c>
      <c r="C8859" s="405" t="s">
        <v>857</v>
      </c>
      <c r="D8859" s="405" t="s">
        <v>32482</v>
      </c>
      <c r="E8859" s="410">
        <v>40543</v>
      </c>
      <c r="F8859" s="410">
        <v>40588</v>
      </c>
      <c r="G8859" s="405" t="s">
        <v>19886</v>
      </c>
      <c r="H8859" s="405">
        <v>772837024</v>
      </c>
      <c r="I8859" s="405"/>
      <c r="J8859" s="405">
        <v>1.805787</v>
      </c>
      <c r="K8859" s="405">
        <v>31.999970000000001</v>
      </c>
      <c r="L8859" s="405" t="s">
        <v>590</v>
      </c>
      <c r="M8859" s="405" t="s">
        <v>591</v>
      </c>
      <c r="N8859" s="405" t="s">
        <v>848</v>
      </c>
      <c r="O8859" s="405" t="s">
        <v>849</v>
      </c>
      <c r="P8859" s="405" t="s">
        <v>19887</v>
      </c>
      <c r="Q8859" s="411">
        <v>12</v>
      </c>
      <c r="R8859" s="405" t="s">
        <v>438</v>
      </c>
      <c r="S8859" s="405" t="s">
        <v>27128</v>
      </c>
      <c r="T8859" s="405" t="s">
        <v>32102</v>
      </c>
      <c r="U8859" s="405" t="s">
        <v>319</v>
      </c>
    </row>
    <row r="8860" spans="1:21" hidden="1" x14ac:dyDescent="0.25">
      <c r="A8860" s="405" t="s">
        <v>310</v>
      </c>
      <c r="B8860" s="405" t="s">
        <v>27507</v>
      </c>
      <c r="C8860" s="405" t="s">
        <v>327</v>
      </c>
      <c r="D8860" s="405"/>
      <c r="E8860" s="410">
        <v>40543</v>
      </c>
      <c r="F8860" s="410">
        <v>40588</v>
      </c>
      <c r="G8860" s="405" t="s">
        <v>9986</v>
      </c>
      <c r="H8860" s="405">
        <v>701277391</v>
      </c>
      <c r="I8860" s="405"/>
      <c r="J8860" s="405">
        <v>0.85493929999999996</v>
      </c>
      <c r="K8860" s="405">
        <v>33.493394199999997</v>
      </c>
      <c r="L8860" s="405" t="s">
        <v>6866</v>
      </c>
      <c r="M8860" s="405" t="s">
        <v>9590</v>
      </c>
      <c r="N8860" s="405" t="s">
        <v>9591</v>
      </c>
      <c r="O8860" s="405" t="s">
        <v>9592</v>
      </c>
      <c r="P8860" s="405" t="s">
        <v>9592</v>
      </c>
      <c r="Q8860" s="411">
        <v>12</v>
      </c>
      <c r="R8860" s="405" t="s">
        <v>318</v>
      </c>
      <c r="S8860" s="405" t="s">
        <v>27122</v>
      </c>
      <c r="T8860" s="405" t="s">
        <v>32102</v>
      </c>
      <c r="U8860" s="405" t="s">
        <v>319</v>
      </c>
    </row>
    <row r="8861" spans="1:21" hidden="1" x14ac:dyDescent="0.25">
      <c r="A8861" s="405" t="s">
        <v>310</v>
      </c>
      <c r="B8861" s="405" t="s">
        <v>10014</v>
      </c>
      <c r="C8861" s="405" t="s">
        <v>327</v>
      </c>
      <c r="D8861" s="405"/>
      <c r="E8861" s="410">
        <v>40543</v>
      </c>
      <c r="F8861" s="410">
        <v>40588</v>
      </c>
      <c r="G8861" s="405" t="s">
        <v>10015</v>
      </c>
      <c r="H8861" s="405">
        <v>702102912</v>
      </c>
      <c r="I8861" s="405">
        <v>754691192</v>
      </c>
      <c r="J8861" s="405">
        <v>0.75759200000000004</v>
      </c>
      <c r="K8861" s="405">
        <v>33.132072999999998</v>
      </c>
      <c r="L8861" s="405" t="s">
        <v>6866</v>
      </c>
      <c r="M8861" s="405" t="s">
        <v>3009</v>
      </c>
      <c r="N8861" s="405" t="s">
        <v>9842</v>
      </c>
      <c r="O8861" s="405" t="s">
        <v>10016</v>
      </c>
      <c r="P8861" s="405" t="s">
        <v>10017</v>
      </c>
      <c r="Q8861" s="411">
        <v>12</v>
      </c>
      <c r="R8861" s="405" t="s">
        <v>32478</v>
      </c>
      <c r="S8861" s="405" t="s">
        <v>27112</v>
      </c>
      <c r="T8861" s="405" t="s">
        <v>32102</v>
      </c>
      <c r="U8861" s="405" t="s">
        <v>319</v>
      </c>
    </row>
    <row r="8862" spans="1:21" hidden="1" x14ac:dyDescent="0.25">
      <c r="A8862" s="405" t="s">
        <v>310</v>
      </c>
      <c r="B8862" s="405" t="s">
        <v>792</v>
      </c>
      <c r="C8862" s="405" t="s">
        <v>327</v>
      </c>
      <c r="D8862" s="405"/>
      <c r="E8862" s="410">
        <v>40543</v>
      </c>
      <c r="F8862" s="410">
        <v>40588</v>
      </c>
      <c r="G8862" s="405" t="s">
        <v>793</v>
      </c>
      <c r="H8862" s="405">
        <v>781312425</v>
      </c>
      <c r="I8862" s="405"/>
      <c r="J8862" s="405">
        <v>0.36982599999999999</v>
      </c>
      <c r="K8862" s="405">
        <v>32.819557000000003</v>
      </c>
      <c r="L8862" s="405" t="s">
        <v>314</v>
      </c>
      <c r="M8862" s="405" t="s">
        <v>329</v>
      </c>
      <c r="N8862" s="405" t="s">
        <v>545</v>
      </c>
      <c r="O8862" s="405" t="s">
        <v>546</v>
      </c>
      <c r="P8862" s="405" t="s">
        <v>791</v>
      </c>
      <c r="Q8862" s="411">
        <v>12</v>
      </c>
      <c r="R8862" s="405" t="s">
        <v>353</v>
      </c>
      <c r="S8862" s="405" t="s">
        <v>27034</v>
      </c>
      <c r="T8862" s="405" t="s">
        <v>32102</v>
      </c>
      <c r="U8862" s="405" t="s">
        <v>319</v>
      </c>
    </row>
    <row r="8863" spans="1:21" hidden="1" x14ac:dyDescent="0.25">
      <c r="A8863" s="405" t="s">
        <v>310</v>
      </c>
      <c r="B8863" s="405" t="s">
        <v>794</v>
      </c>
      <c r="C8863" s="405" t="s">
        <v>327</v>
      </c>
      <c r="D8863" s="405"/>
      <c r="E8863" s="410">
        <v>40543</v>
      </c>
      <c r="F8863" s="410">
        <v>40588</v>
      </c>
      <c r="G8863" s="405" t="s">
        <v>795</v>
      </c>
      <c r="H8863" s="405">
        <v>751752701</v>
      </c>
      <c r="I8863" s="405"/>
      <c r="J8863" s="405">
        <v>0.48960799999999999</v>
      </c>
      <c r="K8863" s="405">
        <v>32.698700000000002</v>
      </c>
      <c r="L8863" s="405" t="s">
        <v>314</v>
      </c>
      <c r="M8863" s="405" t="s">
        <v>329</v>
      </c>
      <c r="N8863" s="405" t="s">
        <v>545</v>
      </c>
      <c r="O8863" s="405" t="s">
        <v>336</v>
      </c>
      <c r="P8863" s="405" t="s">
        <v>796</v>
      </c>
      <c r="Q8863" s="411">
        <v>12</v>
      </c>
      <c r="R8863" s="405" t="s">
        <v>318</v>
      </c>
      <c r="S8863" s="405" t="s">
        <v>27035</v>
      </c>
      <c r="T8863" s="405" t="s">
        <v>32102</v>
      </c>
      <c r="U8863" s="405" t="s">
        <v>319</v>
      </c>
    </row>
    <row r="8864" spans="1:21" hidden="1" x14ac:dyDescent="0.25">
      <c r="A8864" s="405" t="s">
        <v>310</v>
      </c>
      <c r="B8864" s="405" t="s">
        <v>9982</v>
      </c>
      <c r="C8864" s="405" t="s">
        <v>327</v>
      </c>
      <c r="D8864" s="405"/>
      <c r="E8864" s="410">
        <v>40543</v>
      </c>
      <c r="F8864" s="410">
        <v>40588</v>
      </c>
      <c r="G8864" s="405" t="s">
        <v>9983</v>
      </c>
      <c r="H8864" s="405">
        <v>772602614</v>
      </c>
      <c r="I8864" s="405"/>
      <c r="J8864" s="405">
        <v>0.61621090000000001</v>
      </c>
      <c r="K8864" s="405">
        <v>33.479099699999999</v>
      </c>
      <c r="L8864" s="405" t="s">
        <v>6866</v>
      </c>
      <c r="M8864" s="405" t="s">
        <v>5411</v>
      </c>
      <c r="N8864" s="405" t="s">
        <v>9984</v>
      </c>
      <c r="O8864" s="405" t="s">
        <v>9985</v>
      </c>
      <c r="P8864" s="405" t="s">
        <v>946</v>
      </c>
      <c r="Q8864" s="411">
        <v>12</v>
      </c>
      <c r="R8864" s="405" t="s">
        <v>318</v>
      </c>
      <c r="S8864" s="405" t="s">
        <v>6822</v>
      </c>
      <c r="T8864" s="405" t="s">
        <v>32102</v>
      </c>
      <c r="U8864" s="405" t="s">
        <v>319</v>
      </c>
    </row>
    <row r="8865" spans="1:21" hidden="1" x14ac:dyDescent="0.25">
      <c r="A8865" s="405" t="s">
        <v>310</v>
      </c>
      <c r="B8865" s="405" t="s">
        <v>20165</v>
      </c>
      <c r="C8865" s="405" t="s">
        <v>311</v>
      </c>
      <c r="D8865" s="405" t="s">
        <v>932</v>
      </c>
      <c r="E8865" s="410">
        <v>40543</v>
      </c>
      <c r="F8865" s="410">
        <v>40588</v>
      </c>
      <c r="G8865" s="405" t="s">
        <v>20166</v>
      </c>
      <c r="H8865" s="405">
        <v>782177391</v>
      </c>
      <c r="I8865" s="405"/>
      <c r="J8865" s="405">
        <v>-0.873305</v>
      </c>
      <c r="K8865" s="405">
        <v>30.241130999999999</v>
      </c>
      <c r="L8865" s="405" t="s">
        <v>590</v>
      </c>
      <c r="M8865" s="405" t="s">
        <v>19659</v>
      </c>
      <c r="N8865" s="405" t="s">
        <v>19664</v>
      </c>
      <c r="O8865" s="405" t="s">
        <v>19659</v>
      </c>
      <c r="P8865" s="405" t="s">
        <v>19986</v>
      </c>
      <c r="Q8865" s="411">
        <v>12</v>
      </c>
      <c r="R8865" s="405" t="s">
        <v>967</v>
      </c>
      <c r="S8865" s="405" t="s">
        <v>27393</v>
      </c>
      <c r="T8865" s="405" t="s">
        <v>32102</v>
      </c>
      <c r="U8865" s="405" t="s">
        <v>319</v>
      </c>
    </row>
    <row r="8866" spans="1:21" hidden="1" x14ac:dyDescent="0.25">
      <c r="A8866" s="405" t="s">
        <v>310</v>
      </c>
      <c r="B8866" s="405" t="s">
        <v>19839</v>
      </c>
      <c r="C8866" s="405" t="s">
        <v>327</v>
      </c>
      <c r="D8866" s="405"/>
      <c r="E8866" s="410">
        <v>40543</v>
      </c>
      <c r="F8866" s="410">
        <v>40588</v>
      </c>
      <c r="G8866" s="405" t="s">
        <v>19840</v>
      </c>
      <c r="H8866" s="405">
        <v>772428663</v>
      </c>
      <c r="I8866" s="405"/>
      <c r="J8866" s="405">
        <v>-0.131303</v>
      </c>
      <c r="K8866" s="405">
        <v>30.548404000000001</v>
      </c>
      <c r="L8866" s="405" t="s">
        <v>590</v>
      </c>
      <c r="M8866" s="405" t="s">
        <v>19705</v>
      </c>
      <c r="N8866" s="405" t="s">
        <v>19841</v>
      </c>
      <c r="O8866" s="405" t="s">
        <v>19842</v>
      </c>
      <c r="P8866" s="405" t="s">
        <v>19843</v>
      </c>
      <c r="Q8866" s="411">
        <v>12</v>
      </c>
      <c r="R8866" s="405" t="s">
        <v>19622</v>
      </c>
      <c r="S8866" s="405" t="s">
        <v>27183</v>
      </c>
      <c r="T8866" s="405" t="s">
        <v>32102</v>
      </c>
      <c r="U8866" s="405" t="s">
        <v>319</v>
      </c>
    </row>
    <row r="8867" spans="1:21" hidden="1" x14ac:dyDescent="0.25">
      <c r="A8867" s="405" t="s">
        <v>310</v>
      </c>
      <c r="B8867" s="405" t="s">
        <v>807</v>
      </c>
      <c r="C8867" s="405" t="s">
        <v>327</v>
      </c>
      <c r="D8867" s="405"/>
      <c r="E8867" s="410">
        <v>40543</v>
      </c>
      <c r="F8867" s="410">
        <v>40588</v>
      </c>
      <c r="G8867" s="405" t="s">
        <v>808</v>
      </c>
      <c r="H8867" s="405">
        <v>776067385</v>
      </c>
      <c r="I8867" s="405"/>
      <c r="J8867" s="405">
        <v>0.44797300000000001</v>
      </c>
      <c r="K8867" s="405">
        <v>32.776057000000002</v>
      </c>
      <c r="L8867" s="405" t="s">
        <v>314</v>
      </c>
      <c r="M8867" s="405" t="s">
        <v>329</v>
      </c>
      <c r="N8867" s="405" t="s">
        <v>545</v>
      </c>
      <c r="O8867" s="405" t="s">
        <v>336</v>
      </c>
      <c r="P8867" s="405" t="s">
        <v>809</v>
      </c>
      <c r="Q8867" s="411">
        <v>12</v>
      </c>
      <c r="R8867" s="405" t="s">
        <v>318</v>
      </c>
      <c r="S8867" s="405" t="s">
        <v>27113</v>
      </c>
      <c r="T8867" s="405" t="s">
        <v>32102</v>
      </c>
      <c r="U8867" s="405" t="s">
        <v>319</v>
      </c>
    </row>
    <row r="8868" spans="1:21" hidden="1" x14ac:dyDescent="0.25">
      <c r="A8868" s="405" t="s">
        <v>310</v>
      </c>
      <c r="B8868" s="405" t="s">
        <v>721</v>
      </c>
      <c r="C8868" s="405" t="s">
        <v>327</v>
      </c>
      <c r="D8868" s="405"/>
      <c r="E8868" s="410">
        <v>40543</v>
      </c>
      <c r="F8868" s="410">
        <v>40588</v>
      </c>
      <c r="G8868" s="405" t="s">
        <v>722</v>
      </c>
      <c r="H8868" s="405">
        <v>752501667</v>
      </c>
      <c r="I8868" s="405"/>
      <c r="J8868" s="405">
        <v>-9.5981999999999998E-2</v>
      </c>
      <c r="K8868" s="405">
        <v>31.445902</v>
      </c>
      <c r="L8868" s="405" t="s">
        <v>314</v>
      </c>
      <c r="M8868" s="405" t="s">
        <v>343</v>
      </c>
      <c r="N8868" s="405" t="s">
        <v>344</v>
      </c>
      <c r="O8868" s="405" t="s">
        <v>723</v>
      </c>
      <c r="P8868" s="405" t="s">
        <v>724</v>
      </c>
      <c r="Q8868" s="411">
        <v>12</v>
      </c>
      <c r="R8868" s="405" t="s">
        <v>318</v>
      </c>
      <c r="S8868" s="405" t="s">
        <v>27134</v>
      </c>
      <c r="T8868" s="405" t="s">
        <v>32102</v>
      </c>
      <c r="U8868" s="405" t="s">
        <v>319</v>
      </c>
    </row>
    <row r="8869" spans="1:21" hidden="1" x14ac:dyDescent="0.25">
      <c r="A8869" s="405" t="s">
        <v>310</v>
      </c>
      <c r="B8869" s="405" t="s">
        <v>815</v>
      </c>
      <c r="C8869" s="405" t="s">
        <v>327</v>
      </c>
      <c r="D8869" s="405"/>
      <c r="E8869" s="410">
        <v>40543</v>
      </c>
      <c r="F8869" s="410">
        <v>40588</v>
      </c>
      <c r="G8869" s="405" t="s">
        <v>816</v>
      </c>
      <c r="H8869" s="405">
        <v>782356557</v>
      </c>
      <c r="I8869" s="405"/>
      <c r="J8869" s="405">
        <v>0.36835000000000001</v>
      </c>
      <c r="K8869" s="405">
        <v>32.817087999999998</v>
      </c>
      <c r="L8869" s="405" t="s">
        <v>314</v>
      </c>
      <c r="M8869" s="405" t="s">
        <v>329</v>
      </c>
      <c r="N8869" s="405" t="s">
        <v>528</v>
      </c>
      <c r="O8869" s="405" t="s">
        <v>529</v>
      </c>
      <c r="P8869" s="405" t="s">
        <v>817</v>
      </c>
      <c r="Q8869" s="411">
        <v>12</v>
      </c>
      <c r="R8869" s="405" t="s">
        <v>318</v>
      </c>
      <c r="S8869" s="405" t="s">
        <v>27113</v>
      </c>
      <c r="T8869" s="405" t="s">
        <v>32102</v>
      </c>
      <c r="U8869" s="405" t="s">
        <v>319</v>
      </c>
    </row>
    <row r="8870" spans="1:21" hidden="1" x14ac:dyDescent="0.25">
      <c r="A8870" s="405" t="s">
        <v>310</v>
      </c>
      <c r="B8870" s="405" t="s">
        <v>19868</v>
      </c>
      <c r="C8870" s="405" t="s">
        <v>327</v>
      </c>
      <c r="D8870" s="405"/>
      <c r="E8870" s="410">
        <v>40543</v>
      </c>
      <c r="F8870" s="410">
        <v>40588</v>
      </c>
      <c r="G8870" s="405" t="s">
        <v>19869</v>
      </c>
      <c r="H8870" s="405">
        <v>701640972</v>
      </c>
      <c r="I8870" s="405">
        <v>772640972</v>
      </c>
      <c r="J8870" s="405">
        <v>-0.86229199999999995</v>
      </c>
      <c r="K8870" s="405">
        <v>30.236675999999999</v>
      </c>
      <c r="L8870" s="405" t="s">
        <v>590</v>
      </c>
      <c r="M8870" s="405" t="s">
        <v>19659</v>
      </c>
      <c r="N8870" s="405" t="s">
        <v>19664</v>
      </c>
      <c r="O8870" s="405" t="s">
        <v>19659</v>
      </c>
      <c r="P8870" s="405" t="s">
        <v>19687</v>
      </c>
      <c r="Q8870" s="411">
        <v>12</v>
      </c>
      <c r="R8870" s="405" t="s">
        <v>967</v>
      </c>
      <c r="S8870" s="405" t="s">
        <v>27132</v>
      </c>
      <c r="T8870" s="405" t="s">
        <v>32102</v>
      </c>
      <c r="U8870" s="405" t="s">
        <v>319</v>
      </c>
    </row>
    <row r="8871" spans="1:21" hidden="1" x14ac:dyDescent="0.25">
      <c r="A8871" s="405" t="s">
        <v>310</v>
      </c>
      <c r="B8871" s="405" t="s">
        <v>851</v>
      </c>
      <c r="C8871" s="405" t="s">
        <v>327</v>
      </c>
      <c r="D8871" s="405"/>
      <c r="E8871" s="410">
        <v>40543</v>
      </c>
      <c r="F8871" s="410">
        <v>40588</v>
      </c>
      <c r="G8871" s="405" t="s">
        <v>852</v>
      </c>
      <c r="H8871" s="405">
        <v>703457306</v>
      </c>
      <c r="I8871" s="405">
        <v>772457307</v>
      </c>
      <c r="J8871" s="405">
        <v>0.356935</v>
      </c>
      <c r="K8871" s="405">
        <v>32.759538333333332</v>
      </c>
      <c r="L8871" s="405" t="s">
        <v>314</v>
      </c>
      <c r="M8871" s="405" t="s">
        <v>329</v>
      </c>
      <c r="N8871" s="405" t="s">
        <v>330</v>
      </c>
      <c r="O8871" s="405" t="s">
        <v>331</v>
      </c>
      <c r="P8871" s="405" t="s">
        <v>853</v>
      </c>
      <c r="Q8871" s="411">
        <v>12</v>
      </c>
      <c r="R8871" s="405" t="s">
        <v>353</v>
      </c>
      <c r="S8871" s="405" t="s">
        <v>27112</v>
      </c>
      <c r="T8871" s="405" t="s">
        <v>32102</v>
      </c>
      <c r="U8871" s="405" t="s">
        <v>319</v>
      </c>
    </row>
    <row r="8872" spans="1:21" hidden="1" x14ac:dyDescent="0.25">
      <c r="A8872" s="405" t="s">
        <v>310</v>
      </c>
      <c r="B8872" s="405" t="s">
        <v>828</v>
      </c>
      <c r="C8872" s="405" t="s">
        <v>327</v>
      </c>
      <c r="D8872" s="405"/>
      <c r="E8872" s="410">
        <v>40543</v>
      </c>
      <c r="F8872" s="410">
        <v>40588</v>
      </c>
      <c r="G8872" s="405" t="s">
        <v>829</v>
      </c>
      <c r="H8872" s="405">
        <v>776648493</v>
      </c>
      <c r="I8872" s="405"/>
      <c r="J8872" s="405">
        <v>0.36785899999999999</v>
      </c>
      <c r="K8872" s="405">
        <v>32.816031000000002</v>
      </c>
      <c r="L8872" s="405" t="s">
        <v>314</v>
      </c>
      <c r="M8872" s="405" t="s">
        <v>329</v>
      </c>
      <c r="N8872" s="405" t="s">
        <v>545</v>
      </c>
      <c r="O8872" s="405" t="s">
        <v>546</v>
      </c>
      <c r="P8872" s="405" t="s">
        <v>830</v>
      </c>
      <c r="Q8872" s="411">
        <v>12</v>
      </c>
      <c r="R8872" s="405" t="s">
        <v>333</v>
      </c>
      <c r="S8872" s="405" t="s">
        <v>27159</v>
      </c>
      <c r="T8872" s="405" t="s">
        <v>32102</v>
      </c>
      <c r="U8872" s="405" t="s">
        <v>319</v>
      </c>
    </row>
    <row r="8873" spans="1:21" hidden="1" x14ac:dyDescent="0.25">
      <c r="A8873" s="405" t="s">
        <v>310</v>
      </c>
      <c r="B8873" s="405" t="s">
        <v>19834</v>
      </c>
      <c r="C8873" s="405" t="s">
        <v>327</v>
      </c>
      <c r="D8873" s="405"/>
      <c r="E8873" s="410">
        <v>40543</v>
      </c>
      <c r="F8873" s="410">
        <v>40588</v>
      </c>
      <c r="G8873" s="405" t="s">
        <v>19835</v>
      </c>
      <c r="H8873" s="405">
        <v>781711700</v>
      </c>
      <c r="I8873" s="405"/>
      <c r="J8873" s="405">
        <v>-0.89921899999999999</v>
      </c>
      <c r="K8873" s="405">
        <v>30.072066</v>
      </c>
      <c r="L8873" s="405" t="s">
        <v>590</v>
      </c>
      <c r="M8873" s="405" t="s">
        <v>19659</v>
      </c>
      <c r="N8873" s="405" t="s">
        <v>19677</v>
      </c>
      <c r="O8873" s="405" t="s">
        <v>19726</v>
      </c>
      <c r="P8873" s="405" t="s">
        <v>19836</v>
      </c>
      <c r="Q8873" s="411">
        <v>12</v>
      </c>
      <c r="R8873" s="405" t="s">
        <v>967</v>
      </c>
      <c r="S8873" s="405" t="s">
        <v>27399</v>
      </c>
      <c r="T8873" s="405" t="s">
        <v>32102</v>
      </c>
      <c r="U8873" s="405" t="s">
        <v>319</v>
      </c>
    </row>
    <row r="8874" spans="1:21" hidden="1" x14ac:dyDescent="0.25">
      <c r="A8874" s="405" t="s">
        <v>310</v>
      </c>
      <c r="B8874" s="405" t="s">
        <v>28274</v>
      </c>
      <c r="C8874" s="405" t="s">
        <v>311</v>
      </c>
      <c r="D8874" s="405" t="s">
        <v>1111</v>
      </c>
      <c r="E8874" s="410">
        <v>40543</v>
      </c>
      <c r="F8874" s="410">
        <v>40588</v>
      </c>
      <c r="G8874" s="405" t="s">
        <v>1425</v>
      </c>
      <c r="H8874" s="405">
        <v>754569686</v>
      </c>
      <c r="I8874" s="405">
        <v>787041047</v>
      </c>
      <c r="J8874" s="405">
        <v>0.35439599999999999</v>
      </c>
      <c r="K8874" s="405">
        <v>32.776532000000003</v>
      </c>
      <c r="L8874" s="405" t="s">
        <v>314</v>
      </c>
      <c r="M8874" s="405" t="s">
        <v>329</v>
      </c>
      <c r="N8874" s="405" t="s">
        <v>330</v>
      </c>
      <c r="O8874" s="405" t="s">
        <v>331</v>
      </c>
      <c r="P8874" s="405" t="s">
        <v>508</v>
      </c>
      <c r="Q8874" s="411">
        <v>9</v>
      </c>
      <c r="R8874" s="405" t="s">
        <v>333</v>
      </c>
      <c r="S8874" s="405" t="s">
        <v>414</v>
      </c>
      <c r="T8874" s="405" t="s">
        <v>32102</v>
      </c>
      <c r="U8874" s="405" t="s">
        <v>319</v>
      </c>
    </row>
    <row r="8875" spans="1:21" hidden="1" x14ac:dyDescent="0.25">
      <c r="A8875" s="405" t="s">
        <v>310</v>
      </c>
      <c r="B8875" s="405" t="s">
        <v>28836</v>
      </c>
      <c r="C8875" s="405" t="s">
        <v>311</v>
      </c>
      <c r="D8875" s="405" t="s">
        <v>839</v>
      </c>
      <c r="E8875" s="410">
        <v>40543</v>
      </c>
      <c r="F8875" s="410">
        <v>40588</v>
      </c>
      <c r="G8875" s="405" t="s">
        <v>20124</v>
      </c>
      <c r="H8875" s="405">
        <v>785077385</v>
      </c>
      <c r="I8875" s="405"/>
      <c r="J8875" s="405">
        <v>0.711785</v>
      </c>
      <c r="K8875" s="405">
        <v>30.379771999999999</v>
      </c>
      <c r="L8875" s="405" t="s">
        <v>590</v>
      </c>
      <c r="M8875" s="405" t="s">
        <v>20125</v>
      </c>
      <c r="N8875" s="405" t="s">
        <v>20126</v>
      </c>
      <c r="O8875" s="405" t="s">
        <v>20127</v>
      </c>
      <c r="P8875" s="405" t="s">
        <v>20128</v>
      </c>
      <c r="Q8875" s="411">
        <v>9</v>
      </c>
      <c r="R8875" s="405" t="s">
        <v>353</v>
      </c>
      <c r="S8875" s="405" t="s">
        <v>27051</v>
      </c>
      <c r="T8875" s="405" t="s">
        <v>32102</v>
      </c>
      <c r="U8875" s="405" t="s">
        <v>319</v>
      </c>
    </row>
    <row r="8876" spans="1:21" hidden="1" x14ac:dyDescent="0.25">
      <c r="A8876" s="405" t="s">
        <v>310</v>
      </c>
      <c r="B8876" s="405" t="s">
        <v>785</v>
      </c>
      <c r="C8876" s="405" t="s">
        <v>327</v>
      </c>
      <c r="D8876" s="405"/>
      <c r="E8876" s="410">
        <v>40543</v>
      </c>
      <c r="F8876" s="410">
        <v>40588</v>
      </c>
      <c r="G8876" s="405" t="s">
        <v>786</v>
      </c>
      <c r="H8876" s="405">
        <v>785889095</v>
      </c>
      <c r="I8876" s="405"/>
      <c r="J8876" s="405">
        <v>0.46029500000000001</v>
      </c>
      <c r="K8876" s="405">
        <v>32.673302999999997</v>
      </c>
      <c r="L8876" s="405" t="s">
        <v>314</v>
      </c>
      <c r="M8876" s="405" t="s">
        <v>329</v>
      </c>
      <c r="N8876" s="405" t="s">
        <v>330</v>
      </c>
      <c r="O8876" s="405" t="s">
        <v>787</v>
      </c>
      <c r="P8876" s="405" t="s">
        <v>788</v>
      </c>
      <c r="Q8876" s="411">
        <v>9</v>
      </c>
      <c r="R8876" s="405" t="s">
        <v>353</v>
      </c>
      <c r="S8876" s="405" t="s">
        <v>27136</v>
      </c>
      <c r="T8876" s="405" t="s">
        <v>32102</v>
      </c>
      <c r="U8876" s="405" t="s">
        <v>319</v>
      </c>
    </row>
    <row r="8877" spans="1:21" hidden="1" x14ac:dyDescent="0.25">
      <c r="A8877" s="405" t="s">
        <v>310</v>
      </c>
      <c r="B8877" s="405" t="s">
        <v>27566</v>
      </c>
      <c r="C8877" s="405" t="s">
        <v>327</v>
      </c>
      <c r="D8877" s="405"/>
      <c r="E8877" s="410">
        <v>40543</v>
      </c>
      <c r="F8877" s="410">
        <v>40588</v>
      </c>
      <c r="G8877" s="405" t="s">
        <v>781</v>
      </c>
      <c r="H8877" s="405">
        <v>712803379</v>
      </c>
      <c r="I8877" s="405">
        <v>752863865</v>
      </c>
      <c r="J8877" s="405">
        <v>0.37379829999999997</v>
      </c>
      <c r="K8877" s="405">
        <v>32.758540799999999</v>
      </c>
      <c r="L8877" s="405" t="s">
        <v>314</v>
      </c>
      <c r="M8877" s="405" t="s">
        <v>329</v>
      </c>
      <c r="N8877" s="405" t="s">
        <v>330</v>
      </c>
      <c r="O8877" s="405" t="s">
        <v>331</v>
      </c>
      <c r="P8877" s="405" t="s">
        <v>707</v>
      </c>
      <c r="Q8877" s="411">
        <v>9</v>
      </c>
      <c r="R8877" s="405" t="s">
        <v>318</v>
      </c>
      <c r="S8877" s="405" t="s">
        <v>27035</v>
      </c>
      <c r="T8877" s="405" t="s">
        <v>32102</v>
      </c>
      <c r="U8877" s="405" t="s">
        <v>319</v>
      </c>
    </row>
    <row r="8878" spans="1:21" hidden="1" x14ac:dyDescent="0.25">
      <c r="A8878" s="405" t="s">
        <v>310</v>
      </c>
      <c r="B8878" s="405" t="s">
        <v>19849</v>
      </c>
      <c r="C8878" s="405" t="s">
        <v>327</v>
      </c>
      <c r="D8878" s="405"/>
      <c r="E8878" s="410">
        <v>40543</v>
      </c>
      <c r="F8878" s="410">
        <v>40588</v>
      </c>
      <c r="G8878" s="405" t="s">
        <v>19850</v>
      </c>
      <c r="H8878" s="405">
        <v>772368277</v>
      </c>
      <c r="I8878" s="405">
        <v>783911655</v>
      </c>
      <c r="J8878" s="405">
        <v>-0.87948899999999997</v>
      </c>
      <c r="K8878" s="405">
        <v>29.998792999999999</v>
      </c>
      <c r="L8878" s="405" t="s">
        <v>590</v>
      </c>
      <c r="M8878" s="405" t="s">
        <v>19619</v>
      </c>
      <c r="N8878" s="405" t="s">
        <v>19620</v>
      </c>
      <c r="O8878" s="405" t="s">
        <v>2430</v>
      </c>
      <c r="P8878" s="405" t="s">
        <v>19851</v>
      </c>
      <c r="Q8878" s="411">
        <v>9</v>
      </c>
      <c r="R8878" s="405" t="s">
        <v>333</v>
      </c>
      <c r="S8878" s="405" t="s">
        <v>27127</v>
      </c>
      <c r="T8878" s="405" t="s">
        <v>32102</v>
      </c>
      <c r="U8878" s="405" t="s">
        <v>319</v>
      </c>
    </row>
    <row r="8879" spans="1:21" hidden="1" x14ac:dyDescent="0.25">
      <c r="A8879" s="405" t="s">
        <v>310</v>
      </c>
      <c r="B8879" s="405" t="s">
        <v>818</v>
      </c>
      <c r="C8879" s="405" t="s">
        <v>327</v>
      </c>
      <c r="D8879" s="405"/>
      <c r="E8879" s="410">
        <v>40543</v>
      </c>
      <c r="F8879" s="410">
        <v>40588</v>
      </c>
      <c r="G8879" s="405" t="s">
        <v>819</v>
      </c>
      <c r="H8879" s="405">
        <v>777912434</v>
      </c>
      <c r="I8879" s="405"/>
      <c r="J8879" s="405">
        <v>0.36507899999999999</v>
      </c>
      <c r="K8879" s="405">
        <v>32.708784000000001</v>
      </c>
      <c r="L8879" s="405" t="s">
        <v>314</v>
      </c>
      <c r="M8879" s="405" t="s">
        <v>329</v>
      </c>
      <c r="N8879" s="405" t="s">
        <v>330</v>
      </c>
      <c r="O8879" s="405" t="s">
        <v>630</v>
      </c>
      <c r="P8879" s="405" t="s">
        <v>627</v>
      </c>
      <c r="Q8879" s="411">
        <v>9</v>
      </c>
      <c r="R8879" s="405" t="s">
        <v>318</v>
      </c>
      <c r="S8879" s="405" t="s">
        <v>27137</v>
      </c>
      <c r="T8879" s="405" t="s">
        <v>32102</v>
      </c>
      <c r="U8879" s="405" t="s">
        <v>319</v>
      </c>
    </row>
    <row r="8880" spans="1:21" hidden="1" x14ac:dyDescent="0.25">
      <c r="A8880" s="405" t="s">
        <v>310</v>
      </c>
      <c r="B8880" s="405" t="s">
        <v>27874</v>
      </c>
      <c r="C8880" s="405" t="s">
        <v>327</v>
      </c>
      <c r="D8880" s="405"/>
      <c r="E8880" s="410">
        <v>40543</v>
      </c>
      <c r="F8880" s="410">
        <v>40588</v>
      </c>
      <c r="G8880" s="405" t="s">
        <v>711</v>
      </c>
      <c r="H8880" s="405">
        <v>773725597</v>
      </c>
      <c r="I8880" s="405"/>
      <c r="J8880" s="405">
        <v>0.3452716666666667</v>
      </c>
      <c r="K8880" s="405">
        <v>32.735713333333337</v>
      </c>
      <c r="L8880" s="405" t="s">
        <v>314</v>
      </c>
      <c r="M8880" s="405" t="s">
        <v>329</v>
      </c>
      <c r="N8880" s="405" t="s">
        <v>329</v>
      </c>
      <c r="O8880" s="405" t="s">
        <v>600</v>
      </c>
      <c r="P8880" s="405" t="s">
        <v>622</v>
      </c>
      <c r="Q8880" s="411">
        <v>9</v>
      </c>
      <c r="R8880" s="405" t="s">
        <v>333</v>
      </c>
      <c r="S8880" s="405" t="s">
        <v>27120</v>
      </c>
      <c r="T8880" s="405" t="s">
        <v>32102</v>
      </c>
      <c r="U8880" s="405" t="s">
        <v>319</v>
      </c>
    </row>
    <row r="8881" spans="1:21" hidden="1" x14ac:dyDescent="0.25">
      <c r="A8881" s="405" t="s">
        <v>310</v>
      </c>
      <c r="B8881" s="405" t="s">
        <v>801</v>
      </c>
      <c r="C8881" s="405" t="s">
        <v>327</v>
      </c>
      <c r="D8881" s="405"/>
      <c r="E8881" s="410">
        <v>40543</v>
      </c>
      <c r="F8881" s="410">
        <v>40588</v>
      </c>
      <c r="G8881" s="405" t="s">
        <v>802</v>
      </c>
      <c r="H8881" s="405">
        <v>772502023</v>
      </c>
      <c r="I8881" s="405">
        <v>730002007</v>
      </c>
      <c r="J8881" s="405">
        <v>0.28151700000000002</v>
      </c>
      <c r="K8881" s="405">
        <v>32.875152</v>
      </c>
      <c r="L8881" s="405" t="s">
        <v>314</v>
      </c>
      <c r="M8881" s="405" t="s">
        <v>329</v>
      </c>
      <c r="N8881" s="405" t="s">
        <v>803</v>
      </c>
      <c r="O8881" s="405" t="s">
        <v>653</v>
      </c>
      <c r="P8881" s="405" t="s">
        <v>804</v>
      </c>
      <c r="Q8881" s="411">
        <v>9</v>
      </c>
      <c r="R8881" s="405" t="s">
        <v>353</v>
      </c>
      <c r="S8881" s="405" t="s">
        <v>27110</v>
      </c>
      <c r="T8881" s="405" t="s">
        <v>32102</v>
      </c>
      <c r="U8881" s="405" t="s">
        <v>319</v>
      </c>
    </row>
    <row r="8882" spans="1:21" hidden="1" x14ac:dyDescent="0.25">
      <c r="A8882" s="405" t="s">
        <v>310</v>
      </c>
      <c r="B8882" s="405" t="s">
        <v>10477</v>
      </c>
      <c r="C8882" s="405" t="s">
        <v>311</v>
      </c>
      <c r="D8882" s="405" t="s">
        <v>1013</v>
      </c>
      <c r="E8882" s="410">
        <v>40543</v>
      </c>
      <c r="F8882" s="410">
        <v>40588</v>
      </c>
      <c r="G8882" s="405" t="s">
        <v>10478</v>
      </c>
      <c r="H8882" s="405">
        <v>782862409</v>
      </c>
      <c r="I8882" s="405"/>
      <c r="J8882" s="405">
        <v>0.61633389999999999</v>
      </c>
      <c r="K8882" s="405">
        <v>33.479194800000002</v>
      </c>
      <c r="L8882" s="405" t="s">
        <v>6866</v>
      </c>
      <c r="M8882" s="405" t="s">
        <v>5411</v>
      </c>
      <c r="N8882" s="405" t="s">
        <v>9984</v>
      </c>
      <c r="O8882" s="405" t="s">
        <v>9989</v>
      </c>
      <c r="P8882" s="405" t="s">
        <v>10479</v>
      </c>
      <c r="Q8882" s="411">
        <v>9</v>
      </c>
      <c r="R8882" s="405" t="s">
        <v>333</v>
      </c>
      <c r="S8882" s="405" t="s">
        <v>27134</v>
      </c>
      <c r="T8882" s="405" t="s">
        <v>32102</v>
      </c>
      <c r="U8882" s="405" t="s">
        <v>319</v>
      </c>
    </row>
    <row r="8883" spans="1:21" hidden="1" x14ac:dyDescent="0.25">
      <c r="A8883" s="405" t="s">
        <v>310</v>
      </c>
      <c r="B8883" s="405" t="s">
        <v>19824</v>
      </c>
      <c r="C8883" s="405" t="s">
        <v>327</v>
      </c>
      <c r="D8883" s="405"/>
      <c r="E8883" s="410">
        <v>40543</v>
      </c>
      <c r="F8883" s="410">
        <v>40588</v>
      </c>
      <c r="G8883" s="405" t="s">
        <v>19825</v>
      </c>
      <c r="H8883" s="405">
        <v>754074167</v>
      </c>
      <c r="I8883" s="405"/>
      <c r="J8883" s="405">
        <v>-0.79305400000000004</v>
      </c>
      <c r="K8883" s="405">
        <v>30.217748</v>
      </c>
      <c r="L8883" s="405" t="s">
        <v>590</v>
      </c>
      <c r="M8883" s="405" t="s">
        <v>19659</v>
      </c>
      <c r="N8883" s="405" t="s">
        <v>19604</v>
      </c>
      <c r="O8883" s="405" t="s">
        <v>19826</v>
      </c>
      <c r="P8883" s="405" t="s">
        <v>19827</v>
      </c>
      <c r="Q8883" s="411">
        <v>9</v>
      </c>
      <c r="R8883" s="405" t="s">
        <v>967</v>
      </c>
      <c r="S8883" s="405" t="s">
        <v>27397</v>
      </c>
      <c r="T8883" s="405" t="s">
        <v>32102</v>
      </c>
      <c r="U8883" s="405" t="s">
        <v>319</v>
      </c>
    </row>
    <row r="8884" spans="1:21" hidden="1" x14ac:dyDescent="0.25">
      <c r="A8884" s="405" t="s">
        <v>310</v>
      </c>
      <c r="B8884" s="405" t="s">
        <v>19888</v>
      </c>
      <c r="C8884" s="405" t="s">
        <v>327</v>
      </c>
      <c r="D8884" s="405"/>
      <c r="E8884" s="410">
        <v>40543</v>
      </c>
      <c r="F8884" s="410">
        <v>40588</v>
      </c>
      <c r="G8884" s="405" t="s">
        <v>19889</v>
      </c>
      <c r="H8884" s="405">
        <v>774343820</v>
      </c>
      <c r="I8884" s="405"/>
      <c r="J8884" s="405">
        <v>1.7661119999999999</v>
      </c>
      <c r="K8884" s="405">
        <v>32.029432</v>
      </c>
      <c r="L8884" s="405" t="s">
        <v>590</v>
      </c>
      <c r="M8884" s="405" t="s">
        <v>591</v>
      </c>
      <c r="N8884" s="405" t="s">
        <v>848</v>
      </c>
      <c r="O8884" s="405" t="s">
        <v>3012</v>
      </c>
      <c r="P8884" s="405" t="s">
        <v>19890</v>
      </c>
      <c r="Q8884" s="411">
        <v>9</v>
      </c>
      <c r="R8884" s="405" t="s">
        <v>318</v>
      </c>
      <c r="S8884" s="405" t="s">
        <v>27109</v>
      </c>
      <c r="T8884" s="405" t="s">
        <v>32102</v>
      </c>
      <c r="U8884" s="405" t="s">
        <v>319</v>
      </c>
    </row>
    <row r="8885" spans="1:21" hidden="1" x14ac:dyDescent="0.25">
      <c r="A8885" s="405" t="s">
        <v>310</v>
      </c>
      <c r="B8885" s="405" t="s">
        <v>747</v>
      </c>
      <c r="C8885" s="405" t="s">
        <v>327</v>
      </c>
      <c r="D8885" s="405"/>
      <c r="E8885" s="410">
        <v>40543</v>
      </c>
      <c r="F8885" s="410">
        <v>40588</v>
      </c>
      <c r="G8885" s="405" t="s">
        <v>748</v>
      </c>
      <c r="H8885" s="405">
        <v>772594058</v>
      </c>
      <c r="I8885" s="405"/>
      <c r="J8885" s="405">
        <v>0.36168640000000002</v>
      </c>
      <c r="K8885" s="405">
        <v>32.7504262</v>
      </c>
      <c r="L8885" s="405" t="s">
        <v>314</v>
      </c>
      <c r="M8885" s="405" t="s">
        <v>329</v>
      </c>
      <c r="N8885" s="405" t="s">
        <v>330</v>
      </c>
      <c r="O8885" s="405" t="s">
        <v>706</v>
      </c>
      <c r="P8885" s="405" t="s">
        <v>707</v>
      </c>
      <c r="Q8885" s="411">
        <v>9</v>
      </c>
      <c r="R8885" s="405" t="s">
        <v>353</v>
      </c>
      <c r="S8885" s="405" t="s">
        <v>27106</v>
      </c>
      <c r="T8885" s="405" t="s">
        <v>32102</v>
      </c>
      <c r="U8885" s="405" t="s">
        <v>319</v>
      </c>
    </row>
    <row r="8886" spans="1:21" hidden="1" x14ac:dyDescent="0.25">
      <c r="A8886" s="405" t="s">
        <v>310</v>
      </c>
      <c r="B8886" s="405" t="s">
        <v>19855</v>
      </c>
      <c r="C8886" s="405" t="s">
        <v>327</v>
      </c>
      <c r="D8886" s="405"/>
      <c r="E8886" s="410">
        <v>40543</v>
      </c>
      <c r="F8886" s="410">
        <v>40588</v>
      </c>
      <c r="G8886" s="405" t="s">
        <v>19856</v>
      </c>
      <c r="H8886" s="405">
        <v>772670681</v>
      </c>
      <c r="I8886" s="405"/>
      <c r="J8886" s="405">
        <v>-0.81976899999999997</v>
      </c>
      <c r="K8886" s="405">
        <v>29.971640000000001</v>
      </c>
      <c r="L8886" s="405" t="s">
        <v>590</v>
      </c>
      <c r="M8886" s="405" t="s">
        <v>19619</v>
      </c>
      <c r="N8886" s="405" t="s">
        <v>19620</v>
      </c>
      <c r="O8886" s="405" t="s">
        <v>2430</v>
      </c>
      <c r="P8886" s="405" t="s">
        <v>19857</v>
      </c>
      <c r="Q8886" s="411">
        <v>9</v>
      </c>
      <c r="R8886" s="405" t="s">
        <v>333</v>
      </c>
      <c r="S8886" s="405" t="s">
        <v>27127</v>
      </c>
      <c r="T8886" s="405" t="s">
        <v>32102</v>
      </c>
      <c r="U8886" s="405" t="s">
        <v>319</v>
      </c>
    </row>
    <row r="8887" spans="1:21" hidden="1" x14ac:dyDescent="0.25">
      <c r="A8887" s="405" t="s">
        <v>310</v>
      </c>
      <c r="B8887" s="405" t="s">
        <v>19866</v>
      </c>
      <c r="C8887" s="405" t="s">
        <v>327</v>
      </c>
      <c r="D8887" s="405"/>
      <c r="E8887" s="410">
        <v>40543</v>
      </c>
      <c r="F8887" s="410">
        <v>40588</v>
      </c>
      <c r="G8887" s="405" t="s">
        <v>19867</v>
      </c>
      <c r="H8887" s="405">
        <v>752594506</v>
      </c>
      <c r="I8887" s="405"/>
      <c r="J8887" s="405">
        <v>-0.85694000000000004</v>
      </c>
      <c r="K8887" s="405">
        <v>30.251155000000001</v>
      </c>
      <c r="L8887" s="405" t="s">
        <v>590</v>
      </c>
      <c r="M8887" s="405" t="s">
        <v>19659</v>
      </c>
      <c r="N8887" s="405" t="s">
        <v>19681</v>
      </c>
      <c r="O8887" s="405" t="s">
        <v>9881</v>
      </c>
      <c r="P8887" s="405" t="s">
        <v>19749</v>
      </c>
      <c r="Q8887" s="411">
        <v>9</v>
      </c>
      <c r="R8887" s="405" t="s">
        <v>333</v>
      </c>
      <c r="S8887" s="405" t="s">
        <v>27166</v>
      </c>
      <c r="T8887" s="405" t="s">
        <v>32102</v>
      </c>
      <c r="U8887" s="405" t="s">
        <v>319</v>
      </c>
    </row>
    <row r="8888" spans="1:21" hidden="1" x14ac:dyDescent="0.25">
      <c r="A8888" s="405" t="s">
        <v>310</v>
      </c>
      <c r="B8888" s="405" t="s">
        <v>10070</v>
      </c>
      <c r="C8888" s="405" t="s">
        <v>327</v>
      </c>
      <c r="D8888" s="405"/>
      <c r="E8888" s="410">
        <v>40543</v>
      </c>
      <c r="F8888" s="410">
        <v>40588</v>
      </c>
      <c r="G8888" s="405" t="s">
        <v>10071</v>
      </c>
      <c r="H8888" s="405">
        <v>752654640</v>
      </c>
      <c r="I8888" s="405"/>
      <c r="J8888" s="405">
        <v>0.59891499999999998</v>
      </c>
      <c r="K8888" s="405">
        <v>33.459454999999998</v>
      </c>
      <c r="L8888" s="405" t="s">
        <v>6866</v>
      </c>
      <c r="M8888" s="405" t="s">
        <v>9590</v>
      </c>
      <c r="N8888" s="405" t="s">
        <v>9591</v>
      </c>
      <c r="O8888" s="405" t="s">
        <v>10072</v>
      </c>
      <c r="P8888" s="405" t="s">
        <v>9592</v>
      </c>
      <c r="Q8888" s="411">
        <v>9</v>
      </c>
      <c r="R8888" s="405" t="s">
        <v>318</v>
      </c>
      <c r="S8888" s="405" t="s">
        <v>27112</v>
      </c>
      <c r="T8888" s="405" t="s">
        <v>32102</v>
      </c>
      <c r="U8888" s="405" t="s">
        <v>319</v>
      </c>
    </row>
    <row r="8889" spans="1:21" hidden="1" x14ac:dyDescent="0.25">
      <c r="A8889" s="405" t="s">
        <v>310</v>
      </c>
      <c r="B8889" s="405" t="s">
        <v>10059</v>
      </c>
      <c r="C8889" s="405" t="s">
        <v>327</v>
      </c>
      <c r="D8889" s="405"/>
      <c r="E8889" s="410">
        <v>40543</v>
      </c>
      <c r="F8889" s="410">
        <v>40588</v>
      </c>
      <c r="G8889" s="405" t="s">
        <v>10060</v>
      </c>
      <c r="H8889" s="405">
        <v>752453892</v>
      </c>
      <c r="I8889" s="405"/>
      <c r="J8889" s="405">
        <v>0.65420489999999998</v>
      </c>
      <c r="K8889" s="405">
        <v>33.171511299999999</v>
      </c>
      <c r="L8889" s="405" t="s">
        <v>6866</v>
      </c>
      <c r="M8889" s="405" t="s">
        <v>9590</v>
      </c>
      <c r="N8889" s="405" t="s">
        <v>542</v>
      </c>
      <c r="O8889" s="405" t="s">
        <v>10061</v>
      </c>
      <c r="P8889" s="405" t="s">
        <v>10062</v>
      </c>
      <c r="Q8889" s="411">
        <v>9</v>
      </c>
      <c r="R8889" s="405" t="s">
        <v>318</v>
      </c>
      <c r="S8889" s="405" t="s">
        <v>6822</v>
      </c>
      <c r="T8889" s="405" t="s">
        <v>32102</v>
      </c>
      <c r="U8889" s="405" t="s">
        <v>319</v>
      </c>
    </row>
    <row r="8890" spans="1:21" hidden="1" x14ac:dyDescent="0.25">
      <c r="A8890" s="405" t="s">
        <v>310</v>
      </c>
      <c r="B8890" s="405" t="s">
        <v>19820</v>
      </c>
      <c r="C8890" s="405" t="s">
        <v>327</v>
      </c>
      <c r="D8890" s="405"/>
      <c r="E8890" s="410">
        <v>40543</v>
      </c>
      <c r="F8890" s="410">
        <v>40588</v>
      </c>
      <c r="G8890" s="405" t="s">
        <v>19821</v>
      </c>
      <c r="H8890" s="405">
        <v>772685244</v>
      </c>
      <c r="I8890" s="405"/>
      <c r="J8890" s="405">
        <v>-0.89561400000000002</v>
      </c>
      <c r="K8890" s="405">
        <v>30.214887999999998</v>
      </c>
      <c r="L8890" s="405" t="s">
        <v>590</v>
      </c>
      <c r="M8890" s="405" t="s">
        <v>19659</v>
      </c>
      <c r="N8890" s="405" t="s">
        <v>19604</v>
      </c>
      <c r="O8890" s="405" t="s">
        <v>19822</v>
      </c>
      <c r="P8890" s="405" t="s">
        <v>19823</v>
      </c>
      <c r="Q8890" s="411">
        <v>9</v>
      </c>
      <c r="R8890" s="405" t="s">
        <v>967</v>
      </c>
      <c r="S8890" s="405" t="s">
        <v>27166</v>
      </c>
      <c r="T8890" s="405" t="s">
        <v>32102</v>
      </c>
      <c r="U8890" s="405" t="s">
        <v>319</v>
      </c>
    </row>
    <row r="8891" spans="1:21" hidden="1" x14ac:dyDescent="0.25">
      <c r="A8891" s="405" t="s">
        <v>310</v>
      </c>
      <c r="B8891" s="405" t="s">
        <v>779</v>
      </c>
      <c r="C8891" s="405" t="s">
        <v>327</v>
      </c>
      <c r="D8891" s="405"/>
      <c r="E8891" s="410">
        <v>40543</v>
      </c>
      <c r="F8891" s="410">
        <v>40588</v>
      </c>
      <c r="G8891" s="405" t="s">
        <v>780</v>
      </c>
      <c r="H8891" s="405">
        <v>702404274</v>
      </c>
      <c r="I8891" s="405"/>
      <c r="J8891" s="405">
        <v>0.46599499999999999</v>
      </c>
      <c r="K8891" s="405">
        <v>32.632981999999998</v>
      </c>
      <c r="L8891" s="405" t="s">
        <v>314</v>
      </c>
      <c r="M8891" s="405" t="s">
        <v>361</v>
      </c>
      <c r="N8891" s="405" t="s">
        <v>362</v>
      </c>
      <c r="O8891" s="405" t="s">
        <v>410</v>
      </c>
      <c r="P8891" s="405" t="s">
        <v>560</v>
      </c>
      <c r="Q8891" s="411">
        <v>9</v>
      </c>
      <c r="R8891" s="405" t="s">
        <v>353</v>
      </c>
      <c r="S8891" s="405" t="s">
        <v>27114</v>
      </c>
      <c r="T8891" s="405" t="s">
        <v>32102</v>
      </c>
      <c r="U8891" s="405" t="s">
        <v>319</v>
      </c>
    </row>
    <row r="8892" spans="1:21" hidden="1" x14ac:dyDescent="0.25">
      <c r="A8892" s="405" t="s">
        <v>310</v>
      </c>
      <c r="B8892" s="405" t="s">
        <v>1503</v>
      </c>
      <c r="C8892" s="405" t="s">
        <v>311</v>
      </c>
      <c r="D8892" s="405" t="s">
        <v>1013</v>
      </c>
      <c r="E8892" s="410">
        <v>40543</v>
      </c>
      <c r="F8892" s="410">
        <v>40588</v>
      </c>
      <c r="G8892" s="405" t="s">
        <v>1504</v>
      </c>
      <c r="H8892" s="405">
        <v>788155025</v>
      </c>
      <c r="I8892" s="405"/>
      <c r="J8892" s="405">
        <v>0.38265199999999999</v>
      </c>
      <c r="K8892" s="405">
        <v>32.739297999999998</v>
      </c>
      <c r="L8892" s="405" t="s">
        <v>314</v>
      </c>
      <c r="M8892" s="405" t="s">
        <v>329</v>
      </c>
      <c r="N8892" s="405" t="s">
        <v>330</v>
      </c>
      <c r="O8892" s="405" t="s">
        <v>331</v>
      </c>
      <c r="P8892" s="405" t="s">
        <v>1505</v>
      </c>
      <c r="Q8892" s="411">
        <v>9</v>
      </c>
      <c r="R8892" s="405" t="s">
        <v>333</v>
      </c>
      <c r="S8892" s="405" t="s">
        <v>27115</v>
      </c>
      <c r="T8892" s="405" t="s">
        <v>32102</v>
      </c>
      <c r="U8892" s="405" t="s">
        <v>319</v>
      </c>
    </row>
    <row r="8893" spans="1:21" hidden="1" x14ac:dyDescent="0.25">
      <c r="A8893" s="405" t="s">
        <v>310</v>
      </c>
      <c r="B8893" s="405" t="s">
        <v>19861</v>
      </c>
      <c r="C8893" s="405" t="s">
        <v>327</v>
      </c>
      <c r="D8893" s="405"/>
      <c r="E8893" s="410">
        <v>40543</v>
      </c>
      <c r="F8893" s="410">
        <v>40588</v>
      </c>
      <c r="G8893" s="405" t="s">
        <v>19862</v>
      </c>
      <c r="H8893" s="405">
        <v>777372404</v>
      </c>
      <c r="I8893" s="405"/>
      <c r="J8893" s="405">
        <v>-0.82920700000000003</v>
      </c>
      <c r="K8893" s="405">
        <v>29.933368999999999</v>
      </c>
      <c r="L8893" s="405" t="s">
        <v>590</v>
      </c>
      <c r="M8893" s="405" t="s">
        <v>19619</v>
      </c>
      <c r="N8893" s="405" t="s">
        <v>19620</v>
      </c>
      <c r="O8893" s="405" t="s">
        <v>2430</v>
      </c>
      <c r="P8893" s="405" t="s">
        <v>7093</v>
      </c>
      <c r="Q8893" s="411">
        <v>9</v>
      </c>
      <c r="R8893" s="405" t="s">
        <v>874</v>
      </c>
      <c r="S8893" s="405" t="s">
        <v>27116</v>
      </c>
      <c r="T8893" s="405" t="s">
        <v>32102</v>
      </c>
      <c r="U8893" s="405" t="s">
        <v>319</v>
      </c>
    </row>
    <row r="8894" spans="1:21" hidden="1" x14ac:dyDescent="0.25">
      <c r="A8894" s="405" t="s">
        <v>310</v>
      </c>
      <c r="B8894" s="405" t="s">
        <v>19844</v>
      </c>
      <c r="C8894" s="405" t="s">
        <v>327</v>
      </c>
      <c r="D8894" s="405"/>
      <c r="E8894" s="410">
        <v>40543</v>
      </c>
      <c r="F8894" s="410">
        <v>40588</v>
      </c>
      <c r="G8894" s="405" t="s">
        <v>19845</v>
      </c>
      <c r="H8894" s="405">
        <v>782725838</v>
      </c>
      <c r="I8894" s="405"/>
      <c r="J8894" s="405">
        <v>-0.70511500000000005</v>
      </c>
      <c r="K8894" s="405">
        <v>30.391069999999999</v>
      </c>
      <c r="L8894" s="405" t="s">
        <v>590</v>
      </c>
      <c r="M8894" s="405" t="s">
        <v>19614</v>
      </c>
      <c r="N8894" s="405" t="s">
        <v>19654</v>
      </c>
      <c r="O8894" s="405" t="s">
        <v>19655</v>
      </c>
      <c r="P8894" s="405" t="s">
        <v>19656</v>
      </c>
      <c r="Q8894" s="411">
        <v>9</v>
      </c>
      <c r="R8894" s="405" t="s">
        <v>333</v>
      </c>
      <c r="S8894" s="405" t="s">
        <v>27394</v>
      </c>
      <c r="T8894" s="405" t="s">
        <v>32102</v>
      </c>
      <c r="U8894" s="405" t="s">
        <v>319</v>
      </c>
    </row>
    <row r="8895" spans="1:21" hidden="1" x14ac:dyDescent="0.25">
      <c r="A8895" s="405" t="s">
        <v>310</v>
      </c>
      <c r="B8895" s="405" t="s">
        <v>19846</v>
      </c>
      <c r="C8895" s="405" t="s">
        <v>327</v>
      </c>
      <c r="D8895" s="405"/>
      <c r="E8895" s="410">
        <v>40543</v>
      </c>
      <c r="F8895" s="410">
        <v>40588</v>
      </c>
      <c r="G8895" s="405" t="s">
        <v>19847</v>
      </c>
      <c r="H8895" s="405">
        <v>705865238</v>
      </c>
      <c r="I8895" s="405"/>
      <c r="J8895" s="405">
        <v>-0.88089899999999999</v>
      </c>
      <c r="K8895" s="405">
        <v>29.985112000000001</v>
      </c>
      <c r="L8895" s="405" t="s">
        <v>590</v>
      </c>
      <c r="M8895" s="405" t="s">
        <v>19619</v>
      </c>
      <c r="N8895" s="405" t="s">
        <v>19620</v>
      </c>
      <c r="O8895" s="405" t="s">
        <v>2430</v>
      </c>
      <c r="P8895" s="405" t="s">
        <v>19848</v>
      </c>
      <c r="Q8895" s="411">
        <v>9</v>
      </c>
      <c r="R8895" s="405" t="s">
        <v>19622</v>
      </c>
      <c r="S8895" s="405" t="s">
        <v>27116</v>
      </c>
      <c r="T8895" s="405" t="s">
        <v>32102</v>
      </c>
      <c r="U8895" s="405" t="s">
        <v>319</v>
      </c>
    </row>
    <row r="8896" spans="1:21" hidden="1" x14ac:dyDescent="0.25">
      <c r="A8896" s="405" t="s">
        <v>310</v>
      </c>
      <c r="B8896" s="405" t="s">
        <v>19883</v>
      </c>
      <c r="C8896" s="405" t="s">
        <v>327</v>
      </c>
      <c r="D8896" s="405"/>
      <c r="E8896" s="410">
        <v>40543</v>
      </c>
      <c r="F8896" s="410">
        <v>40588</v>
      </c>
      <c r="G8896" s="405" t="s">
        <v>19884</v>
      </c>
      <c r="H8896" s="405">
        <v>782761738</v>
      </c>
      <c r="I8896" s="405"/>
      <c r="J8896" s="405">
        <v>-0.86856800000000001</v>
      </c>
      <c r="K8896" s="405">
        <v>30.228086000000001</v>
      </c>
      <c r="L8896" s="405" t="s">
        <v>590</v>
      </c>
      <c r="M8896" s="405" t="s">
        <v>19659</v>
      </c>
      <c r="N8896" s="405" t="s">
        <v>19664</v>
      </c>
      <c r="O8896" s="405" t="s">
        <v>19659</v>
      </c>
      <c r="P8896" s="405" t="s">
        <v>19885</v>
      </c>
      <c r="Q8896" s="411">
        <v>9</v>
      </c>
      <c r="R8896" s="405" t="s">
        <v>967</v>
      </c>
      <c r="S8896" s="405" t="s">
        <v>27393</v>
      </c>
      <c r="T8896" s="405" t="s">
        <v>32102</v>
      </c>
      <c r="U8896" s="405" t="s">
        <v>319</v>
      </c>
    </row>
    <row r="8897" spans="1:21" hidden="1" x14ac:dyDescent="0.25">
      <c r="A8897" s="405" t="s">
        <v>310</v>
      </c>
      <c r="B8897" s="405" t="s">
        <v>19831</v>
      </c>
      <c r="C8897" s="405" t="s">
        <v>327</v>
      </c>
      <c r="D8897" s="405"/>
      <c r="E8897" s="410">
        <v>40543</v>
      </c>
      <c r="F8897" s="410">
        <v>40588</v>
      </c>
      <c r="G8897" s="405" t="s">
        <v>19832</v>
      </c>
      <c r="H8897" s="405">
        <v>772673304</v>
      </c>
      <c r="I8897" s="405"/>
      <c r="J8897" s="405">
        <v>-0.78398400000000001</v>
      </c>
      <c r="K8897" s="405">
        <v>29.916981</v>
      </c>
      <c r="L8897" s="405" t="s">
        <v>590</v>
      </c>
      <c r="M8897" s="405" t="s">
        <v>19619</v>
      </c>
      <c r="N8897" s="405" t="s">
        <v>19765</v>
      </c>
      <c r="O8897" s="405" t="s">
        <v>11545</v>
      </c>
      <c r="P8897" s="405" t="s">
        <v>19833</v>
      </c>
      <c r="Q8897" s="411">
        <v>9</v>
      </c>
      <c r="R8897" s="405" t="s">
        <v>19622</v>
      </c>
      <c r="S8897" s="405" t="s">
        <v>27160</v>
      </c>
      <c r="T8897" s="405" t="s">
        <v>32102</v>
      </c>
      <c r="U8897" s="405" t="s">
        <v>319</v>
      </c>
    </row>
    <row r="8898" spans="1:21" hidden="1" x14ac:dyDescent="0.25">
      <c r="A8898" s="405" t="s">
        <v>310</v>
      </c>
      <c r="B8898" s="405" t="s">
        <v>27654</v>
      </c>
      <c r="C8898" s="405" t="s">
        <v>327</v>
      </c>
      <c r="D8898" s="405"/>
      <c r="E8898" s="410">
        <v>40543</v>
      </c>
      <c r="F8898" s="410">
        <v>40588</v>
      </c>
      <c r="G8898" s="405" t="s">
        <v>820</v>
      </c>
      <c r="H8898" s="405">
        <v>752970058</v>
      </c>
      <c r="I8898" s="405"/>
      <c r="J8898" s="405">
        <v>0.38413399999999998</v>
      </c>
      <c r="K8898" s="405">
        <v>32.71902</v>
      </c>
      <c r="L8898" s="405" t="s">
        <v>314</v>
      </c>
      <c r="M8898" s="405" t="s">
        <v>329</v>
      </c>
      <c r="N8898" s="405" t="s">
        <v>330</v>
      </c>
      <c r="O8898" s="405" t="s">
        <v>630</v>
      </c>
      <c r="P8898" s="405" t="s">
        <v>821</v>
      </c>
      <c r="Q8898" s="411">
        <v>6</v>
      </c>
      <c r="R8898" s="405" t="s">
        <v>353</v>
      </c>
      <c r="S8898" s="405" t="s">
        <v>27120</v>
      </c>
      <c r="T8898" s="405" t="s">
        <v>32102</v>
      </c>
      <c r="U8898" s="405" t="s">
        <v>319</v>
      </c>
    </row>
    <row r="8899" spans="1:21" hidden="1" x14ac:dyDescent="0.25">
      <c r="A8899" s="405" t="s">
        <v>310</v>
      </c>
      <c r="B8899" s="405" t="s">
        <v>27870</v>
      </c>
      <c r="C8899" s="405" t="s">
        <v>327</v>
      </c>
      <c r="D8899" s="405"/>
      <c r="E8899" s="410">
        <v>40543</v>
      </c>
      <c r="F8899" s="410">
        <v>40588</v>
      </c>
      <c r="G8899" s="405" t="s">
        <v>826</v>
      </c>
      <c r="H8899" s="405">
        <v>772531325</v>
      </c>
      <c r="I8899" s="405">
        <v>752131325</v>
      </c>
      <c r="J8899" s="405">
        <v>0.35436099999999998</v>
      </c>
      <c r="K8899" s="405">
        <v>32.785350000000001</v>
      </c>
      <c r="L8899" s="405" t="s">
        <v>314</v>
      </c>
      <c r="M8899" s="405" t="s">
        <v>329</v>
      </c>
      <c r="N8899" s="405" t="s">
        <v>330</v>
      </c>
      <c r="O8899" s="405" t="s">
        <v>331</v>
      </c>
      <c r="P8899" s="405" t="s">
        <v>827</v>
      </c>
      <c r="Q8899" s="411">
        <v>6</v>
      </c>
      <c r="R8899" s="405" t="s">
        <v>353</v>
      </c>
      <c r="S8899" s="405" t="s">
        <v>27136</v>
      </c>
      <c r="T8899" s="405" t="s">
        <v>32102</v>
      </c>
      <c r="U8899" s="405" t="s">
        <v>319</v>
      </c>
    </row>
    <row r="8900" spans="1:21" hidden="1" x14ac:dyDescent="0.25">
      <c r="A8900" s="405" t="s">
        <v>310</v>
      </c>
      <c r="B8900" s="405" t="s">
        <v>28116</v>
      </c>
      <c r="C8900" s="405" t="s">
        <v>311</v>
      </c>
      <c r="D8900" s="405" t="s">
        <v>839</v>
      </c>
      <c r="E8900" s="410">
        <v>40543</v>
      </c>
      <c r="F8900" s="410">
        <v>40588</v>
      </c>
      <c r="G8900" s="405" t="s">
        <v>20170</v>
      </c>
      <c r="H8900" s="405">
        <v>702159702</v>
      </c>
      <c r="I8900" s="405"/>
      <c r="J8900" s="405">
        <v>-0.82454700000000003</v>
      </c>
      <c r="K8900" s="405">
        <v>30.265060999999999</v>
      </c>
      <c r="L8900" s="405" t="s">
        <v>590</v>
      </c>
      <c r="M8900" s="405" t="s">
        <v>19659</v>
      </c>
      <c r="N8900" s="405" t="s">
        <v>19664</v>
      </c>
      <c r="O8900" s="405" t="s">
        <v>19659</v>
      </c>
      <c r="P8900" s="405" t="s">
        <v>20171</v>
      </c>
      <c r="Q8900" s="411">
        <v>6</v>
      </c>
      <c r="R8900" s="405" t="s">
        <v>967</v>
      </c>
      <c r="S8900" s="405" t="s">
        <v>27393</v>
      </c>
      <c r="T8900" s="405" t="s">
        <v>32102</v>
      </c>
      <c r="U8900" s="405" t="s">
        <v>319</v>
      </c>
    </row>
    <row r="8901" spans="1:21" hidden="1" x14ac:dyDescent="0.25">
      <c r="A8901" s="405" t="s">
        <v>310</v>
      </c>
      <c r="B8901" s="405" t="s">
        <v>28243</v>
      </c>
      <c r="C8901" s="405" t="s">
        <v>327</v>
      </c>
      <c r="D8901" s="405"/>
      <c r="E8901" s="410">
        <v>40543</v>
      </c>
      <c r="F8901" s="410">
        <v>40588</v>
      </c>
      <c r="G8901" s="405" t="s">
        <v>810</v>
      </c>
      <c r="H8901" s="405">
        <v>703057408</v>
      </c>
      <c r="I8901" s="405"/>
      <c r="J8901" s="405">
        <v>0.64665300000000003</v>
      </c>
      <c r="K8901" s="405">
        <v>32.8474</v>
      </c>
      <c r="L8901" s="405" t="s">
        <v>314</v>
      </c>
      <c r="M8901" s="405" t="s">
        <v>329</v>
      </c>
      <c r="N8901" s="405" t="s">
        <v>528</v>
      </c>
      <c r="O8901" s="405" t="s">
        <v>648</v>
      </c>
      <c r="P8901" s="405" t="s">
        <v>811</v>
      </c>
      <c r="Q8901" s="411">
        <v>6</v>
      </c>
      <c r="R8901" s="405" t="s">
        <v>333</v>
      </c>
      <c r="S8901" s="405" t="s">
        <v>27049</v>
      </c>
      <c r="T8901" s="405" t="s">
        <v>32102</v>
      </c>
      <c r="U8901" s="405" t="s">
        <v>319</v>
      </c>
    </row>
    <row r="8902" spans="1:21" hidden="1" x14ac:dyDescent="0.25">
      <c r="A8902" s="405" t="s">
        <v>310</v>
      </c>
      <c r="B8902" s="405" t="s">
        <v>28676</v>
      </c>
      <c r="C8902" s="405" t="s">
        <v>327</v>
      </c>
      <c r="D8902" s="405"/>
      <c r="E8902" s="410">
        <v>40543</v>
      </c>
      <c r="F8902" s="410">
        <v>40588</v>
      </c>
      <c r="G8902" s="405" t="s">
        <v>10047</v>
      </c>
      <c r="H8902" s="405">
        <v>785372787</v>
      </c>
      <c r="I8902" s="405"/>
      <c r="J8902" s="405">
        <v>1.1493880000000001</v>
      </c>
      <c r="K8902" s="405">
        <v>33.964466999999999</v>
      </c>
      <c r="L8902" s="405" t="s">
        <v>6866</v>
      </c>
      <c r="M8902" s="405" t="s">
        <v>9676</v>
      </c>
      <c r="N8902" s="405" t="s">
        <v>9676</v>
      </c>
      <c r="O8902" s="405" t="s">
        <v>10048</v>
      </c>
      <c r="P8902" s="405" t="s">
        <v>10049</v>
      </c>
      <c r="Q8902" s="411">
        <v>6</v>
      </c>
      <c r="R8902" s="405" t="s">
        <v>9541</v>
      </c>
      <c r="S8902" s="405" t="s">
        <v>27315</v>
      </c>
      <c r="T8902" s="405" t="s">
        <v>32102</v>
      </c>
      <c r="U8902" s="405" t="s">
        <v>319</v>
      </c>
    </row>
    <row r="8903" spans="1:21" hidden="1" x14ac:dyDescent="0.25">
      <c r="A8903" s="405" t="s">
        <v>310</v>
      </c>
      <c r="B8903" s="405" t="s">
        <v>28970</v>
      </c>
      <c r="C8903" s="405" t="s">
        <v>311</v>
      </c>
      <c r="D8903" s="405" t="s">
        <v>312</v>
      </c>
      <c r="E8903" s="410">
        <v>40543</v>
      </c>
      <c r="F8903" s="410">
        <v>40588</v>
      </c>
      <c r="G8903" s="405" t="s">
        <v>1426</v>
      </c>
      <c r="H8903" s="405">
        <v>712980930</v>
      </c>
      <c r="I8903" s="405"/>
      <c r="J8903" s="405">
        <v>0.369535</v>
      </c>
      <c r="K8903" s="405">
        <v>32.770493000000002</v>
      </c>
      <c r="L8903" s="405" t="s">
        <v>314</v>
      </c>
      <c r="M8903" s="405" t="s">
        <v>329</v>
      </c>
      <c r="N8903" s="405" t="s">
        <v>545</v>
      </c>
      <c r="O8903" s="405" t="s">
        <v>546</v>
      </c>
      <c r="P8903" s="405" t="s">
        <v>1427</v>
      </c>
      <c r="Q8903" s="411">
        <v>6</v>
      </c>
      <c r="R8903" s="405" t="s">
        <v>353</v>
      </c>
      <c r="S8903" s="405" t="s">
        <v>27110</v>
      </c>
      <c r="T8903" s="405" t="s">
        <v>32102</v>
      </c>
      <c r="U8903" s="405" t="s">
        <v>319</v>
      </c>
    </row>
    <row r="8904" spans="1:21" hidden="1" x14ac:dyDescent="0.25">
      <c r="A8904" s="405" t="s">
        <v>310</v>
      </c>
      <c r="B8904" s="405" t="s">
        <v>789</v>
      </c>
      <c r="C8904" s="405" t="s">
        <v>327</v>
      </c>
      <c r="D8904" s="405"/>
      <c r="E8904" s="410">
        <v>40543</v>
      </c>
      <c r="F8904" s="410">
        <v>40588</v>
      </c>
      <c r="G8904" s="405" t="s">
        <v>790</v>
      </c>
      <c r="H8904" s="405">
        <v>787599751</v>
      </c>
      <c r="I8904" s="405">
        <v>772558406</v>
      </c>
      <c r="J8904" s="405">
        <v>0.38530199999999998</v>
      </c>
      <c r="K8904" s="405">
        <v>32.850226999999997</v>
      </c>
      <c r="L8904" s="405" t="s">
        <v>314</v>
      </c>
      <c r="M8904" s="405" t="s">
        <v>329</v>
      </c>
      <c r="N8904" s="405" t="s">
        <v>545</v>
      </c>
      <c r="O8904" s="405" t="s">
        <v>546</v>
      </c>
      <c r="P8904" s="405" t="s">
        <v>791</v>
      </c>
      <c r="Q8904" s="411">
        <v>6</v>
      </c>
      <c r="R8904" s="405" t="s">
        <v>353</v>
      </c>
      <c r="S8904" s="405" t="s">
        <v>27034</v>
      </c>
      <c r="T8904" s="405" t="s">
        <v>32102</v>
      </c>
      <c r="U8904" s="405" t="s">
        <v>319</v>
      </c>
    </row>
    <row r="8905" spans="1:21" hidden="1" x14ac:dyDescent="0.25">
      <c r="A8905" s="405" t="s">
        <v>310</v>
      </c>
      <c r="B8905" s="405" t="s">
        <v>1403</v>
      </c>
      <c r="C8905" s="405" t="s">
        <v>311</v>
      </c>
      <c r="D8905" s="405" t="s">
        <v>839</v>
      </c>
      <c r="E8905" s="410">
        <v>40543</v>
      </c>
      <c r="F8905" s="410">
        <v>40588</v>
      </c>
      <c r="G8905" s="405" t="s">
        <v>1404</v>
      </c>
      <c r="H8905" s="405">
        <v>704603044</v>
      </c>
      <c r="I8905" s="405"/>
      <c r="J8905" s="405">
        <v>0.384546</v>
      </c>
      <c r="K8905" s="405">
        <v>32.967182000000001</v>
      </c>
      <c r="L8905" s="405" t="s">
        <v>314</v>
      </c>
      <c r="M8905" s="405" t="s">
        <v>349</v>
      </c>
      <c r="N8905" s="405" t="s">
        <v>1405</v>
      </c>
      <c r="O8905" s="405" t="s">
        <v>351</v>
      </c>
      <c r="P8905" s="405" t="s">
        <v>1406</v>
      </c>
      <c r="Q8905" s="411">
        <v>6</v>
      </c>
      <c r="R8905" s="405" t="s">
        <v>333</v>
      </c>
      <c r="S8905" s="405" t="s">
        <v>27155</v>
      </c>
      <c r="T8905" s="405" t="s">
        <v>32102</v>
      </c>
      <c r="U8905" s="405" t="s">
        <v>319</v>
      </c>
    </row>
    <row r="8906" spans="1:21" hidden="1" x14ac:dyDescent="0.25">
      <c r="A8906" s="405" t="s">
        <v>310</v>
      </c>
      <c r="B8906" s="405" t="s">
        <v>10063</v>
      </c>
      <c r="C8906" s="405" t="s">
        <v>327</v>
      </c>
      <c r="D8906" s="405"/>
      <c r="E8906" s="410">
        <v>40543</v>
      </c>
      <c r="F8906" s="410">
        <v>40588</v>
      </c>
      <c r="G8906" s="405" t="s">
        <v>10064</v>
      </c>
      <c r="H8906" s="405">
        <v>775248741</v>
      </c>
      <c r="I8906" s="405"/>
      <c r="J8906" s="405">
        <v>0.69864000000000004</v>
      </c>
      <c r="K8906" s="405">
        <v>34.179617</v>
      </c>
      <c r="L8906" s="405" t="s">
        <v>6866</v>
      </c>
      <c r="M8906" s="405" t="s">
        <v>9534</v>
      </c>
      <c r="N8906" s="405" t="s">
        <v>10065</v>
      </c>
      <c r="O8906" s="405" t="s">
        <v>9881</v>
      </c>
      <c r="P8906" s="405" t="s">
        <v>10066</v>
      </c>
      <c r="Q8906" s="411">
        <v>6</v>
      </c>
      <c r="R8906" s="405" t="s">
        <v>333</v>
      </c>
      <c r="S8906" s="405" t="s">
        <v>27309</v>
      </c>
      <c r="T8906" s="405" t="s">
        <v>32102</v>
      </c>
      <c r="U8906" s="405" t="s">
        <v>319</v>
      </c>
    </row>
    <row r="8907" spans="1:21" hidden="1" x14ac:dyDescent="0.25">
      <c r="A8907" s="405" t="s">
        <v>310</v>
      </c>
      <c r="B8907" s="405" t="s">
        <v>764</v>
      </c>
      <c r="C8907" s="405" t="s">
        <v>327</v>
      </c>
      <c r="D8907" s="405"/>
      <c r="E8907" s="410">
        <v>40543</v>
      </c>
      <c r="F8907" s="410">
        <v>40588</v>
      </c>
      <c r="G8907" s="405" t="s">
        <v>765</v>
      </c>
      <c r="H8907" s="405">
        <v>779450777</v>
      </c>
      <c r="I8907" s="405"/>
      <c r="J8907" s="405">
        <v>0.35445100000000002</v>
      </c>
      <c r="K8907" s="405">
        <v>32.776687000000003</v>
      </c>
      <c r="L8907" s="405" t="s">
        <v>314</v>
      </c>
      <c r="M8907" s="405" t="s">
        <v>329</v>
      </c>
      <c r="N8907" s="405" t="s">
        <v>330</v>
      </c>
      <c r="O8907" s="405" t="s">
        <v>331</v>
      </c>
      <c r="P8907" s="405" t="s">
        <v>766</v>
      </c>
      <c r="Q8907" s="411">
        <v>6</v>
      </c>
      <c r="R8907" s="405" t="s">
        <v>353</v>
      </c>
      <c r="S8907" s="405" t="s">
        <v>27110</v>
      </c>
      <c r="T8907" s="405" t="s">
        <v>32102</v>
      </c>
      <c r="U8907" s="405" t="s">
        <v>319</v>
      </c>
    </row>
    <row r="8908" spans="1:21" hidden="1" x14ac:dyDescent="0.25">
      <c r="A8908" s="405" t="s">
        <v>310</v>
      </c>
      <c r="B8908" s="405" t="s">
        <v>20159</v>
      </c>
      <c r="C8908" s="405" t="s">
        <v>311</v>
      </c>
      <c r="D8908" s="405" t="s">
        <v>1013</v>
      </c>
      <c r="E8908" s="410">
        <v>40543</v>
      </c>
      <c r="F8908" s="410">
        <v>40588</v>
      </c>
      <c r="G8908" s="405" t="s">
        <v>20160</v>
      </c>
      <c r="H8908" s="405">
        <v>775690013</v>
      </c>
      <c r="I8908" s="405"/>
      <c r="J8908" s="405">
        <v>-0.88384600000000002</v>
      </c>
      <c r="K8908" s="405">
        <v>30.248902999999999</v>
      </c>
      <c r="L8908" s="405" t="s">
        <v>590</v>
      </c>
      <c r="M8908" s="405" t="s">
        <v>19659</v>
      </c>
      <c r="N8908" s="405" t="s">
        <v>19681</v>
      </c>
      <c r="O8908" s="405" t="s">
        <v>6748</v>
      </c>
      <c r="P8908" s="405" t="s">
        <v>20161</v>
      </c>
      <c r="Q8908" s="411">
        <v>6</v>
      </c>
      <c r="R8908" s="405" t="s">
        <v>967</v>
      </c>
      <c r="S8908" s="405" t="s">
        <v>27399</v>
      </c>
      <c r="T8908" s="405" t="s">
        <v>32102</v>
      </c>
      <c r="U8908" s="405" t="s">
        <v>319</v>
      </c>
    </row>
    <row r="8909" spans="1:21" hidden="1" x14ac:dyDescent="0.25">
      <c r="A8909" s="405" t="s">
        <v>310</v>
      </c>
      <c r="B8909" s="405" t="s">
        <v>19852</v>
      </c>
      <c r="C8909" s="405" t="s">
        <v>327</v>
      </c>
      <c r="D8909" s="405"/>
      <c r="E8909" s="410">
        <v>40543</v>
      </c>
      <c r="F8909" s="410">
        <v>40588</v>
      </c>
      <c r="G8909" s="405" t="s">
        <v>19853</v>
      </c>
      <c r="H8909" s="405">
        <v>712974494</v>
      </c>
      <c r="I8909" s="405">
        <v>772059698</v>
      </c>
      <c r="J8909" s="405">
        <v>-0.829766</v>
      </c>
      <c r="K8909" s="405">
        <v>29.977630000000001</v>
      </c>
      <c r="L8909" s="405" t="s">
        <v>590</v>
      </c>
      <c r="M8909" s="405" t="s">
        <v>19619</v>
      </c>
      <c r="N8909" s="405" t="s">
        <v>19620</v>
      </c>
      <c r="O8909" s="405" t="s">
        <v>2430</v>
      </c>
      <c r="P8909" s="405" t="s">
        <v>19854</v>
      </c>
      <c r="Q8909" s="411">
        <v>6</v>
      </c>
      <c r="R8909" s="405" t="s">
        <v>874</v>
      </c>
      <c r="S8909" s="405" t="s">
        <v>27395</v>
      </c>
      <c r="T8909" s="405" t="s">
        <v>32102</v>
      </c>
      <c r="U8909" s="405" t="s">
        <v>319</v>
      </c>
    </row>
    <row r="8910" spans="1:21" hidden="1" x14ac:dyDescent="0.25">
      <c r="A8910" s="405" t="s">
        <v>310</v>
      </c>
      <c r="B8910" s="405" t="s">
        <v>725</v>
      </c>
      <c r="C8910" s="405" t="s">
        <v>327</v>
      </c>
      <c r="D8910" s="405"/>
      <c r="E8910" s="410">
        <v>40543</v>
      </c>
      <c r="F8910" s="410">
        <v>40588</v>
      </c>
      <c r="G8910" s="405" t="s">
        <v>726</v>
      </c>
      <c r="H8910" s="405">
        <v>752620236</v>
      </c>
      <c r="I8910" s="405"/>
      <c r="J8910" s="405">
        <v>-0.242341</v>
      </c>
      <c r="K8910" s="405">
        <v>31.312048999999998</v>
      </c>
      <c r="L8910" s="405" t="s">
        <v>314</v>
      </c>
      <c r="M8910" s="405" t="s">
        <v>343</v>
      </c>
      <c r="N8910" s="405" t="s">
        <v>344</v>
      </c>
      <c r="O8910" s="405" t="s">
        <v>727</v>
      </c>
      <c r="P8910" s="405" t="s">
        <v>728</v>
      </c>
      <c r="Q8910" s="411">
        <v>6</v>
      </c>
      <c r="R8910" s="405" t="s">
        <v>318</v>
      </c>
      <c r="S8910" s="405" t="s">
        <v>27125</v>
      </c>
      <c r="T8910" s="405" t="s">
        <v>32102</v>
      </c>
      <c r="U8910" s="405" t="s">
        <v>319</v>
      </c>
    </row>
    <row r="8911" spans="1:21" hidden="1" x14ac:dyDescent="0.25">
      <c r="A8911" s="405" t="s">
        <v>310</v>
      </c>
      <c r="B8911" s="405" t="s">
        <v>27609</v>
      </c>
      <c r="C8911" s="405" t="s">
        <v>311</v>
      </c>
      <c r="D8911" s="405" t="s">
        <v>312</v>
      </c>
      <c r="E8911" s="410">
        <v>40543</v>
      </c>
      <c r="F8911" s="410">
        <v>40588</v>
      </c>
      <c r="G8911" s="405" t="s">
        <v>1401</v>
      </c>
      <c r="H8911" s="405">
        <v>777382010</v>
      </c>
      <c r="I8911" s="405"/>
      <c r="J8911" s="405">
        <v>0.64896500000000001</v>
      </c>
      <c r="K8911" s="405">
        <v>32.977891999999997</v>
      </c>
      <c r="L8911" s="405" t="s">
        <v>314</v>
      </c>
      <c r="M8911" s="405" t="s">
        <v>502</v>
      </c>
      <c r="N8911" s="405" t="s">
        <v>503</v>
      </c>
      <c r="O8911" s="405" t="s">
        <v>504</v>
      </c>
      <c r="P8911" s="405" t="s">
        <v>1402</v>
      </c>
      <c r="Q8911" s="411">
        <v>6</v>
      </c>
      <c r="R8911" s="405" t="s">
        <v>318</v>
      </c>
      <c r="S8911" s="405" t="s">
        <v>27113</v>
      </c>
      <c r="T8911" s="405" t="s">
        <v>32102</v>
      </c>
      <c r="U8911" s="405" t="s">
        <v>319</v>
      </c>
    </row>
    <row r="8912" spans="1:21" hidden="1" x14ac:dyDescent="0.25">
      <c r="A8912" s="405" t="s">
        <v>310</v>
      </c>
      <c r="B8912" s="405" t="s">
        <v>19828</v>
      </c>
      <c r="C8912" s="405" t="s">
        <v>327</v>
      </c>
      <c r="D8912" s="405"/>
      <c r="E8912" s="410">
        <v>40543</v>
      </c>
      <c r="F8912" s="410">
        <v>40588</v>
      </c>
      <c r="G8912" s="405" t="s">
        <v>19829</v>
      </c>
      <c r="H8912" s="405">
        <v>752255931</v>
      </c>
      <c r="I8912" s="405">
        <v>784524842</v>
      </c>
      <c r="J8912" s="405">
        <v>-0.90297799999999995</v>
      </c>
      <c r="K8912" s="405">
        <v>30.389714999999999</v>
      </c>
      <c r="L8912" s="405" t="s">
        <v>590</v>
      </c>
      <c r="M8912" s="405" t="s">
        <v>19659</v>
      </c>
      <c r="N8912" s="405" t="s">
        <v>19664</v>
      </c>
      <c r="O8912" s="405" t="s">
        <v>19701</v>
      </c>
      <c r="P8912" s="405" t="s">
        <v>19830</v>
      </c>
      <c r="Q8912" s="411">
        <v>6</v>
      </c>
      <c r="R8912" s="405" t="s">
        <v>967</v>
      </c>
      <c r="S8912" s="405" t="s">
        <v>27166</v>
      </c>
      <c r="T8912" s="405" t="s">
        <v>32102</v>
      </c>
      <c r="U8912" s="405" t="s">
        <v>319</v>
      </c>
    </row>
    <row r="8913" spans="1:21" hidden="1" x14ac:dyDescent="0.25">
      <c r="A8913" s="405" t="s">
        <v>310</v>
      </c>
      <c r="B8913" s="405" t="s">
        <v>1457</v>
      </c>
      <c r="C8913" s="405" t="s">
        <v>311</v>
      </c>
      <c r="D8913" s="405" t="s">
        <v>921</v>
      </c>
      <c r="E8913" s="410">
        <v>40543</v>
      </c>
      <c r="F8913" s="410">
        <v>40588</v>
      </c>
      <c r="G8913" s="405" t="s">
        <v>1458</v>
      </c>
      <c r="H8913" s="405">
        <v>712948122</v>
      </c>
      <c r="I8913" s="405">
        <v>772522067</v>
      </c>
      <c r="J8913" s="405">
        <v>0.36298999999999998</v>
      </c>
      <c r="K8913" s="405">
        <v>32.738045</v>
      </c>
      <c r="L8913" s="405" t="s">
        <v>314</v>
      </c>
      <c r="M8913" s="405" t="s">
        <v>329</v>
      </c>
      <c r="N8913" s="405" t="s">
        <v>330</v>
      </c>
      <c r="O8913" s="405" t="s">
        <v>706</v>
      </c>
      <c r="P8913" s="405" t="s">
        <v>784</v>
      </c>
      <c r="Q8913" s="411">
        <v>6</v>
      </c>
      <c r="R8913" s="405" t="s">
        <v>318</v>
      </c>
      <c r="S8913" s="405" t="s">
        <v>27149</v>
      </c>
      <c r="T8913" s="405" t="s">
        <v>32102</v>
      </c>
      <c r="U8913" s="405" t="s">
        <v>319</v>
      </c>
    </row>
    <row r="8914" spans="1:21" hidden="1" x14ac:dyDescent="0.25">
      <c r="A8914" s="405" t="s">
        <v>310</v>
      </c>
      <c r="B8914" s="405" t="s">
        <v>799</v>
      </c>
      <c r="C8914" s="405" t="s">
        <v>327</v>
      </c>
      <c r="D8914" s="405"/>
      <c r="E8914" s="410">
        <v>40543</v>
      </c>
      <c r="F8914" s="410">
        <v>40588</v>
      </c>
      <c r="G8914" s="405" t="s">
        <v>800</v>
      </c>
      <c r="H8914" s="405">
        <v>751002313</v>
      </c>
      <c r="I8914" s="405">
        <v>751147209</v>
      </c>
      <c r="J8914" s="405">
        <v>0.48374800000000001</v>
      </c>
      <c r="K8914" s="405">
        <v>32.704208000000001</v>
      </c>
      <c r="L8914" s="405" t="s">
        <v>314</v>
      </c>
      <c r="M8914" s="405" t="s">
        <v>329</v>
      </c>
      <c r="N8914" s="405" t="s">
        <v>545</v>
      </c>
      <c r="O8914" s="405" t="s">
        <v>336</v>
      </c>
      <c r="P8914" s="405" t="s">
        <v>796</v>
      </c>
      <c r="Q8914" s="411">
        <v>6</v>
      </c>
      <c r="R8914" s="405" t="s">
        <v>318</v>
      </c>
      <c r="S8914" s="405" t="s">
        <v>27148</v>
      </c>
      <c r="T8914" s="405" t="s">
        <v>32102</v>
      </c>
      <c r="U8914" s="405" t="s">
        <v>319</v>
      </c>
    </row>
    <row r="8915" spans="1:21" hidden="1" x14ac:dyDescent="0.25">
      <c r="A8915" s="405" t="s">
        <v>310</v>
      </c>
      <c r="B8915" s="405" t="s">
        <v>1453</v>
      </c>
      <c r="C8915" s="405" t="s">
        <v>311</v>
      </c>
      <c r="D8915" s="405" t="s">
        <v>1454</v>
      </c>
      <c r="E8915" s="410">
        <v>40543</v>
      </c>
      <c r="F8915" s="410">
        <v>40588</v>
      </c>
      <c r="G8915" s="405" t="s">
        <v>1455</v>
      </c>
      <c r="H8915" s="405">
        <v>776853084</v>
      </c>
      <c r="I8915" s="405">
        <v>777964243</v>
      </c>
      <c r="J8915" s="405">
        <v>0.37160500000000002</v>
      </c>
      <c r="K8915" s="405">
        <v>32.874093000000002</v>
      </c>
      <c r="L8915" s="405" t="s">
        <v>314</v>
      </c>
      <c r="M8915" s="405" t="s">
        <v>329</v>
      </c>
      <c r="N8915" s="405" t="s">
        <v>528</v>
      </c>
      <c r="O8915" s="405" t="s">
        <v>529</v>
      </c>
      <c r="P8915" s="405" t="s">
        <v>1456</v>
      </c>
      <c r="Q8915" s="411">
        <v>6</v>
      </c>
      <c r="R8915" s="405" t="s">
        <v>318</v>
      </c>
      <c r="S8915" s="405" t="s">
        <v>27148</v>
      </c>
      <c r="T8915" s="405" t="s">
        <v>32102</v>
      </c>
      <c r="U8915" s="405" t="s">
        <v>319</v>
      </c>
    </row>
    <row r="8916" spans="1:21" hidden="1" x14ac:dyDescent="0.25">
      <c r="A8916" s="405" t="s">
        <v>310</v>
      </c>
      <c r="B8916" s="405" t="s">
        <v>822</v>
      </c>
      <c r="C8916" s="405" t="s">
        <v>327</v>
      </c>
      <c r="D8916" s="405"/>
      <c r="E8916" s="410">
        <v>40543</v>
      </c>
      <c r="F8916" s="410">
        <v>40588</v>
      </c>
      <c r="G8916" s="405" t="s">
        <v>823</v>
      </c>
      <c r="H8916" s="405">
        <v>755961709</v>
      </c>
      <c r="I8916" s="405"/>
      <c r="J8916" s="405">
        <v>0.45070700000000002</v>
      </c>
      <c r="K8916" s="405">
        <v>32.715136999999999</v>
      </c>
      <c r="L8916" s="405" t="s">
        <v>314</v>
      </c>
      <c r="M8916" s="405" t="s">
        <v>329</v>
      </c>
      <c r="N8916" s="405" t="s">
        <v>545</v>
      </c>
      <c r="O8916" s="405" t="s">
        <v>336</v>
      </c>
      <c r="P8916" s="405" t="s">
        <v>587</v>
      </c>
      <c r="Q8916" s="411">
        <v>6</v>
      </c>
      <c r="R8916" s="405" t="s">
        <v>353</v>
      </c>
      <c r="S8916" s="405" t="s">
        <v>27158</v>
      </c>
      <c r="T8916" s="405" t="s">
        <v>32102</v>
      </c>
      <c r="U8916" s="405" t="s">
        <v>319</v>
      </c>
    </row>
    <row r="8917" spans="1:21" hidden="1" x14ac:dyDescent="0.25">
      <c r="A8917" s="405" t="s">
        <v>310</v>
      </c>
      <c r="B8917" s="405" t="s">
        <v>1483</v>
      </c>
      <c r="C8917" s="405" t="s">
        <v>311</v>
      </c>
      <c r="D8917" s="405" t="s">
        <v>1013</v>
      </c>
      <c r="E8917" s="410">
        <v>40543</v>
      </c>
      <c r="F8917" s="410">
        <v>40588</v>
      </c>
      <c r="G8917" s="405" t="s">
        <v>1484</v>
      </c>
      <c r="H8917" s="405">
        <v>772468230</v>
      </c>
      <c r="I8917" s="405"/>
      <c r="J8917" s="405">
        <v>0.48428199999999999</v>
      </c>
      <c r="K8917" s="405">
        <v>32.691913</v>
      </c>
      <c r="L8917" s="405" t="s">
        <v>314</v>
      </c>
      <c r="M8917" s="405" t="s">
        <v>329</v>
      </c>
      <c r="N8917" s="405" t="s">
        <v>545</v>
      </c>
      <c r="O8917" s="405" t="s">
        <v>336</v>
      </c>
      <c r="P8917" s="405" t="s">
        <v>1485</v>
      </c>
      <c r="Q8917" s="411">
        <v>6</v>
      </c>
      <c r="R8917" s="405" t="s">
        <v>318</v>
      </c>
      <c r="S8917" s="405" t="s">
        <v>27156</v>
      </c>
      <c r="T8917" s="405" t="s">
        <v>32102</v>
      </c>
      <c r="U8917" s="405" t="s">
        <v>319</v>
      </c>
    </row>
    <row r="8918" spans="1:21" hidden="1" x14ac:dyDescent="0.25">
      <c r="A8918" s="405" t="s">
        <v>310</v>
      </c>
      <c r="B8918" s="405" t="s">
        <v>752</v>
      </c>
      <c r="C8918" s="405" t="s">
        <v>327</v>
      </c>
      <c r="D8918" s="405"/>
      <c r="E8918" s="410">
        <v>40543</v>
      </c>
      <c r="F8918" s="410">
        <v>40588</v>
      </c>
      <c r="G8918" s="405" t="s">
        <v>753</v>
      </c>
      <c r="H8918" s="405">
        <v>778242659</v>
      </c>
      <c r="I8918" s="405"/>
      <c r="J8918" s="405">
        <v>0.65139199999999997</v>
      </c>
      <c r="K8918" s="405">
        <v>32.973672000000001</v>
      </c>
      <c r="L8918" s="405" t="s">
        <v>314</v>
      </c>
      <c r="M8918" s="405" t="s">
        <v>502</v>
      </c>
      <c r="N8918" s="405" t="s">
        <v>503</v>
      </c>
      <c r="O8918" s="405" t="s">
        <v>504</v>
      </c>
      <c r="P8918" s="405" t="s">
        <v>754</v>
      </c>
      <c r="Q8918" s="411">
        <v>6</v>
      </c>
      <c r="R8918" s="405" t="s">
        <v>318</v>
      </c>
      <c r="S8918" s="405" t="s">
        <v>27113</v>
      </c>
      <c r="T8918" s="405" t="s">
        <v>32102</v>
      </c>
      <c r="U8918" s="405" t="s">
        <v>319</v>
      </c>
    </row>
    <row r="8919" spans="1:21" hidden="1" x14ac:dyDescent="0.25">
      <c r="A8919" s="405" t="s">
        <v>310</v>
      </c>
      <c r="B8919" s="405" t="s">
        <v>1436</v>
      </c>
      <c r="C8919" s="405" t="s">
        <v>327</v>
      </c>
      <c r="D8919" s="405"/>
      <c r="E8919" s="410">
        <v>40543</v>
      </c>
      <c r="F8919" s="410">
        <v>40588</v>
      </c>
      <c r="G8919" s="405" t="s">
        <v>1437</v>
      </c>
      <c r="H8919" s="405">
        <v>782824553</v>
      </c>
      <c r="I8919" s="405">
        <v>739524553</v>
      </c>
      <c r="J8919" s="405">
        <v>0.34722199999999998</v>
      </c>
      <c r="K8919" s="405">
        <v>32.744672999999999</v>
      </c>
      <c r="L8919" s="405" t="s">
        <v>314</v>
      </c>
      <c r="M8919" s="405" t="s">
        <v>329</v>
      </c>
      <c r="N8919" s="405" t="s">
        <v>330</v>
      </c>
      <c r="O8919" s="405" t="s">
        <v>331</v>
      </c>
      <c r="P8919" s="405" t="s">
        <v>395</v>
      </c>
      <c r="Q8919" s="411">
        <v>6</v>
      </c>
      <c r="R8919" s="405" t="s">
        <v>318</v>
      </c>
      <c r="S8919" s="405" t="s">
        <v>27113</v>
      </c>
      <c r="T8919" s="406" t="s">
        <v>32102</v>
      </c>
      <c r="U8919" s="406" t="s">
        <v>319</v>
      </c>
    </row>
    <row r="8920" spans="1:21" hidden="1" x14ac:dyDescent="0.25">
      <c r="A8920" s="405" t="s">
        <v>310</v>
      </c>
      <c r="B8920" s="405" t="s">
        <v>704</v>
      </c>
      <c r="C8920" s="405" t="s">
        <v>327</v>
      </c>
      <c r="D8920" s="405"/>
      <c r="E8920" s="410">
        <v>40543</v>
      </c>
      <c r="F8920" s="410">
        <v>40588</v>
      </c>
      <c r="G8920" s="405" t="s">
        <v>705</v>
      </c>
      <c r="H8920" s="405">
        <v>752553171</v>
      </c>
      <c r="I8920" s="405"/>
      <c r="J8920" s="405">
        <v>0.36909439999999999</v>
      </c>
      <c r="K8920" s="405">
        <v>32.757129599999999</v>
      </c>
      <c r="L8920" s="405" t="s">
        <v>314</v>
      </c>
      <c r="M8920" s="405" t="s">
        <v>329</v>
      </c>
      <c r="N8920" s="405" t="s">
        <v>330</v>
      </c>
      <c r="O8920" s="405" t="s">
        <v>706</v>
      </c>
      <c r="P8920" s="405" t="s">
        <v>707</v>
      </c>
      <c r="Q8920" s="411">
        <v>6</v>
      </c>
      <c r="R8920" s="405" t="s">
        <v>318</v>
      </c>
      <c r="S8920" s="405" t="s">
        <v>27035</v>
      </c>
      <c r="T8920" s="406" t="s">
        <v>32102</v>
      </c>
      <c r="U8920" s="406" t="s">
        <v>319</v>
      </c>
    </row>
    <row r="8921" spans="1:21" hidden="1" x14ac:dyDescent="0.25">
      <c r="A8921" s="405" t="s">
        <v>310</v>
      </c>
      <c r="B8921" s="405" t="s">
        <v>760</v>
      </c>
      <c r="C8921" s="405" t="s">
        <v>327</v>
      </c>
      <c r="D8921" s="405"/>
      <c r="E8921" s="410">
        <v>40543</v>
      </c>
      <c r="F8921" s="410">
        <v>40588</v>
      </c>
      <c r="G8921" s="405" t="s">
        <v>761</v>
      </c>
      <c r="H8921" s="405">
        <v>750132801</v>
      </c>
      <c r="I8921" s="405"/>
      <c r="J8921" s="405">
        <v>0.35445100000000002</v>
      </c>
      <c r="K8921" s="405">
        <v>32.776687000000003</v>
      </c>
      <c r="L8921" s="405" t="s">
        <v>314</v>
      </c>
      <c r="M8921" s="405" t="s">
        <v>329</v>
      </c>
      <c r="N8921" s="405" t="s">
        <v>330</v>
      </c>
      <c r="O8921" s="405" t="s">
        <v>331</v>
      </c>
      <c r="P8921" s="405" t="s">
        <v>508</v>
      </c>
      <c r="Q8921" s="411">
        <v>6</v>
      </c>
      <c r="R8921" s="405" t="s">
        <v>353</v>
      </c>
      <c r="S8921" s="405" t="s">
        <v>27110</v>
      </c>
      <c r="T8921" s="406" t="s">
        <v>32102</v>
      </c>
      <c r="U8921" s="406" t="s">
        <v>319</v>
      </c>
    </row>
    <row r="8922" spans="1:21" hidden="1" x14ac:dyDescent="0.25">
      <c r="A8922" s="405" t="s">
        <v>310</v>
      </c>
      <c r="B8922" s="405" t="s">
        <v>1462</v>
      </c>
      <c r="C8922" s="405" t="s">
        <v>311</v>
      </c>
      <c r="D8922" s="405" t="s">
        <v>932</v>
      </c>
      <c r="E8922" s="410">
        <v>40543</v>
      </c>
      <c r="F8922" s="410">
        <v>40588</v>
      </c>
      <c r="G8922" s="405" t="s">
        <v>1463</v>
      </c>
      <c r="H8922" s="405">
        <v>782186648</v>
      </c>
      <c r="I8922" s="405"/>
      <c r="J8922" s="405">
        <v>0.38077299999999997</v>
      </c>
      <c r="K8922" s="405">
        <v>32.750779000000001</v>
      </c>
      <c r="L8922" s="405" t="s">
        <v>314</v>
      </c>
      <c r="M8922" s="405" t="s">
        <v>329</v>
      </c>
      <c r="N8922" s="405" t="s">
        <v>545</v>
      </c>
      <c r="O8922" s="405" t="s">
        <v>546</v>
      </c>
      <c r="P8922" s="405" t="s">
        <v>1464</v>
      </c>
      <c r="Q8922" s="411">
        <v>6</v>
      </c>
      <c r="R8922" s="405" t="s">
        <v>353</v>
      </c>
      <c r="S8922" s="405" t="s">
        <v>27147</v>
      </c>
      <c r="T8922" s="406" t="s">
        <v>32102</v>
      </c>
      <c r="U8922" s="406" t="s">
        <v>319</v>
      </c>
    </row>
    <row r="8923" spans="1:21" hidden="1" x14ac:dyDescent="0.25">
      <c r="A8923" s="405" t="s">
        <v>310</v>
      </c>
      <c r="B8923" s="405" t="s">
        <v>774</v>
      </c>
      <c r="C8923" s="405" t="s">
        <v>327</v>
      </c>
      <c r="D8923" s="405"/>
      <c r="E8923" s="410">
        <v>40543</v>
      </c>
      <c r="F8923" s="410">
        <v>40588</v>
      </c>
      <c r="G8923" s="405" t="s">
        <v>775</v>
      </c>
      <c r="H8923" s="405">
        <v>712364619</v>
      </c>
      <c r="I8923" s="405">
        <v>776315758</v>
      </c>
      <c r="J8923" s="405">
        <v>0.34357700000000002</v>
      </c>
      <c r="K8923" s="405">
        <v>32.740904999999998</v>
      </c>
      <c r="L8923" s="405" t="s">
        <v>314</v>
      </c>
      <c r="M8923" s="405" t="s">
        <v>329</v>
      </c>
      <c r="N8923" s="405" t="s">
        <v>330</v>
      </c>
      <c r="O8923" s="405" t="s">
        <v>331</v>
      </c>
      <c r="P8923" s="405" t="s">
        <v>395</v>
      </c>
      <c r="Q8923" s="411">
        <v>6</v>
      </c>
      <c r="R8923" s="405" t="s">
        <v>333</v>
      </c>
      <c r="S8923" s="405" t="s">
        <v>27124</v>
      </c>
      <c r="T8923" s="406" t="s">
        <v>32102</v>
      </c>
      <c r="U8923" s="406" t="s">
        <v>319</v>
      </c>
    </row>
    <row r="8924" spans="1:21" hidden="1" x14ac:dyDescent="0.25">
      <c r="A8924" s="405" t="s">
        <v>310</v>
      </c>
      <c r="B8924" s="405" t="s">
        <v>834</v>
      </c>
      <c r="C8924" s="405" t="s">
        <v>327</v>
      </c>
      <c r="D8924" s="405"/>
      <c r="E8924" s="410">
        <v>40543</v>
      </c>
      <c r="F8924" s="410">
        <v>40588</v>
      </c>
      <c r="G8924" s="405" t="s">
        <v>835</v>
      </c>
      <c r="H8924" s="405">
        <v>785583035</v>
      </c>
      <c r="I8924" s="405"/>
      <c r="J8924" s="405">
        <v>0.286887</v>
      </c>
      <c r="K8924" s="405">
        <v>32.765934999999999</v>
      </c>
      <c r="L8924" s="405" t="s">
        <v>314</v>
      </c>
      <c r="M8924" s="405" t="s">
        <v>329</v>
      </c>
      <c r="N8924" s="405" t="s">
        <v>803</v>
      </c>
      <c r="O8924" s="405" t="s">
        <v>653</v>
      </c>
      <c r="P8924" s="405" t="s">
        <v>836</v>
      </c>
      <c r="Q8924" s="411">
        <v>6</v>
      </c>
      <c r="R8924" s="405" t="s">
        <v>318</v>
      </c>
      <c r="S8924" s="405" t="s">
        <v>27141</v>
      </c>
      <c r="T8924" s="406" t="s">
        <v>32102</v>
      </c>
      <c r="U8924" s="406" t="s">
        <v>319</v>
      </c>
    </row>
    <row r="8925" spans="1:21" hidden="1" x14ac:dyDescent="0.25">
      <c r="A8925" s="405" t="s">
        <v>310</v>
      </c>
      <c r="B8925" s="405" t="s">
        <v>776</v>
      </c>
      <c r="C8925" s="405" t="s">
        <v>327</v>
      </c>
      <c r="D8925" s="405"/>
      <c r="E8925" s="410">
        <v>40543</v>
      </c>
      <c r="F8925" s="410">
        <v>40588</v>
      </c>
      <c r="G8925" s="405" t="s">
        <v>777</v>
      </c>
      <c r="H8925" s="405">
        <v>772476459</v>
      </c>
      <c r="I8925" s="405">
        <v>70247659</v>
      </c>
      <c r="J8925" s="405">
        <v>0.35780600000000001</v>
      </c>
      <c r="K8925" s="405">
        <v>32.729253999999997</v>
      </c>
      <c r="L8925" s="405" t="s">
        <v>314</v>
      </c>
      <c r="M8925" s="405" t="s">
        <v>329</v>
      </c>
      <c r="N8925" s="405" t="s">
        <v>330</v>
      </c>
      <c r="O8925" s="405" t="s">
        <v>331</v>
      </c>
      <c r="P8925" s="405" t="s">
        <v>778</v>
      </c>
      <c r="Q8925" s="411">
        <v>6</v>
      </c>
      <c r="R8925" s="405" t="s">
        <v>353</v>
      </c>
      <c r="S8925" s="405" t="s">
        <v>27120</v>
      </c>
      <c r="T8925" s="406" t="s">
        <v>32102</v>
      </c>
      <c r="U8925" s="406" t="s">
        <v>319</v>
      </c>
    </row>
    <row r="8926" spans="1:21" hidden="1" x14ac:dyDescent="0.25">
      <c r="A8926" s="405" t="s">
        <v>310</v>
      </c>
      <c r="B8926" s="405" t="s">
        <v>755</v>
      </c>
      <c r="C8926" s="405" t="s">
        <v>327</v>
      </c>
      <c r="D8926" s="405"/>
      <c r="E8926" s="410">
        <v>40543</v>
      </c>
      <c r="F8926" s="410">
        <v>40588</v>
      </c>
      <c r="G8926" s="405" t="s">
        <v>756</v>
      </c>
      <c r="H8926" s="405">
        <v>772610212</v>
      </c>
      <c r="I8926" s="405"/>
      <c r="J8926" s="405">
        <v>0.24663199999999999</v>
      </c>
      <c r="K8926" s="405">
        <v>32.921492000000001</v>
      </c>
      <c r="L8926" s="405" t="s">
        <v>314</v>
      </c>
      <c r="M8926" s="405" t="s">
        <v>349</v>
      </c>
      <c r="N8926" s="405" t="s">
        <v>549</v>
      </c>
      <c r="O8926" s="405" t="s">
        <v>686</v>
      </c>
      <c r="P8926" s="405" t="s">
        <v>757</v>
      </c>
      <c r="Q8926" s="411">
        <v>6</v>
      </c>
      <c r="R8926" s="405" t="s">
        <v>353</v>
      </c>
      <c r="S8926" s="405" t="s">
        <v>27110</v>
      </c>
      <c r="T8926" s="406" t="s">
        <v>32102</v>
      </c>
      <c r="U8926" s="406" t="s">
        <v>319</v>
      </c>
    </row>
    <row r="8927" spans="1:21" hidden="1" x14ac:dyDescent="0.25">
      <c r="A8927" s="405" t="s">
        <v>310</v>
      </c>
      <c r="B8927" s="405" t="s">
        <v>772</v>
      </c>
      <c r="C8927" s="405" t="s">
        <v>327</v>
      </c>
      <c r="D8927" s="405"/>
      <c r="E8927" s="410">
        <v>40543</v>
      </c>
      <c r="F8927" s="410">
        <v>40588</v>
      </c>
      <c r="G8927" s="405" t="s">
        <v>773</v>
      </c>
      <c r="H8927" s="405">
        <v>782471823</v>
      </c>
      <c r="I8927" s="405"/>
      <c r="J8927" s="405">
        <v>0.34445799999999999</v>
      </c>
      <c r="K8927" s="405">
        <v>32.740363000000002</v>
      </c>
      <c r="L8927" s="405" t="s">
        <v>314</v>
      </c>
      <c r="M8927" s="405" t="s">
        <v>329</v>
      </c>
      <c r="N8927" s="405" t="s">
        <v>330</v>
      </c>
      <c r="O8927" s="405" t="s">
        <v>331</v>
      </c>
      <c r="P8927" s="405" t="s">
        <v>395</v>
      </c>
      <c r="Q8927" s="411">
        <v>6</v>
      </c>
      <c r="R8927" s="405" t="s">
        <v>333</v>
      </c>
      <c r="S8927" s="405" t="s">
        <v>27136</v>
      </c>
      <c r="T8927" s="406" t="s">
        <v>32102</v>
      </c>
      <c r="U8927" s="406" t="s">
        <v>319</v>
      </c>
    </row>
    <row r="8928" spans="1:21" hidden="1" x14ac:dyDescent="0.25">
      <c r="A8928" s="405" t="s">
        <v>310</v>
      </c>
      <c r="B8928" s="405" t="s">
        <v>9987</v>
      </c>
      <c r="C8928" s="405" t="s">
        <v>327</v>
      </c>
      <c r="D8928" s="405"/>
      <c r="E8928" s="410">
        <v>40543</v>
      </c>
      <c r="F8928" s="410">
        <v>40588</v>
      </c>
      <c r="G8928" s="405" t="s">
        <v>9988</v>
      </c>
      <c r="H8928" s="405">
        <v>752192604</v>
      </c>
      <c r="I8928" s="405"/>
      <c r="J8928" s="405">
        <v>0.61633159999999998</v>
      </c>
      <c r="K8928" s="405">
        <v>33.479212099999998</v>
      </c>
      <c r="L8928" s="405" t="s">
        <v>6866</v>
      </c>
      <c r="M8928" s="405" t="s">
        <v>5411</v>
      </c>
      <c r="N8928" s="405" t="s">
        <v>9984</v>
      </c>
      <c r="O8928" s="405" t="s">
        <v>9989</v>
      </c>
      <c r="P8928" s="405" t="s">
        <v>9990</v>
      </c>
      <c r="Q8928" s="411">
        <v>6</v>
      </c>
      <c r="R8928" s="405" t="s">
        <v>318</v>
      </c>
      <c r="S8928" s="405" t="s">
        <v>27174</v>
      </c>
      <c r="T8928" s="406" t="s">
        <v>32102</v>
      </c>
      <c r="U8928" s="406" t="s">
        <v>319</v>
      </c>
    </row>
    <row r="8929" spans="1:21" hidden="1" x14ac:dyDescent="0.25">
      <c r="A8929" s="405" t="s">
        <v>310</v>
      </c>
      <c r="B8929" s="405" t="s">
        <v>729</v>
      </c>
      <c r="C8929" s="405" t="s">
        <v>327</v>
      </c>
      <c r="D8929" s="405"/>
      <c r="E8929" s="410">
        <v>40543</v>
      </c>
      <c r="F8929" s="410">
        <v>40588</v>
      </c>
      <c r="G8929" s="405" t="s">
        <v>730</v>
      </c>
      <c r="H8929" s="405">
        <v>752879296</v>
      </c>
      <c r="I8929" s="405">
        <v>779896552</v>
      </c>
      <c r="J8929" s="405">
        <v>-0.24821599999999999</v>
      </c>
      <c r="K8929" s="405">
        <v>31.307124000000002</v>
      </c>
      <c r="L8929" s="405" t="s">
        <v>314</v>
      </c>
      <c r="M8929" s="405" t="s">
        <v>343</v>
      </c>
      <c r="N8929" s="405" t="s">
        <v>344</v>
      </c>
      <c r="O8929" s="405" t="s">
        <v>727</v>
      </c>
      <c r="P8929" s="405" t="s">
        <v>731</v>
      </c>
      <c r="Q8929" s="411">
        <v>6</v>
      </c>
      <c r="R8929" s="405" t="s">
        <v>318</v>
      </c>
      <c r="S8929" s="405" t="s">
        <v>22481</v>
      </c>
      <c r="T8929" s="406" t="s">
        <v>32102</v>
      </c>
      <c r="U8929" s="406" t="s">
        <v>319</v>
      </c>
    </row>
    <row r="8930" spans="1:21" hidden="1" x14ac:dyDescent="0.25">
      <c r="A8930" s="405" t="s">
        <v>310</v>
      </c>
      <c r="B8930" s="405" t="s">
        <v>735</v>
      </c>
      <c r="C8930" s="405" t="s">
        <v>327</v>
      </c>
      <c r="D8930" s="405"/>
      <c r="E8930" s="410">
        <v>40543</v>
      </c>
      <c r="F8930" s="410">
        <v>40588</v>
      </c>
      <c r="G8930" s="405" t="s">
        <v>736</v>
      </c>
      <c r="H8930" s="405">
        <v>700437243</v>
      </c>
      <c r="I8930" s="405"/>
      <c r="J8930" s="405">
        <v>-0.24195700000000001</v>
      </c>
      <c r="K8930" s="405">
        <v>31.405277999999999</v>
      </c>
      <c r="L8930" s="405" t="s">
        <v>314</v>
      </c>
      <c r="M8930" s="405" t="s">
        <v>343</v>
      </c>
      <c r="N8930" s="405" t="s">
        <v>344</v>
      </c>
      <c r="O8930" s="405" t="s">
        <v>727</v>
      </c>
      <c r="P8930" s="405" t="s">
        <v>737</v>
      </c>
      <c r="Q8930" s="411">
        <v>6</v>
      </c>
      <c r="R8930" s="405" t="s">
        <v>318</v>
      </c>
      <c r="S8930" s="405" t="s">
        <v>27126</v>
      </c>
      <c r="T8930" s="406" t="s">
        <v>32102</v>
      </c>
      <c r="U8930" s="406" t="s">
        <v>319</v>
      </c>
    </row>
    <row r="8931" spans="1:21" hidden="1" x14ac:dyDescent="0.25">
      <c r="A8931" s="405" t="s">
        <v>310</v>
      </c>
      <c r="B8931" s="405" t="s">
        <v>19863</v>
      </c>
      <c r="C8931" s="405" t="s">
        <v>327</v>
      </c>
      <c r="D8931" s="405"/>
      <c r="E8931" s="410">
        <v>40543</v>
      </c>
      <c r="F8931" s="410">
        <v>40588</v>
      </c>
      <c r="G8931" s="405" t="s">
        <v>19864</v>
      </c>
      <c r="H8931" s="405">
        <v>784377452</v>
      </c>
      <c r="I8931" s="405"/>
      <c r="J8931" s="405">
        <v>-0.83655299999999999</v>
      </c>
      <c r="K8931" s="405">
        <v>30.260294999999999</v>
      </c>
      <c r="L8931" s="405" t="s">
        <v>590</v>
      </c>
      <c r="M8931" s="405" t="s">
        <v>19659</v>
      </c>
      <c r="N8931" s="405" t="s">
        <v>19681</v>
      </c>
      <c r="O8931" s="405" t="s">
        <v>9881</v>
      </c>
      <c r="P8931" s="405" t="s">
        <v>19865</v>
      </c>
      <c r="Q8931" s="411">
        <v>6</v>
      </c>
      <c r="R8931" s="405" t="s">
        <v>967</v>
      </c>
      <c r="S8931" s="405" t="s">
        <v>27393</v>
      </c>
      <c r="T8931" s="406" t="s">
        <v>32102</v>
      </c>
      <c r="U8931" s="406" t="s">
        <v>319</v>
      </c>
    </row>
    <row r="8932" spans="1:21" hidden="1" x14ac:dyDescent="0.25">
      <c r="A8932" s="405" t="s">
        <v>310</v>
      </c>
      <c r="B8932" s="405" t="s">
        <v>19858</v>
      </c>
      <c r="C8932" s="405" t="s">
        <v>327</v>
      </c>
      <c r="D8932" s="405"/>
      <c r="E8932" s="410">
        <v>40543</v>
      </c>
      <c r="F8932" s="410">
        <v>40588</v>
      </c>
      <c r="G8932" s="405" t="s">
        <v>19859</v>
      </c>
      <c r="H8932" s="405">
        <v>782904873</v>
      </c>
      <c r="I8932" s="405"/>
      <c r="J8932" s="405">
        <v>-0.81142000000000003</v>
      </c>
      <c r="K8932" s="405">
        <v>29.965734000000001</v>
      </c>
      <c r="L8932" s="405" t="s">
        <v>590</v>
      </c>
      <c r="M8932" s="405" t="s">
        <v>19619</v>
      </c>
      <c r="N8932" s="405" t="s">
        <v>19620</v>
      </c>
      <c r="O8932" s="405" t="s">
        <v>2430</v>
      </c>
      <c r="P8932" s="405" t="s">
        <v>19860</v>
      </c>
      <c r="Q8932" s="411">
        <v>6</v>
      </c>
      <c r="R8932" s="405" t="s">
        <v>333</v>
      </c>
      <c r="S8932" s="405" t="s">
        <v>27127</v>
      </c>
      <c r="T8932" s="406" t="s">
        <v>32102</v>
      </c>
      <c r="U8932" s="406" t="s">
        <v>319</v>
      </c>
    </row>
    <row r="8933" spans="1:21" hidden="1" x14ac:dyDescent="0.25">
      <c r="A8933" s="405" t="s">
        <v>310</v>
      </c>
      <c r="B8933" s="405" t="s">
        <v>27992</v>
      </c>
      <c r="C8933" s="405" t="s">
        <v>311</v>
      </c>
      <c r="D8933" s="405" t="s">
        <v>1013</v>
      </c>
      <c r="E8933" s="410">
        <v>40543</v>
      </c>
      <c r="F8933" s="410">
        <v>40588</v>
      </c>
      <c r="G8933" s="405" t="s">
        <v>1367</v>
      </c>
      <c r="H8933" s="405">
        <v>772607224</v>
      </c>
      <c r="I8933" s="405">
        <v>701607224</v>
      </c>
      <c r="J8933" s="405">
        <v>0.262318</v>
      </c>
      <c r="K8933" s="405">
        <v>32.223528999999999</v>
      </c>
      <c r="L8933" s="405" t="s">
        <v>314</v>
      </c>
      <c r="M8933" s="405" t="s">
        <v>315</v>
      </c>
      <c r="N8933" s="405" t="s">
        <v>718</v>
      </c>
      <c r="O8933" s="405" t="s">
        <v>719</v>
      </c>
      <c r="P8933" s="405" t="s">
        <v>346</v>
      </c>
      <c r="Q8933" s="411">
        <v>6</v>
      </c>
      <c r="R8933" s="405" t="s">
        <v>318</v>
      </c>
      <c r="S8933" s="405" t="s">
        <v>414</v>
      </c>
      <c r="T8933" s="406" t="s">
        <v>32102</v>
      </c>
      <c r="U8933" s="406" t="s">
        <v>319</v>
      </c>
    </row>
    <row r="8934" spans="1:21" hidden="1" x14ac:dyDescent="0.25">
      <c r="A8934" s="405" t="s">
        <v>310</v>
      </c>
      <c r="B8934" s="405" t="s">
        <v>28012</v>
      </c>
      <c r="C8934" s="405" t="s">
        <v>327</v>
      </c>
      <c r="D8934" s="405"/>
      <c r="E8934" s="410">
        <v>40543</v>
      </c>
      <c r="F8934" s="410">
        <v>40588</v>
      </c>
      <c r="G8934" s="405" t="s">
        <v>712</v>
      </c>
      <c r="H8934" s="405">
        <v>774083382</v>
      </c>
      <c r="I8934" s="405"/>
      <c r="J8934" s="405">
        <v>0.3654</v>
      </c>
      <c r="K8934" s="405">
        <v>32.763174999999997</v>
      </c>
      <c r="L8934" s="405" t="s">
        <v>314</v>
      </c>
      <c r="M8934" s="405" t="s">
        <v>329</v>
      </c>
      <c r="N8934" s="405" t="s">
        <v>330</v>
      </c>
      <c r="O8934" s="405" t="s">
        <v>331</v>
      </c>
      <c r="P8934" s="405" t="s">
        <v>707</v>
      </c>
      <c r="Q8934" s="411">
        <v>6</v>
      </c>
      <c r="R8934" s="405" t="s">
        <v>318</v>
      </c>
      <c r="S8934" s="405" t="s">
        <v>27035</v>
      </c>
      <c r="T8934" s="406" t="s">
        <v>32102</v>
      </c>
      <c r="U8934" s="406" t="s">
        <v>319</v>
      </c>
    </row>
    <row r="8935" spans="1:21" hidden="1" x14ac:dyDescent="0.25">
      <c r="A8935" s="405" t="s">
        <v>310</v>
      </c>
      <c r="B8935" s="405" t="s">
        <v>20156</v>
      </c>
      <c r="C8935" s="405" t="s">
        <v>311</v>
      </c>
      <c r="D8935" s="405" t="s">
        <v>6092</v>
      </c>
      <c r="E8935" s="410">
        <v>40543</v>
      </c>
      <c r="F8935" s="410">
        <v>40588</v>
      </c>
      <c r="G8935" s="405" t="s">
        <v>20157</v>
      </c>
      <c r="H8935" s="405">
        <v>701827640</v>
      </c>
      <c r="I8935" s="405"/>
      <c r="J8935" s="405">
        <v>-0.83733599999999997</v>
      </c>
      <c r="K8935" s="405">
        <v>30.259689999999999</v>
      </c>
      <c r="L8935" s="405" t="s">
        <v>590</v>
      </c>
      <c r="M8935" s="405" t="s">
        <v>19659</v>
      </c>
      <c r="N8935" s="405" t="s">
        <v>19681</v>
      </c>
      <c r="O8935" s="405" t="s">
        <v>9881</v>
      </c>
      <c r="P8935" s="405" t="s">
        <v>19865</v>
      </c>
      <c r="Q8935" s="411">
        <v>6</v>
      </c>
      <c r="R8935" s="405" t="s">
        <v>967</v>
      </c>
      <c r="S8935" s="405" t="s">
        <v>27393</v>
      </c>
      <c r="T8935" s="406" t="s">
        <v>32102</v>
      </c>
      <c r="U8935" s="406" t="s">
        <v>319</v>
      </c>
    </row>
    <row r="8936" spans="1:21" hidden="1" x14ac:dyDescent="0.25">
      <c r="A8936" s="405" t="s">
        <v>310</v>
      </c>
      <c r="B8936" s="405" t="s">
        <v>812</v>
      </c>
      <c r="C8936" s="405" t="s">
        <v>327</v>
      </c>
      <c r="D8936" s="405"/>
      <c r="E8936" s="410">
        <v>40543</v>
      </c>
      <c r="F8936" s="410">
        <v>40588</v>
      </c>
      <c r="G8936" s="405" t="s">
        <v>813</v>
      </c>
      <c r="H8936" s="405">
        <v>773843521</v>
      </c>
      <c r="I8936" s="405"/>
      <c r="J8936" s="405">
        <v>0.64481299999999997</v>
      </c>
      <c r="K8936" s="405">
        <v>32.833938000000003</v>
      </c>
      <c r="L8936" s="405" t="s">
        <v>314</v>
      </c>
      <c r="M8936" s="405" t="s">
        <v>329</v>
      </c>
      <c r="N8936" s="405" t="s">
        <v>528</v>
      </c>
      <c r="O8936" s="405" t="s">
        <v>648</v>
      </c>
      <c r="P8936" s="405" t="s">
        <v>814</v>
      </c>
      <c r="Q8936" s="411">
        <v>6</v>
      </c>
      <c r="R8936" s="405" t="s">
        <v>353</v>
      </c>
      <c r="S8936" s="405" t="s">
        <v>27136</v>
      </c>
      <c r="T8936" s="406" t="s">
        <v>32102</v>
      </c>
      <c r="U8936" s="406" t="s">
        <v>319</v>
      </c>
    </row>
    <row r="8937" spans="1:21" hidden="1" x14ac:dyDescent="0.25">
      <c r="A8937" s="405" t="s">
        <v>310</v>
      </c>
      <c r="B8937" s="405" t="s">
        <v>831</v>
      </c>
      <c r="C8937" s="405" t="s">
        <v>327</v>
      </c>
      <c r="D8937" s="405"/>
      <c r="E8937" s="410">
        <v>40543</v>
      </c>
      <c r="F8937" s="410">
        <v>40588</v>
      </c>
      <c r="G8937" s="405" t="s">
        <v>832</v>
      </c>
      <c r="H8937" s="405">
        <v>772612850</v>
      </c>
      <c r="I8937" s="405">
        <v>752612850</v>
      </c>
      <c r="J8937" s="405">
        <v>0.35514400000000002</v>
      </c>
      <c r="K8937" s="405">
        <v>32.775474000000003</v>
      </c>
      <c r="L8937" s="405" t="s">
        <v>314</v>
      </c>
      <c r="M8937" s="405" t="s">
        <v>329</v>
      </c>
      <c r="N8937" s="405" t="s">
        <v>330</v>
      </c>
      <c r="O8937" s="405" t="s">
        <v>331</v>
      </c>
      <c r="P8937" s="405" t="s">
        <v>833</v>
      </c>
      <c r="Q8937" s="411">
        <v>6</v>
      </c>
      <c r="R8937" s="405" t="s">
        <v>318</v>
      </c>
      <c r="S8937" s="405" t="s">
        <v>27124</v>
      </c>
      <c r="T8937" s="406" t="s">
        <v>32102</v>
      </c>
      <c r="U8937" s="406" t="s">
        <v>319</v>
      </c>
    </row>
    <row r="8938" spans="1:21" hidden="1" x14ac:dyDescent="0.25">
      <c r="A8938" s="405" t="s">
        <v>310</v>
      </c>
      <c r="B8938" s="405" t="s">
        <v>749</v>
      </c>
      <c r="C8938" s="405" t="s">
        <v>327</v>
      </c>
      <c r="D8938" s="405"/>
      <c r="E8938" s="410">
        <v>40543</v>
      </c>
      <c r="F8938" s="410">
        <v>40588</v>
      </c>
      <c r="G8938" s="405" t="s">
        <v>750</v>
      </c>
      <c r="H8938" s="405">
        <v>703103877</v>
      </c>
      <c r="I8938" s="405"/>
      <c r="J8938" s="405">
        <v>0.64004700000000003</v>
      </c>
      <c r="K8938" s="405">
        <v>32.990833000000002</v>
      </c>
      <c r="L8938" s="405" t="s">
        <v>314</v>
      </c>
      <c r="M8938" s="405" t="s">
        <v>502</v>
      </c>
      <c r="N8938" s="405" t="s">
        <v>503</v>
      </c>
      <c r="O8938" s="405" t="s">
        <v>504</v>
      </c>
      <c r="P8938" s="405" t="s">
        <v>751</v>
      </c>
      <c r="Q8938" s="411">
        <v>6</v>
      </c>
      <c r="R8938" s="405" t="s">
        <v>318</v>
      </c>
      <c r="S8938" s="405" t="s">
        <v>27113</v>
      </c>
      <c r="T8938" s="406" t="s">
        <v>32102</v>
      </c>
      <c r="U8938" s="406" t="s">
        <v>319</v>
      </c>
    </row>
    <row r="8939" spans="1:21" hidden="1" x14ac:dyDescent="0.25">
      <c r="A8939" s="405" t="s">
        <v>310</v>
      </c>
      <c r="B8939" s="405" t="s">
        <v>843</v>
      </c>
      <c r="C8939" s="405" t="s">
        <v>327</v>
      </c>
      <c r="D8939" s="405"/>
      <c r="E8939" s="410">
        <v>40543</v>
      </c>
      <c r="F8939" s="410">
        <v>40588</v>
      </c>
      <c r="G8939" s="405" t="s">
        <v>844</v>
      </c>
      <c r="H8939" s="405">
        <v>701407440</v>
      </c>
      <c r="I8939" s="405"/>
      <c r="J8939" s="405">
        <v>0.277397</v>
      </c>
      <c r="K8939" s="405">
        <v>32.767792</v>
      </c>
      <c r="L8939" s="405" t="s">
        <v>314</v>
      </c>
      <c r="M8939" s="405" t="s">
        <v>329</v>
      </c>
      <c r="N8939" s="405" t="s">
        <v>803</v>
      </c>
      <c r="O8939" s="405" t="s">
        <v>653</v>
      </c>
      <c r="P8939" s="405" t="s">
        <v>845</v>
      </c>
      <c r="Q8939" s="411">
        <v>6</v>
      </c>
      <c r="R8939" s="405" t="s">
        <v>353</v>
      </c>
      <c r="S8939" s="405" t="s">
        <v>27049</v>
      </c>
      <c r="T8939" s="406" t="s">
        <v>32102</v>
      </c>
      <c r="U8939" s="406" t="s">
        <v>319</v>
      </c>
    </row>
    <row r="8940" spans="1:21" hidden="1" x14ac:dyDescent="0.25">
      <c r="A8940" s="405" t="s">
        <v>310</v>
      </c>
      <c r="B8940" s="405" t="s">
        <v>10050</v>
      </c>
      <c r="C8940" s="405" t="s">
        <v>327</v>
      </c>
      <c r="D8940" s="405"/>
      <c r="E8940" s="410">
        <v>40543</v>
      </c>
      <c r="F8940" s="410">
        <v>40588</v>
      </c>
      <c r="G8940" s="405" t="s">
        <v>10051</v>
      </c>
      <c r="H8940" s="405">
        <v>782955251</v>
      </c>
      <c r="I8940" s="405"/>
      <c r="J8940" s="405">
        <v>1.320155</v>
      </c>
      <c r="K8940" s="405">
        <v>34.302525000000003</v>
      </c>
      <c r="L8940" s="405" t="s">
        <v>6866</v>
      </c>
      <c r="M8940" s="405" t="s">
        <v>9550</v>
      </c>
      <c r="N8940" s="405" t="s">
        <v>9550</v>
      </c>
      <c r="O8940" s="405" t="s">
        <v>9639</v>
      </c>
      <c r="P8940" s="405" t="s">
        <v>10052</v>
      </c>
      <c r="Q8940" s="411">
        <v>6</v>
      </c>
      <c r="R8940" s="405" t="s">
        <v>333</v>
      </c>
      <c r="S8940" s="405" t="s">
        <v>27200</v>
      </c>
      <c r="T8940" s="406" t="s">
        <v>32102</v>
      </c>
      <c r="U8940" s="406" t="s">
        <v>319</v>
      </c>
    </row>
    <row r="8941" spans="1:21" hidden="1" x14ac:dyDescent="0.25">
      <c r="A8941" s="405" t="s">
        <v>310</v>
      </c>
      <c r="B8941" s="405" t="s">
        <v>716</v>
      </c>
      <c r="C8941" s="405" t="s">
        <v>327</v>
      </c>
      <c r="D8941" s="405"/>
      <c r="E8941" s="410">
        <v>40543</v>
      </c>
      <c r="F8941" s="410">
        <v>40588</v>
      </c>
      <c r="G8941" s="405" t="s">
        <v>717</v>
      </c>
      <c r="H8941" s="405">
        <v>772965785</v>
      </c>
      <c r="I8941" s="405">
        <v>772017815</v>
      </c>
      <c r="J8941" s="405">
        <v>0.25016500000000003</v>
      </c>
      <c r="K8941" s="405">
        <v>32.197279000000002</v>
      </c>
      <c r="L8941" s="405" t="s">
        <v>314</v>
      </c>
      <c r="M8941" s="405" t="s">
        <v>315</v>
      </c>
      <c r="N8941" s="405" t="s">
        <v>718</v>
      </c>
      <c r="O8941" s="405" t="s">
        <v>719</v>
      </c>
      <c r="P8941" s="405" t="s">
        <v>720</v>
      </c>
      <c r="Q8941" s="411">
        <v>6</v>
      </c>
      <c r="R8941" s="405" t="s">
        <v>353</v>
      </c>
      <c r="S8941" s="405" t="s">
        <v>27136</v>
      </c>
      <c r="T8941" s="406" t="s">
        <v>32102</v>
      </c>
      <c r="U8941" s="406" t="s">
        <v>319</v>
      </c>
    </row>
    <row r="8942" spans="1:21" hidden="1" x14ac:dyDescent="0.25">
      <c r="A8942" s="405" t="s">
        <v>310</v>
      </c>
      <c r="B8942" s="405" t="s">
        <v>28325</v>
      </c>
      <c r="C8942" s="405" t="s">
        <v>327</v>
      </c>
      <c r="D8942" s="405"/>
      <c r="E8942" s="410">
        <v>40543</v>
      </c>
      <c r="F8942" s="410">
        <v>40588</v>
      </c>
      <c r="G8942" s="405" t="s">
        <v>10041</v>
      </c>
      <c r="H8942" s="405">
        <v>754319879</v>
      </c>
      <c r="I8942" s="405"/>
      <c r="J8942" s="405">
        <v>0.61621090000000001</v>
      </c>
      <c r="K8942" s="405">
        <v>33.479099699999999</v>
      </c>
      <c r="L8942" s="405" t="s">
        <v>6866</v>
      </c>
      <c r="M8942" s="405" t="s">
        <v>5411</v>
      </c>
      <c r="N8942" s="405" t="s">
        <v>10042</v>
      </c>
      <c r="O8942" s="405" t="s">
        <v>10043</v>
      </c>
      <c r="P8942" s="405" t="s">
        <v>10044</v>
      </c>
      <c r="Q8942" s="411">
        <v>6</v>
      </c>
      <c r="R8942" s="405" t="s">
        <v>318</v>
      </c>
      <c r="S8942" s="405" t="s">
        <v>6822</v>
      </c>
      <c r="T8942" s="406" t="s">
        <v>32102</v>
      </c>
      <c r="U8942" s="406" t="s">
        <v>319</v>
      </c>
    </row>
    <row r="8943" spans="1:21" hidden="1" x14ac:dyDescent="0.25">
      <c r="A8943" s="405" t="s">
        <v>310</v>
      </c>
      <c r="B8943" s="405" t="s">
        <v>782</v>
      </c>
      <c r="C8943" s="405" t="s">
        <v>327</v>
      </c>
      <c r="D8943" s="405"/>
      <c r="E8943" s="410">
        <v>40543</v>
      </c>
      <c r="F8943" s="410">
        <v>40588</v>
      </c>
      <c r="G8943" s="405" t="s">
        <v>783</v>
      </c>
      <c r="H8943" s="405">
        <v>772383295</v>
      </c>
      <c r="I8943" s="405">
        <v>782624672</v>
      </c>
      <c r="J8943" s="405">
        <v>0.36921569999999998</v>
      </c>
      <c r="K8943" s="405">
        <v>32.727842799999998</v>
      </c>
      <c r="L8943" s="405" t="s">
        <v>314</v>
      </c>
      <c r="M8943" s="405" t="s">
        <v>329</v>
      </c>
      <c r="N8943" s="405" t="s">
        <v>330</v>
      </c>
      <c r="O8943" s="405" t="s">
        <v>331</v>
      </c>
      <c r="P8943" s="405" t="s">
        <v>784</v>
      </c>
      <c r="Q8943" s="411">
        <v>6</v>
      </c>
      <c r="R8943" s="405" t="s">
        <v>353</v>
      </c>
      <c r="S8943" s="405" t="s">
        <v>27106</v>
      </c>
      <c r="T8943" s="406" t="s">
        <v>32102</v>
      </c>
      <c r="U8943" s="406" t="s">
        <v>319</v>
      </c>
    </row>
    <row r="8944" spans="1:21" hidden="1" x14ac:dyDescent="0.25">
      <c r="A8944" s="405" t="s">
        <v>310</v>
      </c>
      <c r="B8944" s="405" t="s">
        <v>1384</v>
      </c>
      <c r="C8944" s="405" t="s">
        <v>327</v>
      </c>
      <c r="D8944" s="405"/>
      <c r="E8944" s="410">
        <v>40543</v>
      </c>
      <c r="F8944" s="410">
        <v>40588</v>
      </c>
      <c r="G8944" s="405" t="s">
        <v>1385</v>
      </c>
      <c r="H8944" s="405">
        <v>751933554</v>
      </c>
      <c r="I8944" s="405"/>
      <c r="J8944" s="405">
        <v>-0.20098199999999999</v>
      </c>
      <c r="K8944" s="405">
        <v>31.417869</v>
      </c>
      <c r="L8944" s="405" t="s">
        <v>314</v>
      </c>
      <c r="M8944" s="405" t="s">
        <v>343</v>
      </c>
      <c r="N8944" s="405" t="s">
        <v>344</v>
      </c>
      <c r="O8944" s="405" t="s">
        <v>727</v>
      </c>
      <c r="P8944" s="405" t="s">
        <v>1386</v>
      </c>
      <c r="Q8944" s="411">
        <v>6</v>
      </c>
      <c r="R8944" s="405" t="s">
        <v>318</v>
      </c>
      <c r="S8944" s="405" t="s">
        <v>27126</v>
      </c>
      <c r="T8944" s="406" t="s">
        <v>884</v>
      </c>
      <c r="U8944" s="406" t="s">
        <v>319</v>
      </c>
    </row>
    <row r="8945" spans="1:21" hidden="1" x14ac:dyDescent="0.25">
      <c r="A8945" s="405" t="s">
        <v>310</v>
      </c>
      <c r="B8945" s="405" t="s">
        <v>713</v>
      </c>
      <c r="C8945" s="405" t="s">
        <v>327</v>
      </c>
      <c r="D8945" s="405"/>
      <c r="E8945" s="410">
        <v>40543</v>
      </c>
      <c r="F8945" s="410">
        <v>40588</v>
      </c>
      <c r="G8945" s="405" t="s">
        <v>714</v>
      </c>
      <c r="H8945" s="405">
        <v>772568538</v>
      </c>
      <c r="I8945" s="405"/>
      <c r="J8945" s="405">
        <v>0.17502300000000001</v>
      </c>
      <c r="K8945" s="405">
        <v>31.925540999999999</v>
      </c>
      <c r="L8945" s="405" t="s">
        <v>314</v>
      </c>
      <c r="M8945" s="405" t="s">
        <v>339</v>
      </c>
      <c r="N8945" s="405" t="s">
        <v>339</v>
      </c>
      <c r="O8945" s="405" t="s">
        <v>341</v>
      </c>
      <c r="P8945" s="405" t="s">
        <v>715</v>
      </c>
      <c r="Q8945" s="411">
        <v>6</v>
      </c>
      <c r="R8945" s="405" t="s">
        <v>318</v>
      </c>
      <c r="S8945" s="405" t="s">
        <v>27108</v>
      </c>
      <c r="T8945" s="406" t="s">
        <v>32102</v>
      </c>
      <c r="U8945" s="406" t="s">
        <v>319</v>
      </c>
    </row>
    <row r="8946" spans="1:21" hidden="1" x14ac:dyDescent="0.25">
      <c r="A8946" s="405" t="s">
        <v>310</v>
      </c>
      <c r="B8946" s="405" t="s">
        <v>1440</v>
      </c>
      <c r="C8946" s="405" t="s">
        <v>311</v>
      </c>
      <c r="D8946" s="405" t="s">
        <v>1013</v>
      </c>
      <c r="E8946" s="410">
        <v>40543</v>
      </c>
      <c r="F8946" s="410">
        <v>40588</v>
      </c>
      <c r="G8946" s="405" t="s">
        <v>1441</v>
      </c>
      <c r="H8946" s="405">
        <v>752366431</v>
      </c>
      <c r="I8946" s="405">
        <v>785654559</v>
      </c>
      <c r="J8946" s="405">
        <v>0.36744759999999999</v>
      </c>
      <c r="K8946" s="405">
        <v>32.7098206</v>
      </c>
      <c r="L8946" s="405" t="s">
        <v>314</v>
      </c>
      <c r="M8946" s="405" t="s">
        <v>329</v>
      </c>
      <c r="N8946" s="405" t="s">
        <v>330</v>
      </c>
      <c r="O8946" s="405" t="s">
        <v>1442</v>
      </c>
      <c r="P8946" s="405" t="s">
        <v>1443</v>
      </c>
      <c r="Q8946" s="411">
        <v>6</v>
      </c>
      <c r="R8946" s="405" t="s">
        <v>333</v>
      </c>
      <c r="S8946" s="405" t="s">
        <v>27140</v>
      </c>
      <c r="T8946" s="406" t="s">
        <v>32102</v>
      </c>
      <c r="U8946" s="406" t="s">
        <v>319</v>
      </c>
    </row>
    <row r="8947" spans="1:21" hidden="1" x14ac:dyDescent="0.25">
      <c r="A8947" s="405" t="s">
        <v>310</v>
      </c>
      <c r="B8947" s="405" t="s">
        <v>28435</v>
      </c>
      <c r="C8947" s="405" t="s">
        <v>311</v>
      </c>
      <c r="D8947" s="405" t="s">
        <v>312</v>
      </c>
      <c r="E8947" s="410">
        <v>40543</v>
      </c>
      <c r="F8947" s="410">
        <v>40588</v>
      </c>
      <c r="G8947" s="405" t="s">
        <v>10457</v>
      </c>
      <c r="H8947" s="405">
        <v>753185415</v>
      </c>
      <c r="I8947" s="405"/>
      <c r="J8947" s="405">
        <v>0.61621090000000001</v>
      </c>
      <c r="K8947" s="405">
        <v>33.479099699999999</v>
      </c>
      <c r="L8947" s="405" t="s">
        <v>6866</v>
      </c>
      <c r="M8947" s="405" t="s">
        <v>5411</v>
      </c>
      <c r="N8947" s="405" t="s">
        <v>9984</v>
      </c>
      <c r="O8947" s="405" t="s">
        <v>9985</v>
      </c>
      <c r="P8947" s="405" t="s">
        <v>10458</v>
      </c>
      <c r="Q8947" s="411">
        <v>6</v>
      </c>
      <c r="R8947" s="405" t="s">
        <v>318</v>
      </c>
      <c r="S8947" s="405" t="s">
        <v>6822</v>
      </c>
      <c r="T8947" s="406" t="s">
        <v>32102</v>
      </c>
      <c r="U8947" s="406" t="s">
        <v>319</v>
      </c>
    </row>
    <row r="8948" spans="1:21" hidden="1" x14ac:dyDescent="0.25">
      <c r="A8948" s="405" t="s">
        <v>310</v>
      </c>
      <c r="B8948" s="405" t="s">
        <v>1538</v>
      </c>
      <c r="C8948" s="405" t="s">
        <v>311</v>
      </c>
      <c r="D8948" s="405" t="s">
        <v>1013</v>
      </c>
      <c r="E8948" s="410">
        <v>40543</v>
      </c>
      <c r="F8948" s="410">
        <v>40588</v>
      </c>
      <c r="G8948" s="405" t="s">
        <v>1539</v>
      </c>
      <c r="H8948" s="405">
        <v>774064229</v>
      </c>
      <c r="I8948" s="405"/>
      <c r="J8948" s="405">
        <v>0.36418499999999998</v>
      </c>
      <c r="K8948" s="405">
        <v>32.745486499999998</v>
      </c>
      <c r="L8948" s="405" t="s">
        <v>314</v>
      </c>
      <c r="M8948" s="405" t="s">
        <v>329</v>
      </c>
      <c r="N8948" s="405" t="s">
        <v>330</v>
      </c>
      <c r="O8948" s="405" t="s">
        <v>331</v>
      </c>
      <c r="P8948" s="405" t="s">
        <v>1540</v>
      </c>
      <c r="Q8948" s="411">
        <v>6</v>
      </c>
      <c r="R8948" s="405" t="s">
        <v>333</v>
      </c>
      <c r="S8948" s="405" t="s">
        <v>27158</v>
      </c>
      <c r="T8948" s="405" t="s">
        <v>32102</v>
      </c>
      <c r="U8948" s="405" t="s">
        <v>319</v>
      </c>
    </row>
    <row r="8949" spans="1:21" hidden="1" x14ac:dyDescent="0.25">
      <c r="A8949" s="405" t="s">
        <v>310</v>
      </c>
      <c r="B8949" s="405" t="s">
        <v>767</v>
      </c>
      <c r="C8949" s="405" t="s">
        <v>327</v>
      </c>
      <c r="D8949" s="405"/>
      <c r="E8949" s="410">
        <v>40543</v>
      </c>
      <c r="F8949" s="410">
        <v>40588</v>
      </c>
      <c r="G8949" s="405" t="s">
        <v>768</v>
      </c>
      <c r="H8949" s="405">
        <v>701169988</v>
      </c>
      <c r="I8949" s="405"/>
      <c r="J8949" s="405">
        <v>0.35439599999999999</v>
      </c>
      <c r="K8949" s="405">
        <v>32.776532000000003</v>
      </c>
      <c r="L8949" s="405" t="s">
        <v>314</v>
      </c>
      <c r="M8949" s="405" t="s">
        <v>329</v>
      </c>
      <c r="N8949" s="405" t="s">
        <v>330</v>
      </c>
      <c r="O8949" s="405" t="s">
        <v>331</v>
      </c>
      <c r="P8949" s="405" t="s">
        <v>508</v>
      </c>
      <c r="Q8949" s="411">
        <v>6</v>
      </c>
      <c r="R8949" s="405" t="s">
        <v>333</v>
      </c>
      <c r="S8949" s="405" t="s">
        <v>27112</v>
      </c>
      <c r="T8949" s="405" t="s">
        <v>32102</v>
      </c>
      <c r="U8949" s="405" t="s">
        <v>319</v>
      </c>
    </row>
    <row r="8950" spans="1:21" hidden="1" x14ac:dyDescent="0.25">
      <c r="A8950" s="405" t="s">
        <v>310</v>
      </c>
      <c r="B8950" s="405" t="s">
        <v>846</v>
      </c>
      <c r="C8950" s="405" t="s">
        <v>327</v>
      </c>
      <c r="D8950" s="405"/>
      <c r="E8950" s="410">
        <v>40543</v>
      </c>
      <c r="F8950" s="410">
        <v>40588</v>
      </c>
      <c r="G8950" s="405" t="s">
        <v>847</v>
      </c>
      <c r="H8950" s="405">
        <v>772614779</v>
      </c>
      <c r="I8950" s="405"/>
      <c r="J8950" s="405">
        <v>1.797922</v>
      </c>
      <c r="K8950" s="405">
        <v>32.017395</v>
      </c>
      <c r="L8950" s="405" t="s">
        <v>590</v>
      </c>
      <c r="M8950" s="405" t="s">
        <v>591</v>
      </c>
      <c r="N8950" s="405" t="s">
        <v>848</v>
      </c>
      <c r="O8950" s="405" t="s">
        <v>849</v>
      </c>
      <c r="P8950" s="405" t="s">
        <v>850</v>
      </c>
      <c r="Q8950" s="411">
        <v>6</v>
      </c>
      <c r="R8950" s="405" t="s">
        <v>333</v>
      </c>
      <c r="S8950" s="405" t="s">
        <v>27126</v>
      </c>
      <c r="T8950" s="406" t="s">
        <v>32102</v>
      </c>
      <c r="U8950" s="406" t="s">
        <v>319</v>
      </c>
    </row>
    <row r="8951" spans="1:21" hidden="1" x14ac:dyDescent="0.25">
      <c r="A8951" s="405" t="s">
        <v>310</v>
      </c>
      <c r="B8951" s="405" t="s">
        <v>797</v>
      </c>
      <c r="C8951" s="405" t="s">
        <v>327</v>
      </c>
      <c r="D8951" s="405"/>
      <c r="E8951" s="410">
        <v>40543</v>
      </c>
      <c r="F8951" s="410">
        <v>40588</v>
      </c>
      <c r="G8951" s="405" t="s">
        <v>798</v>
      </c>
      <c r="H8951" s="405">
        <v>752425204</v>
      </c>
      <c r="I8951" s="405">
        <v>782371717</v>
      </c>
      <c r="J8951" s="405">
        <v>0.48960199999999998</v>
      </c>
      <c r="K8951" s="405">
        <v>32.703722999999997</v>
      </c>
      <c r="L8951" s="405" t="s">
        <v>314</v>
      </c>
      <c r="M8951" s="405" t="s">
        <v>329</v>
      </c>
      <c r="N8951" s="405" t="s">
        <v>545</v>
      </c>
      <c r="O8951" s="405" t="s">
        <v>336</v>
      </c>
      <c r="P8951" s="405" t="s">
        <v>796</v>
      </c>
      <c r="Q8951" s="411">
        <v>6</v>
      </c>
      <c r="R8951" s="405" t="s">
        <v>318</v>
      </c>
      <c r="S8951" s="405" t="s">
        <v>27035</v>
      </c>
      <c r="T8951" s="405" t="s">
        <v>32102</v>
      </c>
      <c r="U8951" s="405" t="s">
        <v>319</v>
      </c>
    </row>
    <row r="8952" spans="1:21" hidden="1" x14ac:dyDescent="0.25">
      <c r="A8952" s="405" t="s">
        <v>310</v>
      </c>
      <c r="B8952" s="405" t="s">
        <v>10067</v>
      </c>
      <c r="C8952" s="405" t="s">
        <v>327</v>
      </c>
      <c r="D8952" s="405"/>
      <c r="E8952" s="410">
        <v>40543</v>
      </c>
      <c r="F8952" s="410">
        <v>40588</v>
      </c>
      <c r="G8952" s="405" t="s">
        <v>10068</v>
      </c>
      <c r="H8952" s="405">
        <v>754023747</v>
      </c>
      <c r="I8952" s="405"/>
      <c r="J8952" s="405">
        <v>0.61633389999999999</v>
      </c>
      <c r="K8952" s="405">
        <v>33.479194800000002</v>
      </c>
      <c r="L8952" s="405" t="s">
        <v>6866</v>
      </c>
      <c r="M8952" s="405" t="s">
        <v>5411</v>
      </c>
      <c r="N8952" s="405" t="s">
        <v>9984</v>
      </c>
      <c r="O8952" s="405" t="s">
        <v>9989</v>
      </c>
      <c r="P8952" s="405" t="s">
        <v>10069</v>
      </c>
      <c r="Q8952" s="411">
        <v>6</v>
      </c>
      <c r="R8952" s="405" t="s">
        <v>318</v>
      </c>
      <c r="S8952" s="405" t="s">
        <v>27174</v>
      </c>
      <c r="T8952" s="405" t="s">
        <v>32102</v>
      </c>
      <c r="U8952" s="405" t="s">
        <v>319</v>
      </c>
    </row>
    <row r="8953" spans="1:21" hidden="1" x14ac:dyDescent="0.25">
      <c r="A8953" s="405" t="s">
        <v>310</v>
      </c>
      <c r="B8953" s="405" t="s">
        <v>10053</v>
      </c>
      <c r="C8953" s="405" t="s">
        <v>327</v>
      </c>
      <c r="D8953" s="405"/>
      <c r="E8953" s="410">
        <v>40543</v>
      </c>
      <c r="F8953" s="410">
        <v>40588</v>
      </c>
      <c r="G8953" s="405" t="s">
        <v>10054</v>
      </c>
      <c r="H8953" s="405">
        <v>772328908</v>
      </c>
      <c r="I8953" s="405"/>
      <c r="J8953" s="405">
        <v>1.3479350000000001</v>
      </c>
      <c r="K8953" s="405">
        <v>34.344690999999997</v>
      </c>
      <c r="L8953" s="405" t="s">
        <v>6866</v>
      </c>
      <c r="M8953" s="405" t="s">
        <v>9685</v>
      </c>
      <c r="N8953" s="405" t="s">
        <v>9686</v>
      </c>
      <c r="O8953" s="405" t="s">
        <v>10055</v>
      </c>
      <c r="P8953" s="405" t="s">
        <v>10056</v>
      </c>
      <c r="Q8953" s="411">
        <v>6</v>
      </c>
      <c r="R8953" s="405" t="s">
        <v>9541</v>
      </c>
      <c r="S8953" s="405" t="s">
        <v>27308</v>
      </c>
      <c r="T8953" s="405" t="s">
        <v>32102</v>
      </c>
      <c r="U8953" s="405" t="s">
        <v>319</v>
      </c>
    </row>
    <row r="8954" spans="1:21" hidden="1" x14ac:dyDescent="0.25">
      <c r="A8954" s="405" t="s">
        <v>310</v>
      </c>
      <c r="B8954" s="405" t="s">
        <v>10518</v>
      </c>
      <c r="C8954" s="405" t="s">
        <v>311</v>
      </c>
      <c r="D8954" s="405" t="s">
        <v>1013</v>
      </c>
      <c r="E8954" s="410">
        <v>40543</v>
      </c>
      <c r="F8954" s="410">
        <v>40588</v>
      </c>
      <c r="G8954" s="405" t="s">
        <v>10519</v>
      </c>
      <c r="H8954" s="405">
        <v>777065466</v>
      </c>
      <c r="I8954" s="405"/>
      <c r="J8954" s="405">
        <v>0.61633389999999999</v>
      </c>
      <c r="K8954" s="405">
        <v>33.479194800000002</v>
      </c>
      <c r="L8954" s="405" t="s">
        <v>6866</v>
      </c>
      <c r="M8954" s="405" t="s">
        <v>5411</v>
      </c>
      <c r="N8954" s="405" t="s">
        <v>9774</v>
      </c>
      <c r="O8954" s="405" t="s">
        <v>9989</v>
      </c>
      <c r="P8954" s="405" t="s">
        <v>10520</v>
      </c>
      <c r="Q8954" s="411">
        <v>6</v>
      </c>
      <c r="R8954" s="405" t="s">
        <v>333</v>
      </c>
      <c r="S8954" s="405" t="s">
        <v>27134</v>
      </c>
      <c r="T8954" s="405" t="s">
        <v>32102</v>
      </c>
      <c r="U8954" s="405" t="s">
        <v>319</v>
      </c>
    </row>
    <row r="8955" spans="1:21" hidden="1" x14ac:dyDescent="0.25">
      <c r="A8955" s="405" t="s">
        <v>310</v>
      </c>
      <c r="B8955" s="405" t="s">
        <v>769</v>
      </c>
      <c r="C8955" s="405" t="s">
        <v>327</v>
      </c>
      <c r="D8955" s="405"/>
      <c r="E8955" s="410">
        <v>40543</v>
      </c>
      <c r="F8955" s="410">
        <v>40588</v>
      </c>
      <c r="G8955" s="405" t="s">
        <v>770</v>
      </c>
      <c r="H8955" s="405">
        <v>782450520</v>
      </c>
      <c r="I8955" s="405">
        <v>752596070</v>
      </c>
      <c r="J8955" s="405">
        <v>0.373168</v>
      </c>
      <c r="K8955" s="405">
        <v>32.759120000000003</v>
      </c>
      <c r="L8955" s="405" t="s">
        <v>314</v>
      </c>
      <c r="M8955" s="405" t="s">
        <v>329</v>
      </c>
      <c r="N8955" s="405" t="s">
        <v>330</v>
      </c>
      <c r="O8955" s="405" t="s">
        <v>331</v>
      </c>
      <c r="P8955" s="405" t="s">
        <v>771</v>
      </c>
      <c r="Q8955" s="411">
        <v>6</v>
      </c>
      <c r="R8955" s="405" t="s">
        <v>318</v>
      </c>
      <c r="S8955" s="405" t="s">
        <v>27135</v>
      </c>
      <c r="T8955" s="405" t="s">
        <v>32102</v>
      </c>
      <c r="U8955" s="405" t="s">
        <v>319</v>
      </c>
    </row>
    <row r="8956" spans="1:21" hidden="1" x14ac:dyDescent="0.25">
      <c r="A8956" s="405" t="s">
        <v>310</v>
      </c>
      <c r="B8956" s="405" t="s">
        <v>824</v>
      </c>
      <c r="C8956" s="405" t="s">
        <v>327</v>
      </c>
      <c r="D8956" s="405"/>
      <c r="E8956" s="410">
        <v>40543</v>
      </c>
      <c r="F8956" s="410">
        <v>40588</v>
      </c>
      <c r="G8956" s="405" t="s">
        <v>825</v>
      </c>
      <c r="H8956" s="405">
        <v>774369545</v>
      </c>
      <c r="I8956" s="405">
        <v>754228932</v>
      </c>
      <c r="J8956" s="405">
        <v>0.41748200000000002</v>
      </c>
      <c r="K8956" s="405">
        <v>32.700311999999997</v>
      </c>
      <c r="L8956" s="405" t="s">
        <v>314</v>
      </c>
      <c r="M8956" s="405" t="s">
        <v>329</v>
      </c>
      <c r="N8956" s="405" t="s">
        <v>545</v>
      </c>
      <c r="O8956" s="405" t="s">
        <v>336</v>
      </c>
      <c r="P8956" s="405" t="s">
        <v>796</v>
      </c>
      <c r="Q8956" s="411">
        <v>6</v>
      </c>
      <c r="R8956" s="405" t="s">
        <v>318</v>
      </c>
      <c r="S8956" s="405" t="s">
        <v>27156</v>
      </c>
      <c r="T8956" s="405" t="s">
        <v>32102</v>
      </c>
      <c r="U8956" s="405" t="s">
        <v>319</v>
      </c>
    </row>
    <row r="8957" spans="1:21" hidden="1" x14ac:dyDescent="0.25">
      <c r="A8957" s="405" t="s">
        <v>310</v>
      </c>
      <c r="B8957" s="405" t="s">
        <v>837</v>
      </c>
      <c r="C8957" s="405" t="s">
        <v>327</v>
      </c>
      <c r="D8957" s="405"/>
      <c r="E8957" s="410">
        <v>40543</v>
      </c>
      <c r="F8957" s="410">
        <v>40588</v>
      </c>
      <c r="G8957" s="405" t="s">
        <v>838</v>
      </c>
      <c r="H8957" s="405">
        <v>782897875</v>
      </c>
      <c r="I8957" s="405">
        <v>705199522</v>
      </c>
      <c r="J8957" s="405">
        <v>0.28289500000000001</v>
      </c>
      <c r="K8957" s="405">
        <v>32.764527999999999</v>
      </c>
      <c r="L8957" s="405" t="s">
        <v>314</v>
      </c>
      <c r="M8957" s="405" t="s">
        <v>329</v>
      </c>
      <c r="N8957" s="405" t="s">
        <v>803</v>
      </c>
      <c r="O8957" s="405" t="s">
        <v>653</v>
      </c>
      <c r="P8957" s="405" t="s">
        <v>836</v>
      </c>
      <c r="Q8957" s="411">
        <v>6</v>
      </c>
      <c r="R8957" s="405" t="s">
        <v>318</v>
      </c>
      <c r="S8957" s="405" t="s">
        <v>27141</v>
      </c>
      <c r="T8957" s="405" t="s">
        <v>32102</v>
      </c>
      <c r="U8957" s="405" t="s">
        <v>319</v>
      </c>
    </row>
    <row r="8958" spans="1:21" hidden="1" x14ac:dyDescent="0.25">
      <c r="A8958" s="405" t="s">
        <v>310</v>
      </c>
      <c r="B8958" s="405" t="s">
        <v>1494</v>
      </c>
      <c r="C8958" s="405" t="s">
        <v>857</v>
      </c>
      <c r="D8958" s="405" t="s">
        <v>33106</v>
      </c>
      <c r="E8958" s="410">
        <v>40543</v>
      </c>
      <c r="F8958" s="410">
        <v>40588</v>
      </c>
      <c r="G8958" s="405" t="s">
        <v>1495</v>
      </c>
      <c r="H8958" s="405">
        <v>771667201</v>
      </c>
      <c r="I8958" s="405"/>
      <c r="J8958" s="405">
        <v>0.27216699999999999</v>
      </c>
      <c r="K8958" s="405">
        <v>32.880228000000002</v>
      </c>
      <c r="L8958" s="405" t="s">
        <v>314</v>
      </c>
      <c r="M8958" s="405" t="s">
        <v>329</v>
      </c>
      <c r="N8958" s="405" t="s">
        <v>803</v>
      </c>
      <c r="O8958" s="405" t="s">
        <v>653</v>
      </c>
      <c r="P8958" s="405" t="s">
        <v>804</v>
      </c>
      <c r="Q8958" s="411">
        <v>6</v>
      </c>
      <c r="R8958" s="405" t="s">
        <v>333</v>
      </c>
      <c r="S8958" s="405" t="s">
        <v>27034</v>
      </c>
      <c r="T8958" s="405" t="s">
        <v>32102</v>
      </c>
      <c r="U8958" s="405" t="s">
        <v>319</v>
      </c>
    </row>
    <row r="8959" spans="1:21" hidden="1" x14ac:dyDescent="0.25">
      <c r="A8959" s="405" t="s">
        <v>310</v>
      </c>
      <c r="B8959" s="405" t="s">
        <v>10501</v>
      </c>
      <c r="C8959" s="405" t="s">
        <v>311</v>
      </c>
      <c r="D8959" s="405" t="s">
        <v>839</v>
      </c>
      <c r="E8959" s="410">
        <v>40543</v>
      </c>
      <c r="F8959" s="410">
        <v>40588</v>
      </c>
      <c r="G8959" s="405" t="s">
        <v>10502</v>
      </c>
      <c r="H8959" s="405">
        <v>702609193</v>
      </c>
      <c r="I8959" s="405"/>
      <c r="J8959" s="405">
        <v>1.344319</v>
      </c>
      <c r="K8959" s="405">
        <v>34.357166999999997</v>
      </c>
      <c r="L8959" s="405" t="s">
        <v>6866</v>
      </c>
      <c r="M8959" s="405" t="s">
        <v>9685</v>
      </c>
      <c r="N8959" s="405" t="s">
        <v>9686</v>
      </c>
      <c r="O8959" s="405" t="s">
        <v>9966</v>
      </c>
      <c r="P8959" s="405" t="s">
        <v>9967</v>
      </c>
      <c r="Q8959" s="411">
        <v>6</v>
      </c>
      <c r="R8959" s="405" t="s">
        <v>9541</v>
      </c>
      <c r="S8959" s="405" t="s">
        <v>27308</v>
      </c>
      <c r="T8959" s="405" t="s">
        <v>32102</v>
      </c>
      <c r="U8959" s="405" t="s">
        <v>319</v>
      </c>
    </row>
    <row r="8960" spans="1:21" hidden="1" x14ac:dyDescent="0.25">
      <c r="A8960" s="405" t="s">
        <v>310</v>
      </c>
      <c r="B8960" s="405" t="s">
        <v>1489</v>
      </c>
      <c r="C8960" s="405" t="s">
        <v>311</v>
      </c>
      <c r="D8960" s="405" t="s">
        <v>839</v>
      </c>
      <c r="E8960" s="410">
        <v>40543</v>
      </c>
      <c r="F8960" s="410">
        <v>40588</v>
      </c>
      <c r="G8960" s="405" t="s">
        <v>1490</v>
      </c>
      <c r="H8960" s="405">
        <v>772432007</v>
      </c>
      <c r="I8960" s="405"/>
      <c r="J8960" s="405">
        <v>0.27687299999999998</v>
      </c>
      <c r="K8960" s="405">
        <v>32.877161999999998</v>
      </c>
      <c r="L8960" s="405" t="s">
        <v>314</v>
      </c>
      <c r="M8960" s="405" t="s">
        <v>329</v>
      </c>
      <c r="N8960" s="405" t="s">
        <v>803</v>
      </c>
      <c r="O8960" s="405" t="s">
        <v>653</v>
      </c>
      <c r="P8960" s="405" t="s">
        <v>804</v>
      </c>
      <c r="Q8960" s="411">
        <v>6</v>
      </c>
      <c r="R8960" s="405" t="s">
        <v>333</v>
      </c>
      <c r="S8960" s="405" t="s">
        <v>27157</v>
      </c>
      <c r="T8960" s="406" t="s">
        <v>32102</v>
      </c>
      <c r="U8960" s="406" t="s">
        <v>319</v>
      </c>
    </row>
    <row r="8961" spans="1:21" hidden="1" x14ac:dyDescent="0.25">
      <c r="A8961" s="405" t="s">
        <v>310</v>
      </c>
      <c r="B8961" s="405" t="s">
        <v>1379</v>
      </c>
      <c r="C8961" s="405" t="s">
        <v>311</v>
      </c>
      <c r="D8961" s="405" t="s">
        <v>839</v>
      </c>
      <c r="E8961" s="410">
        <v>40543</v>
      </c>
      <c r="F8961" s="410">
        <v>40588</v>
      </c>
      <c r="G8961" s="405" t="s">
        <v>1380</v>
      </c>
      <c r="H8961" s="405">
        <v>751533451</v>
      </c>
      <c r="I8961" s="405"/>
      <c r="J8961" s="405">
        <v>-0.28561199999999998</v>
      </c>
      <c r="K8961" s="405">
        <v>31.416212000000002</v>
      </c>
      <c r="L8961" s="405" t="s">
        <v>314</v>
      </c>
      <c r="M8961" s="405" t="s">
        <v>343</v>
      </c>
      <c r="N8961" s="405" t="s">
        <v>344</v>
      </c>
      <c r="O8961" s="405" t="s">
        <v>727</v>
      </c>
      <c r="P8961" s="405" t="s">
        <v>1381</v>
      </c>
      <c r="Q8961" s="411">
        <v>6</v>
      </c>
      <c r="R8961" s="405" t="s">
        <v>318</v>
      </c>
      <c r="S8961" s="405" t="s">
        <v>27135</v>
      </c>
      <c r="T8961" s="405" t="s">
        <v>32102</v>
      </c>
      <c r="U8961" s="405" t="s">
        <v>319</v>
      </c>
    </row>
    <row r="8962" spans="1:21" hidden="1" x14ac:dyDescent="0.25">
      <c r="A8962" s="405" t="s">
        <v>310</v>
      </c>
      <c r="B8962" s="405" t="s">
        <v>732</v>
      </c>
      <c r="C8962" s="405" t="s">
        <v>327</v>
      </c>
      <c r="D8962" s="405"/>
      <c r="E8962" s="410">
        <v>40543</v>
      </c>
      <c r="F8962" s="410">
        <v>40588</v>
      </c>
      <c r="G8962" s="405" t="s">
        <v>733</v>
      </c>
      <c r="H8962" s="405">
        <v>752312967</v>
      </c>
      <c r="I8962" s="405"/>
      <c r="J8962" s="405">
        <v>-0.25189099999999998</v>
      </c>
      <c r="K8962" s="405">
        <v>31.411445000000001</v>
      </c>
      <c r="L8962" s="405" t="s">
        <v>314</v>
      </c>
      <c r="M8962" s="405" t="s">
        <v>343</v>
      </c>
      <c r="N8962" s="405" t="s">
        <v>344</v>
      </c>
      <c r="O8962" s="405" t="s">
        <v>727</v>
      </c>
      <c r="P8962" s="405" t="s">
        <v>734</v>
      </c>
      <c r="Q8962" s="411">
        <v>6</v>
      </c>
      <c r="R8962" s="405" t="s">
        <v>318</v>
      </c>
      <c r="S8962" s="405" t="s">
        <v>27135</v>
      </c>
      <c r="T8962" s="405" t="s">
        <v>32102</v>
      </c>
      <c r="U8962" s="405" t="s">
        <v>319</v>
      </c>
    </row>
    <row r="8963" spans="1:21" hidden="1" x14ac:dyDescent="0.25">
      <c r="A8963" s="405" t="s">
        <v>310</v>
      </c>
      <c r="B8963" s="405" t="s">
        <v>758</v>
      </c>
      <c r="C8963" s="405" t="s">
        <v>327</v>
      </c>
      <c r="D8963" s="405"/>
      <c r="E8963" s="410">
        <v>40543</v>
      </c>
      <c r="F8963" s="410">
        <v>40588</v>
      </c>
      <c r="G8963" s="405" t="s">
        <v>759</v>
      </c>
      <c r="H8963" s="405">
        <v>774838885</v>
      </c>
      <c r="I8963" s="405">
        <v>775908492</v>
      </c>
      <c r="J8963" s="405">
        <v>0.353439</v>
      </c>
      <c r="K8963" s="405">
        <v>32.768065999999997</v>
      </c>
      <c r="L8963" s="405" t="s">
        <v>314</v>
      </c>
      <c r="M8963" s="405" t="s">
        <v>329</v>
      </c>
      <c r="N8963" s="405" t="s">
        <v>330</v>
      </c>
      <c r="O8963" s="405" t="s">
        <v>331</v>
      </c>
      <c r="P8963" s="405" t="s">
        <v>547</v>
      </c>
      <c r="Q8963" s="411">
        <v>6</v>
      </c>
      <c r="R8963" s="405" t="s">
        <v>353</v>
      </c>
      <c r="S8963" s="405" t="s">
        <v>27110</v>
      </c>
      <c r="T8963" s="405" t="s">
        <v>32102</v>
      </c>
      <c r="U8963" s="405" t="s">
        <v>319</v>
      </c>
    </row>
    <row r="8964" spans="1:21" hidden="1" x14ac:dyDescent="0.25">
      <c r="A8964" s="405" t="s">
        <v>310</v>
      </c>
      <c r="B8964" s="405" t="s">
        <v>805</v>
      </c>
      <c r="C8964" s="405" t="s">
        <v>327</v>
      </c>
      <c r="D8964" s="405"/>
      <c r="E8964" s="410">
        <v>40543</v>
      </c>
      <c r="F8964" s="410">
        <v>40588</v>
      </c>
      <c r="G8964" s="405" t="s">
        <v>806</v>
      </c>
      <c r="H8964" s="405">
        <v>782885664</v>
      </c>
      <c r="I8964" s="405"/>
      <c r="J8964" s="405">
        <v>0.272947</v>
      </c>
      <c r="K8964" s="405">
        <v>32.878573000000003</v>
      </c>
      <c r="L8964" s="405" t="s">
        <v>314</v>
      </c>
      <c r="M8964" s="405" t="s">
        <v>329</v>
      </c>
      <c r="N8964" s="405" t="s">
        <v>803</v>
      </c>
      <c r="O8964" s="405" t="s">
        <v>653</v>
      </c>
      <c r="P8964" s="405" t="s">
        <v>804</v>
      </c>
      <c r="Q8964" s="411">
        <v>6</v>
      </c>
      <c r="R8964" s="405" t="s">
        <v>353</v>
      </c>
      <c r="S8964" s="405" t="s">
        <v>27034</v>
      </c>
      <c r="T8964" s="405" t="s">
        <v>32102</v>
      </c>
      <c r="U8964" s="405" t="s">
        <v>319</v>
      </c>
    </row>
    <row r="8965" spans="1:21" hidden="1" x14ac:dyDescent="0.25">
      <c r="A8965" s="405" t="s">
        <v>310</v>
      </c>
      <c r="B8965" s="405" t="s">
        <v>762</v>
      </c>
      <c r="C8965" s="405" t="s">
        <v>327</v>
      </c>
      <c r="D8965" s="405"/>
      <c r="E8965" s="410">
        <v>40543</v>
      </c>
      <c r="F8965" s="410">
        <v>40588</v>
      </c>
      <c r="G8965" s="405" t="s">
        <v>763</v>
      </c>
      <c r="H8965" s="405">
        <v>782055908</v>
      </c>
      <c r="I8965" s="405"/>
      <c r="J8965" s="405">
        <v>0.35445100000000002</v>
      </c>
      <c r="K8965" s="405">
        <v>32.776687000000003</v>
      </c>
      <c r="L8965" s="405" t="s">
        <v>314</v>
      </c>
      <c r="M8965" s="405" t="s">
        <v>329</v>
      </c>
      <c r="N8965" s="405" t="s">
        <v>330</v>
      </c>
      <c r="O8965" s="405" t="s">
        <v>331</v>
      </c>
      <c r="P8965" s="405" t="s">
        <v>508</v>
      </c>
      <c r="Q8965" s="411">
        <v>6</v>
      </c>
      <c r="R8965" s="405" t="s">
        <v>353</v>
      </c>
      <c r="S8965" s="405" t="s">
        <v>27110</v>
      </c>
      <c r="T8965" s="405" t="s">
        <v>32102</v>
      </c>
      <c r="U8965" s="405" t="s">
        <v>319</v>
      </c>
    </row>
    <row r="8966" spans="1:21" hidden="1" x14ac:dyDescent="0.25">
      <c r="A8966" s="405" t="s">
        <v>310</v>
      </c>
      <c r="B8966" s="405" t="s">
        <v>19837</v>
      </c>
      <c r="C8966" s="405" t="s">
        <v>327</v>
      </c>
      <c r="D8966" s="405"/>
      <c r="E8966" s="410">
        <v>40542</v>
      </c>
      <c r="F8966" s="410">
        <v>40587</v>
      </c>
      <c r="G8966" s="405" t="s">
        <v>19838</v>
      </c>
      <c r="H8966" s="405">
        <v>775550258</v>
      </c>
      <c r="I8966" s="405">
        <v>777201037</v>
      </c>
      <c r="J8966" s="405">
        <v>1.7055950000000002</v>
      </c>
      <c r="K8966" s="405">
        <v>31.713511666666665</v>
      </c>
      <c r="L8966" s="405" t="s">
        <v>590</v>
      </c>
      <c r="M8966" s="405" t="s">
        <v>19608</v>
      </c>
      <c r="N8966" s="405" t="s">
        <v>19784</v>
      </c>
      <c r="O8966" s="405" t="s">
        <v>19783</v>
      </c>
      <c r="P8966" s="405" t="s">
        <v>19785</v>
      </c>
      <c r="Q8966" s="411">
        <v>6</v>
      </c>
      <c r="R8966" s="405" t="s">
        <v>318</v>
      </c>
      <c r="S8966" s="405" t="s">
        <v>27109</v>
      </c>
      <c r="T8966" s="405" t="s">
        <v>32102</v>
      </c>
      <c r="U8966" s="405" t="s">
        <v>319</v>
      </c>
    </row>
    <row r="8967" spans="1:21" hidden="1" x14ac:dyDescent="0.25">
      <c r="A8967" s="405" t="s">
        <v>310</v>
      </c>
      <c r="B8967" s="405" t="s">
        <v>9991</v>
      </c>
      <c r="C8967" s="405" t="s">
        <v>327</v>
      </c>
      <c r="D8967" s="405"/>
      <c r="E8967" s="410">
        <v>40542</v>
      </c>
      <c r="F8967" s="410">
        <v>40587</v>
      </c>
      <c r="G8967" s="405" t="s">
        <v>9992</v>
      </c>
      <c r="H8967" s="405">
        <v>782506554</v>
      </c>
      <c r="I8967" s="405"/>
      <c r="J8967" s="405">
        <v>0.82235199999999997</v>
      </c>
      <c r="K8967" s="405">
        <v>34.330275</v>
      </c>
      <c r="L8967" s="405" t="s">
        <v>6866</v>
      </c>
      <c r="M8967" s="405" t="s">
        <v>9763</v>
      </c>
      <c r="N8967" s="405" t="s">
        <v>9848</v>
      </c>
      <c r="O8967" s="405" t="s">
        <v>9993</v>
      </c>
      <c r="P8967" s="405" t="s">
        <v>9994</v>
      </c>
      <c r="Q8967" s="411">
        <v>6</v>
      </c>
      <c r="R8967" s="405" t="s">
        <v>7224</v>
      </c>
      <c r="S8967" s="405" t="s">
        <v>27073</v>
      </c>
      <c r="T8967" s="405" t="s">
        <v>32102</v>
      </c>
      <c r="U8967" s="405" t="s">
        <v>319</v>
      </c>
    </row>
    <row r="8968" spans="1:21" hidden="1" x14ac:dyDescent="0.25">
      <c r="A8968" s="405" t="s">
        <v>310</v>
      </c>
      <c r="B8968" s="405" t="s">
        <v>10454</v>
      </c>
      <c r="C8968" s="405" t="s">
        <v>311</v>
      </c>
      <c r="D8968" s="405" t="s">
        <v>312</v>
      </c>
      <c r="E8968" s="410">
        <v>40535</v>
      </c>
      <c r="F8968" s="410">
        <v>40580</v>
      </c>
      <c r="G8968" s="405" t="s">
        <v>10455</v>
      </c>
      <c r="H8968" s="405">
        <v>772491898</v>
      </c>
      <c r="I8968" s="405"/>
      <c r="J8968" s="405">
        <v>1.1067629999999999</v>
      </c>
      <c r="K8968" s="405">
        <v>34.175272</v>
      </c>
      <c r="L8968" s="405" t="s">
        <v>6866</v>
      </c>
      <c r="M8968" s="405" t="s">
        <v>9514</v>
      </c>
      <c r="N8968" s="405" t="s">
        <v>9529</v>
      </c>
      <c r="O8968" s="405" t="s">
        <v>9530</v>
      </c>
      <c r="P8968" s="405" t="s">
        <v>10456</v>
      </c>
      <c r="Q8968" s="411">
        <v>6</v>
      </c>
      <c r="R8968" s="405" t="s">
        <v>32486</v>
      </c>
      <c r="S8968" s="405" t="s">
        <v>27283</v>
      </c>
      <c r="T8968" s="405" t="s">
        <v>32102</v>
      </c>
      <c r="U8968" s="405" t="s">
        <v>319</v>
      </c>
    </row>
    <row r="8969" spans="1:21" hidden="1" x14ac:dyDescent="0.25">
      <c r="A8969" s="405" t="s">
        <v>310</v>
      </c>
      <c r="B8969" s="405" t="s">
        <v>9995</v>
      </c>
      <c r="C8969" s="405" t="s">
        <v>327</v>
      </c>
      <c r="D8969" s="405"/>
      <c r="E8969" s="410">
        <v>40535</v>
      </c>
      <c r="F8969" s="410">
        <v>40580</v>
      </c>
      <c r="G8969" s="405" t="s">
        <v>9996</v>
      </c>
      <c r="H8969" s="405">
        <v>782610845</v>
      </c>
      <c r="I8969" s="405"/>
      <c r="J8969" s="405">
        <v>0.65496900000000002</v>
      </c>
      <c r="K8969" s="405">
        <v>34.118029999999997</v>
      </c>
      <c r="L8969" s="405" t="s">
        <v>6866</v>
      </c>
      <c r="M8969" s="405" t="s">
        <v>9534</v>
      </c>
      <c r="N8969" s="405" t="s">
        <v>9997</v>
      </c>
      <c r="O8969" s="405" t="s">
        <v>9770</v>
      </c>
      <c r="P8969" s="405" t="s">
        <v>9998</v>
      </c>
      <c r="Q8969" s="411">
        <v>6</v>
      </c>
      <c r="R8969" s="405" t="s">
        <v>7224</v>
      </c>
      <c r="S8969" s="405" t="s">
        <v>27073</v>
      </c>
      <c r="T8969" s="405" t="s">
        <v>32102</v>
      </c>
      <c r="U8969" s="405" t="s">
        <v>319</v>
      </c>
    </row>
    <row r="8970" spans="1:21" hidden="1" x14ac:dyDescent="0.25">
      <c r="A8970" s="405" t="s">
        <v>310</v>
      </c>
      <c r="B8970" s="405" t="s">
        <v>27647</v>
      </c>
      <c r="C8970" s="405" t="s">
        <v>327</v>
      </c>
      <c r="D8970" s="405"/>
      <c r="E8970" s="410">
        <v>40532</v>
      </c>
      <c r="F8970" s="410">
        <v>40577</v>
      </c>
      <c r="G8970" s="405" t="s">
        <v>10057</v>
      </c>
      <c r="H8970" s="405">
        <v>758652064</v>
      </c>
      <c r="I8970" s="405"/>
      <c r="J8970" s="405">
        <v>1.4042349999999999</v>
      </c>
      <c r="K8970" s="405">
        <v>34.499884000000002</v>
      </c>
      <c r="L8970" s="405" t="s">
        <v>6866</v>
      </c>
      <c r="M8970" s="405" t="s">
        <v>9705</v>
      </c>
      <c r="N8970" s="405" t="s">
        <v>9705</v>
      </c>
      <c r="O8970" s="405" t="s">
        <v>9706</v>
      </c>
      <c r="P8970" s="405" t="s">
        <v>10058</v>
      </c>
      <c r="Q8970" s="411">
        <v>6</v>
      </c>
      <c r="R8970" s="405" t="s">
        <v>7224</v>
      </c>
      <c r="S8970" s="405" t="s">
        <v>27107</v>
      </c>
      <c r="T8970" s="405" t="s">
        <v>32102</v>
      </c>
      <c r="U8970" s="405" t="s">
        <v>319</v>
      </c>
    </row>
    <row r="8971" spans="1:21" hidden="1" x14ac:dyDescent="0.25">
      <c r="A8971" s="405" t="s">
        <v>310</v>
      </c>
      <c r="B8971" s="405" t="s">
        <v>10505</v>
      </c>
      <c r="C8971" s="405" t="s">
        <v>311</v>
      </c>
      <c r="D8971" s="405" t="s">
        <v>10506</v>
      </c>
      <c r="E8971" s="410">
        <v>40532</v>
      </c>
      <c r="F8971" s="410">
        <v>40577</v>
      </c>
      <c r="G8971" s="405" t="s">
        <v>10507</v>
      </c>
      <c r="H8971" s="405">
        <v>704945660</v>
      </c>
      <c r="I8971" s="405"/>
      <c r="J8971" s="405">
        <v>1.3496950000000001</v>
      </c>
      <c r="K8971" s="405">
        <v>34.334287000000003</v>
      </c>
      <c r="L8971" s="405" t="s">
        <v>6866</v>
      </c>
      <c r="M8971" s="405" t="s">
        <v>9685</v>
      </c>
      <c r="N8971" s="405" t="s">
        <v>9686</v>
      </c>
      <c r="O8971" s="405" t="s">
        <v>10055</v>
      </c>
      <c r="P8971" s="405" t="s">
        <v>10433</v>
      </c>
      <c r="Q8971" s="411">
        <v>6</v>
      </c>
      <c r="R8971" s="405" t="s">
        <v>333</v>
      </c>
      <c r="S8971" s="405" t="s">
        <v>27107</v>
      </c>
      <c r="T8971" s="405" t="s">
        <v>32102</v>
      </c>
      <c r="U8971" s="405" t="s">
        <v>319</v>
      </c>
    </row>
    <row r="8972" spans="1:21" hidden="1" x14ac:dyDescent="0.25">
      <c r="A8972" s="405" t="s">
        <v>310</v>
      </c>
      <c r="B8972" s="405" t="s">
        <v>10018</v>
      </c>
      <c r="C8972" s="405" t="s">
        <v>327</v>
      </c>
      <c r="D8972" s="405"/>
      <c r="E8972" s="410">
        <v>40530</v>
      </c>
      <c r="F8972" s="410">
        <v>40575</v>
      </c>
      <c r="G8972" s="405" t="s">
        <v>10019</v>
      </c>
      <c r="H8972" s="405">
        <v>758711094</v>
      </c>
      <c r="I8972" s="405"/>
      <c r="J8972" s="405">
        <v>1.2055610000000001</v>
      </c>
      <c r="K8972" s="405">
        <v>34.202492999999997</v>
      </c>
      <c r="L8972" s="405" t="s">
        <v>6866</v>
      </c>
      <c r="M8972" s="405" t="s">
        <v>9575</v>
      </c>
      <c r="N8972" s="405" t="s">
        <v>9852</v>
      </c>
      <c r="O8972" s="405" t="s">
        <v>9853</v>
      </c>
      <c r="P8972" s="405" t="s">
        <v>10020</v>
      </c>
      <c r="Q8972" s="411">
        <v>6</v>
      </c>
      <c r="R8972" s="405" t="s">
        <v>9541</v>
      </c>
      <c r="S8972" s="405" t="s">
        <v>27200</v>
      </c>
      <c r="T8972" s="405" t="s">
        <v>32102</v>
      </c>
      <c r="U8972" s="405" t="s">
        <v>319</v>
      </c>
    </row>
    <row r="8973" spans="1:21" hidden="1" x14ac:dyDescent="0.25">
      <c r="A8973" s="405" t="s">
        <v>310</v>
      </c>
      <c r="B8973" s="405" t="s">
        <v>19818</v>
      </c>
      <c r="C8973" s="405" t="s">
        <v>327</v>
      </c>
      <c r="D8973" s="405"/>
      <c r="E8973" s="410">
        <v>40529</v>
      </c>
      <c r="F8973" s="410">
        <v>40574</v>
      </c>
      <c r="G8973" s="405" t="s">
        <v>19819</v>
      </c>
      <c r="H8973" s="405">
        <v>782765057</v>
      </c>
      <c r="I8973" s="405">
        <v>752765057</v>
      </c>
      <c r="J8973" s="405">
        <v>1.7111533333333333</v>
      </c>
      <c r="K8973" s="405">
        <v>31.714668333333332</v>
      </c>
      <c r="L8973" s="405" t="s">
        <v>590</v>
      </c>
      <c r="M8973" s="405" t="s">
        <v>19608</v>
      </c>
      <c r="N8973" s="405" t="s">
        <v>19783</v>
      </c>
      <c r="O8973" s="405" t="s">
        <v>19784</v>
      </c>
      <c r="P8973" s="405" t="s">
        <v>19785</v>
      </c>
      <c r="Q8973" s="411">
        <v>9</v>
      </c>
      <c r="R8973" s="405" t="s">
        <v>318</v>
      </c>
      <c r="S8973" s="405" t="s">
        <v>27126</v>
      </c>
      <c r="T8973" s="405" t="s">
        <v>32102</v>
      </c>
      <c r="U8973" s="405" t="s">
        <v>319</v>
      </c>
    </row>
    <row r="8974" spans="1:21" hidden="1" x14ac:dyDescent="0.25">
      <c r="A8974" s="405" t="s">
        <v>310</v>
      </c>
      <c r="B8974" s="405" t="s">
        <v>29099</v>
      </c>
      <c r="C8974" s="405" t="s">
        <v>327</v>
      </c>
      <c r="D8974" s="405"/>
      <c r="E8974" s="410">
        <v>40529</v>
      </c>
      <c r="F8974" s="410">
        <v>40574</v>
      </c>
      <c r="G8974" s="405" t="s">
        <v>9894</v>
      </c>
      <c r="H8974" s="405">
        <v>751418562</v>
      </c>
      <c r="I8974" s="405"/>
      <c r="J8974" s="405">
        <v>1.15957</v>
      </c>
      <c r="K8974" s="405">
        <v>34.20384</v>
      </c>
      <c r="L8974" s="405" t="s">
        <v>6866</v>
      </c>
      <c r="M8974" s="405" t="s">
        <v>9514</v>
      </c>
      <c r="N8974" s="405" t="s">
        <v>9529</v>
      </c>
      <c r="O8974" s="405" t="s">
        <v>9530</v>
      </c>
      <c r="P8974" s="405" t="s">
        <v>9895</v>
      </c>
      <c r="Q8974" s="411">
        <v>6</v>
      </c>
      <c r="R8974" s="405" t="s">
        <v>333</v>
      </c>
      <c r="S8974" s="405" t="s">
        <v>27303</v>
      </c>
      <c r="T8974" s="405" t="s">
        <v>32102</v>
      </c>
      <c r="U8974" s="405" t="s">
        <v>319</v>
      </c>
    </row>
    <row r="8975" spans="1:21" hidden="1" x14ac:dyDescent="0.25">
      <c r="A8975" s="405" t="s">
        <v>310</v>
      </c>
      <c r="B8975" s="405" t="s">
        <v>27906</v>
      </c>
      <c r="C8975" s="405" t="s">
        <v>327</v>
      </c>
      <c r="D8975" s="405"/>
      <c r="E8975" s="410">
        <v>40527</v>
      </c>
      <c r="F8975" s="410">
        <v>40572</v>
      </c>
      <c r="G8975" s="405" t="s">
        <v>19816</v>
      </c>
      <c r="H8975" s="405">
        <v>772420721</v>
      </c>
      <c r="I8975" s="405"/>
      <c r="J8975" s="405">
        <v>-0.85358199999999995</v>
      </c>
      <c r="K8975" s="405">
        <v>30.010988999999999</v>
      </c>
      <c r="L8975" s="405" t="s">
        <v>590</v>
      </c>
      <c r="M8975" s="405" t="s">
        <v>19619</v>
      </c>
      <c r="N8975" s="405" t="s">
        <v>19620</v>
      </c>
      <c r="O8975" s="405" t="s">
        <v>19635</v>
      </c>
      <c r="P8975" s="405" t="s">
        <v>19817</v>
      </c>
      <c r="Q8975" s="411">
        <v>6</v>
      </c>
      <c r="R8975" s="405" t="s">
        <v>874</v>
      </c>
      <c r="S8975" s="405" t="s">
        <v>27098</v>
      </c>
      <c r="T8975" s="405" t="s">
        <v>32102</v>
      </c>
      <c r="U8975" s="405" t="s">
        <v>319</v>
      </c>
    </row>
    <row r="8976" spans="1:21" hidden="1" x14ac:dyDescent="0.25">
      <c r="A8976" s="405" t="s">
        <v>310</v>
      </c>
      <c r="B8976" s="405" t="s">
        <v>9888</v>
      </c>
      <c r="C8976" s="405" t="s">
        <v>327</v>
      </c>
      <c r="D8976" s="405"/>
      <c r="E8976" s="410">
        <v>40527</v>
      </c>
      <c r="F8976" s="410">
        <v>40572</v>
      </c>
      <c r="G8976" s="405" t="s">
        <v>9889</v>
      </c>
      <c r="H8976" s="405">
        <v>781453730</v>
      </c>
      <c r="I8976" s="405"/>
      <c r="J8976" s="405">
        <v>1.09066</v>
      </c>
      <c r="K8976" s="405">
        <v>34.190227</v>
      </c>
      <c r="L8976" s="405" t="s">
        <v>6866</v>
      </c>
      <c r="M8976" s="405" t="s">
        <v>9514</v>
      </c>
      <c r="N8976" s="405" t="s">
        <v>9530</v>
      </c>
      <c r="O8976" s="405" t="s">
        <v>9530</v>
      </c>
      <c r="P8976" s="405" t="s">
        <v>9890</v>
      </c>
      <c r="Q8976" s="411">
        <v>6</v>
      </c>
      <c r="R8976" s="405" t="s">
        <v>333</v>
      </c>
      <c r="S8976" s="405" t="s">
        <v>27074</v>
      </c>
      <c r="T8976" s="405" t="s">
        <v>32102</v>
      </c>
      <c r="U8976" s="405" t="s">
        <v>319</v>
      </c>
    </row>
    <row r="8977" spans="1:21" hidden="1" x14ac:dyDescent="0.25">
      <c r="A8977" s="405" t="s">
        <v>310</v>
      </c>
      <c r="B8977" s="405" t="s">
        <v>9964</v>
      </c>
      <c r="C8977" s="405" t="s">
        <v>327</v>
      </c>
      <c r="D8977" s="405"/>
      <c r="E8977" s="410">
        <v>40527</v>
      </c>
      <c r="F8977" s="410">
        <v>40572</v>
      </c>
      <c r="G8977" s="405" t="s">
        <v>9965</v>
      </c>
      <c r="H8977" s="405">
        <v>700673701</v>
      </c>
      <c r="I8977" s="405"/>
      <c r="J8977" s="405">
        <v>1.3449230000000001</v>
      </c>
      <c r="K8977" s="405">
        <v>34.357714000000001</v>
      </c>
      <c r="L8977" s="405" t="s">
        <v>6866</v>
      </c>
      <c r="M8977" s="405" t="s">
        <v>9685</v>
      </c>
      <c r="N8977" s="405" t="s">
        <v>9686</v>
      </c>
      <c r="O8977" s="405" t="s">
        <v>9966</v>
      </c>
      <c r="P8977" s="405" t="s">
        <v>9967</v>
      </c>
      <c r="Q8977" s="411">
        <v>6</v>
      </c>
      <c r="R8977" s="405" t="s">
        <v>9541</v>
      </c>
      <c r="S8977" s="405" t="s">
        <v>27314</v>
      </c>
      <c r="T8977" s="405" t="s">
        <v>32102</v>
      </c>
      <c r="U8977" s="405" t="s">
        <v>319</v>
      </c>
    </row>
    <row r="8978" spans="1:21" hidden="1" x14ac:dyDescent="0.25">
      <c r="A8978" s="405" t="s">
        <v>310</v>
      </c>
      <c r="B8978" s="405" t="s">
        <v>9925</v>
      </c>
      <c r="C8978" s="405" t="s">
        <v>857</v>
      </c>
      <c r="D8978" s="405" t="s">
        <v>33107</v>
      </c>
      <c r="E8978" s="410">
        <v>40525</v>
      </c>
      <c r="F8978" s="410">
        <v>40570</v>
      </c>
      <c r="G8978" s="405" t="s">
        <v>9926</v>
      </c>
      <c r="H8978" s="405">
        <v>772372816</v>
      </c>
      <c r="I8978" s="405"/>
      <c r="J8978" s="405">
        <v>0.73056299999999996</v>
      </c>
      <c r="K8978" s="405">
        <v>34.114811000000003</v>
      </c>
      <c r="L8978" s="405" t="s">
        <v>6866</v>
      </c>
      <c r="M8978" s="405" t="s">
        <v>9534</v>
      </c>
      <c r="N8978" s="405" t="s">
        <v>9927</v>
      </c>
      <c r="O8978" s="405" t="s">
        <v>3870</v>
      </c>
      <c r="P8978" s="405" t="s">
        <v>9928</v>
      </c>
      <c r="Q8978" s="411">
        <v>6</v>
      </c>
      <c r="R8978" s="405" t="s">
        <v>333</v>
      </c>
      <c r="S8978" s="405" t="s">
        <v>27073</v>
      </c>
      <c r="T8978" s="405" t="s">
        <v>32102</v>
      </c>
      <c r="U8978" s="405" t="s">
        <v>319</v>
      </c>
    </row>
    <row r="8979" spans="1:21" hidden="1" x14ac:dyDescent="0.25">
      <c r="A8979" s="405" t="s">
        <v>310</v>
      </c>
      <c r="B8979" s="405" t="s">
        <v>28126</v>
      </c>
      <c r="C8979" s="405" t="s">
        <v>327</v>
      </c>
      <c r="D8979" s="405"/>
      <c r="E8979" s="410">
        <v>40524</v>
      </c>
      <c r="F8979" s="410">
        <v>40569</v>
      </c>
      <c r="G8979" s="405" t="s">
        <v>19799</v>
      </c>
      <c r="H8979" s="405">
        <v>782964884</v>
      </c>
      <c r="I8979" s="405">
        <v>706219437</v>
      </c>
      <c r="J8979" s="405">
        <v>-0.64723699999999995</v>
      </c>
      <c r="K8979" s="405">
        <v>30.172682999999999</v>
      </c>
      <c r="L8979" s="405" t="s">
        <v>590</v>
      </c>
      <c r="M8979" s="405" t="s">
        <v>19625</v>
      </c>
      <c r="N8979" s="405" t="s">
        <v>19642</v>
      </c>
      <c r="O8979" s="405" t="s">
        <v>19800</v>
      </c>
      <c r="P8979" s="405" t="s">
        <v>19801</v>
      </c>
      <c r="Q8979" s="411">
        <v>9</v>
      </c>
      <c r="R8979" s="405" t="s">
        <v>333</v>
      </c>
      <c r="S8979" s="405" t="s">
        <v>27097</v>
      </c>
      <c r="T8979" s="405" t="s">
        <v>32102</v>
      </c>
      <c r="U8979" s="405" t="s">
        <v>319</v>
      </c>
    </row>
    <row r="8980" spans="1:21" hidden="1" x14ac:dyDescent="0.25">
      <c r="A8980" s="405" t="s">
        <v>310</v>
      </c>
      <c r="B8980" s="405" t="s">
        <v>28719</v>
      </c>
      <c r="C8980" s="405" t="s">
        <v>311</v>
      </c>
      <c r="D8980" s="405" t="s">
        <v>1013</v>
      </c>
      <c r="E8980" s="410">
        <v>40524</v>
      </c>
      <c r="F8980" s="410">
        <v>40569</v>
      </c>
      <c r="G8980" s="405" t="s">
        <v>10416</v>
      </c>
      <c r="H8980" s="405">
        <v>775140448</v>
      </c>
      <c r="I8980" s="405"/>
      <c r="J8980" s="405">
        <v>1.27887</v>
      </c>
      <c r="K8980" s="405">
        <v>34.084007999999997</v>
      </c>
      <c r="L8980" s="405" t="s">
        <v>6866</v>
      </c>
      <c r="M8980" s="405" t="s">
        <v>9504</v>
      </c>
      <c r="N8980" s="405" t="s">
        <v>9504</v>
      </c>
      <c r="O8980" s="405" t="s">
        <v>9504</v>
      </c>
      <c r="P8980" s="405" t="s">
        <v>10417</v>
      </c>
      <c r="Q8980" s="411">
        <v>6</v>
      </c>
      <c r="R8980" s="405" t="s">
        <v>9506</v>
      </c>
      <c r="S8980" s="405" t="s">
        <v>27294</v>
      </c>
      <c r="T8980" s="405" t="s">
        <v>32102</v>
      </c>
      <c r="U8980" s="405" t="s">
        <v>319</v>
      </c>
    </row>
    <row r="8981" spans="1:21" hidden="1" x14ac:dyDescent="0.25">
      <c r="A8981" s="405" t="s">
        <v>310</v>
      </c>
      <c r="B8981" s="405" t="s">
        <v>695</v>
      </c>
      <c r="C8981" s="405" t="s">
        <v>327</v>
      </c>
      <c r="D8981" s="405"/>
      <c r="E8981" s="410">
        <v>40523</v>
      </c>
      <c r="F8981" s="410">
        <v>40568</v>
      </c>
      <c r="G8981" s="405" t="s">
        <v>696</v>
      </c>
      <c r="H8981" s="405">
        <v>775470807</v>
      </c>
      <c r="I8981" s="405"/>
      <c r="J8981" s="405">
        <v>0.45840639999999999</v>
      </c>
      <c r="K8981" s="405">
        <v>33.2178276</v>
      </c>
      <c r="L8981" s="405" t="s">
        <v>314</v>
      </c>
      <c r="M8981" s="405" t="s">
        <v>349</v>
      </c>
      <c r="N8981" s="405" t="s">
        <v>349</v>
      </c>
      <c r="O8981" s="405" t="s">
        <v>349</v>
      </c>
      <c r="P8981" s="405" t="s">
        <v>697</v>
      </c>
      <c r="Q8981" s="411">
        <v>6</v>
      </c>
      <c r="R8981" s="405" t="s">
        <v>318</v>
      </c>
      <c r="S8981" s="405" t="s">
        <v>27149</v>
      </c>
      <c r="T8981" s="405" t="s">
        <v>32102</v>
      </c>
      <c r="U8981" s="405" t="s">
        <v>319</v>
      </c>
    </row>
    <row r="8982" spans="1:21" hidden="1" x14ac:dyDescent="0.25">
      <c r="A8982" s="405" t="s">
        <v>310</v>
      </c>
      <c r="B8982" s="405" t="s">
        <v>9957</v>
      </c>
      <c r="C8982" s="405" t="s">
        <v>327</v>
      </c>
      <c r="D8982" s="405"/>
      <c r="E8982" s="410">
        <v>40523</v>
      </c>
      <c r="F8982" s="410">
        <v>40568</v>
      </c>
      <c r="G8982" s="405" t="s">
        <v>9958</v>
      </c>
      <c r="H8982" s="405">
        <v>783869369</v>
      </c>
      <c r="I8982" s="405"/>
      <c r="J8982" s="405">
        <v>1.288402</v>
      </c>
      <c r="K8982" s="405">
        <v>34.361445000000003</v>
      </c>
      <c r="L8982" s="405" t="s">
        <v>6866</v>
      </c>
      <c r="M8982" s="405" t="s">
        <v>9550</v>
      </c>
      <c r="N8982" s="405" t="s">
        <v>9550</v>
      </c>
      <c r="O8982" s="405" t="s">
        <v>9754</v>
      </c>
      <c r="P8982" s="405" t="s">
        <v>9959</v>
      </c>
      <c r="Q8982" s="411">
        <v>6</v>
      </c>
      <c r="R8982" s="405" t="s">
        <v>333</v>
      </c>
      <c r="S8982" s="405" t="s">
        <v>27297</v>
      </c>
      <c r="T8982" s="405" t="s">
        <v>32102</v>
      </c>
      <c r="U8982" s="405" t="s">
        <v>319</v>
      </c>
    </row>
    <row r="8983" spans="1:21" hidden="1" x14ac:dyDescent="0.25">
      <c r="A8983" s="405" t="s">
        <v>310</v>
      </c>
      <c r="B8983" s="405" t="s">
        <v>9938</v>
      </c>
      <c r="C8983" s="405" t="s">
        <v>327</v>
      </c>
      <c r="D8983" s="405"/>
      <c r="E8983" s="410">
        <v>40523</v>
      </c>
      <c r="F8983" s="410">
        <v>40568</v>
      </c>
      <c r="G8983" s="405" t="s">
        <v>9939</v>
      </c>
      <c r="H8983" s="405">
        <v>751179227</v>
      </c>
      <c r="I8983" s="405"/>
      <c r="J8983" s="405">
        <v>1.2079789999999999</v>
      </c>
      <c r="K8983" s="405">
        <v>34.201872000000002</v>
      </c>
      <c r="L8983" s="405" t="s">
        <v>6866</v>
      </c>
      <c r="M8983" s="405" t="s">
        <v>9575</v>
      </c>
      <c r="N8983" s="405" t="s">
        <v>9852</v>
      </c>
      <c r="O8983" s="405" t="s">
        <v>9853</v>
      </c>
      <c r="P8983" s="405" t="s">
        <v>9940</v>
      </c>
      <c r="Q8983" s="411">
        <v>6</v>
      </c>
      <c r="R8983" s="405" t="s">
        <v>9541</v>
      </c>
      <c r="S8983" s="405" t="s">
        <v>27200</v>
      </c>
      <c r="T8983" s="405" t="s">
        <v>32102</v>
      </c>
      <c r="U8983" s="405" t="s">
        <v>319</v>
      </c>
    </row>
    <row r="8984" spans="1:21" hidden="1" x14ac:dyDescent="0.25">
      <c r="A8984" s="405" t="s">
        <v>310</v>
      </c>
      <c r="B8984" s="405" t="s">
        <v>19805</v>
      </c>
      <c r="C8984" s="405" t="s">
        <v>327</v>
      </c>
      <c r="D8984" s="405"/>
      <c r="E8984" s="410">
        <v>40522</v>
      </c>
      <c r="F8984" s="410">
        <v>40567</v>
      </c>
      <c r="G8984" s="405" t="s">
        <v>19806</v>
      </c>
      <c r="H8984" s="405">
        <v>772625068</v>
      </c>
      <c r="I8984" s="405">
        <v>787314427</v>
      </c>
      <c r="J8984" s="405">
        <v>1.6884779000000001</v>
      </c>
      <c r="K8984" s="405">
        <v>31.7067379</v>
      </c>
      <c r="L8984" s="405" t="s">
        <v>590</v>
      </c>
      <c r="M8984" s="405" t="s">
        <v>19608</v>
      </c>
      <c r="N8984" s="405" t="s">
        <v>19762</v>
      </c>
      <c r="O8984" s="405" t="s">
        <v>19807</v>
      </c>
      <c r="P8984" s="405" t="s">
        <v>19808</v>
      </c>
      <c r="Q8984" s="411">
        <v>9</v>
      </c>
      <c r="R8984" s="405" t="s">
        <v>318</v>
      </c>
      <c r="S8984" s="405" t="s">
        <v>27126</v>
      </c>
      <c r="T8984" s="405" t="s">
        <v>32102</v>
      </c>
      <c r="U8984" s="405" t="s">
        <v>319</v>
      </c>
    </row>
    <row r="8985" spans="1:21" hidden="1" x14ac:dyDescent="0.25">
      <c r="A8985" s="405" t="s">
        <v>310</v>
      </c>
      <c r="B8985" s="405" t="s">
        <v>9901</v>
      </c>
      <c r="C8985" s="405" t="s">
        <v>327</v>
      </c>
      <c r="D8985" s="405"/>
      <c r="E8985" s="410">
        <v>40522</v>
      </c>
      <c r="F8985" s="410">
        <v>40567</v>
      </c>
      <c r="G8985" s="405" t="s">
        <v>9902</v>
      </c>
      <c r="H8985" s="405">
        <v>775486596</v>
      </c>
      <c r="I8985" s="405"/>
      <c r="J8985" s="405">
        <v>0.97706199999999999</v>
      </c>
      <c r="K8985" s="405">
        <v>34.123837999999999</v>
      </c>
      <c r="L8985" s="405" t="s">
        <v>6866</v>
      </c>
      <c r="M8985" s="405" t="s">
        <v>9566</v>
      </c>
      <c r="N8985" s="405" t="s">
        <v>9903</v>
      </c>
      <c r="O8985" s="405" t="s">
        <v>9904</v>
      </c>
      <c r="P8985" s="405" t="s">
        <v>5438</v>
      </c>
      <c r="Q8985" s="411">
        <v>6</v>
      </c>
      <c r="R8985" s="405" t="s">
        <v>333</v>
      </c>
      <c r="S8985" s="405" t="s">
        <v>17062</v>
      </c>
      <c r="T8985" s="405" t="s">
        <v>32102</v>
      </c>
      <c r="U8985" s="405" t="s">
        <v>319</v>
      </c>
    </row>
    <row r="8986" spans="1:21" hidden="1" x14ac:dyDescent="0.25">
      <c r="A8986" s="405" t="s">
        <v>310</v>
      </c>
      <c r="B8986" s="405" t="s">
        <v>28334</v>
      </c>
      <c r="C8986" s="405" t="s">
        <v>327</v>
      </c>
      <c r="D8986" s="405"/>
      <c r="E8986" s="410">
        <v>40521</v>
      </c>
      <c r="F8986" s="410">
        <v>40566</v>
      </c>
      <c r="G8986" s="405" t="s">
        <v>698</v>
      </c>
      <c r="H8986" s="405">
        <v>775359151</v>
      </c>
      <c r="I8986" s="405"/>
      <c r="J8986" s="405">
        <v>0.56132800000000005</v>
      </c>
      <c r="K8986" s="405">
        <v>31.748763</v>
      </c>
      <c r="L8986" s="405" t="s">
        <v>314</v>
      </c>
      <c r="M8986" s="405" t="s">
        <v>445</v>
      </c>
      <c r="N8986" s="405" t="s">
        <v>699</v>
      </c>
      <c r="O8986" s="405" t="s">
        <v>571</v>
      </c>
      <c r="P8986" s="405" t="s">
        <v>700</v>
      </c>
      <c r="Q8986" s="411">
        <v>12</v>
      </c>
      <c r="R8986" s="405" t="s">
        <v>353</v>
      </c>
      <c r="S8986" s="405" t="s">
        <v>27034</v>
      </c>
      <c r="T8986" s="405" t="s">
        <v>32102</v>
      </c>
      <c r="U8986" s="405" t="s">
        <v>319</v>
      </c>
    </row>
    <row r="8987" spans="1:21" hidden="1" x14ac:dyDescent="0.25">
      <c r="A8987" s="405" t="s">
        <v>310</v>
      </c>
      <c r="B8987" s="405" t="s">
        <v>10431</v>
      </c>
      <c r="C8987" s="405" t="s">
        <v>311</v>
      </c>
      <c r="D8987" s="405" t="s">
        <v>1013</v>
      </c>
      <c r="E8987" s="410">
        <v>40521</v>
      </c>
      <c r="F8987" s="410">
        <v>40566</v>
      </c>
      <c r="G8987" s="405" t="s">
        <v>10432</v>
      </c>
      <c r="H8987" s="405">
        <v>702703001</v>
      </c>
      <c r="I8987" s="405"/>
      <c r="J8987" s="405">
        <v>1.350295</v>
      </c>
      <c r="K8987" s="405">
        <v>34.337558000000001</v>
      </c>
      <c r="L8987" s="405" t="s">
        <v>6866</v>
      </c>
      <c r="M8987" s="405" t="s">
        <v>9685</v>
      </c>
      <c r="N8987" s="405" t="s">
        <v>9686</v>
      </c>
      <c r="O8987" s="405" t="s">
        <v>10055</v>
      </c>
      <c r="P8987" s="405" t="s">
        <v>10433</v>
      </c>
      <c r="Q8987" s="411">
        <v>6</v>
      </c>
      <c r="R8987" s="405" t="s">
        <v>9541</v>
      </c>
      <c r="S8987" s="405" t="s">
        <v>27314</v>
      </c>
      <c r="T8987" s="405" t="s">
        <v>32102</v>
      </c>
      <c r="U8987" s="405" t="s">
        <v>319</v>
      </c>
    </row>
    <row r="8988" spans="1:21" hidden="1" x14ac:dyDescent="0.25">
      <c r="A8988" s="405" t="s">
        <v>310</v>
      </c>
      <c r="B8988" s="405" t="s">
        <v>9891</v>
      </c>
      <c r="C8988" s="405" t="s">
        <v>327</v>
      </c>
      <c r="D8988" s="405"/>
      <c r="E8988" s="410">
        <v>40520</v>
      </c>
      <c r="F8988" s="410">
        <v>40565</v>
      </c>
      <c r="G8988" s="405" t="s">
        <v>9892</v>
      </c>
      <c r="H8988" s="405">
        <v>771431443</v>
      </c>
      <c r="I8988" s="405"/>
      <c r="J8988" s="405">
        <v>1.096592</v>
      </c>
      <c r="K8988" s="405">
        <v>34.207425000000001</v>
      </c>
      <c r="L8988" s="405" t="s">
        <v>6866</v>
      </c>
      <c r="M8988" s="405" t="s">
        <v>9514</v>
      </c>
      <c r="N8988" s="405" t="s">
        <v>9529</v>
      </c>
      <c r="O8988" s="405" t="s">
        <v>9530</v>
      </c>
      <c r="P8988" s="405" t="s">
        <v>9893</v>
      </c>
      <c r="Q8988" s="411">
        <v>6</v>
      </c>
      <c r="R8988" s="405" t="s">
        <v>32486</v>
      </c>
      <c r="S8988" s="405" t="s">
        <v>27283</v>
      </c>
      <c r="T8988" s="405" t="s">
        <v>32102</v>
      </c>
      <c r="U8988" s="405" t="s">
        <v>319</v>
      </c>
    </row>
    <row r="8989" spans="1:21" hidden="1" x14ac:dyDescent="0.25">
      <c r="A8989" s="405" t="s">
        <v>310</v>
      </c>
      <c r="B8989" s="405" t="s">
        <v>681</v>
      </c>
      <c r="C8989" s="405" t="s">
        <v>327</v>
      </c>
      <c r="D8989" s="405"/>
      <c r="E8989" s="410">
        <v>40519</v>
      </c>
      <c r="F8989" s="410">
        <v>40564</v>
      </c>
      <c r="G8989" s="405" t="s">
        <v>682</v>
      </c>
      <c r="H8989" s="405">
        <v>702926205</v>
      </c>
      <c r="I8989" s="405">
        <v>700695998</v>
      </c>
      <c r="J8989" s="405">
        <v>0.66173300000000002</v>
      </c>
      <c r="K8989" s="405">
        <v>32.985838000000001</v>
      </c>
      <c r="L8989" s="405" t="s">
        <v>314</v>
      </c>
      <c r="M8989" s="405" t="s">
        <v>502</v>
      </c>
      <c r="N8989" s="405" t="s">
        <v>503</v>
      </c>
      <c r="O8989" s="405" t="s">
        <v>504</v>
      </c>
      <c r="P8989" s="405" t="s">
        <v>683</v>
      </c>
      <c r="Q8989" s="411">
        <v>9</v>
      </c>
      <c r="R8989" s="405" t="s">
        <v>318</v>
      </c>
      <c r="S8989" s="405" t="s">
        <v>27113</v>
      </c>
      <c r="T8989" s="405" t="s">
        <v>32102</v>
      </c>
      <c r="U8989" s="405" t="s">
        <v>319</v>
      </c>
    </row>
    <row r="8990" spans="1:21" hidden="1" x14ac:dyDescent="0.25">
      <c r="A8990" s="405" t="s">
        <v>310</v>
      </c>
      <c r="B8990" s="405" t="s">
        <v>9979</v>
      </c>
      <c r="C8990" s="405" t="s">
        <v>327</v>
      </c>
      <c r="D8990" s="405"/>
      <c r="E8990" s="410">
        <v>40519</v>
      </c>
      <c r="F8990" s="410">
        <v>40564</v>
      </c>
      <c r="G8990" s="405" t="s">
        <v>9980</v>
      </c>
      <c r="H8990" s="405">
        <v>703244867</v>
      </c>
      <c r="I8990" s="405"/>
      <c r="J8990" s="405">
        <v>0.91779200000000005</v>
      </c>
      <c r="K8990" s="405">
        <v>34.277152000000001</v>
      </c>
      <c r="L8990" s="405" t="s">
        <v>6866</v>
      </c>
      <c r="M8990" s="405" t="s">
        <v>9763</v>
      </c>
      <c r="N8990" s="405" t="s">
        <v>9764</v>
      </c>
      <c r="O8990" s="405" t="s">
        <v>9792</v>
      </c>
      <c r="P8990" s="405" t="s">
        <v>9981</v>
      </c>
      <c r="Q8990" s="411">
        <v>4</v>
      </c>
      <c r="R8990" s="405" t="s">
        <v>333</v>
      </c>
      <c r="S8990" s="405" t="s">
        <v>27309</v>
      </c>
      <c r="T8990" s="405" t="s">
        <v>32102</v>
      </c>
      <c r="U8990" s="405" t="s">
        <v>319</v>
      </c>
    </row>
    <row r="8991" spans="1:21" hidden="1" x14ac:dyDescent="0.25">
      <c r="A8991" s="405" t="s">
        <v>310</v>
      </c>
      <c r="B8991" s="405" t="s">
        <v>684</v>
      </c>
      <c r="C8991" s="405" t="s">
        <v>327</v>
      </c>
      <c r="D8991" s="405"/>
      <c r="E8991" s="410">
        <v>40518</v>
      </c>
      <c r="F8991" s="410">
        <v>40563</v>
      </c>
      <c r="G8991" s="405" t="s">
        <v>685</v>
      </c>
      <c r="H8991" s="405">
        <v>775869568</v>
      </c>
      <c r="I8991" s="405"/>
      <c r="J8991" s="405">
        <v>0.24290200000000001</v>
      </c>
      <c r="K8991" s="405">
        <v>32.934417000000003</v>
      </c>
      <c r="L8991" s="405" t="s">
        <v>314</v>
      </c>
      <c r="M8991" s="405" t="s">
        <v>349</v>
      </c>
      <c r="N8991" s="405" t="s">
        <v>549</v>
      </c>
      <c r="O8991" s="405" t="s">
        <v>686</v>
      </c>
      <c r="P8991" s="405" t="s">
        <v>687</v>
      </c>
      <c r="Q8991" s="411">
        <v>6</v>
      </c>
      <c r="R8991" s="405" t="s">
        <v>353</v>
      </c>
      <c r="S8991" s="405" t="s">
        <v>27106</v>
      </c>
      <c r="T8991" s="405" t="s">
        <v>32102</v>
      </c>
      <c r="U8991" s="405" t="s">
        <v>319</v>
      </c>
    </row>
    <row r="8992" spans="1:21" hidden="1" x14ac:dyDescent="0.25">
      <c r="A8992" s="405" t="s">
        <v>310</v>
      </c>
      <c r="B8992" s="405" t="s">
        <v>9934</v>
      </c>
      <c r="C8992" s="405" t="s">
        <v>327</v>
      </c>
      <c r="D8992" s="405"/>
      <c r="E8992" s="410">
        <v>40518</v>
      </c>
      <c r="F8992" s="410">
        <v>40563</v>
      </c>
      <c r="G8992" s="405" t="s">
        <v>9935</v>
      </c>
      <c r="H8992" s="405">
        <v>782355900</v>
      </c>
      <c r="I8992" s="405"/>
      <c r="J8992" s="405">
        <v>0.85243500000000005</v>
      </c>
      <c r="K8992" s="405">
        <v>34.296323999999998</v>
      </c>
      <c r="L8992" s="405" t="s">
        <v>6866</v>
      </c>
      <c r="M8992" s="405" t="s">
        <v>9763</v>
      </c>
      <c r="N8992" s="405" t="s">
        <v>9764</v>
      </c>
      <c r="O8992" s="405" t="s">
        <v>9936</v>
      </c>
      <c r="P8992" s="405" t="s">
        <v>9937</v>
      </c>
      <c r="Q8992" s="411">
        <v>6</v>
      </c>
      <c r="R8992" s="405" t="s">
        <v>9541</v>
      </c>
      <c r="S8992" s="405" t="s">
        <v>27302</v>
      </c>
      <c r="T8992" s="405" t="s">
        <v>32102</v>
      </c>
      <c r="U8992" s="405" t="s">
        <v>319</v>
      </c>
    </row>
    <row r="8993" spans="1:21" hidden="1" x14ac:dyDescent="0.25">
      <c r="A8993" s="405" t="s">
        <v>310</v>
      </c>
      <c r="B8993" s="405" t="s">
        <v>9907</v>
      </c>
      <c r="C8993" s="405" t="s">
        <v>327</v>
      </c>
      <c r="D8993" s="405"/>
      <c r="E8993" s="410">
        <v>40515</v>
      </c>
      <c r="F8993" s="410">
        <v>40560</v>
      </c>
      <c r="G8993" s="405" t="s">
        <v>9908</v>
      </c>
      <c r="H8993" s="405">
        <v>778764757</v>
      </c>
      <c r="I8993" s="405"/>
      <c r="J8993" s="405">
        <v>0.91433299999999995</v>
      </c>
      <c r="K8993" s="405">
        <v>34.263651000000003</v>
      </c>
      <c r="L8993" s="405" t="s">
        <v>6866</v>
      </c>
      <c r="M8993" s="405" t="s">
        <v>9763</v>
      </c>
      <c r="N8993" s="405" t="s">
        <v>9764</v>
      </c>
      <c r="O8993" s="405" t="s">
        <v>9792</v>
      </c>
      <c r="P8993" s="405" t="s">
        <v>9793</v>
      </c>
      <c r="Q8993" s="411">
        <v>6</v>
      </c>
      <c r="R8993" s="405" t="s">
        <v>7224</v>
      </c>
      <c r="S8993" s="405" t="s">
        <v>27073</v>
      </c>
      <c r="T8993" s="405" t="s">
        <v>32102</v>
      </c>
      <c r="U8993" s="405" t="s">
        <v>319</v>
      </c>
    </row>
    <row r="8994" spans="1:21" hidden="1" x14ac:dyDescent="0.25">
      <c r="A8994" s="405" t="s">
        <v>310</v>
      </c>
      <c r="B8994" s="405" t="s">
        <v>1331</v>
      </c>
      <c r="C8994" s="405" t="s">
        <v>327</v>
      </c>
      <c r="D8994" s="405"/>
      <c r="E8994" s="410">
        <v>40512</v>
      </c>
      <c r="F8994" s="410">
        <v>40557</v>
      </c>
      <c r="G8994" s="405" t="s">
        <v>1332</v>
      </c>
      <c r="H8994" s="405">
        <v>754470062</v>
      </c>
      <c r="I8994" s="405">
        <v>754128817</v>
      </c>
      <c r="J8994" s="405">
        <v>0.35473900000000003</v>
      </c>
      <c r="K8994" s="405">
        <v>32.777093999999998</v>
      </c>
      <c r="L8994" s="405" t="s">
        <v>314</v>
      </c>
      <c r="M8994" s="405" t="s">
        <v>329</v>
      </c>
      <c r="N8994" s="405" t="s">
        <v>330</v>
      </c>
      <c r="O8994" s="405" t="s">
        <v>331</v>
      </c>
      <c r="P8994" s="405" t="s">
        <v>508</v>
      </c>
      <c r="Q8994" s="411">
        <v>9</v>
      </c>
      <c r="R8994" s="405" t="s">
        <v>333</v>
      </c>
      <c r="S8994" s="405" t="s">
        <v>27106</v>
      </c>
      <c r="T8994" s="405" t="s">
        <v>32102</v>
      </c>
      <c r="U8994" s="405" t="s">
        <v>319</v>
      </c>
    </row>
    <row r="8995" spans="1:21" hidden="1" x14ac:dyDescent="0.25">
      <c r="A8995" s="405" t="s">
        <v>310</v>
      </c>
      <c r="B8995" s="405" t="s">
        <v>9949</v>
      </c>
      <c r="C8995" s="405" t="s">
        <v>327</v>
      </c>
      <c r="D8995" s="405"/>
      <c r="E8995" s="410">
        <v>40512</v>
      </c>
      <c r="F8995" s="410">
        <v>40557</v>
      </c>
      <c r="G8995" s="405" t="s">
        <v>9950</v>
      </c>
      <c r="H8995" s="405">
        <v>772343261</v>
      </c>
      <c r="I8995" s="405"/>
      <c r="J8995" s="405">
        <v>1.1367849999999999</v>
      </c>
      <c r="K8995" s="405">
        <v>34.194073000000003</v>
      </c>
      <c r="L8995" s="405" t="s">
        <v>6866</v>
      </c>
      <c r="M8995" s="405" t="s">
        <v>9514</v>
      </c>
      <c r="N8995" s="405" t="s">
        <v>9529</v>
      </c>
      <c r="O8995" s="405" t="s">
        <v>9530</v>
      </c>
      <c r="P8995" s="405" t="s">
        <v>9951</v>
      </c>
      <c r="Q8995" s="411">
        <v>9</v>
      </c>
      <c r="R8995" s="405" t="s">
        <v>333</v>
      </c>
      <c r="S8995" s="405" t="s">
        <v>17062</v>
      </c>
      <c r="T8995" s="405" t="s">
        <v>32102</v>
      </c>
      <c r="U8995" s="405" t="s">
        <v>319</v>
      </c>
    </row>
    <row r="8996" spans="1:21" hidden="1" x14ac:dyDescent="0.25">
      <c r="A8996" s="405" t="s">
        <v>310</v>
      </c>
      <c r="B8996" s="405" t="s">
        <v>28300</v>
      </c>
      <c r="C8996" s="405" t="s">
        <v>327</v>
      </c>
      <c r="D8996" s="405"/>
      <c r="E8996" s="410">
        <v>40512</v>
      </c>
      <c r="F8996" s="410">
        <v>40557</v>
      </c>
      <c r="G8996" s="405" t="s">
        <v>679</v>
      </c>
      <c r="H8996" s="405">
        <v>751689140</v>
      </c>
      <c r="I8996" s="405">
        <v>753378533</v>
      </c>
      <c r="J8996" s="405">
        <v>-0.35629529999999998</v>
      </c>
      <c r="K8996" s="405">
        <v>31.725985300000001</v>
      </c>
      <c r="L8996" s="405" t="s">
        <v>314</v>
      </c>
      <c r="M8996" s="405" t="s">
        <v>382</v>
      </c>
      <c r="N8996" s="405" t="s">
        <v>383</v>
      </c>
      <c r="O8996" s="405" t="s">
        <v>384</v>
      </c>
      <c r="P8996" s="405" t="s">
        <v>680</v>
      </c>
      <c r="Q8996" s="411">
        <v>6</v>
      </c>
      <c r="R8996" s="405" t="s">
        <v>402</v>
      </c>
      <c r="S8996" s="405" t="s">
        <v>27052</v>
      </c>
      <c r="T8996" s="405" t="s">
        <v>32102</v>
      </c>
      <c r="U8996" s="405" t="s">
        <v>319</v>
      </c>
    </row>
    <row r="8997" spans="1:21" hidden="1" x14ac:dyDescent="0.25">
      <c r="A8997" s="405" t="s">
        <v>310</v>
      </c>
      <c r="B8997" s="405" t="s">
        <v>9909</v>
      </c>
      <c r="C8997" s="405" t="s">
        <v>327</v>
      </c>
      <c r="D8997" s="405"/>
      <c r="E8997" s="410">
        <v>40512</v>
      </c>
      <c r="F8997" s="410">
        <v>40557</v>
      </c>
      <c r="G8997" s="405" t="s">
        <v>9910</v>
      </c>
      <c r="H8997" s="405">
        <v>779835776</v>
      </c>
      <c r="I8997" s="405"/>
      <c r="J8997" s="405">
        <v>0.77584200000000003</v>
      </c>
      <c r="K8997" s="405">
        <v>34.106408999999999</v>
      </c>
      <c r="L8997" s="405" t="s">
        <v>6866</v>
      </c>
      <c r="M8997" s="405" t="s">
        <v>9534</v>
      </c>
      <c r="N8997" s="405" t="s">
        <v>9535</v>
      </c>
      <c r="O8997" s="405" t="s">
        <v>9536</v>
      </c>
      <c r="P8997" s="405" t="s">
        <v>9911</v>
      </c>
      <c r="Q8997" s="411">
        <v>6</v>
      </c>
      <c r="R8997" s="405" t="s">
        <v>333</v>
      </c>
      <c r="S8997" s="405" t="s">
        <v>27073</v>
      </c>
      <c r="T8997" s="405" t="s">
        <v>32102</v>
      </c>
      <c r="U8997" s="405" t="s">
        <v>319</v>
      </c>
    </row>
    <row r="8998" spans="1:21" hidden="1" x14ac:dyDescent="0.25">
      <c r="A8998" s="405" t="s">
        <v>310</v>
      </c>
      <c r="B8998" s="405" t="s">
        <v>692</v>
      </c>
      <c r="C8998" s="405" t="s">
        <v>327</v>
      </c>
      <c r="D8998" s="405"/>
      <c r="E8998" s="410">
        <v>40512</v>
      </c>
      <c r="F8998" s="410">
        <v>40557</v>
      </c>
      <c r="G8998" s="405" t="s">
        <v>693</v>
      </c>
      <c r="H8998" s="405">
        <v>782383678</v>
      </c>
      <c r="I8998" s="405">
        <v>758163650</v>
      </c>
      <c r="J8998" s="405">
        <v>0.34933500000000001</v>
      </c>
      <c r="K8998" s="405">
        <v>32.779093000000003</v>
      </c>
      <c r="L8998" s="405" t="s">
        <v>314</v>
      </c>
      <c r="M8998" s="405" t="s">
        <v>694</v>
      </c>
      <c r="N8998" s="405" t="s">
        <v>330</v>
      </c>
      <c r="O8998" s="405" t="s">
        <v>331</v>
      </c>
      <c r="P8998" s="405" t="s">
        <v>508</v>
      </c>
      <c r="Q8998" s="411">
        <v>6</v>
      </c>
      <c r="R8998" s="405" t="s">
        <v>333</v>
      </c>
      <c r="S8998" s="405" t="s">
        <v>27110</v>
      </c>
      <c r="T8998" s="405" t="s">
        <v>32102</v>
      </c>
      <c r="U8998" s="405" t="s">
        <v>319</v>
      </c>
    </row>
    <row r="8999" spans="1:21" hidden="1" x14ac:dyDescent="0.25">
      <c r="A8999" s="405" t="s">
        <v>310</v>
      </c>
      <c r="B8999" s="405" t="s">
        <v>9976</v>
      </c>
      <c r="C8999" s="405" t="s">
        <v>327</v>
      </c>
      <c r="D8999" s="405"/>
      <c r="E8999" s="410">
        <v>40512</v>
      </c>
      <c r="F8999" s="410">
        <v>40557</v>
      </c>
      <c r="G8999" s="405" t="s">
        <v>9977</v>
      </c>
      <c r="H8999" s="405">
        <v>772601608</v>
      </c>
      <c r="I8999" s="405"/>
      <c r="J8999" s="405">
        <v>0.93089299999999997</v>
      </c>
      <c r="K8999" s="405">
        <v>34.283979000000002</v>
      </c>
      <c r="L8999" s="405" t="s">
        <v>6866</v>
      </c>
      <c r="M8999" s="405" t="s">
        <v>9763</v>
      </c>
      <c r="N8999" s="405" t="s">
        <v>9764</v>
      </c>
      <c r="O8999" s="405" t="s">
        <v>9792</v>
      </c>
      <c r="P8999" s="405" t="s">
        <v>9978</v>
      </c>
      <c r="Q8999" s="411">
        <v>6</v>
      </c>
      <c r="R8999" s="405" t="s">
        <v>333</v>
      </c>
      <c r="S8999" s="405" t="s">
        <v>27073</v>
      </c>
      <c r="T8999" s="405" t="s">
        <v>32102</v>
      </c>
      <c r="U8999" s="405" t="s">
        <v>319</v>
      </c>
    </row>
    <row r="9000" spans="1:21" hidden="1" x14ac:dyDescent="0.25">
      <c r="A9000" s="405" t="s">
        <v>310</v>
      </c>
      <c r="B9000" s="405" t="s">
        <v>688</v>
      </c>
      <c r="C9000" s="405" t="s">
        <v>327</v>
      </c>
      <c r="D9000" s="405"/>
      <c r="E9000" s="410">
        <v>40512</v>
      </c>
      <c r="F9000" s="410">
        <v>40557</v>
      </c>
      <c r="G9000" s="405" t="s">
        <v>689</v>
      </c>
      <c r="H9000" s="405">
        <v>782945534</v>
      </c>
      <c r="I9000" s="405"/>
      <c r="J9000" s="405">
        <v>0.25154700000000002</v>
      </c>
      <c r="K9000" s="405">
        <v>32.947485</v>
      </c>
      <c r="L9000" s="405" t="s">
        <v>314</v>
      </c>
      <c r="M9000" s="405" t="s">
        <v>349</v>
      </c>
      <c r="N9000" s="405" t="s">
        <v>549</v>
      </c>
      <c r="O9000" s="405" t="s">
        <v>690</v>
      </c>
      <c r="P9000" s="405" t="s">
        <v>691</v>
      </c>
      <c r="Q9000" s="411">
        <v>6</v>
      </c>
      <c r="R9000" s="405" t="s">
        <v>353</v>
      </c>
      <c r="S9000" s="405" t="s">
        <v>27110</v>
      </c>
      <c r="T9000" s="405" t="s">
        <v>32102</v>
      </c>
      <c r="U9000" s="405" t="s">
        <v>319</v>
      </c>
    </row>
    <row r="9001" spans="1:21" hidden="1" x14ac:dyDescent="0.25">
      <c r="A9001" s="405" t="s">
        <v>310</v>
      </c>
      <c r="B9001" s="405" t="s">
        <v>9929</v>
      </c>
      <c r="C9001" s="405" t="s">
        <v>327</v>
      </c>
      <c r="D9001" s="405"/>
      <c r="E9001" s="410">
        <v>40510</v>
      </c>
      <c r="F9001" s="410">
        <v>40555</v>
      </c>
      <c r="G9001" s="405" t="s">
        <v>9930</v>
      </c>
      <c r="H9001" s="405">
        <v>704324893</v>
      </c>
      <c r="I9001" s="405">
        <v>772521998</v>
      </c>
      <c r="J9001" s="405">
        <v>0.96910300000000005</v>
      </c>
      <c r="K9001" s="405">
        <v>34.092320999999998</v>
      </c>
      <c r="L9001" s="405" t="s">
        <v>6866</v>
      </c>
      <c r="M9001" s="405" t="s">
        <v>9566</v>
      </c>
      <c r="N9001" s="405" t="s">
        <v>9931</v>
      </c>
      <c r="O9001" s="405" t="s">
        <v>9932</v>
      </c>
      <c r="P9001" s="405" t="s">
        <v>9933</v>
      </c>
      <c r="Q9001" s="411">
        <v>6</v>
      </c>
      <c r="R9001" s="405" t="s">
        <v>9541</v>
      </c>
      <c r="S9001" s="405" t="s">
        <v>27312</v>
      </c>
      <c r="T9001" s="405" t="s">
        <v>32102</v>
      </c>
      <c r="U9001" s="405" t="s">
        <v>319</v>
      </c>
    </row>
    <row r="9002" spans="1:21" hidden="1" x14ac:dyDescent="0.25">
      <c r="A9002" s="405" t="s">
        <v>310</v>
      </c>
      <c r="B9002" s="405" t="s">
        <v>9915</v>
      </c>
      <c r="C9002" s="405" t="s">
        <v>327</v>
      </c>
      <c r="D9002" s="405"/>
      <c r="E9002" s="410">
        <v>40509</v>
      </c>
      <c r="F9002" s="410">
        <v>40554</v>
      </c>
      <c r="G9002" s="405" t="s">
        <v>9916</v>
      </c>
      <c r="H9002" s="405">
        <v>781872717</v>
      </c>
      <c r="I9002" s="405"/>
      <c r="J9002" s="405">
        <v>1.150865</v>
      </c>
      <c r="K9002" s="405">
        <v>34.218384999999998</v>
      </c>
      <c r="L9002" s="405" t="s">
        <v>6866</v>
      </c>
      <c r="M9002" s="405" t="s">
        <v>9514</v>
      </c>
      <c r="N9002" s="405" t="s">
        <v>9529</v>
      </c>
      <c r="O9002" s="405" t="s">
        <v>9530</v>
      </c>
      <c r="P9002" s="405" t="s">
        <v>9917</v>
      </c>
      <c r="Q9002" s="411">
        <v>6</v>
      </c>
      <c r="R9002" s="405" t="s">
        <v>333</v>
      </c>
      <c r="S9002" s="405" t="s">
        <v>27300</v>
      </c>
      <c r="T9002" s="405" t="s">
        <v>32102</v>
      </c>
      <c r="U9002" s="405" t="s">
        <v>319</v>
      </c>
    </row>
    <row r="9003" spans="1:21" hidden="1" x14ac:dyDescent="0.25">
      <c r="A9003" s="405" t="s">
        <v>310</v>
      </c>
      <c r="B9003" s="405" t="s">
        <v>9912</v>
      </c>
      <c r="C9003" s="405" t="s">
        <v>327</v>
      </c>
      <c r="D9003" s="405"/>
      <c r="E9003" s="410">
        <v>40509</v>
      </c>
      <c r="F9003" s="410">
        <v>40554</v>
      </c>
      <c r="G9003" s="405" t="s">
        <v>9913</v>
      </c>
      <c r="H9003" s="405">
        <v>772326184</v>
      </c>
      <c r="I9003" s="405"/>
      <c r="J9003" s="405">
        <v>1.0401450000000001</v>
      </c>
      <c r="K9003" s="405">
        <v>34.170355000000001</v>
      </c>
      <c r="L9003" s="405" t="s">
        <v>6866</v>
      </c>
      <c r="M9003" s="405" t="s">
        <v>9514</v>
      </c>
      <c r="N9003" s="405" t="s">
        <v>9529</v>
      </c>
      <c r="O9003" s="405" t="s">
        <v>9780</v>
      </c>
      <c r="P9003" s="405" t="s">
        <v>9914</v>
      </c>
      <c r="Q9003" s="411">
        <v>6</v>
      </c>
      <c r="R9003" s="405" t="s">
        <v>333</v>
      </c>
      <c r="S9003" s="405" t="s">
        <v>27306</v>
      </c>
      <c r="T9003" s="405" t="s">
        <v>32102</v>
      </c>
      <c r="U9003" s="405" t="s">
        <v>319</v>
      </c>
    </row>
    <row r="9004" spans="1:21" hidden="1" x14ac:dyDescent="0.25">
      <c r="A9004" s="405" t="s">
        <v>310</v>
      </c>
      <c r="B9004" s="405" t="s">
        <v>9918</v>
      </c>
      <c r="C9004" s="405" t="s">
        <v>857</v>
      </c>
      <c r="D9004" s="405" t="s">
        <v>33108</v>
      </c>
      <c r="E9004" s="410">
        <v>40509</v>
      </c>
      <c r="F9004" s="410">
        <v>40554</v>
      </c>
      <c r="G9004" s="405" t="s">
        <v>9919</v>
      </c>
      <c r="H9004" s="405">
        <v>776348769</v>
      </c>
      <c r="I9004" s="405"/>
      <c r="J9004" s="405">
        <v>1.141343</v>
      </c>
      <c r="K9004" s="405">
        <v>34.214917999999997</v>
      </c>
      <c r="L9004" s="405" t="s">
        <v>6866</v>
      </c>
      <c r="M9004" s="405" t="s">
        <v>9514</v>
      </c>
      <c r="N9004" s="405" t="s">
        <v>9722</v>
      </c>
      <c r="O9004" s="405" t="s">
        <v>9530</v>
      </c>
      <c r="P9004" s="405" t="s">
        <v>9920</v>
      </c>
      <c r="Q9004" s="411">
        <v>6</v>
      </c>
      <c r="R9004" s="405" t="s">
        <v>333</v>
      </c>
      <c r="S9004" s="405" t="s">
        <v>27304</v>
      </c>
      <c r="T9004" s="405" t="s">
        <v>32102</v>
      </c>
      <c r="U9004" s="405" t="s">
        <v>319</v>
      </c>
    </row>
    <row r="9005" spans="1:21" hidden="1" x14ac:dyDescent="0.25">
      <c r="A9005" s="405" t="s">
        <v>310</v>
      </c>
      <c r="B9005" s="405" t="s">
        <v>9968</v>
      </c>
      <c r="C9005" s="405" t="s">
        <v>327</v>
      </c>
      <c r="D9005" s="405"/>
      <c r="E9005" s="410">
        <v>40508</v>
      </c>
      <c r="F9005" s="410">
        <v>40553</v>
      </c>
      <c r="G9005" s="405" t="s">
        <v>9969</v>
      </c>
      <c r="H9005" s="405">
        <v>773772071</v>
      </c>
      <c r="I9005" s="405">
        <v>772520966</v>
      </c>
      <c r="J9005" s="405">
        <v>1.2496133333333332</v>
      </c>
      <c r="K9005" s="405">
        <v>33.157046666666666</v>
      </c>
      <c r="L9005" s="405" t="s">
        <v>6866</v>
      </c>
      <c r="M9005" s="405" t="s">
        <v>9520</v>
      </c>
      <c r="N9005" s="405" t="s">
        <v>9970</v>
      </c>
      <c r="O9005" s="405" t="s">
        <v>7381</v>
      </c>
      <c r="P9005" s="405" t="s">
        <v>9740</v>
      </c>
      <c r="Q9005" s="411">
        <v>12</v>
      </c>
      <c r="R9005" s="405" t="s">
        <v>333</v>
      </c>
      <c r="S9005" s="405" t="s">
        <v>27195</v>
      </c>
      <c r="T9005" s="405" t="s">
        <v>32102</v>
      </c>
      <c r="U9005" s="405" t="s">
        <v>319</v>
      </c>
    </row>
    <row r="9006" spans="1:21" hidden="1" x14ac:dyDescent="0.25">
      <c r="A9006" s="405" t="s">
        <v>310</v>
      </c>
      <c r="B9006" s="405" t="s">
        <v>9971</v>
      </c>
      <c r="C9006" s="405" t="s">
        <v>327</v>
      </c>
      <c r="D9006" s="405"/>
      <c r="E9006" s="410">
        <v>40507</v>
      </c>
      <c r="F9006" s="410">
        <v>40552</v>
      </c>
      <c r="G9006" s="405" t="s">
        <v>9972</v>
      </c>
      <c r="H9006" s="405">
        <v>776204662</v>
      </c>
      <c r="I9006" s="405">
        <v>752204662</v>
      </c>
      <c r="J9006" s="405">
        <v>1.4004066666666666</v>
      </c>
      <c r="K9006" s="405">
        <v>32.947745000000005</v>
      </c>
      <c r="L9006" s="405" t="s">
        <v>6866</v>
      </c>
      <c r="M9006" s="405" t="s">
        <v>9520</v>
      </c>
      <c r="N9006" s="405" t="s">
        <v>9560</v>
      </c>
      <c r="O9006" s="405" t="s">
        <v>9522</v>
      </c>
      <c r="P9006" s="405" t="s">
        <v>9973</v>
      </c>
      <c r="Q9006" s="411">
        <v>12</v>
      </c>
      <c r="R9006" s="405" t="s">
        <v>32478</v>
      </c>
      <c r="S9006" s="405" t="s">
        <v>27195</v>
      </c>
      <c r="T9006" s="405" t="s">
        <v>32102</v>
      </c>
      <c r="U9006" s="405" t="s">
        <v>319</v>
      </c>
    </row>
    <row r="9007" spans="1:21" hidden="1" x14ac:dyDescent="0.25">
      <c r="A9007" s="405" t="s">
        <v>310</v>
      </c>
      <c r="B9007" s="405" t="s">
        <v>19802</v>
      </c>
      <c r="C9007" s="405" t="s">
        <v>327</v>
      </c>
      <c r="D9007" s="405"/>
      <c r="E9007" s="410">
        <v>40506</v>
      </c>
      <c r="F9007" s="410">
        <v>40551</v>
      </c>
      <c r="G9007" s="405" t="s">
        <v>19803</v>
      </c>
      <c r="H9007" s="405">
        <v>782313293</v>
      </c>
      <c r="I9007" s="405"/>
      <c r="J9007" s="405">
        <v>-0.56877200000000006</v>
      </c>
      <c r="K9007" s="405">
        <v>30.350919000000001</v>
      </c>
      <c r="L9007" s="405" t="s">
        <v>590</v>
      </c>
      <c r="M9007" s="405" t="s">
        <v>19725</v>
      </c>
      <c r="N9007" s="405" t="s">
        <v>19725</v>
      </c>
      <c r="O9007" s="405" t="s">
        <v>19804</v>
      </c>
      <c r="P9007" s="405" t="s">
        <v>19804</v>
      </c>
      <c r="Q9007" s="411">
        <v>9</v>
      </c>
      <c r="R9007" s="405" t="s">
        <v>333</v>
      </c>
      <c r="S9007" s="405" t="s">
        <v>27397</v>
      </c>
      <c r="T9007" s="405" t="s">
        <v>32102</v>
      </c>
      <c r="U9007" s="405" t="s">
        <v>319</v>
      </c>
    </row>
    <row r="9008" spans="1:21" hidden="1" x14ac:dyDescent="0.25">
      <c r="A9008" s="405" t="s">
        <v>310</v>
      </c>
      <c r="B9008" s="405" t="s">
        <v>19812</v>
      </c>
      <c r="C9008" s="405" t="s">
        <v>327</v>
      </c>
      <c r="D9008" s="405"/>
      <c r="E9008" s="410">
        <v>40506</v>
      </c>
      <c r="F9008" s="410">
        <v>40551</v>
      </c>
      <c r="G9008" s="405" t="s">
        <v>19813</v>
      </c>
      <c r="H9008" s="405">
        <v>787314429</v>
      </c>
      <c r="I9008" s="405">
        <v>772916705</v>
      </c>
      <c r="J9008" s="405">
        <v>1.7265265000000001</v>
      </c>
      <c r="K9008" s="405">
        <v>31.7117255</v>
      </c>
      <c r="L9008" s="405" t="s">
        <v>590</v>
      </c>
      <c r="M9008" s="405" t="s">
        <v>19608</v>
      </c>
      <c r="N9008" s="405" t="s">
        <v>19762</v>
      </c>
      <c r="O9008" s="405" t="s">
        <v>4147</v>
      </c>
      <c r="P9008" s="405" t="s">
        <v>19763</v>
      </c>
      <c r="Q9008" s="411">
        <v>9</v>
      </c>
      <c r="R9008" s="405" t="s">
        <v>318</v>
      </c>
      <c r="S9008" s="405" t="s">
        <v>27126</v>
      </c>
      <c r="T9008" s="405" t="s">
        <v>32102</v>
      </c>
      <c r="U9008" s="405" t="s">
        <v>319</v>
      </c>
    </row>
    <row r="9009" spans="1:25" hidden="1" x14ac:dyDescent="0.25">
      <c r="A9009" s="405" t="s">
        <v>310</v>
      </c>
      <c r="B9009" s="405" t="s">
        <v>27842</v>
      </c>
      <c r="C9009" s="405" t="s">
        <v>327</v>
      </c>
      <c r="D9009" s="405"/>
      <c r="E9009" s="410">
        <v>40506</v>
      </c>
      <c r="F9009" s="410">
        <v>40551</v>
      </c>
      <c r="G9009" s="405" t="s">
        <v>9905</v>
      </c>
      <c r="H9009" s="405">
        <v>784499035</v>
      </c>
      <c r="I9009" s="405"/>
      <c r="J9009" s="405">
        <v>0.72143199999999996</v>
      </c>
      <c r="K9009" s="405">
        <v>33.888863999999998</v>
      </c>
      <c r="L9009" s="405" t="s">
        <v>6866</v>
      </c>
      <c r="M9009" s="405" t="s">
        <v>9566</v>
      </c>
      <c r="N9009" s="405" t="s">
        <v>9787</v>
      </c>
      <c r="O9009" s="405" t="s">
        <v>9788</v>
      </c>
      <c r="P9009" s="405" t="s">
        <v>9906</v>
      </c>
      <c r="Q9009" s="411">
        <v>6</v>
      </c>
      <c r="R9009" s="405" t="s">
        <v>333</v>
      </c>
      <c r="S9009" s="405" t="s">
        <v>17062</v>
      </c>
      <c r="T9009" s="405" t="s">
        <v>32102</v>
      </c>
      <c r="U9009" s="405" t="s">
        <v>319</v>
      </c>
    </row>
    <row r="9010" spans="1:25" hidden="1" x14ac:dyDescent="0.25">
      <c r="A9010" s="405" t="s">
        <v>310</v>
      </c>
      <c r="B9010" s="405" t="s">
        <v>27508</v>
      </c>
      <c r="C9010" s="405" t="s">
        <v>327</v>
      </c>
      <c r="D9010" s="405"/>
      <c r="E9010" s="410">
        <v>40504</v>
      </c>
      <c r="F9010" s="410">
        <v>40549</v>
      </c>
      <c r="G9010" s="405" t="s">
        <v>9945</v>
      </c>
      <c r="H9010" s="405">
        <v>774933655</v>
      </c>
      <c r="I9010" s="405"/>
      <c r="J9010" s="405">
        <v>1.2176149999999999</v>
      </c>
      <c r="K9010" s="405">
        <v>34.298050000000003</v>
      </c>
      <c r="L9010" s="405" t="s">
        <v>6866</v>
      </c>
      <c r="M9010" s="405" t="s">
        <v>9575</v>
      </c>
      <c r="N9010" s="405" t="s">
        <v>9629</v>
      </c>
      <c r="O9010" s="405" t="s">
        <v>9630</v>
      </c>
      <c r="P9010" s="405" t="s">
        <v>4672</v>
      </c>
      <c r="Q9010" s="411">
        <v>6</v>
      </c>
      <c r="R9010" s="405" t="s">
        <v>7224</v>
      </c>
      <c r="S9010" s="405" t="s">
        <v>27313</v>
      </c>
      <c r="T9010" s="405" t="s">
        <v>32102</v>
      </c>
      <c r="U9010" s="405" t="s">
        <v>319</v>
      </c>
    </row>
    <row r="9011" spans="1:25" hidden="1" x14ac:dyDescent="0.25">
      <c r="A9011" s="405" t="s">
        <v>310</v>
      </c>
      <c r="B9011" s="405" t="s">
        <v>701</v>
      </c>
      <c r="C9011" s="405" t="s">
        <v>327</v>
      </c>
      <c r="D9011" s="405"/>
      <c r="E9011" s="410">
        <v>40504</v>
      </c>
      <c r="F9011" s="410">
        <v>40549</v>
      </c>
      <c r="G9011" s="405" t="s">
        <v>702</v>
      </c>
      <c r="H9011" s="405">
        <v>775259867</v>
      </c>
      <c r="I9011" s="405"/>
      <c r="J9011" s="405">
        <v>0.38077299999999997</v>
      </c>
      <c r="K9011" s="405">
        <v>32.750779000000001</v>
      </c>
      <c r="L9011" s="405" t="s">
        <v>314</v>
      </c>
      <c r="M9011" s="405" t="s">
        <v>329</v>
      </c>
      <c r="N9011" s="405" t="s">
        <v>545</v>
      </c>
      <c r="O9011" s="405" t="s">
        <v>546</v>
      </c>
      <c r="P9011" s="405" t="s">
        <v>703</v>
      </c>
      <c r="Q9011" s="411">
        <v>6</v>
      </c>
      <c r="R9011" s="405" t="s">
        <v>353</v>
      </c>
      <c r="S9011" s="405" t="s">
        <v>27049</v>
      </c>
      <c r="T9011" s="405" t="s">
        <v>32102</v>
      </c>
      <c r="U9011" s="405" t="s">
        <v>319</v>
      </c>
    </row>
    <row r="9012" spans="1:25" hidden="1" x14ac:dyDescent="0.25">
      <c r="A9012" s="405" t="s">
        <v>310</v>
      </c>
      <c r="B9012" s="405" t="s">
        <v>9885</v>
      </c>
      <c r="C9012" s="405" t="s">
        <v>327</v>
      </c>
      <c r="D9012" s="405"/>
      <c r="E9012" s="410">
        <v>40504</v>
      </c>
      <c r="F9012" s="410">
        <v>40549</v>
      </c>
      <c r="G9012" s="405" t="s">
        <v>9886</v>
      </c>
      <c r="H9012" s="405">
        <v>775003731</v>
      </c>
      <c r="I9012" s="405"/>
      <c r="J9012" s="405">
        <v>1.069415</v>
      </c>
      <c r="K9012" s="405">
        <v>34.205311999999999</v>
      </c>
      <c r="L9012" s="405" t="s">
        <v>6866</v>
      </c>
      <c r="M9012" s="405" t="s">
        <v>9514</v>
      </c>
      <c r="N9012" s="405" t="s">
        <v>9515</v>
      </c>
      <c r="O9012" s="405" t="s">
        <v>9516</v>
      </c>
      <c r="P9012" s="405" t="s">
        <v>9887</v>
      </c>
      <c r="Q9012" s="411">
        <v>6</v>
      </c>
      <c r="R9012" s="405" t="s">
        <v>32478</v>
      </c>
      <c r="S9012" s="405" t="s">
        <v>27127</v>
      </c>
      <c r="T9012" s="405" t="s">
        <v>884</v>
      </c>
      <c r="U9012" s="405" t="s">
        <v>319</v>
      </c>
    </row>
    <row r="9013" spans="1:25" hidden="1" x14ac:dyDescent="0.25">
      <c r="A9013" s="405" t="s">
        <v>310</v>
      </c>
      <c r="B9013" s="405" t="s">
        <v>9941</v>
      </c>
      <c r="C9013" s="405" t="s">
        <v>327</v>
      </c>
      <c r="D9013" s="405"/>
      <c r="E9013" s="410">
        <v>40503</v>
      </c>
      <c r="F9013" s="410">
        <v>40548</v>
      </c>
      <c r="G9013" s="405" t="s">
        <v>9942</v>
      </c>
      <c r="H9013" s="405">
        <v>702156193</v>
      </c>
      <c r="I9013" s="405"/>
      <c r="J9013" s="405">
        <v>1.2605630000000001</v>
      </c>
      <c r="K9013" s="405">
        <v>34.322485</v>
      </c>
      <c r="L9013" s="405" t="s">
        <v>6866</v>
      </c>
      <c r="M9013" s="405" t="s">
        <v>9550</v>
      </c>
      <c r="N9013" s="405" t="s">
        <v>9638</v>
      </c>
      <c r="O9013" s="405" t="s">
        <v>9943</v>
      </c>
      <c r="P9013" s="405" t="s">
        <v>9944</v>
      </c>
      <c r="Q9013" s="411">
        <v>6</v>
      </c>
      <c r="R9013" s="405" t="s">
        <v>9541</v>
      </c>
      <c r="S9013" s="405" t="s">
        <v>27200</v>
      </c>
      <c r="T9013" s="405" t="s">
        <v>32102</v>
      </c>
      <c r="U9013" s="405" t="s">
        <v>319</v>
      </c>
    </row>
    <row r="9014" spans="1:25" hidden="1" x14ac:dyDescent="0.25">
      <c r="A9014" s="405" t="s">
        <v>310</v>
      </c>
      <c r="B9014" s="405" t="s">
        <v>9960</v>
      </c>
      <c r="C9014" s="405" t="s">
        <v>327</v>
      </c>
      <c r="D9014" s="405"/>
      <c r="E9014" s="410">
        <v>40502</v>
      </c>
      <c r="F9014" s="410">
        <v>40547</v>
      </c>
      <c r="G9014" s="405" t="s">
        <v>9961</v>
      </c>
      <c r="H9014" s="405">
        <v>772915954</v>
      </c>
      <c r="I9014" s="405"/>
      <c r="J9014" s="405">
        <v>1.203573</v>
      </c>
      <c r="K9014" s="405">
        <v>34.215488000000001</v>
      </c>
      <c r="L9014" s="405" t="s">
        <v>6866</v>
      </c>
      <c r="M9014" s="405" t="s">
        <v>9514</v>
      </c>
      <c r="N9014" s="405" t="s">
        <v>9576</v>
      </c>
      <c r="O9014" s="405" t="s">
        <v>9962</v>
      </c>
      <c r="P9014" s="405" t="s">
        <v>9963</v>
      </c>
      <c r="Q9014" s="411">
        <v>13</v>
      </c>
      <c r="R9014" s="405" t="s">
        <v>333</v>
      </c>
      <c r="S9014" s="405" t="s">
        <v>27303</v>
      </c>
      <c r="T9014" s="405" t="s">
        <v>32102</v>
      </c>
      <c r="U9014" s="405" t="s">
        <v>319</v>
      </c>
    </row>
    <row r="9015" spans="1:25" hidden="1" x14ac:dyDescent="0.25">
      <c r="A9015" s="405" t="s">
        <v>310</v>
      </c>
      <c r="B9015" s="405" t="s">
        <v>673</v>
      </c>
      <c r="C9015" s="405" t="s">
        <v>327</v>
      </c>
      <c r="D9015" s="405"/>
      <c r="E9015" s="410">
        <v>40502</v>
      </c>
      <c r="F9015" s="410">
        <v>40547</v>
      </c>
      <c r="G9015" s="405" t="s">
        <v>674</v>
      </c>
      <c r="H9015" s="405">
        <v>772411503</v>
      </c>
      <c r="I9015" s="405"/>
      <c r="J9015" s="405">
        <v>0.30649300000000002</v>
      </c>
      <c r="K9015" s="405">
        <v>32.113173000000003</v>
      </c>
      <c r="L9015" s="405" t="s">
        <v>314</v>
      </c>
      <c r="M9015" s="405" t="s">
        <v>675</v>
      </c>
      <c r="N9015" s="405" t="s">
        <v>676</v>
      </c>
      <c r="O9015" s="405" t="s">
        <v>677</v>
      </c>
      <c r="P9015" s="405" t="s">
        <v>678</v>
      </c>
      <c r="Q9015" s="411">
        <v>12</v>
      </c>
      <c r="R9015" s="405" t="s">
        <v>353</v>
      </c>
      <c r="S9015" s="405" t="s">
        <v>27153</v>
      </c>
      <c r="T9015" s="405" t="s">
        <v>32102</v>
      </c>
      <c r="U9015" s="405" t="s">
        <v>319</v>
      </c>
      <c r="V9015" s="183" cm="1">
        <f t="array" ref="V9015">SUM(IF(FREQUENCY(MATCH(R2:R9170,R2:R9170,0),MATCH(R2:R9170,R2:R9170,0))&gt;0,1))</f>
        <v>84</v>
      </c>
      <c r="W9015" s="183"/>
      <c r="Y9015" s="183" cm="1">
        <f t="array" ref="Y9015">SUM(IF(FREQUENCY(MATCH(S2:S9170,S2:S9170,0),MATCH(S2:S9170,S2:S9170,0))&gt;0,1))</f>
        <v>461</v>
      </c>
    </row>
    <row r="9016" spans="1:25" hidden="1" x14ac:dyDescent="0.25">
      <c r="A9016" s="405" t="s">
        <v>310</v>
      </c>
      <c r="B9016" s="405" t="s">
        <v>19809</v>
      </c>
      <c r="C9016" s="405" t="s">
        <v>327</v>
      </c>
      <c r="D9016" s="405"/>
      <c r="E9016" s="410">
        <v>40502</v>
      </c>
      <c r="F9016" s="410">
        <v>40547</v>
      </c>
      <c r="G9016" s="405" t="s">
        <v>19810</v>
      </c>
      <c r="H9016" s="405">
        <v>785126499</v>
      </c>
      <c r="I9016" s="405">
        <v>771406940</v>
      </c>
      <c r="J9016" s="405">
        <v>1.6419778</v>
      </c>
      <c r="K9016" s="405">
        <v>31.603142900000002</v>
      </c>
      <c r="L9016" s="405" t="s">
        <v>590</v>
      </c>
      <c r="M9016" s="405" t="s">
        <v>19608</v>
      </c>
      <c r="N9016" s="405" t="s">
        <v>19762</v>
      </c>
      <c r="O9016" s="405" t="s">
        <v>19811</v>
      </c>
      <c r="P9016" s="405" t="s">
        <v>19808</v>
      </c>
      <c r="Q9016" s="411">
        <v>9</v>
      </c>
      <c r="R9016" s="405" t="s">
        <v>318</v>
      </c>
      <c r="S9016" s="405" t="s">
        <v>27109</v>
      </c>
      <c r="T9016" s="405" t="s">
        <v>32102</v>
      </c>
      <c r="U9016" s="405" t="s">
        <v>319</v>
      </c>
      <c r="V9016" s="23">
        <f>COUNTA('MPI DB final'!A2:A9380)/'MPI DB final'!V9015</f>
        <v>111.33333333333333</v>
      </c>
      <c r="Y9016" s="23">
        <f>COUNTA('MPI DB final'!A2:A9380)/'MPI DB final'!Y9015</f>
        <v>20.286334056399131</v>
      </c>
    </row>
    <row r="9017" spans="1:25" hidden="1" x14ac:dyDescent="0.25">
      <c r="A9017" s="405" t="s">
        <v>310</v>
      </c>
      <c r="B9017" s="405" t="s">
        <v>28171</v>
      </c>
      <c r="C9017" s="405" t="s">
        <v>327</v>
      </c>
      <c r="D9017" s="405"/>
      <c r="E9017" s="410">
        <v>40502</v>
      </c>
      <c r="F9017" s="410">
        <v>40547</v>
      </c>
      <c r="G9017" s="405" t="s">
        <v>9955</v>
      </c>
      <c r="H9017" s="405">
        <v>772395327</v>
      </c>
      <c r="I9017" s="405"/>
      <c r="J9017" s="405">
        <v>1.2786599999999999</v>
      </c>
      <c r="K9017" s="405">
        <v>34.358085000000003</v>
      </c>
      <c r="L9017" s="405" t="s">
        <v>6866</v>
      </c>
      <c r="M9017" s="405" t="s">
        <v>9550</v>
      </c>
      <c r="N9017" s="405" t="s">
        <v>9551</v>
      </c>
      <c r="O9017" s="405" t="s">
        <v>9551</v>
      </c>
      <c r="P9017" s="405" t="s">
        <v>9956</v>
      </c>
      <c r="Q9017" s="411">
        <v>6</v>
      </c>
      <c r="R9017" s="405" t="s">
        <v>7224</v>
      </c>
      <c r="S9017" s="405" t="s">
        <v>27297</v>
      </c>
      <c r="T9017" s="405" t="s">
        <v>884</v>
      </c>
      <c r="U9017" s="405" t="s">
        <v>319</v>
      </c>
      <c r="V9017" t="s">
        <v>27455</v>
      </c>
      <c r="Y9017" t="s">
        <v>27456</v>
      </c>
    </row>
    <row r="9018" spans="1:25" hidden="1" x14ac:dyDescent="0.25">
      <c r="A9018" s="405" t="s">
        <v>310</v>
      </c>
      <c r="B9018" s="405" t="s">
        <v>28613</v>
      </c>
      <c r="C9018" s="405" t="s">
        <v>327</v>
      </c>
      <c r="D9018" s="405"/>
      <c r="E9018" s="410">
        <v>40502</v>
      </c>
      <c r="F9018" s="410">
        <v>40547</v>
      </c>
      <c r="G9018" s="405" t="s">
        <v>9900</v>
      </c>
      <c r="H9018" s="405">
        <v>782593978</v>
      </c>
      <c r="I9018" s="405"/>
      <c r="J9018" s="405">
        <v>1.0438670000000001</v>
      </c>
      <c r="K9018" s="405">
        <v>34.165213000000001</v>
      </c>
      <c r="L9018" s="405" t="s">
        <v>6866</v>
      </c>
      <c r="M9018" s="405" t="s">
        <v>9514</v>
      </c>
      <c r="N9018" s="405" t="s">
        <v>9529</v>
      </c>
      <c r="O9018" s="405" t="s">
        <v>9780</v>
      </c>
      <c r="P9018" s="405" t="s">
        <v>9783</v>
      </c>
      <c r="Q9018" s="411">
        <v>6</v>
      </c>
      <c r="R9018" s="405" t="s">
        <v>333</v>
      </c>
      <c r="S9018" s="405" t="s">
        <v>17013</v>
      </c>
      <c r="T9018" s="405" t="s">
        <v>32102</v>
      </c>
      <c r="U9018" s="405" t="s">
        <v>319</v>
      </c>
    </row>
    <row r="9019" spans="1:25" hidden="1" x14ac:dyDescent="0.25">
      <c r="A9019" s="405" t="s">
        <v>310</v>
      </c>
      <c r="B9019" s="405" t="s">
        <v>9896</v>
      </c>
      <c r="C9019" s="405" t="s">
        <v>327</v>
      </c>
      <c r="D9019" s="405"/>
      <c r="E9019" s="410">
        <v>40502</v>
      </c>
      <c r="F9019" s="410">
        <v>40547</v>
      </c>
      <c r="G9019" s="405" t="s">
        <v>9897</v>
      </c>
      <c r="H9019" s="405">
        <v>783150266</v>
      </c>
      <c r="I9019" s="405"/>
      <c r="J9019" s="405">
        <v>1.148728</v>
      </c>
      <c r="K9019" s="405">
        <v>34.200028000000003</v>
      </c>
      <c r="L9019" s="405" t="s">
        <v>6866</v>
      </c>
      <c r="M9019" s="405" t="s">
        <v>9514</v>
      </c>
      <c r="N9019" s="405" t="s">
        <v>9529</v>
      </c>
      <c r="O9019" s="405" t="s">
        <v>9530</v>
      </c>
      <c r="P9019" s="405" t="s">
        <v>9898</v>
      </c>
      <c r="Q9019" s="411">
        <v>6</v>
      </c>
      <c r="R9019" s="405" t="s">
        <v>333</v>
      </c>
      <c r="S9019" s="405" t="s">
        <v>27086</v>
      </c>
      <c r="T9019" s="405" t="s">
        <v>32102</v>
      </c>
      <c r="U9019" s="405" t="s">
        <v>319</v>
      </c>
    </row>
    <row r="9020" spans="1:25" hidden="1" x14ac:dyDescent="0.25">
      <c r="A9020" s="405" t="s">
        <v>310</v>
      </c>
      <c r="B9020" s="405" t="s">
        <v>669</v>
      </c>
      <c r="C9020" s="405" t="s">
        <v>327</v>
      </c>
      <c r="D9020" s="405"/>
      <c r="E9020" s="410">
        <v>40501</v>
      </c>
      <c r="F9020" s="410">
        <v>40546</v>
      </c>
      <c r="G9020" s="405" t="s">
        <v>670</v>
      </c>
      <c r="H9020" s="405">
        <v>773447359</v>
      </c>
      <c r="I9020" s="405"/>
      <c r="J9020" s="405">
        <v>0.106752</v>
      </c>
      <c r="K9020" s="405">
        <v>32.000708000000003</v>
      </c>
      <c r="L9020" s="405" t="s">
        <v>314</v>
      </c>
      <c r="M9020" s="405" t="s">
        <v>315</v>
      </c>
      <c r="N9020" s="405" t="s">
        <v>315</v>
      </c>
      <c r="O9020" s="405" t="s">
        <v>671</v>
      </c>
      <c r="P9020" s="405" t="s">
        <v>672</v>
      </c>
      <c r="Q9020" s="411">
        <v>6</v>
      </c>
      <c r="R9020" s="405" t="s">
        <v>333</v>
      </c>
      <c r="S9020" s="405" t="s">
        <v>27112</v>
      </c>
      <c r="T9020" s="405" t="s">
        <v>32102</v>
      </c>
      <c r="U9020" s="405" t="s">
        <v>319</v>
      </c>
    </row>
    <row r="9021" spans="1:25" hidden="1" x14ac:dyDescent="0.25">
      <c r="A9021" s="405" t="s">
        <v>310</v>
      </c>
      <c r="B9021" s="405" t="s">
        <v>9946</v>
      </c>
      <c r="C9021" s="405" t="s">
        <v>327</v>
      </c>
      <c r="D9021" s="405"/>
      <c r="E9021" s="410">
        <v>40501</v>
      </c>
      <c r="F9021" s="410">
        <v>40546</v>
      </c>
      <c r="G9021" s="405" t="s">
        <v>9947</v>
      </c>
      <c r="H9021" s="405">
        <v>782439275</v>
      </c>
      <c r="I9021" s="405"/>
      <c r="J9021" s="405">
        <v>1.2872349999999999</v>
      </c>
      <c r="K9021" s="405">
        <v>34.078502</v>
      </c>
      <c r="L9021" s="405" t="s">
        <v>6866</v>
      </c>
      <c r="M9021" s="405" t="s">
        <v>9504</v>
      </c>
      <c r="N9021" s="405" t="s">
        <v>9504</v>
      </c>
      <c r="O9021" s="405" t="s">
        <v>9504</v>
      </c>
      <c r="P9021" s="405" t="s">
        <v>9948</v>
      </c>
      <c r="Q9021" s="411">
        <v>6</v>
      </c>
      <c r="R9021" s="405" t="s">
        <v>7224</v>
      </c>
      <c r="S9021" s="405" t="s">
        <v>17062</v>
      </c>
      <c r="T9021" s="405" t="s">
        <v>32102</v>
      </c>
      <c r="U9021" s="405" t="s">
        <v>319</v>
      </c>
    </row>
    <row r="9022" spans="1:25" hidden="1" x14ac:dyDescent="0.25">
      <c r="A9022" s="405" t="s">
        <v>310</v>
      </c>
      <c r="B9022" s="405" t="s">
        <v>28392</v>
      </c>
      <c r="C9022" s="405" t="s">
        <v>327</v>
      </c>
      <c r="D9022" s="405"/>
      <c r="E9022" s="410">
        <v>40500</v>
      </c>
      <c r="F9022" s="410">
        <v>40545</v>
      </c>
      <c r="G9022" s="405" t="s">
        <v>9952</v>
      </c>
      <c r="H9022" s="405">
        <v>772395327</v>
      </c>
      <c r="I9022" s="405"/>
      <c r="J9022" s="405">
        <v>1.2735300000000001</v>
      </c>
      <c r="K9022" s="405">
        <v>34.377662000000001</v>
      </c>
      <c r="L9022" s="405" t="s">
        <v>6866</v>
      </c>
      <c r="M9022" s="405" t="s">
        <v>9550</v>
      </c>
      <c r="N9022" s="405" t="s">
        <v>9551</v>
      </c>
      <c r="O9022" s="405" t="s">
        <v>9953</v>
      </c>
      <c r="P9022" s="405" t="s">
        <v>9954</v>
      </c>
      <c r="Q9022" s="411">
        <v>6</v>
      </c>
      <c r="R9022" s="405" t="s">
        <v>9541</v>
      </c>
      <c r="S9022" s="405" t="s">
        <v>27297</v>
      </c>
      <c r="T9022" s="405" t="s">
        <v>32102</v>
      </c>
      <c r="U9022" s="405" t="s">
        <v>319</v>
      </c>
    </row>
    <row r="9023" spans="1:25" hidden="1" x14ac:dyDescent="0.25">
      <c r="A9023" s="405" t="s">
        <v>310</v>
      </c>
      <c r="B9023" s="405" t="s">
        <v>27567</v>
      </c>
      <c r="C9023" s="405" t="s">
        <v>327</v>
      </c>
      <c r="D9023" s="405"/>
      <c r="E9023" s="410">
        <v>40499</v>
      </c>
      <c r="F9023" s="410">
        <v>40544</v>
      </c>
      <c r="G9023" s="405" t="s">
        <v>19814</v>
      </c>
      <c r="H9023" s="405">
        <v>779934435</v>
      </c>
      <c r="I9023" s="405"/>
      <c r="J9023" s="405">
        <v>-0.89202000000000004</v>
      </c>
      <c r="K9023" s="405">
        <v>29.916699000000001</v>
      </c>
      <c r="L9023" s="405" t="s">
        <v>590</v>
      </c>
      <c r="M9023" s="405" t="s">
        <v>19619</v>
      </c>
      <c r="N9023" s="405" t="s">
        <v>19620</v>
      </c>
      <c r="O9023" s="405" t="s">
        <v>2430</v>
      </c>
      <c r="P9023" s="405" t="s">
        <v>19815</v>
      </c>
      <c r="Q9023" s="411">
        <v>9</v>
      </c>
      <c r="R9023" s="405" t="s">
        <v>19622</v>
      </c>
      <c r="S9023" s="405" t="s">
        <v>27160</v>
      </c>
      <c r="T9023" s="405" t="s">
        <v>32102</v>
      </c>
      <c r="U9023" s="405" t="s">
        <v>319</v>
      </c>
    </row>
    <row r="9024" spans="1:25" hidden="1" x14ac:dyDescent="0.25">
      <c r="A9024" s="405" t="s">
        <v>310</v>
      </c>
      <c r="B9024" s="405" t="s">
        <v>29022</v>
      </c>
      <c r="C9024" s="405" t="s">
        <v>327</v>
      </c>
      <c r="D9024" s="405"/>
      <c r="E9024" s="410">
        <v>40499</v>
      </c>
      <c r="F9024" s="410">
        <v>40544</v>
      </c>
      <c r="G9024" s="405" t="s">
        <v>9899</v>
      </c>
      <c r="H9024" s="405">
        <v>772370992</v>
      </c>
      <c r="I9024" s="405"/>
      <c r="J9024" s="405">
        <v>1.045247</v>
      </c>
      <c r="K9024" s="405">
        <v>34.168309999999998</v>
      </c>
      <c r="L9024" s="405" t="s">
        <v>6866</v>
      </c>
      <c r="M9024" s="405" t="s">
        <v>9514</v>
      </c>
      <c r="N9024" s="405" t="s">
        <v>9529</v>
      </c>
      <c r="O9024" s="405" t="s">
        <v>9780</v>
      </c>
      <c r="P9024" s="405" t="s">
        <v>9783</v>
      </c>
      <c r="Q9024" s="411">
        <v>6</v>
      </c>
      <c r="R9024" s="405" t="s">
        <v>333</v>
      </c>
      <c r="S9024" s="405" t="s">
        <v>17013</v>
      </c>
      <c r="T9024" s="405" t="s">
        <v>32102</v>
      </c>
      <c r="U9024" s="405" t="s">
        <v>319</v>
      </c>
    </row>
    <row r="9025" spans="1:21" hidden="1" x14ac:dyDescent="0.25">
      <c r="A9025" s="405" t="s">
        <v>310</v>
      </c>
      <c r="B9025" s="405" t="s">
        <v>9921</v>
      </c>
      <c r="C9025" s="405" t="s">
        <v>327</v>
      </c>
      <c r="D9025" s="405"/>
      <c r="E9025" s="410">
        <v>40499</v>
      </c>
      <c r="F9025" s="410">
        <v>40544</v>
      </c>
      <c r="G9025" s="405" t="s">
        <v>9922</v>
      </c>
      <c r="H9025" s="405">
        <v>782335346</v>
      </c>
      <c r="I9025" s="405"/>
      <c r="J9025" s="405">
        <v>0.92091299999999998</v>
      </c>
      <c r="K9025" s="405">
        <v>34.171405</v>
      </c>
      <c r="L9025" s="405" t="s">
        <v>6866</v>
      </c>
      <c r="M9025" s="405" t="s">
        <v>9514</v>
      </c>
      <c r="N9025" s="405" t="s">
        <v>9529</v>
      </c>
      <c r="O9025" s="405" t="s">
        <v>9923</v>
      </c>
      <c r="P9025" s="405" t="s">
        <v>9924</v>
      </c>
      <c r="Q9025" s="411">
        <v>6</v>
      </c>
      <c r="R9025" s="405" t="s">
        <v>7224</v>
      </c>
      <c r="S9025" s="405" t="s">
        <v>27107</v>
      </c>
      <c r="T9025" s="405" t="s">
        <v>32102</v>
      </c>
      <c r="U9025" s="405" t="s">
        <v>319</v>
      </c>
    </row>
    <row r="9026" spans="1:21" hidden="1" x14ac:dyDescent="0.25">
      <c r="A9026" s="405" t="s">
        <v>310</v>
      </c>
      <c r="B9026" s="405" t="s">
        <v>9974</v>
      </c>
      <c r="C9026" s="405" t="s">
        <v>327</v>
      </c>
      <c r="D9026" s="405"/>
      <c r="E9026" s="410">
        <v>40499</v>
      </c>
      <c r="F9026" s="410">
        <v>40544</v>
      </c>
      <c r="G9026" s="405" t="s">
        <v>9975</v>
      </c>
      <c r="H9026" s="405">
        <v>785691738</v>
      </c>
      <c r="I9026" s="405"/>
      <c r="J9026" s="405">
        <v>0.93332499999999996</v>
      </c>
      <c r="K9026" s="405">
        <v>34.285120999999997</v>
      </c>
      <c r="L9026" s="405" t="s">
        <v>6866</v>
      </c>
      <c r="M9026" s="405" t="s">
        <v>9763</v>
      </c>
      <c r="N9026" s="405" t="s">
        <v>9764</v>
      </c>
      <c r="O9026" s="405" t="s">
        <v>9792</v>
      </c>
      <c r="P9026" s="405" t="s">
        <v>9766</v>
      </c>
      <c r="Q9026" s="411">
        <v>6</v>
      </c>
      <c r="R9026" s="405" t="s">
        <v>333</v>
      </c>
      <c r="S9026" s="405" t="s">
        <v>27073</v>
      </c>
      <c r="T9026" s="405" t="s">
        <v>32102</v>
      </c>
      <c r="U9026" s="405" t="s">
        <v>319</v>
      </c>
    </row>
    <row r="9027" spans="1:21" hidden="1" x14ac:dyDescent="0.25">
      <c r="A9027" s="405" t="s">
        <v>310</v>
      </c>
      <c r="B9027" s="405" t="s">
        <v>9877</v>
      </c>
      <c r="C9027" s="405" t="s">
        <v>327</v>
      </c>
      <c r="D9027" s="405"/>
      <c r="E9027" s="410">
        <v>40497</v>
      </c>
      <c r="F9027" s="410">
        <v>40542</v>
      </c>
      <c r="G9027" s="405" t="s">
        <v>9878</v>
      </c>
      <c r="H9027" s="405">
        <v>752740116</v>
      </c>
      <c r="I9027" s="405"/>
      <c r="J9027" s="405">
        <v>1.390099</v>
      </c>
      <c r="K9027" s="405">
        <v>34.490417999999998</v>
      </c>
      <c r="L9027" s="405" t="s">
        <v>6866</v>
      </c>
      <c r="M9027" s="405" t="s">
        <v>9705</v>
      </c>
      <c r="N9027" s="405" t="s">
        <v>9705</v>
      </c>
      <c r="O9027" s="405" t="s">
        <v>9706</v>
      </c>
      <c r="P9027" s="405" t="s">
        <v>9707</v>
      </c>
      <c r="Q9027" s="411">
        <v>6</v>
      </c>
      <c r="R9027" s="405" t="s">
        <v>333</v>
      </c>
      <c r="S9027" s="405" t="s">
        <v>27107</v>
      </c>
      <c r="T9027" s="405" t="s">
        <v>32102</v>
      </c>
      <c r="U9027" s="405" t="s">
        <v>319</v>
      </c>
    </row>
    <row r="9028" spans="1:21" hidden="1" x14ac:dyDescent="0.25">
      <c r="A9028" s="405" t="s">
        <v>310</v>
      </c>
      <c r="B9028" s="405" t="s">
        <v>9867</v>
      </c>
      <c r="C9028" s="405" t="s">
        <v>327</v>
      </c>
      <c r="D9028" s="405"/>
      <c r="E9028" s="410">
        <v>40497</v>
      </c>
      <c r="F9028" s="410">
        <v>40542</v>
      </c>
      <c r="G9028" s="405" t="s">
        <v>9868</v>
      </c>
      <c r="H9028" s="405">
        <v>772654236</v>
      </c>
      <c r="I9028" s="405">
        <v>759346629</v>
      </c>
      <c r="J9028" s="405">
        <v>1.2920119999999999</v>
      </c>
      <c r="K9028" s="405">
        <v>34.255161999999999</v>
      </c>
      <c r="L9028" s="405" t="s">
        <v>6866</v>
      </c>
      <c r="M9028" s="405" t="s">
        <v>9550</v>
      </c>
      <c r="N9028" s="405" t="s">
        <v>9550</v>
      </c>
      <c r="O9028" s="405" t="s">
        <v>9869</v>
      </c>
      <c r="P9028" s="405" t="s">
        <v>9870</v>
      </c>
      <c r="Q9028" s="411">
        <v>6</v>
      </c>
      <c r="R9028" s="405" t="s">
        <v>333</v>
      </c>
      <c r="S9028" s="405" t="s">
        <v>27200</v>
      </c>
      <c r="T9028" s="405" t="s">
        <v>32102</v>
      </c>
      <c r="U9028" s="405" t="s">
        <v>319</v>
      </c>
    </row>
    <row r="9029" spans="1:21" hidden="1" x14ac:dyDescent="0.25">
      <c r="A9029" s="405" t="s">
        <v>310</v>
      </c>
      <c r="B9029" s="405" t="s">
        <v>9871</v>
      </c>
      <c r="C9029" s="405" t="s">
        <v>327</v>
      </c>
      <c r="D9029" s="405"/>
      <c r="E9029" s="410">
        <v>40497</v>
      </c>
      <c r="F9029" s="410">
        <v>40542</v>
      </c>
      <c r="G9029" s="405" t="s">
        <v>9872</v>
      </c>
      <c r="H9029" s="405">
        <v>777829796</v>
      </c>
      <c r="I9029" s="405"/>
      <c r="J9029" s="405">
        <v>1.303471</v>
      </c>
      <c r="K9029" s="405">
        <v>34.260108000000002</v>
      </c>
      <c r="L9029" s="405" t="s">
        <v>6866</v>
      </c>
      <c r="M9029" s="405" t="s">
        <v>9550</v>
      </c>
      <c r="N9029" s="405" t="s">
        <v>9550</v>
      </c>
      <c r="O9029" s="405" t="s">
        <v>9869</v>
      </c>
      <c r="P9029" s="405" t="s">
        <v>9873</v>
      </c>
      <c r="Q9029" s="411">
        <v>6</v>
      </c>
      <c r="R9029" s="405" t="s">
        <v>9541</v>
      </c>
      <c r="S9029" s="405" t="s">
        <v>27086</v>
      </c>
      <c r="T9029" s="405" t="s">
        <v>884</v>
      </c>
      <c r="U9029" s="405" t="s">
        <v>319</v>
      </c>
    </row>
    <row r="9030" spans="1:21" hidden="1" x14ac:dyDescent="0.25">
      <c r="A9030" s="405" t="s">
        <v>310</v>
      </c>
      <c r="B9030" s="405" t="s">
        <v>9850</v>
      </c>
      <c r="C9030" s="405" t="s">
        <v>327</v>
      </c>
      <c r="D9030" s="405"/>
      <c r="E9030" s="410">
        <v>40497</v>
      </c>
      <c r="F9030" s="410">
        <v>40542</v>
      </c>
      <c r="G9030" s="405" t="s">
        <v>9851</v>
      </c>
      <c r="H9030" s="405">
        <v>771062305</v>
      </c>
      <c r="I9030" s="405">
        <v>752943831</v>
      </c>
      <c r="J9030" s="405">
        <v>1.2038390000000001</v>
      </c>
      <c r="K9030" s="405">
        <v>34.195931999999999</v>
      </c>
      <c r="L9030" s="405" t="s">
        <v>6866</v>
      </c>
      <c r="M9030" s="405" t="s">
        <v>9575</v>
      </c>
      <c r="N9030" s="405" t="s">
        <v>9852</v>
      </c>
      <c r="O9030" s="405" t="s">
        <v>9853</v>
      </c>
      <c r="P9030" s="405" t="s">
        <v>9854</v>
      </c>
      <c r="Q9030" s="411">
        <v>6</v>
      </c>
      <c r="R9030" s="405" t="s">
        <v>9541</v>
      </c>
      <c r="S9030" s="405" t="s">
        <v>27200</v>
      </c>
      <c r="T9030" s="405" t="s">
        <v>32102</v>
      </c>
      <c r="U9030" s="405" t="s">
        <v>319</v>
      </c>
    </row>
    <row r="9031" spans="1:21" hidden="1" x14ac:dyDescent="0.25">
      <c r="A9031" s="405" t="s">
        <v>310</v>
      </c>
      <c r="B9031" s="405" t="s">
        <v>28038</v>
      </c>
      <c r="C9031" s="405" t="s">
        <v>327</v>
      </c>
      <c r="D9031" s="405"/>
      <c r="E9031" s="410">
        <v>40496</v>
      </c>
      <c r="F9031" s="410">
        <v>40541</v>
      </c>
      <c r="G9031" s="405" t="s">
        <v>655</v>
      </c>
      <c r="H9031" s="405">
        <v>705445559</v>
      </c>
      <c r="I9031" s="405">
        <v>777445559</v>
      </c>
      <c r="J9031" s="405">
        <v>0.35645700000000002</v>
      </c>
      <c r="K9031" s="405">
        <v>33.020887999999999</v>
      </c>
      <c r="L9031" s="405" t="s">
        <v>314</v>
      </c>
      <c r="M9031" s="405" t="s">
        <v>349</v>
      </c>
      <c r="N9031" s="405" t="s">
        <v>405</v>
      </c>
      <c r="O9031" s="405" t="s">
        <v>656</v>
      </c>
      <c r="P9031" s="405" t="s">
        <v>657</v>
      </c>
      <c r="Q9031" s="411">
        <v>12</v>
      </c>
      <c r="R9031" s="405" t="s">
        <v>318</v>
      </c>
      <c r="S9031" s="405" t="s">
        <v>27124</v>
      </c>
      <c r="T9031" s="405" t="s">
        <v>32102</v>
      </c>
      <c r="U9031" s="405" t="s">
        <v>319</v>
      </c>
    </row>
    <row r="9032" spans="1:21" hidden="1" x14ac:dyDescent="0.25">
      <c r="A9032" s="405" t="s">
        <v>310</v>
      </c>
      <c r="B9032" s="405" t="s">
        <v>29055</v>
      </c>
      <c r="C9032" s="405" t="s">
        <v>327</v>
      </c>
      <c r="D9032" s="405"/>
      <c r="E9032" s="410">
        <v>40496</v>
      </c>
      <c r="F9032" s="410">
        <v>40541</v>
      </c>
      <c r="G9032" s="405" t="s">
        <v>19786</v>
      </c>
      <c r="H9032" s="405">
        <v>779406711</v>
      </c>
      <c r="I9032" s="405">
        <v>788922147</v>
      </c>
      <c r="J9032" s="405">
        <v>1.9371649999999998</v>
      </c>
      <c r="K9032" s="405">
        <v>32.061833333333333</v>
      </c>
      <c r="L9032" s="405" t="s">
        <v>590</v>
      </c>
      <c r="M9032" s="405" t="s">
        <v>19608</v>
      </c>
      <c r="N9032" s="405" t="s">
        <v>6003</v>
      </c>
      <c r="O9032" s="405" t="s">
        <v>591</v>
      </c>
      <c r="P9032" s="405" t="s">
        <v>19787</v>
      </c>
      <c r="Q9032" s="411">
        <v>6</v>
      </c>
      <c r="R9032" s="405" t="s">
        <v>333</v>
      </c>
      <c r="S9032" s="405" t="s">
        <v>27046</v>
      </c>
      <c r="T9032" s="405" t="s">
        <v>32102</v>
      </c>
      <c r="U9032" s="405" t="s">
        <v>319</v>
      </c>
    </row>
    <row r="9033" spans="1:21" hidden="1" x14ac:dyDescent="0.25">
      <c r="A9033" s="405" t="s">
        <v>310</v>
      </c>
      <c r="B9033" s="405" t="s">
        <v>9790</v>
      </c>
      <c r="C9033" s="405" t="s">
        <v>327</v>
      </c>
      <c r="D9033" s="405"/>
      <c r="E9033" s="410">
        <v>40495</v>
      </c>
      <c r="F9033" s="410">
        <v>40540</v>
      </c>
      <c r="G9033" s="405" t="s">
        <v>9791</v>
      </c>
      <c r="H9033" s="405">
        <v>782643496</v>
      </c>
      <c r="I9033" s="405"/>
      <c r="J9033" s="405">
        <v>0.91305400000000003</v>
      </c>
      <c r="K9033" s="405">
        <v>34.263544000000003</v>
      </c>
      <c r="L9033" s="405" t="s">
        <v>6866</v>
      </c>
      <c r="M9033" s="405" t="s">
        <v>9763</v>
      </c>
      <c r="N9033" s="405" t="s">
        <v>9764</v>
      </c>
      <c r="O9033" s="405" t="s">
        <v>9792</v>
      </c>
      <c r="P9033" s="405" t="s">
        <v>9793</v>
      </c>
      <c r="Q9033" s="411">
        <v>6</v>
      </c>
      <c r="R9033" s="405" t="s">
        <v>7224</v>
      </c>
      <c r="S9033" s="405" t="s">
        <v>27073</v>
      </c>
      <c r="T9033" s="405" t="s">
        <v>32102</v>
      </c>
      <c r="U9033" s="405" t="s">
        <v>319</v>
      </c>
    </row>
    <row r="9034" spans="1:21" hidden="1" x14ac:dyDescent="0.25">
      <c r="A9034" s="405" t="s">
        <v>310</v>
      </c>
      <c r="B9034" s="405" t="s">
        <v>28352</v>
      </c>
      <c r="C9034" s="405" t="s">
        <v>311</v>
      </c>
      <c r="D9034" s="405" t="s">
        <v>1013</v>
      </c>
      <c r="E9034" s="410">
        <v>40494</v>
      </c>
      <c r="F9034" s="410">
        <v>40539</v>
      </c>
      <c r="G9034" s="405" t="s">
        <v>10271</v>
      </c>
      <c r="H9034" s="405">
        <v>782383412</v>
      </c>
      <c r="I9034" s="405"/>
      <c r="J9034" s="405">
        <v>1.0395719999999999</v>
      </c>
      <c r="K9034" s="405">
        <v>34.182834999999997</v>
      </c>
      <c r="L9034" s="405" t="s">
        <v>6866</v>
      </c>
      <c r="M9034" s="405" t="s">
        <v>9514</v>
      </c>
      <c r="N9034" s="405" t="s">
        <v>9529</v>
      </c>
      <c r="O9034" s="405" t="s">
        <v>9780</v>
      </c>
      <c r="P9034" s="405" t="s">
        <v>10272</v>
      </c>
      <c r="Q9034" s="411">
        <v>6</v>
      </c>
      <c r="R9034" s="405" t="s">
        <v>333</v>
      </c>
      <c r="S9034" s="405" t="s">
        <v>27304</v>
      </c>
      <c r="T9034" s="405" t="s">
        <v>32102</v>
      </c>
      <c r="U9034" s="405" t="s">
        <v>319</v>
      </c>
    </row>
    <row r="9035" spans="1:21" hidden="1" x14ac:dyDescent="0.25">
      <c r="A9035" s="405" t="s">
        <v>310</v>
      </c>
      <c r="B9035" s="405" t="s">
        <v>9859</v>
      </c>
      <c r="C9035" s="405" t="s">
        <v>327</v>
      </c>
      <c r="D9035" s="405"/>
      <c r="E9035" s="410">
        <v>40493</v>
      </c>
      <c r="F9035" s="410">
        <v>40538</v>
      </c>
      <c r="G9035" s="405" t="s">
        <v>9860</v>
      </c>
      <c r="H9035" s="405">
        <v>772476848</v>
      </c>
      <c r="I9035" s="405"/>
      <c r="J9035" s="405">
        <v>1.17835</v>
      </c>
      <c r="K9035" s="405">
        <v>33.634687</v>
      </c>
      <c r="L9035" s="405" t="s">
        <v>6866</v>
      </c>
      <c r="M9035" s="405" t="s">
        <v>9509</v>
      </c>
      <c r="N9035" s="405" t="s">
        <v>9509</v>
      </c>
      <c r="O9035" s="405" t="s">
        <v>9857</v>
      </c>
      <c r="P9035" s="405" t="s">
        <v>9861</v>
      </c>
      <c r="Q9035" s="411">
        <v>6</v>
      </c>
      <c r="R9035" s="405" t="s">
        <v>9541</v>
      </c>
      <c r="S9035" s="405" t="s">
        <v>27296</v>
      </c>
      <c r="T9035" s="405" t="s">
        <v>32102</v>
      </c>
      <c r="U9035" s="405" t="s">
        <v>319</v>
      </c>
    </row>
    <row r="9036" spans="1:21" hidden="1" x14ac:dyDescent="0.25">
      <c r="A9036" s="405" t="s">
        <v>310</v>
      </c>
      <c r="B9036" s="405" t="s">
        <v>9800</v>
      </c>
      <c r="C9036" s="405" t="s">
        <v>327</v>
      </c>
      <c r="D9036" s="405"/>
      <c r="E9036" s="410">
        <v>40493</v>
      </c>
      <c r="F9036" s="410">
        <v>40538</v>
      </c>
      <c r="G9036" s="405" t="s">
        <v>9801</v>
      </c>
      <c r="H9036" s="405">
        <v>782965685</v>
      </c>
      <c r="I9036" s="405"/>
      <c r="J9036" s="405">
        <v>0.91178099999999995</v>
      </c>
      <c r="K9036" s="405">
        <v>34.274619999999999</v>
      </c>
      <c r="L9036" s="405" t="s">
        <v>6866</v>
      </c>
      <c r="M9036" s="405" t="s">
        <v>9763</v>
      </c>
      <c r="N9036" s="405" t="s">
        <v>9764</v>
      </c>
      <c r="O9036" s="405" t="s">
        <v>9792</v>
      </c>
      <c r="P9036" s="405" t="s">
        <v>9799</v>
      </c>
      <c r="Q9036" s="411">
        <v>6</v>
      </c>
      <c r="R9036" s="405" t="s">
        <v>7224</v>
      </c>
      <c r="S9036" s="405" t="s">
        <v>27073</v>
      </c>
      <c r="T9036" s="405" t="s">
        <v>32102</v>
      </c>
      <c r="U9036" s="405" t="s">
        <v>319</v>
      </c>
    </row>
    <row r="9037" spans="1:21" hidden="1" x14ac:dyDescent="0.25">
      <c r="A9037" s="405" t="s">
        <v>310</v>
      </c>
      <c r="B9037" s="405" t="s">
        <v>27939</v>
      </c>
      <c r="C9037" s="405" t="s">
        <v>311</v>
      </c>
      <c r="D9037" s="405" t="s">
        <v>1013</v>
      </c>
      <c r="E9037" s="410">
        <v>40492</v>
      </c>
      <c r="F9037" s="410">
        <v>40537</v>
      </c>
      <c r="G9037" s="405" t="s">
        <v>1269</v>
      </c>
      <c r="H9037" s="405">
        <v>772546920</v>
      </c>
      <c r="I9037" s="405">
        <v>772546920</v>
      </c>
      <c r="J9037" s="405">
        <v>0.29755700000000002</v>
      </c>
      <c r="K9037" s="405">
        <v>32.967044999999999</v>
      </c>
      <c r="L9037" s="405" t="s">
        <v>314</v>
      </c>
      <c r="M9037" s="405" t="s">
        <v>349</v>
      </c>
      <c r="N9037" s="405" t="s">
        <v>549</v>
      </c>
      <c r="O9037" s="405" t="s">
        <v>349</v>
      </c>
      <c r="P9037" s="405" t="s">
        <v>1270</v>
      </c>
      <c r="Q9037" s="411">
        <v>6</v>
      </c>
      <c r="R9037" s="405" t="s">
        <v>32478</v>
      </c>
      <c r="S9037" s="405" t="s">
        <v>27120</v>
      </c>
      <c r="T9037" s="405" t="s">
        <v>32102</v>
      </c>
      <c r="U9037" s="405" t="s">
        <v>319</v>
      </c>
    </row>
    <row r="9038" spans="1:21" hidden="1" x14ac:dyDescent="0.25">
      <c r="A9038" s="405" t="s">
        <v>310</v>
      </c>
      <c r="B9038" s="405" t="s">
        <v>28280</v>
      </c>
      <c r="C9038" s="405" t="s">
        <v>327</v>
      </c>
      <c r="D9038" s="405"/>
      <c r="E9038" s="410">
        <v>40491</v>
      </c>
      <c r="F9038" s="410">
        <v>40536</v>
      </c>
      <c r="G9038" s="405" t="s">
        <v>9845</v>
      </c>
      <c r="H9038" s="405">
        <v>788088281</v>
      </c>
      <c r="I9038" s="405"/>
      <c r="J9038" s="405">
        <v>0.93592900000000001</v>
      </c>
      <c r="K9038" s="405">
        <v>33.132122600000002</v>
      </c>
      <c r="L9038" s="405" t="s">
        <v>6866</v>
      </c>
      <c r="M9038" s="405" t="s">
        <v>3009</v>
      </c>
      <c r="N9038" s="405" t="s">
        <v>9842</v>
      </c>
      <c r="O9038" s="405" t="s">
        <v>9843</v>
      </c>
      <c r="P9038" s="405" t="s">
        <v>9846</v>
      </c>
      <c r="Q9038" s="411">
        <v>12</v>
      </c>
      <c r="R9038" s="405" t="s">
        <v>32478</v>
      </c>
      <c r="S9038" s="405" t="s">
        <v>414</v>
      </c>
      <c r="T9038" s="405" t="s">
        <v>32102</v>
      </c>
      <c r="U9038" s="405" t="s">
        <v>319</v>
      </c>
    </row>
    <row r="9039" spans="1:21" hidden="1" x14ac:dyDescent="0.25">
      <c r="A9039" s="405" t="s">
        <v>310</v>
      </c>
      <c r="B9039" s="405" t="s">
        <v>28452</v>
      </c>
      <c r="C9039" s="405" t="s">
        <v>327</v>
      </c>
      <c r="D9039" s="405"/>
      <c r="E9039" s="410">
        <v>40491</v>
      </c>
      <c r="F9039" s="410">
        <v>40536</v>
      </c>
      <c r="G9039" s="405" t="s">
        <v>9782</v>
      </c>
      <c r="H9039" s="405">
        <v>772918714</v>
      </c>
      <c r="I9039" s="405">
        <v>783294529</v>
      </c>
      <c r="J9039" s="405">
        <v>1.0449679999999999</v>
      </c>
      <c r="K9039" s="405">
        <v>34.168678</v>
      </c>
      <c r="L9039" s="405" t="s">
        <v>6866</v>
      </c>
      <c r="M9039" s="405" t="s">
        <v>9514</v>
      </c>
      <c r="N9039" s="405" t="s">
        <v>9529</v>
      </c>
      <c r="O9039" s="405" t="s">
        <v>9780</v>
      </c>
      <c r="P9039" s="405" t="s">
        <v>9783</v>
      </c>
      <c r="Q9039" s="411">
        <v>6</v>
      </c>
      <c r="R9039" s="405" t="s">
        <v>333</v>
      </c>
      <c r="S9039" s="405" t="s">
        <v>17013</v>
      </c>
      <c r="T9039" s="405" t="s">
        <v>32102</v>
      </c>
      <c r="U9039" s="405" t="s">
        <v>319</v>
      </c>
    </row>
    <row r="9040" spans="1:21" hidden="1" x14ac:dyDescent="0.25">
      <c r="A9040" s="405" t="s">
        <v>310</v>
      </c>
      <c r="B9040" s="405" t="s">
        <v>9819</v>
      </c>
      <c r="C9040" s="405" t="s">
        <v>327</v>
      </c>
      <c r="D9040" s="405"/>
      <c r="E9040" s="410">
        <v>40491</v>
      </c>
      <c r="F9040" s="410">
        <v>40536</v>
      </c>
      <c r="G9040" s="405" t="s">
        <v>9820</v>
      </c>
      <c r="H9040" s="405">
        <v>772470733</v>
      </c>
      <c r="I9040" s="405"/>
      <c r="J9040" s="405">
        <v>1.1416500000000001</v>
      </c>
      <c r="K9040" s="405">
        <v>34.161000000000001</v>
      </c>
      <c r="L9040" s="405" t="s">
        <v>6866</v>
      </c>
      <c r="M9040" s="405" t="s">
        <v>9514</v>
      </c>
      <c r="N9040" s="405" t="s">
        <v>9529</v>
      </c>
      <c r="O9040" s="405" t="s">
        <v>9608</v>
      </c>
      <c r="P9040" s="405" t="s">
        <v>9821</v>
      </c>
      <c r="Q9040" s="411">
        <v>6</v>
      </c>
      <c r="R9040" s="405" t="s">
        <v>333</v>
      </c>
      <c r="S9040" s="405" t="s">
        <v>17013</v>
      </c>
      <c r="T9040" s="405" t="s">
        <v>884</v>
      </c>
      <c r="U9040" s="405" t="s">
        <v>319</v>
      </c>
    </row>
    <row r="9041" spans="1:21" hidden="1" x14ac:dyDescent="0.25">
      <c r="A9041" s="405" t="s">
        <v>310</v>
      </c>
      <c r="B9041" s="405" t="s">
        <v>19791</v>
      </c>
      <c r="C9041" s="405" t="s">
        <v>327</v>
      </c>
      <c r="D9041" s="405"/>
      <c r="E9041" s="410">
        <v>40490</v>
      </c>
      <c r="F9041" s="410">
        <v>40535</v>
      </c>
      <c r="G9041" s="405" t="s">
        <v>19792</v>
      </c>
      <c r="H9041" s="405">
        <v>772448897</v>
      </c>
      <c r="I9041" s="405"/>
      <c r="J9041" s="405">
        <v>-0.76533200000000001</v>
      </c>
      <c r="K9041" s="405">
        <v>29.896815</v>
      </c>
      <c r="L9041" s="405" t="s">
        <v>590</v>
      </c>
      <c r="M9041" s="405" t="s">
        <v>19619</v>
      </c>
      <c r="N9041" s="405" t="s">
        <v>19793</v>
      </c>
      <c r="O9041" s="405" t="s">
        <v>19794</v>
      </c>
      <c r="P9041" s="405" t="s">
        <v>19795</v>
      </c>
      <c r="Q9041" s="411">
        <v>6</v>
      </c>
      <c r="R9041" s="405" t="s">
        <v>874</v>
      </c>
      <c r="S9041" s="405" t="s">
        <v>27398</v>
      </c>
      <c r="T9041" s="405" t="s">
        <v>884</v>
      </c>
      <c r="U9041" s="405" t="s">
        <v>319</v>
      </c>
    </row>
    <row r="9042" spans="1:21" hidden="1" x14ac:dyDescent="0.25">
      <c r="A9042" s="405" t="s">
        <v>310</v>
      </c>
      <c r="B9042" s="405" t="s">
        <v>9794</v>
      </c>
      <c r="C9042" s="405" t="s">
        <v>327</v>
      </c>
      <c r="D9042" s="405"/>
      <c r="E9042" s="410">
        <v>40489</v>
      </c>
      <c r="F9042" s="410">
        <v>40534</v>
      </c>
      <c r="G9042" s="405" t="s">
        <v>9795</v>
      </c>
      <c r="H9042" s="405">
        <v>753184049</v>
      </c>
      <c r="I9042" s="405"/>
      <c r="J9042" s="405">
        <v>0.91115100000000004</v>
      </c>
      <c r="K9042" s="405">
        <v>34.278187000000003</v>
      </c>
      <c r="L9042" s="405" t="s">
        <v>6866</v>
      </c>
      <c r="M9042" s="405" t="s">
        <v>9763</v>
      </c>
      <c r="N9042" s="405" t="s">
        <v>9764</v>
      </c>
      <c r="O9042" s="405" t="s">
        <v>9792</v>
      </c>
      <c r="P9042" s="405" t="s">
        <v>9796</v>
      </c>
      <c r="Q9042" s="411">
        <v>6</v>
      </c>
      <c r="R9042" s="405" t="s">
        <v>7224</v>
      </c>
      <c r="S9042" s="405" t="s">
        <v>27073</v>
      </c>
      <c r="T9042" s="405" t="s">
        <v>884</v>
      </c>
      <c r="U9042" s="405" t="s">
        <v>319</v>
      </c>
    </row>
    <row r="9043" spans="1:21" hidden="1" x14ac:dyDescent="0.25">
      <c r="A9043" s="405" t="s">
        <v>310</v>
      </c>
      <c r="B9043" s="405" t="s">
        <v>28837</v>
      </c>
      <c r="C9043" s="405" t="s">
        <v>327</v>
      </c>
      <c r="D9043" s="405"/>
      <c r="E9043" s="410">
        <v>40487</v>
      </c>
      <c r="F9043" s="410">
        <v>40532</v>
      </c>
      <c r="G9043" s="405" t="s">
        <v>19779</v>
      </c>
      <c r="H9043" s="405">
        <v>786297913</v>
      </c>
      <c r="I9043" s="405">
        <v>776906780</v>
      </c>
      <c r="J9043" s="405">
        <v>1.6333553000000001</v>
      </c>
      <c r="K9043" s="405">
        <v>31.6099146</v>
      </c>
      <c r="L9043" s="405" t="s">
        <v>590</v>
      </c>
      <c r="M9043" s="405" t="s">
        <v>19608</v>
      </c>
      <c r="N9043" s="405" t="s">
        <v>19762</v>
      </c>
      <c r="O9043" s="405" t="s">
        <v>19780</v>
      </c>
      <c r="P9043" s="405" t="s">
        <v>19781</v>
      </c>
      <c r="Q9043" s="411">
        <v>9</v>
      </c>
      <c r="R9043" s="405" t="s">
        <v>318</v>
      </c>
      <c r="S9043" s="405" t="s">
        <v>27126</v>
      </c>
      <c r="T9043" s="405" t="s">
        <v>32102</v>
      </c>
      <c r="U9043" s="405" t="s">
        <v>319</v>
      </c>
    </row>
    <row r="9044" spans="1:21" hidden="1" x14ac:dyDescent="0.25">
      <c r="A9044" s="405" t="s">
        <v>310</v>
      </c>
      <c r="B9044" s="405" t="s">
        <v>19776</v>
      </c>
      <c r="C9044" s="405" t="s">
        <v>327</v>
      </c>
      <c r="D9044" s="405"/>
      <c r="E9044" s="410">
        <v>40487</v>
      </c>
      <c r="F9044" s="410">
        <v>40532</v>
      </c>
      <c r="G9044" s="405" t="s">
        <v>19777</v>
      </c>
      <c r="H9044" s="405">
        <v>772673338</v>
      </c>
      <c r="I9044" s="405"/>
      <c r="J9044" s="405">
        <v>-0.86794300000000002</v>
      </c>
      <c r="K9044" s="405">
        <v>29.933295999999999</v>
      </c>
      <c r="L9044" s="405" t="s">
        <v>590</v>
      </c>
      <c r="M9044" s="405" t="s">
        <v>19619</v>
      </c>
      <c r="N9044" s="405" t="s">
        <v>19620</v>
      </c>
      <c r="O9044" s="405" t="s">
        <v>2430</v>
      </c>
      <c r="P9044" s="405" t="s">
        <v>19778</v>
      </c>
      <c r="Q9044" s="411">
        <v>9</v>
      </c>
      <c r="R9044" s="405" t="s">
        <v>19622</v>
      </c>
      <c r="S9044" s="405" t="s">
        <v>27160</v>
      </c>
      <c r="T9044" s="405" t="s">
        <v>32102</v>
      </c>
      <c r="U9044" s="405" t="s">
        <v>319</v>
      </c>
    </row>
    <row r="9045" spans="1:21" hidden="1" x14ac:dyDescent="0.25">
      <c r="A9045" s="405" t="s">
        <v>310</v>
      </c>
      <c r="B9045" s="405" t="s">
        <v>29072</v>
      </c>
      <c r="C9045" s="405" t="s">
        <v>327</v>
      </c>
      <c r="D9045" s="405"/>
      <c r="E9045" s="410">
        <v>40487</v>
      </c>
      <c r="F9045" s="410">
        <v>40532</v>
      </c>
      <c r="G9045" s="405" t="s">
        <v>9779</v>
      </c>
      <c r="H9045" s="405">
        <v>772866437</v>
      </c>
      <c r="I9045" s="405">
        <v>752892262</v>
      </c>
      <c r="J9045" s="405">
        <v>1.03759</v>
      </c>
      <c r="K9045" s="405">
        <v>34.184336999999999</v>
      </c>
      <c r="L9045" s="405" t="s">
        <v>6866</v>
      </c>
      <c r="M9045" s="405" t="s">
        <v>9514</v>
      </c>
      <c r="N9045" s="405" t="s">
        <v>9529</v>
      </c>
      <c r="O9045" s="405" t="s">
        <v>9780</v>
      </c>
      <c r="P9045" s="405" t="s">
        <v>9781</v>
      </c>
      <c r="Q9045" s="411">
        <v>6</v>
      </c>
      <c r="R9045" s="405" t="s">
        <v>333</v>
      </c>
      <c r="S9045" s="405" t="s">
        <v>27304</v>
      </c>
      <c r="T9045" s="405" t="s">
        <v>884</v>
      </c>
      <c r="U9045" s="405" t="s">
        <v>319</v>
      </c>
    </row>
    <row r="9046" spans="1:21" hidden="1" x14ac:dyDescent="0.25">
      <c r="A9046" s="405" t="s">
        <v>310</v>
      </c>
      <c r="B9046" s="405" t="s">
        <v>9797</v>
      </c>
      <c r="C9046" s="405" t="s">
        <v>327</v>
      </c>
      <c r="D9046" s="405"/>
      <c r="E9046" s="410">
        <v>40487</v>
      </c>
      <c r="F9046" s="410">
        <v>40532</v>
      </c>
      <c r="G9046" s="405" t="s">
        <v>9798</v>
      </c>
      <c r="H9046" s="405">
        <v>782843084</v>
      </c>
      <c r="I9046" s="405"/>
      <c r="J9046" s="405">
        <v>0.91079100000000002</v>
      </c>
      <c r="K9046" s="405">
        <v>34.274057999999997</v>
      </c>
      <c r="L9046" s="405" t="s">
        <v>6866</v>
      </c>
      <c r="M9046" s="405" t="s">
        <v>9763</v>
      </c>
      <c r="N9046" s="405" t="s">
        <v>9764</v>
      </c>
      <c r="O9046" s="405" t="s">
        <v>9792</v>
      </c>
      <c r="P9046" s="405" t="s">
        <v>9799</v>
      </c>
      <c r="Q9046" s="411">
        <v>6</v>
      </c>
      <c r="R9046" s="405" t="s">
        <v>7224</v>
      </c>
      <c r="S9046" s="405" t="s">
        <v>27310</v>
      </c>
      <c r="T9046" s="405" t="s">
        <v>884</v>
      </c>
      <c r="U9046" s="405" t="s">
        <v>319</v>
      </c>
    </row>
    <row r="9047" spans="1:21" hidden="1" x14ac:dyDescent="0.25">
      <c r="A9047" s="405" t="s">
        <v>310</v>
      </c>
      <c r="B9047" s="405" t="s">
        <v>27681</v>
      </c>
      <c r="C9047" s="405" t="s">
        <v>327</v>
      </c>
      <c r="D9047" s="405"/>
      <c r="E9047" s="410">
        <v>40484</v>
      </c>
      <c r="F9047" s="410">
        <v>40529</v>
      </c>
      <c r="G9047" s="405" t="s">
        <v>9879</v>
      </c>
      <c r="H9047" s="405">
        <v>772877983</v>
      </c>
      <c r="I9047" s="405"/>
      <c r="J9047" s="405">
        <v>1.400075</v>
      </c>
      <c r="K9047" s="405">
        <v>34.438854999999997</v>
      </c>
      <c r="L9047" s="405" t="s">
        <v>6866</v>
      </c>
      <c r="M9047" s="405" t="s">
        <v>9685</v>
      </c>
      <c r="N9047" s="405" t="s">
        <v>9880</v>
      </c>
      <c r="O9047" s="405" t="s">
        <v>9881</v>
      </c>
      <c r="P9047" s="405" t="s">
        <v>9882</v>
      </c>
      <c r="Q9047" s="411">
        <v>6</v>
      </c>
      <c r="R9047" s="405" t="s">
        <v>333</v>
      </c>
      <c r="S9047" s="405" t="s">
        <v>27306</v>
      </c>
      <c r="T9047" s="405" t="s">
        <v>32102</v>
      </c>
      <c r="U9047" s="405" t="s">
        <v>319</v>
      </c>
    </row>
    <row r="9048" spans="1:21" hidden="1" x14ac:dyDescent="0.25">
      <c r="A9048" s="405" t="s">
        <v>310</v>
      </c>
      <c r="B9048" s="405" t="s">
        <v>1282</v>
      </c>
      <c r="C9048" s="405" t="s">
        <v>311</v>
      </c>
      <c r="D9048" s="405" t="s">
        <v>839</v>
      </c>
      <c r="E9048" s="410">
        <v>40482</v>
      </c>
      <c r="F9048" s="410">
        <v>40527</v>
      </c>
      <c r="G9048" s="405" t="s">
        <v>1283</v>
      </c>
      <c r="H9048" s="405">
        <v>772410950</v>
      </c>
      <c r="I9048" s="405"/>
      <c r="J9048" s="405">
        <v>0.41727799999999998</v>
      </c>
      <c r="K9048" s="405">
        <v>32.560315000000003</v>
      </c>
      <c r="L9048" s="405" t="s">
        <v>314</v>
      </c>
      <c r="M9048" s="405" t="s">
        <v>361</v>
      </c>
      <c r="N9048" s="405" t="s">
        <v>362</v>
      </c>
      <c r="O9048" s="405" t="s">
        <v>410</v>
      </c>
      <c r="P9048" s="405" t="s">
        <v>1284</v>
      </c>
      <c r="Q9048" s="411">
        <v>12</v>
      </c>
      <c r="R9048" s="405" t="s">
        <v>607</v>
      </c>
      <c r="S9048" s="405" t="s">
        <v>27151</v>
      </c>
      <c r="T9048" s="405" t="s">
        <v>884</v>
      </c>
      <c r="U9048" s="405" t="s">
        <v>319</v>
      </c>
    </row>
    <row r="9049" spans="1:21" hidden="1" x14ac:dyDescent="0.25">
      <c r="A9049" s="405" t="s">
        <v>310</v>
      </c>
      <c r="B9049" s="405" t="s">
        <v>660</v>
      </c>
      <c r="C9049" s="405" t="s">
        <v>327</v>
      </c>
      <c r="D9049" s="405"/>
      <c r="E9049" s="410">
        <v>40482</v>
      </c>
      <c r="F9049" s="410">
        <v>40527</v>
      </c>
      <c r="G9049" s="405" t="s">
        <v>661</v>
      </c>
      <c r="H9049" s="405">
        <v>787513612</v>
      </c>
      <c r="I9049" s="405"/>
      <c r="J9049" s="405">
        <v>0.52447299999999997</v>
      </c>
      <c r="K9049" s="405">
        <v>32.260649999999998</v>
      </c>
      <c r="L9049" s="405" t="s">
        <v>314</v>
      </c>
      <c r="M9049" s="405" t="s">
        <v>361</v>
      </c>
      <c r="N9049" s="405" t="s">
        <v>374</v>
      </c>
      <c r="O9049" s="405" t="s">
        <v>662</v>
      </c>
      <c r="P9049" s="405" t="s">
        <v>663</v>
      </c>
      <c r="Q9049" s="411">
        <v>12</v>
      </c>
      <c r="R9049" s="405" t="s">
        <v>318</v>
      </c>
      <c r="S9049" s="405" t="s">
        <v>27152</v>
      </c>
      <c r="T9049" s="405" t="s">
        <v>884</v>
      </c>
      <c r="U9049" s="405" t="s">
        <v>319</v>
      </c>
    </row>
    <row r="9050" spans="1:21" hidden="1" x14ac:dyDescent="0.25">
      <c r="A9050" s="405" t="s">
        <v>310</v>
      </c>
      <c r="B9050" s="405" t="s">
        <v>664</v>
      </c>
      <c r="C9050" s="405" t="s">
        <v>327</v>
      </c>
      <c r="D9050" s="405"/>
      <c r="E9050" s="410">
        <v>40482</v>
      </c>
      <c r="F9050" s="410">
        <v>40527</v>
      </c>
      <c r="G9050" s="405" t="s">
        <v>665</v>
      </c>
      <c r="H9050" s="405">
        <v>782496722</v>
      </c>
      <c r="I9050" s="405"/>
      <c r="J9050" s="405">
        <v>0.53463000000000005</v>
      </c>
      <c r="K9050" s="405">
        <v>32.272998000000001</v>
      </c>
      <c r="L9050" s="405" t="s">
        <v>314</v>
      </c>
      <c r="M9050" s="405" t="s">
        <v>361</v>
      </c>
      <c r="N9050" s="405" t="s">
        <v>374</v>
      </c>
      <c r="O9050" s="405" t="s">
        <v>662</v>
      </c>
      <c r="P9050" s="405" t="s">
        <v>666</v>
      </c>
      <c r="Q9050" s="411">
        <v>12</v>
      </c>
      <c r="R9050" s="405" t="s">
        <v>318</v>
      </c>
      <c r="S9050" s="405" t="s">
        <v>27149</v>
      </c>
      <c r="T9050" s="405" t="s">
        <v>32102</v>
      </c>
      <c r="U9050" s="405" t="s">
        <v>319</v>
      </c>
    </row>
    <row r="9051" spans="1:21" hidden="1" x14ac:dyDescent="0.25">
      <c r="A9051" s="405" t="s">
        <v>310</v>
      </c>
      <c r="B9051" s="405" t="s">
        <v>27794</v>
      </c>
      <c r="C9051" s="405" t="s">
        <v>327</v>
      </c>
      <c r="D9051" s="405"/>
      <c r="E9051" s="410">
        <v>40482</v>
      </c>
      <c r="F9051" s="410">
        <v>40527</v>
      </c>
      <c r="G9051" s="405" t="s">
        <v>637</v>
      </c>
      <c r="H9051" s="405">
        <v>772465296</v>
      </c>
      <c r="I9051" s="405"/>
      <c r="J9051" s="405">
        <v>8.7797E-2</v>
      </c>
      <c r="K9051" s="405">
        <v>32.510950000000001</v>
      </c>
      <c r="L9051" s="405" t="s">
        <v>314</v>
      </c>
      <c r="M9051" s="405" t="s">
        <v>361</v>
      </c>
      <c r="N9051" s="405" t="s">
        <v>374</v>
      </c>
      <c r="O9051" s="405" t="s">
        <v>638</v>
      </c>
      <c r="P9051" s="405" t="s">
        <v>639</v>
      </c>
      <c r="Q9051" s="411">
        <v>9</v>
      </c>
      <c r="R9051" s="405" t="s">
        <v>318</v>
      </c>
      <c r="S9051" s="405" t="s">
        <v>27137</v>
      </c>
      <c r="T9051" s="405" t="s">
        <v>884</v>
      </c>
      <c r="U9051" s="405" t="s">
        <v>319</v>
      </c>
    </row>
    <row r="9052" spans="1:21" hidden="1" x14ac:dyDescent="0.25">
      <c r="A9052" s="405" t="s">
        <v>310</v>
      </c>
      <c r="B9052" s="405" t="s">
        <v>28504</v>
      </c>
      <c r="C9052" s="405" t="s">
        <v>327</v>
      </c>
      <c r="D9052" s="405"/>
      <c r="E9052" s="410">
        <v>40482</v>
      </c>
      <c r="F9052" s="410">
        <v>40527</v>
      </c>
      <c r="G9052" s="405" t="s">
        <v>626</v>
      </c>
      <c r="H9052" s="405">
        <v>784408775</v>
      </c>
      <c r="I9052" s="405">
        <v>783996867</v>
      </c>
      <c r="J9052" s="405">
        <v>0.36825333333333332</v>
      </c>
      <c r="K9052" s="405">
        <v>32.724810000000005</v>
      </c>
      <c r="L9052" s="405" t="s">
        <v>314</v>
      </c>
      <c r="M9052" s="405" t="s">
        <v>329</v>
      </c>
      <c r="N9052" s="405" t="s">
        <v>329</v>
      </c>
      <c r="O9052" s="405" t="s">
        <v>600</v>
      </c>
      <c r="P9052" s="405" t="s">
        <v>627</v>
      </c>
      <c r="Q9052" s="411">
        <v>9</v>
      </c>
      <c r="R9052" s="405" t="s">
        <v>318</v>
      </c>
      <c r="S9052" s="405" t="s">
        <v>27137</v>
      </c>
      <c r="T9052" s="405" t="s">
        <v>32102</v>
      </c>
      <c r="U9052" s="405" t="s">
        <v>319</v>
      </c>
    </row>
    <row r="9053" spans="1:21" hidden="1" x14ac:dyDescent="0.25">
      <c r="A9053" s="405" t="s">
        <v>310</v>
      </c>
      <c r="B9053" s="405" t="s">
        <v>643</v>
      </c>
      <c r="C9053" s="405" t="s">
        <v>327</v>
      </c>
      <c r="D9053" s="405"/>
      <c r="E9053" s="410">
        <v>40482</v>
      </c>
      <c r="F9053" s="410">
        <v>40527</v>
      </c>
      <c r="G9053" s="405" t="s">
        <v>644</v>
      </c>
      <c r="H9053" s="405">
        <v>773960018</v>
      </c>
      <c r="I9053" s="405"/>
      <c r="J9053" s="405">
        <v>0.42297000000000001</v>
      </c>
      <c r="K9053" s="405">
        <v>32.572160000000004</v>
      </c>
      <c r="L9053" s="405" t="s">
        <v>314</v>
      </c>
      <c r="M9053" s="405" t="s">
        <v>361</v>
      </c>
      <c r="N9053" s="405" t="s">
        <v>362</v>
      </c>
      <c r="O9053" s="405" t="s">
        <v>433</v>
      </c>
      <c r="P9053" s="405" t="s">
        <v>645</v>
      </c>
      <c r="Q9053" s="411">
        <v>9</v>
      </c>
      <c r="R9053" s="405" t="s">
        <v>353</v>
      </c>
      <c r="S9053" s="405" t="s">
        <v>27049</v>
      </c>
      <c r="T9053" s="405" t="s">
        <v>884</v>
      </c>
      <c r="U9053" s="405" t="s">
        <v>319</v>
      </c>
    </row>
    <row r="9054" spans="1:21" hidden="1" x14ac:dyDescent="0.25">
      <c r="A9054" s="405" t="s">
        <v>310</v>
      </c>
      <c r="B9054" s="405" t="s">
        <v>667</v>
      </c>
      <c r="C9054" s="405" t="s">
        <v>327</v>
      </c>
      <c r="D9054" s="405"/>
      <c r="E9054" s="410">
        <v>40482</v>
      </c>
      <c r="F9054" s="410">
        <v>40527</v>
      </c>
      <c r="G9054" s="405" t="s">
        <v>668</v>
      </c>
      <c r="H9054" s="405">
        <v>772540447</v>
      </c>
      <c r="I9054" s="405"/>
      <c r="J9054" s="405">
        <v>0.31974170000000002</v>
      </c>
      <c r="K9054" s="405">
        <v>32.621220600000001</v>
      </c>
      <c r="L9054" s="405" t="s">
        <v>314</v>
      </c>
      <c r="M9054" s="405" t="s">
        <v>361</v>
      </c>
      <c r="N9054" s="405" t="s">
        <v>362</v>
      </c>
      <c r="O9054" s="405" t="s">
        <v>410</v>
      </c>
      <c r="P9054" s="405" t="s">
        <v>579</v>
      </c>
      <c r="Q9054" s="411">
        <v>9</v>
      </c>
      <c r="R9054" s="405" t="s">
        <v>353</v>
      </c>
      <c r="S9054" s="405" t="s">
        <v>27049</v>
      </c>
      <c r="T9054" s="405" t="s">
        <v>884</v>
      </c>
      <c r="U9054" s="405" t="s">
        <v>319</v>
      </c>
    </row>
    <row r="9055" spans="1:21" hidden="1" x14ac:dyDescent="0.25">
      <c r="A9055" s="405" t="s">
        <v>310</v>
      </c>
      <c r="B9055" s="405" t="s">
        <v>658</v>
      </c>
      <c r="C9055" s="405" t="s">
        <v>327</v>
      </c>
      <c r="D9055" s="405"/>
      <c r="E9055" s="410">
        <v>40482</v>
      </c>
      <c r="F9055" s="410">
        <v>40527</v>
      </c>
      <c r="G9055" s="405" t="s">
        <v>659</v>
      </c>
      <c r="H9055" s="405">
        <v>775378749</v>
      </c>
      <c r="I9055" s="405"/>
      <c r="J9055" s="405">
        <v>0.41679620000000001</v>
      </c>
      <c r="K9055" s="405">
        <v>32.537947600000003</v>
      </c>
      <c r="L9055" s="405" t="s">
        <v>314</v>
      </c>
      <c r="M9055" s="405" t="s">
        <v>361</v>
      </c>
      <c r="N9055" s="405" t="s">
        <v>362</v>
      </c>
      <c r="O9055" s="405" t="s">
        <v>469</v>
      </c>
      <c r="P9055" s="405" t="s">
        <v>513</v>
      </c>
      <c r="Q9055" s="411">
        <v>9</v>
      </c>
      <c r="R9055" s="405" t="s">
        <v>32770</v>
      </c>
      <c r="S9055" s="405" t="s">
        <v>27127</v>
      </c>
      <c r="T9055" s="405" t="s">
        <v>884</v>
      </c>
      <c r="U9055" s="405" t="s">
        <v>319</v>
      </c>
    </row>
    <row r="9056" spans="1:21" hidden="1" x14ac:dyDescent="0.25">
      <c r="A9056" s="405" t="s">
        <v>310</v>
      </c>
      <c r="B9056" s="405" t="s">
        <v>646</v>
      </c>
      <c r="C9056" s="405" t="s">
        <v>327</v>
      </c>
      <c r="D9056" s="405"/>
      <c r="E9056" s="410">
        <v>40482</v>
      </c>
      <c r="F9056" s="410">
        <v>40527</v>
      </c>
      <c r="G9056" s="405" t="s">
        <v>647</v>
      </c>
      <c r="H9056" s="405">
        <v>774694255</v>
      </c>
      <c r="I9056" s="405"/>
      <c r="J9056" s="405">
        <v>0.69096199999999997</v>
      </c>
      <c r="K9056" s="405">
        <v>32.820503000000002</v>
      </c>
      <c r="L9056" s="405" t="s">
        <v>314</v>
      </c>
      <c r="M9056" s="405" t="s">
        <v>329</v>
      </c>
      <c r="N9056" s="405" t="s">
        <v>528</v>
      </c>
      <c r="O9056" s="405" t="s">
        <v>648</v>
      </c>
      <c r="P9056" s="405" t="s">
        <v>649</v>
      </c>
      <c r="Q9056" s="411">
        <v>9</v>
      </c>
      <c r="R9056" s="405" t="s">
        <v>333</v>
      </c>
      <c r="S9056" s="405" t="s">
        <v>27049</v>
      </c>
      <c r="T9056" s="405" t="s">
        <v>884</v>
      </c>
      <c r="U9056" s="405" t="s">
        <v>319</v>
      </c>
    </row>
    <row r="9057" spans="1:21" hidden="1" x14ac:dyDescent="0.25">
      <c r="A9057" s="405" t="s">
        <v>310</v>
      </c>
      <c r="B9057" s="405" t="s">
        <v>628</v>
      </c>
      <c r="C9057" s="405" t="s">
        <v>327</v>
      </c>
      <c r="D9057" s="405"/>
      <c r="E9057" s="410">
        <v>40482</v>
      </c>
      <c r="F9057" s="410">
        <v>40527</v>
      </c>
      <c r="G9057" s="405" t="s">
        <v>629</v>
      </c>
      <c r="H9057" s="405">
        <v>778410350</v>
      </c>
      <c r="I9057" s="405">
        <v>774777068</v>
      </c>
      <c r="J9057" s="405">
        <v>0.38704100000000002</v>
      </c>
      <c r="K9057" s="405">
        <v>32.735253999999998</v>
      </c>
      <c r="L9057" s="405" t="s">
        <v>314</v>
      </c>
      <c r="M9057" s="405" t="s">
        <v>329</v>
      </c>
      <c r="N9057" s="405" t="s">
        <v>330</v>
      </c>
      <c r="O9057" s="405" t="s">
        <v>630</v>
      </c>
      <c r="P9057" s="405" t="s">
        <v>631</v>
      </c>
      <c r="Q9057" s="411">
        <v>6</v>
      </c>
      <c r="R9057" s="405" t="s">
        <v>333</v>
      </c>
      <c r="S9057" s="405" t="s">
        <v>27127</v>
      </c>
      <c r="T9057" s="405" t="s">
        <v>884</v>
      </c>
      <c r="U9057" s="405" t="s">
        <v>319</v>
      </c>
    </row>
    <row r="9058" spans="1:21" hidden="1" x14ac:dyDescent="0.25">
      <c r="A9058" s="405" t="s">
        <v>310</v>
      </c>
      <c r="B9058" s="405" t="s">
        <v>632</v>
      </c>
      <c r="C9058" s="405" t="s">
        <v>327</v>
      </c>
      <c r="D9058" s="405"/>
      <c r="E9058" s="410">
        <v>40482</v>
      </c>
      <c r="F9058" s="410">
        <v>40527</v>
      </c>
      <c r="G9058" s="405" t="s">
        <v>633</v>
      </c>
      <c r="H9058" s="405">
        <v>772841901</v>
      </c>
      <c r="I9058" s="405"/>
      <c r="J9058" s="405">
        <v>0.46906300000000001</v>
      </c>
      <c r="K9058" s="405">
        <v>32.623111999999999</v>
      </c>
      <c r="L9058" s="405" t="s">
        <v>314</v>
      </c>
      <c r="M9058" s="405" t="s">
        <v>361</v>
      </c>
      <c r="N9058" s="405" t="s">
        <v>362</v>
      </c>
      <c r="O9058" s="405" t="s">
        <v>410</v>
      </c>
      <c r="P9058" s="405" t="s">
        <v>413</v>
      </c>
      <c r="Q9058" s="411">
        <v>6</v>
      </c>
      <c r="R9058" s="405" t="s">
        <v>353</v>
      </c>
      <c r="S9058" s="405" t="s">
        <v>27120</v>
      </c>
      <c r="T9058" s="405" t="s">
        <v>884</v>
      </c>
      <c r="U9058" s="405" t="s">
        <v>319</v>
      </c>
    </row>
    <row r="9059" spans="1:21" hidden="1" x14ac:dyDescent="0.25">
      <c r="A9059" s="405" t="s">
        <v>310</v>
      </c>
      <c r="B9059" s="405" t="s">
        <v>650</v>
      </c>
      <c r="C9059" s="405" t="s">
        <v>327</v>
      </c>
      <c r="D9059" s="405"/>
      <c r="E9059" s="410">
        <v>40482</v>
      </c>
      <c r="F9059" s="410">
        <v>40527</v>
      </c>
      <c r="G9059" s="405" t="s">
        <v>651</v>
      </c>
      <c r="H9059" s="405">
        <v>712925836</v>
      </c>
      <c r="I9059" s="405">
        <v>752925836</v>
      </c>
      <c r="J9059" s="405">
        <v>0.35362500000000002</v>
      </c>
      <c r="K9059" s="405">
        <v>32.783586</v>
      </c>
      <c r="L9059" s="405" t="s">
        <v>314</v>
      </c>
      <c r="M9059" s="405" t="s">
        <v>329</v>
      </c>
      <c r="N9059" s="405" t="s">
        <v>652</v>
      </c>
      <c r="O9059" s="405" t="s">
        <v>653</v>
      </c>
      <c r="P9059" s="405" t="s">
        <v>654</v>
      </c>
      <c r="Q9059" s="411">
        <v>6</v>
      </c>
      <c r="R9059" s="405" t="s">
        <v>353</v>
      </c>
      <c r="S9059" s="405" t="s">
        <v>27110</v>
      </c>
      <c r="T9059" s="405" t="s">
        <v>884</v>
      </c>
      <c r="U9059" s="405" t="s">
        <v>319</v>
      </c>
    </row>
    <row r="9060" spans="1:21" hidden="1" x14ac:dyDescent="0.25">
      <c r="A9060" s="405" t="s">
        <v>310</v>
      </c>
      <c r="B9060" s="405" t="s">
        <v>640</v>
      </c>
      <c r="C9060" s="405" t="s">
        <v>327</v>
      </c>
      <c r="D9060" s="405"/>
      <c r="E9060" s="410">
        <v>40482</v>
      </c>
      <c r="F9060" s="410">
        <v>40527</v>
      </c>
      <c r="G9060" s="405" t="s">
        <v>641</v>
      </c>
      <c r="H9060" s="405">
        <v>782699774</v>
      </c>
      <c r="I9060" s="405"/>
      <c r="J9060" s="405">
        <v>0.40887000000000001</v>
      </c>
      <c r="K9060" s="405">
        <v>32.525098</v>
      </c>
      <c r="L9060" s="405" t="s">
        <v>314</v>
      </c>
      <c r="M9060" s="405" t="s">
        <v>361</v>
      </c>
      <c r="N9060" s="405" t="s">
        <v>362</v>
      </c>
      <c r="O9060" s="405" t="s">
        <v>469</v>
      </c>
      <c r="P9060" s="405" t="s">
        <v>642</v>
      </c>
      <c r="Q9060" s="411">
        <v>6</v>
      </c>
      <c r="R9060" s="405" t="s">
        <v>438</v>
      </c>
      <c r="S9060" s="405" t="s">
        <v>27128</v>
      </c>
      <c r="T9060" s="405" t="s">
        <v>884</v>
      </c>
      <c r="U9060" s="405" t="s">
        <v>319</v>
      </c>
    </row>
    <row r="9061" spans="1:21" hidden="1" x14ac:dyDescent="0.25">
      <c r="A9061" s="405" t="s">
        <v>310</v>
      </c>
      <c r="B9061" s="405" t="s">
        <v>28207</v>
      </c>
      <c r="C9061" s="405" t="s">
        <v>327</v>
      </c>
      <c r="D9061" s="405"/>
      <c r="E9061" s="410">
        <v>40481</v>
      </c>
      <c r="F9061" s="410">
        <v>40526</v>
      </c>
      <c r="G9061" s="405" t="s">
        <v>9806</v>
      </c>
      <c r="H9061" s="405">
        <v>702199106</v>
      </c>
      <c r="I9061" s="405"/>
      <c r="J9061" s="405">
        <v>1.160255</v>
      </c>
      <c r="K9061" s="405">
        <v>34.227772999999999</v>
      </c>
      <c r="L9061" s="405" t="s">
        <v>6866</v>
      </c>
      <c r="M9061" s="405" t="s">
        <v>9575</v>
      </c>
      <c r="N9061" s="405" t="s">
        <v>9807</v>
      </c>
      <c r="O9061" s="405" t="s">
        <v>9808</v>
      </c>
      <c r="P9061" s="405" t="s">
        <v>9809</v>
      </c>
      <c r="Q9061" s="411">
        <v>6</v>
      </c>
      <c r="R9061" s="405" t="s">
        <v>7224</v>
      </c>
      <c r="S9061" s="405" t="s">
        <v>27086</v>
      </c>
      <c r="T9061" s="405" t="s">
        <v>884</v>
      </c>
      <c r="U9061" s="405" t="s">
        <v>319</v>
      </c>
    </row>
    <row r="9062" spans="1:21" hidden="1" x14ac:dyDescent="0.25">
      <c r="A9062" s="405" t="s">
        <v>310</v>
      </c>
      <c r="B9062" s="405" t="s">
        <v>634</v>
      </c>
      <c r="C9062" s="405" t="s">
        <v>327</v>
      </c>
      <c r="D9062" s="405"/>
      <c r="E9062" s="410">
        <v>40481</v>
      </c>
      <c r="F9062" s="410">
        <v>40526</v>
      </c>
      <c r="G9062" s="405" t="s">
        <v>635</v>
      </c>
      <c r="H9062" s="405">
        <v>751696599</v>
      </c>
      <c r="I9062" s="405"/>
      <c r="J9062" s="405">
        <v>0.53910800000000003</v>
      </c>
      <c r="K9062" s="405">
        <v>32.415903</v>
      </c>
      <c r="L9062" s="405" t="s">
        <v>314</v>
      </c>
      <c r="M9062" s="405" t="s">
        <v>361</v>
      </c>
      <c r="N9062" s="405" t="s">
        <v>374</v>
      </c>
      <c r="O9062" s="405" t="s">
        <v>427</v>
      </c>
      <c r="P9062" s="405" t="s">
        <v>636</v>
      </c>
      <c r="Q9062" s="411">
        <v>6</v>
      </c>
      <c r="R9062" s="405" t="s">
        <v>32770</v>
      </c>
      <c r="S9062" s="405" t="s">
        <v>27127</v>
      </c>
      <c r="T9062" s="405" t="s">
        <v>884</v>
      </c>
      <c r="U9062" s="405" t="s">
        <v>319</v>
      </c>
    </row>
    <row r="9063" spans="1:21" hidden="1" x14ac:dyDescent="0.25">
      <c r="A9063" s="405" t="s">
        <v>310</v>
      </c>
      <c r="B9063" s="405" t="s">
        <v>19788</v>
      </c>
      <c r="C9063" s="405" t="s">
        <v>327</v>
      </c>
      <c r="D9063" s="405"/>
      <c r="E9063" s="410">
        <v>40479</v>
      </c>
      <c r="F9063" s="410">
        <v>40524</v>
      </c>
      <c r="G9063" s="405" t="s">
        <v>19789</v>
      </c>
      <c r="H9063" s="405">
        <v>772429029</v>
      </c>
      <c r="I9063" s="405"/>
      <c r="J9063" s="405">
        <v>-0.245259</v>
      </c>
      <c r="K9063" s="405">
        <v>30.550822</v>
      </c>
      <c r="L9063" s="405" t="s">
        <v>590</v>
      </c>
      <c r="M9063" s="405" t="s">
        <v>870</v>
      </c>
      <c r="N9063" s="405" t="s">
        <v>870</v>
      </c>
      <c r="O9063" s="405" t="s">
        <v>19790</v>
      </c>
      <c r="P9063" s="405" t="s">
        <v>7381</v>
      </c>
      <c r="Q9063" s="411">
        <v>9</v>
      </c>
      <c r="R9063" s="405" t="s">
        <v>333</v>
      </c>
      <c r="S9063" s="405" t="s">
        <v>27183</v>
      </c>
      <c r="T9063" s="405" t="s">
        <v>884</v>
      </c>
      <c r="U9063" s="405" t="s">
        <v>319</v>
      </c>
    </row>
    <row r="9064" spans="1:21" hidden="1" x14ac:dyDescent="0.25">
      <c r="A9064" s="405" t="s">
        <v>310</v>
      </c>
      <c r="B9064" s="405" t="s">
        <v>28426</v>
      </c>
      <c r="C9064" s="405" t="s">
        <v>327</v>
      </c>
      <c r="D9064" s="405"/>
      <c r="E9064" s="410">
        <v>40479</v>
      </c>
      <c r="F9064" s="410">
        <v>40524</v>
      </c>
      <c r="G9064" s="405" t="s">
        <v>9847</v>
      </c>
      <c r="H9064" s="405">
        <v>752846052</v>
      </c>
      <c r="I9064" s="405"/>
      <c r="J9064" s="405">
        <v>0.87339800000000001</v>
      </c>
      <c r="K9064" s="405">
        <v>34.368327000000001</v>
      </c>
      <c r="L9064" s="405" t="s">
        <v>6866</v>
      </c>
      <c r="M9064" s="405" t="s">
        <v>9763</v>
      </c>
      <c r="N9064" s="405" t="s">
        <v>9848</v>
      </c>
      <c r="O9064" s="405" t="s">
        <v>1831</v>
      </c>
      <c r="P9064" s="405" t="s">
        <v>9849</v>
      </c>
      <c r="Q9064" s="411">
        <v>6</v>
      </c>
      <c r="R9064" s="405" t="s">
        <v>9541</v>
      </c>
      <c r="S9064" s="405" t="s">
        <v>22880</v>
      </c>
      <c r="T9064" s="405" t="s">
        <v>884</v>
      </c>
      <c r="U9064" s="405" t="s">
        <v>319</v>
      </c>
    </row>
    <row r="9065" spans="1:21" hidden="1" x14ac:dyDescent="0.25">
      <c r="A9065" s="405" t="s">
        <v>310</v>
      </c>
      <c r="B9065" s="405" t="s">
        <v>29024</v>
      </c>
      <c r="C9065" s="405" t="s">
        <v>311</v>
      </c>
      <c r="D9065" s="405" t="s">
        <v>1013</v>
      </c>
      <c r="E9065" s="410">
        <v>40479</v>
      </c>
      <c r="F9065" s="410">
        <v>40524</v>
      </c>
      <c r="G9065" s="405" t="s">
        <v>10304</v>
      </c>
      <c r="H9065" s="405">
        <v>782605823</v>
      </c>
      <c r="I9065" s="405"/>
      <c r="J9065" s="405">
        <v>1.150992</v>
      </c>
      <c r="K9065" s="405">
        <v>34.166747000000001</v>
      </c>
      <c r="L9065" s="405" t="s">
        <v>6866</v>
      </c>
      <c r="M9065" s="405" t="s">
        <v>9514</v>
      </c>
      <c r="N9065" s="405" t="s">
        <v>9529</v>
      </c>
      <c r="O9065" s="405" t="s">
        <v>9608</v>
      </c>
      <c r="P9065" s="405" t="s">
        <v>8039</v>
      </c>
      <c r="Q9065" s="411">
        <v>6</v>
      </c>
      <c r="R9065" s="405" t="s">
        <v>333</v>
      </c>
      <c r="S9065" s="405" t="s">
        <v>27309</v>
      </c>
      <c r="T9065" s="405" t="s">
        <v>884</v>
      </c>
      <c r="U9065" s="405" t="s">
        <v>319</v>
      </c>
    </row>
    <row r="9066" spans="1:21" hidden="1" x14ac:dyDescent="0.25">
      <c r="A9066" s="405" t="s">
        <v>310</v>
      </c>
      <c r="B9066" s="405" t="s">
        <v>9862</v>
      </c>
      <c r="C9066" s="405" t="s">
        <v>327</v>
      </c>
      <c r="D9066" s="405"/>
      <c r="E9066" s="410">
        <v>40479</v>
      </c>
      <c r="F9066" s="410">
        <v>40524</v>
      </c>
      <c r="G9066" s="405" t="s">
        <v>9863</v>
      </c>
      <c r="H9066" s="405">
        <v>779071960</v>
      </c>
      <c r="I9066" s="405">
        <v>752981079</v>
      </c>
      <c r="J9066" s="405">
        <v>0.97670299999999999</v>
      </c>
      <c r="K9066" s="405">
        <v>34.195802</v>
      </c>
      <c r="L9066" s="405" t="s">
        <v>6866</v>
      </c>
      <c r="M9066" s="405" t="s">
        <v>9514</v>
      </c>
      <c r="N9066" s="405" t="s">
        <v>9616</v>
      </c>
      <c r="O9066" s="405" t="s">
        <v>9603</v>
      </c>
      <c r="P9066" s="405" t="s">
        <v>9864</v>
      </c>
      <c r="Q9066" s="411">
        <v>6</v>
      </c>
      <c r="R9066" s="405" t="s">
        <v>333</v>
      </c>
      <c r="S9066" s="405" t="s">
        <v>27142</v>
      </c>
      <c r="T9066" s="405" t="s">
        <v>884</v>
      </c>
      <c r="U9066" s="405" t="s">
        <v>319</v>
      </c>
    </row>
    <row r="9067" spans="1:21" hidden="1" x14ac:dyDescent="0.25">
      <c r="A9067" s="405" t="s">
        <v>310</v>
      </c>
      <c r="B9067" s="405" t="s">
        <v>28859</v>
      </c>
      <c r="C9067" s="405" t="s">
        <v>311</v>
      </c>
      <c r="D9067" s="405" t="s">
        <v>839</v>
      </c>
      <c r="E9067" s="410">
        <v>40478</v>
      </c>
      <c r="F9067" s="410">
        <v>40523</v>
      </c>
      <c r="G9067" s="405" t="s">
        <v>20062</v>
      </c>
      <c r="H9067" s="405">
        <v>752502034</v>
      </c>
      <c r="I9067" s="405"/>
      <c r="J9067" s="405">
        <v>-0.58738699999999999</v>
      </c>
      <c r="K9067" s="405">
        <v>30.471592000000001</v>
      </c>
      <c r="L9067" s="405" t="s">
        <v>590</v>
      </c>
      <c r="M9067" s="405" t="s">
        <v>19614</v>
      </c>
      <c r="N9067" s="405" t="s">
        <v>19615</v>
      </c>
      <c r="O9067" s="405" t="s">
        <v>20063</v>
      </c>
      <c r="P9067" s="405" t="s">
        <v>20064</v>
      </c>
      <c r="Q9067" s="411">
        <v>12</v>
      </c>
      <c r="R9067" s="405" t="s">
        <v>333</v>
      </c>
      <c r="S9067" s="405" t="s">
        <v>27096</v>
      </c>
      <c r="T9067" s="405" t="s">
        <v>884</v>
      </c>
      <c r="U9067" s="405" t="s">
        <v>319</v>
      </c>
    </row>
    <row r="9068" spans="1:21" hidden="1" x14ac:dyDescent="0.25">
      <c r="A9068" s="405" t="s">
        <v>310</v>
      </c>
      <c r="B9068" s="405" t="s">
        <v>9802</v>
      </c>
      <c r="C9068" s="405" t="s">
        <v>327</v>
      </c>
      <c r="D9068" s="405"/>
      <c r="E9068" s="410">
        <v>40478</v>
      </c>
      <c r="F9068" s="410">
        <v>40523</v>
      </c>
      <c r="G9068" s="405" t="s">
        <v>9803</v>
      </c>
      <c r="H9068" s="405">
        <v>757452222</v>
      </c>
      <c r="I9068" s="405"/>
      <c r="J9068" s="405">
        <v>1.1529020000000001</v>
      </c>
      <c r="K9068" s="405">
        <v>33.819963000000001</v>
      </c>
      <c r="L9068" s="405" t="s">
        <v>6866</v>
      </c>
      <c r="M9068" s="405" t="s">
        <v>9509</v>
      </c>
      <c r="N9068" s="405" t="s">
        <v>9509</v>
      </c>
      <c r="O9068" s="405" t="s">
        <v>9804</v>
      </c>
      <c r="P9068" s="405" t="s">
        <v>9805</v>
      </c>
      <c r="Q9068" s="411">
        <v>6</v>
      </c>
      <c r="R9068" s="405" t="s">
        <v>7224</v>
      </c>
      <c r="S9068" s="405" t="s">
        <v>27283</v>
      </c>
      <c r="T9068" s="405" t="s">
        <v>884</v>
      </c>
      <c r="U9068" s="405" t="s">
        <v>319</v>
      </c>
    </row>
    <row r="9069" spans="1:21" hidden="1" x14ac:dyDescent="0.25">
      <c r="A9069" s="405" t="s">
        <v>310</v>
      </c>
      <c r="B9069" s="405" t="s">
        <v>9785</v>
      </c>
      <c r="C9069" s="405" t="s">
        <v>327</v>
      </c>
      <c r="D9069" s="405"/>
      <c r="E9069" s="410">
        <v>40476</v>
      </c>
      <c r="F9069" s="410">
        <v>40521</v>
      </c>
      <c r="G9069" s="405" t="s">
        <v>9786</v>
      </c>
      <c r="H9069" s="405">
        <v>782118738</v>
      </c>
      <c r="I9069" s="405"/>
      <c r="J9069" s="405">
        <v>0.71626400000000001</v>
      </c>
      <c r="K9069" s="405">
        <v>33.860456999999997</v>
      </c>
      <c r="L9069" s="405" t="s">
        <v>6866</v>
      </c>
      <c r="M9069" s="405" t="s">
        <v>9566</v>
      </c>
      <c r="N9069" s="405" t="s">
        <v>9787</v>
      </c>
      <c r="O9069" s="405" t="s">
        <v>9788</v>
      </c>
      <c r="P9069" s="405" t="s">
        <v>9789</v>
      </c>
      <c r="Q9069" s="411">
        <v>6</v>
      </c>
      <c r="R9069" s="405" t="s">
        <v>333</v>
      </c>
      <c r="S9069" s="405" t="s">
        <v>27162</v>
      </c>
      <c r="T9069" s="405" t="s">
        <v>32102</v>
      </c>
      <c r="U9069" s="405" t="s">
        <v>319</v>
      </c>
    </row>
    <row r="9070" spans="1:21" hidden="1" x14ac:dyDescent="0.25">
      <c r="A9070" s="405" t="s">
        <v>310</v>
      </c>
      <c r="B9070" s="405" t="s">
        <v>9855</v>
      </c>
      <c r="C9070" s="405" t="s">
        <v>327</v>
      </c>
      <c r="D9070" s="405"/>
      <c r="E9070" s="410">
        <v>40476</v>
      </c>
      <c r="F9070" s="410">
        <v>40521</v>
      </c>
      <c r="G9070" s="405" t="s">
        <v>9856</v>
      </c>
      <c r="H9070" s="405">
        <v>784469418</v>
      </c>
      <c r="I9070" s="405"/>
      <c r="J9070" s="405">
        <v>1.1836720000000001</v>
      </c>
      <c r="K9070" s="405">
        <v>33.629064999999997</v>
      </c>
      <c r="L9070" s="405" t="s">
        <v>6866</v>
      </c>
      <c r="M9070" s="405" t="s">
        <v>9509</v>
      </c>
      <c r="N9070" s="405" t="s">
        <v>9509</v>
      </c>
      <c r="O9070" s="405" t="s">
        <v>9857</v>
      </c>
      <c r="P9070" s="405" t="s">
        <v>9858</v>
      </c>
      <c r="Q9070" s="411">
        <v>6</v>
      </c>
      <c r="R9070" s="405" t="s">
        <v>9541</v>
      </c>
      <c r="S9070" s="405" t="s">
        <v>27296</v>
      </c>
      <c r="T9070" s="405" t="s">
        <v>884</v>
      </c>
      <c r="U9070" s="405" t="s">
        <v>319</v>
      </c>
    </row>
    <row r="9071" spans="1:21" hidden="1" x14ac:dyDescent="0.25">
      <c r="A9071" s="405" t="s">
        <v>310</v>
      </c>
      <c r="B9071" s="405" t="s">
        <v>9865</v>
      </c>
      <c r="C9071" s="405" t="s">
        <v>327</v>
      </c>
      <c r="D9071" s="405"/>
      <c r="E9071" s="410">
        <v>40475</v>
      </c>
      <c r="F9071" s="410">
        <v>40520</v>
      </c>
      <c r="G9071" s="405" t="s">
        <v>9866</v>
      </c>
      <c r="H9071" s="405">
        <v>785672794</v>
      </c>
      <c r="I9071" s="405"/>
      <c r="J9071" s="405">
        <v>1.2882530000000001</v>
      </c>
      <c r="K9071" s="405">
        <v>34.365487000000002</v>
      </c>
      <c r="L9071" s="405" t="s">
        <v>6866</v>
      </c>
      <c r="M9071" s="405" t="s">
        <v>9550</v>
      </c>
      <c r="N9071" s="405" t="s">
        <v>9550</v>
      </c>
      <c r="O9071" s="405" t="s">
        <v>9754</v>
      </c>
      <c r="P9071" s="405" t="s">
        <v>5312</v>
      </c>
      <c r="Q9071" s="411">
        <v>6</v>
      </c>
      <c r="R9071" s="405" t="s">
        <v>7224</v>
      </c>
      <c r="S9071" s="405" t="s">
        <v>27294</v>
      </c>
      <c r="T9071" s="405" t="s">
        <v>7342</v>
      </c>
      <c r="U9071" s="405" t="s">
        <v>7343</v>
      </c>
    </row>
    <row r="9072" spans="1:21" hidden="1" x14ac:dyDescent="0.25">
      <c r="A9072" s="405" t="s">
        <v>310</v>
      </c>
      <c r="B9072" s="405" t="s">
        <v>27635</v>
      </c>
      <c r="C9072" s="405" t="s">
        <v>327</v>
      </c>
      <c r="D9072" s="405"/>
      <c r="E9072" s="410">
        <v>40473</v>
      </c>
      <c r="F9072" s="410">
        <v>40518</v>
      </c>
      <c r="G9072" s="405" t="s">
        <v>19796</v>
      </c>
      <c r="H9072" s="405">
        <v>782771529</v>
      </c>
      <c r="I9072" s="405"/>
      <c r="J9072" s="405">
        <v>-0.627336</v>
      </c>
      <c r="K9072" s="405">
        <v>30.314893000000001</v>
      </c>
      <c r="L9072" s="405" t="s">
        <v>590</v>
      </c>
      <c r="M9072" s="405" t="s">
        <v>19725</v>
      </c>
      <c r="N9072" s="405" t="s">
        <v>19725</v>
      </c>
      <c r="O9072" s="405" t="s">
        <v>19797</v>
      </c>
      <c r="P9072" s="405" t="s">
        <v>19798</v>
      </c>
      <c r="Q9072" s="411">
        <v>9</v>
      </c>
      <c r="R9072" s="405" t="s">
        <v>874</v>
      </c>
      <c r="S9072" s="405" t="s">
        <v>27096</v>
      </c>
      <c r="T9072" s="405" t="s">
        <v>884</v>
      </c>
      <c r="U9072" s="405" t="s">
        <v>319</v>
      </c>
    </row>
    <row r="9073" spans="1:21" hidden="1" x14ac:dyDescent="0.25">
      <c r="A9073" s="405" t="s">
        <v>310</v>
      </c>
      <c r="B9073" s="405" t="s">
        <v>9833</v>
      </c>
      <c r="C9073" s="405" t="s">
        <v>327</v>
      </c>
      <c r="D9073" s="405"/>
      <c r="E9073" s="410">
        <v>40471</v>
      </c>
      <c r="F9073" s="410">
        <v>40516</v>
      </c>
      <c r="G9073" s="405" t="s">
        <v>9834</v>
      </c>
      <c r="H9073" s="405">
        <v>774116782</v>
      </c>
      <c r="I9073" s="405">
        <v>773903275</v>
      </c>
      <c r="J9073" s="405">
        <v>0.99006300000000003</v>
      </c>
      <c r="K9073" s="405">
        <v>34.218035</v>
      </c>
      <c r="L9073" s="405" t="s">
        <v>6866</v>
      </c>
      <c r="M9073" s="405" t="s">
        <v>9514</v>
      </c>
      <c r="N9073" s="405" t="s">
        <v>9529</v>
      </c>
      <c r="O9073" s="405" t="s">
        <v>9668</v>
      </c>
      <c r="P9073" s="405" t="s">
        <v>9835</v>
      </c>
      <c r="Q9073" s="411">
        <v>12</v>
      </c>
      <c r="R9073" s="405" t="s">
        <v>333</v>
      </c>
      <c r="S9073" s="405" t="s">
        <v>27142</v>
      </c>
      <c r="T9073" s="405" t="s">
        <v>7342</v>
      </c>
      <c r="U9073" s="405" t="s">
        <v>7343</v>
      </c>
    </row>
    <row r="9074" spans="1:21" hidden="1" x14ac:dyDescent="0.25">
      <c r="A9074" s="405" t="s">
        <v>310</v>
      </c>
      <c r="B9074" s="405" t="s">
        <v>28222</v>
      </c>
      <c r="C9074" s="405" t="s">
        <v>327</v>
      </c>
      <c r="D9074" s="405"/>
      <c r="E9074" s="410">
        <v>40471</v>
      </c>
      <c r="F9074" s="410">
        <v>40516</v>
      </c>
      <c r="G9074" s="405" t="s">
        <v>9784</v>
      </c>
      <c r="H9074" s="405">
        <v>782605694</v>
      </c>
      <c r="I9074" s="405"/>
      <c r="J9074" s="405">
        <v>1.0171520000000001</v>
      </c>
      <c r="K9074" s="405">
        <v>34.197015</v>
      </c>
      <c r="L9074" s="405" t="s">
        <v>6866</v>
      </c>
      <c r="M9074" s="405" t="s">
        <v>9514</v>
      </c>
      <c r="N9074" s="405" t="s">
        <v>9616</v>
      </c>
      <c r="O9074" s="405" t="s">
        <v>9571</v>
      </c>
      <c r="P9074" s="405" t="s">
        <v>8228</v>
      </c>
      <c r="Q9074" s="411">
        <v>6</v>
      </c>
      <c r="R9074" s="405" t="s">
        <v>333</v>
      </c>
      <c r="S9074" s="405" t="s">
        <v>27283</v>
      </c>
      <c r="T9074" s="405" t="s">
        <v>865</v>
      </c>
      <c r="U9074" s="405" t="s">
        <v>866</v>
      </c>
    </row>
    <row r="9075" spans="1:21" hidden="1" x14ac:dyDescent="0.25">
      <c r="A9075" s="405" t="s">
        <v>310</v>
      </c>
      <c r="B9075" s="405" t="s">
        <v>29100</v>
      </c>
      <c r="C9075" s="405" t="s">
        <v>327</v>
      </c>
      <c r="D9075" s="405"/>
      <c r="E9075" s="410">
        <v>40471</v>
      </c>
      <c r="F9075" s="410">
        <v>40516</v>
      </c>
      <c r="G9075" s="405" t="s">
        <v>9822</v>
      </c>
      <c r="H9075" s="405">
        <v>772545616</v>
      </c>
      <c r="I9075" s="405">
        <v>701530602</v>
      </c>
      <c r="J9075" s="405">
        <v>0.99112199999999995</v>
      </c>
      <c r="K9075" s="405">
        <v>34.233477000000001</v>
      </c>
      <c r="L9075" s="405" t="s">
        <v>6866</v>
      </c>
      <c r="M9075" s="405" t="s">
        <v>9514</v>
      </c>
      <c r="N9075" s="405" t="s">
        <v>9529</v>
      </c>
      <c r="O9075" s="405" t="s">
        <v>9668</v>
      </c>
      <c r="P9075" s="405" t="s">
        <v>9823</v>
      </c>
      <c r="Q9075" s="411">
        <v>6</v>
      </c>
      <c r="R9075" s="405" t="s">
        <v>333</v>
      </c>
      <c r="S9075" s="405" t="s">
        <v>27142</v>
      </c>
      <c r="T9075" s="405" t="s">
        <v>884</v>
      </c>
      <c r="U9075" s="405" t="s">
        <v>319</v>
      </c>
    </row>
    <row r="9076" spans="1:21" hidden="1" x14ac:dyDescent="0.25">
      <c r="A9076" s="405" t="s">
        <v>310</v>
      </c>
      <c r="B9076" s="405" t="s">
        <v>9874</v>
      </c>
      <c r="C9076" s="405" t="s">
        <v>327</v>
      </c>
      <c r="D9076" s="405"/>
      <c r="E9076" s="410">
        <v>40471</v>
      </c>
      <c r="F9076" s="410">
        <v>40516</v>
      </c>
      <c r="G9076" s="405" t="s">
        <v>9875</v>
      </c>
      <c r="H9076" s="405">
        <v>705592064</v>
      </c>
      <c r="I9076" s="405"/>
      <c r="J9076" s="405">
        <v>1.380954</v>
      </c>
      <c r="K9076" s="405">
        <v>34.405509000000002</v>
      </c>
      <c r="L9076" s="405" t="s">
        <v>6866</v>
      </c>
      <c r="M9076" s="405" t="s">
        <v>9685</v>
      </c>
      <c r="N9076" s="405" t="s">
        <v>9686</v>
      </c>
      <c r="O9076" s="405" t="s">
        <v>9687</v>
      </c>
      <c r="P9076" s="405" t="s">
        <v>9876</v>
      </c>
      <c r="Q9076" s="411">
        <v>6</v>
      </c>
      <c r="R9076" s="405" t="s">
        <v>333</v>
      </c>
      <c r="S9076" s="405" t="s">
        <v>27200</v>
      </c>
      <c r="T9076" s="405" t="s">
        <v>32102</v>
      </c>
      <c r="U9076" s="405" t="s">
        <v>319</v>
      </c>
    </row>
    <row r="9077" spans="1:21" hidden="1" x14ac:dyDescent="0.25">
      <c r="A9077" s="405" t="s">
        <v>310</v>
      </c>
      <c r="B9077" s="405" t="s">
        <v>28032</v>
      </c>
      <c r="C9077" s="405" t="s">
        <v>327</v>
      </c>
      <c r="D9077" s="405"/>
      <c r="E9077" s="410">
        <v>40471</v>
      </c>
      <c r="F9077" s="410">
        <v>40516</v>
      </c>
      <c r="G9077" s="405" t="s">
        <v>9810</v>
      </c>
      <c r="H9077" s="405">
        <v>782640962</v>
      </c>
      <c r="I9077" s="405"/>
      <c r="J9077" s="405">
        <v>0.95746500000000001</v>
      </c>
      <c r="K9077" s="405">
        <v>34.168864999999997</v>
      </c>
      <c r="L9077" s="405" t="s">
        <v>6866</v>
      </c>
      <c r="M9077" s="405" t="s">
        <v>9514</v>
      </c>
      <c r="N9077" s="405" t="s">
        <v>9529</v>
      </c>
      <c r="O9077" s="405" t="s">
        <v>9603</v>
      </c>
      <c r="P9077" s="405" t="s">
        <v>9811</v>
      </c>
      <c r="Q9077" s="411">
        <v>6</v>
      </c>
      <c r="R9077" s="405" t="s">
        <v>333</v>
      </c>
      <c r="S9077" s="405" t="s">
        <v>27074</v>
      </c>
      <c r="T9077" s="405" t="s">
        <v>32102</v>
      </c>
      <c r="U9077" s="405" t="s">
        <v>319</v>
      </c>
    </row>
    <row r="9078" spans="1:21" hidden="1" x14ac:dyDescent="0.25">
      <c r="A9078" s="405" t="s">
        <v>310</v>
      </c>
      <c r="B9078" s="405" t="s">
        <v>28195</v>
      </c>
      <c r="C9078" s="405" t="s">
        <v>327</v>
      </c>
      <c r="D9078" s="405"/>
      <c r="E9078" s="410">
        <v>40471</v>
      </c>
      <c r="F9078" s="410">
        <v>40516</v>
      </c>
      <c r="G9078" s="405" t="s">
        <v>9777</v>
      </c>
      <c r="H9078" s="405">
        <v>772398527</v>
      </c>
      <c r="I9078" s="405"/>
      <c r="J9078" s="405">
        <v>1.0172950000000001</v>
      </c>
      <c r="K9078" s="405">
        <v>34.18412</v>
      </c>
      <c r="L9078" s="405" t="s">
        <v>6866</v>
      </c>
      <c r="M9078" s="405" t="s">
        <v>9514</v>
      </c>
      <c r="N9078" s="405" t="s">
        <v>9529</v>
      </c>
      <c r="O9078" s="405" t="s">
        <v>9571</v>
      </c>
      <c r="P9078" s="405" t="s">
        <v>9778</v>
      </c>
      <c r="Q9078" s="411">
        <v>6</v>
      </c>
      <c r="R9078" s="405" t="s">
        <v>333</v>
      </c>
      <c r="S9078" s="405" t="s">
        <v>27300</v>
      </c>
      <c r="T9078" s="405" t="s">
        <v>884</v>
      </c>
      <c r="U9078" s="405" t="s">
        <v>319</v>
      </c>
    </row>
    <row r="9079" spans="1:21" hidden="1" x14ac:dyDescent="0.25">
      <c r="A9079" s="405" t="s">
        <v>310</v>
      </c>
      <c r="B9079" s="405" t="s">
        <v>9840</v>
      </c>
      <c r="C9079" s="405" t="s">
        <v>327</v>
      </c>
      <c r="D9079" s="405"/>
      <c r="E9079" s="410">
        <v>40469</v>
      </c>
      <c r="F9079" s="410">
        <v>40514</v>
      </c>
      <c r="G9079" s="405" t="s">
        <v>9841</v>
      </c>
      <c r="H9079" s="405">
        <v>782762071</v>
      </c>
      <c r="I9079" s="405"/>
      <c r="J9079" s="405">
        <v>0.93592900000000001</v>
      </c>
      <c r="K9079" s="405">
        <v>33.132122600000002</v>
      </c>
      <c r="L9079" s="405" t="s">
        <v>6866</v>
      </c>
      <c r="M9079" s="405" t="s">
        <v>3009</v>
      </c>
      <c r="N9079" s="405" t="s">
        <v>9842</v>
      </c>
      <c r="O9079" s="405" t="s">
        <v>9843</v>
      </c>
      <c r="P9079" s="405" t="s">
        <v>9844</v>
      </c>
      <c r="Q9079" s="411">
        <v>6</v>
      </c>
      <c r="R9079" s="405" t="s">
        <v>333</v>
      </c>
      <c r="S9079" s="405" t="s">
        <v>27135</v>
      </c>
      <c r="T9079" s="405" t="s">
        <v>32102</v>
      </c>
      <c r="U9079" s="405" t="s">
        <v>319</v>
      </c>
    </row>
    <row r="9080" spans="1:21" hidden="1" x14ac:dyDescent="0.25">
      <c r="A9080" s="405" t="s">
        <v>310</v>
      </c>
      <c r="B9080" s="405" t="s">
        <v>9836</v>
      </c>
      <c r="C9080" s="405" t="s">
        <v>327</v>
      </c>
      <c r="D9080" s="405"/>
      <c r="E9080" s="410">
        <v>40469</v>
      </c>
      <c r="F9080" s="410">
        <v>40514</v>
      </c>
      <c r="G9080" s="405" t="s">
        <v>9837</v>
      </c>
      <c r="H9080" s="405">
        <v>782092424</v>
      </c>
      <c r="I9080" s="405"/>
      <c r="J9080" s="405">
        <v>1.013215</v>
      </c>
      <c r="K9080" s="405">
        <v>34.324882000000002</v>
      </c>
      <c r="L9080" s="405" t="s">
        <v>6866</v>
      </c>
      <c r="M9080" s="405" t="s">
        <v>6867</v>
      </c>
      <c r="N9080" s="405" t="s">
        <v>6868</v>
      </c>
      <c r="O9080" s="405" t="s">
        <v>9838</v>
      </c>
      <c r="P9080" s="405" t="s">
        <v>9839</v>
      </c>
      <c r="Q9080" s="411">
        <v>6</v>
      </c>
      <c r="R9080" s="405" t="s">
        <v>333</v>
      </c>
      <c r="S9080" s="405" t="s">
        <v>27311</v>
      </c>
      <c r="T9080" s="405" t="s">
        <v>32102</v>
      </c>
      <c r="U9080" s="405" t="s">
        <v>319</v>
      </c>
    </row>
    <row r="9081" spans="1:21" hidden="1" x14ac:dyDescent="0.25">
      <c r="A9081" s="405" t="s">
        <v>310</v>
      </c>
      <c r="B9081" s="405" t="s">
        <v>9883</v>
      </c>
      <c r="C9081" s="405" t="s">
        <v>327</v>
      </c>
      <c r="D9081" s="405"/>
      <c r="E9081" s="410">
        <v>40469</v>
      </c>
      <c r="F9081" s="410">
        <v>40514</v>
      </c>
      <c r="G9081" s="405" t="s">
        <v>9884</v>
      </c>
      <c r="H9081" s="405">
        <v>758078206</v>
      </c>
      <c r="I9081" s="405">
        <v>756777700</v>
      </c>
      <c r="J9081" s="405">
        <v>1.4104966666666667</v>
      </c>
      <c r="K9081" s="405">
        <v>32.952711666666666</v>
      </c>
      <c r="L9081" s="405" t="s">
        <v>6866</v>
      </c>
      <c r="M9081" s="405" t="s">
        <v>9520</v>
      </c>
      <c r="N9081" s="405" t="s">
        <v>9554</v>
      </c>
      <c r="O9081" s="405" t="s">
        <v>9522</v>
      </c>
      <c r="P9081" s="405" t="s">
        <v>987</v>
      </c>
      <c r="Q9081" s="411">
        <v>6</v>
      </c>
      <c r="R9081" s="405" t="s">
        <v>32478</v>
      </c>
      <c r="S9081" s="405" t="s">
        <v>27195</v>
      </c>
      <c r="T9081" s="405" t="s">
        <v>32102</v>
      </c>
      <c r="U9081" s="405" t="s">
        <v>319</v>
      </c>
    </row>
    <row r="9082" spans="1:21" hidden="1" x14ac:dyDescent="0.25">
      <c r="A9082" s="405" t="s">
        <v>310</v>
      </c>
      <c r="B9082" s="405" t="s">
        <v>27540</v>
      </c>
      <c r="C9082" s="405" t="s">
        <v>327</v>
      </c>
      <c r="D9082" s="405"/>
      <c r="E9082" s="410">
        <v>40468</v>
      </c>
      <c r="F9082" s="410">
        <v>40513</v>
      </c>
      <c r="G9082" s="405" t="s">
        <v>19782</v>
      </c>
      <c r="H9082" s="405">
        <v>782188008</v>
      </c>
      <c r="I9082" s="405"/>
      <c r="J9082" s="405">
        <v>1.7055950000000002</v>
      </c>
      <c r="K9082" s="405">
        <v>31.713511666666665</v>
      </c>
      <c r="L9082" s="405" t="s">
        <v>590</v>
      </c>
      <c r="M9082" s="405" t="s">
        <v>19608</v>
      </c>
      <c r="N9082" s="405" t="s">
        <v>19783</v>
      </c>
      <c r="O9082" s="405" t="s">
        <v>19784</v>
      </c>
      <c r="P9082" s="405" t="s">
        <v>19785</v>
      </c>
      <c r="Q9082" s="411">
        <v>9</v>
      </c>
      <c r="R9082" s="405" t="s">
        <v>318</v>
      </c>
      <c r="S9082" s="405" t="s">
        <v>27126</v>
      </c>
      <c r="T9082" s="405" t="s">
        <v>32102</v>
      </c>
      <c r="U9082" s="405" t="s">
        <v>319</v>
      </c>
    </row>
    <row r="9083" spans="1:21" hidden="1" x14ac:dyDescent="0.25">
      <c r="A9083" s="405" t="s">
        <v>310</v>
      </c>
      <c r="B9083" s="405" t="s">
        <v>602</v>
      </c>
      <c r="C9083" s="405" t="s">
        <v>327</v>
      </c>
      <c r="D9083" s="405"/>
      <c r="E9083" s="410">
        <v>40467</v>
      </c>
      <c r="F9083" s="410">
        <v>40512</v>
      </c>
      <c r="G9083" s="405" t="s">
        <v>603</v>
      </c>
      <c r="H9083" s="405">
        <v>772344726</v>
      </c>
      <c r="I9083" s="405">
        <v>774275770</v>
      </c>
      <c r="J9083" s="405">
        <v>0.30008200000000002</v>
      </c>
      <c r="K9083" s="405">
        <v>32.975307000000001</v>
      </c>
      <c r="L9083" s="405" t="s">
        <v>314</v>
      </c>
      <c r="M9083" s="405" t="s">
        <v>349</v>
      </c>
      <c r="N9083" s="405" t="s">
        <v>549</v>
      </c>
      <c r="O9083" s="405" t="s">
        <v>349</v>
      </c>
      <c r="P9083" s="405" t="s">
        <v>554</v>
      </c>
      <c r="Q9083" s="411">
        <v>9</v>
      </c>
      <c r="R9083" s="405" t="s">
        <v>32478</v>
      </c>
      <c r="S9083" s="405" t="s">
        <v>27120</v>
      </c>
      <c r="T9083" s="405" t="s">
        <v>32102</v>
      </c>
      <c r="U9083" s="405" t="s">
        <v>319</v>
      </c>
    </row>
    <row r="9084" spans="1:21" hidden="1" x14ac:dyDescent="0.25">
      <c r="A9084" s="405" t="s">
        <v>310</v>
      </c>
      <c r="B9084" s="405" t="s">
        <v>27819</v>
      </c>
      <c r="C9084" s="405" t="s">
        <v>327</v>
      </c>
      <c r="D9084" s="405"/>
      <c r="E9084" s="410">
        <v>40466</v>
      </c>
      <c r="F9084" s="410">
        <v>40511</v>
      </c>
      <c r="G9084" s="405" t="s">
        <v>623</v>
      </c>
      <c r="H9084" s="405">
        <v>783776176</v>
      </c>
      <c r="I9084" s="405">
        <v>756388137</v>
      </c>
      <c r="J9084" s="405">
        <v>-0.34226580000000001</v>
      </c>
      <c r="K9084" s="405">
        <v>31.724567100000002</v>
      </c>
      <c r="L9084" s="405" t="s">
        <v>314</v>
      </c>
      <c r="M9084" s="405" t="s">
        <v>382</v>
      </c>
      <c r="N9084" s="405" t="s">
        <v>383</v>
      </c>
      <c r="O9084" s="405" t="s">
        <v>624</v>
      </c>
      <c r="P9084" s="405" t="s">
        <v>625</v>
      </c>
      <c r="Q9084" s="411">
        <v>6</v>
      </c>
      <c r="R9084" s="405" t="s">
        <v>402</v>
      </c>
      <c r="S9084" s="405" t="s">
        <v>27052</v>
      </c>
      <c r="T9084" s="405" t="s">
        <v>32102</v>
      </c>
      <c r="U9084" s="405" t="s">
        <v>319</v>
      </c>
    </row>
    <row r="9085" spans="1:21" hidden="1" x14ac:dyDescent="0.25">
      <c r="A9085" s="405" t="s">
        <v>310</v>
      </c>
      <c r="B9085" s="405" t="s">
        <v>9711</v>
      </c>
      <c r="C9085" s="405" t="s">
        <v>327</v>
      </c>
      <c r="D9085" s="405"/>
      <c r="E9085" s="410">
        <v>40465</v>
      </c>
      <c r="F9085" s="410">
        <v>40510</v>
      </c>
      <c r="G9085" s="405" t="s">
        <v>9712</v>
      </c>
      <c r="H9085" s="405">
        <v>782709513</v>
      </c>
      <c r="I9085" s="405"/>
      <c r="J9085" s="405">
        <v>1.094743</v>
      </c>
      <c r="K9085" s="405">
        <v>34.191487000000002</v>
      </c>
      <c r="L9085" s="405" t="s">
        <v>6866</v>
      </c>
      <c r="M9085" s="405" t="s">
        <v>9514</v>
      </c>
      <c r="N9085" s="405" t="s">
        <v>9530</v>
      </c>
      <c r="O9085" s="405" t="s">
        <v>9530</v>
      </c>
      <c r="P9085" s="405" t="s">
        <v>9563</v>
      </c>
      <c r="Q9085" s="411">
        <v>6</v>
      </c>
      <c r="R9085" s="405" t="s">
        <v>333</v>
      </c>
      <c r="S9085" s="405" t="s">
        <v>27302</v>
      </c>
      <c r="T9085" s="405" t="s">
        <v>32102</v>
      </c>
      <c r="U9085" s="405" t="s">
        <v>319</v>
      </c>
    </row>
    <row r="9086" spans="1:21" hidden="1" x14ac:dyDescent="0.25">
      <c r="A9086" s="405" t="s">
        <v>310</v>
      </c>
      <c r="B9086" s="405" t="s">
        <v>28187</v>
      </c>
      <c r="C9086" s="405" t="s">
        <v>311</v>
      </c>
      <c r="D9086" s="405" t="s">
        <v>932</v>
      </c>
      <c r="E9086" s="410">
        <v>40461</v>
      </c>
      <c r="F9086" s="410">
        <v>40506</v>
      </c>
      <c r="G9086" s="405" t="s">
        <v>10216</v>
      </c>
      <c r="H9086" s="405">
        <v>772937954</v>
      </c>
      <c r="I9086" s="405">
        <v>701944647</v>
      </c>
      <c r="J9086" s="405">
        <v>1.113048</v>
      </c>
      <c r="K9086" s="405">
        <v>34.170102</v>
      </c>
      <c r="L9086" s="405" t="s">
        <v>6866</v>
      </c>
      <c r="M9086" s="405" t="s">
        <v>9514</v>
      </c>
      <c r="N9086" s="405" t="s">
        <v>9529</v>
      </c>
      <c r="O9086" s="405" t="s">
        <v>9608</v>
      </c>
      <c r="P9086" s="405" t="s">
        <v>9734</v>
      </c>
      <c r="Q9086" s="411">
        <v>6</v>
      </c>
      <c r="R9086" s="405" t="s">
        <v>333</v>
      </c>
      <c r="S9086" s="405" t="s">
        <v>27307</v>
      </c>
      <c r="T9086" s="405" t="s">
        <v>32102</v>
      </c>
      <c r="U9086" s="405" t="s">
        <v>319</v>
      </c>
    </row>
    <row r="9087" spans="1:21" hidden="1" x14ac:dyDescent="0.25">
      <c r="A9087" s="405" t="s">
        <v>310</v>
      </c>
      <c r="B9087" s="405" t="s">
        <v>19757</v>
      </c>
      <c r="C9087" s="405" t="s">
        <v>327</v>
      </c>
      <c r="D9087" s="405"/>
      <c r="E9087" s="410">
        <v>40461</v>
      </c>
      <c r="F9087" s="410">
        <v>40506</v>
      </c>
      <c r="G9087" s="405" t="s">
        <v>19758</v>
      </c>
      <c r="H9087" s="405">
        <v>758865561</v>
      </c>
      <c r="I9087" s="405"/>
      <c r="J9087" s="405">
        <v>-0.55273700000000003</v>
      </c>
      <c r="K9087" s="405">
        <v>30.118027000000001</v>
      </c>
      <c r="L9087" s="405" t="s">
        <v>590</v>
      </c>
      <c r="M9087" s="405" t="s">
        <v>19625</v>
      </c>
      <c r="N9087" s="405" t="s">
        <v>19642</v>
      </c>
      <c r="O9087" s="405" t="s">
        <v>19639</v>
      </c>
      <c r="P9087" s="405" t="s">
        <v>19759</v>
      </c>
      <c r="Q9087" s="411">
        <v>6</v>
      </c>
      <c r="R9087" s="405" t="s">
        <v>333</v>
      </c>
      <c r="S9087" s="405" t="s">
        <v>27173</v>
      </c>
      <c r="T9087" s="405" t="s">
        <v>32102</v>
      </c>
      <c r="U9087" s="405" t="s">
        <v>319</v>
      </c>
    </row>
    <row r="9088" spans="1:21" hidden="1" x14ac:dyDescent="0.25">
      <c r="A9088" s="405" t="s">
        <v>310</v>
      </c>
      <c r="B9088" s="405" t="s">
        <v>29069</v>
      </c>
      <c r="C9088" s="405" t="s">
        <v>327</v>
      </c>
      <c r="D9088" s="405"/>
      <c r="E9088" s="410">
        <v>40460</v>
      </c>
      <c r="F9088" s="410">
        <v>40505</v>
      </c>
      <c r="G9088" s="405" t="s">
        <v>9735</v>
      </c>
      <c r="H9088" s="405">
        <v>779837722</v>
      </c>
      <c r="I9088" s="405"/>
      <c r="J9088" s="405">
        <v>1.0318670000000001</v>
      </c>
      <c r="K9088" s="405">
        <v>34.334209999999999</v>
      </c>
      <c r="L9088" s="405" t="s">
        <v>6866</v>
      </c>
      <c r="M9088" s="405" t="s">
        <v>6867</v>
      </c>
      <c r="N9088" s="405" t="s">
        <v>6868</v>
      </c>
      <c r="O9088" s="405" t="s">
        <v>9736</v>
      </c>
      <c r="P9088" s="405" t="s">
        <v>9737</v>
      </c>
      <c r="Q9088" s="411">
        <v>6</v>
      </c>
      <c r="R9088" s="405" t="s">
        <v>7224</v>
      </c>
      <c r="S9088" s="405" t="s">
        <v>27203</v>
      </c>
      <c r="T9088" s="405" t="s">
        <v>32102</v>
      </c>
      <c r="U9088" s="405" t="s">
        <v>319</v>
      </c>
    </row>
    <row r="9089" spans="1:21" hidden="1" x14ac:dyDescent="0.25">
      <c r="A9089" s="405" t="s">
        <v>310</v>
      </c>
      <c r="B9089" s="405" t="s">
        <v>27503</v>
      </c>
      <c r="C9089" s="405" t="s">
        <v>327</v>
      </c>
      <c r="D9089" s="405"/>
      <c r="E9089" s="410">
        <v>40459</v>
      </c>
      <c r="F9089" s="410">
        <v>40504</v>
      </c>
      <c r="G9089" s="405" t="s">
        <v>9738</v>
      </c>
      <c r="H9089" s="405">
        <v>783420492</v>
      </c>
      <c r="I9089" s="405"/>
      <c r="J9089" s="405">
        <v>1.2496133333333332</v>
      </c>
      <c r="K9089" s="405">
        <v>33.157046666666666</v>
      </c>
      <c r="L9089" s="405" t="s">
        <v>6866</v>
      </c>
      <c r="M9089" s="405" t="s">
        <v>9520</v>
      </c>
      <c r="N9089" s="405" t="s">
        <v>9739</v>
      </c>
      <c r="O9089" s="405" t="s">
        <v>7381</v>
      </c>
      <c r="P9089" s="405" t="s">
        <v>9740</v>
      </c>
      <c r="Q9089" s="411">
        <v>9</v>
      </c>
      <c r="R9089" s="405" t="s">
        <v>333</v>
      </c>
      <c r="S9089" s="405" t="s">
        <v>27195</v>
      </c>
      <c r="T9089" s="405" t="s">
        <v>32102</v>
      </c>
      <c r="U9089" s="405" t="s">
        <v>319</v>
      </c>
    </row>
    <row r="9090" spans="1:21" hidden="1" x14ac:dyDescent="0.25">
      <c r="A9090" s="405" t="s">
        <v>310</v>
      </c>
      <c r="B9090" s="405" t="s">
        <v>9767</v>
      </c>
      <c r="C9090" s="405" t="s">
        <v>327</v>
      </c>
      <c r="D9090" s="405"/>
      <c r="E9090" s="410">
        <v>40459</v>
      </c>
      <c r="F9090" s="410">
        <v>40504</v>
      </c>
      <c r="G9090" s="405" t="s">
        <v>9768</v>
      </c>
      <c r="H9090" s="405">
        <v>782308897</v>
      </c>
      <c r="I9090" s="405"/>
      <c r="J9090" s="405">
        <v>0.64523699999999995</v>
      </c>
      <c r="K9090" s="405">
        <v>34.129091000000003</v>
      </c>
      <c r="L9090" s="405" t="s">
        <v>6866</v>
      </c>
      <c r="M9090" s="405" t="s">
        <v>9534</v>
      </c>
      <c r="N9090" s="405" t="s">
        <v>9769</v>
      </c>
      <c r="O9090" s="405" t="s">
        <v>9770</v>
      </c>
      <c r="P9090" s="405" t="s">
        <v>9771</v>
      </c>
      <c r="Q9090" s="411">
        <v>6</v>
      </c>
      <c r="R9090" s="405" t="s">
        <v>7224</v>
      </c>
      <c r="S9090" s="405" t="s">
        <v>27309</v>
      </c>
      <c r="T9090" s="405" t="s">
        <v>32102</v>
      </c>
      <c r="U9090" s="405" t="s">
        <v>319</v>
      </c>
    </row>
    <row r="9091" spans="1:21" hidden="1" x14ac:dyDescent="0.25">
      <c r="A9091" s="405" t="s">
        <v>310</v>
      </c>
      <c r="B9091" s="405" t="s">
        <v>27664</v>
      </c>
      <c r="C9091" s="405" t="s">
        <v>311</v>
      </c>
      <c r="D9091" s="405" t="s">
        <v>1013</v>
      </c>
      <c r="E9091" s="410">
        <v>40458</v>
      </c>
      <c r="F9091" s="410">
        <v>40503</v>
      </c>
      <c r="G9091" s="405" t="s">
        <v>20036</v>
      </c>
      <c r="H9091" s="405">
        <v>772329742</v>
      </c>
      <c r="I9091" s="405"/>
      <c r="J9091" s="405">
        <v>-0.54509600000000002</v>
      </c>
      <c r="K9091" s="405">
        <v>30.140035999999998</v>
      </c>
      <c r="L9091" s="405" t="s">
        <v>590</v>
      </c>
      <c r="M9091" s="405" t="s">
        <v>19625</v>
      </c>
      <c r="N9091" s="405" t="s">
        <v>19642</v>
      </c>
      <c r="O9091" s="405" t="s">
        <v>19639</v>
      </c>
      <c r="P9091" s="405" t="s">
        <v>20037</v>
      </c>
      <c r="Q9091" s="411">
        <v>6</v>
      </c>
      <c r="R9091" s="405" t="s">
        <v>874</v>
      </c>
      <c r="S9091" s="405" t="s">
        <v>27173</v>
      </c>
      <c r="T9091" s="405" t="s">
        <v>32102</v>
      </c>
      <c r="U9091" s="405" t="s">
        <v>319</v>
      </c>
    </row>
    <row r="9092" spans="1:21" hidden="1" x14ac:dyDescent="0.25">
      <c r="A9092" s="405" t="s">
        <v>310</v>
      </c>
      <c r="B9092" s="405" t="s">
        <v>9724</v>
      </c>
      <c r="C9092" s="405" t="s">
        <v>327</v>
      </c>
      <c r="D9092" s="405"/>
      <c r="E9092" s="410">
        <v>40457</v>
      </c>
      <c r="F9092" s="410">
        <v>40502</v>
      </c>
      <c r="G9092" s="405" t="s">
        <v>9725</v>
      </c>
      <c r="H9092" s="405">
        <v>782514563</v>
      </c>
      <c r="I9092" s="405"/>
      <c r="J9092" s="405">
        <v>0.97178500000000001</v>
      </c>
      <c r="K9092" s="405">
        <v>34.161360000000002</v>
      </c>
      <c r="L9092" s="405" t="s">
        <v>6866</v>
      </c>
      <c r="M9092" s="405" t="s">
        <v>9514</v>
      </c>
      <c r="N9092" s="405" t="s">
        <v>9529</v>
      </c>
      <c r="O9092" s="405" t="s">
        <v>9603</v>
      </c>
      <c r="P9092" s="405" t="s">
        <v>9726</v>
      </c>
      <c r="Q9092" s="411">
        <v>6</v>
      </c>
      <c r="R9092" s="405" t="s">
        <v>333</v>
      </c>
      <c r="S9092" s="405" t="s">
        <v>27127</v>
      </c>
      <c r="T9092" s="405" t="s">
        <v>32102</v>
      </c>
      <c r="U9092" s="405" t="s">
        <v>319</v>
      </c>
    </row>
    <row r="9093" spans="1:21" hidden="1" x14ac:dyDescent="0.25">
      <c r="A9093" s="405" t="s">
        <v>310</v>
      </c>
      <c r="B9093" s="405" t="s">
        <v>28846</v>
      </c>
      <c r="C9093" s="405" t="s">
        <v>327</v>
      </c>
      <c r="D9093" s="405"/>
      <c r="E9093" s="410">
        <v>40454</v>
      </c>
      <c r="F9093" s="410">
        <v>40499</v>
      </c>
      <c r="G9093" s="405" t="s">
        <v>19764</v>
      </c>
      <c r="H9093" s="405">
        <v>772584461</v>
      </c>
      <c r="I9093" s="405"/>
      <c r="J9093" s="405">
        <v>-0.81418599999999997</v>
      </c>
      <c r="K9093" s="405">
        <v>29.941571</v>
      </c>
      <c r="L9093" s="405" t="s">
        <v>590</v>
      </c>
      <c r="M9093" s="405" t="s">
        <v>19619</v>
      </c>
      <c r="N9093" s="405" t="s">
        <v>19765</v>
      </c>
      <c r="O9093" s="405" t="s">
        <v>19766</v>
      </c>
      <c r="P9093" s="405" t="s">
        <v>19767</v>
      </c>
      <c r="Q9093" s="411">
        <v>6</v>
      </c>
      <c r="R9093" s="405" t="s">
        <v>333</v>
      </c>
      <c r="S9093" s="405" t="s">
        <v>27127</v>
      </c>
      <c r="T9093" s="405" t="s">
        <v>32102</v>
      </c>
      <c r="U9093" s="405" t="s">
        <v>319</v>
      </c>
    </row>
    <row r="9094" spans="1:21" hidden="1" x14ac:dyDescent="0.25">
      <c r="A9094" s="405" t="s">
        <v>310</v>
      </c>
      <c r="B9094" s="405" t="s">
        <v>604</v>
      </c>
      <c r="C9094" s="405" t="s">
        <v>327</v>
      </c>
      <c r="D9094" s="405"/>
      <c r="E9094" s="410">
        <v>40451</v>
      </c>
      <c r="F9094" s="410">
        <v>40496</v>
      </c>
      <c r="G9094" s="405" t="s">
        <v>605</v>
      </c>
      <c r="H9094" s="405">
        <v>774624894</v>
      </c>
      <c r="I9094" s="405">
        <v>772410950</v>
      </c>
      <c r="J9094" s="405">
        <v>0.31974170000000002</v>
      </c>
      <c r="K9094" s="405">
        <v>32.621220600000001</v>
      </c>
      <c r="L9094" s="405" t="s">
        <v>314</v>
      </c>
      <c r="M9094" s="405" t="s">
        <v>361</v>
      </c>
      <c r="N9094" s="405" t="s">
        <v>362</v>
      </c>
      <c r="O9094" s="405" t="s">
        <v>410</v>
      </c>
      <c r="P9094" s="405" t="s">
        <v>606</v>
      </c>
      <c r="Q9094" s="411">
        <v>12</v>
      </c>
      <c r="R9094" s="405" t="s">
        <v>607</v>
      </c>
      <c r="S9094" s="405" t="s">
        <v>27151</v>
      </c>
      <c r="T9094" s="405" t="s">
        <v>32102</v>
      </c>
      <c r="U9094" s="405" t="s">
        <v>319</v>
      </c>
    </row>
    <row r="9095" spans="1:21" hidden="1" x14ac:dyDescent="0.25">
      <c r="A9095" s="405" t="s">
        <v>310</v>
      </c>
      <c r="B9095" s="405" t="s">
        <v>27823</v>
      </c>
      <c r="C9095" s="405" t="s">
        <v>327</v>
      </c>
      <c r="D9095" s="405"/>
      <c r="E9095" s="410">
        <v>40451</v>
      </c>
      <c r="F9095" s="410">
        <v>40496</v>
      </c>
      <c r="G9095" s="405" t="s">
        <v>610</v>
      </c>
      <c r="H9095" s="405">
        <v>752697809</v>
      </c>
      <c r="I9095" s="405"/>
      <c r="J9095" s="405">
        <v>0.30878699999999998</v>
      </c>
      <c r="K9095" s="405">
        <v>32.673642999999998</v>
      </c>
      <c r="L9095" s="405" t="s">
        <v>314</v>
      </c>
      <c r="M9095" s="405" t="s">
        <v>361</v>
      </c>
      <c r="N9095" s="405" t="s">
        <v>362</v>
      </c>
      <c r="O9095" s="405" t="s">
        <v>363</v>
      </c>
      <c r="P9095" s="405" t="s">
        <v>611</v>
      </c>
      <c r="Q9095" s="411">
        <v>9</v>
      </c>
      <c r="R9095" s="405" t="s">
        <v>318</v>
      </c>
      <c r="S9095" s="405" t="s">
        <v>27137</v>
      </c>
      <c r="T9095" s="405" t="s">
        <v>32102</v>
      </c>
      <c r="U9095" s="405" t="s">
        <v>319</v>
      </c>
    </row>
    <row r="9096" spans="1:21" hidden="1" x14ac:dyDescent="0.25">
      <c r="A9096" s="405" t="s">
        <v>310</v>
      </c>
      <c r="B9096" s="405" t="s">
        <v>616</v>
      </c>
      <c r="C9096" s="405" t="s">
        <v>327</v>
      </c>
      <c r="D9096" s="405"/>
      <c r="E9096" s="410">
        <v>40451</v>
      </c>
      <c r="F9096" s="410">
        <v>40496</v>
      </c>
      <c r="G9096" s="405" t="s">
        <v>617</v>
      </c>
      <c r="H9096" s="405">
        <v>772654454</v>
      </c>
      <c r="I9096" s="405"/>
      <c r="J9096" s="405">
        <v>0.188698</v>
      </c>
      <c r="K9096" s="405">
        <v>32.544601999999998</v>
      </c>
      <c r="L9096" s="405" t="s">
        <v>314</v>
      </c>
      <c r="M9096" s="405" t="s">
        <v>361</v>
      </c>
      <c r="N9096" s="405" t="s">
        <v>374</v>
      </c>
      <c r="O9096" s="405" t="s">
        <v>618</v>
      </c>
      <c r="P9096" s="405" t="s">
        <v>619</v>
      </c>
      <c r="Q9096" s="411">
        <v>9</v>
      </c>
      <c r="R9096" s="405" t="s">
        <v>353</v>
      </c>
      <c r="S9096" s="405" t="s">
        <v>27034</v>
      </c>
      <c r="T9096" s="405" t="s">
        <v>32102</v>
      </c>
      <c r="U9096" s="405" t="s">
        <v>319</v>
      </c>
    </row>
    <row r="9097" spans="1:21" hidden="1" x14ac:dyDescent="0.25">
      <c r="A9097" s="405" t="s">
        <v>310</v>
      </c>
      <c r="B9097" s="405" t="s">
        <v>608</v>
      </c>
      <c r="C9097" s="405" t="s">
        <v>327</v>
      </c>
      <c r="D9097" s="405"/>
      <c r="E9097" s="410">
        <v>40451</v>
      </c>
      <c r="F9097" s="410">
        <v>40496</v>
      </c>
      <c r="G9097" s="405" t="s">
        <v>609</v>
      </c>
      <c r="H9097" s="405">
        <v>782393405</v>
      </c>
      <c r="I9097" s="405"/>
      <c r="J9097" s="405">
        <v>0.50401499999999999</v>
      </c>
      <c r="K9097" s="405">
        <v>32.533397999999998</v>
      </c>
      <c r="L9097" s="405" t="s">
        <v>314</v>
      </c>
      <c r="M9097" s="405" t="s">
        <v>361</v>
      </c>
      <c r="N9097" s="405" t="s">
        <v>362</v>
      </c>
      <c r="O9097" s="405" t="s">
        <v>523</v>
      </c>
      <c r="P9097" s="405" t="s">
        <v>524</v>
      </c>
      <c r="Q9097" s="411">
        <v>9</v>
      </c>
      <c r="R9097" s="405" t="s">
        <v>353</v>
      </c>
      <c r="S9097" s="405" t="s">
        <v>27106</v>
      </c>
      <c r="T9097" s="405" t="s">
        <v>32102</v>
      </c>
      <c r="U9097" s="405" t="s">
        <v>319</v>
      </c>
    </row>
    <row r="9098" spans="1:21" hidden="1" x14ac:dyDescent="0.25">
      <c r="A9098" s="405" t="s">
        <v>310</v>
      </c>
      <c r="B9098" s="405" t="s">
        <v>1237</v>
      </c>
      <c r="C9098" s="405" t="s">
        <v>311</v>
      </c>
      <c r="D9098" s="405" t="s">
        <v>839</v>
      </c>
      <c r="E9098" s="410">
        <v>40451</v>
      </c>
      <c r="F9098" s="410">
        <v>40496</v>
      </c>
      <c r="G9098" s="405" t="s">
        <v>1238</v>
      </c>
      <c r="H9098" s="405">
        <v>772640438</v>
      </c>
      <c r="I9098" s="405"/>
      <c r="J9098" s="405">
        <v>0.36476500000000001</v>
      </c>
      <c r="K9098" s="405">
        <v>32.469113</v>
      </c>
      <c r="L9098" s="405" t="s">
        <v>314</v>
      </c>
      <c r="M9098" s="405" t="s">
        <v>361</v>
      </c>
      <c r="N9098" s="405" t="s">
        <v>374</v>
      </c>
      <c r="O9098" s="405" t="s">
        <v>361</v>
      </c>
      <c r="P9098" s="405" t="s">
        <v>1239</v>
      </c>
      <c r="Q9098" s="411">
        <v>6</v>
      </c>
      <c r="R9098" s="405" t="s">
        <v>333</v>
      </c>
      <c r="S9098" s="405" t="s">
        <v>27150</v>
      </c>
      <c r="T9098" s="405" t="s">
        <v>32102</v>
      </c>
      <c r="U9098" s="405" t="s">
        <v>319</v>
      </c>
    </row>
    <row r="9099" spans="1:21" hidden="1" x14ac:dyDescent="0.25">
      <c r="A9099" s="405" t="s">
        <v>310</v>
      </c>
      <c r="B9099" s="405" t="s">
        <v>9761</v>
      </c>
      <c r="C9099" s="405" t="s">
        <v>327</v>
      </c>
      <c r="D9099" s="405"/>
      <c r="E9099" s="410">
        <v>40451</v>
      </c>
      <c r="F9099" s="410">
        <v>40496</v>
      </c>
      <c r="G9099" s="405" t="s">
        <v>9762</v>
      </c>
      <c r="H9099" s="405">
        <v>771389713</v>
      </c>
      <c r="I9099" s="405"/>
      <c r="J9099" s="405">
        <v>0.93188800000000005</v>
      </c>
      <c r="K9099" s="405">
        <v>34.285732000000003</v>
      </c>
      <c r="L9099" s="405" t="s">
        <v>6866</v>
      </c>
      <c r="M9099" s="405" t="s">
        <v>9763</v>
      </c>
      <c r="N9099" s="405" t="s">
        <v>9764</v>
      </c>
      <c r="O9099" s="405" t="s">
        <v>9765</v>
      </c>
      <c r="P9099" s="405" t="s">
        <v>9766</v>
      </c>
      <c r="Q9099" s="411">
        <v>6</v>
      </c>
      <c r="R9099" s="405" t="s">
        <v>333</v>
      </c>
      <c r="S9099" s="405" t="s">
        <v>27073</v>
      </c>
      <c r="T9099" s="405" t="s">
        <v>32102</v>
      </c>
      <c r="U9099" s="405" t="s">
        <v>319</v>
      </c>
    </row>
    <row r="9100" spans="1:21" hidden="1" x14ac:dyDescent="0.25">
      <c r="A9100" s="405" t="s">
        <v>310</v>
      </c>
      <c r="B9100" s="405" t="s">
        <v>9717</v>
      </c>
      <c r="C9100" s="405" t="s">
        <v>327</v>
      </c>
      <c r="D9100" s="405"/>
      <c r="E9100" s="410">
        <v>40451</v>
      </c>
      <c r="F9100" s="410">
        <v>40496</v>
      </c>
      <c r="G9100" s="405" t="s">
        <v>9718</v>
      </c>
      <c r="H9100" s="405">
        <v>713940985</v>
      </c>
      <c r="I9100" s="405"/>
      <c r="J9100" s="405">
        <v>1.135303</v>
      </c>
      <c r="K9100" s="405">
        <v>34.177973000000001</v>
      </c>
      <c r="L9100" s="405" t="s">
        <v>6866</v>
      </c>
      <c r="M9100" s="405" t="s">
        <v>9514</v>
      </c>
      <c r="N9100" s="405" t="s">
        <v>9529</v>
      </c>
      <c r="O9100" s="405" t="s">
        <v>9608</v>
      </c>
      <c r="P9100" s="405" t="s">
        <v>9719</v>
      </c>
      <c r="Q9100" s="411">
        <v>6</v>
      </c>
      <c r="R9100" s="405" t="s">
        <v>7224</v>
      </c>
      <c r="S9100" s="405" t="s">
        <v>17062</v>
      </c>
      <c r="T9100" s="405" t="s">
        <v>32102</v>
      </c>
      <c r="U9100" s="405" t="s">
        <v>319</v>
      </c>
    </row>
    <row r="9101" spans="1:21" hidden="1" x14ac:dyDescent="0.25">
      <c r="A9101" s="405" t="s">
        <v>310</v>
      </c>
      <c r="B9101" s="405" t="s">
        <v>620</v>
      </c>
      <c r="C9101" s="405" t="s">
        <v>327</v>
      </c>
      <c r="D9101" s="405"/>
      <c r="E9101" s="410">
        <v>40451</v>
      </c>
      <c r="F9101" s="410">
        <v>40496</v>
      </c>
      <c r="G9101" s="405" t="s">
        <v>621</v>
      </c>
      <c r="H9101" s="405">
        <v>772038238</v>
      </c>
      <c r="I9101" s="405">
        <v>782975221</v>
      </c>
      <c r="J9101" s="405">
        <v>0.35382829999999998</v>
      </c>
      <c r="K9101" s="405">
        <v>32.732430399999998</v>
      </c>
      <c r="L9101" s="405" t="s">
        <v>314</v>
      </c>
      <c r="M9101" s="405" t="s">
        <v>329</v>
      </c>
      <c r="N9101" s="405" t="s">
        <v>330</v>
      </c>
      <c r="O9101" s="405" t="s">
        <v>600</v>
      </c>
      <c r="P9101" s="405" t="s">
        <v>622</v>
      </c>
      <c r="Q9101" s="411">
        <v>6</v>
      </c>
      <c r="R9101" s="405" t="s">
        <v>333</v>
      </c>
      <c r="S9101" s="405" t="s">
        <v>27127</v>
      </c>
      <c r="T9101" s="405" t="s">
        <v>32102</v>
      </c>
      <c r="U9101" s="405" t="s">
        <v>319</v>
      </c>
    </row>
    <row r="9102" spans="1:21" hidden="1" x14ac:dyDescent="0.25">
      <c r="A9102" s="405" t="s">
        <v>310</v>
      </c>
      <c r="B9102" s="405" t="s">
        <v>612</v>
      </c>
      <c r="C9102" s="405" t="s">
        <v>327</v>
      </c>
      <c r="D9102" s="405"/>
      <c r="E9102" s="410">
        <v>40451</v>
      </c>
      <c r="F9102" s="410">
        <v>40496</v>
      </c>
      <c r="G9102" s="405" t="s">
        <v>613</v>
      </c>
      <c r="H9102" s="405">
        <v>753890052</v>
      </c>
      <c r="I9102" s="405">
        <v>757138150</v>
      </c>
      <c r="J9102" s="405">
        <v>0.47582000000000002</v>
      </c>
      <c r="K9102" s="405">
        <v>32.715843</v>
      </c>
      <c r="L9102" s="405" t="s">
        <v>314</v>
      </c>
      <c r="M9102" s="405" t="s">
        <v>329</v>
      </c>
      <c r="N9102" s="405" t="s">
        <v>545</v>
      </c>
      <c r="O9102" s="405" t="s">
        <v>336</v>
      </c>
      <c r="P9102" s="405" t="s">
        <v>587</v>
      </c>
      <c r="Q9102" s="411">
        <v>6</v>
      </c>
      <c r="R9102" s="405" t="s">
        <v>318</v>
      </c>
      <c r="S9102" s="405" t="s">
        <v>27152</v>
      </c>
      <c r="T9102" s="405" t="s">
        <v>32102</v>
      </c>
      <c r="U9102" s="405" t="s">
        <v>319</v>
      </c>
    </row>
    <row r="9103" spans="1:21" hidden="1" x14ac:dyDescent="0.25">
      <c r="A9103" s="405" t="s">
        <v>310</v>
      </c>
      <c r="B9103" s="405" t="s">
        <v>598</v>
      </c>
      <c r="C9103" s="405" t="s">
        <v>327</v>
      </c>
      <c r="D9103" s="405"/>
      <c r="E9103" s="410">
        <v>40451</v>
      </c>
      <c r="F9103" s="410">
        <v>40496</v>
      </c>
      <c r="G9103" s="405" t="s">
        <v>599</v>
      </c>
      <c r="H9103" s="405">
        <v>774613737</v>
      </c>
      <c r="I9103" s="405"/>
      <c r="J9103" s="405">
        <v>0.34862500000000002</v>
      </c>
      <c r="K9103" s="405">
        <v>32.730183333333336</v>
      </c>
      <c r="L9103" s="405" t="s">
        <v>314</v>
      </c>
      <c r="M9103" s="405" t="s">
        <v>329</v>
      </c>
      <c r="N9103" s="405" t="s">
        <v>329</v>
      </c>
      <c r="O9103" s="405" t="s">
        <v>600</v>
      </c>
      <c r="P9103" s="405" t="s">
        <v>601</v>
      </c>
      <c r="Q9103" s="411">
        <v>6</v>
      </c>
      <c r="R9103" s="405" t="s">
        <v>353</v>
      </c>
      <c r="S9103" s="405" t="s">
        <v>27049</v>
      </c>
      <c r="T9103" s="405" t="s">
        <v>32102</v>
      </c>
      <c r="U9103" s="405" t="s">
        <v>319</v>
      </c>
    </row>
    <row r="9104" spans="1:21" hidden="1" x14ac:dyDescent="0.25">
      <c r="A9104" s="405" t="s">
        <v>310</v>
      </c>
      <c r="B9104" s="405" t="s">
        <v>28193</v>
      </c>
      <c r="C9104" s="405" t="s">
        <v>327</v>
      </c>
      <c r="D9104" s="405"/>
      <c r="E9104" s="410">
        <v>40450</v>
      </c>
      <c r="F9104" s="410">
        <v>40495</v>
      </c>
      <c r="G9104" s="405" t="s">
        <v>10194</v>
      </c>
      <c r="H9104" s="405">
        <v>782278047</v>
      </c>
      <c r="I9104" s="405"/>
      <c r="J9104" s="405">
        <v>1.0941730000000001</v>
      </c>
      <c r="K9104" s="405">
        <v>34.199202999999997</v>
      </c>
      <c r="L9104" s="405" t="s">
        <v>6866</v>
      </c>
      <c r="M9104" s="405" t="s">
        <v>9514</v>
      </c>
      <c r="N9104" s="405" t="s">
        <v>9529</v>
      </c>
      <c r="O9104" s="405" t="s">
        <v>9530</v>
      </c>
      <c r="P9104" s="405" t="s">
        <v>10195</v>
      </c>
      <c r="Q9104" s="411">
        <v>6</v>
      </c>
      <c r="R9104" s="405" t="s">
        <v>333</v>
      </c>
      <c r="S9104" s="405" t="s">
        <v>27304</v>
      </c>
      <c r="T9104" s="405" t="s">
        <v>32102</v>
      </c>
      <c r="U9104" s="405" t="s">
        <v>319</v>
      </c>
    </row>
    <row r="9105" spans="1:21" hidden="1" x14ac:dyDescent="0.25">
      <c r="A9105" s="405" t="s">
        <v>310</v>
      </c>
      <c r="B9105" s="405" t="s">
        <v>28456</v>
      </c>
      <c r="C9105" s="405" t="s">
        <v>327</v>
      </c>
      <c r="D9105" s="405"/>
      <c r="E9105" s="410">
        <v>40449</v>
      </c>
      <c r="F9105" s="410">
        <v>40494</v>
      </c>
      <c r="G9105" s="405" t="s">
        <v>9713</v>
      </c>
      <c r="H9105" s="405">
        <v>772586158</v>
      </c>
      <c r="I9105" s="405"/>
      <c r="J9105" s="405">
        <v>1.0405880000000001</v>
      </c>
      <c r="K9105" s="405">
        <v>34.182377000000002</v>
      </c>
      <c r="L9105" s="405" t="s">
        <v>6866</v>
      </c>
      <c r="M9105" s="405" t="s">
        <v>9514</v>
      </c>
      <c r="N9105" s="405" t="s">
        <v>9529</v>
      </c>
      <c r="O9105" s="405" t="s">
        <v>9714</v>
      </c>
      <c r="P9105" s="405" t="s">
        <v>9715</v>
      </c>
      <c r="Q9105" s="411">
        <v>6</v>
      </c>
      <c r="R9105" s="405" t="s">
        <v>333</v>
      </c>
      <c r="S9105" s="405" t="s">
        <v>27127</v>
      </c>
      <c r="T9105" s="405" t="s">
        <v>32102</v>
      </c>
      <c r="U9105" s="405" t="s">
        <v>319</v>
      </c>
    </row>
    <row r="9106" spans="1:21" hidden="1" x14ac:dyDescent="0.25">
      <c r="A9106" s="405" t="s">
        <v>310</v>
      </c>
      <c r="B9106" s="405" t="s">
        <v>28833</v>
      </c>
      <c r="C9106" s="405" t="s">
        <v>327</v>
      </c>
      <c r="D9106" s="405"/>
      <c r="E9106" s="410">
        <v>40448</v>
      </c>
      <c r="F9106" s="410">
        <v>40493</v>
      </c>
      <c r="G9106" s="405" t="s">
        <v>9730</v>
      </c>
      <c r="H9106" s="405">
        <v>774506342</v>
      </c>
      <c r="I9106" s="405"/>
      <c r="J9106" s="405">
        <v>0.95147000000000004</v>
      </c>
      <c r="K9106" s="405">
        <v>34.162858</v>
      </c>
      <c r="L9106" s="405" t="s">
        <v>6866</v>
      </c>
      <c r="M9106" s="405" t="s">
        <v>9514</v>
      </c>
      <c r="N9106" s="405" t="s">
        <v>9529</v>
      </c>
      <c r="O9106" s="405" t="s">
        <v>9603</v>
      </c>
      <c r="P9106" s="405" t="s">
        <v>9731</v>
      </c>
      <c r="Q9106" s="411">
        <v>6</v>
      </c>
      <c r="R9106" s="405" t="s">
        <v>333</v>
      </c>
      <c r="S9106" s="405" t="s">
        <v>27107</v>
      </c>
      <c r="T9106" s="405" t="s">
        <v>32102</v>
      </c>
      <c r="U9106" s="405" t="s">
        <v>319</v>
      </c>
    </row>
    <row r="9107" spans="1:21" hidden="1" x14ac:dyDescent="0.25">
      <c r="A9107" s="405" t="s">
        <v>310</v>
      </c>
      <c r="B9107" s="405" t="s">
        <v>27911</v>
      </c>
      <c r="C9107" s="405" t="s">
        <v>327</v>
      </c>
      <c r="D9107" s="405"/>
      <c r="E9107" s="410">
        <v>40446</v>
      </c>
      <c r="F9107" s="410">
        <v>40491</v>
      </c>
      <c r="G9107" s="405" t="s">
        <v>19768</v>
      </c>
      <c r="H9107" s="405">
        <v>782031318</v>
      </c>
      <c r="I9107" s="405">
        <v>753060534</v>
      </c>
      <c r="J9107" s="405">
        <v>-0.86535399999999996</v>
      </c>
      <c r="K9107" s="405">
        <v>29.940957000000001</v>
      </c>
      <c r="L9107" s="405" t="s">
        <v>590</v>
      </c>
      <c r="M9107" s="405" t="s">
        <v>19619</v>
      </c>
      <c r="N9107" s="405" t="s">
        <v>19620</v>
      </c>
      <c r="O9107" s="405" t="s">
        <v>2430</v>
      </c>
      <c r="P9107" s="405" t="s">
        <v>19769</v>
      </c>
      <c r="Q9107" s="411">
        <v>9</v>
      </c>
      <c r="R9107" s="405" t="s">
        <v>19622</v>
      </c>
      <c r="S9107" s="405" t="s">
        <v>27160</v>
      </c>
      <c r="T9107" s="405" t="s">
        <v>32102</v>
      </c>
      <c r="U9107" s="405" t="s">
        <v>319</v>
      </c>
    </row>
    <row r="9108" spans="1:21" hidden="1" x14ac:dyDescent="0.25">
      <c r="A9108" s="405" t="s">
        <v>310</v>
      </c>
      <c r="B9108" s="405" t="s">
        <v>28172</v>
      </c>
      <c r="C9108" s="405" t="s">
        <v>327</v>
      </c>
      <c r="D9108" s="405"/>
      <c r="E9108" s="410">
        <v>40446</v>
      </c>
      <c r="F9108" s="410">
        <v>40491</v>
      </c>
      <c r="G9108" s="405" t="s">
        <v>9741</v>
      </c>
      <c r="H9108" s="405">
        <v>782608875</v>
      </c>
      <c r="I9108" s="405"/>
      <c r="J9108" s="405">
        <v>1.198275</v>
      </c>
      <c r="K9108" s="405">
        <v>34.305917000000001</v>
      </c>
      <c r="L9108" s="405" t="s">
        <v>6866</v>
      </c>
      <c r="M9108" s="405" t="s">
        <v>9575</v>
      </c>
      <c r="N9108" s="405" t="s">
        <v>9629</v>
      </c>
      <c r="O9108" s="405" t="s">
        <v>9742</v>
      </c>
      <c r="P9108" s="405" t="s">
        <v>9743</v>
      </c>
      <c r="Q9108" s="411">
        <v>6</v>
      </c>
      <c r="R9108" s="405" t="s">
        <v>7224</v>
      </c>
      <c r="S9108" s="405" t="s">
        <v>27086</v>
      </c>
      <c r="T9108" s="405" t="s">
        <v>32102</v>
      </c>
      <c r="U9108" s="405" t="s">
        <v>319</v>
      </c>
    </row>
    <row r="9109" spans="1:21" hidden="1" x14ac:dyDescent="0.25">
      <c r="A9109" s="405" t="s">
        <v>310</v>
      </c>
      <c r="B9109" s="405" t="s">
        <v>9748</v>
      </c>
      <c r="C9109" s="405" t="s">
        <v>327</v>
      </c>
      <c r="D9109" s="405"/>
      <c r="E9109" s="410">
        <v>40445</v>
      </c>
      <c r="F9109" s="410">
        <v>40490</v>
      </c>
      <c r="G9109" s="405" t="s">
        <v>9749</v>
      </c>
      <c r="H9109" s="405">
        <v>783362722</v>
      </c>
      <c r="I9109" s="405"/>
      <c r="J9109" s="405">
        <v>1.2897719999999999</v>
      </c>
      <c r="K9109" s="405">
        <v>34.361448000000003</v>
      </c>
      <c r="L9109" s="405" t="s">
        <v>6866</v>
      </c>
      <c r="M9109" s="405" t="s">
        <v>9550</v>
      </c>
      <c r="N9109" s="405" t="s">
        <v>9550</v>
      </c>
      <c r="O9109" s="405" t="s">
        <v>9750</v>
      </c>
      <c r="P9109" s="405" t="s">
        <v>9751</v>
      </c>
      <c r="Q9109" s="411">
        <v>6</v>
      </c>
      <c r="R9109" s="405" t="s">
        <v>7224</v>
      </c>
      <c r="S9109" s="405" t="s">
        <v>27086</v>
      </c>
      <c r="T9109" s="405" t="s">
        <v>32102</v>
      </c>
      <c r="U9109" s="405" t="s">
        <v>319</v>
      </c>
    </row>
    <row r="9110" spans="1:21" hidden="1" x14ac:dyDescent="0.25">
      <c r="A9110" s="405" t="s">
        <v>310</v>
      </c>
      <c r="B9110" s="405" t="s">
        <v>9752</v>
      </c>
      <c r="C9110" s="405" t="s">
        <v>327</v>
      </c>
      <c r="D9110" s="405"/>
      <c r="E9110" s="410">
        <v>40445</v>
      </c>
      <c r="F9110" s="410">
        <v>40490</v>
      </c>
      <c r="G9110" s="405" t="s">
        <v>9753</v>
      </c>
      <c r="H9110" s="405">
        <v>778306163</v>
      </c>
      <c r="I9110" s="405"/>
      <c r="J9110" s="405">
        <v>1.2887900000000001</v>
      </c>
      <c r="K9110" s="405">
        <v>34.361238</v>
      </c>
      <c r="L9110" s="405" t="s">
        <v>6866</v>
      </c>
      <c r="M9110" s="405" t="s">
        <v>9550</v>
      </c>
      <c r="N9110" s="405" t="s">
        <v>9550</v>
      </c>
      <c r="O9110" s="405" t="s">
        <v>9754</v>
      </c>
      <c r="P9110" s="405" t="s">
        <v>9755</v>
      </c>
      <c r="Q9110" s="411">
        <v>6</v>
      </c>
      <c r="R9110" s="405" t="s">
        <v>7224</v>
      </c>
      <c r="S9110" s="405" t="s">
        <v>27303</v>
      </c>
      <c r="T9110" s="405" t="s">
        <v>32102</v>
      </c>
      <c r="U9110" s="405" t="s">
        <v>319</v>
      </c>
    </row>
    <row r="9111" spans="1:21" hidden="1" x14ac:dyDescent="0.25">
      <c r="A9111" s="405" t="s">
        <v>310</v>
      </c>
      <c r="B9111" s="405" t="s">
        <v>9732</v>
      </c>
      <c r="C9111" s="405" t="s">
        <v>327</v>
      </c>
      <c r="D9111" s="405"/>
      <c r="E9111" s="410">
        <v>40443</v>
      </c>
      <c r="F9111" s="410">
        <v>40488</v>
      </c>
      <c r="G9111" s="405" t="s">
        <v>9733</v>
      </c>
      <c r="H9111" s="405">
        <v>752960066</v>
      </c>
      <c r="I9111" s="405"/>
      <c r="J9111" s="405">
        <v>1.1146529999999999</v>
      </c>
      <c r="K9111" s="405">
        <v>34.169778000000001</v>
      </c>
      <c r="L9111" s="405" t="s">
        <v>6866</v>
      </c>
      <c r="M9111" s="405" t="s">
        <v>9514</v>
      </c>
      <c r="N9111" s="405" t="s">
        <v>9529</v>
      </c>
      <c r="O9111" s="405" t="s">
        <v>9608</v>
      </c>
      <c r="P9111" s="405" t="s">
        <v>9734</v>
      </c>
      <c r="Q9111" s="411">
        <v>6</v>
      </c>
      <c r="R9111" s="405" t="s">
        <v>333</v>
      </c>
      <c r="S9111" s="405" t="s">
        <v>17013</v>
      </c>
      <c r="T9111" s="405" t="s">
        <v>32102</v>
      </c>
      <c r="U9111" s="405" t="s">
        <v>319</v>
      </c>
    </row>
    <row r="9112" spans="1:21" hidden="1" x14ac:dyDescent="0.25">
      <c r="A9112" s="405" t="s">
        <v>310</v>
      </c>
      <c r="B9112" s="405" t="s">
        <v>27561</v>
      </c>
      <c r="C9112" s="405" t="s">
        <v>327</v>
      </c>
      <c r="D9112" s="405"/>
      <c r="E9112" s="410">
        <v>40441</v>
      </c>
      <c r="F9112" s="410">
        <v>40486</v>
      </c>
      <c r="G9112" s="405" t="s">
        <v>9716</v>
      </c>
      <c r="H9112" s="405">
        <v>792631062</v>
      </c>
      <c r="I9112" s="405"/>
      <c r="J9112" s="405">
        <v>1.0406500000000001</v>
      </c>
      <c r="K9112" s="405">
        <v>34.181764999999999</v>
      </c>
      <c r="L9112" s="405" t="s">
        <v>6866</v>
      </c>
      <c r="M9112" s="405" t="s">
        <v>9514</v>
      </c>
      <c r="N9112" s="405" t="s">
        <v>9529</v>
      </c>
      <c r="O9112" s="405" t="s">
        <v>9714</v>
      </c>
      <c r="P9112" s="405" t="s">
        <v>9715</v>
      </c>
      <c r="Q9112" s="411">
        <v>6</v>
      </c>
      <c r="R9112" s="405" t="s">
        <v>333</v>
      </c>
      <c r="S9112" s="405" t="s">
        <v>27304</v>
      </c>
      <c r="T9112" s="405" t="s">
        <v>32102</v>
      </c>
      <c r="U9112" s="405" t="s">
        <v>319</v>
      </c>
    </row>
    <row r="9113" spans="1:21" hidden="1" x14ac:dyDescent="0.25">
      <c r="A9113" s="405" t="s">
        <v>310</v>
      </c>
      <c r="B9113" s="405" t="s">
        <v>27644</v>
      </c>
      <c r="C9113" s="405" t="s">
        <v>327</v>
      </c>
      <c r="D9113" s="405"/>
      <c r="E9113" s="410">
        <v>40441</v>
      </c>
      <c r="F9113" s="410">
        <v>40486</v>
      </c>
      <c r="G9113" s="405" t="s">
        <v>9708</v>
      </c>
      <c r="H9113" s="405">
        <v>783552782</v>
      </c>
      <c r="I9113" s="405"/>
      <c r="J9113" s="405">
        <v>1.3604270000000001</v>
      </c>
      <c r="K9113" s="405">
        <v>34.387523000000002</v>
      </c>
      <c r="L9113" s="405" t="s">
        <v>6866</v>
      </c>
      <c r="M9113" s="405" t="s">
        <v>9685</v>
      </c>
      <c r="N9113" s="405" t="s">
        <v>9686</v>
      </c>
      <c r="O9113" s="405" t="s">
        <v>9709</v>
      </c>
      <c r="P9113" s="405" t="s">
        <v>9710</v>
      </c>
      <c r="Q9113" s="411">
        <v>6</v>
      </c>
      <c r="R9113" s="405" t="s">
        <v>9541</v>
      </c>
      <c r="S9113" s="405" t="s">
        <v>27302</v>
      </c>
      <c r="T9113" s="405" t="s">
        <v>32102</v>
      </c>
      <c r="U9113" s="405" t="s">
        <v>319</v>
      </c>
    </row>
    <row r="9114" spans="1:21" hidden="1" x14ac:dyDescent="0.25">
      <c r="A9114" s="405" t="s">
        <v>310</v>
      </c>
      <c r="B9114" s="405" t="s">
        <v>28070</v>
      </c>
      <c r="C9114" s="405" t="s">
        <v>311</v>
      </c>
      <c r="D9114" s="405" t="s">
        <v>312</v>
      </c>
      <c r="E9114" s="410">
        <v>40441</v>
      </c>
      <c r="F9114" s="410">
        <v>40486</v>
      </c>
      <c r="G9114" s="405" t="s">
        <v>10235</v>
      </c>
      <c r="H9114" s="405">
        <v>775140909</v>
      </c>
      <c r="I9114" s="405"/>
      <c r="J9114" s="405">
        <v>1.0841620000000001</v>
      </c>
      <c r="K9114" s="405">
        <v>34.185229999999997</v>
      </c>
      <c r="L9114" s="405" t="s">
        <v>6866</v>
      </c>
      <c r="M9114" s="405" t="s">
        <v>9514</v>
      </c>
      <c r="N9114" s="405" t="s">
        <v>10236</v>
      </c>
      <c r="O9114" s="405" t="s">
        <v>10237</v>
      </c>
      <c r="P9114" s="405" t="s">
        <v>10238</v>
      </c>
      <c r="Q9114" s="411">
        <v>6</v>
      </c>
      <c r="R9114" s="405" t="s">
        <v>333</v>
      </c>
      <c r="S9114" s="405" t="s">
        <v>27308</v>
      </c>
      <c r="T9114" s="405" t="s">
        <v>32102</v>
      </c>
      <c r="U9114" s="405" t="s">
        <v>319</v>
      </c>
    </row>
    <row r="9115" spans="1:21" hidden="1" x14ac:dyDescent="0.25">
      <c r="A9115" s="405" t="s">
        <v>310</v>
      </c>
      <c r="B9115" s="405" t="s">
        <v>9772</v>
      </c>
      <c r="C9115" s="405" t="s">
        <v>327</v>
      </c>
      <c r="D9115" s="405"/>
      <c r="E9115" s="410">
        <v>40441</v>
      </c>
      <c r="F9115" s="410">
        <v>40486</v>
      </c>
      <c r="G9115" s="405" t="s">
        <v>9773</v>
      </c>
      <c r="H9115" s="405">
        <v>772574913</v>
      </c>
      <c r="I9115" s="405"/>
      <c r="J9115" s="405">
        <v>0.47613699999999998</v>
      </c>
      <c r="K9115" s="405">
        <v>33.348467999999997</v>
      </c>
      <c r="L9115" s="405" t="s">
        <v>6866</v>
      </c>
      <c r="M9115" s="405" t="s">
        <v>5411</v>
      </c>
      <c r="N9115" s="405" t="s">
        <v>9774</v>
      </c>
      <c r="O9115" s="405" t="s">
        <v>9775</v>
      </c>
      <c r="P9115" s="405" t="s">
        <v>9776</v>
      </c>
      <c r="Q9115" s="411">
        <v>6</v>
      </c>
      <c r="R9115" s="405" t="s">
        <v>318</v>
      </c>
      <c r="S9115" s="405" t="s">
        <v>27134</v>
      </c>
      <c r="T9115" s="405" t="s">
        <v>32102</v>
      </c>
      <c r="U9115" s="405" t="s">
        <v>319</v>
      </c>
    </row>
    <row r="9116" spans="1:21" hidden="1" x14ac:dyDescent="0.25">
      <c r="A9116" s="405" t="s">
        <v>310</v>
      </c>
      <c r="B9116" s="405" t="s">
        <v>28651</v>
      </c>
      <c r="C9116" s="405" t="s">
        <v>327</v>
      </c>
      <c r="D9116" s="405"/>
      <c r="E9116" s="410">
        <v>40441</v>
      </c>
      <c r="F9116" s="410">
        <v>40486</v>
      </c>
      <c r="G9116" s="405" t="s">
        <v>614</v>
      </c>
      <c r="H9116" s="405">
        <v>782516331</v>
      </c>
      <c r="I9116" s="405"/>
      <c r="J9116" s="405">
        <v>0.36372670000000001</v>
      </c>
      <c r="K9116" s="405">
        <v>32.736312099999999</v>
      </c>
      <c r="L9116" s="405" t="s">
        <v>314</v>
      </c>
      <c r="M9116" s="405" t="s">
        <v>329</v>
      </c>
      <c r="N9116" s="405" t="s">
        <v>330</v>
      </c>
      <c r="O9116" s="405" t="s">
        <v>615</v>
      </c>
      <c r="P9116" s="405" t="s">
        <v>455</v>
      </c>
      <c r="Q9116" s="411">
        <v>6</v>
      </c>
      <c r="R9116" s="405" t="s">
        <v>353</v>
      </c>
      <c r="S9116" s="405" t="s">
        <v>27106</v>
      </c>
      <c r="T9116" s="405" t="s">
        <v>32102</v>
      </c>
      <c r="U9116" s="405" t="s">
        <v>319</v>
      </c>
    </row>
    <row r="9117" spans="1:21" hidden="1" x14ac:dyDescent="0.25">
      <c r="A9117" s="405" t="s">
        <v>310</v>
      </c>
      <c r="B9117" s="405" t="s">
        <v>9759</v>
      </c>
      <c r="C9117" s="405" t="s">
        <v>327</v>
      </c>
      <c r="D9117" s="405"/>
      <c r="E9117" s="410">
        <v>40441</v>
      </c>
      <c r="F9117" s="410">
        <v>40486</v>
      </c>
      <c r="G9117" s="405" t="s">
        <v>9760</v>
      </c>
      <c r="H9117" s="405">
        <v>751325189</v>
      </c>
      <c r="I9117" s="405"/>
      <c r="J9117" s="405">
        <v>1.3872139999999999</v>
      </c>
      <c r="K9117" s="405">
        <v>34.487113999999998</v>
      </c>
      <c r="L9117" s="405" t="s">
        <v>6866</v>
      </c>
      <c r="M9117" s="405" t="s">
        <v>9705</v>
      </c>
      <c r="N9117" s="405" t="s">
        <v>9705</v>
      </c>
      <c r="O9117" s="405" t="s">
        <v>9706</v>
      </c>
      <c r="P9117" s="405" t="s">
        <v>9707</v>
      </c>
      <c r="Q9117" s="411">
        <v>6</v>
      </c>
      <c r="R9117" s="405" t="s">
        <v>333</v>
      </c>
      <c r="S9117" s="405" t="s">
        <v>27107</v>
      </c>
      <c r="T9117" s="405" t="s">
        <v>32102</v>
      </c>
      <c r="U9117" s="405" t="s">
        <v>319</v>
      </c>
    </row>
    <row r="9118" spans="1:21" hidden="1" x14ac:dyDescent="0.25">
      <c r="A9118" s="405" t="s">
        <v>310</v>
      </c>
      <c r="B9118" s="413" t="s">
        <v>28312</v>
      </c>
      <c r="C9118" s="413" t="s">
        <v>311</v>
      </c>
      <c r="D9118" s="419" t="s">
        <v>33083</v>
      </c>
      <c r="E9118" s="418">
        <v>40439</v>
      </c>
      <c r="F9118" s="418">
        <v>40484</v>
      </c>
      <c r="G9118" s="413" t="s">
        <v>10220</v>
      </c>
      <c r="H9118" s="405">
        <v>782586430</v>
      </c>
      <c r="I9118" s="405"/>
      <c r="J9118" s="405">
        <v>0.951353</v>
      </c>
      <c r="K9118" s="405">
        <v>34.160215000000001</v>
      </c>
      <c r="L9118" s="405" t="s">
        <v>6866</v>
      </c>
      <c r="M9118" s="405" t="s">
        <v>9514</v>
      </c>
      <c r="N9118" s="405" t="s">
        <v>9529</v>
      </c>
      <c r="O9118" s="405" t="s">
        <v>9603</v>
      </c>
      <c r="P9118" s="405" t="s">
        <v>10221</v>
      </c>
      <c r="Q9118" s="411">
        <v>6</v>
      </c>
      <c r="R9118" s="405" t="s">
        <v>333</v>
      </c>
      <c r="S9118" s="405" t="s">
        <v>27127</v>
      </c>
      <c r="T9118" s="405" t="s">
        <v>32102</v>
      </c>
      <c r="U9118" s="405" t="s">
        <v>319</v>
      </c>
    </row>
    <row r="9119" spans="1:21" hidden="1" x14ac:dyDescent="0.25">
      <c r="A9119" s="405" t="s">
        <v>310</v>
      </c>
      <c r="B9119" s="405" t="s">
        <v>9756</v>
      </c>
      <c r="C9119" s="405" t="s">
        <v>327</v>
      </c>
      <c r="D9119" s="405"/>
      <c r="E9119" s="410">
        <v>40439</v>
      </c>
      <c r="F9119" s="410">
        <v>40484</v>
      </c>
      <c r="G9119" s="405" t="s">
        <v>9757</v>
      </c>
      <c r="H9119" s="405">
        <v>785380441</v>
      </c>
      <c r="I9119" s="405"/>
      <c r="J9119" s="405">
        <v>1.288753</v>
      </c>
      <c r="K9119" s="405">
        <v>34.367662000000003</v>
      </c>
      <c r="L9119" s="405" t="s">
        <v>6866</v>
      </c>
      <c r="M9119" s="405" t="s">
        <v>9550</v>
      </c>
      <c r="N9119" s="405" t="s">
        <v>9550</v>
      </c>
      <c r="O9119" s="405" t="s">
        <v>9754</v>
      </c>
      <c r="P9119" s="405" t="s">
        <v>9758</v>
      </c>
      <c r="Q9119" s="411">
        <v>6</v>
      </c>
      <c r="R9119" s="405" t="s">
        <v>7224</v>
      </c>
      <c r="S9119" s="405" t="s">
        <v>27074</v>
      </c>
      <c r="T9119" s="405" t="s">
        <v>32102</v>
      </c>
      <c r="U9119" s="405" t="s">
        <v>319</v>
      </c>
    </row>
    <row r="9120" spans="1:21" hidden="1" x14ac:dyDescent="0.25">
      <c r="A9120" s="405" t="s">
        <v>310</v>
      </c>
      <c r="B9120" s="405" t="s">
        <v>9727</v>
      </c>
      <c r="C9120" s="405" t="s">
        <v>327</v>
      </c>
      <c r="D9120" s="405"/>
      <c r="E9120" s="410">
        <v>40439</v>
      </c>
      <c r="F9120" s="410">
        <v>40484</v>
      </c>
      <c r="G9120" s="405" t="s">
        <v>9728</v>
      </c>
      <c r="H9120" s="405">
        <v>788224017</v>
      </c>
      <c r="I9120" s="405"/>
      <c r="J9120" s="405">
        <v>0.96771700000000005</v>
      </c>
      <c r="K9120" s="405">
        <v>34.171652999999999</v>
      </c>
      <c r="L9120" s="405" t="s">
        <v>6866</v>
      </c>
      <c r="M9120" s="405" t="s">
        <v>9514</v>
      </c>
      <c r="N9120" s="405" t="s">
        <v>9529</v>
      </c>
      <c r="O9120" s="405" t="s">
        <v>9603</v>
      </c>
      <c r="P9120" s="405" t="s">
        <v>9729</v>
      </c>
      <c r="Q9120" s="411">
        <v>6</v>
      </c>
      <c r="R9120" s="405" t="s">
        <v>333</v>
      </c>
      <c r="S9120" s="405" t="s">
        <v>27127</v>
      </c>
      <c r="T9120" s="405" t="s">
        <v>32102</v>
      </c>
      <c r="U9120" s="405" t="s">
        <v>319</v>
      </c>
    </row>
    <row r="9121" spans="1:21" hidden="1" x14ac:dyDescent="0.25">
      <c r="A9121" s="405" t="s">
        <v>310</v>
      </c>
      <c r="B9121" s="405" t="s">
        <v>9744</v>
      </c>
      <c r="C9121" s="405" t="s">
        <v>327</v>
      </c>
      <c r="D9121" s="405"/>
      <c r="E9121" s="410">
        <v>40439</v>
      </c>
      <c r="F9121" s="410">
        <v>40484</v>
      </c>
      <c r="G9121" s="405" t="s">
        <v>9745</v>
      </c>
      <c r="H9121" s="405">
        <v>783373834</v>
      </c>
      <c r="I9121" s="405"/>
      <c r="J9121" s="405">
        <v>1.2629999999999999</v>
      </c>
      <c r="K9121" s="405">
        <v>34.374090000000002</v>
      </c>
      <c r="L9121" s="405" t="s">
        <v>6866</v>
      </c>
      <c r="M9121" s="405" t="s">
        <v>9550</v>
      </c>
      <c r="N9121" s="405" t="s">
        <v>9550</v>
      </c>
      <c r="O9121" s="405" t="s">
        <v>9746</v>
      </c>
      <c r="P9121" s="405" t="s">
        <v>9747</v>
      </c>
      <c r="Q9121" s="411">
        <v>6</v>
      </c>
      <c r="R9121" s="405" t="s">
        <v>333</v>
      </c>
      <c r="S9121" s="405" t="s">
        <v>27297</v>
      </c>
      <c r="T9121" s="405" t="s">
        <v>32102</v>
      </c>
      <c r="U9121" s="405" t="s">
        <v>319</v>
      </c>
    </row>
    <row r="9122" spans="1:21" hidden="1" x14ac:dyDescent="0.25">
      <c r="A9122" s="405" t="s">
        <v>310</v>
      </c>
      <c r="B9122" s="405" t="s">
        <v>19760</v>
      </c>
      <c r="C9122" s="405" t="s">
        <v>327</v>
      </c>
      <c r="D9122" s="405"/>
      <c r="E9122" s="410">
        <v>40438</v>
      </c>
      <c r="F9122" s="410">
        <v>40483</v>
      </c>
      <c r="G9122" s="405" t="s">
        <v>19761</v>
      </c>
      <c r="H9122" s="405">
        <v>782291879</v>
      </c>
      <c r="I9122" s="405"/>
      <c r="J9122" s="405">
        <v>1.7265265000000001</v>
      </c>
      <c r="K9122" s="405">
        <v>31.7117255</v>
      </c>
      <c r="L9122" s="405" t="s">
        <v>590</v>
      </c>
      <c r="M9122" s="405" t="s">
        <v>19608</v>
      </c>
      <c r="N9122" s="405" t="s">
        <v>19762</v>
      </c>
      <c r="O9122" s="405" t="s">
        <v>4147</v>
      </c>
      <c r="P9122" s="405" t="s">
        <v>19763</v>
      </c>
      <c r="Q9122" s="411">
        <v>9</v>
      </c>
      <c r="R9122" s="405" t="s">
        <v>318</v>
      </c>
      <c r="S9122" s="405" t="s">
        <v>27126</v>
      </c>
      <c r="T9122" s="405" t="s">
        <v>32102</v>
      </c>
      <c r="U9122" s="405" t="s">
        <v>319</v>
      </c>
    </row>
    <row r="9123" spans="1:21" hidden="1" x14ac:dyDescent="0.25">
      <c r="A9123" s="405" t="s">
        <v>310</v>
      </c>
      <c r="B9123" s="405" t="s">
        <v>28607</v>
      </c>
      <c r="C9123" s="405" t="s">
        <v>311</v>
      </c>
      <c r="D9123" s="405" t="s">
        <v>1013</v>
      </c>
      <c r="E9123" s="410">
        <v>40436</v>
      </c>
      <c r="F9123" s="410">
        <v>40481</v>
      </c>
      <c r="G9123" s="405" t="s">
        <v>10176</v>
      </c>
      <c r="H9123" s="405">
        <v>782595505</v>
      </c>
      <c r="I9123" s="405"/>
      <c r="J9123" s="405">
        <v>0.95084999999999997</v>
      </c>
      <c r="K9123" s="405">
        <v>34.164741999999997</v>
      </c>
      <c r="L9123" s="405" t="s">
        <v>6866</v>
      </c>
      <c r="M9123" s="405" t="s">
        <v>9514</v>
      </c>
      <c r="N9123" s="405" t="s">
        <v>9529</v>
      </c>
      <c r="O9123" s="405" t="s">
        <v>9603</v>
      </c>
      <c r="P9123" s="405" t="s">
        <v>9603</v>
      </c>
      <c r="Q9123" s="411">
        <v>6</v>
      </c>
      <c r="R9123" s="405" t="s">
        <v>333</v>
      </c>
      <c r="S9123" s="405" t="s">
        <v>27127</v>
      </c>
      <c r="T9123" s="405" t="s">
        <v>32102</v>
      </c>
      <c r="U9123" s="405" t="s">
        <v>319</v>
      </c>
    </row>
    <row r="9124" spans="1:21" hidden="1" x14ac:dyDescent="0.25">
      <c r="A9124" s="405" t="s">
        <v>310</v>
      </c>
      <c r="B9124" s="405" t="s">
        <v>27689</v>
      </c>
      <c r="C9124" s="405" t="s">
        <v>327</v>
      </c>
      <c r="D9124" s="405"/>
      <c r="E9124" s="410">
        <v>40435</v>
      </c>
      <c r="F9124" s="410">
        <v>40480</v>
      </c>
      <c r="G9124" s="405" t="s">
        <v>9682</v>
      </c>
      <c r="H9124" s="405">
        <v>778765343</v>
      </c>
      <c r="I9124" s="405">
        <v>772550522</v>
      </c>
      <c r="J9124" s="405">
        <v>1.160695</v>
      </c>
      <c r="K9124" s="405">
        <v>34.203198</v>
      </c>
      <c r="L9124" s="405" t="s">
        <v>6866</v>
      </c>
      <c r="M9124" s="405" t="s">
        <v>9514</v>
      </c>
      <c r="N9124" s="405" t="s">
        <v>9529</v>
      </c>
      <c r="O9124" s="405" t="s">
        <v>9530</v>
      </c>
      <c r="P9124" s="405" t="s">
        <v>9683</v>
      </c>
      <c r="Q9124" s="411">
        <v>6</v>
      </c>
      <c r="R9124" s="405" t="s">
        <v>333</v>
      </c>
      <c r="S9124" s="405" t="s">
        <v>27303</v>
      </c>
      <c r="T9124" s="405" t="s">
        <v>32102</v>
      </c>
      <c r="U9124" s="405" t="s">
        <v>319</v>
      </c>
    </row>
    <row r="9125" spans="1:21" hidden="1" x14ac:dyDescent="0.25">
      <c r="A9125" s="405" t="s">
        <v>310</v>
      </c>
      <c r="B9125" s="405" t="s">
        <v>588</v>
      </c>
      <c r="C9125" s="405" t="s">
        <v>327</v>
      </c>
      <c r="D9125" s="405"/>
      <c r="E9125" s="410">
        <v>40433</v>
      </c>
      <c r="F9125" s="410">
        <v>40478</v>
      </c>
      <c r="G9125" s="405" t="s">
        <v>589</v>
      </c>
      <c r="H9125" s="405">
        <v>774034985</v>
      </c>
      <c r="I9125" s="405"/>
      <c r="J9125" s="405">
        <v>1.9620280000000001</v>
      </c>
      <c r="K9125" s="405">
        <v>32.120216999999997</v>
      </c>
      <c r="L9125" s="405" t="s">
        <v>590</v>
      </c>
      <c r="M9125" s="405" t="s">
        <v>591</v>
      </c>
      <c r="N9125" s="405" t="s">
        <v>592</v>
      </c>
      <c r="O9125" s="405" t="s">
        <v>593</v>
      </c>
      <c r="P9125" s="405" t="s">
        <v>594</v>
      </c>
      <c r="Q9125" s="411">
        <v>12</v>
      </c>
      <c r="R9125" s="405" t="s">
        <v>32483</v>
      </c>
      <c r="S9125" s="405" t="s">
        <v>27125</v>
      </c>
      <c r="T9125" s="405" t="s">
        <v>32102</v>
      </c>
      <c r="U9125" s="405" t="s">
        <v>319</v>
      </c>
    </row>
    <row r="9126" spans="1:21" hidden="1" x14ac:dyDescent="0.25">
      <c r="A9126" s="405" t="s">
        <v>310</v>
      </c>
      <c r="B9126" s="405" t="s">
        <v>19753</v>
      </c>
      <c r="C9126" s="405" t="s">
        <v>327</v>
      </c>
      <c r="D9126" s="405"/>
      <c r="E9126" s="410">
        <v>40433</v>
      </c>
      <c r="F9126" s="410">
        <v>40478</v>
      </c>
      <c r="G9126" s="405" t="s">
        <v>19754</v>
      </c>
      <c r="H9126" s="405">
        <v>772492004</v>
      </c>
      <c r="I9126" s="405"/>
      <c r="J9126" s="405">
        <v>-0.16889399999999999</v>
      </c>
      <c r="K9126" s="405">
        <v>30.478493</v>
      </c>
      <c r="L9126" s="405" t="s">
        <v>590</v>
      </c>
      <c r="M9126" s="405" t="s">
        <v>870</v>
      </c>
      <c r="N9126" s="405" t="s">
        <v>19755</v>
      </c>
      <c r="O9126" s="405" t="s">
        <v>19743</v>
      </c>
      <c r="P9126" s="405" t="s">
        <v>19756</v>
      </c>
      <c r="Q9126" s="411">
        <v>12</v>
      </c>
      <c r="R9126" s="405" t="s">
        <v>883</v>
      </c>
      <c r="S9126" s="405" t="s">
        <v>27183</v>
      </c>
      <c r="T9126" s="405" t="s">
        <v>32102</v>
      </c>
      <c r="U9126" s="405" t="s">
        <v>319</v>
      </c>
    </row>
    <row r="9127" spans="1:21" hidden="1" x14ac:dyDescent="0.25">
      <c r="A9127" s="405" t="s">
        <v>310</v>
      </c>
      <c r="B9127" s="405" t="s">
        <v>27585</v>
      </c>
      <c r="C9127" s="405" t="s">
        <v>327</v>
      </c>
      <c r="D9127" s="405"/>
      <c r="E9127" s="410">
        <v>40433</v>
      </c>
      <c r="F9127" s="410">
        <v>40478</v>
      </c>
      <c r="G9127" s="405" t="s">
        <v>584</v>
      </c>
      <c r="H9127" s="405">
        <v>704342105</v>
      </c>
      <c r="I9127" s="405">
        <v>777804331</v>
      </c>
      <c r="J9127" s="405">
        <v>0.34627599999999997</v>
      </c>
      <c r="K9127" s="405">
        <v>32.762774</v>
      </c>
      <c r="L9127" s="405" t="s">
        <v>314</v>
      </c>
      <c r="M9127" s="405" t="s">
        <v>329</v>
      </c>
      <c r="N9127" s="405" t="s">
        <v>330</v>
      </c>
      <c r="O9127" s="405" t="s">
        <v>331</v>
      </c>
      <c r="P9127" s="405" t="s">
        <v>508</v>
      </c>
      <c r="Q9127" s="411">
        <v>6</v>
      </c>
      <c r="R9127" s="405" t="s">
        <v>353</v>
      </c>
      <c r="S9127" s="405" t="s">
        <v>27106</v>
      </c>
      <c r="T9127" s="405" t="s">
        <v>32102</v>
      </c>
      <c r="U9127" s="405" t="s">
        <v>319</v>
      </c>
    </row>
    <row r="9128" spans="1:21" hidden="1" x14ac:dyDescent="0.25">
      <c r="A9128" s="405" t="s">
        <v>310</v>
      </c>
      <c r="B9128" s="405" t="s">
        <v>9696</v>
      </c>
      <c r="C9128" s="405" t="s">
        <v>327</v>
      </c>
      <c r="D9128" s="405"/>
      <c r="E9128" s="410">
        <v>40432</v>
      </c>
      <c r="F9128" s="410">
        <v>40477</v>
      </c>
      <c r="G9128" s="405" t="s">
        <v>9697</v>
      </c>
      <c r="H9128" s="405">
        <v>775235543</v>
      </c>
      <c r="I9128" s="405"/>
      <c r="J9128" s="405">
        <v>1.031717</v>
      </c>
      <c r="K9128" s="405">
        <v>34.172427999999996</v>
      </c>
      <c r="L9128" s="405" t="s">
        <v>6866</v>
      </c>
      <c r="M9128" s="405" t="s">
        <v>9514</v>
      </c>
      <c r="N9128" s="405" t="s">
        <v>9529</v>
      </c>
      <c r="O9128" s="405" t="s">
        <v>9571</v>
      </c>
      <c r="P9128" s="405" t="s">
        <v>9698</v>
      </c>
      <c r="Q9128" s="411">
        <v>6</v>
      </c>
      <c r="R9128" s="405" t="s">
        <v>333</v>
      </c>
      <c r="S9128" s="405" t="s">
        <v>27300</v>
      </c>
      <c r="T9128" s="405" t="s">
        <v>32102</v>
      </c>
      <c r="U9128" s="405" t="s">
        <v>319</v>
      </c>
    </row>
    <row r="9129" spans="1:21" hidden="1" x14ac:dyDescent="0.25">
      <c r="A9129" s="405" t="s">
        <v>310</v>
      </c>
      <c r="B9129" s="405" t="s">
        <v>9703</v>
      </c>
      <c r="C9129" s="405" t="s">
        <v>327</v>
      </c>
      <c r="D9129" s="405"/>
      <c r="E9129" s="410">
        <v>40430</v>
      </c>
      <c r="F9129" s="410">
        <v>40475</v>
      </c>
      <c r="G9129" s="405" t="s">
        <v>9704</v>
      </c>
      <c r="H9129" s="405">
        <v>772379636</v>
      </c>
      <c r="I9129" s="405"/>
      <c r="J9129" s="405">
        <v>1.38696</v>
      </c>
      <c r="K9129" s="405">
        <v>34.487872000000003</v>
      </c>
      <c r="L9129" s="405" t="s">
        <v>6866</v>
      </c>
      <c r="M9129" s="405" t="s">
        <v>9705</v>
      </c>
      <c r="N9129" s="405" t="s">
        <v>9705</v>
      </c>
      <c r="O9129" s="405" t="s">
        <v>9706</v>
      </c>
      <c r="P9129" s="405" t="s">
        <v>9707</v>
      </c>
      <c r="Q9129" s="411">
        <v>9</v>
      </c>
      <c r="R9129" s="405" t="s">
        <v>333</v>
      </c>
      <c r="S9129" s="405" t="s">
        <v>27107</v>
      </c>
      <c r="T9129" s="405" t="s">
        <v>32102</v>
      </c>
      <c r="U9129" s="405" t="s">
        <v>319</v>
      </c>
    </row>
    <row r="9130" spans="1:21" hidden="1" x14ac:dyDescent="0.25">
      <c r="A9130" s="405" t="s">
        <v>310</v>
      </c>
      <c r="B9130" s="405" t="s">
        <v>9689</v>
      </c>
      <c r="C9130" s="405" t="s">
        <v>327</v>
      </c>
      <c r="D9130" s="405"/>
      <c r="E9130" s="410">
        <v>40430</v>
      </c>
      <c r="F9130" s="410">
        <v>40475</v>
      </c>
      <c r="G9130" s="405" t="s">
        <v>9690</v>
      </c>
      <c r="H9130" s="405">
        <v>773086221</v>
      </c>
      <c r="I9130" s="405"/>
      <c r="J9130" s="405">
        <v>1.3054220000000001</v>
      </c>
      <c r="K9130" s="405">
        <v>34.289392999999997</v>
      </c>
      <c r="L9130" s="405" t="s">
        <v>6866</v>
      </c>
      <c r="M9130" s="405" t="s">
        <v>9550</v>
      </c>
      <c r="N9130" s="405" t="s">
        <v>9639</v>
      </c>
      <c r="O9130" s="405" t="s">
        <v>9639</v>
      </c>
      <c r="P9130" s="405" t="s">
        <v>9691</v>
      </c>
      <c r="Q9130" s="411">
        <v>6</v>
      </c>
      <c r="R9130" s="405" t="s">
        <v>32478</v>
      </c>
      <c r="S9130" s="405" t="s">
        <v>27304</v>
      </c>
      <c r="T9130" s="405" t="s">
        <v>32102</v>
      </c>
      <c r="U9130" s="405" t="s">
        <v>319</v>
      </c>
    </row>
    <row r="9131" spans="1:21" hidden="1" x14ac:dyDescent="0.25">
      <c r="A9131" s="405" t="s">
        <v>310</v>
      </c>
      <c r="B9131" s="405" t="s">
        <v>28915</v>
      </c>
      <c r="C9131" s="405" t="s">
        <v>327</v>
      </c>
      <c r="D9131" s="405"/>
      <c r="E9131" s="410">
        <v>40421</v>
      </c>
      <c r="F9131" s="410">
        <v>40466</v>
      </c>
      <c r="G9131" s="405" t="s">
        <v>583</v>
      </c>
      <c r="H9131" s="405">
        <v>772436643</v>
      </c>
      <c r="I9131" s="405">
        <v>700336766</v>
      </c>
      <c r="J9131" s="405">
        <v>0.35445100000000002</v>
      </c>
      <c r="K9131" s="405">
        <v>32.776687000000003</v>
      </c>
      <c r="L9131" s="405" t="s">
        <v>314</v>
      </c>
      <c r="M9131" s="405" t="s">
        <v>329</v>
      </c>
      <c r="N9131" s="405" t="s">
        <v>330</v>
      </c>
      <c r="O9131" s="405" t="s">
        <v>331</v>
      </c>
      <c r="P9131" s="405" t="s">
        <v>547</v>
      </c>
      <c r="Q9131" s="411">
        <v>12</v>
      </c>
      <c r="R9131" s="405" t="s">
        <v>353</v>
      </c>
      <c r="S9131" s="405" t="s">
        <v>27110</v>
      </c>
      <c r="T9131" s="405" t="s">
        <v>32102</v>
      </c>
      <c r="U9131" s="405" t="s">
        <v>319</v>
      </c>
    </row>
    <row r="9132" spans="1:21" hidden="1" x14ac:dyDescent="0.25">
      <c r="A9132" s="405" t="s">
        <v>310</v>
      </c>
      <c r="B9132" s="405" t="s">
        <v>27639</v>
      </c>
      <c r="C9132" s="405" t="s">
        <v>327</v>
      </c>
      <c r="D9132" s="405"/>
      <c r="E9132" s="410">
        <v>40421</v>
      </c>
      <c r="F9132" s="410">
        <v>40466</v>
      </c>
      <c r="G9132" s="405" t="s">
        <v>9684</v>
      </c>
      <c r="H9132" s="405">
        <v>772427880</v>
      </c>
      <c r="I9132" s="405"/>
      <c r="J9132" s="405">
        <v>1.3583179999999999</v>
      </c>
      <c r="K9132" s="405">
        <v>34.416111999999998</v>
      </c>
      <c r="L9132" s="405" t="s">
        <v>6866</v>
      </c>
      <c r="M9132" s="405" t="s">
        <v>9685</v>
      </c>
      <c r="N9132" s="405" t="s">
        <v>9686</v>
      </c>
      <c r="O9132" s="405" t="s">
        <v>9687</v>
      </c>
      <c r="P9132" s="405" t="s">
        <v>9688</v>
      </c>
      <c r="Q9132" s="411">
        <v>6</v>
      </c>
      <c r="R9132" s="405" t="s">
        <v>9541</v>
      </c>
      <c r="S9132" s="405" t="s">
        <v>27296</v>
      </c>
      <c r="T9132" s="405" t="s">
        <v>32102</v>
      </c>
      <c r="U9132" s="405" t="s">
        <v>319</v>
      </c>
    </row>
    <row r="9133" spans="1:21" hidden="1" x14ac:dyDescent="0.25">
      <c r="A9133" s="405" t="s">
        <v>310</v>
      </c>
      <c r="B9133" s="405" t="s">
        <v>27858</v>
      </c>
      <c r="C9133" s="405" t="s">
        <v>311</v>
      </c>
      <c r="D9133" s="405" t="s">
        <v>839</v>
      </c>
      <c r="E9133" s="410">
        <v>40421</v>
      </c>
      <c r="F9133" s="410">
        <v>40466</v>
      </c>
      <c r="G9133" s="405" t="s">
        <v>1222</v>
      </c>
      <c r="H9133" s="405">
        <v>772933152</v>
      </c>
      <c r="I9133" s="405"/>
      <c r="J9133" s="405">
        <v>0.47582000000000002</v>
      </c>
      <c r="K9133" s="405">
        <v>32.715843</v>
      </c>
      <c r="L9133" s="405" t="s">
        <v>314</v>
      </c>
      <c r="M9133" s="405" t="s">
        <v>329</v>
      </c>
      <c r="N9133" s="405" t="s">
        <v>545</v>
      </c>
      <c r="O9133" s="405" t="s">
        <v>336</v>
      </c>
      <c r="P9133" s="405" t="s">
        <v>587</v>
      </c>
      <c r="Q9133" s="411">
        <v>6</v>
      </c>
      <c r="R9133" s="405" t="s">
        <v>318</v>
      </c>
      <c r="S9133" s="405" t="s">
        <v>27149</v>
      </c>
      <c r="T9133" s="405" t="s">
        <v>32102</v>
      </c>
      <c r="U9133" s="405" t="s">
        <v>319</v>
      </c>
    </row>
    <row r="9134" spans="1:21" hidden="1" x14ac:dyDescent="0.25">
      <c r="A9134" s="405" t="s">
        <v>310</v>
      </c>
      <c r="B9134" s="405" t="s">
        <v>585</v>
      </c>
      <c r="C9134" s="405" t="s">
        <v>327</v>
      </c>
      <c r="D9134" s="405"/>
      <c r="E9134" s="410">
        <v>40421</v>
      </c>
      <c r="F9134" s="410">
        <v>40466</v>
      </c>
      <c r="G9134" s="405" t="s">
        <v>586</v>
      </c>
      <c r="H9134" s="405">
        <v>779613641</v>
      </c>
      <c r="I9134" s="405"/>
      <c r="J9134" s="405">
        <v>0.47582000000000002</v>
      </c>
      <c r="K9134" s="405">
        <v>32.715843</v>
      </c>
      <c r="L9134" s="405" t="s">
        <v>314</v>
      </c>
      <c r="M9134" s="405" t="s">
        <v>329</v>
      </c>
      <c r="N9134" s="405" t="s">
        <v>545</v>
      </c>
      <c r="O9134" s="405" t="s">
        <v>336</v>
      </c>
      <c r="P9134" s="405" t="s">
        <v>587</v>
      </c>
      <c r="Q9134" s="411">
        <v>6</v>
      </c>
      <c r="R9134" s="405" t="s">
        <v>318</v>
      </c>
      <c r="S9134" s="405" t="s">
        <v>27148</v>
      </c>
      <c r="T9134" s="405" t="s">
        <v>32102</v>
      </c>
      <c r="U9134" s="405" t="s">
        <v>319</v>
      </c>
    </row>
    <row r="9135" spans="1:21" hidden="1" x14ac:dyDescent="0.25">
      <c r="A9135" s="405" t="s">
        <v>310</v>
      </c>
      <c r="B9135" s="405" t="s">
        <v>28896</v>
      </c>
      <c r="C9135" s="405" t="s">
        <v>327</v>
      </c>
      <c r="D9135" s="405"/>
      <c r="E9135" s="410">
        <v>40421</v>
      </c>
      <c r="F9135" s="410">
        <v>40466</v>
      </c>
      <c r="G9135" s="405" t="s">
        <v>595</v>
      </c>
      <c r="H9135" s="405">
        <v>775266408</v>
      </c>
      <c r="I9135" s="405"/>
      <c r="J9135" s="405">
        <v>0.46987666666666666</v>
      </c>
      <c r="K9135" s="405">
        <v>32.528838333333333</v>
      </c>
      <c r="L9135" s="405" t="s">
        <v>314</v>
      </c>
      <c r="M9135" s="405" t="s">
        <v>361</v>
      </c>
      <c r="N9135" s="405" t="s">
        <v>596</v>
      </c>
      <c r="O9135" s="405" t="s">
        <v>523</v>
      </c>
      <c r="P9135" s="405" t="s">
        <v>597</v>
      </c>
      <c r="Q9135" s="411">
        <v>6</v>
      </c>
      <c r="R9135" s="405" t="s">
        <v>353</v>
      </c>
      <c r="S9135" s="405" t="s">
        <v>27106</v>
      </c>
      <c r="T9135" s="405" t="s">
        <v>32102</v>
      </c>
      <c r="U9135" s="405" t="s">
        <v>319</v>
      </c>
    </row>
    <row r="9136" spans="1:21" hidden="1" x14ac:dyDescent="0.25">
      <c r="A9136" s="405" t="s">
        <v>310</v>
      </c>
      <c r="B9136" s="405" t="s">
        <v>27920</v>
      </c>
      <c r="C9136" s="405" t="s">
        <v>857</v>
      </c>
      <c r="D9136" s="405" t="s">
        <v>921</v>
      </c>
      <c r="E9136" s="410">
        <v>40414</v>
      </c>
      <c r="F9136" s="410">
        <v>40459</v>
      </c>
      <c r="G9136" s="405" t="s">
        <v>1231</v>
      </c>
      <c r="H9136" s="405">
        <v>772553048</v>
      </c>
      <c r="I9136" s="405"/>
      <c r="J9136" s="405">
        <v>0.42627959999999998</v>
      </c>
      <c r="K9136" s="405">
        <v>32.574214300000001</v>
      </c>
      <c r="L9136" s="405" t="s">
        <v>314</v>
      </c>
      <c r="M9136" s="405" t="s">
        <v>361</v>
      </c>
      <c r="N9136" s="405" t="s">
        <v>362</v>
      </c>
      <c r="O9136" s="405" t="s">
        <v>370</v>
      </c>
      <c r="P9136" s="405" t="s">
        <v>1232</v>
      </c>
      <c r="Q9136" s="411">
        <v>9</v>
      </c>
      <c r="R9136" s="405" t="s">
        <v>353</v>
      </c>
      <c r="S9136" s="405" t="s">
        <v>27114</v>
      </c>
      <c r="T9136" s="405" t="s">
        <v>32102</v>
      </c>
      <c r="U9136" s="405" t="s">
        <v>319</v>
      </c>
    </row>
    <row r="9137" spans="1:21" hidden="1" x14ac:dyDescent="0.25">
      <c r="A9137" s="405" t="s">
        <v>310</v>
      </c>
      <c r="B9137" s="405" t="s">
        <v>28842</v>
      </c>
      <c r="C9137" s="405" t="s">
        <v>327</v>
      </c>
      <c r="D9137" s="405"/>
      <c r="E9137" s="410">
        <v>40410</v>
      </c>
      <c r="F9137" s="410">
        <v>40455</v>
      </c>
      <c r="G9137" s="405" t="s">
        <v>19750</v>
      </c>
      <c r="H9137" s="405">
        <v>772674291</v>
      </c>
      <c r="I9137" s="405"/>
      <c r="J9137" s="405">
        <v>-0.55546700000000004</v>
      </c>
      <c r="K9137" s="405">
        <v>30.160648999999999</v>
      </c>
      <c r="L9137" s="405" t="s">
        <v>590</v>
      </c>
      <c r="M9137" s="405" t="s">
        <v>19625</v>
      </c>
      <c r="N9137" s="405" t="s">
        <v>19626</v>
      </c>
      <c r="O9137" s="405" t="s">
        <v>19751</v>
      </c>
      <c r="P9137" s="405" t="s">
        <v>19752</v>
      </c>
      <c r="Q9137" s="411">
        <v>9</v>
      </c>
      <c r="R9137" s="405" t="s">
        <v>874</v>
      </c>
      <c r="S9137" s="405" t="s">
        <v>27096</v>
      </c>
      <c r="T9137" s="405" t="s">
        <v>32102</v>
      </c>
      <c r="U9137" s="405" t="s">
        <v>319</v>
      </c>
    </row>
    <row r="9138" spans="1:21" hidden="1" x14ac:dyDescent="0.25">
      <c r="A9138" s="405" t="s">
        <v>310</v>
      </c>
      <c r="B9138" s="405" t="s">
        <v>28318</v>
      </c>
      <c r="C9138" s="405" t="s">
        <v>327</v>
      </c>
      <c r="D9138" s="405"/>
      <c r="E9138" s="410">
        <v>40410</v>
      </c>
      <c r="F9138" s="410">
        <v>40455</v>
      </c>
      <c r="G9138" s="405" t="s">
        <v>9692</v>
      </c>
      <c r="H9138" s="405">
        <v>772313215</v>
      </c>
      <c r="I9138" s="405"/>
      <c r="J9138" s="405">
        <v>1.145497</v>
      </c>
      <c r="K9138" s="405">
        <v>34.241272000000002</v>
      </c>
      <c r="L9138" s="405" t="s">
        <v>6866</v>
      </c>
      <c r="M9138" s="405" t="s">
        <v>9575</v>
      </c>
      <c r="N9138" s="405" t="s">
        <v>9576</v>
      </c>
      <c r="O9138" s="405" t="s">
        <v>9577</v>
      </c>
      <c r="P9138" s="405" t="s">
        <v>9666</v>
      </c>
      <c r="Q9138" s="411">
        <v>6</v>
      </c>
      <c r="R9138" s="405" t="s">
        <v>333</v>
      </c>
      <c r="S9138" s="405" t="s">
        <v>27302</v>
      </c>
      <c r="T9138" s="405" t="s">
        <v>32102</v>
      </c>
      <c r="U9138" s="405" t="s">
        <v>319</v>
      </c>
    </row>
    <row r="9139" spans="1:21" hidden="1" x14ac:dyDescent="0.25">
      <c r="A9139" s="405" t="s">
        <v>310</v>
      </c>
      <c r="B9139" s="405" t="s">
        <v>9693</v>
      </c>
      <c r="C9139" s="405" t="s">
        <v>327</v>
      </c>
      <c r="D9139" s="405"/>
      <c r="E9139" s="410">
        <v>40410</v>
      </c>
      <c r="F9139" s="410">
        <v>40455</v>
      </c>
      <c r="G9139" s="405" t="s">
        <v>9694</v>
      </c>
      <c r="H9139" s="405">
        <v>772903895</v>
      </c>
      <c r="I9139" s="405"/>
      <c r="J9139" s="405">
        <v>1.026608</v>
      </c>
      <c r="K9139" s="405">
        <v>34.177272000000002</v>
      </c>
      <c r="L9139" s="405" t="s">
        <v>6866</v>
      </c>
      <c r="M9139" s="405" t="s">
        <v>9514</v>
      </c>
      <c r="N9139" s="405" t="s">
        <v>9529</v>
      </c>
      <c r="O9139" s="405" t="s">
        <v>9571</v>
      </c>
      <c r="P9139" s="405" t="s">
        <v>9695</v>
      </c>
      <c r="Q9139" s="411">
        <v>6</v>
      </c>
      <c r="R9139" s="405" t="s">
        <v>7224</v>
      </c>
      <c r="S9139" s="405" t="s">
        <v>27086</v>
      </c>
      <c r="T9139" s="405" t="s">
        <v>32102</v>
      </c>
      <c r="U9139" s="405" t="s">
        <v>319</v>
      </c>
    </row>
    <row r="9140" spans="1:21" hidden="1" x14ac:dyDescent="0.25">
      <c r="A9140" s="405" t="s">
        <v>310</v>
      </c>
      <c r="B9140" s="405" t="s">
        <v>9679</v>
      </c>
      <c r="C9140" s="405" t="s">
        <v>327</v>
      </c>
      <c r="D9140" s="405"/>
      <c r="E9140" s="410">
        <v>40408</v>
      </c>
      <c r="F9140" s="410">
        <v>40453</v>
      </c>
      <c r="G9140" s="405" t="s">
        <v>9680</v>
      </c>
      <c r="H9140" s="405">
        <v>782881082</v>
      </c>
      <c r="I9140" s="405"/>
      <c r="J9140" s="405">
        <v>1.0748800000000001</v>
      </c>
      <c r="K9140" s="405">
        <v>34.200597999999999</v>
      </c>
      <c r="L9140" s="405" t="s">
        <v>6866</v>
      </c>
      <c r="M9140" s="405" t="s">
        <v>9514</v>
      </c>
      <c r="N9140" s="405" t="s">
        <v>9515</v>
      </c>
      <c r="O9140" s="405" t="s">
        <v>9681</v>
      </c>
      <c r="P9140" s="405" t="s">
        <v>9517</v>
      </c>
      <c r="Q9140" s="411">
        <v>6</v>
      </c>
      <c r="R9140" s="405" t="s">
        <v>333</v>
      </c>
      <c r="S9140" s="405" t="s">
        <v>27299</v>
      </c>
      <c r="T9140" s="405" t="s">
        <v>32102</v>
      </c>
      <c r="U9140" s="405" t="s">
        <v>319</v>
      </c>
    </row>
    <row r="9141" spans="1:21" hidden="1" x14ac:dyDescent="0.25">
      <c r="A9141" s="405" t="s">
        <v>310</v>
      </c>
      <c r="B9141" s="405" t="s">
        <v>9699</v>
      </c>
      <c r="C9141" s="405" t="s">
        <v>327</v>
      </c>
      <c r="D9141" s="405"/>
      <c r="E9141" s="410">
        <v>40407</v>
      </c>
      <c r="F9141" s="410">
        <v>40452</v>
      </c>
      <c r="G9141" s="405" t="s">
        <v>9700</v>
      </c>
      <c r="H9141" s="405">
        <v>782652535</v>
      </c>
      <c r="I9141" s="405"/>
      <c r="J9141" s="405">
        <v>1.1595880000000001</v>
      </c>
      <c r="K9141" s="405">
        <v>34.358936999999997</v>
      </c>
      <c r="L9141" s="405" t="s">
        <v>6866</v>
      </c>
      <c r="M9141" s="405" t="s">
        <v>9575</v>
      </c>
      <c r="N9141" s="405" t="s">
        <v>9576</v>
      </c>
      <c r="O9141" s="405" t="s">
        <v>9701</v>
      </c>
      <c r="P9141" s="405" t="s">
        <v>9702</v>
      </c>
      <c r="Q9141" s="411">
        <v>13</v>
      </c>
      <c r="R9141" s="405" t="s">
        <v>333</v>
      </c>
      <c r="S9141" s="405" t="s">
        <v>27305</v>
      </c>
      <c r="T9141" s="405" t="s">
        <v>32102</v>
      </c>
      <c r="U9141" s="405" t="s">
        <v>319</v>
      </c>
    </row>
    <row r="9142" spans="1:21" hidden="1" x14ac:dyDescent="0.25">
      <c r="A9142" s="405" t="s">
        <v>310</v>
      </c>
      <c r="B9142" s="405" t="s">
        <v>9671</v>
      </c>
      <c r="C9142" s="405" t="s">
        <v>327</v>
      </c>
      <c r="D9142" s="405"/>
      <c r="E9142" s="410">
        <v>40406</v>
      </c>
      <c r="F9142" s="410">
        <v>40451</v>
      </c>
      <c r="G9142" s="405" t="s">
        <v>9672</v>
      </c>
      <c r="H9142" s="405">
        <v>78499675</v>
      </c>
      <c r="I9142" s="405"/>
      <c r="J9142" s="405">
        <v>1.2999383333333334</v>
      </c>
      <c r="K9142" s="405">
        <v>33.106398333333331</v>
      </c>
      <c r="L9142" s="405" t="s">
        <v>6866</v>
      </c>
      <c r="M9142" s="405" t="s">
        <v>9520</v>
      </c>
      <c r="N9142" s="405" t="s">
        <v>9560</v>
      </c>
      <c r="O9142" s="405" t="s">
        <v>7381</v>
      </c>
      <c r="P9142" s="405" t="s">
        <v>9673</v>
      </c>
      <c r="Q9142" s="411">
        <v>6</v>
      </c>
      <c r="R9142" s="405" t="s">
        <v>333</v>
      </c>
      <c r="S9142" s="405" t="s">
        <v>27195</v>
      </c>
      <c r="T9142" s="405" t="s">
        <v>32102</v>
      </c>
      <c r="U9142" s="405" t="s">
        <v>319</v>
      </c>
    </row>
    <row r="9143" spans="1:21" hidden="1" x14ac:dyDescent="0.25">
      <c r="A9143" s="405" t="s">
        <v>310</v>
      </c>
      <c r="B9143" s="405" t="s">
        <v>9636</v>
      </c>
      <c r="C9143" s="405" t="s">
        <v>327</v>
      </c>
      <c r="D9143" s="405"/>
      <c r="E9143" s="410">
        <v>40406</v>
      </c>
      <c r="F9143" s="410">
        <v>40451</v>
      </c>
      <c r="G9143" s="405" t="s">
        <v>9637</v>
      </c>
      <c r="H9143" s="405">
        <v>701611841</v>
      </c>
      <c r="I9143" s="405">
        <v>701118716</v>
      </c>
      <c r="J9143" s="405">
        <v>1.3142560000000001</v>
      </c>
      <c r="K9143" s="405">
        <v>34.291975000000001</v>
      </c>
      <c r="L9143" s="405" t="s">
        <v>6866</v>
      </c>
      <c r="M9143" s="405" t="s">
        <v>9550</v>
      </c>
      <c r="N9143" s="405" t="s">
        <v>9638</v>
      </c>
      <c r="O9143" s="405" t="s">
        <v>9639</v>
      </c>
      <c r="P9143" s="405" t="s">
        <v>9640</v>
      </c>
      <c r="Q9143" s="411">
        <v>6</v>
      </c>
      <c r="R9143" s="405" t="s">
        <v>9541</v>
      </c>
      <c r="S9143" s="405" t="s">
        <v>27200</v>
      </c>
      <c r="T9143" s="405" t="s">
        <v>32102</v>
      </c>
      <c r="U9143" s="405" t="s">
        <v>319</v>
      </c>
    </row>
    <row r="9144" spans="1:21" hidden="1" x14ac:dyDescent="0.25">
      <c r="A9144" s="405" t="s">
        <v>310</v>
      </c>
      <c r="B9144" s="405" t="s">
        <v>9654</v>
      </c>
      <c r="C9144" s="405" t="s">
        <v>327</v>
      </c>
      <c r="D9144" s="405"/>
      <c r="E9144" s="410">
        <v>40405</v>
      </c>
      <c r="F9144" s="410">
        <v>40450</v>
      </c>
      <c r="G9144" s="405" t="s">
        <v>9655</v>
      </c>
      <c r="H9144" s="405">
        <v>774438479</v>
      </c>
      <c r="I9144" s="405"/>
      <c r="J9144" s="405">
        <v>1.3218683333333334</v>
      </c>
      <c r="K9144" s="405">
        <v>33.065799999999996</v>
      </c>
      <c r="L9144" s="405" t="s">
        <v>6866</v>
      </c>
      <c r="M9144" s="405" t="s">
        <v>9520</v>
      </c>
      <c r="N9144" s="405" t="s">
        <v>9560</v>
      </c>
      <c r="O9144" s="405" t="s">
        <v>7381</v>
      </c>
      <c r="P9144" s="405" t="s">
        <v>9656</v>
      </c>
      <c r="Q9144" s="411">
        <v>12</v>
      </c>
      <c r="R9144" s="405" t="s">
        <v>333</v>
      </c>
      <c r="S9144" s="405" t="s">
        <v>27195</v>
      </c>
      <c r="T9144" s="405" t="s">
        <v>32102</v>
      </c>
      <c r="U9144" s="405" t="s">
        <v>319</v>
      </c>
    </row>
    <row r="9145" spans="1:21" hidden="1" x14ac:dyDescent="0.25">
      <c r="A9145" s="405" t="s">
        <v>310</v>
      </c>
      <c r="B9145" s="405" t="s">
        <v>29065</v>
      </c>
      <c r="C9145" s="405" t="s">
        <v>327</v>
      </c>
      <c r="D9145" s="405"/>
      <c r="E9145" s="410">
        <v>40405</v>
      </c>
      <c r="F9145" s="410">
        <v>40450</v>
      </c>
      <c r="G9145" s="405" t="s">
        <v>9667</v>
      </c>
      <c r="H9145" s="405">
        <v>786709596</v>
      </c>
      <c r="I9145" s="405"/>
      <c r="J9145" s="405">
        <v>0.99488500000000002</v>
      </c>
      <c r="K9145" s="405">
        <v>34.234257999999997</v>
      </c>
      <c r="L9145" s="405" t="s">
        <v>6866</v>
      </c>
      <c r="M9145" s="405" t="s">
        <v>9514</v>
      </c>
      <c r="N9145" s="405" t="s">
        <v>9529</v>
      </c>
      <c r="O9145" s="405" t="s">
        <v>9668</v>
      </c>
      <c r="P9145" s="405" t="s">
        <v>9669</v>
      </c>
      <c r="Q9145" s="411">
        <v>6</v>
      </c>
      <c r="R9145" s="405" t="s">
        <v>333</v>
      </c>
      <c r="S9145" s="405" t="s">
        <v>27283</v>
      </c>
      <c r="T9145" s="405" t="s">
        <v>32102</v>
      </c>
      <c r="U9145" s="405" t="s">
        <v>319</v>
      </c>
    </row>
    <row r="9146" spans="1:21" hidden="1" x14ac:dyDescent="0.25">
      <c r="A9146" s="405" t="s">
        <v>310</v>
      </c>
      <c r="B9146" s="405" t="s">
        <v>28906</v>
      </c>
      <c r="C9146" s="405" t="s">
        <v>327</v>
      </c>
      <c r="D9146" s="405"/>
      <c r="E9146" s="410">
        <v>40405</v>
      </c>
      <c r="F9146" s="410">
        <v>40450</v>
      </c>
      <c r="G9146" s="405" t="s">
        <v>580</v>
      </c>
      <c r="H9146" s="405">
        <v>772561263</v>
      </c>
      <c r="I9146" s="405"/>
      <c r="J9146" s="405">
        <v>0.45840639999999999</v>
      </c>
      <c r="K9146" s="405">
        <v>33.2178276</v>
      </c>
      <c r="L9146" s="405" t="s">
        <v>314</v>
      </c>
      <c r="M9146" s="405" t="s">
        <v>349</v>
      </c>
      <c r="N9146" s="405" t="s">
        <v>349</v>
      </c>
      <c r="O9146" s="405" t="s">
        <v>581</v>
      </c>
      <c r="P9146" s="405" t="s">
        <v>582</v>
      </c>
      <c r="Q9146" s="411">
        <v>6</v>
      </c>
      <c r="R9146" s="405" t="s">
        <v>318</v>
      </c>
      <c r="S9146" s="405" t="s">
        <v>414</v>
      </c>
      <c r="T9146" s="405" t="s">
        <v>32102</v>
      </c>
      <c r="U9146" s="405" t="s">
        <v>319</v>
      </c>
    </row>
    <row r="9147" spans="1:21" hidden="1" x14ac:dyDescent="0.25">
      <c r="A9147" s="405" t="s">
        <v>310</v>
      </c>
      <c r="B9147" s="405" t="s">
        <v>537</v>
      </c>
      <c r="C9147" s="405" t="s">
        <v>327</v>
      </c>
      <c r="D9147" s="405"/>
      <c r="E9147" s="410">
        <v>40404</v>
      </c>
      <c r="F9147" s="410">
        <v>40449</v>
      </c>
      <c r="G9147" s="405" t="s">
        <v>538</v>
      </c>
      <c r="H9147" s="405">
        <v>782901687</v>
      </c>
      <c r="I9147" s="405"/>
      <c r="J9147" s="405">
        <v>0.35505399999999998</v>
      </c>
      <c r="K9147" s="405">
        <v>32.673481000000002</v>
      </c>
      <c r="L9147" s="405" t="s">
        <v>314</v>
      </c>
      <c r="M9147" s="405" t="s">
        <v>361</v>
      </c>
      <c r="N9147" s="405" t="s">
        <v>362</v>
      </c>
      <c r="O9147" s="405" t="s">
        <v>498</v>
      </c>
      <c r="P9147" s="405" t="s">
        <v>539</v>
      </c>
      <c r="Q9147" s="411">
        <v>6</v>
      </c>
      <c r="R9147" s="405" t="s">
        <v>318</v>
      </c>
      <c r="S9147" s="405" t="s">
        <v>27106</v>
      </c>
      <c r="T9147" s="405" t="s">
        <v>32102</v>
      </c>
      <c r="U9147" s="405" t="s">
        <v>319</v>
      </c>
    </row>
    <row r="9148" spans="1:21" hidden="1" x14ac:dyDescent="0.25">
      <c r="A9148" s="405" t="s">
        <v>310</v>
      </c>
      <c r="B9148" s="405" t="s">
        <v>552</v>
      </c>
      <c r="C9148" s="405" t="s">
        <v>327</v>
      </c>
      <c r="D9148" s="405"/>
      <c r="E9148" s="410">
        <v>40402</v>
      </c>
      <c r="F9148" s="410">
        <v>40447</v>
      </c>
      <c r="G9148" s="405" t="s">
        <v>553</v>
      </c>
      <c r="H9148" s="405">
        <v>774787340</v>
      </c>
      <c r="I9148" s="405">
        <v>774787340</v>
      </c>
      <c r="J9148" s="405">
        <v>0.30204999999999999</v>
      </c>
      <c r="K9148" s="405">
        <v>32.971015000000001</v>
      </c>
      <c r="L9148" s="405" t="s">
        <v>314</v>
      </c>
      <c r="M9148" s="405" t="s">
        <v>349</v>
      </c>
      <c r="N9148" s="405" t="s">
        <v>549</v>
      </c>
      <c r="O9148" s="405" t="s">
        <v>349</v>
      </c>
      <c r="P9148" s="405" t="s">
        <v>554</v>
      </c>
      <c r="Q9148" s="411">
        <v>9</v>
      </c>
      <c r="R9148" s="405" t="s">
        <v>32478</v>
      </c>
      <c r="S9148" s="405" t="s">
        <v>27120</v>
      </c>
      <c r="T9148" s="405" t="s">
        <v>32102</v>
      </c>
      <c r="U9148" s="405" t="s">
        <v>319</v>
      </c>
    </row>
    <row r="9149" spans="1:21" hidden="1" x14ac:dyDescent="0.25">
      <c r="A9149" s="405" t="s">
        <v>310</v>
      </c>
      <c r="B9149" s="405" t="s">
        <v>10127</v>
      </c>
      <c r="C9149" s="405" t="s">
        <v>311</v>
      </c>
      <c r="D9149" s="405" t="s">
        <v>839</v>
      </c>
      <c r="E9149" s="410">
        <v>40401</v>
      </c>
      <c r="F9149" s="410">
        <v>40446</v>
      </c>
      <c r="G9149" s="405" t="s">
        <v>10128</v>
      </c>
      <c r="H9149" s="405">
        <v>754106359</v>
      </c>
      <c r="I9149" s="405"/>
      <c r="J9149" s="405">
        <v>1.090973</v>
      </c>
      <c r="K9149" s="405">
        <v>34.201245</v>
      </c>
      <c r="L9149" s="405" t="s">
        <v>6866</v>
      </c>
      <c r="M9149" s="405" t="s">
        <v>9514</v>
      </c>
      <c r="N9149" s="405" t="s">
        <v>9530</v>
      </c>
      <c r="O9149" s="405" t="s">
        <v>9530</v>
      </c>
      <c r="P9149" s="405" t="s">
        <v>10129</v>
      </c>
      <c r="Q9149" s="411">
        <v>6</v>
      </c>
      <c r="R9149" s="405" t="s">
        <v>333</v>
      </c>
      <c r="S9149" s="405" t="s">
        <v>27283</v>
      </c>
      <c r="T9149" s="405" t="s">
        <v>32102</v>
      </c>
      <c r="U9149" s="405" t="s">
        <v>319</v>
      </c>
    </row>
    <row r="9150" spans="1:21" hidden="1" x14ac:dyDescent="0.25">
      <c r="A9150" s="405" t="s">
        <v>310</v>
      </c>
      <c r="B9150" s="405" t="s">
        <v>19747</v>
      </c>
      <c r="C9150" s="405" t="s">
        <v>327</v>
      </c>
      <c r="D9150" s="405"/>
      <c r="E9150" s="410">
        <v>40401</v>
      </c>
      <c r="F9150" s="410">
        <v>40446</v>
      </c>
      <c r="G9150" s="405" t="s">
        <v>19748</v>
      </c>
      <c r="H9150" s="405">
        <v>776009353</v>
      </c>
      <c r="I9150" s="405"/>
      <c r="J9150" s="405">
        <v>-0.851186</v>
      </c>
      <c r="K9150" s="405">
        <v>30.254760000000001</v>
      </c>
      <c r="L9150" s="405" t="s">
        <v>590</v>
      </c>
      <c r="M9150" s="405" t="s">
        <v>19659</v>
      </c>
      <c r="N9150" s="405" t="s">
        <v>19681</v>
      </c>
      <c r="O9150" s="405" t="s">
        <v>9881</v>
      </c>
      <c r="P9150" s="405" t="s">
        <v>19749</v>
      </c>
      <c r="Q9150" s="411">
        <v>6</v>
      </c>
      <c r="R9150" s="405" t="s">
        <v>967</v>
      </c>
      <c r="S9150" s="405" t="s">
        <v>27166</v>
      </c>
      <c r="T9150" s="405" t="s">
        <v>32102</v>
      </c>
      <c r="U9150" s="405" t="s">
        <v>319</v>
      </c>
    </row>
    <row r="9151" spans="1:21" hidden="1" x14ac:dyDescent="0.25">
      <c r="A9151" s="405" t="s">
        <v>310</v>
      </c>
      <c r="B9151" s="405" t="s">
        <v>27966</v>
      </c>
      <c r="C9151" s="405" t="s">
        <v>327</v>
      </c>
      <c r="D9151" s="405"/>
      <c r="E9151" s="410">
        <v>40400</v>
      </c>
      <c r="F9151" s="410">
        <v>40445</v>
      </c>
      <c r="G9151" s="405" t="s">
        <v>19745</v>
      </c>
      <c r="H9151" s="405">
        <v>772576357</v>
      </c>
      <c r="I9151" s="405"/>
      <c r="J9151" s="405">
        <v>-0.913914</v>
      </c>
      <c r="K9151" s="405">
        <v>30.092382000000001</v>
      </c>
      <c r="L9151" s="405" t="s">
        <v>590</v>
      </c>
      <c r="M9151" s="405" t="s">
        <v>19659</v>
      </c>
      <c r="N9151" s="405" t="s">
        <v>19677</v>
      </c>
      <c r="O9151" s="405" t="s">
        <v>19726</v>
      </c>
      <c r="P9151" s="405" t="s">
        <v>19746</v>
      </c>
      <c r="Q9151" s="411">
        <v>12</v>
      </c>
      <c r="R9151" s="405" t="s">
        <v>967</v>
      </c>
      <c r="S9151" s="405" t="s">
        <v>27393</v>
      </c>
      <c r="T9151" s="405" t="s">
        <v>32102</v>
      </c>
      <c r="U9151" s="405" t="s">
        <v>319</v>
      </c>
    </row>
    <row r="9152" spans="1:21" hidden="1" x14ac:dyDescent="0.25">
      <c r="A9152" s="405" t="s">
        <v>310</v>
      </c>
      <c r="B9152" s="405" t="s">
        <v>29130</v>
      </c>
      <c r="C9152" s="405" t="s">
        <v>327</v>
      </c>
      <c r="D9152" s="405"/>
      <c r="E9152" s="410">
        <v>40400</v>
      </c>
      <c r="F9152" s="410">
        <v>40445</v>
      </c>
      <c r="G9152" s="405" t="s">
        <v>9661</v>
      </c>
      <c r="H9152" s="405">
        <v>772483266</v>
      </c>
      <c r="I9152" s="405">
        <v>758540798</v>
      </c>
      <c r="J9152" s="405">
        <v>0.93592900000000001</v>
      </c>
      <c r="K9152" s="405">
        <v>33.132122600000002</v>
      </c>
      <c r="L9152" s="405" t="s">
        <v>6866</v>
      </c>
      <c r="M9152" s="405" t="s">
        <v>3009</v>
      </c>
      <c r="N9152" s="405" t="s">
        <v>9662</v>
      </c>
      <c r="O9152" s="405" t="s">
        <v>9663</v>
      </c>
      <c r="P9152" s="405" t="s">
        <v>9664</v>
      </c>
      <c r="Q9152" s="411">
        <v>9</v>
      </c>
      <c r="R9152" s="405" t="s">
        <v>333</v>
      </c>
      <c r="S9152" s="405" t="s">
        <v>6822</v>
      </c>
      <c r="T9152" s="405" t="s">
        <v>32102</v>
      </c>
      <c r="U9152" s="405" t="s">
        <v>319</v>
      </c>
    </row>
    <row r="9153" spans="1:21" hidden="1" x14ac:dyDescent="0.25">
      <c r="A9153" s="405" t="s">
        <v>310</v>
      </c>
      <c r="B9153" s="405" t="s">
        <v>28075</v>
      </c>
      <c r="C9153" s="405" t="s">
        <v>327</v>
      </c>
      <c r="D9153" s="405"/>
      <c r="E9153" s="410">
        <v>40400</v>
      </c>
      <c r="F9153" s="410">
        <v>40445</v>
      </c>
      <c r="G9153" s="405" t="s">
        <v>9670</v>
      </c>
      <c r="H9153" s="405">
        <v>783123763</v>
      </c>
      <c r="I9153" s="405"/>
      <c r="J9153" s="405">
        <v>1.4004066666666666</v>
      </c>
      <c r="K9153" s="405">
        <v>32.947745000000005</v>
      </c>
      <c r="L9153" s="405" t="s">
        <v>6866</v>
      </c>
      <c r="M9153" s="405" t="s">
        <v>9520</v>
      </c>
      <c r="N9153" s="405" t="s">
        <v>9554</v>
      </c>
      <c r="O9153" s="405" t="s">
        <v>9522</v>
      </c>
      <c r="P9153" s="405" t="s">
        <v>987</v>
      </c>
      <c r="Q9153" s="411">
        <v>6</v>
      </c>
      <c r="R9153" s="405" t="s">
        <v>32478</v>
      </c>
      <c r="S9153" s="405" t="s">
        <v>27195</v>
      </c>
      <c r="T9153" s="405" t="s">
        <v>32102</v>
      </c>
      <c r="U9153" s="405" t="s">
        <v>319</v>
      </c>
    </row>
    <row r="9154" spans="1:21" hidden="1" x14ac:dyDescent="0.25">
      <c r="A9154" s="405" t="s">
        <v>310</v>
      </c>
      <c r="B9154" s="405" t="s">
        <v>9674</v>
      </c>
      <c r="C9154" s="405" t="s">
        <v>327</v>
      </c>
      <c r="D9154" s="405"/>
      <c r="E9154" s="410">
        <v>40400</v>
      </c>
      <c r="F9154" s="410">
        <v>40445</v>
      </c>
      <c r="G9154" s="405" t="s">
        <v>9675</v>
      </c>
      <c r="H9154" s="405">
        <v>782724934</v>
      </c>
      <c r="I9154" s="405"/>
      <c r="J9154" s="405">
        <v>1.0608919999999999</v>
      </c>
      <c r="K9154" s="405">
        <v>33.950477999999997</v>
      </c>
      <c r="L9154" s="405" t="s">
        <v>6866</v>
      </c>
      <c r="M9154" s="405" t="s">
        <v>9676</v>
      </c>
      <c r="N9154" s="405" t="s">
        <v>9676</v>
      </c>
      <c r="O9154" s="405" t="s">
        <v>9677</v>
      </c>
      <c r="P9154" s="405" t="s">
        <v>9678</v>
      </c>
      <c r="Q9154" s="411">
        <v>6</v>
      </c>
      <c r="R9154" s="405" t="s">
        <v>7224</v>
      </c>
      <c r="S9154" s="405" t="s">
        <v>17062</v>
      </c>
      <c r="T9154" s="405" t="s">
        <v>32102</v>
      </c>
      <c r="U9154" s="405" t="s">
        <v>319</v>
      </c>
    </row>
    <row r="9155" spans="1:21" hidden="1" x14ac:dyDescent="0.25">
      <c r="A9155" s="405" t="s">
        <v>310</v>
      </c>
      <c r="B9155" s="405" t="s">
        <v>19738</v>
      </c>
      <c r="C9155" s="405" t="s">
        <v>327</v>
      </c>
      <c r="D9155" s="405"/>
      <c r="E9155" s="410">
        <v>40398</v>
      </c>
      <c r="F9155" s="410">
        <v>40443</v>
      </c>
      <c r="G9155" s="405" t="s">
        <v>19739</v>
      </c>
      <c r="H9155" s="405">
        <v>700427733</v>
      </c>
      <c r="I9155" s="405"/>
      <c r="J9155" s="405">
        <v>-0.18974299999999999</v>
      </c>
      <c r="K9155" s="405">
        <v>30.894841</v>
      </c>
      <c r="L9155" s="405" t="s">
        <v>590</v>
      </c>
      <c r="M9155" s="405" t="s">
        <v>19705</v>
      </c>
      <c r="N9155" s="405" t="s">
        <v>19706</v>
      </c>
      <c r="O9155" s="405" t="s">
        <v>19714</v>
      </c>
      <c r="P9155" s="405" t="s">
        <v>19740</v>
      </c>
      <c r="Q9155" s="411">
        <v>12</v>
      </c>
      <c r="R9155" s="405" t="s">
        <v>874</v>
      </c>
      <c r="S9155" s="405" t="s">
        <v>27097</v>
      </c>
      <c r="T9155" s="405" t="s">
        <v>32102</v>
      </c>
      <c r="U9155" s="405" t="s">
        <v>319</v>
      </c>
    </row>
    <row r="9156" spans="1:21" hidden="1" x14ac:dyDescent="0.25">
      <c r="A9156" s="405" t="s">
        <v>310</v>
      </c>
      <c r="B9156" s="405" t="s">
        <v>9641</v>
      </c>
      <c r="C9156" s="405" t="s">
        <v>327</v>
      </c>
      <c r="D9156" s="405"/>
      <c r="E9156" s="410">
        <v>40397</v>
      </c>
      <c r="F9156" s="410">
        <v>40442</v>
      </c>
      <c r="G9156" s="405" t="s">
        <v>9642</v>
      </c>
      <c r="H9156" s="405">
        <v>772542579</v>
      </c>
      <c r="I9156" s="405"/>
      <c r="J9156" s="405">
        <v>1.071715</v>
      </c>
      <c r="K9156" s="405">
        <v>34.201410000000003</v>
      </c>
      <c r="L9156" s="405" t="s">
        <v>6866</v>
      </c>
      <c r="M9156" s="405" t="s">
        <v>9514</v>
      </c>
      <c r="N9156" s="405" t="s">
        <v>9515</v>
      </c>
      <c r="O9156" s="405" t="s">
        <v>9516</v>
      </c>
      <c r="P9156" s="405" t="s">
        <v>9517</v>
      </c>
      <c r="Q9156" s="411">
        <v>9</v>
      </c>
      <c r="R9156" s="405" t="s">
        <v>32486</v>
      </c>
      <c r="S9156" s="405" t="s">
        <v>27079</v>
      </c>
      <c r="T9156" s="405" t="s">
        <v>32102</v>
      </c>
      <c r="U9156" s="405" t="s">
        <v>319</v>
      </c>
    </row>
    <row r="9157" spans="1:21" hidden="1" x14ac:dyDescent="0.25">
      <c r="A9157" s="405" t="s">
        <v>310</v>
      </c>
      <c r="B9157" s="405" t="s">
        <v>28502</v>
      </c>
      <c r="C9157" s="405" t="s">
        <v>327</v>
      </c>
      <c r="D9157" s="405"/>
      <c r="E9157" s="410">
        <v>40397</v>
      </c>
      <c r="F9157" s="410">
        <v>40442</v>
      </c>
      <c r="G9157" s="405" t="s">
        <v>9665</v>
      </c>
      <c r="H9157" s="405">
        <v>771460336</v>
      </c>
      <c r="I9157" s="405"/>
      <c r="J9157" s="405">
        <v>1.143642</v>
      </c>
      <c r="K9157" s="405">
        <v>34.240600000000001</v>
      </c>
      <c r="L9157" s="405" t="s">
        <v>6866</v>
      </c>
      <c r="M9157" s="405" t="s">
        <v>9575</v>
      </c>
      <c r="N9157" s="405" t="s">
        <v>9576</v>
      </c>
      <c r="O9157" s="405" t="s">
        <v>9577</v>
      </c>
      <c r="P9157" s="405" t="s">
        <v>9666</v>
      </c>
      <c r="Q9157" s="411">
        <v>6</v>
      </c>
      <c r="R9157" s="405" t="s">
        <v>333</v>
      </c>
      <c r="S9157" s="405" t="s">
        <v>27303</v>
      </c>
      <c r="T9157" s="405" t="s">
        <v>32102</v>
      </c>
      <c r="U9157" s="405" t="s">
        <v>319</v>
      </c>
    </row>
    <row r="9158" spans="1:21" hidden="1" x14ac:dyDescent="0.25">
      <c r="A9158" s="405" t="s">
        <v>310</v>
      </c>
      <c r="B9158" s="405" t="s">
        <v>19741</v>
      </c>
      <c r="C9158" s="405" t="s">
        <v>327</v>
      </c>
      <c r="D9158" s="405"/>
      <c r="E9158" s="410">
        <v>40394</v>
      </c>
      <c r="F9158" s="410">
        <v>40439</v>
      </c>
      <c r="G9158" s="405" t="s">
        <v>19742</v>
      </c>
      <c r="H9158" s="405">
        <v>772566594</v>
      </c>
      <c r="I9158" s="405"/>
      <c r="J9158" s="405">
        <v>-0.18859500000000001</v>
      </c>
      <c r="K9158" s="405">
        <v>30.473585</v>
      </c>
      <c r="L9158" s="405" t="s">
        <v>590</v>
      </c>
      <c r="M9158" s="405" t="s">
        <v>870</v>
      </c>
      <c r="N9158" s="405" t="s">
        <v>870</v>
      </c>
      <c r="O9158" s="405" t="s">
        <v>19743</v>
      </c>
      <c r="P9158" s="405" t="s">
        <v>19744</v>
      </c>
      <c r="Q9158" s="411">
        <v>12</v>
      </c>
      <c r="R9158" s="405" t="s">
        <v>333</v>
      </c>
      <c r="S9158" s="405" t="s">
        <v>27183</v>
      </c>
      <c r="T9158" s="405" t="s">
        <v>32102</v>
      </c>
      <c r="U9158" s="405" t="s">
        <v>319</v>
      </c>
    </row>
    <row r="9159" spans="1:21" hidden="1" x14ac:dyDescent="0.25">
      <c r="A9159" s="405" t="s">
        <v>310</v>
      </c>
      <c r="B9159" s="405" t="s">
        <v>19728</v>
      </c>
      <c r="C9159" s="405" t="s">
        <v>327</v>
      </c>
      <c r="D9159" s="405"/>
      <c r="E9159" s="410">
        <v>40391</v>
      </c>
      <c r="F9159" s="410">
        <v>40436</v>
      </c>
      <c r="G9159" s="405" t="s">
        <v>19729</v>
      </c>
      <c r="H9159" s="405">
        <v>774171655</v>
      </c>
      <c r="I9159" s="405"/>
      <c r="J9159" s="405">
        <v>-0.21359900000000001</v>
      </c>
      <c r="K9159" s="405">
        <v>30.900426</v>
      </c>
      <c r="L9159" s="405" t="s">
        <v>590</v>
      </c>
      <c r="M9159" s="405" t="s">
        <v>19705</v>
      </c>
      <c r="N9159" s="405" t="s">
        <v>19706</v>
      </c>
      <c r="O9159" s="405" t="s">
        <v>19707</v>
      </c>
      <c r="P9159" s="405" t="s">
        <v>19730</v>
      </c>
      <c r="Q9159" s="411">
        <v>12</v>
      </c>
      <c r="R9159" s="405" t="s">
        <v>874</v>
      </c>
      <c r="S9159" s="405" t="s">
        <v>27161</v>
      </c>
      <c r="T9159" s="405" t="s">
        <v>32102</v>
      </c>
      <c r="U9159" s="405" t="s">
        <v>319</v>
      </c>
    </row>
    <row r="9160" spans="1:21" hidden="1" x14ac:dyDescent="0.25">
      <c r="A9160" s="405" t="s">
        <v>310</v>
      </c>
      <c r="B9160" s="405" t="s">
        <v>19731</v>
      </c>
      <c r="C9160" s="405" t="s">
        <v>327</v>
      </c>
      <c r="D9160" s="405"/>
      <c r="E9160" s="410">
        <v>40390</v>
      </c>
      <c r="F9160" s="410">
        <v>40435</v>
      </c>
      <c r="G9160" s="405" t="s">
        <v>19732</v>
      </c>
      <c r="H9160" s="405">
        <v>700590546</v>
      </c>
      <c r="I9160" s="405"/>
      <c r="J9160" s="405">
        <v>-0.18993699999999999</v>
      </c>
      <c r="K9160" s="405">
        <v>30.778905999999999</v>
      </c>
      <c r="L9160" s="405" t="s">
        <v>590</v>
      </c>
      <c r="M9160" s="405" t="s">
        <v>19705</v>
      </c>
      <c r="N9160" s="405" t="s">
        <v>19706</v>
      </c>
      <c r="O9160" s="405" t="s">
        <v>19707</v>
      </c>
      <c r="P9160" s="405" t="s">
        <v>19733</v>
      </c>
      <c r="Q9160" s="411">
        <v>12</v>
      </c>
      <c r="R9160" s="405" t="s">
        <v>874</v>
      </c>
      <c r="S9160" s="405" t="s">
        <v>27097</v>
      </c>
      <c r="T9160" s="405" t="s">
        <v>32102</v>
      </c>
      <c r="U9160" s="405" t="s">
        <v>319</v>
      </c>
    </row>
    <row r="9161" spans="1:21" hidden="1" x14ac:dyDescent="0.25">
      <c r="A9161" s="405" t="s">
        <v>310</v>
      </c>
      <c r="B9161" s="405" t="s">
        <v>558</v>
      </c>
      <c r="C9161" s="405" t="s">
        <v>327</v>
      </c>
      <c r="D9161" s="405"/>
      <c r="E9161" s="410">
        <v>40390</v>
      </c>
      <c r="F9161" s="410">
        <v>40435</v>
      </c>
      <c r="G9161" s="405" t="s">
        <v>559</v>
      </c>
      <c r="H9161" s="405">
        <v>752697809</v>
      </c>
      <c r="I9161" s="405"/>
      <c r="J9161" s="405">
        <v>0.46698499999999998</v>
      </c>
      <c r="K9161" s="405">
        <v>32.633358000000001</v>
      </c>
      <c r="L9161" s="405" t="s">
        <v>314</v>
      </c>
      <c r="M9161" s="405" t="s">
        <v>361</v>
      </c>
      <c r="N9161" s="405" t="s">
        <v>362</v>
      </c>
      <c r="O9161" s="405" t="s">
        <v>410</v>
      </c>
      <c r="P9161" s="405" t="s">
        <v>560</v>
      </c>
      <c r="Q9161" s="411">
        <v>12</v>
      </c>
      <c r="R9161" s="405" t="s">
        <v>353</v>
      </c>
      <c r="S9161" s="405" t="s">
        <v>27137</v>
      </c>
      <c r="T9161" s="405" t="s">
        <v>32102</v>
      </c>
      <c r="U9161" s="405" t="s">
        <v>319</v>
      </c>
    </row>
    <row r="9162" spans="1:21" hidden="1" x14ac:dyDescent="0.25">
      <c r="A9162" s="405" t="s">
        <v>310</v>
      </c>
      <c r="B9162" s="405" t="s">
        <v>564</v>
      </c>
      <c r="C9162" s="405" t="s">
        <v>327</v>
      </c>
      <c r="D9162" s="405"/>
      <c r="E9162" s="410">
        <v>40390</v>
      </c>
      <c r="F9162" s="410">
        <v>40435</v>
      </c>
      <c r="G9162" s="405" t="s">
        <v>565</v>
      </c>
      <c r="H9162" s="405">
        <v>772532995</v>
      </c>
      <c r="I9162" s="405"/>
      <c r="J9162" s="405">
        <v>0.33201700000000001</v>
      </c>
      <c r="K9162" s="405">
        <v>32.500566999999997</v>
      </c>
      <c r="L9162" s="405" t="s">
        <v>314</v>
      </c>
      <c r="M9162" s="405" t="s">
        <v>361</v>
      </c>
      <c r="N9162" s="405" t="s">
        <v>374</v>
      </c>
      <c r="O9162" s="405" t="s">
        <v>361</v>
      </c>
      <c r="P9162" s="405" t="s">
        <v>566</v>
      </c>
      <c r="Q9162" s="411">
        <v>9</v>
      </c>
      <c r="R9162" s="405" t="s">
        <v>567</v>
      </c>
      <c r="S9162" s="405" t="s">
        <v>27123</v>
      </c>
      <c r="T9162" s="405" t="s">
        <v>32102</v>
      </c>
      <c r="U9162" s="405" t="s">
        <v>319</v>
      </c>
    </row>
    <row r="9163" spans="1:21" hidden="1" x14ac:dyDescent="0.25">
      <c r="A9163" s="405" t="s">
        <v>310</v>
      </c>
      <c r="B9163" s="405" t="s">
        <v>561</v>
      </c>
      <c r="C9163" s="405" t="s">
        <v>327</v>
      </c>
      <c r="D9163" s="405"/>
      <c r="E9163" s="410">
        <v>40390</v>
      </c>
      <c r="F9163" s="410">
        <v>40435</v>
      </c>
      <c r="G9163" s="405" t="s">
        <v>562</v>
      </c>
      <c r="H9163" s="405">
        <v>752489623</v>
      </c>
      <c r="I9163" s="405"/>
      <c r="J9163" s="405">
        <v>0.388515</v>
      </c>
      <c r="K9163" s="405">
        <v>32.529372000000002</v>
      </c>
      <c r="L9163" s="405" t="s">
        <v>314</v>
      </c>
      <c r="M9163" s="405" t="s">
        <v>361</v>
      </c>
      <c r="N9163" s="405" t="s">
        <v>362</v>
      </c>
      <c r="O9163" s="405" t="s">
        <v>469</v>
      </c>
      <c r="P9163" s="405" t="s">
        <v>563</v>
      </c>
      <c r="Q9163" s="411">
        <v>9</v>
      </c>
      <c r="R9163" s="405" t="s">
        <v>353</v>
      </c>
      <c r="S9163" s="405" t="s">
        <v>27146</v>
      </c>
      <c r="T9163" s="405" t="s">
        <v>32102</v>
      </c>
      <c r="U9163" s="405" t="s">
        <v>319</v>
      </c>
    </row>
    <row r="9164" spans="1:21" hidden="1" x14ac:dyDescent="0.25">
      <c r="A9164" s="405" t="s">
        <v>310</v>
      </c>
      <c r="B9164" s="405" t="s">
        <v>1204</v>
      </c>
      <c r="C9164" s="405" t="s">
        <v>311</v>
      </c>
      <c r="D9164" s="405" t="s">
        <v>839</v>
      </c>
      <c r="E9164" s="410">
        <v>40390</v>
      </c>
      <c r="F9164" s="410">
        <v>40435</v>
      </c>
      <c r="G9164" s="405" t="s">
        <v>1205</v>
      </c>
      <c r="H9164" s="405">
        <v>392944770</v>
      </c>
      <c r="I9164" s="405"/>
      <c r="J9164" s="405">
        <v>0.31974170000000002</v>
      </c>
      <c r="K9164" s="405">
        <v>32.621220600000001</v>
      </c>
      <c r="L9164" s="405" t="s">
        <v>314</v>
      </c>
      <c r="M9164" s="405" t="s">
        <v>361</v>
      </c>
      <c r="N9164" s="405" t="s">
        <v>362</v>
      </c>
      <c r="O9164" s="405" t="s">
        <v>469</v>
      </c>
      <c r="P9164" s="405" t="s">
        <v>1206</v>
      </c>
      <c r="Q9164" s="411">
        <v>9</v>
      </c>
      <c r="R9164" s="405" t="s">
        <v>353</v>
      </c>
      <c r="S9164" s="405" t="s">
        <v>27133</v>
      </c>
      <c r="T9164" s="405" t="s">
        <v>32102</v>
      </c>
      <c r="U9164" s="405" t="s">
        <v>319</v>
      </c>
    </row>
    <row r="9165" spans="1:21" hidden="1" x14ac:dyDescent="0.25">
      <c r="A9165" s="405" t="s">
        <v>310</v>
      </c>
      <c r="B9165" s="405" t="s">
        <v>577</v>
      </c>
      <c r="C9165" s="405" t="s">
        <v>327</v>
      </c>
      <c r="D9165" s="405"/>
      <c r="E9165" s="410">
        <v>40390</v>
      </c>
      <c r="F9165" s="410">
        <v>40435</v>
      </c>
      <c r="G9165" s="405" t="s">
        <v>578</v>
      </c>
      <c r="H9165" s="405">
        <v>772404296</v>
      </c>
      <c r="I9165" s="405"/>
      <c r="J9165" s="405">
        <v>0.410443</v>
      </c>
      <c r="K9165" s="405">
        <v>32.580868000000002</v>
      </c>
      <c r="L9165" s="405" t="s">
        <v>314</v>
      </c>
      <c r="M9165" s="405" t="s">
        <v>361</v>
      </c>
      <c r="N9165" s="405" t="s">
        <v>362</v>
      </c>
      <c r="O9165" s="405" t="s">
        <v>410</v>
      </c>
      <c r="P9165" s="405" t="s">
        <v>579</v>
      </c>
      <c r="Q9165" s="411">
        <v>6</v>
      </c>
      <c r="R9165" s="405" t="s">
        <v>353</v>
      </c>
      <c r="S9165" s="405" t="s">
        <v>27120</v>
      </c>
      <c r="T9165" s="405" t="s">
        <v>32102</v>
      </c>
      <c r="U9165" s="405" t="s">
        <v>319</v>
      </c>
    </row>
    <row r="9166" spans="1:21" hidden="1" x14ac:dyDescent="0.25">
      <c r="A9166" s="405" t="s">
        <v>310</v>
      </c>
      <c r="B9166" s="405" t="s">
        <v>27499</v>
      </c>
      <c r="C9166" s="405" t="s">
        <v>327</v>
      </c>
      <c r="D9166" s="405"/>
      <c r="E9166" s="410">
        <v>40389</v>
      </c>
      <c r="F9166" s="410">
        <v>40434</v>
      </c>
      <c r="G9166" s="405" t="s">
        <v>9657</v>
      </c>
      <c r="H9166" s="405">
        <v>787187470</v>
      </c>
      <c r="I9166" s="405"/>
      <c r="J9166" s="405">
        <v>1.5576369999999999</v>
      </c>
      <c r="K9166" s="405">
        <v>33.465986999999998</v>
      </c>
      <c r="L9166" s="405" t="s">
        <v>6866</v>
      </c>
      <c r="M9166" s="405" t="s">
        <v>9658</v>
      </c>
      <c r="N9166" s="405" t="s">
        <v>9658</v>
      </c>
      <c r="O9166" s="405" t="s">
        <v>9659</v>
      </c>
      <c r="P9166" s="405" t="s">
        <v>9660</v>
      </c>
      <c r="Q9166" s="411">
        <v>9</v>
      </c>
      <c r="R9166" s="405" t="s">
        <v>32478</v>
      </c>
      <c r="S9166" s="405" t="s">
        <v>27174</v>
      </c>
      <c r="T9166" s="405" t="s">
        <v>32102</v>
      </c>
      <c r="U9166" s="405" t="s">
        <v>319</v>
      </c>
    </row>
    <row r="9167" spans="1:21" hidden="1" x14ac:dyDescent="0.25">
      <c r="A9167" s="405" t="s">
        <v>310</v>
      </c>
      <c r="B9167" s="405" t="s">
        <v>555</v>
      </c>
      <c r="C9167" s="405" t="s">
        <v>327</v>
      </c>
      <c r="D9167" s="405"/>
      <c r="E9167" s="410">
        <v>40389</v>
      </c>
      <c r="F9167" s="410">
        <v>40434</v>
      </c>
      <c r="G9167" s="405" t="s">
        <v>556</v>
      </c>
      <c r="H9167" s="405">
        <v>752811298</v>
      </c>
      <c r="I9167" s="405"/>
      <c r="J9167" s="405">
        <v>0.444463</v>
      </c>
      <c r="K9167" s="405">
        <v>32.625495000000001</v>
      </c>
      <c r="L9167" s="405" t="s">
        <v>314</v>
      </c>
      <c r="M9167" s="405" t="s">
        <v>361</v>
      </c>
      <c r="N9167" s="405" t="s">
        <v>362</v>
      </c>
      <c r="O9167" s="405" t="s">
        <v>410</v>
      </c>
      <c r="P9167" s="405" t="s">
        <v>557</v>
      </c>
      <c r="Q9167" s="411">
        <v>9</v>
      </c>
      <c r="R9167" s="405" t="s">
        <v>32770</v>
      </c>
      <c r="S9167" s="405" t="s">
        <v>27051</v>
      </c>
      <c r="T9167" s="405" t="s">
        <v>32102</v>
      </c>
      <c r="U9167" s="405" t="s">
        <v>319</v>
      </c>
    </row>
    <row r="9168" spans="1:21" hidden="1" x14ac:dyDescent="0.25">
      <c r="A9168" s="405" t="s">
        <v>310</v>
      </c>
      <c r="B9168" s="405" t="s">
        <v>568</v>
      </c>
      <c r="C9168" s="405" t="s">
        <v>327</v>
      </c>
      <c r="D9168" s="405"/>
      <c r="E9168" s="410">
        <v>40385</v>
      </c>
      <c r="F9168" s="410">
        <v>40430</v>
      </c>
      <c r="G9168" s="405" t="s">
        <v>569</v>
      </c>
      <c r="H9168" s="405">
        <v>782566689</v>
      </c>
      <c r="I9168" s="405"/>
      <c r="J9168" s="405">
        <v>0.53899300000000006</v>
      </c>
      <c r="K9168" s="405">
        <v>31.816665</v>
      </c>
      <c r="L9168" s="405" t="s">
        <v>314</v>
      </c>
      <c r="M9168" s="405" t="s">
        <v>445</v>
      </c>
      <c r="N9168" s="405" t="s">
        <v>570</v>
      </c>
      <c r="O9168" s="405" t="s">
        <v>571</v>
      </c>
      <c r="P9168" s="405" t="s">
        <v>572</v>
      </c>
      <c r="Q9168" s="411">
        <v>12</v>
      </c>
      <c r="R9168" s="405" t="s">
        <v>333</v>
      </c>
      <c r="S9168" s="405" t="s">
        <v>27051</v>
      </c>
      <c r="T9168" s="405" t="s">
        <v>32102</v>
      </c>
      <c r="U9168" s="405" t="s">
        <v>319</v>
      </c>
    </row>
    <row r="9169" spans="1:21" hidden="1" x14ac:dyDescent="0.25">
      <c r="A9169" s="405" t="s">
        <v>310</v>
      </c>
      <c r="B9169" s="405" t="s">
        <v>543</v>
      </c>
      <c r="C9169" s="405" t="s">
        <v>327</v>
      </c>
      <c r="D9169" s="405"/>
      <c r="E9169" s="410">
        <v>40385</v>
      </c>
      <c r="F9169" s="410">
        <v>40430</v>
      </c>
      <c r="G9169" s="405" t="s">
        <v>544</v>
      </c>
      <c r="H9169" s="405">
        <v>751717129</v>
      </c>
      <c r="I9169" s="405"/>
      <c r="J9169" s="405">
        <v>0.36473699999999998</v>
      </c>
      <c r="K9169" s="405">
        <v>32.774695000000001</v>
      </c>
      <c r="L9169" s="405" t="s">
        <v>314</v>
      </c>
      <c r="M9169" s="405" t="s">
        <v>329</v>
      </c>
      <c r="N9169" s="405" t="s">
        <v>545</v>
      </c>
      <c r="O9169" s="405" t="s">
        <v>546</v>
      </c>
      <c r="P9169" s="405" t="s">
        <v>547</v>
      </c>
      <c r="Q9169" s="411">
        <v>6</v>
      </c>
      <c r="R9169" s="405" t="s">
        <v>333</v>
      </c>
      <c r="S9169" s="405" t="s">
        <v>27110</v>
      </c>
      <c r="T9169" s="405" t="s">
        <v>32102</v>
      </c>
      <c r="U9169" s="405" t="s">
        <v>319</v>
      </c>
    </row>
    <row r="9170" spans="1:21" hidden="1" x14ac:dyDescent="0.25">
      <c r="A9170" s="405" t="s">
        <v>310</v>
      </c>
      <c r="B9170" s="405" t="s">
        <v>573</v>
      </c>
      <c r="C9170" s="405" t="s">
        <v>327</v>
      </c>
      <c r="D9170" s="405"/>
      <c r="E9170" s="410">
        <v>40384</v>
      </c>
      <c r="F9170" s="410">
        <v>40429</v>
      </c>
      <c r="G9170" s="405" t="s">
        <v>574</v>
      </c>
      <c r="H9170" s="405">
        <v>752961572</v>
      </c>
      <c r="I9170" s="405"/>
      <c r="J9170" s="405">
        <v>0.27853333333333335</v>
      </c>
      <c r="K9170" s="405">
        <v>32.402528333333329</v>
      </c>
      <c r="L9170" s="405" t="s">
        <v>314</v>
      </c>
      <c r="M9170" s="405" t="s">
        <v>321</v>
      </c>
      <c r="N9170" s="405" t="s">
        <v>322</v>
      </c>
      <c r="O9170" s="405" t="s">
        <v>575</v>
      </c>
      <c r="P9170" s="405" t="s">
        <v>576</v>
      </c>
      <c r="Q9170" s="411">
        <v>9</v>
      </c>
      <c r="R9170" s="405" t="s">
        <v>318</v>
      </c>
      <c r="S9170" s="405" t="s">
        <v>27137</v>
      </c>
      <c r="T9170" s="405" t="s">
        <v>32102</v>
      </c>
      <c r="U9170" s="405" t="s">
        <v>319</v>
      </c>
    </row>
    <row r="9171" spans="1:21" ht="20.25" hidden="1" customHeight="1" x14ac:dyDescent="0.25">
      <c r="A9171" s="405" t="s">
        <v>310</v>
      </c>
      <c r="B9171" s="405" t="s">
        <v>27521</v>
      </c>
      <c r="C9171" s="405" t="s">
        <v>327</v>
      </c>
      <c r="D9171" s="405"/>
      <c r="E9171" s="410">
        <v>40381</v>
      </c>
      <c r="F9171" s="410">
        <v>40426</v>
      </c>
      <c r="G9171" s="405" t="s">
        <v>548</v>
      </c>
      <c r="H9171" s="405">
        <v>772644546</v>
      </c>
      <c r="I9171" s="405">
        <v>772644546</v>
      </c>
      <c r="J9171" s="405">
        <v>0.29661700000000002</v>
      </c>
      <c r="K9171" s="405">
        <v>33.041428000000003</v>
      </c>
      <c r="L9171" s="405" t="s">
        <v>314</v>
      </c>
      <c r="M9171" s="405" t="s">
        <v>349</v>
      </c>
      <c r="N9171" s="405" t="s">
        <v>549</v>
      </c>
      <c r="O9171" s="405" t="s">
        <v>550</v>
      </c>
      <c r="P9171" s="405" t="s">
        <v>551</v>
      </c>
      <c r="Q9171" s="411">
        <v>12</v>
      </c>
      <c r="R9171" s="405" t="s">
        <v>32478</v>
      </c>
      <c r="S9171" s="405" t="s">
        <v>27145</v>
      </c>
      <c r="T9171" s="405" t="s">
        <v>32102</v>
      </c>
      <c r="U9171" s="405" t="s">
        <v>319</v>
      </c>
    </row>
    <row r="9172" spans="1:21" hidden="1" x14ac:dyDescent="0.25">
      <c r="A9172" s="405" t="s">
        <v>310</v>
      </c>
      <c r="B9172" s="405" t="s">
        <v>28326</v>
      </c>
      <c r="C9172" s="405" t="s">
        <v>311</v>
      </c>
      <c r="D9172" s="405" t="s">
        <v>839</v>
      </c>
      <c r="E9172" s="410">
        <v>40381</v>
      </c>
      <c r="F9172" s="410">
        <v>40426</v>
      </c>
      <c r="G9172" s="405" t="s">
        <v>10156</v>
      </c>
      <c r="H9172" s="405">
        <v>755164429</v>
      </c>
      <c r="I9172" s="405"/>
      <c r="J9172" s="405">
        <v>1.3978733333333333</v>
      </c>
      <c r="K9172" s="405">
        <v>32.949806666666667</v>
      </c>
      <c r="L9172" s="405" t="s">
        <v>6866</v>
      </c>
      <c r="M9172" s="405" t="s">
        <v>9520</v>
      </c>
      <c r="N9172" s="405" t="s">
        <v>9554</v>
      </c>
      <c r="O9172" s="405" t="s">
        <v>9522</v>
      </c>
      <c r="P9172" s="405" t="s">
        <v>987</v>
      </c>
      <c r="Q9172" s="411">
        <v>6</v>
      </c>
      <c r="R9172" s="405" t="s">
        <v>32478</v>
      </c>
      <c r="S9172" s="405" t="s">
        <v>27195</v>
      </c>
      <c r="T9172" s="405" t="s">
        <v>32102</v>
      </c>
      <c r="U9172" s="405" t="s">
        <v>319</v>
      </c>
    </row>
    <row r="9173" spans="1:21" hidden="1" x14ac:dyDescent="0.25">
      <c r="A9173" s="405" t="s">
        <v>310</v>
      </c>
      <c r="B9173" s="405" t="s">
        <v>19734</v>
      </c>
      <c r="C9173" s="405" t="s">
        <v>327</v>
      </c>
      <c r="D9173" s="405"/>
      <c r="E9173" s="410">
        <v>40379</v>
      </c>
      <c r="F9173" s="410">
        <v>40424</v>
      </c>
      <c r="G9173" s="405" t="s">
        <v>19735</v>
      </c>
      <c r="H9173" s="405">
        <v>775439142</v>
      </c>
      <c r="I9173" s="405"/>
      <c r="J9173" s="405">
        <v>-0.172457</v>
      </c>
      <c r="K9173" s="405">
        <v>30.816510000000001</v>
      </c>
      <c r="L9173" s="405" t="s">
        <v>590</v>
      </c>
      <c r="M9173" s="405" t="s">
        <v>19705</v>
      </c>
      <c r="N9173" s="405" t="s">
        <v>19706</v>
      </c>
      <c r="O9173" s="405" t="s">
        <v>19736</v>
      </c>
      <c r="P9173" s="405" t="s">
        <v>19737</v>
      </c>
      <c r="Q9173" s="411">
        <v>12</v>
      </c>
      <c r="R9173" s="405" t="s">
        <v>874</v>
      </c>
      <c r="S9173" s="405" t="s">
        <v>27097</v>
      </c>
      <c r="T9173" s="405" t="s">
        <v>32102</v>
      </c>
      <c r="U9173" s="405" t="s">
        <v>319</v>
      </c>
    </row>
    <row r="9174" spans="1:21" hidden="1" x14ac:dyDescent="0.25">
      <c r="A9174" s="405" t="s">
        <v>310</v>
      </c>
      <c r="B9174" s="405" t="s">
        <v>9643</v>
      </c>
      <c r="C9174" s="405" t="s">
        <v>327</v>
      </c>
      <c r="D9174" s="405"/>
      <c r="E9174" s="410">
        <v>40379</v>
      </c>
      <c r="F9174" s="410">
        <v>40424</v>
      </c>
      <c r="G9174" s="405" t="s">
        <v>9644</v>
      </c>
      <c r="H9174" s="405">
        <v>779962931</v>
      </c>
      <c r="I9174" s="405"/>
      <c r="J9174" s="405">
        <v>0.87001799999999996</v>
      </c>
      <c r="K9174" s="405">
        <v>34.208032000000003</v>
      </c>
      <c r="L9174" s="405" t="s">
        <v>6866</v>
      </c>
      <c r="M9174" s="405" t="s">
        <v>9514</v>
      </c>
      <c r="N9174" s="405" t="s">
        <v>9616</v>
      </c>
      <c r="O9174" s="405" t="s">
        <v>9581</v>
      </c>
      <c r="P9174" s="405" t="s">
        <v>9645</v>
      </c>
      <c r="Q9174" s="411">
        <v>9</v>
      </c>
      <c r="R9174" s="405" t="s">
        <v>333</v>
      </c>
      <c r="S9174" s="405" t="s">
        <v>27283</v>
      </c>
      <c r="T9174" s="405" t="s">
        <v>32102</v>
      </c>
      <c r="U9174" s="405" t="s">
        <v>319</v>
      </c>
    </row>
    <row r="9175" spans="1:21" hidden="1" x14ac:dyDescent="0.25">
      <c r="A9175" s="405" t="s">
        <v>310</v>
      </c>
      <c r="B9175" s="405" t="s">
        <v>1202</v>
      </c>
      <c r="C9175" s="405" t="s">
        <v>311</v>
      </c>
      <c r="D9175" s="405" t="s">
        <v>839</v>
      </c>
      <c r="E9175" s="410">
        <v>40379</v>
      </c>
      <c r="F9175" s="410">
        <v>40424</v>
      </c>
      <c r="G9175" s="405" t="s">
        <v>1203</v>
      </c>
      <c r="H9175" s="405">
        <v>754046884</v>
      </c>
      <c r="I9175" s="405"/>
      <c r="J9175" s="405">
        <v>0.47582000000000002</v>
      </c>
      <c r="K9175" s="405">
        <v>32.715843</v>
      </c>
      <c r="L9175" s="405" t="s">
        <v>314</v>
      </c>
      <c r="M9175" s="405" t="s">
        <v>329</v>
      </c>
      <c r="N9175" s="405" t="s">
        <v>545</v>
      </c>
      <c r="O9175" s="405" t="s">
        <v>336</v>
      </c>
      <c r="P9175" s="405" t="s">
        <v>587</v>
      </c>
      <c r="Q9175" s="411">
        <v>6</v>
      </c>
      <c r="R9175" s="405" t="s">
        <v>353</v>
      </c>
      <c r="S9175" s="405" t="s">
        <v>27147</v>
      </c>
      <c r="T9175" s="405" t="s">
        <v>32102</v>
      </c>
      <c r="U9175" s="405" t="s">
        <v>319</v>
      </c>
    </row>
    <row r="9176" spans="1:21" hidden="1" x14ac:dyDescent="0.25">
      <c r="A9176" s="405" t="s">
        <v>310</v>
      </c>
      <c r="B9176" s="405" t="s">
        <v>540</v>
      </c>
      <c r="C9176" s="405" t="s">
        <v>327</v>
      </c>
      <c r="D9176" s="405"/>
      <c r="E9176" s="410">
        <v>40378</v>
      </c>
      <c r="F9176" s="410">
        <v>40423</v>
      </c>
      <c r="G9176" s="405" t="s">
        <v>541</v>
      </c>
      <c r="H9176" s="405">
        <v>772923113</v>
      </c>
      <c r="I9176" s="405"/>
      <c r="J9176" s="405">
        <v>0.51431199999999999</v>
      </c>
      <c r="K9176" s="405">
        <v>31.486618</v>
      </c>
      <c r="L9176" s="405" t="s">
        <v>314</v>
      </c>
      <c r="M9176" s="405" t="s">
        <v>445</v>
      </c>
      <c r="N9176" s="405" t="s">
        <v>446</v>
      </c>
      <c r="O9176" s="405" t="s">
        <v>447</v>
      </c>
      <c r="P9176" s="405" t="s">
        <v>542</v>
      </c>
      <c r="Q9176" s="411">
        <v>6</v>
      </c>
      <c r="R9176" s="405" t="s">
        <v>333</v>
      </c>
      <c r="S9176" s="405" t="s">
        <v>27144</v>
      </c>
      <c r="T9176" s="405" t="s">
        <v>32102</v>
      </c>
      <c r="U9176" s="405" t="s">
        <v>319</v>
      </c>
    </row>
    <row r="9177" spans="1:21" hidden="1" x14ac:dyDescent="0.25">
      <c r="A9177" s="405" t="s">
        <v>310</v>
      </c>
      <c r="B9177" s="405" t="s">
        <v>491</v>
      </c>
      <c r="C9177" s="405" t="s">
        <v>327</v>
      </c>
      <c r="D9177" s="405"/>
      <c r="E9177" s="410">
        <v>40375</v>
      </c>
      <c r="F9177" s="410">
        <v>40420</v>
      </c>
      <c r="G9177" s="405" t="s">
        <v>492</v>
      </c>
      <c r="H9177" s="405">
        <v>753006043</v>
      </c>
      <c r="I9177" s="405"/>
      <c r="J9177" s="405">
        <v>-0.19947000000000001</v>
      </c>
      <c r="K9177" s="405">
        <v>31.504925</v>
      </c>
      <c r="L9177" s="405" t="s">
        <v>314</v>
      </c>
      <c r="M9177" s="405" t="s">
        <v>343</v>
      </c>
      <c r="N9177" s="405" t="s">
        <v>344</v>
      </c>
      <c r="O9177" s="405" t="s">
        <v>345</v>
      </c>
      <c r="P9177" s="405" t="s">
        <v>371</v>
      </c>
      <c r="Q9177" s="411">
        <v>9</v>
      </c>
      <c r="R9177" s="405" t="s">
        <v>318</v>
      </c>
      <c r="S9177" s="405" t="s">
        <v>27109</v>
      </c>
      <c r="T9177" s="405" t="s">
        <v>32102</v>
      </c>
      <c r="U9177" s="405" t="s">
        <v>319</v>
      </c>
    </row>
    <row r="9178" spans="1:21" hidden="1" x14ac:dyDescent="0.25">
      <c r="A9178" s="405" t="s">
        <v>310</v>
      </c>
      <c r="B9178" s="405" t="s">
        <v>9627</v>
      </c>
      <c r="C9178" s="405" t="s">
        <v>327</v>
      </c>
      <c r="D9178" s="405"/>
      <c r="E9178" s="410">
        <v>40374</v>
      </c>
      <c r="F9178" s="410">
        <v>40419</v>
      </c>
      <c r="G9178" s="405" t="s">
        <v>9628</v>
      </c>
      <c r="H9178" s="405">
        <v>772948304</v>
      </c>
      <c r="I9178" s="405"/>
      <c r="J9178" s="405">
        <v>1.1983090000000001</v>
      </c>
      <c r="K9178" s="405">
        <v>34.314982000000001</v>
      </c>
      <c r="L9178" s="405" t="s">
        <v>6866</v>
      </c>
      <c r="M9178" s="405" t="s">
        <v>9575</v>
      </c>
      <c r="N9178" s="405" t="s">
        <v>9629</v>
      </c>
      <c r="O9178" s="405" t="s">
        <v>9630</v>
      </c>
      <c r="P9178" s="405" t="s">
        <v>9631</v>
      </c>
      <c r="Q9178" s="411">
        <v>6</v>
      </c>
      <c r="R9178" s="405" t="s">
        <v>333</v>
      </c>
      <c r="S9178" s="405" t="s">
        <v>27086</v>
      </c>
      <c r="T9178" s="405" t="s">
        <v>32102</v>
      </c>
      <c r="U9178" s="405" t="s">
        <v>319</v>
      </c>
    </row>
    <row r="9179" spans="1:21" hidden="1" x14ac:dyDescent="0.25">
      <c r="A9179" s="405" t="s">
        <v>310</v>
      </c>
      <c r="B9179" s="405" t="s">
        <v>1159</v>
      </c>
      <c r="C9179" s="405" t="s">
        <v>311</v>
      </c>
      <c r="D9179" s="405" t="s">
        <v>839</v>
      </c>
      <c r="E9179" s="410">
        <v>40373</v>
      </c>
      <c r="F9179" s="410">
        <v>40418</v>
      </c>
      <c r="G9179" s="405" t="s">
        <v>1160</v>
      </c>
      <c r="H9179" s="405">
        <v>752519341</v>
      </c>
      <c r="I9179" s="405"/>
      <c r="J9179" s="405">
        <v>0.54768799999999995</v>
      </c>
      <c r="K9179" s="405">
        <v>31.813723</v>
      </c>
      <c r="L9179" s="405" t="s">
        <v>314</v>
      </c>
      <c r="M9179" s="405" t="s">
        <v>445</v>
      </c>
      <c r="N9179" s="405" t="s">
        <v>570</v>
      </c>
      <c r="O9179" s="405" t="s">
        <v>571</v>
      </c>
      <c r="P9179" s="405" t="s">
        <v>1161</v>
      </c>
      <c r="Q9179" s="411">
        <v>9</v>
      </c>
      <c r="R9179" s="405" t="s">
        <v>353</v>
      </c>
      <c r="S9179" s="405" t="s">
        <v>27034</v>
      </c>
      <c r="T9179" s="405" t="s">
        <v>32102</v>
      </c>
      <c r="U9179" s="405" t="s">
        <v>319</v>
      </c>
    </row>
    <row r="9180" spans="1:21" hidden="1" x14ac:dyDescent="0.25">
      <c r="A9180" s="405" t="s">
        <v>310</v>
      </c>
      <c r="B9180" s="413" t="s">
        <v>28997</v>
      </c>
      <c r="C9180" s="413" t="s">
        <v>311</v>
      </c>
      <c r="D9180" s="419" t="s">
        <v>33109</v>
      </c>
      <c r="E9180" s="418">
        <v>40372</v>
      </c>
      <c r="F9180" s="418">
        <v>40417</v>
      </c>
      <c r="G9180" s="413" t="s">
        <v>840</v>
      </c>
      <c r="H9180" s="405">
        <v>753467620</v>
      </c>
      <c r="I9180" s="405"/>
      <c r="J9180" s="405">
        <v>5.0448333333333331E-2</v>
      </c>
      <c r="K9180" s="405">
        <v>32.003656666666664</v>
      </c>
      <c r="L9180" s="405" t="s">
        <v>314</v>
      </c>
      <c r="M9180" s="405" t="s">
        <v>321</v>
      </c>
      <c r="N9180" s="405" t="s">
        <v>322</v>
      </c>
      <c r="O9180" s="405" t="s">
        <v>841</v>
      </c>
      <c r="P9180" s="405" t="s">
        <v>842</v>
      </c>
      <c r="Q9180" s="411">
        <v>6</v>
      </c>
      <c r="R9180" s="405" t="s">
        <v>438</v>
      </c>
      <c r="S9180" s="405" t="s">
        <v>27131</v>
      </c>
      <c r="T9180" s="405" t="s">
        <v>32102</v>
      </c>
      <c r="U9180" s="405" t="s">
        <v>319</v>
      </c>
    </row>
    <row r="9181" spans="1:21" hidden="1" x14ac:dyDescent="0.25">
      <c r="A9181" s="405" t="s">
        <v>310</v>
      </c>
      <c r="B9181" s="405" t="s">
        <v>493</v>
      </c>
      <c r="C9181" s="405" t="s">
        <v>327</v>
      </c>
      <c r="D9181" s="405"/>
      <c r="E9181" s="410">
        <v>40372</v>
      </c>
      <c r="F9181" s="410">
        <v>40417</v>
      </c>
      <c r="G9181" s="405" t="s">
        <v>494</v>
      </c>
      <c r="H9181" s="405">
        <v>782970224</v>
      </c>
      <c r="I9181" s="405"/>
      <c r="J9181" s="405">
        <v>-0.223658</v>
      </c>
      <c r="K9181" s="405">
        <v>31.475439999999999</v>
      </c>
      <c r="L9181" s="405" t="s">
        <v>314</v>
      </c>
      <c r="M9181" s="405" t="s">
        <v>343</v>
      </c>
      <c r="N9181" s="405" t="s">
        <v>344</v>
      </c>
      <c r="O9181" s="405" t="s">
        <v>345</v>
      </c>
      <c r="P9181" s="405" t="s">
        <v>495</v>
      </c>
      <c r="Q9181" s="411">
        <v>6</v>
      </c>
      <c r="R9181" s="405" t="s">
        <v>318</v>
      </c>
      <c r="S9181" s="405" t="s">
        <v>22481</v>
      </c>
      <c r="T9181" s="405" t="s">
        <v>32102</v>
      </c>
      <c r="U9181" s="405" t="s">
        <v>319</v>
      </c>
    </row>
    <row r="9182" spans="1:21" hidden="1" x14ac:dyDescent="0.25">
      <c r="A9182" s="405" t="s">
        <v>310</v>
      </c>
      <c r="B9182" s="405" t="s">
        <v>29025</v>
      </c>
      <c r="C9182" s="405" t="s">
        <v>327</v>
      </c>
      <c r="D9182" s="405"/>
      <c r="E9182" s="410">
        <v>40370</v>
      </c>
      <c r="F9182" s="410">
        <v>40415</v>
      </c>
      <c r="G9182" s="405" t="s">
        <v>9615</v>
      </c>
      <c r="H9182" s="405">
        <v>782334285</v>
      </c>
      <c r="I9182" s="405"/>
      <c r="J9182" s="405">
        <v>1.0601929999999999</v>
      </c>
      <c r="K9182" s="405">
        <v>34.20335</v>
      </c>
      <c r="L9182" s="405" t="s">
        <v>6866</v>
      </c>
      <c r="M9182" s="405" t="s">
        <v>9514</v>
      </c>
      <c r="N9182" s="405" t="s">
        <v>9616</v>
      </c>
      <c r="O9182" s="405" t="s">
        <v>9516</v>
      </c>
      <c r="P9182" s="405" t="s">
        <v>9617</v>
      </c>
      <c r="Q9182" s="411">
        <v>6</v>
      </c>
      <c r="R9182" s="405" t="s">
        <v>333</v>
      </c>
      <c r="S9182" s="405" t="s">
        <v>27302</v>
      </c>
      <c r="T9182" s="405" t="s">
        <v>32102</v>
      </c>
      <c r="U9182" s="405" t="s">
        <v>319</v>
      </c>
    </row>
    <row r="9183" spans="1:21" hidden="1" x14ac:dyDescent="0.25">
      <c r="A9183" s="405" t="s">
        <v>310</v>
      </c>
      <c r="B9183" s="405" t="s">
        <v>9618</v>
      </c>
      <c r="C9183" s="405" t="s">
        <v>327</v>
      </c>
      <c r="D9183" s="405"/>
      <c r="E9183" s="410">
        <v>40370</v>
      </c>
      <c r="F9183" s="410">
        <v>40415</v>
      </c>
      <c r="G9183" s="405" t="s">
        <v>9619</v>
      </c>
      <c r="H9183" s="405">
        <v>753236875</v>
      </c>
      <c r="I9183" s="405"/>
      <c r="J9183" s="405">
        <v>1.4104966666666667</v>
      </c>
      <c r="K9183" s="405">
        <v>32.952711666666666</v>
      </c>
      <c r="L9183" s="405" t="s">
        <v>6866</v>
      </c>
      <c r="M9183" s="405" t="s">
        <v>9520</v>
      </c>
      <c r="N9183" s="405" t="s">
        <v>9554</v>
      </c>
      <c r="O9183" s="405" t="s">
        <v>9522</v>
      </c>
      <c r="P9183" s="405" t="s">
        <v>987</v>
      </c>
      <c r="Q9183" s="411">
        <v>6</v>
      </c>
      <c r="R9183" s="405" t="s">
        <v>32478</v>
      </c>
      <c r="S9183" s="405" t="s">
        <v>27195</v>
      </c>
      <c r="T9183" s="405" t="s">
        <v>32102</v>
      </c>
      <c r="U9183" s="405" t="s">
        <v>319</v>
      </c>
    </row>
    <row r="9184" spans="1:21" hidden="1" x14ac:dyDescent="0.25">
      <c r="A9184" s="405" t="s">
        <v>310</v>
      </c>
      <c r="B9184" s="405" t="s">
        <v>28642</v>
      </c>
      <c r="C9184" s="405" t="s">
        <v>311</v>
      </c>
      <c r="D9184" s="405" t="s">
        <v>312</v>
      </c>
      <c r="E9184" s="410">
        <v>40370</v>
      </c>
      <c r="F9184" s="410">
        <v>40415</v>
      </c>
      <c r="G9184" s="405" t="s">
        <v>1170</v>
      </c>
      <c r="H9184" s="405">
        <v>751840403</v>
      </c>
      <c r="I9184" s="405">
        <v>775011058</v>
      </c>
      <c r="J9184" s="405">
        <v>0.3278166666666667</v>
      </c>
      <c r="K9184" s="405">
        <v>33.033170000000005</v>
      </c>
      <c r="L9184" s="405" t="s">
        <v>314</v>
      </c>
      <c r="M9184" s="405" t="s">
        <v>349</v>
      </c>
      <c r="N9184" s="405" t="s">
        <v>349</v>
      </c>
      <c r="O9184" s="405" t="s">
        <v>349</v>
      </c>
      <c r="P9184" s="405" t="s">
        <v>1171</v>
      </c>
      <c r="Q9184" s="411">
        <v>6</v>
      </c>
      <c r="R9184" s="405" t="s">
        <v>353</v>
      </c>
      <c r="S9184" s="405" t="s">
        <v>27111</v>
      </c>
      <c r="T9184" s="405" t="s">
        <v>32102</v>
      </c>
      <c r="U9184" s="405" t="s">
        <v>319</v>
      </c>
    </row>
    <row r="9185" spans="1:21" hidden="1" x14ac:dyDescent="0.25">
      <c r="A9185" s="405" t="s">
        <v>310</v>
      </c>
      <c r="B9185" s="405" t="s">
        <v>27973</v>
      </c>
      <c r="C9185" s="405" t="s">
        <v>327</v>
      </c>
      <c r="D9185" s="405"/>
      <c r="E9185" s="410">
        <v>40367</v>
      </c>
      <c r="F9185" s="410">
        <v>40412</v>
      </c>
      <c r="G9185" s="405" t="s">
        <v>9625</v>
      </c>
      <c r="H9185" s="405">
        <v>751811276</v>
      </c>
      <c r="I9185" s="405"/>
      <c r="J9185" s="405">
        <v>1.3000983333333334</v>
      </c>
      <c r="K9185" s="405">
        <v>33.106225000000002</v>
      </c>
      <c r="L9185" s="405" t="s">
        <v>6866</v>
      </c>
      <c r="M9185" s="405" t="s">
        <v>9520</v>
      </c>
      <c r="N9185" s="405" t="s">
        <v>9560</v>
      </c>
      <c r="O9185" s="405" t="s">
        <v>9522</v>
      </c>
      <c r="P9185" s="405" t="s">
        <v>9626</v>
      </c>
      <c r="Q9185" s="411">
        <v>6</v>
      </c>
      <c r="R9185" s="405" t="s">
        <v>333</v>
      </c>
      <c r="S9185" s="405" t="s">
        <v>27195</v>
      </c>
      <c r="T9185" s="405" t="s">
        <v>32102</v>
      </c>
      <c r="U9185" s="405" t="s">
        <v>319</v>
      </c>
    </row>
    <row r="9186" spans="1:21" hidden="1" x14ac:dyDescent="0.25">
      <c r="A9186" s="405" t="s">
        <v>310</v>
      </c>
      <c r="B9186" s="405" t="s">
        <v>9610</v>
      </c>
      <c r="C9186" s="405" t="s">
        <v>327</v>
      </c>
      <c r="D9186" s="405"/>
      <c r="E9186" s="410">
        <v>40361</v>
      </c>
      <c r="F9186" s="410">
        <v>40406</v>
      </c>
      <c r="G9186" s="405" t="s">
        <v>9611</v>
      </c>
      <c r="H9186" s="405">
        <v>772470009</v>
      </c>
      <c r="I9186" s="405"/>
      <c r="J9186" s="405">
        <v>0.93334099999999998</v>
      </c>
      <c r="K9186" s="405">
        <v>33.130793400000002</v>
      </c>
      <c r="L9186" s="405" t="s">
        <v>6866</v>
      </c>
      <c r="M9186" s="405" t="s">
        <v>3009</v>
      </c>
      <c r="N9186" s="405" t="s">
        <v>9612</v>
      </c>
      <c r="O9186" s="405" t="s">
        <v>9613</v>
      </c>
      <c r="P9186" s="405" t="s">
        <v>9614</v>
      </c>
      <c r="Q9186" s="411">
        <v>9</v>
      </c>
      <c r="R9186" s="405" t="s">
        <v>333</v>
      </c>
      <c r="S9186" s="405" t="s">
        <v>27301</v>
      </c>
      <c r="T9186" s="405" t="s">
        <v>32102</v>
      </c>
      <c r="U9186" s="405" t="s">
        <v>319</v>
      </c>
    </row>
    <row r="9187" spans="1:21" hidden="1" x14ac:dyDescent="0.25">
      <c r="A9187" s="405" t="s">
        <v>310</v>
      </c>
      <c r="B9187" s="405" t="s">
        <v>27831</v>
      </c>
      <c r="C9187" s="405" t="s">
        <v>327</v>
      </c>
      <c r="D9187" s="405"/>
      <c r="E9187" s="410">
        <v>40359</v>
      </c>
      <c r="F9187" s="410">
        <v>40404</v>
      </c>
      <c r="G9187" s="405" t="s">
        <v>509</v>
      </c>
      <c r="H9187" s="405">
        <v>772409306</v>
      </c>
      <c r="I9187" s="405"/>
      <c r="J9187" s="405">
        <v>0.41579500000000003</v>
      </c>
      <c r="K9187" s="405">
        <v>32.572046999999998</v>
      </c>
      <c r="L9187" s="405" t="s">
        <v>314</v>
      </c>
      <c r="M9187" s="405" t="s">
        <v>361</v>
      </c>
      <c r="N9187" s="405" t="s">
        <v>362</v>
      </c>
      <c r="O9187" s="405" t="s">
        <v>410</v>
      </c>
      <c r="P9187" s="405" t="s">
        <v>510</v>
      </c>
      <c r="Q9187" s="411">
        <v>12</v>
      </c>
      <c r="R9187" s="405" t="s">
        <v>353</v>
      </c>
      <c r="S9187" s="405" t="s">
        <v>27129</v>
      </c>
      <c r="T9187" s="405" t="s">
        <v>32102</v>
      </c>
      <c r="U9187" s="405" t="s">
        <v>319</v>
      </c>
    </row>
    <row r="9188" spans="1:21" hidden="1" x14ac:dyDescent="0.25">
      <c r="A9188" s="405" t="s">
        <v>310</v>
      </c>
      <c r="B9188" s="405" t="s">
        <v>526</v>
      </c>
      <c r="C9188" s="405" t="s">
        <v>857</v>
      </c>
      <c r="D9188" s="405" t="s">
        <v>32484</v>
      </c>
      <c r="E9188" s="410">
        <v>40359</v>
      </c>
      <c r="F9188" s="410">
        <v>40404</v>
      </c>
      <c r="G9188" s="405" t="s">
        <v>527</v>
      </c>
      <c r="H9188" s="405">
        <v>772387332</v>
      </c>
      <c r="I9188" s="405"/>
      <c r="J9188" s="405">
        <v>0.39465699999999998</v>
      </c>
      <c r="K9188" s="405">
        <v>32.858609999999999</v>
      </c>
      <c r="L9188" s="405" t="s">
        <v>314</v>
      </c>
      <c r="M9188" s="405" t="s">
        <v>329</v>
      </c>
      <c r="N9188" s="405" t="s">
        <v>528</v>
      </c>
      <c r="O9188" s="405" t="s">
        <v>529</v>
      </c>
      <c r="P9188" s="405" t="s">
        <v>530</v>
      </c>
      <c r="Q9188" s="411">
        <v>12</v>
      </c>
      <c r="R9188" s="405" t="s">
        <v>318</v>
      </c>
      <c r="S9188" s="405" t="s">
        <v>27035</v>
      </c>
      <c r="T9188" s="405" t="s">
        <v>32102</v>
      </c>
      <c r="U9188" s="405" t="s">
        <v>319</v>
      </c>
    </row>
    <row r="9189" spans="1:21" hidden="1" x14ac:dyDescent="0.25">
      <c r="A9189" s="405" t="s">
        <v>310</v>
      </c>
      <c r="B9189" s="405" t="s">
        <v>500</v>
      </c>
      <c r="C9189" s="405" t="s">
        <v>327</v>
      </c>
      <c r="D9189" s="405"/>
      <c r="E9189" s="410">
        <v>40359</v>
      </c>
      <c r="F9189" s="410">
        <v>40404</v>
      </c>
      <c r="G9189" s="405" t="s">
        <v>501</v>
      </c>
      <c r="H9189" s="405">
        <v>704646070</v>
      </c>
      <c r="I9189" s="405"/>
      <c r="J9189" s="405">
        <v>0.67619799999999997</v>
      </c>
      <c r="K9189" s="405">
        <v>32.995593</v>
      </c>
      <c r="L9189" s="405" t="s">
        <v>314</v>
      </c>
      <c r="M9189" s="405" t="s">
        <v>502</v>
      </c>
      <c r="N9189" s="405" t="s">
        <v>503</v>
      </c>
      <c r="O9189" s="405" t="s">
        <v>504</v>
      </c>
      <c r="P9189" s="405" t="s">
        <v>505</v>
      </c>
      <c r="Q9189" s="411">
        <v>9</v>
      </c>
      <c r="R9189" s="405" t="s">
        <v>353</v>
      </c>
      <c r="S9189" s="405" t="s">
        <v>27129</v>
      </c>
      <c r="T9189" s="405" t="s">
        <v>32102</v>
      </c>
      <c r="U9189" s="405" t="s">
        <v>319</v>
      </c>
    </row>
    <row r="9190" spans="1:21" hidden="1" x14ac:dyDescent="0.25">
      <c r="A9190" s="405" t="s">
        <v>310</v>
      </c>
      <c r="B9190" s="405" t="s">
        <v>521</v>
      </c>
      <c r="C9190" s="405" t="s">
        <v>327</v>
      </c>
      <c r="D9190" s="405"/>
      <c r="E9190" s="410">
        <v>40359</v>
      </c>
      <c r="F9190" s="410">
        <v>40404</v>
      </c>
      <c r="G9190" s="405" t="s">
        <v>522</v>
      </c>
      <c r="H9190" s="405">
        <v>772343150</v>
      </c>
      <c r="I9190" s="405"/>
      <c r="J9190" s="405">
        <v>0.50462499999999999</v>
      </c>
      <c r="K9190" s="405">
        <v>32.526172000000003</v>
      </c>
      <c r="L9190" s="405" t="s">
        <v>314</v>
      </c>
      <c r="M9190" s="405" t="s">
        <v>361</v>
      </c>
      <c r="N9190" s="405" t="s">
        <v>362</v>
      </c>
      <c r="O9190" s="405" t="s">
        <v>523</v>
      </c>
      <c r="P9190" s="405" t="s">
        <v>524</v>
      </c>
      <c r="Q9190" s="411">
        <v>9</v>
      </c>
      <c r="R9190" s="405" t="s">
        <v>525</v>
      </c>
      <c r="S9190" s="405" t="s">
        <v>27112</v>
      </c>
      <c r="T9190" s="405" t="s">
        <v>32102</v>
      </c>
      <c r="U9190" s="405" t="s">
        <v>319</v>
      </c>
    </row>
    <row r="9191" spans="1:21" hidden="1" x14ac:dyDescent="0.25">
      <c r="A9191" s="405" t="s">
        <v>310</v>
      </c>
      <c r="B9191" s="405" t="s">
        <v>496</v>
      </c>
      <c r="C9191" s="405" t="s">
        <v>327</v>
      </c>
      <c r="D9191" s="405"/>
      <c r="E9191" s="410">
        <v>40359</v>
      </c>
      <c r="F9191" s="410">
        <v>40404</v>
      </c>
      <c r="G9191" s="405" t="s">
        <v>497</v>
      </c>
      <c r="H9191" s="405">
        <v>752628418</v>
      </c>
      <c r="I9191" s="405"/>
      <c r="J9191" s="405">
        <v>0.32439999999999997</v>
      </c>
      <c r="K9191" s="405">
        <v>32.677176666666668</v>
      </c>
      <c r="L9191" s="405" t="s">
        <v>314</v>
      </c>
      <c r="M9191" s="405" t="s">
        <v>361</v>
      </c>
      <c r="N9191" s="405" t="s">
        <v>362</v>
      </c>
      <c r="O9191" s="405" t="s">
        <v>498</v>
      </c>
      <c r="P9191" s="405" t="s">
        <v>499</v>
      </c>
      <c r="Q9191" s="411">
        <v>9</v>
      </c>
      <c r="R9191" s="405" t="s">
        <v>318</v>
      </c>
      <c r="S9191" s="405" t="s">
        <v>27112</v>
      </c>
      <c r="T9191" s="405" t="s">
        <v>32102</v>
      </c>
      <c r="U9191" s="405" t="s">
        <v>319</v>
      </c>
    </row>
    <row r="9192" spans="1:21" hidden="1" x14ac:dyDescent="0.25">
      <c r="A9192" s="405" t="s">
        <v>310</v>
      </c>
      <c r="B9192" s="405" t="s">
        <v>517</v>
      </c>
      <c r="C9192" s="405" t="s">
        <v>327</v>
      </c>
      <c r="D9192" s="405"/>
      <c r="E9192" s="410">
        <v>40359</v>
      </c>
      <c r="F9192" s="410">
        <v>40404</v>
      </c>
      <c r="G9192" s="405" t="s">
        <v>518</v>
      </c>
      <c r="H9192" s="405">
        <v>752529647</v>
      </c>
      <c r="I9192" s="405">
        <v>753529647</v>
      </c>
      <c r="J9192" s="405">
        <v>0.28281166666666663</v>
      </c>
      <c r="K9192" s="405">
        <v>32.406960000000005</v>
      </c>
      <c r="L9192" s="405" t="s">
        <v>314</v>
      </c>
      <c r="M9192" s="405" t="s">
        <v>321</v>
      </c>
      <c r="N9192" s="405" t="s">
        <v>322</v>
      </c>
      <c r="O9192" s="405" t="s">
        <v>519</v>
      </c>
      <c r="P9192" s="405" t="s">
        <v>520</v>
      </c>
      <c r="Q9192" s="411">
        <v>9</v>
      </c>
      <c r="R9192" s="405" t="s">
        <v>318</v>
      </c>
      <c r="S9192" s="405" t="s">
        <v>27137</v>
      </c>
      <c r="T9192" s="405" t="s">
        <v>32102</v>
      </c>
      <c r="U9192" s="405" t="s">
        <v>319</v>
      </c>
    </row>
    <row r="9193" spans="1:21" hidden="1" x14ac:dyDescent="0.25">
      <c r="A9193" s="405" t="s">
        <v>310</v>
      </c>
      <c r="B9193" s="405" t="s">
        <v>533</v>
      </c>
      <c r="C9193" s="405" t="s">
        <v>327</v>
      </c>
      <c r="D9193" s="405"/>
      <c r="E9193" s="410">
        <v>40359</v>
      </c>
      <c r="F9193" s="410">
        <v>40404</v>
      </c>
      <c r="G9193" s="405" t="s">
        <v>534</v>
      </c>
      <c r="H9193" s="405">
        <v>772900981</v>
      </c>
      <c r="I9193" s="405"/>
      <c r="J9193" s="405">
        <v>0.481402</v>
      </c>
      <c r="K9193" s="405">
        <v>32.437002999999997</v>
      </c>
      <c r="L9193" s="405" t="s">
        <v>314</v>
      </c>
      <c r="M9193" s="405" t="s">
        <v>361</v>
      </c>
      <c r="N9193" s="405" t="s">
        <v>374</v>
      </c>
      <c r="O9193" s="405" t="s">
        <v>535</v>
      </c>
      <c r="P9193" s="405" t="s">
        <v>536</v>
      </c>
      <c r="Q9193" s="411">
        <v>9</v>
      </c>
      <c r="R9193" s="405" t="s">
        <v>318</v>
      </c>
      <c r="S9193" s="405" t="s">
        <v>414</v>
      </c>
      <c r="T9193" s="405" t="s">
        <v>32102</v>
      </c>
      <c r="U9193" s="405" t="s">
        <v>319</v>
      </c>
    </row>
    <row r="9194" spans="1:21" hidden="1" x14ac:dyDescent="0.25">
      <c r="A9194" s="405" t="s">
        <v>310</v>
      </c>
      <c r="B9194" s="405" t="s">
        <v>28010</v>
      </c>
      <c r="C9194" s="405" t="s">
        <v>327</v>
      </c>
      <c r="D9194" s="405"/>
      <c r="E9194" s="410">
        <v>40359</v>
      </c>
      <c r="F9194" s="410">
        <v>40404</v>
      </c>
      <c r="G9194" s="405" t="s">
        <v>490</v>
      </c>
      <c r="H9194" s="405">
        <v>756951655</v>
      </c>
      <c r="I9194" s="405">
        <v>789819943</v>
      </c>
      <c r="J9194" s="405">
        <v>0.44771850000000002</v>
      </c>
      <c r="K9194" s="405">
        <v>32.7161963</v>
      </c>
      <c r="L9194" s="405" t="s">
        <v>314</v>
      </c>
      <c r="M9194" s="405" t="s">
        <v>329</v>
      </c>
      <c r="N9194" s="405" t="s">
        <v>329</v>
      </c>
      <c r="O9194" s="405" t="s">
        <v>336</v>
      </c>
      <c r="P9194" s="405" t="s">
        <v>337</v>
      </c>
      <c r="Q9194" s="411">
        <v>6</v>
      </c>
      <c r="R9194" s="405" t="s">
        <v>333</v>
      </c>
      <c r="S9194" s="405" t="s">
        <v>27112</v>
      </c>
      <c r="T9194" s="405" t="s">
        <v>32102</v>
      </c>
      <c r="U9194" s="405" t="s">
        <v>319</v>
      </c>
    </row>
    <row r="9195" spans="1:21" hidden="1" x14ac:dyDescent="0.25">
      <c r="A9195" s="405" t="s">
        <v>310</v>
      </c>
      <c r="B9195" s="405" t="s">
        <v>28530</v>
      </c>
      <c r="C9195" s="405" t="s">
        <v>327</v>
      </c>
      <c r="D9195" s="405"/>
      <c r="E9195" s="410">
        <v>40359</v>
      </c>
      <c r="F9195" s="410">
        <v>40404</v>
      </c>
      <c r="G9195" s="405" t="s">
        <v>489</v>
      </c>
      <c r="H9195" s="405">
        <v>785047134</v>
      </c>
      <c r="I9195" s="405">
        <v>752039620</v>
      </c>
      <c r="J9195" s="405">
        <v>0.45187833333333333</v>
      </c>
      <c r="K9195" s="405">
        <v>32.718688333333333</v>
      </c>
      <c r="L9195" s="405" t="s">
        <v>314</v>
      </c>
      <c r="M9195" s="405" t="s">
        <v>329</v>
      </c>
      <c r="N9195" s="405" t="s">
        <v>329</v>
      </c>
      <c r="O9195" s="405" t="s">
        <v>336</v>
      </c>
      <c r="P9195" s="405" t="s">
        <v>337</v>
      </c>
      <c r="Q9195" s="411">
        <v>6</v>
      </c>
      <c r="R9195" s="405" t="s">
        <v>333</v>
      </c>
      <c r="S9195" s="405" t="s">
        <v>27034</v>
      </c>
      <c r="T9195" s="405" t="s">
        <v>32102</v>
      </c>
      <c r="U9195" s="405" t="s">
        <v>319</v>
      </c>
    </row>
    <row r="9196" spans="1:21" hidden="1" x14ac:dyDescent="0.25">
      <c r="A9196" s="405" t="s">
        <v>310</v>
      </c>
      <c r="B9196" s="405" t="s">
        <v>506</v>
      </c>
      <c r="C9196" s="405" t="s">
        <v>327</v>
      </c>
      <c r="D9196" s="405"/>
      <c r="E9196" s="410">
        <v>40359</v>
      </c>
      <c r="F9196" s="410">
        <v>40404</v>
      </c>
      <c r="G9196" s="405" t="s">
        <v>507</v>
      </c>
      <c r="H9196" s="405">
        <v>701994621</v>
      </c>
      <c r="I9196" s="405">
        <v>712951240</v>
      </c>
      <c r="J9196" s="405">
        <v>0.35110999999999998</v>
      </c>
      <c r="K9196" s="405">
        <v>32.771282999999997</v>
      </c>
      <c r="L9196" s="405" t="s">
        <v>314</v>
      </c>
      <c r="M9196" s="405" t="s">
        <v>329</v>
      </c>
      <c r="N9196" s="405" t="s">
        <v>330</v>
      </c>
      <c r="O9196" s="405" t="s">
        <v>331</v>
      </c>
      <c r="P9196" s="405" t="s">
        <v>508</v>
      </c>
      <c r="Q9196" s="411">
        <v>6</v>
      </c>
      <c r="R9196" s="405" t="s">
        <v>333</v>
      </c>
      <c r="S9196" s="405" t="s">
        <v>27141</v>
      </c>
      <c r="T9196" s="405" t="s">
        <v>32102</v>
      </c>
      <c r="U9196" s="405" t="s">
        <v>319</v>
      </c>
    </row>
    <row r="9197" spans="1:21" hidden="1" x14ac:dyDescent="0.25">
      <c r="A9197" s="405" t="s">
        <v>310</v>
      </c>
      <c r="B9197" s="405" t="s">
        <v>1141</v>
      </c>
      <c r="C9197" s="405" t="s">
        <v>327</v>
      </c>
      <c r="D9197" s="405"/>
      <c r="E9197" s="410">
        <v>40359</v>
      </c>
      <c r="F9197" s="410">
        <v>40404</v>
      </c>
      <c r="G9197" s="405" t="s">
        <v>1143</v>
      </c>
      <c r="H9197" s="405">
        <v>782843552</v>
      </c>
      <c r="I9197" s="405">
        <v>701601877</v>
      </c>
      <c r="J9197" s="405">
        <v>0.44771850000000002</v>
      </c>
      <c r="K9197" s="405">
        <v>32.7161963</v>
      </c>
      <c r="L9197" s="405" t="s">
        <v>314</v>
      </c>
      <c r="M9197" s="405" t="s">
        <v>329</v>
      </c>
      <c r="N9197" s="405" t="s">
        <v>329</v>
      </c>
      <c r="O9197" s="405" t="s">
        <v>336</v>
      </c>
      <c r="P9197" s="405" t="s">
        <v>337</v>
      </c>
      <c r="Q9197" s="411">
        <v>6</v>
      </c>
      <c r="R9197" s="405" t="s">
        <v>333</v>
      </c>
      <c r="S9197" s="405" t="s">
        <v>27106</v>
      </c>
      <c r="T9197" s="405" t="s">
        <v>32102</v>
      </c>
      <c r="U9197" s="405" t="s">
        <v>319</v>
      </c>
    </row>
    <row r="9198" spans="1:21" hidden="1" x14ac:dyDescent="0.25">
      <c r="A9198" s="405" t="s">
        <v>310</v>
      </c>
      <c r="B9198" s="405" t="s">
        <v>514</v>
      </c>
      <c r="C9198" s="405" t="s">
        <v>327</v>
      </c>
      <c r="D9198" s="405"/>
      <c r="E9198" s="410">
        <v>40359</v>
      </c>
      <c r="F9198" s="410">
        <v>40404</v>
      </c>
      <c r="G9198" s="405" t="s">
        <v>515</v>
      </c>
      <c r="H9198" s="405">
        <v>702624610</v>
      </c>
      <c r="I9198" s="405"/>
      <c r="J9198" s="405">
        <v>0.31209300000000001</v>
      </c>
      <c r="K9198" s="405">
        <v>32.503481999999998</v>
      </c>
      <c r="L9198" s="405" t="s">
        <v>314</v>
      </c>
      <c r="M9198" s="405" t="s">
        <v>361</v>
      </c>
      <c r="N9198" s="405" t="s">
        <v>374</v>
      </c>
      <c r="O9198" s="405" t="s">
        <v>361</v>
      </c>
      <c r="P9198" s="405" t="s">
        <v>516</v>
      </c>
      <c r="Q9198" s="411">
        <v>6</v>
      </c>
      <c r="R9198" s="405" t="s">
        <v>318</v>
      </c>
      <c r="S9198" s="405" t="s">
        <v>27113</v>
      </c>
      <c r="T9198" s="405" t="s">
        <v>32102</v>
      </c>
      <c r="U9198" s="405" t="s">
        <v>319</v>
      </c>
    </row>
    <row r="9199" spans="1:21" hidden="1" x14ac:dyDescent="0.25">
      <c r="A9199" s="405" t="s">
        <v>310</v>
      </c>
      <c r="B9199" s="405" t="s">
        <v>1172</v>
      </c>
      <c r="C9199" s="405" t="s">
        <v>311</v>
      </c>
      <c r="D9199" s="405" t="s">
        <v>932</v>
      </c>
      <c r="E9199" s="410">
        <v>40359</v>
      </c>
      <c r="F9199" s="410">
        <v>40404</v>
      </c>
      <c r="G9199" s="405" t="s">
        <v>1173</v>
      </c>
      <c r="H9199" s="405">
        <v>782630100</v>
      </c>
      <c r="I9199" s="405"/>
      <c r="J9199" s="405">
        <v>0.45609300000000003</v>
      </c>
      <c r="K9199" s="405">
        <v>32.542332999999999</v>
      </c>
      <c r="L9199" s="405" t="s">
        <v>314</v>
      </c>
      <c r="M9199" s="405" t="s">
        <v>361</v>
      </c>
      <c r="N9199" s="405" t="s">
        <v>362</v>
      </c>
      <c r="O9199" s="405" t="s">
        <v>410</v>
      </c>
      <c r="P9199" s="405" t="s">
        <v>1174</v>
      </c>
      <c r="Q9199" s="411">
        <v>6</v>
      </c>
      <c r="R9199" s="405" t="s">
        <v>353</v>
      </c>
      <c r="S9199" s="405" t="s">
        <v>27115</v>
      </c>
      <c r="T9199" s="405" t="s">
        <v>32102</v>
      </c>
      <c r="U9199" s="405" t="s">
        <v>319</v>
      </c>
    </row>
    <row r="9200" spans="1:21" hidden="1" x14ac:dyDescent="0.25">
      <c r="A9200" s="405" t="s">
        <v>310</v>
      </c>
      <c r="B9200" s="405" t="s">
        <v>531</v>
      </c>
      <c r="C9200" s="405" t="s">
        <v>327</v>
      </c>
      <c r="D9200" s="405"/>
      <c r="E9200" s="410">
        <v>40359</v>
      </c>
      <c r="F9200" s="410">
        <v>40404</v>
      </c>
      <c r="G9200" s="405" t="s">
        <v>532</v>
      </c>
      <c r="H9200" s="405">
        <v>775434999</v>
      </c>
      <c r="I9200" s="405"/>
      <c r="J9200" s="405">
        <v>0.44954850000000002</v>
      </c>
      <c r="K9200" s="405">
        <v>32.681908700000001</v>
      </c>
      <c r="L9200" s="405" t="s">
        <v>314</v>
      </c>
      <c r="M9200" s="405" t="s">
        <v>329</v>
      </c>
      <c r="N9200" s="405" t="s">
        <v>329</v>
      </c>
      <c r="O9200" s="405" t="s">
        <v>336</v>
      </c>
      <c r="P9200" s="405" t="s">
        <v>337</v>
      </c>
      <c r="Q9200" s="411">
        <v>6</v>
      </c>
      <c r="R9200" s="405" t="s">
        <v>333</v>
      </c>
      <c r="S9200" s="405" t="s">
        <v>27143</v>
      </c>
      <c r="T9200" s="405" t="s">
        <v>32102</v>
      </c>
      <c r="U9200" s="405" t="s">
        <v>319</v>
      </c>
    </row>
    <row r="9201" spans="1:21" hidden="1" x14ac:dyDescent="0.25">
      <c r="A9201" s="405" t="s">
        <v>310</v>
      </c>
      <c r="B9201" s="405" t="s">
        <v>9632</v>
      </c>
      <c r="C9201" s="405" t="s">
        <v>327</v>
      </c>
      <c r="D9201" s="405"/>
      <c r="E9201" s="410">
        <v>40359</v>
      </c>
      <c r="F9201" s="410">
        <v>40404</v>
      </c>
      <c r="G9201" s="405" t="s">
        <v>9633</v>
      </c>
      <c r="H9201" s="405">
        <v>782486518</v>
      </c>
      <c r="I9201" s="405"/>
      <c r="J9201" s="405">
        <v>1.3306229999999999</v>
      </c>
      <c r="K9201" s="405">
        <v>34.283400999999998</v>
      </c>
      <c r="L9201" s="405" t="s">
        <v>6866</v>
      </c>
      <c r="M9201" s="405" t="s">
        <v>9550</v>
      </c>
      <c r="N9201" s="405" t="s">
        <v>9550</v>
      </c>
      <c r="O9201" s="405" t="s">
        <v>9634</v>
      </c>
      <c r="P9201" s="405" t="s">
        <v>9635</v>
      </c>
      <c r="Q9201" s="411">
        <v>6</v>
      </c>
      <c r="R9201" s="405" t="s">
        <v>333</v>
      </c>
      <c r="S9201" s="405" t="s">
        <v>27200</v>
      </c>
      <c r="T9201" s="405" t="s">
        <v>32102</v>
      </c>
      <c r="U9201" s="405" t="s">
        <v>319</v>
      </c>
    </row>
    <row r="9202" spans="1:21" hidden="1" x14ac:dyDescent="0.25">
      <c r="A9202" s="405" t="s">
        <v>310</v>
      </c>
      <c r="B9202" s="405" t="s">
        <v>28750</v>
      </c>
      <c r="C9202" s="405" t="s">
        <v>311</v>
      </c>
      <c r="D9202" s="405" t="s">
        <v>839</v>
      </c>
      <c r="E9202" s="410">
        <v>40359</v>
      </c>
      <c r="F9202" s="410">
        <v>40404</v>
      </c>
      <c r="G9202" s="405" t="s">
        <v>1177</v>
      </c>
      <c r="H9202" s="405">
        <v>772697875</v>
      </c>
      <c r="I9202" s="405"/>
      <c r="J9202" s="405">
        <v>0.43734329999999999</v>
      </c>
      <c r="K9202" s="405">
        <v>32.577604299999997</v>
      </c>
      <c r="L9202" s="405" t="s">
        <v>314</v>
      </c>
      <c r="M9202" s="405" t="s">
        <v>361</v>
      </c>
      <c r="N9202" s="405" t="s">
        <v>362</v>
      </c>
      <c r="O9202" s="405" t="s">
        <v>469</v>
      </c>
      <c r="P9202" s="405" t="s">
        <v>513</v>
      </c>
      <c r="Q9202" s="411">
        <v>6</v>
      </c>
      <c r="R9202" s="405" t="s">
        <v>353</v>
      </c>
      <c r="S9202" s="405" t="s">
        <v>27115</v>
      </c>
      <c r="T9202" s="405" t="s">
        <v>32102</v>
      </c>
      <c r="U9202" s="405" t="s">
        <v>319</v>
      </c>
    </row>
    <row r="9203" spans="1:21" hidden="1" x14ac:dyDescent="0.25">
      <c r="A9203" s="405" t="s">
        <v>310</v>
      </c>
      <c r="B9203" s="405" t="s">
        <v>1178</v>
      </c>
      <c r="C9203" s="405" t="s">
        <v>311</v>
      </c>
      <c r="D9203" s="405" t="s">
        <v>932</v>
      </c>
      <c r="E9203" s="410">
        <v>40359</v>
      </c>
      <c r="F9203" s="410">
        <v>40404</v>
      </c>
      <c r="G9203" s="405" t="s">
        <v>1179</v>
      </c>
      <c r="H9203" s="405">
        <v>789879091</v>
      </c>
      <c r="I9203" s="405"/>
      <c r="J9203" s="405">
        <v>0.45692166666666661</v>
      </c>
      <c r="K9203" s="405">
        <v>32.732695</v>
      </c>
      <c r="L9203" s="405" t="s">
        <v>314</v>
      </c>
      <c r="M9203" s="405" t="s">
        <v>329</v>
      </c>
      <c r="N9203" s="405" t="s">
        <v>329</v>
      </c>
      <c r="O9203" s="405" t="s">
        <v>336</v>
      </c>
      <c r="P9203" s="405" t="s">
        <v>337</v>
      </c>
      <c r="Q9203" s="411">
        <v>6</v>
      </c>
      <c r="R9203" s="405" t="s">
        <v>333</v>
      </c>
      <c r="S9203" s="405" t="s">
        <v>27136</v>
      </c>
      <c r="T9203" s="405" t="s">
        <v>32102</v>
      </c>
      <c r="U9203" s="405" t="s">
        <v>319</v>
      </c>
    </row>
    <row r="9204" spans="1:21" hidden="1" x14ac:dyDescent="0.25">
      <c r="A9204" s="405" t="s">
        <v>310</v>
      </c>
      <c r="B9204" s="405" t="s">
        <v>511</v>
      </c>
      <c r="C9204" s="405" t="s">
        <v>327</v>
      </c>
      <c r="D9204" s="405"/>
      <c r="E9204" s="410">
        <v>40359</v>
      </c>
      <c r="F9204" s="410">
        <v>40404</v>
      </c>
      <c r="G9204" s="405" t="s">
        <v>512</v>
      </c>
      <c r="H9204" s="405">
        <v>712945607</v>
      </c>
      <c r="I9204" s="405"/>
      <c r="J9204" s="405">
        <v>0.42181200000000002</v>
      </c>
      <c r="K9204" s="405">
        <v>32.545332999999999</v>
      </c>
      <c r="L9204" s="405" t="s">
        <v>314</v>
      </c>
      <c r="M9204" s="405" t="s">
        <v>361</v>
      </c>
      <c r="N9204" s="405" t="s">
        <v>362</v>
      </c>
      <c r="O9204" s="405" t="s">
        <v>469</v>
      </c>
      <c r="P9204" s="405" t="s">
        <v>513</v>
      </c>
      <c r="Q9204" s="411">
        <v>6</v>
      </c>
      <c r="R9204" s="405" t="s">
        <v>32770</v>
      </c>
      <c r="S9204" s="405" t="s">
        <v>27142</v>
      </c>
      <c r="T9204" s="405" t="s">
        <v>32102</v>
      </c>
      <c r="U9204" s="405" t="s">
        <v>319</v>
      </c>
    </row>
    <row r="9205" spans="1:21" hidden="1" x14ac:dyDescent="0.25">
      <c r="A9205" s="405" t="s">
        <v>310</v>
      </c>
      <c r="B9205" s="405" t="s">
        <v>1144</v>
      </c>
      <c r="C9205" s="405" t="s">
        <v>311</v>
      </c>
      <c r="D9205" s="405" t="s">
        <v>839</v>
      </c>
      <c r="E9205" s="410">
        <v>40359</v>
      </c>
      <c r="F9205" s="410">
        <v>40404</v>
      </c>
      <c r="G9205" s="405" t="s">
        <v>1145</v>
      </c>
      <c r="H9205" s="405">
        <v>777469853</v>
      </c>
      <c r="I9205" s="405"/>
      <c r="J9205" s="405">
        <v>0.350302</v>
      </c>
      <c r="K9205" s="405">
        <v>32.773511999999997</v>
      </c>
      <c r="L9205" s="405" t="s">
        <v>314</v>
      </c>
      <c r="M9205" s="405" t="s">
        <v>329</v>
      </c>
      <c r="N9205" s="405" t="s">
        <v>330</v>
      </c>
      <c r="O9205" s="405" t="s">
        <v>331</v>
      </c>
      <c r="P9205" s="405" t="s">
        <v>508</v>
      </c>
      <c r="Q9205" s="411">
        <v>6</v>
      </c>
      <c r="R9205" s="405" t="s">
        <v>333</v>
      </c>
      <c r="S9205" s="405" t="s">
        <v>27140</v>
      </c>
      <c r="T9205" s="405" t="s">
        <v>32102</v>
      </c>
      <c r="U9205" s="405" t="s">
        <v>319</v>
      </c>
    </row>
    <row r="9206" spans="1:21" hidden="1" x14ac:dyDescent="0.25">
      <c r="A9206" s="405" t="s">
        <v>310</v>
      </c>
      <c r="B9206" s="405" t="s">
        <v>19723</v>
      </c>
      <c r="C9206" s="405" t="s">
        <v>327</v>
      </c>
      <c r="D9206" s="405"/>
      <c r="E9206" s="410">
        <v>40351</v>
      </c>
      <c r="F9206" s="410">
        <v>40396</v>
      </c>
      <c r="G9206" s="405" t="s">
        <v>19724</v>
      </c>
      <c r="H9206" s="405">
        <v>752851196</v>
      </c>
      <c r="I9206" s="405"/>
      <c r="J9206" s="405">
        <v>-0.69222099999999998</v>
      </c>
      <c r="K9206" s="405">
        <v>30.245021000000001</v>
      </c>
      <c r="L9206" s="405" t="s">
        <v>590</v>
      </c>
      <c r="M9206" s="405" t="s">
        <v>19725</v>
      </c>
      <c r="N9206" s="405" t="s">
        <v>19725</v>
      </c>
      <c r="O9206" s="405" t="s">
        <v>19726</v>
      </c>
      <c r="P9206" s="405" t="s">
        <v>19727</v>
      </c>
      <c r="Q9206" s="411">
        <v>6</v>
      </c>
      <c r="R9206" s="405" t="s">
        <v>333</v>
      </c>
      <c r="S9206" s="405" t="s">
        <v>27183</v>
      </c>
      <c r="T9206" s="405" t="s">
        <v>32102</v>
      </c>
      <c r="U9206" s="405" t="s">
        <v>319</v>
      </c>
    </row>
    <row r="9207" spans="1:21" hidden="1" x14ac:dyDescent="0.25">
      <c r="A9207" s="405" t="s">
        <v>310</v>
      </c>
      <c r="B9207" s="405" t="s">
        <v>9620</v>
      </c>
      <c r="C9207" s="405" t="s">
        <v>327</v>
      </c>
      <c r="D9207" s="405"/>
      <c r="E9207" s="410">
        <v>40346</v>
      </c>
      <c r="F9207" s="410">
        <v>40391</v>
      </c>
      <c r="G9207" s="405" t="s">
        <v>9621</v>
      </c>
      <c r="H9207" s="405">
        <v>757218540</v>
      </c>
      <c r="I9207" s="405"/>
      <c r="J9207" s="405">
        <v>1.39758</v>
      </c>
      <c r="K9207" s="405">
        <v>32.944200000000002</v>
      </c>
      <c r="L9207" s="405" t="s">
        <v>6866</v>
      </c>
      <c r="M9207" s="405" t="s">
        <v>9520</v>
      </c>
      <c r="N9207" s="405" t="s">
        <v>9554</v>
      </c>
      <c r="O9207" s="405" t="s">
        <v>9522</v>
      </c>
      <c r="P9207" s="405" t="s">
        <v>987</v>
      </c>
      <c r="Q9207" s="411">
        <v>6</v>
      </c>
      <c r="R9207" s="405" t="s">
        <v>333</v>
      </c>
      <c r="S9207" s="405" t="s">
        <v>27195</v>
      </c>
      <c r="T9207" s="405" t="s">
        <v>32102</v>
      </c>
      <c r="U9207" s="405" t="s">
        <v>319</v>
      </c>
    </row>
    <row r="9208" spans="1:21" hidden="1" x14ac:dyDescent="0.25">
      <c r="A9208" s="405" t="s">
        <v>310</v>
      </c>
      <c r="B9208" s="405" t="s">
        <v>9579</v>
      </c>
      <c r="C9208" s="405" t="s">
        <v>327</v>
      </c>
      <c r="D9208" s="405"/>
      <c r="E9208" s="410">
        <v>40345</v>
      </c>
      <c r="F9208" s="410">
        <v>40390</v>
      </c>
      <c r="G9208" s="405" t="s">
        <v>9580</v>
      </c>
      <c r="H9208" s="405">
        <v>772192237</v>
      </c>
      <c r="I9208" s="405"/>
      <c r="J9208" s="405">
        <v>0.844302</v>
      </c>
      <c r="K9208" s="405">
        <v>34.173879999999997</v>
      </c>
      <c r="L9208" s="405" t="s">
        <v>6866</v>
      </c>
      <c r="M9208" s="405" t="s">
        <v>9514</v>
      </c>
      <c r="N9208" s="405" t="s">
        <v>9529</v>
      </c>
      <c r="O9208" s="405" t="s">
        <v>9581</v>
      </c>
      <c r="P9208" s="405" t="s">
        <v>9582</v>
      </c>
      <c r="Q9208" s="411">
        <v>9</v>
      </c>
      <c r="R9208" s="405" t="s">
        <v>7224</v>
      </c>
      <c r="S9208" s="405" t="s">
        <v>27142</v>
      </c>
      <c r="T9208" s="405" t="s">
        <v>32102</v>
      </c>
      <c r="U9208" s="405" t="s">
        <v>319</v>
      </c>
    </row>
    <row r="9209" spans="1:21" hidden="1" x14ac:dyDescent="0.25">
      <c r="A9209" s="405" t="s">
        <v>310</v>
      </c>
      <c r="B9209" s="405" t="s">
        <v>485</v>
      </c>
      <c r="C9209" s="405" t="s">
        <v>327</v>
      </c>
      <c r="D9209" s="405"/>
      <c r="E9209" s="410">
        <v>40344</v>
      </c>
      <c r="F9209" s="410">
        <v>40389</v>
      </c>
      <c r="G9209" s="405" t="s">
        <v>486</v>
      </c>
      <c r="H9209" s="405">
        <v>752497054</v>
      </c>
      <c r="I9209" s="405"/>
      <c r="J9209" s="405">
        <v>0.44551833333333335</v>
      </c>
      <c r="K9209" s="405">
        <v>33.171571666666665</v>
      </c>
      <c r="L9209" s="405" t="s">
        <v>314</v>
      </c>
      <c r="M9209" s="405" t="s">
        <v>349</v>
      </c>
      <c r="N9209" s="405" t="s">
        <v>349</v>
      </c>
      <c r="O9209" s="405" t="s">
        <v>487</v>
      </c>
      <c r="P9209" s="405" t="s">
        <v>488</v>
      </c>
      <c r="Q9209" s="411">
        <v>6</v>
      </c>
      <c r="R9209" s="405" t="s">
        <v>333</v>
      </c>
      <c r="S9209" s="405" t="s">
        <v>27138</v>
      </c>
      <c r="T9209" s="405" t="s">
        <v>32102</v>
      </c>
      <c r="U9209" s="405" t="s">
        <v>319</v>
      </c>
    </row>
    <row r="9210" spans="1:21" hidden="1" x14ac:dyDescent="0.25">
      <c r="A9210" s="405" t="s">
        <v>310</v>
      </c>
      <c r="B9210" s="405" t="s">
        <v>28221</v>
      </c>
      <c r="C9210" s="405" t="s">
        <v>327</v>
      </c>
      <c r="D9210" s="405"/>
      <c r="E9210" s="410">
        <v>40343</v>
      </c>
      <c r="F9210" s="410">
        <v>40388</v>
      </c>
      <c r="G9210" s="405" t="s">
        <v>9570</v>
      </c>
      <c r="H9210" s="405">
        <v>702623603</v>
      </c>
      <c r="I9210" s="405"/>
      <c r="J9210" s="405">
        <v>1.0458369999999999</v>
      </c>
      <c r="K9210" s="405">
        <v>34.175113000000003</v>
      </c>
      <c r="L9210" s="405" t="s">
        <v>6866</v>
      </c>
      <c r="M9210" s="405" t="s">
        <v>9514</v>
      </c>
      <c r="N9210" s="405" t="s">
        <v>9529</v>
      </c>
      <c r="O9210" s="405" t="s">
        <v>9571</v>
      </c>
      <c r="P9210" s="405" t="s">
        <v>9572</v>
      </c>
      <c r="Q9210" s="411">
        <v>6</v>
      </c>
      <c r="R9210" s="405" t="s">
        <v>333</v>
      </c>
      <c r="S9210" s="405" t="s">
        <v>27299</v>
      </c>
      <c r="T9210" s="405" t="s">
        <v>32102</v>
      </c>
      <c r="U9210" s="405" t="s">
        <v>319</v>
      </c>
    </row>
    <row r="9211" spans="1:21" hidden="1" x14ac:dyDescent="0.25">
      <c r="A9211" s="405" t="s">
        <v>310</v>
      </c>
      <c r="B9211" s="405" t="s">
        <v>9558</v>
      </c>
      <c r="C9211" s="405" t="s">
        <v>327</v>
      </c>
      <c r="D9211" s="405"/>
      <c r="E9211" s="410">
        <v>40343</v>
      </c>
      <c r="F9211" s="410">
        <v>40388</v>
      </c>
      <c r="G9211" s="405" t="s">
        <v>9559</v>
      </c>
      <c r="H9211" s="405">
        <v>755659848</v>
      </c>
      <c r="I9211" s="405"/>
      <c r="J9211" s="405">
        <v>1.3000983333333334</v>
      </c>
      <c r="K9211" s="405">
        <v>33.106225000000002</v>
      </c>
      <c r="L9211" s="405" t="s">
        <v>6866</v>
      </c>
      <c r="M9211" s="405" t="s">
        <v>9520</v>
      </c>
      <c r="N9211" s="405" t="s">
        <v>9560</v>
      </c>
      <c r="O9211" s="405" t="s">
        <v>9522</v>
      </c>
      <c r="P9211" s="405" t="s">
        <v>987</v>
      </c>
      <c r="Q9211" s="411">
        <v>6</v>
      </c>
      <c r="R9211" s="405" t="s">
        <v>333</v>
      </c>
      <c r="S9211" s="405" t="s">
        <v>27195</v>
      </c>
      <c r="T9211" s="405" t="s">
        <v>32102</v>
      </c>
      <c r="U9211" s="405" t="s">
        <v>319</v>
      </c>
    </row>
    <row r="9212" spans="1:21" hidden="1" x14ac:dyDescent="0.25">
      <c r="A9212" s="405" t="s">
        <v>310</v>
      </c>
      <c r="B9212" s="405" t="s">
        <v>9573</v>
      </c>
      <c r="C9212" s="405" t="s">
        <v>327</v>
      </c>
      <c r="D9212" s="405"/>
      <c r="E9212" s="410">
        <v>40343</v>
      </c>
      <c r="F9212" s="410">
        <v>40388</v>
      </c>
      <c r="G9212" s="405" t="s">
        <v>9574</v>
      </c>
      <c r="H9212" s="405">
        <v>774144880</v>
      </c>
      <c r="I9212" s="405"/>
      <c r="J9212" s="405">
        <v>1.1676850000000001</v>
      </c>
      <c r="K9212" s="405">
        <v>34.241292000000001</v>
      </c>
      <c r="L9212" s="405" t="s">
        <v>6866</v>
      </c>
      <c r="M9212" s="405" t="s">
        <v>9575</v>
      </c>
      <c r="N9212" s="405" t="s">
        <v>9576</v>
      </c>
      <c r="O9212" s="405" t="s">
        <v>9577</v>
      </c>
      <c r="P9212" s="405" t="s">
        <v>9578</v>
      </c>
      <c r="Q9212" s="411">
        <v>6</v>
      </c>
      <c r="R9212" s="405" t="s">
        <v>333</v>
      </c>
      <c r="S9212" s="405" t="s">
        <v>27294</v>
      </c>
      <c r="T9212" s="405" t="s">
        <v>32102</v>
      </c>
      <c r="U9212" s="405" t="s">
        <v>319</v>
      </c>
    </row>
    <row r="9213" spans="1:21" hidden="1" x14ac:dyDescent="0.25">
      <c r="A9213" s="405" t="s">
        <v>310</v>
      </c>
      <c r="B9213" s="405" t="s">
        <v>1105</v>
      </c>
      <c r="C9213" s="405" t="s">
        <v>311</v>
      </c>
      <c r="D9213" s="405" t="s">
        <v>839</v>
      </c>
      <c r="E9213" s="410">
        <v>40342</v>
      </c>
      <c r="F9213" s="410">
        <v>40387</v>
      </c>
      <c r="G9213" s="405" t="s">
        <v>1106</v>
      </c>
      <c r="H9213" s="405">
        <v>772933027</v>
      </c>
      <c r="I9213" s="405">
        <v>772933027</v>
      </c>
      <c r="J9213" s="405">
        <v>0.281835</v>
      </c>
      <c r="K9213" s="405">
        <v>33.039988000000001</v>
      </c>
      <c r="L9213" s="405" t="s">
        <v>314</v>
      </c>
      <c r="M9213" s="405" t="s">
        <v>349</v>
      </c>
      <c r="N9213" s="405" t="s">
        <v>1107</v>
      </c>
      <c r="O9213" s="405" t="s">
        <v>1108</v>
      </c>
      <c r="P9213" s="405" t="s">
        <v>1109</v>
      </c>
      <c r="Q9213" s="411">
        <v>6</v>
      </c>
      <c r="R9213" s="405" t="s">
        <v>32478</v>
      </c>
      <c r="S9213" s="405" t="s">
        <v>27111</v>
      </c>
      <c r="T9213" s="405" t="s">
        <v>32102</v>
      </c>
      <c r="U9213" s="405" t="s">
        <v>319</v>
      </c>
    </row>
    <row r="9214" spans="1:21" hidden="1" x14ac:dyDescent="0.25">
      <c r="A9214" s="405" t="s">
        <v>310</v>
      </c>
      <c r="B9214" s="405" t="s">
        <v>9601</v>
      </c>
      <c r="C9214" s="405" t="s">
        <v>327</v>
      </c>
      <c r="D9214" s="405"/>
      <c r="E9214" s="410">
        <v>40342</v>
      </c>
      <c r="F9214" s="410">
        <v>40387</v>
      </c>
      <c r="G9214" s="405" t="s">
        <v>9602</v>
      </c>
      <c r="H9214" s="405">
        <v>774550524</v>
      </c>
      <c r="I9214" s="405"/>
      <c r="J9214" s="405">
        <v>0.98005299999999995</v>
      </c>
      <c r="K9214" s="405">
        <v>34.158790000000003</v>
      </c>
      <c r="L9214" s="405" t="s">
        <v>6866</v>
      </c>
      <c r="M9214" s="405" t="s">
        <v>9514</v>
      </c>
      <c r="N9214" s="405" t="s">
        <v>9529</v>
      </c>
      <c r="O9214" s="405" t="s">
        <v>9603</v>
      </c>
      <c r="P9214" s="405" t="s">
        <v>9604</v>
      </c>
      <c r="Q9214" s="411">
        <v>6</v>
      </c>
      <c r="R9214" s="405" t="s">
        <v>333</v>
      </c>
      <c r="S9214" s="405" t="s">
        <v>27300</v>
      </c>
      <c r="T9214" s="405" t="s">
        <v>32102</v>
      </c>
      <c r="U9214" s="405" t="s">
        <v>319</v>
      </c>
    </row>
    <row r="9215" spans="1:21" hidden="1" x14ac:dyDescent="0.25">
      <c r="A9215" s="405" t="s">
        <v>310</v>
      </c>
      <c r="B9215" s="405" t="s">
        <v>19718</v>
      </c>
      <c r="C9215" s="405" t="s">
        <v>327</v>
      </c>
      <c r="D9215" s="405"/>
      <c r="E9215" s="410">
        <v>40341</v>
      </c>
      <c r="F9215" s="410">
        <v>40386</v>
      </c>
      <c r="G9215" s="405" t="s">
        <v>19719</v>
      </c>
      <c r="H9215" s="405">
        <v>774103854</v>
      </c>
      <c r="I9215" s="405"/>
      <c r="J9215" s="405">
        <v>0.21140800000000001</v>
      </c>
      <c r="K9215" s="405">
        <v>30.613576999999999</v>
      </c>
      <c r="L9215" s="405" t="s">
        <v>590</v>
      </c>
      <c r="M9215" s="405" t="s">
        <v>19720</v>
      </c>
      <c r="N9215" s="405" t="s">
        <v>19721</v>
      </c>
      <c r="O9215" s="405" t="s">
        <v>19722</v>
      </c>
      <c r="P9215" s="405" t="s">
        <v>7898</v>
      </c>
      <c r="Q9215" s="411">
        <v>6</v>
      </c>
      <c r="R9215" s="405" t="s">
        <v>402</v>
      </c>
      <c r="S9215" s="405" t="s">
        <v>27154</v>
      </c>
      <c r="T9215" s="405" t="s">
        <v>32102</v>
      </c>
      <c r="U9215" s="405" t="s">
        <v>319</v>
      </c>
    </row>
    <row r="9216" spans="1:21" hidden="1" x14ac:dyDescent="0.25">
      <c r="A9216" s="405" t="s">
        <v>310</v>
      </c>
      <c r="B9216" s="405" t="s">
        <v>19703</v>
      </c>
      <c r="C9216" s="405" t="s">
        <v>327</v>
      </c>
      <c r="D9216" s="405"/>
      <c r="E9216" s="410">
        <v>40340</v>
      </c>
      <c r="F9216" s="410">
        <v>40385</v>
      </c>
      <c r="G9216" s="405" t="s">
        <v>19704</v>
      </c>
      <c r="H9216" s="405">
        <v>703818418</v>
      </c>
      <c r="I9216" s="405"/>
      <c r="J9216" s="405">
        <v>-0.15693699999999999</v>
      </c>
      <c r="K9216" s="405">
        <v>30.819452999999999</v>
      </c>
      <c r="L9216" s="405" t="s">
        <v>590</v>
      </c>
      <c r="M9216" s="405" t="s">
        <v>19705</v>
      </c>
      <c r="N9216" s="405" t="s">
        <v>19706</v>
      </c>
      <c r="O9216" s="405" t="s">
        <v>19707</v>
      </c>
      <c r="P9216" s="405" t="s">
        <v>19708</v>
      </c>
      <c r="Q9216" s="411">
        <v>12</v>
      </c>
      <c r="R9216" s="405" t="s">
        <v>874</v>
      </c>
      <c r="S9216" s="405" t="s">
        <v>27097</v>
      </c>
      <c r="T9216" s="405" t="s">
        <v>32102</v>
      </c>
      <c r="U9216" s="405" t="s">
        <v>319</v>
      </c>
    </row>
    <row r="9217" spans="1:21" hidden="1" x14ac:dyDescent="0.25">
      <c r="A9217" s="405" t="s">
        <v>310</v>
      </c>
      <c r="B9217" s="405" t="s">
        <v>1110</v>
      </c>
      <c r="C9217" s="405" t="s">
        <v>311</v>
      </c>
      <c r="D9217" s="405" t="s">
        <v>1111</v>
      </c>
      <c r="E9217" s="410">
        <v>40338</v>
      </c>
      <c r="F9217" s="410">
        <v>40383</v>
      </c>
      <c r="G9217" s="405" t="s">
        <v>1112</v>
      </c>
      <c r="H9217" s="405">
        <v>776612058</v>
      </c>
      <c r="I9217" s="405">
        <v>752612058</v>
      </c>
      <c r="J9217" s="405">
        <v>0.44083499999999998</v>
      </c>
      <c r="K9217" s="405">
        <v>33.16263</v>
      </c>
      <c r="L9217" s="405" t="s">
        <v>314</v>
      </c>
      <c r="M9217" s="405" t="s">
        <v>349</v>
      </c>
      <c r="N9217" s="405" t="s">
        <v>405</v>
      </c>
      <c r="O9217" s="405" t="s">
        <v>1113</v>
      </c>
      <c r="P9217" s="405" t="s">
        <v>1114</v>
      </c>
      <c r="Q9217" s="411">
        <v>6</v>
      </c>
      <c r="R9217" s="405" t="s">
        <v>32478</v>
      </c>
      <c r="S9217" s="405" t="s">
        <v>27138</v>
      </c>
      <c r="T9217" s="405" t="s">
        <v>32102</v>
      </c>
      <c r="U9217" s="405" t="s">
        <v>319</v>
      </c>
    </row>
    <row r="9218" spans="1:21" hidden="1" x14ac:dyDescent="0.25">
      <c r="A9218" s="405" t="s">
        <v>310</v>
      </c>
      <c r="B9218" s="405" t="s">
        <v>9555</v>
      </c>
      <c r="C9218" s="405" t="s">
        <v>327</v>
      </c>
      <c r="D9218" s="405"/>
      <c r="E9218" s="410">
        <v>40338</v>
      </c>
      <c r="F9218" s="410">
        <v>40383</v>
      </c>
      <c r="G9218" s="405" t="s">
        <v>9556</v>
      </c>
      <c r="H9218" s="405">
        <v>786718322</v>
      </c>
      <c r="I9218" s="405"/>
      <c r="J9218" s="405">
        <v>1.150795</v>
      </c>
      <c r="K9218" s="405">
        <v>34.20467</v>
      </c>
      <c r="L9218" s="405" t="s">
        <v>6866</v>
      </c>
      <c r="M9218" s="405" t="s">
        <v>9514</v>
      </c>
      <c r="N9218" s="405" t="s">
        <v>9530</v>
      </c>
      <c r="O9218" s="405" t="s">
        <v>9530</v>
      </c>
      <c r="P9218" s="405" t="s">
        <v>9557</v>
      </c>
      <c r="Q9218" s="411">
        <v>6</v>
      </c>
      <c r="R9218" s="405" t="s">
        <v>7224</v>
      </c>
      <c r="S9218" s="405" t="s">
        <v>27074</v>
      </c>
      <c r="T9218" s="405" t="s">
        <v>32102</v>
      </c>
      <c r="U9218" s="405" t="s">
        <v>319</v>
      </c>
    </row>
    <row r="9219" spans="1:21" hidden="1" x14ac:dyDescent="0.25">
      <c r="A9219" s="405" t="s">
        <v>310</v>
      </c>
      <c r="B9219" s="405" t="s">
        <v>482</v>
      </c>
      <c r="C9219" s="405" t="s">
        <v>327</v>
      </c>
      <c r="D9219" s="405"/>
      <c r="E9219" s="410">
        <v>40337</v>
      </c>
      <c r="F9219" s="410">
        <v>40382</v>
      </c>
      <c r="G9219" s="405" t="s">
        <v>483</v>
      </c>
      <c r="H9219" s="405">
        <v>772692782</v>
      </c>
      <c r="I9219" s="405">
        <v>752692782</v>
      </c>
      <c r="J9219" s="405">
        <v>-0.72372499999999995</v>
      </c>
      <c r="K9219" s="405">
        <v>31.606076999999999</v>
      </c>
      <c r="L9219" s="405" t="s">
        <v>314</v>
      </c>
      <c r="M9219" s="405" t="s">
        <v>398</v>
      </c>
      <c r="N9219" s="405" t="s">
        <v>399</v>
      </c>
      <c r="O9219" s="405" t="s">
        <v>484</v>
      </c>
      <c r="P9219" s="405" t="s">
        <v>401</v>
      </c>
      <c r="Q9219" s="411">
        <v>12</v>
      </c>
      <c r="R9219" s="405" t="s">
        <v>402</v>
      </c>
      <c r="S9219" s="405" t="s">
        <v>27139</v>
      </c>
      <c r="T9219" s="405" t="s">
        <v>32102</v>
      </c>
      <c r="U9219" s="405" t="s">
        <v>319</v>
      </c>
    </row>
    <row r="9220" spans="1:21" hidden="1" x14ac:dyDescent="0.25">
      <c r="A9220" s="405" t="s">
        <v>310</v>
      </c>
      <c r="B9220" s="405" t="s">
        <v>9605</v>
      </c>
      <c r="C9220" s="405" t="s">
        <v>327</v>
      </c>
      <c r="D9220" s="405"/>
      <c r="E9220" s="410">
        <v>40337</v>
      </c>
      <c r="F9220" s="410">
        <v>40382</v>
      </c>
      <c r="G9220" s="405" t="s">
        <v>9606</v>
      </c>
      <c r="H9220" s="405">
        <v>704294698</v>
      </c>
      <c r="I9220" s="405"/>
      <c r="J9220" s="405">
        <v>1.132868</v>
      </c>
      <c r="K9220" s="405">
        <v>34.154758000000001</v>
      </c>
      <c r="L9220" s="405" t="s">
        <v>6866</v>
      </c>
      <c r="M9220" s="405" t="s">
        <v>9514</v>
      </c>
      <c r="N9220" s="405" t="s">
        <v>9607</v>
      </c>
      <c r="O9220" s="405" t="s">
        <v>9608</v>
      </c>
      <c r="P9220" s="405" t="s">
        <v>9609</v>
      </c>
      <c r="Q9220" s="411">
        <v>9</v>
      </c>
      <c r="R9220" s="405" t="s">
        <v>333</v>
      </c>
      <c r="S9220" s="405" t="s">
        <v>17062</v>
      </c>
      <c r="T9220" s="405" t="s">
        <v>32102</v>
      </c>
      <c r="U9220" s="405" t="s">
        <v>319</v>
      </c>
    </row>
    <row r="9221" spans="1:21" hidden="1" x14ac:dyDescent="0.25">
      <c r="A9221" s="405" t="s">
        <v>310</v>
      </c>
      <c r="B9221" s="405" t="s">
        <v>19699</v>
      </c>
      <c r="C9221" s="405" t="s">
        <v>327</v>
      </c>
      <c r="D9221" s="405"/>
      <c r="E9221" s="410">
        <v>40334</v>
      </c>
      <c r="F9221" s="410">
        <v>40379</v>
      </c>
      <c r="G9221" s="405" t="s">
        <v>19700</v>
      </c>
      <c r="H9221" s="405">
        <v>702950961</v>
      </c>
      <c r="I9221" s="405"/>
      <c r="J9221" s="405">
        <v>-0.92661499999999997</v>
      </c>
      <c r="K9221" s="405">
        <v>30.328889</v>
      </c>
      <c r="L9221" s="405" t="s">
        <v>590</v>
      </c>
      <c r="M9221" s="405" t="s">
        <v>19659</v>
      </c>
      <c r="N9221" s="405" t="s">
        <v>19664</v>
      </c>
      <c r="O9221" s="405" t="s">
        <v>19701</v>
      </c>
      <c r="P9221" s="405" t="s">
        <v>19702</v>
      </c>
      <c r="Q9221" s="411">
        <v>12</v>
      </c>
      <c r="R9221" s="405" t="s">
        <v>967</v>
      </c>
      <c r="S9221" s="405" t="s">
        <v>27132</v>
      </c>
      <c r="T9221" s="405" t="s">
        <v>32102</v>
      </c>
      <c r="U9221" s="405" t="s">
        <v>319</v>
      </c>
    </row>
    <row r="9222" spans="1:21" hidden="1" x14ac:dyDescent="0.25">
      <c r="A9222" s="405" t="s">
        <v>310</v>
      </c>
      <c r="B9222" s="405" t="s">
        <v>28349</v>
      </c>
      <c r="C9222" s="405" t="s">
        <v>327</v>
      </c>
      <c r="D9222" s="405"/>
      <c r="E9222" s="410">
        <v>40334</v>
      </c>
      <c r="F9222" s="410">
        <v>40379</v>
      </c>
      <c r="G9222" s="405" t="s">
        <v>9594</v>
      </c>
      <c r="H9222" s="405">
        <v>779826263</v>
      </c>
      <c r="I9222" s="405"/>
      <c r="J9222" s="405">
        <v>0.4589415</v>
      </c>
      <c r="K9222" s="405">
        <v>33.217859799999999</v>
      </c>
      <c r="L9222" s="405" t="s">
        <v>6866</v>
      </c>
      <c r="M9222" s="405" t="s">
        <v>9590</v>
      </c>
      <c r="N9222" s="405" t="s">
        <v>9592</v>
      </c>
      <c r="O9222" s="405" t="s">
        <v>9592</v>
      </c>
      <c r="P9222" s="405" t="s">
        <v>9595</v>
      </c>
      <c r="Q9222" s="411">
        <v>12</v>
      </c>
      <c r="R9222" s="405" t="s">
        <v>318</v>
      </c>
      <c r="S9222" s="405" t="s">
        <v>6822</v>
      </c>
      <c r="T9222" s="405" t="s">
        <v>32102</v>
      </c>
      <c r="U9222" s="405" t="s">
        <v>319</v>
      </c>
    </row>
    <row r="9223" spans="1:21" hidden="1" x14ac:dyDescent="0.25">
      <c r="A9223" s="405" t="s">
        <v>310</v>
      </c>
      <c r="B9223" s="405" t="s">
        <v>19716</v>
      </c>
      <c r="C9223" s="405" t="s">
        <v>327</v>
      </c>
      <c r="D9223" s="405"/>
      <c r="E9223" s="410">
        <v>40331</v>
      </c>
      <c r="F9223" s="410">
        <v>40376</v>
      </c>
      <c r="G9223" s="405" t="s">
        <v>19717</v>
      </c>
      <c r="H9223" s="405">
        <v>776664445</v>
      </c>
      <c r="I9223" s="405">
        <v>752938891</v>
      </c>
      <c r="J9223" s="405">
        <v>-0.47161599999999998</v>
      </c>
      <c r="K9223" s="405">
        <v>30.676262000000001</v>
      </c>
      <c r="L9223" s="405" t="s">
        <v>590</v>
      </c>
      <c r="M9223" s="405" t="s">
        <v>19614</v>
      </c>
      <c r="N9223" s="405" t="s">
        <v>19615</v>
      </c>
      <c r="O9223" s="405" t="s">
        <v>19616</v>
      </c>
      <c r="P9223" s="405" t="s">
        <v>19616</v>
      </c>
      <c r="Q9223" s="411">
        <v>12</v>
      </c>
      <c r="R9223" s="405" t="s">
        <v>333</v>
      </c>
      <c r="S9223" s="405" t="s">
        <v>27400</v>
      </c>
      <c r="T9223" s="405" t="s">
        <v>32102</v>
      </c>
      <c r="U9223" s="405" t="s">
        <v>319</v>
      </c>
    </row>
    <row r="9224" spans="1:21" hidden="1" x14ac:dyDescent="0.25">
      <c r="A9224" s="405" t="s">
        <v>310</v>
      </c>
      <c r="B9224" s="405" t="s">
        <v>19712</v>
      </c>
      <c r="C9224" s="405" t="s">
        <v>327</v>
      </c>
      <c r="D9224" s="405"/>
      <c r="E9224" s="410">
        <v>40331</v>
      </c>
      <c r="F9224" s="410">
        <v>40376</v>
      </c>
      <c r="G9224" s="405" t="s">
        <v>19713</v>
      </c>
      <c r="H9224" s="405">
        <v>752744099</v>
      </c>
      <c r="I9224" s="405"/>
      <c r="J9224" s="405">
        <v>-0.24826500000000001</v>
      </c>
      <c r="K9224" s="405">
        <v>30.958834</v>
      </c>
      <c r="L9224" s="405" t="s">
        <v>590</v>
      </c>
      <c r="M9224" s="405" t="s">
        <v>19705</v>
      </c>
      <c r="N9224" s="405" t="s">
        <v>19706</v>
      </c>
      <c r="O9224" s="405" t="s">
        <v>19714</v>
      </c>
      <c r="P9224" s="405" t="s">
        <v>19715</v>
      </c>
      <c r="Q9224" s="411">
        <v>12</v>
      </c>
      <c r="R9224" s="405" t="s">
        <v>874</v>
      </c>
      <c r="S9224" s="405" t="s">
        <v>27097</v>
      </c>
      <c r="T9224" s="405" t="s">
        <v>32102</v>
      </c>
      <c r="U9224" s="405" t="s">
        <v>319</v>
      </c>
    </row>
    <row r="9225" spans="1:21" hidden="1" x14ac:dyDescent="0.25">
      <c r="A9225" s="405" t="s">
        <v>310</v>
      </c>
      <c r="B9225" s="405" t="s">
        <v>9583</v>
      </c>
      <c r="C9225" s="405" t="s">
        <v>327</v>
      </c>
      <c r="D9225" s="405"/>
      <c r="E9225" s="410">
        <v>40331</v>
      </c>
      <c r="F9225" s="410">
        <v>40376</v>
      </c>
      <c r="G9225" s="405" t="s">
        <v>9584</v>
      </c>
      <c r="H9225" s="405">
        <v>783162167</v>
      </c>
      <c r="I9225" s="405">
        <v>782529642</v>
      </c>
      <c r="J9225" s="405">
        <v>0.94598499999999996</v>
      </c>
      <c r="K9225" s="405">
        <v>33.120213999999997</v>
      </c>
      <c r="L9225" s="405" t="s">
        <v>6866</v>
      </c>
      <c r="M9225" s="405" t="s">
        <v>3009</v>
      </c>
      <c r="N9225" s="405" t="s">
        <v>9585</v>
      </c>
      <c r="O9225" s="405" t="s">
        <v>9586</v>
      </c>
      <c r="P9225" s="405" t="s">
        <v>9587</v>
      </c>
      <c r="Q9225" s="411">
        <v>6</v>
      </c>
      <c r="R9225" s="405" t="s">
        <v>333</v>
      </c>
      <c r="S9225" s="405" t="s">
        <v>27036</v>
      </c>
      <c r="T9225" s="405" t="s">
        <v>32102</v>
      </c>
      <c r="U9225" s="405" t="s">
        <v>319</v>
      </c>
    </row>
    <row r="9226" spans="1:21" hidden="1" x14ac:dyDescent="0.25">
      <c r="A9226" s="405" t="s">
        <v>310</v>
      </c>
      <c r="B9226" s="405" t="s">
        <v>19709</v>
      </c>
      <c r="C9226" s="405" t="s">
        <v>327</v>
      </c>
      <c r="D9226" s="405"/>
      <c r="E9226" s="410">
        <v>40328</v>
      </c>
      <c r="F9226" s="410">
        <v>40373</v>
      </c>
      <c r="G9226" s="405" t="s">
        <v>19710</v>
      </c>
      <c r="H9226" s="405">
        <v>784459414</v>
      </c>
      <c r="I9226" s="405"/>
      <c r="J9226" s="405">
        <v>-0.123081</v>
      </c>
      <c r="K9226" s="405">
        <v>30.785564999999998</v>
      </c>
      <c r="L9226" s="405" t="s">
        <v>590</v>
      </c>
      <c r="M9226" s="405" t="s">
        <v>19705</v>
      </c>
      <c r="N9226" s="405" t="s">
        <v>2250</v>
      </c>
      <c r="O9226" s="405" t="s">
        <v>2250</v>
      </c>
      <c r="P9226" s="405" t="s">
        <v>19711</v>
      </c>
      <c r="Q9226" s="411">
        <v>12</v>
      </c>
      <c r="R9226" s="405" t="s">
        <v>874</v>
      </c>
      <c r="S9226" s="405" t="s">
        <v>27163</v>
      </c>
      <c r="T9226" s="405" t="s">
        <v>32102</v>
      </c>
      <c r="U9226" s="405" t="s">
        <v>319</v>
      </c>
    </row>
    <row r="9227" spans="1:21" hidden="1" x14ac:dyDescent="0.25">
      <c r="A9227" s="405" t="s">
        <v>310</v>
      </c>
      <c r="B9227" s="405" t="s">
        <v>9561</v>
      </c>
      <c r="C9227" s="405" t="s">
        <v>327</v>
      </c>
      <c r="D9227" s="405"/>
      <c r="E9227" s="410">
        <v>40327</v>
      </c>
      <c r="F9227" s="410">
        <v>40372</v>
      </c>
      <c r="G9227" s="405" t="s">
        <v>9562</v>
      </c>
      <c r="H9227" s="405">
        <v>782853958</v>
      </c>
      <c r="I9227" s="405"/>
      <c r="J9227" s="405">
        <v>1.0917680000000001</v>
      </c>
      <c r="K9227" s="405">
        <v>34.191671999999997</v>
      </c>
      <c r="L9227" s="405" t="s">
        <v>6866</v>
      </c>
      <c r="M9227" s="405" t="s">
        <v>9514</v>
      </c>
      <c r="N9227" s="405" t="s">
        <v>9530</v>
      </c>
      <c r="O9227" s="405" t="s">
        <v>9530</v>
      </c>
      <c r="P9227" s="405" t="s">
        <v>9563</v>
      </c>
      <c r="Q9227" s="411">
        <v>6</v>
      </c>
      <c r="R9227" s="405" t="s">
        <v>7224</v>
      </c>
      <c r="S9227" s="405" t="s">
        <v>27298</v>
      </c>
      <c r="T9227" s="405" t="s">
        <v>32102</v>
      </c>
      <c r="U9227" s="405" t="s">
        <v>319</v>
      </c>
    </row>
    <row r="9228" spans="1:21" hidden="1" x14ac:dyDescent="0.25">
      <c r="A9228" s="405" t="s">
        <v>310</v>
      </c>
      <c r="B9228" s="405" t="s">
        <v>9564</v>
      </c>
      <c r="C9228" s="405" t="s">
        <v>327</v>
      </c>
      <c r="D9228" s="405"/>
      <c r="E9228" s="410">
        <v>40326</v>
      </c>
      <c r="F9228" s="410">
        <v>40371</v>
      </c>
      <c r="G9228" s="405" t="s">
        <v>9565</v>
      </c>
      <c r="H9228" s="405">
        <v>772458354</v>
      </c>
      <c r="I9228" s="405"/>
      <c r="J9228" s="405">
        <v>0.98571699999999995</v>
      </c>
      <c r="K9228" s="405">
        <v>34.114342999999998</v>
      </c>
      <c r="L9228" s="405" t="s">
        <v>6866</v>
      </c>
      <c r="M9228" s="405" t="s">
        <v>9566</v>
      </c>
      <c r="N9228" s="405" t="s">
        <v>9567</v>
      </c>
      <c r="O9228" s="405" t="s">
        <v>9568</v>
      </c>
      <c r="P9228" s="405" t="s">
        <v>9569</v>
      </c>
      <c r="Q9228" s="411">
        <v>6</v>
      </c>
      <c r="R9228" s="405" t="s">
        <v>333</v>
      </c>
      <c r="S9228" s="405" t="s">
        <v>27197</v>
      </c>
      <c r="T9228" s="405" t="s">
        <v>32102</v>
      </c>
      <c r="U9228" s="405" t="s">
        <v>319</v>
      </c>
    </row>
    <row r="9229" spans="1:21" hidden="1" x14ac:dyDescent="0.25">
      <c r="A9229" s="405" t="s">
        <v>310</v>
      </c>
      <c r="B9229" s="405" t="s">
        <v>9588</v>
      </c>
      <c r="C9229" s="405" t="s">
        <v>327</v>
      </c>
      <c r="D9229" s="405"/>
      <c r="E9229" s="410">
        <v>40322</v>
      </c>
      <c r="F9229" s="410">
        <v>40367</v>
      </c>
      <c r="G9229" s="405" t="s">
        <v>9589</v>
      </c>
      <c r="H9229" s="405">
        <v>712326040</v>
      </c>
      <c r="I9229" s="405"/>
      <c r="J9229" s="405">
        <v>0.61633389999999999</v>
      </c>
      <c r="K9229" s="405">
        <v>33.479194800000002</v>
      </c>
      <c r="L9229" s="405" t="s">
        <v>6866</v>
      </c>
      <c r="M9229" s="405" t="s">
        <v>9590</v>
      </c>
      <c r="N9229" s="405" t="s">
        <v>9591</v>
      </c>
      <c r="O9229" s="405" t="s">
        <v>9592</v>
      </c>
      <c r="P9229" s="405" t="s">
        <v>9593</v>
      </c>
      <c r="Q9229" s="411">
        <v>9</v>
      </c>
      <c r="R9229" s="405" t="s">
        <v>318</v>
      </c>
      <c r="S9229" s="405" t="s">
        <v>6822</v>
      </c>
      <c r="T9229" s="405" t="s">
        <v>32102</v>
      </c>
      <c r="U9229" s="405" t="s">
        <v>319</v>
      </c>
    </row>
    <row r="9230" spans="1:21" hidden="1" x14ac:dyDescent="0.25">
      <c r="A9230" s="405" t="s">
        <v>310</v>
      </c>
      <c r="B9230" s="405" t="s">
        <v>478</v>
      </c>
      <c r="C9230" s="405" t="s">
        <v>327</v>
      </c>
      <c r="D9230" s="405"/>
      <c r="E9230" s="410">
        <v>40322</v>
      </c>
      <c r="F9230" s="410">
        <v>40367</v>
      </c>
      <c r="G9230" s="405" t="s">
        <v>479</v>
      </c>
      <c r="H9230" s="405">
        <v>781437827</v>
      </c>
      <c r="I9230" s="405"/>
      <c r="J9230" s="405">
        <v>0.41853489999999999</v>
      </c>
      <c r="K9230" s="405">
        <v>32.527904300000003</v>
      </c>
      <c r="L9230" s="405" t="s">
        <v>314</v>
      </c>
      <c r="M9230" s="405" t="s">
        <v>361</v>
      </c>
      <c r="N9230" s="405" t="s">
        <v>362</v>
      </c>
      <c r="O9230" s="405" t="s">
        <v>480</v>
      </c>
      <c r="P9230" s="405" t="s">
        <v>481</v>
      </c>
      <c r="Q9230" s="411">
        <v>6</v>
      </c>
      <c r="R9230" s="405" t="s">
        <v>353</v>
      </c>
      <c r="S9230" s="405" t="s">
        <v>27115</v>
      </c>
      <c r="T9230" s="405" t="s">
        <v>32102</v>
      </c>
      <c r="U9230" s="405" t="s">
        <v>319</v>
      </c>
    </row>
    <row r="9231" spans="1:21" hidden="1" x14ac:dyDescent="0.25">
      <c r="A9231" s="405" t="s">
        <v>310</v>
      </c>
      <c r="B9231" s="405" t="s">
        <v>9596</v>
      </c>
      <c r="C9231" s="405" t="s">
        <v>327</v>
      </c>
      <c r="D9231" s="405"/>
      <c r="E9231" s="410">
        <v>40315</v>
      </c>
      <c r="F9231" s="410">
        <v>40360</v>
      </c>
      <c r="G9231" s="405" t="s">
        <v>9597</v>
      </c>
      <c r="H9231" s="405">
        <v>772458739</v>
      </c>
      <c r="I9231" s="405"/>
      <c r="J9231" s="405">
        <v>1.2377750000000001</v>
      </c>
      <c r="K9231" s="405">
        <v>34.060136999999997</v>
      </c>
      <c r="L9231" s="405" t="s">
        <v>6866</v>
      </c>
      <c r="M9231" s="405" t="s">
        <v>9504</v>
      </c>
      <c r="N9231" s="405" t="s">
        <v>9598</v>
      </c>
      <c r="O9231" s="405" t="s">
        <v>9599</v>
      </c>
      <c r="P9231" s="405" t="s">
        <v>9600</v>
      </c>
      <c r="Q9231" s="411">
        <v>6</v>
      </c>
      <c r="R9231" s="405" t="s">
        <v>7224</v>
      </c>
      <c r="S9231" s="405" t="s">
        <v>17062</v>
      </c>
      <c r="T9231" s="405" t="s">
        <v>32102</v>
      </c>
      <c r="U9231" s="405" t="s">
        <v>319</v>
      </c>
    </row>
    <row r="9232" spans="1:21" hidden="1" x14ac:dyDescent="0.25">
      <c r="A9232" s="405" t="s">
        <v>310</v>
      </c>
      <c r="B9232" s="405" t="s">
        <v>460</v>
      </c>
      <c r="C9232" s="405" t="s">
        <v>327</v>
      </c>
      <c r="D9232" s="405"/>
      <c r="E9232" s="410">
        <v>40314</v>
      </c>
      <c r="F9232" s="410">
        <v>40359</v>
      </c>
      <c r="G9232" s="405" t="s">
        <v>461</v>
      </c>
      <c r="H9232" s="405">
        <v>705422060</v>
      </c>
      <c r="I9232" s="405"/>
      <c r="J9232" s="405">
        <v>-0.18179600000000001</v>
      </c>
      <c r="K9232" s="405">
        <v>31.479278000000001</v>
      </c>
      <c r="L9232" s="405" t="s">
        <v>314</v>
      </c>
      <c r="M9232" s="405" t="s">
        <v>343</v>
      </c>
      <c r="N9232" s="405" t="s">
        <v>344</v>
      </c>
      <c r="O9232" s="405" t="s">
        <v>345</v>
      </c>
      <c r="P9232" s="405" t="s">
        <v>462</v>
      </c>
      <c r="Q9232" s="411">
        <v>6</v>
      </c>
      <c r="R9232" s="405" t="s">
        <v>318</v>
      </c>
      <c r="S9232" s="405" t="s">
        <v>27135</v>
      </c>
      <c r="T9232" s="405" t="s">
        <v>32102</v>
      </c>
      <c r="U9232" s="405" t="s">
        <v>319</v>
      </c>
    </row>
    <row r="9233" spans="1:21" hidden="1" x14ac:dyDescent="0.25">
      <c r="A9233" s="405" t="s">
        <v>310</v>
      </c>
      <c r="B9233" s="405" t="s">
        <v>10039</v>
      </c>
      <c r="C9233" s="405" t="s">
        <v>857</v>
      </c>
      <c r="D9233" s="405" t="s">
        <v>7513</v>
      </c>
      <c r="E9233" s="410">
        <v>40313</v>
      </c>
      <c r="F9233" s="410">
        <v>40358</v>
      </c>
      <c r="G9233" s="405" t="s">
        <v>10040</v>
      </c>
      <c r="H9233" s="405">
        <v>785921572</v>
      </c>
      <c r="I9233" s="405"/>
      <c r="J9233" s="405">
        <v>1.253925</v>
      </c>
      <c r="K9233" s="405">
        <v>33.655745000000003</v>
      </c>
      <c r="L9233" s="405" t="s">
        <v>6866</v>
      </c>
      <c r="M9233" s="405" t="s">
        <v>9509</v>
      </c>
      <c r="N9233" s="405" t="s">
        <v>10036</v>
      </c>
      <c r="O9233" s="405" t="s">
        <v>10037</v>
      </c>
      <c r="P9233" s="405" t="s">
        <v>10038</v>
      </c>
      <c r="Q9233" s="411">
        <v>9</v>
      </c>
      <c r="R9233" s="405" t="s">
        <v>333</v>
      </c>
      <c r="S9233" s="405" t="s">
        <v>27294</v>
      </c>
      <c r="T9233" s="405" t="s">
        <v>32102</v>
      </c>
      <c r="U9233" s="405" t="s">
        <v>319</v>
      </c>
    </row>
    <row r="9234" spans="1:21" hidden="1" x14ac:dyDescent="0.25">
      <c r="A9234" s="405" t="s">
        <v>310</v>
      </c>
      <c r="B9234" s="405" t="s">
        <v>9546</v>
      </c>
      <c r="C9234" s="405" t="s">
        <v>327</v>
      </c>
      <c r="D9234" s="405"/>
      <c r="E9234" s="410">
        <v>40313</v>
      </c>
      <c r="F9234" s="410">
        <v>40358</v>
      </c>
      <c r="G9234" s="405" t="s">
        <v>9547</v>
      </c>
      <c r="H9234" s="405">
        <v>771825501</v>
      </c>
      <c r="I9234" s="405"/>
      <c r="J9234" s="405">
        <v>1.1334599999999999</v>
      </c>
      <c r="K9234" s="405">
        <v>33.660333000000001</v>
      </c>
      <c r="L9234" s="405" t="s">
        <v>6866</v>
      </c>
      <c r="M9234" s="405" t="s">
        <v>9509</v>
      </c>
      <c r="N9234" s="405" t="s">
        <v>9509</v>
      </c>
      <c r="O9234" s="405" t="s">
        <v>9539</v>
      </c>
      <c r="P9234" s="405" t="s">
        <v>9548</v>
      </c>
      <c r="Q9234" s="411">
        <v>9</v>
      </c>
      <c r="R9234" s="405" t="s">
        <v>9541</v>
      </c>
      <c r="S9234" s="405" t="s">
        <v>27296</v>
      </c>
      <c r="T9234" s="405" t="s">
        <v>32102</v>
      </c>
      <c r="U9234" s="405" t="s">
        <v>319</v>
      </c>
    </row>
    <row r="9235" spans="1:21" hidden="1" x14ac:dyDescent="0.25">
      <c r="A9235" s="405" t="s">
        <v>310</v>
      </c>
      <c r="B9235" s="405" t="s">
        <v>28189</v>
      </c>
      <c r="C9235" s="405" t="s">
        <v>311</v>
      </c>
      <c r="D9235" s="405" t="s">
        <v>32485</v>
      </c>
      <c r="E9235" s="410">
        <v>40312</v>
      </c>
      <c r="F9235" s="410">
        <v>40357</v>
      </c>
      <c r="G9235" s="405" t="s">
        <v>19960</v>
      </c>
      <c r="H9235" s="405">
        <v>782839700</v>
      </c>
      <c r="I9235" s="405"/>
      <c r="J9235" s="405">
        <v>-0.83719399999999999</v>
      </c>
      <c r="K9235" s="405">
        <v>30.079305000000002</v>
      </c>
      <c r="L9235" s="405" t="s">
        <v>590</v>
      </c>
      <c r="M9235" s="405" t="s">
        <v>19659</v>
      </c>
      <c r="N9235" s="405" t="s">
        <v>19604</v>
      </c>
      <c r="O9235" s="405" t="s">
        <v>19660</v>
      </c>
      <c r="P9235" s="405" t="s">
        <v>19674</v>
      </c>
      <c r="Q9235" s="411">
        <v>12</v>
      </c>
      <c r="R9235" s="405" t="s">
        <v>874</v>
      </c>
      <c r="S9235" s="405" t="s">
        <v>27398</v>
      </c>
      <c r="T9235" s="405" t="s">
        <v>32102</v>
      </c>
      <c r="U9235" s="405" t="s">
        <v>319</v>
      </c>
    </row>
    <row r="9236" spans="1:21" hidden="1" x14ac:dyDescent="0.25">
      <c r="A9236" s="405" t="s">
        <v>310</v>
      </c>
      <c r="B9236" s="405" t="s">
        <v>19672</v>
      </c>
      <c r="C9236" s="405" t="s">
        <v>327</v>
      </c>
      <c r="D9236" s="405"/>
      <c r="E9236" s="410">
        <v>40312</v>
      </c>
      <c r="F9236" s="410">
        <v>40357</v>
      </c>
      <c r="G9236" s="405" t="s">
        <v>19673</v>
      </c>
      <c r="H9236" s="405">
        <v>782385812</v>
      </c>
      <c r="I9236" s="405">
        <v>782243152</v>
      </c>
      <c r="J9236" s="405">
        <v>-0.83806599999999998</v>
      </c>
      <c r="K9236" s="405">
        <v>30.078980999999999</v>
      </c>
      <c r="L9236" s="405" t="s">
        <v>590</v>
      </c>
      <c r="M9236" s="405" t="s">
        <v>19659</v>
      </c>
      <c r="N9236" s="405" t="s">
        <v>19604</v>
      </c>
      <c r="O9236" s="405" t="s">
        <v>19660</v>
      </c>
      <c r="P9236" s="405" t="s">
        <v>19674</v>
      </c>
      <c r="Q9236" s="411">
        <v>9</v>
      </c>
      <c r="R9236" s="405" t="s">
        <v>874</v>
      </c>
      <c r="S9236" s="405" t="s">
        <v>27398</v>
      </c>
      <c r="T9236" s="405" t="s">
        <v>32102</v>
      </c>
      <c r="U9236" s="405" t="s">
        <v>319</v>
      </c>
    </row>
    <row r="9237" spans="1:21" hidden="1" x14ac:dyDescent="0.25">
      <c r="A9237" s="405" t="s">
        <v>310</v>
      </c>
      <c r="B9237" s="405" t="s">
        <v>19957</v>
      </c>
      <c r="C9237" s="405" t="s">
        <v>857</v>
      </c>
      <c r="D9237" s="405" t="s">
        <v>1037</v>
      </c>
      <c r="E9237" s="410">
        <v>40312</v>
      </c>
      <c r="F9237" s="410">
        <v>40357</v>
      </c>
      <c r="G9237" s="405" t="s">
        <v>19958</v>
      </c>
      <c r="H9237" s="405">
        <v>783040906</v>
      </c>
      <c r="I9237" s="405"/>
      <c r="J9237" s="405">
        <v>-0.817469</v>
      </c>
      <c r="K9237" s="405">
        <v>30.089473000000002</v>
      </c>
      <c r="L9237" s="405" t="s">
        <v>590</v>
      </c>
      <c r="M9237" s="405" t="s">
        <v>19659</v>
      </c>
      <c r="N9237" s="405" t="s">
        <v>19604</v>
      </c>
      <c r="O9237" s="405" t="s">
        <v>19660</v>
      </c>
      <c r="P9237" s="405" t="s">
        <v>19959</v>
      </c>
      <c r="Q9237" s="411">
        <v>9</v>
      </c>
      <c r="R9237" s="405" t="s">
        <v>874</v>
      </c>
      <c r="S9237" s="405" t="s">
        <v>27271</v>
      </c>
      <c r="T9237" s="405" t="s">
        <v>32102</v>
      </c>
      <c r="U9237" s="405" t="s">
        <v>319</v>
      </c>
    </row>
    <row r="9238" spans="1:21" hidden="1" x14ac:dyDescent="0.25">
      <c r="A9238" s="405" t="s">
        <v>310</v>
      </c>
      <c r="B9238" s="405" t="s">
        <v>28255</v>
      </c>
      <c r="C9238" s="405" t="s">
        <v>327</v>
      </c>
      <c r="D9238" s="405"/>
      <c r="E9238" s="410">
        <v>40311</v>
      </c>
      <c r="F9238" s="410">
        <v>40356</v>
      </c>
      <c r="G9238" s="405" t="s">
        <v>459</v>
      </c>
      <c r="H9238" s="405">
        <v>772330044</v>
      </c>
      <c r="I9238" s="405">
        <v>755330044</v>
      </c>
      <c r="J9238" s="405">
        <v>-0.24280099999999999</v>
      </c>
      <c r="K9238" s="405">
        <v>31.489491999999998</v>
      </c>
      <c r="L9238" s="405" t="s">
        <v>314</v>
      </c>
      <c r="M9238" s="405" t="s">
        <v>343</v>
      </c>
      <c r="N9238" s="405" t="s">
        <v>344</v>
      </c>
      <c r="O9238" s="405" t="s">
        <v>345</v>
      </c>
      <c r="P9238" s="405" t="s">
        <v>345</v>
      </c>
      <c r="Q9238" s="411">
        <v>6</v>
      </c>
      <c r="R9238" s="405" t="s">
        <v>318</v>
      </c>
      <c r="S9238" s="405" t="s">
        <v>27134</v>
      </c>
      <c r="T9238" s="405" t="s">
        <v>32102</v>
      </c>
      <c r="U9238" s="405" t="s">
        <v>319</v>
      </c>
    </row>
    <row r="9239" spans="1:21" hidden="1" x14ac:dyDescent="0.25">
      <c r="A9239" s="405" t="s">
        <v>310</v>
      </c>
      <c r="B9239" s="405" t="s">
        <v>28625</v>
      </c>
      <c r="C9239" s="405" t="s">
        <v>311</v>
      </c>
      <c r="D9239" s="405" t="s">
        <v>312</v>
      </c>
      <c r="E9239" s="410">
        <v>40311</v>
      </c>
      <c r="F9239" s="410">
        <v>40356</v>
      </c>
      <c r="G9239" s="405" t="s">
        <v>1072</v>
      </c>
      <c r="H9239" s="405">
        <v>773015451</v>
      </c>
      <c r="I9239" s="405"/>
      <c r="J9239" s="405">
        <v>-0.29859000000000002</v>
      </c>
      <c r="K9239" s="405">
        <v>31.584271999999999</v>
      </c>
      <c r="L9239" s="405" t="s">
        <v>314</v>
      </c>
      <c r="M9239" s="405" t="s">
        <v>343</v>
      </c>
      <c r="N9239" s="405" t="s">
        <v>344</v>
      </c>
      <c r="O9239" s="405" t="s">
        <v>345</v>
      </c>
      <c r="P9239" s="405" t="s">
        <v>1073</v>
      </c>
      <c r="Q9239" s="411">
        <v>6</v>
      </c>
      <c r="R9239" s="405" t="s">
        <v>318</v>
      </c>
      <c r="S9239" s="405" t="s">
        <v>27126</v>
      </c>
      <c r="T9239" s="405" t="s">
        <v>32102</v>
      </c>
      <c r="U9239" s="405" t="s">
        <v>319</v>
      </c>
    </row>
    <row r="9240" spans="1:21" hidden="1" x14ac:dyDescent="0.25">
      <c r="A9240" s="405" t="s">
        <v>310</v>
      </c>
      <c r="B9240" s="405" t="s">
        <v>456</v>
      </c>
      <c r="C9240" s="405" t="s">
        <v>327</v>
      </c>
      <c r="D9240" s="405"/>
      <c r="E9240" s="410">
        <v>40311</v>
      </c>
      <c r="F9240" s="410">
        <v>40356</v>
      </c>
      <c r="G9240" s="405" t="s">
        <v>457</v>
      </c>
      <c r="H9240" s="405">
        <v>772882936</v>
      </c>
      <c r="I9240" s="405"/>
      <c r="J9240" s="405">
        <v>-0.180507</v>
      </c>
      <c r="K9240" s="405">
        <v>31.516636999999999</v>
      </c>
      <c r="L9240" s="405" t="s">
        <v>314</v>
      </c>
      <c r="M9240" s="405" t="s">
        <v>343</v>
      </c>
      <c r="N9240" s="405" t="s">
        <v>344</v>
      </c>
      <c r="O9240" s="405" t="s">
        <v>345</v>
      </c>
      <c r="P9240" s="405" t="s">
        <v>458</v>
      </c>
      <c r="Q9240" s="411">
        <v>6</v>
      </c>
      <c r="R9240" s="405" t="s">
        <v>318</v>
      </c>
      <c r="S9240" s="405" t="s">
        <v>27109</v>
      </c>
      <c r="T9240" s="405" t="s">
        <v>32102</v>
      </c>
      <c r="U9240" s="405" t="s">
        <v>319</v>
      </c>
    </row>
    <row r="9241" spans="1:21" hidden="1" x14ac:dyDescent="0.25">
      <c r="A9241" s="405" t="s">
        <v>310</v>
      </c>
      <c r="B9241" s="405" t="s">
        <v>1084</v>
      </c>
      <c r="C9241" s="405" t="s">
        <v>311</v>
      </c>
      <c r="D9241" s="405" t="s">
        <v>1007</v>
      </c>
      <c r="E9241" s="410">
        <v>40309</v>
      </c>
      <c r="F9241" s="410">
        <v>40354</v>
      </c>
      <c r="G9241" s="405" t="s">
        <v>1085</v>
      </c>
      <c r="H9241" s="405">
        <v>754132811</v>
      </c>
      <c r="I9241" s="405"/>
      <c r="J9241" s="405">
        <v>0.28011950000000002</v>
      </c>
      <c r="K9241" s="405">
        <v>32.475913599999998</v>
      </c>
      <c r="L9241" s="405" t="s">
        <v>314</v>
      </c>
      <c r="M9241" s="405" t="s">
        <v>321</v>
      </c>
      <c r="N9241" s="405" t="s">
        <v>322</v>
      </c>
      <c r="O9241" s="405" t="s">
        <v>996</v>
      </c>
      <c r="P9241" s="405" t="s">
        <v>1086</v>
      </c>
      <c r="Q9241" s="411">
        <v>6</v>
      </c>
      <c r="R9241" s="405" t="s">
        <v>333</v>
      </c>
      <c r="S9241" s="405" t="s">
        <v>27035</v>
      </c>
      <c r="T9241" s="405" t="s">
        <v>32102</v>
      </c>
      <c r="U9241" s="405" t="s">
        <v>319</v>
      </c>
    </row>
    <row r="9242" spans="1:21" hidden="1" x14ac:dyDescent="0.25">
      <c r="A9242" s="405" t="s">
        <v>310</v>
      </c>
      <c r="B9242" s="405" t="s">
        <v>9532</v>
      </c>
      <c r="C9242" s="405" t="s">
        <v>327</v>
      </c>
      <c r="D9242" s="405"/>
      <c r="E9242" s="410">
        <v>40309</v>
      </c>
      <c r="F9242" s="410">
        <v>40354</v>
      </c>
      <c r="G9242" s="405" t="s">
        <v>9533</v>
      </c>
      <c r="H9242" s="405">
        <v>782518621</v>
      </c>
      <c r="I9242" s="405"/>
      <c r="J9242" s="405">
        <v>0.77270000000000005</v>
      </c>
      <c r="K9242" s="405">
        <v>34.104765999999998</v>
      </c>
      <c r="L9242" s="405" t="s">
        <v>6866</v>
      </c>
      <c r="M9242" s="405" t="s">
        <v>9534</v>
      </c>
      <c r="N9242" s="405" t="s">
        <v>9535</v>
      </c>
      <c r="O9242" s="405" t="s">
        <v>9536</v>
      </c>
      <c r="P9242" s="405" t="s">
        <v>9537</v>
      </c>
      <c r="Q9242" s="411">
        <v>6</v>
      </c>
      <c r="R9242" s="405" t="s">
        <v>333</v>
      </c>
      <c r="S9242" s="405" t="s">
        <v>27073</v>
      </c>
      <c r="T9242" s="405" t="s">
        <v>32102</v>
      </c>
      <c r="U9242" s="405" t="s">
        <v>319</v>
      </c>
    </row>
    <row r="9243" spans="1:21" hidden="1" x14ac:dyDescent="0.25">
      <c r="A9243" s="405" t="s">
        <v>310</v>
      </c>
      <c r="B9243" s="405" t="s">
        <v>19675</v>
      </c>
      <c r="C9243" s="405" t="s">
        <v>327</v>
      </c>
      <c r="D9243" s="405"/>
      <c r="E9243" s="410">
        <v>40308</v>
      </c>
      <c r="F9243" s="410">
        <v>40353</v>
      </c>
      <c r="G9243" s="405" t="s">
        <v>19676</v>
      </c>
      <c r="H9243" s="405">
        <v>772681216</v>
      </c>
      <c r="I9243" s="405"/>
      <c r="J9243" s="405">
        <v>-1.1492549999999999</v>
      </c>
      <c r="K9243" s="405">
        <v>30.261413999999998</v>
      </c>
      <c r="L9243" s="405" t="s">
        <v>590</v>
      </c>
      <c r="M9243" s="405" t="s">
        <v>19659</v>
      </c>
      <c r="N9243" s="405" t="s">
        <v>19677</v>
      </c>
      <c r="O9243" s="405" t="s">
        <v>2520</v>
      </c>
      <c r="P9243" s="405" t="s">
        <v>19678</v>
      </c>
      <c r="Q9243" s="411">
        <v>12</v>
      </c>
      <c r="R9243" s="405" t="s">
        <v>967</v>
      </c>
      <c r="S9243" s="405" t="s">
        <v>27132</v>
      </c>
      <c r="T9243" s="405" t="s">
        <v>32102</v>
      </c>
      <c r="U9243" s="405" t="s">
        <v>319</v>
      </c>
    </row>
    <row r="9244" spans="1:21" hidden="1" x14ac:dyDescent="0.25">
      <c r="A9244" s="405" t="s">
        <v>310</v>
      </c>
      <c r="B9244" s="405" t="s">
        <v>10033</v>
      </c>
      <c r="C9244" s="405" t="s">
        <v>311</v>
      </c>
      <c r="D9244" s="405" t="s">
        <v>10034</v>
      </c>
      <c r="E9244" s="410">
        <v>40307</v>
      </c>
      <c r="F9244" s="410">
        <v>40352</v>
      </c>
      <c r="G9244" s="405" t="s">
        <v>10035</v>
      </c>
      <c r="H9244" s="405">
        <v>787024789</v>
      </c>
      <c r="I9244" s="405">
        <v>787382144</v>
      </c>
      <c r="J9244" s="405">
        <v>1.2539830000000001</v>
      </c>
      <c r="K9244" s="405">
        <v>33.654645000000002</v>
      </c>
      <c r="L9244" s="405" t="s">
        <v>6866</v>
      </c>
      <c r="M9244" s="405" t="s">
        <v>9509</v>
      </c>
      <c r="N9244" s="405" t="s">
        <v>10036</v>
      </c>
      <c r="O9244" s="405" t="s">
        <v>10037</v>
      </c>
      <c r="P9244" s="405" t="s">
        <v>10038</v>
      </c>
      <c r="Q9244" s="411">
        <v>9</v>
      </c>
      <c r="R9244" s="405" t="s">
        <v>32478</v>
      </c>
      <c r="S9244" s="405" t="s">
        <v>27294</v>
      </c>
      <c r="T9244" s="405" t="s">
        <v>32102</v>
      </c>
      <c r="U9244" s="405" t="s">
        <v>319</v>
      </c>
    </row>
    <row r="9245" spans="1:21" hidden="1" x14ac:dyDescent="0.25">
      <c r="A9245" s="405" t="s">
        <v>310</v>
      </c>
      <c r="B9245" s="405" t="s">
        <v>451</v>
      </c>
      <c r="C9245" s="405" t="s">
        <v>327</v>
      </c>
      <c r="D9245" s="405"/>
      <c r="E9245" s="410">
        <v>40305</v>
      </c>
      <c r="F9245" s="410">
        <v>40350</v>
      </c>
      <c r="G9245" s="405" t="s">
        <v>452</v>
      </c>
      <c r="H9245" s="405">
        <v>772874880</v>
      </c>
      <c r="I9245" s="405"/>
      <c r="J9245" s="405">
        <v>0.44575389999999998</v>
      </c>
      <c r="K9245" s="405">
        <v>32.611671399999999</v>
      </c>
      <c r="L9245" s="405" t="s">
        <v>314</v>
      </c>
      <c r="M9245" s="405" t="s">
        <v>361</v>
      </c>
      <c r="N9245" s="405" t="s">
        <v>362</v>
      </c>
      <c r="O9245" s="405" t="s">
        <v>370</v>
      </c>
      <c r="P9245" s="405" t="s">
        <v>453</v>
      </c>
      <c r="Q9245" s="411">
        <v>6</v>
      </c>
      <c r="R9245" s="405" t="s">
        <v>32478</v>
      </c>
      <c r="S9245" s="405" t="s">
        <v>27049</v>
      </c>
      <c r="T9245" s="405" t="s">
        <v>32102</v>
      </c>
      <c r="U9245" s="405" t="s">
        <v>319</v>
      </c>
    </row>
    <row r="9246" spans="1:21" hidden="1" x14ac:dyDescent="0.25">
      <c r="A9246" s="405" t="s">
        <v>310</v>
      </c>
      <c r="B9246" s="405" t="s">
        <v>19954</v>
      </c>
      <c r="C9246" s="405" t="s">
        <v>311</v>
      </c>
      <c r="D9246" s="405" t="s">
        <v>312</v>
      </c>
      <c r="E9246" s="410">
        <v>40304</v>
      </c>
      <c r="F9246" s="410">
        <v>40349</v>
      </c>
      <c r="G9246" s="405" t="s">
        <v>19955</v>
      </c>
      <c r="H9246" s="405">
        <v>787116112</v>
      </c>
      <c r="I9246" s="405"/>
      <c r="J9246" s="405">
        <v>-0.83334949999999997</v>
      </c>
      <c r="K9246" s="405">
        <v>30.177033300000002</v>
      </c>
      <c r="L9246" s="405" t="s">
        <v>590</v>
      </c>
      <c r="M9246" s="405" t="s">
        <v>19659</v>
      </c>
      <c r="N9246" s="405" t="s">
        <v>19604</v>
      </c>
      <c r="O9246" s="405" t="s">
        <v>19826</v>
      </c>
      <c r="P9246" s="405" t="s">
        <v>19956</v>
      </c>
      <c r="Q9246" s="411">
        <v>6</v>
      </c>
      <c r="R9246" s="405" t="s">
        <v>967</v>
      </c>
      <c r="S9246" s="405" t="s">
        <v>27397</v>
      </c>
      <c r="T9246" s="405" t="s">
        <v>32102</v>
      </c>
      <c r="U9246" s="405" t="s">
        <v>319</v>
      </c>
    </row>
    <row r="9247" spans="1:21" hidden="1" x14ac:dyDescent="0.25">
      <c r="A9247" s="405" t="s">
        <v>310</v>
      </c>
      <c r="B9247" s="405" t="s">
        <v>29076</v>
      </c>
      <c r="C9247" s="405" t="s">
        <v>327</v>
      </c>
      <c r="D9247" s="405"/>
      <c r="E9247" s="410">
        <v>40303</v>
      </c>
      <c r="F9247" s="410">
        <v>40348</v>
      </c>
      <c r="G9247" s="405" t="s">
        <v>9538</v>
      </c>
      <c r="H9247" s="405">
        <v>774814280</v>
      </c>
      <c r="I9247" s="405"/>
      <c r="J9247" s="405">
        <v>1.132547</v>
      </c>
      <c r="K9247" s="405">
        <v>33.660564999999998</v>
      </c>
      <c r="L9247" s="405" t="s">
        <v>6866</v>
      </c>
      <c r="M9247" s="405" t="s">
        <v>9509</v>
      </c>
      <c r="N9247" s="405" t="s">
        <v>9509</v>
      </c>
      <c r="O9247" s="405" t="s">
        <v>9539</v>
      </c>
      <c r="P9247" s="405" t="s">
        <v>9540</v>
      </c>
      <c r="Q9247" s="411">
        <v>9</v>
      </c>
      <c r="R9247" s="405" t="s">
        <v>9541</v>
      </c>
      <c r="S9247" s="405" t="s">
        <v>27296</v>
      </c>
      <c r="T9247" s="405" t="s">
        <v>32102</v>
      </c>
      <c r="U9247" s="405" t="s">
        <v>319</v>
      </c>
    </row>
    <row r="9248" spans="1:21" hidden="1" x14ac:dyDescent="0.25">
      <c r="A9248" s="405" t="s">
        <v>310</v>
      </c>
      <c r="B9248" s="405" t="s">
        <v>28967</v>
      </c>
      <c r="C9248" s="405" t="s">
        <v>327</v>
      </c>
      <c r="D9248" s="405"/>
      <c r="E9248" s="410">
        <v>40302</v>
      </c>
      <c r="F9248" s="410">
        <v>40347</v>
      </c>
      <c r="G9248" s="405" t="s">
        <v>10023</v>
      </c>
      <c r="H9248" s="405">
        <v>772645846</v>
      </c>
      <c r="I9248" s="405"/>
      <c r="J9248" s="405">
        <v>1.072327</v>
      </c>
      <c r="K9248" s="405">
        <v>34.199057000000003</v>
      </c>
      <c r="L9248" s="405" t="s">
        <v>6866</v>
      </c>
      <c r="M9248" s="405" t="s">
        <v>9514</v>
      </c>
      <c r="N9248" s="405" t="s">
        <v>9515</v>
      </c>
      <c r="O9248" s="405" t="s">
        <v>9516</v>
      </c>
      <c r="P9248" s="405" t="s">
        <v>10024</v>
      </c>
      <c r="Q9248" s="411">
        <v>12</v>
      </c>
      <c r="R9248" s="405" t="s">
        <v>32486</v>
      </c>
      <c r="S9248" s="405" t="s">
        <v>27127</v>
      </c>
      <c r="T9248" s="405" t="s">
        <v>32102</v>
      </c>
      <c r="U9248" s="405" t="s">
        <v>319</v>
      </c>
    </row>
    <row r="9249" spans="1:21" hidden="1" x14ac:dyDescent="0.25">
      <c r="A9249" s="405" t="s">
        <v>310</v>
      </c>
      <c r="B9249" s="405" t="s">
        <v>19951</v>
      </c>
      <c r="C9249" s="405" t="s">
        <v>311</v>
      </c>
      <c r="D9249" s="405" t="s">
        <v>839</v>
      </c>
      <c r="E9249" s="410">
        <v>40302</v>
      </c>
      <c r="F9249" s="410">
        <v>40347</v>
      </c>
      <c r="G9249" s="405" t="s">
        <v>19952</v>
      </c>
      <c r="H9249" s="405">
        <v>779107634</v>
      </c>
      <c r="I9249" s="405"/>
      <c r="J9249" s="405">
        <v>0.83101332999999999</v>
      </c>
      <c r="K9249" s="405">
        <v>30.087955000000001</v>
      </c>
      <c r="L9249" s="405" t="s">
        <v>590</v>
      </c>
      <c r="M9249" s="405" t="s">
        <v>19659</v>
      </c>
      <c r="N9249" s="405" t="s">
        <v>19664</v>
      </c>
      <c r="O9249" s="405" t="s">
        <v>19664</v>
      </c>
      <c r="P9249" s="405" t="s">
        <v>19953</v>
      </c>
      <c r="Q9249" s="411">
        <v>6</v>
      </c>
      <c r="R9249" s="405" t="s">
        <v>967</v>
      </c>
      <c r="S9249" s="405" t="s">
        <v>27396</v>
      </c>
      <c r="T9249" s="405" t="s">
        <v>32102</v>
      </c>
      <c r="U9249" s="405" t="s">
        <v>319</v>
      </c>
    </row>
    <row r="9250" spans="1:21" hidden="1" x14ac:dyDescent="0.25">
      <c r="A9250" s="405" t="s">
        <v>310</v>
      </c>
      <c r="B9250" s="405" t="s">
        <v>28952</v>
      </c>
      <c r="C9250" s="405" t="s">
        <v>327</v>
      </c>
      <c r="D9250" s="405"/>
      <c r="E9250" s="410">
        <v>40302</v>
      </c>
      <c r="F9250" s="410">
        <v>40347</v>
      </c>
      <c r="G9250" s="405" t="s">
        <v>463</v>
      </c>
      <c r="H9250" s="405">
        <v>777659263</v>
      </c>
      <c r="I9250" s="405"/>
      <c r="J9250" s="405">
        <v>0.42384850000000002</v>
      </c>
      <c r="K9250" s="405">
        <v>32.562196900000004</v>
      </c>
      <c r="L9250" s="405" t="s">
        <v>314</v>
      </c>
      <c r="M9250" s="405" t="s">
        <v>361</v>
      </c>
      <c r="N9250" s="405" t="s">
        <v>370</v>
      </c>
      <c r="O9250" s="405" t="s">
        <v>370</v>
      </c>
      <c r="P9250" s="405" t="s">
        <v>464</v>
      </c>
      <c r="Q9250" s="411">
        <v>6</v>
      </c>
      <c r="R9250" s="405" t="s">
        <v>353</v>
      </c>
      <c r="S9250" s="405" t="s">
        <v>27115</v>
      </c>
      <c r="T9250" s="405" t="s">
        <v>32102</v>
      </c>
      <c r="U9250" s="405" t="s">
        <v>319</v>
      </c>
    </row>
    <row r="9251" spans="1:21" hidden="1" x14ac:dyDescent="0.25">
      <c r="A9251" s="405" t="s">
        <v>310</v>
      </c>
      <c r="B9251" s="405" t="s">
        <v>19669</v>
      </c>
      <c r="C9251" s="405" t="s">
        <v>327</v>
      </c>
      <c r="D9251" s="405"/>
      <c r="E9251" s="410">
        <v>40301</v>
      </c>
      <c r="F9251" s="410">
        <v>40346</v>
      </c>
      <c r="G9251" s="405" t="s">
        <v>19670</v>
      </c>
      <c r="H9251" s="405">
        <v>773151626</v>
      </c>
      <c r="I9251" s="405"/>
      <c r="J9251" s="405">
        <v>-0.98252200000000001</v>
      </c>
      <c r="K9251" s="405">
        <v>30.343316000000002</v>
      </c>
      <c r="L9251" s="405" t="s">
        <v>590</v>
      </c>
      <c r="M9251" s="405" t="s">
        <v>19659</v>
      </c>
      <c r="N9251" s="405" t="s">
        <v>19664</v>
      </c>
      <c r="O9251" s="405" t="s">
        <v>19664</v>
      </c>
      <c r="P9251" s="405" t="s">
        <v>19671</v>
      </c>
      <c r="Q9251" s="411">
        <v>9</v>
      </c>
      <c r="R9251" s="405" t="s">
        <v>967</v>
      </c>
      <c r="S9251" s="405" t="s">
        <v>27393</v>
      </c>
      <c r="T9251" s="405" t="s">
        <v>32102</v>
      </c>
      <c r="U9251" s="405" t="s">
        <v>319</v>
      </c>
    </row>
    <row r="9252" spans="1:21" hidden="1" x14ac:dyDescent="0.25">
      <c r="A9252" s="405" t="s">
        <v>310</v>
      </c>
      <c r="B9252" s="405" t="s">
        <v>19945</v>
      </c>
      <c r="C9252" s="405" t="s">
        <v>311</v>
      </c>
      <c r="D9252" s="405" t="s">
        <v>312</v>
      </c>
      <c r="E9252" s="410">
        <v>40301</v>
      </c>
      <c r="F9252" s="410">
        <v>40346</v>
      </c>
      <c r="G9252" s="405" t="s">
        <v>19946</v>
      </c>
      <c r="H9252" s="405">
        <v>704342104</v>
      </c>
      <c r="I9252" s="405"/>
      <c r="J9252" s="405">
        <v>-0.99590800000000002</v>
      </c>
      <c r="K9252" s="405">
        <v>30.378516000000001</v>
      </c>
      <c r="L9252" s="405" t="s">
        <v>590</v>
      </c>
      <c r="M9252" s="405" t="s">
        <v>19659</v>
      </c>
      <c r="N9252" s="405" t="s">
        <v>19664</v>
      </c>
      <c r="O9252" s="405" t="s">
        <v>19664</v>
      </c>
      <c r="P9252" s="405" t="s">
        <v>19668</v>
      </c>
      <c r="Q9252" s="411">
        <v>6</v>
      </c>
      <c r="R9252" s="405" t="s">
        <v>967</v>
      </c>
      <c r="S9252" s="405" t="s">
        <v>27396</v>
      </c>
      <c r="T9252" s="405" t="s">
        <v>32102</v>
      </c>
      <c r="U9252" s="405" t="s">
        <v>319</v>
      </c>
    </row>
    <row r="9253" spans="1:21" hidden="1" x14ac:dyDescent="0.25">
      <c r="A9253" s="405" t="s">
        <v>310</v>
      </c>
      <c r="B9253" s="405" t="s">
        <v>19666</v>
      </c>
      <c r="C9253" s="405" t="s">
        <v>327</v>
      </c>
      <c r="D9253" s="405"/>
      <c r="E9253" s="410">
        <v>40301</v>
      </c>
      <c r="F9253" s="410">
        <v>40346</v>
      </c>
      <c r="G9253" s="405" t="s">
        <v>19667</v>
      </c>
      <c r="H9253" s="405">
        <v>703160604</v>
      </c>
      <c r="I9253" s="405"/>
      <c r="J9253" s="405">
        <v>-0.99751500000000004</v>
      </c>
      <c r="K9253" s="405">
        <v>30.378969000000001</v>
      </c>
      <c r="L9253" s="405" t="s">
        <v>590</v>
      </c>
      <c r="M9253" s="405" t="s">
        <v>19659</v>
      </c>
      <c r="N9253" s="405" t="s">
        <v>19664</v>
      </c>
      <c r="O9253" s="405" t="s">
        <v>19664</v>
      </c>
      <c r="P9253" s="405" t="s">
        <v>19668</v>
      </c>
      <c r="Q9253" s="411">
        <v>6</v>
      </c>
      <c r="R9253" s="405" t="s">
        <v>967</v>
      </c>
      <c r="S9253" s="405" t="s">
        <v>27396</v>
      </c>
      <c r="T9253" s="405" t="s">
        <v>32102</v>
      </c>
      <c r="U9253" s="405" t="s">
        <v>319</v>
      </c>
    </row>
    <row r="9254" spans="1:21" hidden="1" x14ac:dyDescent="0.25">
      <c r="A9254" s="405" t="s">
        <v>310</v>
      </c>
      <c r="B9254" s="405" t="s">
        <v>19940</v>
      </c>
      <c r="C9254" s="405" t="s">
        <v>311</v>
      </c>
      <c r="D9254" s="405" t="s">
        <v>839</v>
      </c>
      <c r="E9254" s="410">
        <v>40301</v>
      </c>
      <c r="F9254" s="410">
        <v>40346</v>
      </c>
      <c r="G9254" s="405" t="s">
        <v>19941</v>
      </c>
      <c r="H9254" s="405">
        <v>783602042</v>
      </c>
      <c r="I9254" s="405"/>
      <c r="J9254" s="405">
        <v>-0.98585699999999998</v>
      </c>
      <c r="K9254" s="405">
        <v>30.347584999999999</v>
      </c>
      <c r="L9254" s="405" t="s">
        <v>590</v>
      </c>
      <c r="M9254" s="405" t="s">
        <v>19659</v>
      </c>
      <c r="N9254" s="405" t="s">
        <v>19664</v>
      </c>
      <c r="O9254" s="405" t="s">
        <v>19664</v>
      </c>
      <c r="P9254" s="405" t="s">
        <v>19923</v>
      </c>
      <c r="Q9254" s="411">
        <v>6</v>
      </c>
      <c r="R9254" s="405" t="s">
        <v>967</v>
      </c>
      <c r="S9254" s="405" t="s">
        <v>27166</v>
      </c>
      <c r="T9254" s="405" t="s">
        <v>32102</v>
      </c>
      <c r="U9254" s="405" t="s">
        <v>319</v>
      </c>
    </row>
    <row r="9255" spans="1:21" hidden="1" x14ac:dyDescent="0.25">
      <c r="A9255" s="405" t="s">
        <v>310</v>
      </c>
      <c r="B9255" s="405" t="s">
        <v>19932</v>
      </c>
      <c r="C9255" s="405" t="s">
        <v>311</v>
      </c>
      <c r="D9255" s="405" t="s">
        <v>5973</v>
      </c>
      <c r="E9255" s="410">
        <v>40300</v>
      </c>
      <c r="F9255" s="410">
        <v>40345</v>
      </c>
      <c r="G9255" s="405" t="s">
        <v>19933</v>
      </c>
      <c r="H9255" s="405">
        <v>772338755</v>
      </c>
      <c r="I9255" s="405"/>
      <c r="J9255" s="405">
        <v>-0.87617900000000004</v>
      </c>
      <c r="K9255" s="405">
        <v>30.280621</v>
      </c>
      <c r="L9255" s="405" t="s">
        <v>590</v>
      </c>
      <c r="M9255" s="405" t="s">
        <v>19659</v>
      </c>
      <c r="N9255" s="405" t="s">
        <v>19681</v>
      </c>
      <c r="O9255" s="405" t="s">
        <v>6748</v>
      </c>
      <c r="P9255" s="405" t="s">
        <v>19934</v>
      </c>
      <c r="Q9255" s="411">
        <v>12</v>
      </c>
      <c r="R9255" s="405" t="s">
        <v>967</v>
      </c>
      <c r="S9255" s="405" t="s">
        <v>27394</v>
      </c>
      <c r="T9255" s="405" t="s">
        <v>32102</v>
      </c>
      <c r="U9255" s="405" t="s">
        <v>319</v>
      </c>
    </row>
    <row r="9256" spans="1:21" hidden="1" x14ac:dyDescent="0.25">
      <c r="A9256" s="405" t="s">
        <v>310</v>
      </c>
      <c r="B9256" s="405" t="s">
        <v>19935</v>
      </c>
      <c r="C9256" s="405" t="s">
        <v>311</v>
      </c>
      <c r="D9256" s="405" t="s">
        <v>839</v>
      </c>
      <c r="E9256" s="410">
        <v>40300</v>
      </c>
      <c r="F9256" s="410">
        <v>40345</v>
      </c>
      <c r="G9256" s="405" t="s">
        <v>19936</v>
      </c>
      <c r="H9256" s="405">
        <v>701731979</v>
      </c>
      <c r="I9256" s="405">
        <v>759995593</v>
      </c>
      <c r="J9256" s="405">
        <v>-0.94490600000000002</v>
      </c>
      <c r="K9256" s="405">
        <v>30.271457999999999</v>
      </c>
      <c r="L9256" s="405" t="s">
        <v>590</v>
      </c>
      <c r="M9256" s="405" t="s">
        <v>19659</v>
      </c>
      <c r="N9256" s="405" t="s">
        <v>19664</v>
      </c>
      <c r="O9256" s="405" t="s">
        <v>19659</v>
      </c>
      <c r="P9256" s="405" t="s">
        <v>19665</v>
      </c>
      <c r="Q9256" s="411">
        <v>12</v>
      </c>
      <c r="R9256" s="405" t="s">
        <v>967</v>
      </c>
      <c r="S9256" s="405" t="s">
        <v>27166</v>
      </c>
      <c r="T9256" s="405" t="s">
        <v>32102</v>
      </c>
      <c r="U9256" s="405" t="s">
        <v>319</v>
      </c>
    </row>
    <row r="9257" spans="1:21" hidden="1" x14ac:dyDescent="0.25">
      <c r="A9257" s="405" t="s">
        <v>310</v>
      </c>
      <c r="B9257" s="405" t="s">
        <v>19662</v>
      </c>
      <c r="C9257" s="405" t="s">
        <v>327</v>
      </c>
      <c r="D9257" s="405"/>
      <c r="E9257" s="410">
        <v>40300</v>
      </c>
      <c r="F9257" s="410">
        <v>40345</v>
      </c>
      <c r="G9257" s="405" t="s">
        <v>19663</v>
      </c>
      <c r="H9257" s="405">
        <v>772986622</v>
      </c>
      <c r="I9257" s="405"/>
      <c r="J9257" s="405">
        <v>-0.947523</v>
      </c>
      <c r="K9257" s="405">
        <v>30.271702000000001</v>
      </c>
      <c r="L9257" s="405" t="s">
        <v>590</v>
      </c>
      <c r="M9257" s="405" t="s">
        <v>19659</v>
      </c>
      <c r="N9257" s="405" t="s">
        <v>19664</v>
      </c>
      <c r="O9257" s="405" t="s">
        <v>19659</v>
      </c>
      <c r="P9257" s="405" t="s">
        <v>19665</v>
      </c>
      <c r="Q9257" s="411">
        <v>9</v>
      </c>
      <c r="R9257" s="405" t="s">
        <v>967</v>
      </c>
      <c r="S9257" s="405" t="s">
        <v>27166</v>
      </c>
      <c r="T9257" s="405" t="s">
        <v>32102</v>
      </c>
      <c r="U9257" s="405" t="s">
        <v>319</v>
      </c>
    </row>
    <row r="9258" spans="1:21" hidden="1" x14ac:dyDescent="0.25">
      <c r="A9258" s="405" t="s">
        <v>310</v>
      </c>
      <c r="B9258" s="405" t="s">
        <v>27917</v>
      </c>
      <c r="C9258" s="405" t="s">
        <v>327</v>
      </c>
      <c r="D9258" s="405"/>
      <c r="E9258" s="410">
        <v>40298</v>
      </c>
      <c r="F9258" s="410">
        <v>40343</v>
      </c>
      <c r="G9258" s="405" t="s">
        <v>444</v>
      </c>
      <c r="H9258" s="405">
        <v>782935910</v>
      </c>
      <c r="I9258" s="405"/>
      <c r="J9258" s="405">
        <v>0.445685</v>
      </c>
      <c r="K9258" s="405">
        <v>31.479102000000001</v>
      </c>
      <c r="L9258" s="405" t="s">
        <v>314</v>
      </c>
      <c r="M9258" s="405" t="s">
        <v>445</v>
      </c>
      <c r="N9258" s="405" t="s">
        <v>446</v>
      </c>
      <c r="O9258" s="405" t="s">
        <v>447</v>
      </c>
      <c r="P9258" s="405" t="s">
        <v>448</v>
      </c>
      <c r="Q9258" s="411">
        <v>9</v>
      </c>
      <c r="R9258" s="405" t="s">
        <v>32773</v>
      </c>
      <c r="S9258" s="405" t="s">
        <v>27133</v>
      </c>
      <c r="T9258" s="405" t="s">
        <v>32102</v>
      </c>
      <c r="U9258" s="405" t="s">
        <v>319</v>
      </c>
    </row>
    <row r="9259" spans="1:21" hidden="1" x14ac:dyDescent="0.25">
      <c r="A9259" s="405" t="s">
        <v>310</v>
      </c>
      <c r="B9259" s="405" t="s">
        <v>28017</v>
      </c>
      <c r="C9259" s="405" t="s">
        <v>327</v>
      </c>
      <c r="D9259" s="405"/>
      <c r="E9259" s="410">
        <v>40298</v>
      </c>
      <c r="F9259" s="410">
        <v>40343</v>
      </c>
      <c r="G9259" s="405" t="s">
        <v>454</v>
      </c>
      <c r="H9259" s="405">
        <v>772470263</v>
      </c>
      <c r="I9259" s="405"/>
      <c r="J9259" s="405">
        <v>0.36200589999999999</v>
      </c>
      <c r="K9259" s="405">
        <v>32.732783300000001</v>
      </c>
      <c r="L9259" s="405" t="s">
        <v>314</v>
      </c>
      <c r="M9259" s="405" t="s">
        <v>329</v>
      </c>
      <c r="N9259" s="405" t="s">
        <v>330</v>
      </c>
      <c r="O9259" s="405" t="s">
        <v>331</v>
      </c>
      <c r="P9259" s="405" t="s">
        <v>455</v>
      </c>
      <c r="Q9259" s="411">
        <v>9</v>
      </c>
      <c r="R9259" s="405" t="s">
        <v>353</v>
      </c>
      <c r="S9259" s="405" t="s">
        <v>27120</v>
      </c>
      <c r="T9259" s="405" t="s">
        <v>32102</v>
      </c>
      <c r="U9259" s="405" t="s">
        <v>319</v>
      </c>
    </row>
    <row r="9260" spans="1:21" hidden="1" x14ac:dyDescent="0.25">
      <c r="A9260" s="405" t="s">
        <v>310</v>
      </c>
      <c r="B9260" s="405" t="s">
        <v>28393</v>
      </c>
      <c r="C9260" s="405" t="s">
        <v>327</v>
      </c>
      <c r="D9260" s="405"/>
      <c r="E9260" s="410">
        <v>40298</v>
      </c>
      <c r="F9260" s="410">
        <v>40343</v>
      </c>
      <c r="G9260" s="405" t="s">
        <v>9549</v>
      </c>
      <c r="H9260" s="405">
        <v>701890685</v>
      </c>
      <c r="I9260" s="405"/>
      <c r="J9260" s="405">
        <v>1.2774669999999999</v>
      </c>
      <c r="K9260" s="405">
        <v>34.362397999999999</v>
      </c>
      <c r="L9260" s="405" t="s">
        <v>6866</v>
      </c>
      <c r="M9260" s="405" t="s">
        <v>9550</v>
      </c>
      <c r="N9260" s="405" t="s">
        <v>9550</v>
      </c>
      <c r="O9260" s="405" t="s">
        <v>9551</v>
      </c>
      <c r="P9260" s="405" t="s">
        <v>9552</v>
      </c>
      <c r="Q9260" s="411">
        <v>6</v>
      </c>
      <c r="R9260" s="405" t="s">
        <v>7224</v>
      </c>
      <c r="S9260" s="405" t="s">
        <v>27297</v>
      </c>
      <c r="T9260" s="405" t="s">
        <v>32102</v>
      </c>
      <c r="U9260" s="405" t="s">
        <v>319</v>
      </c>
    </row>
    <row r="9261" spans="1:21" hidden="1" x14ac:dyDescent="0.25">
      <c r="A9261" s="405" t="s">
        <v>310</v>
      </c>
      <c r="B9261" s="405" t="s">
        <v>28580</v>
      </c>
      <c r="C9261" s="405" t="s">
        <v>327</v>
      </c>
      <c r="D9261" s="405"/>
      <c r="E9261" s="410">
        <v>40298</v>
      </c>
      <c r="F9261" s="410">
        <v>40343</v>
      </c>
      <c r="G9261" s="405" t="s">
        <v>468</v>
      </c>
      <c r="H9261" s="405">
        <v>700174050</v>
      </c>
      <c r="I9261" s="405"/>
      <c r="J9261" s="405">
        <v>0.41792699999999999</v>
      </c>
      <c r="K9261" s="405">
        <v>32.543866999999999</v>
      </c>
      <c r="L9261" s="405" t="s">
        <v>314</v>
      </c>
      <c r="M9261" s="405" t="s">
        <v>361</v>
      </c>
      <c r="N9261" s="405" t="s">
        <v>362</v>
      </c>
      <c r="O9261" s="405" t="s">
        <v>469</v>
      </c>
      <c r="P9261" s="405" t="s">
        <v>470</v>
      </c>
      <c r="Q9261" s="411">
        <v>6</v>
      </c>
      <c r="R9261" s="405" t="s">
        <v>333</v>
      </c>
      <c r="S9261" s="405" t="s">
        <v>27127</v>
      </c>
      <c r="T9261" s="405" t="s">
        <v>32102</v>
      </c>
      <c r="U9261" s="405" t="s">
        <v>319</v>
      </c>
    </row>
    <row r="9262" spans="1:21" hidden="1" x14ac:dyDescent="0.25">
      <c r="A9262" s="405" t="s">
        <v>310</v>
      </c>
      <c r="B9262" s="405" t="s">
        <v>27608</v>
      </c>
      <c r="C9262" s="405" t="s">
        <v>327</v>
      </c>
      <c r="D9262" s="405"/>
      <c r="E9262" s="410">
        <v>40298</v>
      </c>
      <c r="F9262" s="410">
        <v>40343</v>
      </c>
      <c r="G9262" s="405" t="s">
        <v>9553</v>
      </c>
      <c r="H9262" s="405">
        <v>755901700</v>
      </c>
      <c r="I9262" s="405"/>
      <c r="J9262" s="405">
        <v>1.4095083333333331</v>
      </c>
      <c r="K9262" s="405">
        <v>32.942114999999994</v>
      </c>
      <c r="L9262" s="405" t="s">
        <v>6866</v>
      </c>
      <c r="M9262" s="405" t="s">
        <v>9520</v>
      </c>
      <c r="N9262" s="405" t="s">
        <v>9554</v>
      </c>
      <c r="O9262" s="405" t="s">
        <v>9522</v>
      </c>
      <c r="P9262" s="405" t="s">
        <v>987</v>
      </c>
      <c r="Q9262" s="411">
        <v>6</v>
      </c>
      <c r="R9262" s="405" t="s">
        <v>32478</v>
      </c>
      <c r="S9262" s="405" t="s">
        <v>27195</v>
      </c>
      <c r="T9262" s="405" t="s">
        <v>32102</v>
      </c>
      <c r="U9262" s="405" t="s">
        <v>319</v>
      </c>
    </row>
    <row r="9263" spans="1:21" hidden="1" x14ac:dyDescent="0.25">
      <c r="A9263" s="405" t="s">
        <v>310</v>
      </c>
      <c r="B9263" s="405" t="s">
        <v>449</v>
      </c>
      <c r="C9263" s="405" t="s">
        <v>327</v>
      </c>
      <c r="D9263" s="405"/>
      <c r="E9263" s="410">
        <v>40298</v>
      </c>
      <c r="F9263" s="410">
        <v>40343</v>
      </c>
      <c r="G9263" s="405" t="s">
        <v>450</v>
      </c>
      <c r="H9263" s="405">
        <v>788061309</v>
      </c>
      <c r="I9263" s="405">
        <v>706462385</v>
      </c>
      <c r="J9263" s="405">
        <v>0.44771850000000002</v>
      </c>
      <c r="K9263" s="405">
        <v>32.7161963</v>
      </c>
      <c r="L9263" s="405" t="s">
        <v>314</v>
      </c>
      <c r="M9263" s="405" t="s">
        <v>329</v>
      </c>
      <c r="N9263" s="405" t="s">
        <v>329</v>
      </c>
      <c r="O9263" s="405" t="s">
        <v>336</v>
      </c>
      <c r="P9263" s="405" t="s">
        <v>337</v>
      </c>
      <c r="Q9263" s="411">
        <v>6</v>
      </c>
      <c r="R9263" s="405" t="s">
        <v>333</v>
      </c>
      <c r="S9263" s="405" t="s">
        <v>27049</v>
      </c>
      <c r="T9263" s="405" t="s">
        <v>32102</v>
      </c>
      <c r="U9263" s="405" t="s">
        <v>319</v>
      </c>
    </row>
    <row r="9264" spans="1:21" hidden="1" x14ac:dyDescent="0.25">
      <c r="A9264" s="405" t="s">
        <v>310</v>
      </c>
      <c r="B9264" s="405" t="s">
        <v>465</v>
      </c>
      <c r="C9264" s="405" t="s">
        <v>327</v>
      </c>
      <c r="D9264" s="405"/>
      <c r="E9264" s="410">
        <v>40298</v>
      </c>
      <c r="F9264" s="410">
        <v>40343</v>
      </c>
      <c r="G9264" s="405" t="s">
        <v>466</v>
      </c>
      <c r="H9264" s="405">
        <v>754372092</v>
      </c>
      <c r="I9264" s="405"/>
      <c r="J9264" s="405">
        <v>0.53570499999999999</v>
      </c>
      <c r="K9264" s="405">
        <v>32.418804999999999</v>
      </c>
      <c r="L9264" s="405" t="s">
        <v>314</v>
      </c>
      <c r="M9264" s="405" t="s">
        <v>361</v>
      </c>
      <c r="N9264" s="405" t="s">
        <v>374</v>
      </c>
      <c r="O9264" s="405" t="s">
        <v>427</v>
      </c>
      <c r="P9264" s="405" t="s">
        <v>467</v>
      </c>
      <c r="Q9264" s="411">
        <v>6</v>
      </c>
      <c r="R9264" s="405" t="s">
        <v>32770</v>
      </c>
      <c r="S9264" s="405" t="s">
        <v>27127</v>
      </c>
      <c r="T9264" s="405" t="s">
        <v>32102</v>
      </c>
      <c r="U9264" s="405" t="s">
        <v>319</v>
      </c>
    </row>
    <row r="9265" spans="1:21" hidden="1" x14ac:dyDescent="0.25">
      <c r="A9265" s="405" t="s">
        <v>310</v>
      </c>
      <c r="B9265" s="405" t="s">
        <v>10027</v>
      </c>
      <c r="C9265" s="405" t="s">
        <v>311</v>
      </c>
      <c r="D9265" s="405" t="s">
        <v>312</v>
      </c>
      <c r="E9265" s="410">
        <v>40298</v>
      </c>
      <c r="F9265" s="410">
        <v>40343</v>
      </c>
      <c r="G9265" s="405" t="s">
        <v>10028</v>
      </c>
      <c r="H9265" s="405">
        <v>772395175</v>
      </c>
      <c r="I9265" s="405">
        <v>703668864</v>
      </c>
      <c r="J9265" s="405">
        <v>1.4421900000000001</v>
      </c>
      <c r="K9265" s="405">
        <v>33.926862999999997</v>
      </c>
      <c r="L9265" s="405" t="s">
        <v>6866</v>
      </c>
      <c r="M9265" s="405" t="s">
        <v>10029</v>
      </c>
      <c r="N9265" s="405" t="s">
        <v>10030</v>
      </c>
      <c r="O9265" s="405" t="s">
        <v>10031</v>
      </c>
      <c r="P9265" s="405" t="s">
        <v>10032</v>
      </c>
      <c r="Q9265" s="411">
        <v>6</v>
      </c>
      <c r="R9265" s="405" t="s">
        <v>9541</v>
      </c>
      <c r="S9265" s="405" t="s">
        <v>27086</v>
      </c>
      <c r="T9265" s="405" t="s">
        <v>32102</v>
      </c>
      <c r="U9265" s="405" t="s">
        <v>319</v>
      </c>
    </row>
    <row r="9266" spans="1:21" hidden="1" x14ac:dyDescent="0.25">
      <c r="A9266" s="405" t="s">
        <v>310</v>
      </c>
      <c r="B9266" s="405" t="s">
        <v>19657</v>
      </c>
      <c r="C9266" s="405" t="s">
        <v>327</v>
      </c>
      <c r="D9266" s="405"/>
      <c r="E9266" s="410">
        <v>40297</v>
      </c>
      <c r="F9266" s="410">
        <v>40342</v>
      </c>
      <c r="G9266" s="405" t="s">
        <v>19658</v>
      </c>
      <c r="H9266" s="405">
        <v>772360875</v>
      </c>
      <c r="I9266" s="405"/>
      <c r="J9266" s="405">
        <v>-0.83860900000000005</v>
      </c>
      <c r="K9266" s="405">
        <v>30.061039999999998</v>
      </c>
      <c r="L9266" s="405" t="s">
        <v>590</v>
      </c>
      <c r="M9266" s="405" t="s">
        <v>19659</v>
      </c>
      <c r="N9266" s="405" t="s">
        <v>19604</v>
      </c>
      <c r="O9266" s="405" t="s">
        <v>19660</v>
      </c>
      <c r="P9266" s="405" t="s">
        <v>19661</v>
      </c>
      <c r="Q9266" s="411">
        <v>9</v>
      </c>
      <c r="R9266" s="405" t="s">
        <v>967</v>
      </c>
      <c r="S9266" s="405" t="s">
        <v>27395</v>
      </c>
      <c r="T9266" s="405" t="s">
        <v>32102</v>
      </c>
      <c r="U9266" s="405" t="s">
        <v>319</v>
      </c>
    </row>
    <row r="9267" spans="1:21" hidden="1" x14ac:dyDescent="0.25">
      <c r="A9267" s="405" t="s">
        <v>310</v>
      </c>
      <c r="B9267" s="405" t="s">
        <v>28856</v>
      </c>
      <c r="C9267" s="405" t="s">
        <v>311</v>
      </c>
      <c r="D9267" s="405" t="s">
        <v>932</v>
      </c>
      <c r="E9267" s="410">
        <v>40296</v>
      </c>
      <c r="F9267" s="410">
        <v>40341</v>
      </c>
      <c r="G9267" s="405" t="s">
        <v>19981</v>
      </c>
      <c r="H9267" s="405">
        <v>753400977</v>
      </c>
      <c r="I9267" s="405"/>
      <c r="J9267" s="405">
        <v>-0.86143700000000001</v>
      </c>
      <c r="K9267" s="405">
        <v>30.221678000000001</v>
      </c>
      <c r="L9267" s="405" t="s">
        <v>590</v>
      </c>
      <c r="M9267" s="405" t="s">
        <v>19659</v>
      </c>
      <c r="N9267" s="405" t="s">
        <v>19664</v>
      </c>
      <c r="O9267" s="405" t="s">
        <v>19659</v>
      </c>
      <c r="P9267" s="405" t="s">
        <v>19982</v>
      </c>
      <c r="Q9267" s="411">
        <v>12</v>
      </c>
      <c r="R9267" s="405" t="s">
        <v>967</v>
      </c>
      <c r="S9267" s="405" t="s">
        <v>27393</v>
      </c>
      <c r="T9267" s="405" t="s">
        <v>32102</v>
      </c>
      <c r="U9267" s="405" t="s">
        <v>319</v>
      </c>
    </row>
    <row r="9268" spans="1:21" hidden="1" x14ac:dyDescent="0.25">
      <c r="A9268" s="405" t="s">
        <v>310</v>
      </c>
      <c r="B9268" s="405" t="s">
        <v>19685</v>
      </c>
      <c r="C9268" s="405" t="s">
        <v>327</v>
      </c>
      <c r="D9268" s="405"/>
      <c r="E9268" s="410">
        <v>40296</v>
      </c>
      <c r="F9268" s="410">
        <v>40341</v>
      </c>
      <c r="G9268" s="405" t="s">
        <v>19686</v>
      </c>
      <c r="H9268" s="405">
        <v>772476446</v>
      </c>
      <c r="I9268" s="405"/>
      <c r="J9268" s="405">
        <v>-0.86182999999999998</v>
      </c>
      <c r="K9268" s="405">
        <v>30.241109999999999</v>
      </c>
      <c r="L9268" s="405" t="s">
        <v>590</v>
      </c>
      <c r="M9268" s="405" t="s">
        <v>19659</v>
      </c>
      <c r="N9268" s="405" t="s">
        <v>19664</v>
      </c>
      <c r="O9268" s="405" t="s">
        <v>19659</v>
      </c>
      <c r="P9268" s="405" t="s">
        <v>19687</v>
      </c>
      <c r="Q9268" s="411">
        <v>12</v>
      </c>
      <c r="R9268" s="405" t="s">
        <v>967</v>
      </c>
      <c r="S9268" s="405" t="s">
        <v>27132</v>
      </c>
      <c r="T9268" s="405" t="s">
        <v>32102</v>
      </c>
      <c r="U9268" s="405" t="s">
        <v>319</v>
      </c>
    </row>
    <row r="9269" spans="1:21" hidden="1" x14ac:dyDescent="0.25">
      <c r="A9269" s="405" t="s">
        <v>310</v>
      </c>
      <c r="B9269" s="405" t="s">
        <v>19983</v>
      </c>
      <c r="C9269" s="405" t="s">
        <v>311</v>
      </c>
      <c r="D9269" s="405" t="s">
        <v>19984</v>
      </c>
      <c r="E9269" s="410">
        <v>40296</v>
      </c>
      <c r="F9269" s="410">
        <v>40341</v>
      </c>
      <c r="G9269" s="405" t="s">
        <v>19985</v>
      </c>
      <c r="H9269" s="405">
        <v>753946273</v>
      </c>
      <c r="I9269" s="405">
        <v>785888927</v>
      </c>
      <c r="J9269" s="405">
        <v>-0.87261900000000003</v>
      </c>
      <c r="K9269" s="405">
        <v>30.241485999999998</v>
      </c>
      <c r="L9269" s="405" t="s">
        <v>590</v>
      </c>
      <c r="M9269" s="405" t="s">
        <v>19659</v>
      </c>
      <c r="N9269" s="405" t="s">
        <v>19664</v>
      </c>
      <c r="O9269" s="405" t="s">
        <v>19659</v>
      </c>
      <c r="P9269" s="405" t="s">
        <v>19986</v>
      </c>
      <c r="Q9269" s="411">
        <v>6</v>
      </c>
      <c r="R9269" s="405" t="s">
        <v>967</v>
      </c>
      <c r="S9269" s="405" t="s">
        <v>27399</v>
      </c>
      <c r="T9269" s="405" t="s">
        <v>32102</v>
      </c>
      <c r="U9269" s="405" t="s">
        <v>319</v>
      </c>
    </row>
    <row r="9270" spans="1:21" hidden="1" x14ac:dyDescent="0.25">
      <c r="A9270" s="405" t="s">
        <v>310</v>
      </c>
      <c r="B9270" s="405" t="s">
        <v>19648</v>
      </c>
      <c r="C9270" s="405" t="s">
        <v>327</v>
      </c>
      <c r="D9270" s="405"/>
      <c r="E9270" s="410">
        <v>40295</v>
      </c>
      <c r="F9270" s="410">
        <v>40340</v>
      </c>
      <c r="G9270" s="405" t="s">
        <v>19649</v>
      </c>
      <c r="H9270" s="405">
        <v>772576789</v>
      </c>
      <c r="I9270" s="405"/>
      <c r="J9270" s="405">
        <v>-0.46260699999999999</v>
      </c>
      <c r="K9270" s="405">
        <v>30.570031</v>
      </c>
      <c r="L9270" s="405" t="s">
        <v>590</v>
      </c>
      <c r="M9270" s="405" t="s">
        <v>19614</v>
      </c>
      <c r="N9270" s="405" t="s">
        <v>19615</v>
      </c>
      <c r="O9270" s="405" t="s">
        <v>19650</v>
      </c>
      <c r="P9270" s="405" t="s">
        <v>19651</v>
      </c>
      <c r="Q9270" s="411">
        <v>12</v>
      </c>
      <c r="R9270" s="405" t="s">
        <v>333</v>
      </c>
      <c r="S9270" s="405" t="s">
        <v>27096</v>
      </c>
      <c r="T9270" s="405" t="s">
        <v>32102</v>
      </c>
      <c r="U9270" s="405" t="s">
        <v>319</v>
      </c>
    </row>
    <row r="9271" spans="1:21" hidden="1" x14ac:dyDescent="0.25">
      <c r="A9271" s="405" t="s">
        <v>310</v>
      </c>
      <c r="B9271" s="405" t="s">
        <v>19682</v>
      </c>
      <c r="C9271" s="405" t="s">
        <v>327</v>
      </c>
      <c r="D9271" s="405"/>
      <c r="E9271" s="410">
        <v>40295</v>
      </c>
      <c r="F9271" s="410">
        <v>40340</v>
      </c>
      <c r="G9271" s="405" t="s">
        <v>19683</v>
      </c>
      <c r="H9271" s="405">
        <v>783134600</v>
      </c>
      <c r="I9271" s="405"/>
      <c r="J9271" s="405">
        <v>-0.90705000000000002</v>
      </c>
      <c r="K9271" s="405">
        <v>30.245497</v>
      </c>
      <c r="L9271" s="405" t="s">
        <v>590</v>
      </c>
      <c r="M9271" s="405" t="s">
        <v>19659</v>
      </c>
      <c r="N9271" s="405" t="s">
        <v>19681</v>
      </c>
      <c r="O9271" s="405" t="s">
        <v>10466</v>
      </c>
      <c r="P9271" s="405" t="s">
        <v>19684</v>
      </c>
      <c r="Q9271" s="411">
        <v>9</v>
      </c>
      <c r="R9271" s="405" t="s">
        <v>967</v>
      </c>
      <c r="S9271" s="405" t="s">
        <v>27166</v>
      </c>
      <c r="T9271" s="405" t="s">
        <v>32102</v>
      </c>
      <c r="U9271" s="405" t="s">
        <v>319</v>
      </c>
    </row>
    <row r="9272" spans="1:21" hidden="1" x14ac:dyDescent="0.25">
      <c r="A9272" s="405" t="s">
        <v>310</v>
      </c>
      <c r="B9272" s="405" t="s">
        <v>19679</v>
      </c>
      <c r="C9272" s="405" t="s">
        <v>327</v>
      </c>
      <c r="D9272" s="405"/>
      <c r="E9272" s="410">
        <v>40295</v>
      </c>
      <c r="F9272" s="410">
        <v>40340</v>
      </c>
      <c r="G9272" s="405" t="s">
        <v>19680</v>
      </c>
      <c r="H9272" s="405">
        <v>714110077</v>
      </c>
      <c r="I9272" s="405"/>
      <c r="J9272" s="405">
        <v>-0.89644699999999999</v>
      </c>
      <c r="K9272" s="405">
        <v>30.246389000000001</v>
      </c>
      <c r="L9272" s="405" t="s">
        <v>590</v>
      </c>
      <c r="M9272" s="405" t="s">
        <v>19659</v>
      </c>
      <c r="N9272" s="405" t="s">
        <v>19681</v>
      </c>
      <c r="O9272" s="405" t="s">
        <v>4147</v>
      </c>
      <c r="P9272" s="405" t="s">
        <v>19651</v>
      </c>
      <c r="Q9272" s="411">
        <v>6</v>
      </c>
      <c r="R9272" s="405" t="s">
        <v>967</v>
      </c>
      <c r="S9272" s="405" t="s">
        <v>27393</v>
      </c>
      <c r="T9272" s="405" t="s">
        <v>32102</v>
      </c>
      <c r="U9272" s="405" t="s">
        <v>319</v>
      </c>
    </row>
    <row r="9273" spans="1:21" hidden="1" x14ac:dyDescent="0.25">
      <c r="A9273" s="405" t="s">
        <v>310</v>
      </c>
      <c r="B9273" s="405" t="s">
        <v>19966</v>
      </c>
      <c r="C9273" s="405" t="s">
        <v>311</v>
      </c>
      <c r="D9273" s="405" t="s">
        <v>312</v>
      </c>
      <c r="E9273" s="410">
        <v>40294</v>
      </c>
      <c r="F9273" s="410">
        <v>40339</v>
      </c>
      <c r="G9273" s="405" t="s">
        <v>19967</v>
      </c>
      <c r="H9273" s="405">
        <v>754844439</v>
      </c>
      <c r="I9273" s="405"/>
      <c r="J9273" s="405">
        <v>-0.77473099999999995</v>
      </c>
      <c r="K9273" s="405">
        <v>30.274466</v>
      </c>
      <c r="L9273" s="405" t="s">
        <v>590</v>
      </c>
      <c r="M9273" s="405" t="s">
        <v>19659</v>
      </c>
      <c r="N9273" s="405" t="s">
        <v>19968</v>
      </c>
      <c r="O9273" s="405" t="s">
        <v>19969</v>
      </c>
      <c r="P9273" s="405" t="s">
        <v>19970</v>
      </c>
      <c r="Q9273" s="411">
        <v>6</v>
      </c>
      <c r="R9273" s="405" t="s">
        <v>967</v>
      </c>
      <c r="S9273" s="405" t="s">
        <v>27393</v>
      </c>
      <c r="T9273" s="405" t="s">
        <v>32102</v>
      </c>
      <c r="U9273" s="405" t="s">
        <v>319</v>
      </c>
    </row>
    <row r="9274" spans="1:21" hidden="1" x14ac:dyDescent="0.25">
      <c r="A9274" s="405" t="s">
        <v>310</v>
      </c>
      <c r="B9274" s="405" t="s">
        <v>10021</v>
      </c>
      <c r="C9274" s="405" t="s">
        <v>327</v>
      </c>
      <c r="D9274" s="405"/>
      <c r="E9274" s="410">
        <v>40291</v>
      </c>
      <c r="F9274" s="410">
        <v>40336</v>
      </c>
      <c r="G9274" s="405" t="s">
        <v>10022</v>
      </c>
      <c r="H9274" s="405">
        <v>782622749</v>
      </c>
      <c r="I9274" s="405">
        <v>782285565</v>
      </c>
      <c r="J9274" s="405">
        <v>1.0694600000000001</v>
      </c>
      <c r="K9274" s="405">
        <v>34.203857999999997</v>
      </c>
      <c r="L9274" s="405" t="s">
        <v>6866</v>
      </c>
      <c r="M9274" s="405" t="s">
        <v>9514</v>
      </c>
      <c r="N9274" s="405" t="s">
        <v>9515</v>
      </c>
      <c r="O9274" s="405" t="s">
        <v>9516</v>
      </c>
      <c r="P9274" s="405" t="s">
        <v>9517</v>
      </c>
      <c r="Q9274" s="411">
        <v>12</v>
      </c>
      <c r="R9274" s="405" t="s">
        <v>333</v>
      </c>
      <c r="S9274" s="405" t="s">
        <v>27127</v>
      </c>
      <c r="T9274" s="405" t="s">
        <v>32102</v>
      </c>
      <c r="U9274" s="405" t="s">
        <v>319</v>
      </c>
    </row>
    <row r="9275" spans="1:21" hidden="1" x14ac:dyDescent="0.25">
      <c r="A9275" s="405" t="s">
        <v>310</v>
      </c>
      <c r="B9275" s="405" t="s">
        <v>29010</v>
      </c>
      <c r="C9275" s="405" t="s">
        <v>327</v>
      </c>
      <c r="D9275" s="405"/>
      <c r="E9275" s="410">
        <v>40290</v>
      </c>
      <c r="F9275" s="410">
        <v>40335</v>
      </c>
      <c r="G9275" s="405" t="s">
        <v>19641</v>
      </c>
      <c r="H9275" s="405">
        <v>774255450</v>
      </c>
      <c r="I9275" s="405">
        <v>752209270</v>
      </c>
      <c r="J9275" s="405">
        <v>-0.54747599999999996</v>
      </c>
      <c r="K9275" s="405">
        <v>30.120867000000001</v>
      </c>
      <c r="L9275" s="405" t="s">
        <v>590</v>
      </c>
      <c r="M9275" s="405" t="s">
        <v>19625</v>
      </c>
      <c r="N9275" s="405" t="s">
        <v>19642</v>
      </c>
      <c r="O9275" s="405" t="s">
        <v>19639</v>
      </c>
      <c r="P9275" s="405" t="s">
        <v>19640</v>
      </c>
      <c r="Q9275" s="411">
        <v>9</v>
      </c>
      <c r="R9275" s="405" t="s">
        <v>32770</v>
      </c>
      <c r="S9275" s="405" t="s">
        <v>27153</v>
      </c>
      <c r="T9275" s="405" t="s">
        <v>32102</v>
      </c>
      <c r="U9275" s="405" t="s">
        <v>319</v>
      </c>
    </row>
    <row r="9276" spans="1:21" hidden="1" x14ac:dyDescent="0.25">
      <c r="A9276" s="405" t="s">
        <v>310</v>
      </c>
      <c r="B9276" s="405" t="s">
        <v>19916</v>
      </c>
      <c r="C9276" s="405" t="s">
        <v>857</v>
      </c>
      <c r="D9276" s="405" t="s">
        <v>1037</v>
      </c>
      <c r="E9276" s="410">
        <v>40290</v>
      </c>
      <c r="F9276" s="410">
        <v>40335</v>
      </c>
      <c r="G9276" s="405" t="s">
        <v>19917</v>
      </c>
      <c r="H9276" s="405">
        <v>757163615</v>
      </c>
      <c r="I9276" s="405"/>
      <c r="J9276" s="405">
        <v>-0.532196</v>
      </c>
      <c r="K9276" s="405">
        <v>30.123177999999999</v>
      </c>
      <c r="L9276" s="405" t="s">
        <v>590</v>
      </c>
      <c r="M9276" s="405" t="s">
        <v>19625</v>
      </c>
      <c r="N9276" s="405" t="s">
        <v>19642</v>
      </c>
      <c r="O9276" s="405" t="s">
        <v>19639</v>
      </c>
      <c r="P9276" s="405" t="s">
        <v>19918</v>
      </c>
      <c r="Q9276" s="411">
        <v>6</v>
      </c>
      <c r="R9276" s="405" t="s">
        <v>32770</v>
      </c>
      <c r="S9276" s="405" t="s">
        <v>27153</v>
      </c>
      <c r="T9276" s="405" t="s">
        <v>32102</v>
      </c>
      <c r="U9276" s="405" t="s">
        <v>319</v>
      </c>
    </row>
    <row r="9277" spans="1:21" hidden="1" x14ac:dyDescent="0.25">
      <c r="A9277" s="405" t="s">
        <v>310</v>
      </c>
      <c r="B9277" s="405" t="s">
        <v>28969</v>
      </c>
      <c r="C9277" s="405" t="s">
        <v>327</v>
      </c>
      <c r="D9277" s="405"/>
      <c r="E9277" s="410">
        <v>40290</v>
      </c>
      <c r="F9277" s="410">
        <v>40335</v>
      </c>
      <c r="G9277" s="405" t="s">
        <v>19637</v>
      </c>
      <c r="H9277" s="405">
        <v>775163959</v>
      </c>
      <c r="I9277" s="405">
        <v>703347184</v>
      </c>
      <c r="J9277" s="405">
        <v>-0.54876599999999998</v>
      </c>
      <c r="K9277" s="405">
        <v>30.123372</v>
      </c>
      <c r="L9277" s="405" t="s">
        <v>590</v>
      </c>
      <c r="M9277" s="405" t="s">
        <v>19625</v>
      </c>
      <c r="N9277" s="405" t="s">
        <v>19638</v>
      </c>
      <c r="O9277" s="405" t="s">
        <v>19639</v>
      </c>
      <c r="P9277" s="405" t="s">
        <v>19640</v>
      </c>
      <c r="Q9277" s="411">
        <v>6</v>
      </c>
      <c r="R9277" s="405" t="s">
        <v>32770</v>
      </c>
      <c r="S9277" s="405" t="s">
        <v>27153</v>
      </c>
      <c r="T9277" s="405" t="s">
        <v>32102</v>
      </c>
      <c r="U9277" s="405" t="s">
        <v>319</v>
      </c>
    </row>
    <row r="9278" spans="1:21" hidden="1" x14ac:dyDescent="0.25">
      <c r="A9278" s="405" t="s">
        <v>310</v>
      </c>
      <c r="B9278" s="405" t="s">
        <v>29007</v>
      </c>
      <c r="C9278" s="405" t="s">
        <v>327</v>
      </c>
      <c r="D9278" s="405"/>
      <c r="E9278" s="410">
        <v>40290</v>
      </c>
      <c r="F9278" s="410">
        <v>40335</v>
      </c>
      <c r="G9278" s="405" t="s">
        <v>19643</v>
      </c>
      <c r="H9278" s="405">
        <v>771657456</v>
      </c>
      <c r="I9278" s="405"/>
      <c r="J9278" s="405">
        <v>-0.54454800000000003</v>
      </c>
      <c r="K9278" s="405">
        <v>30.121614000000001</v>
      </c>
      <c r="L9278" s="405" t="s">
        <v>590</v>
      </c>
      <c r="M9278" s="405" t="s">
        <v>19625</v>
      </c>
      <c r="N9278" s="405" t="s">
        <v>19642</v>
      </c>
      <c r="O9278" s="405" t="s">
        <v>19639</v>
      </c>
      <c r="P9278" s="405" t="s">
        <v>19640</v>
      </c>
      <c r="Q9278" s="411">
        <v>6</v>
      </c>
      <c r="R9278" s="405" t="s">
        <v>32770</v>
      </c>
      <c r="S9278" s="405" t="s">
        <v>27127</v>
      </c>
      <c r="T9278" s="405" t="s">
        <v>32102</v>
      </c>
      <c r="U9278" s="405" t="s">
        <v>319</v>
      </c>
    </row>
    <row r="9279" spans="1:21" hidden="1" x14ac:dyDescent="0.25">
      <c r="A9279" s="405" t="s">
        <v>310</v>
      </c>
      <c r="B9279" s="405" t="s">
        <v>19644</v>
      </c>
      <c r="C9279" s="405" t="s">
        <v>327</v>
      </c>
      <c r="D9279" s="405"/>
      <c r="E9279" s="410">
        <v>40290</v>
      </c>
      <c r="F9279" s="410">
        <v>40335</v>
      </c>
      <c r="G9279" s="405" t="s">
        <v>19645</v>
      </c>
      <c r="H9279" s="405">
        <v>776002668</v>
      </c>
      <c r="I9279" s="405"/>
      <c r="J9279" s="405">
        <v>-0.52847599999999995</v>
      </c>
      <c r="K9279" s="405">
        <v>30.130824</v>
      </c>
      <c r="L9279" s="405" t="s">
        <v>590</v>
      </c>
      <c r="M9279" s="405" t="s">
        <v>19625</v>
      </c>
      <c r="N9279" s="405" t="s">
        <v>19642</v>
      </c>
      <c r="O9279" s="405" t="s">
        <v>19646</v>
      </c>
      <c r="P9279" s="405" t="s">
        <v>19647</v>
      </c>
      <c r="Q9279" s="411">
        <v>6</v>
      </c>
      <c r="R9279" s="405" t="s">
        <v>32770</v>
      </c>
      <c r="S9279" s="405" t="s">
        <v>27127</v>
      </c>
      <c r="T9279" s="405" t="s">
        <v>32102</v>
      </c>
      <c r="U9279" s="405" t="s">
        <v>319</v>
      </c>
    </row>
    <row r="9280" spans="1:21" hidden="1" x14ac:dyDescent="0.25">
      <c r="A9280" s="405" t="s">
        <v>310</v>
      </c>
      <c r="B9280" s="405" t="s">
        <v>471</v>
      </c>
      <c r="C9280" s="405" t="s">
        <v>327</v>
      </c>
      <c r="D9280" s="405"/>
      <c r="E9280" s="410">
        <v>40289</v>
      </c>
      <c r="F9280" s="410">
        <v>40334</v>
      </c>
      <c r="G9280" s="405" t="s">
        <v>472</v>
      </c>
      <c r="H9280" s="405">
        <v>774630778</v>
      </c>
      <c r="I9280" s="405"/>
      <c r="J9280" s="405">
        <v>0.43171700000000002</v>
      </c>
      <c r="K9280" s="405">
        <v>33.154992</v>
      </c>
      <c r="L9280" s="405" t="s">
        <v>314</v>
      </c>
      <c r="M9280" s="405" t="s">
        <v>349</v>
      </c>
      <c r="N9280" s="405" t="s">
        <v>473</v>
      </c>
      <c r="O9280" s="405" t="s">
        <v>474</v>
      </c>
      <c r="P9280" s="405" t="s">
        <v>407</v>
      </c>
      <c r="Q9280" s="411">
        <v>9</v>
      </c>
      <c r="R9280" s="405" t="s">
        <v>333</v>
      </c>
      <c r="S9280" s="405" t="s">
        <v>27136</v>
      </c>
      <c r="T9280" s="405" t="s">
        <v>32102</v>
      </c>
      <c r="U9280" s="405" t="s">
        <v>319</v>
      </c>
    </row>
    <row r="9281" spans="1:21" hidden="1" x14ac:dyDescent="0.25">
      <c r="A9281" s="405" t="s">
        <v>310</v>
      </c>
      <c r="B9281" s="405" t="s">
        <v>27617</v>
      </c>
      <c r="C9281" s="405" t="s">
        <v>327</v>
      </c>
      <c r="D9281" s="405"/>
      <c r="E9281" s="410">
        <v>40288</v>
      </c>
      <c r="F9281" s="410">
        <v>40333</v>
      </c>
      <c r="G9281" s="405" t="s">
        <v>475</v>
      </c>
      <c r="H9281" s="405">
        <v>772481967</v>
      </c>
      <c r="I9281" s="405"/>
      <c r="J9281" s="405">
        <v>6.8918333333333345E-2</v>
      </c>
      <c r="K9281" s="405">
        <v>32.101031666666671</v>
      </c>
      <c r="L9281" s="405" t="s">
        <v>314</v>
      </c>
      <c r="M9281" s="405" t="s">
        <v>321</v>
      </c>
      <c r="N9281" s="405" t="s">
        <v>322</v>
      </c>
      <c r="O9281" s="405" t="s">
        <v>476</v>
      </c>
      <c r="P9281" s="405" t="s">
        <v>477</v>
      </c>
      <c r="Q9281" s="411">
        <v>9</v>
      </c>
      <c r="R9281" s="405" t="s">
        <v>318</v>
      </c>
      <c r="S9281" s="405" t="s">
        <v>27137</v>
      </c>
      <c r="T9281" s="405" t="s">
        <v>32102</v>
      </c>
      <c r="U9281" s="405" t="s">
        <v>319</v>
      </c>
    </row>
    <row r="9282" spans="1:21" hidden="1" x14ac:dyDescent="0.25">
      <c r="A9282" s="405" t="s">
        <v>310</v>
      </c>
      <c r="B9282" s="405" t="s">
        <v>19652</v>
      </c>
      <c r="C9282" s="405" t="s">
        <v>327</v>
      </c>
      <c r="D9282" s="405"/>
      <c r="E9282" s="410">
        <v>40288</v>
      </c>
      <c r="F9282" s="410">
        <v>40333</v>
      </c>
      <c r="G9282" s="405" t="s">
        <v>19653</v>
      </c>
      <c r="H9282" s="405">
        <v>705529726</v>
      </c>
      <c r="I9282" s="405"/>
      <c r="J9282" s="405">
        <v>-0.70465500000000003</v>
      </c>
      <c r="K9282" s="405">
        <v>30.388206</v>
      </c>
      <c r="L9282" s="405" t="s">
        <v>590</v>
      </c>
      <c r="M9282" s="405" t="s">
        <v>19614</v>
      </c>
      <c r="N9282" s="405" t="s">
        <v>19654</v>
      </c>
      <c r="O9282" s="405" t="s">
        <v>19655</v>
      </c>
      <c r="P9282" s="405" t="s">
        <v>19656</v>
      </c>
      <c r="Q9282" s="411">
        <v>6</v>
      </c>
      <c r="R9282" s="405" t="s">
        <v>333</v>
      </c>
      <c r="S9282" s="405" t="s">
        <v>27394</v>
      </c>
      <c r="T9282" s="405" t="s">
        <v>32102</v>
      </c>
      <c r="U9282" s="405" t="s">
        <v>319</v>
      </c>
    </row>
    <row r="9283" spans="1:21" hidden="1" x14ac:dyDescent="0.25">
      <c r="A9283" s="405" t="s">
        <v>310</v>
      </c>
      <c r="B9283" s="405" t="s">
        <v>9518</v>
      </c>
      <c r="C9283" s="405" t="s">
        <v>327</v>
      </c>
      <c r="D9283" s="405"/>
      <c r="E9283" s="410">
        <v>40284</v>
      </c>
      <c r="F9283" s="410">
        <v>40329</v>
      </c>
      <c r="G9283" s="405" t="s">
        <v>9519</v>
      </c>
      <c r="H9283" s="405">
        <v>752499306</v>
      </c>
      <c r="I9283" s="405"/>
      <c r="J9283" s="405">
        <v>1.4004066666666666</v>
      </c>
      <c r="K9283" s="405">
        <v>32.947745000000005</v>
      </c>
      <c r="L9283" s="405" t="s">
        <v>6866</v>
      </c>
      <c r="M9283" s="405" t="s">
        <v>9520</v>
      </c>
      <c r="N9283" s="405" t="s">
        <v>9521</v>
      </c>
      <c r="O9283" s="405" t="s">
        <v>9522</v>
      </c>
      <c r="P9283" s="405" t="s">
        <v>9523</v>
      </c>
      <c r="Q9283" s="411">
        <v>6</v>
      </c>
      <c r="R9283" s="405" t="s">
        <v>32478</v>
      </c>
      <c r="S9283" s="405" t="s">
        <v>27195</v>
      </c>
      <c r="T9283" s="405" t="s">
        <v>32102</v>
      </c>
      <c r="U9283" s="405" t="s">
        <v>319</v>
      </c>
    </row>
    <row r="9284" spans="1:21" hidden="1" x14ac:dyDescent="0.25">
      <c r="A9284" s="405" t="s">
        <v>310</v>
      </c>
      <c r="B9284" s="405" t="s">
        <v>28000</v>
      </c>
      <c r="C9284" s="405" t="s">
        <v>327</v>
      </c>
      <c r="D9284" s="405"/>
      <c r="E9284" s="410">
        <v>40281</v>
      </c>
      <c r="F9284" s="410">
        <v>40326</v>
      </c>
      <c r="G9284" s="405" t="s">
        <v>19634</v>
      </c>
      <c r="H9284" s="405">
        <v>772965846</v>
      </c>
      <c r="I9284" s="405"/>
      <c r="J9284" s="405">
        <v>-0.83787699999999998</v>
      </c>
      <c r="K9284" s="405">
        <v>30.039967999999998</v>
      </c>
      <c r="L9284" s="405" t="s">
        <v>590</v>
      </c>
      <c r="M9284" s="405" t="s">
        <v>19619</v>
      </c>
      <c r="N9284" s="405" t="s">
        <v>19620</v>
      </c>
      <c r="O9284" s="405" t="s">
        <v>19635</v>
      </c>
      <c r="P9284" s="405" t="s">
        <v>19636</v>
      </c>
      <c r="Q9284" s="411">
        <v>12</v>
      </c>
      <c r="R9284" s="405" t="s">
        <v>874</v>
      </c>
      <c r="S9284" s="405" t="s">
        <v>27049</v>
      </c>
      <c r="T9284" s="405" t="s">
        <v>32102</v>
      </c>
      <c r="U9284" s="405" t="s">
        <v>319</v>
      </c>
    </row>
    <row r="9285" spans="1:21" hidden="1" x14ac:dyDescent="0.25">
      <c r="A9285" s="405" t="s">
        <v>310</v>
      </c>
      <c r="B9285" s="405" t="s">
        <v>27593</v>
      </c>
      <c r="C9285" s="405" t="s">
        <v>857</v>
      </c>
      <c r="D9285" s="405" t="s">
        <v>1050</v>
      </c>
      <c r="E9285" s="410">
        <v>40280</v>
      </c>
      <c r="F9285" s="410">
        <v>40325</v>
      </c>
      <c r="G9285" s="405" t="s">
        <v>1051</v>
      </c>
      <c r="H9285" s="405">
        <v>774822169</v>
      </c>
      <c r="I9285" s="405">
        <v>702831869</v>
      </c>
      <c r="J9285" s="405">
        <v>-0.34226580000000001</v>
      </c>
      <c r="K9285" s="405">
        <v>31.724567100000002</v>
      </c>
      <c r="L9285" s="405" t="s">
        <v>314</v>
      </c>
      <c r="M9285" s="405" t="s">
        <v>382</v>
      </c>
      <c r="N9285" s="405" t="s">
        <v>383</v>
      </c>
      <c r="O9285" s="405" t="s">
        <v>1052</v>
      </c>
      <c r="P9285" s="405" t="s">
        <v>943</v>
      </c>
      <c r="Q9285" s="411">
        <v>6</v>
      </c>
      <c r="R9285" s="405" t="s">
        <v>402</v>
      </c>
      <c r="S9285" s="405" t="s">
        <v>27132</v>
      </c>
      <c r="T9285" s="405" t="s">
        <v>32102</v>
      </c>
      <c r="U9285" s="405" t="s">
        <v>319</v>
      </c>
    </row>
    <row r="9286" spans="1:21" hidden="1" x14ac:dyDescent="0.25">
      <c r="A9286" s="405" t="s">
        <v>310</v>
      </c>
      <c r="B9286" s="405" t="s">
        <v>9512</v>
      </c>
      <c r="C9286" s="405" t="s">
        <v>327</v>
      </c>
      <c r="D9286" s="405"/>
      <c r="E9286" s="410">
        <v>40279</v>
      </c>
      <c r="F9286" s="410">
        <v>40324</v>
      </c>
      <c r="G9286" s="405" t="s">
        <v>9513</v>
      </c>
      <c r="H9286" s="405">
        <v>782981855</v>
      </c>
      <c r="I9286" s="405">
        <v>772340490</v>
      </c>
      <c r="J9286" s="405">
        <v>1.070343</v>
      </c>
      <c r="K9286" s="405">
        <v>34.203496999999999</v>
      </c>
      <c r="L9286" s="405" t="s">
        <v>6866</v>
      </c>
      <c r="M9286" s="405" t="s">
        <v>9514</v>
      </c>
      <c r="N9286" s="405" t="s">
        <v>9515</v>
      </c>
      <c r="O9286" s="405" t="s">
        <v>9516</v>
      </c>
      <c r="P9286" s="405" t="s">
        <v>9517</v>
      </c>
      <c r="Q9286" s="411">
        <v>12</v>
      </c>
      <c r="R9286" s="405" t="s">
        <v>32486</v>
      </c>
      <c r="S9286" s="405" t="s">
        <v>27127</v>
      </c>
      <c r="T9286" s="405" t="s">
        <v>32102</v>
      </c>
      <c r="U9286" s="405" t="s">
        <v>319</v>
      </c>
    </row>
    <row r="9287" spans="1:21" hidden="1" x14ac:dyDescent="0.25">
      <c r="A9287" s="405" t="s">
        <v>310</v>
      </c>
      <c r="B9287" s="405" t="s">
        <v>19631</v>
      </c>
      <c r="C9287" s="405" t="s">
        <v>327</v>
      </c>
      <c r="D9287" s="405"/>
      <c r="E9287" s="410">
        <v>40279</v>
      </c>
      <c r="F9287" s="410">
        <v>40324</v>
      </c>
      <c r="G9287" s="405" t="s">
        <v>19632</v>
      </c>
      <c r="H9287" s="405">
        <v>775349296</v>
      </c>
      <c r="I9287" s="405"/>
      <c r="J9287" s="405">
        <v>-0.87021300000000001</v>
      </c>
      <c r="K9287" s="405">
        <v>29.959108000000001</v>
      </c>
      <c r="L9287" s="405" t="s">
        <v>590</v>
      </c>
      <c r="M9287" s="405" t="s">
        <v>19619</v>
      </c>
      <c r="N9287" s="405" t="s">
        <v>19620</v>
      </c>
      <c r="O9287" s="405" t="s">
        <v>2430</v>
      </c>
      <c r="P9287" s="405" t="s">
        <v>19633</v>
      </c>
      <c r="Q9287" s="411">
        <v>12</v>
      </c>
      <c r="R9287" s="405" t="s">
        <v>19622</v>
      </c>
      <c r="S9287" s="405" t="s">
        <v>27116</v>
      </c>
      <c r="T9287" s="405" t="s">
        <v>32102</v>
      </c>
      <c r="U9287" s="405" t="s">
        <v>319</v>
      </c>
    </row>
    <row r="9288" spans="1:21" hidden="1" x14ac:dyDescent="0.25">
      <c r="A9288" s="405" t="s">
        <v>310</v>
      </c>
      <c r="B9288" s="405" t="s">
        <v>1006</v>
      </c>
      <c r="C9288" s="405" t="s">
        <v>311</v>
      </c>
      <c r="D9288" s="405" t="s">
        <v>1007</v>
      </c>
      <c r="E9288" s="410">
        <v>40279</v>
      </c>
      <c r="F9288" s="410">
        <v>40324</v>
      </c>
      <c r="G9288" s="405" t="s">
        <v>1008</v>
      </c>
      <c r="H9288" s="405">
        <v>752885253</v>
      </c>
      <c r="I9288" s="405"/>
      <c r="J9288" s="405">
        <v>-0.25938600000000001</v>
      </c>
      <c r="K9288" s="405">
        <v>31.353494999999999</v>
      </c>
      <c r="L9288" s="405" t="s">
        <v>314</v>
      </c>
      <c r="M9288" s="405" t="s">
        <v>343</v>
      </c>
      <c r="N9288" s="405" t="s">
        <v>344</v>
      </c>
      <c r="O9288" s="405" t="s">
        <v>1009</v>
      </c>
      <c r="P9288" s="405" t="s">
        <v>727</v>
      </c>
      <c r="Q9288" s="411">
        <v>6</v>
      </c>
      <c r="R9288" s="405" t="s">
        <v>318</v>
      </c>
      <c r="S9288" s="405" t="s">
        <v>27125</v>
      </c>
      <c r="T9288" s="405" t="s">
        <v>32102</v>
      </c>
      <c r="U9288" s="405" t="s">
        <v>319</v>
      </c>
    </row>
    <row r="9289" spans="1:21" hidden="1" x14ac:dyDescent="0.25">
      <c r="A9289" s="405" t="s">
        <v>310</v>
      </c>
      <c r="B9289" s="405" t="s">
        <v>1040</v>
      </c>
      <c r="C9289" s="405" t="s">
        <v>311</v>
      </c>
      <c r="D9289" s="405" t="s">
        <v>1013</v>
      </c>
      <c r="E9289" s="410">
        <v>40275</v>
      </c>
      <c r="F9289" s="410">
        <v>40320</v>
      </c>
      <c r="G9289" s="405" t="s">
        <v>1041</v>
      </c>
      <c r="H9289" s="405">
        <v>779022743</v>
      </c>
      <c r="I9289" s="405"/>
      <c r="J9289" s="405">
        <v>1.8093669999999999</v>
      </c>
      <c r="K9289" s="405">
        <v>32.001418000000001</v>
      </c>
      <c r="L9289" s="405" t="s">
        <v>590</v>
      </c>
      <c r="M9289" s="405" t="s">
        <v>591</v>
      </c>
      <c r="N9289" s="405" t="s">
        <v>848</v>
      </c>
      <c r="O9289" s="405" t="s">
        <v>1042</v>
      </c>
      <c r="P9289" s="405" t="s">
        <v>1043</v>
      </c>
      <c r="Q9289" s="411">
        <v>6</v>
      </c>
      <c r="R9289" s="405" t="s">
        <v>333</v>
      </c>
      <c r="S9289" s="405" t="s">
        <v>22481</v>
      </c>
      <c r="T9289" s="405" t="s">
        <v>32102</v>
      </c>
      <c r="U9289" s="405" t="s">
        <v>319</v>
      </c>
    </row>
    <row r="9290" spans="1:21" hidden="1" x14ac:dyDescent="0.25">
      <c r="A9290" s="405" t="s">
        <v>310</v>
      </c>
      <c r="B9290" s="405" t="s">
        <v>28191</v>
      </c>
      <c r="C9290" s="405" t="s">
        <v>327</v>
      </c>
      <c r="D9290" s="405"/>
      <c r="E9290" s="410">
        <v>40274</v>
      </c>
      <c r="F9290" s="410">
        <v>40319</v>
      </c>
      <c r="G9290" s="405" t="s">
        <v>19629</v>
      </c>
      <c r="H9290" s="405">
        <v>772652124</v>
      </c>
      <c r="I9290" s="405"/>
      <c r="J9290" s="405">
        <v>-0.85867899999999997</v>
      </c>
      <c r="K9290" s="405">
        <v>29.913060000000002</v>
      </c>
      <c r="L9290" s="405" t="s">
        <v>590</v>
      </c>
      <c r="M9290" s="405" t="s">
        <v>19619</v>
      </c>
      <c r="N9290" s="405" t="s">
        <v>19620</v>
      </c>
      <c r="O9290" s="405" t="s">
        <v>2430</v>
      </c>
      <c r="P9290" s="405" t="s">
        <v>19630</v>
      </c>
      <c r="Q9290" s="411">
        <v>12</v>
      </c>
      <c r="R9290" s="405" t="s">
        <v>19622</v>
      </c>
      <c r="S9290" s="405" t="s">
        <v>27116</v>
      </c>
      <c r="T9290" s="405" t="s">
        <v>32102</v>
      </c>
      <c r="U9290" s="405" t="s">
        <v>319</v>
      </c>
    </row>
    <row r="9291" spans="1:21" hidden="1" x14ac:dyDescent="0.25">
      <c r="A9291" s="405" t="s">
        <v>310</v>
      </c>
      <c r="B9291" s="405" t="s">
        <v>27770</v>
      </c>
      <c r="C9291" s="405" t="s">
        <v>311</v>
      </c>
      <c r="D9291" s="405" t="s">
        <v>32774</v>
      </c>
      <c r="E9291" s="410">
        <v>40274</v>
      </c>
      <c r="F9291" s="410">
        <v>40319</v>
      </c>
      <c r="G9291" s="405" t="s">
        <v>19900</v>
      </c>
      <c r="H9291" s="405">
        <v>772605685</v>
      </c>
      <c r="I9291" s="405"/>
      <c r="J9291" s="405">
        <v>-0.87912500000000005</v>
      </c>
      <c r="K9291" s="405">
        <v>29.904983000000001</v>
      </c>
      <c r="L9291" s="405" t="s">
        <v>590</v>
      </c>
      <c r="M9291" s="405" t="s">
        <v>19619</v>
      </c>
      <c r="N9291" s="405" t="s">
        <v>19620</v>
      </c>
      <c r="O9291" s="405" t="s">
        <v>2430</v>
      </c>
      <c r="P9291" s="405" t="s">
        <v>19901</v>
      </c>
      <c r="Q9291" s="411">
        <v>9</v>
      </c>
      <c r="R9291" s="405" t="s">
        <v>19622</v>
      </c>
      <c r="S9291" s="405" t="s">
        <v>27160</v>
      </c>
      <c r="T9291" s="405" t="s">
        <v>32102</v>
      </c>
      <c r="U9291" s="405" t="s">
        <v>319</v>
      </c>
    </row>
    <row r="9292" spans="1:21" hidden="1" x14ac:dyDescent="0.25">
      <c r="A9292" s="405" t="s">
        <v>310</v>
      </c>
      <c r="B9292" s="405" t="s">
        <v>27965</v>
      </c>
      <c r="C9292" s="405" t="s">
        <v>857</v>
      </c>
      <c r="D9292" s="405" t="s">
        <v>33110</v>
      </c>
      <c r="E9292" s="410">
        <v>40272</v>
      </c>
      <c r="F9292" s="410">
        <v>40317</v>
      </c>
      <c r="G9292" s="405" t="s">
        <v>19895</v>
      </c>
      <c r="H9292" s="405">
        <v>776027227</v>
      </c>
      <c r="I9292" s="405"/>
      <c r="J9292" s="405">
        <v>-0.82447899999999996</v>
      </c>
      <c r="K9292" s="405">
        <v>29.954964</v>
      </c>
      <c r="L9292" s="405" t="s">
        <v>590</v>
      </c>
      <c r="M9292" s="405" t="s">
        <v>19619</v>
      </c>
      <c r="N9292" s="405" t="s">
        <v>19620</v>
      </c>
      <c r="O9292" s="405" t="s">
        <v>2430</v>
      </c>
      <c r="P9292" s="405" t="s">
        <v>19896</v>
      </c>
      <c r="Q9292" s="411">
        <v>6</v>
      </c>
      <c r="R9292" s="405" t="s">
        <v>333</v>
      </c>
      <c r="S9292" s="405" t="s">
        <v>27127</v>
      </c>
      <c r="T9292" s="405" t="s">
        <v>32102</v>
      </c>
      <c r="U9292" s="405" t="s">
        <v>319</v>
      </c>
    </row>
    <row r="9293" spans="1:21" hidden="1" x14ac:dyDescent="0.25">
      <c r="A9293" s="405" t="s">
        <v>310</v>
      </c>
      <c r="B9293" s="405" t="s">
        <v>9527</v>
      </c>
      <c r="C9293" s="405" t="s">
        <v>327</v>
      </c>
      <c r="D9293" s="405"/>
      <c r="E9293" s="410">
        <v>40271</v>
      </c>
      <c r="F9293" s="410">
        <v>40316</v>
      </c>
      <c r="G9293" s="405" t="s">
        <v>9528</v>
      </c>
      <c r="H9293" s="405">
        <v>772590393</v>
      </c>
      <c r="I9293" s="405"/>
      <c r="J9293" s="405">
        <v>1.124452</v>
      </c>
      <c r="K9293" s="405">
        <v>34.207577000000001</v>
      </c>
      <c r="L9293" s="405" t="s">
        <v>6866</v>
      </c>
      <c r="M9293" s="405" t="s">
        <v>9514</v>
      </c>
      <c r="N9293" s="405" t="s">
        <v>9529</v>
      </c>
      <c r="O9293" s="405" t="s">
        <v>9530</v>
      </c>
      <c r="P9293" s="405" t="s">
        <v>9531</v>
      </c>
      <c r="Q9293" s="411">
        <v>12</v>
      </c>
      <c r="R9293" s="405" t="s">
        <v>333</v>
      </c>
      <c r="S9293" s="405" t="s">
        <v>27295</v>
      </c>
      <c r="T9293" s="405" t="s">
        <v>32102</v>
      </c>
      <c r="U9293" s="405" t="s">
        <v>319</v>
      </c>
    </row>
    <row r="9294" spans="1:21" hidden="1" x14ac:dyDescent="0.25">
      <c r="A9294" s="405" t="s">
        <v>310</v>
      </c>
      <c r="B9294" s="405" t="s">
        <v>416</v>
      </c>
      <c r="C9294" s="405" t="s">
        <v>327</v>
      </c>
      <c r="D9294" s="405"/>
      <c r="E9294" s="410">
        <v>40268</v>
      </c>
      <c r="F9294" s="410">
        <v>40313</v>
      </c>
      <c r="G9294" s="405" t="s">
        <v>417</v>
      </c>
      <c r="H9294" s="405">
        <v>782780780</v>
      </c>
      <c r="I9294" s="405"/>
      <c r="J9294" s="405">
        <v>0.4373263</v>
      </c>
      <c r="K9294" s="405">
        <v>32.580264700000001</v>
      </c>
      <c r="L9294" s="405" t="s">
        <v>314</v>
      </c>
      <c r="M9294" s="405" t="s">
        <v>361</v>
      </c>
      <c r="N9294" s="405" t="s">
        <v>362</v>
      </c>
      <c r="O9294" s="405" t="s">
        <v>418</v>
      </c>
      <c r="P9294" s="405" t="s">
        <v>364</v>
      </c>
      <c r="Q9294" s="411">
        <v>12</v>
      </c>
      <c r="R9294" s="405" t="s">
        <v>353</v>
      </c>
      <c r="S9294" s="405" t="s">
        <v>27124</v>
      </c>
      <c r="T9294" s="405" t="s">
        <v>32102</v>
      </c>
      <c r="U9294" s="405" t="s">
        <v>319</v>
      </c>
    </row>
    <row r="9295" spans="1:21" hidden="1" x14ac:dyDescent="0.25">
      <c r="A9295" s="405" t="s">
        <v>310</v>
      </c>
      <c r="B9295" s="405" t="s">
        <v>419</v>
      </c>
      <c r="C9295" s="405" t="s">
        <v>327</v>
      </c>
      <c r="D9295" s="405"/>
      <c r="E9295" s="410">
        <v>40268</v>
      </c>
      <c r="F9295" s="410">
        <v>40313</v>
      </c>
      <c r="G9295" s="405" t="s">
        <v>420</v>
      </c>
      <c r="H9295" s="405">
        <v>772627472</v>
      </c>
      <c r="I9295" s="405"/>
      <c r="J9295" s="405">
        <v>0.43426500000000001</v>
      </c>
      <c r="K9295" s="405">
        <v>32.607531999999999</v>
      </c>
      <c r="L9295" s="405" t="s">
        <v>314</v>
      </c>
      <c r="M9295" s="405" t="s">
        <v>361</v>
      </c>
      <c r="N9295" s="405" t="s">
        <v>362</v>
      </c>
      <c r="O9295" s="405" t="s">
        <v>410</v>
      </c>
      <c r="P9295" s="405" t="s">
        <v>421</v>
      </c>
      <c r="Q9295" s="411">
        <v>12</v>
      </c>
      <c r="R9295" s="405" t="s">
        <v>353</v>
      </c>
      <c r="S9295" s="405" t="s">
        <v>27034</v>
      </c>
      <c r="T9295" s="405" t="s">
        <v>32102</v>
      </c>
      <c r="U9295" s="405" t="s">
        <v>319</v>
      </c>
    </row>
    <row r="9296" spans="1:21" hidden="1" x14ac:dyDescent="0.25">
      <c r="A9296" s="405" t="s">
        <v>310</v>
      </c>
      <c r="B9296" s="405" t="s">
        <v>431</v>
      </c>
      <c r="C9296" s="405" t="s">
        <v>327</v>
      </c>
      <c r="D9296" s="405"/>
      <c r="E9296" s="410">
        <v>40268</v>
      </c>
      <c r="F9296" s="410">
        <v>40313</v>
      </c>
      <c r="G9296" s="405" t="s">
        <v>432</v>
      </c>
      <c r="H9296" s="405">
        <v>772521404</v>
      </c>
      <c r="I9296" s="405"/>
      <c r="J9296" s="405">
        <v>0.52403299999999997</v>
      </c>
      <c r="K9296" s="405">
        <v>32.663862000000002</v>
      </c>
      <c r="L9296" s="405" t="s">
        <v>314</v>
      </c>
      <c r="M9296" s="405" t="s">
        <v>361</v>
      </c>
      <c r="N9296" s="405" t="s">
        <v>362</v>
      </c>
      <c r="O9296" s="405" t="s">
        <v>433</v>
      </c>
      <c r="P9296" s="405" t="s">
        <v>434</v>
      </c>
      <c r="Q9296" s="411">
        <v>9</v>
      </c>
      <c r="R9296" s="405" t="s">
        <v>353</v>
      </c>
      <c r="S9296" s="405" t="s">
        <v>27051</v>
      </c>
      <c r="T9296" s="405" t="s">
        <v>32102</v>
      </c>
      <c r="U9296" s="405" t="s">
        <v>319</v>
      </c>
    </row>
    <row r="9297" spans="1:21" hidden="1" x14ac:dyDescent="0.25">
      <c r="A9297" s="405" t="s">
        <v>310</v>
      </c>
      <c r="B9297" s="405" t="s">
        <v>28273</v>
      </c>
      <c r="C9297" s="405" t="s">
        <v>327</v>
      </c>
      <c r="D9297" s="405"/>
      <c r="E9297" s="410">
        <v>40268</v>
      </c>
      <c r="F9297" s="410">
        <v>40313</v>
      </c>
      <c r="G9297" s="405" t="s">
        <v>1038</v>
      </c>
      <c r="H9297" s="405">
        <v>751787082</v>
      </c>
      <c r="I9297" s="405"/>
      <c r="J9297" s="405">
        <v>0.435145</v>
      </c>
      <c r="K9297" s="405">
        <v>32.816079999999999</v>
      </c>
      <c r="L9297" s="405" t="s">
        <v>314</v>
      </c>
      <c r="M9297" s="405" t="s">
        <v>329</v>
      </c>
      <c r="N9297" s="405" t="s">
        <v>545</v>
      </c>
      <c r="O9297" s="405" t="s">
        <v>546</v>
      </c>
      <c r="P9297" s="405" t="s">
        <v>1039</v>
      </c>
      <c r="Q9297" s="411">
        <v>6</v>
      </c>
      <c r="R9297" s="405" t="s">
        <v>353</v>
      </c>
      <c r="S9297" s="405" t="s">
        <v>27106</v>
      </c>
      <c r="T9297" s="405" t="s">
        <v>32102</v>
      </c>
      <c r="U9297" s="405" t="s">
        <v>319</v>
      </c>
    </row>
    <row r="9298" spans="1:21" hidden="1" x14ac:dyDescent="0.25">
      <c r="A9298" s="405" t="s">
        <v>310</v>
      </c>
      <c r="B9298" s="405" t="s">
        <v>28902</v>
      </c>
      <c r="C9298" s="405" t="s">
        <v>327</v>
      </c>
      <c r="D9298" s="405"/>
      <c r="E9298" s="410">
        <v>40268</v>
      </c>
      <c r="F9298" s="410">
        <v>40313</v>
      </c>
      <c r="G9298" s="405" t="s">
        <v>429</v>
      </c>
      <c r="H9298" s="405">
        <v>785289692</v>
      </c>
      <c r="I9298" s="405"/>
      <c r="J9298" s="405">
        <v>0.53046700000000002</v>
      </c>
      <c r="K9298" s="405">
        <v>32.342072000000002</v>
      </c>
      <c r="L9298" s="405" t="s">
        <v>314</v>
      </c>
      <c r="M9298" s="405" t="s">
        <v>361</v>
      </c>
      <c r="N9298" s="405" t="s">
        <v>374</v>
      </c>
      <c r="O9298" s="405" t="s">
        <v>427</v>
      </c>
      <c r="P9298" s="405" t="s">
        <v>430</v>
      </c>
      <c r="Q9298" s="411">
        <v>6</v>
      </c>
      <c r="R9298" s="405" t="s">
        <v>333</v>
      </c>
      <c r="S9298" s="405" t="s">
        <v>27127</v>
      </c>
      <c r="T9298" s="405" t="s">
        <v>32102</v>
      </c>
      <c r="U9298" s="405" t="s">
        <v>319</v>
      </c>
    </row>
    <row r="9299" spans="1:21" hidden="1" x14ac:dyDescent="0.25">
      <c r="A9299" s="405" t="s">
        <v>310</v>
      </c>
      <c r="B9299" s="405" t="s">
        <v>1027</v>
      </c>
      <c r="C9299" s="405" t="s">
        <v>311</v>
      </c>
      <c r="D9299" s="405" t="s">
        <v>312</v>
      </c>
      <c r="E9299" s="410">
        <v>40268</v>
      </c>
      <c r="F9299" s="410">
        <v>40313</v>
      </c>
      <c r="G9299" s="405" t="s">
        <v>1028</v>
      </c>
      <c r="H9299" s="405">
        <v>772386970</v>
      </c>
      <c r="I9299" s="405"/>
      <c r="J9299" s="405">
        <v>0.49793700000000002</v>
      </c>
      <c r="K9299" s="405">
        <v>32.366714999999999</v>
      </c>
      <c r="L9299" s="405" t="s">
        <v>314</v>
      </c>
      <c r="M9299" s="405" t="s">
        <v>361</v>
      </c>
      <c r="N9299" s="405" t="s">
        <v>374</v>
      </c>
      <c r="O9299" s="405" t="s">
        <v>427</v>
      </c>
      <c r="P9299" s="405" t="s">
        <v>1029</v>
      </c>
      <c r="Q9299" s="411">
        <v>6</v>
      </c>
      <c r="R9299" s="405" t="s">
        <v>333</v>
      </c>
      <c r="S9299" s="405" t="s">
        <v>27127</v>
      </c>
      <c r="T9299" s="405" t="s">
        <v>32102</v>
      </c>
      <c r="U9299" s="405" t="s">
        <v>319</v>
      </c>
    </row>
    <row r="9300" spans="1:21" hidden="1" x14ac:dyDescent="0.25">
      <c r="A9300" s="405" t="s">
        <v>310</v>
      </c>
      <c r="B9300" s="405" t="s">
        <v>425</v>
      </c>
      <c r="C9300" s="405" t="s">
        <v>327</v>
      </c>
      <c r="D9300" s="405"/>
      <c r="E9300" s="410">
        <v>40268</v>
      </c>
      <c r="F9300" s="410">
        <v>40313</v>
      </c>
      <c r="G9300" s="405" t="s">
        <v>426</v>
      </c>
      <c r="H9300" s="405">
        <v>782437289</v>
      </c>
      <c r="I9300" s="405"/>
      <c r="J9300" s="405">
        <v>0.50013799999999997</v>
      </c>
      <c r="K9300" s="405">
        <v>32.355798</v>
      </c>
      <c r="L9300" s="405" t="s">
        <v>314</v>
      </c>
      <c r="M9300" s="405" t="s">
        <v>361</v>
      </c>
      <c r="N9300" s="405" t="s">
        <v>374</v>
      </c>
      <c r="O9300" s="405" t="s">
        <v>427</v>
      </c>
      <c r="P9300" s="405" t="s">
        <v>428</v>
      </c>
      <c r="Q9300" s="411">
        <v>6</v>
      </c>
      <c r="R9300" s="405" t="s">
        <v>333</v>
      </c>
      <c r="S9300" s="405" t="s">
        <v>27127</v>
      </c>
      <c r="T9300" s="405" t="s">
        <v>32102</v>
      </c>
      <c r="U9300" s="405" t="s">
        <v>319</v>
      </c>
    </row>
    <row r="9301" spans="1:21" hidden="1" x14ac:dyDescent="0.25">
      <c r="A9301" s="405" t="s">
        <v>310</v>
      </c>
      <c r="B9301" s="405" t="s">
        <v>435</v>
      </c>
      <c r="C9301" s="405" t="s">
        <v>327</v>
      </c>
      <c r="D9301" s="405"/>
      <c r="E9301" s="410">
        <v>40268</v>
      </c>
      <c r="F9301" s="410">
        <v>40313</v>
      </c>
      <c r="G9301" s="405" t="s">
        <v>436</v>
      </c>
      <c r="H9301" s="405">
        <v>772374539</v>
      </c>
      <c r="I9301" s="405"/>
      <c r="J9301" s="405">
        <v>0.41807699999999998</v>
      </c>
      <c r="K9301" s="405">
        <v>32.539262000000001</v>
      </c>
      <c r="L9301" s="405" t="s">
        <v>314</v>
      </c>
      <c r="M9301" s="405" t="s">
        <v>361</v>
      </c>
      <c r="N9301" s="405" t="s">
        <v>362</v>
      </c>
      <c r="O9301" s="405" t="s">
        <v>370</v>
      </c>
      <c r="P9301" s="405" t="s">
        <v>437</v>
      </c>
      <c r="Q9301" s="411">
        <v>6</v>
      </c>
      <c r="R9301" s="405" t="s">
        <v>438</v>
      </c>
      <c r="S9301" s="405" t="s">
        <v>27128</v>
      </c>
      <c r="T9301" s="405" t="s">
        <v>32102</v>
      </c>
      <c r="U9301" s="405" t="s">
        <v>319</v>
      </c>
    </row>
    <row r="9302" spans="1:21" hidden="1" x14ac:dyDescent="0.25">
      <c r="A9302" s="405" t="s">
        <v>310</v>
      </c>
      <c r="B9302" s="405" t="s">
        <v>441</v>
      </c>
      <c r="C9302" s="405" t="s">
        <v>327</v>
      </c>
      <c r="D9302" s="405"/>
      <c r="E9302" s="410">
        <v>40268</v>
      </c>
      <c r="F9302" s="410">
        <v>40313</v>
      </c>
      <c r="G9302" s="405" t="s">
        <v>442</v>
      </c>
      <c r="H9302" s="405">
        <v>772572788</v>
      </c>
      <c r="I9302" s="405"/>
      <c r="J9302" s="405">
        <v>0.33947699999999997</v>
      </c>
      <c r="K9302" s="405">
        <v>32.50864</v>
      </c>
      <c r="L9302" s="405" t="s">
        <v>314</v>
      </c>
      <c r="M9302" s="405" t="s">
        <v>361</v>
      </c>
      <c r="N9302" s="405" t="s">
        <v>374</v>
      </c>
      <c r="O9302" s="405" t="s">
        <v>361</v>
      </c>
      <c r="P9302" s="405" t="s">
        <v>443</v>
      </c>
      <c r="Q9302" s="411">
        <v>6</v>
      </c>
      <c r="R9302" s="405" t="s">
        <v>438</v>
      </c>
      <c r="S9302" s="405" t="s">
        <v>27131</v>
      </c>
      <c r="T9302" s="405" t="s">
        <v>32102</v>
      </c>
      <c r="U9302" s="405" t="s">
        <v>319</v>
      </c>
    </row>
    <row r="9303" spans="1:21" hidden="1" x14ac:dyDescent="0.25">
      <c r="A9303" s="405" t="s">
        <v>310</v>
      </c>
      <c r="B9303" s="405" t="s">
        <v>439</v>
      </c>
      <c r="C9303" s="405" t="s">
        <v>327</v>
      </c>
      <c r="D9303" s="405"/>
      <c r="E9303" s="410">
        <v>40268</v>
      </c>
      <c r="F9303" s="410">
        <v>40313</v>
      </c>
      <c r="G9303" s="405" t="s">
        <v>440</v>
      </c>
      <c r="H9303" s="405">
        <v>772837455</v>
      </c>
      <c r="I9303" s="405"/>
      <c r="J9303" s="405">
        <v>0.45121299999999998</v>
      </c>
      <c r="K9303" s="405">
        <v>32.607368000000001</v>
      </c>
      <c r="L9303" s="405" t="s">
        <v>314</v>
      </c>
      <c r="M9303" s="405" t="s">
        <v>361</v>
      </c>
      <c r="N9303" s="405" t="s">
        <v>362</v>
      </c>
      <c r="O9303" s="405" t="s">
        <v>410</v>
      </c>
      <c r="P9303" s="405" t="s">
        <v>411</v>
      </c>
      <c r="Q9303" s="411">
        <v>6</v>
      </c>
      <c r="R9303" s="405" t="s">
        <v>353</v>
      </c>
      <c r="S9303" s="405" t="s">
        <v>27129</v>
      </c>
      <c r="T9303" s="405" t="s">
        <v>32102</v>
      </c>
      <c r="U9303" s="405" t="s">
        <v>319</v>
      </c>
    </row>
    <row r="9304" spans="1:21" hidden="1" x14ac:dyDescent="0.25">
      <c r="A9304" s="405" t="s">
        <v>310</v>
      </c>
      <c r="B9304" s="405" t="s">
        <v>422</v>
      </c>
      <c r="C9304" s="405" t="s">
        <v>327</v>
      </c>
      <c r="D9304" s="405"/>
      <c r="E9304" s="410">
        <v>40268</v>
      </c>
      <c r="F9304" s="410">
        <v>40313</v>
      </c>
      <c r="G9304" s="405" t="s">
        <v>423</v>
      </c>
      <c r="H9304" s="405">
        <v>782901311</v>
      </c>
      <c r="I9304" s="405"/>
      <c r="J9304" s="405">
        <v>0.46032699999999999</v>
      </c>
      <c r="K9304" s="405">
        <v>32.606813000000002</v>
      </c>
      <c r="L9304" s="405" t="s">
        <v>314</v>
      </c>
      <c r="M9304" s="405" t="s">
        <v>361</v>
      </c>
      <c r="N9304" s="405" t="s">
        <v>362</v>
      </c>
      <c r="O9304" s="405" t="s">
        <v>410</v>
      </c>
      <c r="P9304" s="405" t="s">
        <v>424</v>
      </c>
      <c r="Q9304" s="411">
        <v>6</v>
      </c>
      <c r="R9304" s="405" t="s">
        <v>32770</v>
      </c>
      <c r="S9304" s="405" t="s">
        <v>27034</v>
      </c>
      <c r="T9304" s="405" t="s">
        <v>32102</v>
      </c>
      <c r="U9304" s="405" t="s">
        <v>319</v>
      </c>
    </row>
    <row r="9305" spans="1:21" hidden="1" x14ac:dyDescent="0.25">
      <c r="A9305" s="405" t="s">
        <v>310</v>
      </c>
      <c r="B9305" s="405" t="s">
        <v>19623</v>
      </c>
      <c r="C9305" s="405" t="s">
        <v>327</v>
      </c>
      <c r="D9305" s="405"/>
      <c r="E9305" s="410">
        <v>40267</v>
      </c>
      <c r="F9305" s="410">
        <v>40312</v>
      </c>
      <c r="G9305" s="405" t="s">
        <v>19624</v>
      </c>
      <c r="H9305" s="405">
        <v>784048235</v>
      </c>
      <c r="I9305" s="405"/>
      <c r="J9305" s="405">
        <v>-0.58233999999999997</v>
      </c>
      <c r="K9305" s="405">
        <v>30.152877</v>
      </c>
      <c r="L9305" s="405" t="s">
        <v>590</v>
      </c>
      <c r="M9305" s="405" t="s">
        <v>19625</v>
      </c>
      <c r="N9305" s="405" t="s">
        <v>19626</v>
      </c>
      <c r="O9305" s="405" t="s">
        <v>19627</v>
      </c>
      <c r="P9305" s="405" t="s">
        <v>19628</v>
      </c>
      <c r="Q9305" s="411">
        <v>6</v>
      </c>
      <c r="R9305" s="405" t="s">
        <v>333</v>
      </c>
      <c r="S9305" s="405" t="s">
        <v>27096</v>
      </c>
      <c r="T9305" s="405" t="s">
        <v>32102</v>
      </c>
      <c r="U9305" s="405" t="s">
        <v>319</v>
      </c>
    </row>
    <row r="9306" spans="1:21" hidden="1" x14ac:dyDescent="0.25">
      <c r="A9306" s="405" t="s">
        <v>310</v>
      </c>
      <c r="B9306" s="405" t="s">
        <v>27747</v>
      </c>
      <c r="C9306" s="405" t="s">
        <v>311</v>
      </c>
      <c r="D9306" s="405" t="s">
        <v>890</v>
      </c>
      <c r="E9306" s="410">
        <v>40263</v>
      </c>
      <c r="F9306" s="410">
        <v>40308</v>
      </c>
      <c r="G9306" s="405" t="s">
        <v>1047</v>
      </c>
      <c r="H9306" s="405">
        <v>784325985</v>
      </c>
      <c r="I9306" s="405"/>
      <c r="J9306" s="405">
        <v>0.22945099999999999</v>
      </c>
      <c r="K9306" s="405">
        <v>32.354306000000001</v>
      </c>
      <c r="L9306" s="405" t="s">
        <v>314</v>
      </c>
      <c r="M9306" s="405" t="s">
        <v>315</v>
      </c>
      <c r="N9306" s="405" t="s">
        <v>315</v>
      </c>
      <c r="O9306" s="405" t="s">
        <v>316</v>
      </c>
      <c r="P9306" s="405" t="s">
        <v>316</v>
      </c>
      <c r="Q9306" s="411">
        <v>6</v>
      </c>
      <c r="R9306" s="405" t="s">
        <v>318</v>
      </c>
      <c r="S9306" s="405" t="s">
        <v>27130</v>
      </c>
      <c r="T9306" s="405" t="s">
        <v>32102</v>
      </c>
      <c r="U9306" s="405" t="s">
        <v>319</v>
      </c>
    </row>
    <row r="9307" spans="1:21" hidden="1" x14ac:dyDescent="0.25">
      <c r="A9307" s="405" t="s">
        <v>310</v>
      </c>
      <c r="B9307" s="405" t="s">
        <v>1012</v>
      </c>
      <c r="C9307" s="405" t="s">
        <v>311</v>
      </c>
      <c r="D9307" s="405" t="s">
        <v>1013</v>
      </c>
      <c r="E9307" s="410">
        <v>40258</v>
      </c>
      <c r="F9307" s="410">
        <v>40303</v>
      </c>
      <c r="G9307" s="405" t="s">
        <v>1014</v>
      </c>
      <c r="H9307" s="405">
        <v>705061428</v>
      </c>
      <c r="I9307" s="405"/>
      <c r="J9307" s="405">
        <v>0.28011950000000002</v>
      </c>
      <c r="K9307" s="405">
        <v>32.475913599999998</v>
      </c>
      <c r="L9307" s="405" t="s">
        <v>314</v>
      </c>
      <c r="M9307" s="405" t="s">
        <v>321</v>
      </c>
      <c r="N9307" s="405" t="s">
        <v>322</v>
      </c>
      <c r="O9307" s="405" t="s">
        <v>996</v>
      </c>
      <c r="P9307" s="405" t="s">
        <v>1015</v>
      </c>
      <c r="Q9307" s="411">
        <v>6</v>
      </c>
      <c r="R9307" s="405" t="s">
        <v>333</v>
      </c>
      <c r="S9307" s="405" t="s">
        <v>27108</v>
      </c>
      <c r="T9307" s="405" t="s">
        <v>32102</v>
      </c>
      <c r="U9307" s="405" t="s">
        <v>319</v>
      </c>
    </row>
    <row r="9308" spans="1:21" hidden="1" x14ac:dyDescent="0.25">
      <c r="A9308" s="405" t="s">
        <v>310</v>
      </c>
      <c r="B9308" s="405" t="s">
        <v>28663</v>
      </c>
      <c r="C9308" s="405" t="s">
        <v>327</v>
      </c>
      <c r="D9308" s="405"/>
      <c r="E9308" s="410">
        <v>40257</v>
      </c>
      <c r="F9308" s="410">
        <v>40302</v>
      </c>
      <c r="G9308" s="405" t="s">
        <v>414</v>
      </c>
      <c r="H9308" s="405">
        <v>703868798</v>
      </c>
      <c r="I9308" s="405">
        <v>703868798</v>
      </c>
      <c r="J9308" s="405">
        <v>0.24115999999999999</v>
      </c>
      <c r="K9308" s="405">
        <v>32.351291666666661</v>
      </c>
      <c r="L9308" s="405" t="s">
        <v>314</v>
      </c>
      <c r="M9308" s="405" t="s">
        <v>315</v>
      </c>
      <c r="N9308" s="405" t="s">
        <v>315</v>
      </c>
      <c r="O9308" s="405" t="s">
        <v>316</v>
      </c>
      <c r="P9308" s="405" t="s">
        <v>415</v>
      </c>
      <c r="Q9308" s="411">
        <v>6</v>
      </c>
      <c r="R9308" s="405" t="s">
        <v>318</v>
      </c>
      <c r="S9308" s="405" t="s">
        <v>414</v>
      </c>
      <c r="T9308" s="405" t="s">
        <v>32102</v>
      </c>
      <c r="U9308" s="405" t="s">
        <v>319</v>
      </c>
    </row>
    <row r="9309" spans="1:21" hidden="1" x14ac:dyDescent="0.25">
      <c r="A9309" s="405" t="s">
        <v>310</v>
      </c>
      <c r="B9309" s="405" t="s">
        <v>1001</v>
      </c>
      <c r="C9309" s="405" t="s">
        <v>311</v>
      </c>
      <c r="D9309" s="405" t="s">
        <v>312</v>
      </c>
      <c r="E9309" s="410">
        <v>40257</v>
      </c>
      <c r="F9309" s="410">
        <v>40302</v>
      </c>
      <c r="G9309" s="405" t="s">
        <v>1002</v>
      </c>
      <c r="H9309" s="405">
        <v>701645282</v>
      </c>
      <c r="I9309" s="405"/>
      <c r="J9309" s="405">
        <v>32.475913599999998</v>
      </c>
      <c r="K9309" s="405">
        <v>0.28011950000000002</v>
      </c>
      <c r="L9309" s="405" t="s">
        <v>314</v>
      </c>
      <c r="M9309" s="405" t="s">
        <v>321</v>
      </c>
      <c r="N9309" s="405" t="s">
        <v>322</v>
      </c>
      <c r="O9309" s="405" t="s">
        <v>996</v>
      </c>
      <c r="P9309" s="405" t="s">
        <v>1003</v>
      </c>
      <c r="Q9309" s="411">
        <v>6</v>
      </c>
      <c r="R9309" s="405" t="s">
        <v>333</v>
      </c>
      <c r="S9309" s="405" t="s">
        <v>27035</v>
      </c>
      <c r="T9309" s="405" t="s">
        <v>32102</v>
      </c>
      <c r="U9309" s="405" t="s">
        <v>319</v>
      </c>
    </row>
    <row r="9310" spans="1:21" hidden="1" x14ac:dyDescent="0.25">
      <c r="A9310" s="405" t="s">
        <v>310</v>
      </c>
      <c r="B9310" s="405" t="s">
        <v>28945</v>
      </c>
      <c r="C9310" s="405" t="s">
        <v>311</v>
      </c>
      <c r="D9310" s="405" t="s">
        <v>868</v>
      </c>
      <c r="E9310" s="410">
        <v>40254</v>
      </c>
      <c r="F9310" s="410">
        <v>40299</v>
      </c>
      <c r="G9310" s="405" t="s">
        <v>1010</v>
      </c>
      <c r="H9310" s="405">
        <v>754224719</v>
      </c>
      <c r="I9310" s="405"/>
      <c r="J9310" s="405">
        <v>-0.26358100000000001</v>
      </c>
      <c r="K9310" s="405">
        <v>31.469833999999999</v>
      </c>
      <c r="L9310" s="405" t="s">
        <v>314</v>
      </c>
      <c r="M9310" s="405" t="s">
        <v>343</v>
      </c>
      <c r="N9310" s="405" t="s">
        <v>344</v>
      </c>
      <c r="O9310" s="405" t="s">
        <v>727</v>
      </c>
      <c r="P9310" s="405" t="s">
        <v>1011</v>
      </c>
      <c r="Q9310" s="411">
        <v>6</v>
      </c>
      <c r="R9310" s="405" t="s">
        <v>318</v>
      </c>
      <c r="S9310" s="405" t="s">
        <v>27126</v>
      </c>
      <c r="T9310" s="405" t="s">
        <v>32102</v>
      </c>
      <c r="U9310" s="405" t="s">
        <v>319</v>
      </c>
    </row>
    <row r="9311" spans="1:21" hidden="1" x14ac:dyDescent="0.25">
      <c r="A9311" s="405" t="s">
        <v>310</v>
      </c>
      <c r="B9311" s="405" t="s">
        <v>19876</v>
      </c>
      <c r="C9311" s="405" t="s">
        <v>311</v>
      </c>
      <c r="D9311" s="405" t="s">
        <v>1013</v>
      </c>
      <c r="E9311" s="410">
        <v>40253</v>
      </c>
      <c r="F9311" s="410">
        <v>40298</v>
      </c>
      <c r="G9311" s="405" t="s">
        <v>19877</v>
      </c>
      <c r="H9311" s="405">
        <v>774615957</v>
      </c>
      <c r="I9311" s="405"/>
      <c r="J9311" s="405">
        <v>-0.53172799999999998</v>
      </c>
      <c r="K9311" s="405">
        <v>30.124298</v>
      </c>
      <c r="L9311" s="405" t="s">
        <v>590</v>
      </c>
      <c r="M9311" s="405" t="s">
        <v>19625</v>
      </c>
      <c r="N9311" s="405" t="s">
        <v>19642</v>
      </c>
      <c r="O9311" s="405" t="s">
        <v>19878</v>
      </c>
      <c r="P9311" s="405" t="s">
        <v>19647</v>
      </c>
      <c r="Q9311" s="411">
        <v>6</v>
      </c>
      <c r="R9311" s="405" t="s">
        <v>883</v>
      </c>
      <c r="S9311" s="405" t="s">
        <v>27271</v>
      </c>
      <c r="T9311" s="405" t="s">
        <v>32102</v>
      </c>
      <c r="U9311" s="405" t="s">
        <v>319</v>
      </c>
    </row>
    <row r="9312" spans="1:21" hidden="1" x14ac:dyDescent="0.25">
      <c r="A9312" s="405" t="s">
        <v>310</v>
      </c>
      <c r="B9312" s="405" t="s">
        <v>396</v>
      </c>
      <c r="C9312" s="405" t="s">
        <v>327</v>
      </c>
      <c r="D9312" s="405"/>
      <c r="E9312" s="410">
        <v>40249</v>
      </c>
      <c r="F9312" s="410">
        <v>40294</v>
      </c>
      <c r="G9312" s="405" t="s">
        <v>397</v>
      </c>
      <c r="H9312" s="405">
        <v>753625708</v>
      </c>
      <c r="I9312" s="405">
        <v>786120731</v>
      </c>
      <c r="J9312" s="405">
        <v>-0.76869500000000002</v>
      </c>
      <c r="K9312" s="405">
        <v>31.616803000000001</v>
      </c>
      <c r="L9312" s="405" t="s">
        <v>314</v>
      </c>
      <c r="M9312" s="405" t="s">
        <v>398</v>
      </c>
      <c r="N9312" s="405" t="s">
        <v>399</v>
      </c>
      <c r="O9312" s="405" t="s">
        <v>400</v>
      </c>
      <c r="P9312" s="405" t="s">
        <v>401</v>
      </c>
      <c r="Q9312" s="411">
        <v>12</v>
      </c>
      <c r="R9312" s="405" t="s">
        <v>402</v>
      </c>
      <c r="S9312" s="405" t="s">
        <v>27121</v>
      </c>
      <c r="T9312" s="405" t="s">
        <v>32102</v>
      </c>
      <c r="U9312" s="405" t="s">
        <v>319</v>
      </c>
    </row>
    <row r="9313" spans="1:21" hidden="1" x14ac:dyDescent="0.25">
      <c r="A9313" s="405" t="s">
        <v>310</v>
      </c>
      <c r="B9313" s="405" t="s">
        <v>27596</v>
      </c>
      <c r="C9313" s="405" t="s">
        <v>311</v>
      </c>
      <c r="D9313" s="405" t="s">
        <v>839</v>
      </c>
      <c r="E9313" s="410">
        <v>40241</v>
      </c>
      <c r="F9313" s="410">
        <v>40286</v>
      </c>
      <c r="G9313" s="405" t="s">
        <v>19879</v>
      </c>
      <c r="H9313" s="405">
        <v>772946252</v>
      </c>
      <c r="I9313" s="405">
        <v>794638288</v>
      </c>
      <c r="J9313" s="405">
        <v>1.381232</v>
      </c>
      <c r="K9313" s="405">
        <v>31.549499999999998</v>
      </c>
      <c r="L9313" s="405" t="s">
        <v>590</v>
      </c>
      <c r="M9313" s="405" t="s">
        <v>7300</v>
      </c>
      <c r="N9313" s="405" t="s">
        <v>19880</v>
      </c>
      <c r="O9313" s="405" t="s">
        <v>19881</v>
      </c>
      <c r="P9313" s="405" t="s">
        <v>19882</v>
      </c>
      <c r="Q9313" s="411">
        <v>13</v>
      </c>
      <c r="R9313" s="405" t="s">
        <v>318</v>
      </c>
      <c r="S9313" s="405" t="s">
        <v>27035</v>
      </c>
      <c r="T9313" s="405" t="s">
        <v>32102</v>
      </c>
      <c r="U9313" s="405" t="s">
        <v>319</v>
      </c>
    </row>
    <row r="9314" spans="1:21" hidden="1" x14ac:dyDescent="0.25">
      <c r="A9314" s="405" t="s">
        <v>310</v>
      </c>
      <c r="B9314" s="405" t="s">
        <v>9507</v>
      </c>
      <c r="C9314" s="405" t="s">
        <v>327</v>
      </c>
      <c r="D9314" s="405"/>
      <c r="E9314" s="410">
        <v>40239</v>
      </c>
      <c r="F9314" s="410">
        <v>40284</v>
      </c>
      <c r="G9314" s="405" t="s">
        <v>9508</v>
      </c>
      <c r="H9314" s="405">
        <v>776644369</v>
      </c>
      <c r="I9314" s="405"/>
      <c r="J9314" s="405">
        <v>1.1469</v>
      </c>
      <c r="K9314" s="405">
        <v>33.796818000000002</v>
      </c>
      <c r="L9314" s="405" t="s">
        <v>6866</v>
      </c>
      <c r="M9314" s="405" t="s">
        <v>9509</v>
      </c>
      <c r="N9314" s="405" t="s">
        <v>9509</v>
      </c>
      <c r="O9314" s="405" t="s">
        <v>9510</v>
      </c>
      <c r="P9314" s="405" t="s">
        <v>9511</v>
      </c>
      <c r="Q9314" s="411">
        <v>6</v>
      </c>
      <c r="R9314" s="405" t="s">
        <v>7224</v>
      </c>
      <c r="S9314" s="405" t="s">
        <v>27283</v>
      </c>
      <c r="T9314" s="405" t="s">
        <v>32102</v>
      </c>
      <c r="U9314" s="405" t="s">
        <v>319</v>
      </c>
    </row>
    <row r="9315" spans="1:21" hidden="1" x14ac:dyDescent="0.25">
      <c r="A9315" s="405" t="s">
        <v>310</v>
      </c>
      <c r="B9315" s="405" t="s">
        <v>386</v>
      </c>
      <c r="C9315" s="405" t="s">
        <v>327</v>
      </c>
      <c r="D9315" s="405"/>
      <c r="E9315" s="410">
        <v>40238</v>
      </c>
      <c r="F9315" s="410">
        <v>40283</v>
      </c>
      <c r="G9315" s="405" t="s">
        <v>387</v>
      </c>
      <c r="H9315" s="405">
        <v>772590509</v>
      </c>
      <c r="I9315" s="405"/>
      <c r="J9315" s="405">
        <v>0.45840639999999999</v>
      </c>
      <c r="K9315" s="405">
        <v>33.2178276</v>
      </c>
      <c r="L9315" s="405" t="s">
        <v>314</v>
      </c>
      <c r="M9315" s="405" t="s">
        <v>349</v>
      </c>
      <c r="N9315" s="405" t="s">
        <v>349</v>
      </c>
      <c r="O9315" s="405" t="s">
        <v>349</v>
      </c>
      <c r="P9315" s="405" t="s">
        <v>388</v>
      </c>
      <c r="Q9315" s="411">
        <v>6</v>
      </c>
      <c r="R9315" s="405" t="s">
        <v>333</v>
      </c>
      <c r="S9315" s="405" t="s">
        <v>27118</v>
      </c>
      <c r="T9315" s="405" t="s">
        <v>32102</v>
      </c>
      <c r="U9315" s="405" t="s">
        <v>319</v>
      </c>
    </row>
    <row r="9316" spans="1:21" hidden="1" x14ac:dyDescent="0.25">
      <c r="A9316" s="405" t="s">
        <v>310</v>
      </c>
      <c r="B9316" s="405" t="s">
        <v>403</v>
      </c>
      <c r="C9316" s="405" t="s">
        <v>327</v>
      </c>
      <c r="D9316" s="405"/>
      <c r="E9316" s="410">
        <v>40237</v>
      </c>
      <c r="F9316" s="410">
        <v>40282</v>
      </c>
      <c r="G9316" s="405" t="s">
        <v>404</v>
      </c>
      <c r="H9316" s="405">
        <v>772459065</v>
      </c>
      <c r="I9316" s="405"/>
      <c r="J9316" s="405">
        <v>0.43746299999999999</v>
      </c>
      <c r="K9316" s="405">
        <v>33.154172000000003</v>
      </c>
      <c r="L9316" s="405" t="s">
        <v>314</v>
      </c>
      <c r="M9316" s="405" t="s">
        <v>349</v>
      </c>
      <c r="N9316" s="405" t="s">
        <v>405</v>
      </c>
      <c r="O9316" s="405" t="s">
        <v>406</v>
      </c>
      <c r="P9316" s="405" t="s">
        <v>407</v>
      </c>
      <c r="Q9316" s="411">
        <v>9</v>
      </c>
      <c r="R9316" s="405" t="s">
        <v>333</v>
      </c>
      <c r="S9316" s="405" t="s">
        <v>27122</v>
      </c>
      <c r="T9316" s="405" t="s">
        <v>32102</v>
      </c>
      <c r="U9316" s="405" t="s">
        <v>319</v>
      </c>
    </row>
    <row r="9317" spans="1:21" hidden="1" x14ac:dyDescent="0.25">
      <c r="A9317" s="405" t="s">
        <v>310</v>
      </c>
      <c r="B9317" s="405" t="s">
        <v>28876</v>
      </c>
      <c r="C9317" s="405" t="s">
        <v>327</v>
      </c>
      <c r="D9317" s="405"/>
      <c r="E9317" s="410">
        <v>40237</v>
      </c>
      <c r="F9317" s="410">
        <v>40282</v>
      </c>
      <c r="G9317" s="405" t="s">
        <v>412</v>
      </c>
      <c r="H9317" s="405">
        <v>751656814</v>
      </c>
      <c r="I9317" s="405"/>
      <c r="J9317" s="405">
        <v>0.31974170000000002</v>
      </c>
      <c r="K9317" s="405">
        <v>32.621220600000001</v>
      </c>
      <c r="L9317" s="405" t="s">
        <v>314</v>
      </c>
      <c r="M9317" s="405" t="s">
        <v>361</v>
      </c>
      <c r="N9317" s="405" t="s">
        <v>362</v>
      </c>
      <c r="O9317" s="405" t="s">
        <v>410</v>
      </c>
      <c r="P9317" s="405" t="s">
        <v>413</v>
      </c>
      <c r="Q9317" s="411">
        <v>9</v>
      </c>
      <c r="R9317" s="405" t="s">
        <v>353</v>
      </c>
      <c r="S9317" s="405" t="s">
        <v>27120</v>
      </c>
      <c r="T9317" s="405" t="s">
        <v>32102</v>
      </c>
      <c r="U9317" s="405" t="s">
        <v>319</v>
      </c>
    </row>
    <row r="9318" spans="1:21" hidden="1" x14ac:dyDescent="0.25">
      <c r="A9318" s="405" t="s">
        <v>310</v>
      </c>
      <c r="B9318" s="405" t="s">
        <v>393</v>
      </c>
      <c r="C9318" s="405" t="s">
        <v>327</v>
      </c>
      <c r="D9318" s="405"/>
      <c r="E9318" s="410">
        <v>40237</v>
      </c>
      <c r="F9318" s="410">
        <v>40282</v>
      </c>
      <c r="G9318" s="405" t="s">
        <v>394</v>
      </c>
      <c r="H9318" s="405">
        <v>774477646</v>
      </c>
      <c r="I9318" s="405"/>
      <c r="J9318" s="405">
        <v>0.34635700000000003</v>
      </c>
      <c r="K9318" s="405">
        <v>32.747908000000002</v>
      </c>
      <c r="L9318" s="405" t="s">
        <v>314</v>
      </c>
      <c r="M9318" s="405" t="s">
        <v>329</v>
      </c>
      <c r="N9318" s="405" t="s">
        <v>330</v>
      </c>
      <c r="O9318" s="405" t="s">
        <v>331</v>
      </c>
      <c r="P9318" s="405" t="s">
        <v>395</v>
      </c>
      <c r="Q9318" s="411">
        <v>6</v>
      </c>
      <c r="R9318" s="405" t="s">
        <v>353</v>
      </c>
      <c r="S9318" s="405" t="s">
        <v>27120</v>
      </c>
      <c r="T9318" s="405" t="s">
        <v>32102</v>
      </c>
      <c r="U9318" s="405" t="s">
        <v>319</v>
      </c>
    </row>
    <row r="9319" spans="1:21" hidden="1" x14ac:dyDescent="0.25">
      <c r="A9319" s="405" t="s">
        <v>310</v>
      </c>
      <c r="B9319" s="405" t="s">
        <v>982</v>
      </c>
      <c r="C9319" s="405" t="s">
        <v>311</v>
      </c>
      <c r="D9319" s="405" t="s">
        <v>312</v>
      </c>
      <c r="E9319" s="410">
        <v>40237</v>
      </c>
      <c r="F9319" s="410">
        <v>40282</v>
      </c>
      <c r="G9319" s="405" t="s">
        <v>983</v>
      </c>
      <c r="H9319" s="405">
        <v>777469837</v>
      </c>
      <c r="I9319" s="405"/>
      <c r="J9319" s="405">
        <v>0.27560000000000001</v>
      </c>
      <c r="K9319" s="405">
        <v>32.797561999999999</v>
      </c>
      <c r="L9319" s="405" t="s">
        <v>314</v>
      </c>
      <c r="M9319" s="405" t="s">
        <v>329</v>
      </c>
      <c r="N9319" s="405" t="s">
        <v>803</v>
      </c>
      <c r="O9319" s="405" t="s">
        <v>653</v>
      </c>
      <c r="P9319" s="405" t="s">
        <v>984</v>
      </c>
      <c r="Q9319" s="411">
        <v>6</v>
      </c>
      <c r="R9319" s="405" t="s">
        <v>353</v>
      </c>
      <c r="S9319" s="405" t="s">
        <v>27120</v>
      </c>
      <c r="T9319" s="405" t="s">
        <v>32102</v>
      </c>
      <c r="U9319" s="405" t="s">
        <v>319</v>
      </c>
    </row>
    <row r="9320" spans="1:21" hidden="1" x14ac:dyDescent="0.25">
      <c r="A9320" s="405" t="s">
        <v>310</v>
      </c>
      <c r="B9320" s="405" t="s">
        <v>9999</v>
      </c>
      <c r="C9320" s="405" t="s">
        <v>857</v>
      </c>
      <c r="D9320" s="405" t="s">
        <v>1037</v>
      </c>
      <c r="E9320" s="410">
        <v>40237</v>
      </c>
      <c r="F9320" s="410">
        <v>40282</v>
      </c>
      <c r="G9320" s="405" t="s">
        <v>10000</v>
      </c>
      <c r="H9320" s="405">
        <v>781864648</v>
      </c>
      <c r="I9320" s="405"/>
      <c r="J9320" s="405">
        <v>0.96514500000000003</v>
      </c>
      <c r="K9320" s="405">
        <v>34.035573999999997</v>
      </c>
      <c r="L9320" s="405" t="s">
        <v>6866</v>
      </c>
      <c r="M9320" s="405" t="s">
        <v>9566</v>
      </c>
      <c r="N9320" s="405" t="s">
        <v>10001</v>
      </c>
      <c r="O9320" s="405" t="s">
        <v>9932</v>
      </c>
      <c r="P9320" s="405" t="s">
        <v>10002</v>
      </c>
      <c r="Q9320" s="411">
        <v>6</v>
      </c>
      <c r="R9320" s="405" t="s">
        <v>333</v>
      </c>
      <c r="S9320" s="405" t="s">
        <v>27127</v>
      </c>
      <c r="T9320" s="405" t="s">
        <v>32102</v>
      </c>
      <c r="U9320" s="405" t="s">
        <v>319</v>
      </c>
    </row>
    <row r="9321" spans="1:21" hidden="1" x14ac:dyDescent="0.25">
      <c r="A9321" s="405" t="s">
        <v>310</v>
      </c>
      <c r="B9321" s="405" t="s">
        <v>28661</v>
      </c>
      <c r="C9321" s="405" t="s">
        <v>311</v>
      </c>
      <c r="D9321" s="405" t="s">
        <v>839</v>
      </c>
      <c r="E9321" s="410">
        <v>40237</v>
      </c>
      <c r="F9321" s="410">
        <v>40282</v>
      </c>
      <c r="G9321" s="405" t="s">
        <v>989</v>
      </c>
      <c r="H9321" s="405">
        <v>775926085</v>
      </c>
      <c r="I9321" s="405"/>
      <c r="J9321" s="405">
        <v>0.3452716666666667</v>
      </c>
      <c r="K9321" s="405">
        <v>32.735713333333337</v>
      </c>
      <c r="L9321" s="405" t="s">
        <v>314</v>
      </c>
      <c r="M9321" s="405" t="s">
        <v>329</v>
      </c>
      <c r="N9321" s="405" t="s">
        <v>329</v>
      </c>
      <c r="O9321" s="405" t="s">
        <v>600</v>
      </c>
      <c r="P9321" s="405" t="s">
        <v>622</v>
      </c>
      <c r="Q9321" s="411">
        <v>6</v>
      </c>
      <c r="R9321" s="405" t="s">
        <v>333</v>
      </c>
      <c r="S9321" s="405" t="s">
        <v>27111</v>
      </c>
      <c r="T9321" s="405" t="s">
        <v>32102</v>
      </c>
      <c r="U9321" s="405" t="s">
        <v>319</v>
      </c>
    </row>
    <row r="9322" spans="1:21" hidden="1" x14ac:dyDescent="0.25">
      <c r="A9322" s="405" t="s">
        <v>310</v>
      </c>
      <c r="B9322" s="405" t="s">
        <v>408</v>
      </c>
      <c r="C9322" s="405" t="s">
        <v>327</v>
      </c>
      <c r="D9322" s="405"/>
      <c r="E9322" s="410">
        <v>40237</v>
      </c>
      <c r="F9322" s="410">
        <v>40282</v>
      </c>
      <c r="G9322" s="405" t="s">
        <v>409</v>
      </c>
      <c r="H9322" s="405">
        <v>783000762</v>
      </c>
      <c r="I9322" s="405"/>
      <c r="J9322" s="405">
        <v>0.45423200000000002</v>
      </c>
      <c r="K9322" s="405">
        <v>32.606901999999998</v>
      </c>
      <c r="L9322" s="405" t="s">
        <v>314</v>
      </c>
      <c r="M9322" s="405" t="s">
        <v>361</v>
      </c>
      <c r="N9322" s="405" t="s">
        <v>362</v>
      </c>
      <c r="O9322" s="405" t="s">
        <v>410</v>
      </c>
      <c r="P9322" s="405" t="s">
        <v>411</v>
      </c>
      <c r="Q9322" s="411">
        <v>6</v>
      </c>
      <c r="R9322" s="405" t="s">
        <v>353</v>
      </c>
      <c r="S9322" s="405" t="s">
        <v>27123</v>
      </c>
      <c r="T9322" s="405" t="s">
        <v>32102</v>
      </c>
      <c r="U9322" s="405" t="s">
        <v>319</v>
      </c>
    </row>
    <row r="9323" spans="1:21" hidden="1" x14ac:dyDescent="0.25">
      <c r="A9323" s="405" t="s">
        <v>310</v>
      </c>
      <c r="B9323" s="405" t="s">
        <v>19612</v>
      </c>
      <c r="C9323" s="405" t="s">
        <v>327</v>
      </c>
      <c r="D9323" s="405"/>
      <c r="E9323" s="410">
        <v>40231</v>
      </c>
      <c r="F9323" s="410">
        <v>40276</v>
      </c>
      <c r="G9323" s="405" t="s">
        <v>19613</v>
      </c>
      <c r="H9323" s="405">
        <v>772515384</v>
      </c>
      <c r="I9323" s="405"/>
      <c r="J9323" s="405">
        <v>-0.47479500000000002</v>
      </c>
      <c r="K9323" s="405">
        <v>30.745272</v>
      </c>
      <c r="L9323" s="405" t="s">
        <v>590</v>
      </c>
      <c r="M9323" s="405" t="s">
        <v>19614</v>
      </c>
      <c r="N9323" s="405" t="s">
        <v>19615</v>
      </c>
      <c r="O9323" s="405" t="s">
        <v>19616</v>
      </c>
      <c r="P9323" s="405" t="s">
        <v>19617</v>
      </c>
      <c r="Q9323" s="411">
        <v>12</v>
      </c>
      <c r="R9323" s="405" t="s">
        <v>333</v>
      </c>
      <c r="S9323" s="405" t="s">
        <v>27097</v>
      </c>
      <c r="T9323" s="405" t="s">
        <v>32102</v>
      </c>
      <c r="U9323" s="405" t="s">
        <v>319</v>
      </c>
    </row>
    <row r="9324" spans="1:21" hidden="1" x14ac:dyDescent="0.25">
      <c r="A9324" s="405" t="s">
        <v>310</v>
      </c>
      <c r="B9324" s="405" t="s">
        <v>28161</v>
      </c>
      <c r="C9324" s="405" t="s">
        <v>311</v>
      </c>
      <c r="D9324" s="405" t="s">
        <v>1013</v>
      </c>
      <c r="E9324" s="410">
        <v>40231</v>
      </c>
      <c r="F9324" s="410">
        <v>40276</v>
      </c>
      <c r="G9324" s="405" t="s">
        <v>19872</v>
      </c>
      <c r="H9324" s="405">
        <v>701351421</v>
      </c>
      <c r="I9324" s="405"/>
      <c r="J9324" s="405">
        <v>-0.62617</v>
      </c>
      <c r="K9324" s="405">
        <v>30.544920999999999</v>
      </c>
      <c r="L9324" s="405" t="s">
        <v>590</v>
      </c>
      <c r="M9324" s="405" t="s">
        <v>19614</v>
      </c>
      <c r="N9324" s="405" t="s">
        <v>19873</v>
      </c>
      <c r="O9324" s="405" t="s">
        <v>19874</v>
      </c>
      <c r="P9324" s="405" t="s">
        <v>19875</v>
      </c>
      <c r="Q9324" s="411">
        <v>9</v>
      </c>
      <c r="R9324" s="405" t="s">
        <v>333</v>
      </c>
      <c r="S9324" s="405" t="s">
        <v>27173</v>
      </c>
      <c r="T9324" s="405" t="s">
        <v>32102</v>
      </c>
      <c r="U9324" s="405" t="s">
        <v>319</v>
      </c>
    </row>
    <row r="9325" spans="1:21" hidden="1" x14ac:dyDescent="0.25">
      <c r="A9325" s="405" t="s">
        <v>310</v>
      </c>
      <c r="B9325" s="405" t="s">
        <v>28861</v>
      </c>
      <c r="C9325" s="405" t="s">
        <v>327</v>
      </c>
      <c r="D9325" s="405"/>
      <c r="E9325" s="410">
        <v>40229</v>
      </c>
      <c r="F9325" s="410">
        <v>40274</v>
      </c>
      <c r="G9325" s="405" t="s">
        <v>19618</v>
      </c>
      <c r="H9325" s="405">
        <v>772372973</v>
      </c>
      <c r="I9325" s="405"/>
      <c r="J9325" s="405">
        <v>-0.85218899999999997</v>
      </c>
      <c r="K9325" s="405">
        <v>29.953959999999999</v>
      </c>
      <c r="L9325" s="405" t="s">
        <v>590</v>
      </c>
      <c r="M9325" s="405" t="s">
        <v>19619</v>
      </c>
      <c r="N9325" s="405" t="s">
        <v>19620</v>
      </c>
      <c r="O9325" s="405" t="s">
        <v>2430</v>
      </c>
      <c r="P9325" s="405" t="s">
        <v>19621</v>
      </c>
      <c r="Q9325" s="411">
        <v>12</v>
      </c>
      <c r="R9325" s="405" t="s">
        <v>19622</v>
      </c>
      <c r="S9325" s="405" t="s">
        <v>27116</v>
      </c>
      <c r="T9325" s="405" t="s">
        <v>32102</v>
      </c>
      <c r="U9325" s="405" t="s">
        <v>319</v>
      </c>
    </row>
    <row r="9326" spans="1:21" hidden="1" x14ac:dyDescent="0.25">
      <c r="A9326" s="405" t="s">
        <v>310</v>
      </c>
      <c r="B9326" s="405" t="s">
        <v>10006</v>
      </c>
      <c r="C9326" s="405" t="s">
        <v>311</v>
      </c>
      <c r="D9326" s="405" t="s">
        <v>8702</v>
      </c>
      <c r="E9326" s="410">
        <v>40227</v>
      </c>
      <c r="F9326" s="410">
        <v>40272</v>
      </c>
      <c r="G9326" s="405" t="s">
        <v>10007</v>
      </c>
      <c r="H9326" s="405">
        <v>793086619</v>
      </c>
      <c r="I9326" s="405">
        <v>775653896</v>
      </c>
      <c r="J9326" s="405">
        <v>1.175807</v>
      </c>
      <c r="K9326" s="405">
        <v>33.700163000000003</v>
      </c>
      <c r="L9326" s="405" t="s">
        <v>6866</v>
      </c>
      <c r="M9326" s="405" t="s">
        <v>9509</v>
      </c>
      <c r="N9326" s="405" t="s">
        <v>9509</v>
      </c>
      <c r="O9326" s="405" t="s">
        <v>10008</v>
      </c>
      <c r="P9326" s="405" t="s">
        <v>10009</v>
      </c>
      <c r="Q9326" s="411">
        <v>6</v>
      </c>
      <c r="R9326" s="405" t="s">
        <v>32478</v>
      </c>
      <c r="S9326" s="405" t="s">
        <v>27294</v>
      </c>
      <c r="T9326" s="405" t="s">
        <v>32102</v>
      </c>
      <c r="U9326" s="405" t="s">
        <v>319</v>
      </c>
    </row>
    <row r="9327" spans="1:21" hidden="1" x14ac:dyDescent="0.25">
      <c r="A9327" s="405" t="s">
        <v>310</v>
      </c>
      <c r="B9327" s="405" t="s">
        <v>389</v>
      </c>
      <c r="C9327" s="405" t="s">
        <v>327</v>
      </c>
      <c r="D9327" s="405"/>
      <c r="E9327" s="410">
        <v>40225</v>
      </c>
      <c r="F9327" s="410">
        <v>40270</v>
      </c>
      <c r="G9327" s="405" t="s">
        <v>390</v>
      </c>
      <c r="H9327" s="405">
        <v>752540426</v>
      </c>
      <c r="I9327" s="405"/>
      <c r="J9327" s="405">
        <v>-0.123904</v>
      </c>
      <c r="K9327" s="405">
        <v>31.453493000000002</v>
      </c>
      <c r="L9327" s="405" t="s">
        <v>314</v>
      </c>
      <c r="M9327" s="405" t="s">
        <v>343</v>
      </c>
      <c r="N9327" s="405" t="s">
        <v>344</v>
      </c>
      <c r="O9327" s="405" t="s">
        <v>391</v>
      </c>
      <c r="P9327" s="405" t="s">
        <v>392</v>
      </c>
      <c r="Q9327" s="411">
        <v>9</v>
      </c>
      <c r="R9327" s="405" t="s">
        <v>333</v>
      </c>
      <c r="S9327" s="405" t="s">
        <v>27119</v>
      </c>
      <c r="T9327" s="405" t="s">
        <v>32102</v>
      </c>
      <c r="U9327" s="405" t="s">
        <v>319</v>
      </c>
    </row>
    <row r="9328" spans="1:21" hidden="1" x14ac:dyDescent="0.25">
      <c r="A9328" s="405" t="s">
        <v>310</v>
      </c>
      <c r="B9328" s="405" t="s">
        <v>27544</v>
      </c>
      <c r="C9328" s="405" t="s">
        <v>327</v>
      </c>
      <c r="D9328" s="405"/>
      <c r="E9328" s="410">
        <v>40224</v>
      </c>
      <c r="F9328" s="410">
        <v>40269</v>
      </c>
      <c r="G9328" s="405" t="s">
        <v>19607</v>
      </c>
      <c r="H9328" s="405">
        <v>784997282</v>
      </c>
      <c r="I9328" s="405">
        <v>775644219</v>
      </c>
      <c r="J9328" s="405">
        <v>1.8488650000000002</v>
      </c>
      <c r="K9328" s="405">
        <v>31.838243333333335</v>
      </c>
      <c r="L9328" s="405" t="s">
        <v>590</v>
      </c>
      <c r="M9328" s="405" t="s">
        <v>19608</v>
      </c>
      <c r="N9328" s="405" t="s">
        <v>19609</v>
      </c>
      <c r="O9328" s="405" t="s">
        <v>19610</v>
      </c>
      <c r="P9328" s="405" t="s">
        <v>19611</v>
      </c>
      <c r="Q9328" s="411">
        <v>9</v>
      </c>
      <c r="R9328" s="405" t="s">
        <v>318</v>
      </c>
      <c r="S9328" s="405" t="s">
        <v>27109</v>
      </c>
      <c r="T9328" s="405" t="s">
        <v>32102</v>
      </c>
      <c r="U9328" s="405" t="s">
        <v>319</v>
      </c>
    </row>
    <row r="9329" spans="1:21" hidden="1" x14ac:dyDescent="0.25">
      <c r="A9329" s="405" t="s">
        <v>310</v>
      </c>
      <c r="B9329" s="405" t="s">
        <v>380</v>
      </c>
      <c r="C9329" s="405" t="s">
        <v>327</v>
      </c>
      <c r="D9329" s="405"/>
      <c r="E9329" s="410">
        <v>40224</v>
      </c>
      <c r="F9329" s="410">
        <v>40269</v>
      </c>
      <c r="G9329" s="405" t="s">
        <v>381</v>
      </c>
      <c r="H9329" s="405">
        <v>772571955</v>
      </c>
      <c r="I9329" s="405">
        <v>706236453</v>
      </c>
      <c r="J9329" s="405">
        <v>-0.33650839999999999</v>
      </c>
      <c r="K9329" s="405">
        <v>31.7429296</v>
      </c>
      <c r="L9329" s="405" t="s">
        <v>314</v>
      </c>
      <c r="M9329" s="405" t="s">
        <v>382</v>
      </c>
      <c r="N9329" s="405" t="s">
        <v>383</v>
      </c>
      <c r="O9329" s="405" t="s">
        <v>384</v>
      </c>
      <c r="P9329" s="405" t="s">
        <v>385</v>
      </c>
      <c r="Q9329" s="411">
        <v>6</v>
      </c>
      <c r="R9329" s="405" t="s">
        <v>353</v>
      </c>
      <c r="S9329" s="405" t="s">
        <v>27034</v>
      </c>
      <c r="T9329" s="405" t="s">
        <v>32102</v>
      </c>
      <c r="U9329" s="405" t="s">
        <v>319</v>
      </c>
    </row>
    <row r="9330" spans="1:21" hidden="1" x14ac:dyDescent="0.25">
      <c r="A9330" s="405" t="s">
        <v>310</v>
      </c>
      <c r="B9330" s="405" t="s">
        <v>27821</v>
      </c>
      <c r="C9330" s="405" t="s">
        <v>311</v>
      </c>
      <c r="D9330" s="405" t="s">
        <v>312</v>
      </c>
      <c r="E9330" s="410">
        <v>40219</v>
      </c>
      <c r="F9330" s="410">
        <v>40264</v>
      </c>
      <c r="G9330" s="405" t="s">
        <v>19870</v>
      </c>
      <c r="H9330" s="405">
        <v>772935092</v>
      </c>
      <c r="I9330" s="405"/>
      <c r="J9330" s="405">
        <v>-0.88259299999999996</v>
      </c>
      <c r="K9330" s="405">
        <v>30.22681</v>
      </c>
      <c r="L9330" s="405" t="s">
        <v>590</v>
      </c>
      <c r="M9330" s="405" t="s">
        <v>19659</v>
      </c>
      <c r="N9330" s="405" t="s">
        <v>19664</v>
      </c>
      <c r="O9330" s="405" t="s">
        <v>19659</v>
      </c>
      <c r="P9330" s="405" t="s">
        <v>19871</v>
      </c>
      <c r="Q9330" s="411">
        <v>9</v>
      </c>
      <c r="R9330" s="405" t="s">
        <v>967</v>
      </c>
      <c r="S9330" s="405" t="s">
        <v>27393</v>
      </c>
      <c r="T9330" s="405" t="s">
        <v>32102</v>
      </c>
      <c r="U9330" s="405" t="s">
        <v>319</v>
      </c>
    </row>
    <row r="9331" spans="1:21" hidden="1" x14ac:dyDescent="0.25">
      <c r="A9331" s="405" t="s">
        <v>310</v>
      </c>
      <c r="B9331" s="405" t="s">
        <v>28656</v>
      </c>
      <c r="C9331" s="405" t="s">
        <v>327</v>
      </c>
      <c r="D9331" s="405"/>
      <c r="E9331" s="410">
        <v>40219</v>
      </c>
      <c r="F9331" s="410">
        <v>40264</v>
      </c>
      <c r="G9331" s="405" t="s">
        <v>369</v>
      </c>
      <c r="H9331" s="405">
        <v>752641570</v>
      </c>
      <c r="I9331" s="405"/>
      <c r="J9331" s="405">
        <v>0.40965309999999999</v>
      </c>
      <c r="K9331" s="405">
        <v>32.565731599999999</v>
      </c>
      <c r="L9331" s="405" t="s">
        <v>314</v>
      </c>
      <c r="M9331" s="405" t="s">
        <v>361</v>
      </c>
      <c r="N9331" s="405" t="s">
        <v>362</v>
      </c>
      <c r="O9331" s="405" t="s">
        <v>370</v>
      </c>
      <c r="P9331" s="405" t="s">
        <v>371</v>
      </c>
      <c r="Q9331" s="411">
        <v>9</v>
      </c>
      <c r="R9331" s="405" t="s">
        <v>353</v>
      </c>
      <c r="S9331" s="405" t="s">
        <v>27115</v>
      </c>
      <c r="T9331" s="405" t="s">
        <v>32102</v>
      </c>
      <c r="U9331" s="405" t="s">
        <v>319</v>
      </c>
    </row>
    <row r="9332" spans="1:21" hidden="1" x14ac:dyDescent="0.25">
      <c r="A9332" s="405" t="s">
        <v>310</v>
      </c>
      <c r="B9332" s="405" t="s">
        <v>28091</v>
      </c>
      <c r="C9332" s="405" t="s">
        <v>311</v>
      </c>
      <c r="D9332" s="405" t="s">
        <v>839</v>
      </c>
      <c r="E9332" s="410">
        <v>40209</v>
      </c>
      <c r="F9332" s="410">
        <v>40254</v>
      </c>
      <c r="G9332" s="405" t="s">
        <v>944</v>
      </c>
      <c r="H9332" s="405">
        <v>772893072</v>
      </c>
      <c r="I9332" s="405"/>
      <c r="J9332" s="405">
        <v>0.67074299999999998</v>
      </c>
      <c r="K9332" s="405">
        <v>32.827862000000003</v>
      </c>
      <c r="L9332" s="405" t="s">
        <v>314</v>
      </c>
      <c r="M9332" s="405" t="s">
        <v>329</v>
      </c>
      <c r="N9332" s="405" t="s">
        <v>528</v>
      </c>
      <c r="O9332" s="405" t="s">
        <v>945</v>
      </c>
      <c r="P9332" s="405" t="s">
        <v>946</v>
      </c>
      <c r="Q9332" s="411">
        <v>12</v>
      </c>
      <c r="R9332" s="405" t="s">
        <v>353</v>
      </c>
      <c r="S9332" s="405" t="s">
        <v>27111</v>
      </c>
      <c r="T9332" s="405" t="s">
        <v>32102</v>
      </c>
      <c r="U9332" s="405" t="s">
        <v>319</v>
      </c>
    </row>
    <row r="9333" spans="1:21" hidden="1" x14ac:dyDescent="0.25">
      <c r="A9333" s="405" t="s">
        <v>310</v>
      </c>
      <c r="B9333" s="405" t="s">
        <v>963</v>
      </c>
      <c r="C9333" s="405" t="s">
        <v>311</v>
      </c>
      <c r="D9333" s="405" t="s">
        <v>964</v>
      </c>
      <c r="E9333" s="410">
        <v>40209</v>
      </c>
      <c r="F9333" s="410">
        <v>40254</v>
      </c>
      <c r="G9333" s="405" t="s">
        <v>965</v>
      </c>
      <c r="H9333" s="405">
        <v>754046179</v>
      </c>
      <c r="I9333" s="405"/>
      <c r="J9333" s="405">
        <v>0.49249700000000002</v>
      </c>
      <c r="K9333" s="405">
        <v>32.285966999999999</v>
      </c>
      <c r="L9333" s="405" t="s">
        <v>314</v>
      </c>
      <c r="M9333" s="405" t="s">
        <v>361</v>
      </c>
      <c r="N9333" s="405" t="s">
        <v>374</v>
      </c>
      <c r="O9333" s="405" t="s">
        <v>662</v>
      </c>
      <c r="P9333" s="405" t="s">
        <v>966</v>
      </c>
      <c r="Q9333" s="411">
        <v>12</v>
      </c>
      <c r="R9333" s="405" t="s">
        <v>967</v>
      </c>
      <c r="S9333" s="405" t="s">
        <v>27117</v>
      </c>
      <c r="T9333" s="405" t="s">
        <v>32102</v>
      </c>
      <c r="U9333" s="405" t="s">
        <v>319</v>
      </c>
    </row>
    <row r="9334" spans="1:21" hidden="1" x14ac:dyDescent="0.25">
      <c r="A9334" s="405" t="s">
        <v>310</v>
      </c>
      <c r="B9334" s="405" t="s">
        <v>377</v>
      </c>
      <c r="C9334" s="405" t="s">
        <v>327</v>
      </c>
      <c r="D9334" s="405"/>
      <c r="E9334" s="410">
        <v>40209</v>
      </c>
      <c r="F9334" s="410">
        <v>40254</v>
      </c>
      <c r="G9334" s="405" t="s">
        <v>378</v>
      </c>
      <c r="H9334" s="405">
        <v>782795258</v>
      </c>
      <c r="I9334" s="405"/>
      <c r="J9334" s="405">
        <v>0.39839999999999998</v>
      </c>
      <c r="K9334" s="405">
        <v>32.615833000000002</v>
      </c>
      <c r="L9334" s="405" t="s">
        <v>314</v>
      </c>
      <c r="M9334" s="405" t="s">
        <v>361</v>
      </c>
      <c r="N9334" s="405" t="s">
        <v>362</v>
      </c>
      <c r="O9334" s="405" t="s">
        <v>379</v>
      </c>
      <c r="P9334" s="405" t="s">
        <v>364</v>
      </c>
      <c r="Q9334" s="411">
        <v>9</v>
      </c>
      <c r="R9334" s="405" t="s">
        <v>353</v>
      </c>
      <c r="S9334" s="405" t="s">
        <v>27116</v>
      </c>
      <c r="T9334" s="405" t="s">
        <v>32102</v>
      </c>
      <c r="U9334" s="405" t="s">
        <v>319</v>
      </c>
    </row>
    <row r="9335" spans="1:21" hidden="1" x14ac:dyDescent="0.25">
      <c r="A9335" s="405" t="s">
        <v>310</v>
      </c>
      <c r="B9335" s="405" t="s">
        <v>359</v>
      </c>
      <c r="C9335" s="405" t="s">
        <v>327</v>
      </c>
      <c r="D9335" s="405"/>
      <c r="E9335" s="410">
        <v>40209</v>
      </c>
      <c r="F9335" s="410">
        <v>40254</v>
      </c>
      <c r="G9335" s="405" t="s">
        <v>360</v>
      </c>
      <c r="H9335" s="405">
        <v>712721968</v>
      </c>
      <c r="I9335" s="405"/>
      <c r="J9335" s="405">
        <v>0.39020500000000002</v>
      </c>
      <c r="K9335" s="405">
        <v>32.608317999999997</v>
      </c>
      <c r="L9335" s="405" t="s">
        <v>314</v>
      </c>
      <c r="M9335" s="405" t="s">
        <v>361</v>
      </c>
      <c r="N9335" s="405" t="s">
        <v>362</v>
      </c>
      <c r="O9335" s="405" t="s">
        <v>363</v>
      </c>
      <c r="P9335" s="405" t="s">
        <v>364</v>
      </c>
      <c r="Q9335" s="411">
        <v>9</v>
      </c>
      <c r="R9335" s="405" t="s">
        <v>353</v>
      </c>
      <c r="S9335" s="405" t="s">
        <v>27114</v>
      </c>
      <c r="T9335" s="405" t="s">
        <v>32102</v>
      </c>
      <c r="U9335" s="405" t="s">
        <v>319</v>
      </c>
    </row>
    <row r="9336" spans="1:21" hidden="1" x14ac:dyDescent="0.25">
      <c r="A9336" s="405" t="s">
        <v>310</v>
      </c>
      <c r="B9336" s="405" t="s">
        <v>27670</v>
      </c>
      <c r="C9336" s="405" t="s">
        <v>311</v>
      </c>
      <c r="D9336" s="405" t="s">
        <v>932</v>
      </c>
      <c r="E9336" s="410">
        <v>40209</v>
      </c>
      <c r="F9336" s="410">
        <v>40254</v>
      </c>
      <c r="G9336" s="405" t="s">
        <v>933</v>
      </c>
      <c r="H9336" s="405">
        <v>784912932</v>
      </c>
      <c r="I9336" s="405"/>
      <c r="J9336" s="405">
        <v>0.35445100000000002</v>
      </c>
      <c r="K9336" s="405">
        <v>32.776687000000003</v>
      </c>
      <c r="L9336" s="405" t="s">
        <v>314</v>
      </c>
      <c r="M9336" s="405" t="s">
        <v>329</v>
      </c>
      <c r="N9336" s="405" t="s">
        <v>545</v>
      </c>
      <c r="O9336" s="405" t="s">
        <v>546</v>
      </c>
      <c r="P9336" s="405" t="s">
        <v>547</v>
      </c>
      <c r="Q9336" s="411">
        <v>6</v>
      </c>
      <c r="R9336" s="405" t="s">
        <v>333</v>
      </c>
      <c r="S9336" s="405" t="s">
        <v>27113</v>
      </c>
      <c r="T9336" s="405" t="s">
        <v>32102</v>
      </c>
      <c r="U9336" s="405" t="s">
        <v>319</v>
      </c>
    </row>
    <row r="9337" spans="1:21" hidden="1" x14ac:dyDescent="0.25">
      <c r="A9337" s="405" t="s">
        <v>310</v>
      </c>
      <c r="B9337" s="405" t="s">
        <v>356</v>
      </c>
      <c r="C9337" s="405" t="s">
        <v>327</v>
      </c>
      <c r="D9337" s="405"/>
      <c r="E9337" s="410">
        <v>40209</v>
      </c>
      <c r="F9337" s="410">
        <v>40254</v>
      </c>
      <c r="G9337" s="405" t="s">
        <v>357</v>
      </c>
      <c r="H9337" s="405">
        <v>705435363</v>
      </c>
      <c r="I9337" s="405"/>
      <c r="J9337" s="405">
        <v>0.364205</v>
      </c>
      <c r="K9337" s="405">
        <v>32.740546000000002</v>
      </c>
      <c r="L9337" s="405" t="s">
        <v>314</v>
      </c>
      <c r="M9337" s="405" t="s">
        <v>329</v>
      </c>
      <c r="N9337" s="405" t="s">
        <v>330</v>
      </c>
      <c r="O9337" s="405" t="s">
        <v>331</v>
      </c>
      <c r="P9337" s="405" t="s">
        <v>358</v>
      </c>
      <c r="Q9337" s="411">
        <v>6</v>
      </c>
      <c r="R9337" s="405" t="s">
        <v>333</v>
      </c>
      <c r="S9337" s="405" t="s">
        <v>27034</v>
      </c>
      <c r="T9337" s="405" t="s">
        <v>32102</v>
      </c>
      <c r="U9337" s="405" t="s">
        <v>319</v>
      </c>
    </row>
    <row r="9338" spans="1:21" hidden="1" x14ac:dyDescent="0.25">
      <c r="A9338" s="405" t="s">
        <v>310</v>
      </c>
      <c r="B9338" s="405" t="s">
        <v>372</v>
      </c>
      <c r="C9338" s="405" t="s">
        <v>327</v>
      </c>
      <c r="D9338" s="405"/>
      <c r="E9338" s="410">
        <v>40209</v>
      </c>
      <c r="F9338" s="410">
        <v>40254</v>
      </c>
      <c r="G9338" s="405" t="s">
        <v>373</v>
      </c>
      <c r="H9338" s="405">
        <v>712721045</v>
      </c>
      <c r="I9338" s="405">
        <v>705118104</v>
      </c>
      <c r="J9338" s="405">
        <v>0.28197800000000001</v>
      </c>
      <c r="K9338" s="405">
        <v>32.505882999999997</v>
      </c>
      <c r="L9338" s="405" t="s">
        <v>314</v>
      </c>
      <c r="M9338" s="405" t="s">
        <v>361</v>
      </c>
      <c r="N9338" s="405" t="s">
        <v>374</v>
      </c>
      <c r="O9338" s="405" t="s">
        <v>375</v>
      </c>
      <c r="P9338" s="405" t="s">
        <v>376</v>
      </c>
      <c r="Q9338" s="411">
        <v>6</v>
      </c>
      <c r="R9338" s="405" t="s">
        <v>333</v>
      </c>
      <c r="S9338" s="405" t="s">
        <v>27106</v>
      </c>
      <c r="T9338" s="405" t="s">
        <v>32102</v>
      </c>
      <c r="U9338" s="405" t="s">
        <v>319</v>
      </c>
    </row>
    <row r="9339" spans="1:21" hidden="1" x14ac:dyDescent="0.25">
      <c r="A9339" s="405" t="s">
        <v>310</v>
      </c>
      <c r="B9339" s="405" t="s">
        <v>28828</v>
      </c>
      <c r="C9339" s="405" t="s">
        <v>327</v>
      </c>
      <c r="D9339" s="405"/>
      <c r="E9339" s="410">
        <v>40208</v>
      </c>
      <c r="F9339" s="410">
        <v>40253</v>
      </c>
      <c r="G9339" s="405" t="s">
        <v>365</v>
      </c>
      <c r="H9339" s="405">
        <v>772395560</v>
      </c>
      <c r="I9339" s="405"/>
      <c r="J9339" s="405">
        <v>0.36908299999999999</v>
      </c>
      <c r="K9339" s="405">
        <v>32.760047999999998</v>
      </c>
      <c r="L9339" s="405" t="s">
        <v>314</v>
      </c>
      <c r="M9339" s="405" t="s">
        <v>329</v>
      </c>
      <c r="N9339" s="405" t="s">
        <v>330</v>
      </c>
      <c r="O9339" s="405" t="s">
        <v>331</v>
      </c>
      <c r="P9339" s="405" t="s">
        <v>366</v>
      </c>
      <c r="Q9339" s="411">
        <v>12</v>
      </c>
      <c r="R9339" s="405" t="s">
        <v>318</v>
      </c>
      <c r="S9339" s="405" t="s">
        <v>27035</v>
      </c>
      <c r="T9339" s="405" t="s">
        <v>32102</v>
      </c>
      <c r="U9339" s="405" t="s">
        <v>319</v>
      </c>
    </row>
    <row r="9340" spans="1:21" hidden="1" x14ac:dyDescent="0.25">
      <c r="A9340" s="405" t="s">
        <v>310</v>
      </c>
      <c r="B9340" s="405" t="s">
        <v>367</v>
      </c>
      <c r="C9340" s="405" t="s">
        <v>327</v>
      </c>
      <c r="D9340" s="405"/>
      <c r="E9340" s="410">
        <v>40207</v>
      </c>
      <c r="F9340" s="410">
        <v>40252</v>
      </c>
      <c r="G9340" s="405" t="s">
        <v>368</v>
      </c>
      <c r="H9340" s="405">
        <v>772413571</v>
      </c>
      <c r="I9340" s="405"/>
      <c r="J9340" s="405">
        <v>0.34202700000000003</v>
      </c>
      <c r="K9340" s="405">
        <v>32.948501999999998</v>
      </c>
      <c r="L9340" s="405" t="s">
        <v>314</v>
      </c>
      <c r="M9340" s="405" t="s">
        <v>349</v>
      </c>
      <c r="N9340" s="405" t="s">
        <v>350</v>
      </c>
      <c r="O9340" s="405" t="s">
        <v>351</v>
      </c>
      <c r="P9340" s="405" t="s">
        <v>352</v>
      </c>
      <c r="Q9340" s="411">
        <v>12</v>
      </c>
      <c r="R9340" s="405" t="s">
        <v>353</v>
      </c>
      <c r="S9340" s="405" t="s">
        <v>27112</v>
      </c>
      <c r="T9340" s="405" t="s">
        <v>32102</v>
      </c>
      <c r="U9340" s="405" t="s">
        <v>319</v>
      </c>
    </row>
    <row r="9341" spans="1:21" hidden="1" x14ac:dyDescent="0.25">
      <c r="A9341" s="405" t="s">
        <v>310</v>
      </c>
      <c r="B9341" s="405" t="s">
        <v>27497</v>
      </c>
      <c r="C9341" s="405" t="s">
        <v>327</v>
      </c>
      <c r="D9341" s="405"/>
      <c r="E9341" s="410">
        <v>40191</v>
      </c>
      <c r="F9341" s="410">
        <v>40236</v>
      </c>
      <c r="G9341" s="405" t="s">
        <v>9503</v>
      </c>
      <c r="H9341" s="405">
        <v>772557255</v>
      </c>
      <c r="I9341" s="405"/>
      <c r="J9341" s="405">
        <v>1.3582129999999999</v>
      </c>
      <c r="K9341" s="405">
        <v>34.061827999999998</v>
      </c>
      <c r="L9341" s="405" t="s">
        <v>6866</v>
      </c>
      <c r="M9341" s="405" t="s">
        <v>9504</v>
      </c>
      <c r="N9341" s="405" t="s">
        <v>9504</v>
      </c>
      <c r="O9341" s="405" t="s">
        <v>9504</v>
      </c>
      <c r="P9341" s="405" t="s">
        <v>9505</v>
      </c>
      <c r="Q9341" s="411">
        <v>6</v>
      </c>
      <c r="R9341" s="405" t="s">
        <v>9506</v>
      </c>
      <c r="S9341" s="405" t="s">
        <v>27294</v>
      </c>
      <c r="T9341" s="405" t="s">
        <v>32102</v>
      </c>
      <c r="U9341" s="405" t="s">
        <v>319</v>
      </c>
    </row>
    <row r="9342" spans="1:21" hidden="1" x14ac:dyDescent="0.25">
      <c r="A9342" s="405" t="s">
        <v>310</v>
      </c>
      <c r="B9342" s="405" t="s">
        <v>28542</v>
      </c>
      <c r="C9342" s="405" t="s">
        <v>327</v>
      </c>
      <c r="D9342" s="405"/>
      <c r="E9342" s="410">
        <v>40191</v>
      </c>
      <c r="F9342" s="410">
        <v>40236</v>
      </c>
      <c r="G9342" s="405" t="s">
        <v>342</v>
      </c>
      <c r="H9342" s="405">
        <v>779154369</v>
      </c>
      <c r="I9342" s="405"/>
      <c r="J9342" s="405">
        <v>-0.29804799999999998</v>
      </c>
      <c r="K9342" s="405">
        <v>31.558799</v>
      </c>
      <c r="L9342" s="405" t="s">
        <v>314</v>
      </c>
      <c r="M9342" s="405" t="s">
        <v>343</v>
      </c>
      <c r="N9342" s="405" t="s">
        <v>344</v>
      </c>
      <c r="O9342" s="405" t="s">
        <v>345</v>
      </c>
      <c r="P9342" s="405" t="s">
        <v>346</v>
      </c>
      <c r="Q9342" s="411">
        <v>6</v>
      </c>
      <c r="R9342" s="405" t="s">
        <v>318</v>
      </c>
      <c r="S9342" s="405" t="s">
        <v>27109</v>
      </c>
      <c r="T9342" s="405" t="s">
        <v>32102</v>
      </c>
      <c r="U9342" s="405" t="s">
        <v>319</v>
      </c>
    </row>
    <row r="9343" spans="1:21" hidden="1" x14ac:dyDescent="0.25">
      <c r="A9343" s="405" t="s">
        <v>310</v>
      </c>
      <c r="B9343" s="405" t="s">
        <v>28181</v>
      </c>
      <c r="C9343" s="405" t="s">
        <v>311</v>
      </c>
      <c r="D9343" s="405" t="s">
        <v>312</v>
      </c>
      <c r="E9343" s="410">
        <v>40188</v>
      </c>
      <c r="F9343" s="410">
        <v>40233</v>
      </c>
      <c r="G9343" s="405" t="s">
        <v>906</v>
      </c>
      <c r="H9343" s="405">
        <v>751996223</v>
      </c>
      <c r="I9343" s="405">
        <v>752189169</v>
      </c>
      <c r="J9343" s="405">
        <v>-0.33650839999999999</v>
      </c>
      <c r="K9343" s="405">
        <v>31.7429296</v>
      </c>
      <c r="L9343" s="405" t="s">
        <v>314</v>
      </c>
      <c r="M9343" s="405" t="s">
        <v>382</v>
      </c>
      <c r="N9343" s="405" t="s">
        <v>383</v>
      </c>
      <c r="O9343" s="405" t="s">
        <v>384</v>
      </c>
      <c r="P9343" s="405" t="s">
        <v>680</v>
      </c>
      <c r="Q9343" s="411">
        <v>6</v>
      </c>
      <c r="R9343" s="405" t="s">
        <v>333</v>
      </c>
      <c r="S9343" s="405" t="s">
        <v>27107</v>
      </c>
      <c r="T9343" s="405" t="s">
        <v>32102</v>
      </c>
      <c r="U9343" s="405" t="s">
        <v>319</v>
      </c>
    </row>
    <row r="9344" spans="1:21" hidden="1" x14ac:dyDescent="0.25">
      <c r="A9344" s="405" t="s">
        <v>310</v>
      </c>
      <c r="B9344" s="405" t="s">
        <v>347</v>
      </c>
      <c r="C9344" s="405" t="s">
        <v>327</v>
      </c>
      <c r="D9344" s="405"/>
      <c r="E9344" s="410">
        <v>40182</v>
      </c>
      <c r="F9344" s="410">
        <v>40227</v>
      </c>
      <c r="G9344" s="405" t="s">
        <v>348</v>
      </c>
      <c r="H9344" s="405">
        <v>781929625</v>
      </c>
      <c r="I9344" s="405"/>
      <c r="J9344" s="405">
        <v>0.342252</v>
      </c>
      <c r="K9344" s="405">
        <v>32.948206999999996</v>
      </c>
      <c r="L9344" s="405" t="s">
        <v>314</v>
      </c>
      <c r="M9344" s="405" t="s">
        <v>349</v>
      </c>
      <c r="N9344" s="405" t="s">
        <v>350</v>
      </c>
      <c r="O9344" s="405" t="s">
        <v>351</v>
      </c>
      <c r="P9344" s="405" t="s">
        <v>352</v>
      </c>
      <c r="Q9344" s="411">
        <v>9</v>
      </c>
      <c r="R9344" s="405" t="s">
        <v>353</v>
      </c>
      <c r="S9344" s="405" t="s">
        <v>27112</v>
      </c>
      <c r="T9344" s="405" t="s">
        <v>32102</v>
      </c>
      <c r="U9344" s="405" t="s">
        <v>319</v>
      </c>
    </row>
    <row r="9345" spans="1:21" hidden="1" x14ac:dyDescent="0.25">
      <c r="A9345" s="405" t="s">
        <v>310</v>
      </c>
      <c r="B9345" s="405" t="s">
        <v>915</v>
      </c>
      <c r="C9345" s="405" t="s">
        <v>311</v>
      </c>
      <c r="D9345" s="405" t="s">
        <v>312</v>
      </c>
      <c r="E9345" s="410">
        <v>40180</v>
      </c>
      <c r="F9345" s="410">
        <v>40225</v>
      </c>
      <c r="G9345" s="405" t="s">
        <v>916</v>
      </c>
      <c r="H9345" s="405">
        <v>752419479</v>
      </c>
      <c r="I9345" s="405"/>
      <c r="J9345" s="405">
        <v>0.35439599999999999</v>
      </c>
      <c r="K9345" s="405">
        <v>32.776532000000003</v>
      </c>
      <c r="L9345" s="405" t="s">
        <v>314</v>
      </c>
      <c r="M9345" s="405" t="s">
        <v>329</v>
      </c>
      <c r="N9345" s="405" t="s">
        <v>545</v>
      </c>
      <c r="O9345" s="405" t="s">
        <v>546</v>
      </c>
      <c r="P9345" s="405" t="s">
        <v>547</v>
      </c>
      <c r="Q9345" s="411">
        <v>9</v>
      </c>
      <c r="R9345" s="405" t="s">
        <v>333</v>
      </c>
      <c r="S9345" s="405" t="s">
        <v>27110</v>
      </c>
      <c r="T9345" s="405" t="s">
        <v>32102</v>
      </c>
      <c r="U9345" s="405" t="s">
        <v>319</v>
      </c>
    </row>
    <row r="9346" spans="1:21" hidden="1" x14ac:dyDescent="0.25">
      <c r="A9346" s="405" t="s">
        <v>310</v>
      </c>
      <c r="B9346" s="405" t="s">
        <v>924</v>
      </c>
      <c r="C9346" s="405" t="s">
        <v>311</v>
      </c>
      <c r="D9346" s="405" t="s">
        <v>925</v>
      </c>
      <c r="E9346" s="410">
        <v>40178</v>
      </c>
      <c r="F9346" s="410">
        <v>40223</v>
      </c>
      <c r="G9346" s="405" t="s">
        <v>926</v>
      </c>
      <c r="H9346" s="405">
        <v>772857332</v>
      </c>
      <c r="I9346" s="405">
        <v>702734827</v>
      </c>
      <c r="J9346" s="405">
        <v>0.37887999999999999</v>
      </c>
      <c r="K9346" s="405">
        <v>32.780447000000002</v>
      </c>
      <c r="L9346" s="405" t="s">
        <v>314</v>
      </c>
      <c r="M9346" s="405" t="s">
        <v>329</v>
      </c>
      <c r="N9346" s="405" t="s">
        <v>545</v>
      </c>
      <c r="O9346" s="405" t="s">
        <v>546</v>
      </c>
      <c r="P9346" s="405" t="s">
        <v>923</v>
      </c>
      <c r="Q9346" s="411">
        <v>12</v>
      </c>
      <c r="R9346" s="405" t="s">
        <v>318</v>
      </c>
      <c r="S9346" s="405" t="s">
        <v>27035</v>
      </c>
      <c r="T9346" s="405" t="s">
        <v>32102</v>
      </c>
      <c r="U9346" s="405" t="s">
        <v>319</v>
      </c>
    </row>
    <row r="9347" spans="1:21" hidden="1" x14ac:dyDescent="0.25">
      <c r="A9347" s="405" t="s">
        <v>310</v>
      </c>
      <c r="B9347" s="405" t="s">
        <v>917</v>
      </c>
      <c r="C9347" s="405" t="s">
        <v>311</v>
      </c>
      <c r="D9347" s="405" t="s">
        <v>839</v>
      </c>
      <c r="E9347" s="410">
        <v>40178</v>
      </c>
      <c r="F9347" s="410">
        <v>40223</v>
      </c>
      <c r="G9347" s="405" t="s">
        <v>918</v>
      </c>
      <c r="H9347" s="405">
        <v>772625546</v>
      </c>
      <c r="I9347" s="405">
        <v>752625546</v>
      </c>
      <c r="J9347" s="405">
        <v>0.35333500000000001</v>
      </c>
      <c r="K9347" s="405">
        <v>32.731724999999997</v>
      </c>
      <c r="L9347" s="405" t="s">
        <v>314</v>
      </c>
      <c r="M9347" s="405" t="s">
        <v>329</v>
      </c>
      <c r="N9347" s="405" t="s">
        <v>330</v>
      </c>
      <c r="O9347" s="405" t="s">
        <v>630</v>
      </c>
      <c r="P9347" s="405" t="s">
        <v>919</v>
      </c>
      <c r="Q9347" s="411">
        <v>9</v>
      </c>
      <c r="R9347" s="405" t="s">
        <v>333</v>
      </c>
      <c r="S9347" s="405" t="s">
        <v>27111</v>
      </c>
      <c r="T9347" s="405" t="s">
        <v>32102</v>
      </c>
      <c r="U9347" s="405" t="s">
        <v>319</v>
      </c>
    </row>
    <row r="9348" spans="1:21" hidden="1" x14ac:dyDescent="0.25">
      <c r="A9348" s="405" t="s">
        <v>310</v>
      </c>
      <c r="B9348" s="405" t="s">
        <v>920</v>
      </c>
      <c r="C9348" s="405" t="s">
        <v>311</v>
      </c>
      <c r="D9348" s="405" t="s">
        <v>921</v>
      </c>
      <c r="E9348" s="410">
        <v>40178</v>
      </c>
      <c r="F9348" s="410">
        <v>40223</v>
      </c>
      <c r="G9348" s="405" t="s">
        <v>922</v>
      </c>
      <c r="H9348" s="405">
        <v>778300089</v>
      </c>
      <c r="I9348" s="405">
        <v>777230057</v>
      </c>
      <c r="J9348" s="405">
        <v>0.376857</v>
      </c>
      <c r="K9348" s="405">
        <v>32.781615000000002</v>
      </c>
      <c r="L9348" s="405" t="s">
        <v>314</v>
      </c>
      <c r="M9348" s="405" t="s">
        <v>329</v>
      </c>
      <c r="N9348" s="405" t="s">
        <v>545</v>
      </c>
      <c r="O9348" s="405" t="s">
        <v>546</v>
      </c>
      <c r="P9348" s="405" t="s">
        <v>923</v>
      </c>
      <c r="Q9348" s="411">
        <v>6</v>
      </c>
      <c r="R9348" s="405" t="s">
        <v>318</v>
      </c>
      <c r="S9348" s="405" t="s">
        <v>27035</v>
      </c>
      <c r="T9348" s="405" t="s">
        <v>32102</v>
      </c>
      <c r="U9348" s="405" t="s">
        <v>319</v>
      </c>
    </row>
    <row r="9349" spans="1:21" hidden="1" x14ac:dyDescent="0.25">
      <c r="A9349" s="405" t="s">
        <v>310</v>
      </c>
      <c r="B9349" s="405" t="s">
        <v>334</v>
      </c>
      <c r="C9349" s="405" t="s">
        <v>327</v>
      </c>
      <c r="D9349" s="405"/>
      <c r="E9349" s="410">
        <v>40178</v>
      </c>
      <c r="F9349" s="410">
        <v>40223</v>
      </c>
      <c r="G9349" s="405" t="s">
        <v>335</v>
      </c>
      <c r="H9349" s="405">
        <v>777416920</v>
      </c>
      <c r="I9349" s="405"/>
      <c r="J9349" s="405">
        <v>0.38563219999999998</v>
      </c>
      <c r="K9349" s="405">
        <v>32.698630299999998</v>
      </c>
      <c r="L9349" s="405" t="s">
        <v>314</v>
      </c>
      <c r="M9349" s="405" t="s">
        <v>329</v>
      </c>
      <c r="N9349" s="405" t="s">
        <v>329</v>
      </c>
      <c r="O9349" s="405" t="s">
        <v>336</v>
      </c>
      <c r="P9349" s="405" t="s">
        <v>337</v>
      </c>
      <c r="Q9349" s="411">
        <v>6</v>
      </c>
      <c r="R9349" s="405" t="s">
        <v>333</v>
      </c>
      <c r="S9349" s="405" t="s">
        <v>27049</v>
      </c>
      <c r="T9349" s="405" t="s">
        <v>32102</v>
      </c>
      <c r="U9349" s="405" t="s">
        <v>319</v>
      </c>
    </row>
    <row r="9350" spans="1:21" hidden="1" x14ac:dyDescent="0.25">
      <c r="A9350" s="405" t="s">
        <v>310</v>
      </c>
      <c r="B9350" s="405" t="s">
        <v>28057</v>
      </c>
      <c r="C9350" s="405" t="s">
        <v>327</v>
      </c>
      <c r="D9350" s="405"/>
      <c r="E9350" s="410">
        <v>40178</v>
      </c>
      <c r="F9350" s="410">
        <v>40223</v>
      </c>
      <c r="G9350" s="405" t="s">
        <v>338</v>
      </c>
      <c r="H9350" s="405">
        <v>772445335</v>
      </c>
      <c r="I9350" s="405"/>
      <c r="J9350" s="405">
        <v>0.17070399999999999</v>
      </c>
      <c r="K9350" s="405">
        <v>31.906008</v>
      </c>
      <c r="L9350" s="405" t="s">
        <v>314</v>
      </c>
      <c r="M9350" s="405" t="s">
        <v>339</v>
      </c>
      <c r="N9350" s="405" t="s">
        <v>339</v>
      </c>
      <c r="O9350" s="405" t="s">
        <v>340</v>
      </c>
      <c r="P9350" s="405" t="s">
        <v>341</v>
      </c>
      <c r="Q9350" s="411">
        <v>4</v>
      </c>
      <c r="R9350" s="405" t="s">
        <v>318</v>
      </c>
      <c r="S9350" s="405" t="s">
        <v>27108</v>
      </c>
      <c r="T9350" s="405" t="s">
        <v>32102</v>
      </c>
      <c r="U9350" s="405" t="s">
        <v>319</v>
      </c>
    </row>
    <row r="9351" spans="1:21" hidden="1" x14ac:dyDescent="0.25">
      <c r="A9351" s="405" t="s">
        <v>310</v>
      </c>
      <c r="B9351" s="405" t="s">
        <v>354</v>
      </c>
      <c r="C9351" s="405" t="s">
        <v>327</v>
      </c>
      <c r="D9351" s="405"/>
      <c r="E9351" s="410">
        <v>40168</v>
      </c>
      <c r="F9351" s="410">
        <v>40213</v>
      </c>
      <c r="G9351" s="405" t="s">
        <v>355</v>
      </c>
      <c r="H9351" s="405">
        <v>776425020</v>
      </c>
      <c r="I9351" s="405"/>
      <c r="J9351" s="405">
        <v>0.340615</v>
      </c>
      <c r="K9351" s="405">
        <v>32.948343000000001</v>
      </c>
      <c r="L9351" s="405" t="s">
        <v>314</v>
      </c>
      <c r="M9351" s="405" t="s">
        <v>349</v>
      </c>
      <c r="N9351" s="405" t="s">
        <v>350</v>
      </c>
      <c r="O9351" s="405" t="s">
        <v>351</v>
      </c>
      <c r="P9351" s="405" t="s">
        <v>352</v>
      </c>
      <c r="Q9351" s="411">
        <v>6</v>
      </c>
      <c r="R9351" s="405" t="s">
        <v>353</v>
      </c>
      <c r="S9351" s="405" t="s">
        <v>27112</v>
      </c>
      <c r="T9351" s="405" t="s">
        <v>32102</v>
      </c>
      <c r="U9351" s="405" t="s">
        <v>319</v>
      </c>
    </row>
    <row r="9352" spans="1:21" hidden="1" x14ac:dyDescent="0.25">
      <c r="A9352" s="405" t="s">
        <v>310</v>
      </c>
      <c r="B9352" s="405" t="s">
        <v>326</v>
      </c>
      <c r="C9352" s="405" t="s">
        <v>327</v>
      </c>
      <c r="D9352" s="405"/>
      <c r="E9352" s="410">
        <v>40147</v>
      </c>
      <c r="F9352" s="410">
        <v>40192</v>
      </c>
      <c r="G9352" s="405" t="s">
        <v>328</v>
      </c>
      <c r="H9352" s="405">
        <v>772411357</v>
      </c>
      <c r="I9352" s="405">
        <v>751411357</v>
      </c>
      <c r="J9352" s="405">
        <v>0.352163</v>
      </c>
      <c r="K9352" s="405">
        <v>32.773654999999998</v>
      </c>
      <c r="L9352" s="405" t="s">
        <v>314</v>
      </c>
      <c r="M9352" s="405" t="s">
        <v>329</v>
      </c>
      <c r="N9352" s="405" t="s">
        <v>330</v>
      </c>
      <c r="O9352" s="405" t="s">
        <v>331</v>
      </c>
      <c r="P9352" s="405" t="s">
        <v>332</v>
      </c>
      <c r="Q9352" s="411">
        <v>9</v>
      </c>
      <c r="R9352" s="405" t="s">
        <v>333</v>
      </c>
      <c r="S9352" s="405" t="s">
        <v>27106</v>
      </c>
      <c r="T9352" s="405" t="s">
        <v>32102</v>
      </c>
      <c r="U9352" s="405" t="s">
        <v>319</v>
      </c>
    </row>
    <row r="9353" spans="1:21" hidden="1" x14ac:dyDescent="0.25">
      <c r="A9353" s="405" t="s">
        <v>310</v>
      </c>
      <c r="B9353" s="405" t="s">
        <v>18230</v>
      </c>
      <c r="C9353" s="405" t="s">
        <v>327</v>
      </c>
      <c r="D9353" s="405"/>
      <c r="E9353" s="410">
        <v>40128</v>
      </c>
      <c r="F9353" s="410">
        <v>40173</v>
      </c>
      <c r="G9353" s="405" t="s">
        <v>18231</v>
      </c>
      <c r="H9353" s="405">
        <v>752540095</v>
      </c>
      <c r="I9353" s="405"/>
      <c r="J9353" s="405">
        <v>1.4044983333333301</v>
      </c>
      <c r="K9353" s="405" t="s">
        <v>18232</v>
      </c>
      <c r="L9353" s="405" t="s">
        <v>6866</v>
      </c>
      <c r="M9353" s="405" t="s">
        <v>9520</v>
      </c>
      <c r="N9353" s="405" t="s">
        <v>9521</v>
      </c>
      <c r="O9353" s="405" t="s">
        <v>9522</v>
      </c>
      <c r="P9353" s="405" t="s">
        <v>987</v>
      </c>
      <c r="Q9353" s="411">
        <v>9</v>
      </c>
      <c r="R9353" s="405" t="s">
        <v>32478</v>
      </c>
      <c r="S9353" s="405" t="s">
        <v>27195</v>
      </c>
      <c r="T9353" s="405" t="s">
        <v>32102</v>
      </c>
      <c r="U9353" s="405" t="s">
        <v>319</v>
      </c>
    </row>
    <row r="9360" spans="1:21" x14ac:dyDescent="0.25">
      <c r="R9360" s="161" cm="1">
        <f t="array" ref="R9360">SUM(IF(FREQUENCY(MATCH(R2:R9170,R2:R9353,0),MATCH(R2:R9170,R2:R9170,0))&gt;0,1))</f>
        <v>84</v>
      </c>
      <c r="S9360" s="161" cm="1">
        <f t="array" ref="S9360">SUM(IF(FREQUENCY(MATCH(S2:S9170,S2:S9353,0),MATCH(S2:S9170,S2:S9170,0))&gt;0,1))</f>
        <v>461</v>
      </c>
    </row>
    <row r="9361" spans="18:21" x14ac:dyDescent="0.25">
      <c r="R9361" s="23">
        <f>COUNTA(R2:R9353)/R9360</f>
        <v>111.33333333333333</v>
      </c>
      <c r="S9361" s="23">
        <f>COUNTA(S2:S9353)/S9360</f>
        <v>20.286334056399131</v>
      </c>
    </row>
    <row r="9362" spans="18:21" x14ac:dyDescent="0.25">
      <c r="R9362" t="s">
        <v>27455</v>
      </c>
      <c r="S9362" t="s">
        <v>27456</v>
      </c>
    </row>
    <row r="9364" spans="18:21" x14ac:dyDescent="0.25">
      <c r="R9364" s="770"/>
      <c r="S9364" s="770">
        <v>2022</v>
      </c>
      <c r="T9364" s="770">
        <v>2023</v>
      </c>
      <c r="U9364" s="770">
        <v>2024</v>
      </c>
    </row>
    <row r="9365" spans="18:21" x14ac:dyDescent="0.25">
      <c r="R9365" s="769" t="s">
        <v>29579</v>
      </c>
      <c r="S9365" s="769" cm="1">
        <f t="array" ref="S9365">SUM(IF(FREQUENCY(MATCH($R$1:$R$6771,$R$1:$R$6771,0),MATCH($R$1:$R$6771,$R$1:$R$6771,0))&gt;0,1))</f>
        <v>75</v>
      </c>
      <c r="T9365" s="769" cm="1">
        <f t="array" ref="T9365">SUM(IF(FREQUENCY(MATCH($R$7:$R$7005,$R$7:$R$7005,0),MATCH($R$7:$R$7005,$R$7:$R$7005,0))&gt;0,1))</f>
        <v>74</v>
      </c>
      <c r="U9365" s="769">
        <f>R9360</f>
        <v>84</v>
      </c>
    </row>
    <row r="9366" spans="18:21" x14ac:dyDescent="0.25">
      <c r="R9366" s="769" t="s">
        <v>36521</v>
      </c>
      <c r="S9366" s="769" cm="1">
        <f t="array" ref="S9366">SUM(IF(FREQUENCY(MATCH($S$1:$S$6771,$S$1:$S$6771,0),MATCH($S$1:$S$6771,$S$1:$S$6771,0))&gt;0,1))</f>
        <v>414</v>
      </c>
      <c r="T9366" s="769" cm="1">
        <f t="array" ref="T9366">SUM(IF(FREQUENCY(MATCH($S$1:$S$7005,$S$1:$S$7005,0),MATCH($S$1:$S$7005,$S$1:$S$7005,0))&gt;0,1))</f>
        <v>421</v>
      </c>
      <c r="U9366" s="769">
        <f>S9360</f>
        <v>461</v>
      </c>
    </row>
  </sheetData>
  <autoFilter ref="A1:S9353" xr:uid="{C83D512C-6C64-45C3-9C07-998FCB32CE0A}">
    <filterColumn colId="5">
      <filters>
        <dateGroupItem year="2023" dateTimeGrouping="year"/>
        <dateGroupItem year="2022" dateTimeGrouping="year"/>
        <dateGroupItem year="2021" dateTimeGrouping="year"/>
        <dateGroupItem year="2020" dateTimeGrouping="year"/>
        <dateGroupItem year="2019" dateTimeGrouping="year"/>
        <dateGroupItem year="2018" dateTimeGrouping="year"/>
        <dateGroupItem year="2017" dateTimeGrouping="year"/>
        <dateGroupItem year="2016" dateTimeGrouping="year"/>
        <dateGroupItem year="2015" dateTimeGrouping="year"/>
        <dateGroupItem year="2014" dateTimeGrouping="year"/>
        <dateGroupItem year="2013" dateTimeGrouping="year"/>
      </filters>
    </filterColumn>
    <sortState xmlns:xlrd2="http://schemas.microsoft.com/office/spreadsheetml/2017/richdata2" ref="A25:S6771">
      <sortCondition ref="F1:F9353"/>
    </sortState>
  </autoFilter>
  <conditionalFormatting sqref="B2:B9352">
    <cfRule type="duplicateValues" dxfId="9" priority="1"/>
  </conditionalFormatting>
  <conditionalFormatting sqref="G1 G9354:G1048576">
    <cfRule type="duplicateValues" dxfId="8" priority="2"/>
  </conditionalFormatting>
  <hyperlinks>
    <hyperlink ref="B7726" r:id="rId1" tooltip="UG-NOR-1204-05257" display="https://hivos.lightning.force.com/lightning/r/0016M00002NAL8DQAX/view" xr:uid="{68E5DC8C-659A-4089-9189-5E8CF660DE26}"/>
    <hyperlink ref="B5717" r:id="rId2" tooltip="UG-EAS-1310-01533" display="https://hivos.lightning.force.com/lightning/r/0010J00001lQ4LGQA0/view" xr:uid="{4FB1936A-A2E9-439F-A5AF-DD75AD992154}"/>
    <hyperlink ref="B4429" r:id="rId3" tooltip="UG-WES-1503-00306" display="https://hivos.lightning.force.com/lightning/r/0010J00001muNPYQA2/view" xr:uid="{59BCCF55-FA26-4EBE-8251-CB0E9ABE9966}"/>
    <hyperlink ref="B1764" r:id="rId4" tooltip="UG-WES-1906-014012" display="https://hivos.lightning.force.com/lightning/r/0010J000027V8ktQAC/view" xr:uid="{4B611149-9E9F-40AE-8D74-E338D3FF2738}"/>
    <hyperlink ref="B1558" r:id="rId5" tooltip="UG-WES-1908-014452" display="https://hivos.lightning.force.com/lightning/r/0010J000029KM1tQAG/view" xr:uid="{E909FC5F-5F89-4202-8466-564CF2EA7F48}"/>
    <hyperlink ref="B1586" r:id="rId6" tooltip="UG-WES-1909-014036" display="https://hivos.lightning.force.com/lightning/r/0010J000028gbSNQAY/view" xr:uid="{837771E6-1A7B-4212-B892-68E8E3D9D9CA}"/>
    <hyperlink ref="B1274" r:id="rId7" tooltip="UG-WES-1911-014560" display="https://hivos.lightning.force.com/lightning/r/0010J00002B2jr6QAB/view" xr:uid="{AF8C08CF-83B1-42B0-B684-EDD370585FD1}"/>
    <hyperlink ref="B1527" r:id="rId8" tooltip="UG-CEN-1909-013915" display="https://hivos.lightning.force.com/lightning/r/0010J000029LrGhQAK/view" xr:uid="{9E18C5C9-826B-4C25-998D-BC347AA8AA2A}"/>
    <hyperlink ref="B1829" r:id="rId9" tooltip="UG-CEN-1905-07723" display="https://hivos.lightning.force.com/lightning/r/0010J000025aoJ9QAI/view" xr:uid="{BFF2ABC1-7032-4E35-8A4B-A861B20CA5FC}"/>
    <hyperlink ref="B1425" r:id="rId10" tooltip="UG-EAS-1909-9865" display="https://hivos.lightning.force.com/lightning/r/0010J000029p5a3QAA/view" xr:uid="{B94387B4-2E01-44EB-9497-AD08C6D23B7E}"/>
    <hyperlink ref="B1465" r:id="rId11" tooltip="UG-EAS-1909-07758" display="https://hivos.lightning.force.com/lightning/r/0010J00002DW9W7QAL/view" xr:uid="{10740A22-A4DB-423C-98D3-1035BDB93786}"/>
    <hyperlink ref="B1195" r:id="rId12" tooltip="UG-WES-1912- 014583" display="https://hivos.lightning.force.com/lightning/r/0010J00002BnlvCQAR/view" xr:uid="{D4090783-8F54-4591-8DEF-D270330E1497}"/>
    <hyperlink ref="B1345" r:id="rId13" tooltip="UG-WES-1911-014577" display="https://hivos.lightning.force.com/lightning/r/0010J00002BnWQ3QAN/view" xr:uid="{73D5FE45-491C-4658-87E9-2E3B01E65195}"/>
    <hyperlink ref="B1275" r:id="rId14" tooltip="UG-WES-1911-014567" display="https://hivos.lightning.force.com/lightning/r/0010J00002BMp5WQAT/view" xr:uid="{6712E591-83E4-4D38-918B-6E044CF1FA40}"/>
    <hyperlink ref="B1511" r:id="rId15" tooltip="UG-EAS-1909-012167" display="https://hivos.lightning.force.com/lightning/r/0010J000029MY8sQAG/view" xr:uid="{2B5E15C5-DF86-4D52-9694-A109B2BA5F1C}"/>
    <hyperlink ref="B1227" r:id="rId16" tooltip="UG-EAS-1912-012220" display="https://hivos.lightning.force.com/lightning/r/0010J00002BnH1nQAF/view" xr:uid="{13460703-D3FC-42FB-84F0-0AB76B5F05B6}"/>
    <hyperlink ref="B1542" r:id="rId17" tooltip="UG-WES-1909-14453" display="https://hivos.lightning.force.com/lightning/r/0010J000029M7h3QAC/view" xr:uid="{FFF7103E-532E-4184-B804-C8FEA8A70C81}"/>
    <hyperlink ref="B482" r:id="rId18" tooltip="UG-WES-1902-012455" display="https://hivos.lightning.force.com/lightning/r/0010J000023hLjnQAE/view" xr:uid="{BB369C8B-DDB8-4F6A-8CBA-A8864443E0B0}"/>
    <hyperlink ref="B1245" r:id="rId19" tooltip="UG-CEN-1912-013418" display="https://hivos.lightning.force.com/lightning/r/0010J00002CKAVcQAP/view" xr:uid="{727AB3B8-5BEF-49AB-B556-E96AA7245139}"/>
    <hyperlink ref="B1165" r:id="rId20" tooltip="UG-EAS-2001-06248" display="https://hivos.lightning.force.com/lightning/r/0010J00002CmHCnQAN/view" xr:uid="{F5592572-0ED8-409C-8806-2C15CBF87769}"/>
    <hyperlink ref="B1179" r:id="rId21" tooltip="UG-EAS-1912-9877" display="https://hivos.lightning.force.com/lightning/r/0010J00002ByaFSQAZ/view" xr:uid="{56F332EB-43EC-4FC4-9E82-F310B85B0853}"/>
    <hyperlink ref="B1962" r:id="rId22" tooltip="UG-EAS-1902-013958" display="https://hivos.lightning.force.com/lightning/r/0010J000023R0HEQA0/view" xr:uid="{3DA9EB80-F89B-48E8-8884-55602C652DEF}"/>
    <hyperlink ref="B2104" r:id="rId23" tooltip="UG-CEN-1810-08567" display="https://hivos.lightning.force.com/lightning/r/0010J00002516FlQAI/view" xr:uid="{859A4B15-11AC-4BD0-B281-A9A12B867B42}"/>
    <hyperlink ref="B1396" r:id="rId24" tooltip="UG-WES-1910-014175" display="https://hivos.lightning.force.com/lightning/r/0010J000028u7hLQAQ/view" xr:uid="{9674FDB9-A047-4AA9-8F8C-4191D800EF26}"/>
    <hyperlink ref="B1372" r:id="rId25" tooltip="UG-EAS-1910-012170" display="https://hivos.lightning.force.com/lightning/r/0010J00002B181nQAB/view" xr:uid="{24D1A56C-8219-46F1-B644-2F62C2AE5BC7}"/>
    <hyperlink ref="B1423" r:id="rId26" tooltip="UG-CEN-1909-09867" display="https://hivos.lightning.force.com/lightning/r/0010J000029p5UzQAI/view" xr:uid="{3FCE21C0-D8F9-41D3-ACBD-496C1A6EA991}"/>
    <hyperlink ref="B1845" r:id="rId27" tooltip="UG-WES-1904-013686" display="https://hivos.lightning.force.com/lightning/r/0010J000025acdGQAQ/view" xr:uid="{8F4241D3-B2E3-4F14-A312-E0DB03FAF625}"/>
    <hyperlink ref="B1884" r:id="rId28" tooltip="UG-EAS-1903-012161" display="https://hivos.lightning.force.com/lightning/r/0010J000024zHNwQAM/view" xr:uid="{E4F1FCFA-F35C-4A2D-8AE4-442D4FCD2C04}"/>
    <hyperlink ref="B1737" r:id="rId29" tooltip="UG-EAS-1907-012207" display="https://hivos.lightning.force.com/lightning/r/0010J000029MBKTQA4/view" xr:uid="{0F9DF360-9AC2-4554-A481-D6A46BFD63F8}"/>
    <hyperlink ref="B1548" r:id="rId30" tooltip="UG-WES-1909-014046" display="https://hivos.lightning.force.com/lightning/r/0010J000029NacqQAC/view" xr:uid="{E6EE1546-07F7-4A08-BB92-8CEDD7D624BC}"/>
    <hyperlink ref="B1461" r:id="rId31" tooltip="UG-EAS-1909-07757" display="https://hivos.lightning.force.com/lightning/r/0010J00002DW9WCQA1/view" xr:uid="{DB2BEEF7-CAC1-4D64-A911-B8314E0DDB6C}"/>
    <hyperlink ref="B1391" r:id="rId32" tooltip="UG-CEN-1910-013985" display="https://hivos.lightning.force.com/lightning/r/0010J00002A8QuFQAV/view" xr:uid="{9EAF7A41-3B51-4ED7-8A01-556D20311C49}"/>
    <hyperlink ref="B1379" r:id="rId33" tooltip="UG-CEN-1911-013991" display="https://hivos.lightning.force.com/lightning/r/0010J00002B1RU4QAN/view" xr:uid="{16205388-45B5-4F58-8E9F-9B159B5E9E6D}"/>
    <hyperlink ref="B1344" r:id="rId34" tooltip="UG-CEN-1910-013950" display="https://hivos.lightning.force.com/lightning/r/0010J00002B20xrQAB/view" xr:uid="{74D0A359-0D97-4FAA-9194-AB693EA85CC7}"/>
    <hyperlink ref="B1688" r:id="rId35" tooltip="UG-CEN-1908-07883" display="https://hivos.lightning.force.com/lightning/r/0010J000028eqAHQAY/view" xr:uid="{AA7800E4-8E5A-46A3-8984-A172C783AD23}"/>
    <hyperlink ref="B1862" r:id="rId36" tooltip="UG-WES-1904-012584" display="https://hivos.lightning.force.com/lightning/r/0016M00002NAwfQQAT/view" xr:uid="{40922D61-C28C-4537-87D0-A8F60EB6D475}"/>
    <hyperlink ref="B380" r:id="rId37" tooltip="UG-NOR-2202-021393" display="https://hivos.lightning.force.com/lightning/r/0016M00002N9E4VQAV/view" xr:uid="{AE969DB8-E0A7-42D8-BD10-EC1089BAE123}"/>
    <hyperlink ref="B2876" r:id="rId38" tooltip="UG-WES-1709-07153" display="https://hivos.lightning.force.com/lightning/r/0010J00001nmy5YQAQ/view" xr:uid="{DE277FD0-83DB-4AAE-B821-57F28E5ADBE3}"/>
    <hyperlink ref="B1644" r:id="rId39" tooltip="UG-EAS-1908-014350" display="https://hivos.lightning.force.com/lightning/r/0010J000028eSnvQAE/view" xr:uid="{4351D2AF-508D-41C1-9F40-DED926CAE458}"/>
    <hyperlink ref="B1759" r:id="rId40" tooltip="UG-CEN-1907-08361" display="https://hivos.lightning.force.com/lightning/r/0010J00002ABMsaQAH/view" xr:uid="{106A09DA-DAE5-41E5-BCF9-236E2D8ABD38}"/>
    <hyperlink ref="B1197" r:id="rId41" tooltip="UG-WES-1912-014584" display="https://hivos.lightning.force.com/lightning/r/0010J00002Bnls4QAB/view" xr:uid="{FFECA237-0275-41F3-AFCC-1ED31B1950E0}"/>
    <hyperlink ref="B1281" r:id="rId42" tooltip="UG-WES-1911- 014556" display="https://hivos.lightning.force.com/lightning/r/0010J00002B2jqDQAR/view" xr:uid="{D9229C40-D881-4218-8B30-7448F11462BA}"/>
    <hyperlink ref="B1146" r:id="rId43" tooltip="UG-EAS-2001-014070" display="https://hivos.lightning.force.com/lightning/r/0010J00002Cm2auQAB/view" xr:uid="{F5BBA5DE-394A-47DB-B1C1-E6C262D40A2A}"/>
    <hyperlink ref="B1463" r:id="rId44" tooltip="UG-WES-1910-014463" display="https://hivos.lightning.force.com/lightning/r/0010J00002A9M02QAF/view" xr:uid="{D701DD06-C2B4-4E27-8AEB-22D2C1A457E5}"/>
    <hyperlink ref="B3259" r:id="rId45" tooltip="UG-WES-1702-01842" display="https://hivos.lightning.force.com/lightning/r/0010J00001kYIyCQAW/view" xr:uid="{A204FFE8-ECF7-49E5-907D-D8A4C91F8A8A}"/>
    <hyperlink ref="B1593" r:id="rId46" tooltip="UG-WES-1908-014033" display="https://hivos.lightning.force.com/lightning/r/0010J000028f93pQAA/view" xr:uid="{E0577E2A-5971-455A-8ED7-68D49178DA59}"/>
    <hyperlink ref="B1953" r:id="rId47" tooltip="UG-EAS-1901-012278" display="https://hivos.lightning.force.com/lightning/r/0010J0000234B2SQAU/view" xr:uid="{BB1BC320-A429-41B2-B4C4-D8D041D53977}"/>
    <hyperlink ref="B1248" r:id="rId48" tooltip="UG-EAS-1912-9882" display="https://hivos.lightning.force.com/lightning/r/0010J00002C0MHZQA3/view" xr:uid="{53E472F8-A1B8-481D-B399-6FA418CF014D}"/>
    <hyperlink ref="B1180" r:id="rId49" tooltip="UG-EAS-1912-9884" display="https://hivos.lightning.force.com/lightning/r/0010J00002C1NveQAF/view" xr:uid="{780663AE-6FEB-463E-824F-96733C6992A7}"/>
    <hyperlink ref="B3132" r:id="rId50" tooltip="UG-WES-1705-06652" display="https://hivos.lightning.force.com/lightning/r/0010J00001mXk5VQAS/view" xr:uid="{2A999F3F-2906-4CF1-93F2-C21AF24AB036}"/>
    <hyperlink ref="B4635" r:id="rId51" tooltip="UG-EAS-1411-00083" display="https://hivos.lightning.force.com/lightning/r/0010J00001lQ36qQAC/view" xr:uid="{F42469C0-A70C-4497-AB9F-F6C96D328401}"/>
    <hyperlink ref="B2182" r:id="rId52" tooltip="UG-WES-1807-12562" display="https://hivos.lightning.force.com/lightning/r/0010J00001y3jNlQAI/view" xr:uid="{3B3DA2F5-0DEB-449B-B295-C295856A5FD4}"/>
    <hyperlink ref="B1408" r:id="rId53" tooltip="UG-EAS-1910-012122" display="https://hivos.lightning.force.com/lightning/r/0010J00002AB1hUQAT/view" xr:uid="{75E30757-091A-4A8B-A1A2-912F9FA3F221}"/>
    <hyperlink ref="B1427" r:id="rId54" tooltip="UG-EAS-1910-012121" display="https://hivos.lightning.force.com/lightning/r/0010J00002AB1hoQAD/view" xr:uid="{517B8925-8062-48E7-8840-166818A4D473}"/>
    <hyperlink ref="B1887" r:id="rId55" tooltip="UG-CEN-1907-014509" display="https://hivos.lightning.force.com/lightning/r/0010J00002DiTB4QAN/view" xr:uid="{513E35E7-6722-4A25-9D52-AC54B6671A7C}"/>
    <hyperlink ref="B1368" r:id="rId56" tooltip="UG-WES-1911-014188" display="https://hivos.lightning.force.com/lightning/r/0010J00002AejTtQAJ/view" xr:uid="{3DA815C9-0926-45A7-A50C-43513B9F2B65}"/>
    <hyperlink ref="B1403" r:id="rId57" tooltip="UG-WES-1910-014181" display="https://hivos.lightning.force.com/lightning/r/0010J000028tx0SQAQ/view" xr:uid="{1A0E47F8-4C38-4A81-8013-4A09EC79A22A}"/>
    <hyperlink ref="B1471" r:id="rId58" tooltip="UG-EAS-1909-9861" display="https://hivos.lightning.force.com/lightning/r/0010J000029LNC1QAO/view" xr:uid="{4F05561D-E9B4-4500-8F7F-7C83DE062279}"/>
    <hyperlink ref="B1228" r:id="rId59" tooltip="UG-WES-1912-014472" display="https://hivos.lightning.force.com/lightning/r/0010J00002BmxTvQAJ/view" xr:uid="{BD94EB50-9CF8-483A-9D7D-E00E89028E2C}"/>
    <hyperlink ref="B1413" r:id="rId60" tooltip="UG-CEN-1910-013926" display="https://hivos.lightning.force.com/lightning/r/0016M00002N7lEkQAJ/view" xr:uid="{A45CCC96-1290-46F0-B58F-D481EB1C7F92}"/>
    <hyperlink ref="B1640" r:id="rId61" tooltip="UG-EAS-1908-014342" display="https://hivos.lightning.force.com/lightning/r/0010J000028eSmiQAE/view" xr:uid="{C02F541A-5CA6-47C8-A984-A8D6099BA8AE}"/>
    <hyperlink ref="B1890" r:id="rId62" tooltip="UG-WES-1903-012848" display="https://hivos.lightning.force.com/lightning/r/0016M00002NALNrQAP/view" xr:uid="{1939615A-EC64-4B16-A378-395785EFD311}"/>
    <hyperlink ref="B759" r:id="rId63" tooltip="UG-CEN-2104-018427" display="https://hivos.lightning.force.com/lightning/r/0016M00002Jgr7SQAR/view" xr:uid="{3448AFD0-DA3A-4331-9A7D-5156C60480AC}"/>
  </hyperlinks>
  <pageMargins left="0.7" right="0.7" top="0.75" bottom="0.75" header="0.3" footer="0.3"/>
  <legacyDrawing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931-5477-4B7E-8499-3ED02D840176}">
  <dimension ref="B2:R59"/>
  <sheetViews>
    <sheetView workbookViewId="0">
      <selection activeCell="B2" sqref="B2:R31"/>
    </sheetView>
  </sheetViews>
  <sheetFormatPr defaultRowHeight="15" x14ac:dyDescent="0.25"/>
  <cols>
    <col min="1" max="1" width="7.7109375" customWidth="1"/>
    <col min="14" max="14" width="11.7109375" customWidth="1"/>
  </cols>
  <sheetData>
    <row r="2" spans="2:18" ht="15.75" thickBot="1" x14ac:dyDescent="0.3">
      <c r="B2" s="31" t="s">
        <v>32091</v>
      </c>
      <c r="K2" s="31" t="s">
        <v>32092</v>
      </c>
    </row>
    <row r="3" spans="2:18" x14ac:dyDescent="0.25">
      <c r="B3" s="203"/>
      <c r="C3" s="204"/>
      <c r="D3" s="204"/>
      <c r="E3" s="204"/>
      <c r="F3" s="204"/>
      <c r="G3" s="204"/>
      <c r="H3" s="204"/>
      <c r="I3" s="205"/>
      <c r="K3" s="203"/>
      <c r="L3" s="204"/>
      <c r="M3" s="204"/>
      <c r="N3" s="204"/>
      <c r="O3" s="204"/>
      <c r="P3" s="204"/>
      <c r="Q3" s="204"/>
      <c r="R3" s="205"/>
    </row>
    <row r="4" spans="2:18" x14ac:dyDescent="0.25">
      <c r="B4" s="206"/>
      <c r="C4" s="860" t="s">
        <v>29142</v>
      </c>
      <c r="D4" s="861"/>
      <c r="E4" s="861"/>
      <c r="F4" s="862"/>
      <c r="G4" s="207"/>
      <c r="H4" s="207"/>
      <c r="I4" s="208"/>
      <c r="K4" s="206"/>
      <c r="L4" s="860" t="s">
        <v>29142</v>
      </c>
      <c r="M4" s="861"/>
      <c r="N4" s="861"/>
      <c r="O4" s="862"/>
      <c r="P4" s="207"/>
      <c r="Q4" s="207"/>
      <c r="R4" s="208"/>
    </row>
    <row r="5" spans="2:18" x14ac:dyDescent="0.25">
      <c r="B5" s="206"/>
      <c r="C5" s="207"/>
      <c r="D5" s="207"/>
      <c r="E5" s="207"/>
      <c r="F5" s="207"/>
      <c r="G5" s="207"/>
      <c r="H5" s="207"/>
      <c r="I5" s="208"/>
      <c r="K5" s="206"/>
      <c r="L5" s="207"/>
      <c r="M5" s="207"/>
      <c r="N5" s="207"/>
      <c r="O5" s="207"/>
      <c r="P5" s="207"/>
      <c r="Q5" s="207"/>
      <c r="R5" s="208"/>
    </row>
    <row r="6" spans="2:18" x14ac:dyDescent="0.25">
      <c r="B6" s="206"/>
      <c r="C6" s="207"/>
      <c r="D6" s="207"/>
      <c r="E6" s="207"/>
      <c r="F6" s="207"/>
      <c r="G6" s="207"/>
      <c r="H6" s="207"/>
      <c r="I6" s="208"/>
      <c r="K6" s="206"/>
      <c r="L6" s="207"/>
      <c r="M6" s="207"/>
      <c r="N6" s="207"/>
      <c r="O6" s="207"/>
      <c r="P6" s="207"/>
      <c r="Q6" s="207"/>
      <c r="R6" s="208"/>
    </row>
    <row r="7" spans="2:18" x14ac:dyDescent="0.25">
      <c r="B7" s="206"/>
      <c r="C7" s="207"/>
      <c r="D7" s="207"/>
      <c r="E7" s="207"/>
      <c r="F7" s="207"/>
      <c r="G7" s="207"/>
      <c r="H7" s="207"/>
      <c r="I7" s="208"/>
      <c r="K7" s="206"/>
      <c r="L7" s="207"/>
      <c r="M7" s="207"/>
      <c r="N7" s="207"/>
      <c r="O7" s="207"/>
      <c r="P7" s="207"/>
      <c r="Q7" s="207"/>
      <c r="R7" s="208"/>
    </row>
    <row r="8" spans="2:18" x14ac:dyDescent="0.25">
      <c r="B8" s="206"/>
      <c r="C8" s="207"/>
      <c r="D8" s="207"/>
      <c r="E8" s="207"/>
      <c r="F8" s="207"/>
      <c r="G8" s="207"/>
      <c r="H8" s="207"/>
      <c r="I8" s="208"/>
      <c r="K8" s="206"/>
      <c r="L8" s="207"/>
      <c r="M8" s="207"/>
      <c r="N8" s="207"/>
      <c r="O8" s="207"/>
      <c r="P8" s="207"/>
      <c r="Q8" s="207"/>
      <c r="R8" s="208"/>
    </row>
    <row r="9" spans="2:18" x14ac:dyDescent="0.25">
      <c r="B9" s="206"/>
      <c r="C9" s="207"/>
      <c r="D9" s="207"/>
      <c r="E9" s="207"/>
      <c r="F9" s="207"/>
      <c r="G9" s="207"/>
      <c r="H9" s="207"/>
      <c r="I9" s="208"/>
      <c r="K9" s="206"/>
      <c r="L9" s="207"/>
      <c r="M9" s="207"/>
      <c r="N9" s="207"/>
      <c r="O9" s="207"/>
      <c r="P9" s="207"/>
      <c r="Q9" s="207"/>
      <c r="R9" s="208"/>
    </row>
    <row r="10" spans="2:18" x14ac:dyDescent="0.25">
      <c r="B10" s="206"/>
      <c r="C10" s="209" t="s">
        <v>29143</v>
      </c>
      <c r="D10" s="207"/>
      <c r="E10" s="207"/>
      <c r="F10" s="207"/>
      <c r="G10" s="207"/>
      <c r="H10" s="207"/>
      <c r="I10" s="208"/>
      <c r="K10" s="206"/>
      <c r="L10" s="209" t="s">
        <v>29143</v>
      </c>
      <c r="M10" s="207"/>
      <c r="N10" s="207"/>
      <c r="O10" s="207"/>
      <c r="P10" s="207"/>
      <c r="Q10" s="207"/>
      <c r="R10" s="208"/>
    </row>
    <row r="11" spans="2:18" x14ac:dyDescent="0.25">
      <c r="B11" s="206"/>
      <c r="C11" s="852" t="s">
        <v>136</v>
      </c>
      <c r="D11" s="853"/>
      <c r="E11" s="210">
        <f>'SDG outcome'!E27</f>
        <v>8205</v>
      </c>
      <c r="F11" s="207"/>
      <c r="G11" s="207"/>
      <c r="H11" s="207"/>
      <c r="I11" s="208"/>
      <c r="K11" s="206"/>
      <c r="L11" s="852" t="s">
        <v>136</v>
      </c>
      <c r="M11" s="853"/>
      <c r="N11" s="210">
        <f>'SDG outcome'!E39</f>
        <v>8332</v>
      </c>
      <c r="O11" s="207"/>
      <c r="P11" s="207"/>
      <c r="Q11" s="207"/>
      <c r="R11" s="208"/>
    </row>
    <row r="12" spans="2:18" x14ac:dyDescent="0.25">
      <c r="B12" s="206"/>
      <c r="C12" s="852" t="s">
        <v>29144</v>
      </c>
      <c r="D12" s="853"/>
      <c r="E12" s="211">
        <f>(F16^2*E11*(E14*(1-E14)))/((E11-1)*E15^2*E14^2+(F16^2*E14*(1-E14)))</f>
        <v>176.54159877439074</v>
      </c>
      <c r="F12" s="207"/>
      <c r="G12" s="207"/>
      <c r="H12" s="207"/>
      <c r="I12" s="208"/>
      <c r="K12" s="206"/>
      <c r="L12" s="852" t="s">
        <v>29144</v>
      </c>
      <c r="M12" s="853"/>
      <c r="N12" s="211">
        <f>(O16^2*N11*(N14*(1-N14)))/((N11-1)*N15^2*N14^2+(O16^2*N14*(1-N14)))</f>
        <v>176.59919547132947</v>
      </c>
      <c r="O12" s="207"/>
      <c r="P12" s="207"/>
      <c r="Q12" s="207"/>
      <c r="R12" s="208"/>
    </row>
    <row r="13" spans="2:18" x14ac:dyDescent="0.25">
      <c r="B13" s="206"/>
      <c r="C13" s="852" t="s">
        <v>29145</v>
      </c>
      <c r="D13" s="853"/>
      <c r="E13" s="212">
        <f>ROUNDUP(E12,0)</f>
        <v>177</v>
      </c>
      <c r="F13" s="207" t="s">
        <v>29146</v>
      </c>
      <c r="G13" s="207"/>
      <c r="H13" s="207"/>
      <c r="I13" s="208"/>
      <c r="K13" s="206"/>
      <c r="L13" s="852" t="s">
        <v>29145</v>
      </c>
      <c r="M13" s="853"/>
      <c r="N13" s="212">
        <f>ROUNDUP(N12,0)</f>
        <v>177</v>
      </c>
      <c r="O13" s="207" t="s">
        <v>29146</v>
      </c>
      <c r="P13" s="207"/>
      <c r="Q13" s="207"/>
      <c r="R13" s="208"/>
    </row>
    <row r="14" spans="2:18" x14ac:dyDescent="0.25">
      <c r="B14" s="206"/>
      <c r="C14" s="852" t="s">
        <v>29147</v>
      </c>
      <c r="D14" s="853"/>
      <c r="E14" s="213">
        <v>0.6</v>
      </c>
      <c r="F14" s="207" t="s">
        <v>29157</v>
      </c>
      <c r="G14" s="207"/>
      <c r="H14" s="207"/>
      <c r="I14" s="208"/>
      <c r="K14" s="206"/>
      <c r="L14" s="852" t="s">
        <v>29147</v>
      </c>
      <c r="M14" s="853"/>
      <c r="N14" s="213">
        <v>0.6</v>
      </c>
      <c r="O14" s="207" t="s">
        <v>29157</v>
      </c>
      <c r="P14" s="207"/>
      <c r="Q14" s="207"/>
      <c r="R14" s="208"/>
    </row>
    <row r="15" spans="2:18" x14ac:dyDescent="0.25">
      <c r="B15" s="206"/>
      <c r="C15" s="214" t="s">
        <v>29148</v>
      </c>
      <c r="D15" s="214"/>
      <c r="E15" s="215">
        <v>0.1</v>
      </c>
      <c r="F15" s="207"/>
      <c r="G15" s="207"/>
      <c r="H15" s="207"/>
      <c r="I15" s="208"/>
      <c r="K15" s="206"/>
      <c r="L15" s="214" t="s">
        <v>29148</v>
      </c>
      <c r="M15" s="214"/>
      <c r="N15" s="215">
        <v>0.1</v>
      </c>
      <c r="O15" s="207"/>
      <c r="P15" s="207"/>
      <c r="Q15" s="207"/>
      <c r="R15" s="208"/>
    </row>
    <row r="16" spans="2:18" x14ac:dyDescent="0.25">
      <c r="B16" s="206"/>
      <c r="C16" s="852" t="s">
        <v>29149</v>
      </c>
      <c r="D16" s="853"/>
      <c r="E16" s="215">
        <v>0.9</v>
      </c>
      <c r="F16" s="213">
        <v>1.645</v>
      </c>
      <c r="G16" s="216" t="s">
        <v>29150</v>
      </c>
      <c r="H16" s="207"/>
      <c r="I16" s="208"/>
      <c r="K16" s="206"/>
      <c r="L16" s="852" t="s">
        <v>29149</v>
      </c>
      <c r="M16" s="853"/>
      <c r="N16" s="215">
        <v>0.9</v>
      </c>
      <c r="O16" s="213">
        <v>1.645</v>
      </c>
      <c r="P16" s="216" t="s">
        <v>29150</v>
      </c>
      <c r="Q16" s="207"/>
      <c r="R16" s="208"/>
    </row>
    <row r="17" spans="2:18" x14ac:dyDescent="0.25">
      <c r="B17" s="206"/>
      <c r="C17" s="207"/>
      <c r="D17" s="207"/>
      <c r="E17" s="207"/>
      <c r="F17" s="207"/>
      <c r="G17" s="207"/>
      <c r="H17" s="207"/>
      <c r="I17" s="208"/>
      <c r="K17" s="206"/>
      <c r="L17" s="207"/>
      <c r="M17" s="207"/>
      <c r="N17" s="207"/>
      <c r="O17" s="207"/>
      <c r="P17" s="207"/>
      <c r="Q17" s="207"/>
      <c r="R17" s="208"/>
    </row>
    <row r="18" spans="2:18" x14ac:dyDescent="0.25">
      <c r="B18" s="206"/>
      <c r="C18" s="209" t="s">
        <v>29151</v>
      </c>
      <c r="D18" s="207"/>
      <c r="E18" s="207"/>
      <c r="F18" s="207"/>
      <c r="G18" s="207"/>
      <c r="H18" s="207"/>
      <c r="I18" s="208"/>
      <c r="K18" s="206"/>
      <c r="L18" s="209" t="s">
        <v>29151</v>
      </c>
      <c r="M18" s="207"/>
      <c r="N18" s="207"/>
      <c r="O18" s="207"/>
      <c r="P18" s="207"/>
      <c r="Q18" s="207"/>
      <c r="R18" s="208"/>
    </row>
    <row r="19" spans="2:18" x14ac:dyDescent="0.25">
      <c r="B19" s="206"/>
      <c r="C19" s="852" t="s">
        <v>136</v>
      </c>
      <c r="D19" s="853"/>
      <c r="E19" s="210">
        <f>E11</f>
        <v>8205</v>
      </c>
      <c r="F19" s="207"/>
      <c r="G19" s="207"/>
      <c r="H19" s="207"/>
      <c r="I19" s="208"/>
      <c r="K19" s="206"/>
      <c r="L19" s="852" t="s">
        <v>136</v>
      </c>
      <c r="M19" s="853"/>
      <c r="N19" s="210">
        <f>N11</f>
        <v>8332</v>
      </c>
      <c r="O19" s="207"/>
      <c r="P19" s="207"/>
      <c r="Q19" s="207"/>
      <c r="R19" s="208"/>
    </row>
    <row r="20" spans="2:18" x14ac:dyDescent="0.25">
      <c r="B20" s="206"/>
      <c r="C20" s="852" t="s">
        <v>29144</v>
      </c>
      <c r="D20" s="853"/>
      <c r="E20" s="211">
        <f>(F24^2*E19*(E22*(1-E22)))/((E19-1)*E23^2*E22^2+E22*(1-E22))</f>
        <v>156.37023846384338</v>
      </c>
      <c r="F20" s="207"/>
      <c r="G20" s="207"/>
      <c r="H20" s="207"/>
      <c r="I20" s="208"/>
      <c r="K20" s="206"/>
      <c r="L20" s="852" t="s">
        <v>29144</v>
      </c>
      <c r="M20" s="853"/>
      <c r="N20" s="211">
        <f>(O24^2*N19*(N22*(1-N22)))/((N19-1)*N23^2*N22^2+N22*(1-N22))</f>
        <v>257.79189922381363</v>
      </c>
      <c r="O20" s="207"/>
      <c r="P20" s="207"/>
      <c r="Q20" s="207"/>
      <c r="R20" s="208"/>
    </row>
    <row r="21" spans="2:18" x14ac:dyDescent="0.25">
      <c r="B21" s="206"/>
      <c r="C21" s="852" t="s">
        <v>29145</v>
      </c>
      <c r="D21" s="853"/>
      <c r="E21" s="217">
        <f>ROUNDUP(E20,0)</f>
        <v>157</v>
      </c>
      <c r="F21" s="207" t="str">
        <f>F13</f>
        <v>minimum sample size</v>
      </c>
      <c r="G21" s="207"/>
      <c r="H21" s="207"/>
      <c r="I21" s="208"/>
      <c r="K21" s="206"/>
      <c r="L21" s="852" t="s">
        <v>29145</v>
      </c>
      <c r="M21" s="853"/>
      <c r="N21" s="217">
        <f>ROUNDUP(N20,0)</f>
        <v>258</v>
      </c>
      <c r="O21" s="207" t="str">
        <f>O13</f>
        <v>minimum sample size</v>
      </c>
      <c r="P21" s="207"/>
      <c r="Q21" s="207"/>
      <c r="R21" s="208"/>
    </row>
    <row r="22" spans="2:18" x14ac:dyDescent="0.25">
      <c r="B22" s="206"/>
      <c r="C22" s="852" t="s">
        <v>29152</v>
      </c>
      <c r="D22" s="853"/>
      <c r="E22" s="218">
        <f>'SDG outcome'!C11</f>
        <v>0.63215631748951373</v>
      </c>
      <c r="F22" s="207" t="s">
        <v>29153</v>
      </c>
      <c r="G22" s="207"/>
      <c r="H22" s="207"/>
      <c r="I22" s="208"/>
      <c r="K22" s="206"/>
      <c r="L22" s="852" t="s">
        <v>29152</v>
      </c>
      <c r="M22" s="853"/>
      <c r="N22" s="218">
        <f>'SDG outcome'!J11</f>
        <v>0.50927861187464563</v>
      </c>
      <c r="O22" s="207" t="s">
        <v>29153</v>
      </c>
      <c r="P22" s="207"/>
      <c r="Q22" s="207"/>
      <c r="R22" s="208"/>
    </row>
    <row r="23" spans="2:18" x14ac:dyDescent="0.25">
      <c r="B23" s="206"/>
      <c r="C23" s="214" t="s">
        <v>29148</v>
      </c>
      <c r="D23" s="214"/>
      <c r="E23" s="215">
        <v>0.1</v>
      </c>
      <c r="F23" s="207"/>
      <c r="G23" s="207"/>
      <c r="H23" s="207"/>
      <c r="I23" s="208"/>
      <c r="K23" s="206"/>
      <c r="L23" s="214" t="s">
        <v>29148</v>
      </c>
      <c r="M23" s="214"/>
      <c r="N23" s="215">
        <v>0.1</v>
      </c>
      <c r="O23" s="207"/>
      <c r="P23" s="207"/>
      <c r="Q23" s="207"/>
      <c r="R23" s="208"/>
    </row>
    <row r="24" spans="2:18" x14ac:dyDescent="0.25">
      <c r="B24" s="206"/>
      <c r="C24" s="852" t="s">
        <v>29149</v>
      </c>
      <c r="D24" s="853"/>
      <c r="E24" s="215">
        <f>E16</f>
        <v>0.9</v>
      </c>
      <c r="F24" s="213">
        <f>F16</f>
        <v>1.645</v>
      </c>
      <c r="G24" s="216" t="s">
        <v>29150</v>
      </c>
      <c r="H24" s="207"/>
      <c r="I24" s="208"/>
      <c r="K24" s="206"/>
      <c r="L24" s="852" t="s">
        <v>29149</v>
      </c>
      <c r="M24" s="853"/>
      <c r="N24" s="215">
        <f>N16</f>
        <v>0.9</v>
      </c>
      <c r="O24" s="213">
        <f>O16</f>
        <v>1.645</v>
      </c>
      <c r="P24" s="216" t="s">
        <v>29150</v>
      </c>
      <c r="Q24" s="207"/>
      <c r="R24" s="208"/>
    </row>
    <row r="25" spans="2:18" x14ac:dyDescent="0.25">
      <c r="B25" s="206"/>
      <c r="C25" s="207"/>
      <c r="D25" s="207"/>
      <c r="E25" s="207"/>
      <c r="F25" s="207"/>
      <c r="G25" s="207"/>
      <c r="H25" s="207"/>
      <c r="I25" s="208"/>
      <c r="K25" s="206"/>
      <c r="L25" s="207"/>
      <c r="M25" s="207"/>
      <c r="N25" s="207"/>
      <c r="O25" s="207"/>
      <c r="P25" s="207"/>
      <c r="Q25" s="207"/>
      <c r="R25" s="208"/>
    </row>
    <row r="26" spans="2:18" ht="36" customHeight="1" x14ac:dyDescent="0.25">
      <c r="B26" s="206"/>
      <c r="C26" s="219" t="s">
        <v>29154</v>
      </c>
      <c r="D26" s="207"/>
      <c r="E26" s="358">
        <f>'SDG outcome'!C12</f>
        <v>201</v>
      </c>
      <c r="F26" s="207"/>
      <c r="G26" s="207"/>
      <c r="H26" s="207"/>
      <c r="I26" s="208"/>
      <c r="K26" s="206"/>
      <c r="L26" s="219" t="s">
        <v>29154</v>
      </c>
      <c r="M26" s="207"/>
      <c r="N26" s="358">
        <f>'SDG outcome'!J12</f>
        <v>273</v>
      </c>
      <c r="O26" s="207"/>
      <c r="P26" s="207"/>
      <c r="Q26" s="207"/>
      <c r="R26" s="208"/>
    </row>
    <row r="27" spans="2:18" ht="28.5" customHeight="1" x14ac:dyDescent="0.25">
      <c r="B27" s="854" t="s">
        <v>32077</v>
      </c>
      <c r="C27" s="855"/>
      <c r="D27" s="855"/>
      <c r="E27" s="207" t="b">
        <f>E13&gt;E26</f>
        <v>0</v>
      </c>
      <c r="F27" s="207"/>
      <c r="G27" s="207"/>
      <c r="H27" s="207"/>
      <c r="I27" s="208"/>
      <c r="K27" s="854" t="s">
        <v>32077</v>
      </c>
      <c r="L27" s="855"/>
      <c r="M27" s="855"/>
      <c r="N27" s="207" t="b">
        <f>N13&gt;N26</f>
        <v>0</v>
      </c>
      <c r="O27" s="207"/>
      <c r="P27" s="207"/>
      <c r="Q27" s="207"/>
      <c r="R27" s="208"/>
    </row>
    <row r="28" spans="2:18" ht="27.75" customHeight="1" x14ac:dyDescent="0.25">
      <c r="B28" s="856" t="s">
        <v>29155</v>
      </c>
      <c r="C28" s="857"/>
      <c r="D28" s="857"/>
      <c r="E28" s="207" t="b">
        <f>E21&gt;E26</f>
        <v>0</v>
      </c>
      <c r="F28" s="207"/>
      <c r="G28" s="207"/>
      <c r="H28" s="207"/>
      <c r="I28" s="208"/>
      <c r="K28" s="856" t="s">
        <v>29155</v>
      </c>
      <c r="L28" s="857"/>
      <c r="M28" s="857"/>
      <c r="N28" s="207" t="b">
        <f>N21&gt;N26</f>
        <v>0</v>
      </c>
      <c r="O28" s="207"/>
      <c r="P28" s="207"/>
      <c r="Q28" s="207"/>
      <c r="R28" s="208"/>
    </row>
    <row r="29" spans="2:18" x14ac:dyDescent="0.25">
      <c r="B29" s="206"/>
      <c r="C29" s="207"/>
      <c r="D29" s="207"/>
      <c r="E29" s="207"/>
      <c r="F29" s="207"/>
      <c r="G29" s="207"/>
      <c r="H29" s="207"/>
      <c r="I29" s="208"/>
      <c r="K29" s="206"/>
      <c r="L29" s="207"/>
      <c r="M29" s="207"/>
      <c r="N29" s="207"/>
      <c r="O29" s="207"/>
      <c r="P29" s="207"/>
      <c r="Q29" s="207"/>
      <c r="R29" s="208"/>
    </row>
    <row r="30" spans="2:18" x14ac:dyDescent="0.25">
      <c r="B30" s="206"/>
      <c r="C30" s="220" t="s">
        <v>29156</v>
      </c>
      <c r="D30" s="207"/>
      <c r="E30" s="207" t="str">
        <f>IF(E28=FALSE,"n is large enough","n too small")</f>
        <v>n is large enough</v>
      </c>
      <c r="F30" s="207"/>
      <c r="G30" s="207"/>
      <c r="H30" s="207"/>
      <c r="I30" s="208"/>
      <c r="K30" s="206"/>
      <c r="L30" s="220" t="s">
        <v>29156</v>
      </c>
      <c r="M30" s="207"/>
      <c r="N30" s="207" t="str">
        <f>IF(N28=FALSE,"n is large enough","n too small")</f>
        <v>n is large enough</v>
      </c>
      <c r="O30" s="207"/>
      <c r="P30" s="207"/>
      <c r="Q30" s="207"/>
      <c r="R30" s="208"/>
    </row>
    <row r="31" spans="2:18" ht="15.75" thickBot="1" x14ac:dyDescent="0.3">
      <c r="B31" s="221"/>
      <c r="C31" s="222"/>
      <c r="D31" s="222"/>
      <c r="E31" s="222"/>
      <c r="F31" s="222"/>
      <c r="G31" s="222"/>
      <c r="H31" s="222"/>
      <c r="I31" s="223"/>
      <c r="K31" s="221"/>
      <c r="L31" s="222"/>
      <c r="M31" s="222"/>
      <c r="N31" s="222"/>
      <c r="O31" s="222"/>
      <c r="P31" s="222"/>
      <c r="Q31" s="222"/>
      <c r="R31" s="223"/>
    </row>
    <row r="34" spans="2:14" x14ac:dyDescent="0.25">
      <c r="B34" s="858" t="s">
        <v>29158</v>
      </c>
      <c r="C34" s="858"/>
      <c r="D34" s="858"/>
      <c r="E34" s="859"/>
      <c r="K34" s="858" t="s">
        <v>29158</v>
      </c>
      <c r="L34" s="858"/>
      <c r="M34" s="858"/>
      <c r="N34" s="859"/>
    </row>
    <row r="59" spans="7:7" x14ac:dyDescent="0.25">
      <c r="G59" t="s">
        <v>167</v>
      </c>
    </row>
  </sheetData>
  <mergeCells count="28">
    <mergeCell ref="C16:D16"/>
    <mergeCell ref="C4:F4"/>
    <mergeCell ref="C11:D11"/>
    <mergeCell ref="C12:D12"/>
    <mergeCell ref="C13:D13"/>
    <mergeCell ref="C14:D14"/>
    <mergeCell ref="B28:D28"/>
    <mergeCell ref="B27:D27"/>
    <mergeCell ref="B34:E34"/>
    <mergeCell ref="C19:D19"/>
    <mergeCell ref="C20:D20"/>
    <mergeCell ref="C21:D21"/>
    <mergeCell ref="C22:D22"/>
    <mergeCell ref="C24:D24"/>
    <mergeCell ref="L4:O4"/>
    <mergeCell ref="L11:M11"/>
    <mergeCell ref="L12:M12"/>
    <mergeCell ref="L13:M13"/>
    <mergeCell ref="L14:M14"/>
    <mergeCell ref="L24:M24"/>
    <mergeCell ref="K27:M27"/>
    <mergeCell ref="K28:M28"/>
    <mergeCell ref="K34:N34"/>
    <mergeCell ref="L16:M16"/>
    <mergeCell ref="L19:M19"/>
    <mergeCell ref="L20:M20"/>
    <mergeCell ref="L21:M21"/>
    <mergeCell ref="L22:M22"/>
  </mergeCells>
  <conditionalFormatting sqref="E27:E28">
    <cfRule type="cellIs" dxfId="7" priority="4" operator="equal">
      <formula>FALSE</formula>
    </cfRule>
  </conditionalFormatting>
  <conditionalFormatting sqref="E30">
    <cfRule type="cellIs" dxfId="6" priority="3" operator="equal">
      <formula>"n is large enough"</formula>
    </cfRule>
  </conditionalFormatting>
  <conditionalFormatting sqref="N27:N28">
    <cfRule type="cellIs" dxfId="5" priority="2" operator="equal">
      <formula>FALSE</formula>
    </cfRule>
  </conditionalFormatting>
  <conditionalFormatting sqref="N30">
    <cfRule type="cellIs" dxfId="4" priority="1" operator="equal">
      <formula>"n is large enough"</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F850-3830-4907-AABF-4C4DBC40E63C}">
  <dimension ref="B1:E20"/>
  <sheetViews>
    <sheetView workbookViewId="0">
      <selection activeCell="E5" sqref="E5:E11"/>
    </sheetView>
  </sheetViews>
  <sheetFormatPr defaultColWidth="9.140625" defaultRowHeight="15" x14ac:dyDescent="0.25"/>
  <cols>
    <col min="1" max="1" width="9.140625" style="49"/>
    <col min="2" max="2" width="17" style="49" customWidth="1"/>
    <col min="3" max="3" width="35.7109375" style="49" customWidth="1"/>
    <col min="4" max="4" width="36.85546875" style="49" customWidth="1"/>
    <col min="5" max="5" width="11.85546875" style="49" customWidth="1"/>
    <col min="6" max="6" width="9.140625" style="49"/>
    <col min="7" max="7" width="13.28515625" style="49" customWidth="1"/>
    <col min="8" max="16384" width="9.140625" style="49"/>
  </cols>
  <sheetData>
    <row r="1" spans="2:5" x14ac:dyDescent="0.25">
      <c r="B1" s="142" t="s">
        <v>248</v>
      </c>
      <c r="C1" s="142">
        <v>126</v>
      </c>
    </row>
    <row r="2" spans="2:5" ht="15.75" thickBot="1" x14ac:dyDescent="0.3"/>
    <row r="3" spans="2:5" x14ac:dyDescent="0.25">
      <c r="B3" s="867" t="s">
        <v>245</v>
      </c>
      <c r="C3" s="143" t="s">
        <v>246</v>
      </c>
      <c r="D3" s="863" t="s">
        <v>250</v>
      </c>
      <c r="E3" s="864"/>
    </row>
    <row r="4" spans="2:5" ht="28.5" x14ac:dyDescent="0.25">
      <c r="B4" s="868"/>
      <c r="C4" s="144" t="s">
        <v>251</v>
      </c>
      <c r="D4" s="865" t="s">
        <v>250</v>
      </c>
      <c r="E4" s="866"/>
    </row>
    <row r="5" spans="2:5" x14ac:dyDescent="0.25">
      <c r="B5" s="868"/>
      <c r="C5" s="872" t="s">
        <v>252</v>
      </c>
      <c r="D5" s="144" t="s">
        <v>137</v>
      </c>
      <c r="E5" s="753">
        <f>AWMS!F92</f>
        <v>0.5207650531275525</v>
      </c>
    </row>
    <row r="6" spans="2:5" x14ac:dyDescent="0.25">
      <c r="B6" s="868"/>
      <c r="C6" s="872"/>
      <c r="D6" s="144" t="s">
        <v>25</v>
      </c>
      <c r="E6" s="753">
        <f>AWMS!F93</f>
        <v>0.18132265115072163</v>
      </c>
    </row>
    <row r="7" spans="2:5" x14ac:dyDescent="0.25">
      <c r="B7" s="868"/>
      <c r="C7" s="872"/>
      <c r="D7" s="144" t="s">
        <v>33327</v>
      </c>
      <c r="E7" s="753">
        <f>AWMS!F94</f>
        <v>3.0742112499999995E-2</v>
      </c>
    </row>
    <row r="8" spans="2:5" x14ac:dyDescent="0.25">
      <c r="B8" s="868"/>
      <c r="C8" s="872"/>
      <c r="D8" s="144" t="s">
        <v>134</v>
      </c>
      <c r="E8" s="753">
        <f>AWMS!F95</f>
        <v>3.3843715000000003E-2</v>
      </c>
    </row>
    <row r="9" spans="2:5" x14ac:dyDescent="0.25">
      <c r="B9" s="868"/>
      <c r="C9" s="872"/>
      <c r="D9" s="144" t="s">
        <v>18</v>
      </c>
      <c r="E9" s="753">
        <f>AWMS!F96</f>
        <v>6.8077081935483882E-3</v>
      </c>
    </row>
    <row r="10" spans="2:5" x14ac:dyDescent="0.25">
      <c r="B10" s="868"/>
      <c r="C10" s="872"/>
      <c r="D10" s="144" t="s">
        <v>145</v>
      </c>
      <c r="E10" s="753">
        <f>AWMS!F97</f>
        <v>1.1488970277777778E-2</v>
      </c>
    </row>
    <row r="11" spans="2:5" ht="26.45" customHeight="1" x14ac:dyDescent="0.25">
      <c r="B11" s="868"/>
      <c r="C11" s="872"/>
      <c r="D11" s="144" t="s">
        <v>59</v>
      </c>
      <c r="E11" s="753">
        <f>AWMS!F98</f>
        <v>8.4047809382716064E-4</v>
      </c>
    </row>
    <row r="12" spans="2:5" ht="42.75" x14ac:dyDescent="0.25">
      <c r="B12" s="868"/>
      <c r="C12" s="144" t="s">
        <v>247</v>
      </c>
      <c r="D12" s="865" t="s">
        <v>250</v>
      </c>
      <c r="E12" s="866"/>
    </row>
    <row r="13" spans="2:5" ht="100.5" thickBot="1" x14ac:dyDescent="0.3">
      <c r="B13" s="869"/>
      <c r="C13" s="145" t="s">
        <v>253</v>
      </c>
      <c r="D13" s="870" t="s">
        <v>249</v>
      </c>
      <c r="E13" s="871"/>
    </row>
    <row r="20" spans="4:4" x14ac:dyDescent="0.25">
      <c r="D20" s="146"/>
    </row>
  </sheetData>
  <mergeCells count="6">
    <mergeCell ref="D3:E3"/>
    <mergeCell ref="D12:E12"/>
    <mergeCell ref="B3:B13"/>
    <mergeCell ref="D13:E13"/>
    <mergeCell ref="C5:C11"/>
    <mergeCell ref="D4:E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CF95-E4A5-4298-9E36-9D9AFC60B5B4}">
  <dimension ref="A2:T98"/>
  <sheetViews>
    <sheetView zoomScale="81" zoomScaleNormal="81" workbookViewId="0">
      <pane ySplit="3" topLeftCell="A11" activePane="bottomLeft" state="frozen"/>
      <selection pane="bottomLeft" activeCell="C78" sqref="C78"/>
    </sheetView>
  </sheetViews>
  <sheetFormatPr defaultRowHeight="15" x14ac:dyDescent="0.25"/>
  <cols>
    <col min="1" max="1" width="9.140625" style="49"/>
    <col min="2" max="2" width="20.42578125" customWidth="1"/>
    <col min="3" max="3" width="17.42578125" customWidth="1"/>
    <col min="4" max="4" width="10.28515625" customWidth="1"/>
    <col min="5" max="5" width="12" customWidth="1"/>
    <col min="6" max="6" width="11" customWidth="1"/>
    <col min="7" max="7" width="10" customWidth="1"/>
    <col min="8" max="8" width="7.7109375" customWidth="1"/>
    <col min="9" max="9" width="9" customWidth="1"/>
    <col min="10" max="10" width="9.140625" customWidth="1"/>
    <col min="11" max="11" width="12.7109375" customWidth="1"/>
    <col min="12" max="12" width="23.7109375" bestFit="1" customWidth="1"/>
    <col min="13" max="13" width="17" customWidth="1"/>
    <col min="14" max="14" width="22.85546875" customWidth="1"/>
    <col min="15" max="15" width="14.7109375" customWidth="1"/>
  </cols>
  <sheetData>
    <row r="2" spans="1:20" ht="30" x14ac:dyDescent="0.25">
      <c r="F2" s="82" t="s">
        <v>138</v>
      </c>
      <c r="G2" s="82" t="s">
        <v>139</v>
      </c>
      <c r="H2" s="82" t="s">
        <v>140</v>
      </c>
      <c r="I2" s="82" t="s">
        <v>141</v>
      </c>
      <c r="J2" s="82" t="s">
        <v>142</v>
      </c>
      <c r="K2" s="82" t="s">
        <v>166</v>
      </c>
      <c r="L2" s="82" t="s">
        <v>143</v>
      </c>
      <c r="M2" s="82" t="s">
        <v>256</v>
      </c>
      <c r="N2" s="82" t="s">
        <v>146</v>
      </c>
      <c r="O2" s="19"/>
    </row>
    <row r="3" spans="1:20" x14ac:dyDescent="0.25">
      <c r="C3" s="21" t="s">
        <v>153</v>
      </c>
      <c r="D3" s="21"/>
      <c r="E3" s="21"/>
      <c r="F3" s="79">
        <v>0.76</v>
      </c>
      <c r="G3" s="79">
        <v>0.59</v>
      </c>
      <c r="H3" s="79">
        <v>0.05</v>
      </c>
      <c r="I3" s="80">
        <v>0.02</v>
      </c>
      <c r="J3" s="80">
        <v>0.01</v>
      </c>
      <c r="K3" s="80">
        <v>4.7000000000000002E-3</v>
      </c>
      <c r="L3" s="79">
        <v>0.1</v>
      </c>
      <c r="M3" s="81">
        <v>2.5000000000000001E-2</v>
      </c>
      <c r="N3" s="79">
        <v>0.01</v>
      </c>
      <c r="O3" s="20" t="s">
        <v>155</v>
      </c>
      <c r="T3" t="s">
        <v>149</v>
      </c>
    </row>
    <row r="4" spans="1:20" x14ac:dyDescent="0.25">
      <c r="T4" s="20" t="s">
        <v>148</v>
      </c>
    </row>
    <row r="5" spans="1:20" ht="15.75" thickBot="1" x14ac:dyDescent="0.3">
      <c r="I5" t="s">
        <v>151</v>
      </c>
    </row>
    <row r="6" spans="1:20" x14ac:dyDescent="0.25">
      <c r="A6" s="470" t="s">
        <v>33323</v>
      </c>
      <c r="B6" s="24"/>
      <c r="C6" s="24"/>
      <c r="D6" s="24"/>
      <c r="E6" s="471" t="s">
        <v>33324</v>
      </c>
      <c r="F6" s="24"/>
      <c r="G6" s="24"/>
      <c r="H6" s="24"/>
      <c r="I6" s="24"/>
      <c r="J6" s="24"/>
      <c r="K6" s="25"/>
    </row>
    <row r="7" spans="1:20" ht="31.5" x14ac:dyDescent="0.25">
      <c r="A7" s="458"/>
      <c r="B7" s="31" t="s">
        <v>33274</v>
      </c>
      <c r="D7" s="467" t="s">
        <v>137</v>
      </c>
      <c r="E7" s="467" t="s">
        <v>25</v>
      </c>
      <c r="F7" s="467" t="s">
        <v>134</v>
      </c>
      <c r="G7" s="467" t="s">
        <v>144</v>
      </c>
      <c r="H7" s="467" t="s">
        <v>33271</v>
      </c>
      <c r="I7" s="467" t="s">
        <v>33272</v>
      </c>
      <c r="J7" s="467" t="s">
        <v>33273</v>
      </c>
      <c r="K7" s="29"/>
    </row>
    <row r="8" spans="1:20" x14ac:dyDescent="0.25">
      <c r="A8" s="458"/>
      <c r="C8" t="s">
        <v>138</v>
      </c>
      <c r="D8" s="28">
        <v>0</v>
      </c>
      <c r="E8" s="28">
        <v>0</v>
      </c>
      <c r="F8" s="28">
        <v>0</v>
      </c>
      <c r="G8" s="28">
        <v>0</v>
      </c>
      <c r="H8" s="28">
        <v>0</v>
      </c>
      <c r="I8" s="28">
        <v>0</v>
      </c>
      <c r="J8" s="28">
        <v>0</v>
      </c>
      <c r="K8" s="29"/>
    </row>
    <row r="9" spans="1:20" x14ac:dyDescent="0.25">
      <c r="A9" s="458"/>
      <c r="C9" t="s">
        <v>33264</v>
      </c>
      <c r="D9" s="28">
        <v>0.15230769230769231</v>
      </c>
      <c r="E9" s="28">
        <v>7.9365079365079361E-3</v>
      </c>
      <c r="F9" s="28">
        <v>0</v>
      </c>
      <c r="G9" s="28">
        <v>0</v>
      </c>
      <c r="H9" s="28">
        <v>0</v>
      </c>
      <c r="I9" s="28">
        <v>0</v>
      </c>
      <c r="J9" s="28">
        <v>0</v>
      </c>
      <c r="K9" s="29"/>
    </row>
    <row r="10" spans="1:20" x14ac:dyDescent="0.25">
      <c r="A10" s="458"/>
      <c r="C10" t="s">
        <v>26</v>
      </c>
      <c r="D10" s="28">
        <v>0.40076923076923082</v>
      </c>
      <c r="E10" s="28">
        <v>0.44444444444444442</v>
      </c>
      <c r="F10" s="28">
        <v>0.5</v>
      </c>
      <c r="G10" s="28">
        <v>0.43</v>
      </c>
      <c r="H10" s="28">
        <v>0.41875000000000001</v>
      </c>
      <c r="I10" s="28">
        <v>0.3125</v>
      </c>
      <c r="J10" s="28">
        <v>0.26923076923076922</v>
      </c>
      <c r="K10" s="29"/>
    </row>
    <row r="11" spans="1:20" x14ac:dyDescent="0.25">
      <c r="A11" s="458"/>
      <c r="C11" t="s">
        <v>33265</v>
      </c>
      <c r="D11" s="28">
        <v>5.6923076923076923E-2</v>
      </c>
      <c r="E11" s="28">
        <v>1.1904761904761904E-2</v>
      </c>
      <c r="F11" s="28">
        <v>0</v>
      </c>
      <c r="G11" s="28">
        <v>0</v>
      </c>
      <c r="H11" s="28">
        <v>0</v>
      </c>
      <c r="I11" s="28">
        <v>0</v>
      </c>
      <c r="J11" s="28">
        <v>0</v>
      </c>
      <c r="K11" s="29"/>
    </row>
    <row r="12" spans="1:20" x14ac:dyDescent="0.25">
      <c r="A12" s="458"/>
      <c r="C12" t="s">
        <v>33266</v>
      </c>
      <c r="D12" s="28">
        <v>0.2023076923076923</v>
      </c>
      <c r="E12" s="28">
        <v>0.38968253968253969</v>
      </c>
      <c r="F12" s="28">
        <v>0.15</v>
      </c>
      <c r="G12" s="28">
        <v>0.37</v>
      </c>
      <c r="H12" s="28">
        <v>0.45624999999999999</v>
      </c>
      <c r="I12" s="28">
        <v>0.6875</v>
      </c>
      <c r="J12" s="28">
        <v>0.5461538461538461</v>
      </c>
      <c r="K12" s="29"/>
    </row>
    <row r="13" spans="1:20" x14ac:dyDescent="0.25">
      <c r="A13" s="458"/>
      <c r="C13" t="s">
        <v>33267</v>
      </c>
      <c r="D13" s="28">
        <v>9.5384615384615387E-2</v>
      </c>
      <c r="E13" s="28">
        <v>7.7777777777777779E-2</v>
      </c>
      <c r="F13" s="28">
        <v>0.35</v>
      </c>
      <c r="G13" s="28">
        <v>0.2</v>
      </c>
      <c r="H13" s="28">
        <v>0.125</v>
      </c>
      <c r="I13" s="28">
        <v>0</v>
      </c>
      <c r="J13" s="28">
        <v>0.14615384615384616</v>
      </c>
      <c r="K13" s="29"/>
    </row>
    <row r="14" spans="1:20" x14ac:dyDescent="0.25">
      <c r="A14" s="458"/>
      <c r="C14" t="s">
        <v>33268</v>
      </c>
      <c r="D14" s="28">
        <v>6.1538461538461542E-2</v>
      </c>
      <c r="E14" s="28">
        <v>5.2380952380952382E-2</v>
      </c>
      <c r="F14" s="28">
        <v>0</v>
      </c>
      <c r="G14" s="28">
        <v>0</v>
      </c>
      <c r="H14" s="28">
        <v>0</v>
      </c>
      <c r="I14" s="28">
        <v>0</v>
      </c>
      <c r="J14" s="28">
        <v>0</v>
      </c>
      <c r="K14" s="29"/>
    </row>
    <row r="15" spans="1:20" x14ac:dyDescent="0.25">
      <c r="A15" s="458"/>
      <c r="C15" t="s">
        <v>33269</v>
      </c>
      <c r="D15" s="28">
        <v>0</v>
      </c>
      <c r="E15" s="28">
        <v>0</v>
      </c>
      <c r="F15" s="28">
        <v>0</v>
      </c>
      <c r="G15" s="28">
        <v>0</v>
      </c>
      <c r="H15" s="28">
        <v>0</v>
      </c>
      <c r="I15" s="28">
        <v>0</v>
      </c>
      <c r="J15" s="28">
        <v>0</v>
      </c>
      <c r="K15" s="29"/>
    </row>
    <row r="16" spans="1:20" x14ac:dyDescent="0.25">
      <c r="A16" s="458"/>
      <c r="C16" t="s">
        <v>33270</v>
      </c>
      <c r="D16" s="28">
        <v>1.5384615384615385E-2</v>
      </c>
      <c r="E16" s="28">
        <v>1.5873015873015872E-2</v>
      </c>
      <c r="F16" s="28">
        <v>0</v>
      </c>
      <c r="G16" s="28">
        <v>0</v>
      </c>
      <c r="H16" s="28">
        <v>0</v>
      </c>
      <c r="I16" s="28">
        <v>0</v>
      </c>
      <c r="J16" s="28">
        <v>0</v>
      </c>
      <c r="K16" s="29"/>
    </row>
    <row r="17" spans="1:11" x14ac:dyDescent="0.25">
      <c r="A17" s="458"/>
      <c r="C17" t="s">
        <v>13</v>
      </c>
      <c r="D17" s="28">
        <v>1.5384615384615385E-2</v>
      </c>
      <c r="E17" s="28">
        <v>0</v>
      </c>
      <c r="F17" s="28">
        <v>0</v>
      </c>
      <c r="G17" s="28">
        <v>0</v>
      </c>
      <c r="H17" s="28">
        <v>0</v>
      </c>
      <c r="I17" s="28">
        <v>0</v>
      </c>
      <c r="J17" s="28">
        <v>3.8461538461538464E-2</v>
      </c>
      <c r="K17" s="29"/>
    </row>
    <row r="18" spans="1:11" x14ac:dyDescent="0.25">
      <c r="A18" s="458"/>
      <c r="D18" s="28"/>
      <c r="E18" s="28"/>
      <c r="F18" s="28"/>
      <c r="G18" s="28"/>
      <c r="H18" s="28"/>
      <c r="I18" s="28"/>
      <c r="J18" s="28"/>
      <c r="K18" s="29"/>
    </row>
    <row r="19" spans="1:11" x14ac:dyDescent="0.25">
      <c r="A19" s="458"/>
      <c r="B19" s="31" t="s">
        <v>33275</v>
      </c>
      <c r="K19" s="29"/>
    </row>
    <row r="20" spans="1:11" x14ac:dyDescent="0.25">
      <c r="A20" s="458"/>
      <c r="C20" t="s">
        <v>138</v>
      </c>
      <c r="D20" s="28">
        <v>0</v>
      </c>
      <c r="E20" s="28">
        <v>0</v>
      </c>
      <c r="F20" s="28">
        <v>0</v>
      </c>
      <c r="G20" s="28">
        <v>0</v>
      </c>
      <c r="H20" s="28">
        <v>0</v>
      </c>
      <c r="I20" s="28">
        <v>0</v>
      </c>
      <c r="J20" s="28">
        <v>0</v>
      </c>
      <c r="K20" s="29"/>
    </row>
    <row r="21" spans="1:11" x14ac:dyDescent="0.25">
      <c r="A21" s="458"/>
      <c r="C21" t="s">
        <v>33264</v>
      </c>
      <c r="D21" s="28">
        <v>0.26893939393939392</v>
      </c>
      <c r="E21" s="28">
        <v>0.18387096774193548</v>
      </c>
      <c r="F21" s="28">
        <v>0.15</v>
      </c>
      <c r="G21" s="28">
        <v>7.0000000000000007E-2</v>
      </c>
      <c r="H21" s="28">
        <v>7.4193548387096769E-2</v>
      </c>
      <c r="I21" s="28">
        <v>8.3333333333333343E-2</v>
      </c>
      <c r="J21" s="28">
        <v>0</v>
      </c>
      <c r="K21" s="29"/>
    </row>
    <row r="22" spans="1:11" x14ac:dyDescent="0.25">
      <c r="A22" s="458"/>
      <c r="C22" t="s">
        <v>26</v>
      </c>
      <c r="D22" s="28">
        <v>0.34924242424242424</v>
      </c>
      <c r="E22" s="28">
        <v>0.44112903225806449</v>
      </c>
      <c r="F22" s="28">
        <v>0.8</v>
      </c>
      <c r="G22" s="28">
        <v>0.44</v>
      </c>
      <c r="H22" s="28">
        <v>0.48709677419354841</v>
      </c>
      <c r="I22" s="28">
        <v>0.625</v>
      </c>
      <c r="J22" s="28">
        <v>0.68518518518518523</v>
      </c>
      <c r="K22" s="29"/>
    </row>
    <row r="23" spans="1:11" x14ac:dyDescent="0.25">
      <c r="A23" s="458"/>
      <c r="C23" t="s">
        <v>33265</v>
      </c>
      <c r="D23" s="28">
        <v>5.6060606060606061E-2</v>
      </c>
      <c r="E23" s="28">
        <v>2.7419354838709675E-2</v>
      </c>
      <c r="F23" s="28">
        <v>0</v>
      </c>
      <c r="G23" s="28">
        <v>0</v>
      </c>
      <c r="H23" s="28">
        <v>0</v>
      </c>
      <c r="I23" s="28">
        <v>0</v>
      </c>
      <c r="J23" s="28">
        <v>0</v>
      </c>
      <c r="K23" s="29"/>
    </row>
    <row r="24" spans="1:11" x14ac:dyDescent="0.25">
      <c r="A24" s="458"/>
      <c r="C24" t="s">
        <v>33266</v>
      </c>
      <c r="D24" s="28">
        <v>0.12272727272727274</v>
      </c>
      <c r="E24" s="28">
        <v>0.22177419354838709</v>
      </c>
      <c r="F24" s="28">
        <v>0.05</v>
      </c>
      <c r="G24" s="28">
        <v>0.28999999999999998</v>
      </c>
      <c r="H24" s="28">
        <v>0.29354838709677422</v>
      </c>
      <c r="I24" s="28">
        <v>0.20833333333333331</v>
      </c>
      <c r="J24" s="28">
        <v>5.5555555555555552E-2</v>
      </c>
      <c r="K24" s="29"/>
    </row>
    <row r="25" spans="1:11" x14ac:dyDescent="0.25">
      <c r="A25" s="458"/>
      <c r="C25" t="s">
        <v>33267</v>
      </c>
      <c r="D25" s="28">
        <v>0.13333333333333333</v>
      </c>
      <c r="E25" s="28">
        <v>3.7096774193548385E-2</v>
      </c>
      <c r="F25" s="28">
        <v>0</v>
      </c>
      <c r="G25" s="28">
        <v>0.2</v>
      </c>
      <c r="H25" s="28">
        <v>0.14516129032258063</v>
      </c>
      <c r="I25" s="28">
        <v>8.3333333333333343E-2</v>
      </c>
      <c r="J25" s="28">
        <v>9.2592592592592601E-2</v>
      </c>
      <c r="K25" s="29"/>
    </row>
    <row r="26" spans="1:11" x14ac:dyDescent="0.25">
      <c r="A26" s="458"/>
      <c r="C26" t="s">
        <v>33268</v>
      </c>
      <c r="D26" s="28">
        <v>5.4545454545454543E-2</v>
      </c>
      <c r="E26" s="28">
        <v>7.2580645161290314E-2</v>
      </c>
      <c r="F26" s="28">
        <v>0</v>
      </c>
      <c r="G26" s="28">
        <v>0</v>
      </c>
      <c r="H26" s="28">
        <v>0</v>
      </c>
      <c r="I26" s="28">
        <v>0</v>
      </c>
      <c r="J26" s="28">
        <v>0</v>
      </c>
      <c r="K26" s="29"/>
    </row>
    <row r="27" spans="1:11" x14ac:dyDescent="0.25">
      <c r="A27" s="458"/>
      <c r="C27" t="s">
        <v>33269</v>
      </c>
      <c r="D27" s="28">
        <v>0</v>
      </c>
      <c r="E27" s="28">
        <v>0</v>
      </c>
      <c r="F27" s="28">
        <v>0</v>
      </c>
      <c r="G27" s="28">
        <v>0</v>
      </c>
      <c r="H27" s="28">
        <v>0</v>
      </c>
      <c r="I27" s="28">
        <v>0</v>
      </c>
      <c r="J27" s="28">
        <v>0</v>
      </c>
      <c r="K27" s="29"/>
    </row>
    <row r="28" spans="1:11" x14ac:dyDescent="0.25">
      <c r="A28" s="458"/>
      <c r="C28" t="s">
        <v>33270</v>
      </c>
      <c r="D28" s="28">
        <v>0</v>
      </c>
      <c r="E28" s="28">
        <v>1.6129032258064516E-2</v>
      </c>
      <c r="F28" s="28">
        <v>0</v>
      </c>
      <c r="G28" s="28">
        <v>0</v>
      </c>
      <c r="H28" s="28">
        <v>0</v>
      </c>
      <c r="I28" s="28">
        <v>0</v>
      </c>
      <c r="J28" s="28">
        <v>0.12962962962962965</v>
      </c>
      <c r="K28" s="29"/>
    </row>
    <row r="29" spans="1:11" x14ac:dyDescent="0.25">
      <c r="A29" s="458"/>
      <c r="C29" t="s">
        <v>13</v>
      </c>
      <c r="D29" s="28">
        <v>1.5151515151515152E-2</v>
      </c>
      <c r="E29" s="28">
        <v>0</v>
      </c>
      <c r="F29" s="28">
        <v>0</v>
      </c>
      <c r="G29" s="28">
        <v>0</v>
      </c>
      <c r="H29" s="28">
        <v>0</v>
      </c>
      <c r="I29" s="28">
        <v>0</v>
      </c>
      <c r="J29" s="28">
        <v>3.7037037037037035E-2</v>
      </c>
      <c r="K29" s="29"/>
    </row>
    <row r="30" spans="1:11" x14ac:dyDescent="0.25">
      <c r="A30" s="472"/>
      <c r="B30" s="21"/>
      <c r="C30" s="21"/>
      <c r="D30" s="468"/>
      <c r="E30" s="468"/>
      <c r="F30" s="468"/>
      <c r="G30" s="468"/>
      <c r="H30" s="468"/>
      <c r="I30" s="468"/>
      <c r="J30" s="468"/>
      <c r="K30" s="473"/>
    </row>
    <row r="31" spans="1:11" x14ac:dyDescent="0.25">
      <c r="A31" s="474"/>
      <c r="B31" s="423"/>
      <c r="C31" s="423"/>
      <c r="D31" s="423"/>
      <c r="E31" s="423"/>
      <c r="F31" s="423"/>
      <c r="G31" s="423"/>
      <c r="H31" s="423"/>
      <c r="I31" s="423"/>
      <c r="J31" s="423"/>
      <c r="K31" s="475"/>
    </row>
    <row r="32" spans="1:11" x14ac:dyDescent="0.25">
      <c r="A32" s="458"/>
      <c r="C32" t="s">
        <v>150</v>
      </c>
      <c r="E32">
        <v>5</v>
      </c>
      <c r="K32" s="29"/>
    </row>
    <row r="33" spans="1:11" x14ac:dyDescent="0.25">
      <c r="A33" s="458"/>
      <c r="C33" t="s">
        <v>152</v>
      </c>
      <c r="E33">
        <f>12-E32</f>
        <v>7</v>
      </c>
      <c r="K33" s="29"/>
    </row>
    <row r="34" spans="1:11" x14ac:dyDescent="0.25">
      <c r="A34" s="458"/>
      <c r="K34" s="29"/>
    </row>
    <row r="35" spans="1:11" x14ac:dyDescent="0.25">
      <c r="A35" s="458"/>
      <c r="C35" t="s">
        <v>154</v>
      </c>
      <c r="E35">
        <v>22.9</v>
      </c>
      <c r="K35" s="29"/>
    </row>
    <row r="36" spans="1:11" x14ac:dyDescent="0.25">
      <c r="A36" s="472"/>
      <c r="B36" s="21"/>
      <c r="C36" s="469" t="s">
        <v>147</v>
      </c>
      <c r="D36" s="21"/>
      <c r="E36" s="21"/>
      <c r="F36" s="21"/>
      <c r="G36" s="21"/>
      <c r="H36" s="21"/>
      <c r="I36" s="21"/>
      <c r="J36" s="21"/>
      <c r="K36" s="473"/>
    </row>
    <row r="37" spans="1:11" x14ac:dyDescent="0.25">
      <c r="A37" s="458"/>
      <c r="K37" s="29"/>
    </row>
    <row r="38" spans="1:11" ht="30" x14ac:dyDescent="0.25">
      <c r="A38" s="458"/>
      <c r="B38" s="31" t="s">
        <v>33325</v>
      </c>
      <c r="D38" s="82" t="str">
        <f>D7</f>
        <v>Dairy cow</v>
      </c>
      <c r="E38" s="82" t="str">
        <f t="shared" ref="E38:J38" si="0">E7</f>
        <v>Other cattle</v>
      </c>
      <c r="F38" s="82" t="str">
        <f t="shared" si="0"/>
        <v>Market swine</v>
      </c>
      <c r="G38" s="82" t="str">
        <f t="shared" si="0"/>
        <v>Breeding swine</v>
      </c>
      <c r="H38" s="82" t="str">
        <f t="shared" si="0"/>
        <v>goat</v>
      </c>
      <c r="I38" s="82" t="str">
        <f t="shared" si="0"/>
        <v>sheep</v>
      </c>
      <c r="J38" s="82" t="str">
        <f t="shared" si="0"/>
        <v>poutlry</v>
      </c>
      <c r="K38" s="29"/>
    </row>
    <row r="39" spans="1:11" x14ac:dyDescent="0.25">
      <c r="A39" s="458"/>
      <c r="C39" t="str">
        <f>C20</f>
        <v>Anaerobic lagoon</v>
      </c>
      <c r="D39" s="28">
        <f>(D8*$E$33+D20*$E$32)/12</f>
        <v>0</v>
      </c>
      <c r="E39" s="28">
        <f t="shared" ref="E39:J39" si="1">(E8*$E$33+E20*$E$32)/12</f>
        <v>0</v>
      </c>
      <c r="F39" s="28">
        <f t="shared" si="1"/>
        <v>0</v>
      </c>
      <c r="G39" s="28">
        <f t="shared" si="1"/>
        <v>0</v>
      </c>
      <c r="H39" s="28">
        <f t="shared" si="1"/>
        <v>0</v>
      </c>
      <c r="I39" s="28">
        <f t="shared" si="1"/>
        <v>0</v>
      </c>
      <c r="J39" s="28">
        <f t="shared" si="1"/>
        <v>0</v>
      </c>
      <c r="K39" s="29"/>
    </row>
    <row r="40" spans="1:11" x14ac:dyDescent="0.25">
      <c r="A40" s="458"/>
      <c r="C40" t="str">
        <f t="shared" ref="C40:C48" si="2">C21</f>
        <v>Liquid slurry</v>
      </c>
      <c r="D40" s="28">
        <f t="shared" ref="D40:J40" si="3">(D9*$E$33+D21*$E$32)/12</f>
        <v>0.20090423465423468</v>
      </c>
      <c r="E40" s="28">
        <f t="shared" si="3"/>
        <v>8.1242532855436075E-2</v>
      </c>
      <c r="F40" s="28">
        <f t="shared" si="3"/>
        <v>6.25E-2</v>
      </c>
      <c r="G40" s="28">
        <f t="shared" si="3"/>
        <v>2.9166666666666671E-2</v>
      </c>
      <c r="H40" s="28">
        <f t="shared" si="3"/>
        <v>3.0913978494623656E-2</v>
      </c>
      <c r="I40" s="28">
        <f t="shared" si="3"/>
        <v>3.4722222222222231E-2</v>
      </c>
      <c r="J40" s="28">
        <f t="shared" si="3"/>
        <v>0</v>
      </c>
      <c r="K40" s="29"/>
    </row>
    <row r="41" spans="1:11" x14ac:dyDescent="0.25">
      <c r="A41" s="458"/>
      <c r="C41" t="str">
        <f t="shared" si="2"/>
        <v>Solid storage</v>
      </c>
      <c r="D41" s="28">
        <f t="shared" ref="D41:J41" si="4">(D10*$E$33+D22*$E$32)/12</f>
        <v>0.37929972804972811</v>
      </c>
      <c r="E41" s="28">
        <f t="shared" si="4"/>
        <v>0.44306302270011938</v>
      </c>
      <c r="F41" s="28">
        <f t="shared" si="4"/>
        <v>0.625</v>
      </c>
      <c r="G41" s="28">
        <f t="shared" si="4"/>
        <v>0.43416666666666665</v>
      </c>
      <c r="H41" s="28">
        <f t="shared" si="4"/>
        <v>0.4472278225806452</v>
      </c>
      <c r="I41" s="28">
        <f t="shared" si="4"/>
        <v>0.44270833333333331</v>
      </c>
      <c r="J41" s="28">
        <f t="shared" si="4"/>
        <v>0.44254510921177587</v>
      </c>
      <c r="K41" s="29"/>
    </row>
    <row r="42" spans="1:11" x14ac:dyDescent="0.25">
      <c r="A42" s="458"/>
      <c r="C42" t="str">
        <f t="shared" si="2"/>
        <v>solid strorage bulking agent</v>
      </c>
      <c r="D42" s="28">
        <f t="shared" ref="D42:J42" si="5">(D11*$E$33+D23*$E$32)/12</f>
        <v>5.6563714063714056E-2</v>
      </c>
      <c r="E42" s="28">
        <f t="shared" si="5"/>
        <v>1.836917562724014E-2</v>
      </c>
      <c r="F42" s="28">
        <f t="shared" si="5"/>
        <v>0</v>
      </c>
      <c r="G42" s="28">
        <f t="shared" si="5"/>
        <v>0</v>
      </c>
      <c r="H42" s="28">
        <f t="shared" si="5"/>
        <v>0</v>
      </c>
      <c r="I42" s="28">
        <f t="shared" si="5"/>
        <v>0</v>
      </c>
      <c r="J42" s="28">
        <f t="shared" si="5"/>
        <v>0</v>
      </c>
      <c r="K42" s="29"/>
    </row>
    <row r="43" spans="1:11" x14ac:dyDescent="0.25">
      <c r="A43" s="458"/>
      <c r="C43" t="str">
        <f t="shared" si="2"/>
        <v>Dry Lot</v>
      </c>
      <c r="D43" s="28">
        <f t="shared" ref="D43:J43" si="6">(D12*$E$33+D24*$E$32)/12</f>
        <v>0.16914918414918415</v>
      </c>
      <c r="E43" s="28">
        <f t="shared" si="6"/>
        <v>0.31972072879330943</v>
      </c>
      <c r="F43" s="28">
        <f t="shared" si="6"/>
        <v>0.10833333333333334</v>
      </c>
      <c r="G43" s="28">
        <f t="shared" si="6"/>
        <v>0.33666666666666667</v>
      </c>
      <c r="H43" s="28">
        <f t="shared" si="6"/>
        <v>0.38845766129032261</v>
      </c>
      <c r="I43" s="28">
        <f t="shared" si="6"/>
        <v>0.48784722222222215</v>
      </c>
      <c r="J43" s="28">
        <f t="shared" si="6"/>
        <v>0.34173789173789171</v>
      </c>
      <c r="K43" s="29"/>
    </row>
    <row r="44" spans="1:11" x14ac:dyDescent="0.25">
      <c r="A44" s="458"/>
      <c r="C44" t="str">
        <f t="shared" si="2"/>
        <v>Daily spread</v>
      </c>
      <c r="D44" s="28">
        <f t="shared" ref="D44:J44" si="7">(D13*$E$33+D25*$E$32)/12</f>
        <v>0.1111965811965812</v>
      </c>
      <c r="E44" s="28">
        <f t="shared" si="7"/>
        <v>6.0827359617682208E-2</v>
      </c>
      <c r="F44" s="28">
        <f t="shared" si="7"/>
        <v>0.20416666666666664</v>
      </c>
      <c r="G44" s="28">
        <f t="shared" si="7"/>
        <v>0.20000000000000004</v>
      </c>
      <c r="H44" s="28">
        <f t="shared" si="7"/>
        <v>0.13340053763440859</v>
      </c>
      <c r="I44" s="28">
        <f t="shared" si="7"/>
        <v>3.4722222222222231E-2</v>
      </c>
      <c r="J44" s="28">
        <f t="shared" si="7"/>
        <v>0.12383665716999052</v>
      </c>
      <c r="K44" s="29"/>
    </row>
    <row r="45" spans="1:11" x14ac:dyDescent="0.25">
      <c r="A45" s="458"/>
      <c r="C45" t="str">
        <f t="shared" si="2"/>
        <v>composting</v>
      </c>
      <c r="D45" s="28">
        <f t="shared" ref="D45:J45" si="8">(D14*$E$33+D26*$E$32)/12</f>
        <v>5.8624708624708623E-2</v>
      </c>
      <c r="E45" s="28">
        <f t="shared" si="8"/>
        <v>6.079749103942652E-2</v>
      </c>
      <c r="F45" s="28">
        <f t="shared" si="8"/>
        <v>0</v>
      </c>
      <c r="G45" s="28">
        <f t="shared" si="8"/>
        <v>0</v>
      </c>
      <c r="H45" s="28">
        <f t="shared" si="8"/>
        <v>0</v>
      </c>
      <c r="I45" s="28">
        <f t="shared" si="8"/>
        <v>0</v>
      </c>
      <c r="J45" s="28">
        <f t="shared" si="8"/>
        <v>0</v>
      </c>
      <c r="K45" s="29"/>
    </row>
    <row r="46" spans="1:11" x14ac:dyDescent="0.25">
      <c r="A46" s="458"/>
      <c r="C46" t="str">
        <f t="shared" si="2"/>
        <v>Burned as fuel</v>
      </c>
      <c r="D46" s="28">
        <f t="shared" ref="D46:J46" si="9">(D15*$E$33+D27*$E$32)/12</f>
        <v>0</v>
      </c>
      <c r="E46" s="28">
        <f t="shared" si="9"/>
        <v>0</v>
      </c>
      <c r="F46" s="28">
        <f t="shared" si="9"/>
        <v>0</v>
      </c>
      <c r="G46" s="28">
        <f t="shared" si="9"/>
        <v>0</v>
      </c>
      <c r="H46" s="28">
        <f t="shared" si="9"/>
        <v>0</v>
      </c>
      <c r="I46" s="28">
        <f t="shared" si="9"/>
        <v>0</v>
      </c>
      <c r="J46" s="28">
        <f t="shared" si="9"/>
        <v>0</v>
      </c>
      <c r="K46" s="29"/>
    </row>
    <row r="47" spans="1:11" x14ac:dyDescent="0.25">
      <c r="A47" s="458"/>
      <c r="C47" t="str">
        <f t="shared" si="2"/>
        <v>sundrying</v>
      </c>
      <c r="D47" s="28">
        <f t="shared" ref="D47:J47" si="10">(D16*$E$33+D28*$E$32)/12</f>
        <v>8.9743589743589754E-3</v>
      </c>
      <c r="E47" s="28">
        <f t="shared" si="10"/>
        <v>1.5979689366786138E-2</v>
      </c>
      <c r="F47" s="28">
        <f t="shared" si="10"/>
        <v>0</v>
      </c>
      <c r="G47" s="28">
        <f t="shared" si="10"/>
        <v>0</v>
      </c>
      <c r="H47" s="28">
        <f t="shared" si="10"/>
        <v>0</v>
      </c>
      <c r="I47" s="28">
        <f t="shared" si="10"/>
        <v>0</v>
      </c>
      <c r="J47" s="28">
        <f t="shared" si="10"/>
        <v>5.4012345679012357E-2</v>
      </c>
      <c r="K47" s="29"/>
    </row>
    <row r="48" spans="1:11" x14ac:dyDescent="0.25">
      <c r="A48" s="458"/>
      <c r="C48" t="str">
        <f t="shared" si="2"/>
        <v>Other</v>
      </c>
      <c r="D48" s="28">
        <f t="shared" ref="D48:I48" si="11">(D17*$E$33+D29*$E$32)/12</f>
        <v>1.5287490287490288E-2</v>
      </c>
      <c r="E48" s="28">
        <f t="shared" si="11"/>
        <v>0</v>
      </c>
      <c r="F48" s="28">
        <f t="shared" si="11"/>
        <v>0</v>
      </c>
      <c r="G48" s="28">
        <f t="shared" si="11"/>
        <v>0</v>
      </c>
      <c r="H48" s="28">
        <f t="shared" si="11"/>
        <v>0</v>
      </c>
      <c r="I48" s="28">
        <f t="shared" si="11"/>
        <v>0</v>
      </c>
      <c r="J48">
        <v>0</v>
      </c>
      <c r="K48" s="29"/>
    </row>
    <row r="49" spans="1:12" x14ac:dyDescent="0.25">
      <c r="A49" s="458"/>
      <c r="C49" t="s">
        <v>36512</v>
      </c>
      <c r="D49" s="749" t="s">
        <v>4</v>
      </c>
      <c r="E49" s="749" t="s">
        <v>4</v>
      </c>
      <c r="F49" s="749" t="s">
        <v>4</v>
      </c>
      <c r="G49" s="749" t="s">
        <v>4</v>
      </c>
      <c r="H49" s="749" t="s">
        <v>4</v>
      </c>
      <c r="I49" s="749" t="s">
        <v>4</v>
      </c>
      <c r="J49" s="28">
        <f>(J17*$E$33+J29*$E$32)/12</f>
        <v>3.7867996201329537E-2</v>
      </c>
      <c r="K49" s="29"/>
    </row>
    <row r="50" spans="1:12" ht="15.75" thickBot="1" x14ac:dyDescent="0.3">
      <c r="A50" s="476"/>
      <c r="B50" s="32"/>
      <c r="C50" s="32"/>
      <c r="D50" s="477">
        <f>SUM(D39:D48)</f>
        <v>1</v>
      </c>
      <c r="E50" s="477">
        <f t="shared" ref="E50:I50" si="12">SUM(E39:E48)</f>
        <v>1</v>
      </c>
      <c r="F50" s="477">
        <f t="shared" si="12"/>
        <v>1</v>
      </c>
      <c r="G50" s="477">
        <f t="shared" si="12"/>
        <v>1</v>
      </c>
      <c r="H50" s="477">
        <f t="shared" si="12"/>
        <v>1</v>
      </c>
      <c r="I50" s="477">
        <f t="shared" si="12"/>
        <v>0.99999999999999989</v>
      </c>
      <c r="J50" s="477">
        <f>SUM(J39:J49)</f>
        <v>0.99999999999999989</v>
      </c>
      <c r="K50" s="33"/>
    </row>
    <row r="51" spans="1:12" x14ac:dyDescent="0.25">
      <c r="A51" s="478"/>
      <c r="B51" s="24"/>
      <c r="C51" s="24"/>
      <c r="D51" s="34"/>
      <c r="E51" s="34"/>
      <c r="F51" s="34"/>
      <c r="G51" s="34"/>
      <c r="H51" s="34"/>
      <c r="I51" s="34"/>
      <c r="J51" s="34"/>
      <c r="K51" s="25"/>
    </row>
    <row r="52" spans="1:12" x14ac:dyDescent="0.25">
      <c r="A52" s="479" t="s">
        <v>33276</v>
      </c>
      <c r="D52" s="480"/>
      <c r="E52" s="480"/>
      <c r="F52" s="480"/>
      <c r="G52" s="480"/>
      <c r="H52" s="480"/>
      <c r="I52" s="480"/>
      <c r="J52" s="480"/>
      <c r="K52" s="29"/>
    </row>
    <row r="53" spans="1:12" ht="31.5" x14ac:dyDescent="0.25">
      <c r="A53" s="458"/>
      <c r="C53" s="467" t="s">
        <v>137</v>
      </c>
      <c r="D53" s="467" t="s">
        <v>25</v>
      </c>
      <c r="E53" s="467" t="s">
        <v>134</v>
      </c>
      <c r="F53" s="467" t="s">
        <v>144</v>
      </c>
      <c r="G53" s="467" t="s">
        <v>33271</v>
      </c>
      <c r="H53" s="467" t="s">
        <v>33272</v>
      </c>
      <c r="I53" s="467" t="s">
        <v>33273</v>
      </c>
      <c r="K53" s="29"/>
      <c r="L53" s="752" t="s">
        <v>36513</v>
      </c>
    </row>
    <row r="54" spans="1:12" x14ac:dyDescent="0.25">
      <c r="A54" s="458"/>
      <c r="B54" t="s">
        <v>33318</v>
      </c>
      <c r="C54" s="481">
        <v>3.8125</v>
      </c>
      <c r="D54" s="481">
        <v>1.5</v>
      </c>
      <c r="E54" s="481">
        <v>1</v>
      </c>
      <c r="F54" s="481">
        <v>6</v>
      </c>
      <c r="G54" s="481">
        <v>1</v>
      </c>
      <c r="H54" s="481">
        <v>1</v>
      </c>
      <c r="I54" s="481">
        <v>12</v>
      </c>
      <c r="K54" s="29"/>
    </row>
    <row r="55" spans="1:12" x14ac:dyDescent="0.25">
      <c r="A55" s="458"/>
      <c r="B55" t="s">
        <v>33319</v>
      </c>
      <c r="C55" s="481">
        <v>2.9285714285714284</v>
      </c>
      <c r="D55" s="481">
        <v>1.8421052631578947</v>
      </c>
      <c r="E55" s="481">
        <v>1</v>
      </c>
      <c r="F55" s="481">
        <v>6</v>
      </c>
      <c r="G55" s="481">
        <v>1.2857142857142858</v>
      </c>
      <c r="H55" s="481">
        <v>1</v>
      </c>
      <c r="I55" s="481">
        <v>6.5</v>
      </c>
      <c r="K55" s="29"/>
    </row>
    <row r="56" spans="1:12" x14ac:dyDescent="0.25">
      <c r="A56" s="458"/>
      <c r="B56" t="s">
        <v>135</v>
      </c>
      <c r="C56" s="481">
        <f>(C54*$E$33+C55*$E$32)/12</f>
        <v>3.4441964285714284</v>
      </c>
      <c r="D56" s="481">
        <f t="shared" ref="D56:I56" si="13">(D54*$E$33+D55*$E$32)/12</f>
        <v>1.6425438596491226</v>
      </c>
      <c r="E56" s="481">
        <v>1</v>
      </c>
      <c r="F56" s="481">
        <f t="shared" si="13"/>
        <v>6</v>
      </c>
      <c r="G56" s="481">
        <f t="shared" si="13"/>
        <v>1.1190476190476191</v>
      </c>
      <c r="H56" s="481">
        <v>1</v>
      </c>
      <c r="I56" s="481">
        <f t="shared" si="13"/>
        <v>9.7083333333333339</v>
      </c>
      <c r="K56" s="29"/>
    </row>
    <row r="57" spans="1:12" x14ac:dyDescent="0.25">
      <c r="A57" s="458"/>
      <c r="B57" t="s">
        <v>33320</v>
      </c>
      <c r="C57" t="b">
        <f>C56&gt;1</f>
        <v>1</v>
      </c>
      <c r="D57" t="b">
        <f t="shared" ref="D57:I57" si="14">D56&gt;1</f>
        <v>1</v>
      </c>
      <c r="E57" t="b">
        <f t="shared" si="14"/>
        <v>0</v>
      </c>
      <c r="F57" t="b">
        <f t="shared" si="14"/>
        <v>1</v>
      </c>
      <c r="G57" t="b">
        <f t="shared" si="14"/>
        <v>1</v>
      </c>
      <c r="H57" t="b">
        <f t="shared" si="14"/>
        <v>0</v>
      </c>
      <c r="I57" t="b">
        <f t="shared" si="14"/>
        <v>1</v>
      </c>
      <c r="J57" s="482" t="s">
        <v>33321</v>
      </c>
      <c r="K57" s="29"/>
    </row>
    <row r="58" spans="1:12" x14ac:dyDescent="0.25">
      <c r="A58" s="458"/>
      <c r="D58" s="480"/>
      <c r="E58" s="480"/>
      <c r="F58" s="480"/>
      <c r="G58" s="480"/>
      <c r="H58" s="480"/>
      <c r="I58" s="480"/>
      <c r="J58" s="480"/>
      <c r="K58" s="29"/>
    </row>
    <row r="59" spans="1:12" ht="11.25" customHeight="1" x14ac:dyDescent="0.25">
      <c r="A59" s="458"/>
      <c r="K59" s="29"/>
    </row>
    <row r="60" spans="1:12" x14ac:dyDescent="0.25">
      <c r="A60" s="458"/>
      <c r="B60" s="31"/>
      <c r="K60" s="29"/>
    </row>
    <row r="61" spans="1:12" x14ac:dyDescent="0.25">
      <c r="A61" s="458"/>
      <c r="C61" s="31" t="str">
        <f>D38</f>
        <v>Dairy cow</v>
      </c>
      <c r="D61" s="31" t="str">
        <f>E38</f>
        <v>Other cattle</v>
      </c>
      <c r="E61" s="31" t="str">
        <f>F38</f>
        <v>Market swine</v>
      </c>
      <c r="F61" s="31" t="str">
        <f>G38</f>
        <v>Breeding swine</v>
      </c>
      <c r="G61" s="31" t="s">
        <v>18</v>
      </c>
      <c r="H61" s="31" t="s">
        <v>33271</v>
      </c>
      <c r="I61" s="31" t="str">
        <f>J38</f>
        <v>poutlry</v>
      </c>
      <c r="K61" s="29"/>
    </row>
    <row r="62" spans="1:12" x14ac:dyDescent="0.25">
      <c r="A62" s="458"/>
      <c r="B62" s="483" t="s">
        <v>138</v>
      </c>
      <c r="C62" s="484">
        <v>66.2</v>
      </c>
      <c r="D62" s="484">
        <v>66.2</v>
      </c>
      <c r="E62" s="484">
        <v>147.69999999999999</v>
      </c>
      <c r="F62" s="484">
        <f>E62</f>
        <v>147.69999999999999</v>
      </c>
      <c r="G62" s="485">
        <f>$D$87*G77*0.67*1000</f>
        <v>66.195999999999998</v>
      </c>
      <c r="H62" s="485">
        <f>$D$87*H77*0.67*1000</f>
        <v>66.195999999999998</v>
      </c>
      <c r="I62" s="484">
        <v>198.6</v>
      </c>
      <c r="J62" s="486" t="s">
        <v>33277</v>
      </c>
      <c r="K62" s="487"/>
    </row>
    <row r="63" spans="1:12" x14ac:dyDescent="0.25">
      <c r="A63" s="458"/>
      <c r="B63" s="483" t="s">
        <v>139</v>
      </c>
      <c r="C63" s="484">
        <v>51.4</v>
      </c>
      <c r="D63" s="484">
        <v>51.4</v>
      </c>
      <c r="E63" s="484">
        <v>48.6</v>
      </c>
      <c r="F63" s="484">
        <v>114.6</v>
      </c>
      <c r="G63" s="485">
        <f>$D$88*G77*0.67*1000</f>
        <v>21.775000000000002</v>
      </c>
      <c r="H63" s="485">
        <f>$D$88*G77*0.67*1000</f>
        <v>21.775000000000002</v>
      </c>
      <c r="I63" s="484">
        <v>154.19999999999999</v>
      </c>
      <c r="J63" s="486" t="s">
        <v>33277</v>
      </c>
      <c r="K63" s="487"/>
    </row>
    <row r="64" spans="1:12" x14ac:dyDescent="0.25">
      <c r="A64" s="458"/>
      <c r="B64" s="483" t="s">
        <v>140</v>
      </c>
      <c r="C64" s="484">
        <v>4.4000000000000004</v>
      </c>
      <c r="D64" s="484">
        <v>4.4000000000000004</v>
      </c>
      <c r="E64" s="484">
        <v>9.6999999999999993</v>
      </c>
      <c r="F64" s="484">
        <f>E64</f>
        <v>9.6999999999999993</v>
      </c>
      <c r="G64" s="484">
        <v>4.4000000000000004</v>
      </c>
      <c r="H64" s="484">
        <v>4.4000000000000004</v>
      </c>
      <c r="I64" s="484">
        <v>13.1</v>
      </c>
      <c r="J64" s="483"/>
      <c r="K64" s="487"/>
    </row>
    <row r="65" spans="1:11" x14ac:dyDescent="0.25">
      <c r="A65" s="458"/>
      <c r="B65" s="483" t="str">
        <f>C23</f>
        <v>solid strorage bulking agent</v>
      </c>
      <c r="C65" s="484">
        <f>C64</f>
        <v>4.4000000000000004</v>
      </c>
      <c r="D65" s="484">
        <f t="shared" ref="D65:I65" si="15">D64</f>
        <v>4.4000000000000004</v>
      </c>
      <c r="E65" s="484">
        <f t="shared" si="15"/>
        <v>9.6999999999999993</v>
      </c>
      <c r="F65" s="484">
        <f t="shared" si="15"/>
        <v>9.6999999999999993</v>
      </c>
      <c r="G65" s="484">
        <f t="shared" si="15"/>
        <v>4.4000000000000004</v>
      </c>
      <c r="H65" s="484">
        <f t="shared" si="15"/>
        <v>4.4000000000000004</v>
      </c>
      <c r="I65" s="484">
        <f t="shared" si="15"/>
        <v>13.1</v>
      </c>
      <c r="J65" s="483"/>
      <c r="K65" s="487"/>
    </row>
    <row r="66" spans="1:11" x14ac:dyDescent="0.25">
      <c r="A66" s="458"/>
      <c r="B66" s="483" t="s">
        <v>141</v>
      </c>
      <c r="C66" s="484">
        <v>1.7</v>
      </c>
      <c r="D66" s="484">
        <v>1.7</v>
      </c>
      <c r="E66" s="484">
        <v>3.9</v>
      </c>
      <c r="F66" s="484">
        <f>E66</f>
        <v>3.9</v>
      </c>
      <c r="G66" s="484">
        <v>1.7</v>
      </c>
      <c r="H66" s="484">
        <v>1.7</v>
      </c>
      <c r="I66" s="484">
        <v>5.2</v>
      </c>
      <c r="J66" s="483"/>
      <c r="K66" s="487"/>
    </row>
    <row r="67" spans="1:11" x14ac:dyDescent="0.25">
      <c r="A67" s="458"/>
      <c r="B67" s="483" t="s">
        <v>142</v>
      </c>
      <c r="C67" s="488">
        <v>0.9</v>
      </c>
      <c r="D67" s="488">
        <v>0.9</v>
      </c>
      <c r="E67" s="484">
        <v>1.9</v>
      </c>
      <c r="F67" s="484">
        <f>E67</f>
        <v>1.9</v>
      </c>
      <c r="G67" s="485">
        <f>$D$86*G77*0.67*1000</f>
        <v>0.87100000000000011</v>
      </c>
      <c r="H67" s="485">
        <f>$D$86*H77*0.67*1000</f>
        <v>0.87100000000000011</v>
      </c>
      <c r="I67" s="485">
        <f t="shared" ref="I67" si="16">$D$86*I77*0.67*1000</f>
        <v>1.6080000000000001</v>
      </c>
      <c r="J67" s="486" t="s">
        <v>33277</v>
      </c>
      <c r="K67" s="487"/>
    </row>
    <row r="68" spans="1:11" x14ac:dyDescent="0.25">
      <c r="A68" s="458"/>
      <c r="B68" s="483" t="s">
        <v>166</v>
      </c>
      <c r="C68" s="485">
        <f>$D$83*C77*0.67*1000</f>
        <v>0.40937000000000007</v>
      </c>
      <c r="D68" s="485">
        <f t="shared" ref="D68:I68" si="17">$D$83*D77*0.67*1000</f>
        <v>0.40937000000000007</v>
      </c>
      <c r="E68" s="485">
        <f t="shared" si="17"/>
        <v>0.91321000000000008</v>
      </c>
      <c r="F68" s="485">
        <f t="shared" si="17"/>
        <v>0.91321000000000008</v>
      </c>
      <c r="G68" s="485">
        <f t="shared" si="17"/>
        <v>0.40937000000000007</v>
      </c>
      <c r="H68" s="485">
        <f t="shared" ref="H68" si="18">$D$83*H77*0.67*1000</f>
        <v>0.40937000000000007</v>
      </c>
      <c r="I68" s="485">
        <f t="shared" si="17"/>
        <v>0.7557600000000001</v>
      </c>
      <c r="J68" s="486" t="s">
        <v>33277</v>
      </c>
      <c r="K68" s="487"/>
    </row>
    <row r="69" spans="1:11" x14ac:dyDescent="0.25">
      <c r="A69" s="458"/>
      <c r="B69" s="483" t="s">
        <v>143</v>
      </c>
      <c r="C69" s="484">
        <v>8.6999999999999993</v>
      </c>
      <c r="D69" s="484">
        <v>8.6999999999999993</v>
      </c>
      <c r="E69" s="484">
        <v>19.399999999999999</v>
      </c>
      <c r="F69" s="484">
        <f>E69</f>
        <v>19.399999999999999</v>
      </c>
      <c r="G69" s="485">
        <f>D85*0.67*1000*G77</f>
        <v>8.7100000000000009</v>
      </c>
      <c r="H69" s="485">
        <f>E85*0.67*1000*H77</f>
        <v>0</v>
      </c>
      <c r="I69" s="484">
        <v>2.6</v>
      </c>
      <c r="J69" s="486" t="s">
        <v>33277</v>
      </c>
      <c r="K69" s="487"/>
    </row>
    <row r="70" spans="1:11" x14ac:dyDescent="0.25">
      <c r="A70" s="458"/>
      <c r="B70" s="483" t="s">
        <v>12</v>
      </c>
      <c r="C70" s="485">
        <f>$D$84*C77*0.67*1000</f>
        <v>2.1775000000000002</v>
      </c>
      <c r="D70" s="485">
        <f t="shared" ref="D70:I70" si="19">$D$84*D77*0.67*1000</f>
        <v>2.1775000000000002</v>
      </c>
      <c r="E70" s="485">
        <f t="shared" si="19"/>
        <v>4.8574999999999999</v>
      </c>
      <c r="F70" s="485">
        <f t="shared" si="19"/>
        <v>4.8574999999999999</v>
      </c>
      <c r="G70" s="485">
        <f t="shared" si="19"/>
        <v>2.1775000000000002</v>
      </c>
      <c r="H70" s="485">
        <f t="shared" ref="H70" si="20">$D$84*H77*0.67*1000</f>
        <v>2.1775000000000002</v>
      </c>
      <c r="I70" s="485">
        <f t="shared" si="19"/>
        <v>4.0200000000000005</v>
      </c>
      <c r="J70" s="485" t="s">
        <v>33278</v>
      </c>
      <c r="K70" s="487"/>
    </row>
    <row r="71" spans="1:11" x14ac:dyDescent="0.25">
      <c r="A71" s="458"/>
      <c r="B71" s="483" t="s">
        <v>146</v>
      </c>
      <c r="C71" s="485">
        <f>C67</f>
        <v>0.9</v>
      </c>
      <c r="D71" s="485">
        <f>D67</f>
        <v>0.9</v>
      </c>
      <c r="E71" s="485">
        <f>E67</f>
        <v>1.9</v>
      </c>
      <c r="F71" s="485">
        <f>F67</f>
        <v>1.9</v>
      </c>
      <c r="G71" s="485">
        <f>G68</f>
        <v>0.40937000000000007</v>
      </c>
      <c r="H71" s="485">
        <f>H68</f>
        <v>0.40937000000000007</v>
      </c>
      <c r="I71" s="484">
        <v>2.4</v>
      </c>
      <c r="J71" s="486" t="s">
        <v>33278</v>
      </c>
      <c r="K71" s="487"/>
    </row>
    <row r="72" spans="1:11" x14ac:dyDescent="0.25">
      <c r="A72" s="458"/>
      <c r="B72" s="483"/>
      <c r="C72" s="485"/>
      <c r="D72" s="485"/>
      <c r="E72" s="485"/>
      <c r="F72" s="485"/>
      <c r="G72" s="485"/>
      <c r="H72" s="485"/>
      <c r="I72" s="484">
        <v>2.4</v>
      </c>
      <c r="J72" s="750" t="str">
        <f>J71</f>
        <v>assumed to the the lowest emitting system</v>
      </c>
      <c r="K72" s="751"/>
    </row>
    <row r="73" spans="1:11" x14ac:dyDescent="0.25">
      <c r="A73" s="458"/>
      <c r="B73" s="489" t="s">
        <v>33279</v>
      </c>
      <c r="C73" s="489" t="s">
        <v>33280</v>
      </c>
      <c r="D73" s="483"/>
      <c r="E73" s="483"/>
      <c r="F73" s="483"/>
      <c r="G73" s="483"/>
      <c r="H73" s="483"/>
      <c r="I73" s="483"/>
      <c r="J73" s="483"/>
      <c r="K73" s="487"/>
    </row>
    <row r="74" spans="1:11" x14ac:dyDescent="0.25">
      <c r="A74" s="458"/>
      <c r="B74" s="486" t="s">
        <v>33281</v>
      </c>
      <c r="C74" s="486" t="s">
        <v>33282</v>
      </c>
      <c r="D74" s="486"/>
      <c r="E74" s="483"/>
      <c r="F74" s="483"/>
      <c r="G74" s="483"/>
      <c r="H74" s="483"/>
      <c r="I74" s="483"/>
      <c r="J74" s="483"/>
      <c r="K74" s="487"/>
    </row>
    <row r="75" spans="1:11" x14ac:dyDescent="0.25">
      <c r="A75" s="458"/>
      <c r="B75" s="483"/>
      <c r="C75" s="483"/>
      <c r="D75" s="483"/>
      <c r="E75" s="483"/>
      <c r="F75" s="483"/>
      <c r="G75" s="483"/>
      <c r="H75" s="483"/>
      <c r="I75" s="483"/>
      <c r="J75" s="483"/>
      <c r="K75" s="29"/>
    </row>
    <row r="76" spans="1:11" x14ac:dyDescent="0.25">
      <c r="A76" s="458"/>
      <c r="B76" s="483"/>
      <c r="C76" s="489" t="s">
        <v>137</v>
      </c>
      <c r="D76" s="489" t="s">
        <v>25</v>
      </c>
      <c r="E76" s="489" t="s">
        <v>33283</v>
      </c>
      <c r="F76" s="489"/>
      <c r="G76" s="489" t="s">
        <v>18</v>
      </c>
      <c r="H76" s="489" t="s">
        <v>145</v>
      </c>
      <c r="I76" s="489" t="s">
        <v>59</v>
      </c>
      <c r="J76" s="492" t="s">
        <v>99</v>
      </c>
      <c r="K76" s="29"/>
    </row>
    <row r="77" spans="1:11" x14ac:dyDescent="0.25">
      <c r="A77" s="458"/>
      <c r="B77" s="492" t="s">
        <v>33284</v>
      </c>
      <c r="C77" s="483">
        <v>0.13</v>
      </c>
      <c r="D77" s="483">
        <v>0.13</v>
      </c>
      <c r="E77" s="483">
        <v>0.28999999999999998</v>
      </c>
      <c r="F77" s="483">
        <v>0.28999999999999998</v>
      </c>
      <c r="G77" s="483">
        <v>0.13</v>
      </c>
      <c r="H77" s="483">
        <v>0.13</v>
      </c>
      <c r="I77" s="483">
        <v>0.24</v>
      </c>
      <c r="J77" s="483" t="s">
        <v>33285</v>
      </c>
      <c r="K77" s="29"/>
    </row>
    <row r="78" spans="1:11" ht="18.75" x14ac:dyDescent="0.3">
      <c r="A78" s="458"/>
      <c r="B78" s="492" t="s">
        <v>33286</v>
      </c>
      <c r="C78" s="493">
        <f>SUMPRODUCT(D39:D48,C62:C71)</f>
        <v>12.689206947552448</v>
      </c>
      <c r="D78" s="493">
        <f t="shared" ref="D78:H78" si="21">SUMPRODUCT(E39:E48,D62:D71)</f>
        <v>6.8641221665173235</v>
      </c>
      <c r="E78" s="493">
        <f t="shared" si="21"/>
        <v>9.9104166666666664</v>
      </c>
      <c r="F78" s="493">
        <f t="shared" si="21"/>
        <v>9.2469166666666673</v>
      </c>
      <c r="G78" s="493">
        <f t="shared" si="21"/>
        <v>3.4175241935483873</v>
      </c>
      <c r="H78" s="493">
        <f t="shared" si="21"/>
        <v>3.5635763888888889</v>
      </c>
      <c r="I78" s="493">
        <f>SUMPRODUCT(J39:J49,I62:I72)</f>
        <v>8.081520132953468</v>
      </c>
      <c r="J78" s="489" t="s">
        <v>33287</v>
      </c>
      <c r="K78" s="29"/>
    </row>
    <row r="79" spans="1:11" x14ac:dyDescent="0.25">
      <c r="A79" s="458"/>
      <c r="B79" s="483"/>
      <c r="C79" s="735">
        <f>C78/100</f>
        <v>0.12689206947552448</v>
      </c>
      <c r="D79" s="735">
        <f t="shared" ref="D79:I79" si="22">D78/100</f>
        <v>6.8641221665173238E-2</v>
      </c>
      <c r="E79" s="735">
        <f t="shared" si="22"/>
        <v>9.910416666666666E-2</v>
      </c>
      <c r="F79" s="735">
        <f t="shared" si="22"/>
        <v>9.2469166666666672E-2</v>
      </c>
      <c r="G79" s="735">
        <f t="shared" si="22"/>
        <v>3.4175241935483873E-2</v>
      </c>
      <c r="H79" s="735">
        <f t="shared" si="22"/>
        <v>3.5635763888888887E-2</v>
      </c>
      <c r="I79" s="735">
        <f t="shared" si="22"/>
        <v>8.081520132953468E-2</v>
      </c>
      <c r="J79" s="483"/>
      <c r="K79" s="29"/>
    </row>
    <row r="80" spans="1:11" x14ac:dyDescent="0.25">
      <c r="A80" s="458"/>
      <c r="B80" s="483"/>
      <c r="C80" s="483"/>
      <c r="D80" s="483"/>
      <c r="E80" s="483"/>
      <c r="F80" s="483"/>
      <c r="G80" s="483"/>
      <c r="H80" s="483"/>
      <c r="I80" s="483"/>
      <c r="J80" s="483"/>
      <c r="K80" s="29"/>
    </row>
    <row r="81" spans="1:11" x14ac:dyDescent="0.25">
      <c r="A81" s="458"/>
      <c r="B81" s="483"/>
      <c r="C81" s="483"/>
      <c r="D81" s="483"/>
      <c r="E81" s="483"/>
      <c r="F81" s="483"/>
      <c r="G81" s="483"/>
      <c r="H81" s="483"/>
      <c r="I81" s="483"/>
      <c r="J81" s="483"/>
      <c r="K81" s="29"/>
    </row>
    <row r="82" spans="1:11" x14ac:dyDescent="0.25">
      <c r="A82" s="458"/>
      <c r="B82" s="492" t="s">
        <v>33288</v>
      </c>
      <c r="C82" s="483" t="s">
        <v>33289</v>
      </c>
      <c r="D82" s="483" t="s">
        <v>33290</v>
      </c>
      <c r="E82" s="483"/>
      <c r="F82" s="483"/>
      <c r="G82" s="483"/>
      <c r="H82" s="483"/>
      <c r="I82" s="483"/>
      <c r="J82" s="483"/>
      <c r="K82" s="29"/>
    </row>
    <row r="83" spans="1:11" x14ac:dyDescent="0.25">
      <c r="A83" s="458"/>
      <c r="B83" s="483"/>
      <c r="C83" s="483" t="s">
        <v>33291</v>
      </c>
      <c r="D83" s="490">
        <v>4.7000000000000002E-3</v>
      </c>
      <c r="E83" s="483"/>
      <c r="F83" s="483"/>
      <c r="G83" s="483"/>
      <c r="H83" s="483"/>
      <c r="I83" s="483"/>
      <c r="J83" s="483"/>
      <c r="K83" s="29"/>
    </row>
    <row r="84" spans="1:11" x14ac:dyDescent="0.25">
      <c r="A84" s="458"/>
      <c r="B84" s="483"/>
      <c r="C84" s="483" t="s">
        <v>33268</v>
      </c>
      <c r="D84" s="490">
        <v>2.5000000000000001E-2</v>
      </c>
      <c r="E84" s="483" t="s">
        <v>33292</v>
      </c>
      <c r="F84" s="483"/>
      <c r="G84" s="483"/>
      <c r="H84" s="483"/>
      <c r="I84" s="483"/>
      <c r="J84" s="483"/>
      <c r="K84" s="29"/>
    </row>
    <row r="85" spans="1:11" x14ac:dyDescent="0.25">
      <c r="A85" s="458"/>
      <c r="B85" s="483"/>
      <c r="C85" s="483" t="s">
        <v>143</v>
      </c>
      <c r="D85" s="491">
        <v>0.1</v>
      </c>
      <c r="E85" s="483"/>
      <c r="F85" s="483"/>
      <c r="G85" s="483"/>
      <c r="H85" s="483"/>
      <c r="I85" s="483"/>
      <c r="J85" s="483"/>
      <c r="K85" s="29"/>
    </row>
    <row r="86" spans="1:11" x14ac:dyDescent="0.25">
      <c r="A86" s="458"/>
      <c r="B86" s="483"/>
      <c r="C86" s="483" t="s">
        <v>33267</v>
      </c>
      <c r="D86" s="491">
        <v>0.01</v>
      </c>
      <c r="E86" s="483"/>
      <c r="F86" s="483"/>
      <c r="G86" s="483"/>
      <c r="H86" s="483"/>
      <c r="I86" s="483"/>
      <c r="J86" s="483"/>
      <c r="K86" s="29"/>
    </row>
    <row r="87" spans="1:11" x14ac:dyDescent="0.25">
      <c r="A87" s="458"/>
      <c r="B87" s="483"/>
      <c r="C87" s="483" t="s">
        <v>138</v>
      </c>
      <c r="D87" s="491">
        <v>0.76</v>
      </c>
      <c r="E87" s="483"/>
      <c r="F87" s="483"/>
      <c r="G87" s="483"/>
      <c r="H87" s="483"/>
      <c r="I87" s="483"/>
      <c r="J87" s="483"/>
      <c r="K87" s="29"/>
    </row>
    <row r="88" spans="1:11" x14ac:dyDescent="0.25">
      <c r="A88" s="458"/>
      <c r="C88" s="492" t="s">
        <v>33293</v>
      </c>
      <c r="D88" s="480">
        <v>0.25</v>
      </c>
      <c r="E88" s="483" t="s">
        <v>33326</v>
      </c>
      <c r="F88" s="483"/>
      <c r="G88" s="483"/>
      <c r="H88" s="483"/>
      <c r="I88" s="483"/>
      <c r="J88" s="483"/>
      <c r="K88" s="29"/>
    </row>
    <row r="89" spans="1:11" ht="15.75" thickBot="1" x14ac:dyDescent="0.3">
      <c r="A89" s="476"/>
      <c r="B89" s="32"/>
      <c r="C89" s="32"/>
      <c r="D89" s="32"/>
      <c r="E89" s="32"/>
      <c r="F89" s="32"/>
      <c r="G89" s="32"/>
      <c r="H89" s="32"/>
      <c r="I89" s="32"/>
      <c r="J89" s="32"/>
      <c r="K89" s="33"/>
    </row>
    <row r="91" spans="1:11" ht="60" x14ac:dyDescent="0.25">
      <c r="C91" s="19" t="s">
        <v>228</v>
      </c>
      <c r="D91" s="19" t="s">
        <v>36487</v>
      </c>
      <c r="E91" s="19" t="s">
        <v>36488</v>
      </c>
      <c r="F91" s="19" t="s">
        <v>36485</v>
      </c>
    </row>
    <row r="92" spans="1:11" x14ac:dyDescent="0.25">
      <c r="C92" s="19" t="str">
        <f>C61</f>
        <v>Dairy cow</v>
      </c>
      <c r="D92" s="19">
        <f>VS!D10</f>
        <v>4.1040000000000001</v>
      </c>
      <c r="E92" s="736">
        <f>C79</f>
        <v>0.12689206947552448</v>
      </c>
      <c r="F92" s="737">
        <f>D92*E92</f>
        <v>0.5207650531275525</v>
      </c>
    </row>
    <row r="93" spans="1:11" x14ac:dyDescent="0.25">
      <c r="C93" s="19" t="str">
        <f>D61</f>
        <v>Other cattle</v>
      </c>
      <c r="D93" s="19">
        <f>VS!D16</f>
        <v>2.6415999999999999</v>
      </c>
      <c r="E93" s="736">
        <f>D79</f>
        <v>6.8641221665173238E-2</v>
      </c>
      <c r="F93" s="737">
        <f t="shared" ref="F93:F98" si="23">D93*E93</f>
        <v>0.18132265115072163</v>
      </c>
    </row>
    <row r="94" spans="1:11" x14ac:dyDescent="0.25">
      <c r="C94" s="19" t="str">
        <f>E61</f>
        <v>Market swine</v>
      </c>
      <c r="D94" s="19">
        <f>VS!D22</f>
        <v>0.31019999999999998</v>
      </c>
      <c r="E94" s="736">
        <f>E79</f>
        <v>9.910416666666666E-2</v>
      </c>
      <c r="F94" s="737">
        <f t="shared" si="23"/>
        <v>3.0742112499999995E-2</v>
      </c>
    </row>
    <row r="95" spans="1:11" x14ac:dyDescent="0.25">
      <c r="C95" s="19" t="str">
        <f>F61</f>
        <v>Breeding swine</v>
      </c>
      <c r="D95" s="19">
        <f>VS!D28</f>
        <v>0.36599999999999999</v>
      </c>
      <c r="E95" s="736">
        <f>F79</f>
        <v>9.2469166666666672E-2</v>
      </c>
      <c r="F95" s="737">
        <f t="shared" si="23"/>
        <v>3.3843715000000003E-2</v>
      </c>
    </row>
    <row r="96" spans="1:11" x14ac:dyDescent="0.25">
      <c r="C96" s="19" t="str">
        <f>G61</f>
        <v>Sheep</v>
      </c>
      <c r="D96" s="19">
        <f>VS!D34</f>
        <v>0.19920000000000002</v>
      </c>
      <c r="E96" s="736">
        <f>G79</f>
        <v>3.4175241935483873E-2</v>
      </c>
      <c r="F96" s="737">
        <f t="shared" si="23"/>
        <v>6.8077081935483882E-3</v>
      </c>
    </row>
    <row r="97" spans="3:6" x14ac:dyDescent="0.25">
      <c r="C97" s="19" t="str">
        <f>H61</f>
        <v>goat</v>
      </c>
      <c r="D97" s="19">
        <f>VS!D40</f>
        <v>0.32240000000000002</v>
      </c>
      <c r="E97" s="736">
        <f>H79</f>
        <v>3.5635763888888887E-2</v>
      </c>
      <c r="F97" s="737">
        <f t="shared" si="23"/>
        <v>1.1488970277777778E-2</v>
      </c>
    </row>
    <row r="98" spans="3:6" x14ac:dyDescent="0.25">
      <c r="C98" s="19" t="str">
        <f>I61</f>
        <v>poutlry</v>
      </c>
      <c r="D98" s="19">
        <f>VS!D46</f>
        <v>1.04E-2</v>
      </c>
      <c r="E98" s="736">
        <f>I79</f>
        <v>8.081520132953468E-2</v>
      </c>
      <c r="F98" s="737">
        <f t="shared" si="23"/>
        <v>8.4047809382716064E-4</v>
      </c>
    </row>
  </sheetData>
  <conditionalFormatting sqref="C57:I57">
    <cfRule type="cellIs" dxfId="3" priority="1" operator="equal">
      <formula>TRUE</formula>
    </cfRule>
    <cfRule type="cellIs" dxfId="2" priority="2" operator="equal">
      <formula>TRUE</formula>
    </cfRule>
  </conditionalFormatting>
  <hyperlinks>
    <hyperlink ref="T4" r:id="rId1" display="https://www.climatelinks.org/sites/default/files/asset/document/uganda_climate_vulnerability_profile_jan2013.pdf" xr:uid="{C993E975-3299-44C6-A34D-4A4F69F7B9C9}"/>
    <hyperlink ref="C36" r:id="rId2" display="https://climateknowledgeportal.worldbank.org/country/uganda/climate-data-historical" xr:uid="{EFD277F1-8A43-484A-9EE5-0EEB019312FB}"/>
    <hyperlink ref="O3" r:id="rId3" display="https://www.ipcc-nggip.iges.or.jp/public/2006gl/pdf/4_Volume4/V4_10_Ch10_Livestock.pdf" xr:uid="{CD55C0CD-1414-4C98-A1C1-4065C1A5A504}"/>
  </hyperlinks>
  <pageMargins left="0.7" right="0.7"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19F63-3383-4DB9-9CE7-E8733497BE86}">
  <dimension ref="A1:M71"/>
  <sheetViews>
    <sheetView topLeftCell="A3" workbookViewId="0">
      <selection activeCell="E44" sqref="E44"/>
    </sheetView>
  </sheetViews>
  <sheetFormatPr defaultRowHeight="15" x14ac:dyDescent="0.25"/>
  <cols>
    <col min="1" max="1" width="23.7109375" customWidth="1"/>
    <col min="2" max="2" width="21.85546875" customWidth="1"/>
    <col min="3" max="3" width="29.28515625" customWidth="1"/>
    <col min="4" max="4" width="14.85546875" customWidth="1"/>
    <col min="5" max="5" width="33.28515625" customWidth="1"/>
    <col min="6" max="6" width="14.28515625" customWidth="1"/>
  </cols>
  <sheetData>
    <row r="1" spans="1:7" ht="15.75" thickBot="1" x14ac:dyDescent="0.3"/>
    <row r="2" spans="1:7" x14ac:dyDescent="0.25">
      <c r="A2" s="5" t="s">
        <v>156</v>
      </c>
      <c r="B2" s="6" t="s">
        <v>95</v>
      </c>
      <c r="C2" s="7" t="s">
        <v>96</v>
      </c>
      <c r="D2" s="8" t="s">
        <v>97</v>
      </c>
      <c r="E2" s="8" t="s">
        <v>98</v>
      </c>
      <c r="F2" s="9" t="s">
        <v>99</v>
      </c>
      <c r="G2" s="72"/>
    </row>
    <row r="3" spans="1:7" x14ac:dyDescent="0.25">
      <c r="A3" s="10"/>
      <c r="B3" s="36"/>
      <c r="C3" s="37"/>
      <c r="D3" s="38"/>
      <c r="E3" s="38"/>
      <c r="F3" s="39"/>
      <c r="G3" s="73"/>
    </row>
    <row r="4" spans="1:7" x14ac:dyDescent="0.25">
      <c r="A4" s="76"/>
      <c r="B4" s="86"/>
      <c r="C4" s="86"/>
      <c r="D4" s="86"/>
      <c r="E4" s="86"/>
      <c r="F4" s="86" t="s">
        <v>261</v>
      </c>
      <c r="G4" s="12"/>
    </row>
    <row r="5" spans="1:7" x14ac:dyDescent="0.25">
      <c r="A5" s="13"/>
      <c r="B5" s="40"/>
      <c r="C5" s="41"/>
      <c r="D5" s="42"/>
      <c r="E5" s="42"/>
      <c r="F5" s="2"/>
      <c r="G5" s="74"/>
    </row>
    <row r="6" spans="1:7" x14ac:dyDescent="0.25">
      <c r="A6" s="14" t="s">
        <v>137</v>
      </c>
      <c r="B6" s="40" t="s">
        <v>224</v>
      </c>
      <c r="C6" s="41" t="s">
        <v>225</v>
      </c>
      <c r="D6" s="45" t="s">
        <v>226</v>
      </c>
      <c r="E6" s="42"/>
      <c r="F6" s="2"/>
      <c r="G6" s="74"/>
    </row>
    <row r="7" spans="1:7" x14ac:dyDescent="0.25">
      <c r="A7" s="18"/>
      <c r="B7" t="s">
        <v>216</v>
      </c>
      <c r="C7" t="s">
        <v>217</v>
      </c>
      <c r="D7" s="27" t="s">
        <v>218</v>
      </c>
      <c r="E7" s="87" t="s">
        <v>219</v>
      </c>
      <c r="F7" s="35" t="s">
        <v>263</v>
      </c>
      <c r="G7" s="75"/>
    </row>
    <row r="8" spans="1:7" x14ac:dyDescent="0.25">
      <c r="A8" s="15"/>
      <c r="B8" s="40" t="s">
        <v>213</v>
      </c>
      <c r="C8" s="3" t="s">
        <v>215</v>
      </c>
      <c r="D8" s="70">
        <v>270</v>
      </c>
      <c r="E8" s="4"/>
      <c r="F8" s="35" t="s">
        <v>262</v>
      </c>
      <c r="G8" s="75"/>
    </row>
    <row r="9" spans="1:7" x14ac:dyDescent="0.25">
      <c r="A9" s="15"/>
      <c r="B9" s="2" t="s">
        <v>214</v>
      </c>
      <c r="C9" s="3" t="s">
        <v>222</v>
      </c>
      <c r="D9" s="45">
        <v>15.2</v>
      </c>
      <c r="E9" s="49" t="s">
        <v>220</v>
      </c>
      <c r="F9" s="49" t="s">
        <v>229</v>
      </c>
      <c r="G9" s="75"/>
    </row>
    <row r="10" spans="1:7" x14ac:dyDescent="0.25">
      <c r="A10" s="15"/>
      <c r="B10" s="35" t="str">
        <f>BE!C10</f>
        <v>BGTA 10a,VST</v>
      </c>
      <c r="C10" s="3" t="s">
        <v>223</v>
      </c>
      <c r="D10" s="89">
        <f>D9*D8/1000</f>
        <v>4.1040000000000001</v>
      </c>
      <c r="E10" s="4" t="s">
        <v>221</v>
      </c>
      <c r="F10" s="35" t="s">
        <v>171</v>
      </c>
      <c r="G10" s="11"/>
    </row>
    <row r="11" spans="1:7" x14ac:dyDescent="0.25">
      <c r="A11" s="26"/>
      <c r="D11" s="27"/>
      <c r="E11" s="49"/>
      <c r="F11" s="49"/>
      <c r="G11" s="77"/>
    </row>
    <row r="12" spans="1:7" x14ac:dyDescent="0.25">
      <c r="A12" s="14" t="s">
        <v>25</v>
      </c>
      <c r="B12" s="40" t="str">
        <f>B6</f>
        <v>R</v>
      </c>
      <c r="C12" s="41" t="str">
        <f>C6</f>
        <v>Region</v>
      </c>
      <c r="D12" s="45" t="str">
        <f>D6</f>
        <v>Africa</v>
      </c>
      <c r="E12" s="42"/>
      <c r="F12" s="2"/>
      <c r="G12" s="74"/>
    </row>
    <row r="13" spans="1:7" x14ac:dyDescent="0.25">
      <c r="A13" s="18"/>
      <c r="B13" t="s">
        <v>227</v>
      </c>
      <c r="C13" t="s">
        <v>228</v>
      </c>
      <c r="D13" s="27" t="str">
        <f>D7</f>
        <v>low productivity</v>
      </c>
      <c r="E13" s="87" t="s">
        <v>219</v>
      </c>
      <c r="F13" s="35" t="s">
        <v>263</v>
      </c>
      <c r="G13" s="75"/>
    </row>
    <row r="14" spans="1:7" x14ac:dyDescent="0.25">
      <c r="A14" s="15"/>
      <c r="B14" s="40" t="s">
        <v>213</v>
      </c>
      <c r="C14" s="3" t="s">
        <v>215</v>
      </c>
      <c r="D14" s="70">
        <v>208</v>
      </c>
      <c r="E14" s="4"/>
      <c r="F14" s="35" t="s">
        <v>262</v>
      </c>
      <c r="G14" s="75"/>
    </row>
    <row r="15" spans="1:7" x14ac:dyDescent="0.25">
      <c r="A15" s="15"/>
      <c r="B15" s="2" t="s">
        <v>214</v>
      </c>
      <c r="C15" s="3" t="s">
        <v>222</v>
      </c>
      <c r="D15" s="45">
        <v>12.7</v>
      </c>
      <c r="E15" s="49" t="s">
        <v>220</v>
      </c>
      <c r="F15" s="49" t="s">
        <v>229</v>
      </c>
      <c r="G15" s="75"/>
    </row>
    <row r="16" spans="1:7" x14ac:dyDescent="0.25">
      <c r="A16" s="15"/>
      <c r="B16" s="35" t="str">
        <f>BE!C16</f>
        <v>BGTA 10a,VST</v>
      </c>
      <c r="C16" s="3" t="s">
        <v>223</v>
      </c>
      <c r="D16" s="89">
        <f>D15*D14/1000</f>
        <v>2.6415999999999999</v>
      </c>
      <c r="E16" s="4" t="s">
        <v>221</v>
      </c>
      <c r="F16" s="35" t="s">
        <v>171</v>
      </c>
      <c r="G16" s="11"/>
    </row>
    <row r="17" spans="1:7" x14ac:dyDescent="0.25">
      <c r="A17" s="26"/>
      <c r="B17" s="35"/>
      <c r="C17" s="3"/>
      <c r="D17" s="27"/>
      <c r="E17" s="49"/>
      <c r="F17" s="49"/>
      <c r="G17" s="77"/>
    </row>
    <row r="18" spans="1:7" x14ac:dyDescent="0.25">
      <c r="A18" s="14" t="s">
        <v>230</v>
      </c>
      <c r="B18" s="40" t="str">
        <f>B12</f>
        <v>R</v>
      </c>
      <c r="C18" s="41" t="str">
        <f>C12</f>
        <v>Region</v>
      </c>
      <c r="D18" s="45" t="str">
        <f>D12</f>
        <v>Africa</v>
      </c>
      <c r="E18" s="42"/>
      <c r="F18" s="49"/>
      <c r="G18" s="77"/>
    </row>
    <row r="19" spans="1:7" x14ac:dyDescent="0.25">
      <c r="A19" s="18" t="s">
        <v>255</v>
      </c>
      <c r="B19" t="s">
        <v>227</v>
      </c>
      <c r="C19" t="s">
        <v>228</v>
      </c>
      <c r="D19" s="27" t="str">
        <f>D13</f>
        <v>low productivity</v>
      </c>
      <c r="E19" s="87" t="s">
        <v>219</v>
      </c>
      <c r="F19" s="35" t="s">
        <v>263</v>
      </c>
      <c r="G19" s="77"/>
    </row>
    <row r="20" spans="1:7" x14ac:dyDescent="0.25">
      <c r="A20" s="15"/>
      <c r="B20" s="40" t="s">
        <v>213</v>
      </c>
      <c r="C20" s="3" t="s">
        <v>215</v>
      </c>
      <c r="D20" s="70">
        <v>33</v>
      </c>
      <c r="E20" s="4"/>
      <c r="F20" s="35" t="s">
        <v>262</v>
      </c>
      <c r="G20" s="77"/>
    </row>
    <row r="21" spans="1:7" x14ac:dyDescent="0.25">
      <c r="A21" s="15"/>
      <c r="B21" s="2" t="s">
        <v>214</v>
      </c>
      <c r="C21" s="3" t="s">
        <v>222</v>
      </c>
      <c r="D21" s="45">
        <v>9.4</v>
      </c>
      <c r="E21" s="49" t="s">
        <v>220</v>
      </c>
      <c r="F21" s="49" t="s">
        <v>229</v>
      </c>
      <c r="G21" s="77"/>
    </row>
    <row r="22" spans="1:7" x14ac:dyDescent="0.25">
      <c r="A22" s="15"/>
      <c r="B22" s="35" t="str">
        <f>BE!C22</f>
        <v>BGTA 10a,VST</v>
      </c>
      <c r="C22" s="3" t="s">
        <v>223</v>
      </c>
      <c r="D22" s="89">
        <f>D21*D20/1000</f>
        <v>0.31019999999999998</v>
      </c>
      <c r="E22" s="4" t="s">
        <v>221</v>
      </c>
      <c r="F22" s="35" t="s">
        <v>171</v>
      </c>
      <c r="G22" s="77"/>
    </row>
    <row r="23" spans="1:7" x14ac:dyDescent="0.25">
      <c r="A23" s="26"/>
      <c r="B23" s="35"/>
      <c r="C23" s="3"/>
      <c r="D23" s="27"/>
      <c r="E23" s="49"/>
      <c r="F23" s="49"/>
      <c r="G23" s="77"/>
    </row>
    <row r="24" spans="1:7" x14ac:dyDescent="0.25">
      <c r="A24" s="14" t="s">
        <v>231</v>
      </c>
      <c r="B24" s="40" t="str">
        <f>B18</f>
        <v>R</v>
      </c>
      <c r="C24" s="41" t="str">
        <f>C18</f>
        <v>Region</v>
      </c>
      <c r="D24" s="45" t="str">
        <f>D18</f>
        <v>Africa</v>
      </c>
      <c r="E24" s="42"/>
      <c r="F24" s="49"/>
      <c r="G24" s="77"/>
    </row>
    <row r="25" spans="1:7" x14ac:dyDescent="0.25">
      <c r="A25" s="18" t="s">
        <v>254</v>
      </c>
      <c r="B25" t="s">
        <v>227</v>
      </c>
      <c r="C25" t="s">
        <v>228</v>
      </c>
      <c r="D25" s="27" t="str">
        <f>D19</f>
        <v>low productivity</v>
      </c>
      <c r="E25" s="87" t="s">
        <v>219</v>
      </c>
      <c r="F25" s="35" t="s">
        <v>263</v>
      </c>
      <c r="G25" s="77"/>
    </row>
    <row r="26" spans="1:7" x14ac:dyDescent="0.25">
      <c r="A26" s="15"/>
      <c r="B26" s="40" t="s">
        <v>213</v>
      </c>
      <c r="C26" s="3" t="s">
        <v>215</v>
      </c>
      <c r="D26" s="70">
        <v>61</v>
      </c>
      <c r="E26" s="4"/>
      <c r="F26" s="35" t="s">
        <v>262</v>
      </c>
      <c r="G26" s="77"/>
    </row>
    <row r="27" spans="1:7" x14ac:dyDescent="0.25">
      <c r="A27" s="15"/>
      <c r="B27" s="2" t="s">
        <v>214</v>
      </c>
      <c r="C27" s="3" t="s">
        <v>222</v>
      </c>
      <c r="D27" s="45">
        <v>6</v>
      </c>
      <c r="E27" s="49" t="s">
        <v>220</v>
      </c>
      <c r="F27" s="49" t="s">
        <v>229</v>
      </c>
      <c r="G27" s="77"/>
    </row>
    <row r="28" spans="1:7" x14ac:dyDescent="0.25">
      <c r="A28" s="15"/>
      <c r="B28" s="35" t="str">
        <f>BE!C28</f>
        <v>BGTA 10a,VST</v>
      </c>
      <c r="C28" s="3" t="s">
        <v>223</v>
      </c>
      <c r="D28" s="89">
        <f>D27*D26/1000</f>
        <v>0.36599999999999999</v>
      </c>
      <c r="E28" s="4" t="s">
        <v>221</v>
      </c>
      <c r="F28" s="35" t="s">
        <v>171</v>
      </c>
      <c r="G28" s="77"/>
    </row>
    <row r="29" spans="1:7" x14ac:dyDescent="0.25">
      <c r="A29" s="26"/>
      <c r="B29" s="35"/>
      <c r="C29" s="3"/>
      <c r="D29" s="27"/>
      <c r="E29" s="49"/>
      <c r="F29" s="49"/>
      <c r="G29" s="77"/>
    </row>
    <row r="30" spans="1:7" x14ac:dyDescent="0.25">
      <c r="A30" s="14" t="s">
        <v>33271</v>
      </c>
      <c r="B30" s="40" t="str">
        <f>B24</f>
        <v>R</v>
      </c>
      <c r="C30" s="41" t="str">
        <f>C24</f>
        <v>Region</v>
      </c>
      <c r="D30" s="45" t="str">
        <f>D24</f>
        <v>Africa</v>
      </c>
      <c r="E30" s="42"/>
      <c r="F30" s="49"/>
      <c r="G30" s="77"/>
    </row>
    <row r="31" spans="1:7" x14ac:dyDescent="0.25">
      <c r="A31" s="18"/>
      <c r="B31" t="s">
        <v>227</v>
      </c>
      <c r="C31" t="s">
        <v>228</v>
      </c>
      <c r="D31" s="27" t="str">
        <f>D25</f>
        <v>low productivity</v>
      </c>
      <c r="E31" s="87" t="s">
        <v>219</v>
      </c>
      <c r="F31" s="35" t="s">
        <v>263</v>
      </c>
      <c r="G31" s="77"/>
    </row>
    <row r="32" spans="1:7" x14ac:dyDescent="0.25">
      <c r="A32" s="15"/>
      <c r="B32" s="40" t="s">
        <v>213</v>
      </c>
      <c r="C32" s="3" t="s">
        <v>215</v>
      </c>
      <c r="D32" s="70">
        <v>24</v>
      </c>
      <c r="E32" s="4"/>
      <c r="F32" s="35" t="s">
        <v>262</v>
      </c>
      <c r="G32" s="77"/>
    </row>
    <row r="33" spans="1:7" x14ac:dyDescent="0.25">
      <c r="A33" s="15"/>
      <c r="B33" s="2" t="s">
        <v>214</v>
      </c>
      <c r="C33" s="3" t="s">
        <v>222</v>
      </c>
      <c r="D33" s="45">
        <v>8.3000000000000007</v>
      </c>
      <c r="E33" s="49" t="s">
        <v>220</v>
      </c>
      <c r="F33" s="49" t="s">
        <v>229</v>
      </c>
      <c r="G33" s="77"/>
    </row>
    <row r="34" spans="1:7" x14ac:dyDescent="0.25">
      <c r="A34" s="15"/>
      <c r="B34" s="35" t="str">
        <f>BE!C46</f>
        <v>BGTA 10a,VST</v>
      </c>
      <c r="C34" s="3" t="s">
        <v>223</v>
      </c>
      <c r="D34" s="89">
        <f>D33*D32/1000</f>
        <v>0.19920000000000002</v>
      </c>
      <c r="E34" s="4" t="s">
        <v>221</v>
      </c>
      <c r="F34" s="35" t="s">
        <v>171</v>
      </c>
      <c r="G34" s="77"/>
    </row>
    <row r="35" spans="1:7" x14ac:dyDescent="0.25">
      <c r="A35" s="26"/>
      <c r="B35" s="35"/>
      <c r="C35" s="3"/>
      <c r="D35" s="27"/>
      <c r="E35" s="49"/>
      <c r="F35" s="49"/>
      <c r="G35" s="77"/>
    </row>
    <row r="36" spans="1:7" x14ac:dyDescent="0.25">
      <c r="A36" s="14" t="s">
        <v>33272</v>
      </c>
      <c r="B36" s="40" t="str">
        <f>B30</f>
        <v>R</v>
      </c>
      <c r="C36" s="41" t="str">
        <f>C30</f>
        <v>Region</v>
      </c>
      <c r="D36" s="45" t="str">
        <f>D30</f>
        <v>Africa</v>
      </c>
      <c r="E36" s="42"/>
      <c r="F36" s="49"/>
      <c r="G36" s="77"/>
    </row>
    <row r="37" spans="1:7" x14ac:dyDescent="0.25">
      <c r="A37" s="18"/>
      <c r="B37" t="s">
        <v>227</v>
      </c>
      <c r="C37" t="s">
        <v>228</v>
      </c>
      <c r="D37" s="27" t="str">
        <f>D31</f>
        <v>low productivity</v>
      </c>
      <c r="E37" s="87" t="s">
        <v>219</v>
      </c>
      <c r="F37" s="35" t="s">
        <v>263</v>
      </c>
      <c r="G37" s="77"/>
    </row>
    <row r="38" spans="1:7" x14ac:dyDescent="0.25">
      <c r="A38" s="15"/>
      <c r="B38" s="40" t="s">
        <v>213</v>
      </c>
      <c r="C38" s="3" t="s">
        <v>215</v>
      </c>
      <c r="D38" s="70">
        <v>31</v>
      </c>
      <c r="E38" s="4"/>
      <c r="F38" s="35" t="s">
        <v>262</v>
      </c>
      <c r="G38" s="77"/>
    </row>
    <row r="39" spans="1:7" x14ac:dyDescent="0.25">
      <c r="A39" s="15"/>
      <c r="B39" s="2" t="s">
        <v>214</v>
      </c>
      <c r="C39" s="3" t="s">
        <v>222</v>
      </c>
      <c r="D39" s="45">
        <v>10.4</v>
      </c>
      <c r="E39" s="49" t="s">
        <v>220</v>
      </c>
      <c r="F39" s="49" t="s">
        <v>229</v>
      </c>
      <c r="G39" s="77"/>
    </row>
    <row r="40" spans="1:7" x14ac:dyDescent="0.25">
      <c r="A40" s="15"/>
      <c r="B40" s="35" t="str">
        <f>BE!C34</f>
        <v>BGTA 10a,VST</v>
      </c>
      <c r="C40" s="3" t="s">
        <v>223</v>
      </c>
      <c r="D40" s="89">
        <f>D39*D38/1000</f>
        <v>0.32240000000000002</v>
      </c>
      <c r="E40" s="4" t="s">
        <v>221</v>
      </c>
      <c r="F40" s="35" t="s">
        <v>171</v>
      </c>
      <c r="G40" s="77"/>
    </row>
    <row r="41" spans="1:7" x14ac:dyDescent="0.25">
      <c r="A41" s="26"/>
      <c r="B41" s="35"/>
      <c r="C41" s="3"/>
      <c r="D41" s="27"/>
      <c r="E41" s="49"/>
      <c r="F41" s="49"/>
      <c r="G41" s="77"/>
    </row>
    <row r="42" spans="1:7" x14ac:dyDescent="0.25">
      <c r="A42" s="14" t="s">
        <v>36486</v>
      </c>
      <c r="B42" s="40" t="str">
        <f>B37</f>
        <v>T</v>
      </c>
      <c r="C42" s="41" t="str">
        <f>C37</f>
        <v>Type</v>
      </c>
      <c r="D42" s="45" t="str">
        <f>D36</f>
        <v>Africa</v>
      </c>
      <c r="E42" s="42"/>
      <c r="F42" s="49"/>
      <c r="G42" s="77"/>
    </row>
    <row r="43" spans="1:7" x14ac:dyDescent="0.25">
      <c r="A43" s="18"/>
      <c r="B43" t="s">
        <v>227</v>
      </c>
      <c r="C43" t="s">
        <v>228</v>
      </c>
      <c r="D43" s="27" t="str">
        <f>D37</f>
        <v>low productivity</v>
      </c>
      <c r="E43" s="87" t="s">
        <v>219</v>
      </c>
      <c r="F43" s="35" t="s">
        <v>263</v>
      </c>
      <c r="G43" s="77"/>
    </row>
    <row r="44" spans="1:7" x14ac:dyDescent="0.25">
      <c r="A44" s="15"/>
      <c r="B44" s="40" t="s">
        <v>213</v>
      </c>
      <c r="C44" s="3" t="s">
        <v>215</v>
      </c>
      <c r="D44" s="70">
        <v>0.8</v>
      </c>
      <c r="E44" s="4"/>
      <c r="F44" s="35" t="s">
        <v>262</v>
      </c>
      <c r="G44" s="77"/>
    </row>
    <row r="45" spans="1:7" x14ac:dyDescent="0.25">
      <c r="A45" s="15"/>
      <c r="B45" s="2" t="s">
        <v>214</v>
      </c>
      <c r="C45" s="3" t="s">
        <v>222</v>
      </c>
      <c r="D45" s="45">
        <v>13</v>
      </c>
      <c r="E45" s="49" t="s">
        <v>220</v>
      </c>
      <c r="F45" s="49" t="s">
        <v>229</v>
      </c>
      <c r="G45" s="77"/>
    </row>
    <row r="46" spans="1:7" x14ac:dyDescent="0.25">
      <c r="A46" s="15"/>
      <c r="B46" s="35" t="str">
        <f>BE!C41</f>
        <v>BGTA 9:EFLT</v>
      </c>
      <c r="C46" s="3" t="s">
        <v>223</v>
      </c>
      <c r="D46" s="89">
        <f>D45*D44/1000</f>
        <v>1.04E-2</v>
      </c>
      <c r="E46" s="4" t="s">
        <v>221</v>
      </c>
      <c r="F46" s="35" t="s">
        <v>171</v>
      </c>
      <c r="G46" s="77"/>
    </row>
    <row r="71" spans="13:13" x14ac:dyDescent="0.25">
      <c r="M71" s="734">
        <f>D46</f>
        <v>1.04E-2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454E-A974-455F-BC88-FF1E45D3F92C}">
  <sheetPr>
    <tabColor theme="3"/>
  </sheetPr>
  <dimension ref="A1:IH229"/>
  <sheetViews>
    <sheetView zoomScale="85" zoomScaleNormal="85" workbookViewId="0">
      <pane ySplit="1" topLeftCell="A181" activePane="bottomLeft" state="frozen"/>
      <selection pane="bottomLeft" activeCell="AA182" sqref="AA182"/>
    </sheetView>
  </sheetViews>
  <sheetFormatPr defaultRowHeight="15" x14ac:dyDescent="0.25"/>
  <cols>
    <col min="25" max="26" width="20.28515625" customWidth="1"/>
    <col min="27" max="28" width="20.28515625" style="27" customWidth="1"/>
    <col min="29" max="29" width="13.7109375" customWidth="1"/>
    <col min="87" max="87" width="11.7109375" customWidth="1"/>
    <col min="88" max="88" width="14.7109375" customWidth="1"/>
    <col min="97" max="97" width="12.85546875" bestFit="1" customWidth="1"/>
    <col min="187" max="187" width="15.5703125" customWidth="1"/>
  </cols>
  <sheetData>
    <row r="1" spans="1:242" s="228" customFormat="1" ht="114" customHeight="1" x14ac:dyDescent="0.2">
      <c r="A1" s="224" t="s">
        <v>31436</v>
      </c>
      <c r="B1" s="224" t="s">
        <v>29161</v>
      </c>
      <c r="C1" s="225" t="s">
        <v>29162</v>
      </c>
      <c r="D1" s="225" t="s">
        <v>29163</v>
      </c>
      <c r="E1" s="225" t="s">
        <v>29164</v>
      </c>
      <c r="F1" s="225" t="s">
        <v>29165</v>
      </c>
      <c r="G1" s="225" t="s">
        <v>29166</v>
      </c>
      <c r="H1" s="225" t="s">
        <v>29167</v>
      </c>
      <c r="I1" s="225" t="s">
        <v>29168</v>
      </c>
      <c r="J1" s="225" t="s">
        <v>29169</v>
      </c>
      <c r="K1" s="225" t="s">
        <v>29170</v>
      </c>
      <c r="L1" s="225" t="s">
        <v>29171</v>
      </c>
      <c r="M1" s="225" t="s">
        <v>29172</v>
      </c>
      <c r="N1" s="225" t="s">
        <v>31437</v>
      </c>
      <c r="O1" s="225" t="s">
        <v>31438</v>
      </c>
      <c r="P1" s="225" t="s">
        <v>31439</v>
      </c>
      <c r="Q1" s="225" t="s">
        <v>29173</v>
      </c>
      <c r="R1" s="225" t="s">
        <v>31440</v>
      </c>
      <c r="S1" s="225" t="s">
        <v>31441</v>
      </c>
      <c r="T1" s="225" t="s">
        <v>29174</v>
      </c>
      <c r="U1" s="225" t="s">
        <v>31442</v>
      </c>
      <c r="V1" s="225" t="s">
        <v>31443</v>
      </c>
      <c r="W1" s="225" t="s">
        <v>31444</v>
      </c>
      <c r="X1" s="225" t="s">
        <v>31445</v>
      </c>
      <c r="Y1" s="225" t="s">
        <v>31446</v>
      </c>
      <c r="Z1" s="244" t="s">
        <v>32061</v>
      </c>
      <c r="AA1" s="359" t="s">
        <v>32065</v>
      </c>
      <c r="AB1" s="359" t="s">
        <v>32066</v>
      </c>
      <c r="AC1" s="225" t="s">
        <v>31447</v>
      </c>
      <c r="AD1" s="225" t="s">
        <v>31448</v>
      </c>
      <c r="AE1" s="225" t="s">
        <v>31449</v>
      </c>
      <c r="AF1" s="225" t="s">
        <v>31450</v>
      </c>
      <c r="AG1" s="225" t="s">
        <v>31451</v>
      </c>
      <c r="AH1" s="225" t="s">
        <v>31452</v>
      </c>
      <c r="AI1" s="225" t="s">
        <v>31453</v>
      </c>
      <c r="AJ1" s="225" t="s">
        <v>29175</v>
      </c>
      <c r="AK1" s="225" t="s">
        <v>29176</v>
      </c>
      <c r="AL1" s="225" t="s">
        <v>29177</v>
      </c>
      <c r="AM1" s="225" t="s">
        <v>29178</v>
      </c>
      <c r="AN1" s="225" t="s">
        <v>31454</v>
      </c>
      <c r="AO1" s="225" t="s">
        <v>31455</v>
      </c>
      <c r="AP1" s="225" t="s">
        <v>31456</v>
      </c>
      <c r="AQ1" s="225" t="s">
        <v>31457</v>
      </c>
      <c r="AR1" s="225" t="s">
        <v>31458</v>
      </c>
      <c r="AS1" s="225" t="s">
        <v>31459</v>
      </c>
      <c r="AT1" s="225" t="s">
        <v>31460</v>
      </c>
      <c r="AU1" s="225" t="s">
        <v>31461</v>
      </c>
      <c r="AV1" s="225" t="s">
        <v>31462</v>
      </c>
      <c r="AW1" s="225" t="s">
        <v>31463</v>
      </c>
      <c r="AX1" s="225" t="s">
        <v>31464</v>
      </c>
      <c r="AY1" s="225" t="s">
        <v>31465</v>
      </c>
      <c r="AZ1" s="225" t="s">
        <v>31466</v>
      </c>
      <c r="BA1" s="225" t="s">
        <v>31467</v>
      </c>
      <c r="BB1" s="225" t="s">
        <v>31468</v>
      </c>
      <c r="BC1" s="225" t="s">
        <v>31469</v>
      </c>
      <c r="BD1" s="225" t="s">
        <v>31470</v>
      </c>
      <c r="BE1" s="225" t="s">
        <v>31471</v>
      </c>
      <c r="BF1" s="225" t="s">
        <v>31472</v>
      </c>
      <c r="BG1" s="225" t="s">
        <v>31473</v>
      </c>
      <c r="BH1" s="225" t="s">
        <v>31474</v>
      </c>
      <c r="BI1" s="225" t="s">
        <v>31475</v>
      </c>
      <c r="BJ1" s="225" t="s">
        <v>31476</v>
      </c>
      <c r="BK1" s="225" t="s">
        <v>31477</v>
      </c>
      <c r="BL1" s="225" t="s">
        <v>31478</v>
      </c>
      <c r="BM1" s="225" t="s">
        <v>31479</v>
      </c>
      <c r="BN1" s="225" t="s">
        <v>31480</v>
      </c>
      <c r="BO1" s="225" t="s">
        <v>31481</v>
      </c>
      <c r="BP1" s="225" t="s">
        <v>31482</v>
      </c>
      <c r="BQ1" s="225" t="s">
        <v>31483</v>
      </c>
      <c r="BR1" s="225" t="s">
        <v>31484</v>
      </c>
      <c r="BS1" s="225" t="s">
        <v>31485</v>
      </c>
      <c r="BT1" s="225" t="s">
        <v>31486</v>
      </c>
      <c r="BU1" s="225" t="s">
        <v>31487</v>
      </c>
      <c r="BV1" s="226" t="s">
        <v>31488</v>
      </c>
      <c r="BW1" s="226" t="s">
        <v>31489</v>
      </c>
      <c r="BX1" s="238" t="s">
        <v>31490</v>
      </c>
      <c r="BY1" s="225" t="s">
        <v>31491</v>
      </c>
      <c r="BZ1" s="225" t="s">
        <v>31492</v>
      </c>
      <c r="CA1" s="225" t="s">
        <v>31493</v>
      </c>
      <c r="CB1" s="225" t="s">
        <v>31494</v>
      </c>
      <c r="CC1" s="225" t="s">
        <v>31495</v>
      </c>
      <c r="CD1" s="225" t="s">
        <v>31496</v>
      </c>
      <c r="CE1" s="225" t="s">
        <v>31497</v>
      </c>
      <c r="CF1" s="225" t="s">
        <v>31498</v>
      </c>
      <c r="CG1" s="225" t="s">
        <v>31499</v>
      </c>
      <c r="CH1" s="225" t="s">
        <v>31500</v>
      </c>
      <c r="CI1" s="225" t="s">
        <v>31501</v>
      </c>
      <c r="CJ1" s="225" t="s">
        <v>31502</v>
      </c>
      <c r="CK1" s="225" t="s">
        <v>31503</v>
      </c>
      <c r="CL1" s="226" t="s">
        <v>32054</v>
      </c>
      <c r="CM1" s="225" t="s">
        <v>31504</v>
      </c>
      <c r="CN1" s="225" t="s">
        <v>31505</v>
      </c>
      <c r="CO1" s="225" t="s">
        <v>31506</v>
      </c>
      <c r="CP1" s="225" t="s">
        <v>31507</v>
      </c>
      <c r="CQ1" s="225" t="s">
        <v>31508</v>
      </c>
      <c r="CR1" s="225" t="s">
        <v>31509</v>
      </c>
      <c r="CS1" s="244" t="s">
        <v>31985</v>
      </c>
      <c r="CT1" s="225" t="s">
        <v>31510</v>
      </c>
      <c r="CU1" s="225" t="s">
        <v>31511</v>
      </c>
      <c r="CV1" s="225" t="s">
        <v>31512</v>
      </c>
      <c r="CW1" s="225" t="s">
        <v>31513</v>
      </c>
      <c r="CX1" s="225" t="s">
        <v>31514</v>
      </c>
      <c r="CY1" s="225" t="s">
        <v>31515</v>
      </c>
      <c r="CZ1" s="225" t="s">
        <v>31516</v>
      </c>
      <c r="DA1" s="225" t="s">
        <v>31517</v>
      </c>
      <c r="DB1" s="225" t="s">
        <v>31518</v>
      </c>
      <c r="DC1" s="225" t="s">
        <v>31519</v>
      </c>
      <c r="DD1" s="225" t="s">
        <v>31520</v>
      </c>
      <c r="DE1" s="225" t="s">
        <v>31521</v>
      </c>
      <c r="DF1" s="225" t="s">
        <v>31522</v>
      </c>
      <c r="DG1" s="225" t="s">
        <v>31523</v>
      </c>
      <c r="DH1" s="225" t="s">
        <v>31524</v>
      </c>
      <c r="DI1" s="225" t="s">
        <v>31525</v>
      </c>
      <c r="DJ1" s="225" t="s">
        <v>31526</v>
      </c>
      <c r="DK1" s="225" t="s">
        <v>31527</v>
      </c>
      <c r="DL1" s="225" t="s">
        <v>31528</v>
      </c>
      <c r="DM1" s="225" t="s">
        <v>31529</v>
      </c>
      <c r="DN1" s="225" t="s">
        <v>31530</v>
      </c>
      <c r="DO1" s="225" t="s">
        <v>31531</v>
      </c>
      <c r="DP1" s="225" t="s">
        <v>31532</v>
      </c>
      <c r="DQ1" s="225" t="s">
        <v>29179</v>
      </c>
      <c r="DR1" s="225" t="s">
        <v>29180</v>
      </c>
      <c r="DS1" s="225" t="s">
        <v>29181</v>
      </c>
      <c r="DT1" s="225" t="s">
        <v>29182</v>
      </c>
      <c r="DU1" s="225" t="s">
        <v>31533</v>
      </c>
      <c r="DV1" s="225" t="s">
        <v>31534</v>
      </c>
      <c r="DW1" s="225" t="s">
        <v>29183</v>
      </c>
      <c r="DX1" s="265" t="s">
        <v>29184</v>
      </c>
      <c r="DY1" s="225" t="s">
        <v>29185</v>
      </c>
      <c r="DZ1" s="225" t="s">
        <v>29186</v>
      </c>
      <c r="EA1" s="225" t="s">
        <v>29187</v>
      </c>
      <c r="EB1" s="225" t="s">
        <v>29188</v>
      </c>
      <c r="EC1" s="225" t="s">
        <v>29189</v>
      </c>
      <c r="ED1" s="225" t="s">
        <v>29190</v>
      </c>
      <c r="EE1" s="244" t="s">
        <v>32041</v>
      </c>
      <c r="EF1" s="244" t="s">
        <v>32042</v>
      </c>
      <c r="EG1" s="244" t="s">
        <v>32043</v>
      </c>
      <c r="EH1" s="244" t="s">
        <v>32044</v>
      </c>
      <c r="EI1" s="244" t="s">
        <v>32045</v>
      </c>
      <c r="EJ1" s="265" t="s">
        <v>29191</v>
      </c>
      <c r="EK1" s="225" t="s">
        <v>29192</v>
      </c>
      <c r="EL1" s="225" t="s">
        <v>29193</v>
      </c>
      <c r="EM1" s="225" t="s">
        <v>29194</v>
      </c>
      <c r="EN1" s="225" t="s">
        <v>29195</v>
      </c>
      <c r="EO1" s="244" t="s">
        <v>32028</v>
      </c>
      <c r="EP1" s="225" t="s">
        <v>29196</v>
      </c>
      <c r="EQ1" s="225" t="s">
        <v>29197</v>
      </c>
      <c r="ER1" s="225" t="s">
        <v>29198</v>
      </c>
      <c r="ES1" s="225" t="s">
        <v>29199</v>
      </c>
      <c r="ET1" s="225" t="s">
        <v>32029</v>
      </c>
      <c r="EU1" s="225" t="s">
        <v>29200</v>
      </c>
      <c r="EV1" s="244" t="s">
        <v>32046</v>
      </c>
      <c r="EW1" s="244" t="s">
        <v>32047</v>
      </c>
      <c r="EX1" s="244" t="s">
        <v>32048</v>
      </c>
      <c r="EY1" s="244" t="s">
        <v>32049</v>
      </c>
      <c r="EZ1" s="244" t="s">
        <v>32050</v>
      </c>
      <c r="FA1" s="265" t="s">
        <v>29201</v>
      </c>
      <c r="FB1" s="225" t="s">
        <v>29202</v>
      </c>
      <c r="FC1" s="265" t="s">
        <v>29203</v>
      </c>
      <c r="FD1" s="225" t="s">
        <v>27020</v>
      </c>
      <c r="FE1" s="225" t="s">
        <v>29204</v>
      </c>
      <c r="FF1" s="225" t="s">
        <v>29205</v>
      </c>
      <c r="FG1" s="225" t="s">
        <v>29206</v>
      </c>
      <c r="FH1" s="225" t="s">
        <v>29207</v>
      </c>
      <c r="FI1" s="225" t="s">
        <v>29208</v>
      </c>
      <c r="FJ1" s="225" t="s">
        <v>29209</v>
      </c>
      <c r="FK1" s="225" t="s">
        <v>29210</v>
      </c>
      <c r="FL1" s="225" t="s">
        <v>29211</v>
      </c>
      <c r="FM1" s="225" t="s">
        <v>29212</v>
      </c>
      <c r="FN1" s="225" t="s">
        <v>36501</v>
      </c>
      <c r="FO1" s="225" t="s">
        <v>29213</v>
      </c>
      <c r="FP1" s="225" t="s">
        <v>29214</v>
      </c>
      <c r="FQ1" s="225" t="s">
        <v>29215</v>
      </c>
      <c r="FR1" s="225" t="s">
        <v>29216</v>
      </c>
      <c r="FS1" s="225" t="s">
        <v>29217</v>
      </c>
      <c r="FT1" s="225" t="s">
        <v>29218</v>
      </c>
      <c r="FU1" s="225" t="s">
        <v>29219</v>
      </c>
      <c r="FV1" s="225" t="s">
        <v>29220</v>
      </c>
      <c r="FW1" s="225" t="s">
        <v>29221</v>
      </c>
      <c r="FX1" s="225" t="s">
        <v>29222</v>
      </c>
      <c r="FY1" s="225" t="s">
        <v>29223</v>
      </c>
      <c r="FZ1" s="225" t="s">
        <v>29224</v>
      </c>
      <c r="GA1" s="225" t="s">
        <v>29225</v>
      </c>
      <c r="GB1" s="225" t="s">
        <v>29226</v>
      </c>
      <c r="GC1" s="225" t="s">
        <v>29227</v>
      </c>
      <c r="GD1" s="225" t="s">
        <v>29228</v>
      </c>
      <c r="GE1" s="225" t="s">
        <v>29229</v>
      </c>
      <c r="GF1" s="225" t="s">
        <v>29230</v>
      </c>
      <c r="GG1" s="225" t="s">
        <v>29231</v>
      </c>
      <c r="GH1" s="225" t="s">
        <v>29232</v>
      </c>
      <c r="GI1" s="225" t="s">
        <v>29233</v>
      </c>
      <c r="GJ1" s="225" t="s">
        <v>29234</v>
      </c>
      <c r="GK1" s="225" t="s">
        <v>29235</v>
      </c>
      <c r="GL1" s="225" t="s">
        <v>29236</v>
      </c>
      <c r="GM1" s="225" t="s">
        <v>29237</v>
      </c>
      <c r="GN1" s="225" t="s">
        <v>29238</v>
      </c>
      <c r="GO1" s="225" t="s">
        <v>29239</v>
      </c>
      <c r="GP1" s="225" t="s">
        <v>29240</v>
      </c>
      <c r="GQ1" s="225" t="s">
        <v>29241</v>
      </c>
      <c r="GR1" s="225" t="s">
        <v>29242</v>
      </c>
      <c r="GS1" s="225" t="s">
        <v>29243</v>
      </c>
      <c r="GT1" s="225" t="s">
        <v>29244</v>
      </c>
      <c r="GU1" s="225" t="s">
        <v>29245</v>
      </c>
      <c r="GV1" s="225" t="s">
        <v>29246</v>
      </c>
      <c r="GW1" s="225" t="s">
        <v>29247</v>
      </c>
      <c r="GX1" s="225" t="s">
        <v>29248</v>
      </c>
      <c r="GY1" s="225" t="s">
        <v>29249</v>
      </c>
      <c r="GZ1" s="225" t="s">
        <v>29250</v>
      </c>
      <c r="HA1" s="225" t="s">
        <v>29251</v>
      </c>
      <c r="HB1" s="225" t="s">
        <v>29252</v>
      </c>
      <c r="HC1" s="225" t="s">
        <v>29253</v>
      </c>
      <c r="HD1" s="225" t="s">
        <v>29254</v>
      </c>
      <c r="HE1" s="225" t="s">
        <v>29255</v>
      </c>
      <c r="HF1" s="225" t="s">
        <v>29256</v>
      </c>
      <c r="HG1" s="225" t="s">
        <v>29257</v>
      </c>
      <c r="HH1" s="225" t="s">
        <v>29258</v>
      </c>
      <c r="HI1" s="225" t="s">
        <v>29259</v>
      </c>
      <c r="HJ1" s="225" t="s">
        <v>29260</v>
      </c>
      <c r="HK1" s="225" t="s">
        <v>29261</v>
      </c>
      <c r="HL1" s="225" t="s">
        <v>29262</v>
      </c>
      <c r="HM1" s="225" t="s">
        <v>29263</v>
      </c>
      <c r="HN1" s="225" t="s">
        <v>29264</v>
      </c>
      <c r="HO1" s="225" t="s">
        <v>29265</v>
      </c>
      <c r="HP1" s="225" t="s">
        <v>29266</v>
      </c>
      <c r="HQ1" s="225" t="s">
        <v>29267</v>
      </c>
      <c r="HR1" s="225" t="s">
        <v>29268</v>
      </c>
      <c r="HS1" s="225" t="s">
        <v>29269</v>
      </c>
      <c r="HT1" s="225" t="s">
        <v>29270</v>
      </c>
      <c r="HU1" s="225" t="s">
        <v>29271</v>
      </c>
      <c r="HV1" s="225" t="s">
        <v>29272</v>
      </c>
      <c r="HW1" s="225" t="s">
        <v>29273</v>
      </c>
      <c r="HX1" s="225" t="s">
        <v>29274</v>
      </c>
      <c r="HY1" s="225" t="s">
        <v>29275</v>
      </c>
      <c r="HZ1" s="225" t="s">
        <v>29276</v>
      </c>
      <c r="IA1" s="225" t="s">
        <v>29277</v>
      </c>
      <c r="IB1" s="225" t="s">
        <v>29278</v>
      </c>
      <c r="IC1" s="225" t="s">
        <v>29279</v>
      </c>
      <c r="ID1" s="225" t="s">
        <v>29280</v>
      </c>
      <c r="IE1" s="225" t="s">
        <v>29281</v>
      </c>
      <c r="IF1" s="225" t="s">
        <v>29282</v>
      </c>
      <c r="IG1" s="225" t="s">
        <v>29283</v>
      </c>
      <c r="IH1" s="227" t="s">
        <v>29284</v>
      </c>
    </row>
    <row r="2" spans="1:242" s="561" customFormat="1" ht="36.75" customHeight="1" x14ac:dyDescent="0.2">
      <c r="A2" s="556">
        <v>122</v>
      </c>
      <c r="B2" s="556" t="s">
        <v>18509</v>
      </c>
      <c r="C2" s="556" t="s">
        <v>30628</v>
      </c>
      <c r="D2" s="556" t="s">
        <v>30534</v>
      </c>
      <c r="E2" s="556" t="s">
        <v>7</v>
      </c>
      <c r="F2" s="556" t="s">
        <v>30629</v>
      </c>
      <c r="G2" s="556">
        <v>0</v>
      </c>
      <c r="H2" s="556">
        <v>2500</v>
      </c>
      <c r="I2" s="556" t="s">
        <v>29319</v>
      </c>
      <c r="J2" s="556" t="s">
        <v>4</v>
      </c>
      <c r="K2" s="556" t="s">
        <v>18510</v>
      </c>
      <c r="L2" s="556">
        <v>783196770</v>
      </c>
      <c r="M2" s="556" t="s">
        <v>5</v>
      </c>
      <c r="N2" s="556" t="s">
        <v>31438</v>
      </c>
      <c r="O2" s="556">
        <v>57</v>
      </c>
      <c r="P2" s="556">
        <v>9</v>
      </c>
      <c r="Q2" s="556" t="s">
        <v>7</v>
      </c>
      <c r="R2" s="556" t="s">
        <v>31588</v>
      </c>
      <c r="S2" s="556" t="s">
        <v>4</v>
      </c>
      <c r="T2" s="556" t="s">
        <v>2</v>
      </c>
      <c r="U2" s="556" t="s">
        <v>4</v>
      </c>
      <c r="V2" s="556"/>
      <c r="W2" s="556" t="s">
        <v>4</v>
      </c>
      <c r="X2" s="556" t="s">
        <v>4</v>
      </c>
      <c r="Y2" s="557">
        <v>41390</v>
      </c>
      <c r="Z2" s="557" t="str">
        <f>IF(OR(T2="yes",Y2&gt;'SDG outcome'!$C$27),"yes","no")</f>
        <v>no</v>
      </c>
      <c r="AA2" s="558" t="str">
        <f t="shared" ref="AA2:AA65" si="0">IF(Z2="no","",V2)</f>
        <v/>
      </c>
      <c r="AB2" s="558" t="str">
        <f>IF(AND(Z2="no",AND(Y2&gt;='SDG outcome'!$B$16,Y2&lt;'SDG outcome'!$C$27)),Y2-'SDG outcome'!$B$16,"")</f>
        <v/>
      </c>
      <c r="AC2" s="556" t="s">
        <v>31842</v>
      </c>
      <c r="AD2" s="556" t="s">
        <v>4</v>
      </c>
      <c r="AE2" s="556" t="s">
        <v>7</v>
      </c>
      <c r="AF2" s="556" t="s">
        <v>31843</v>
      </c>
      <c r="AG2" s="556" t="s">
        <v>4</v>
      </c>
      <c r="AH2" s="556" t="s">
        <v>7</v>
      </c>
      <c r="AI2" s="557">
        <v>45270</v>
      </c>
      <c r="AJ2" s="556" t="s">
        <v>4</v>
      </c>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6"/>
      <c r="CJ2" s="556"/>
      <c r="CK2" s="556"/>
      <c r="CL2" s="556"/>
      <c r="CM2" s="556"/>
      <c r="CN2" s="556"/>
      <c r="CO2" s="556"/>
      <c r="CP2" s="556"/>
      <c r="CQ2" s="556"/>
      <c r="CR2" s="556"/>
      <c r="CS2" s="556"/>
      <c r="CT2" s="556"/>
      <c r="CU2" s="556"/>
      <c r="CV2" s="556"/>
      <c r="CW2" s="556"/>
      <c r="CX2" s="556"/>
      <c r="CY2" s="556"/>
      <c r="CZ2" s="556"/>
      <c r="DA2" s="556"/>
      <c r="DB2" s="556"/>
      <c r="DC2" s="556"/>
      <c r="DD2" s="556"/>
      <c r="DE2" s="556"/>
      <c r="DF2" s="556"/>
      <c r="DG2" s="556"/>
      <c r="DH2" s="556"/>
      <c r="DI2" s="556"/>
      <c r="DJ2" s="556"/>
      <c r="DK2" s="556"/>
      <c r="DL2" s="556"/>
      <c r="DM2" s="556"/>
      <c r="DN2" s="556"/>
      <c r="DO2" s="556"/>
      <c r="DP2" s="556"/>
      <c r="DQ2" s="556"/>
      <c r="DR2" s="556"/>
      <c r="DS2" s="556"/>
      <c r="DT2" s="559"/>
      <c r="DU2" s="556"/>
      <c r="DV2" s="559"/>
      <c r="DW2" s="556"/>
      <c r="DX2" s="556"/>
      <c r="DY2" s="556"/>
      <c r="DZ2" s="556"/>
      <c r="EA2" s="556"/>
      <c r="EB2" s="556"/>
      <c r="EC2" s="556"/>
      <c r="ED2" s="556"/>
      <c r="EE2" s="560"/>
      <c r="EF2" s="560"/>
      <c r="EG2" s="560"/>
      <c r="EH2" s="560"/>
      <c r="EI2" s="560"/>
      <c r="EJ2" s="556"/>
      <c r="EK2" s="556"/>
      <c r="EL2" s="556"/>
      <c r="EM2" s="556"/>
      <c r="EN2" s="556"/>
      <c r="EO2" s="556"/>
      <c r="EP2" s="556"/>
      <c r="EQ2" s="556"/>
      <c r="ER2" s="556"/>
      <c r="ES2" s="556"/>
      <c r="ET2" s="556"/>
      <c r="EU2" s="556"/>
      <c r="EV2" s="560"/>
      <c r="EW2" s="560"/>
      <c r="EX2" s="560"/>
      <c r="EY2" s="560"/>
      <c r="EZ2" s="560"/>
      <c r="FA2" s="556"/>
      <c r="FB2" s="556"/>
      <c r="FC2" s="556"/>
      <c r="FD2" s="556"/>
      <c r="FE2" s="556"/>
      <c r="FF2" s="556"/>
      <c r="FG2" s="556"/>
      <c r="FH2" s="556"/>
      <c r="FI2" s="556"/>
      <c r="FJ2" s="556"/>
      <c r="FK2" s="556"/>
      <c r="FL2" s="556"/>
      <c r="FM2" s="556"/>
      <c r="FN2" s="556"/>
      <c r="FO2" s="556"/>
      <c r="FP2" s="556"/>
      <c r="FQ2" s="556"/>
      <c r="FR2" s="556"/>
      <c r="FS2" s="556"/>
      <c r="FT2" s="556"/>
      <c r="FU2" s="556"/>
      <c r="FV2" s="556"/>
      <c r="FW2" s="556"/>
      <c r="FX2" s="556"/>
      <c r="FY2" s="556"/>
      <c r="FZ2" s="556"/>
      <c r="GA2" s="556"/>
      <c r="GB2" s="559"/>
      <c r="GC2" s="556"/>
      <c r="GD2" s="556"/>
      <c r="GE2" s="556"/>
      <c r="GF2" s="556"/>
      <c r="GG2" s="556"/>
      <c r="GH2" s="556"/>
      <c r="GI2" s="556"/>
      <c r="GJ2" s="556"/>
      <c r="GK2" s="556"/>
      <c r="GL2" s="556"/>
      <c r="GM2" s="556"/>
      <c r="GN2" s="556"/>
      <c r="GO2" s="556"/>
      <c r="GP2" s="556"/>
      <c r="GQ2" s="556"/>
      <c r="GR2" s="556"/>
      <c r="GS2" s="556"/>
      <c r="GT2" s="556"/>
      <c r="GU2" s="556"/>
      <c r="GV2" s="556"/>
      <c r="GW2" s="556"/>
      <c r="GX2" s="556"/>
      <c r="GY2" s="556"/>
      <c r="GZ2" s="556"/>
      <c r="HA2" s="556"/>
      <c r="HB2" s="556"/>
      <c r="HC2" s="556"/>
      <c r="HD2" s="556"/>
      <c r="HE2" s="556"/>
      <c r="HF2" s="556"/>
      <c r="HG2" s="556"/>
      <c r="HH2" s="556"/>
      <c r="HI2" s="556"/>
      <c r="HJ2" s="559"/>
      <c r="HK2" s="556"/>
      <c r="HL2" s="556"/>
      <c r="HM2" s="556"/>
      <c r="HN2" s="556"/>
      <c r="HO2" s="556"/>
      <c r="HP2" s="556"/>
      <c r="HQ2" s="556"/>
      <c r="HR2" s="556"/>
      <c r="HS2" s="556"/>
      <c r="HT2" s="556"/>
      <c r="HU2" s="556"/>
      <c r="HV2" s="556"/>
      <c r="HW2" s="556"/>
      <c r="HX2" s="556"/>
      <c r="HY2" s="556"/>
      <c r="HZ2" s="556" t="s">
        <v>30630</v>
      </c>
      <c r="IA2" s="556" t="s">
        <v>7</v>
      </c>
      <c r="IB2" s="556" t="s">
        <v>30631</v>
      </c>
      <c r="IC2" s="556" t="s">
        <v>30632</v>
      </c>
      <c r="ID2" s="556" t="s">
        <v>30633</v>
      </c>
      <c r="IE2" s="556" t="s">
        <v>30634</v>
      </c>
      <c r="IF2" s="556" t="s">
        <v>30635</v>
      </c>
      <c r="IG2" s="556" t="s">
        <v>30636</v>
      </c>
      <c r="IH2" s="556" t="s">
        <v>30628</v>
      </c>
    </row>
    <row r="3" spans="1:242" s="561" customFormat="1" ht="36.75" customHeight="1" x14ac:dyDescent="0.2">
      <c r="A3" s="556">
        <v>109</v>
      </c>
      <c r="B3" s="556" t="s">
        <v>4795</v>
      </c>
      <c r="C3" s="556" t="s">
        <v>30047</v>
      </c>
      <c r="D3" s="556" t="s">
        <v>30392</v>
      </c>
      <c r="E3" s="556" t="s">
        <v>7</v>
      </c>
      <c r="F3" s="556" t="s">
        <v>30491</v>
      </c>
      <c r="G3" s="556">
        <v>1163.797</v>
      </c>
      <c r="H3" s="556">
        <v>3.8973170000000001</v>
      </c>
      <c r="I3" s="556" t="s">
        <v>29319</v>
      </c>
      <c r="J3" s="556" t="s">
        <v>4</v>
      </c>
      <c r="K3" s="556" t="s">
        <v>30492</v>
      </c>
      <c r="L3" s="556">
        <v>782770045</v>
      </c>
      <c r="M3" s="556" t="s">
        <v>5</v>
      </c>
      <c r="N3" s="556" t="s">
        <v>31598</v>
      </c>
      <c r="O3" s="556" t="s">
        <v>4</v>
      </c>
      <c r="P3" s="556">
        <v>7</v>
      </c>
      <c r="Q3" s="556" t="s">
        <v>7</v>
      </c>
      <c r="R3" s="556" t="s">
        <v>31588</v>
      </c>
      <c r="S3" s="556" t="s">
        <v>4</v>
      </c>
      <c r="T3" s="556" t="s">
        <v>2</v>
      </c>
      <c r="U3" s="556" t="s">
        <v>4</v>
      </c>
      <c r="V3" s="556"/>
      <c r="W3" s="556" t="s">
        <v>4</v>
      </c>
      <c r="X3" s="556" t="s">
        <v>4</v>
      </c>
      <c r="Y3" s="557">
        <v>41465</v>
      </c>
      <c r="Z3" s="557" t="str">
        <f>IF(OR(T3="yes",Y3&gt;'SDG outcome'!$C$27),"yes","no")</f>
        <v>no</v>
      </c>
      <c r="AA3" s="558" t="str">
        <f t="shared" si="0"/>
        <v/>
      </c>
      <c r="AB3" s="558" t="str">
        <f>IF(AND(Z3="no",AND(Y3&gt;='SDG outcome'!$B$16,Y3&lt;'SDG outcome'!$C$27)),Y3-'SDG outcome'!$B$16,"")</f>
        <v/>
      </c>
      <c r="AC3" s="556" t="s">
        <v>31699</v>
      </c>
      <c r="AD3" s="556" t="s">
        <v>4</v>
      </c>
      <c r="AE3" s="556" t="s">
        <v>4</v>
      </c>
      <c r="AF3" s="556" t="s">
        <v>4</v>
      </c>
      <c r="AG3" s="556" t="s">
        <v>4</v>
      </c>
      <c r="AH3" s="556" t="s">
        <v>4</v>
      </c>
      <c r="AI3" s="557" t="s">
        <v>4</v>
      </c>
      <c r="AJ3" s="556" t="s">
        <v>4</v>
      </c>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6"/>
      <c r="BM3" s="556"/>
      <c r="BN3" s="556"/>
      <c r="BO3" s="556"/>
      <c r="BP3" s="556"/>
      <c r="BQ3" s="556"/>
      <c r="BR3" s="556"/>
      <c r="BS3" s="556"/>
      <c r="BT3" s="556"/>
      <c r="BU3" s="556"/>
      <c r="BV3" s="556"/>
      <c r="BW3" s="556"/>
      <c r="BX3" s="556"/>
      <c r="BY3" s="556"/>
      <c r="BZ3" s="556"/>
      <c r="CA3" s="556"/>
      <c r="CB3" s="556"/>
      <c r="CC3" s="556"/>
      <c r="CD3" s="556"/>
      <c r="CE3" s="556"/>
      <c r="CF3" s="556"/>
      <c r="CG3" s="556"/>
      <c r="CH3" s="556"/>
      <c r="CI3" s="556"/>
      <c r="CJ3" s="556"/>
      <c r="CK3" s="556"/>
      <c r="CL3" s="556"/>
      <c r="CM3" s="556"/>
      <c r="CN3" s="556"/>
      <c r="CO3" s="556"/>
      <c r="CP3" s="556"/>
      <c r="CQ3" s="556"/>
      <c r="CR3" s="556"/>
      <c r="CS3" s="556"/>
      <c r="CT3" s="556"/>
      <c r="CU3" s="556"/>
      <c r="CV3" s="556"/>
      <c r="CW3" s="556"/>
      <c r="CX3" s="556"/>
      <c r="CY3" s="556"/>
      <c r="CZ3" s="556"/>
      <c r="DA3" s="556"/>
      <c r="DB3" s="556"/>
      <c r="DC3" s="556"/>
      <c r="DD3" s="556"/>
      <c r="DE3" s="556"/>
      <c r="DF3" s="556"/>
      <c r="DG3" s="556"/>
      <c r="DH3" s="556"/>
      <c r="DI3" s="556"/>
      <c r="DJ3" s="556"/>
      <c r="DK3" s="556"/>
      <c r="DL3" s="556"/>
      <c r="DM3" s="556"/>
      <c r="DN3" s="556"/>
      <c r="DO3" s="556"/>
      <c r="DP3" s="556"/>
      <c r="DQ3" s="556"/>
      <c r="DR3" s="556"/>
      <c r="DS3" s="556"/>
      <c r="DT3" s="559"/>
      <c r="DU3" s="556"/>
      <c r="DV3" s="559"/>
      <c r="DW3" s="556"/>
      <c r="DX3" s="556"/>
      <c r="DY3" s="556"/>
      <c r="DZ3" s="556"/>
      <c r="EA3" s="556"/>
      <c r="EB3" s="556"/>
      <c r="EC3" s="556"/>
      <c r="ED3" s="556"/>
      <c r="EE3" s="560"/>
      <c r="EF3" s="560"/>
      <c r="EG3" s="560"/>
      <c r="EH3" s="560"/>
      <c r="EI3" s="560"/>
      <c r="EJ3" s="556"/>
      <c r="EK3" s="556"/>
      <c r="EL3" s="556"/>
      <c r="EM3" s="556"/>
      <c r="EN3" s="556"/>
      <c r="EO3" s="556"/>
      <c r="EP3" s="556"/>
      <c r="EQ3" s="556"/>
      <c r="ER3" s="556"/>
      <c r="ES3" s="556"/>
      <c r="ET3" s="556"/>
      <c r="EU3" s="556"/>
      <c r="EV3" s="560"/>
      <c r="EW3" s="560"/>
      <c r="EX3" s="560"/>
      <c r="EY3" s="560"/>
      <c r="EZ3" s="560"/>
      <c r="FA3" s="556"/>
      <c r="FB3" s="556"/>
      <c r="FC3" s="556"/>
      <c r="FD3" s="556"/>
      <c r="FE3" s="556"/>
      <c r="FF3" s="556"/>
      <c r="FG3" s="556"/>
      <c r="FH3" s="556"/>
      <c r="FI3" s="556"/>
      <c r="FJ3" s="556"/>
      <c r="FK3" s="556"/>
      <c r="FL3" s="556"/>
      <c r="FM3" s="556"/>
      <c r="FN3" s="556"/>
      <c r="FO3" s="556"/>
      <c r="FP3" s="556"/>
      <c r="FQ3" s="556"/>
      <c r="FR3" s="556"/>
      <c r="FS3" s="556"/>
      <c r="FT3" s="556"/>
      <c r="FU3" s="556"/>
      <c r="FV3" s="556"/>
      <c r="FW3" s="556"/>
      <c r="FX3" s="556"/>
      <c r="FY3" s="556"/>
      <c r="FZ3" s="556"/>
      <c r="GA3" s="556"/>
      <c r="GB3" s="559"/>
      <c r="GC3" s="556"/>
      <c r="GD3" s="556"/>
      <c r="GE3" s="556"/>
      <c r="GF3" s="556"/>
      <c r="GG3" s="556"/>
      <c r="GH3" s="556"/>
      <c r="GI3" s="556"/>
      <c r="GJ3" s="556"/>
      <c r="GK3" s="556"/>
      <c r="GL3" s="556"/>
      <c r="GM3" s="556"/>
      <c r="GN3" s="556"/>
      <c r="GO3" s="556"/>
      <c r="GP3" s="556"/>
      <c r="GQ3" s="556"/>
      <c r="GR3" s="556"/>
      <c r="GS3" s="556"/>
      <c r="GT3" s="556"/>
      <c r="GU3" s="556"/>
      <c r="GV3" s="556"/>
      <c r="GW3" s="556"/>
      <c r="GX3" s="556"/>
      <c r="GY3" s="556"/>
      <c r="GZ3" s="556"/>
      <c r="HA3" s="556"/>
      <c r="HB3" s="556"/>
      <c r="HC3" s="556"/>
      <c r="HD3" s="556"/>
      <c r="HE3" s="556"/>
      <c r="HF3" s="556"/>
      <c r="HG3" s="556"/>
      <c r="HH3" s="556"/>
      <c r="HI3" s="556"/>
      <c r="HJ3" s="559"/>
      <c r="HK3" s="556"/>
      <c r="HL3" s="556"/>
      <c r="HM3" s="556"/>
      <c r="HN3" s="556"/>
      <c r="HO3" s="556"/>
      <c r="HP3" s="556"/>
      <c r="HQ3" s="556"/>
      <c r="HR3" s="556"/>
      <c r="HS3" s="556"/>
      <c r="HT3" s="556"/>
      <c r="HU3" s="556"/>
      <c r="HV3" s="556"/>
      <c r="HW3" s="556"/>
      <c r="HX3" s="556"/>
      <c r="HY3" s="556"/>
      <c r="HZ3" s="556" t="s">
        <v>30493</v>
      </c>
      <c r="IA3" s="556" t="s">
        <v>7</v>
      </c>
      <c r="IB3" s="556" t="s">
        <v>30494</v>
      </c>
      <c r="IC3" s="556" t="s">
        <v>30495</v>
      </c>
      <c r="ID3" s="556" t="s">
        <v>30496</v>
      </c>
      <c r="IE3" s="556" t="s">
        <v>30497</v>
      </c>
      <c r="IF3" s="556" t="s">
        <v>30498</v>
      </c>
      <c r="IG3" s="556" t="s">
        <v>30499</v>
      </c>
      <c r="IH3" s="556" t="s">
        <v>30047</v>
      </c>
    </row>
    <row r="4" spans="1:242" s="561" customFormat="1" ht="36.75" customHeight="1" x14ac:dyDescent="0.2">
      <c r="A4" s="556">
        <v>169</v>
      </c>
      <c r="B4" s="556" t="s">
        <v>20518</v>
      </c>
      <c r="C4" s="556" t="s">
        <v>31089</v>
      </c>
      <c r="D4" s="556" t="s">
        <v>31090</v>
      </c>
      <c r="E4" s="556" t="s">
        <v>7</v>
      </c>
      <c r="F4" s="556" t="s">
        <v>31091</v>
      </c>
      <c r="G4" s="556">
        <v>1381.4297979999999</v>
      </c>
      <c r="H4" s="556">
        <v>6</v>
      </c>
      <c r="I4" s="556" t="s">
        <v>29288</v>
      </c>
      <c r="J4" s="556" t="s">
        <v>4</v>
      </c>
      <c r="K4" s="556" t="s">
        <v>31092</v>
      </c>
      <c r="L4" s="556">
        <v>787083253</v>
      </c>
      <c r="M4" s="556" t="s">
        <v>3</v>
      </c>
      <c r="N4" s="556" t="s">
        <v>31598</v>
      </c>
      <c r="O4" s="556" t="s">
        <v>4</v>
      </c>
      <c r="P4" s="556">
        <v>6</v>
      </c>
      <c r="Q4" s="556" t="s">
        <v>7</v>
      </c>
      <c r="R4" s="556" t="s">
        <v>31588</v>
      </c>
      <c r="S4" s="556" t="s">
        <v>4</v>
      </c>
      <c r="T4" s="556" t="s">
        <v>2</v>
      </c>
      <c r="U4" s="556" t="s">
        <v>4</v>
      </c>
      <c r="V4" s="556"/>
      <c r="W4" s="556" t="s">
        <v>4</v>
      </c>
      <c r="X4" s="556" t="s">
        <v>4</v>
      </c>
      <c r="Y4" s="557">
        <v>41613</v>
      </c>
      <c r="Z4" s="557" t="str">
        <f>IF(OR(T4="yes",Y4&gt;'SDG outcome'!$C$27),"yes","no")</f>
        <v>no</v>
      </c>
      <c r="AA4" s="558" t="str">
        <f t="shared" si="0"/>
        <v/>
      </c>
      <c r="AB4" s="558" t="str">
        <f>IF(AND(Z4="no",AND(Y4&gt;='SDG outcome'!$B$16,Y4&lt;'SDG outcome'!$C$27)),Y4-'SDG outcome'!$B$16,"")</f>
        <v/>
      </c>
      <c r="AC4" s="556" t="s">
        <v>31572</v>
      </c>
      <c r="AD4" s="556" t="s">
        <v>4</v>
      </c>
      <c r="AE4" s="556" t="s">
        <v>7</v>
      </c>
      <c r="AF4" s="556" t="s">
        <v>31910</v>
      </c>
      <c r="AG4" s="556" t="s">
        <v>4</v>
      </c>
      <c r="AH4" s="556" t="s">
        <v>2</v>
      </c>
      <c r="AI4" s="557" t="s">
        <v>4</v>
      </c>
      <c r="AJ4" s="556" t="s">
        <v>4</v>
      </c>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6"/>
      <c r="BU4" s="556"/>
      <c r="BV4" s="556"/>
      <c r="BW4" s="556"/>
      <c r="BX4" s="556"/>
      <c r="BY4" s="556"/>
      <c r="BZ4" s="556"/>
      <c r="CA4" s="556"/>
      <c r="CB4" s="556"/>
      <c r="CC4" s="556"/>
      <c r="CD4" s="556"/>
      <c r="CE4" s="556"/>
      <c r="CF4" s="556"/>
      <c r="CG4" s="556"/>
      <c r="CH4" s="556"/>
      <c r="CI4" s="556"/>
      <c r="CJ4" s="556"/>
      <c r="CK4" s="556"/>
      <c r="CL4" s="556"/>
      <c r="CM4" s="556"/>
      <c r="CN4" s="556"/>
      <c r="CO4" s="556"/>
      <c r="CP4" s="556"/>
      <c r="CQ4" s="556"/>
      <c r="CR4" s="556"/>
      <c r="CS4" s="556"/>
      <c r="CT4" s="556"/>
      <c r="CU4" s="556"/>
      <c r="CV4" s="556"/>
      <c r="CW4" s="556"/>
      <c r="CX4" s="556"/>
      <c r="CY4" s="556"/>
      <c r="CZ4" s="556"/>
      <c r="DA4" s="556"/>
      <c r="DB4" s="556"/>
      <c r="DC4" s="556"/>
      <c r="DD4" s="556"/>
      <c r="DE4" s="556"/>
      <c r="DF4" s="556"/>
      <c r="DG4" s="556"/>
      <c r="DH4" s="556"/>
      <c r="DI4" s="556"/>
      <c r="DJ4" s="556"/>
      <c r="DK4" s="556"/>
      <c r="DL4" s="556"/>
      <c r="DM4" s="556"/>
      <c r="DN4" s="556"/>
      <c r="DO4" s="556"/>
      <c r="DP4" s="556"/>
      <c r="DQ4" s="556"/>
      <c r="DR4" s="556"/>
      <c r="DS4" s="556"/>
      <c r="DT4" s="559"/>
      <c r="DU4" s="556"/>
      <c r="DV4" s="559"/>
      <c r="DW4" s="556"/>
      <c r="DX4" s="556"/>
      <c r="DY4" s="556"/>
      <c r="DZ4" s="556"/>
      <c r="EA4" s="556"/>
      <c r="EB4" s="556"/>
      <c r="EC4" s="556"/>
      <c r="ED4" s="556"/>
      <c r="EE4" s="560"/>
      <c r="EF4" s="560"/>
      <c r="EG4" s="560"/>
      <c r="EH4" s="560"/>
      <c r="EI4" s="560"/>
      <c r="EJ4" s="556"/>
      <c r="EK4" s="556"/>
      <c r="EL4" s="556"/>
      <c r="EM4" s="556"/>
      <c r="EN4" s="556"/>
      <c r="EO4" s="556"/>
      <c r="EP4" s="556"/>
      <c r="EQ4" s="556"/>
      <c r="ER4" s="556"/>
      <c r="ES4" s="556"/>
      <c r="ET4" s="556"/>
      <c r="EU4" s="556"/>
      <c r="EV4" s="560"/>
      <c r="EW4" s="560"/>
      <c r="EX4" s="560"/>
      <c r="EY4" s="560"/>
      <c r="EZ4" s="560"/>
      <c r="FA4" s="556"/>
      <c r="FB4" s="556"/>
      <c r="FC4" s="556"/>
      <c r="FD4" s="556"/>
      <c r="FE4" s="556"/>
      <c r="FF4" s="556"/>
      <c r="FG4" s="556"/>
      <c r="FH4" s="556"/>
      <c r="FI4" s="556"/>
      <c r="FJ4" s="556"/>
      <c r="FK4" s="556"/>
      <c r="FL4" s="556"/>
      <c r="FM4" s="556"/>
      <c r="FN4" s="556"/>
      <c r="FO4" s="556"/>
      <c r="FP4" s="556"/>
      <c r="FQ4" s="556"/>
      <c r="FR4" s="556"/>
      <c r="FS4" s="556"/>
      <c r="FT4" s="556"/>
      <c r="FU4" s="556"/>
      <c r="FV4" s="556"/>
      <c r="FW4" s="556"/>
      <c r="FX4" s="556"/>
      <c r="FY4" s="556"/>
      <c r="FZ4" s="556"/>
      <c r="GA4" s="556"/>
      <c r="GB4" s="559"/>
      <c r="GC4" s="556"/>
      <c r="GD4" s="556"/>
      <c r="GE4" s="556"/>
      <c r="GF4" s="556"/>
      <c r="GG4" s="556"/>
      <c r="GH4" s="556"/>
      <c r="GI4" s="556"/>
      <c r="GJ4" s="556"/>
      <c r="GK4" s="556"/>
      <c r="GL4" s="556"/>
      <c r="GM4" s="556"/>
      <c r="GN4" s="556"/>
      <c r="GO4" s="556"/>
      <c r="GP4" s="556"/>
      <c r="GQ4" s="556"/>
      <c r="GR4" s="556"/>
      <c r="GS4" s="556"/>
      <c r="GT4" s="556"/>
      <c r="GU4" s="556"/>
      <c r="GV4" s="556"/>
      <c r="GW4" s="556"/>
      <c r="GX4" s="556"/>
      <c r="GY4" s="556"/>
      <c r="GZ4" s="556"/>
      <c r="HA4" s="556"/>
      <c r="HB4" s="556"/>
      <c r="HC4" s="556"/>
      <c r="HD4" s="556"/>
      <c r="HE4" s="556"/>
      <c r="HF4" s="556"/>
      <c r="HG4" s="556"/>
      <c r="HH4" s="556"/>
      <c r="HI4" s="556"/>
      <c r="HJ4" s="559"/>
      <c r="HK4" s="556"/>
      <c r="HL4" s="556"/>
      <c r="HM4" s="556"/>
      <c r="HN4" s="556"/>
      <c r="HO4" s="556"/>
      <c r="HP4" s="556"/>
      <c r="HQ4" s="556"/>
      <c r="HR4" s="556"/>
      <c r="HS4" s="556"/>
      <c r="HT4" s="556"/>
      <c r="HU4" s="556"/>
      <c r="HV4" s="556"/>
      <c r="HW4" s="556"/>
      <c r="HX4" s="556"/>
      <c r="HY4" s="556"/>
      <c r="HZ4" s="556" t="s">
        <v>31093</v>
      </c>
      <c r="IA4" s="556" t="s">
        <v>2</v>
      </c>
      <c r="IB4" s="556" t="s">
        <v>4</v>
      </c>
      <c r="IC4" s="556" t="s">
        <v>31094</v>
      </c>
      <c r="ID4" s="556" t="s">
        <v>31095</v>
      </c>
      <c r="IE4" s="556" t="s">
        <v>31096</v>
      </c>
      <c r="IF4" s="556" t="s">
        <v>31097</v>
      </c>
      <c r="IG4" s="556" t="s">
        <v>31098</v>
      </c>
      <c r="IH4" s="556" t="s">
        <v>31099</v>
      </c>
    </row>
    <row r="5" spans="1:242" s="561" customFormat="1" ht="36.75" customHeight="1" x14ac:dyDescent="0.2">
      <c r="A5" s="556">
        <v>121</v>
      </c>
      <c r="B5" s="556" t="s">
        <v>28065</v>
      </c>
      <c r="C5" s="556" t="s">
        <v>30618</v>
      </c>
      <c r="D5" s="556" t="s">
        <v>30534</v>
      </c>
      <c r="E5" s="556" t="s">
        <v>7</v>
      </c>
      <c r="F5" s="556" t="s">
        <v>30619</v>
      </c>
      <c r="G5" s="556">
        <v>1047</v>
      </c>
      <c r="H5" s="556">
        <v>7</v>
      </c>
      <c r="I5" s="556" t="s">
        <v>29319</v>
      </c>
      <c r="J5" s="556" t="s">
        <v>4</v>
      </c>
      <c r="K5" s="556" t="s">
        <v>30620</v>
      </c>
      <c r="L5" s="556">
        <v>772491322</v>
      </c>
      <c r="M5" s="556" t="s">
        <v>5</v>
      </c>
      <c r="N5" s="556" t="s">
        <v>31438</v>
      </c>
      <c r="O5" s="556">
        <v>60</v>
      </c>
      <c r="P5" s="556">
        <v>13</v>
      </c>
      <c r="Q5" s="556" t="s">
        <v>7</v>
      </c>
      <c r="R5" s="556" t="s">
        <v>31549</v>
      </c>
      <c r="S5" s="556" t="s">
        <v>4</v>
      </c>
      <c r="T5" s="556" t="s">
        <v>2</v>
      </c>
      <c r="U5" s="556" t="s">
        <v>4</v>
      </c>
      <c r="V5" s="556"/>
      <c r="W5" s="556" t="s">
        <v>4</v>
      </c>
      <c r="X5" s="556" t="s">
        <v>4</v>
      </c>
      <c r="Y5" s="557">
        <v>41629</v>
      </c>
      <c r="Z5" s="557" t="str">
        <f>IF(OR(T5="yes",Y5&gt;'SDG outcome'!$C$27),"yes","no")</f>
        <v>no</v>
      </c>
      <c r="AA5" s="558" t="str">
        <f t="shared" si="0"/>
        <v/>
      </c>
      <c r="AB5" s="558" t="str">
        <f>IF(AND(Z5="no",AND(Y5&gt;='SDG outcome'!$B$16,Y5&lt;'SDG outcome'!$C$27)),Y5-'SDG outcome'!$B$16,"")</f>
        <v/>
      </c>
      <c r="AC5" s="556" t="s">
        <v>8</v>
      </c>
      <c r="AD5" s="556" t="s">
        <v>31841</v>
      </c>
      <c r="AE5" s="556" t="s">
        <v>4</v>
      </c>
      <c r="AF5" s="556" t="s">
        <v>4</v>
      </c>
      <c r="AG5" s="556" t="s">
        <v>4</v>
      </c>
      <c r="AH5" s="556" t="s">
        <v>7</v>
      </c>
      <c r="AI5" s="557">
        <v>45181</v>
      </c>
      <c r="AJ5" s="556" t="s">
        <v>4</v>
      </c>
      <c r="AK5" s="556"/>
      <c r="AL5" s="556"/>
      <c r="AM5" s="556"/>
      <c r="AN5" s="556"/>
      <c r="AO5" s="556"/>
      <c r="AP5" s="556"/>
      <c r="AQ5" s="556"/>
      <c r="AR5" s="556"/>
      <c r="AS5" s="556"/>
      <c r="AT5" s="556"/>
      <c r="AU5" s="556"/>
      <c r="AV5" s="556"/>
      <c r="AW5" s="556"/>
      <c r="AX5" s="556"/>
      <c r="AY5" s="556"/>
      <c r="AZ5" s="556"/>
      <c r="BA5" s="556"/>
      <c r="BB5" s="556"/>
      <c r="BC5" s="556"/>
      <c r="BD5" s="556"/>
      <c r="BE5" s="556"/>
      <c r="BF5" s="556"/>
      <c r="BG5" s="556"/>
      <c r="BH5" s="556"/>
      <c r="BI5" s="556"/>
      <c r="BJ5" s="556"/>
      <c r="BK5" s="556"/>
      <c r="BL5" s="556"/>
      <c r="BM5" s="556"/>
      <c r="BN5" s="556"/>
      <c r="BO5" s="556"/>
      <c r="BP5" s="556"/>
      <c r="BQ5" s="556"/>
      <c r="BR5" s="556"/>
      <c r="BS5" s="556"/>
      <c r="BT5" s="556"/>
      <c r="BU5" s="556"/>
      <c r="BV5" s="556"/>
      <c r="BW5" s="556"/>
      <c r="BX5" s="556"/>
      <c r="BY5" s="556"/>
      <c r="BZ5" s="556"/>
      <c r="CA5" s="556"/>
      <c r="CB5" s="556"/>
      <c r="CC5" s="556"/>
      <c r="CD5" s="556"/>
      <c r="CE5" s="556"/>
      <c r="CF5" s="556"/>
      <c r="CG5" s="556"/>
      <c r="CH5" s="556"/>
      <c r="CI5" s="556"/>
      <c r="CJ5" s="556"/>
      <c r="CK5" s="556"/>
      <c r="CL5" s="556"/>
      <c r="CM5" s="556"/>
      <c r="CN5" s="556"/>
      <c r="CO5" s="556"/>
      <c r="CP5" s="556"/>
      <c r="CQ5" s="556"/>
      <c r="CR5" s="556"/>
      <c r="CS5" s="556"/>
      <c r="CT5" s="556"/>
      <c r="CU5" s="556"/>
      <c r="CV5" s="556"/>
      <c r="CW5" s="556"/>
      <c r="CX5" s="556"/>
      <c r="CY5" s="556"/>
      <c r="CZ5" s="556"/>
      <c r="DA5" s="556"/>
      <c r="DB5" s="556"/>
      <c r="DC5" s="556"/>
      <c r="DD5" s="556"/>
      <c r="DE5" s="556"/>
      <c r="DF5" s="556"/>
      <c r="DG5" s="556"/>
      <c r="DH5" s="556"/>
      <c r="DI5" s="556"/>
      <c r="DJ5" s="556"/>
      <c r="DK5" s="556"/>
      <c r="DL5" s="556"/>
      <c r="DM5" s="556"/>
      <c r="DN5" s="556"/>
      <c r="DO5" s="556"/>
      <c r="DP5" s="556"/>
      <c r="DQ5" s="556"/>
      <c r="DR5" s="556"/>
      <c r="DS5" s="556"/>
      <c r="DT5" s="559"/>
      <c r="DU5" s="556"/>
      <c r="DV5" s="559"/>
      <c r="DW5" s="556"/>
      <c r="DX5" s="556"/>
      <c r="DY5" s="556"/>
      <c r="DZ5" s="556"/>
      <c r="EA5" s="556"/>
      <c r="EB5" s="556"/>
      <c r="EC5" s="556"/>
      <c r="ED5" s="556"/>
      <c r="EE5" s="560"/>
      <c r="EF5" s="560"/>
      <c r="EG5" s="560"/>
      <c r="EH5" s="560"/>
      <c r="EI5" s="560"/>
      <c r="EJ5" s="556"/>
      <c r="EK5" s="556"/>
      <c r="EL5" s="556"/>
      <c r="EM5" s="556"/>
      <c r="EN5" s="556"/>
      <c r="EO5" s="556"/>
      <c r="EP5" s="556"/>
      <c r="EQ5" s="556"/>
      <c r="ER5" s="556"/>
      <c r="ES5" s="556"/>
      <c r="ET5" s="556"/>
      <c r="EU5" s="556"/>
      <c r="EV5" s="560"/>
      <c r="EW5" s="560"/>
      <c r="EX5" s="560"/>
      <c r="EY5" s="560"/>
      <c r="EZ5" s="560"/>
      <c r="FA5" s="556"/>
      <c r="FB5" s="556"/>
      <c r="FC5" s="556"/>
      <c r="FD5" s="556"/>
      <c r="FE5" s="556"/>
      <c r="FF5" s="556"/>
      <c r="FG5" s="556"/>
      <c r="FH5" s="556"/>
      <c r="FI5" s="556"/>
      <c r="FJ5" s="556"/>
      <c r="FK5" s="556"/>
      <c r="FL5" s="556"/>
      <c r="FM5" s="556"/>
      <c r="FN5" s="556"/>
      <c r="FO5" s="556"/>
      <c r="FP5" s="556"/>
      <c r="FQ5" s="556"/>
      <c r="FR5" s="556"/>
      <c r="FS5" s="556"/>
      <c r="FT5" s="556"/>
      <c r="FU5" s="556"/>
      <c r="FV5" s="556"/>
      <c r="FW5" s="556"/>
      <c r="FX5" s="556"/>
      <c r="FY5" s="556"/>
      <c r="FZ5" s="556"/>
      <c r="GA5" s="556"/>
      <c r="GB5" s="559"/>
      <c r="GC5" s="556"/>
      <c r="GD5" s="556"/>
      <c r="GE5" s="556"/>
      <c r="GF5" s="556"/>
      <c r="GG5" s="556"/>
      <c r="GH5" s="556"/>
      <c r="GI5" s="556"/>
      <c r="GJ5" s="556"/>
      <c r="GK5" s="556"/>
      <c r="GL5" s="556"/>
      <c r="GM5" s="556"/>
      <c r="GN5" s="556"/>
      <c r="GO5" s="556"/>
      <c r="GP5" s="556"/>
      <c r="GQ5" s="556"/>
      <c r="GR5" s="556"/>
      <c r="GS5" s="556"/>
      <c r="GT5" s="556"/>
      <c r="GU5" s="556"/>
      <c r="GV5" s="556"/>
      <c r="GW5" s="556"/>
      <c r="GX5" s="556"/>
      <c r="GY5" s="556"/>
      <c r="GZ5" s="556"/>
      <c r="HA5" s="556"/>
      <c r="HB5" s="556"/>
      <c r="HC5" s="556"/>
      <c r="HD5" s="556"/>
      <c r="HE5" s="556"/>
      <c r="HF5" s="556"/>
      <c r="HG5" s="556"/>
      <c r="HH5" s="556"/>
      <c r="HI5" s="556"/>
      <c r="HJ5" s="559"/>
      <c r="HK5" s="556"/>
      <c r="HL5" s="556"/>
      <c r="HM5" s="556"/>
      <c r="HN5" s="556"/>
      <c r="HO5" s="556"/>
      <c r="HP5" s="556"/>
      <c r="HQ5" s="556"/>
      <c r="HR5" s="556"/>
      <c r="HS5" s="556"/>
      <c r="HT5" s="556"/>
      <c r="HU5" s="556"/>
      <c r="HV5" s="556"/>
      <c r="HW5" s="556"/>
      <c r="HX5" s="556"/>
      <c r="HY5" s="556"/>
      <c r="HZ5" s="556" t="s">
        <v>30621</v>
      </c>
      <c r="IA5" s="556" t="s">
        <v>7</v>
      </c>
      <c r="IB5" s="556" t="s">
        <v>30622</v>
      </c>
      <c r="IC5" s="556" t="s">
        <v>30623</v>
      </c>
      <c r="ID5" s="556" t="s">
        <v>30624</v>
      </c>
      <c r="IE5" s="556" t="s">
        <v>30625</v>
      </c>
      <c r="IF5" s="556" t="s">
        <v>30626</v>
      </c>
      <c r="IG5" s="556" t="s">
        <v>30627</v>
      </c>
      <c r="IH5" s="556" t="s">
        <v>30618</v>
      </c>
    </row>
    <row r="6" spans="1:242" s="561" customFormat="1" ht="36.75" customHeight="1" x14ac:dyDescent="0.2">
      <c r="A6" s="556">
        <v>115</v>
      </c>
      <c r="B6" s="556" t="s">
        <v>28804</v>
      </c>
      <c r="C6" s="556" t="s">
        <v>29522</v>
      </c>
      <c r="D6" s="556" t="s">
        <v>30534</v>
      </c>
      <c r="E6" s="556" t="s">
        <v>7</v>
      </c>
      <c r="F6" s="556" t="s">
        <v>30560</v>
      </c>
      <c r="G6" s="556">
        <v>1022.2</v>
      </c>
      <c r="H6" s="556">
        <v>6.3</v>
      </c>
      <c r="I6" s="556" t="s">
        <v>29288</v>
      </c>
      <c r="J6" s="556" t="s">
        <v>4</v>
      </c>
      <c r="K6" s="556" t="s">
        <v>30561</v>
      </c>
      <c r="L6" s="556">
        <v>777048226</v>
      </c>
      <c r="M6" s="556" t="s">
        <v>3</v>
      </c>
      <c r="N6" s="556" t="s">
        <v>31438</v>
      </c>
      <c r="O6" s="556">
        <v>53</v>
      </c>
      <c r="P6" s="556">
        <v>25</v>
      </c>
      <c r="Q6" s="556" t="s">
        <v>7</v>
      </c>
      <c r="R6" s="556" t="s">
        <v>31549</v>
      </c>
      <c r="S6" s="556" t="s">
        <v>4</v>
      </c>
      <c r="T6" s="556" t="s">
        <v>2</v>
      </c>
      <c r="U6" s="556" t="s">
        <v>4</v>
      </c>
      <c r="V6" s="556"/>
      <c r="W6" s="556" t="s">
        <v>4</v>
      </c>
      <c r="X6" s="556" t="s">
        <v>4</v>
      </c>
      <c r="Y6" s="557">
        <v>41679</v>
      </c>
      <c r="Z6" s="557" t="str">
        <f>IF(OR(T6="yes",Y6&gt;'SDG outcome'!$C$27),"yes","no")</f>
        <v>no</v>
      </c>
      <c r="AA6" s="558" t="str">
        <f t="shared" si="0"/>
        <v/>
      </c>
      <c r="AB6" s="558" t="str">
        <f>IF(AND(Z6="no",AND(Y6&gt;='SDG outcome'!$B$16,Y6&lt;'SDG outcome'!$C$27)),Y6-'SDG outcome'!$B$16,"")</f>
        <v/>
      </c>
      <c r="AC6" s="556" t="s">
        <v>31572</v>
      </c>
      <c r="AD6" s="556" t="s">
        <v>4</v>
      </c>
      <c r="AE6" s="556" t="s">
        <v>2</v>
      </c>
      <c r="AF6" s="556" t="s">
        <v>4</v>
      </c>
      <c r="AG6" s="556" t="s">
        <v>31835</v>
      </c>
      <c r="AH6" s="556" t="s">
        <v>7</v>
      </c>
      <c r="AI6" s="557">
        <v>45187</v>
      </c>
      <c r="AJ6" s="556" t="s">
        <v>4</v>
      </c>
      <c r="AK6" s="556"/>
      <c r="AL6" s="556"/>
      <c r="AM6" s="556"/>
      <c r="AN6" s="556"/>
      <c r="AO6" s="556"/>
      <c r="AP6" s="556"/>
      <c r="AQ6" s="556"/>
      <c r="AR6" s="556"/>
      <c r="AS6" s="556"/>
      <c r="AT6" s="556"/>
      <c r="AU6" s="556"/>
      <c r="AV6" s="556"/>
      <c r="AW6" s="556"/>
      <c r="AX6" s="556"/>
      <c r="AY6" s="556"/>
      <c r="AZ6" s="556"/>
      <c r="BA6" s="556"/>
      <c r="BB6" s="556"/>
      <c r="BC6" s="556"/>
      <c r="BD6" s="556"/>
      <c r="BE6" s="556"/>
      <c r="BF6" s="556"/>
      <c r="BG6" s="556"/>
      <c r="BH6" s="556"/>
      <c r="BI6" s="556"/>
      <c r="BJ6" s="556"/>
      <c r="BK6" s="556"/>
      <c r="BL6" s="556"/>
      <c r="BM6" s="556"/>
      <c r="BN6" s="556"/>
      <c r="BO6" s="556"/>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6"/>
      <c r="CS6" s="556"/>
      <c r="CT6" s="556"/>
      <c r="CU6" s="556"/>
      <c r="CV6" s="556"/>
      <c r="CW6" s="556"/>
      <c r="CX6" s="556"/>
      <c r="CY6" s="556"/>
      <c r="CZ6" s="556"/>
      <c r="DA6" s="556"/>
      <c r="DB6" s="556"/>
      <c r="DC6" s="556"/>
      <c r="DD6" s="556"/>
      <c r="DE6" s="556"/>
      <c r="DF6" s="556"/>
      <c r="DG6" s="556"/>
      <c r="DH6" s="556"/>
      <c r="DI6" s="556"/>
      <c r="DJ6" s="556"/>
      <c r="DK6" s="556"/>
      <c r="DL6" s="556"/>
      <c r="DM6" s="556"/>
      <c r="DN6" s="556"/>
      <c r="DO6" s="556"/>
      <c r="DP6" s="556"/>
      <c r="DQ6" s="556"/>
      <c r="DR6" s="556"/>
      <c r="DS6" s="556"/>
      <c r="DT6" s="559"/>
      <c r="DU6" s="556"/>
      <c r="DV6" s="559"/>
      <c r="DW6" s="556"/>
      <c r="DX6" s="556"/>
      <c r="DY6" s="556"/>
      <c r="DZ6" s="556"/>
      <c r="EA6" s="556"/>
      <c r="EB6" s="556"/>
      <c r="EC6" s="556"/>
      <c r="ED6" s="556"/>
      <c r="EE6" s="560"/>
      <c r="EF6" s="560"/>
      <c r="EG6" s="560"/>
      <c r="EH6" s="560"/>
      <c r="EI6" s="560"/>
      <c r="EJ6" s="556"/>
      <c r="EK6" s="556"/>
      <c r="EL6" s="556"/>
      <c r="EM6" s="556"/>
      <c r="EN6" s="556"/>
      <c r="EO6" s="556"/>
      <c r="EP6" s="556"/>
      <c r="EQ6" s="556"/>
      <c r="ER6" s="556"/>
      <c r="ES6" s="556"/>
      <c r="ET6" s="556"/>
      <c r="EU6" s="556"/>
      <c r="EV6" s="560"/>
      <c r="EW6" s="560"/>
      <c r="EX6" s="560"/>
      <c r="EY6" s="560"/>
      <c r="EZ6" s="560"/>
      <c r="FA6" s="556"/>
      <c r="FB6" s="556"/>
      <c r="FC6" s="556"/>
      <c r="FD6" s="556"/>
      <c r="FE6" s="556"/>
      <c r="FF6" s="556"/>
      <c r="FG6" s="556"/>
      <c r="FH6" s="556"/>
      <c r="FI6" s="556"/>
      <c r="FJ6" s="556"/>
      <c r="FK6" s="556"/>
      <c r="FL6" s="556"/>
      <c r="FM6" s="556"/>
      <c r="FN6" s="556"/>
      <c r="FO6" s="556"/>
      <c r="FP6" s="556"/>
      <c r="FQ6" s="556"/>
      <c r="FR6" s="556"/>
      <c r="FS6" s="556"/>
      <c r="FT6" s="556"/>
      <c r="FU6" s="556"/>
      <c r="FV6" s="556"/>
      <c r="FW6" s="556"/>
      <c r="FX6" s="556"/>
      <c r="FY6" s="556"/>
      <c r="FZ6" s="556"/>
      <c r="GA6" s="556"/>
      <c r="GB6" s="559"/>
      <c r="GC6" s="556"/>
      <c r="GD6" s="556"/>
      <c r="GE6" s="556"/>
      <c r="GF6" s="556"/>
      <c r="GG6" s="556"/>
      <c r="GH6" s="556"/>
      <c r="GI6" s="556"/>
      <c r="GJ6" s="556"/>
      <c r="GK6" s="556"/>
      <c r="GL6" s="556"/>
      <c r="GM6" s="556"/>
      <c r="GN6" s="556"/>
      <c r="GO6" s="556"/>
      <c r="GP6" s="556"/>
      <c r="GQ6" s="556"/>
      <c r="GR6" s="556"/>
      <c r="GS6" s="556"/>
      <c r="GT6" s="556"/>
      <c r="GU6" s="556"/>
      <c r="GV6" s="556"/>
      <c r="GW6" s="556"/>
      <c r="GX6" s="556"/>
      <c r="GY6" s="556"/>
      <c r="GZ6" s="556"/>
      <c r="HA6" s="556"/>
      <c r="HB6" s="556"/>
      <c r="HC6" s="556"/>
      <c r="HD6" s="556"/>
      <c r="HE6" s="556"/>
      <c r="HF6" s="556"/>
      <c r="HG6" s="556"/>
      <c r="HH6" s="556"/>
      <c r="HI6" s="556"/>
      <c r="HJ6" s="559"/>
      <c r="HK6" s="556"/>
      <c r="HL6" s="556"/>
      <c r="HM6" s="556"/>
      <c r="HN6" s="556"/>
      <c r="HO6" s="556"/>
      <c r="HP6" s="556"/>
      <c r="HQ6" s="556"/>
      <c r="HR6" s="556"/>
      <c r="HS6" s="556"/>
      <c r="HT6" s="556"/>
      <c r="HU6" s="556"/>
      <c r="HV6" s="556"/>
      <c r="HW6" s="556"/>
      <c r="HX6" s="556"/>
      <c r="HY6" s="556"/>
      <c r="HZ6" s="556" t="s">
        <v>30562</v>
      </c>
      <c r="IA6" s="556" t="s">
        <v>7</v>
      </c>
      <c r="IB6" s="556" t="s">
        <v>30563</v>
      </c>
      <c r="IC6" s="556" t="s">
        <v>30564</v>
      </c>
      <c r="ID6" s="556" t="s">
        <v>30565</v>
      </c>
      <c r="IE6" s="556" t="s">
        <v>30566</v>
      </c>
      <c r="IF6" s="556" t="s">
        <v>30567</v>
      </c>
      <c r="IG6" s="556" t="s">
        <v>30568</v>
      </c>
      <c r="IH6" s="556" t="s">
        <v>29522</v>
      </c>
    </row>
    <row r="7" spans="1:242" s="561" customFormat="1" ht="36.75" customHeight="1" x14ac:dyDescent="0.2">
      <c r="A7" s="556">
        <v>116</v>
      </c>
      <c r="B7" s="556" t="s">
        <v>18699</v>
      </c>
      <c r="C7" s="556" t="s">
        <v>30569</v>
      </c>
      <c r="D7" s="556" t="s">
        <v>30534</v>
      </c>
      <c r="E7" s="556" t="s">
        <v>7</v>
      </c>
      <c r="F7" s="556" t="s">
        <v>30570</v>
      </c>
      <c r="G7" s="556">
        <v>0</v>
      </c>
      <c r="H7" s="556">
        <v>3299.9989999999998</v>
      </c>
      <c r="I7" s="556" t="s">
        <v>29288</v>
      </c>
      <c r="J7" s="556" t="s">
        <v>4</v>
      </c>
      <c r="K7" s="556" t="s">
        <v>30571</v>
      </c>
      <c r="L7" s="556">
        <v>777359572</v>
      </c>
      <c r="M7" s="556" t="s">
        <v>3</v>
      </c>
      <c r="N7" s="556" t="s">
        <v>31438</v>
      </c>
      <c r="O7" s="556">
        <v>37</v>
      </c>
      <c r="P7" s="556">
        <v>8</v>
      </c>
      <c r="Q7" s="556" t="s">
        <v>7</v>
      </c>
      <c r="R7" s="556" t="s">
        <v>31588</v>
      </c>
      <c r="S7" s="556" t="s">
        <v>4</v>
      </c>
      <c r="T7" s="556" t="s">
        <v>2</v>
      </c>
      <c r="U7" s="556" t="s">
        <v>4</v>
      </c>
      <c r="V7" s="556"/>
      <c r="W7" s="556" t="s">
        <v>4</v>
      </c>
      <c r="X7" s="556" t="s">
        <v>4</v>
      </c>
      <c r="Y7" s="557">
        <v>41830</v>
      </c>
      <c r="Z7" s="557" t="str">
        <f>IF(OR(T7="yes",Y7&gt;'SDG outcome'!$C$27),"yes","no")</f>
        <v>no</v>
      </c>
      <c r="AA7" s="558" t="str">
        <f t="shared" si="0"/>
        <v/>
      </c>
      <c r="AB7" s="558" t="str">
        <f>IF(AND(Z7="no",AND(Y7&gt;='SDG outcome'!$B$16,Y7&lt;'SDG outcome'!$C$27)),Y7-'SDG outcome'!$B$16,"")</f>
        <v/>
      </c>
      <c r="AC7" s="556" t="s">
        <v>31572</v>
      </c>
      <c r="AD7" s="556" t="s">
        <v>4</v>
      </c>
      <c r="AE7" s="556" t="s">
        <v>7</v>
      </c>
      <c r="AF7" s="556" t="s">
        <v>31836</v>
      </c>
      <c r="AG7" s="556" t="s">
        <v>4</v>
      </c>
      <c r="AH7" s="556" t="s">
        <v>7</v>
      </c>
      <c r="AI7" s="557">
        <v>45270</v>
      </c>
      <c r="AJ7" s="556" t="s">
        <v>4</v>
      </c>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6"/>
      <c r="BQ7" s="556"/>
      <c r="BR7" s="556"/>
      <c r="BS7" s="556"/>
      <c r="BT7" s="556"/>
      <c r="BU7" s="556"/>
      <c r="BV7" s="556"/>
      <c r="BW7" s="556"/>
      <c r="BX7" s="556"/>
      <c r="BY7" s="556"/>
      <c r="BZ7" s="556"/>
      <c r="CA7" s="556"/>
      <c r="CB7" s="556"/>
      <c r="CC7" s="556"/>
      <c r="CD7" s="556"/>
      <c r="CE7" s="556"/>
      <c r="CF7" s="556"/>
      <c r="CG7" s="556"/>
      <c r="CH7" s="556"/>
      <c r="CI7" s="556"/>
      <c r="CJ7" s="556"/>
      <c r="CK7" s="556"/>
      <c r="CL7" s="556"/>
      <c r="CM7" s="556"/>
      <c r="CN7" s="556"/>
      <c r="CO7" s="556"/>
      <c r="CP7" s="556"/>
      <c r="CQ7" s="556"/>
      <c r="CR7" s="556"/>
      <c r="CS7" s="556"/>
      <c r="CT7" s="556"/>
      <c r="CU7" s="556"/>
      <c r="CV7" s="556"/>
      <c r="CW7" s="556"/>
      <c r="CX7" s="556"/>
      <c r="CY7" s="556"/>
      <c r="CZ7" s="556"/>
      <c r="DA7" s="556"/>
      <c r="DB7" s="556"/>
      <c r="DC7" s="556"/>
      <c r="DD7" s="556"/>
      <c r="DE7" s="556"/>
      <c r="DF7" s="556"/>
      <c r="DG7" s="556"/>
      <c r="DH7" s="556"/>
      <c r="DI7" s="556"/>
      <c r="DJ7" s="556"/>
      <c r="DK7" s="556"/>
      <c r="DL7" s="556"/>
      <c r="DM7" s="556"/>
      <c r="DN7" s="556"/>
      <c r="DO7" s="556"/>
      <c r="DP7" s="556"/>
      <c r="DQ7" s="556"/>
      <c r="DR7" s="556"/>
      <c r="DS7" s="556"/>
      <c r="DT7" s="559"/>
      <c r="DU7" s="556"/>
      <c r="DV7" s="559"/>
      <c r="DW7" s="556"/>
      <c r="DX7" s="556"/>
      <c r="DY7" s="556"/>
      <c r="DZ7" s="556"/>
      <c r="EA7" s="556"/>
      <c r="EB7" s="556"/>
      <c r="EC7" s="556"/>
      <c r="ED7" s="556"/>
      <c r="EE7" s="560"/>
      <c r="EF7" s="560"/>
      <c r="EG7" s="560"/>
      <c r="EH7" s="560"/>
      <c r="EI7" s="560"/>
      <c r="EJ7" s="556"/>
      <c r="EK7" s="556"/>
      <c r="EL7" s="556"/>
      <c r="EM7" s="556"/>
      <c r="EN7" s="556"/>
      <c r="EO7" s="556"/>
      <c r="EP7" s="556"/>
      <c r="EQ7" s="556"/>
      <c r="ER7" s="556"/>
      <c r="ES7" s="556"/>
      <c r="ET7" s="556"/>
      <c r="EU7" s="556"/>
      <c r="EV7" s="560"/>
      <c r="EW7" s="560"/>
      <c r="EX7" s="560"/>
      <c r="EY7" s="560"/>
      <c r="EZ7" s="560"/>
      <c r="FA7" s="556"/>
      <c r="FB7" s="556"/>
      <c r="FC7" s="556"/>
      <c r="FD7" s="556"/>
      <c r="FE7" s="556"/>
      <c r="FF7" s="556"/>
      <c r="FG7" s="556"/>
      <c r="FH7" s="556"/>
      <c r="FI7" s="556"/>
      <c r="FJ7" s="556"/>
      <c r="FK7" s="556"/>
      <c r="FL7" s="556"/>
      <c r="FM7" s="556"/>
      <c r="FN7" s="556"/>
      <c r="FO7" s="556"/>
      <c r="FP7" s="556"/>
      <c r="FQ7" s="556"/>
      <c r="FR7" s="556"/>
      <c r="FS7" s="556"/>
      <c r="FT7" s="556"/>
      <c r="FU7" s="556"/>
      <c r="FV7" s="556"/>
      <c r="FW7" s="556"/>
      <c r="FX7" s="556"/>
      <c r="FY7" s="556"/>
      <c r="FZ7" s="556"/>
      <c r="GA7" s="556"/>
      <c r="GB7" s="559"/>
      <c r="GC7" s="556"/>
      <c r="GD7" s="556"/>
      <c r="GE7" s="556"/>
      <c r="GF7" s="556"/>
      <c r="GG7" s="556"/>
      <c r="GH7" s="556"/>
      <c r="GI7" s="556"/>
      <c r="GJ7" s="556"/>
      <c r="GK7" s="556"/>
      <c r="GL7" s="556"/>
      <c r="GM7" s="556"/>
      <c r="GN7" s="556"/>
      <c r="GO7" s="556"/>
      <c r="GP7" s="556"/>
      <c r="GQ7" s="556"/>
      <c r="GR7" s="556"/>
      <c r="GS7" s="556"/>
      <c r="GT7" s="556"/>
      <c r="GU7" s="556"/>
      <c r="GV7" s="556"/>
      <c r="GW7" s="556"/>
      <c r="GX7" s="556"/>
      <c r="GY7" s="556"/>
      <c r="GZ7" s="556"/>
      <c r="HA7" s="556"/>
      <c r="HB7" s="556"/>
      <c r="HC7" s="556"/>
      <c r="HD7" s="556"/>
      <c r="HE7" s="556"/>
      <c r="HF7" s="556"/>
      <c r="HG7" s="556"/>
      <c r="HH7" s="556"/>
      <c r="HI7" s="556"/>
      <c r="HJ7" s="559"/>
      <c r="HK7" s="556"/>
      <c r="HL7" s="556"/>
      <c r="HM7" s="556"/>
      <c r="HN7" s="556"/>
      <c r="HO7" s="556"/>
      <c r="HP7" s="556"/>
      <c r="HQ7" s="556"/>
      <c r="HR7" s="556"/>
      <c r="HS7" s="556"/>
      <c r="HT7" s="556"/>
      <c r="HU7" s="556"/>
      <c r="HV7" s="556"/>
      <c r="HW7" s="556"/>
      <c r="HX7" s="556"/>
      <c r="HY7" s="556"/>
      <c r="HZ7" s="556" t="s">
        <v>30572</v>
      </c>
      <c r="IA7" s="556" t="s">
        <v>7</v>
      </c>
      <c r="IB7" s="556" t="s">
        <v>30573</v>
      </c>
      <c r="IC7" s="556" t="s">
        <v>30574</v>
      </c>
      <c r="ID7" s="556" t="s">
        <v>30575</v>
      </c>
      <c r="IE7" s="556" t="s">
        <v>30576</v>
      </c>
      <c r="IF7" s="556" t="s">
        <v>30577</v>
      </c>
      <c r="IG7" s="556" t="s">
        <v>30578</v>
      </c>
      <c r="IH7" s="556" t="s">
        <v>30569</v>
      </c>
    </row>
    <row r="8" spans="1:242" s="561" customFormat="1" ht="36.75" customHeight="1" x14ac:dyDescent="0.2">
      <c r="A8" s="556">
        <v>102</v>
      </c>
      <c r="B8" s="556" t="s">
        <v>4781</v>
      </c>
      <c r="C8" s="556" t="s">
        <v>30412</v>
      </c>
      <c r="D8" s="556" t="s">
        <v>30392</v>
      </c>
      <c r="E8" s="556" t="s">
        <v>7</v>
      </c>
      <c r="F8" s="556" t="s">
        <v>30413</v>
      </c>
      <c r="G8" s="556">
        <v>1159.922</v>
      </c>
      <c r="H8" s="556">
        <v>1.3345309999999999</v>
      </c>
      <c r="I8" s="556" t="s">
        <v>29288</v>
      </c>
      <c r="J8" s="556" t="s">
        <v>4</v>
      </c>
      <c r="K8" s="556" t="s">
        <v>30414</v>
      </c>
      <c r="L8" s="556">
        <v>788444631</v>
      </c>
      <c r="M8" s="556" t="s">
        <v>3</v>
      </c>
      <c r="N8" s="556" t="s">
        <v>31438</v>
      </c>
      <c r="O8" s="556">
        <v>71</v>
      </c>
      <c r="P8" s="556">
        <v>5</v>
      </c>
      <c r="Q8" s="556" t="s">
        <v>7</v>
      </c>
      <c r="R8" s="556" t="s">
        <v>31549</v>
      </c>
      <c r="S8" s="556" t="s">
        <v>4</v>
      </c>
      <c r="T8" s="556" t="s">
        <v>2</v>
      </c>
      <c r="U8" s="556" t="s">
        <v>4</v>
      </c>
      <c r="V8" s="556"/>
      <c r="W8" s="556" t="s">
        <v>4</v>
      </c>
      <c r="X8" s="556" t="s">
        <v>4</v>
      </c>
      <c r="Y8" s="557">
        <v>42118</v>
      </c>
      <c r="Z8" s="557" t="str">
        <f>IF(OR(T8="yes",Y8&gt;'SDG outcome'!$C$27),"yes","no")</f>
        <v>no</v>
      </c>
      <c r="AA8" s="558" t="str">
        <f t="shared" si="0"/>
        <v/>
      </c>
      <c r="AB8" s="558" t="str">
        <f>IF(AND(Z8="no",AND(Y8&gt;='SDG outcome'!$B$16,Y8&lt;'SDG outcome'!$C$27)),Y8-'SDG outcome'!$B$16,"")</f>
        <v/>
      </c>
      <c r="AC8" s="556" t="s">
        <v>31685</v>
      </c>
      <c r="AD8" s="556" t="s">
        <v>4</v>
      </c>
      <c r="AE8" s="556" t="s">
        <v>4</v>
      </c>
      <c r="AF8" s="556" t="s">
        <v>4</v>
      </c>
      <c r="AG8" s="556" t="s">
        <v>4</v>
      </c>
      <c r="AH8" s="556" t="s">
        <v>4</v>
      </c>
      <c r="AI8" s="557" t="s">
        <v>4</v>
      </c>
      <c r="AJ8" s="556" t="s">
        <v>4</v>
      </c>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6"/>
      <c r="CV8" s="556"/>
      <c r="CW8" s="556"/>
      <c r="CX8" s="556"/>
      <c r="CY8" s="556"/>
      <c r="CZ8" s="556"/>
      <c r="DA8" s="556"/>
      <c r="DB8" s="556"/>
      <c r="DC8" s="556"/>
      <c r="DD8" s="556"/>
      <c r="DE8" s="556"/>
      <c r="DF8" s="556"/>
      <c r="DG8" s="556"/>
      <c r="DH8" s="556"/>
      <c r="DI8" s="556"/>
      <c r="DJ8" s="556"/>
      <c r="DK8" s="556"/>
      <c r="DL8" s="556"/>
      <c r="DM8" s="556"/>
      <c r="DN8" s="556"/>
      <c r="DO8" s="556"/>
      <c r="DP8" s="556"/>
      <c r="DQ8" s="556"/>
      <c r="DR8" s="556"/>
      <c r="DS8" s="556"/>
      <c r="DT8" s="559"/>
      <c r="DU8" s="556"/>
      <c r="DV8" s="559"/>
      <c r="DW8" s="556"/>
      <c r="DX8" s="556"/>
      <c r="DY8" s="556"/>
      <c r="DZ8" s="556"/>
      <c r="EA8" s="556"/>
      <c r="EB8" s="556"/>
      <c r="EC8" s="556"/>
      <c r="ED8" s="556"/>
      <c r="EE8" s="560"/>
      <c r="EF8" s="560"/>
      <c r="EG8" s="560"/>
      <c r="EH8" s="560"/>
      <c r="EI8" s="560"/>
      <c r="EJ8" s="556"/>
      <c r="EK8" s="556"/>
      <c r="EL8" s="556"/>
      <c r="EM8" s="556"/>
      <c r="EN8" s="556"/>
      <c r="EO8" s="556"/>
      <c r="EP8" s="556"/>
      <c r="EQ8" s="556"/>
      <c r="ER8" s="556"/>
      <c r="ES8" s="556"/>
      <c r="ET8" s="556"/>
      <c r="EU8" s="556"/>
      <c r="EV8" s="560"/>
      <c r="EW8" s="560"/>
      <c r="EX8" s="560"/>
      <c r="EY8" s="560"/>
      <c r="EZ8" s="560"/>
      <c r="FA8" s="556"/>
      <c r="FB8" s="556"/>
      <c r="FC8" s="556"/>
      <c r="FD8" s="556"/>
      <c r="FE8" s="556"/>
      <c r="FF8" s="556"/>
      <c r="FG8" s="556"/>
      <c r="FH8" s="556"/>
      <c r="FI8" s="556"/>
      <c r="FJ8" s="556"/>
      <c r="FK8" s="556"/>
      <c r="FL8" s="556"/>
      <c r="FM8" s="556"/>
      <c r="FN8" s="556"/>
      <c r="FO8" s="556"/>
      <c r="FP8" s="556"/>
      <c r="FQ8" s="556"/>
      <c r="FR8" s="556"/>
      <c r="FS8" s="556"/>
      <c r="FT8" s="556"/>
      <c r="FU8" s="556"/>
      <c r="FV8" s="556"/>
      <c r="FW8" s="556"/>
      <c r="FX8" s="556"/>
      <c r="FY8" s="556"/>
      <c r="FZ8" s="556"/>
      <c r="GA8" s="556"/>
      <c r="GB8" s="559"/>
      <c r="GC8" s="556"/>
      <c r="GD8" s="556"/>
      <c r="GE8" s="556"/>
      <c r="GF8" s="556"/>
      <c r="GG8" s="556"/>
      <c r="GH8" s="556"/>
      <c r="GI8" s="556"/>
      <c r="GJ8" s="556"/>
      <c r="GK8" s="556"/>
      <c r="GL8" s="556"/>
      <c r="GM8" s="556"/>
      <c r="GN8" s="556"/>
      <c r="GO8" s="556"/>
      <c r="GP8" s="556"/>
      <c r="GQ8" s="556"/>
      <c r="GR8" s="556"/>
      <c r="GS8" s="556"/>
      <c r="GT8" s="556"/>
      <c r="GU8" s="556"/>
      <c r="GV8" s="556"/>
      <c r="GW8" s="556"/>
      <c r="GX8" s="556"/>
      <c r="GY8" s="556"/>
      <c r="GZ8" s="556"/>
      <c r="HA8" s="556"/>
      <c r="HB8" s="556"/>
      <c r="HC8" s="556"/>
      <c r="HD8" s="556"/>
      <c r="HE8" s="556"/>
      <c r="HF8" s="556"/>
      <c r="HG8" s="556"/>
      <c r="HH8" s="556"/>
      <c r="HI8" s="556"/>
      <c r="HJ8" s="559"/>
      <c r="HK8" s="556"/>
      <c r="HL8" s="556"/>
      <c r="HM8" s="556"/>
      <c r="HN8" s="556"/>
      <c r="HO8" s="556"/>
      <c r="HP8" s="556"/>
      <c r="HQ8" s="556"/>
      <c r="HR8" s="556"/>
      <c r="HS8" s="556"/>
      <c r="HT8" s="556"/>
      <c r="HU8" s="556"/>
      <c r="HV8" s="556"/>
      <c r="HW8" s="556"/>
      <c r="HX8" s="556"/>
      <c r="HY8" s="556"/>
      <c r="HZ8" s="556" t="s">
        <v>30415</v>
      </c>
      <c r="IA8" s="556" t="s">
        <v>2</v>
      </c>
      <c r="IB8" s="556" t="s">
        <v>4</v>
      </c>
      <c r="IC8" s="556" t="s">
        <v>30416</v>
      </c>
      <c r="ID8" s="556" t="s">
        <v>30417</v>
      </c>
      <c r="IE8" s="556" t="s">
        <v>30418</v>
      </c>
      <c r="IF8" s="556" t="s">
        <v>30419</v>
      </c>
      <c r="IG8" s="556" t="s">
        <v>30420</v>
      </c>
      <c r="IH8" s="556" t="s">
        <v>30412</v>
      </c>
    </row>
    <row r="9" spans="1:242" s="561" customFormat="1" ht="36.75" customHeight="1" x14ac:dyDescent="0.2">
      <c r="A9" s="556">
        <v>71</v>
      </c>
      <c r="B9" s="556" t="s">
        <v>1719</v>
      </c>
      <c r="C9" s="556" t="s">
        <v>30102</v>
      </c>
      <c r="D9" s="556" t="s">
        <v>30002</v>
      </c>
      <c r="E9" s="556" t="s">
        <v>7</v>
      </c>
      <c r="F9" s="556" t="s">
        <v>30103</v>
      </c>
      <c r="G9" s="556">
        <v>1171.7</v>
      </c>
      <c r="H9" s="556">
        <v>4.8</v>
      </c>
      <c r="I9" s="556" t="s">
        <v>29288</v>
      </c>
      <c r="J9" s="556" t="s">
        <v>4</v>
      </c>
      <c r="K9" s="556" t="s">
        <v>30104</v>
      </c>
      <c r="L9" s="556">
        <v>772901272</v>
      </c>
      <c r="M9" s="556" t="s">
        <v>3</v>
      </c>
      <c r="N9" s="556" t="s">
        <v>31438</v>
      </c>
      <c r="O9" s="556">
        <v>86</v>
      </c>
      <c r="P9" s="556">
        <v>4</v>
      </c>
      <c r="Q9" s="556" t="s">
        <v>7</v>
      </c>
      <c r="R9" s="556" t="s">
        <v>31588</v>
      </c>
      <c r="S9" s="556" t="s">
        <v>4</v>
      </c>
      <c r="T9" s="556" t="s">
        <v>2</v>
      </c>
      <c r="U9" s="556" t="s">
        <v>4</v>
      </c>
      <c r="V9" s="556"/>
      <c r="W9" s="556" t="s">
        <v>4</v>
      </c>
      <c r="X9" s="556" t="s">
        <v>4</v>
      </c>
      <c r="Y9" s="557">
        <v>42217</v>
      </c>
      <c r="Z9" s="557" t="str">
        <f>IF(OR(T9="yes",Y9&gt;'SDG outcome'!$C$27),"yes","no")</f>
        <v>no</v>
      </c>
      <c r="AA9" s="558" t="str">
        <f t="shared" si="0"/>
        <v/>
      </c>
      <c r="AB9" s="558" t="str">
        <f>IF(AND(Z9="no",AND(Y9&gt;='SDG outcome'!$B$16,Y9&lt;'SDG outcome'!$C$27)),Y9-'SDG outcome'!$B$16,"")</f>
        <v/>
      </c>
      <c r="AC9" s="556" t="s">
        <v>31685</v>
      </c>
      <c r="AD9" s="556" t="s">
        <v>4</v>
      </c>
      <c r="AE9" s="556" t="s">
        <v>4</v>
      </c>
      <c r="AF9" s="556" t="s">
        <v>4</v>
      </c>
      <c r="AG9" s="556" t="s">
        <v>4</v>
      </c>
      <c r="AH9" s="556" t="s">
        <v>4</v>
      </c>
      <c r="AI9" s="557" t="s">
        <v>4</v>
      </c>
      <c r="AJ9" s="556" t="s">
        <v>4</v>
      </c>
      <c r="AK9" s="556"/>
      <c r="AL9" s="556"/>
      <c r="AM9" s="556"/>
      <c r="AN9" s="556"/>
      <c r="AO9" s="556"/>
      <c r="AP9" s="556"/>
      <c r="AQ9" s="556"/>
      <c r="AR9" s="556"/>
      <c r="AS9" s="556"/>
      <c r="AT9" s="556"/>
      <c r="AU9" s="556"/>
      <c r="AV9" s="556"/>
      <c r="AW9" s="556"/>
      <c r="AX9" s="556"/>
      <c r="AY9" s="556"/>
      <c r="AZ9" s="556"/>
      <c r="BA9" s="556"/>
      <c r="BB9" s="556"/>
      <c r="BC9" s="556"/>
      <c r="BD9" s="556"/>
      <c r="BE9" s="556"/>
      <c r="BF9" s="556"/>
      <c r="BG9" s="556"/>
      <c r="BH9" s="556"/>
      <c r="BI9" s="556"/>
      <c r="BJ9" s="556"/>
      <c r="BK9" s="556"/>
      <c r="BL9" s="556"/>
      <c r="BM9" s="556"/>
      <c r="BN9" s="556"/>
      <c r="BO9" s="556"/>
      <c r="BP9" s="556"/>
      <c r="BQ9" s="556"/>
      <c r="BR9" s="556"/>
      <c r="BS9" s="556"/>
      <c r="BT9" s="556"/>
      <c r="BU9" s="556"/>
      <c r="BV9" s="556"/>
      <c r="BW9" s="556"/>
      <c r="BX9" s="556"/>
      <c r="BY9" s="556"/>
      <c r="BZ9" s="556"/>
      <c r="CA9" s="556"/>
      <c r="CB9" s="556"/>
      <c r="CC9" s="556"/>
      <c r="CD9" s="556"/>
      <c r="CE9" s="556"/>
      <c r="CF9" s="556"/>
      <c r="CG9" s="556"/>
      <c r="CH9" s="556"/>
      <c r="CI9" s="556"/>
      <c r="CJ9" s="556"/>
      <c r="CK9" s="556"/>
      <c r="CL9" s="556"/>
      <c r="CM9" s="556"/>
      <c r="CN9" s="556"/>
      <c r="CO9" s="556"/>
      <c r="CP9" s="556"/>
      <c r="CQ9" s="556"/>
      <c r="CR9" s="556"/>
      <c r="CS9" s="556"/>
      <c r="CT9" s="556"/>
      <c r="CU9" s="556"/>
      <c r="CV9" s="556"/>
      <c r="CW9" s="556"/>
      <c r="CX9" s="556"/>
      <c r="CY9" s="556"/>
      <c r="CZ9" s="556"/>
      <c r="DA9" s="556"/>
      <c r="DB9" s="556"/>
      <c r="DC9" s="556"/>
      <c r="DD9" s="556"/>
      <c r="DE9" s="556"/>
      <c r="DF9" s="556"/>
      <c r="DG9" s="556"/>
      <c r="DH9" s="556"/>
      <c r="DI9" s="556"/>
      <c r="DJ9" s="556"/>
      <c r="DK9" s="556"/>
      <c r="DL9" s="556"/>
      <c r="DM9" s="556"/>
      <c r="DN9" s="556"/>
      <c r="DO9" s="556"/>
      <c r="DP9" s="556"/>
      <c r="DQ9" s="556"/>
      <c r="DR9" s="556"/>
      <c r="DS9" s="556"/>
      <c r="DT9" s="559"/>
      <c r="DU9" s="556"/>
      <c r="DV9" s="559"/>
      <c r="DW9" s="556"/>
      <c r="DX9" s="556"/>
      <c r="DY9" s="556"/>
      <c r="DZ9" s="556"/>
      <c r="EA9" s="556"/>
      <c r="EB9" s="556"/>
      <c r="EC9" s="556"/>
      <c r="ED9" s="556"/>
      <c r="EE9" s="560"/>
      <c r="EF9" s="560"/>
      <c r="EG9" s="560"/>
      <c r="EH9" s="560"/>
      <c r="EI9" s="560"/>
      <c r="EJ9" s="556"/>
      <c r="EK9" s="556"/>
      <c r="EL9" s="556"/>
      <c r="EM9" s="556"/>
      <c r="EN9" s="556"/>
      <c r="EO9" s="556"/>
      <c r="EP9" s="556"/>
      <c r="EQ9" s="556"/>
      <c r="ER9" s="556"/>
      <c r="ES9" s="556"/>
      <c r="ET9" s="556"/>
      <c r="EU9" s="556"/>
      <c r="EV9" s="560"/>
      <c r="EW9" s="560"/>
      <c r="EX9" s="560"/>
      <c r="EY9" s="560"/>
      <c r="EZ9" s="560"/>
      <c r="FA9" s="556"/>
      <c r="FB9" s="556"/>
      <c r="FC9" s="556"/>
      <c r="FD9" s="556"/>
      <c r="FE9" s="556"/>
      <c r="FF9" s="556"/>
      <c r="FG9" s="556"/>
      <c r="FH9" s="556"/>
      <c r="FI9" s="556"/>
      <c r="FJ9" s="556"/>
      <c r="FK9" s="556"/>
      <c r="FL9" s="556"/>
      <c r="FM9" s="556"/>
      <c r="FN9" s="556"/>
      <c r="FO9" s="556"/>
      <c r="FP9" s="556"/>
      <c r="FQ9" s="556"/>
      <c r="FR9" s="556"/>
      <c r="FS9" s="556"/>
      <c r="FT9" s="556"/>
      <c r="FU9" s="556"/>
      <c r="FV9" s="556"/>
      <c r="FW9" s="556"/>
      <c r="FX9" s="556"/>
      <c r="FY9" s="556"/>
      <c r="FZ9" s="556"/>
      <c r="GA9" s="556"/>
      <c r="GB9" s="559"/>
      <c r="GC9" s="556"/>
      <c r="GD9" s="556"/>
      <c r="GE9" s="556"/>
      <c r="GF9" s="556"/>
      <c r="GG9" s="556"/>
      <c r="GH9" s="556"/>
      <c r="GI9" s="556"/>
      <c r="GJ9" s="556"/>
      <c r="GK9" s="556"/>
      <c r="GL9" s="556"/>
      <c r="GM9" s="556"/>
      <c r="GN9" s="556"/>
      <c r="GO9" s="556"/>
      <c r="GP9" s="556"/>
      <c r="GQ9" s="556"/>
      <c r="GR9" s="556"/>
      <c r="GS9" s="556"/>
      <c r="GT9" s="556"/>
      <c r="GU9" s="556"/>
      <c r="GV9" s="556"/>
      <c r="GW9" s="556"/>
      <c r="GX9" s="556"/>
      <c r="GY9" s="556"/>
      <c r="GZ9" s="556"/>
      <c r="HA9" s="556"/>
      <c r="HB9" s="556"/>
      <c r="HC9" s="556"/>
      <c r="HD9" s="556"/>
      <c r="HE9" s="556"/>
      <c r="HF9" s="556"/>
      <c r="HG9" s="556"/>
      <c r="HH9" s="556"/>
      <c r="HI9" s="556"/>
      <c r="HJ9" s="559"/>
      <c r="HK9" s="556"/>
      <c r="HL9" s="556"/>
      <c r="HM9" s="556"/>
      <c r="HN9" s="556"/>
      <c r="HO9" s="556"/>
      <c r="HP9" s="556"/>
      <c r="HQ9" s="556"/>
      <c r="HR9" s="556"/>
      <c r="HS9" s="556"/>
      <c r="HT9" s="556"/>
      <c r="HU9" s="556"/>
      <c r="HV9" s="556"/>
      <c r="HW9" s="556"/>
      <c r="HX9" s="556"/>
      <c r="HY9" s="556"/>
      <c r="HZ9" s="556" t="s">
        <v>30105</v>
      </c>
      <c r="IA9" s="556" t="s">
        <v>2</v>
      </c>
      <c r="IB9" s="556" t="s">
        <v>4</v>
      </c>
      <c r="IC9" s="556" t="s">
        <v>30106</v>
      </c>
      <c r="ID9" s="556" t="s">
        <v>30107</v>
      </c>
      <c r="IE9" s="556" t="s">
        <v>30108</v>
      </c>
      <c r="IF9" s="556" t="s">
        <v>30109</v>
      </c>
      <c r="IG9" s="556" t="s">
        <v>30110</v>
      </c>
      <c r="IH9" s="556" t="s">
        <v>30111</v>
      </c>
    </row>
    <row r="10" spans="1:242" s="561" customFormat="1" ht="36.75" customHeight="1" x14ac:dyDescent="0.2">
      <c r="A10" s="556">
        <v>39</v>
      </c>
      <c r="B10" s="556" t="s">
        <v>9732</v>
      </c>
      <c r="C10" s="556" t="s">
        <v>29769</v>
      </c>
      <c r="D10" s="556" t="s">
        <v>29691</v>
      </c>
      <c r="E10" s="556" t="s">
        <v>7</v>
      </c>
      <c r="F10" s="556" t="s">
        <v>29770</v>
      </c>
      <c r="G10" s="556">
        <v>946.5</v>
      </c>
      <c r="H10" s="556">
        <v>5</v>
      </c>
      <c r="I10" s="556" t="s">
        <v>29288</v>
      </c>
      <c r="J10" s="556" t="s">
        <v>4</v>
      </c>
      <c r="K10" s="556" t="s">
        <v>29771</v>
      </c>
      <c r="L10" s="556">
        <v>787167463</v>
      </c>
      <c r="M10" s="556" t="s">
        <v>3</v>
      </c>
      <c r="N10" s="556" t="s">
        <v>31438</v>
      </c>
      <c r="O10" s="556">
        <v>72</v>
      </c>
      <c r="P10" s="556">
        <v>13</v>
      </c>
      <c r="Q10" s="556" t="s">
        <v>7</v>
      </c>
      <c r="R10" s="556" t="s">
        <v>31549</v>
      </c>
      <c r="S10" s="556" t="s">
        <v>4</v>
      </c>
      <c r="T10" s="556" t="s">
        <v>2</v>
      </c>
      <c r="U10" s="556" t="s">
        <v>4</v>
      </c>
      <c r="V10" s="556"/>
      <c r="W10" s="556" t="s">
        <v>4</v>
      </c>
      <c r="X10" s="556" t="s">
        <v>4</v>
      </c>
      <c r="Y10" s="557">
        <v>42288</v>
      </c>
      <c r="Z10" s="557" t="str">
        <f>IF(OR(T10="yes",Y10&gt;'SDG outcome'!$C$27),"yes","no")</f>
        <v>no</v>
      </c>
      <c r="AA10" s="558" t="str">
        <f t="shared" si="0"/>
        <v/>
      </c>
      <c r="AB10" s="558" t="str">
        <f>IF(AND(Z10="no",AND(Y10&gt;='SDG outcome'!$B$16,Y10&lt;'SDG outcome'!$C$27)),Y10-'SDG outcome'!$B$16,"")</f>
        <v/>
      </c>
      <c r="AC10" s="556" t="s">
        <v>31572</v>
      </c>
      <c r="AD10" s="556" t="s">
        <v>4</v>
      </c>
      <c r="AE10" s="556" t="s">
        <v>7</v>
      </c>
      <c r="AF10" s="556" t="s">
        <v>31689</v>
      </c>
      <c r="AG10" s="556" t="s">
        <v>4</v>
      </c>
      <c r="AH10" s="556" t="s">
        <v>2</v>
      </c>
      <c r="AI10" s="557" t="s">
        <v>4</v>
      </c>
      <c r="AJ10" s="556" t="s">
        <v>4</v>
      </c>
      <c r="AK10" s="556"/>
      <c r="AL10" s="556"/>
      <c r="AM10" s="556"/>
      <c r="AN10" s="556"/>
      <c r="AO10" s="556"/>
      <c r="AP10" s="556"/>
      <c r="AQ10" s="556"/>
      <c r="AR10" s="556"/>
      <c r="AS10" s="556"/>
      <c r="AT10" s="556"/>
      <c r="AU10" s="556"/>
      <c r="AV10" s="556"/>
      <c r="AW10" s="556"/>
      <c r="AX10" s="556"/>
      <c r="AY10" s="556"/>
      <c r="AZ10" s="556"/>
      <c r="BA10" s="556"/>
      <c r="BB10" s="556"/>
      <c r="BC10" s="556"/>
      <c r="BD10" s="556"/>
      <c r="BE10" s="556"/>
      <c r="BF10" s="556"/>
      <c r="BG10" s="556"/>
      <c r="BH10" s="556"/>
      <c r="BI10" s="556"/>
      <c r="BJ10" s="556"/>
      <c r="BK10" s="556"/>
      <c r="BL10" s="556"/>
      <c r="BM10" s="556"/>
      <c r="BN10" s="556"/>
      <c r="BO10" s="556"/>
      <c r="BP10" s="556"/>
      <c r="BQ10" s="556"/>
      <c r="BR10" s="556"/>
      <c r="BS10" s="556"/>
      <c r="BT10" s="556"/>
      <c r="BU10" s="556"/>
      <c r="BV10" s="556"/>
      <c r="BW10" s="556"/>
      <c r="BX10" s="556"/>
      <c r="BY10" s="556"/>
      <c r="BZ10" s="556"/>
      <c r="CA10" s="556"/>
      <c r="CB10" s="556"/>
      <c r="CC10" s="556"/>
      <c r="CD10" s="556"/>
      <c r="CE10" s="556"/>
      <c r="CF10" s="556"/>
      <c r="CG10" s="556"/>
      <c r="CH10" s="556"/>
      <c r="CI10" s="556"/>
      <c r="CJ10" s="556"/>
      <c r="CK10" s="556"/>
      <c r="CL10" s="556"/>
      <c r="CM10" s="556"/>
      <c r="CN10" s="556"/>
      <c r="CO10" s="556"/>
      <c r="CP10" s="556"/>
      <c r="CQ10" s="556"/>
      <c r="CR10" s="556"/>
      <c r="CS10" s="556"/>
      <c r="CT10" s="556"/>
      <c r="CU10" s="556"/>
      <c r="CV10" s="556"/>
      <c r="CW10" s="556"/>
      <c r="CX10" s="556"/>
      <c r="CY10" s="556"/>
      <c r="CZ10" s="556"/>
      <c r="DA10" s="556"/>
      <c r="DB10" s="556"/>
      <c r="DC10" s="556"/>
      <c r="DD10" s="556"/>
      <c r="DE10" s="556"/>
      <c r="DF10" s="556"/>
      <c r="DG10" s="556"/>
      <c r="DH10" s="556"/>
      <c r="DI10" s="556"/>
      <c r="DJ10" s="556"/>
      <c r="DK10" s="556"/>
      <c r="DL10" s="556"/>
      <c r="DM10" s="556"/>
      <c r="DN10" s="556"/>
      <c r="DO10" s="556"/>
      <c r="DP10" s="556"/>
      <c r="DQ10" s="556"/>
      <c r="DR10" s="556"/>
      <c r="DS10" s="556"/>
      <c r="DT10" s="559"/>
      <c r="DU10" s="556"/>
      <c r="DV10" s="559"/>
      <c r="DW10" s="556"/>
      <c r="DX10" s="556"/>
      <c r="DY10" s="556"/>
      <c r="DZ10" s="556"/>
      <c r="EA10" s="556"/>
      <c r="EB10" s="556"/>
      <c r="EC10" s="556"/>
      <c r="ED10" s="556"/>
      <c r="EE10" s="560"/>
      <c r="EF10" s="560"/>
      <c r="EG10" s="560"/>
      <c r="EH10" s="560"/>
      <c r="EI10" s="560"/>
      <c r="EJ10" s="556"/>
      <c r="EK10" s="556"/>
      <c r="EL10" s="556"/>
      <c r="EM10" s="556"/>
      <c r="EN10" s="556"/>
      <c r="EO10" s="556"/>
      <c r="EP10" s="556"/>
      <c r="EQ10" s="556"/>
      <c r="ER10" s="556"/>
      <c r="ES10" s="556"/>
      <c r="ET10" s="556"/>
      <c r="EU10" s="556"/>
      <c r="EV10" s="560"/>
      <c r="EW10" s="560"/>
      <c r="EX10" s="560"/>
      <c r="EY10" s="560"/>
      <c r="EZ10" s="560"/>
      <c r="FA10" s="556"/>
      <c r="FB10" s="556"/>
      <c r="FC10" s="556"/>
      <c r="FD10" s="556"/>
      <c r="FE10" s="556"/>
      <c r="FF10" s="556"/>
      <c r="FG10" s="556"/>
      <c r="FH10" s="556"/>
      <c r="FI10" s="556"/>
      <c r="FJ10" s="556"/>
      <c r="FK10" s="556"/>
      <c r="FL10" s="556"/>
      <c r="FM10" s="556"/>
      <c r="FN10" s="556"/>
      <c r="FO10" s="556"/>
      <c r="FP10" s="556"/>
      <c r="FQ10" s="556"/>
      <c r="FR10" s="556"/>
      <c r="FS10" s="556"/>
      <c r="FT10" s="556"/>
      <c r="FU10" s="556"/>
      <c r="FV10" s="556"/>
      <c r="FW10" s="556"/>
      <c r="FX10" s="556"/>
      <c r="FY10" s="556"/>
      <c r="FZ10" s="556"/>
      <c r="GA10" s="556"/>
      <c r="GB10" s="559"/>
      <c r="GC10" s="556"/>
      <c r="GD10" s="556"/>
      <c r="GE10" s="556"/>
      <c r="GF10" s="556"/>
      <c r="GG10" s="556"/>
      <c r="GH10" s="556"/>
      <c r="GI10" s="556"/>
      <c r="GJ10" s="556"/>
      <c r="GK10" s="556"/>
      <c r="GL10" s="556"/>
      <c r="GM10" s="556"/>
      <c r="GN10" s="556"/>
      <c r="GO10" s="556"/>
      <c r="GP10" s="556"/>
      <c r="GQ10" s="556"/>
      <c r="GR10" s="556"/>
      <c r="GS10" s="556"/>
      <c r="GT10" s="556"/>
      <c r="GU10" s="556"/>
      <c r="GV10" s="556"/>
      <c r="GW10" s="556"/>
      <c r="GX10" s="556"/>
      <c r="GY10" s="556"/>
      <c r="GZ10" s="556"/>
      <c r="HA10" s="556"/>
      <c r="HB10" s="556"/>
      <c r="HC10" s="556"/>
      <c r="HD10" s="556"/>
      <c r="HE10" s="556"/>
      <c r="HF10" s="556"/>
      <c r="HG10" s="556"/>
      <c r="HH10" s="556"/>
      <c r="HI10" s="556"/>
      <c r="HJ10" s="559"/>
      <c r="HK10" s="556"/>
      <c r="HL10" s="556"/>
      <c r="HM10" s="556"/>
      <c r="HN10" s="556"/>
      <c r="HO10" s="556"/>
      <c r="HP10" s="556"/>
      <c r="HQ10" s="556"/>
      <c r="HR10" s="556"/>
      <c r="HS10" s="556"/>
      <c r="HT10" s="556"/>
      <c r="HU10" s="556"/>
      <c r="HV10" s="556"/>
      <c r="HW10" s="556"/>
      <c r="HX10" s="556"/>
      <c r="HY10" s="556"/>
      <c r="HZ10" s="556" t="s">
        <v>29772</v>
      </c>
      <c r="IA10" s="556" t="s">
        <v>7</v>
      </c>
      <c r="IB10" s="556" t="s">
        <v>29773</v>
      </c>
      <c r="IC10" s="556" t="s">
        <v>29774</v>
      </c>
      <c r="ID10" s="556" t="s">
        <v>29775</v>
      </c>
      <c r="IE10" s="556" t="s">
        <v>29776</v>
      </c>
      <c r="IF10" s="556" t="s">
        <v>29777</v>
      </c>
      <c r="IG10" s="556" t="s">
        <v>29778</v>
      </c>
      <c r="IH10" s="556" t="s">
        <v>29769</v>
      </c>
    </row>
    <row r="11" spans="1:242" s="561" customFormat="1" ht="36.75" customHeight="1" x14ac:dyDescent="0.2">
      <c r="A11" s="556">
        <v>75</v>
      </c>
      <c r="B11" s="556" t="s">
        <v>28407</v>
      </c>
      <c r="C11" s="556" t="s">
        <v>30144</v>
      </c>
      <c r="D11" s="556" t="s">
        <v>70</v>
      </c>
      <c r="E11" s="556" t="s">
        <v>7</v>
      </c>
      <c r="F11" s="556" t="s">
        <v>30145</v>
      </c>
      <c r="G11" s="556">
        <v>1188.5</v>
      </c>
      <c r="H11" s="556">
        <v>4.5</v>
      </c>
      <c r="I11" s="556" t="s">
        <v>29319</v>
      </c>
      <c r="J11" s="556" t="s">
        <v>4</v>
      </c>
      <c r="K11" s="556" t="s">
        <v>30146</v>
      </c>
      <c r="L11" s="556">
        <v>776526264</v>
      </c>
      <c r="M11" s="556" t="s">
        <v>5</v>
      </c>
      <c r="N11" s="556" t="s">
        <v>31438</v>
      </c>
      <c r="O11" s="556">
        <v>70</v>
      </c>
      <c r="P11" s="556">
        <v>5</v>
      </c>
      <c r="Q11" s="556" t="s">
        <v>7</v>
      </c>
      <c r="R11" s="556" t="s">
        <v>31549</v>
      </c>
      <c r="S11" s="556" t="s">
        <v>4</v>
      </c>
      <c r="T11" s="556" t="s">
        <v>2</v>
      </c>
      <c r="U11" s="556" t="s">
        <v>4</v>
      </c>
      <c r="V11" s="556"/>
      <c r="W11" s="556" t="s">
        <v>4</v>
      </c>
      <c r="X11" s="556" t="s">
        <v>4</v>
      </c>
      <c r="Y11" s="557">
        <v>42407</v>
      </c>
      <c r="Z11" s="557" t="str">
        <f>IF(OR(T11="yes",Y11&gt;'SDG outcome'!$C$27),"yes","no")</f>
        <v>no</v>
      </c>
      <c r="AA11" s="558" t="str">
        <f t="shared" si="0"/>
        <v/>
      </c>
      <c r="AB11" s="558" t="str">
        <f>IF(AND(Z11="no",AND(Y11&gt;='SDG outcome'!$B$16,Y11&lt;'SDG outcome'!$C$27)),Y11-'SDG outcome'!$B$16,"")</f>
        <v/>
      </c>
      <c r="AC11" s="556" t="s">
        <v>31572</v>
      </c>
      <c r="AD11" s="556" t="s">
        <v>4</v>
      </c>
      <c r="AE11" s="556" t="s">
        <v>7</v>
      </c>
      <c r="AF11" s="556" t="s">
        <v>31759</v>
      </c>
      <c r="AG11" s="556" t="s">
        <v>4</v>
      </c>
      <c r="AH11" s="556" t="s">
        <v>7</v>
      </c>
      <c r="AI11" s="557">
        <v>45149</v>
      </c>
      <c r="AJ11" s="556" t="s">
        <v>4</v>
      </c>
      <c r="AK11" s="556"/>
      <c r="AL11" s="556"/>
      <c r="AM11" s="556"/>
      <c r="AN11" s="556"/>
      <c r="AO11" s="556"/>
      <c r="AP11" s="556"/>
      <c r="AQ11" s="556"/>
      <c r="AR11" s="556"/>
      <c r="AS11" s="556"/>
      <c r="AT11" s="556"/>
      <c r="AU11" s="556"/>
      <c r="AV11" s="556"/>
      <c r="AW11" s="556"/>
      <c r="AX11" s="556"/>
      <c r="AY11" s="556"/>
      <c r="AZ11" s="556"/>
      <c r="BA11" s="556"/>
      <c r="BB11" s="556"/>
      <c r="BC11" s="556"/>
      <c r="BD11" s="556"/>
      <c r="BE11" s="556"/>
      <c r="BF11" s="556"/>
      <c r="BG11" s="556"/>
      <c r="BH11" s="556"/>
      <c r="BI11" s="556"/>
      <c r="BJ11" s="556"/>
      <c r="BK11" s="556"/>
      <c r="BL11" s="556"/>
      <c r="BM11" s="556"/>
      <c r="BN11" s="556"/>
      <c r="BO11" s="556"/>
      <c r="BP11" s="556"/>
      <c r="BQ11" s="556"/>
      <c r="BR11" s="556"/>
      <c r="BS11" s="556"/>
      <c r="BT11" s="556"/>
      <c r="BU11" s="556"/>
      <c r="BV11" s="556"/>
      <c r="BW11" s="556"/>
      <c r="BX11" s="556"/>
      <c r="BY11" s="556"/>
      <c r="BZ11" s="556"/>
      <c r="CA11" s="556"/>
      <c r="CB11" s="556"/>
      <c r="CC11" s="556"/>
      <c r="CD11" s="556"/>
      <c r="CE11" s="556"/>
      <c r="CF11" s="556"/>
      <c r="CG11" s="556"/>
      <c r="CH11" s="556"/>
      <c r="CI11" s="556"/>
      <c r="CJ11" s="556"/>
      <c r="CK11" s="556"/>
      <c r="CL11" s="556"/>
      <c r="CM11" s="556"/>
      <c r="CN11" s="556"/>
      <c r="CO11" s="556"/>
      <c r="CP11" s="556"/>
      <c r="CQ11" s="556"/>
      <c r="CR11" s="556"/>
      <c r="CS11" s="556"/>
      <c r="CT11" s="556"/>
      <c r="CU11" s="556"/>
      <c r="CV11" s="556"/>
      <c r="CW11" s="556"/>
      <c r="CX11" s="556"/>
      <c r="CY11" s="556"/>
      <c r="CZ11" s="556"/>
      <c r="DA11" s="556"/>
      <c r="DB11" s="556"/>
      <c r="DC11" s="556"/>
      <c r="DD11" s="556"/>
      <c r="DE11" s="556"/>
      <c r="DF11" s="556"/>
      <c r="DG11" s="556"/>
      <c r="DH11" s="556"/>
      <c r="DI11" s="556"/>
      <c r="DJ11" s="556"/>
      <c r="DK11" s="556"/>
      <c r="DL11" s="556"/>
      <c r="DM11" s="556"/>
      <c r="DN11" s="556"/>
      <c r="DO11" s="556"/>
      <c r="DP11" s="556"/>
      <c r="DQ11" s="556"/>
      <c r="DR11" s="556"/>
      <c r="DS11" s="556"/>
      <c r="DT11" s="559"/>
      <c r="DU11" s="556"/>
      <c r="DV11" s="559"/>
      <c r="DW11" s="556"/>
      <c r="DX11" s="556"/>
      <c r="DY11" s="556"/>
      <c r="DZ11" s="556"/>
      <c r="EA11" s="556"/>
      <c r="EB11" s="556"/>
      <c r="EC11" s="556"/>
      <c r="ED11" s="556"/>
      <c r="EE11" s="560"/>
      <c r="EF11" s="560"/>
      <c r="EG11" s="560"/>
      <c r="EH11" s="560"/>
      <c r="EI11" s="560"/>
      <c r="EJ11" s="556"/>
      <c r="EK11" s="556"/>
      <c r="EL11" s="556"/>
      <c r="EM11" s="556"/>
      <c r="EN11" s="556"/>
      <c r="EO11" s="556"/>
      <c r="EP11" s="556"/>
      <c r="EQ11" s="556"/>
      <c r="ER11" s="556"/>
      <c r="ES11" s="556"/>
      <c r="ET11" s="556"/>
      <c r="EU11" s="556"/>
      <c r="EV11" s="560"/>
      <c r="EW11" s="560"/>
      <c r="EX11" s="560"/>
      <c r="EY11" s="560"/>
      <c r="EZ11" s="560"/>
      <c r="FA11" s="556"/>
      <c r="FB11" s="556"/>
      <c r="FC11" s="556"/>
      <c r="FD11" s="556"/>
      <c r="FE11" s="556"/>
      <c r="FF11" s="556"/>
      <c r="FG11" s="556"/>
      <c r="FH11" s="556"/>
      <c r="FI11" s="556"/>
      <c r="FJ11" s="556"/>
      <c r="FK11" s="556"/>
      <c r="FL11" s="556"/>
      <c r="FM11" s="556"/>
      <c r="FN11" s="556"/>
      <c r="FO11" s="556"/>
      <c r="FP11" s="556"/>
      <c r="FQ11" s="556"/>
      <c r="FR11" s="556"/>
      <c r="FS11" s="556"/>
      <c r="FT11" s="556"/>
      <c r="FU11" s="556"/>
      <c r="FV11" s="556"/>
      <c r="FW11" s="556"/>
      <c r="FX11" s="556"/>
      <c r="FY11" s="556"/>
      <c r="FZ11" s="556"/>
      <c r="GA11" s="556"/>
      <c r="GB11" s="559"/>
      <c r="GC11" s="556"/>
      <c r="GD11" s="556"/>
      <c r="GE11" s="556"/>
      <c r="GF11" s="556"/>
      <c r="GG11" s="556"/>
      <c r="GH11" s="556"/>
      <c r="GI11" s="556"/>
      <c r="GJ11" s="556"/>
      <c r="GK11" s="556"/>
      <c r="GL11" s="556"/>
      <c r="GM11" s="556"/>
      <c r="GN11" s="556"/>
      <c r="GO11" s="556"/>
      <c r="GP11" s="556"/>
      <c r="GQ11" s="556"/>
      <c r="GR11" s="556"/>
      <c r="GS11" s="556"/>
      <c r="GT11" s="556"/>
      <c r="GU11" s="556"/>
      <c r="GV11" s="556"/>
      <c r="GW11" s="556"/>
      <c r="GX11" s="556"/>
      <c r="GY11" s="556"/>
      <c r="GZ11" s="556"/>
      <c r="HA11" s="556"/>
      <c r="HB11" s="556"/>
      <c r="HC11" s="556"/>
      <c r="HD11" s="556"/>
      <c r="HE11" s="556"/>
      <c r="HF11" s="556"/>
      <c r="HG11" s="556"/>
      <c r="HH11" s="556"/>
      <c r="HI11" s="556"/>
      <c r="HJ11" s="559"/>
      <c r="HK11" s="556"/>
      <c r="HL11" s="556"/>
      <c r="HM11" s="556"/>
      <c r="HN11" s="556"/>
      <c r="HO11" s="556"/>
      <c r="HP11" s="556"/>
      <c r="HQ11" s="556"/>
      <c r="HR11" s="556"/>
      <c r="HS11" s="556"/>
      <c r="HT11" s="556"/>
      <c r="HU11" s="556"/>
      <c r="HV11" s="556"/>
      <c r="HW11" s="556"/>
      <c r="HX11" s="556"/>
      <c r="HY11" s="556"/>
      <c r="HZ11" s="556" t="s">
        <v>30147</v>
      </c>
      <c r="IA11" s="556" t="s">
        <v>7</v>
      </c>
      <c r="IB11" s="556" t="s">
        <v>30148</v>
      </c>
      <c r="IC11" s="556" t="s">
        <v>30147</v>
      </c>
      <c r="ID11" s="556" t="s">
        <v>30149</v>
      </c>
      <c r="IE11" s="556" t="s">
        <v>30150</v>
      </c>
      <c r="IF11" s="556" t="s">
        <v>30151</v>
      </c>
      <c r="IG11" s="556" t="s">
        <v>30152</v>
      </c>
      <c r="IH11" s="556" t="s">
        <v>30144</v>
      </c>
    </row>
    <row r="12" spans="1:242" s="561" customFormat="1" ht="36.75" customHeight="1" x14ac:dyDescent="0.2">
      <c r="A12" s="556">
        <v>35</v>
      </c>
      <c r="B12" s="556" t="s">
        <v>13602</v>
      </c>
      <c r="C12" s="556" t="s">
        <v>29730</v>
      </c>
      <c r="D12" s="556" t="s">
        <v>29691</v>
      </c>
      <c r="E12" s="556" t="s">
        <v>7</v>
      </c>
      <c r="F12" s="556" t="s">
        <v>29731</v>
      </c>
      <c r="G12" s="556">
        <v>1149.5999999999999</v>
      </c>
      <c r="H12" s="556">
        <v>4.9000000000000004</v>
      </c>
      <c r="I12" s="556" t="s">
        <v>29349</v>
      </c>
      <c r="J12" s="556" t="s">
        <v>4</v>
      </c>
      <c r="K12" s="556" t="s">
        <v>29732</v>
      </c>
      <c r="L12" s="556">
        <v>705487017</v>
      </c>
      <c r="M12" s="556" t="s">
        <v>3</v>
      </c>
      <c r="N12" s="556" t="s">
        <v>31598</v>
      </c>
      <c r="O12" s="556" t="s">
        <v>4</v>
      </c>
      <c r="P12" s="556">
        <v>13</v>
      </c>
      <c r="Q12" s="556" t="s">
        <v>7</v>
      </c>
      <c r="R12" s="556" t="s">
        <v>31588</v>
      </c>
      <c r="S12" s="556" t="s">
        <v>4</v>
      </c>
      <c r="T12" s="556" t="s">
        <v>2</v>
      </c>
      <c r="U12" s="556" t="s">
        <v>4</v>
      </c>
      <c r="V12" s="556"/>
      <c r="W12" s="556" t="s">
        <v>4</v>
      </c>
      <c r="X12" s="556" t="s">
        <v>4</v>
      </c>
      <c r="Y12" s="557">
        <v>42653</v>
      </c>
      <c r="Z12" s="557" t="str">
        <f>IF(OR(T12="yes",Y12&gt;'SDG outcome'!$C$27),"yes","no")</f>
        <v>no</v>
      </c>
      <c r="AA12" s="558" t="str">
        <f t="shared" si="0"/>
        <v/>
      </c>
      <c r="AB12" s="558" t="str">
        <f>IF(AND(Z12="no",AND(Y12&gt;='SDG outcome'!$B$16,Y12&lt;'SDG outcome'!$C$27)),Y12-'SDG outcome'!$B$16,"")</f>
        <v/>
      </c>
      <c r="AC12" s="556" t="s">
        <v>31572</v>
      </c>
      <c r="AD12" s="556" t="s">
        <v>4</v>
      </c>
      <c r="AE12" s="556" t="s">
        <v>2</v>
      </c>
      <c r="AF12" s="556" t="s">
        <v>4</v>
      </c>
      <c r="AG12" s="556" t="s">
        <v>31684</v>
      </c>
      <c r="AH12" s="556" t="s">
        <v>9</v>
      </c>
      <c r="AI12" s="557" t="s">
        <v>4</v>
      </c>
      <c r="AJ12" s="556" t="s">
        <v>4</v>
      </c>
      <c r="AK12" s="556"/>
      <c r="AL12" s="556"/>
      <c r="AM12" s="556"/>
      <c r="AN12" s="556"/>
      <c r="AO12" s="556"/>
      <c r="AP12" s="556"/>
      <c r="AQ12" s="556"/>
      <c r="AR12" s="556"/>
      <c r="AS12" s="556"/>
      <c r="AT12" s="556"/>
      <c r="AU12" s="556"/>
      <c r="AV12" s="556"/>
      <c r="AW12" s="556"/>
      <c r="AX12" s="556"/>
      <c r="AY12" s="556"/>
      <c r="AZ12" s="556"/>
      <c r="BA12" s="556"/>
      <c r="BB12" s="556"/>
      <c r="BC12" s="556"/>
      <c r="BD12" s="556"/>
      <c r="BE12" s="556"/>
      <c r="BF12" s="556"/>
      <c r="BG12" s="556"/>
      <c r="BH12" s="556"/>
      <c r="BI12" s="556"/>
      <c r="BJ12" s="556"/>
      <c r="BK12" s="556"/>
      <c r="BL12" s="556"/>
      <c r="BM12" s="556"/>
      <c r="BN12" s="556"/>
      <c r="BO12" s="556"/>
      <c r="BP12" s="556"/>
      <c r="BQ12" s="556"/>
      <c r="BR12" s="556"/>
      <c r="BS12" s="556"/>
      <c r="BT12" s="556"/>
      <c r="BU12" s="556"/>
      <c r="BV12" s="556"/>
      <c r="BW12" s="556"/>
      <c r="BX12" s="556"/>
      <c r="BY12" s="556"/>
      <c r="BZ12" s="556"/>
      <c r="CA12" s="556"/>
      <c r="CB12" s="556"/>
      <c r="CC12" s="556"/>
      <c r="CD12" s="556"/>
      <c r="CE12" s="556"/>
      <c r="CF12" s="556"/>
      <c r="CG12" s="556"/>
      <c r="CH12" s="556"/>
      <c r="CI12" s="556"/>
      <c r="CJ12" s="556"/>
      <c r="CK12" s="556"/>
      <c r="CL12" s="556"/>
      <c r="CM12" s="556"/>
      <c r="CN12" s="556"/>
      <c r="CO12" s="556"/>
      <c r="CP12" s="556"/>
      <c r="CQ12" s="556"/>
      <c r="CR12" s="556"/>
      <c r="CS12" s="556"/>
      <c r="CT12" s="556"/>
      <c r="CU12" s="556"/>
      <c r="CV12" s="556"/>
      <c r="CW12" s="556"/>
      <c r="CX12" s="556"/>
      <c r="CY12" s="556"/>
      <c r="CZ12" s="556"/>
      <c r="DA12" s="556"/>
      <c r="DB12" s="556"/>
      <c r="DC12" s="556"/>
      <c r="DD12" s="556"/>
      <c r="DE12" s="556"/>
      <c r="DF12" s="556"/>
      <c r="DG12" s="556"/>
      <c r="DH12" s="556"/>
      <c r="DI12" s="556"/>
      <c r="DJ12" s="556"/>
      <c r="DK12" s="556"/>
      <c r="DL12" s="556"/>
      <c r="DM12" s="556"/>
      <c r="DN12" s="556"/>
      <c r="DO12" s="556"/>
      <c r="DP12" s="556"/>
      <c r="DQ12" s="556"/>
      <c r="DR12" s="556"/>
      <c r="DS12" s="556"/>
      <c r="DT12" s="559"/>
      <c r="DU12" s="556"/>
      <c r="DV12" s="559"/>
      <c r="DW12" s="556"/>
      <c r="DX12" s="556"/>
      <c r="DY12" s="556"/>
      <c r="DZ12" s="556"/>
      <c r="EA12" s="556"/>
      <c r="EB12" s="556"/>
      <c r="EC12" s="556"/>
      <c r="ED12" s="556"/>
      <c r="EE12" s="560"/>
      <c r="EF12" s="560"/>
      <c r="EG12" s="560"/>
      <c r="EH12" s="560"/>
      <c r="EI12" s="560"/>
      <c r="EJ12" s="556"/>
      <c r="EK12" s="556"/>
      <c r="EL12" s="556"/>
      <c r="EM12" s="556"/>
      <c r="EN12" s="556"/>
      <c r="EO12" s="556"/>
      <c r="EP12" s="556"/>
      <c r="EQ12" s="556"/>
      <c r="ER12" s="556"/>
      <c r="ES12" s="556"/>
      <c r="ET12" s="556"/>
      <c r="EU12" s="556"/>
      <c r="EV12" s="560"/>
      <c r="EW12" s="560"/>
      <c r="EX12" s="560"/>
      <c r="EY12" s="560"/>
      <c r="EZ12" s="560"/>
      <c r="FA12" s="556"/>
      <c r="FB12" s="556"/>
      <c r="FC12" s="556"/>
      <c r="FD12" s="556"/>
      <c r="FE12" s="556"/>
      <c r="FF12" s="556"/>
      <c r="FG12" s="556"/>
      <c r="FH12" s="556"/>
      <c r="FI12" s="556"/>
      <c r="FJ12" s="556"/>
      <c r="FK12" s="556"/>
      <c r="FL12" s="556"/>
      <c r="FM12" s="556"/>
      <c r="FN12" s="556"/>
      <c r="FO12" s="556"/>
      <c r="FP12" s="556"/>
      <c r="FQ12" s="556"/>
      <c r="FR12" s="556"/>
      <c r="FS12" s="556"/>
      <c r="FT12" s="556"/>
      <c r="FU12" s="556"/>
      <c r="FV12" s="556"/>
      <c r="FW12" s="556"/>
      <c r="FX12" s="556"/>
      <c r="FY12" s="556"/>
      <c r="FZ12" s="556"/>
      <c r="GA12" s="556"/>
      <c r="GB12" s="559"/>
      <c r="GC12" s="556"/>
      <c r="GD12" s="556"/>
      <c r="GE12" s="556"/>
      <c r="GF12" s="556"/>
      <c r="GG12" s="556"/>
      <c r="GH12" s="556"/>
      <c r="GI12" s="556"/>
      <c r="GJ12" s="556"/>
      <c r="GK12" s="556"/>
      <c r="GL12" s="556"/>
      <c r="GM12" s="556"/>
      <c r="GN12" s="556"/>
      <c r="GO12" s="556"/>
      <c r="GP12" s="556"/>
      <c r="GQ12" s="556"/>
      <c r="GR12" s="556"/>
      <c r="GS12" s="556"/>
      <c r="GT12" s="556"/>
      <c r="GU12" s="556"/>
      <c r="GV12" s="556"/>
      <c r="GW12" s="556"/>
      <c r="GX12" s="556"/>
      <c r="GY12" s="556"/>
      <c r="GZ12" s="556"/>
      <c r="HA12" s="556"/>
      <c r="HB12" s="556"/>
      <c r="HC12" s="556"/>
      <c r="HD12" s="556"/>
      <c r="HE12" s="556"/>
      <c r="HF12" s="556"/>
      <c r="HG12" s="556"/>
      <c r="HH12" s="556"/>
      <c r="HI12" s="556"/>
      <c r="HJ12" s="559"/>
      <c r="HK12" s="556"/>
      <c r="HL12" s="556"/>
      <c r="HM12" s="556"/>
      <c r="HN12" s="556"/>
      <c r="HO12" s="556"/>
      <c r="HP12" s="556"/>
      <c r="HQ12" s="556"/>
      <c r="HR12" s="556"/>
      <c r="HS12" s="556"/>
      <c r="HT12" s="556"/>
      <c r="HU12" s="556"/>
      <c r="HV12" s="556"/>
      <c r="HW12" s="556"/>
      <c r="HX12" s="556"/>
      <c r="HY12" s="556"/>
      <c r="HZ12" s="556" t="s">
        <v>29733</v>
      </c>
      <c r="IA12" s="556" t="s">
        <v>7</v>
      </c>
      <c r="IB12" s="556" t="s">
        <v>29734</v>
      </c>
      <c r="IC12" s="556" t="s">
        <v>29735</v>
      </c>
      <c r="ID12" s="556" t="s">
        <v>29736</v>
      </c>
      <c r="IE12" s="556" t="s">
        <v>29737</v>
      </c>
      <c r="IF12" s="556" t="s">
        <v>29738</v>
      </c>
      <c r="IG12" s="556" t="s">
        <v>29739</v>
      </c>
      <c r="IH12" s="556" t="s">
        <v>29730</v>
      </c>
    </row>
    <row r="13" spans="1:242" s="561" customFormat="1" ht="36.75" customHeight="1" x14ac:dyDescent="0.2">
      <c r="A13" s="556">
        <v>28</v>
      </c>
      <c r="B13" s="556" t="s">
        <v>27739</v>
      </c>
      <c r="C13" s="556" t="s">
        <v>29651</v>
      </c>
      <c r="D13" s="556" t="s">
        <v>29563</v>
      </c>
      <c r="E13" s="556" t="s">
        <v>7</v>
      </c>
      <c r="F13" s="556" t="s">
        <v>29652</v>
      </c>
      <c r="G13" s="556">
        <v>1166.3</v>
      </c>
      <c r="H13" s="556">
        <v>5</v>
      </c>
      <c r="I13" s="556" t="s">
        <v>29349</v>
      </c>
      <c r="J13" s="556" t="s">
        <v>4</v>
      </c>
      <c r="K13" s="556" t="s">
        <v>29653</v>
      </c>
      <c r="L13" s="556">
        <v>771887709</v>
      </c>
      <c r="M13" s="556" t="s">
        <v>5</v>
      </c>
      <c r="N13" s="556" t="s">
        <v>31438</v>
      </c>
      <c r="O13" s="556">
        <v>24</v>
      </c>
      <c r="P13" s="556">
        <v>7</v>
      </c>
      <c r="Q13" s="556" t="s">
        <v>7</v>
      </c>
      <c r="R13" s="556" t="s">
        <v>31549</v>
      </c>
      <c r="S13" s="556" t="s">
        <v>4</v>
      </c>
      <c r="T13" s="556" t="s">
        <v>2</v>
      </c>
      <c r="U13" s="556" t="s">
        <v>4</v>
      </c>
      <c r="V13" s="556"/>
      <c r="W13" s="556" t="s">
        <v>4</v>
      </c>
      <c r="X13" s="556" t="s">
        <v>4</v>
      </c>
      <c r="Y13" s="557">
        <v>42857</v>
      </c>
      <c r="Z13" s="557" t="str">
        <f>IF(OR(T13="yes",Y13&gt;'SDG outcome'!$C$27),"yes","no")</f>
        <v>no</v>
      </c>
      <c r="AA13" s="558" t="str">
        <f t="shared" si="0"/>
        <v/>
      </c>
      <c r="AB13" s="558" t="str">
        <f>IF(AND(Z13="no",AND(Y13&gt;='SDG outcome'!$B$16,Y13&lt;'SDG outcome'!$C$27)),Y13-'SDG outcome'!$B$16,"")</f>
        <v/>
      </c>
      <c r="AC13" s="556" t="s">
        <v>31572</v>
      </c>
      <c r="AD13" s="556" t="s">
        <v>4</v>
      </c>
      <c r="AE13" s="556" t="s">
        <v>2</v>
      </c>
      <c r="AF13" s="556" t="s">
        <v>4</v>
      </c>
      <c r="AG13" s="556" t="s">
        <v>31347</v>
      </c>
      <c r="AH13" s="556" t="s">
        <v>7</v>
      </c>
      <c r="AI13" s="557" t="s">
        <v>9</v>
      </c>
      <c r="AJ13" s="556" t="s">
        <v>4</v>
      </c>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6"/>
      <c r="CK13" s="556"/>
      <c r="CL13" s="556"/>
      <c r="CM13" s="556"/>
      <c r="CN13" s="556"/>
      <c r="CO13" s="556"/>
      <c r="CP13" s="556"/>
      <c r="CQ13" s="556"/>
      <c r="CR13" s="556"/>
      <c r="CS13" s="556"/>
      <c r="CT13" s="556"/>
      <c r="CU13" s="556"/>
      <c r="CV13" s="556"/>
      <c r="CW13" s="556"/>
      <c r="CX13" s="556"/>
      <c r="CY13" s="556"/>
      <c r="CZ13" s="556"/>
      <c r="DA13" s="556"/>
      <c r="DB13" s="556"/>
      <c r="DC13" s="556"/>
      <c r="DD13" s="556"/>
      <c r="DE13" s="556"/>
      <c r="DF13" s="556"/>
      <c r="DG13" s="556"/>
      <c r="DH13" s="556"/>
      <c r="DI13" s="556"/>
      <c r="DJ13" s="556"/>
      <c r="DK13" s="556"/>
      <c r="DL13" s="556"/>
      <c r="DM13" s="556"/>
      <c r="DN13" s="556"/>
      <c r="DO13" s="556"/>
      <c r="DP13" s="556"/>
      <c r="DQ13" s="556"/>
      <c r="DR13" s="556"/>
      <c r="DS13" s="556"/>
      <c r="DT13" s="559"/>
      <c r="DU13" s="556"/>
      <c r="DV13" s="559"/>
      <c r="DW13" s="556"/>
      <c r="DX13" s="556"/>
      <c r="DY13" s="556"/>
      <c r="DZ13" s="556"/>
      <c r="EA13" s="556"/>
      <c r="EB13" s="556"/>
      <c r="EC13" s="556"/>
      <c r="ED13" s="556"/>
      <c r="EE13" s="560"/>
      <c r="EF13" s="560"/>
      <c r="EG13" s="560"/>
      <c r="EH13" s="560"/>
      <c r="EI13" s="560"/>
      <c r="EJ13" s="556"/>
      <c r="EK13" s="556"/>
      <c r="EL13" s="556"/>
      <c r="EM13" s="556"/>
      <c r="EN13" s="556"/>
      <c r="EO13" s="556"/>
      <c r="EP13" s="556"/>
      <c r="EQ13" s="556"/>
      <c r="ER13" s="556"/>
      <c r="ES13" s="556"/>
      <c r="ET13" s="556"/>
      <c r="EU13" s="556"/>
      <c r="EV13" s="560"/>
      <c r="EW13" s="560"/>
      <c r="EX13" s="560"/>
      <c r="EY13" s="560"/>
      <c r="EZ13" s="560"/>
      <c r="FA13" s="556"/>
      <c r="FB13" s="556"/>
      <c r="FC13" s="556"/>
      <c r="FD13" s="556"/>
      <c r="FE13" s="556"/>
      <c r="FF13" s="556"/>
      <c r="FG13" s="556"/>
      <c r="FH13" s="556"/>
      <c r="FI13" s="556"/>
      <c r="FJ13" s="556"/>
      <c r="FK13" s="556"/>
      <c r="FL13" s="556"/>
      <c r="FM13" s="556"/>
      <c r="FN13" s="556"/>
      <c r="FO13" s="556"/>
      <c r="FP13" s="556"/>
      <c r="FQ13" s="556"/>
      <c r="FR13" s="556"/>
      <c r="FS13" s="556"/>
      <c r="FT13" s="556"/>
      <c r="FU13" s="556"/>
      <c r="FV13" s="556"/>
      <c r="FW13" s="556"/>
      <c r="FX13" s="556"/>
      <c r="FY13" s="556"/>
      <c r="FZ13" s="556"/>
      <c r="GA13" s="556"/>
      <c r="GB13" s="559"/>
      <c r="GC13" s="556"/>
      <c r="GD13" s="556"/>
      <c r="GE13" s="556"/>
      <c r="GF13" s="556"/>
      <c r="GG13" s="556"/>
      <c r="GH13" s="556"/>
      <c r="GI13" s="556"/>
      <c r="GJ13" s="556"/>
      <c r="GK13" s="556"/>
      <c r="GL13" s="556"/>
      <c r="GM13" s="556"/>
      <c r="GN13" s="556"/>
      <c r="GO13" s="556"/>
      <c r="GP13" s="556"/>
      <c r="GQ13" s="556"/>
      <c r="GR13" s="556"/>
      <c r="GS13" s="556"/>
      <c r="GT13" s="556"/>
      <c r="GU13" s="556"/>
      <c r="GV13" s="556"/>
      <c r="GW13" s="556"/>
      <c r="GX13" s="556"/>
      <c r="GY13" s="556"/>
      <c r="GZ13" s="556"/>
      <c r="HA13" s="556"/>
      <c r="HB13" s="556"/>
      <c r="HC13" s="556"/>
      <c r="HD13" s="556"/>
      <c r="HE13" s="556"/>
      <c r="HF13" s="556"/>
      <c r="HG13" s="556"/>
      <c r="HH13" s="556"/>
      <c r="HI13" s="556"/>
      <c r="HJ13" s="559"/>
      <c r="HK13" s="556"/>
      <c r="HL13" s="556"/>
      <c r="HM13" s="556"/>
      <c r="HN13" s="556"/>
      <c r="HO13" s="556"/>
      <c r="HP13" s="556"/>
      <c r="HQ13" s="556"/>
      <c r="HR13" s="556"/>
      <c r="HS13" s="556"/>
      <c r="HT13" s="556"/>
      <c r="HU13" s="556"/>
      <c r="HV13" s="556"/>
      <c r="HW13" s="556"/>
      <c r="HX13" s="556"/>
      <c r="HY13" s="556"/>
      <c r="HZ13" s="556" t="s">
        <v>29654</v>
      </c>
      <c r="IA13" s="556" t="s">
        <v>7</v>
      </c>
      <c r="IB13" s="556" t="s">
        <v>29655</v>
      </c>
      <c r="IC13" s="556" t="s">
        <v>29656</v>
      </c>
      <c r="ID13" s="556" t="s">
        <v>29657</v>
      </c>
      <c r="IE13" s="556" t="s">
        <v>29658</v>
      </c>
      <c r="IF13" s="556" t="s">
        <v>29659</v>
      </c>
      <c r="IG13" s="556" t="s">
        <v>29660</v>
      </c>
      <c r="IH13" s="556" t="s">
        <v>29651</v>
      </c>
    </row>
    <row r="14" spans="1:242" s="561" customFormat="1" ht="36.75" customHeight="1" x14ac:dyDescent="0.2">
      <c r="A14" s="556">
        <v>100</v>
      </c>
      <c r="B14" s="556" t="s">
        <v>1678</v>
      </c>
      <c r="C14" s="556" t="s">
        <v>30391</v>
      </c>
      <c r="D14" s="556" t="s">
        <v>30392</v>
      </c>
      <c r="E14" s="556" t="s">
        <v>7</v>
      </c>
      <c r="F14" s="556" t="s">
        <v>30393</v>
      </c>
      <c r="G14" s="556">
        <v>1075.1469999999999</v>
      </c>
      <c r="H14" s="556">
        <v>1.46261</v>
      </c>
      <c r="I14" s="556" t="s">
        <v>29288</v>
      </c>
      <c r="J14" s="556" t="s">
        <v>4</v>
      </c>
      <c r="K14" s="556" t="s">
        <v>30394</v>
      </c>
      <c r="L14" s="556">
        <v>782080614</v>
      </c>
      <c r="M14" s="556" t="s">
        <v>3</v>
      </c>
      <c r="N14" s="556" t="s">
        <v>31598</v>
      </c>
      <c r="O14" s="556" t="s">
        <v>4</v>
      </c>
      <c r="P14" s="556">
        <v>6</v>
      </c>
      <c r="Q14" s="556" t="s">
        <v>7</v>
      </c>
      <c r="R14" s="556" t="s">
        <v>31549</v>
      </c>
      <c r="S14" s="556" t="s">
        <v>4</v>
      </c>
      <c r="T14" s="556" t="s">
        <v>2</v>
      </c>
      <c r="U14" s="556" t="s">
        <v>4</v>
      </c>
      <c r="V14" s="556"/>
      <c r="W14" s="556" t="s">
        <v>4</v>
      </c>
      <c r="X14" s="556" t="s">
        <v>4</v>
      </c>
      <c r="Y14" s="557">
        <v>42859</v>
      </c>
      <c r="Z14" s="557" t="str">
        <f>IF(OR(T14="yes",Y14&gt;'SDG outcome'!$C$27),"yes","no")</f>
        <v>no</v>
      </c>
      <c r="AA14" s="558" t="str">
        <f t="shared" si="0"/>
        <v/>
      </c>
      <c r="AB14" s="558" t="str">
        <f>IF(AND(Z14="no",AND(Y14&gt;='SDG outcome'!$B$16,Y14&lt;'SDG outcome'!$C$27)),Y14-'SDG outcome'!$B$16,"")</f>
        <v/>
      </c>
      <c r="AC14" s="556" t="s">
        <v>31572</v>
      </c>
      <c r="AD14" s="556" t="s">
        <v>4</v>
      </c>
      <c r="AE14" s="556" t="s">
        <v>2</v>
      </c>
      <c r="AF14" s="556" t="s">
        <v>4</v>
      </c>
      <c r="AG14" s="556" t="s">
        <v>31804</v>
      </c>
      <c r="AH14" s="556" t="s">
        <v>7</v>
      </c>
      <c r="AI14" s="557" t="s">
        <v>9</v>
      </c>
      <c r="AJ14" s="556" t="s">
        <v>4</v>
      </c>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556"/>
      <c r="CH14" s="556"/>
      <c r="CI14" s="556"/>
      <c r="CJ14" s="556"/>
      <c r="CK14" s="556"/>
      <c r="CL14" s="556"/>
      <c r="CM14" s="556"/>
      <c r="CN14" s="556"/>
      <c r="CO14" s="556"/>
      <c r="CP14" s="556"/>
      <c r="CQ14" s="556"/>
      <c r="CR14" s="556"/>
      <c r="CS14" s="556"/>
      <c r="CT14" s="556"/>
      <c r="CU14" s="556"/>
      <c r="CV14" s="556"/>
      <c r="CW14" s="556"/>
      <c r="CX14" s="556"/>
      <c r="CY14" s="556"/>
      <c r="CZ14" s="556"/>
      <c r="DA14" s="556"/>
      <c r="DB14" s="556"/>
      <c r="DC14" s="556"/>
      <c r="DD14" s="556"/>
      <c r="DE14" s="556"/>
      <c r="DF14" s="556"/>
      <c r="DG14" s="556"/>
      <c r="DH14" s="556"/>
      <c r="DI14" s="556"/>
      <c r="DJ14" s="556"/>
      <c r="DK14" s="556"/>
      <c r="DL14" s="556"/>
      <c r="DM14" s="556"/>
      <c r="DN14" s="556"/>
      <c r="DO14" s="556"/>
      <c r="DP14" s="556"/>
      <c r="DQ14" s="556"/>
      <c r="DR14" s="556"/>
      <c r="DS14" s="556"/>
      <c r="DT14" s="559"/>
      <c r="DU14" s="556"/>
      <c r="DV14" s="559"/>
      <c r="DW14" s="556"/>
      <c r="DX14" s="556"/>
      <c r="DY14" s="556"/>
      <c r="DZ14" s="556"/>
      <c r="EA14" s="556"/>
      <c r="EB14" s="556"/>
      <c r="EC14" s="556"/>
      <c r="ED14" s="556"/>
      <c r="EE14" s="560"/>
      <c r="EF14" s="560"/>
      <c r="EG14" s="560"/>
      <c r="EH14" s="560"/>
      <c r="EI14" s="560"/>
      <c r="EJ14" s="556"/>
      <c r="EK14" s="556"/>
      <c r="EL14" s="556"/>
      <c r="EM14" s="556"/>
      <c r="EN14" s="556"/>
      <c r="EO14" s="556"/>
      <c r="EP14" s="556"/>
      <c r="EQ14" s="556"/>
      <c r="ER14" s="556"/>
      <c r="ES14" s="556"/>
      <c r="ET14" s="556"/>
      <c r="EU14" s="556"/>
      <c r="EV14" s="560"/>
      <c r="EW14" s="560"/>
      <c r="EX14" s="560"/>
      <c r="EY14" s="560"/>
      <c r="EZ14" s="560"/>
      <c r="FA14" s="556"/>
      <c r="FB14" s="556"/>
      <c r="FC14" s="556"/>
      <c r="FD14" s="556"/>
      <c r="FE14" s="556"/>
      <c r="FF14" s="556"/>
      <c r="FG14" s="556"/>
      <c r="FH14" s="556"/>
      <c r="FI14" s="556"/>
      <c r="FJ14" s="556"/>
      <c r="FK14" s="556"/>
      <c r="FL14" s="556"/>
      <c r="FM14" s="556"/>
      <c r="FN14" s="556"/>
      <c r="FO14" s="556"/>
      <c r="FP14" s="556"/>
      <c r="FQ14" s="556"/>
      <c r="FR14" s="556"/>
      <c r="FS14" s="556"/>
      <c r="FT14" s="556"/>
      <c r="FU14" s="556"/>
      <c r="FV14" s="556"/>
      <c r="FW14" s="556"/>
      <c r="FX14" s="556"/>
      <c r="FY14" s="556"/>
      <c r="FZ14" s="556"/>
      <c r="GA14" s="556"/>
      <c r="GB14" s="559"/>
      <c r="GC14" s="556"/>
      <c r="GD14" s="556"/>
      <c r="GE14" s="556"/>
      <c r="GF14" s="556"/>
      <c r="GG14" s="556"/>
      <c r="GH14" s="556"/>
      <c r="GI14" s="556"/>
      <c r="GJ14" s="556"/>
      <c r="GK14" s="556"/>
      <c r="GL14" s="556"/>
      <c r="GM14" s="556"/>
      <c r="GN14" s="556"/>
      <c r="GO14" s="556"/>
      <c r="GP14" s="556"/>
      <c r="GQ14" s="556"/>
      <c r="GR14" s="556"/>
      <c r="GS14" s="556"/>
      <c r="GT14" s="556"/>
      <c r="GU14" s="556"/>
      <c r="GV14" s="556"/>
      <c r="GW14" s="556"/>
      <c r="GX14" s="556"/>
      <c r="GY14" s="556"/>
      <c r="GZ14" s="556"/>
      <c r="HA14" s="556"/>
      <c r="HB14" s="556"/>
      <c r="HC14" s="556"/>
      <c r="HD14" s="556"/>
      <c r="HE14" s="556"/>
      <c r="HF14" s="556"/>
      <c r="HG14" s="556"/>
      <c r="HH14" s="556"/>
      <c r="HI14" s="556"/>
      <c r="HJ14" s="559"/>
      <c r="HK14" s="556"/>
      <c r="HL14" s="556"/>
      <c r="HM14" s="556"/>
      <c r="HN14" s="556"/>
      <c r="HO14" s="556"/>
      <c r="HP14" s="556"/>
      <c r="HQ14" s="556"/>
      <c r="HR14" s="556"/>
      <c r="HS14" s="556"/>
      <c r="HT14" s="556"/>
      <c r="HU14" s="556"/>
      <c r="HV14" s="556"/>
      <c r="HW14" s="556"/>
      <c r="HX14" s="556"/>
      <c r="HY14" s="556"/>
      <c r="HZ14" s="556" t="s">
        <v>30395</v>
      </c>
      <c r="IA14" s="556" t="s">
        <v>7</v>
      </c>
      <c r="IB14" s="556" t="s">
        <v>30396</v>
      </c>
      <c r="IC14" s="556" t="s">
        <v>30397</v>
      </c>
      <c r="ID14" s="556" t="s">
        <v>30398</v>
      </c>
      <c r="IE14" s="556" t="s">
        <v>30399</v>
      </c>
      <c r="IF14" s="556" t="s">
        <v>30400</v>
      </c>
      <c r="IG14" s="556" t="s">
        <v>30401</v>
      </c>
      <c r="IH14" s="556" t="s">
        <v>30391</v>
      </c>
    </row>
    <row r="15" spans="1:242" s="561" customFormat="1" ht="36.75" customHeight="1" x14ac:dyDescent="0.2">
      <c r="A15" s="556">
        <v>91</v>
      </c>
      <c r="B15" s="556" t="s">
        <v>14048</v>
      </c>
      <c r="C15" s="556" t="s">
        <v>30300</v>
      </c>
      <c r="D15" s="556" t="s">
        <v>30207</v>
      </c>
      <c r="E15" s="556" t="s">
        <v>7</v>
      </c>
      <c r="F15" s="556" t="s">
        <v>30301</v>
      </c>
      <c r="G15" s="556">
        <v>1101.9000000000001</v>
      </c>
      <c r="H15" s="556">
        <v>5</v>
      </c>
      <c r="I15" s="556" t="s">
        <v>29319</v>
      </c>
      <c r="J15" s="556" t="s">
        <v>4</v>
      </c>
      <c r="K15" s="556" t="s">
        <v>14049</v>
      </c>
      <c r="L15" s="556">
        <v>772624130</v>
      </c>
      <c r="M15" s="556" t="s">
        <v>5</v>
      </c>
      <c r="N15" s="556" t="s">
        <v>31598</v>
      </c>
      <c r="O15" s="556" t="s">
        <v>4</v>
      </c>
      <c r="P15" s="556">
        <v>6</v>
      </c>
      <c r="Q15" s="556" t="s">
        <v>7</v>
      </c>
      <c r="R15" s="556" t="s">
        <v>31588</v>
      </c>
      <c r="S15" s="556" t="s">
        <v>4</v>
      </c>
      <c r="T15" s="556" t="s">
        <v>2</v>
      </c>
      <c r="U15" s="556" t="s">
        <v>4</v>
      </c>
      <c r="V15" s="556"/>
      <c r="W15" s="556" t="s">
        <v>4</v>
      </c>
      <c r="X15" s="556" t="s">
        <v>4</v>
      </c>
      <c r="Y15" s="557">
        <v>43020</v>
      </c>
      <c r="Z15" s="557" t="str">
        <f>IF(OR(T15="yes",Y15&gt;'SDG outcome'!$C$27),"yes","no")</f>
        <v>no</v>
      </c>
      <c r="AA15" s="558" t="str">
        <f t="shared" si="0"/>
        <v/>
      </c>
      <c r="AB15" s="558" t="str">
        <f>IF(AND(Z15="no",AND(Y15&gt;='SDG outcome'!$B$16,Y15&lt;'SDG outcome'!$C$27)),Y15-'SDG outcome'!$B$16,"")</f>
        <v/>
      </c>
      <c r="AC15" s="556" t="s">
        <v>31699</v>
      </c>
      <c r="AD15" s="556" t="s">
        <v>4</v>
      </c>
      <c r="AE15" s="556" t="s">
        <v>4</v>
      </c>
      <c r="AF15" s="556" t="s">
        <v>4</v>
      </c>
      <c r="AG15" s="556" t="s">
        <v>4</v>
      </c>
      <c r="AH15" s="556" t="s">
        <v>4</v>
      </c>
      <c r="AI15" s="557" t="s">
        <v>4</v>
      </c>
      <c r="AJ15" s="556" t="s">
        <v>4</v>
      </c>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556"/>
      <c r="CH15" s="556"/>
      <c r="CI15" s="556"/>
      <c r="CJ15" s="556"/>
      <c r="CK15" s="556"/>
      <c r="CL15" s="556"/>
      <c r="CM15" s="556"/>
      <c r="CN15" s="556"/>
      <c r="CO15" s="556"/>
      <c r="CP15" s="556"/>
      <c r="CQ15" s="556"/>
      <c r="CR15" s="556"/>
      <c r="CS15" s="556"/>
      <c r="CT15" s="556"/>
      <c r="CU15" s="556"/>
      <c r="CV15" s="556"/>
      <c r="CW15" s="556"/>
      <c r="CX15" s="556"/>
      <c r="CY15" s="556"/>
      <c r="CZ15" s="556"/>
      <c r="DA15" s="556"/>
      <c r="DB15" s="556"/>
      <c r="DC15" s="556"/>
      <c r="DD15" s="556"/>
      <c r="DE15" s="556"/>
      <c r="DF15" s="556"/>
      <c r="DG15" s="556"/>
      <c r="DH15" s="556"/>
      <c r="DI15" s="556"/>
      <c r="DJ15" s="556"/>
      <c r="DK15" s="556"/>
      <c r="DL15" s="556"/>
      <c r="DM15" s="556"/>
      <c r="DN15" s="556"/>
      <c r="DO15" s="556"/>
      <c r="DP15" s="556"/>
      <c r="DQ15" s="556"/>
      <c r="DR15" s="556"/>
      <c r="DS15" s="556"/>
      <c r="DT15" s="559"/>
      <c r="DU15" s="556"/>
      <c r="DV15" s="559"/>
      <c r="DW15" s="556"/>
      <c r="DX15" s="556"/>
      <c r="DY15" s="556"/>
      <c r="DZ15" s="556"/>
      <c r="EA15" s="556"/>
      <c r="EB15" s="556"/>
      <c r="EC15" s="556"/>
      <c r="ED15" s="556"/>
      <c r="EE15" s="560"/>
      <c r="EF15" s="560"/>
      <c r="EG15" s="560"/>
      <c r="EH15" s="560"/>
      <c r="EI15" s="560"/>
      <c r="EJ15" s="556"/>
      <c r="EK15" s="556"/>
      <c r="EL15" s="556"/>
      <c r="EM15" s="556"/>
      <c r="EN15" s="556"/>
      <c r="EO15" s="556"/>
      <c r="EP15" s="556"/>
      <c r="EQ15" s="556"/>
      <c r="ER15" s="556"/>
      <c r="ES15" s="556"/>
      <c r="ET15" s="556"/>
      <c r="EU15" s="556"/>
      <c r="EV15" s="560"/>
      <c r="EW15" s="560"/>
      <c r="EX15" s="560"/>
      <c r="EY15" s="560"/>
      <c r="EZ15" s="560"/>
      <c r="FA15" s="556"/>
      <c r="FB15" s="556"/>
      <c r="FC15" s="556"/>
      <c r="FD15" s="556"/>
      <c r="FE15" s="556"/>
      <c r="FF15" s="556"/>
      <c r="FG15" s="556"/>
      <c r="FH15" s="556"/>
      <c r="FI15" s="556"/>
      <c r="FJ15" s="556"/>
      <c r="FK15" s="556"/>
      <c r="FL15" s="556"/>
      <c r="FM15" s="556"/>
      <c r="FN15" s="556"/>
      <c r="FO15" s="556"/>
      <c r="FP15" s="556"/>
      <c r="FQ15" s="556"/>
      <c r="FR15" s="556"/>
      <c r="FS15" s="556"/>
      <c r="FT15" s="556"/>
      <c r="FU15" s="556"/>
      <c r="FV15" s="556"/>
      <c r="FW15" s="556"/>
      <c r="FX15" s="556"/>
      <c r="FY15" s="556"/>
      <c r="FZ15" s="556"/>
      <c r="GA15" s="556"/>
      <c r="GB15" s="559"/>
      <c r="GC15" s="556"/>
      <c r="GD15" s="556"/>
      <c r="GE15" s="556"/>
      <c r="GF15" s="556"/>
      <c r="GG15" s="556"/>
      <c r="GH15" s="556"/>
      <c r="GI15" s="556"/>
      <c r="GJ15" s="556"/>
      <c r="GK15" s="556"/>
      <c r="GL15" s="556"/>
      <c r="GM15" s="556"/>
      <c r="GN15" s="556"/>
      <c r="GO15" s="556"/>
      <c r="GP15" s="556"/>
      <c r="GQ15" s="556"/>
      <c r="GR15" s="556"/>
      <c r="GS15" s="556"/>
      <c r="GT15" s="556"/>
      <c r="GU15" s="556"/>
      <c r="GV15" s="556"/>
      <c r="GW15" s="556"/>
      <c r="GX15" s="556"/>
      <c r="GY15" s="556"/>
      <c r="GZ15" s="556"/>
      <c r="HA15" s="556"/>
      <c r="HB15" s="556"/>
      <c r="HC15" s="556"/>
      <c r="HD15" s="556"/>
      <c r="HE15" s="556"/>
      <c r="HF15" s="556"/>
      <c r="HG15" s="556"/>
      <c r="HH15" s="556"/>
      <c r="HI15" s="556"/>
      <c r="HJ15" s="559"/>
      <c r="HK15" s="556"/>
      <c r="HL15" s="556"/>
      <c r="HM15" s="556"/>
      <c r="HN15" s="556"/>
      <c r="HO15" s="556"/>
      <c r="HP15" s="556"/>
      <c r="HQ15" s="556"/>
      <c r="HR15" s="556"/>
      <c r="HS15" s="556"/>
      <c r="HT15" s="556"/>
      <c r="HU15" s="556"/>
      <c r="HV15" s="556"/>
      <c r="HW15" s="556"/>
      <c r="HX15" s="556"/>
      <c r="HY15" s="556"/>
      <c r="HZ15" s="556" t="s">
        <v>30302</v>
      </c>
      <c r="IA15" s="556" t="s">
        <v>7</v>
      </c>
      <c r="IB15" s="556" t="s">
        <v>30303</v>
      </c>
      <c r="IC15" s="556" t="s">
        <v>30304</v>
      </c>
      <c r="ID15" s="556" t="s">
        <v>30305</v>
      </c>
      <c r="IE15" s="556" t="s">
        <v>9</v>
      </c>
      <c r="IF15" s="556" t="s">
        <v>30306</v>
      </c>
      <c r="IG15" s="556" t="s">
        <v>9</v>
      </c>
      <c r="IH15" s="556" t="s">
        <v>30307</v>
      </c>
    </row>
    <row r="16" spans="1:242" s="561" customFormat="1" ht="36.75" customHeight="1" x14ac:dyDescent="0.2">
      <c r="A16" s="556">
        <v>99</v>
      </c>
      <c r="B16" s="556" t="s">
        <v>3080</v>
      </c>
      <c r="C16" s="556" t="s">
        <v>30381</v>
      </c>
      <c r="D16" s="556" t="s">
        <v>30309</v>
      </c>
      <c r="E16" s="556" t="s">
        <v>7</v>
      </c>
      <c r="F16" s="556" t="s">
        <v>30382</v>
      </c>
      <c r="G16" s="556">
        <v>1170.3</v>
      </c>
      <c r="H16" s="556">
        <v>4</v>
      </c>
      <c r="I16" s="556" t="s">
        <v>29319</v>
      </c>
      <c r="J16" s="556" t="s">
        <v>4</v>
      </c>
      <c r="K16" s="556" t="s">
        <v>30383</v>
      </c>
      <c r="L16" s="556">
        <v>752499860</v>
      </c>
      <c r="M16" s="556" t="s">
        <v>5</v>
      </c>
      <c r="N16" s="556" t="s">
        <v>31438</v>
      </c>
      <c r="O16" s="556">
        <v>67</v>
      </c>
      <c r="P16" s="556">
        <v>5</v>
      </c>
      <c r="Q16" s="556" t="s">
        <v>7</v>
      </c>
      <c r="R16" s="556" t="s">
        <v>31535</v>
      </c>
      <c r="S16" s="556" t="s">
        <v>4</v>
      </c>
      <c r="T16" s="556" t="s">
        <v>2</v>
      </c>
      <c r="U16" s="556" t="s">
        <v>4</v>
      </c>
      <c r="V16" s="556"/>
      <c r="W16" s="556" t="s">
        <v>4</v>
      </c>
      <c r="X16" s="556" t="s">
        <v>4</v>
      </c>
      <c r="Y16" s="557">
        <v>43101</v>
      </c>
      <c r="Z16" s="557" t="str">
        <f>IF(OR(T16="yes",Y16&gt;'SDG outcome'!$C$27),"yes","no")</f>
        <v>no</v>
      </c>
      <c r="AA16" s="558" t="str">
        <f t="shared" si="0"/>
        <v/>
      </c>
      <c r="AB16" s="558" t="str">
        <f>IF(AND(Z16="no",AND(Y16&gt;='SDG outcome'!$B$16,Y16&lt;'SDG outcome'!$C$27)),Y16-'SDG outcome'!$B$16,"")</f>
        <v/>
      </c>
      <c r="AC16" s="556" t="s">
        <v>31699</v>
      </c>
      <c r="AD16" s="556" t="s">
        <v>4</v>
      </c>
      <c r="AE16" s="556" t="s">
        <v>4</v>
      </c>
      <c r="AF16" s="556" t="s">
        <v>4</v>
      </c>
      <c r="AG16" s="556" t="s">
        <v>4</v>
      </c>
      <c r="AH16" s="556" t="s">
        <v>4</v>
      </c>
      <c r="AI16" s="557" t="s">
        <v>4</v>
      </c>
      <c r="AJ16" s="556" t="s">
        <v>4</v>
      </c>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556"/>
      <c r="CH16" s="556"/>
      <c r="CI16" s="556"/>
      <c r="CJ16" s="556"/>
      <c r="CK16" s="556"/>
      <c r="CL16" s="556"/>
      <c r="CM16" s="556"/>
      <c r="CN16" s="556"/>
      <c r="CO16" s="556"/>
      <c r="CP16" s="556"/>
      <c r="CQ16" s="556"/>
      <c r="CR16" s="556"/>
      <c r="CS16" s="556"/>
      <c r="CT16" s="556"/>
      <c r="CU16" s="556"/>
      <c r="CV16" s="556"/>
      <c r="CW16" s="556"/>
      <c r="CX16" s="556"/>
      <c r="CY16" s="556"/>
      <c r="CZ16" s="556"/>
      <c r="DA16" s="556"/>
      <c r="DB16" s="556"/>
      <c r="DC16" s="556"/>
      <c r="DD16" s="556"/>
      <c r="DE16" s="556"/>
      <c r="DF16" s="556"/>
      <c r="DG16" s="556"/>
      <c r="DH16" s="556"/>
      <c r="DI16" s="556"/>
      <c r="DJ16" s="556"/>
      <c r="DK16" s="556"/>
      <c r="DL16" s="556"/>
      <c r="DM16" s="556"/>
      <c r="DN16" s="556"/>
      <c r="DO16" s="556"/>
      <c r="DP16" s="556"/>
      <c r="DQ16" s="556"/>
      <c r="DR16" s="556"/>
      <c r="DS16" s="556"/>
      <c r="DT16" s="559"/>
      <c r="DU16" s="556"/>
      <c r="DV16" s="559"/>
      <c r="DW16" s="556"/>
      <c r="DX16" s="556"/>
      <c r="DY16" s="556"/>
      <c r="DZ16" s="556"/>
      <c r="EA16" s="556"/>
      <c r="EB16" s="556"/>
      <c r="EC16" s="556"/>
      <c r="ED16" s="556"/>
      <c r="EE16" s="560"/>
      <c r="EF16" s="560"/>
      <c r="EG16" s="560"/>
      <c r="EH16" s="560"/>
      <c r="EI16" s="560"/>
      <c r="EJ16" s="556"/>
      <c r="EK16" s="556"/>
      <c r="EL16" s="556"/>
      <c r="EM16" s="556"/>
      <c r="EN16" s="556"/>
      <c r="EO16" s="556"/>
      <c r="EP16" s="556"/>
      <c r="EQ16" s="556"/>
      <c r="ER16" s="556"/>
      <c r="ES16" s="556"/>
      <c r="ET16" s="556"/>
      <c r="EU16" s="556"/>
      <c r="EV16" s="560"/>
      <c r="EW16" s="560"/>
      <c r="EX16" s="560"/>
      <c r="EY16" s="560"/>
      <c r="EZ16" s="560"/>
      <c r="FA16" s="556"/>
      <c r="FB16" s="556"/>
      <c r="FC16" s="556"/>
      <c r="FD16" s="556"/>
      <c r="FE16" s="556"/>
      <c r="FF16" s="556"/>
      <c r="FG16" s="556"/>
      <c r="FH16" s="556"/>
      <c r="FI16" s="556"/>
      <c r="FJ16" s="556"/>
      <c r="FK16" s="556"/>
      <c r="FL16" s="556"/>
      <c r="FM16" s="556"/>
      <c r="FN16" s="556"/>
      <c r="FO16" s="556"/>
      <c r="FP16" s="556"/>
      <c r="FQ16" s="556"/>
      <c r="FR16" s="556"/>
      <c r="FS16" s="556"/>
      <c r="FT16" s="556"/>
      <c r="FU16" s="556"/>
      <c r="FV16" s="556"/>
      <c r="FW16" s="556"/>
      <c r="FX16" s="556"/>
      <c r="FY16" s="556"/>
      <c r="FZ16" s="556"/>
      <c r="GA16" s="556"/>
      <c r="GB16" s="559"/>
      <c r="GC16" s="556"/>
      <c r="GD16" s="556"/>
      <c r="GE16" s="556"/>
      <c r="GF16" s="556"/>
      <c r="GG16" s="556"/>
      <c r="GH16" s="556"/>
      <c r="GI16" s="556"/>
      <c r="GJ16" s="556"/>
      <c r="GK16" s="556"/>
      <c r="GL16" s="556"/>
      <c r="GM16" s="556"/>
      <c r="GN16" s="556"/>
      <c r="GO16" s="556"/>
      <c r="GP16" s="556"/>
      <c r="GQ16" s="556"/>
      <c r="GR16" s="556"/>
      <c r="GS16" s="556"/>
      <c r="GT16" s="556"/>
      <c r="GU16" s="556"/>
      <c r="GV16" s="556"/>
      <c r="GW16" s="556"/>
      <c r="GX16" s="556"/>
      <c r="GY16" s="556"/>
      <c r="GZ16" s="556"/>
      <c r="HA16" s="556"/>
      <c r="HB16" s="556"/>
      <c r="HC16" s="556"/>
      <c r="HD16" s="556"/>
      <c r="HE16" s="556"/>
      <c r="HF16" s="556"/>
      <c r="HG16" s="556"/>
      <c r="HH16" s="556"/>
      <c r="HI16" s="556"/>
      <c r="HJ16" s="559"/>
      <c r="HK16" s="556"/>
      <c r="HL16" s="556"/>
      <c r="HM16" s="556"/>
      <c r="HN16" s="556"/>
      <c r="HO16" s="556"/>
      <c r="HP16" s="556"/>
      <c r="HQ16" s="556"/>
      <c r="HR16" s="556"/>
      <c r="HS16" s="556"/>
      <c r="HT16" s="556"/>
      <c r="HU16" s="556"/>
      <c r="HV16" s="556"/>
      <c r="HW16" s="556"/>
      <c r="HX16" s="556"/>
      <c r="HY16" s="556"/>
      <c r="HZ16" s="556" t="s">
        <v>30384</v>
      </c>
      <c r="IA16" s="556" t="s">
        <v>7</v>
      </c>
      <c r="IB16" s="556" t="s">
        <v>30385</v>
      </c>
      <c r="IC16" s="556" t="s">
        <v>30386</v>
      </c>
      <c r="ID16" s="556" t="s">
        <v>30387</v>
      </c>
      <c r="IE16" s="556" t="s">
        <v>30388</v>
      </c>
      <c r="IF16" s="556" t="s">
        <v>30389</v>
      </c>
      <c r="IG16" s="556" t="s">
        <v>30390</v>
      </c>
      <c r="IH16" s="556" t="s">
        <v>30381</v>
      </c>
    </row>
    <row r="17" spans="1:242" s="561" customFormat="1" ht="36.75" customHeight="1" x14ac:dyDescent="0.2">
      <c r="A17" s="556">
        <v>170</v>
      </c>
      <c r="B17" s="556" t="s">
        <v>20310</v>
      </c>
      <c r="C17" s="556" t="s">
        <v>31100</v>
      </c>
      <c r="D17" s="556" t="s">
        <v>31090</v>
      </c>
      <c r="E17" s="556" t="s">
        <v>7</v>
      </c>
      <c r="F17" s="556" t="s">
        <v>31101</v>
      </c>
      <c r="G17" s="556">
        <v>1344.0634090000001</v>
      </c>
      <c r="H17" s="556">
        <v>4</v>
      </c>
      <c r="I17" s="556" t="s">
        <v>29288</v>
      </c>
      <c r="J17" s="556" t="s">
        <v>4</v>
      </c>
      <c r="K17" s="556" t="s">
        <v>31102</v>
      </c>
      <c r="L17" s="556">
        <v>703719732</v>
      </c>
      <c r="M17" s="556" t="s">
        <v>3</v>
      </c>
      <c r="N17" s="556" t="s">
        <v>31438</v>
      </c>
      <c r="O17" s="556">
        <v>63</v>
      </c>
      <c r="P17" s="556">
        <v>6</v>
      </c>
      <c r="Q17" s="556" t="s">
        <v>7</v>
      </c>
      <c r="R17" s="556" t="s">
        <v>31588</v>
      </c>
      <c r="S17" s="556" t="s">
        <v>4</v>
      </c>
      <c r="T17" s="556" t="s">
        <v>2</v>
      </c>
      <c r="U17" s="556" t="s">
        <v>4</v>
      </c>
      <c r="V17" s="556"/>
      <c r="W17" s="556" t="s">
        <v>4</v>
      </c>
      <c r="X17" s="556" t="s">
        <v>4</v>
      </c>
      <c r="Y17" s="557">
        <v>43199</v>
      </c>
      <c r="Z17" s="557" t="str">
        <f>IF(OR(T17="yes",Y17&gt;'SDG outcome'!$C$27),"yes","no")</f>
        <v>no</v>
      </c>
      <c r="AA17" s="558" t="str">
        <f t="shared" si="0"/>
        <v/>
      </c>
      <c r="AB17" s="558" t="str">
        <f>IF(AND(Z17="no",AND(Y17&gt;='SDG outcome'!$B$16,Y17&lt;'SDG outcome'!$C$27)),Y17-'SDG outcome'!$B$16,"")</f>
        <v/>
      </c>
      <c r="AC17" s="556" t="s">
        <v>8</v>
      </c>
      <c r="AD17" s="556" t="s">
        <v>31911</v>
      </c>
      <c r="AE17" s="556" t="s">
        <v>4</v>
      </c>
      <c r="AF17" s="556" t="s">
        <v>4</v>
      </c>
      <c r="AG17" s="556" t="s">
        <v>4</v>
      </c>
      <c r="AH17" s="556" t="s">
        <v>4</v>
      </c>
      <c r="AI17" s="557" t="s">
        <v>4</v>
      </c>
      <c r="AJ17" s="556" t="s">
        <v>4</v>
      </c>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c r="BU17" s="556"/>
      <c r="BV17" s="556"/>
      <c r="BW17" s="556"/>
      <c r="BX17" s="556"/>
      <c r="BY17" s="556"/>
      <c r="BZ17" s="556"/>
      <c r="CA17" s="556"/>
      <c r="CB17" s="556"/>
      <c r="CC17" s="556"/>
      <c r="CD17" s="556"/>
      <c r="CE17" s="556"/>
      <c r="CF17" s="556"/>
      <c r="CG17" s="556"/>
      <c r="CH17" s="556"/>
      <c r="CI17" s="556"/>
      <c r="CJ17" s="556"/>
      <c r="CK17" s="556"/>
      <c r="CL17" s="556"/>
      <c r="CM17" s="556"/>
      <c r="CN17" s="556"/>
      <c r="CO17" s="556"/>
      <c r="CP17" s="556"/>
      <c r="CQ17" s="556"/>
      <c r="CR17" s="556"/>
      <c r="CS17" s="556"/>
      <c r="CT17" s="556"/>
      <c r="CU17" s="556"/>
      <c r="CV17" s="556"/>
      <c r="CW17" s="556"/>
      <c r="CX17" s="556"/>
      <c r="CY17" s="556"/>
      <c r="CZ17" s="556"/>
      <c r="DA17" s="556"/>
      <c r="DB17" s="556"/>
      <c r="DC17" s="556"/>
      <c r="DD17" s="556"/>
      <c r="DE17" s="556"/>
      <c r="DF17" s="556"/>
      <c r="DG17" s="556"/>
      <c r="DH17" s="556"/>
      <c r="DI17" s="556"/>
      <c r="DJ17" s="556"/>
      <c r="DK17" s="556"/>
      <c r="DL17" s="556"/>
      <c r="DM17" s="556"/>
      <c r="DN17" s="556"/>
      <c r="DO17" s="556"/>
      <c r="DP17" s="556"/>
      <c r="DQ17" s="556"/>
      <c r="DR17" s="556"/>
      <c r="DS17" s="556"/>
      <c r="DT17" s="559"/>
      <c r="DU17" s="556"/>
      <c r="DV17" s="559"/>
      <c r="DW17" s="556"/>
      <c r="DX17" s="556"/>
      <c r="DY17" s="556"/>
      <c r="DZ17" s="556"/>
      <c r="EA17" s="556"/>
      <c r="EB17" s="556"/>
      <c r="EC17" s="556"/>
      <c r="ED17" s="556"/>
      <c r="EE17" s="560"/>
      <c r="EF17" s="560"/>
      <c r="EG17" s="560"/>
      <c r="EH17" s="560"/>
      <c r="EI17" s="560"/>
      <c r="EJ17" s="556"/>
      <c r="EK17" s="556"/>
      <c r="EL17" s="556"/>
      <c r="EM17" s="556"/>
      <c r="EN17" s="556"/>
      <c r="EO17" s="556"/>
      <c r="EP17" s="556"/>
      <c r="EQ17" s="556"/>
      <c r="ER17" s="556"/>
      <c r="ES17" s="556"/>
      <c r="ET17" s="556"/>
      <c r="EU17" s="556"/>
      <c r="EV17" s="560"/>
      <c r="EW17" s="560"/>
      <c r="EX17" s="560"/>
      <c r="EY17" s="560"/>
      <c r="EZ17" s="560"/>
      <c r="FA17" s="556"/>
      <c r="FB17" s="556"/>
      <c r="FC17" s="556"/>
      <c r="FD17" s="556"/>
      <c r="FE17" s="556"/>
      <c r="FF17" s="556"/>
      <c r="FG17" s="556"/>
      <c r="FH17" s="556"/>
      <c r="FI17" s="556"/>
      <c r="FJ17" s="556"/>
      <c r="FK17" s="556"/>
      <c r="FL17" s="556"/>
      <c r="FM17" s="556"/>
      <c r="FN17" s="556"/>
      <c r="FO17" s="556"/>
      <c r="FP17" s="556"/>
      <c r="FQ17" s="556"/>
      <c r="FR17" s="556"/>
      <c r="FS17" s="556"/>
      <c r="FT17" s="556"/>
      <c r="FU17" s="556"/>
      <c r="FV17" s="556"/>
      <c r="FW17" s="556"/>
      <c r="FX17" s="556"/>
      <c r="FY17" s="556"/>
      <c r="FZ17" s="556"/>
      <c r="GA17" s="556"/>
      <c r="GB17" s="559"/>
      <c r="GC17" s="556"/>
      <c r="GD17" s="556"/>
      <c r="GE17" s="556"/>
      <c r="GF17" s="556"/>
      <c r="GG17" s="556"/>
      <c r="GH17" s="556"/>
      <c r="GI17" s="556"/>
      <c r="GJ17" s="556"/>
      <c r="GK17" s="556"/>
      <c r="GL17" s="556"/>
      <c r="GM17" s="556"/>
      <c r="GN17" s="556"/>
      <c r="GO17" s="556"/>
      <c r="GP17" s="556"/>
      <c r="GQ17" s="556"/>
      <c r="GR17" s="556"/>
      <c r="GS17" s="556"/>
      <c r="GT17" s="556"/>
      <c r="GU17" s="556"/>
      <c r="GV17" s="556"/>
      <c r="GW17" s="556"/>
      <c r="GX17" s="556"/>
      <c r="GY17" s="556"/>
      <c r="GZ17" s="556"/>
      <c r="HA17" s="556"/>
      <c r="HB17" s="556"/>
      <c r="HC17" s="556"/>
      <c r="HD17" s="556"/>
      <c r="HE17" s="556"/>
      <c r="HF17" s="556"/>
      <c r="HG17" s="556"/>
      <c r="HH17" s="556"/>
      <c r="HI17" s="556"/>
      <c r="HJ17" s="559"/>
      <c r="HK17" s="556"/>
      <c r="HL17" s="556"/>
      <c r="HM17" s="556"/>
      <c r="HN17" s="556"/>
      <c r="HO17" s="556"/>
      <c r="HP17" s="556"/>
      <c r="HQ17" s="556"/>
      <c r="HR17" s="556"/>
      <c r="HS17" s="556"/>
      <c r="HT17" s="556"/>
      <c r="HU17" s="556"/>
      <c r="HV17" s="556"/>
      <c r="HW17" s="556"/>
      <c r="HX17" s="556"/>
      <c r="HY17" s="556"/>
      <c r="HZ17" s="556" t="s">
        <v>16</v>
      </c>
      <c r="IA17" s="556" t="s">
        <v>7</v>
      </c>
      <c r="IB17" s="556" t="s">
        <v>31103</v>
      </c>
      <c r="IC17" s="556" t="s">
        <v>16</v>
      </c>
      <c r="ID17" s="556" t="s">
        <v>31104</v>
      </c>
      <c r="IE17" s="556" t="s">
        <v>31105</v>
      </c>
      <c r="IF17" s="556" t="s">
        <v>31106</v>
      </c>
      <c r="IG17" s="556" t="s">
        <v>31107</v>
      </c>
      <c r="IH17" s="556" t="s">
        <v>31108</v>
      </c>
    </row>
    <row r="18" spans="1:242" s="561" customFormat="1" ht="36.75" customHeight="1" x14ac:dyDescent="0.2">
      <c r="A18" s="556">
        <v>126</v>
      </c>
      <c r="B18" s="556" t="s">
        <v>15198</v>
      </c>
      <c r="C18" s="556" t="s">
        <v>30658</v>
      </c>
      <c r="D18" s="556" t="s">
        <v>30638</v>
      </c>
      <c r="E18" s="556" t="s">
        <v>7</v>
      </c>
      <c r="F18" s="556" t="s">
        <v>30659</v>
      </c>
      <c r="G18" s="556">
        <v>1066.804077</v>
      </c>
      <c r="H18" s="556">
        <v>4.2880000000000003</v>
      </c>
      <c r="I18" s="556" t="s">
        <v>29288</v>
      </c>
      <c r="J18" s="556" t="s">
        <v>4</v>
      </c>
      <c r="K18" s="556" t="s">
        <v>30660</v>
      </c>
      <c r="L18" s="556">
        <v>775110764</v>
      </c>
      <c r="M18" s="556" t="s">
        <v>3</v>
      </c>
      <c r="N18" s="556" t="s">
        <v>31844</v>
      </c>
      <c r="O18" s="556" t="s">
        <v>4</v>
      </c>
      <c r="P18" s="556">
        <v>6</v>
      </c>
      <c r="Q18" s="556" t="s">
        <v>7</v>
      </c>
      <c r="R18" s="556" t="s">
        <v>31562</v>
      </c>
      <c r="S18" s="556" t="s">
        <v>4</v>
      </c>
      <c r="T18" s="556" t="s">
        <v>2</v>
      </c>
      <c r="U18" s="556" t="s">
        <v>4</v>
      </c>
      <c r="V18" s="556"/>
      <c r="W18" s="556" t="s">
        <v>4</v>
      </c>
      <c r="X18" s="556" t="s">
        <v>4</v>
      </c>
      <c r="Y18" s="557">
        <v>43204</v>
      </c>
      <c r="Z18" s="557" t="str">
        <f>IF(OR(T18="yes",Y18&gt;'SDG outcome'!$C$27),"yes","no")</f>
        <v>no</v>
      </c>
      <c r="AA18" s="558" t="str">
        <f t="shared" si="0"/>
        <v/>
      </c>
      <c r="AB18" s="558" t="str">
        <f>IF(AND(Z18="no",AND(Y18&gt;='SDG outcome'!$B$16,Y18&lt;'SDG outcome'!$C$27)),Y18-'SDG outcome'!$B$16,"")</f>
        <v/>
      </c>
      <c r="AC18" s="556" t="s">
        <v>31685</v>
      </c>
      <c r="AD18" s="556" t="s">
        <v>4</v>
      </c>
      <c r="AE18" s="556" t="s">
        <v>4</v>
      </c>
      <c r="AF18" s="556" t="s">
        <v>4</v>
      </c>
      <c r="AG18" s="556" t="s">
        <v>4</v>
      </c>
      <c r="AH18" s="556" t="s">
        <v>2</v>
      </c>
      <c r="AI18" s="557" t="s">
        <v>4</v>
      </c>
      <c r="AJ18" s="557" t="s">
        <v>4</v>
      </c>
      <c r="AK18" s="557"/>
      <c r="AL18" s="557"/>
      <c r="AM18" s="557"/>
      <c r="AN18" s="557"/>
      <c r="AO18" s="557"/>
      <c r="AP18" s="557"/>
      <c r="AQ18" s="557"/>
      <c r="AR18" s="557"/>
      <c r="AS18" s="557"/>
      <c r="AT18" s="557"/>
      <c r="AU18" s="557"/>
      <c r="AV18" s="557"/>
      <c r="AW18" s="557"/>
      <c r="AX18" s="557"/>
      <c r="AY18" s="557"/>
      <c r="AZ18" s="557"/>
      <c r="BA18" s="557"/>
      <c r="BB18" s="557"/>
      <c r="BC18" s="557"/>
      <c r="BD18" s="557"/>
      <c r="BE18" s="557"/>
      <c r="BF18" s="557"/>
      <c r="BG18" s="557"/>
      <c r="BH18" s="557"/>
      <c r="BI18" s="557"/>
      <c r="BJ18" s="557"/>
      <c r="BK18" s="557"/>
      <c r="BL18" s="557"/>
      <c r="BM18" s="557"/>
      <c r="BN18" s="557"/>
      <c r="BO18" s="557"/>
      <c r="BP18" s="557"/>
      <c r="BQ18" s="557"/>
      <c r="BR18" s="557"/>
      <c r="BS18" s="557"/>
      <c r="BT18" s="557"/>
      <c r="BU18" s="557"/>
      <c r="BV18" s="556"/>
      <c r="BW18" s="556"/>
      <c r="BX18" s="556"/>
      <c r="BY18" s="557"/>
      <c r="BZ18" s="557"/>
      <c r="CA18" s="557"/>
      <c r="CB18" s="557"/>
      <c r="CC18" s="557"/>
      <c r="CD18" s="557"/>
      <c r="CE18" s="557"/>
      <c r="CF18" s="557"/>
      <c r="CG18" s="557"/>
      <c r="CH18" s="557"/>
      <c r="CI18" s="558"/>
      <c r="CJ18" s="558"/>
      <c r="CK18" s="558"/>
      <c r="CL18" s="556"/>
      <c r="CM18" s="558"/>
      <c r="CN18" s="558"/>
      <c r="CO18" s="558"/>
      <c r="CP18" s="558"/>
      <c r="CQ18" s="558"/>
      <c r="CR18" s="558"/>
      <c r="CS18" s="556"/>
      <c r="CT18" s="557"/>
      <c r="CU18" s="557"/>
      <c r="CV18" s="557"/>
      <c r="CW18" s="557"/>
      <c r="CX18" s="557"/>
      <c r="CY18" s="557"/>
      <c r="CZ18" s="557"/>
      <c r="DA18" s="557"/>
      <c r="DB18" s="557"/>
      <c r="DC18" s="557"/>
      <c r="DD18" s="557"/>
      <c r="DE18" s="557"/>
      <c r="DF18" s="557"/>
      <c r="DG18" s="557"/>
      <c r="DH18" s="557"/>
      <c r="DI18" s="557"/>
      <c r="DJ18" s="557"/>
      <c r="DK18" s="557"/>
      <c r="DL18" s="557"/>
      <c r="DM18" s="557"/>
      <c r="DN18" s="557"/>
      <c r="DO18" s="557"/>
      <c r="DP18" s="557"/>
      <c r="DQ18" s="557"/>
      <c r="DR18" s="557"/>
      <c r="DS18" s="557"/>
      <c r="DT18" s="559"/>
      <c r="DU18" s="557"/>
      <c r="DV18" s="559"/>
      <c r="DW18" s="557"/>
      <c r="DX18" s="557"/>
      <c r="DY18" s="557"/>
      <c r="DZ18" s="557"/>
      <c r="EA18" s="557"/>
      <c r="EB18" s="557"/>
      <c r="EC18" s="557"/>
      <c r="ED18" s="557"/>
      <c r="EE18" s="560"/>
      <c r="EF18" s="560"/>
      <c r="EG18" s="560"/>
      <c r="EH18" s="560"/>
      <c r="EI18" s="560"/>
      <c r="EJ18" s="557"/>
      <c r="EK18" s="557"/>
      <c r="EL18" s="557"/>
      <c r="EM18" s="557"/>
      <c r="EN18" s="557"/>
      <c r="EO18" s="556"/>
      <c r="EP18" s="557"/>
      <c r="EQ18" s="557"/>
      <c r="ER18" s="557"/>
      <c r="ES18" s="557"/>
      <c r="ET18" s="556"/>
      <c r="EU18" s="557"/>
      <c r="EV18" s="560"/>
      <c r="EW18" s="560"/>
      <c r="EX18" s="560"/>
      <c r="EY18" s="560"/>
      <c r="EZ18" s="560"/>
      <c r="FA18" s="557"/>
      <c r="FB18" s="557"/>
      <c r="FC18" s="557"/>
      <c r="FD18" s="556"/>
      <c r="FE18" s="557"/>
      <c r="FF18" s="557"/>
      <c r="FG18" s="557"/>
      <c r="FH18" s="557"/>
      <c r="FI18" s="557"/>
      <c r="FJ18" s="557"/>
      <c r="FK18" s="557"/>
      <c r="FL18" s="557"/>
      <c r="FM18" s="557"/>
      <c r="FN18" s="556"/>
      <c r="FO18" s="557"/>
      <c r="FP18" s="557"/>
      <c r="FQ18" s="557"/>
      <c r="FR18" s="557"/>
      <c r="FS18" s="557"/>
      <c r="FT18" s="557"/>
      <c r="FU18" s="557"/>
      <c r="FV18" s="557"/>
      <c r="FW18" s="557"/>
      <c r="FX18" s="557"/>
      <c r="FY18" s="557"/>
      <c r="FZ18" s="557"/>
      <c r="GA18" s="557"/>
      <c r="GB18" s="559"/>
      <c r="GC18" s="557"/>
      <c r="GD18" s="557"/>
      <c r="GE18" s="557"/>
      <c r="GF18" s="557"/>
      <c r="GG18" s="557"/>
      <c r="GH18" s="557"/>
      <c r="GI18" s="557"/>
      <c r="GJ18" s="557"/>
      <c r="GK18" s="557"/>
      <c r="GL18" s="557"/>
      <c r="GM18" s="557"/>
      <c r="GN18" s="557"/>
      <c r="GO18" s="557"/>
      <c r="GP18" s="557"/>
      <c r="GQ18" s="557"/>
      <c r="GR18" s="557"/>
      <c r="GS18" s="557"/>
      <c r="GT18" s="557"/>
      <c r="GU18" s="557"/>
      <c r="GV18" s="557"/>
      <c r="GW18" s="557"/>
      <c r="GX18" s="557"/>
      <c r="GY18" s="557"/>
      <c r="GZ18" s="557"/>
      <c r="HA18" s="557"/>
      <c r="HB18" s="557"/>
      <c r="HC18" s="557"/>
      <c r="HD18" s="557"/>
      <c r="HE18" s="557"/>
      <c r="HF18" s="557"/>
      <c r="HG18" s="557"/>
      <c r="HH18" s="557"/>
      <c r="HI18" s="557"/>
      <c r="HJ18" s="559"/>
      <c r="HK18" s="557"/>
      <c r="HL18" s="557"/>
      <c r="HM18" s="557"/>
      <c r="HN18" s="557"/>
      <c r="HO18" s="557"/>
      <c r="HP18" s="557"/>
      <c r="HQ18" s="557"/>
      <c r="HR18" s="557"/>
      <c r="HS18" s="557"/>
      <c r="HT18" s="557"/>
      <c r="HU18" s="557"/>
      <c r="HV18" s="557"/>
      <c r="HW18" s="557"/>
      <c r="HX18" s="557"/>
      <c r="HY18" s="557"/>
      <c r="HZ18" s="556" t="s">
        <v>16</v>
      </c>
      <c r="IA18" s="556" t="s">
        <v>2</v>
      </c>
      <c r="IB18" s="556" t="s">
        <v>4</v>
      </c>
      <c r="IC18" s="556" t="s">
        <v>16</v>
      </c>
      <c r="ID18" s="556" t="s">
        <v>9</v>
      </c>
      <c r="IE18" s="556" t="s">
        <v>9</v>
      </c>
      <c r="IF18" s="556" t="s">
        <v>9</v>
      </c>
      <c r="IG18" s="556" t="s">
        <v>9</v>
      </c>
      <c r="IH18" s="556" t="s">
        <v>30658</v>
      </c>
    </row>
    <row r="19" spans="1:242" s="561" customFormat="1" ht="36.75" customHeight="1" x14ac:dyDescent="0.2">
      <c r="A19" s="556">
        <v>23</v>
      </c>
      <c r="B19" s="556" t="s">
        <v>13176</v>
      </c>
      <c r="C19" s="556" t="s">
        <v>29600</v>
      </c>
      <c r="D19" s="556" t="s">
        <v>29563</v>
      </c>
      <c r="E19" s="556" t="s">
        <v>7</v>
      </c>
      <c r="F19" s="556" t="s">
        <v>29601</v>
      </c>
      <c r="G19" s="556">
        <v>1131.3</v>
      </c>
      <c r="H19" s="556">
        <v>3.8</v>
      </c>
      <c r="I19" s="556" t="s">
        <v>29288</v>
      </c>
      <c r="J19" s="556" t="s">
        <v>4</v>
      </c>
      <c r="K19" s="556" t="s">
        <v>29602</v>
      </c>
      <c r="L19" s="556">
        <v>758109953</v>
      </c>
      <c r="M19" s="556" t="s">
        <v>3</v>
      </c>
      <c r="N19" s="556" t="s">
        <v>31438</v>
      </c>
      <c r="O19" s="556">
        <v>64</v>
      </c>
      <c r="P19" s="556">
        <v>7</v>
      </c>
      <c r="Q19" s="556" t="s">
        <v>7</v>
      </c>
      <c r="R19" s="556" t="s">
        <v>31655</v>
      </c>
      <c r="S19" s="556" t="s">
        <v>4</v>
      </c>
      <c r="T19" s="556" t="s">
        <v>2</v>
      </c>
      <c r="U19" s="556" t="s">
        <v>4</v>
      </c>
      <c r="V19" s="556"/>
      <c r="W19" s="556" t="s">
        <v>4</v>
      </c>
      <c r="X19" s="556" t="s">
        <v>4</v>
      </c>
      <c r="Y19" s="557">
        <v>43210</v>
      </c>
      <c r="Z19" s="557" t="str">
        <f>IF(OR(T19="yes",Y19&gt;'SDG outcome'!$C$27),"yes","no")</f>
        <v>no</v>
      </c>
      <c r="AA19" s="558" t="str">
        <f t="shared" si="0"/>
        <v/>
      </c>
      <c r="AB19" s="558" t="str">
        <f>IF(AND(Z19="no",AND(Y19&gt;='SDG outcome'!$B$16,Y19&lt;'SDG outcome'!$C$27)),Y19-'SDG outcome'!$B$16,"")</f>
        <v/>
      </c>
      <c r="AC19" s="556" t="s">
        <v>31572</v>
      </c>
      <c r="AD19" s="556" t="s">
        <v>4</v>
      </c>
      <c r="AE19" s="556" t="s">
        <v>7</v>
      </c>
      <c r="AF19" s="556" t="s">
        <v>31661</v>
      </c>
      <c r="AG19" s="556" t="s">
        <v>4</v>
      </c>
      <c r="AH19" s="556" t="s">
        <v>7</v>
      </c>
      <c r="AI19" s="557">
        <v>45116</v>
      </c>
      <c r="AJ19" s="556" t="s">
        <v>4</v>
      </c>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c r="BU19" s="556"/>
      <c r="BV19" s="556"/>
      <c r="BW19" s="556"/>
      <c r="BX19" s="556"/>
      <c r="BY19" s="556"/>
      <c r="BZ19" s="556"/>
      <c r="CA19" s="556"/>
      <c r="CB19" s="556"/>
      <c r="CC19" s="556"/>
      <c r="CD19" s="556"/>
      <c r="CE19" s="556"/>
      <c r="CF19" s="556"/>
      <c r="CG19" s="556"/>
      <c r="CH19" s="556"/>
      <c r="CI19" s="556"/>
      <c r="CJ19" s="556"/>
      <c r="CK19" s="556"/>
      <c r="CL19" s="556"/>
      <c r="CM19" s="556"/>
      <c r="CN19" s="556"/>
      <c r="CO19" s="556"/>
      <c r="CP19" s="556"/>
      <c r="CQ19" s="556"/>
      <c r="CR19" s="556"/>
      <c r="CS19" s="556"/>
      <c r="CT19" s="556"/>
      <c r="CU19" s="556"/>
      <c r="CV19" s="556"/>
      <c r="CW19" s="556"/>
      <c r="CX19" s="556"/>
      <c r="CY19" s="556"/>
      <c r="CZ19" s="556"/>
      <c r="DA19" s="556"/>
      <c r="DB19" s="556"/>
      <c r="DC19" s="556"/>
      <c r="DD19" s="556"/>
      <c r="DE19" s="556"/>
      <c r="DF19" s="556"/>
      <c r="DG19" s="556"/>
      <c r="DH19" s="556"/>
      <c r="DI19" s="556"/>
      <c r="DJ19" s="556"/>
      <c r="DK19" s="556"/>
      <c r="DL19" s="556"/>
      <c r="DM19" s="556"/>
      <c r="DN19" s="556"/>
      <c r="DO19" s="556"/>
      <c r="DP19" s="556"/>
      <c r="DQ19" s="556"/>
      <c r="DR19" s="556"/>
      <c r="DS19" s="556"/>
      <c r="DT19" s="559"/>
      <c r="DU19" s="556"/>
      <c r="DV19" s="559"/>
      <c r="DW19" s="556"/>
      <c r="DX19" s="556"/>
      <c r="DY19" s="556"/>
      <c r="DZ19" s="556"/>
      <c r="EA19" s="556"/>
      <c r="EB19" s="556"/>
      <c r="EC19" s="556"/>
      <c r="ED19" s="556"/>
      <c r="EE19" s="560"/>
      <c r="EF19" s="560"/>
      <c r="EG19" s="560"/>
      <c r="EH19" s="560"/>
      <c r="EI19" s="560"/>
      <c r="EJ19" s="556"/>
      <c r="EK19" s="556"/>
      <c r="EL19" s="556"/>
      <c r="EM19" s="556"/>
      <c r="EN19" s="556"/>
      <c r="EO19" s="556"/>
      <c r="EP19" s="556"/>
      <c r="EQ19" s="556"/>
      <c r="ER19" s="556"/>
      <c r="ES19" s="556"/>
      <c r="ET19" s="556"/>
      <c r="EU19" s="556"/>
      <c r="EV19" s="560"/>
      <c r="EW19" s="560"/>
      <c r="EX19" s="560"/>
      <c r="EY19" s="560"/>
      <c r="EZ19" s="560"/>
      <c r="FA19" s="556"/>
      <c r="FB19" s="556"/>
      <c r="FC19" s="556"/>
      <c r="FD19" s="556"/>
      <c r="FE19" s="556"/>
      <c r="FF19" s="556"/>
      <c r="FG19" s="556"/>
      <c r="FH19" s="556"/>
      <c r="FI19" s="556"/>
      <c r="FJ19" s="556"/>
      <c r="FK19" s="556"/>
      <c r="FL19" s="556"/>
      <c r="FM19" s="556"/>
      <c r="FN19" s="556"/>
      <c r="FO19" s="556"/>
      <c r="FP19" s="556"/>
      <c r="FQ19" s="556"/>
      <c r="FR19" s="556"/>
      <c r="FS19" s="556"/>
      <c r="FT19" s="556"/>
      <c r="FU19" s="556"/>
      <c r="FV19" s="556"/>
      <c r="FW19" s="556"/>
      <c r="FX19" s="556"/>
      <c r="FY19" s="556"/>
      <c r="FZ19" s="556"/>
      <c r="GA19" s="556"/>
      <c r="GB19" s="559"/>
      <c r="GC19" s="556"/>
      <c r="GD19" s="556"/>
      <c r="GE19" s="556"/>
      <c r="GF19" s="556"/>
      <c r="GG19" s="556"/>
      <c r="GH19" s="556"/>
      <c r="GI19" s="556"/>
      <c r="GJ19" s="556"/>
      <c r="GK19" s="556"/>
      <c r="GL19" s="556"/>
      <c r="GM19" s="556"/>
      <c r="GN19" s="556"/>
      <c r="GO19" s="556"/>
      <c r="GP19" s="556"/>
      <c r="GQ19" s="556"/>
      <c r="GR19" s="556"/>
      <c r="GS19" s="556"/>
      <c r="GT19" s="556"/>
      <c r="GU19" s="556"/>
      <c r="GV19" s="556"/>
      <c r="GW19" s="556"/>
      <c r="GX19" s="556"/>
      <c r="GY19" s="556"/>
      <c r="GZ19" s="556"/>
      <c r="HA19" s="556"/>
      <c r="HB19" s="556"/>
      <c r="HC19" s="556"/>
      <c r="HD19" s="556"/>
      <c r="HE19" s="556"/>
      <c r="HF19" s="556"/>
      <c r="HG19" s="556"/>
      <c r="HH19" s="556"/>
      <c r="HI19" s="556"/>
      <c r="HJ19" s="559"/>
      <c r="HK19" s="556"/>
      <c r="HL19" s="556"/>
      <c r="HM19" s="556"/>
      <c r="HN19" s="556"/>
      <c r="HO19" s="556"/>
      <c r="HP19" s="556"/>
      <c r="HQ19" s="556"/>
      <c r="HR19" s="556"/>
      <c r="HS19" s="556"/>
      <c r="HT19" s="556"/>
      <c r="HU19" s="556"/>
      <c r="HV19" s="556"/>
      <c r="HW19" s="556"/>
      <c r="HX19" s="556"/>
      <c r="HY19" s="556"/>
      <c r="HZ19" s="556" t="s">
        <v>29603</v>
      </c>
      <c r="IA19" s="556" t="s">
        <v>7</v>
      </c>
      <c r="IB19" s="556" t="s">
        <v>29604</v>
      </c>
      <c r="IC19" s="556" t="s">
        <v>29605</v>
      </c>
      <c r="ID19" s="556" t="s">
        <v>29606</v>
      </c>
      <c r="IE19" s="556" t="s">
        <v>29607</v>
      </c>
      <c r="IF19" s="556" t="s">
        <v>29608</v>
      </c>
      <c r="IG19" s="556" t="s">
        <v>29609</v>
      </c>
      <c r="IH19" s="556" t="s">
        <v>29600</v>
      </c>
    </row>
    <row r="20" spans="1:242" s="561" customFormat="1" ht="36.75" customHeight="1" x14ac:dyDescent="0.2">
      <c r="A20" s="556">
        <v>29</v>
      </c>
      <c r="B20" s="556" t="s">
        <v>12143</v>
      </c>
      <c r="C20" s="556" t="s">
        <v>29661</v>
      </c>
      <c r="D20" s="556" t="s">
        <v>29563</v>
      </c>
      <c r="E20" s="556" t="s">
        <v>7</v>
      </c>
      <c r="F20" s="556" t="s">
        <v>29662</v>
      </c>
      <c r="G20" s="556">
        <v>1096</v>
      </c>
      <c r="H20" s="556">
        <v>4.4000000000000004</v>
      </c>
      <c r="I20" s="556" t="s">
        <v>29288</v>
      </c>
      <c r="J20" s="556" t="s">
        <v>4</v>
      </c>
      <c r="K20" s="556" t="s">
        <v>29663</v>
      </c>
      <c r="L20" s="556">
        <v>782396378</v>
      </c>
      <c r="M20" s="556" t="s">
        <v>3</v>
      </c>
      <c r="N20" s="556" t="s">
        <v>31438</v>
      </c>
      <c r="O20" s="556">
        <v>60</v>
      </c>
      <c r="P20" s="556">
        <v>20</v>
      </c>
      <c r="Q20" s="556" t="s">
        <v>7</v>
      </c>
      <c r="R20" s="556" t="s">
        <v>31549</v>
      </c>
      <c r="S20" s="556" t="s">
        <v>4</v>
      </c>
      <c r="T20" s="556" t="s">
        <v>2</v>
      </c>
      <c r="U20" s="556" t="s">
        <v>4</v>
      </c>
      <c r="V20" s="556"/>
      <c r="W20" s="556" t="s">
        <v>4</v>
      </c>
      <c r="X20" s="556" t="s">
        <v>4</v>
      </c>
      <c r="Y20" s="557">
        <v>43235</v>
      </c>
      <c r="Z20" s="557" t="str">
        <f>IF(OR(T20="yes",Y20&gt;'SDG outcome'!$C$27),"yes","no")</f>
        <v>no</v>
      </c>
      <c r="AA20" s="558" t="str">
        <f t="shared" si="0"/>
        <v/>
      </c>
      <c r="AB20" s="558" t="str">
        <f>IF(AND(Z20="no",AND(Y20&gt;='SDG outcome'!$B$16,Y20&lt;'SDG outcome'!$C$27)),Y20-'SDG outcome'!$B$16,"")</f>
        <v/>
      </c>
      <c r="AC20" s="556" t="s">
        <v>31572</v>
      </c>
      <c r="AD20" s="556" t="s">
        <v>4</v>
      </c>
      <c r="AE20" s="556" t="s">
        <v>7</v>
      </c>
      <c r="AF20" s="556" t="s">
        <v>31673</v>
      </c>
      <c r="AG20" s="556" t="s">
        <v>4</v>
      </c>
      <c r="AH20" s="556" t="s">
        <v>2</v>
      </c>
      <c r="AI20" s="557" t="s">
        <v>4</v>
      </c>
      <c r="AJ20" s="556" t="s">
        <v>4</v>
      </c>
      <c r="AK20" s="556"/>
      <c r="AL20" s="556"/>
      <c r="AM20" s="556"/>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6"/>
      <c r="BR20" s="556"/>
      <c r="BS20" s="556"/>
      <c r="BT20" s="556"/>
      <c r="BU20" s="556"/>
      <c r="BV20" s="556"/>
      <c r="BW20" s="556"/>
      <c r="BX20" s="556"/>
      <c r="BY20" s="556"/>
      <c r="BZ20" s="556"/>
      <c r="CA20" s="556"/>
      <c r="CB20" s="556"/>
      <c r="CC20" s="556"/>
      <c r="CD20" s="556"/>
      <c r="CE20" s="556"/>
      <c r="CF20" s="556"/>
      <c r="CG20" s="556"/>
      <c r="CH20" s="556"/>
      <c r="CI20" s="556"/>
      <c r="CJ20" s="556"/>
      <c r="CK20" s="556"/>
      <c r="CL20" s="556"/>
      <c r="CM20" s="556"/>
      <c r="CN20" s="556"/>
      <c r="CO20" s="556"/>
      <c r="CP20" s="556"/>
      <c r="CQ20" s="556"/>
      <c r="CR20" s="556"/>
      <c r="CS20" s="556"/>
      <c r="CT20" s="556"/>
      <c r="CU20" s="556"/>
      <c r="CV20" s="556"/>
      <c r="CW20" s="556"/>
      <c r="CX20" s="556"/>
      <c r="CY20" s="556"/>
      <c r="CZ20" s="556"/>
      <c r="DA20" s="556"/>
      <c r="DB20" s="556"/>
      <c r="DC20" s="556"/>
      <c r="DD20" s="556"/>
      <c r="DE20" s="556"/>
      <c r="DF20" s="556"/>
      <c r="DG20" s="556"/>
      <c r="DH20" s="556"/>
      <c r="DI20" s="556"/>
      <c r="DJ20" s="556"/>
      <c r="DK20" s="556"/>
      <c r="DL20" s="556"/>
      <c r="DM20" s="556"/>
      <c r="DN20" s="556"/>
      <c r="DO20" s="556"/>
      <c r="DP20" s="556"/>
      <c r="DQ20" s="556"/>
      <c r="DR20" s="556"/>
      <c r="DS20" s="556"/>
      <c r="DT20" s="559"/>
      <c r="DU20" s="556"/>
      <c r="DV20" s="559"/>
      <c r="DW20" s="556"/>
      <c r="DX20" s="556"/>
      <c r="DY20" s="556"/>
      <c r="DZ20" s="556"/>
      <c r="EA20" s="556"/>
      <c r="EB20" s="556"/>
      <c r="EC20" s="556"/>
      <c r="ED20" s="556"/>
      <c r="EE20" s="560"/>
      <c r="EF20" s="560"/>
      <c r="EG20" s="560"/>
      <c r="EH20" s="560"/>
      <c r="EI20" s="560"/>
      <c r="EJ20" s="556"/>
      <c r="EK20" s="556"/>
      <c r="EL20" s="556"/>
      <c r="EM20" s="556"/>
      <c r="EN20" s="556"/>
      <c r="EO20" s="556"/>
      <c r="EP20" s="556"/>
      <c r="EQ20" s="556"/>
      <c r="ER20" s="556"/>
      <c r="ES20" s="556"/>
      <c r="ET20" s="556"/>
      <c r="EU20" s="556"/>
      <c r="EV20" s="560"/>
      <c r="EW20" s="560"/>
      <c r="EX20" s="560"/>
      <c r="EY20" s="560"/>
      <c r="EZ20" s="560"/>
      <c r="FA20" s="556"/>
      <c r="FB20" s="556"/>
      <c r="FC20" s="556"/>
      <c r="FD20" s="556"/>
      <c r="FE20" s="556"/>
      <c r="FF20" s="556"/>
      <c r="FG20" s="556"/>
      <c r="FH20" s="556"/>
      <c r="FI20" s="556"/>
      <c r="FJ20" s="556"/>
      <c r="FK20" s="556"/>
      <c r="FL20" s="556"/>
      <c r="FM20" s="556"/>
      <c r="FN20" s="556"/>
      <c r="FO20" s="556"/>
      <c r="FP20" s="556"/>
      <c r="FQ20" s="556"/>
      <c r="FR20" s="556"/>
      <c r="FS20" s="556"/>
      <c r="FT20" s="556"/>
      <c r="FU20" s="556"/>
      <c r="FV20" s="556"/>
      <c r="FW20" s="556"/>
      <c r="FX20" s="556"/>
      <c r="FY20" s="556"/>
      <c r="FZ20" s="556"/>
      <c r="GA20" s="556"/>
      <c r="GB20" s="559"/>
      <c r="GC20" s="556"/>
      <c r="GD20" s="556"/>
      <c r="GE20" s="556"/>
      <c r="GF20" s="556"/>
      <c r="GG20" s="556"/>
      <c r="GH20" s="556"/>
      <c r="GI20" s="556"/>
      <c r="GJ20" s="556"/>
      <c r="GK20" s="556"/>
      <c r="GL20" s="556"/>
      <c r="GM20" s="556"/>
      <c r="GN20" s="556"/>
      <c r="GO20" s="556"/>
      <c r="GP20" s="556"/>
      <c r="GQ20" s="556"/>
      <c r="GR20" s="556"/>
      <c r="GS20" s="556"/>
      <c r="GT20" s="556"/>
      <c r="GU20" s="556"/>
      <c r="GV20" s="556"/>
      <c r="GW20" s="556"/>
      <c r="GX20" s="556"/>
      <c r="GY20" s="556"/>
      <c r="GZ20" s="556"/>
      <c r="HA20" s="556"/>
      <c r="HB20" s="556"/>
      <c r="HC20" s="556"/>
      <c r="HD20" s="556"/>
      <c r="HE20" s="556"/>
      <c r="HF20" s="556"/>
      <c r="HG20" s="556"/>
      <c r="HH20" s="556"/>
      <c r="HI20" s="556"/>
      <c r="HJ20" s="559"/>
      <c r="HK20" s="556"/>
      <c r="HL20" s="556"/>
      <c r="HM20" s="556"/>
      <c r="HN20" s="556"/>
      <c r="HO20" s="556"/>
      <c r="HP20" s="556"/>
      <c r="HQ20" s="556"/>
      <c r="HR20" s="556"/>
      <c r="HS20" s="556"/>
      <c r="HT20" s="556"/>
      <c r="HU20" s="556"/>
      <c r="HV20" s="556"/>
      <c r="HW20" s="556"/>
      <c r="HX20" s="556"/>
      <c r="HY20" s="556"/>
      <c r="HZ20" s="556" t="s">
        <v>29664</v>
      </c>
      <c r="IA20" s="556" t="s">
        <v>7</v>
      </c>
      <c r="IB20" s="556" t="s">
        <v>29665</v>
      </c>
      <c r="IC20" s="556" t="s">
        <v>29666</v>
      </c>
      <c r="ID20" s="556" t="s">
        <v>29667</v>
      </c>
      <c r="IE20" s="556" t="s">
        <v>29668</v>
      </c>
      <c r="IF20" s="556" t="s">
        <v>29669</v>
      </c>
      <c r="IG20" s="556" t="s">
        <v>29670</v>
      </c>
      <c r="IH20" s="556" t="s">
        <v>29661</v>
      </c>
    </row>
    <row r="21" spans="1:242" s="561" customFormat="1" ht="36.75" customHeight="1" x14ac:dyDescent="0.2">
      <c r="A21" s="556">
        <v>36</v>
      </c>
      <c r="B21" s="556" t="s">
        <v>28335</v>
      </c>
      <c r="C21" s="556" t="s">
        <v>29740</v>
      </c>
      <c r="D21" s="556" t="s">
        <v>29691</v>
      </c>
      <c r="E21" s="556" t="s">
        <v>7</v>
      </c>
      <c r="F21" s="556" t="s">
        <v>29741</v>
      </c>
      <c r="G21" s="556">
        <v>1133.0999999999999</v>
      </c>
      <c r="H21" s="556">
        <v>4.5</v>
      </c>
      <c r="I21" s="556" t="s">
        <v>29319</v>
      </c>
      <c r="J21" s="556" t="s">
        <v>4</v>
      </c>
      <c r="K21" s="556" t="s">
        <v>29742</v>
      </c>
      <c r="L21" s="556">
        <v>751902852</v>
      </c>
      <c r="M21" s="556" t="s">
        <v>5</v>
      </c>
      <c r="N21" s="556" t="s">
        <v>31438</v>
      </c>
      <c r="O21" s="556">
        <v>58</v>
      </c>
      <c r="P21" s="556">
        <v>6</v>
      </c>
      <c r="Q21" s="556" t="s">
        <v>7</v>
      </c>
      <c r="R21" s="556" t="s">
        <v>31562</v>
      </c>
      <c r="S21" s="556" t="s">
        <v>4</v>
      </c>
      <c r="T21" s="556" t="s">
        <v>2</v>
      </c>
      <c r="U21" s="556" t="s">
        <v>4</v>
      </c>
      <c r="V21" s="556"/>
      <c r="W21" s="556" t="s">
        <v>4</v>
      </c>
      <c r="X21" s="556" t="s">
        <v>4</v>
      </c>
      <c r="Y21" s="557">
        <v>43292</v>
      </c>
      <c r="Z21" s="557" t="str">
        <f>IF(OR(T21="yes",Y21&gt;'SDG outcome'!$C$27),"yes","no")</f>
        <v>no</v>
      </c>
      <c r="AA21" s="558" t="str">
        <f t="shared" si="0"/>
        <v/>
      </c>
      <c r="AB21" s="558" t="str">
        <f>IF(AND(Z21="no",AND(Y21&gt;='SDG outcome'!$B$16,Y21&lt;'SDG outcome'!$C$27)),Y21-'SDG outcome'!$B$16,"")</f>
        <v/>
      </c>
      <c r="AC21" s="556" t="s">
        <v>31685</v>
      </c>
      <c r="AD21" s="556" t="s">
        <v>4</v>
      </c>
      <c r="AE21" s="556" t="s">
        <v>4</v>
      </c>
      <c r="AF21" s="556" t="s">
        <v>4</v>
      </c>
      <c r="AG21" s="556" t="s">
        <v>4</v>
      </c>
      <c r="AH21" s="556" t="s">
        <v>4</v>
      </c>
      <c r="AI21" s="557" t="s">
        <v>4</v>
      </c>
      <c r="AJ21" s="556" t="s">
        <v>4</v>
      </c>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6"/>
      <c r="BU21" s="556"/>
      <c r="BV21" s="556"/>
      <c r="BW21" s="556"/>
      <c r="BX21" s="556"/>
      <c r="BY21" s="556"/>
      <c r="BZ21" s="556"/>
      <c r="CA21" s="556"/>
      <c r="CB21" s="556"/>
      <c r="CC21" s="556"/>
      <c r="CD21" s="556"/>
      <c r="CE21" s="556"/>
      <c r="CF21" s="556"/>
      <c r="CG21" s="556"/>
      <c r="CH21" s="556"/>
      <c r="CI21" s="556"/>
      <c r="CJ21" s="556"/>
      <c r="CK21" s="556"/>
      <c r="CL21" s="556"/>
      <c r="CM21" s="556"/>
      <c r="CN21" s="556"/>
      <c r="CO21" s="556"/>
      <c r="CP21" s="556"/>
      <c r="CQ21" s="556"/>
      <c r="CR21" s="556"/>
      <c r="CS21" s="556"/>
      <c r="CT21" s="556"/>
      <c r="CU21" s="556"/>
      <c r="CV21" s="556"/>
      <c r="CW21" s="556"/>
      <c r="CX21" s="556"/>
      <c r="CY21" s="556"/>
      <c r="CZ21" s="556"/>
      <c r="DA21" s="556"/>
      <c r="DB21" s="556"/>
      <c r="DC21" s="556"/>
      <c r="DD21" s="556"/>
      <c r="DE21" s="556"/>
      <c r="DF21" s="556"/>
      <c r="DG21" s="556"/>
      <c r="DH21" s="556"/>
      <c r="DI21" s="556"/>
      <c r="DJ21" s="556"/>
      <c r="DK21" s="556"/>
      <c r="DL21" s="556"/>
      <c r="DM21" s="556"/>
      <c r="DN21" s="556"/>
      <c r="DO21" s="556"/>
      <c r="DP21" s="556"/>
      <c r="DQ21" s="556"/>
      <c r="DR21" s="556"/>
      <c r="DS21" s="556"/>
      <c r="DT21" s="559"/>
      <c r="DU21" s="556"/>
      <c r="DV21" s="559"/>
      <c r="DW21" s="556"/>
      <c r="DX21" s="556"/>
      <c r="DY21" s="556"/>
      <c r="DZ21" s="556"/>
      <c r="EA21" s="556"/>
      <c r="EB21" s="556"/>
      <c r="EC21" s="556"/>
      <c r="ED21" s="556"/>
      <c r="EE21" s="560"/>
      <c r="EF21" s="560"/>
      <c r="EG21" s="560"/>
      <c r="EH21" s="560"/>
      <c r="EI21" s="560"/>
      <c r="EJ21" s="556"/>
      <c r="EK21" s="556"/>
      <c r="EL21" s="556"/>
      <c r="EM21" s="556"/>
      <c r="EN21" s="556"/>
      <c r="EO21" s="556"/>
      <c r="EP21" s="556"/>
      <c r="EQ21" s="556"/>
      <c r="ER21" s="556"/>
      <c r="ES21" s="556"/>
      <c r="ET21" s="556"/>
      <c r="EU21" s="556"/>
      <c r="EV21" s="560"/>
      <c r="EW21" s="560"/>
      <c r="EX21" s="560"/>
      <c r="EY21" s="560"/>
      <c r="EZ21" s="560"/>
      <c r="FA21" s="556"/>
      <c r="FB21" s="556"/>
      <c r="FC21" s="556"/>
      <c r="FD21" s="556"/>
      <c r="FE21" s="556"/>
      <c r="FF21" s="556"/>
      <c r="FG21" s="556"/>
      <c r="FH21" s="556"/>
      <c r="FI21" s="556"/>
      <c r="FJ21" s="556"/>
      <c r="FK21" s="556"/>
      <c r="FL21" s="556"/>
      <c r="FM21" s="556"/>
      <c r="FN21" s="556"/>
      <c r="FO21" s="556"/>
      <c r="FP21" s="556"/>
      <c r="FQ21" s="556"/>
      <c r="FR21" s="556"/>
      <c r="FS21" s="556"/>
      <c r="FT21" s="556"/>
      <c r="FU21" s="556"/>
      <c r="FV21" s="556"/>
      <c r="FW21" s="556"/>
      <c r="FX21" s="556"/>
      <c r="FY21" s="556"/>
      <c r="FZ21" s="556"/>
      <c r="GA21" s="556"/>
      <c r="GB21" s="559"/>
      <c r="GC21" s="556"/>
      <c r="GD21" s="556"/>
      <c r="GE21" s="556"/>
      <c r="GF21" s="556"/>
      <c r="GG21" s="556"/>
      <c r="GH21" s="556"/>
      <c r="GI21" s="556"/>
      <c r="GJ21" s="556"/>
      <c r="GK21" s="556"/>
      <c r="GL21" s="556"/>
      <c r="GM21" s="556"/>
      <c r="GN21" s="556"/>
      <c r="GO21" s="556"/>
      <c r="GP21" s="556"/>
      <c r="GQ21" s="556"/>
      <c r="GR21" s="556"/>
      <c r="GS21" s="556"/>
      <c r="GT21" s="556"/>
      <c r="GU21" s="556"/>
      <c r="GV21" s="556"/>
      <c r="GW21" s="556"/>
      <c r="GX21" s="556"/>
      <c r="GY21" s="556"/>
      <c r="GZ21" s="556"/>
      <c r="HA21" s="556"/>
      <c r="HB21" s="556"/>
      <c r="HC21" s="556"/>
      <c r="HD21" s="556"/>
      <c r="HE21" s="556"/>
      <c r="HF21" s="556"/>
      <c r="HG21" s="556"/>
      <c r="HH21" s="556"/>
      <c r="HI21" s="556"/>
      <c r="HJ21" s="559"/>
      <c r="HK21" s="556"/>
      <c r="HL21" s="556"/>
      <c r="HM21" s="556"/>
      <c r="HN21" s="556"/>
      <c r="HO21" s="556"/>
      <c r="HP21" s="556"/>
      <c r="HQ21" s="556"/>
      <c r="HR21" s="556"/>
      <c r="HS21" s="556"/>
      <c r="HT21" s="556"/>
      <c r="HU21" s="556"/>
      <c r="HV21" s="556"/>
      <c r="HW21" s="556"/>
      <c r="HX21" s="556"/>
      <c r="HY21" s="556"/>
      <c r="HZ21" s="556" t="s">
        <v>29743</v>
      </c>
      <c r="IA21" s="556" t="s">
        <v>7</v>
      </c>
      <c r="IB21" s="556" t="s">
        <v>29744</v>
      </c>
      <c r="IC21" s="556" t="s">
        <v>29745</v>
      </c>
      <c r="ID21" s="556" t="s">
        <v>29746</v>
      </c>
      <c r="IE21" s="556" t="s">
        <v>29747</v>
      </c>
      <c r="IF21" s="556" t="s">
        <v>29748</v>
      </c>
      <c r="IG21" s="556" t="s">
        <v>29749</v>
      </c>
      <c r="IH21" s="556" t="s">
        <v>29740</v>
      </c>
    </row>
    <row r="22" spans="1:242" s="561" customFormat="1" ht="36.75" customHeight="1" x14ac:dyDescent="0.2">
      <c r="A22" s="556">
        <v>61</v>
      </c>
      <c r="B22" s="556" t="s">
        <v>2608</v>
      </c>
      <c r="C22" s="556" t="s">
        <v>29981</v>
      </c>
      <c r="D22" s="556" t="s">
        <v>21</v>
      </c>
      <c r="E22" s="556" t="s">
        <v>7</v>
      </c>
      <c r="F22" s="556" t="s">
        <v>29982</v>
      </c>
      <c r="G22" s="556">
        <v>1046</v>
      </c>
      <c r="H22" s="556">
        <v>3.2</v>
      </c>
      <c r="I22" s="556" t="s">
        <v>29389</v>
      </c>
      <c r="J22" s="556" t="s">
        <v>29983</v>
      </c>
      <c r="K22" s="556" t="s">
        <v>29984</v>
      </c>
      <c r="L22" s="556">
        <v>772550966</v>
      </c>
      <c r="M22" s="556" t="s">
        <v>3</v>
      </c>
      <c r="N22" s="556" t="s">
        <v>31590</v>
      </c>
      <c r="O22" s="556" t="s">
        <v>4</v>
      </c>
      <c r="P22" s="556">
        <v>10</v>
      </c>
      <c r="Q22" s="556" t="s">
        <v>7</v>
      </c>
      <c r="R22" s="556" t="s">
        <v>31588</v>
      </c>
      <c r="S22" s="556" t="s">
        <v>4</v>
      </c>
      <c r="T22" s="556" t="s">
        <v>2</v>
      </c>
      <c r="U22" s="556" t="s">
        <v>4</v>
      </c>
      <c r="V22" s="556"/>
      <c r="W22" s="556" t="s">
        <v>4</v>
      </c>
      <c r="X22" s="556" t="s">
        <v>4</v>
      </c>
      <c r="Y22" s="557">
        <v>43293</v>
      </c>
      <c r="Z22" s="557" t="str">
        <f>IF(OR(T22="yes",Y22&gt;'SDG outcome'!$C$27),"yes","no")</f>
        <v>no</v>
      </c>
      <c r="AA22" s="558" t="str">
        <f t="shared" si="0"/>
        <v/>
      </c>
      <c r="AB22" s="558" t="str">
        <f>IF(AND(Z22="no",AND(Y22&gt;='SDG outcome'!$B$16,Y22&lt;'SDG outcome'!$C$27)),Y22-'SDG outcome'!$B$16,"")</f>
        <v/>
      </c>
      <c r="AC22" s="556" t="s">
        <v>8</v>
      </c>
      <c r="AD22" s="556" t="s">
        <v>31735</v>
      </c>
      <c r="AE22" s="556" t="s">
        <v>4</v>
      </c>
      <c r="AF22" s="556" t="s">
        <v>4</v>
      </c>
      <c r="AG22" s="556" t="s">
        <v>4</v>
      </c>
      <c r="AH22" s="556" t="s">
        <v>4</v>
      </c>
      <c r="AI22" s="557" t="s">
        <v>4</v>
      </c>
      <c r="AJ22" s="556" t="s">
        <v>4</v>
      </c>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c r="BQ22" s="556"/>
      <c r="BR22" s="556"/>
      <c r="BS22" s="556"/>
      <c r="BT22" s="556"/>
      <c r="BU22" s="556"/>
      <c r="BV22" s="556"/>
      <c r="BW22" s="556"/>
      <c r="BX22" s="556"/>
      <c r="BY22" s="556"/>
      <c r="BZ22" s="556"/>
      <c r="CA22" s="556"/>
      <c r="CB22" s="556"/>
      <c r="CC22" s="556"/>
      <c r="CD22" s="556"/>
      <c r="CE22" s="556"/>
      <c r="CF22" s="556"/>
      <c r="CG22" s="556"/>
      <c r="CH22" s="556"/>
      <c r="CI22" s="556"/>
      <c r="CJ22" s="556"/>
      <c r="CK22" s="556"/>
      <c r="CL22" s="556"/>
      <c r="CM22" s="556"/>
      <c r="CN22" s="556"/>
      <c r="CO22" s="556"/>
      <c r="CP22" s="556"/>
      <c r="CQ22" s="556"/>
      <c r="CR22" s="556"/>
      <c r="CS22" s="556"/>
      <c r="CT22" s="556"/>
      <c r="CU22" s="556"/>
      <c r="CV22" s="556"/>
      <c r="CW22" s="556"/>
      <c r="CX22" s="556"/>
      <c r="CY22" s="556"/>
      <c r="CZ22" s="556"/>
      <c r="DA22" s="556"/>
      <c r="DB22" s="556"/>
      <c r="DC22" s="556"/>
      <c r="DD22" s="556"/>
      <c r="DE22" s="556"/>
      <c r="DF22" s="556"/>
      <c r="DG22" s="556"/>
      <c r="DH22" s="556"/>
      <c r="DI22" s="556"/>
      <c r="DJ22" s="556"/>
      <c r="DK22" s="556"/>
      <c r="DL22" s="556"/>
      <c r="DM22" s="556"/>
      <c r="DN22" s="556"/>
      <c r="DO22" s="556"/>
      <c r="DP22" s="556"/>
      <c r="DQ22" s="556"/>
      <c r="DR22" s="556"/>
      <c r="DS22" s="556"/>
      <c r="DT22" s="559"/>
      <c r="DU22" s="556"/>
      <c r="DV22" s="559"/>
      <c r="DW22" s="556"/>
      <c r="DX22" s="556"/>
      <c r="DY22" s="556"/>
      <c r="DZ22" s="556"/>
      <c r="EA22" s="556"/>
      <c r="EB22" s="556"/>
      <c r="EC22" s="556"/>
      <c r="ED22" s="556"/>
      <c r="EE22" s="560"/>
      <c r="EF22" s="560"/>
      <c r="EG22" s="560"/>
      <c r="EH22" s="560"/>
      <c r="EI22" s="560"/>
      <c r="EJ22" s="556"/>
      <c r="EK22" s="556"/>
      <c r="EL22" s="556"/>
      <c r="EM22" s="556"/>
      <c r="EN22" s="556"/>
      <c r="EO22" s="556"/>
      <c r="EP22" s="556"/>
      <c r="EQ22" s="556"/>
      <c r="ER22" s="556"/>
      <c r="ES22" s="556"/>
      <c r="ET22" s="556"/>
      <c r="EU22" s="556"/>
      <c r="EV22" s="560"/>
      <c r="EW22" s="560"/>
      <c r="EX22" s="560"/>
      <c r="EY22" s="560"/>
      <c r="EZ22" s="560"/>
      <c r="FA22" s="556"/>
      <c r="FB22" s="556"/>
      <c r="FC22" s="556"/>
      <c r="FD22" s="556"/>
      <c r="FE22" s="556"/>
      <c r="FF22" s="556"/>
      <c r="FG22" s="556"/>
      <c r="FH22" s="556"/>
      <c r="FI22" s="556"/>
      <c r="FJ22" s="556"/>
      <c r="FK22" s="556"/>
      <c r="FL22" s="556"/>
      <c r="FM22" s="556"/>
      <c r="FN22" s="556"/>
      <c r="FO22" s="556"/>
      <c r="FP22" s="556"/>
      <c r="FQ22" s="556"/>
      <c r="FR22" s="556"/>
      <c r="FS22" s="556"/>
      <c r="FT22" s="556"/>
      <c r="FU22" s="556"/>
      <c r="FV22" s="556"/>
      <c r="FW22" s="556"/>
      <c r="FX22" s="556"/>
      <c r="FY22" s="556"/>
      <c r="FZ22" s="556"/>
      <c r="GA22" s="556"/>
      <c r="GB22" s="559"/>
      <c r="GC22" s="556"/>
      <c r="GD22" s="556"/>
      <c r="GE22" s="556"/>
      <c r="GF22" s="556"/>
      <c r="GG22" s="556"/>
      <c r="GH22" s="556"/>
      <c r="GI22" s="556"/>
      <c r="GJ22" s="556"/>
      <c r="GK22" s="556"/>
      <c r="GL22" s="556"/>
      <c r="GM22" s="556"/>
      <c r="GN22" s="556"/>
      <c r="GO22" s="556"/>
      <c r="GP22" s="556"/>
      <c r="GQ22" s="556"/>
      <c r="GR22" s="556"/>
      <c r="GS22" s="556"/>
      <c r="GT22" s="556"/>
      <c r="GU22" s="556"/>
      <c r="GV22" s="556"/>
      <c r="GW22" s="556"/>
      <c r="GX22" s="556"/>
      <c r="GY22" s="556"/>
      <c r="GZ22" s="556"/>
      <c r="HA22" s="556"/>
      <c r="HB22" s="556"/>
      <c r="HC22" s="556"/>
      <c r="HD22" s="556"/>
      <c r="HE22" s="556"/>
      <c r="HF22" s="556"/>
      <c r="HG22" s="556"/>
      <c r="HH22" s="556"/>
      <c r="HI22" s="556"/>
      <c r="HJ22" s="559"/>
      <c r="HK22" s="556"/>
      <c r="HL22" s="556"/>
      <c r="HM22" s="556"/>
      <c r="HN22" s="556"/>
      <c r="HO22" s="556"/>
      <c r="HP22" s="556"/>
      <c r="HQ22" s="556"/>
      <c r="HR22" s="556"/>
      <c r="HS22" s="556"/>
      <c r="HT22" s="556"/>
      <c r="HU22" s="556"/>
      <c r="HV22" s="556"/>
      <c r="HW22" s="556"/>
      <c r="HX22" s="556"/>
      <c r="HY22" s="556"/>
      <c r="HZ22" s="556" t="s">
        <v>29985</v>
      </c>
      <c r="IA22" s="556" t="s">
        <v>2</v>
      </c>
      <c r="IB22" s="556" t="s">
        <v>4</v>
      </c>
      <c r="IC22" s="556" t="s">
        <v>29986</v>
      </c>
      <c r="ID22" s="556" t="s">
        <v>29987</v>
      </c>
      <c r="IE22" s="556" t="s">
        <v>9</v>
      </c>
      <c r="IF22" s="556" t="s">
        <v>29988</v>
      </c>
      <c r="IG22" s="556" t="s">
        <v>9</v>
      </c>
      <c r="IH22" s="556" t="s">
        <v>29989</v>
      </c>
    </row>
    <row r="23" spans="1:242" s="561" customFormat="1" ht="36.75" customHeight="1" x14ac:dyDescent="0.2">
      <c r="A23" s="556">
        <v>25</v>
      </c>
      <c r="B23" s="556" t="s">
        <v>14005</v>
      </c>
      <c r="C23" s="556" t="s">
        <v>29621</v>
      </c>
      <c r="D23" s="556" t="s">
        <v>29563</v>
      </c>
      <c r="E23" s="556" t="s">
        <v>7</v>
      </c>
      <c r="F23" s="556" t="s">
        <v>29622</v>
      </c>
      <c r="G23" s="556">
        <v>1128.0999999999999</v>
      </c>
      <c r="H23" s="556">
        <v>4.3</v>
      </c>
      <c r="I23" s="556" t="s">
        <v>29319</v>
      </c>
      <c r="J23" s="556" t="s">
        <v>4</v>
      </c>
      <c r="K23" s="556" t="s">
        <v>29623</v>
      </c>
      <c r="L23" s="556">
        <v>779466949</v>
      </c>
      <c r="M23" s="556" t="s">
        <v>5</v>
      </c>
      <c r="N23" s="556" t="s">
        <v>31590</v>
      </c>
      <c r="O23" s="556" t="s">
        <v>4</v>
      </c>
      <c r="P23" s="556">
        <v>7</v>
      </c>
      <c r="Q23" s="556" t="s">
        <v>7</v>
      </c>
      <c r="R23" s="556" t="s">
        <v>31549</v>
      </c>
      <c r="S23" s="556" t="s">
        <v>4</v>
      </c>
      <c r="T23" s="556" t="s">
        <v>2</v>
      </c>
      <c r="U23" s="556" t="s">
        <v>4</v>
      </c>
      <c r="V23" s="556"/>
      <c r="W23" s="556" t="s">
        <v>4</v>
      </c>
      <c r="X23" s="556" t="s">
        <v>4</v>
      </c>
      <c r="Y23" s="557">
        <v>43352</v>
      </c>
      <c r="Z23" s="557" t="str">
        <f>IF(OR(T23="yes",Y23&gt;'SDG outcome'!$C$27),"yes","no")</f>
        <v>no</v>
      </c>
      <c r="AA23" s="558" t="str">
        <f t="shared" si="0"/>
        <v/>
      </c>
      <c r="AB23" s="558" t="str">
        <f>IF(AND(Z23="no",AND(Y23&gt;='SDG outcome'!$B$16,Y23&lt;'SDG outcome'!$C$27)),Y23-'SDG outcome'!$B$16,"")</f>
        <v/>
      </c>
      <c r="AC23" s="556" t="s">
        <v>31572</v>
      </c>
      <c r="AD23" s="556" t="s">
        <v>4</v>
      </c>
      <c r="AE23" s="556" t="s">
        <v>7</v>
      </c>
      <c r="AF23" s="556" t="s">
        <v>31667</v>
      </c>
      <c r="AG23" s="556" t="s">
        <v>4</v>
      </c>
      <c r="AH23" s="556" t="s">
        <v>7</v>
      </c>
      <c r="AI23" s="557">
        <v>45291</v>
      </c>
      <c r="AJ23" s="556" t="s">
        <v>4</v>
      </c>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6"/>
      <c r="BU23" s="556"/>
      <c r="BV23" s="556"/>
      <c r="BW23" s="556"/>
      <c r="BX23" s="556"/>
      <c r="BY23" s="556"/>
      <c r="BZ23" s="556"/>
      <c r="CA23" s="556"/>
      <c r="CB23" s="556"/>
      <c r="CC23" s="556"/>
      <c r="CD23" s="556"/>
      <c r="CE23" s="556"/>
      <c r="CF23" s="556"/>
      <c r="CG23" s="556"/>
      <c r="CH23" s="556"/>
      <c r="CI23" s="556"/>
      <c r="CJ23" s="556"/>
      <c r="CK23" s="556"/>
      <c r="CL23" s="556"/>
      <c r="CM23" s="556"/>
      <c r="CN23" s="556"/>
      <c r="CO23" s="556"/>
      <c r="CP23" s="556"/>
      <c r="CQ23" s="556"/>
      <c r="CR23" s="556"/>
      <c r="CS23" s="556"/>
      <c r="CT23" s="556"/>
      <c r="CU23" s="556"/>
      <c r="CV23" s="556"/>
      <c r="CW23" s="556"/>
      <c r="CX23" s="556"/>
      <c r="CY23" s="556"/>
      <c r="CZ23" s="556"/>
      <c r="DA23" s="556"/>
      <c r="DB23" s="556"/>
      <c r="DC23" s="556"/>
      <c r="DD23" s="556"/>
      <c r="DE23" s="556"/>
      <c r="DF23" s="556"/>
      <c r="DG23" s="556"/>
      <c r="DH23" s="556"/>
      <c r="DI23" s="556"/>
      <c r="DJ23" s="556"/>
      <c r="DK23" s="556"/>
      <c r="DL23" s="556"/>
      <c r="DM23" s="556"/>
      <c r="DN23" s="556"/>
      <c r="DO23" s="556"/>
      <c r="DP23" s="556"/>
      <c r="DQ23" s="556"/>
      <c r="DR23" s="556"/>
      <c r="DS23" s="556"/>
      <c r="DT23" s="559"/>
      <c r="DU23" s="556"/>
      <c r="DV23" s="559"/>
      <c r="DW23" s="556"/>
      <c r="DX23" s="556"/>
      <c r="DY23" s="556"/>
      <c r="DZ23" s="556"/>
      <c r="EA23" s="556"/>
      <c r="EB23" s="556"/>
      <c r="EC23" s="556"/>
      <c r="ED23" s="556"/>
      <c r="EE23" s="560"/>
      <c r="EF23" s="560"/>
      <c r="EG23" s="560"/>
      <c r="EH23" s="560"/>
      <c r="EI23" s="560"/>
      <c r="EJ23" s="556"/>
      <c r="EK23" s="556"/>
      <c r="EL23" s="556"/>
      <c r="EM23" s="556"/>
      <c r="EN23" s="556"/>
      <c r="EO23" s="556"/>
      <c r="EP23" s="556"/>
      <c r="EQ23" s="556"/>
      <c r="ER23" s="556"/>
      <c r="ES23" s="556"/>
      <c r="ET23" s="556"/>
      <c r="EU23" s="556"/>
      <c r="EV23" s="560"/>
      <c r="EW23" s="560"/>
      <c r="EX23" s="560"/>
      <c r="EY23" s="560"/>
      <c r="EZ23" s="560"/>
      <c r="FA23" s="556"/>
      <c r="FB23" s="556"/>
      <c r="FC23" s="556"/>
      <c r="FD23" s="556"/>
      <c r="FE23" s="556"/>
      <c r="FF23" s="556"/>
      <c r="FG23" s="556"/>
      <c r="FH23" s="556"/>
      <c r="FI23" s="556"/>
      <c r="FJ23" s="556"/>
      <c r="FK23" s="556"/>
      <c r="FL23" s="556"/>
      <c r="FM23" s="556"/>
      <c r="FN23" s="556"/>
      <c r="FO23" s="556"/>
      <c r="FP23" s="556"/>
      <c r="FQ23" s="556"/>
      <c r="FR23" s="556"/>
      <c r="FS23" s="556"/>
      <c r="FT23" s="556"/>
      <c r="FU23" s="556"/>
      <c r="FV23" s="556"/>
      <c r="FW23" s="556"/>
      <c r="FX23" s="556"/>
      <c r="FY23" s="556"/>
      <c r="FZ23" s="556"/>
      <c r="GA23" s="556"/>
      <c r="GB23" s="559"/>
      <c r="GC23" s="556"/>
      <c r="GD23" s="556"/>
      <c r="GE23" s="556"/>
      <c r="GF23" s="556"/>
      <c r="GG23" s="556"/>
      <c r="GH23" s="556"/>
      <c r="GI23" s="556"/>
      <c r="GJ23" s="556"/>
      <c r="GK23" s="556"/>
      <c r="GL23" s="556"/>
      <c r="GM23" s="556"/>
      <c r="GN23" s="556"/>
      <c r="GO23" s="556"/>
      <c r="GP23" s="556"/>
      <c r="GQ23" s="556"/>
      <c r="GR23" s="556"/>
      <c r="GS23" s="556"/>
      <c r="GT23" s="556"/>
      <c r="GU23" s="556"/>
      <c r="GV23" s="556"/>
      <c r="GW23" s="556"/>
      <c r="GX23" s="556"/>
      <c r="GY23" s="556"/>
      <c r="GZ23" s="556"/>
      <c r="HA23" s="556"/>
      <c r="HB23" s="556"/>
      <c r="HC23" s="556"/>
      <c r="HD23" s="556"/>
      <c r="HE23" s="556"/>
      <c r="HF23" s="556"/>
      <c r="HG23" s="556"/>
      <c r="HH23" s="556"/>
      <c r="HI23" s="556"/>
      <c r="HJ23" s="559"/>
      <c r="HK23" s="556"/>
      <c r="HL23" s="556"/>
      <c r="HM23" s="556"/>
      <c r="HN23" s="556"/>
      <c r="HO23" s="556"/>
      <c r="HP23" s="556"/>
      <c r="HQ23" s="556"/>
      <c r="HR23" s="556"/>
      <c r="HS23" s="556"/>
      <c r="HT23" s="556"/>
      <c r="HU23" s="556"/>
      <c r="HV23" s="556"/>
      <c r="HW23" s="556"/>
      <c r="HX23" s="556"/>
      <c r="HY23" s="556"/>
      <c r="HZ23" s="556" t="s">
        <v>29624</v>
      </c>
      <c r="IA23" s="556" t="s">
        <v>7</v>
      </c>
      <c r="IB23" s="556" t="s">
        <v>29625</v>
      </c>
      <c r="IC23" s="556" t="s">
        <v>29626</v>
      </c>
      <c r="ID23" s="556" t="s">
        <v>29627</v>
      </c>
      <c r="IE23" s="556" t="s">
        <v>29628</v>
      </c>
      <c r="IF23" s="556" t="s">
        <v>29629</v>
      </c>
      <c r="IG23" s="556" t="s">
        <v>29630</v>
      </c>
      <c r="IH23" s="556" t="s">
        <v>29621</v>
      </c>
    </row>
    <row r="24" spans="1:242" s="561" customFormat="1" ht="36.75" customHeight="1" x14ac:dyDescent="0.2">
      <c r="A24" s="556">
        <v>134</v>
      </c>
      <c r="B24" s="556" t="s">
        <v>13806</v>
      </c>
      <c r="C24" s="556" t="s">
        <v>30725</v>
      </c>
      <c r="D24" s="556" t="s">
        <v>30699</v>
      </c>
      <c r="E24" s="556" t="s">
        <v>7</v>
      </c>
      <c r="F24" s="556" t="s">
        <v>30726</v>
      </c>
      <c r="G24" s="556">
        <v>1245.8</v>
      </c>
      <c r="H24" s="556">
        <v>5</v>
      </c>
      <c r="I24" s="556" t="s">
        <v>29319</v>
      </c>
      <c r="J24" s="556" t="s">
        <v>4</v>
      </c>
      <c r="K24" s="556" t="s">
        <v>30727</v>
      </c>
      <c r="L24" s="556">
        <v>774933111</v>
      </c>
      <c r="M24" s="556" t="s">
        <v>5</v>
      </c>
      <c r="N24" s="556" t="s">
        <v>31598</v>
      </c>
      <c r="O24" s="556" t="s">
        <v>4</v>
      </c>
      <c r="P24" s="556">
        <v>8</v>
      </c>
      <c r="Q24" s="556" t="s">
        <v>7</v>
      </c>
      <c r="R24" s="556" t="s">
        <v>31549</v>
      </c>
      <c r="S24" s="556" t="s">
        <v>4</v>
      </c>
      <c r="T24" s="556" t="s">
        <v>2</v>
      </c>
      <c r="U24" s="556" t="s">
        <v>4</v>
      </c>
      <c r="V24" s="556"/>
      <c r="W24" s="556" t="s">
        <v>4</v>
      </c>
      <c r="X24" s="556" t="s">
        <v>4</v>
      </c>
      <c r="Y24" s="557">
        <v>43447</v>
      </c>
      <c r="Z24" s="557" t="str">
        <f>IF(OR(T24="yes",Y24&gt;'SDG outcome'!$C$27),"yes","no")</f>
        <v>no</v>
      </c>
      <c r="AA24" s="558" t="str">
        <f t="shared" si="0"/>
        <v/>
      </c>
      <c r="AB24" s="558" t="str">
        <f>IF(AND(Z24="no",AND(Y24&gt;='SDG outcome'!$B$16,Y24&lt;'SDG outcome'!$C$27)),Y24-'SDG outcome'!$B$16,"")</f>
        <v/>
      </c>
      <c r="AC24" s="556" t="s">
        <v>31685</v>
      </c>
      <c r="AD24" s="556" t="s">
        <v>4</v>
      </c>
      <c r="AE24" s="556" t="s">
        <v>4</v>
      </c>
      <c r="AF24" s="556" t="s">
        <v>4</v>
      </c>
      <c r="AG24" s="556" t="s">
        <v>4</v>
      </c>
      <c r="AH24" s="556" t="s">
        <v>4</v>
      </c>
      <c r="AI24" s="557" t="s">
        <v>4</v>
      </c>
      <c r="AJ24" s="556" t="s">
        <v>4</v>
      </c>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556"/>
      <c r="BV24" s="556"/>
      <c r="BW24" s="556"/>
      <c r="BX24" s="556"/>
      <c r="BY24" s="556"/>
      <c r="BZ24" s="556"/>
      <c r="CA24" s="556"/>
      <c r="CB24" s="556"/>
      <c r="CC24" s="556"/>
      <c r="CD24" s="556"/>
      <c r="CE24" s="556"/>
      <c r="CF24" s="556"/>
      <c r="CG24" s="556"/>
      <c r="CH24" s="556"/>
      <c r="CI24" s="556"/>
      <c r="CJ24" s="556"/>
      <c r="CK24" s="556"/>
      <c r="CL24" s="556"/>
      <c r="CM24" s="556"/>
      <c r="CN24" s="556"/>
      <c r="CO24" s="556"/>
      <c r="CP24" s="556"/>
      <c r="CQ24" s="556"/>
      <c r="CR24" s="556"/>
      <c r="CS24" s="556"/>
      <c r="CT24" s="556"/>
      <c r="CU24" s="556"/>
      <c r="CV24" s="556"/>
      <c r="CW24" s="556"/>
      <c r="CX24" s="556"/>
      <c r="CY24" s="556"/>
      <c r="CZ24" s="556"/>
      <c r="DA24" s="556"/>
      <c r="DB24" s="556"/>
      <c r="DC24" s="556"/>
      <c r="DD24" s="556"/>
      <c r="DE24" s="556"/>
      <c r="DF24" s="556"/>
      <c r="DG24" s="556"/>
      <c r="DH24" s="556"/>
      <c r="DI24" s="556"/>
      <c r="DJ24" s="556"/>
      <c r="DK24" s="556"/>
      <c r="DL24" s="556"/>
      <c r="DM24" s="556"/>
      <c r="DN24" s="556"/>
      <c r="DO24" s="556"/>
      <c r="DP24" s="556"/>
      <c r="DQ24" s="556"/>
      <c r="DR24" s="556"/>
      <c r="DS24" s="556"/>
      <c r="DT24" s="559"/>
      <c r="DU24" s="556"/>
      <c r="DV24" s="559"/>
      <c r="DW24" s="556"/>
      <c r="DX24" s="556"/>
      <c r="DY24" s="556"/>
      <c r="DZ24" s="556"/>
      <c r="EA24" s="556"/>
      <c r="EB24" s="556"/>
      <c r="EC24" s="556"/>
      <c r="ED24" s="556"/>
      <c r="EE24" s="560"/>
      <c r="EF24" s="560"/>
      <c r="EG24" s="560"/>
      <c r="EH24" s="560"/>
      <c r="EI24" s="560"/>
      <c r="EJ24" s="556"/>
      <c r="EK24" s="556"/>
      <c r="EL24" s="556"/>
      <c r="EM24" s="556"/>
      <c r="EN24" s="556"/>
      <c r="EO24" s="556"/>
      <c r="EP24" s="556"/>
      <c r="EQ24" s="556"/>
      <c r="ER24" s="556"/>
      <c r="ES24" s="556"/>
      <c r="ET24" s="556"/>
      <c r="EU24" s="556"/>
      <c r="EV24" s="560"/>
      <c r="EW24" s="560"/>
      <c r="EX24" s="560"/>
      <c r="EY24" s="560"/>
      <c r="EZ24" s="560"/>
      <c r="FA24" s="556"/>
      <c r="FB24" s="556"/>
      <c r="FC24" s="556"/>
      <c r="FD24" s="556"/>
      <c r="FE24" s="556"/>
      <c r="FF24" s="556"/>
      <c r="FG24" s="556"/>
      <c r="FH24" s="556"/>
      <c r="FI24" s="556"/>
      <c r="FJ24" s="556"/>
      <c r="FK24" s="556"/>
      <c r="FL24" s="556"/>
      <c r="FM24" s="556"/>
      <c r="FN24" s="556"/>
      <c r="FO24" s="556"/>
      <c r="FP24" s="556"/>
      <c r="FQ24" s="556"/>
      <c r="FR24" s="556"/>
      <c r="FS24" s="556"/>
      <c r="FT24" s="556"/>
      <c r="FU24" s="556"/>
      <c r="FV24" s="556"/>
      <c r="FW24" s="556"/>
      <c r="FX24" s="556"/>
      <c r="FY24" s="556"/>
      <c r="FZ24" s="556"/>
      <c r="GA24" s="556"/>
      <c r="GB24" s="559"/>
      <c r="GC24" s="556"/>
      <c r="GD24" s="556"/>
      <c r="GE24" s="556"/>
      <c r="GF24" s="556"/>
      <c r="GG24" s="556"/>
      <c r="GH24" s="556"/>
      <c r="GI24" s="556"/>
      <c r="GJ24" s="556"/>
      <c r="GK24" s="556"/>
      <c r="GL24" s="556"/>
      <c r="GM24" s="556"/>
      <c r="GN24" s="556"/>
      <c r="GO24" s="556"/>
      <c r="GP24" s="556"/>
      <c r="GQ24" s="556"/>
      <c r="GR24" s="556"/>
      <c r="GS24" s="556"/>
      <c r="GT24" s="556"/>
      <c r="GU24" s="556"/>
      <c r="GV24" s="556"/>
      <c r="GW24" s="556"/>
      <c r="GX24" s="556"/>
      <c r="GY24" s="556"/>
      <c r="GZ24" s="556"/>
      <c r="HA24" s="556"/>
      <c r="HB24" s="556"/>
      <c r="HC24" s="556"/>
      <c r="HD24" s="556"/>
      <c r="HE24" s="556"/>
      <c r="HF24" s="556"/>
      <c r="HG24" s="556"/>
      <c r="HH24" s="556"/>
      <c r="HI24" s="556"/>
      <c r="HJ24" s="559"/>
      <c r="HK24" s="556"/>
      <c r="HL24" s="556"/>
      <c r="HM24" s="556"/>
      <c r="HN24" s="556"/>
      <c r="HO24" s="556"/>
      <c r="HP24" s="556"/>
      <c r="HQ24" s="556"/>
      <c r="HR24" s="556"/>
      <c r="HS24" s="556"/>
      <c r="HT24" s="556"/>
      <c r="HU24" s="556"/>
      <c r="HV24" s="556"/>
      <c r="HW24" s="556"/>
      <c r="HX24" s="556"/>
      <c r="HY24" s="556"/>
      <c r="HZ24" s="556" t="s">
        <v>30728</v>
      </c>
      <c r="IA24" s="556" t="s">
        <v>2</v>
      </c>
      <c r="IB24" s="556" t="s">
        <v>4</v>
      </c>
      <c r="IC24" s="556" t="s">
        <v>30729</v>
      </c>
      <c r="ID24" s="556" t="s">
        <v>30730</v>
      </c>
      <c r="IE24" s="556" t="s">
        <v>30731</v>
      </c>
      <c r="IF24" s="556" t="s">
        <v>30732</v>
      </c>
      <c r="IG24" s="556" t="s">
        <v>30733</v>
      </c>
      <c r="IH24" s="556" t="s">
        <v>30725</v>
      </c>
    </row>
    <row r="25" spans="1:242" s="561" customFormat="1" ht="36.75" customHeight="1" x14ac:dyDescent="0.2">
      <c r="A25" s="556">
        <v>124</v>
      </c>
      <c r="B25" s="556" t="s">
        <v>30651</v>
      </c>
      <c r="C25" s="556" t="s">
        <v>30652</v>
      </c>
      <c r="D25" s="556" t="s">
        <v>30638</v>
      </c>
      <c r="E25" s="556" t="s">
        <v>7</v>
      </c>
      <c r="F25" s="556" t="s">
        <v>30653</v>
      </c>
      <c r="G25" s="556">
        <v>1084.8862300000001</v>
      </c>
      <c r="H25" s="556">
        <v>4.2880000000000003</v>
      </c>
      <c r="I25" s="556" t="s">
        <v>29288</v>
      </c>
      <c r="J25" s="556" t="s">
        <v>4</v>
      </c>
      <c r="K25" s="556" t="s">
        <v>30654</v>
      </c>
      <c r="L25" s="556" t="s">
        <v>9</v>
      </c>
      <c r="M25" s="556" t="s">
        <v>3</v>
      </c>
      <c r="N25" s="556" t="s">
        <v>31844</v>
      </c>
      <c r="O25" s="556" t="s">
        <v>4</v>
      </c>
      <c r="P25" s="556">
        <v>8</v>
      </c>
      <c r="Q25" s="556" t="s">
        <v>7</v>
      </c>
      <c r="R25" s="556" t="s">
        <v>31562</v>
      </c>
      <c r="S25" s="556" t="s">
        <v>4</v>
      </c>
      <c r="T25" s="556" t="s">
        <v>2</v>
      </c>
      <c r="U25" s="556" t="s">
        <v>4</v>
      </c>
      <c r="V25" s="556"/>
      <c r="W25" s="556" t="s">
        <v>4</v>
      </c>
      <c r="X25" s="556" t="s">
        <v>4</v>
      </c>
      <c r="Y25" s="557">
        <v>43502</v>
      </c>
      <c r="Z25" s="557" t="str">
        <f>IF(OR(T25="yes",Y25&gt;'SDG outcome'!$C$27),"yes","no")</f>
        <v>no</v>
      </c>
      <c r="AA25" s="558" t="str">
        <f t="shared" si="0"/>
        <v/>
      </c>
      <c r="AB25" s="558" t="str">
        <f>IF(AND(Z25="no",AND(Y25&gt;='SDG outcome'!$B$16,Y25&lt;'SDG outcome'!$C$27)),Y25-'SDG outcome'!$B$16,"")</f>
        <v/>
      </c>
      <c r="AC25" s="556" t="s">
        <v>31572</v>
      </c>
      <c r="AD25" s="556" t="s">
        <v>4</v>
      </c>
      <c r="AE25" s="556" t="s">
        <v>7</v>
      </c>
      <c r="AF25" s="556" t="s">
        <v>31847</v>
      </c>
      <c r="AG25" s="556" t="s">
        <v>4</v>
      </c>
      <c r="AH25" s="556" t="s">
        <v>7</v>
      </c>
      <c r="AI25" s="557">
        <v>45169</v>
      </c>
      <c r="AJ25" s="557" t="s">
        <v>4</v>
      </c>
      <c r="AK25" s="557"/>
      <c r="AL25" s="557"/>
      <c r="AM25" s="557"/>
      <c r="AN25" s="557"/>
      <c r="AO25" s="557"/>
      <c r="AP25" s="557"/>
      <c r="AQ25" s="557"/>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6"/>
      <c r="BW25" s="556"/>
      <c r="BX25" s="556"/>
      <c r="BY25" s="557"/>
      <c r="BZ25" s="557"/>
      <c r="CA25" s="557"/>
      <c r="CB25" s="557"/>
      <c r="CC25" s="557"/>
      <c r="CD25" s="557"/>
      <c r="CE25" s="557"/>
      <c r="CF25" s="557"/>
      <c r="CG25" s="557"/>
      <c r="CH25" s="557"/>
      <c r="CI25" s="558"/>
      <c r="CJ25" s="558"/>
      <c r="CK25" s="558"/>
      <c r="CL25" s="556"/>
      <c r="CM25" s="558"/>
      <c r="CN25" s="558"/>
      <c r="CO25" s="558"/>
      <c r="CP25" s="558"/>
      <c r="CQ25" s="558"/>
      <c r="CR25" s="558"/>
      <c r="CS25" s="556"/>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9"/>
      <c r="DU25" s="557"/>
      <c r="DV25" s="559"/>
      <c r="DW25" s="557"/>
      <c r="DX25" s="557"/>
      <c r="DY25" s="557"/>
      <c r="DZ25" s="557"/>
      <c r="EA25" s="557"/>
      <c r="EB25" s="557"/>
      <c r="EC25" s="557"/>
      <c r="ED25" s="557"/>
      <c r="EE25" s="560"/>
      <c r="EF25" s="560"/>
      <c r="EG25" s="560"/>
      <c r="EH25" s="560"/>
      <c r="EI25" s="560"/>
      <c r="EJ25" s="557"/>
      <c r="EK25" s="557"/>
      <c r="EL25" s="557"/>
      <c r="EM25" s="557"/>
      <c r="EN25" s="557"/>
      <c r="EO25" s="556"/>
      <c r="EP25" s="557"/>
      <c r="EQ25" s="557"/>
      <c r="ER25" s="557"/>
      <c r="ES25" s="557"/>
      <c r="ET25" s="556"/>
      <c r="EU25" s="557"/>
      <c r="EV25" s="560"/>
      <c r="EW25" s="560"/>
      <c r="EX25" s="560"/>
      <c r="EY25" s="560"/>
      <c r="EZ25" s="560"/>
      <c r="FA25" s="557"/>
      <c r="FB25" s="557"/>
      <c r="FC25" s="557"/>
      <c r="FD25" s="556"/>
      <c r="FE25" s="557"/>
      <c r="FF25" s="557"/>
      <c r="FG25" s="557"/>
      <c r="FH25" s="557"/>
      <c r="FI25" s="557"/>
      <c r="FJ25" s="557"/>
      <c r="FK25" s="557"/>
      <c r="FL25" s="557"/>
      <c r="FM25" s="557"/>
      <c r="FN25" s="556"/>
      <c r="FO25" s="557"/>
      <c r="FP25" s="557"/>
      <c r="FQ25" s="557"/>
      <c r="FR25" s="557"/>
      <c r="FS25" s="557"/>
      <c r="FT25" s="557"/>
      <c r="FU25" s="557"/>
      <c r="FV25" s="557"/>
      <c r="FW25" s="557"/>
      <c r="FX25" s="557"/>
      <c r="FY25" s="557"/>
      <c r="FZ25" s="557"/>
      <c r="GA25" s="557"/>
      <c r="GB25" s="559"/>
      <c r="GC25" s="557"/>
      <c r="GD25" s="557"/>
      <c r="GE25" s="557"/>
      <c r="GF25" s="557"/>
      <c r="GG25" s="557"/>
      <c r="GH25" s="557"/>
      <c r="GI25" s="557"/>
      <c r="GJ25" s="557"/>
      <c r="GK25" s="557"/>
      <c r="GL25" s="557"/>
      <c r="GM25" s="557"/>
      <c r="GN25" s="557"/>
      <c r="GO25" s="557"/>
      <c r="GP25" s="557"/>
      <c r="GQ25" s="557"/>
      <c r="GR25" s="557"/>
      <c r="GS25" s="557"/>
      <c r="GT25" s="557"/>
      <c r="GU25" s="557"/>
      <c r="GV25" s="557"/>
      <c r="GW25" s="557"/>
      <c r="GX25" s="557"/>
      <c r="GY25" s="557"/>
      <c r="GZ25" s="557"/>
      <c r="HA25" s="557"/>
      <c r="HB25" s="557"/>
      <c r="HC25" s="557"/>
      <c r="HD25" s="557"/>
      <c r="HE25" s="557"/>
      <c r="HF25" s="557"/>
      <c r="HG25" s="557"/>
      <c r="HH25" s="557"/>
      <c r="HI25" s="557"/>
      <c r="HJ25" s="559"/>
      <c r="HK25" s="557"/>
      <c r="HL25" s="557"/>
      <c r="HM25" s="557"/>
      <c r="HN25" s="557"/>
      <c r="HO25" s="557"/>
      <c r="HP25" s="557"/>
      <c r="HQ25" s="557"/>
      <c r="HR25" s="557"/>
      <c r="HS25" s="557"/>
      <c r="HT25" s="557"/>
      <c r="HU25" s="557"/>
      <c r="HV25" s="557"/>
      <c r="HW25" s="557"/>
      <c r="HX25" s="557"/>
      <c r="HY25" s="557"/>
      <c r="HZ25" s="556" t="s">
        <v>16</v>
      </c>
      <c r="IA25" s="556" t="s">
        <v>2</v>
      </c>
      <c r="IB25" s="556" t="s">
        <v>4</v>
      </c>
      <c r="IC25" s="556" t="s">
        <v>16</v>
      </c>
      <c r="ID25" s="556" t="s">
        <v>9</v>
      </c>
      <c r="IE25" s="556" t="s">
        <v>9</v>
      </c>
      <c r="IF25" s="556" t="s">
        <v>9</v>
      </c>
      <c r="IG25" s="556" t="s">
        <v>9</v>
      </c>
      <c r="IH25" s="556" t="s">
        <v>30652</v>
      </c>
    </row>
    <row r="26" spans="1:242" s="561" customFormat="1" ht="36.75" customHeight="1" x14ac:dyDescent="0.2">
      <c r="A26" s="556">
        <v>156</v>
      </c>
      <c r="B26" s="556" t="s">
        <v>28996</v>
      </c>
      <c r="C26" s="556" t="s">
        <v>30958</v>
      </c>
      <c r="D26" s="556" t="s">
        <v>30866</v>
      </c>
      <c r="E26" s="556" t="s">
        <v>7</v>
      </c>
      <c r="F26" s="556" t="s">
        <v>30959</v>
      </c>
      <c r="G26" s="556">
        <v>1278.8</v>
      </c>
      <c r="H26" s="556">
        <v>56</v>
      </c>
      <c r="I26" s="556" t="s">
        <v>29319</v>
      </c>
      <c r="J26" s="556" t="s">
        <v>4</v>
      </c>
      <c r="K26" s="556" t="s">
        <v>30960</v>
      </c>
      <c r="L26" s="556">
        <v>754911629</v>
      </c>
      <c r="M26" s="556" t="s">
        <v>5</v>
      </c>
      <c r="N26" s="556" t="s">
        <v>31598</v>
      </c>
      <c r="O26" s="556" t="s">
        <v>4</v>
      </c>
      <c r="P26" s="556">
        <v>5</v>
      </c>
      <c r="Q26" s="556" t="s">
        <v>7</v>
      </c>
      <c r="R26" s="556" t="s">
        <v>31549</v>
      </c>
      <c r="S26" s="556" t="s">
        <v>4</v>
      </c>
      <c r="T26" s="556" t="s">
        <v>2</v>
      </c>
      <c r="U26" s="556" t="s">
        <v>4</v>
      </c>
      <c r="V26" s="556"/>
      <c r="W26" s="556" t="s">
        <v>4</v>
      </c>
      <c r="X26" s="556" t="s">
        <v>4</v>
      </c>
      <c r="Y26" s="557">
        <v>43559</v>
      </c>
      <c r="Z26" s="557" t="str">
        <f>IF(OR(T26="yes",Y26&gt;'SDG outcome'!$C$27),"yes","no")</f>
        <v>no</v>
      </c>
      <c r="AA26" s="558" t="str">
        <f t="shared" si="0"/>
        <v/>
      </c>
      <c r="AB26" s="558" t="str">
        <f>IF(AND(Z26="no",AND(Y26&gt;='SDG outcome'!$B$16,Y26&lt;'SDG outcome'!$C$27)),Y26-'SDG outcome'!$B$16,"")</f>
        <v/>
      </c>
      <c r="AC26" s="556" t="s">
        <v>6092</v>
      </c>
      <c r="AD26" s="556" t="s">
        <v>4</v>
      </c>
      <c r="AE26" s="556" t="s">
        <v>4</v>
      </c>
      <c r="AF26" s="556" t="s">
        <v>4</v>
      </c>
      <c r="AG26" s="556" t="s">
        <v>4</v>
      </c>
      <c r="AH26" s="556" t="s">
        <v>7</v>
      </c>
      <c r="AI26" s="557" t="s">
        <v>9</v>
      </c>
      <c r="AJ26" s="556" t="s">
        <v>4</v>
      </c>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K26" s="556"/>
      <c r="CL26" s="556"/>
      <c r="CM26" s="556"/>
      <c r="CN26" s="556"/>
      <c r="CO26" s="556"/>
      <c r="CP26" s="556"/>
      <c r="CQ26" s="556"/>
      <c r="CR26" s="556"/>
      <c r="CS26" s="556"/>
      <c r="CT26" s="556"/>
      <c r="CU26" s="556"/>
      <c r="CV26" s="556"/>
      <c r="CW26" s="556"/>
      <c r="CX26" s="556"/>
      <c r="CY26" s="556"/>
      <c r="CZ26" s="556"/>
      <c r="DA26" s="556"/>
      <c r="DB26" s="556"/>
      <c r="DC26" s="556"/>
      <c r="DD26" s="556"/>
      <c r="DE26" s="556"/>
      <c r="DF26" s="556"/>
      <c r="DG26" s="556"/>
      <c r="DH26" s="556"/>
      <c r="DI26" s="556"/>
      <c r="DJ26" s="556"/>
      <c r="DK26" s="556"/>
      <c r="DL26" s="556"/>
      <c r="DM26" s="556"/>
      <c r="DN26" s="556"/>
      <c r="DO26" s="556"/>
      <c r="DP26" s="556"/>
      <c r="DQ26" s="556"/>
      <c r="DR26" s="556"/>
      <c r="DS26" s="556"/>
      <c r="DT26" s="559"/>
      <c r="DU26" s="556"/>
      <c r="DV26" s="559"/>
      <c r="DW26" s="556"/>
      <c r="DX26" s="556"/>
      <c r="DY26" s="556"/>
      <c r="DZ26" s="556"/>
      <c r="EA26" s="556"/>
      <c r="EB26" s="556"/>
      <c r="EC26" s="556"/>
      <c r="ED26" s="556"/>
      <c r="EE26" s="560"/>
      <c r="EF26" s="560"/>
      <c r="EG26" s="560"/>
      <c r="EH26" s="560"/>
      <c r="EI26" s="560"/>
      <c r="EJ26" s="556"/>
      <c r="EK26" s="556"/>
      <c r="EL26" s="556"/>
      <c r="EM26" s="556"/>
      <c r="EN26" s="556"/>
      <c r="EO26" s="556"/>
      <c r="EP26" s="556"/>
      <c r="EQ26" s="556"/>
      <c r="ER26" s="556"/>
      <c r="ES26" s="556"/>
      <c r="ET26" s="556"/>
      <c r="EU26" s="556"/>
      <c r="EV26" s="560"/>
      <c r="EW26" s="560"/>
      <c r="EX26" s="560"/>
      <c r="EY26" s="560"/>
      <c r="EZ26" s="560"/>
      <c r="FA26" s="556"/>
      <c r="FB26" s="556"/>
      <c r="FC26" s="556"/>
      <c r="FD26" s="556"/>
      <c r="FE26" s="556"/>
      <c r="FF26" s="556"/>
      <c r="FG26" s="556"/>
      <c r="FH26" s="556"/>
      <c r="FI26" s="556"/>
      <c r="FJ26" s="556"/>
      <c r="FK26" s="556"/>
      <c r="FL26" s="556"/>
      <c r="FM26" s="556"/>
      <c r="FN26" s="556"/>
      <c r="FO26" s="556"/>
      <c r="FP26" s="556"/>
      <c r="FQ26" s="556"/>
      <c r="FR26" s="556"/>
      <c r="FS26" s="556"/>
      <c r="FT26" s="556"/>
      <c r="FU26" s="556"/>
      <c r="FV26" s="556"/>
      <c r="FW26" s="556"/>
      <c r="FX26" s="556"/>
      <c r="FY26" s="556"/>
      <c r="FZ26" s="556"/>
      <c r="GA26" s="556"/>
      <c r="GB26" s="559"/>
      <c r="GC26" s="556"/>
      <c r="GD26" s="556"/>
      <c r="GE26" s="556"/>
      <c r="GF26" s="556"/>
      <c r="GG26" s="556"/>
      <c r="GH26" s="556"/>
      <c r="GI26" s="556"/>
      <c r="GJ26" s="556"/>
      <c r="GK26" s="556"/>
      <c r="GL26" s="556"/>
      <c r="GM26" s="556"/>
      <c r="GN26" s="556"/>
      <c r="GO26" s="556"/>
      <c r="GP26" s="556"/>
      <c r="GQ26" s="556"/>
      <c r="GR26" s="556"/>
      <c r="GS26" s="556"/>
      <c r="GT26" s="556"/>
      <c r="GU26" s="556"/>
      <c r="GV26" s="556"/>
      <c r="GW26" s="556"/>
      <c r="GX26" s="556"/>
      <c r="GY26" s="556"/>
      <c r="GZ26" s="556"/>
      <c r="HA26" s="556"/>
      <c r="HB26" s="556"/>
      <c r="HC26" s="556"/>
      <c r="HD26" s="556"/>
      <c r="HE26" s="556"/>
      <c r="HF26" s="556"/>
      <c r="HG26" s="556"/>
      <c r="HH26" s="556"/>
      <c r="HI26" s="556"/>
      <c r="HJ26" s="559"/>
      <c r="HK26" s="556"/>
      <c r="HL26" s="556"/>
      <c r="HM26" s="556"/>
      <c r="HN26" s="556"/>
      <c r="HO26" s="556"/>
      <c r="HP26" s="556"/>
      <c r="HQ26" s="556"/>
      <c r="HR26" s="556"/>
      <c r="HS26" s="556"/>
      <c r="HT26" s="556"/>
      <c r="HU26" s="556"/>
      <c r="HV26" s="556"/>
      <c r="HW26" s="556"/>
      <c r="HX26" s="556"/>
      <c r="HY26" s="556"/>
      <c r="HZ26" s="556" t="s">
        <v>30961</v>
      </c>
      <c r="IA26" s="556" t="s">
        <v>7</v>
      </c>
      <c r="IB26" s="556" t="s">
        <v>30962</v>
      </c>
      <c r="IC26" s="556" t="s">
        <v>30963</v>
      </c>
      <c r="ID26" s="556" t="s">
        <v>30964</v>
      </c>
      <c r="IE26" s="556" t="s">
        <v>30965</v>
      </c>
      <c r="IF26" s="556" t="s">
        <v>30966</v>
      </c>
      <c r="IG26" s="556" t="s">
        <v>30967</v>
      </c>
      <c r="IH26" s="556" t="s">
        <v>30968</v>
      </c>
    </row>
    <row r="27" spans="1:242" s="561" customFormat="1" ht="36.75" customHeight="1" x14ac:dyDescent="0.2">
      <c r="A27" s="556">
        <v>125</v>
      </c>
      <c r="B27" s="556" t="s">
        <v>15664</v>
      </c>
      <c r="C27" s="556" t="s">
        <v>30655</v>
      </c>
      <c r="D27" s="556" t="s">
        <v>30638</v>
      </c>
      <c r="E27" s="556" t="s">
        <v>7</v>
      </c>
      <c r="F27" s="556" t="s">
        <v>30656</v>
      </c>
      <c r="G27" s="556">
        <v>1134.987061</v>
      </c>
      <c r="H27" s="556">
        <v>4.2880000000000003</v>
      </c>
      <c r="I27" s="556" t="s">
        <v>29319</v>
      </c>
      <c r="J27" s="556" t="s">
        <v>4</v>
      </c>
      <c r="K27" s="556" t="s">
        <v>30657</v>
      </c>
      <c r="L27" s="556">
        <v>778818040</v>
      </c>
      <c r="M27" s="556" t="s">
        <v>5</v>
      </c>
      <c r="N27" s="556" t="s">
        <v>31844</v>
      </c>
      <c r="O27" s="556" t="s">
        <v>4</v>
      </c>
      <c r="P27" s="556">
        <v>8</v>
      </c>
      <c r="Q27" s="556" t="s">
        <v>7</v>
      </c>
      <c r="R27" s="556" t="s">
        <v>31562</v>
      </c>
      <c r="S27" s="556" t="s">
        <v>4</v>
      </c>
      <c r="T27" s="556" t="s">
        <v>2</v>
      </c>
      <c r="U27" s="556" t="s">
        <v>4</v>
      </c>
      <c r="V27" s="556"/>
      <c r="W27" s="556" t="s">
        <v>4</v>
      </c>
      <c r="X27" s="556" t="s">
        <v>4</v>
      </c>
      <c r="Y27" s="557">
        <v>43591</v>
      </c>
      <c r="Z27" s="557" t="str">
        <f>IF(OR(T27="yes",Y27&gt;'SDG outcome'!$C$27),"yes","no")</f>
        <v>no</v>
      </c>
      <c r="AA27" s="558" t="str">
        <f t="shared" si="0"/>
        <v/>
      </c>
      <c r="AB27" s="558" t="str">
        <f>IF(AND(Z27="no",AND(Y27&gt;='SDG outcome'!$B$16,Y27&lt;'SDG outcome'!$C$27)),Y27-'SDG outcome'!$B$16,"")</f>
        <v/>
      </c>
      <c r="AC27" s="556" t="s">
        <v>21816</v>
      </c>
      <c r="AD27" s="556" t="s">
        <v>4</v>
      </c>
      <c r="AE27" s="556" t="s">
        <v>4</v>
      </c>
      <c r="AF27" s="556" t="s">
        <v>4</v>
      </c>
      <c r="AG27" s="556" t="s">
        <v>4</v>
      </c>
      <c r="AH27" s="556" t="s">
        <v>2</v>
      </c>
      <c r="AI27" s="557" t="s">
        <v>4</v>
      </c>
      <c r="AJ27" s="557" t="s">
        <v>4</v>
      </c>
      <c r="AK27" s="557"/>
      <c r="AL27" s="557"/>
      <c r="AM27" s="557"/>
      <c r="AN27" s="557"/>
      <c r="AO27" s="557"/>
      <c r="AP27" s="557"/>
      <c r="AQ27" s="557"/>
      <c r="AR27" s="557"/>
      <c r="AS27" s="557"/>
      <c r="AT27" s="557"/>
      <c r="AU27" s="557"/>
      <c r="AV27" s="557"/>
      <c r="AW27" s="557"/>
      <c r="AX27" s="557"/>
      <c r="AY27" s="557"/>
      <c r="AZ27" s="557"/>
      <c r="BA27" s="557"/>
      <c r="BB27" s="557"/>
      <c r="BC27" s="557"/>
      <c r="BD27" s="557"/>
      <c r="BE27" s="557"/>
      <c r="BF27" s="557"/>
      <c r="BG27" s="557"/>
      <c r="BH27" s="557"/>
      <c r="BI27" s="557"/>
      <c r="BJ27" s="557"/>
      <c r="BK27" s="557"/>
      <c r="BL27" s="557"/>
      <c r="BM27" s="557"/>
      <c r="BN27" s="557"/>
      <c r="BO27" s="557"/>
      <c r="BP27" s="557"/>
      <c r="BQ27" s="557"/>
      <c r="BR27" s="557"/>
      <c r="BS27" s="557"/>
      <c r="BT27" s="557"/>
      <c r="BU27" s="557"/>
      <c r="BV27" s="556"/>
      <c r="BW27" s="556"/>
      <c r="BX27" s="556"/>
      <c r="BY27" s="557"/>
      <c r="BZ27" s="557"/>
      <c r="CA27" s="557"/>
      <c r="CB27" s="557"/>
      <c r="CC27" s="557"/>
      <c r="CD27" s="557"/>
      <c r="CE27" s="557"/>
      <c r="CF27" s="557"/>
      <c r="CG27" s="557"/>
      <c r="CH27" s="557"/>
      <c r="CI27" s="558"/>
      <c r="CJ27" s="558"/>
      <c r="CK27" s="558"/>
      <c r="CL27" s="556"/>
      <c r="CM27" s="558"/>
      <c r="CN27" s="558"/>
      <c r="CO27" s="558"/>
      <c r="CP27" s="558"/>
      <c r="CQ27" s="558"/>
      <c r="CR27" s="558"/>
      <c r="CS27" s="556"/>
      <c r="CT27" s="557"/>
      <c r="CU27" s="557"/>
      <c r="CV27" s="557"/>
      <c r="CW27" s="557"/>
      <c r="CX27" s="557"/>
      <c r="CY27" s="557"/>
      <c r="CZ27" s="557"/>
      <c r="DA27" s="557"/>
      <c r="DB27" s="557"/>
      <c r="DC27" s="557"/>
      <c r="DD27" s="557"/>
      <c r="DE27" s="557"/>
      <c r="DF27" s="557"/>
      <c r="DG27" s="557"/>
      <c r="DH27" s="557"/>
      <c r="DI27" s="557"/>
      <c r="DJ27" s="557"/>
      <c r="DK27" s="557"/>
      <c r="DL27" s="557"/>
      <c r="DM27" s="557"/>
      <c r="DN27" s="557"/>
      <c r="DO27" s="557"/>
      <c r="DP27" s="557"/>
      <c r="DQ27" s="557"/>
      <c r="DR27" s="557"/>
      <c r="DS27" s="557"/>
      <c r="DT27" s="559"/>
      <c r="DU27" s="557"/>
      <c r="DV27" s="559"/>
      <c r="DW27" s="557"/>
      <c r="DX27" s="557"/>
      <c r="DY27" s="557"/>
      <c r="DZ27" s="557"/>
      <c r="EA27" s="557"/>
      <c r="EB27" s="557"/>
      <c r="EC27" s="557"/>
      <c r="ED27" s="557"/>
      <c r="EE27" s="560"/>
      <c r="EF27" s="560"/>
      <c r="EG27" s="560"/>
      <c r="EH27" s="560"/>
      <c r="EI27" s="560"/>
      <c r="EJ27" s="557"/>
      <c r="EK27" s="557"/>
      <c r="EL27" s="557"/>
      <c r="EM27" s="557"/>
      <c r="EN27" s="557"/>
      <c r="EO27" s="556"/>
      <c r="EP27" s="557"/>
      <c r="EQ27" s="557"/>
      <c r="ER27" s="557"/>
      <c r="ES27" s="557"/>
      <c r="ET27" s="556"/>
      <c r="EU27" s="557"/>
      <c r="EV27" s="560"/>
      <c r="EW27" s="560"/>
      <c r="EX27" s="560"/>
      <c r="EY27" s="560"/>
      <c r="EZ27" s="560"/>
      <c r="FA27" s="557"/>
      <c r="FB27" s="557"/>
      <c r="FC27" s="557"/>
      <c r="FD27" s="556"/>
      <c r="FE27" s="557"/>
      <c r="FF27" s="557"/>
      <c r="FG27" s="557"/>
      <c r="FH27" s="557"/>
      <c r="FI27" s="557"/>
      <c r="FJ27" s="557"/>
      <c r="FK27" s="557"/>
      <c r="FL27" s="557"/>
      <c r="FM27" s="557"/>
      <c r="FN27" s="556"/>
      <c r="FO27" s="557"/>
      <c r="FP27" s="557"/>
      <c r="FQ27" s="557"/>
      <c r="FR27" s="557"/>
      <c r="FS27" s="557"/>
      <c r="FT27" s="557"/>
      <c r="FU27" s="557"/>
      <c r="FV27" s="557"/>
      <c r="FW27" s="557"/>
      <c r="FX27" s="557"/>
      <c r="FY27" s="557"/>
      <c r="FZ27" s="557"/>
      <c r="GA27" s="557"/>
      <c r="GB27" s="559"/>
      <c r="GC27" s="557"/>
      <c r="GD27" s="557"/>
      <c r="GE27" s="557"/>
      <c r="GF27" s="557"/>
      <c r="GG27" s="557"/>
      <c r="GH27" s="557"/>
      <c r="GI27" s="557"/>
      <c r="GJ27" s="557"/>
      <c r="GK27" s="557"/>
      <c r="GL27" s="557"/>
      <c r="GM27" s="557"/>
      <c r="GN27" s="557"/>
      <c r="GO27" s="557"/>
      <c r="GP27" s="557"/>
      <c r="GQ27" s="557"/>
      <c r="GR27" s="557"/>
      <c r="GS27" s="557"/>
      <c r="GT27" s="557"/>
      <c r="GU27" s="557"/>
      <c r="GV27" s="557"/>
      <c r="GW27" s="557"/>
      <c r="GX27" s="557"/>
      <c r="GY27" s="557"/>
      <c r="GZ27" s="557"/>
      <c r="HA27" s="557"/>
      <c r="HB27" s="557"/>
      <c r="HC27" s="557"/>
      <c r="HD27" s="557"/>
      <c r="HE27" s="557"/>
      <c r="HF27" s="557"/>
      <c r="HG27" s="557"/>
      <c r="HH27" s="557"/>
      <c r="HI27" s="557"/>
      <c r="HJ27" s="559"/>
      <c r="HK27" s="557"/>
      <c r="HL27" s="557"/>
      <c r="HM27" s="557"/>
      <c r="HN27" s="557"/>
      <c r="HO27" s="557"/>
      <c r="HP27" s="557"/>
      <c r="HQ27" s="557"/>
      <c r="HR27" s="557"/>
      <c r="HS27" s="557"/>
      <c r="HT27" s="557"/>
      <c r="HU27" s="557"/>
      <c r="HV27" s="557"/>
      <c r="HW27" s="557"/>
      <c r="HX27" s="557"/>
      <c r="HY27" s="557"/>
      <c r="HZ27" s="556" t="s">
        <v>16</v>
      </c>
      <c r="IA27" s="556" t="s">
        <v>2</v>
      </c>
      <c r="IB27" s="556" t="s">
        <v>4</v>
      </c>
      <c r="IC27" s="556" t="s">
        <v>16</v>
      </c>
      <c r="ID27" s="556" t="s">
        <v>9</v>
      </c>
      <c r="IE27" s="556" t="s">
        <v>9</v>
      </c>
      <c r="IF27" s="556" t="s">
        <v>9</v>
      </c>
      <c r="IG27" s="556" t="s">
        <v>9</v>
      </c>
      <c r="IH27" s="556" t="s">
        <v>30655</v>
      </c>
    </row>
    <row r="28" spans="1:242" s="561" customFormat="1" ht="36.75" customHeight="1" x14ac:dyDescent="0.2">
      <c r="A28" s="556">
        <v>139</v>
      </c>
      <c r="B28" s="556" t="s">
        <v>9918</v>
      </c>
      <c r="C28" s="556" t="s">
        <v>30776</v>
      </c>
      <c r="D28" s="556" t="s">
        <v>30699</v>
      </c>
      <c r="E28" s="556" t="s">
        <v>7</v>
      </c>
      <c r="F28" s="556" t="s">
        <v>30777</v>
      </c>
      <c r="G28" s="556">
        <v>1250</v>
      </c>
      <c r="H28" s="556">
        <v>5</v>
      </c>
      <c r="I28" s="556" t="s">
        <v>29319</v>
      </c>
      <c r="J28" s="556" t="s">
        <v>4</v>
      </c>
      <c r="K28" s="556" t="s">
        <v>30778</v>
      </c>
      <c r="L28" s="556">
        <v>776348769</v>
      </c>
      <c r="M28" s="556" t="s">
        <v>5</v>
      </c>
      <c r="N28" s="556" t="s">
        <v>31598</v>
      </c>
      <c r="O28" s="556" t="s">
        <v>4</v>
      </c>
      <c r="P28" s="556">
        <v>15</v>
      </c>
      <c r="Q28" s="556" t="s">
        <v>7</v>
      </c>
      <c r="R28" s="556" t="s">
        <v>31549</v>
      </c>
      <c r="S28" s="556" t="s">
        <v>4</v>
      </c>
      <c r="T28" s="556" t="s">
        <v>2</v>
      </c>
      <c r="U28" s="556" t="s">
        <v>4</v>
      </c>
      <c r="V28" s="556"/>
      <c r="W28" s="556" t="s">
        <v>4</v>
      </c>
      <c r="X28" s="556" t="s">
        <v>4</v>
      </c>
      <c r="Y28" s="557">
        <v>43628</v>
      </c>
      <c r="Z28" s="557" t="str">
        <f>IF(OR(T28="yes",Y28&gt;'SDG outcome'!$C$27),"yes","no")</f>
        <v>no</v>
      </c>
      <c r="AA28" s="558" t="str">
        <f t="shared" si="0"/>
        <v/>
      </c>
      <c r="AB28" s="558" t="str">
        <f>IF(AND(Z28="no",AND(Y28&gt;='SDG outcome'!$B$16,Y28&lt;'SDG outcome'!$C$27)),Y28-'SDG outcome'!$B$16,"")</f>
        <v/>
      </c>
      <c r="AC28" s="556" t="s">
        <v>31572</v>
      </c>
      <c r="AD28" s="556" t="s">
        <v>4</v>
      </c>
      <c r="AE28" s="556" t="s">
        <v>7</v>
      </c>
      <c r="AF28" s="556" t="s">
        <v>31866</v>
      </c>
      <c r="AG28" s="556" t="s">
        <v>4</v>
      </c>
      <c r="AH28" s="556" t="s">
        <v>2</v>
      </c>
      <c r="AI28" s="557" t="s">
        <v>4</v>
      </c>
      <c r="AJ28" s="556" t="s">
        <v>4</v>
      </c>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56"/>
      <c r="CW28" s="556"/>
      <c r="CX28" s="556"/>
      <c r="CY28" s="556"/>
      <c r="CZ28" s="556"/>
      <c r="DA28" s="556"/>
      <c r="DB28" s="556"/>
      <c r="DC28" s="556"/>
      <c r="DD28" s="556"/>
      <c r="DE28" s="556"/>
      <c r="DF28" s="556"/>
      <c r="DG28" s="556"/>
      <c r="DH28" s="556"/>
      <c r="DI28" s="556"/>
      <c r="DJ28" s="556"/>
      <c r="DK28" s="556"/>
      <c r="DL28" s="556"/>
      <c r="DM28" s="556"/>
      <c r="DN28" s="556"/>
      <c r="DO28" s="556"/>
      <c r="DP28" s="556"/>
      <c r="DQ28" s="556"/>
      <c r="DR28" s="556"/>
      <c r="DS28" s="556"/>
      <c r="DT28" s="559"/>
      <c r="DU28" s="556"/>
      <c r="DV28" s="559"/>
      <c r="DW28" s="556"/>
      <c r="DX28" s="556"/>
      <c r="DY28" s="556"/>
      <c r="DZ28" s="556"/>
      <c r="EA28" s="556"/>
      <c r="EB28" s="556"/>
      <c r="EC28" s="556"/>
      <c r="ED28" s="556"/>
      <c r="EE28" s="560"/>
      <c r="EF28" s="560"/>
      <c r="EG28" s="560"/>
      <c r="EH28" s="560"/>
      <c r="EI28" s="560"/>
      <c r="EJ28" s="556"/>
      <c r="EK28" s="556"/>
      <c r="EL28" s="556"/>
      <c r="EM28" s="556"/>
      <c r="EN28" s="556"/>
      <c r="EO28" s="556"/>
      <c r="EP28" s="556"/>
      <c r="EQ28" s="556"/>
      <c r="ER28" s="556"/>
      <c r="ES28" s="556"/>
      <c r="ET28" s="556"/>
      <c r="EU28" s="556"/>
      <c r="EV28" s="560"/>
      <c r="EW28" s="560"/>
      <c r="EX28" s="560"/>
      <c r="EY28" s="560"/>
      <c r="EZ28" s="560"/>
      <c r="FA28" s="556"/>
      <c r="FB28" s="556"/>
      <c r="FC28" s="556"/>
      <c r="FD28" s="556"/>
      <c r="FE28" s="556"/>
      <c r="FF28" s="556"/>
      <c r="FG28" s="556"/>
      <c r="FH28" s="556"/>
      <c r="FI28" s="556"/>
      <c r="FJ28" s="556"/>
      <c r="FK28" s="556"/>
      <c r="FL28" s="556"/>
      <c r="FM28" s="556"/>
      <c r="FN28" s="556"/>
      <c r="FO28" s="556"/>
      <c r="FP28" s="556"/>
      <c r="FQ28" s="556"/>
      <c r="FR28" s="556"/>
      <c r="FS28" s="556"/>
      <c r="FT28" s="556"/>
      <c r="FU28" s="556"/>
      <c r="FV28" s="556"/>
      <c r="FW28" s="556"/>
      <c r="FX28" s="556"/>
      <c r="FY28" s="556"/>
      <c r="FZ28" s="556"/>
      <c r="GA28" s="556"/>
      <c r="GB28" s="559"/>
      <c r="GC28" s="556"/>
      <c r="GD28" s="556"/>
      <c r="GE28" s="556"/>
      <c r="GF28" s="556"/>
      <c r="GG28" s="556"/>
      <c r="GH28" s="556"/>
      <c r="GI28" s="556"/>
      <c r="GJ28" s="556"/>
      <c r="GK28" s="556"/>
      <c r="GL28" s="556"/>
      <c r="GM28" s="556"/>
      <c r="GN28" s="556"/>
      <c r="GO28" s="556"/>
      <c r="GP28" s="556"/>
      <c r="GQ28" s="556"/>
      <c r="GR28" s="556"/>
      <c r="GS28" s="556"/>
      <c r="GT28" s="556"/>
      <c r="GU28" s="556"/>
      <c r="GV28" s="556"/>
      <c r="GW28" s="556"/>
      <c r="GX28" s="556"/>
      <c r="GY28" s="556"/>
      <c r="GZ28" s="556"/>
      <c r="HA28" s="556"/>
      <c r="HB28" s="556"/>
      <c r="HC28" s="556"/>
      <c r="HD28" s="556"/>
      <c r="HE28" s="556"/>
      <c r="HF28" s="556"/>
      <c r="HG28" s="556"/>
      <c r="HH28" s="556"/>
      <c r="HI28" s="556"/>
      <c r="HJ28" s="559"/>
      <c r="HK28" s="556"/>
      <c r="HL28" s="556"/>
      <c r="HM28" s="556"/>
      <c r="HN28" s="556"/>
      <c r="HO28" s="556"/>
      <c r="HP28" s="556"/>
      <c r="HQ28" s="556"/>
      <c r="HR28" s="556"/>
      <c r="HS28" s="556"/>
      <c r="HT28" s="556"/>
      <c r="HU28" s="556"/>
      <c r="HV28" s="556"/>
      <c r="HW28" s="556"/>
      <c r="HX28" s="556"/>
      <c r="HY28" s="556"/>
      <c r="HZ28" s="556" t="s">
        <v>30779</v>
      </c>
      <c r="IA28" s="556" t="s">
        <v>2</v>
      </c>
      <c r="IB28" s="556" t="s">
        <v>4</v>
      </c>
      <c r="IC28" s="556" t="s">
        <v>30780</v>
      </c>
      <c r="ID28" s="556" t="s">
        <v>30781</v>
      </c>
      <c r="IE28" s="556" t="s">
        <v>30782</v>
      </c>
      <c r="IF28" s="556" t="s">
        <v>30783</v>
      </c>
      <c r="IG28" s="556" t="s">
        <v>30784</v>
      </c>
      <c r="IH28" s="556" t="s">
        <v>30776</v>
      </c>
    </row>
    <row r="29" spans="1:242" s="561" customFormat="1" ht="36.75" customHeight="1" x14ac:dyDescent="0.2">
      <c r="A29" s="556">
        <v>168</v>
      </c>
      <c r="B29" s="556" t="s">
        <v>28521</v>
      </c>
      <c r="C29" s="556" t="s">
        <v>31080</v>
      </c>
      <c r="D29" s="556" t="s">
        <v>34</v>
      </c>
      <c r="E29" s="556" t="s">
        <v>7</v>
      </c>
      <c r="F29" s="556" t="s">
        <v>31081</v>
      </c>
      <c r="G29" s="556">
        <v>1207.2</v>
      </c>
      <c r="H29" s="556">
        <v>5</v>
      </c>
      <c r="I29" s="556" t="s">
        <v>29349</v>
      </c>
      <c r="J29" s="556" t="s">
        <v>4</v>
      </c>
      <c r="K29" s="556" t="s">
        <v>31082</v>
      </c>
      <c r="L29" s="556">
        <v>774439416</v>
      </c>
      <c r="M29" s="556" t="s">
        <v>5</v>
      </c>
      <c r="N29" s="556" t="s">
        <v>31590</v>
      </c>
      <c r="O29" s="556" t="s">
        <v>4</v>
      </c>
      <c r="P29" s="556">
        <v>4</v>
      </c>
      <c r="Q29" s="556" t="s">
        <v>7</v>
      </c>
      <c r="R29" s="556" t="s">
        <v>31549</v>
      </c>
      <c r="S29" s="556" t="s">
        <v>4</v>
      </c>
      <c r="T29" s="556" t="s">
        <v>2</v>
      </c>
      <c r="U29" s="556" t="s">
        <v>4</v>
      </c>
      <c r="V29" s="556"/>
      <c r="W29" s="556" t="s">
        <v>4</v>
      </c>
      <c r="X29" s="556" t="s">
        <v>4</v>
      </c>
      <c r="Y29" s="557">
        <v>43656</v>
      </c>
      <c r="Z29" s="557" t="str">
        <f>IF(OR(T29="yes",Y29&gt;'SDG outcome'!$C$27),"yes","no")</f>
        <v>no</v>
      </c>
      <c r="AA29" s="558" t="str">
        <f t="shared" si="0"/>
        <v/>
      </c>
      <c r="AB29" s="558" t="str">
        <f>IF(AND(Z29="no",AND(Y29&gt;='SDG outcome'!$B$16,Y29&lt;'SDG outcome'!$C$27)),Y29-'SDG outcome'!$B$16,"")</f>
        <v/>
      </c>
      <c r="AC29" s="556" t="s">
        <v>31572</v>
      </c>
      <c r="AD29" s="556" t="s">
        <v>4</v>
      </c>
      <c r="AE29" s="556" t="s">
        <v>2</v>
      </c>
      <c r="AF29" s="556" t="s">
        <v>4</v>
      </c>
      <c r="AG29" s="556" t="s">
        <v>31909</v>
      </c>
      <c r="AH29" s="556" t="s">
        <v>2</v>
      </c>
      <c r="AI29" s="557" t="s">
        <v>4</v>
      </c>
      <c r="AJ29" s="556" t="s">
        <v>4</v>
      </c>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6"/>
      <c r="BU29" s="556"/>
      <c r="BV29" s="556"/>
      <c r="BW29" s="556"/>
      <c r="BX29" s="556"/>
      <c r="BY29" s="556"/>
      <c r="BZ29" s="556"/>
      <c r="CA29" s="556"/>
      <c r="CB29" s="556"/>
      <c r="CC29" s="556"/>
      <c r="CD29" s="556"/>
      <c r="CE29" s="556"/>
      <c r="CF29" s="556"/>
      <c r="CG29" s="556"/>
      <c r="CH29" s="556"/>
      <c r="CI29" s="556"/>
      <c r="CJ29" s="556"/>
      <c r="CK29" s="556"/>
      <c r="CL29" s="556"/>
      <c r="CM29" s="556"/>
      <c r="CN29" s="556"/>
      <c r="CO29" s="556"/>
      <c r="CP29" s="556"/>
      <c r="CQ29" s="556"/>
      <c r="CR29" s="556"/>
      <c r="CS29" s="556"/>
      <c r="CT29" s="556"/>
      <c r="CU29" s="556"/>
      <c r="CV29" s="556"/>
      <c r="CW29" s="556"/>
      <c r="CX29" s="556"/>
      <c r="CY29" s="556"/>
      <c r="CZ29" s="556"/>
      <c r="DA29" s="556"/>
      <c r="DB29" s="556"/>
      <c r="DC29" s="556"/>
      <c r="DD29" s="556"/>
      <c r="DE29" s="556"/>
      <c r="DF29" s="556"/>
      <c r="DG29" s="556"/>
      <c r="DH29" s="556"/>
      <c r="DI29" s="556"/>
      <c r="DJ29" s="556"/>
      <c r="DK29" s="556"/>
      <c r="DL29" s="556"/>
      <c r="DM29" s="556"/>
      <c r="DN29" s="556"/>
      <c r="DO29" s="556"/>
      <c r="DP29" s="556"/>
      <c r="DQ29" s="556"/>
      <c r="DR29" s="556"/>
      <c r="DS29" s="556"/>
      <c r="DT29" s="559"/>
      <c r="DU29" s="556"/>
      <c r="DV29" s="559"/>
      <c r="DW29" s="556"/>
      <c r="DX29" s="556"/>
      <c r="DY29" s="556"/>
      <c r="DZ29" s="556"/>
      <c r="EA29" s="556"/>
      <c r="EB29" s="556"/>
      <c r="EC29" s="556"/>
      <c r="ED29" s="556"/>
      <c r="EE29" s="560"/>
      <c r="EF29" s="560"/>
      <c r="EG29" s="560"/>
      <c r="EH29" s="560"/>
      <c r="EI29" s="560"/>
      <c r="EJ29" s="556"/>
      <c r="EK29" s="556"/>
      <c r="EL29" s="556"/>
      <c r="EM29" s="556"/>
      <c r="EN29" s="556"/>
      <c r="EO29" s="556"/>
      <c r="EP29" s="556"/>
      <c r="EQ29" s="556"/>
      <c r="ER29" s="556"/>
      <c r="ES29" s="556"/>
      <c r="ET29" s="556"/>
      <c r="EU29" s="556"/>
      <c r="EV29" s="560"/>
      <c r="EW29" s="560"/>
      <c r="EX29" s="560"/>
      <c r="EY29" s="560"/>
      <c r="EZ29" s="560"/>
      <c r="FA29" s="556"/>
      <c r="FB29" s="556"/>
      <c r="FC29" s="556"/>
      <c r="FD29" s="556"/>
      <c r="FE29" s="556"/>
      <c r="FF29" s="556"/>
      <c r="FG29" s="556"/>
      <c r="FH29" s="556"/>
      <c r="FI29" s="556"/>
      <c r="FJ29" s="556"/>
      <c r="FK29" s="556"/>
      <c r="FL29" s="556"/>
      <c r="FM29" s="556"/>
      <c r="FN29" s="556"/>
      <c r="FO29" s="556"/>
      <c r="FP29" s="556"/>
      <c r="FQ29" s="556"/>
      <c r="FR29" s="556"/>
      <c r="FS29" s="556"/>
      <c r="FT29" s="556"/>
      <c r="FU29" s="556"/>
      <c r="FV29" s="556"/>
      <c r="FW29" s="556"/>
      <c r="FX29" s="556"/>
      <c r="FY29" s="556"/>
      <c r="FZ29" s="556"/>
      <c r="GA29" s="556"/>
      <c r="GB29" s="559"/>
      <c r="GC29" s="556"/>
      <c r="GD29" s="556"/>
      <c r="GE29" s="556"/>
      <c r="GF29" s="556"/>
      <c r="GG29" s="556"/>
      <c r="GH29" s="556"/>
      <c r="GI29" s="556"/>
      <c r="GJ29" s="556"/>
      <c r="GK29" s="556"/>
      <c r="GL29" s="556"/>
      <c r="GM29" s="556"/>
      <c r="GN29" s="556"/>
      <c r="GO29" s="556"/>
      <c r="GP29" s="556"/>
      <c r="GQ29" s="556"/>
      <c r="GR29" s="556"/>
      <c r="GS29" s="556"/>
      <c r="GT29" s="556"/>
      <c r="GU29" s="556"/>
      <c r="GV29" s="556"/>
      <c r="GW29" s="556"/>
      <c r="GX29" s="556"/>
      <c r="GY29" s="556"/>
      <c r="GZ29" s="556"/>
      <c r="HA29" s="556"/>
      <c r="HB29" s="556"/>
      <c r="HC29" s="556"/>
      <c r="HD29" s="556"/>
      <c r="HE29" s="556"/>
      <c r="HF29" s="556"/>
      <c r="HG29" s="556"/>
      <c r="HH29" s="556"/>
      <c r="HI29" s="556"/>
      <c r="HJ29" s="559"/>
      <c r="HK29" s="556"/>
      <c r="HL29" s="556"/>
      <c r="HM29" s="556"/>
      <c r="HN29" s="556"/>
      <c r="HO29" s="556"/>
      <c r="HP29" s="556"/>
      <c r="HQ29" s="556"/>
      <c r="HR29" s="556"/>
      <c r="HS29" s="556"/>
      <c r="HT29" s="556"/>
      <c r="HU29" s="556"/>
      <c r="HV29" s="556"/>
      <c r="HW29" s="556"/>
      <c r="HX29" s="556"/>
      <c r="HY29" s="556"/>
      <c r="HZ29" s="556" t="s">
        <v>31083</v>
      </c>
      <c r="IA29" s="556" t="s">
        <v>2</v>
      </c>
      <c r="IB29" s="556" t="s">
        <v>4</v>
      </c>
      <c r="IC29" s="556" t="s">
        <v>31084</v>
      </c>
      <c r="ID29" s="556" t="s">
        <v>31085</v>
      </c>
      <c r="IE29" s="556" t="s">
        <v>31086</v>
      </c>
      <c r="IF29" s="556" t="s">
        <v>31087</v>
      </c>
      <c r="IG29" s="556" t="s">
        <v>31088</v>
      </c>
      <c r="IH29" s="556" t="s">
        <v>31080</v>
      </c>
    </row>
    <row r="30" spans="1:242" s="561" customFormat="1" ht="36.75" customHeight="1" x14ac:dyDescent="0.2">
      <c r="A30" s="556">
        <v>16</v>
      </c>
      <c r="B30" s="556" t="s">
        <v>23213</v>
      </c>
      <c r="C30" s="556" t="s">
        <v>29515</v>
      </c>
      <c r="D30" s="556" t="s">
        <v>52</v>
      </c>
      <c r="E30" s="556" t="s">
        <v>7</v>
      </c>
      <c r="F30" s="556" t="s">
        <v>29516</v>
      </c>
      <c r="G30" s="556">
        <v>1595.2</v>
      </c>
      <c r="H30" s="556">
        <v>4.2</v>
      </c>
      <c r="I30" s="556" t="s">
        <v>29288</v>
      </c>
      <c r="J30" s="556" t="s">
        <v>4</v>
      </c>
      <c r="K30" s="556" t="s">
        <v>23214</v>
      </c>
      <c r="L30" s="556">
        <v>774029670</v>
      </c>
      <c r="M30" s="556" t="s">
        <v>3</v>
      </c>
      <c r="N30" s="556" t="s">
        <v>31598</v>
      </c>
      <c r="O30" s="556" t="s">
        <v>4</v>
      </c>
      <c r="P30" s="556">
        <v>3</v>
      </c>
      <c r="Q30" s="556" t="s">
        <v>7</v>
      </c>
      <c r="R30" s="556" t="s">
        <v>31588</v>
      </c>
      <c r="S30" s="556" t="s">
        <v>4</v>
      </c>
      <c r="T30" s="556" t="s">
        <v>2</v>
      </c>
      <c r="U30" s="556" t="s">
        <v>4</v>
      </c>
      <c r="V30" s="556"/>
      <c r="W30" s="556" t="s">
        <v>4</v>
      </c>
      <c r="X30" s="556" t="s">
        <v>4</v>
      </c>
      <c r="Y30" s="557">
        <v>43657</v>
      </c>
      <c r="Z30" s="557" t="str">
        <f>IF(OR(T30="yes",Y30&gt;'SDG outcome'!$C$27),"yes","no")</f>
        <v>no</v>
      </c>
      <c r="AA30" s="558" t="str">
        <f t="shared" si="0"/>
        <v/>
      </c>
      <c r="AB30" s="558" t="str">
        <f>IF(AND(Z30="no",AND(Y30&gt;='SDG outcome'!$B$16,Y30&lt;'SDG outcome'!$C$27)),Y30-'SDG outcome'!$B$16,"")</f>
        <v/>
      </c>
      <c r="AC30" s="556" t="s">
        <v>31572</v>
      </c>
      <c r="AD30" s="556" t="s">
        <v>4</v>
      </c>
      <c r="AE30" s="556" t="s">
        <v>7</v>
      </c>
      <c r="AF30" s="556" t="s">
        <v>31630</v>
      </c>
      <c r="AG30" s="556" t="s">
        <v>4</v>
      </c>
      <c r="AH30" s="556" t="s">
        <v>7</v>
      </c>
      <c r="AI30" s="557">
        <v>45118</v>
      </c>
      <c r="AJ30" s="556" t="s">
        <v>4</v>
      </c>
      <c r="AK30" s="556"/>
      <c r="AL30" s="556"/>
      <c r="AM30" s="556"/>
      <c r="AN30" s="556"/>
      <c r="AO30" s="556"/>
      <c r="AP30" s="556"/>
      <c r="AQ30" s="556"/>
      <c r="AR30" s="556"/>
      <c r="AS30" s="556"/>
      <c r="AT30" s="556"/>
      <c r="AU30" s="556"/>
      <c r="AV30" s="556"/>
      <c r="AW30" s="556"/>
      <c r="AX30" s="556"/>
      <c r="AY30" s="556"/>
      <c r="AZ30" s="556"/>
      <c r="BA30" s="556"/>
      <c r="BB30" s="556"/>
      <c r="BC30" s="556"/>
      <c r="BD30" s="556"/>
      <c r="BE30" s="556"/>
      <c r="BF30" s="556"/>
      <c r="BG30" s="556"/>
      <c r="BH30" s="556"/>
      <c r="BI30" s="556"/>
      <c r="BJ30" s="556"/>
      <c r="BK30" s="556"/>
      <c r="BL30" s="556"/>
      <c r="BM30" s="556"/>
      <c r="BN30" s="556"/>
      <c r="BO30" s="556"/>
      <c r="BP30" s="556"/>
      <c r="BQ30" s="556"/>
      <c r="BR30" s="556"/>
      <c r="BS30" s="556"/>
      <c r="BT30" s="556"/>
      <c r="BU30" s="556"/>
      <c r="BV30" s="556"/>
      <c r="BW30" s="556"/>
      <c r="BX30" s="556"/>
      <c r="BY30" s="556"/>
      <c r="BZ30" s="556"/>
      <c r="CA30" s="556"/>
      <c r="CB30" s="556"/>
      <c r="CC30" s="556"/>
      <c r="CD30" s="556"/>
      <c r="CE30" s="556"/>
      <c r="CF30" s="556"/>
      <c r="CG30" s="556"/>
      <c r="CH30" s="556"/>
      <c r="CI30" s="556"/>
      <c r="CJ30" s="556"/>
      <c r="CK30" s="556"/>
      <c r="CL30" s="556"/>
      <c r="CM30" s="556"/>
      <c r="CN30" s="556"/>
      <c r="CO30" s="556"/>
      <c r="CP30" s="556"/>
      <c r="CQ30" s="556"/>
      <c r="CR30" s="556"/>
      <c r="CS30" s="556"/>
      <c r="CT30" s="556"/>
      <c r="CU30" s="556"/>
      <c r="CV30" s="556"/>
      <c r="CW30" s="556"/>
      <c r="CX30" s="556"/>
      <c r="CY30" s="556"/>
      <c r="CZ30" s="556"/>
      <c r="DA30" s="556"/>
      <c r="DB30" s="556"/>
      <c r="DC30" s="556"/>
      <c r="DD30" s="556"/>
      <c r="DE30" s="556"/>
      <c r="DF30" s="556"/>
      <c r="DG30" s="556"/>
      <c r="DH30" s="556"/>
      <c r="DI30" s="556"/>
      <c r="DJ30" s="556"/>
      <c r="DK30" s="556"/>
      <c r="DL30" s="556"/>
      <c r="DM30" s="556"/>
      <c r="DN30" s="556"/>
      <c r="DO30" s="556"/>
      <c r="DP30" s="556"/>
      <c r="DQ30" s="556"/>
      <c r="DR30" s="556"/>
      <c r="DS30" s="556"/>
      <c r="DT30" s="559"/>
      <c r="DU30" s="556"/>
      <c r="DV30" s="559"/>
      <c r="DW30" s="556"/>
      <c r="DX30" s="556"/>
      <c r="DY30" s="556"/>
      <c r="DZ30" s="556"/>
      <c r="EA30" s="556"/>
      <c r="EB30" s="556"/>
      <c r="EC30" s="556"/>
      <c r="ED30" s="556"/>
      <c r="EE30" s="560"/>
      <c r="EF30" s="560"/>
      <c r="EG30" s="560"/>
      <c r="EH30" s="560"/>
      <c r="EI30" s="560"/>
      <c r="EJ30" s="556"/>
      <c r="EK30" s="556"/>
      <c r="EL30" s="556"/>
      <c r="EM30" s="556"/>
      <c r="EN30" s="556"/>
      <c r="EO30" s="556"/>
      <c r="EP30" s="556"/>
      <c r="EQ30" s="556"/>
      <c r="ER30" s="556"/>
      <c r="ES30" s="556"/>
      <c r="ET30" s="556"/>
      <c r="EU30" s="556"/>
      <c r="EV30" s="560"/>
      <c r="EW30" s="560"/>
      <c r="EX30" s="560"/>
      <c r="EY30" s="560"/>
      <c r="EZ30" s="560"/>
      <c r="FA30" s="556"/>
      <c r="FB30" s="556"/>
      <c r="FC30" s="556"/>
      <c r="FD30" s="556"/>
      <c r="FE30" s="556"/>
      <c r="FF30" s="556"/>
      <c r="FG30" s="556"/>
      <c r="FH30" s="556"/>
      <c r="FI30" s="556"/>
      <c r="FJ30" s="556"/>
      <c r="FK30" s="556"/>
      <c r="FL30" s="556"/>
      <c r="FM30" s="556"/>
      <c r="FN30" s="556"/>
      <c r="FO30" s="556"/>
      <c r="FP30" s="556"/>
      <c r="FQ30" s="556"/>
      <c r="FR30" s="556"/>
      <c r="FS30" s="556"/>
      <c r="FT30" s="556"/>
      <c r="FU30" s="556"/>
      <c r="FV30" s="556"/>
      <c r="FW30" s="556"/>
      <c r="FX30" s="556"/>
      <c r="FY30" s="556"/>
      <c r="FZ30" s="556"/>
      <c r="GA30" s="556"/>
      <c r="GB30" s="559"/>
      <c r="GC30" s="556"/>
      <c r="GD30" s="556"/>
      <c r="GE30" s="556"/>
      <c r="GF30" s="556"/>
      <c r="GG30" s="556"/>
      <c r="GH30" s="556"/>
      <c r="GI30" s="556"/>
      <c r="GJ30" s="556"/>
      <c r="GK30" s="556"/>
      <c r="GL30" s="556"/>
      <c r="GM30" s="556"/>
      <c r="GN30" s="556"/>
      <c r="GO30" s="556"/>
      <c r="GP30" s="556"/>
      <c r="GQ30" s="556"/>
      <c r="GR30" s="556"/>
      <c r="GS30" s="556"/>
      <c r="GT30" s="556"/>
      <c r="GU30" s="556"/>
      <c r="GV30" s="556"/>
      <c r="GW30" s="556"/>
      <c r="GX30" s="556"/>
      <c r="GY30" s="556"/>
      <c r="GZ30" s="556"/>
      <c r="HA30" s="556"/>
      <c r="HB30" s="556"/>
      <c r="HC30" s="556"/>
      <c r="HD30" s="556"/>
      <c r="HE30" s="556"/>
      <c r="HF30" s="556"/>
      <c r="HG30" s="556"/>
      <c r="HH30" s="556"/>
      <c r="HI30" s="556"/>
      <c r="HJ30" s="559"/>
      <c r="HK30" s="556"/>
      <c r="HL30" s="556"/>
      <c r="HM30" s="556"/>
      <c r="HN30" s="556"/>
      <c r="HO30" s="556"/>
      <c r="HP30" s="556"/>
      <c r="HQ30" s="556"/>
      <c r="HR30" s="556"/>
      <c r="HS30" s="556"/>
      <c r="HT30" s="556"/>
      <c r="HU30" s="556"/>
      <c r="HV30" s="556"/>
      <c r="HW30" s="556"/>
      <c r="HX30" s="556"/>
      <c r="HY30" s="556"/>
      <c r="HZ30" s="556" t="s">
        <v>29517</v>
      </c>
      <c r="IA30" s="556" t="s">
        <v>7</v>
      </c>
      <c r="IB30" s="556" t="s">
        <v>29518</v>
      </c>
      <c r="IC30" s="556" t="s">
        <v>16</v>
      </c>
      <c r="ID30" s="556" t="s">
        <v>29519</v>
      </c>
      <c r="IE30" s="556" t="s">
        <v>9</v>
      </c>
      <c r="IF30" s="556" t="s">
        <v>29520</v>
      </c>
      <c r="IG30" s="556" t="s">
        <v>9</v>
      </c>
      <c r="IH30" s="556" t="s">
        <v>29521</v>
      </c>
    </row>
    <row r="31" spans="1:242" s="561" customFormat="1" ht="36.75" customHeight="1" x14ac:dyDescent="0.2">
      <c r="A31" s="556">
        <v>52</v>
      </c>
      <c r="B31" s="556" t="s">
        <v>5340</v>
      </c>
      <c r="C31" s="556" t="s">
        <v>29899</v>
      </c>
      <c r="D31" s="556" t="s">
        <v>21</v>
      </c>
      <c r="E31" s="556" t="s">
        <v>7</v>
      </c>
      <c r="F31" s="556" t="s">
        <v>29900</v>
      </c>
      <c r="G31" s="556">
        <v>1121.7</v>
      </c>
      <c r="H31" s="556">
        <v>4.5999999999999996</v>
      </c>
      <c r="I31" s="556" t="s">
        <v>29288</v>
      </c>
      <c r="J31" s="556" t="s">
        <v>4</v>
      </c>
      <c r="K31" s="556" t="s">
        <v>29901</v>
      </c>
      <c r="L31" s="556">
        <v>777428087</v>
      </c>
      <c r="M31" s="556" t="s">
        <v>3</v>
      </c>
      <c r="N31" s="556" t="s">
        <v>31598</v>
      </c>
      <c r="O31" s="556" t="s">
        <v>4</v>
      </c>
      <c r="P31" s="556">
        <v>12</v>
      </c>
      <c r="Q31" s="556" t="s">
        <v>7</v>
      </c>
      <c r="R31" s="556" t="s">
        <v>31588</v>
      </c>
      <c r="S31" s="556" t="s">
        <v>4</v>
      </c>
      <c r="T31" s="556" t="s">
        <v>2</v>
      </c>
      <c r="U31" s="556" t="s">
        <v>4</v>
      </c>
      <c r="V31" s="556"/>
      <c r="W31" s="556" t="s">
        <v>4</v>
      </c>
      <c r="X31" s="556" t="s">
        <v>4</v>
      </c>
      <c r="Y31" s="557">
        <v>43657</v>
      </c>
      <c r="Z31" s="557" t="str">
        <f>IF(OR(T31="yes",Y31&gt;'SDG outcome'!$C$27),"yes","no")</f>
        <v>no</v>
      </c>
      <c r="AA31" s="558" t="str">
        <f t="shared" si="0"/>
        <v/>
      </c>
      <c r="AB31" s="558" t="str">
        <f>IF(AND(Z31="no",AND(Y31&gt;='SDG outcome'!$B$16,Y31&lt;'SDG outcome'!$C$27)),Y31-'SDG outcome'!$B$16,"")</f>
        <v/>
      </c>
      <c r="AC31" s="556" t="s">
        <v>31572</v>
      </c>
      <c r="AD31" s="556" t="s">
        <v>4</v>
      </c>
      <c r="AE31" s="556" t="s">
        <v>7</v>
      </c>
      <c r="AF31" s="556" t="s">
        <v>31716</v>
      </c>
      <c r="AG31" s="556" t="s">
        <v>4</v>
      </c>
      <c r="AH31" s="556" t="s">
        <v>2</v>
      </c>
      <c r="AI31" s="557" t="s">
        <v>4</v>
      </c>
      <c r="AJ31" s="556" t="s">
        <v>4</v>
      </c>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6"/>
      <c r="BU31" s="556"/>
      <c r="BV31" s="556"/>
      <c r="BW31" s="556"/>
      <c r="BX31" s="556"/>
      <c r="BY31" s="556"/>
      <c r="BZ31" s="556"/>
      <c r="CA31" s="556"/>
      <c r="CB31" s="556"/>
      <c r="CC31" s="556"/>
      <c r="CD31" s="556"/>
      <c r="CE31" s="556"/>
      <c r="CF31" s="556"/>
      <c r="CG31" s="556"/>
      <c r="CH31" s="556"/>
      <c r="CI31" s="556"/>
      <c r="CJ31" s="556"/>
      <c r="CK31" s="556"/>
      <c r="CL31" s="556"/>
      <c r="CM31" s="556"/>
      <c r="CN31" s="556"/>
      <c r="CO31" s="556"/>
      <c r="CP31" s="556"/>
      <c r="CQ31" s="556"/>
      <c r="CR31" s="556"/>
      <c r="CS31" s="556"/>
      <c r="CT31" s="556"/>
      <c r="CU31" s="556"/>
      <c r="CV31" s="556"/>
      <c r="CW31" s="556"/>
      <c r="CX31" s="556"/>
      <c r="CY31" s="556"/>
      <c r="CZ31" s="556"/>
      <c r="DA31" s="556"/>
      <c r="DB31" s="556"/>
      <c r="DC31" s="556"/>
      <c r="DD31" s="556"/>
      <c r="DE31" s="556"/>
      <c r="DF31" s="556"/>
      <c r="DG31" s="556"/>
      <c r="DH31" s="556"/>
      <c r="DI31" s="556"/>
      <c r="DJ31" s="556"/>
      <c r="DK31" s="556"/>
      <c r="DL31" s="556"/>
      <c r="DM31" s="556"/>
      <c r="DN31" s="556"/>
      <c r="DO31" s="556"/>
      <c r="DP31" s="556"/>
      <c r="DQ31" s="556"/>
      <c r="DR31" s="556"/>
      <c r="DS31" s="556"/>
      <c r="DT31" s="559"/>
      <c r="DU31" s="556"/>
      <c r="DV31" s="559"/>
      <c r="DW31" s="556"/>
      <c r="DX31" s="556"/>
      <c r="DY31" s="556"/>
      <c r="DZ31" s="556"/>
      <c r="EA31" s="556"/>
      <c r="EB31" s="556"/>
      <c r="EC31" s="556"/>
      <c r="ED31" s="556"/>
      <c r="EE31" s="560"/>
      <c r="EF31" s="560"/>
      <c r="EG31" s="560"/>
      <c r="EH31" s="560"/>
      <c r="EI31" s="560"/>
      <c r="EJ31" s="556"/>
      <c r="EK31" s="556"/>
      <c r="EL31" s="556"/>
      <c r="EM31" s="556"/>
      <c r="EN31" s="556"/>
      <c r="EO31" s="556"/>
      <c r="EP31" s="556"/>
      <c r="EQ31" s="556"/>
      <c r="ER31" s="556"/>
      <c r="ES31" s="556"/>
      <c r="ET31" s="556"/>
      <c r="EU31" s="556"/>
      <c r="EV31" s="560"/>
      <c r="EW31" s="560"/>
      <c r="EX31" s="560"/>
      <c r="EY31" s="560"/>
      <c r="EZ31" s="560"/>
      <c r="FA31" s="556"/>
      <c r="FB31" s="556"/>
      <c r="FC31" s="556"/>
      <c r="FD31" s="556"/>
      <c r="FE31" s="556"/>
      <c r="FF31" s="556"/>
      <c r="FG31" s="556"/>
      <c r="FH31" s="556"/>
      <c r="FI31" s="556"/>
      <c r="FJ31" s="556"/>
      <c r="FK31" s="556"/>
      <c r="FL31" s="556"/>
      <c r="FM31" s="556"/>
      <c r="FN31" s="556"/>
      <c r="FO31" s="556"/>
      <c r="FP31" s="556"/>
      <c r="FQ31" s="556"/>
      <c r="FR31" s="556"/>
      <c r="FS31" s="556"/>
      <c r="FT31" s="556"/>
      <c r="FU31" s="556"/>
      <c r="FV31" s="556"/>
      <c r="FW31" s="556"/>
      <c r="FX31" s="556"/>
      <c r="FY31" s="556"/>
      <c r="FZ31" s="556"/>
      <c r="GA31" s="556"/>
      <c r="GB31" s="559"/>
      <c r="GC31" s="556"/>
      <c r="GD31" s="556"/>
      <c r="GE31" s="556"/>
      <c r="GF31" s="556"/>
      <c r="GG31" s="556"/>
      <c r="GH31" s="556"/>
      <c r="GI31" s="556"/>
      <c r="GJ31" s="556"/>
      <c r="GK31" s="556"/>
      <c r="GL31" s="556"/>
      <c r="GM31" s="556"/>
      <c r="GN31" s="556"/>
      <c r="GO31" s="556"/>
      <c r="GP31" s="556"/>
      <c r="GQ31" s="556"/>
      <c r="GR31" s="556"/>
      <c r="GS31" s="556"/>
      <c r="GT31" s="556"/>
      <c r="GU31" s="556"/>
      <c r="GV31" s="556"/>
      <c r="GW31" s="556"/>
      <c r="GX31" s="556"/>
      <c r="GY31" s="556"/>
      <c r="GZ31" s="556"/>
      <c r="HA31" s="556"/>
      <c r="HB31" s="556"/>
      <c r="HC31" s="556"/>
      <c r="HD31" s="556"/>
      <c r="HE31" s="556"/>
      <c r="HF31" s="556"/>
      <c r="HG31" s="556"/>
      <c r="HH31" s="556"/>
      <c r="HI31" s="556"/>
      <c r="HJ31" s="559"/>
      <c r="HK31" s="556"/>
      <c r="HL31" s="556"/>
      <c r="HM31" s="556"/>
      <c r="HN31" s="556"/>
      <c r="HO31" s="556"/>
      <c r="HP31" s="556"/>
      <c r="HQ31" s="556"/>
      <c r="HR31" s="556"/>
      <c r="HS31" s="556"/>
      <c r="HT31" s="556"/>
      <c r="HU31" s="556"/>
      <c r="HV31" s="556"/>
      <c r="HW31" s="556"/>
      <c r="HX31" s="556"/>
      <c r="HY31" s="556"/>
      <c r="HZ31" s="556" t="s">
        <v>29902</v>
      </c>
      <c r="IA31" s="556" t="s">
        <v>7</v>
      </c>
      <c r="IB31" s="556" t="s">
        <v>29903</v>
      </c>
      <c r="IC31" s="556" t="s">
        <v>29904</v>
      </c>
      <c r="ID31" s="556" t="s">
        <v>29905</v>
      </c>
      <c r="IE31" s="556" t="s">
        <v>9</v>
      </c>
      <c r="IF31" s="556" t="s">
        <v>29906</v>
      </c>
      <c r="IG31" s="556" t="s">
        <v>29907</v>
      </c>
      <c r="IH31" s="556" t="s">
        <v>29908</v>
      </c>
    </row>
    <row r="32" spans="1:242" s="561" customFormat="1" ht="36.75" customHeight="1" x14ac:dyDescent="0.2">
      <c r="A32" s="556">
        <v>55</v>
      </c>
      <c r="B32" s="556" t="s">
        <v>701</v>
      </c>
      <c r="C32" s="556" t="s">
        <v>29929</v>
      </c>
      <c r="D32" s="556" t="s">
        <v>21</v>
      </c>
      <c r="E32" s="556" t="s">
        <v>7</v>
      </c>
      <c r="F32" s="556" t="s">
        <v>29930</v>
      </c>
      <c r="G32" s="556">
        <v>1166.8</v>
      </c>
      <c r="H32" s="556">
        <v>4.5999999999999996</v>
      </c>
      <c r="I32" s="556" t="s">
        <v>29288</v>
      </c>
      <c r="J32" s="556" t="s">
        <v>4</v>
      </c>
      <c r="K32" s="556" t="s">
        <v>29931</v>
      </c>
      <c r="L32" s="556">
        <v>775259867</v>
      </c>
      <c r="M32" s="556" t="s">
        <v>3</v>
      </c>
      <c r="N32" s="556" t="s">
        <v>31598</v>
      </c>
      <c r="O32" s="556" t="s">
        <v>4</v>
      </c>
      <c r="P32" s="556">
        <v>6</v>
      </c>
      <c r="Q32" s="556" t="s">
        <v>7</v>
      </c>
      <c r="R32" s="556" t="s">
        <v>31588</v>
      </c>
      <c r="S32" s="556" t="s">
        <v>4</v>
      </c>
      <c r="T32" s="556" t="s">
        <v>2</v>
      </c>
      <c r="U32" s="556" t="s">
        <v>4</v>
      </c>
      <c r="V32" s="556"/>
      <c r="W32" s="556" t="s">
        <v>4</v>
      </c>
      <c r="X32" s="556" t="s">
        <v>4</v>
      </c>
      <c r="Y32" s="557">
        <v>43657</v>
      </c>
      <c r="Z32" s="557" t="str">
        <f>IF(OR(T32="yes",Y32&gt;'SDG outcome'!$C$27),"yes","no")</f>
        <v>no</v>
      </c>
      <c r="AA32" s="558" t="str">
        <f t="shared" si="0"/>
        <v/>
      </c>
      <c r="AB32" s="558" t="str">
        <f>IF(AND(Z32="no",AND(Y32&gt;='SDG outcome'!$B$16,Y32&lt;'SDG outcome'!$C$27)),Y32-'SDG outcome'!$B$16,"")</f>
        <v/>
      </c>
      <c r="AC32" s="556" t="s">
        <v>8</v>
      </c>
      <c r="AD32" s="556" t="s">
        <v>31720</v>
      </c>
      <c r="AE32" s="556" t="s">
        <v>4</v>
      </c>
      <c r="AF32" s="556" t="s">
        <v>4</v>
      </c>
      <c r="AG32" s="556" t="s">
        <v>4</v>
      </c>
      <c r="AH32" s="556" t="s">
        <v>4</v>
      </c>
      <c r="AI32" s="557" t="s">
        <v>4</v>
      </c>
      <c r="AJ32" s="556" t="s">
        <v>4</v>
      </c>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K32" s="556"/>
      <c r="CL32" s="556"/>
      <c r="CM32" s="556"/>
      <c r="CN32" s="556"/>
      <c r="CO32" s="556"/>
      <c r="CP32" s="556"/>
      <c r="CQ32" s="556"/>
      <c r="CR32" s="556"/>
      <c r="CS32" s="556"/>
      <c r="CT32" s="556"/>
      <c r="CU32" s="556"/>
      <c r="CV32" s="556"/>
      <c r="CW32" s="556"/>
      <c r="CX32" s="556"/>
      <c r="CY32" s="556"/>
      <c r="CZ32" s="556"/>
      <c r="DA32" s="556"/>
      <c r="DB32" s="556"/>
      <c r="DC32" s="556"/>
      <c r="DD32" s="556"/>
      <c r="DE32" s="556"/>
      <c r="DF32" s="556"/>
      <c r="DG32" s="556"/>
      <c r="DH32" s="556"/>
      <c r="DI32" s="556"/>
      <c r="DJ32" s="556"/>
      <c r="DK32" s="556"/>
      <c r="DL32" s="556"/>
      <c r="DM32" s="556"/>
      <c r="DN32" s="556"/>
      <c r="DO32" s="556"/>
      <c r="DP32" s="556"/>
      <c r="DQ32" s="556"/>
      <c r="DR32" s="556"/>
      <c r="DS32" s="556"/>
      <c r="DT32" s="559"/>
      <c r="DU32" s="556"/>
      <c r="DV32" s="559"/>
      <c r="DW32" s="556"/>
      <c r="DX32" s="556"/>
      <c r="DY32" s="556"/>
      <c r="DZ32" s="556"/>
      <c r="EA32" s="556"/>
      <c r="EB32" s="556"/>
      <c r="EC32" s="556"/>
      <c r="ED32" s="556"/>
      <c r="EE32" s="560"/>
      <c r="EF32" s="560"/>
      <c r="EG32" s="560"/>
      <c r="EH32" s="560"/>
      <c r="EI32" s="560"/>
      <c r="EJ32" s="556"/>
      <c r="EK32" s="556"/>
      <c r="EL32" s="556"/>
      <c r="EM32" s="556"/>
      <c r="EN32" s="556"/>
      <c r="EO32" s="556"/>
      <c r="EP32" s="556"/>
      <c r="EQ32" s="556"/>
      <c r="ER32" s="556"/>
      <c r="ES32" s="556"/>
      <c r="ET32" s="556"/>
      <c r="EU32" s="556"/>
      <c r="EV32" s="560"/>
      <c r="EW32" s="560"/>
      <c r="EX32" s="560"/>
      <c r="EY32" s="560"/>
      <c r="EZ32" s="560"/>
      <c r="FA32" s="556"/>
      <c r="FB32" s="556"/>
      <c r="FC32" s="556"/>
      <c r="FD32" s="556"/>
      <c r="FE32" s="556"/>
      <c r="FF32" s="556"/>
      <c r="FG32" s="556"/>
      <c r="FH32" s="556"/>
      <c r="FI32" s="556"/>
      <c r="FJ32" s="556"/>
      <c r="FK32" s="556"/>
      <c r="FL32" s="556"/>
      <c r="FM32" s="556"/>
      <c r="FN32" s="556"/>
      <c r="FO32" s="556"/>
      <c r="FP32" s="556"/>
      <c r="FQ32" s="556"/>
      <c r="FR32" s="556"/>
      <c r="FS32" s="556"/>
      <c r="FT32" s="556"/>
      <c r="FU32" s="556"/>
      <c r="FV32" s="556"/>
      <c r="FW32" s="556"/>
      <c r="FX32" s="556"/>
      <c r="FY32" s="556"/>
      <c r="FZ32" s="556"/>
      <c r="GA32" s="556"/>
      <c r="GB32" s="559"/>
      <c r="GC32" s="556"/>
      <c r="GD32" s="556"/>
      <c r="GE32" s="556"/>
      <c r="GF32" s="556"/>
      <c r="GG32" s="556"/>
      <c r="GH32" s="556"/>
      <c r="GI32" s="556"/>
      <c r="GJ32" s="556"/>
      <c r="GK32" s="556"/>
      <c r="GL32" s="556"/>
      <c r="GM32" s="556"/>
      <c r="GN32" s="556"/>
      <c r="GO32" s="556"/>
      <c r="GP32" s="556"/>
      <c r="GQ32" s="556"/>
      <c r="GR32" s="556"/>
      <c r="GS32" s="556"/>
      <c r="GT32" s="556"/>
      <c r="GU32" s="556"/>
      <c r="GV32" s="556"/>
      <c r="GW32" s="556"/>
      <c r="GX32" s="556"/>
      <c r="GY32" s="556"/>
      <c r="GZ32" s="556"/>
      <c r="HA32" s="556"/>
      <c r="HB32" s="556"/>
      <c r="HC32" s="556"/>
      <c r="HD32" s="556"/>
      <c r="HE32" s="556"/>
      <c r="HF32" s="556"/>
      <c r="HG32" s="556"/>
      <c r="HH32" s="556"/>
      <c r="HI32" s="556"/>
      <c r="HJ32" s="559"/>
      <c r="HK32" s="556"/>
      <c r="HL32" s="556"/>
      <c r="HM32" s="556"/>
      <c r="HN32" s="556"/>
      <c r="HO32" s="556"/>
      <c r="HP32" s="556"/>
      <c r="HQ32" s="556"/>
      <c r="HR32" s="556"/>
      <c r="HS32" s="556"/>
      <c r="HT32" s="556"/>
      <c r="HU32" s="556"/>
      <c r="HV32" s="556"/>
      <c r="HW32" s="556"/>
      <c r="HX32" s="556"/>
      <c r="HY32" s="556"/>
      <c r="HZ32" s="556" t="s">
        <v>29932</v>
      </c>
      <c r="IA32" s="556" t="s">
        <v>2</v>
      </c>
      <c r="IB32" s="556" t="s">
        <v>4</v>
      </c>
      <c r="IC32" s="556" t="s">
        <v>29933</v>
      </c>
      <c r="ID32" s="556" t="s">
        <v>29934</v>
      </c>
      <c r="IE32" s="556" t="s">
        <v>9</v>
      </c>
      <c r="IF32" s="556" t="s">
        <v>29935</v>
      </c>
      <c r="IG32" s="556" t="s">
        <v>9</v>
      </c>
      <c r="IH32" s="556" t="s">
        <v>29936</v>
      </c>
    </row>
    <row r="33" spans="1:242" s="561" customFormat="1" ht="36.75" customHeight="1" x14ac:dyDescent="0.2">
      <c r="A33" s="556">
        <v>81</v>
      </c>
      <c r="B33" s="556" t="s">
        <v>12096</v>
      </c>
      <c r="C33" s="556" t="s">
        <v>30198</v>
      </c>
      <c r="D33" s="556" t="s">
        <v>70</v>
      </c>
      <c r="E33" s="556" t="s">
        <v>7</v>
      </c>
      <c r="F33" s="556" t="s">
        <v>30199</v>
      </c>
      <c r="G33" s="556">
        <v>1216.5999999999999</v>
      </c>
      <c r="H33" s="556">
        <v>2.6</v>
      </c>
      <c r="I33" s="556" t="s">
        <v>30200</v>
      </c>
      <c r="J33" s="556" t="s">
        <v>4</v>
      </c>
      <c r="K33" s="556" t="s">
        <v>30201</v>
      </c>
      <c r="L33" s="556">
        <v>787412624</v>
      </c>
      <c r="M33" s="556" t="s">
        <v>5</v>
      </c>
      <c r="N33" s="556" t="s">
        <v>31590</v>
      </c>
      <c r="O33" s="556" t="s">
        <v>4</v>
      </c>
      <c r="P33" s="556">
        <v>4</v>
      </c>
      <c r="Q33" s="556" t="s">
        <v>7</v>
      </c>
      <c r="R33" s="556" t="s">
        <v>31549</v>
      </c>
      <c r="S33" s="556" t="s">
        <v>4</v>
      </c>
      <c r="T33" s="556" t="s">
        <v>2</v>
      </c>
      <c r="U33" s="556" t="s">
        <v>4</v>
      </c>
      <c r="V33" s="556"/>
      <c r="W33" s="556" t="s">
        <v>4</v>
      </c>
      <c r="X33" s="556" t="s">
        <v>4</v>
      </c>
      <c r="Y33" s="557">
        <v>43657</v>
      </c>
      <c r="Z33" s="557" t="str">
        <f>IF(OR(T33="yes",Y33&gt;'SDG outcome'!$C$27),"yes","no")</f>
        <v>no</v>
      </c>
      <c r="AA33" s="558" t="str">
        <f t="shared" si="0"/>
        <v/>
      </c>
      <c r="AB33" s="558" t="str">
        <f>IF(AND(Z33="no",AND(Y33&gt;='SDG outcome'!$B$16,Y33&lt;'SDG outcome'!$C$27)),Y33-'SDG outcome'!$B$16,"")</f>
        <v/>
      </c>
      <c r="AC33" s="556" t="s">
        <v>31572</v>
      </c>
      <c r="AD33" s="556" t="s">
        <v>4</v>
      </c>
      <c r="AE33" s="556" t="s">
        <v>7</v>
      </c>
      <c r="AF33" s="556" t="s">
        <v>31767</v>
      </c>
      <c r="AG33" s="556" t="s">
        <v>4</v>
      </c>
      <c r="AH33" s="556" t="s">
        <v>7</v>
      </c>
      <c r="AI33" s="557">
        <v>45361</v>
      </c>
      <c r="AJ33" s="556" t="s">
        <v>4</v>
      </c>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56"/>
      <c r="CW33" s="556"/>
      <c r="CX33" s="556"/>
      <c r="CY33" s="556"/>
      <c r="CZ33" s="556"/>
      <c r="DA33" s="556"/>
      <c r="DB33" s="556"/>
      <c r="DC33" s="556"/>
      <c r="DD33" s="556"/>
      <c r="DE33" s="556"/>
      <c r="DF33" s="556"/>
      <c r="DG33" s="556"/>
      <c r="DH33" s="556"/>
      <c r="DI33" s="556"/>
      <c r="DJ33" s="556"/>
      <c r="DK33" s="556"/>
      <c r="DL33" s="556"/>
      <c r="DM33" s="556"/>
      <c r="DN33" s="556"/>
      <c r="DO33" s="556"/>
      <c r="DP33" s="556"/>
      <c r="DQ33" s="556"/>
      <c r="DR33" s="556"/>
      <c r="DS33" s="556"/>
      <c r="DT33" s="559"/>
      <c r="DU33" s="556"/>
      <c r="DV33" s="559"/>
      <c r="DW33" s="556"/>
      <c r="DX33" s="556"/>
      <c r="DY33" s="556"/>
      <c r="DZ33" s="556"/>
      <c r="EA33" s="556"/>
      <c r="EB33" s="556"/>
      <c r="EC33" s="556"/>
      <c r="ED33" s="556"/>
      <c r="EE33" s="560"/>
      <c r="EF33" s="560"/>
      <c r="EG33" s="560"/>
      <c r="EH33" s="560"/>
      <c r="EI33" s="560"/>
      <c r="EJ33" s="556"/>
      <c r="EK33" s="556"/>
      <c r="EL33" s="556"/>
      <c r="EM33" s="556"/>
      <c r="EN33" s="556"/>
      <c r="EO33" s="556"/>
      <c r="EP33" s="556"/>
      <c r="EQ33" s="556"/>
      <c r="ER33" s="556"/>
      <c r="ES33" s="556"/>
      <c r="ET33" s="556"/>
      <c r="EU33" s="556"/>
      <c r="EV33" s="560"/>
      <c r="EW33" s="560"/>
      <c r="EX33" s="560"/>
      <c r="EY33" s="560"/>
      <c r="EZ33" s="560"/>
      <c r="FA33" s="556"/>
      <c r="FB33" s="556"/>
      <c r="FC33" s="556"/>
      <c r="FD33" s="556"/>
      <c r="FE33" s="556"/>
      <c r="FF33" s="556"/>
      <c r="FG33" s="556"/>
      <c r="FH33" s="556"/>
      <c r="FI33" s="556"/>
      <c r="FJ33" s="556"/>
      <c r="FK33" s="556"/>
      <c r="FL33" s="556"/>
      <c r="FM33" s="556"/>
      <c r="FN33" s="556"/>
      <c r="FO33" s="556"/>
      <c r="FP33" s="556"/>
      <c r="FQ33" s="556"/>
      <c r="FR33" s="556"/>
      <c r="FS33" s="556"/>
      <c r="FT33" s="556"/>
      <c r="FU33" s="556"/>
      <c r="FV33" s="556"/>
      <c r="FW33" s="556"/>
      <c r="FX33" s="556"/>
      <c r="FY33" s="556"/>
      <c r="FZ33" s="556"/>
      <c r="GA33" s="556"/>
      <c r="GB33" s="559"/>
      <c r="GC33" s="556"/>
      <c r="GD33" s="556"/>
      <c r="GE33" s="556"/>
      <c r="GF33" s="556"/>
      <c r="GG33" s="556"/>
      <c r="GH33" s="556"/>
      <c r="GI33" s="556"/>
      <c r="GJ33" s="556"/>
      <c r="GK33" s="556"/>
      <c r="GL33" s="556"/>
      <c r="GM33" s="556"/>
      <c r="GN33" s="556"/>
      <c r="GO33" s="556"/>
      <c r="GP33" s="556"/>
      <c r="GQ33" s="556"/>
      <c r="GR33" s="556"/>
      <c r="GS33" s="556"/>
      <c r="GT33" s="556"/>
      <c r="GU33" s="556"/>
      <c r="GV33" s="556"/>
      <c r="GW33" s="556"/>
      <c r="GX33" s="556"/>
      <c r="GY33" s="556"/>
      <c r="GZ33" s="556"/>
      <c r="HA33" s="556"/>
      <c r="HB33" s="556"/>
      <c r="HC33" s="556"/>
      <c r="HD33" s="556"/>
      <c r="HE33" s="556"/>
      <c r="HF33" s="556"/>
      <c r="HG33" s="556"/>
      <c r="HH33" s="556"/>
      <c r="HI33" s="556"/>
      <c r="HJ33" s="559"/>
      <c r="HK33" s="556"/>
      <c r="HL33" s="556"/>
      <c r="HM33" s="556"/>
      <c r="HN33" s="556"/>
      <c r="HO33" s="556"/>
      <c r="HP33" s="556"/>
      <c r="HQ33" s="556"/>
      <c r="HR33" s="556"/>
      <c r="HS33" s="556"/>
      <c r="HT33" s="556"/>
      <c r="HU33" s="556"/>
      <c r="HV33" s="556"/>
      <c r="HW33" s="556"/>
      <c r="HX33" s="556"/>
      <c r="HY33" s="556"/>
      <c r="HZ33" s="556" t="s">
        <v>16</v>
      </c>
      <c r="IA33" s="556" t="s">
        <v>2</v>
      </c>
      <c r="IB33" s="556" t="s">
        <v>4</v>
      </c>
      <c r="IC33" s="556" t="s">
        <v>16</v>
      </c>
      <c r="ID33" s="556" t="s">
        <v>30202</v>
      </c>
      <c r="IE33" s="556" t="s">
        <v>30203</v>
      </c>
      <c r="IF33" s="556" t="s">
        <v>30204</v>
      </c>
      <c r="IG33" s="556" t="s">
        <v>30205</v>
      </c>
      <c r="IH33" s="556" t="s">
        <v>30198</v>
      </c>
    </row>
    <row r="34" spans="1:242" s="561" customFormat="1" ht="36.75" customHeight="1" x14ac:dyDescent="0.2">
      <c r="A34" s="556">
        <v>166</v>
      </c>
      <c r="B34" s="556" t="s">
        <v>1909</v>
      </c>
      <c r="C34" s="556" t="s">
        <v>31063</v>
      </c>
      <c r="D34" s="556" t="s">
        <v>34</v>
      </c>
      <c r="E34" s="556" t="s">
        <v>7</v>
      </c>
      <c r="F34" s="556" t="s">
        <v>31064</v>
      </c>
      <c r="G34" s="556">
        <v>1189.9000000000001</v>
      </c>
      <c r="H34" s="556">
        <v>4.8</v>
      </c>
      <c r="I34" s="556" t="s">
        <v>29319</v>
      </c>
      <c r="J34" s="556" t="s">
        <v>4</v>
      </c>
      <c r="K34" s="556" t="s">
        <v>1910</v>
      </c>
      <c r="L34" s="556">
        <v>754365514</v>
      </c>
      <c r="M34" s="556" t="s">
        <v>5</v>
      </c>
      <c r="N34" s="556" t="s">
        <v>31438</v>
      </c>
      <c r="O34" s="556">
        <v>50</v>
      </c>
      <c r="P34" s="556">
        <v>6</v>
      </c>
      <c r="Q34" s="556" t="s">
        <v>7</v>
      </c>
      <c r="R34" s="556" t="s">
        <v>31549</v>
      </c>
      <c r="S34" s="556" t="s">
        <v>4</v>
      </c>
      <c r="T34" s="556" t="s">
        <v>2</v>
      </c>
      <c r="U34" s="556" t="s">
        <v>4</v>
      </c>
      <c r="V34" s="556"/>
      <c r="W34" s="556" t="s">
        <v>4</v>
      </c>
      <c r="X34" s="556" t="s">
        <v>4</v>
      </c>
      <c r="Y34" s="557">
        <v>43717</v>
      </c>
      <c r="Z34" s="557" t="str">
        <f>IF(OR(T34="yes",Y34&gt;'SDG outcome'!$C$27),"yes","no")</f>
        <v>no</v>
      </c>
      <c r="AA34" s="558" t="str">
        <f t="shared" si="0"/>
        <v/>
      </c>
      <c r="AB34" s="558" t="str">
        <f>IF(AND(Z34="no",AND(Y34&gt;='SDG outcome'!$B$16,Y34&lt;'SDG outcome'!$C$27)),Y34-'SDG outcome'!$B$16,"")</f>
        <v/>
      </c>
      <c r="AC34" s="556" t="s">
        <v>31572</v>
      </c>
      <c r="AD34" s="556" t="s">
        <v>4</v>
      </c>
      <c r="AE34" s="556" t="s">
        <v>7</v>
      </c>
      <c r="AF34" s="556" t="s">
        <v>31908</v>
      </c>
      <c r="AG34" s="556" t="s">
        <v>4</v>
      </c>
      <c r="AH34" s="556" t="s">
        <v>7</v>
      </c>
      <c r="AI34" s="557">
        <v>45141</v>
      </c>
      <c r="AJ34" s="556" t="s">
        <v>4</v>
      </c>
      <c r="AK34" s="556"/>
      <c r="AL34" s="556"/>
      <c r="AM34" s="556"/>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6"/>
      <c r="CT34" s="556"/>
      <c r="CU34" s="556"/>
      <c r="CV34" s="556"/>
      <c r="CW34" s="556"/>
      <c r="CX34" s="556"/>
      <c r="CY34" s="556"/>
      <c r="CZ34" s="556"/>
      <c r="DA34" s="556"/>
      <c r="DB34" s="556"/>
      <c r="DC34" s="556"/>
      <c r="DD34" s="556"/>
      <c r="DE34" s="556"/>
      <c r="DF34" s="556"/>
      <c r="DG34" s="556"/>
      <c r="DH34" s="556"/>
      <c r="DI34" s="556"/>
      <c r="DJ34" s="556"/>
      <c r="DK34" s="556"/>
      <c r="DL34" s="556"/>
      <c r="DM34" s="556"/>
      <c r="DN34" s="556"/>
      <c r="DO34" s="556"/>
      <c r="DP34" s="556"/>
      <c r="DQ34" s="556"/>
      <c r="DR34" s="556"/>
      <c r="DS34" s="556"/>
      <c r="DT34" s="559"/>
      <c r="DU34" s="556"/>
      <c r="DV34" s="559"/>
      <c r="DW34" s="556"/>
      <c r="DX34" s="556"/>
      <c r="DY34" s="556"/>
      <c r="DZ34" s="556"/>
      <c r="EA34" s="556"/>
      <c r="EB34" s="556"/>
      <c r="EC34" s="556"/>
      <c r="ED34" s="556"/>
      <c r="EE34" s="560"/>
      <c r="EF34" s="560"/>
      <c r="EG34" s="560"/>
      <c r="EH34" s="560"/>
      <c r="EI34" s="560"/>
      <c r="EJ34" s="556"/>
      <c r="EK34" s="556"/>
      <c r="EL34" s="556"/>
      <c r="EM34" s="556"/>
      <c r="EN34" s="556"/>
      <c r="EO34" s="556"/>
      <c r="EP34" s="556"/>
      <c r="EQ34" s="556"/>
      <c r="ER34" s="556"/>
      <c r="ES34" s="556"/>
      <c r="ET34" s="556"/>
      <c r="EU34" s="556"/>
      <c r="EV34" s="560"/>
      <c r="EW34" s="560"/>
      <c r="EX34" s="560"/>
      <c r="EY34" s="560"/>
      <c r="EZ34" s="560"/>
      <c r="FA34" s="556"/>
      <c r="FB34" s="556"/>
      <c r="FC34" s="556"/>
      <c r="FD34" s="556"/>
      <c r="FE34" s="556"/>
      <c r="FF34" s="556"/>
      <c r="FG34" s="556"/>
      <c r="FH34" s="556"/>
      <c r="FI34" s="556"/>
      <c r="FJ34" s="556"/>
      <c r="FK34" s="556"/>
      <c r="FL34" s="556"/>
      <c r="FM34" s="556"/>
      <c r="FN34" s="556"/>
      <c r="FO34" s="556"/>
      <c r="FP34" s="556"/>
      <c r="FQ34" s="556"/>
      <c r="FR34" s="556"/>
      <c r="FS34" s="556"/>
      <c r="FT34" s="556"/>
      <c r="FU34" s="556"/>
      <c r="FV34" s="556"/>
      <c r="FW34" s="556"/>
      <c r="FX34" s="556"/>
      <c r="FY34" s="556"/>
      <c r="FZ34" s="556"/>
      <c r="GA34" s="556"/>
      <c r="GB34" s="559"/>
      <c r="GC34" s="556"/>
      <c r="GD34" s="556"/>
      <c r="GE34" s="556"/>
      <c r="GF34" s="556"/>
      <c r="GG34" s="556"/>
      <c r="GH34" s="556"/>
      <c r="GI34" s="556"/>
      <c r="GJ34" s="556"/>
      <c r="GK34" s="556"/>
      <c r="GL34" s="556"/>
      <c r="GM34" s="556"/>
      <c r="GN34" s="556"/>
      <c r="GO34" s="556"/>
      <c r="GP34" s="556"/>
      <c r="GQ34" s="556"/>
      <c r="GR34" s="556"/>
      <c r="GS34" s="556"/>
      <c r="GT34" s="556"/>
      <c r="GU34" s="556"/>
      <c r="GV34" s="556"/>
      <c r="GW34" s="556"/>
      <c r="GX34" s="556"/>
      <c r="GY34" s="556"/>
      <c r="GZ34" s="556"/>
      <c r="HA34" s="556"/>
      <c r="HB34" s="556"/>
      <c r="HC34" s="556"/>
      <c r="HD34" s="556"/>
      <c r="HE34" s="556"/>
      <c r="HF34" s="556"/>
      <c r="HG34" s="556"/>
      <c r="HH34" s="556"/>
      <c r="HI34" s="556"/>
      <c r="HJ34" s="559"/>
      <c r="HK34" s="556"/>
      <c r="HL34" s="556"/>
      <c r="HM34" s="556"/>
      <c r="HN34" s="556"/>
      <c r="HO34" s="556"/>
      <c r="HP34" s="556"/>
      <c r="HQ34" s="556"/>
      <c r="HR34" s="556"/>
      <c r="HS34" s="556"/>
      <c r="HT34" s="556"/>
      <c r="HU34" s="556"/>
      <c r="HV34" s="556"/>
      <c r="HW34" s="556"/>
      <c r="HX34" s="556"/>
      <c r="HY34" s="556"/>
      <c r="HZ34" s="556" t="s">
        <v>31065</v>
      </c>
      <c r="IA34" s="556" t="s">
        <v>2</v>
      </c>
      <c r="IB34" s="556" t="s">
        <v>4</v>
      </c>
      <c r="IC34" s="556" t="s">
        <v>31066</v>
      </c>
      <c r="ID34" s="556" t="s">
        <v>31067</v>
      </c>
      <c r="IE34" s="556" t="s">
        <v>31068</v>
      </c>
      <c r="IF34" s="556" t="s">
        <v>31069</v>
      </c>
      <c r="IG34" s="556" t="s">
        <v>31070</v>
      </c>
      <c r="IH34" s="556" t="s">
        <v>31063</v>
      </c>
    </row>
    <row r="35" spans="1:242" s="561" customFormat="1" ht="36.75" customHeight="1" x14ac:dyDescent="0.2">
      <c r="A35" s="556">
        <v>87</v>
      </c>
      <c r="B35" s="556" t="s">
        <v>11217</v>
      </c>
      <c r="C35" s="556" t="s">
        <v>30257</v>
      </c>
      <c r="D35" s="556" t="s">
        <v>30207</v>
      </c>
      <c r="E35" s="556" t="s">
        <v>7</v>
      </c>
      <c r="F35" s="556" t="s">
        <v>30258</v>
      </c>
      <c r="G35" s="556">
        <v>1108.7</v>
      </c>
      <c r="H35" s="556">
        <v>5</v>
      </c>
      <c r="I35" s="556" t="s">
        <v>29319</v>
      </c>
      <c r="J35" s="556" t="s">
        <v>4</v>
      </c>
      <c r="K35" s="556" t="s">
        <v>30259</v>
      </c>
      <c r="L35" s="556">
        <v>783233159</v>
      </c>
      <c r="M35" s="556" t="s">
        <v>5</v>
      </c>
      <c r="N35" s="556" t="s">
        <v>31598</v>
      </c>
      <c r="O35" s="556" t="s">
        <v>4</v>
      </c>
      <c r="P35" s="556">
        <v>10</v>
      </c>
      <c r="Q35" s="556" t="s">
        <v>7</v>
      </c>
      <c r="R35" s="556" t="s">
        <v>31535</v>
      </c>
      <c r="S35" s="556" t="s">
        <v>4</v>
      </c>
      <c r="T35" s="556" t="s">
        <v>2</v>
      </c>
      <c r="U35" s="556" t="s">
        <v>4</v>
      </c>
      <c r="V35" s="556"/>
      <c r="W35" s="556" t="s">
        <v>4</v>
      </c>
      <c r="X35" s="556" t="s">
        <v>4</v>
      </c>
      <c r="Y35" s="557">
        <v>43748</v>
      </c>
      <c r="Z35" s="557" t="str">
        <f>IF(OR(T35="yes",Y35&gt;'SDG outcome'!$C$27),"yes","no")</f>
        <v>no</v>
      </c>
      <c r="AA35" s="558" t="str">
        <f t="shared" si="0"/>
        <v/>
      </c>
      <c r="AB35" s="558" t="str">
        <f>IF(AND(Z35="no",AND(Y35&gt;='SDG outcome'!$B$16,Y35&lt;'SDG outcome'!$C$27)),Y35-'SDG outcome'!$B$16,"")</f>
        <v/>
      </c>
      <c r="AC35" s="556" t="s">
        <v>31572</v>
      </c>
      <c r="AD35" s="556" t="s">
        <v>4</v>
      </c>
      <c r="AE35" s="556" t="s">
        <v>2</v>
      </c>
      <c r="AF35" s="556" t="s">
        <v>4</v>
      </c>
      <c r="AG35" s="556" t="s">
        <v>31778</v>
      </c>
      <c r="AH35" s="556" t="s">
        <v>7</v>
      </c>
      <c r="AI35" s="557" t="s">
        <v>9</v>
      </c>
      <c r="AJ35" s="556" t="s">
        <v>4</v>
      </c>
      <c r="AK35" s="556"/>
      <c r="AL35" s="556"/>
      <c r="AM35" s="556"/>
      <c r="AN35" s="556"/>
      <c r="AO35" s="556"/>
      <c r="AP35" s="556"/>
      <c r="AQ35" s="556"/>
      <c r="AR35" s="556"/>
      <c r="AS35" s="556"/>
      <c r="AT35" s="556"/>
      <c r="AU35" s="556"/>
      <c r="AV35" s="556"/>
      <c r="AW35" s="556"/>
      <c r="AX35" s="556"/>
      <c r="AY35" s="556"/>
      <c r="AZ35" s="556"/>
      <c r="BA35" s="556"/>
      <c r="BB35" s="556"/>
      <c r="BC35" s="556"/>
      <c r="BD35" s="556"/>
      <c r="BE35" s="556"/>
      <c r="BF35" s="556"/>
      <c r="BG35" s="556"/>
      <c r="BH35" s="556"/>
      <c r="BI35" s="556"/>
      <c r="BJ35" s="556"/>
      <c r="BK35" s="556"/>
      <c r="BL35" s="556"/>
      <c r="BM35" s="556"/>
      <c r="BN35" s="556"/>
      <c r="BO35" s="556"/>
      <c r="BP35" s="556"/>
      <c r="BQ35" s="556"/>
      <c r="BR35" s="556"/>
      <c r="BS35" s="556"/>
      <c r="BT35" s="556"/>
      <c r="BU35" s="556"/>
      <c r="BV35" s="556"/>
      <c r="BW35" s="556"/>
      <c r="BX35" s="556"/>
      <c r="BY35" s="556"/>
      <c r="BZ35" s="556"/>
      <c r="CA35" s="556"/>
      <c r="CB35" s="556"/>
      <c r="CC35" s="556"/>
      <c r="CD35" s="556"/>
      <c r="CE35" s="556"/>
      <c r="CF35" s="556"/>
      <c r="CG35" s="556"/>
      <c r="CH35" s="556"/>
      <c r="CI35" s="556"/>
      <c r="CJ35" s="556"/>
      <c r="CK35" s="556"/>
      <c r="CL35" s="556"/>
      <c r="CM35" s="556"/>
      <c r="CN35" s="556"/>
      <c r="CO35" s="556"/>
      <c r="CP35" s="556"/>
      <c r="CQ35" s="556"/>
      <c r="CR35" s="556"/>
      <c r="CS35" s="556"/>
      <c r="CT35" s="556"/>
      <c r="CU35" s="556"/>
      <c r="CV35" s="556"/>
      <c r="CW35" s="556"/>
      <c r="CX35" s="556"/>
      <c r="CY35" s="556"/>
      <c r="CZ35" s="556"/>
      <c r="DA35" s="556"/>
      <c r="DB35" s="556"/>
      <c r="DC35" s="556"/>
      <c r="DD35" s="556"/>
      <c r="DE35" s="556"/>
      <c r="DF35" s="556"/>
      <c r="DG35" s="556"/>
      <c r="DH35" s="556"/>
      <c r="DI35" s="556"/>
      <c r="DJ35" s="556"/>
      <c r="DK35" s="556"/>
      <c r="DL35" s="556"/>
      <c r="DM35" s="556"/>
      <c r="DN35" s="556"/>
      <c r="DO35" s="556"/>
      <c r="DP35" s="556"/>
      <c r="DQ35" s="556"/>
      <c r="DR35" s="556"/>
      <c r="DS35" s="556"/>
      <c r="DT35" s="559"/>
      <c r="DU35" s="556"/>
      <c r="DV35" s="559"/>
      <c r="DW35" s="556"/>
      <c r="DX35" s="556"/>
      <c r="DY35" s="556"/>
      <c r="DZ35" s="556"/>
      <c r="EA35" s="556"/>
      <c r="EB35" s="556"/>
      <c r="EC35" s="556"/>
      <c r="ED35" s="556"/>
      <c r="EE35" s="560"/>
      <c r="EF35" s="560"/>
      <c r="EG35" s="560"/>
      <c r="EH35" s="560"/>
      <c r="EI35" s="560"/>
      <c r="EJ35" s="556"/>
      <c r="EK35" s="556"/>
      <c r="EL35" s="556"/>
      <c r="EM35" s="556"/>
      <c r="EN35" s="556"/>
      <c r="EO35" s="556"/>
      <c r="EP35" s="556"/>
      <c r="EQ35" s="556"/>
      <c r="ER35" s="556"/>
      <c r="ES35" s="556"/>
      <c r="ET35" s="556"/>
      <c r="EU35" s="556"/>
      <c r="EV35" s="560"/>
      <c r="EW35" s="560"/>
      <c r="EX35" s="560"/>
      <c r="EY35" s="560"/>
      <c r="EZ35" s="560"/>
      <c r="FA35" s="556"/>
      <c r="FB35" s="556"/>
      <c r="FC35" s="556"/>
      <c r="FD35" s="556"/>
      <c r="FE35" s="556"/>
      <c r="FF35" s="556"/>
      <c r="FG35" s="556"/>
      <c r="FH35" s="556"/>
      <c r="FI35" s="556"/>
      <c r="FJ35" s="556"/>
      <c r="FK35" s="556"/>
      <c r="FL35" s="556"/>
      <c r="FM35" s="556"/>
      <c r="FN35" s="556"/>
      <c r="FO35" s="556"/>
      <c r="FP35" s="556"/>
      <c r="FQ35" s="556"/>
      <c r="FR35" s="556"/>
      <c r="FS35" s="556"/>
      <c r="FT35" s="556"/>
      <c r="FU35" s="556"/>
      <c r="FV35" s="556"/>
      <c r="FW35" s="556"/>
      <c r="FX35" s="556"/>
      <c r="FY35" s="556"/>
      <c r="FZ35" s="556"/>
      <c r="GA35" s="556"/>
      <c r="GB35" s="559"/>
      <c r="GC35" s="556"/>
      <c r="GD35" s="556"/>
      <c r="GE35" s="556"/>
      <c r="GF35" s="556"/>
      <c r="GG35" s="556"/>
      <c r="GH35" s="556"/>
      <c r="GI35" s="556"/>
      <c r="GJ35" s="556"/>
      <c r="GK35" s="556"/>
      <c r="GL35" s="556"/>
      <c r="GM35" s="556"/>
      <c r="GN35" s="556"/>
      <c r="GO35" s="556"/>
      <c r="GP35" s="556"/>
      <c r="GQ35" s="556"/>
      <c r="GR35" s="556"/>
      <c r="GS35" s="556"/>
      <c r="GT35" s="556"/>
      <c r="GU35" s="556"/>
      <c r="GV35" s="556"/>
      <c r="GW35" s="556"/>
      <c r="GX35" s="556"/>
      <c r="GY35" s="556"/>
      <c r="GZ35" s="556"/>
      <c r="HA35" s="556"/>
      <c r="HB35" s="556"/>
      <c r="HC35" s="556"/>
      <c r="HD35" s="556"/>
      <c r="HE35" s="556"/>
      <c r="HF35" s="556"/>
      <c r="HG35" s="556"/>
      <c r="HH35" s="556"/>
      <c r="HI35" s="556"/>
      <c r="HJ35" s="559"/>
      <c r="HK35" s="556"/>
      <c r="HL35" s="556"/>
      <c r="HM35" s="556"/>
      <c r="HN35" s="556"/>
      <c r="HO35" s="556"/>
      <c r="HP35" s="556"/>
      <c r="HQ35" s="556"/>
      <c r="HR35" s="556"/>
      <c r="HS35" s="556"/>
      <c r="HT35" s="556"/>
      <c r="HU35" s="556"/>
      <c r="HV35" s="556"/>
      <c r="HW35" s="556"/>
      <c r="HX35" s="556"/>
      <c r="HY35" s="556"/>
      <c r="HZ35" s="556" t="s">
        <v>30260</v>
      </c>
      <c r="IA35" s="556" t="s">
        <v>7</v>
      </c>
      <c r="IB35" s="556" t="s">
        <v>30261</v>
      </c>
      <c r="IC35" s="556" t="s">
        <v>16</v>
      </c>
      <c r="ID35" s="556" t="s">
        <v>30262</v>
      </c>
      <c r="IE35" s="556" t="s">
        <v>30263</v>
      </c>
      <c r="IF35" s="556" t="s">
        <v>30264</v>
      </c>
      <c r="IG35" s="556" t="s">
        <v>30265</v>
      </c>
      <c r="IH35" s="556" t="s">
        <v>30266</v>
      </c>
    </row>
    <row r="36" spans="1:242" s="561" customFormat="1" ht="36.75" customHeight="1" x14ac:dyDescent="0.2">
      <c r="A36" s="556">
        <v>30</v>
      </c>
      <c r="B36" s="556" t="s">
        <v>10</v>
      </c>
      <c r="C36" s="556" t="s">
        <v>29671</v>
      </c>
      <c r="D36" s="556" t="s">
        <v>29563</v>
      </c>
      <c r="E36" s="556" t="s">
        <v>7</v>
      </c>
      <c r="F36" s="556" t="s">
        <v>29672</v>
      </c>
      <c r="G36" s="556">
        <v>1091.4000000000001</v>
      </c>
      <c r="H36" s="556">
        <v>4</v>
      </c>
      <c r="I36" s="556" t="s">
        <v>29288</v>
      </c>
      <c r="J36" s="556" t="s">
        <v>4</v>
      </c>
      <c r="K36" s="556" t="s">
        <v>29673</v>
      </c>
      <c r="L36" s="556">
        <v>772876937</v>
      </c>
      <c r="M36" s="556" t="s">
        <v>3</v>
      </c>
      <c r="N36" s="556" t="s">
        <v>31590</v>
      </c>
      <c r="O36" s="556" t="s">
        <v>4</v>
      </c>
      <c r="P36" s="556">
        <v>7</v>
      </c>
      <c r="Q36" s="556" t="s">
        <v>7</v>
      </c>
      <c r="R36" s="556" t="s">
        <v>31655</v>
      </c>
      <c r="S36" s="556" t="s">
        <v>4</v>
      </c>
      <c r="T36" s="556" t="s">
        <v>2</v>
      </c>
      <c r="U36" s="556" t="s">
        <v>4</v>
      </c>
      <c r="V36" s="556"/>
      <c r="W36" s="556" t="s">
        <v>4</v>
      </c>
      <c r="X36" s="556" t="s">
        <v>4</v>
      </c>
      <c r="Y36" s="557">
        <v>43786</v>
      </c>
      <c r="Z36" s="557" t="str">
        <f>IF(OR(T36="yes",Y36&gt;'SDG outcome'!$C$27),"yes","no")</f>
        <v>no</v>
      </c>
      <c r="AA36" s="558" t="str">
        <f t="shared" si="0"/>
        <v/>
      </c>
      <c r="AB36" s="558" t="str">
        <f>IF(AND(Z36="no",AND(Y36&gt;='SDG outcome'!$B$16,Y36&lt;'SDG outcome'!$C$27)),Y36-'SDG outcome'!$B$16,"")</f>
        <v/>
      </c>
      <c r="AC36" s="556" t="s">
        <v>8</v>
      </c>
      <c r="AD36" s="556" t="s">
        <v>31674</v>
      </c>
      <c r="AE36" s="556" t="s">
        <v>4</v>
      </c>
      <c r="AF36" s="556" t="s">
        <v>4</v>
      </c>
      <c r="AG36" s="556" t="s">
        <v>4</v>
      </c>
      <c r="AH36" s="556" t="s">
        <v>4</v>
      </c>
      <c r="AI36" s="557" t="s">
        <v>4</v>
      </c>
      <c r="AJ36" s="556" t="s">
        <v>4</v>
      </c>
      <c r="AK36" s="556"/>
      <c r="AL36" s="556"/>
      <c r="AM36" s="556"/>
      <c r="AN36" s="556"/>
      <c r="AO36" s="556"/>
      <c r="AP36" s="556"/>
      <c r="AQ36" s="556"/>
      <c r="AR36" s="556"/>
      <c r="AS36" s="556"/>
      <c r="AT36" s="556"/>
      <c r="AU36" s="556"/>
      <c r="AV36" s="556"/>
      <c r="AW36" s="556"/>
      <c r="AX36" s="556"/>
      <c r="AY36" s="556"/>
      <c r="AZ36" s="556"/>
      <c r="BA36" s="556"/>
      <c r="BB36" s="556"/>
      <c r="BC36" s="556"/>
      <c r="BD36" s="556"/>
      <c r="BE36" s="556"/>
      <c r="BF36" s="556"/>
      <c r="BG36" s="556"/>
      <c r="BH36" s="556"/>
      <c r="BI36" s="556"/>
      <c r="BJ36" s="556"/>
      <c r="BK36" s="556"/>
      <c r="BL36" s="556"/>
      <c r="BM36" s="556"/>
      <c r="BN36" s="556"/>
      <c r="BO36" s="556"/>
      <c r="BP36" s="556"/>
      <c r="BQ36" s="556"/>
      <c r="BR36" s="556"/>
      <c r="BS36" s="556"/>
      <c r="BT36" s="556"/>
      <c r="BU36" s="556"/>
      <c r="BV36" s="556"/>
      <c r="BW36" s="556"/>
      <c r="BX36" s="556"/>
      <c r="BY36" s="556"/>
      <c r="BZ36" s="556"/>
      <c r="CA36" s="556"/>
      <c r="CB36" s="556"/>
      <c r="CC36" s="556"/>
      <c r="CD36" s="556"/>
      <c r="CE36" s="556"/>
      <c r="CF36" s="556"/>
      <c r="CG36" s="556"/>
      <c r="CH36" s="556"/>
      <c r="CI36" s="556"/>
      <c r="CJ36" s="556"/>
      <c r="CK36" s="556"/>
      <c r="CL36" s="556"/>
      <c r="CM36" s="556"/>
      <c r="CN36" s="556"/>
      <c r="CO36" s="556"/>
      <c r="CP36" s="556"/>
      <c r="CQ36" s="556"/>
      <c r="CR36" s="556"/>
      <c r="CS36" s="556"/>
      <c r="CT36" s="556"/>
      <c r="CU36" s="556"/>
      <c r="CV36" s="556"/>
      <c r="CW36" s="556"/>
      <c r="CX36" s="556"/>
      <c r="CY36" s="556"/>
      <c r="CZ36" s="556"/>
      <c r="DA36" s="556"/>
      <c r="DB36" s="556"/>
      <c r="DC36" s="556"/>
      <c r="DD36" s="556"/>
      <c r="DE36" s="556"/>
      <c r="DF36" s="556"/>
      <c r="DG36" s="556"/>
      <c r="DH36" s="556"/>
      <c r="DI36" s="556"/>
      <c r="DJ36" s="556"/>
      <c r="DK36" s="556"/>
      <c r="DL36" s="556"/>
      <c r="DM36" s="556"/>
      <c r="DN36" s="556"/>
      <c r="DO36" s="556"/>
      <c r="DP36" s="556"/>
      <c r="DQ36" s="556"/>
      <c r="DR36" s="556"/>
      <c r="DS36" s="556"/>
      <c r="DT36" s="559"/>
      <c r="DU36" s="556"/>
      <c r="DV36" s="559"/>
      <c r="DW36" s="556"/>
      <c r="DX36" s="556"/>
      <c r="DY36" s="556"/>
      <c r="DZ36" s="556"/>
      <c r="EA36" s="556"/>
      <c r="EB36" s="556"/>
      <c r="EC36" s="556"/>
      <c r="ED36" s="556"/>
      <c r="EE36" s="560"/>
      <c r="EF36" s="560"/>
      <c r="EG36" s="560"/>
      <c r="EH36" s="560"/>
      <c r="EI36" s="560"/>
      <c r="EJ36" s="556"/>
      <c r="EK36" s="556"/>
      <c r="EL36" s="556"/>
      <c r="EM36" s="556"/>
      <c r="EN36" s="556"/>
      <c r="EO36" s="556"/>
      <c r="EP36" s="556"/>
      <c r="EQ36" s="556"/>
      <c r="ER36" s="556"/>
      <c r="ES36" s="556"/>
      <c r="ET36" s="556"/>
      <c r="EU36" s="556"/>
      <c r="EV36" s="560"/>
      <c r="EW36" s="560"/>
      <c r="EX36" s="560"/>
      <c r="EY36" s="560"/>
      <c r="EZ36" s="560"/>
      <c r="FA36" s="556"/>
      <c r="FB36" s="556"/>
      <c r="FC36" s="556"/>
      <c r="FD36" s="556"/>
      <c r="FE36" s="556"/>
      <c r="FF36" s="556"/>
      <c r="FG36" s="556"/>
      <c r="FH36" s="556"/>
      <c r="FI36" s="556"/>
      <c r="FJ36" s="556"/>
      <c r="FK36" s="556"/>
      <c r="FL36" s="556"/>
      <c r="FM36" s="556"/>
      <c r="FN36" s="556"/>
      <c r="FO36" s="556"/>
      <c r="FP36" s="556"/>
      <c r="FQ36" s="556"/>
      <c r="FR36" s="556"/>
      <c r="FS36" s="556"/>
      <c r="FT36" s="556"/>
      <c r="FU36" s="556"/>
      <c r="FV36" s="556"/>
      <c r="FW36" s="556"/>
      <c r="FX36" s="556"/>
      <c r="FY36" s="556"/>
      <c r="FZ36" s="556"/>
      <c r="GA36" s="556"/>
      <c r="GB36" s="559"/>
      <c r="GC36" s="556"/>
      <c r="GD36" s="556"/>
      <c r="GE36" s="556"/>
      <c r="GF36" s="556"/>
      <c r="GG36" s="556"/>
      <c r="GH36" s="556"/>
      <c r="GI36" s="556"/>
      <c r="GJ36" s="556"/>
      <c r="GK36" s="556"/>
      <c r="GL36" s="556"/>
      <c r="GM36" s="556"/>
      <c r="GN36" s="556"/>
      <c r="GO36" s="556"/>
      <c r="GP36" s="556"/>
      <c r="GQ36" s="556"/>
      <c r="GR36" s="556"/>
      <c r="GS36" s="556"/>
      <c r="GT36" s="556"/>
      <c r="GU36" s="556"/>
      <c r="GV36" s="556"/>
      <c r="GW36" s="556"/>
      <c r="GX36" s="556"/>
      <c r="GY36" s="556"/>
      <c r="GZ36" s="556"/>
      <c r="HA36" s="556"/>
      <c r="HB36" s="556"/>
      <c r="HC36" s="556"/>
      <c r="HD36" s="556"/>
      <c r="HE36" s="556"/>
      <c r="HF36" s="556"/>
      <c r="HG36" s="556"/>
      <c r="HH36" s="556"/>
      <c r="HI36" s="556"/>
      <c r="HJ36" s="559"/>
      <c r="HK36" s="556"/>
      <c r="HL36" s="556"/>
      <c r="HM36" s="556"/>
      <c r="HN36" s="556"/>
      <c r="HO36" s="556"/>
      <c r="HP36" s="556"/>
      <c r="HQ36" s="556"/>
      <c r="HR36" s="556"/>
      <c r="HS36" s="556"/>
      <c r="HT36" s="556"/>
      <c r="HU36" s="556"/>
      <c r="HV36" s="556"/>
      <c r="HW36" s="556"/>
      <c r="HX36" s="556"/>
      <c r="HY36" s="556"/>
      <c r="HZ36" s="556" t="s">
        <v>16</v>
      </c>
      <c r="IA36" s="556" t="s">
        <v>7</v>
      </c>
      <c r="IB36" s="556" t="s">
        <v>29674</v>
      </c>
      <c r="IC36" s="556" t="s">
        <v>29675</v>
      </c>
      <c r="ID36" s="556" t="s">
        <v>29676</v>
      </c>
      <c r="IE36" s="556" t="s">
        <v>29677</v>
      </c>
      <c r="IF36" s="556" t="s">
        <v>29678</v>
      </c>
      <c r="IG36" s="556" t="s">
        <v>29679</v>
      </c>
      <c r="IH36" s="556" t="s">
        <v>29680</v>
      </c>
    </row>
    <row r="37" spans="1:242" s="561" customFormat="1" ht="36.75" customHeight="1" x14ac:dyDescent="0.2">
      <c r="A37" s="556">
        <v>132</v>
      </c>
      <c r="B37" s="556" t="s">
        <v>14749</v>
      </c>
      <c r="C37" s="556" t="s">
        <v>30710</v>
      </c>
      <c r="D37" s="556" t="s">
        <v>30699</v>
      </c>
      <c r="E37" s="556" t="s">
        <v>7</v>
      </c>
      <c r="F37" s="556" t="s">
        <v>30711</v>
      </c>
      <c r="G37" s="556">
        <v>1155.4000000000001</v>
      </c>
      <c r="H37" s="556">
        <v>5.0999999999999996</v>
      </c>
      <c r="I37" s="556" t="s">
        <v>29349</v>
      </c>
      <c r="J37" s="556" t="s">
        <v>4</v>
      </c>
      <c r="K37" s="556" t="s">
        <v>30712</v>
      </c>
      <c r="L37" s="556">
        <v>764671342</v>
      </c>
      <c r="M37" s="556" t="s">
        <v>3</v>
      </c>
      <c r="N37" s="556" t="s">
        <v>31598</v>
      </c>
      <c r="O37" s="556" t="s">
        <v>4</v>
      </c>
      <c r="P37" s="556">
        <v>9</v>
      </c>
      <c r="Q37" s="556" t="s">
        <v>7</v>
      </c>
      <c r="R37" s="556" t="s">
        <v>31549</v>
      </c>
      <c r="S37" s="556" t="s">
        <v>4</v>
      </c>
      <c r="T37" s="556" t="s">
        <v>2</v>
      </c>
      <c r="U37" s="556" t="s">
        <v>4</v>
      </c>
      <c r="V37" s="556"/>
      <c r="W37" s="556" t="s">
        <v>4</v>
      </c>
      <c r="X37" s="556" t="s">
        <v>4</v>
      </c>
      <c r="Y37" s="557">
        <v>43839</v>
      </c>
      <c r="Z37" s="557" t="str">
        <f>IF(OR(T37="yes",Y37&gt;'SDG outcome'!$C$27),"yes","no")</f>
        <v>no</v>
      </c>
      <c r="AA37" s="558" t="str">
        <f t="shared" si="0"/>
        <v/>
      </c>
      <c r="AB37" s="558" t="str">
        <f>IF(AND(Z37="no",AND(Y37&gt;='SDG outcome'!$B$16,Y37&lt;'SDG outcome'!$C$27)),Y37-'SDG outcome'!$B$16,"")</f>
        <v/>
      </c>
      <c r="AC37" s="556" t="s">
        <v>31699</v>
      </c>
      <c r="AD37" s="556" t="s">
        <v>4</v>
      </c>
      <c r="AE37" s="556" t="s">
        <v>4</v>
      </c>
      <c r="AF37" s="556" t="s">
        <v>4</v>
      </c>
      <c r="AG37" s="556" t="s">
        <v>4</v>
      </c>
      <c r="AH37" s="556" t="s">
        <v>2</v>
      </c>
      <c r="AI37" s="557" t="s">
        <v>4</v>
      </c>
      <c r="AJ37" s="557" t="s">
        <v>4</v>
      </c>
      <c r="AK37" s="557"/>
      <c r="AL37" s="557"/>
      <c r="AM37" s="557"/>
      <c r="AN37" s="557"/>
      <c r="AO37" s="557"/>
      <c r="AP37" s="557"/>
      <c r="AQ37" s="557"/>
      <c r="AR37" s="557"/>
      <c r="AS37" s="557"/>
      <c r="AT37" s="557"/>
      <c r="AU37" s="557"/>
      <c r="AV37" s="557"/>
      <c r="AW37" s="557"/>
      <c r="AX37" s="557"/>
      <c r="AY37" s="557"/>
      <c r="AZ37" s="557"/>
      <c r="BA37" s="557"/>
      <c r="BB37" s="557"/>
      <c r="BC37" s="557"/>
      <c r="BD37" s="557"/>
      <c r="BE37" s="557"/>
      <c r="BF37" s="557"/>
      <c r="BG37" s="557"/>
      <c r="BH37" s="557"/>
      <c r="BI37" s="557"/>
      <c r="BJ37" s="557"/>
      <c r="BK37" s="557"/>
      <c r="BL37" s="557"/>
      <c r="BM37" s="557"/>
      <c r="BN37" s="557"/>
      <c r="BO37" s="557"/>
      <c r="BP37" s="557"/>
      <c r="BQ37" s="557"/>
      <c r="BR37" s="557"/>
      <c r="BS37" s="557"/>
      <c r="BT37" s="557"/>
      <c r="BU37" s="557"/>
      <c r="BV37" s="556"/>
      <c r="BW37" s="556"/>
      <c r="BX37" s="556"/>
      <c r="BY37" s="557"/>
      <c r="BZ37" s="557"/>
      <c r="CA37" s="557"/>
      <c r="CB37" s="557"/>
      <c r="CC37" s="557"/>
      <c r="CD37" s="557"/>
      <c r="CE37" s="557"/>
      <c r="CF37" s="557"/>
      <c r="CG37" s="557"/>
      <c r="CH37" s="557"/>
      <c r="CI37" s="558"/>
      <c r="CJ37" s="558"/>
      <c r="CK37" s="558"/>
      <c r="CL37" s="556"/>
      <c r="CM37" s="558"/>
      <c r="CN37" s="558"/>
      <c r="CO37" s="558"/>
      <c r="CP37" s="558"/>
      <c r="CQ37" s="558"/>
      <c r="CR37" s="558"/>
      <c r="CS37" s="556"/>
      <c r="CT37" s="557"/>
      <c r="CU37" s="557"/>
      <c r="CV37" s="557"/>
      <c r="CW37" s="557"/>
      <c r="CX37" s="557"/>
      <c r="CY37" s="557"/>
      <c r="CZ37" s="557"/>
      <c r="DA37" s="557"/>
      <c r="DB37" s="557"/>
      <c r="DC37" s="557"/>
      <c r="DD37" s="557"/>
      <c r="DE37" s="557"/>
      <c r="DF37" s="557"/>
      <c r="DG37" s="557"/>
      <c r="DH37" s="557"/>
      <c r="DI37" s="557"/>
      <c r="DJ37" s="557"/>
      <c r="DK37" s="557"/>
      <c r="DL37" s="557"/>
      <c r="DM37" s="557"/>
      <c r="DN37" s="557"/>
      <c r="DO37" s="557"/>
      <c r="DP37" s="557"/>
      <c r="DQ37" s="557"/>
      <c r="DR37" s="557"/>
      <c r="DS37" s="557"/>
      <c r="DT37" s="559"/>
      <c r="DU37" s="557"/>
      <c r="DV37" s="559"/>
      <c r="DW37" s="557"/>
      <c r="DX37" s="557"/>
      <c r="DY37" s="557"/>
      <c r="DZ37" s="557"/>
      <c r="EA37" s="557"/>
      <c r="EB37" s="557"/>
      <c r="EC37" s="557"/>
      <c r="ED37" s="557"/>
      <c r="EE37" s="560"/>
      <c r="EF37" s="560"/>
      <c r="EG37" s="560"/>
      <c r="EH37" s="560"/>
      <c r="EI37" s="560"/>
      <c r="EJ37" s="557"/>
      <c r="EK37" s="557"/>
      <c r="EL37" s="557"/>
      <c r="EM37" s="557"/>
      <c r="EN37" s="557"/>
      <c r="EO37" s="556"/>
      <c r="EP37" s="557"/>
      <c r="EQ37" s="557"/>
      <c r="ER37" s="557"/>
      <c r="ES37" s="557"/>
      <c r="ET37" s="556"/>
      <c r="EU37" s="557"/>
      <c r="EV37" s="560"/>
      <c r="EW37" s="560"/>
      <c r="EX37" s="560"/>
      <c r="EY37" s="560"/>
      <c r="EZ37" s="560"/>
      <c r="FA37" s="557"/>
      <c r="FB37" s="557"/>
      <c r="FC37" s="557"/>
      <c r="FD37" s="556"/>
      <c r="FE37" s="557"/>
      <c r="FF37" s="557"/>
      <c r="FG37" s="557"/>
      <c r="FH37" s="557"/>
      <c r="FI37" s="557"/>
      <c r="FJ37" s="557"/>
      <c r="FK37" s="557"/>
      <c r="FL37" s="557"/>
      <c r="FM37" s="557"/>
      <c r="FN37" s="556"/>
      <c r="FO37" s="557"/>
      <c r="FP37" s="557"/>
      <c r="FQ37" s="557"/>
      <c r="FR37" s="557"/>
      <c r="FS37" s="557"/>
      <c r="FT37" s="557"/>
      <c r="FU37" s="557"/>
      <c r="FV37" s="557"/>
      <c r="FW37" s="557"/>
      <c r="FX37" s="557"/>
      <c r="FY37" s="557"/>
      <c r="FZ37" s="557"/>
      <c r="GA37" s="557"/>
      <c r="GB37" s="559"/>
      <c r="GC37" s="557"/>
      <c r="GD37" s="557"/>
      <c r="GE37" s="557"/>
      <c r="GF37" s="557"/>
      <c r="GG37" s="557"/>
      <c r="GH37" s="557"/>
      <c r="GI37" s="557"/>
      <c r="GJ37" s="557"/>
      <c r="GK37" s="557"/>
      <c r="GL37" s="557"/>
      <c r="GM37" s="557"/>
      <c r="GN37" s="557"/>
      <c r="GO37" s="557"/>
      <c r="GP37" s="557"/>
      <c r="GQ37" s="557"/>
      <c r="GR37" s="557"/>
      <c r="GS37" s="557"/>
      <c r="GT37" s="557"/>
      <c r="GU37" s="557"/>
      <c r="GV37" s="557"/>
      <c r="GW37" s="557"/>
      <c r="GX37" s="557"/>
      <c r="GY37" s="557"/>
      <c r="GZ37" s="557"/>
      <c r="HA37" s="557"/>
      <c r="HB37" s="557"/>
      <c r="HC37" s="557"/>
      <c r="HD37" s="557"/>
      <c r="HE37" s="557"/>
      <c r="HF37" s="557"/>
      <c r="HG37" s="557"/>
      <c r="HH37" s="557"/>
      <c r="HI37" s="557"/>
      <c r="HJ37" s="559"/>
      <c r="HK37" s="557"/>
      <c r="HL37" s="557"/>
      <c r="HM37" s="557"/>
      <c r="HN37" s="557"/>
      <c r="HO37" s="557"/>
      <c r="HP37" s="557"/>
      <c r="HQ37" s="557"/>
      <c r="HR37" s="557"/>
      <c r="HS37" s="557"/>
      <c r="HT37" s="557"/>
      <c r="HU37" s="557"/>
      <c r="HV37" s="557"/>
      <c r="HW37" s="557"/>
      <c r="HX37" s="557"/>
      <c r="HY37" s="557"/>
      <c r="HZ37" s="556" t="s">
        <v>30713</v>
      </c>
      <c r="IA37" s="556" t="s">
        <v>2</v>
      </c>
      <c r="IB37" s="556" t="s">
        <v>4</v>
      </c>
      <c r="IC37" s="556" t="s">
        <v>16</v>
      </c>
      <c r="ID37" s="556" t="s">
        <v>9</v>
      </c>
      <c r="IE37" s="556" t="s">
        <v>9</v>
      </c>
      <c r="IF37" s="556" t="s">
        <v>9</v>
      </c>
      <c r="IG37" s="556" t="s">
        <v>9</v>
      </c>
      <c r="IH37" s="556" t="s">
        <v>30710</v>
      </c>
    </row>
    <row r="38" spans="1:242" s="561" customFormat="1" ht="36.75" customHeight="1" x14ac:dyDescent="0.2">
      <c r="A38" s="556">
        <v>72</v>
      </c>
      <c r="B38" s="556" t="s">
        <v>4289</v>
      </c>
      <c r="C38" s="556" t="s">
        <v>30112</v>
      </c>
      <c r="D38" s="556" t="s">
        <v>30002</v>
      </c>
      <c r="E38" s="556" t="s">
        <v>7</v>
      </c>
      <c r="F38" s="556" t="s">
        <v>30113</v>
      </c>
      <c r="G38" s="556">
        <v>1086</v>
      </c>
      <c r="H38" s="556">
        <v>4.3</v>
      </c>
      <c r="I38" s="556" t="s">
        <v>29319</v>
      </c>
      <c r="J38" s="556" t="s">
        <v>4</v>
      </c>
      <c r="K38" s="556" t="s">
        <v>30114</v>
      </c>
      <c r="L38" s="556">
        <v>781291712</v>
      </c>
      <c r="M38" s="556" t="s">
        <v>5</v>
      </c>
      <c r="N38" s="556" t="s">
        <v>31438</v>
      </c>
      <c r="O38" s="556">
        <v>62</v>
      </c>
      <c r="P38" s="556">
        <v>5</v>
      </c>
      <c r="Q38" s="556" t="s">
        <v>7</v>
      </c>
      <c r="R38" s="556" t="s">
        <v>31549</v>
      </c>
      <c r="S38" s="556" t="s">
        <v>4</v>
      </c>
      <c r="T38" s="556" t="s">
        <v>2</v>
      </c>
      <c r="U38" s="556" t="s">
        <v>4</v>
      </c>
      <c r="V38" s="556"/>
      <c r="W38" s="556" t="s">
        <v>4</v>
      </c>
      <c r="X38" s="556" t="s">
        <v>4</v>
      </c>
      <c r="Y38" s="557">
        <v>43862</v>
      </c>
      <c r="Z38" s="557" t="str">
        <f>IF(OR(T38="yes",Y38&gt;'SDG outcome'!$C$27),"yes","no")</f>
        <v>no</v>
      </c>
      <c r="AA38" s="558" t="str">
        <f t="shared" si="0"/>
        <v/>
      </c>
      <c r="AB38" s="558" t="str">
        <f>IF(AND(Z38="no",AND(Y38&gt;='SDG outcome'!$B$16,Y38&lt;'SDG outcome'!$C$27)),Y38-'SDG outcome'!$B$16,"")</f>
        <v/>
      </c>
      <c r="AC38" s="556" t="s">
        <v>31572</v>
      </c>
      <c r="AD38" s="556" t="s">
        <v>4</v>
      </c>
      <c r="AE38" s="556" t="s">
        <v>7</v>
      </c>
      <c r="AF38" s="556" t="s">
        <v>31755</v>
      </c>
      <c r="AG38" s="556" t="s">
        <v>4</v>
      </c>
      <c r="AH38" s="556" t="s">
        <v>7</v>
      </c>
      <c r="AI38" s="557">
        <v>45270</v>
      </c>
      <c r="AJ38" s="556" t="s">
        <v>4</v>
      </c>
      <c r="AK38" s="556"/>
      <c r="AL38" s="556"/>
      <c r="AM38" s="556"/>
      <c r="AN38" s="556"/>
      <c r="AO38" s="556"/>
      <c r="AP38" s="556"/>
      <c r="AQ38" s="556"/>
      <c r="AR38" s="556"/>
      <c r="AS38" s="556"/>
      <c r="AT38" s="556"/>
      <c r="AU38" s="556"/>
      <c r="AV38" s="556"/>
      <c r="AW38" s="556"/>
      <c r="AX38" s="556"/>
      <c r="AY38" s="556"/>
      <c r="AZ38" s="556"/>
      <c r="BA38" s="556"/>
      <c r="BB38" s="556"/>
      <c r="BC38" s="556"/>
      <c r="BD38" s="556"/>
      <c r="BE38" s="556"/>
      <c r="BF38" s="556"/>
      <c r="BG38" s="556"/>
      <c r="BH38" s="556"/>
      <c r="BI38" s="556"/>
      <c r="BJ38" s="556"/>
      <c r="BK38" s="556"/>
      <c r="BL38" s="556"/>
      <c r="BM38" s="556"/>
      <c r="BN38" s="556"/>
      <c r="BO38" s="556"/>
      <c r="BP38" s="556"/>
      <c r="BQ38" s="556"/>
      <c r="BR38" s="556"/>
      <c r="BS38" s="562"/>
      <c r="BT38" s="556"/>
      <c r="BU38" s="556"/>
      <c r="BV38" s="556"/>
      <c r="BW38" s="556"/>
      <c r="BX38" s="556"/>
      <c r="BY38" s="556"/>
      <c r="BZ38" s="556"/>
      <c r="CA38" s="556"/>
      <c r="CB38" s="556"/>
      <c r="CC38" s="556"/>
      <c r="CD38" s="556"/>
      <c r="CE38" s="556"/>
      <c r="CF38" s="556"/>
      <c r="CG38" s="556"/>
      <c r="CH38" s="556"/>
      <c r="CI38" s="556"/>
      <c r="CJ38" s="556"/>
      <c r="CK38" s="556"/>
      <c r="CL38" s="556"/>
      <c r="CM38" s="556"/>
      <c r="CN38" s="556"/>
      <c r="CO38" s="556"/>
      <c r="CP38" s="556"/>
      <c r="CQ38" s="556"/>
      <c r="CR38" s="556"/>
      <c r="CS38" s="556"/>
      <c r="CT38" s="556"/>
      <c r="CU38" s="556"/>
      <c r="CV38" s="556"/>
      <c r="CW38" s="556"/>
      <c r="CX38" s="556"/>
      <c r="CY38" s="556"/>
      <c r="CZ38" s="556"/>
      <c r="DA38" s="556"/>
      <c r="DB38" s="556"/>
      <c r="DC38" s="556"/>
      <c r="DD38" s="556"/>
      <c r="DE38" s="556"/>
      <c r="DF38" s="556"/>
      <c r="DG38" s="556"/>
      <c r="DH38" s="556"/>
      <c r="DI38" s="556"/>
      <c r="DJ38" s="556"/>
      <c r="DK38" s="556"/>
      <c r="DL38" s="556"/>
      <c r="DM38" s="556"/>
      <c r="DN38" s="556"/>
      <c r="DO38" s="556"/>
      <c r="DP38" s="556"/>
      <c r="DQ38" s="556"/>
      <c r="DR38" s="556"/>
      <c r="DS38" s="556"/>
      <c r="DT38" s="559"/>
      <c r="DU38" s="556"/>
      <c r="DV38" s="559"/>
      <c r="DW38" s="556"/>
      <c r="DX38" s="556"/>
      <c r="DY38" s="556"/>
      <c r="DZ38" s="556"/>
      <c r="EA38" s="556"/>
      <c r="EB38" s="556"/>
      <c r="EC38" s="556"/>
      <c r="ED38" s="556"/>
      <c r="EE38" s="560"/>
      <c r="EF38" s="560"/>
      <c r="EG38" s="560"/>
      <c r="EH38" s="560"/>
      <c r="EI38" s="560"/>
      <c r="EJ38" s="556"/>
      <c r="EK38" s="556"/>
      <c r="EL38" s="556"/>
      <c r="EM38" s="556"/>
      <c r="EN38" s="556"/>
      <c r="EO38" s="556"/>
      <c r="EP38" s="556"/>
      <c r="EQ38" s="556"/>
      <c r="ER38" s="556"/>
      <c r="ES38" s="556"/>
      <c r="ET38" s="556"/>
      <c r="EU38" s="556"/>
      <c r="EV38" s="560"/>
      <c r="EW38" s="560"/>
      <c r="EX38" s="560"/>
      <c r="EY38" s="560"/>
      <c r="EZ38" s="560"/>
      <c r="FA38" s="556"/>
      <c r="FB38" s="556"/>
      <c r="FC38" s="556"/>
      <c r="FD38" s="556"/>
      <c r="FE38" s="556"/>
      <c r="FF38" s="556"/>
      <c r="FG38" s="556"/>
      <c r="FH38" s="556"/>
      <c r="FI38" s="556"/>
      <c r="FJ38" s="556"/>
      <c r="FK38" s="556"/>
      <c r="FL38" s="556"/>
      <c r="FM38" s="556"/>
      <c r="FN38" s="556"/>
      <c r="FO38" s="556"/>
      <c r="FP38" s="556"/>
      <c r="FQ38" s="556"/>
      <c r="FR38" s="556"/>
      <c r="FS38" s="556"/>
      <c r="FT38" s="556"/>
      <c r="FU38" s="556"/>
      <c r="FV38" s="556"/>
      <c r="FW38" s="556"/>
      <c r="FX38" s="556"/>
      <c r="FY38" s="556"/>
      <c r="FZ38" s="556"/>
      <c r="GA38" s="556"/>
      <c r="GB38" s="559"/>
      <c r="GC38" s="556"/>
      <c r="GD38" s="556"/>
      <c r="GE38" s="556"/>
      <c r="GF38" s="556"/>
      <c r="GG38" s="556"/>
      <c r="GH38" s="556"/>
      <c r="GI38" s="556"/>
      <c r="GJ38" s="556"/>
      <c r="GK38" s="556"/>
      <c r="GL38" s="556"/>
      <c r="GM38" s="556"/>
      <c r="GN38" s="556"/>
      <c r="GO38" s="556"/>
      <c r="GP38" s="556"/>
      <c r="GQ38" s="556"/>
      <c r="GR38" s="556"/>
      <c r="GS38" s="556"/>
      <c r="GT38" s="556"/>
      <c r="GU38" s="556"/>
      <c r="GV38" s="556"/>
      <c r="GW38" s="556"/>
      <c r="GX38" s="556"/>
      <c r="GY38" s="556"/>
      <c r="GZ38" s="556"/>
      <c r="HA38" s="556"/>
      <c r="HB38" s="556"/>
      <c r="HC38" s="556"/>
      <c r="HD38" s="556"/>
      <c r="HE38" s="556"/>
      <c r="HF38" s="556"/>
      <c r="HG38" s="556"/>
      <c r="HH38" s="556"/>
      <c r="HI38" s="556"/>
      <c r="HJ38" s="559"/>
      <c r="HK38" s="556"/>
      <c r="HL38" s="556"/>
      <c r="HM38" s="556"/>
      <c r="HN38" s="556"/>
      <c r="HO38" s="556"/>
      <c r="HP38" s="556"/>
      <c r="HQ38" s="556"/>
      <c r="HR38" s="556"/>
      <c r="HS38" s="556"/>
      <c r="HT38" s="556"/>
      <c r="HU38" s="556"/>
      <c r="HV38" s="556"/>
      <c r="HW38" s="556"/>
      <c r="HX38" s="556"/>
      <c r="HY38" s="556"/>
      <c r="HZ38" s="556" t="s">
        <v>30115</v>
      </c>
      <c r="IA38" s="556" t="s">
        <v>7</v>
      </c>
      <c r="IB38" s="556" t="s">
        <v>30116</v>
      </c>
      <c r="IC38" s="556" t="s">
        <v>72</v>
      </c>
      <c r="ID38" s="556" t="s">
        <v>30117</v>
      </c>
      <c r="IE38" s="556" t="s">
        <v>30118</v>
      </c>
      <c r="IF38" s="556" t="s">
        <v>30119</v>
      </c>
      <c r="IG38" s="556" t="s">
        <v>30120</v>
      </c>
      <c r="IH38" s="556" t="s">
        <v>30121</v>
      </c>
    </row>
    <row r="39" spans="1:242" s="561" customFormat="1" ht="36.75" customHeight="1" x14ac:dyDescent="0.2">
      <c r="A39" s="556">
        <v>179</v>
      </c>
      <c r="B39" s="556" t="s">
        <v>23226</v>
      </c>
      <c r="C39" s="556" t="s">
        <v>31182</v>
      </c>
      <c r="D39" s="556" t="s">
        <v>56</v>
      </c>
      <c r="E39" s="556" t="s">
        <v>7</v>
      </c>
      <c r="F39" s="556" t="s">
        <v>31183</v>
      </c>
      <c r="G39" s="556">
        <v>1439.5</v>
      </c>
      <c r="H39" s="556">
        <v>4.7</v>
      </c>
      <c r="I39" s="556" t="s">
        <v>29288</v>
      </c>
      <c r="J39" s="556" t="s">
        <v>4</v>
      </c>
      <c r="K39" s="556" t="s">
        <v>31184</v>
      </c>
      <c r="L39" s="556">
        <v>773195569</v>
      </c>
      <c r="M39" s="556" t="s">
        <v>3</v>
      </c>
      <c r="N39" s="556" t="s">
        <v>31590</v>
      </c>
      <c r="O39" s="556" t="s">
        <v>4</v>
      </c>
      <c r="P39" s="556">
        <v>6</v>
      </c>
      <c r="Q39" s="556" t="s">
        <v>7</v>
      </c>
      <c r="R39" s="556" t="s">
        <v>31588</v>
      </c>
      <c r="S39" s="556" t="s">
        <v>4</v>
      </c>
      <c r="T39" s="556" t="s">
        <v>2</v>
      </c>
      <c r="U39" s="556" t="s">
        <v>4</v>
      </c>
      <c r="V39" s="556"/>
      <c r="W39" s="556" t="s">
        <v>4</v>
      </c>
      <c r="X39" s="556" t="s">
        <v>4</v>
      </c>
      <c r="Y39" s="557">
        <v>43891</v>
      </c>
      <c r="Z39" s="557" t="str">
        <f>IF(OR(T39="yes",Y39&gt;'SDG outcome'!$C$27),"yes","no")</f>
        <v>no</v>
      </c>
      <c r="AA39" s="558" t="str">
        <f t="shared" si="0"/>
        <v/>
      </c>
      <c r="AB39" s="558" t="str">
        <f>IF(AND(Z39="no",AND(Y39&gt;='SDG outcome'!$B$16,Y39&lt;'SDG outcome'!$C$27)),Y39-'SDG outcome'!$B$16,"")</f>
        <v/>
      </c>
      <c r="AC39" s="556" t="s">
        <v>31572</v>
      </c>
      <c r="AD39" s="556" t="s">
        <v>4</v>
      </c>
      <c r="AE39" s="556" t="s">
        <v>7</v>
      </c>
      <c r="AF39" s="556" t="s">
        <v>31937</v>
      </c>
      <c r="AG39" s="556" t="s">
        <v>4</v>
      </c>
      <c r="AH39" s="556" t="s">
        <v>7</v>
      </c>
      <c r="AI39" s="557">
        <v>45180</v>
      </c>
      <c r="AJ39" s="556" t="s">
        <v>4</v>
      </c>
      <c r="AK39" s="556"/>
      <c r="AL39" s="556"/>
      <c r="AM39" s="556"/>
      <c r="AN39" s="556"/>
      <c r="AO39" s="556"/>
      <c r="AP39" s="556"/>
      <c r="AQ39" s="556"/>
      <c r="AR39" s="556"/>
      <c r="AS39" s="556"/>
      <c r="AT39" s="556"/>
      <c r="AU39" s="556"/>
      <c r="AV39" s="556"/>
      <c r="AW39" s="556"/>
      <c r="AX39" s="556"/>
      <c r="AY39" s="556"/>
      <c r="AZ39" s="556"/>
      <c r="BA39" s="556"/>
      <c r="BB39" s="556"/>
      <c r="BC39" s="556"/>
      <c r="BD39" s="556"/>
      <c r="BE39" s="556"/>
      <c r="BF39" s="556"/>
      <c r="BG39" s="556"/>
      <c r="BH39" s="556"/>
      <c r="BI39" s="556"/>
      <c r="BJ39" s="556"/>
      <c r="BK39" s="556"/>
      <c r="BL39" s="556"/>
      <c r="BM39" s="556"/>
      <c r="BN39" s="556"/>
      <c r="BO39" s="556"/>
      <c r="BP39" s="556"/>
      <c r="BQ39" s="556"/>
      <c r="BR39" s="556"/>
      <c r="BS39" s="556"/>
      <c r="BT39" s="556"/>
      <c r="BU39" s="556"/>
      <c r="BV39" s="556"/>
      <c r="BW39" s="556"/>
      <c r="BX39" s="556"/>
      <c r="BY39" s="556"/>
      <c r="BZ39" s="556"/>
      <c r="CA39" s="556"/>
      <c r="CB39" s="556"/>
      <c r="CC39" s="556"/>
      <c r="CD39" s="556"/>
      <c r="CE39" s="556"/>
      <c r="CF39" s="556"/>
      <c r="CG39" s="556"/>
      <c r="CH39" s="556"/>
      <c r="CI39" s="556"/>
      <c r="CJ39" s="556"/>
      <c r="CK39" s="556"/>
      <c r="CL39" s="556"/>
      <c r="CM39" s="556"/>
      <c r="CN39" s="556"/>
      <c r="CO39" s="556"/>
      <c r="CP39" s="556"/>
      <c r="CQ39" s="556"/>
      <c r="CR39" s="556"/>
      <c r="CS39" s="556"/>
      <c r="CT39" s="556"/>
      <c r="CU39" s="556"/>
      <c r="CV39" s="556"/>
      <c r="CW39" s="556"/>
      <c r="CX39" s="556"/>
      <c r="CY39" s="556"/>
      <c r="CZ39" s="556"/>
      <c r="DA39" s="556"/>
      <c r="DB39" s="556"/>
      <c r="DC39" s="556"/>
      <c r="DD39" s="556"/>
      <c r="DE39" s="556"/>
      <c r="DF39" s="556"/>
      <c r="DG39" s="556"/>
      <c r="DH39" s="556"/>
      <c r="DI39" s="556"/>
      <c r="DJ39" s="556"/>
      <c r="DK39" s="556"/>
      <c r="DL39" s="556"/>
      <c r="DM39" s="556"/>
      <c r="DN39" s="556"/>
      <c r="DO39" s="556"/>
      <c r="DP39" s="556"/>
      <c r="DQ39" s="556"/>
      <c r="DR39" s="556"/>
      <c r="DS39" s="556"/>
      <c r="DT39" s="559"/>
      <c r="DU39" s="556"/>
      <c r="DV39" s="559"/>
      <c r="DW39" s="556"/>
      <c r="DX39" s="556"/>
      <c r="DY39" s="556"/>
      <c r="DZ39" s="556"/>
      <c r="EA39" s="556"/>
      <c r="EB39" s="556"/>
      <c r="EC39" s="556"/>
      <c r="ED39" s="556"/>
      <c r="EE39" s="560"/>
      <c r="EF39" s="560"/>
      <c r="EG39" s="560"/>
      <c r="EH39" s="560"/>
      <c r="EI39" s="560"/>
      <c r="EJ39" s="556"/>
      <c r="EK39" s="556"/>
      <c r="EL39" s="556"/>
      <c r="EM39" s="556"/>
      <c r="EN39" s="556"/>
      <c r="EO39" s="556"/>
      <c r="EP39" s="556"/>
      <c r="EQ39" s="556"/>
      <c r="ER39" s="556"/>
      <c r="ES39" s="556"/>
      <c r="ET39" s="556"/>
      <c r="EU39" s="556"/>
      <c r="EV39" s="560"/>
      <c r="EW39" s="560"/>
      <c r="EX39" s="560"/>
      <c r="EY39" s="560"/>
      <c r="EZ39" s="560"/>
      <c r="FA39" s="556"/>
      <c r="FB39" s="556"/>
      <c r="FC39" s="556"/>
      <c r="FD39" s="556"/>
      <c r="FE39" s="556"/>
      <c r="FF39" s="556"/>
      <c r="FG39" s="556"/>
      <c r="FH39" s="556"/>
      <c r="FI39" s="556"/>
      <c r="FJ39" s="556"/>
      <c r="FK39" s="556"/>
      <c r="FL39" s="556"/>
      <c r="FM39" s="556"/>
      <c r="FN39" s="556"/>
      <c r="FO39" s="556"/>
      <c r="FP39" s="556"/>
      <c r="FQ39" s="556"/>
      <c r="FR39" s="556"/>
      <c r="FS39" s="556"/>
      <c r="FT39" s="556"/>
      <c r="FU39" s="556"/>
      <c r="FV39" s="556"/>
      <c r="FW39" s="556"/>
      <c r="FX39" s="556"/>
      <c r="FY39" s="556"/>
      <c r="FZ39" s="556"/>
      <c r="GA39" s="556"/>
      <c r="GB39" s="559"/>
      <c r="GC39" s="556"/>
      <c r="GD39" s="556"/>
      <c r="GE39" s="556"/>
      <c r="GF39" s="556"/>
      <c r="GG39" s="556"/>
      <c r="GH39" s="556"/>
      <c r="GI39" s="556"/>
      <c r="GJ39" s="556"/>
      <c r="GK39" s="556"/>
      <c r="GL39" s="556"/>
      <c r="GM39" s="556"/>
      <c r="GN39" s="556"/>
      <c r="GO39" s="556"/>
      <c r="GP39" s="556"/>
      <c r="GQ39" s="556"/>
      <c r="GR39" s="556"/>
      <c r="GS39" s="556"/>
      <c r="GT39" s="556"/>
      <c r="GU39" s="556"/>
      <c r="GV39" s="556"/>
      <c r="GW39" s="556"/>
      <c r="GX39" s="556"/>
      <c r="GY39" s="556"/>
      <c r="GZ39" s="556"/>
      <c r="HA39" s="556"/>
      <c r="HB39" s="556"/>
      <c r="HC39" s="556"/>
      <c r="HD39" s="556"/>
      <c r="HE39" s="556"/>
      <c r="HF39" s="556"/>
      <c r="HG39" s="556"/>
      <c r="HH39" s="556"/>
      <c r="HI39" s="556"/>
      <c r="HJ39" s="559"/>
      <c r="HK39" s="556"/>
      <c r="HL39" s="556"/>
      <c r="HM39" s="556"/>
      <c r="HN39" s="556"/>
      <c r="HO39" s="556"/>
      <c r="HP39" s="556"/>
      <c r="HQ39" s="556"/>
      <c r="HR39" s="556"/>
      <c r="HS39" s="556"/>
      <c r="HT39" s="556"/>
      <c r="HU39" s="556"/>
      <c r="HV39" s="556"/>
      <c r="HW39" s="556"/>
      <c r="HX39" s="556"/>
      <c r="HY39" s="556"/>
      <c r="HZ39" s="556" t="s">
        <v>31185</v>
      </c>
      <c r="IA39" s="556" t="s">
        <v>7</v>
      </c>
      <c r="IB39" s="556" t="s">
        <v>31186</v>
      </c>
      <c r="IC39" s="556" t="s">
        <v>16</v>
      </c>
      <c r="ID39" s="556" t="s">
        <v>31187</v>
      </c>
      <c r="IE39" s="556" t="s">
        <v>9</v>
      </c>
      <c r="IF39" s="556" t="s">
        <v>31188</v>
      </c>
      <c r="IG39" s="556" t="s">
        <v>9</v>
      </c>
      <c r="IH39" s="556" t="s">
        <v>31182</v>
      </c>
    </row>
    <row r="40" spans="1:242" s="561" customFormat="1" ht="36.75" customHeight="1" x14ac:dyDescent="0.2">
      <c r="A40" s="556">
        <v>138</v>
      </c>
      <c r="B40" s="556" t="s">
        <v>9915</v>
      </c>
      <c r="C40" s="556" t="s">
        <v>30766</v>
      </c>
      <c r="D40" s="556" t="s">
        <v>30699</v>
      </c>
      <c r="E40" s="556" t="s">
        <v>7</v>
      </c>
      <c r="F40" s="556" t="s">
        <v>30767</v>
      </c>
      <c r="G40" s="556">
        <v>1305.4000000000001</v>
      </c>
      <c r="H40" s="556">
        <v>4.9000000000000004</v>
      </c>
      <c r="I40" s="556" t="s">
        <v>29288</v>
      </c>
      <c r="J40" s="556" t="s">
        <v>4</v>
      </c>
      <c r="K40" s="556" t="s">
        <v>30768</v>
      </c>
      <c r="L40" s="556">
        <v>781170847</v>
      </c>
      <c r="M40" s="556" t="s">
        <v>3</v>
      </c>
      <c r="N40" s="556" t="s">
        <v>31598</v>
      </c>
      <c r="O40" s="556" t="s">
        <v>4</v>
      </c>
      <c r="P40" s="556">
        <v>8</v>
      </c>
      <c r="Q40" s="556" t="s">
        <v>7</v>
      </c>
      <c r="R40" s="556" t="s">
        <v>31535</v>
      </c>
      <c r="S40" s="556" t="s">
        <v>4</v>
      </c>
      <c r="T40" s="556" t="s">
        <v>2</v>
      </c>
      <c r="U40" s="556" t="s">
        <v>4</v>
      </c>
      <c r="V40" s="556"/>
      <c r="W40" s="556" t="s">
        <v>4</v>
      </c>
      <c r="X40" s="556" t="s">
        <v>4</v>
      </c>
      <c r="Y40" s="557">
        <v>43905</v>
      </c>
      <c r="Z40" s="557" t="str">
        <f>IF(OR(T40="yes",Y40&gt;'SDG outcome'!$C$27),"yes","no")</f>
        <v>no</v>
      </c>
      <c r="AA40" s="558" t="str">
        <f t="shared" si="0"/>
        <v/>
      </c>
      <c r="AB40" s="558" t="str">
        <f>IF(AND(Z40="no",AND(Y40&gt;='SDG outcome'!$B$16,Y40&lt;'SDG outcome'!$C$27)),Y40-'SDG outcome'!$B$16,"")</f>
        <v/>
      </c>
      <c r="AC40" s="556" t="s">
        <v>31572</v>
      </c>
      <c r="AD40" s="556" t="s">
        <v>4</v>
      </c>
      <c r="AE40" s="556" t="s">
        <v>7</v>
      </c>
      <c r="AF40" s="556" t="s">
        <v>31865</v>
      </c>
      <c r="AG40" s="556" t="s">
        <v>4</v>
      </c>
      <c r="AH40" s="556" t="s">
        <v>7</v>
      </c>
      <c r="AI40" s="557">
        <v>45231</v>
      </c>
      <c r="AJ40" s="556" t="s">
        <v>4</v>
      </c>
      <c r="AK40" s="556"/>
      <c r="AL40" s="556"/>
      <c r="AM40" s="556"/>
      <c r="AN40" s="556"/>
      <c r="AO40" s="556"/>
      <c r="AP40" s="556"/>
      <c r="AQ40" s="556"/>
      <c r="AR40" s="556"/>
      <c r="AS40" s="556"/>
      <c r="AT40" s="556"/>
      <c r="AU40" s="556"/>
      <c r="AV40" s="556"/>
      <c r="AW40" s="556"/>
      <c r="AX40" s="556"/>
      <c r="AY40" s="556"/>
      <c r="AZ40" s="556"/>
      <c r="BA40" s="556"/>
      <c r="BB40" s="556"/>
      <c r="BC40" s="556"/>
      <c r="BD40" s="556"/>
      <c r="BE40" s="556"/>
      <c r="BF40" s="556"/>
      <c r="BG40" s="556"/>
      <c r="BH40" s="556"/>
      <c r="BI40" s="556"/>
      <c r="BJ40" s="556"/>
      <c r="BK40" s="556"/>
      <c r="BL40" s="556"/>
      <c r="BM40" s="556"/>
      <c r="BN40" s="556"/>
      <c r="BO40" s="556"/>
      <c r="BP40" s="556"/>
      <c r="BQ40" s="556"/>
      <c r="BR40" s="556"/>
      <c r="BS40" s="556"/>
      <c r="BT40" s="556"/>
      <c r="BU40" s="556"/>
      <c r="BV40" s="556"/>
      <c r="BW40" s="556"/>
      <c r="BX40" s="556"/>
      <c r="BY40" s="556"/>
      <c r="BZ40" s="556"/>
      <c r="CA40" s="556"/>
      <c r="CB40" s="556"/>
      <c r="CC40" s="556"/>
      <c r="CD40" s="556"/>
      <c r="CE40" s="556"/>
      <c r="CF40" s="556"/>
      <c r="CG40" s="556"/>
      <c r="CH40" s="556"/>
      <c r="CI40" s="556"/>
      <c r="CJ40" s="556"/>
      <c r="CK40" s="556"/>
      <c r="CL40" s="556"/>
      <c r="CM40" s="556"/>
      <c r="CN40" s="556"/>
      <c r="CO40" s="556"/>
      <c r="CP40" s="556"/>
      <c r="CQ40" s="556"/>
      <c r="CR40" s="556"/>
      <c r="CS40" s="556"/>
      <c r="CT40" s="556"/>
      <c r="CU40" s="556"/>
      <c r="CV40" s="556"/>
      <c r="CW40" s="556"/>
      <c r="CX40" s="556"/>
      <c r="CY40" s="556"/>
      <c r="CZ40" s="556"/>
      <c r="DA40" s="556"/>
      <c r="DB40" s="556"/>
      <c r="DC40" s="556"/>
      <c r="DD40" s="556"/>
      <c r="DE40" s="556"/>
      <c r="DF40" s="556"/>
      <c r="DG40" s="556"/>
      <c r="DH40" s="556"/>
      <c r="DI40" s="556"/>
      <c r="DJ40" s="556"/>
      <c r="DK40" s="556"/>
      <c r="DL40" s="556"/>
      <c r="DM40" s="556"/>
      <c r="DN40" s="556"/>
      <c r="DO40" s="556"/>
      <c r="DP40" s="556"/>
      <c r="DQ40" s="556"/>
      <c r="DR40" s="556"/>
      <c r="DS40" s="556"/>
      <c r="DT40" s="559"/>
      <c r="DU40" s="556"/>
      <c r="DV40" s="559"/>
      <c r="DW40" s="556"/>
      <c r="DX40" s="556"/>
      <c r="DY40" s="556"/>
      <c r="DZ40" s="556"/>
      <c r="EA40" s="556"/>
      <c r="EB40" s="556"/>
      <c r="EC40" s="556"/>
      <c r="ED40" s="556"/>
      <c r="EE40" s="560"/>
      <c r="EF40" s="560"/>
      <c r="EG40" s="560"/>
      <c r="EH40" s="560"/>
      <c r="EI40" s="560"/>
      <c r="EJ40" s="556"/>
      <c r="EK40" s="556"/>
      <c r="EL40" s="556"/>
      <c r="EM40" s="556"/>
      <c r="EN40" s="556"/>
      <c r="EO40" s="556"/>
      <c r="EP40" s="556"/>
      <c r="EQ40" s="556"/>
      <c r="ER40" s="556"/>
      <c r="ES40" s="556"/>
      <c r="ET40" s="556"/>
      <c r="EU40" s="556"/>
      <c r="EV40" s="560"/>
      <c r="EW40" s="560"/>
      <c r="EX40" s="560"/>
      <c r="EY40" s="560"/>
      <c r="EZ40" s="560"/>
      <c r="FA40" s="556"/>
      <c r="FB40" s="556"/>
      <c r="FC40" s="556"/>
      <c r="FD40" s="556"/>
      <c r="FE40" s="556"/>
      <c r="FF40" s="556"/>
      <c r="FG40" s="556"/>
      <c r="FH40" s="556"/>
      <c r="FI40" s="556"/>
      <c r="FJ40" s="556"/>
      <c r="FK40" s="556"/>
      <c r="FL40" s="556"/>
      <c r="FM40" s="556"/>
      <c r="FN40" s="556"/>
      <c r="FO40" s="556"/>
      <c r="FP40" s="556"/>
      <c r="FQ40" s="556"/>
      <c r="FR40" s="556"/>
      <c r="FS40" s="556"/>
      <c r="FT40" s="556"/>
      <c r="FU40" s="556"/>
      <c r="FV40" s="556"/>
      <c r="FW40" s="556"/>
      <c r="FX40" s="556"/>
      <c r="FY40" s="556"/>
      <c r="FZ40" s="556"/>
      <c r="GA40" s="556"/>
      <c r="GB40" s="559"/>
      <c r="GC40" s="556"/>
      <c r="GD40" s="556"/>
      <c r="GE40" s="556"/>
      <c r="GF40" s="556"/>
      <c r="GG40" s="556"/>
      <c r="GH40" s="556"/>
      <c r="GI40" s="556"/>
      <c r="GJ40" s="556"/>
      <c r="GK40" s="556"/>
      <c r="GL40" s="556"/>
      <c r="GM40" s="556"/>
      <c r="GN40" s="556"/>
      <c r="GO40" s="556"/>
      <c r="GP40" s="556"/>
      <c r="GQ40" s="556"/>
      <c r="GR40" s="556"/>
      <c r="GS40" s="556"/>
      <c r="GT40" s="556"/>
      <c r="GU40" s="556"/>
      <c r="GV40" s="556"/>
      <c r="GW40" s="556"/>
      <c r="GX40" s="556"/>
      <c r="GY40" s="556"/>
      <c r="GZ40" s="556"/>
      <c r="HA40" s="556"/>
      <c r="HB40" s="556"/>
      <c r="HC40" s="556"/>
      <c r="HD40" s="556"/>
      <c r="HE40" s="556"/>
      <c r="HF40" s="556"/>
      <c r="HG40" s="556"/>
      <c r="HH40" s="556"/>
      <c r="HI40" s="556"/>
      <c r="HJ40" s="559"/>
      <c r="HK40" s="556"/>
      <c r="HL40" s="556"/>
      <c r="HM40" s="556"/>
      <c r="HN40" s="556"/>
      <c r="HO40" s="556"/>
      <c r="HP40" s="556"/>
      <c r="HQ40" s="556"/>
      <c r="HR40" s="556"/>
      <c r="HS40" s="556"/>
      <c r="HT40" s="556"/>
      <c r="HU40" s="556"/>
      <c r="HV40" s="556"/>
      <c r="HW40" s="556"/>
      <c r="HX40" s="556"/>
      <c r="HY40" s="556"/>
      <c r="HZ40" s="556" t="s">
        <v>30769</v>
      </c>
      <c r="IA40" s="556" t="s">
        <v>7</v>
      </c>
      <c r="IB40" s="556" t="s">
        <v>30770</v>
      </c>
      <c r="IC40" s="556" t="s">
        <v>30771</v>
      </c>
      <c r="ID40" s="556" t="s">
        <v>30772</v>
      </c>
      <c r="IE40" s="556" t="s">
        <v>30773</v>
      </c>
      <c r="IF40" s="556" t="s">
        <v>30774</v>
      </c>
      <c r="IG40" s="556" t="s">
        <v>30775</v>
      </c>
      <c r="IH40" s="556" t="s">
        <v>30766</v>
      </c>
    </row>
    <row r="41" spans="1:242" s="561" customFormat="1" ht="36.75" customHeight="1" x14ac:dyDescent="0.2">
      <c r="A41" s="556">
        <v>89</v>
      </c>
      <c r="B41" s="556" t="s">
        <v>11159</v>
      </c>
      <c r="C41" s="556" t="s">
        <v>30282</v>
      </c>
      <c r="D41" s="556" t="s">
        <v>30207</v>
      </c>
      <c r="E41" s="556" t="s">
        <v>7</v>
      </c>
      <c r="F41" s="556" t="s">
        <v>30283</v>
      </c>
      <c r="G41" s="556">
        <v>1035.7</v>
      </c>
      <c r="H41" s="556">
        <v>4.5999999999999996</v>
      </c>
      <c r="I41" s="556" t="s">
        <v>29319</v>
      </c>
      <c r="J41" s="556" t="s">
        <v>4</v>
      </c>
      <c r="K41" s="556" t="s">
        <v>30284</v>
      </c>
      <c r="L41" s="556">
        <v>772210416</v>
      </c>
      <c r="M41" s="556" t="s">
        <v>5</v>
      </c>
      <c r="N41" s="556" t="s">
        <v>31438</v>
      </c>
      <c r="O41" s="556">
        <v>52</v>
      </c>
      <c r="P41" s="556">
        <v>14</v>
      </c>
      <c r="Q41" s="556" t="s">
        <v>7</v>
      </c>
      <c r="R41" s="556" t="s">
        <v>31535</v>
      </c>
      <c r="S41" s="556" t="s">
        <v>4</v>
      </c>
      <c r="T41" s="556" t="s">
        <v>2</v>
      </c>
      <c r="U41" s="556" t="s">
        <v>4</v>
      </c>
      <c r="V41" s="556"/>
      <c r="W41" s="556" t="s">
        <v>4</v>
      </c>
      <c r="X41" s="556" t="s">
        <v>4</v>
      </c>
      <c r="Y41" s="557">
        <v>43960</v>
      </c>
      <c r="Z41" s="557" t="str">
        <f>IF(OR(T41="yes",Y41&gt;'SDG outcome'!$C$27),"yes","no")</f>
        <v>no</v>
      </c>
      <c r="AA41" s="558" t="str">
        <f t="shared" si="0"/>
        <v/>
      </c>
      <c r="AB41" s="558" t="str">
        <f>IF(AND(Z41="no",AND(Y41&gt;='SDG outcome'!$B$16,Y41&lt;'SDG outcome'!$C$27)),Y41-'SDG outcome'!$B$16,"")</f>
        <v/>
      </c>
      <c r="AC41" s="556" t="s">
        <v>8</v>
      </c>
      <c r="AD41" s="556" t="s">
        <v>31785</v>
      </c>
      <c r="AE41" s="556" t="s">
        <v>4</v>
      </c>
      <c r="AF41" s="556" t="s">
        <v>4</v>
      </c>
      <c r="AG41" s="556" t="s">
        <v>4</v>
      </c>
      <c r="AH41" s="556" t="s">
        <v>7</v>
      </c>
      <c r="AI41" s="557" t="s">
        <v>9</v>
      </c>
      <c r="AJ41" s="556" t="s">
        <v>4</v>
      </c>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6"/>
      <c r="BM41" s="556"/>
      <c r="BN41" s="556"/>
      <c r="BO41" s="556"/>
      <c r="BP41" s="556"/>
      <c r="BQ41" s="556"/>
      <c r="BR41" s="556"/>
      <c r="BS41" s="556"/>
      <c r="BT41" s="556"/>
      <c r="BU41" s="556"/>
      <c r="BV41" s="556"/>
      <c r="BW41" s="556"/>
      <c r="BX41" s="556"/>
      <c r="BY41" s="556"/>
      <c r="BZ41" s="556"/>
      <c r="CA41" s="556"/>
      <c r="CB41" s="556"/>
      <c r="CC41" s="556"/>
      <c r="CD41" s="556"/>
      <c r="CE41" s="556"/>
      <c r="CF41" s="556"/>
      <c r="CG41" s="556"/>
      <c r="CH41" s="556"/>
      <c r="CI41" s="556"/>
      <c r="CJ41" s="556"/>
      <c r="CK41" s="556"/>
      <c r="CL41" s="556"/>
      <c r="CM41" s="556"/>
      <c r="CN41" s="556"/>
      <c r="CO41" s="556"/>
      <c r="CP41" s="556"/>
      <c r="CQ41" s="556"/>
      <c r="CR41" s="556"/>
      <c r="CS41" s="556"/>
      <c r="CT41" s="556"/>
      <c r="CU41" s="556"/>
      <c r="CV41" s="556"/>
      <c r="CW41" s="556"/>
      <c r="CX41" s="556"/>
      <c r="CY41" s="556"/>
      <c r="CZ41" s="556"/>
      <c r="DA41" s="556"/>
      <c r="DB41" s="556"/>
      <c r="DC41" s="556"/>
      <c r="DD41" s="556"/>
      <c r="DE41" s="556"/>
      <c r="DF41" s="556"/>
      <c r="DG41" s="556"/>
      <c r="DH41" s="556"/>
      <c r="DI41" s="556"/>
      <c r="DJ41" s="556"/>
      <c r="DK41" s="556"/>
      <c r="DL41" s="556"/>
      <c r="DM41" s="556"/>
      <c r="DN41" s="556"/>
      <c r="DO41" s="556"/>
      <c r="DP41" s="556"/>
      <c r="DQ41" s="556"/>
      <c r="DR41" s="556"/>
      <c r="DS41" s="556"/>
      <c r="DT41" s="559"/>
      <c r="DU41" s="556"/>
      <c r="DV41" s="559"/>
      <c r="DW41" s="556"/>
      <c r="DX41" s="556"/>
      <c r="DY41" s="556"/>
      <c r="DZ41" s="556"/>
      <c r="EA41" s="556"/>
      <c r="EB41" s="556"/>
      <c r="EC41" s="556"/>
      <c r="ED41" s="556"/>
      <c r="EE41" s="560"/>
      <c r="EF41" s="560"/>
      <c r="EG41" s="560"/>
      <c r="EH41" s="560"/>
      <c r="EI41" s="560"/>
      <c r="EJ41" s="556"/>
      <c r="EK41" s="556"/>
      <c r="EL41" s="556"/>
      <c r="EM41" s="556"/>
      <c r="EN41" s="556"/>
      <c r="EO41" s="556"/>
      <c r="EP41" s="556"/>
      <c r="EQ41" s="556"/>
      <c r="ER41" s="556"/>
      <c r="ES41" s="556"/>
      <c r="ET41" s="556"/>
      <c r="EU41" s="556"/>
      <c r="EV41" s="560"/>
      <c r="EW41" s="560"/>
      <c r="EX41" s="560"/>
      <c r="EY41" s="560"/>
      <c r="EZ41" s="560"/>
      <c r="FA41" s="556"/>
      <c r="FB41" s="556"/>
      <c r="FC41" s="556"/>
      <c r="FD41" s="556"/>
      <c r="FE41" s="556"/>
      <c r="FF41" s="556"/>
      <c r="FG41" s="556"/>
      <c r="FH41" s="556"/>
      <c r="FI41" s="556"/>
      <c r="FJ41" s="556"/>
      <c r="FK41" s="556"/>
      <c r="FL41" s="556"/>
      <c r="FM41" s="556"/>
      <c r="FN41" s="556"/>
      <c r="FO41" s="556"/>
      <c r="FP41" s="556"/>
      <c r="FQ41" s="556"/>
      <c r="FR41" s="556"/>
      <c r="FS41" s="556"/>
      <c r="FT41" s="556"/>
      <c r="FU41" s="556"/>
      <c r="FV41" s="556"/>
      <c r="FW41" s="556"/>
      <c r="FX41" s="556"/>
      <c r="FY41" s="556"/>
      <c r="FZ41" s="556"/>
      <c r="GA41" s="556"/>
      <c r="GB41" s="559"/>
      <c r="GC41" s="556"/>
      <c r="GD41" s="556"/>
      <c r="GE41" s="556"/>
      <c r="GF41" s="556"/>
      <c r="GG41" s="556"/>
      <c r="GH41" s="556"/>
      <c r="GI41" s="556"/>
      <c r="GJ41" s="556"/>
      <c r="GK41" s="556"/>
      <c r="GL41" s="556"/>
      <c r="GM41" s="556"/>
      <c r="GN41" s="556"/>
      <c r="GO41" s="556"/>
      <c r="GP41" s="556"/>
      <c r="GQ41" s="556"/>
      <c r="GR41" s="556"/>
      <c r="GS41" s="556"/>
      <c r="GT41" s="556"/>
      <c r="GU41" s="556"/>
      <c r="GV41" s="556"/>
      <c r="GW41" s="556"/>
      <c r="GX41" s="556"/>
      <c r="GY41" s="556"/>
      <c r="GZ41" s="556"/>
      <c r="HA41" s="556"/>
      <c r="HB41" s="556"/>
      <c r="HC41" s="556"/>
      <c r="HD41" s="556"/>
      <c r="HE41" s="556"/>
      <c r="HF41" s="556"/>
      <c r="HG41" s="556"/>
      <c r="HH41" s="556"/>
      <c r="HI41" s="556"/>
      <c r="HJ41" s="559"/>
      <c r="HK41" s="556"/>
      <c r="HL41" s="556"/>
      <c r="HM41" s="556"/>
      <c r="HN41" s="556"/>
      <c r="HO41" s="556"/>
      <c r="HP41" s="556"/>
      <c r="HQ41" s="556"/>
      <c r="HR41" s="556"/>
      <c r="HS41" s="556"/>
      <c r="HT41" s="556"/>
      <c r="HU41" s="556"/>
      <c r="HV41" s="556"/>
      <c r="HW41" s="556"/>
      <c r="HX41" s="556"/>
      <c r="HY41" s="556"/>
      <c r="HZ41" s="556" t="s">
        <v>30285</v>
      </c>
      <c r="IA41" s="556" t="s">
        <v>7</v>
      </c>
      <c r="IB41" s="556" t="s">
        <v>30286</v>
      </c>
      <c r="IC41" s="556" t="s">
        <v>30287</v>
      </c>
      <c r="ID41" s="556" t="s">
        <v>30288</v>
      </c>
      <c r="IE41" s="556" t="s">
        <v>9</v>
      </c>
      <c r="IF41" s="556" t="s">
        <v>30289</v>
      </c>
      <c r="IG41" s="556" t="s">
        <v>9</v>
      </c>
      <c r="IH41" s="556" t="s">
        <v>30290</v>
      </c>
    </row>
    <row r="42" spans="1:242" s="561" customFormat="1" ht="36.75" customHeight="1" x14ac:dyDescent="0.2">
      <c r="A42" s="556">
        <v>84</v>
      </c>
      <c r="B42" s="556" t="s">
        <v>13138</v>
      </c>
      <c r="C42" s="556" t="s">
        <v>30228</v>
      </c>
      <c r="D42" s="556" t="s">
        <v>30207</v>
      </c>
      <c r="E42" s="556" t="s">
        <v>7</v>
      </c>
      <c r="F42" s="556" t="s">
        <v>30229</v>
      </c>
      <c r="G42" s="556">
        <v>1192.7</v>
      </c>
      <c r="H42" s="556">
        <v>5</v>
      </c>
      <c r="I42" s="556" t="s">
        <v>29349</v>
      </c>
      <c r="J42" s="556" t="s">
        <v>4</v>
      </c>
      <c r="K42" s="556" t="s">
        <v>30230</v>
      </c>
      <c r="L42" s="556">
        <v>772664761</v>
      </c>
      <c r="M42" s="556" t="s">
        <v>5</v>
      </c>
      <c r="N42" s="556" t="s">
        <v>31598</v>
      </c>
      <c r="O42" s="556" t="s">
        <v>4</v>
      </c>
      <c r="P42" s="556">
        <v>4</v>
      </c>
      <c r="Q42" s="556" t="s">
        <v>7</v>
      </c>
      <c r="R42" s="556" t="s">
        <v>31549</v>
      </c>
      <c r="S42" s="556" t="s">
        <v>4</v>
      </c>
      <c r="T42" s="556" t="s">
        <v>2</v>
      </c>
      <c r="U42" s="556" t="s">
        <v>4</v>
      </c>
      <c r="V42" s="556"/>
      <c r="W42" s="556" t="s">
        <v>4</v>
      </c>
      <c r="X42" s="556" t="s">
        <v>4</v>
      </c>
      <c r="Y42" s="557">
        <v>43992</v>
      </c>
      <c r="Z42" s="557" t="str">
        <f>IF(OR(T42="yes",Y42&gt;'SDG outcome'!$C$27),"yes","no")</f>
        <v>no</v>
      </c>
      <c r="AA42" s="558" t="str">
        <f t="shared" si="0"/>
        <v/>
      </c>
      <c r="AB42" s="558" t="str">
        <f>IF(AND(Z42="no",AND(Y42&gt;='SDG outcome'!$B$16,Y42&lt;'SDG outcome'!$C$27)),Y42-'SDG outcome'!$B$16,"")</f>
        <v/>
      </c>
      <c r="AC42" s="556" t="s">
        <v>31699</v>
      </c>
      <c r="AD42" s="556" t="s">
        <v>4</v>
      </c>
      <c r="AE42" s="556" t="s">
        <v>4</v>
      </c>
      <c r="AF42" s="556" t="s">
        <v>4</v>
      </c>
      <c r="AG42" s="556" t="s">
        <v>4</v>
      </c>
      <c r="AH42" s="556" t="s">
        <v>4</v>
      </c>
      <c r="AI42" s="557" t="s">
        <v>4</v>
      </c>
      <c r="AJ42" s="556" t="s">
        <v>4</v>
      </c>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c r="CT42" s="556"/>
      <c r="CU42" s="556"/>
      <c r="CV42" s="556"/>
      <c r="CW42" s="556"/>
      <c r="CX42" s="556"/>
      <c r="CY42" s="556"/>
      <c r="CZ42" s="556"/>
      <c r="DA42" s="556"/>
      <c r="DB42" s="556"/>
      <c r="DC42" s="556"/>
      <c r="DD42" s="556"/>
      <c r="DE42" s="556"/>
      <c r="DF42" s="556"/>
      <c r="DG42" s="556"/>
      <c r="DH42" s="556"/>
      <c r="DI42" s="556"/>
      <c r="DJ42" s="556"/>
      <c r="DK42" s="556"/>
      <c r="DL42" s="556"/>
      <c r="DM42" s="556"/>
      <c r="DN42" s="556"/>
      <c r="DO42" s="556"/>
      <c r="DP42" s="556"/>
      <c r="DQ42" s="556"/>
      <c r="DR42" s="556"/>
      <c r="DS42" s="556"/>
      <c r="DT42" s="559"/>
      <c r="DU42" s="556"/>
      <c r="DV42" s="559"/>
      <c r="DW42" s="556"/>
      <c r="DX42" s="556"/>
      <c r="DY42" s="556"/>
      <c r="DZ42" s="556"/>
      <c r="EA42" s="556"/>
      <c r="EB42" s="556"/>
      <c r="EC42" s="556"/>
      <c r="ED42" s="556"/>
      <c r="EE42" s="560"/>
      <c r="EF42" s="560"/>
      <c r="EG42" s="560"/>
      <c r="EH42" s="560"/>
      <c r="EI42" s="560"/>
      <c r="EJ42" s="556"/>
      <c r="EK42" s="556"/>
      <c r="EL42" s="556"/>
      <c r="EM42" s="556"/>
      <c r="EN42" s="556"/>
      <c r="EO42" s="556"/>
      <c r="EP42" s="556"/>
      <c r="EQ42" s="556"/>
      <c r="ER42" s="556"/>
      <c r="ES42" s="556"/>
      <c r="ET42" s="556"/>
      <c r="EU42" s="556"/>
      <c r="EV42" s="560"/>
      <c r="EW42" s="560"/>
      <c r="EX42" s="560"/>
      <c r="EY42" s="560"/>
      <c r="EZ42" s="560"/>
      <c r="FA42" s="556"/>
      <c r="FB42" s="556"/>
      <c r="FC42" s="556"/>
      <c r="FD42" s="556"/>
      <c r="FE42" s="556"/>
      <c r="FF42" s="556"/>
      <c r="FG42" s="556"/>
      <c r="FH42" s="556"/>
      <c r="FI42" s="556"/>
      <c r="FJ42" s="556"/>
      <c r="FK42" s="556"/>
      <c r="FL42" s="556"/>
      <c r="FM42" s="556"/>
      <c r="FN42" s="556"/>
      <c r="FO42" s="556"/>
      <c r="FP42" s="556"/>
      <c r="FQ42" s="556"/>
      <c r="FR42" s="556"/>
      <c r="FS42" s="556"/>
      <c r="FT42" s="556"/>
      <c r="FU42" s="556"/>
      <c r="FV42" s="556"/>
      <c r="FW42" s="556"/>
      <c r="FX42" s="556"/>
      <c r="FY42" s="556"/>
      <c r="FZ42" s="556"/>
      <c r="GA42" s="556"/>
      <c r="GB42" s="559"/>
      <c r="GC42" s="556"/>
      <c r="GD42" s="556"/>
      <c r="GE42" s="556"/>
      <c r="GF42" s="556"/>
      <c r="GG42" s="556"/>
      <c r="GH42" s="556"/>
      <c r="GI42" s="556"/>
      <c r="GJ42" s="556"/>
      <c r="GK42" s="556"/>
      <c r="GL42" s="556"/>
      <c r="GM42" s="556"/>
      <c r="GN42" s="556"/>
      <c r="GO42" s="556"/>
      <c r="GP42" s="556"/>
      <c r="GQ42" s="556"/>
      <c r="GR42" s="556"/>
      <c r="GS42" s="556"/>
      <c r="GT42" s="556"/>
      <c r="GU42" s="556"/>
      <c r="GV42" s="556"/>
      <c r="GW42" s="556"/>
      <c r="GX42" s="556"/>
      <c r="GY42" s="556"/>
      <c r="GZ42" s="556"/>
      <c r="HA42" s="556"/>
      <c r="HB42" s="556"/>
      <c r="HC42" s="556"/>
      <c r="HD42" s="556"/>
      <c r="HE42" s="556"/>
      <c r="HF42" s="556"/>
      <c r="HG42" s="556"/>
      <c r="HH42" s="556"/>
      <c r="HI42" s="556"/>
      <c r="HJ42" s="559"/>
      <c r="HK42" s="556"/>
      <c r="HL42" s="556"/>
      <c r="HM42" s="556"/>
      <c r="HN42" s="556"/>
      <c r="HO42" s="556"/>
      <c r="HP42" s="556"/>
      <c r="HQ42" s="556"/>
      <c r="HR42" s="556"/>
      <c r="HS42" s="556"/>
      <c r="HT42" s="556"/>
      <c r="HU42" s="556"/>
      <c r="HV42" s="556"/>
      <c r="HW42" s="556"/>
      <c r="HX42" s="556"/>
      <c r="HY42" s="556"/>
      <c r="HZ42" s="556" t="s">
        <v>16</v>
      </c>
      <c r="IA42" s="556" t="s">
        <v>2</v>
      </c>
      <c r="IB42" s="556" t="s">
        <v>4</v>
      </c>
      <c r="IC42" s="556" t="s">
        <v>16</v>
      </c>
      <c r="ID42" s="556" t="s">
        <v>30231</v>
      </c>
      <c r="IE42" s="556" t="s">
        <v>9</v>
      </c>
      <c r="IF42" s="556" t="s">
        <v>30232</v>
      </c>
      <c r="IG42" s="556" t="s">
        <v>9</v>
      </c>
      <c r="IH42" s="556" t="s">
        <v>30233</v>
      </c>
    </row>
    <row r="43" spans="1:242" s="561" customFormat="1" ht="36.75" customHeight="1" x14ac:dyDescent="0.2">
      <c r="A43" s="556">
        <v>137</v>
      </c>
      <c r="B43" s="556" t="s">
        <v>14615</v>
      </c>
      <c r="C43" s="556" t="s">
        <v>30757</v>
      </c>
      <c r="D43" s="556" t="s">
        <v>30699</v>
      </c>
      <c r="E43" s="556" t="s">
        <v>7</v>
      </c>
      <c r="F43" s="556" t="s">
        <v>30758</v>
      </c>
      <c r="G43" s="556">
        <v>1239.0999999999999</v>
      </c>
      <c r="H43" s="556">
        <v>5</v>
      </c>
      <c r="I43" s="556" t="s">
        <v>29319</v>
      </c>
      <c r="J43" s="556" t="s">
        <v>4</v>
      </c>
      <c r="K43" s="556" t="s">
        <v>30759</v>
      </c>
      <c r="L43" s="556">
        <v>775026843</v>
      </c>
      <c r="M43" s="556" t="s">
        <v>5</v>
      </c>
      <c r="N43" s="556" t="s">
        <v>31598</v>
      </c>
      <c r="O43" s="556" t="s">
        <v>4</v>
      </c>
      <c r="P43" s="556">
        <v>9</v>
      </c>
      <c r="Q43" s="556" t="s">
        <v>7</v>
      </c>
      <c r="R43" s="556" t="s">
        <v>31535</v>
      </c>
      <c r="S43" s="556" t="s">
        <v>4</v>
      </c>
      <c r="T43" s="556" t="s">
        <v>2</v>
      </c>
      <c r="U43" s="556" t="s">
        <v>4</v>
      </c>
      <c r="V43" s="556"/>
      <c r="W43" s="556" t="s">
        <v>4</v>
      </c>
      <c r="X43" s="556" t="s">
        <v>4</v>
      </c>
      <c r="Y43" s="557">
        <v>44053</v>
      </c>
      <c r="Z43" s="557" t="str">
        <f>IF(OR(T43="yes",Y43&gt;'SDG outcome'!$C$27),"yes","no")</f>
        <v>no</v>
      </c>
      <c r="AA43" s="558" t="str">
        <f t="shared" si="0"/>
        <v/>
      </c>
      <c r="AB43" s="558" t="str">
        <f>IF(AND(Z43="no",AND(Y43&gt;='SDG outcome'!$B$16,Y43&lt;'SDG outcome'!$C$27)),Y43-'SDG outcome'!$B$16,"")</f>
        <v/>
      </c>
      <c r="AC43" s="556" t="s">
        <v>31699</v>
      </c>
      <c r="AD43" s="556" t="s">
        <v>4</v>
      </c>
      <c r="AE43" s="556" t="s">
        <v>4</v>
      </c>
      <c r="AF43" s="556" t="s">
        <v>4</v>
      </c>
      <c r="AG43" s="556" t="s">
        <v>4</v>
      </c>
      <c r="AH43" s="556" t="s">
        <v>4</v>
      </c>
      <c r="AI43" s="557" t="s">
        <v>4</v>
      </c>
      <c r="AJ43" s="556" t="s">
        <v>4</v>
      </c>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6"/>
      <c r="CE43" s="556"/>
      <c r="CF43" s="556"/>
      <c r="CG43" s="556"/>
      <c r="CH43" s="556"/>
      <c r="CI43" s="556"/>
      <c r="CJ43" s="556"/>
      <c r="CK43" s="556"/>
      <c r="CL43" s="556"/>
      <c r="CM43" s="556"/>
      <c r="CN43" s="556"/>
      <c r="CO43" s="556"/>
      <c r="CP43" s="556"/>
      <c r="CQ43" s="556"/>
      <c r="CR43" s="556"/>
      <c r="CS43" s="556"/>
      <c r="CT43" s="556"/>
      <c r="CU43" s="556"/>
      <c r="CV43" s="556"/>
      <c r="CW43" s="556"/>
      <c r="CX43" s="556"/>
      <c r="CY43" s="556"/>
      <c r="CZ43" s="556"/>
      <c r="DA43" s="556"/>
      <c r="DB43" s="556"/>
      <c r="DC43" s="556"/>
      <c r="DD43" s="556"/>
      <c r="DE43" s="556"/>
      <c r="DF43" s="556"/>
      <c r="DG43" s="556"/>
      <c r="DH43" s="556"/>
      <c r="DI43" s="556"/>
      <c r="DJ43" s="556"/>
      <c r="DK43" s="556"/>
      <c r="DL43" s="556"/>
      <c r="DM43" s="556"/>
      <c r="DN43" s="556"/>
      <c r="DO43" s="556"/>
      <c r="DP43" s="556"/>
      <c r="DQ43" s="556"/>
      <c r="DR43" s="556"/>
      <c r="DS43" s="556"/>
      <c r="DT43" s="559"/>
      <c r="DU43" s="556"/>
      <c r="DV43" s="559"/>
      <c r="DW43" s="556"/>
      <c r="DX43" s="556"/>
      <c r="DY43" s="556"/>
      <c r="DZ43" s="556"/>
      <c r="EA43" s="556"/>
      <c r="EB43" s="556"/>
      <c r="EC43" s="556"/>
      <c r="ED43" s="556"/>
      <c r="EE43" s="560"/>
      <c r="EF43" s="560"/>
      <c r="EG43" s="560"/>
      <c r="EH43" s="560"/>
      <c r="EI43" s="560"/>
      <c r="EJ43" s="556"/>
      <c r="EK43" s="556"/>
      <c r="EL43" s="556"/>
      <c r="EM43" s="556"/>
      <c r="EN43" s="556"/>
      <c r="EO43" s="556"/>
      <c r="EP43" s="556"/>
      <c r="EQ43" s="556"/>
      <c r="ER43" s="556"/>
      <c r="ES43" s="556"/>
      <c r="ET43" s="556"/>
      <c r="EU43" s="556"/>
      <c r="EV43" s="560"/>
      <c r="EW43" s="560"/>
      <c r="EX43" s="560"/>
      <c r="EY43" s="560"/>
      <c r="EZ43" s="560"/>
      <c r="FA43" s="556"/>
      <c r="FB43" s="556"/>
      <c r="FC43" s="556"/>
      <c r="FD43" s="556"/>
      <c r="FE43" s="556"/>
      <c r="FF43" s="556"/>
      <c r="FG43" s="556"/>
      <c r="FH43" s="556"/>
      <c r="FI43" s="556"/>
      <c r="FJ43" s="556"/>
      <c r="FK43" s="556"/>
      <c r="FL43" s="556"/>
      <c r="FM43" s="556"/>
      <c r="FN43" s="556"/>
      <c r="FO43" s="556"/>
      <c r="FP43" s="556"/>
      <c r="FQ43" s="556"/>
      <c r="FR43" s="556"/>
      <c r="FS43" s="556"/>
      <c r="FT43" s="556"/>
      <c r="FU43" s="556"/>
      <c r="FV43" s="556"/>
      <c r="FW43" s="556"/>
      <c r="FX43" s="556"/>
      <c r="FY43" s="556"/>
      <c r="FZ43" s="556"/>
      <c r="GA43" s="556"/>
      <c r="GB43" s="559"/>
      <c r="GC43" s="556"/>
      <c r="GD43" s="556"/>
      <c r="GE43" s="556"/>
      <c r="GF43" s="556"/>
      <c r="GG43" s="556"/>
      <c r="GH43" s="556"/>
      <c r="GI43" s="556"/>
      <c r="GJ43" s="556"/>
      <c r="GK43" s="556"/>
      <c r="GL43" s="556"/>
      <c r="GM43" s="556"/>
      <c r="GN43" s="556"/>
      <c r="GO43" s="556"/>
      <c r="GP43" s="556"/>
      <c r="GQ43" s="556"/>
      <c r="GR43" s="556"/>
      <c r="GS43" s="556"/>
      <c r="GT43" s="556"/>
      <c r="GU43" s="556"/>
      <c r="GV43" s="556"/>
      <c r="GW43" s="556"/>
      <c r="GX43" s="556"/>
      <c r="GY43" s="556"/>
      <c r="GZ43" s="556"/>
      <c r="HA43" s="556"/>
      <c r="HB43" s="556"/>
      <c r="HC43" s="556"/>
      <c r="HD43" s="556"/>
      <c r="HE43" s="556"/>
      <c r="HF43" s="556"/>
      <c r="HG43" s="556"/>
      <c r="HH43" s="556"/>
      <c r="HI43" s="556"/>
      <c r="HJ43" s="559"/>
      <c r="HK43" s="556"/>
      <c r="HL43" s="556"/>
      <c r="HM43" s="556"/>
      <c r="HN43" s="556"/>
      <c r="HO43" s="556"/>
      <c r="HP43" s="556"/>
      <c r="HQ43" s="556"/>
      <c r="HR43" s="556"/>
      <c r="HS43" s="556"/>
      <c r="HT43" s="556"/>
      <c r="HU43" s="556"/>
      <c r="HV43" s="556"/>
      <c r="HW43" s="556"/>
      <c r="HX43" s="556"/>
      <c r="HY43" s="556"/>
      <c r="HZ43" s="556" t="s">
        <v>30760</v>
      </c>
      <c r="IA43" s="556" t="s">
        <v>2</v>
      </c>
      <c r="IB43" s="556" t="s">
        <v>4</v>
      </c>
      <c r="IC43" s="556" t="s">
        <v>30761</v>
      </c>
      <c r="ID43" s="556" t="s">
        <v>30762</v>
      </c>
      <c r="IE43" s="556" t="s">
        <v>30763</v>
      </c>
      <c r="IF43" s="556" t="s">
        <v>30764</v>
      </c>
      <c r="IG43" s="556" t="s">
        <v>30765</v>
      </c>
      <c r="IH43" s="556" t="s">
        <v>30757</v>
      </c>
    </row>
    <row r="44" spans="1:242" s="561" customFormat="1" ht="36.75" customHeight="1" x14ac:dyDescent="0.2">
      <c r="A44" s="556">
        <v>181</v>
      </c>
      <c r="B44" s="556" t="s">
        <v>20331</v>
      </c>
      <c r="C44" s="556" t="s">
        <v>31198</v>
      </c>
      <c r="D44" s="556" t="s">
        <v>56</v>
      </c>
      <c r="E44" s="556" t="s">
        <v>7</v>
      </c>
      <c r="F44" s="556" t="s">
        <v>31199</v>
      </c>
      <c r="G44" s="556">
        <v>1475.5</v>
      </c>
      <c r="H44" s="556">
        <v>4.5999999999999996</v>
      </c>
      <c r="I44" s="556" t="s">
        <v>29319</v>
      </c>
      <c r="J44" s="556" t="s">
        <v>4</v>
      </c>
      <c r="K44" s="556" t="s">
        <v>31200</v>
      </c>
      <c r="L44" s="556">
        <v>772685439</v>
      </c>
      <c r="M44" s="556" t="s">
        <v>5</v>
      </c>
      <c r="N44" s="556" t="s">
        <v>31590</v>
      </c>
      <c r="O44" s="556" t="s">
        <v>4</v>
      </c>
      <c r="P44" s="556">
        <v>6</v>
      </c>
      <c r="Q44" s="556" t="s">
        <v>7</v>
      </c>
      <c r="R44" s="556" t="s">
        <v>31549</v>
      </c>
      <c r="S44" s="556" t="s">
        <v>4</v>
      </c>
      <c r="T44" s="556" t="s">
        <v>2</v>
      </c>
      <c r="U44" s="556" t="s">
        <v>4</v>
      </c>
      <c r="V44" s="556"/>
      <c r="W44" s="556" t="s">
        <v>4</v>
      </c>
      <c r="X44" s="556" t="s">
        <v>4</v>
      </c>
      <c r="Y44" s="557">
        <v>44075</v>
      </c>
      <c r="Z44" s="557" t="str">
        <f>IF(OR(T44="yes",Y44&gt;'SDG outcome'!$C$27),"yes","no")</f>
        <v>no</v>
      </c>
      <c r="AA44" s="558" t="str">
        <f t="shared" si="0"/>
        <v/>
      </c>
      <c r="AB44" s="558" t="str">
        <f>IF(AND(Z44="no",AND(Y44&gt;='SDG outcome'!$B$16,Y44&lt;'SDG outcome'!$C$27)),Y44-'SDG outcome'!$B$16,"")</f>
        <v/>
      </c>
      <c r="AC44" s="556" t="s">
        <v>8</v>
      </c>
      <c r="AD44" s="556" t="s">
        <v>31940</v>
      </c>
      <c r="AE44" s="556" t="s">
        <v>4</v>
      </c>
      <c r="AF44" s="556" t="s">
        <v>4</v>
      </c>
      <c r="AG44" s="556" t="s">
        <v>4</v>
      </c>
      <c r="AH44" s="556" t="s">
        <v>4</v>
      </c>
      <c r="AI44" s="557" t="s">
        <v>4</v>
      </c>
      <c r="AJ44" s="556" t="s">
        <v>4</v>
      </c>
      <c r="AK44" s="556"/>
      <c r="AL44" s="556"/>
      <c r="AM44" s="556"/>
      <c r="AN44" s="556"/>
      <c r="AO44" s="556"/>
      <c r="AP44" s="556"/>
      <c r="AQ44" s="556"/>
      <c r="AR44" s="556"/>
      <c r="AS44" s="556"/>
      <c r="AT44" s="556"/>
      <c r="AU44" s="556"/>
      <c r="AV44" s="556"/>
      <c r="AW44" s="556"/>
      <c r="AX44" s="556"/>
      <c r="AY44" s="556"/>
      <c r="AZ44" s="556"/>
      <c r="BA44" s="556"/>
      <c r="BB44" s="556"/>
      <c r="BC44" s="556"/>
      <c r="BD44" s="556"/>
      <c r="BE44" s="556"/>
      <c r="BF44" s="556"/>
      <c r="BG44" s="556"/>
      <c r="BH44" s="556"/>
      <c r="BI44" s="556"/>
      <c r="BJ44" s="556"/>
      <c r="BK44" s="556"/>
      <c r="BL44" s="556"/>
      <c r="BM44" s="556"/>
      <c r="BN44" s="556"/>
      <c r="BO44" s="556"/>
      <c r="BP44" s="556"/>
      <c r="BQ44" s="556"/>
      <c r="BR44" s="556"/>
      <c r="BS44" s="556"/>
      <c r="BT44" s="556"/>
      <c r="BU44" s="556"/>
      <c r="BV44" s="556"/>
      <c r="BW44" s="556"/>
      <c r="BX44" s="556"/>
      <c r="BY44" s="556"/>
      <c r="BZ44" s="556"/>
      <c r="CA44" s="556"/>
      <c r="CB44" s="556"/>
      <c r="CC44" s="556"/>
      <c r="CD44" s="556"/>
      <c r="CE44" s="556"/>
      <c r="CF44" s="556"/>
      <c r="CG44" s="556"/>
      <c r="CH44" s="556"/>
      <c r="CI44" s="556"/>
      <c r="CJ44" s="556"/>
      <c r="CK44" s="556"/>
      <c r="CL44" s="556"/>
      <c r="CM44" s="556"/>
      <c r="CN44" s="556"/>
      <c r="CO44" s="556"/>
      <c r="CP44" s="556"/>
      <c r="CQ44" s="556"/>
      <c r="CR44" s="556"/>
      <c r="CS44" s="556"/>
      <c r="CT44" s="556"/>
      <c r="CU44" s="556"/>
      <c r="CV44" s="556"/>
      <c r="CW44" s="556"/>
      <c r="CX44" s="556"/>
      <c r="CY44" s="556"/>
      <c r="CZ44" s="556"/>
      <c r="DA44" s="556"/>
      <c r="DB44" s="556"/>
      <c r="DC44" s="556"/>
      <c r="DD44" s="556"/>
      <c r="DE44" s="556"/>
      <c r="DF44" s="556"/>
      <c r="DG44" s="556"/>
      <c r="DH44" s="556"/>
      <c r="DI44" s="556"/>
      <c r="DJ44" s="556"/>
      <c r="DK44" s="556"/>
      <c r="DL44" s="556"/>
      <c r="DM44" s="556"/>
      <c r="DN44" s="556"/>
      <c r="DO44" s="556"/>
      <c r="DP44" s="556"/>
      <c r="DQ44" s="556"/>
      <c r="DR44" s="556"/>
      <c r="DS44" s="556"/>
      <c r="DT44" s="559"/>
      <c r="DU44" s="556"/>
      <c r="DV44" s="559"/>
      <c r="DW44" s="556"/>
      <c r="DX44" s="556"/>
      <c r="DY44" s="556"/>
      <c r="DZ44" s="556"/>
      <c r="EA44" s="556"/>
      <c r="EB44" s="556"/>
      <c r="EC44" s="556"/>
      <c r="ED44" s="556"/>
      <c r="EE44" s="560"/>
      <c r="EF44" s="560"/>
      <c r="EG44" s="560"/>
      <c r="EH44" s="560"/>
      <c r="EI44" s="560"/>
      <c r="EJ44" s="556"/>
      <c r="EK44" s="556"/>
      <c r="EL44" s="556"/>
      <c r="EM44" s="556"/>
      <c r="EN44" s="556"/>
      <c r="EO44" s="556"/>
      <c r="EP44" s="556"/>
      <c r="EQ44" s="556"/>
      <c r="ER44" s="556"/>
      <c r="ES44" s="556"/>
      <c r="ET44" s="556"/>
      <c r="EU44" s="556"/>
      <c r="EV44" s="560"/>
      <c r="EW44" s="560"/>
      <c r="EX44" s="560"/>
      <c r="EY44" s="560"/>
      <c r="EZ44" s="560"/>
      <c r="FA44" s="556"/>
      <c r="FB44" s="556"/>
      <c r="FC44" s="556"/>
      <c r="FD44" s="556"/>
      <c r="FE44" s="556"/>
      <c r="FF44" s="556"/>
      <c r="FG44" s="556"/>
      <c r="FH44" s="556"/>
      <c r="FI44" s="556"/>
      <c r="FJ44" s="556"/>
      <c r="FK44" s="556"/>
      <c r="FL44" s="556"/>
      <c r="FM44" s="556"/>
      <c r="FN44" s="556"/>
      <c r="FO44" s="556"/>
      <c r="FP44" s="556"/>
      <c r="FQ44" s="556"/>
      <c r="FR44" s="556"/>
      <c r="FS44" s="556"/>
      <c r="FT44" s="556"/>
      <c r="FU44" s="556"/>
      <c r="FV44" s="556"/>
      <c r="FW44" s="556"/>
      <c r="FX44" s="556"/>
      <c r="FY44" s="556"/>
      <c r="FZ44" s="556"/>
      <c r="GA44" s="556"/>
      <c r="GB44" s="559"/>
      <c r="GC44" s="556"/>
      <c r="GD44" s="556"/>
      <c r="GE44" s="556"/>
      <c r="GF44" s="556"/>
      <c r="GG44" s="556"/>
      <c r="GH44" s="556"/>
      <c r="GI44" s="556"/>
      <c r="GJ44" s="556"/>
      <c r="GK44" s="556"/>
      <c r="GL44" s="556"/>
      <c r="GM44" s="556"/>
      <c r="GN44" s="556"/>
      <c r="GO44" s="556"/>
      <c r="GP44" s="556"/>
      <c r="GQ44" s="556"/>
      <c r="GR44" s="556"/>
      <c r="GS44" s="556"/>
      <c r="GT44" s="556"/>
      <c r="GU44" s="556"/>
      <c r="GV44" s="556"/>
      <c r="GW44" s="556"/>
      <c r="GX44" s="556"/>
      <c r="GY44" s="556"/>
      <c r="GZ44" s="556"/>
      <c r="HA44" s="556"/>
      <c r="HB44" s="556"/>
      <c r="HC44" s="556"/>
      <c r="HD44" s="556"/>
      <c r="HE44" s="556"/>
      <c r="HF44" s="556"/>
      <c r="HG44" s="556"/>
      <c r="HH44" s="556"/>
      <c r="HI44" s="556"/>
      <c r="HJ44" s="559"/>
      <c r="HK44" s="556"/>
      <c r="HL44" s="556"/>
      <c r="HM44" s="556"/>
      <c r="HN44" s="556"/>
      <c r="HO44" s="556"/>
      <c r="HP44" s="556"/>
      <c r="HQ44" s="556"/>
      <c r="HR44" s="556"/>
      <c r="HS44" s="556"/>
      <c r="HT44" s="556"/>
      <c r="HU44" s="556"/>
      <c r="HV44" s="556"/>
      <c r="HW44" s="556"/>
      <c r="HX44" s="556"/>
      <c r="HY44" s="556"/>
      <c r="HZ44" s="556" t="s">
        <v>16</v>
      </c>
      <c r="IA44" s="556" t="s">
        <v>7</v>
      </c>
      <c r="IB44" s="556" t="s">
        <v>31201</v>
      </c>
      <c r="IC44" s="556" t="s">
        <v>31202</v>
      </c>
      <c r="ID44" s="556" t="s">
        <v>31203</v>
      </c>
      <c r="IE44" s="556" t="s">
        <v>31204</v>
      </c>
      <c r="IF44" s="556" t="s">
        <v>31205</v>
      </c>
      <c r="IG44" s="556" t="s">
        <v>31206</v>
      </c>
      <c r="IH44" s="556" t="s">
        <v>31198</v>
      </c>
    </row>
    <row r="45" spans="1:242" s="561" customFormat="1" ht="36.75" customHeight="1" x14ac:dyDescent="0.2">
      <c r="A45" s="556">
        <v>83</v>
      </c>
      <c r="B45" s="556" t="s">
        <v>16605</v>
      </c>
      <c r="C45" s="556" t="s">
        <v>30219</v>
      </c>
      <c r="D45" s="556" t="s">
        <v>30207</v>
      </c>
      <c r="E45" s="556" t="s">
        <v>7</v>
      </c>
      <c r="F45" s="556" t="s">
        <v>30220</v>
      </c>
      <c r="G45" s="556">
        <v>1190.8</v>
      </c>
      <c r="H45" s="556">
        <v>4.0999999999999996</v>
      </c>
      <c r="I45" s="556" t="s">
        <v>29319</v>
      </c>
      <c r="J45" s="556" t="s">
        <v>4</v>
      </c>
      <c r="K45" s="556" t="s">
        <v>30221</v>
      </c>
      <c r="L45" s="556">
        <v>772372816</v>
      </c>
      <c r="M45" s="556" t="s">
        <v>5</v>
      </c>
      <c r="N45" s="556" t="s">
        <v>31598</v>
      </c>
      <c r="O45" s="556" t="s">
        <v>4</v>
      </c>
      <c r="P45" s="556">
        <v>7</v>
      </c>
      <c r="Q45" s="556" t="s">
        <v>7</v>
      </c>
      <c r="R45" s="556" t="s">
        <v>31588</v>
      </c>
      <c r="S45" s="556" t="s">
        <v>4</v>
      </c>
      <c r="T45" s="556" t="s">
        <v>2</v>
      </c>
      <c r="U45" s="556" t="s">
        <v>4</v>
      </c>
      <c r="V45" s="556"/>
      <c r="W45" s="556" t="s">
        <v>4</v>
      </c>
      <c r="X45" s="556" t="s">
        <v>4</v>
      </c>
      <c r="Y45" s="557">
        <v>44145</v>
      </c>
      <c r="Z45" s="557" t="str">
        <f>IF(OR(T45="yes",Y45&gt;'SDG outcome'!$C$27),"yes","no")</f>
        <v>no</v>
      </c>
      <c r="AA45" s="558" t="str">
        <f t="shared" si="0"/>
        <v/>
      </c>
      <c r="AB45" s="558" t="str">
        <f>IF(AND(Z45="no",AND(Y45&gt;='SDG outcome'!$B$16,Y45&lt;'SDG outcome'!$C$27)),Y45-'SDG outcome'!$B$16,"")</f>
        <v/>
      </c>
      <c r="AC45" s="556" t="s">
        <v>31572</v>
      </c>
      <c r="AD45" s="556" t="s">
        <v>4</v>
      </c>
      <c r="AE45" s="556" t="s">
        <v>2</v>
      </c>
      <c r="AF45" s="556" t="s">
        <v>4</v>
      </c>
      <c r="AG45" s="556" t="s">
        <v>31772</v>
      </c>
      <c r="AH45" s="556" t="s">
        <v>7</v>
      </c>
      <c r="AI45" s="557" t="s">
        <v>9</v>
      </c>
      <c r="AJ45" s="556" t="s">
        <v>4</v>
      </c>
      <c r="AK45" s="556"/>
      <c r="AL45" s="556"/>
      <c r="AM45" s="556"/>
      <c r="AN45" s="556"/>
      <c r="AO45" s="556"/>
      <c r="AP45" s="556"/>
      <c r="AQ45" s="556"/>
      <c r="AR45" s="556"/>
      <c r="AS45" s="556"/>
      <c r="AT45" s="556"/>
      <c r="AU45" s="556"/>
      <c r="AV45" s="556"/>
      <c r="AW45" s="556"/>
      <c r="AX45" s="556"/>
      <c r="AY45" s="556"/>
      <c r="AZ45" s="556"/>
      <c r="BA45" s="556"/>
      <c r="BB45" s="556"/>
      <c r="BC45" s="556"/>
      <c r="BD45" s="556"/>
      <c r="BE45" s="556"/>
      <c r="BF45" s="556"/>
      <c r="BG45" s="556"/>
      <c r="BH45" s="556"/>
      <c r="BI45" s="556"/>
      <c r="BJ45" s="556"/>
      <c r="BK45" s="556"/>
      <c r="BL45" s="556"/>
      <c r="BM45" s="556"/>
      <c r="BN45" s="556"/>
      <c r="BO45" s="556"/>
      <c r="BP45" s="556"/>
      <c r="BQ45" s="556"/>
      <c r="BR45" s="556"/>
      <c r="BS45" s="556"/>
      <c r="BT45" s="556"/>
      <c r="BU45" s="556"/>
      <c r="BV45" s="556"/>
      <c r="BW45" s="556"/>
      <c r="BX45" s="556"/>
      <c r="BY45" s="556"/>
      <c r="BZ45" s="556"/>
      <c r="CA45" s="556"/>
      <c r="CB45" s="556"/>
      <c r="CC45" s="556"/>
      <c r="CD45" s="556"/>
      <c r="CE45" s="556"/>
      <c r="CF45" s="556"/>
      <c r="CG45" s="556"/>
      <c r="CH45" s="556"/>
      <c r="CI45" s="556"/>
      <c r="CJ45" s="556"/>
      <c r="CK45" s="556"/>
      <c r="CL45" s="556"/>
      <c r="CM45" s="556"/>
      <c r="CN45" s="556"/>
      <c r="CO45" s="556"/>
      <c r="CP45" s="556"/>
      <c r="CQ45" s="556"/>
      <c r="CR45" s="556"/>
      <c r="CS45" s="556"/>
      <c r="CT45" s="556"/>
      <c r="CU45" s="556"/>
      <c r="CV45" s="556"/>
      <c r="CW45" s="556"/>
      <c r="CX45" s="556"/>
      <c r="CY45" s="556"/>
      <c r="CZ45" s="556"/>
      <c r="DA45" s="556"/>
      <c r="DB45" s="556"/>
      <c r="DC45" s="556"/>
      <c r="DD45" s="556"/>
      <c r="DE45" s="556"/>
      <c r="DF45" s="556"/>
      <c r="DG45" s="556"/>
      <c r="DH45" s="556"/>
      <c r="DI45" s="556"/>
      <c r="DJ45" s="556"/>
      <c r="DK45" s="556"/>
      <c r="DL45" s="556"/>
      <c r="DM45" s="556"/>
      <c r="DN45" s="556"/>
      <c r="DO45" s="556"/>
      <c r="DP45" s="556"/>
      <c r="DQ45" s="556"/>
      <c r="DR45" s="556"/>
      <c r="DS45" s="556"/>
      <c r="DT45" s="559"/>
      <c r="DU45" s="556"/>
      <c r="DV45" s="559"/>
      <c r="DW45" s="556"/>
      <c r="DX45" s="556"/>
      <c r="DY45" s="556"/>
      <c r="DZ45" s="556"/>
      <c r="EA45" s="556"/>
      <c r="EB45" s="556"/>
      <c r="EC45" s="556"/>
      <c r="ED45" s="556"/>
      <c r="EE45" s="560"/>
      <c r="EF45" s="560"/>
      <c r="EG45" s="560"/>
      <c r="EH45" s="560"/>
      <c r="EI45" s="560"/>
      <c r="EJ45" s="556"/>
      <c r="EK45" s="556"/>
      <c r="EL45" s="556"/>
      <c r="EM45" s="556"/>
      <c r="EN45" s="556"/>
      <c r="EO45" s="556"/>
      <c r="EP45" s="556"/>
      <c r="EQ45" s="556"/>
      <c r="ER45" s="556"/>
      <c r="ES45" s="556"/>
      <c r="ET45" s="556"/>
      <c r="EU45" s="556"/>
      <c r="EV45" s="560"/>
      <c r="EW45" s="560"/>
      <c r="EX45" s="560"/>
      <c r="EY45" s="560"/>
      <c r="EZ45" s="560"/>
      <c r="FA45" s="556"/>
      <c r="FB45" s="556"/>
      <c r="FC45" s="556"/>
      <c r="FD45" s="556"/>
      <c r="FE45" s="556"/>
      <c r="FF45" s="556"/>
      <c r="FG45" s="556"/>
      <c r="FH45" s="556"/>
      <c r="FI45" s="556"/>
      <c r="FJ45" s="556"/>
      <c r="FK45" s="556"/>
      <c r="FL45" s="556"/>
      <c r="FM45" s="556"/>
      <c r="FN45" s="556"/>
      <c r="FO45" s="556"/>
      <c r="FP45" s="556"/>
      <c r="FQ45" s="556"/>
      <c r="FR45" s="556"/>
      <c r="FS45" s="556"/>
      <c r="FT45" s="556"/>
      <c r="FU45" s="556"/>
      <c r="FV45" s="556"/>
      <c r="FW45" s="556"/>
      <c r="FX45" s="556"/>
      <c r="FY45" s="556"/>
      <c r="FZ45" s="556"/>
      <c r="GA45" s="556"/>
      <c r="GB45" s="559"/>
      <c r="GC45" s="556"/>
      <c r="GD45" s="556"/>
      <c r="GE45" s="556"/>
      <c r="GF45" s="556"/>
      <c r="GG45" s="556"/>
      <c r="GH45" s="556"/>
      <c r="GI45" s="556"/>
      <c r="GJ45" s="556"/>
      <c r="GK45" s="556"/>
      <c r="GL45" s="556"/>
      <c r="GM45" s="556"/>
      <c r="GN45" s="556"/>
      <c r="GO45" s="556"/>
      <c r="GP45" s="556"/>
      <c r="GQ45" s="556"/>
      <c r="GR45" s="556"/>
      <c r="GS45" s="556"/>
      <c r="GT45" s="556"/>
      <c r="GU45" s="556"/>
      <c r="GV45" s="556"/>
      <c r="GW45" s="556"/>
      <c r="GX45" s="556"/>
      <c r="GY45" s="556"/>
      <c r="GZ45" s="556"/>
      <c r="HA45" s="556"/>
      <c r="HB45" s="556"/>
      <c r="HC45" s="556"/>
      <c r="HD45" s="556"/>
      <c r="HE45" s="556"/>
      <c r="HF45" s="556"/>
      <c r="HG45" s="556"/>
      <c r="HH45" s="556"/>
      <c r="HI45" s="556"/>
      <c r="HJ45" s="559"/>
      <c r="HK45" s="556"/>
      <c r="HL45" s="556"/>
      <c r="HM45" s="556"/>
      <c r="HN45" s="556"/>
      <c r="HO45" s="556"/>
      <c r="HP45" s="556"/>
      <c r="HQ45" s="556"/>
      <c r="HR45" s="556"/>
      <c r="HS45" s="556"/>
      <c r="HT45" s="556"/>
      <c r="HU45" s="556"/>
      <c r="HV45" s="556"/>
      <c r="HW45" s="556"/>
      <c r="HX45" s="556"/>
      <c r="HY45" s="556"/>
      <c r="HZ45" s="556" t="s">
        <v>30222</v>
      </c>
      <c r="IA45" s="556" t="s">
        <v>2</v>
      </c>
      <c r="IB45" s="556" t="s">
        <v>4</v>
      </c>
      <c r="IC45" s="556" t="s">
        <v>16</v>
      </c>
      <c r="ID45" s="556" t="s">
        <v>30223</v>
      </c>
      <c r="IE45" s="556" t="s">
        <v>30224</v>
      </c>
      <c r="IF45" s="556" t="s">
        <v>30225</v>
      </c>
      <c r="IG45" s="556" t="s">
        <v>30226</v>
      </c>
      <c r="IH45" s="556" t="s">
        <v>30227</v>
      </c>
    </row>
    <row r="46" spans="1:242" s="561" customFormat="1" ht="36.75" customHeight="1" x14ac:dyDescent="0.2">
      <c r="A46" s="556">
        <v>112</v>
      </c>
      <c r="B46" s="556" t="s">
        <v>23706</v>
      </c>
      <c r="C46" s="556" t="s">
        <v>30522</v>
      </c>
      <c r="D46" s="556" t="s">
        <v>30511</v>
      </c>
      <c r="E46" s="556" t="s">
        <v>7</v>
      </c>
      <c r="F46" s="556" t="s">
        <v>30523</v>
      </c>
      <c r="G46" s="556">
        <v>1293.385</v>
      </c>
      <c r="H46" s="556">
        <v>1.9492860000000001</v>
      </c>
      <c r="I46" s="556" t="s">
        <v>29389</v>
      </c>
      <c r="J46" s="556" t="s">
        <v>22</v>
      </c>
      <c r="K46" s="556" t="s">
        <v>30524</v>
      </c>
      <c r="L46" s="556" t="s">
        <v>9</v>
      </c>
      <c r="M46" s="556" t="s">
        <v>3</v>
      </c>
      <c r="N46" s="556" t="s">
        <v>31438</v>
      </c>
      <c r="O46" s="556">
        <v>36</v>
      </c>
      <c r="P46" s="556">
        <v>6</v>
      </c>
      <c r="Q46" s="556" t="s">
        <v>7</v>
      </c>
      <c r="R46" s="556" t="s">
        <v>31588</v>
      </c>
      <c r="S46" s="556" t="s">
        <v>4</v>
      </c>
      <c r="T46" s="556" t="s">
        <v>2</v>
      </c>
      <c r="U46" s="556" t="s">
        <v>4</v>
      </c>
      <c r="V46" s="556"/>
      <c r="W46" s="556" t="s">
        <v>4</v>
      </c>
      <c r="X46" s="556" t="s">
        <v>4</v>
      </c>
      <c r="Y46" s="557">
        <v>44200</v>
      </c>
      <c r="Z46" s="557" t="str">
        <f>IF(OR(T46="yes",Y46&gt;'SDG outcome'!$C$27),"yes","no")</f>
        <v>no</v>
      </c>
      <c r="AA46" s="558" t="str">
        <f t="shared" si="0"/>
        <v/>
      </c>
      <c r="AB46" s="558" t="str">
        <f>IF(AND(Z46="no",AND(Y46&gt;='SDG outcome'!$B$16,Y46&lt;'SDG outcome'!$C$27)),Y46-'SDG outcome'!$B$16,"")</f>
        <v/>
      </c>
      <c r="AC46" s="556" t="s">
        <v>31572</v>
      </c>
      <c r="AD46" s="556" t="s">
        <v>4</v>
      </c>
      <c r="AE46" s="556" t="s">
        <v>2</v>
      </c>
      <c r="AF46" s="556" t="s">
        <v>4</v>
      </c>
      <c r="AG46" s="556" t="s">
        <v>31825</v>
      </c>
      <c r="AH46" s="556" t="s">
        <v>9</v>
      </c>
      <c r="AI46" s="557" t="s">
        <v>9</v>
      </c>
      <c r="AJ46" s="556" t="s">
        <v>4</v>
      </c>
      <c r="AK46" s="556"/>
      <c r="AL46" s="556"/>
      <c r="AM46" s="556"/>
      <c r="AN46" s="556"/>
      <c r="AO46" s="556"/>
      <c r="AP46" s="556"/>
      <c r="AQ46" s="556"/>
      <c r="AR46" s="556"/>
      <c r="AS46" s="556"/>
      <c r="AT46" s="556"/>
      <c r="AU46" s="556"/>
      <c r="AV46" s="556"/>
      <c r="AW46" s="556"/>
      <c r="AX46" s="556"/>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6"/>
      <c r="CJ46" s="556"/>
      <c r="CK46" s="556"/>
      <c r="CL46" s="556"/>
      <c r="CM46" s="556"/>
      <c r="CN46" s="556"/>
      <c r="CO46" s="556"/>
      <c r="CP46" s="556"/>
      <c r="CQ46" s="556"/>
      <c r="CR46" s="556"/>
      <c r="CS46" s="556"/>
      <c r="CT46" s="556"/>
      <c r="CU46" s="556"/>
      <c r="CV46" s="556"/>
      <c r="CW46" s="556"/>
      <c r="CX46" s="556"/>
      <c r="CY46" s="556"/>
      <c r="CZ46" s="556"/>
      <c r="DA46" s="556"/>
      <c r="DB46" s="556"/>
      <c r="DC46" s="556"/>
      <c r="DD46" s="556"/>
      <c r="DE46" s="556"/>
      <c r="DF46" s="556"/>
      <c r="DG46" s="556"/>
      <c r="DH46" s="556"/>
      <c r="DI46" s="556"/>
      <c r="DJ46" s="556"/>
      <c r="DK46" s="556"/>
      <c r="DL46" s="556"/>
      <c r="DM46" s="556"/>
      <c r="DN46" s="556"/>
      <c r="DO46" s="556"/>
      <c r="DP46" s="556"/>
      <c r="DQ46" s="556"/>
      <c r="DR46" s="556"/>
      <c r="DS46" s="556"/>
      <c r="DT46" s="559"/>
      <c r="DU46" s="556"/>
      <c r="DV46" s="559"/>
      <c r="DW46" s="556"/>
      <c r="DX46" s="556"/>
      <c r="DY46" s="556"/>
      <c r="DZ46" s="556"/>
      <c r="EA46" s="556"/>
      <c r="EB46" s="556"/>
      <c r="EC46" s="556"/>
      <c r="ED46" s="556"/>
      <c r="EE46" s="560"/>
      <c r="EF46" s="560"/>
      <c r="EG46" s="560"/>
      <c r="EH46" s="560"/>
      <c r="EI46" s="560"/>
      <c r="EJ46" s="556"/>
      <c r="EK46" s="556"/>
      <c r="EL46" s="556"/>
      <c r="EM46" s="556"/>
      <c r="EN46" s="556"/>
      <c r="EO46" s="556"/>
      <c r="EP46" s="556"/>
      <c r="EQ46" s="556"/>
      <c r="ER46" s="556"/>
      <c r="ES46" s="556"/>
      <c r="ET46" s="556"/>
      <c r="EU46" s="556"/>
      <c r="EV46" s="560"/>
      <c r="EW46" s="560"/>
      <c r="EX46" s="560"/>
      <c r="EY46" s="560"/>
      <c r="EZ46" s="560"/>
      <c r="FA46" s="556"/>
      <c r="FB46" s="556"/>
      <c r="FC46" s="556"/>
      <c r="FD46" s="556"/>
      <c r="FE46" s="556"/>
      <c r="FF46" s="556"/>
      <c r="FG46" s="556"/>
      <c r="FH46" s="556"/>
      <c r="FI46" s="556"/>
      <c r="FJ46" s="556"/>
      <c r="FK46" s="556"/>
      <c r="FL46" s="556"/>
      <c r="FM46" s="556"/>
      <c r="FN46" s="556"/>
      <c r="FO46" s="556"/>
      <c r="FP46" s="556"/>
      <c r="FQ46" s="556"/>
      <c r="FR46" s="556"/>
      <c r="FS46" s="556"/>
      <c r="FT46" s="556"/>
      <c r="FU46" s="556"/>
      <c r="FV46" s="556"/>
      <c r="FW46" s="556"/>
      <c r="FX46" s="556"/>
      <c r="FY46" s="556"/>
      <c r="FZ46" s="556"/>
      <c r="GA46" s="556"/>
      <c r="GB46" s="559"/>
      <c r="GC46" s="556"/>
      <c r="GD46" s="556"/>
      <c r="GE46" s="556"/>
      <c r="GF46" s="556"/>
      <c r="GG46" s="556"/>
      <c r="GH46" s="556"/>
      <c r="GI46" s="556"/>
      <c r="GJ46" s="556"/>
      <c r="GK46" s="556"/>
      <c r="GL46" s="556"/>
      <c r="GM46" s="556"/>
      <c r="GN46" s="556"/>
      <c r="GO46" s="556"/>
      <c r="GP46" s="556"/>
      <c r="GQ46" s="556"/>
      <c r="GR46" s="556"/>
      <c r="GS46" s="556"/>
      <c r="GT46" s="556"/>
      <c r="GU46" s="556"/>
      <c r="GV46" s="556"/>
      <c r="GW46" s="556"/>
      <c r="GX46" s="556"/>
      <c r="GY46" s="556"/>
      <c r="GZ46" s="556"/>
      <c r="HA46" s="556"/>
      <c r="HB46" s="556"/>
      <c r="HC46" s="556"/>
      <c r="HD46" s="556"/>
      <c r="HE46" s="556"/>
      <c r="HF46" s="556"/>
      <c r="HG46" s="556"/>
      <c r="HH46" s="556"/>
      <c r="HI46" s="556"/>
      <c r="HJ46" s="559"/>
      <c r="HK46" s="556"/>
      <c r="HL46" s="556"/>
      <c r="HM46" s="556"/>
      <c r="HN46" s="556"/>
      <c r="HO46" s="556"/>
      <c r="HP46" s="556"/>
      <c r="HQ46" s="556"/>
      <c r="HR46" s="556"/>
      <c r="HS46" s="556"/>
      <c r="HT46" s="556"/>
      <c r="HU46" s="556"/>
      <c r="HV46" s="556"/>
      <c r="HW46" s="556"/>
      <c r="HX46" s="556"/>
      <c r="HY46" s="556"/>
      <c r="HZ46" s="556" t="s">
        <v>30525</v>
      </c>
      <c r="IA46" s="556" t="s">
        <v>7</v>
      </c>
      <c r="IB46" s="556" t="s">
        <v>30526</v>
      </c>
      <c r="IC46" s="556" t="s">
        <v>30527</v>
      </c>
      <c r="ID46" s="556" t="s">
        <v>30528</v>
      </c>
      <c r="IE46" s="556" t="s">
        <v>30529</v>
      </c>
      <c r="IF46" s="556" t="s">
        <v>30530</v>
      </c>
      <c r="IG46" s="556" t="s">
        <v>30531</v>
      </c>
      <c r="IH46" s="556" t="s">
        <v>30532</v>
      </c>
    </row>
    <row r="47" spans="1:242" s="561" customFormat="1" ht="36.75" customHeight="1" x14ac:dyDescent="0.2">
      <c r="A47" s="556">
        <v>77</v>
      </c>
      <c r="B47" s="556" t="s">
        <v>28437</v>
      </c>
      <c r="C47" s="556" t="s">
        <v>30161</v>
      </c>
      <c r="D47" s="556" t="s">
        <v>70</v>
      </c>
      <c r="E47" s="556" t="s">
        <v>7</v>
      </c>
      <c r="F47" s="556" t="s">
        <v>30162</v>
      </c>
      <c r="G47" s="556">
        <v>1188</v>
      </c>
      <c r="H47" s="556">
        <v>4.5</v>
      </c>
      <c r="I47" s="556" t="s">
        <v>29319</v>
      </c>
      <c r="J47" s="556" t="s">
        <v>4</v>
      </c>
      <c r="K47" s="556" t="s">
        <v>30163</v>
      </c>
      <c r="L47" s="556">
        <v>782426720</v>
      </c>
      <c r="M47" s="556" t="s">
        <v>5</v>
      </c>
      <c r="N47" s="556" t="s">
        <v>31438</v>
      </c>
      <c r="O47" s="556">
        <v>70</v>
      </c>
      <c r="P47" s="556">
        <v>6</v>
      </c>
      <c r="Q47" s="556" t="s">
        <v>7</v>
      </c>
      <c r="R47" s="556" t="s">
        <v>31549</v>
      </c>
      <c r="S47" s="556" t="s">
        <v>4</v>
      </c>
      <c r="T47" s="556" t="s">
        <v>2</v>
      </c>
      <c r="U47" s="556" t="s">
        <v>4</v>
      </c>
      <c r="V47" s="556"/>
      <c r="W47" s="556" t="s">
        <v>4</v>
      </c>
      <c r="X47" s="556" t="s">
        <v>4</v>
      </c>
      <c r="Y47" s="557">
        <v>44235</v>
      </c>
      <c r="Z47" s="557" t="str">
        <f>IF(OR(T47="yes",Y47&gt;'SDG outcome'!$C$27),"yes","no")</f>
        <v>no</v>
      </c>
      <c r="AA47" s="558" t="str">
        <f t="shared" si="0"/>
        <v/>
      </c>
      <c r="AB47" s="558" t="str">
        <f>IF(AND(Z47="no",AND(Y47&gt;='SDG outcome'!$B$16,Y47&lt;'SDG outcome'!$C$27)),Y47-'SDG outcome'!$B$16,"")</f>
        <v/>
      </c>
      <c r="AC47" s="556" t="s">
        <v>31572</v>
      </c>
      <c r="AD47" s="556" t="s">
        <v>4</v>
      </c>
      <c r="AE47" s="556" t="s">
        <v>7</v>
      </c>
      <c r="AF47" s="556" t="s">
        <v>31761</v>
      </c>
      <c r="AG47" s="556" t="s">
        <v>4</v>
      </c>
      <c r="AH47" s="556" t="s">
        <v>7</v>
      </c>
      <c r="AI47" s="557">
        <v>45213</v>
      </c>
      <c r="AJ47" s="556" t="s">
        <v>4</v>
      </c>
      <c r="AK47" s="556"/>
      <c r="AL47" s="556"/>
      <c r="AM47" s="556"/>
      <c r="AN47" s="556"/>
      <c r="AO47" s="556"/>
      <c r="AP47" s="556"/>
      <c r="AQ47" s="556"/>
      <c r="AR47" s="556"/>
      <c r="AS47" s="556"/>
      <c r="AT47" s="556"/>
      <c r="AU47" s="556"/>
      <c r="AV47" s="556"/>
      <c r="AW47" s="556"/>
      <c r="AX47" s="556"/>
      <c r="AY47" s="556"/>
      <c r="AZ47" s="556"/>
      <c r="BA47" s="556"/>
      <c r="BB47" s="556"/>
      <c r="BC47" s="556"/>
      <c r="BD47" s="556"/>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6"/>
      <c r="CJ47" s="556"/>
      <c r="CK47" s="556"/>
      <c r="CL47" s="556"/>
      <c r="CM47" s="556"/>
      <c r="CN47" s="556"/>
      <c r="CO47" s="556"/>
      <c r="CP47" s="556"/>
      <c r="CQ47" s="556"/>
      <c r="CR47" s="556"/>
      <c r="CS47" s="556"/>
      <c r="CT47" s="556"/>
      <c r="CU47" s="556"/>
      <c r="CV47" s="556"/>
      <c r="CW47" s="556"/>
      <c r="CX47" s="556"/>
      <c r="CY47" s="556"/>
      <c r="CZ47" s="556"/>
      <c r="DA47" s="556"/>
      <c r="DB47" s="556"/>
      <c r="DC47" s="556"/>
      <c r="DD47" s="556"/>
      <c r="DE47" s="556"/>
      <c r="DF47" s="556"/>
      <c r="DG47" s="556"/>
      <c r="DH47" s="556"/>
      <c r="DI47" s="556"/>
      <c r="DJ47" s="556"/>
      <c r="DK47" s="556"/>
      <c r="DL47" s="556"/>
      <c r="DM47" s="556"/>
      <c r="DN47" s="556"/>
      <c r="DO47" s="556"/>
      <c r="DP47" s="556"/>
      <c r="DQ47" s="556"/>
      <c r="DR47" s="556"/>
      <c r="DS47" s="556"/>
      <c r="DT47" s="559"/>
      <c r="DU47" s="556"/>
      <c r="DV47" s="559"/>
      <c r="DW47" s="556"/>
      <c r="DX47" s="556"/>
      <c r="DY47" s="556"/>
      <c r="DZ47" s="556"/>
      <c r="EA47" s="556"/>
      <c r="EB47" s="556"/>
      <c r="EC47" s="556"/>
      <c r="ED47" s="556"/>
      <c r="EE47" s="560"/>
      <c r="EF47" s="560"/>
      <c r="EG47" s="560"/>
      <c r="EH47" s="560"/>
      <c r="EI47" s="560"/>
      <c r="EJ47" s="556"/>
      <c r="EK47" s="556"/>
      <c r="EL47" s="556"/>
      <c r="EM47" s="556"/>
      <c r="EN47" s="556"/>
      <c r="EO47" s="556"/>
      <c r="EP47" s="556"/>
      <c r="EQ47" s="556"/>
      <c r="ER47" s="556"/>
      <c r="ES47" s="556"/>
      <c r="ET47" s="556"/>
      <c r="EU47" s="556"/>
      <c r="EV47" s="560"/>
      <c r="EW47" s="560"/>
      <c r="EX47" s="560"/>
      <c r="EY47" s="560"/>
      <c r="EZ47" s="560"/>
      <c r="FA47" s="556"/>
      <c r="FB47" s="556"/>
      <c r="FC47" s="556"/>
      <c r="FD47" s="556"/>
      <c r="FE47" s="556"/>
      <c r="FF47" s="556"/>
      <c r="FG47" s="556"/>
      <c r="FH47" s="556"/>
      <c r="FI47" s="556"/>
      <c r="FJ47" s="556"/>
      <c r="FK47" s="556"/>
      <c r="FL47" s="556"/>
      <c r="FM47" s="556"/>
      <c r="FN47" s="556"/>
      <c r="FO47" s="556"/>
      <c r="FP47" s="556"/>
      <c r="FQ47" s="556"/>
      <c r="FR47" s="556"/>
      <c r="FS47" s="556"/>
      <c r="FT47" s="556"/>
      <c r="FU47" s="556"/>
      <c r="FV47" s="556"/>
      <c r="FW47" s="556"/>
      <c r="FX47" s="556"/>
      <c r="FY47" s="556"/>
      <c r="FZ47" s="556"/>
      <c r="GA47" s="556"/>
      <c r="GB47" s="559"/>
      <c r="GC47" s="556"/>
      <c r="GD47" s="556"/>
      <c r="GE47" s="556"/>
      <c r="GF47" s="556"/>
      <c r="GG47" s="556"/>
      <c r="GH47" s="556"/>
      <c r="GI47" s="556"/>
      <c r="GJ47" s="556"/>
      <c r="GK47" s="556"/>
      <c r="GL47" s="556"/>
      <c r="GM47" s="556"/>
      <c r="GN47" s="556"/>
      <c r="GO47" s="556"/>
      <c r="GP47" s="556"/>
      <c r="GQ47" s="556"/>
      <c r="GR47" s="556"/>
      <c r="GS47" s="556"/>
      <c r="GT47" s="556"/>
      <c r="GU47" s="556"/>
      <c r="GV47" s="556"/>
      <c r="GW47" s="556"/>
      <c r="GX47" s="556"/>
      <c r="GY47" s="556"/>
      <c r="GZ47" s="556"/>
      <c r="HA47" s="556"/>
      <c r="HB47" s="556"/>
      <c r="HC47" s="556"/>
      <c r="HD47" s="556"/>
      <c r="HE47" s="556"/>
      <c r="HF47" s="556"/>
      <c r="HG47" s="556"/>
      <c r="HH47" s="556"/>
      <c r="HI47" s="556"/>
      <c r="HJ47" s="559"/>
      <c r="HK47" s="556"/>
      <c r="HL47" s="556"/>
      <c r="HM47" s="556"/>
      <c r="HN47" s="556"/>
      <c r="HO47" s="556"/>
      <c r="HP47" s="556"/>
      <c r="HQ47" s="556"/>
      <c r="HR47" s="556"/>
      <c r="HS47" s="556"/>
      <c r="HT47" s="556"/>
      <c r="HU47" s="556"/>
      <c r="HV47" s="556"/>
      <c r="HW47" s="556"/>
      <c r="HX47" s="556"/>
      <c r="HY47" s="556"/>
      <c r="HZ47" s="556" t="s">
        <v>30164</v>
      </c>
      <c r="IA47" s="556" t="s">
        <v>7</v>
      </c>
      <c r="IB47" s="556" t="s">
        <v>30165</v>
      </c>
      <c r="IC47" s="556" t="s">
        <v>16</v>
      </c>
      <c r="ID47" s="556" t="s">
        <v>30166</v>
      </c>
      <c r="IE47" s="556" t="s">
        <v>30167</v>
      </c>
      <c r="IF47" s="556" t="s">
        <v>30168</v>
      </c>
      <c r="IG47" s="556" t="s">
        <v>30169</v>
      </c>
      <c r="IH47" s="556" t="s">
        <v>30161</v>
      </c>
    </row>
    <row r="48" spans="1:242" s="561" customFormat="1" ht="36.75" customHeight="1" x14ac:dyDescent="0.2">
      <c r="A48" s="556">
        <v>119</v>
      </c>
      <c r="B48" s="556" t="s">
        <v>18566</v>
      </c>
      <c r="C48" s="556" t="s">
        <v>30599</v>
      </c>
      <c r="D48" s="556" t="s">
        <v>30534</v>
      </c>
      <c r="E48" s="556" t="s">
        <v>7</v>
      </c>
      <c r="F48" s="556" t="s">
        <v>30600</v>
      </c>
      <c r="G48" s="556">
        <v>0</v>
      </c>
      <c r="H48" s="556">
        <v>2099.9989999999998</v>
      </c>
      <c r="I48" s="556" t="s">
        <v>29288</v>
      </c>
      <c r="J48" s="556" t="s">
        <v>4</v>
      </c>
      <c r="K48" s="556" t="s">
        <v>30601</v>
      </c>
      <c r="L48" s="556">
        <v>782688024</v>
      </c>
      <c r="M48" s="556" t="s">
        <v>3</v>
      </c>
      <c r="N48" s="556" t="s">
        <v>31438</v>
      </c>
      <c r="O48" s="556">
        <v>76</v>
      </c>
      <c r="P48" s="556">
        <v>6</v>
      </c>
      <c r="Q48" s="556" t="s">
        <v>7</v>
      </c>
      <c r="R48" s="556" t="s">
        <v>31588</v>
      </c>
      <c r="S48" s="556" t="s">
        <v>4</v>
      </c>
      <c r="T48" s="556" t="s">
        <v>2</v>
      </c>
      <c r="U48" s="556" t="s">
        <v>4</v>
      </c>
      <c r="V48" s="556"/>
      <c r="W48" s="556" t="s">
        <v>4</v>
      </c>
      <c r="X48" s="556" t="s">
        <v>4</v>
      </c>
      <c r="Y48" s="557">
        <v>44264</v>
      </c>
      <c r="Z48" s="557" t="str">
        <f>IF(OR(T48="yes",Y48&gt;'SDG outcome'!$C$27),"yes","no")</f>
        <v>no</v>
      </c>
      <c r="AA48" s="558" t="str">
        <f t="shared" si="0"/>
        <v/>
      </c>
      <c r="AB48" s="558" t="str">
        <f>IF(AND(Z48="no",AND(Y48&gt;='SDG outcome'!$B$16,Y48&lt;'SDG outcome'!$C$27)),Y48-'SDG outcome'!$B$16,"")</f>
        <v/>
      </c>
      <c r="AC48" s="556" t="s">
        <v>31572</v>
      </c>
      <c r="AD48" s="556" t="s">
        <v>4</v>
      </c>
      <c r="AE48" s="556" t="s">
        <v>7</v>
      </c>
      <c r="AF48" s="556" t="s">
        <v>31839</v>
      </c>
      <c r="AG48" s="556" t="s">
        <v>4</v>
      </c>
      <c r="AH48" s="556" t="s">
        <v>2</v>
      </c>
      <c r="AI48" s="557" t="s">
        <v>4</v>
      </c>
      <c r="AJ48" s="556" t="s">
        <v>4</v>
      </c>
      <c r="AK48" s="556"/>
      <c r="AL48" s="556"/>
      <c r="AM48" s="556"/>
      <c r="AN48" s="556"/>
      <c r="AO48" s="556"/>
      <c r="AP48" s="556"/>
      <c r="AQ48" s="556"/>
      <c r="AR48" s="556"/>
      <c r="AS48" s="556"/>
      <c r="AT48" s="556"/>
      <c r="AU48" s="556"/>
      <c r="AV48" s="556"/>
      <c r="AW48" s="556"/>
      <c r="AX48" s="556"/>
      <c r="AY48" s="556"/>
      <c r="AZ48" s="556"/>
      <c r="BA48" s="556"/>
      <c r="BB48" s="556"/>
      <c r="BC48" s="556"/>
      <c r="BD48" s="556"/>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6"/>
      <c r="CJ48" s="556"/>
      <c r="CK48" s="556"/>
      <c r="CL48" s="556"/>
      <c r="CM48" s="556"/>
      <c r="CN48" s="556"/>
      <c r="CO48" s="556"/>
      <c r="CP48" s="556"/>
      <c r="CQ48" s="556"/>
      <c r="CR48" s="556"/>
      <c r="CS48" s="556"/>
      <c r="CT48" s="556"/>
      <c r="CU48" s="556"/>
      <c r="CV48" s="556"/>
      <c r="CW48" s="556"/>
      <c r="CX48" s="556"/>
      <c r="CY48" s="556"/>
      <c r="CZ48" s="556"/>
      <c r="DA48" s="556"/>
      <c r="DB48" s="556"/>
      <c r="DC48" s="556"/>
      <c r="DD48" s="556"/>
      <c r="DE48" s="556"/>
      <c r="DF48" s="556"/>
      <c r="DG48" s="556"/>
      <c r="DH48" s="556"/>
      <c r="DI48" s="556"/>
      <c r="DJ48" s="556"/>
      <c r="DK48" s="556"/>
      <c r="DL48" s="556"/>
      <c r="DM48" s="556"/>
      <c r="DN48" s="556"/>
      <c r="DO48" s="556"/>
      <c r="DP48" s="556"/>
      <c r="DQ48" s="556"/>
      <c r="DR48" s="556"/>
      <c r="DS48" s="556"/>
      <c r="DT48" s="559"/>
      <c r="DU48" s="556"/>
      <c r="DV48" s="559"/>
      <c r="DW48" s="556"/>
      <c r="DX48" s="556"/>
      <c r="DY48" s="556"/>
      <c r="DZ48" s="556"/>
      <c r="EA48" s="556"/>
      <c r="EB48" s="556"/>
      <c r="EC48" s="556"/>
      <c r="ED48" s="556"/>
      <c r="EE48" s="560"/>
      <c r="EF48" s="560"/>
      <c r="EG48" s="560"/>
      <c r="EH48" s="560"/>
      <c r="EI48" s="560"/>
      <c r="EJ48" s="556"/>
      <c r="EK48" s="556"/>
      <c r="EL48" s="556"/>
      <c r="EM48" s="556"/>
      <c r="EN48" s="556"/>
      <c r="EO48" s="556"/>
      <c r="EP48" s="556"/>
      <c r="EQ48" s="556"/>
      <c r="ER48" s="556"/>
      <c r="ES48" s="556"/>
      <c r="ET48" s="556"/>
      <c r="EU48" s="556"/>
      <c r="EV48" s="560"/>
      <c r="EW48" s="560"/>
      <c r="EX48" s="560"/>
      <c r="EY48" s="560"/>
      <c r="EZ48" s="560"/>
      <c r="FA48" s="556"/>
      <c r="FB48" s="556"/>
      <c r="FC48" s="556"/>
      <c r="FD48" s="556"/>
      <c r="FE48" s="556"/>
      <c r="FF48" s="556"/>
      <c r="FG48" s="556"/>
      <c r="FH48" s="556"/>
      <c r="FI48" s="556"/>
      <c r="FJ48" s="556"/>
      <c r="FK48" s="556"/>
      <c r="FL48" s="556"/>
      <c r="FM48" s="556"/>
      <c r="FN48" s="556"/>
      <c r="FO48" s="556"/>
      <c r="FP48" s="556"/>
      <c r="FQ48" s="556"/>
      <c r="FR48" s="556"/>
      <c r="FS48" s="556"/>
      <c r="FT48" s="556"/>
      <c r="FU48" s="556"/>
      <c r="FV48" s="556"/>
      <c r="FW48" s="556"/>
      <c r="FX48" s="556"/>
      <c r="FY48" s="556"/>
      <c r="FZ48" s="556"/>
      <c r="GA48" s="556"/>
      <c r="GB48" s="559"/>
      <c r="GC48" s="556"/>
      <c r="GD48" s="556"/>
      <c r="GE48" s="556"/>
      <c r="GF48" s="556"/>
      <c r="GG48" s="556"/>
      <c r="GH48" s="556"/>
      <c r="GI48" s="556"/>
      <c r="GJ48" s="556"/>
      <c r="GK48" s="556"/>
      <c r="GL48" s="556"/>
      <c r="GM48" s="556"/>
      <c r="GN48" s="556"/>
      <c r="GO48" s="556"/>
      <c r="GP48" s="556"/>
      <c r="GQ48" s="556"/>
      <c r="GR48" s="556"/>
      <c r="GS48" s="556"/>
      <c r="GT48" s="556"/>
      <c r="GU48" s="556"/>
      <c r="GV48" s="556"/>
      <c r="GW48" s="556"/>
      <c r="GX48" s="556"/>
      <c r="GY48" s="556"/>
      <c r="GZ48" s="556"/>
      <c r="HA48" s="556"/>
      <c r="HB48" s="556"/>
      <c r="HC48" s="556"/>
      <c r="HD48" s="556"/>
      <c r="HE48" s="556"/>
      <c r="HF48" s="556"/>
      <c r="HG48" s="556"/>
      <c r="HH48" s="556"/>
      <c r="HI48" s="556"/>
      <c r="HJ48" s="559"/>
      <c r="HK48" s="556"/>
      <c r="HL48" s="556"/>
      <c r="HM48" s="556"/>
      <c r="HN48" s="556"/>
      <c r="HO48" s="556"/>
      <c r="HP48" s="556"/>
      <c r="HQ48" s="556"/>
      <c r="HR48" s="556"/>
      <c r="HS48" s="556"/>
      <c r="HT48" s="556"/>
      <c r="HU48" s="556"/>
      <c r="HV48" s="556"/>
      <c r="HW48" s="556"/>
      <c r="HX48" s="556"/>
      <c r="HY48" s="556"/>
      <c r="HZ48" s="556" t="s">
        <v>30602</v>
      </c>
      <c r="IA48" s="556" t="s">
        <v>2</v>
      </c>
      <c r="IB48" s="556" t="s">
        <v>4</v>
      </c>
      <c r="IC48" s="556" t="s">
        <v>30603</v>
      </c>
      <c r="ID48" s="556" t="s">
        <v>30604</v>
      </c>
      <c r="IE48" s="556" t="s">
        <v>30605</v>
      </c>
      <c r="IF48" s="556" t="s">
        <v>30606</v>
      </c>
      <c r="IG48" s="556" t="s">
        <v>30607</v>
      </c>
      <c r="IH48" s="556" t="s">
        <v>30599</v>
      </c>
    </row>
    <row r="49" spans="1:242" s="561" customFormat="1" ht="36.75" customHeight="1" x14ac:dyDescent="0.2">
      <c r="A49" s="556">
        <v>154</v>
      </c>
      <c r="B49" s="556" t="s">
        <v>23340</v>
      </c>
      <c r="C49" s="556" t="s">
        <v>30939</v>
      </c>
      <c r="D49" s="556" t="s">
        <v>30866</v>
      </c>
      <c r="E49" s="556" t="s">
        <v>7</v>
      </c>
      <c r="F49" s="556" t="s">
        <v>30940</v>
      </c>
      <c r="G49" s="556">
        <v>1252</v>
      </c>
      <c r="H49" s="556">
        <v>12.6</v>
      </c>
      <c r="I49" s="556" t="s">
        <v>29349</v>
      </c>
      <c r="J49" s="556" t="s">
        <v>4</v>
      </c>
      <c r="K49" s="556" t="s">
        <v>30941</v>
      </c>
      <c r="L49" s="556">
        <v>771644641</v>
      </c>
      <c r="M49" s="556" t="s">
        <v>5</v>
      </c>
      <c r="N49" s="556" t="s">
        <v>31590</v>
      </c>
      <c r="O49" s="556" t="s">
        <v>4</v>
      </c>
      <c r="P49" s="556">
        <v>4</v>
      </c>
      <c r="Q49" s="556" t="s">
        <v>7</v>
      </c>
      <c r="R49" s="556" t="s">
        <v>31549</v>
      </c>
      <c r="S49" s="556" t="s">
        <v>4</v>
      </c>
      <c r="T49" s="556" t="s">
        <v>2</v>
      </c>
      <c r="U49" s="556" t="s">
        <v>4</v>
      </c>
      <c r="V49" s="556"/>
      <c r="W49" s="556" t="s">
        <v>4</v>
      </c>
      <c r="X49" s="556" t="s">
        <v>4</v>
      </c>
      <c r="Y49" s="557">
        <v>44264</v>
      </c>
      <c r="Z49" s="557" t="str">
        <f>IF(OR(T49="yes",Y49&gt;'SDG outcome'!$C$27),"yes","no")</f>
        <v>no</v>
      </c>
      <c r="AA49" s="558" t="str">
        <f t="shared" si="0"/>
        <v/>
      </c>
      <c r="AB49" s="558" t="str">
        <f>IF(AND(Z49="no",AND(Y49&gt;='SDG outcome'!$B$16,Y49&lt;'SDG outcome'!$C$27)),Y49-'SDG outcome'!$B$16,"")</f>
        <v/>
      </c>
      <c r="AC49" s="556" t="s">
        <v>31572</v>
      </c>
      <c r="AD49" s="556" t="s">
        <v>4</v>
      </c>
      <c r="AE49" s="556" t="s">
        <v>7</v>
      </c>
      <c r="AF49" s="556" t="s">
        <v>31888</v>
      </c>
      <c r="AG49" s="556" t="s">
        <v>4</v>
      </c>
      <c r="AH49" s="556" t="s">
        <v>7</v>
      </c>
      <c r="AI49" s="557">
        <v>45269</v>
      </c>
      <c r="AJ49" s="556" t="s">
        <v>4</v>
      </c>
      <c r="AK49" s="556"/>
      <c r="AL49" s="556"/>
      <c r="AM49" s="556"/>
      <c r="AN49" s="556"/>
      <c r="AO49" s="556"/>
      <c r="AP49" s="556"/>
      <c r="AQ49" s="556"/>
      <c r="AR49" s="556"/>
      <c r="AS49" s="556"/>
      <c r="AT49" s="556"/>
      <c r="AU49" s="556"/>
      <c r="AV49" s="556"/>
      <c r="AW49" s="556"/>
      <c r="AX49" s="556"/>
      <c r="AY49" s="556"/>
      <c r="AZ49" s="556"/>
      <c r="BA49" s="556"/>
      <c r="BB49" s="556"/>
      <c r="BC49" s="556"/>
      <c r="BD49" s="556"/>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6"/>
      <c r="CJ49" s="556"/>
      <c r="CK49" s="556"/>
      <c r="CL49" s="556"/>
      <c r="CM49" s="556"/>
      <c r="CN49" s="556"/>
      <c r="CO49" s="556"/>
      <c r="CP49" s="556"/>
      <c r="CQ49" s="556"/>
      <c r="CR49" s="556"/>
      <c r="CS49" s="556"/>
      <c r="CT49" s="556"/>
      <c r="CU49" s="556"/>
      <c r="CV49" s="556"/>
      <c r="CW49" s="556"/>
      <c r="CX49" s="556"/>
      <c r="CY49" s="556"/>
      <c r="CZ49" s="556"/>
      <c r="DA49" s="556"/>
      <c r="DB49" s="556"/>
      <c r="DC49" s="556"/>
      <c r="DD49" s="556"/>
      <c r="DE49" s="556"/>
      <c r="DF49" s="556"/>
      <c r="DG49" s="556"/>
      <c r="DH49" s="556"/>
      <c r="DI49" s="556"/>
      <c r="DJ49" s="556"/>
      <c r="DK49" s="556"/>
      <c r="DL49" s="556"/>
      <c r="DM49" s="556"/>
      <c r="DN49" s="556"/>
      <c r="DO49" s="556"/>
      <c r="DP49" s="556"/>
      <c r="DQ49" s="556"/>
      <c r="DR49" s="556"/>
      <c r="DS49" s="556"/>
      <c r="DT49" s="559"/>
      <c r="DU49" s="556"/>
      <c r="DV49" s="559"/>
      <c r="DW49" s="556"/>
      <c r="DX49" s="556"/>
      <c r="DY49" s="556"/>
      <c r="DZ49" s="556"/>
      <c r="EA49" s="556"/>
      <c r="EB49" s="556"/>
      <c r="EC49" s="556"/>
      <c r="ED49" s="556"/>
      <c r="EE49" s="560"/>
      <c r="EF49" s="560"/>
      <c r="EG49" s="560"/>
      <c r="EH49" s="560"/>
      <c r="EI49" s="560"/>
      <c r="EJ49" s="556"/>
      <c r="EK49" s="556"/>
      <c r="EL49" s="556"/>
      <c r="EM49" s="556"/>
      <c r="EN49" s="556"/>
      <c r="EO49" s="556"/>
      <c r="EP49" s="556"/>
      <c r="EQ49" s="556"/>
      <c r="ER49" s="556"/>
      <c r="ES49" s="556"/>
      <c r="ET49" s="556"/>
      <c r="EU49" s="556"/>
      <c r="EV49" s="560"/>
      <c r="EW49" s="560"/>
      <c r="EX49" s="560"/>
      <c r="EY49" s="560"/>
      <c r="EZ49" s="560"/>
      <c r="FA49" s="556"/>
      <c r="FB49" s="556"/>
      <c r="FC49" s="556"/>
      <c r="FD49" s="556"/>
      <c r="FE49" s="556"/>
      <c r="FF49" s="556"/>
      <c r="FG49" s="556"/>
      <c r="FH49" s="556"/>
      <c r="FI49" s="556"/>
      <c r="FJ49" s="556"/>
      <c r="FK49" s="556"/>
      <c r="FL49" s="556"/>
      <c r="FM49" s="556"/>
      <c r="FN49" s="556"/>
      <c r="FO49" s="556"/>
      <c r="FP49" s="556"/>
      <c r="FQ49" s="556"/>
      <c r="FR49" s="556"/>
      <c r="FS49" s="556"/>
      <c r="FT49" s="556"/>
      <c r="FU49" s="556"/>
      <c r="FV49" s="556"/>
      <c r="FW49" s="556"/>
      <c r="FX49" s="556"/>
      <c r="FY49" s="556"/>
      <c r="FZ49" s="556"/>
      <c r="GA49" s="556"/>
      <c r="GB49" s="559"/>
      <c r="GC49" s="556"/>
      <c r="GD49" s="556"/>
      <c r="GE49" s="556"/>
      <c r="GF49" s="556"/>
      <c r="GG49" s="556"/>
      <c r="GH49" s="556"/>
      <c r="GI49" s="556"/>
      <c r="GJ49" s="556"/>
      <c r="GK49" s="556"/>
      <c r="GL49" s="556"/>
      <c r="GM49" s="556"/>
      <c r="GN49" s="556"/>
      <c r="GO49" s="556"/>
      <c r="GP49" s="556"/>
      <c r="GQ49" s="556"/>
      <c r="GR49" s="556"/>
      <c r="GS49" s="556"/>
      <c r="GT49" s="556"/>
      <c r="GU49" s="556"/>
      <c r="GV49" s="556"/>
      <c r="GW49" s="556"/>
      <c r="GX49" s="556"/>
      <c r="GY49" s="556"/>
      <c r="GZ49" s="556"/>
      <c r="HA49" s="556"/>
      <c r="HB49" s="556"/>
      <c r="HC49" s="556"/>
      <c r="HD49" s="556"/>
      <c r="HE49" s="556"/>
      <c r="HF49" s="556"/>
      <c r="HG49" s="556"/>
      <c r="HH49" s="556"/>
      <c r="HI49" s="556"/>
      <c r="HJ49" s="559"/>
      <c r="HK49" s="556"/>
      <c r="HL49" s="556"/>
      <c r="HM49" s="556"/>
      <c r="HN49" s="556"/>
      <c r="HO49" s="556"/>
      <c r="HP49" s="556"/>
      <c r="HQ49" s="556"/>
      <c r="HR49" s="556"/>
      <c r="HS49" s="556"/>
      <c r="HT49" s="556"/>
      <c r="HU49" s="556"/>
      <c r="HV49" s="556"/>
      <c r="HW49" s="556"/>
      <c r="HX49" s="556"/>
      <c r="HY49" s="556"/>
      <c r="HZ49" s="556" t="s">
        <v>30942</v>
      </c>
      <c r="IA49" s="556" t="s">
        <v>7</v>
      </c>
      <c r="IB49" s="556" t="s">
        <v>30943</v>
      </c>
      <c r="IC49" s="556" t="s">
        <v>30944</v>
      </c>
      <c r="ID49" s="556" t="s">
        <v>30945</v>
      </c>
      <c r="IE49" s="556" t="s">
        <v>9</v>
      </c>
      <c r="IF49" s="556" t="s">
        <v>30946</v>
      </c>
      <c r="IG49" s="556" t="s">
        <v>30947</v>
      </c>
      <c r="IH49" s="556" t="s">
        <v>30948</v>
      </c>
    </row>
    <row r="50" spans="1:242" s="561" customFormat="1" ht="36.75" customHeight="1" x14ac:dyDescent="0.2">
      <c r="A50" s="556">
        <v>183</v>
      </c>
      <c r="B50" s="556" t="s">
        <v>25220</v>
      </c>
      <c r="C50" s="556" t="s">
        <v>31217</v>
      </c>
      <c r="D50" s="556" t="s">
        <v>43</v>
      </c>
      <c r="E50" s="556" t="s">
        <v>7</v>
      </c>
      <c r="F50" s="556" t="s">
        <v>31218</v>
      </c>
      <c r="G50" s="556">
        <v>1390</v>
      </c>
      <c r="H50" s="556">
        <v>4.7</v>
      </c>
      <c r="I50" s="556" t="s">
        <v>29288</v>
      </c>
      <c r="J50" s="556" t="s">
        <v>4</v>
      </c>
      <c r="K50" s="556" t="s">
        <v>31219</v>
      </c>
      <c r="L50" s="556">
        <v>774835656</v>
      </c>
      <c r="M50" s="556" t="s">
        <v>3</v>
      </c>
      <c r="N50" s="556" t="s">
        <v>31590</v>
      </c>
      <c r="O50" s="556" t="s">
        <v>4</v>
      </c>
      <c r="P50" s="556">
        <v>8</v>
      </c>
      <c r="Q50" s="556" t="s">
        <v>7</v>
      </c>
      <c r="R50" s="556" t="s">
        <v>31588</v>
      </c>
      <c r="S50" s="556" t="s">
        <v>4</v>
      </c>
      <c r="T50" s="556" t="s">
        <v>2</v>
      </c>
      <c r="U50" s="556" t="s">
        <v>4</v>
      </c>
      <c r="V50" s="556"/>
      <c r="W50" s="556" t="s">
        <v>4</v>
      </c>
      <c r="X50" s="556" t="s">
        <v>4</v>
      </c>
      <c r="Y50" s="557">
        <v>44296</v>
      </c>
      <c r="Z50" s="557" t="str">
        <f>IF(OR(T50="yes",Y50&gt;'SDG outcome'!$C$27),"yes","no")</f>
        <v>no</v>
      </c>
      <c r="AA50" s="558" t="str">
        <f t="shared" si="0"/>
        <v/>
      </c>
      <c r="AB50" s="558" t="str">
        <f>IF(AND(Z50="no",AND(Y50&gt;='SDG outcome'!$B$16,Y50&lt;'SDG outcome'!$C$27)),Y50-'SDG outcome'!$B$16,"")</f>
        <v/>
      </c>
      <c r="AC50" s="556" t="s">
        <v>31572</v>
      </c>
      <c r="AD50" s="556" t="s">
        <v>4</v>
      </c>
      <c r="AE50" s="556" t="s">
        <v>7</v>
      </c>
      <c r="AF50" s="556" t="s">
        <v>31944</v>
      </c>
      <c r="AG50" s="556" t="s">
        <v>4</v>
      </c>
      <c r="AH50" s="556" t="s">
        <v>7</v>
      </c>
      <c r="AI50" s="557">
        <v>45118</v>
      </c>
      <c r="AJ50" s="556" t="s">
        <v>4</v>
      </c>
      <c r="AK50" s="556"/>
      <c r="AL50" s="556"/>
      <c r="AM50" s="556"/>
      <c r="AN50" s="556"/>
      <c r="AO50" s="556"/>
      <c r="AP50" s="556"/>
      <c r="AQ50" s="556"/>
      <c r="AR50" s="556"/>
      <c r="AS50" s="556"/>
      <c r="AT50" s="556"/>
      <c r="AU50" s="556"/>
      <c r="AV50" s="556"/>
      <c r="AW50" s="556"/>
      <c r="AX50" s="556"/>
      <c r="AY50" s="556"/>
      <c r="AZ50" s="556"/>
      <c r="BA50" s="556"/>
      <c r="BB50" s="556"/>
      <c r="BC50" s="556"/>
      <c r="BD50" s="556"/>
      <c r="BE50" s="556"/>
      <c r="BF50" s="556"/>
      <c r="BG50" s="556"/>
      <c r="BH50" s="556"/>
      <c r="BI50" s="556"/>
      <c r="BJ50" s="556"/>
      <c r="BK50" s="556"/>
      <c r="BL50" s="556"/>
      <c r="BM50" s="556"/>
      <c r="BN50" s="556"/>
      <c r="BO50" s="556"/>
      <c r="BP50" s="556"/>
      <c r="BQ50" s="556"/>
      <c r="BR50" s="556"/>
      <c r="BS50" s="556"/>
      <c r="BT50" s="556"/>
      <c r="BU50" s="556"/>
      <c r="BV50" s="556"/>
      <c r="BW50" s="556"/>
      <c r="BX50" s="556"/>
      <c r="BY50" s="556"/>
      <c r="BZ50" s="556"/>
      <c r="CA50" s="556"/>
      <c r="CB50" s="556"/>
      <c r="CC50" s="556"/>
      <c r="CD50" s="556"/>
      <c r="CE50" s="556"/>
      <c r="CF50" s="556"/>
      <c r="CG50" s="556"/>
      <c r="CH50" s="556"/>
      <c r="CI50" s="556"/>
      <c r="CJ50" s="556"/>
      <c r="CK50" s="556"/>
      <c r="CL50" s="556"/>
      <c r="CM50" s="556"/>
      <c r="CN50" s="556"/>
      <c r="CO50" s="556"/>
      <c r="CP50" s="556"/>
      <c r="CQ50" s="556"/>
      <c r="CR50" s="556"/>
      <c r="CS50" s="556"/>
      <c r="CT50" s="556"/>
      <c r="CU50" s="556"/>
      <c r="CV50" s="556"/>
      <c r="CW50" s="556"/>
      <c r="CX50" s="556"/>
      <c r="CY50" s="556"/>
      <c r="CZ50" s="556"/>
      <c r="DA50" s="556"/>
      <c r="DB50" s="556"/>
      <c r="DC50" s="556"/>
      <c r="DD50" s="556"/>
      <c r="DE50" s="556"/>
      <c r="DF50" s="556"/>
      <c r="DG50" s="556"/>
      <c r="DH50" s="556"/>
      <c r="DI50" s="556"/>
      <c r="DJ50" s="556"/>
      <c r="DK50" s="556"/>
      <c r="DL50" s="556"/>
      <c r="DM50" s="556"/>
      <c r="DN50" s="556"/>
      <c r="DO50" s="556"/>
      <c r="DP50" s="556"/>
      <c r="DQ50" s="556"/>
      <c r="DR50" s="556"/>
      <c r="DS50" s="556"/>
      <c r="DT50" s="559"/>
      <c r="DU50" s="556"/>
      <c r="DV50" s="559"/>
      <c r="DW50" s="556"/>
      <c r="DX50" s="556"/>
      <c r="DY50" s="556"/>
      <c r="DZ50" s="556"/>
      <c r="EA50" s="556"/>
      <c r="EB50" s="556"/>
      <c r="EC50" s="556"/>
      <c r="ED50" s="556"/>
      <c r="EE50" s="560"/>
      <c r="EF50" s="560"/>
      <c r="EG50" s="560"/>
      <c r="EH50" s="560"/>
      <c r="EI50" s="560"/>
      <c r="EJ50" s="556"/>
      <c r="EK50" s="556"/>
      <c r="EL50" s="556"/>
      <c r="EM50" s="556"/>
      <c r="EN50" s="556"/>
      <c r="EO50" s="556"/>
      <c r="EP50" s="556"/>
      <c r="EQ50" s="556"/>
      <c r="ER50" s="556"/>
      <c r="ES50" s="556"/>
      <c r="ET50" s="556"/>
      <c r="EU50" s="556"/>
      <c r="EV50" s="560"/>
      <c r="EW50" s="560"/>
      <c r="EX50" s="560"/>
      <c r="EY50" s="560"/>
      <c r="EZ50" s="560"/>
      <c r="FA50" s="556"/>
      <c r="FB50" s="556"/>
      <c r="FC50" s="556"/>
      <c r="FD50" s="556"/>
      <c r="FE50" s="556"/>
      <c r="FF50" s="556"/>
      <c r="FG50" s="556"/>
      <c r="FH50" s="556"/>
      <c r="FI50" s="556"/>
      <c r="FJ50" s="556"/>
      <c r="FK50" s="556"/>
      <c r="FL50" s="556"/>
      <c r="FM50" s="556"/>
      <c r="FN50" s="556"/>
      <c r="FO50" s="556"/>
      <c r="FP50" s="556"/>
      <c r="FQ50" s="556"/>
      <c r="FR50" s="556"/>
      <c r="FS50" s="556"/>
      <c r="FT50" s="556"/>
      <c r="FU50" s="556"/>
      <c r="FV50" s="556"/>
      <c r="FW50" s="556"/>
      <c r="FX50" s="556"/>
      <c r="FY50" s="556"/>
      <c r="FZ50" s="556"/>
      <c r="GA50" s="556"/>
      <c r="GB50" s="559"/>
      <c r="GC50" s="556"/>
      <c r="GD50" s="556"/>
      <c r="GE50" s="556"/>
      <c r="GF50" s="556"/>
      <c r="GG50" s="556"/>
      <c r="GH50" s="556"/>
      <c r="GI50" s="556"/>
      <c r="GJ50" s="556"/>
      <c r="GK50" s="556"/>
      <c r="GL50" s="556"/>
      <c r="GM50" s="556"/>
      <c r="GN50" s="556"/>
      <c r="GO50" s="556"/>
      <c r="GP50" s="556"/>
      <c r="GQ50" s="556"/>
      <c r="GR50" s="556"/>
      <c r="GS50" s="556"/>
      <c r="GT50" s="556"/>
      <c r="GU50" s="556"/>
      <c r="GV50" s="556"/>
      <c r="GW50" s="556"/>
      <c r="GX50" s="556"/>
      <c r="GY50" s="556"/>
      <c r="GZ50" s="556"/>
      <c r="HA50" s="556"/>
      <c r="HB50" s="556"/>
      <c r="HC50" s="556"/>
      <c r="HD50" s="556"/>
      <c r="HE50" s="556"/>
      <c r="HF50" s="556"/>
      <c r="HG50" s="556"/>
      <c r="HH50" s="556"/>
      <c r="HI50" s="556"/>
      <c r="HJ50" s="559"/>
      <c r="HK50" s="556"/>
      <c r="HL50" s="556"/>
      <c r="HM50" s="556"/>
      <c r="HN50" s="556"/>
      <c r="HO50" s="556"/>
      <c r="HP50" s="556"/>
      <c r="HQ50" s="556"/>
      <c r="HR50" s="556"/>
      <c r="HS50" s="556"/>
      <c r="HT50" s="556"/>
      <c r="HU50" s="556"/>
      <c r="HV50" s="556"/>
      <c r="HW50" s="556"/>
      <c r="HX50" s="556"/>
      <c r="HY50" s="556"/>
      <c r="HZ50" s="556" t="s">
        <v>31220</v>
      </c>
      <c r="IA50" s="556" t="s">
        <v>7</v>
      </c>
      <c r="IB50" s="556" t="s">
        <v>31221</v>
      </c>
      <c r="IC50" s="556" t="s">
        <v>16</v>
      </c>
      <c r="ID50" s="556" t="s">
        <v>31222</v>
      </c>
      <c r="IE50" s="556" t="s">
        <v>31223</v>
      </c>
      <c r="IF50" s="556" t="s">
        <v>31224</v>
      </c>
      <c r="IG50" s="556" t="s">
        <v>31225</v>
      </c>
      <c r="IH50" s="556" t="s">
        <v>31217</v>
      </c>
    </row>
    <row r="51" spans="1:242" s="561" customFormat="1" ht="36.75" customHeight="1" x14ac:dyDescent="0.2">
      <c r="A51" s="556">
        <v>148</v>
      </c>
      <c r="B51" s="556" t="s">
        <v>21951</v>
      </c>
      <c r="C51" s="556" t="s">
        <v>30618</v>
      </c>
      <c r="D51" s="556" t="s">
        <v>30866</v>
      </c>
      <c r="E51" s="556" t="s">
        <v>7</v>
      </c>
      <c r="F51" s="556" t="s">
        <v>30867</v>
      </c>
      <c r="G51" s="556">
        <v>1280.7</v>
      </c>
      <c r="H51" s="556">
        <v>26</v>
      </c>
      <c r="I51" s="556" t="s">
        <v>29319</v>
      </c>
      <c r="J51" s="556" t="s">
        <v>4</v>
      </c>
      <c r="K51" s="556" t="s">
        <v>21952</v>
      </c>
      <c r="L51" s="556">
        <v>783495005</v>
      </c>
      <c r="M51" s="556" t="s">
        <v>5</v>
      </c>
      <c r="N51" s="556" t="s">
        <v>31598</v>
      </c>
      <c r="O51" s="556" t="s">
        <v>4</v>
      </c>
      <c r="P51" s="556">
        <v>6</v>
      </c>
      <c r="Q51" s="556" t="s">
        <v>7</v>
      </c>
      <c r="R51" s="556" t="s">
        <v>31588</v>
      </c>
      <c r="S51" s="556" t="s">
        <v>4</v>
      </c>
      <c r="T51" s="556" t="s">
        <v>2</v>
      </c>
      <c r="U51" s="556" t="s">
        <v>4</v>
      </c>
      <c r="V51" s="556"/>
      <c r="W51" s="556" t="s">
        <v>4</v>
      </c>
      <c r="X51" s="556" t="s">
        <v>4</v>
      </c>
      <c r="Y51" s="557">
        <v>44322</v>
      </c>
      <c r="Z51" s="557" t="str">
        <f>IF(OR(T51="yes",Y51&gt;'SDG outcome'!$C$27),"yes","no")</f>
        <v>no</v>
      </c>
      <c r="AA51" s="558" t="str">
        <f t="shared" si="0"/>
        <v/>
      </c>
      <c r="AB51" s="558" t="str">
        <f>IF(AND(Z51="no",AND(Y51&gt;='SDG outcome'!$B$16,Y51&lt;'SDG outcome'!$C$27)),Y51-'SDG outcome'!$B$16,"")</f>
        <v/>
      </c>
      <c r="AC51" s="556" t="s">
        <v>31699</v>
      </c>
      <c r="AD51" s="556" t="s">
        <v>4</v>
      </c>
      <c r="AE51" s="556" t="s">
        <v>4</v>
      </c>
      <c r="AF51" s="556" t="s">
        <v>4</v>
      </c>
      <c r="AG51" s="556" t="s">
        <v>4</v>
      </c>
      <c r="AH51" s="556" t="s">
        <v>7</v>
      </c>
      <c r="AI51" s="557" t="s">
        <v>9</v>
      </c>
      <c r="AJ51" s="556" t="s">
        <v>4</v>
      </c>
      <c r="AK51" s="556"/>
      <c r="AL51" s="556"/>
      <c r="AM51" s="556"/>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6"/>
      <c r="BQ51" s="556"/>
      <c r="BR51" s="556"/>
      <c r="BS51" s="556"/>
      <c r="BT51" s="556"/>
      <c r="BU51" s="556"/>
      <c r="BV51" s="556"/>
      <c r="BW51" s="556"/>
      <c r="BX51" s="556"/>
      <c r="BY51" s="556"/>
      <c r="BZ51" s="556"/>
      <c r="CA51" s="556"/>
      <c r="CB51" s="556"/>
      <c r="CC51" s="556"/>
      <c r="CD51" s="556"/>
      <c r="CE51" s="556"/>
      <c r="CF51" s="556"/>
      <c r="CG51" s="556"/>
      <c r="CH51" s="556"/>
      <c r="CI51" s="556"/>
      <c r="CJ51" s="556"/>
      <c r="CK51" s="556"/>
      <c r="CL51" s="556"/>
      <c r="CM51" s="556"/>
      <c r="CN51" s="556"/>
      <c r="CO51" s="556"/>
      <c r="CP51" s="556"/>
      <c r="CQ51" s="556"/>
      <c r="CR51" s="556"/>
      <c r="CS51" s="556"/>
      <c r="CT51" s="556"/>
      <c r="CU51" s="556"/>
      <c r="CV51" s="556"/>
      <c r="CW51" s="556"/>
      <c r="CX51" s="556"/>
      <c r="CY51" s="556"/>
      <c r="CZ51" s="556"/>
      <c r="DA51" s="556"/>
      <c r="DB51" s="556"/>
      <c r="DC51" s="556"/>
      <c r="DD51" s="556"/>
      <c r="DE51" s="556"/>
      <c r="DF51" s="556"/>
      <c r="DG51" s="556"/>
      <c r="DH51" s="556"/>
      <c r="DI51" s="556"/>
      <c r="DJ51" s="556"/>
      <c r="DK51" s="556"/>
      <c r="DL51" s="556"/>
      <c r="DM51" s="556"/>
      <c r="DN51" s="556"/>
      <c r="DO51" s="556"/>
      <c r="DP51" s="556"/>
      <c r="DQ51" s="556"/>
      <c r="DR51" s="556"/>
      <c r="DS51" s="556"/>
      <c r="DT51" s="559"/>
      <c r="DU51" s="556"/>
      <c r="DV51" s="559"/>
      <c r="DW51" s="556"/>
      <c r="DX51" s="556"/>
      <c r="DY51" s="556"/>
      <c r="DZ51" s="556"/>
      <c r="EA51" s="556"/>
      <c r="EB51" s="556"/>
      <c r="EC51" s="556"/>
      <c r="ED51" s="556"/>
      <c r="EE51" s="560"/>
      <c r="EF51" s="560"/>
      <c r="EG51" s="560"/>
      <c r="EH51" s="560"/>
      <c r="EI51" s="560"/>
      <c r="EJ51" s="556"/>
      <c r="EK51" s="556"/>
      <c r="EL51" s="556"/>
      <c r="EM51" s="556"/>
      <c r="EN51" s="556"/>
      <c r="EO51" s="556"/>
      <c r="EP51" s="556"/>
      <c r="EQ51" s="556"/>
      <c r="ER51" s="556"/>
      <c r="ES51" s="556"/>
      <c r="ET51" s="556"/>
      <c r="EU51" s="556"/>
      <c r="EV51" s="560"/>
      <c r="EW51" s="560"/>
      <c r="EX51" s="560"/>
      <c r="EY51" s="560"/>
      <c r="EZ51" s="560"/>
      <c r="FA51" s="556"/>
      <c r="FB51" s="556"/>
      <c r="FC51" s="556"/>
      <c r="FD51" s="556"/>
      <c r="FE51" s="556"/>
      <c r="FF51" s="556"/>
      <c r="FG51" s="556"/>
      <c r="FH51" s="556"/>
      <c r="FI51" s="556"/>
      <c r="FJ51" s="556"/>
      <c r="FK51" s="556"/>
      <c r="FL51" s="556"/>
      <c r="FM51" s="556"/>
      <c r="FN51" s="556"/>
      <c r="FO51" s="556"/>
      <c r="FP51" s="556"/>
      <c r="FQ51" s="556"/>
      <c r="FR51" s="556"/>
      <c r="FS51" s="556"/>
      <c r="FT51" s="556"/>
      <c r="FU51" s="556"/>
      <c r="FV51" s="556"/>
      <c r="FW51" s="556"/>
      <c r="FX51" s="556"/>
      <c r="FY51" s="556"/>
      <c r="FZ51" s="556"/>
      <c r="GA51" s="556"/>
      <c r="GB51" s="559"/>
      <c r="GC51" s="556"/>
      <c r="GD51" s="556"/>
      <c r="GE51" s="556"/>
      <c r="GF51" s="556"/>
      <c r="GG51" s="556"/>
      <c r="GH51" s="556"/>
      <c r="GI51" s="556"/>
      <c r="GJ51" s="556"/>
      <c r="GK51" s="556"/>
      <c r="GL51" s="556"/>
      <c r="GM51" s="556"/>
      <c r="GN51" s="556"/>
      <c r="GO51" s="556"/>
      <c r="GP51" s="556"/>
      <c r="GQ51" s="556"/>
      <c r="GR51" s="556"/>
      <c r="GS51" s="556"/>
      <c r="GT51" s="556"/>
      <c r="GU51" s="556"/>
      <c r="GV51" s="556"/>
      <c r="GW51" s="556"/>
      <c r="GX51" s="556"/>
      <c r="GY51" s="556"/>
      <c r="GZ51" s="556"/>
      <c r="HA51" s="556"/>
      <c r="HB51" s="556"/>
      <c r="HC51" s="556"/>
      <c r="HD51" s="556"/>
      <c r="HE51" s="556"/>
      <c r="HF51" s="556"/>
      <c r="HG51" s="556"/>
      <c r="HH51" s="556"/>
      <c r="HI51" s="556"/>
      <c r="HJ51" s="559"/>
      <c r="HK51" s="556"/>
      <c r="HL51" s="556"/>
      <c r="HM51" s="556"/>
      <c r="HN51" s="556"/>
      <c r="HO51" s="556"/>
      <c r="HP51" s="556"/>
      <c r="HQ51" s="556"/>
      <c r="HR51" s="556"/>
      <c r="HS51" s="556"/>
      <c r="HT51" s="556"/>
      <c r="HU51" s="556"/>
      <c r="HV51" s="556"/>
      <c r="HW51" s="556"/>
      <c r="HX51" s="556"/>
      <c r="HY51" s="556"/>
      <c r="HZ51" s="556" t="s">
        <v>30868</v>
      </c>
      <c r="IA51" s="556" t="s">
        <v>2</v>
      </c>
      <c r="IB51" s="556" t="s">
        <v>4</v>
      </c>
      <c r="IC51" s="556" t="s">
        <v>30869</v>
      </c>
      <c r="ID51" s="556" t="s">
        <v>30870</v>
      </c>
      <c r="IE51" s="556" t="s">
        <v>30871</v>
      </c>
      <c r="IF51" s="556" t="s">
        <v>30872</v>
      </c>
      <c r="IG51" s="556" t="s">
        <v>30873</v>
      </c>
      <c r="IH51" s="556" t="s">
        <v>30874</v>
      </c>
    </row>
    <row r="52" spans="1:242" s="561" customFormat="1" ht="36.75" customHeight="1" x14ac:dyDescent="0.2">
      <c r="A52" s="556">
        <v>95</v>
      </c>
      <c r="B52" s="556" t="s">
        <v>27900</v>
      </c>
      <c r="C52" s="556" t="s">
        <v>30344</v>
      </c>
      <c r="D52" s="556" t="s">
        <v>30309</v>
      </c>
      <c r="E52" s="556" t="s">
        <v>7</v>
      </c>
      <c r="F52" s="556" t="s">
        <v>30345</v>
      </c>
      <c r="G52" s="556">
        <v>1165.9000000000001</v>
      </c>
      <c r="H52" s="556">
        <v>4.5999999999999996</v>
      </c>
      <c r="I52" s="556" t="s">
        <v>29349</v>
      </c>
      <c r="J52" s="556" t="s">
        <v>4</v>
      </c>
      <c r="K52" s="556" t="s">
        <v>27211</v>
      </c>
      <c r="L52" s="556">
        <v>752560995</v>
      </c>
      <c r="M52" s="556" t="s">
        <v>5</v>
      </c>
      <c r="N52" s="556" t="s">
        <v>31438</v>
      </c>
      <c r="O52" s="556">
        <v>27</v>
      </c>
      <c r="P52" s="556">
        <v>7</v>
      </c>
      <c r="Q52" s="556" t="s">
        <v>7</v>
      </c>
      <c r="R52" s="556" t="s">
        <v>31549</v>
      </c>
      <c r="S52" s="556" t="s">
        <v>4</v>
      </c>
      <c r="T52" s="556" t="s">
        <v>2</v>
      </c>
      <c r="U52" s="556" t="s">
        <v>4</v>
      </c>
      <c r="V52" s="556"/>
      <c r="W52" s="556" t="s">
        <v>4</v>
      </c>
      <c r="X52" s="556" t="s">
        <v>4</v>
      </c>
      <c r="Y52" s="557">
        <v>44348</v>
      </c>
      <c r="Z52" s="557" t="str">
        <f>IF(OR(T52="yes",Y52&gt;'SDG outcome'!$C$27),"yes","no")</f>
        <v>no</v>
      </c>
      <c r="AA52" s="558" t="str">
        <f t="shared" si="0"/>
        <v/>
      </c>
      <c r="AB52" s="558" t="str">
        <f>IF(AND(Z52="no",AND(Y52&gt;='SDG outcome'!$B$16,Y52&lt;'SDG outcome'!$C$27)),Y52-'SDG outcome'!$B$16,"")</f>
        <v/>
      </c>
      <c r="AC52" s="556" t="s">
        <v>31699</v>
      </c>
      <c r="AD52" s="556" t="s">
        <v>4</v>
      </c>
      <c r="AE52" s="556" t="s">
        <v>4</v>
      </c>
      <c r="AF52" s="556" t="s">
        <v>4</v>
      </c>
      <c r="AG52" s="556" t="s">
        <v>4</v>
      </c>
      <c r="AH52" s="556" t="s">
        <v>4</v>
      </c>
      <c r="AI52" s="557" t="s">
        <v>4</v>
      </c>
      <c r="AJ52" s="556" t="s">
        <v>4</v>
      </c>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c r="CT52" s="556"/>
      <c r="CU52" s="556"/>
      <c r="CV52" s="556"/>
      <c r="CW52" s="556"/>
      <c r="CX52" s="556"/>
      <c r="CY52" s="556"/>
      <c r="CZ52" s="556"/>
      <c r="DA52" s="556"/>
      <c r="DB52" s="556"/>
      <c r="DC52" s="556"/>
      <c r="DD52" s="556"/>
      <c r="DE52" s="556"/>
      <c r="DF52" s="556"/>
      <c r="DG52" s="556"/>
      <c r="DH52" s="556"/>
      <c r="DI52" s="556"/>
      <c r="DJ52" s="556"/>
      <c r="DK52" s="556"/>
      <c r="DL52" s="556"/>
      <c r="DM52" s="556"/>
      <c r="DN52" s="556"/>
      <c r="DO52" s="556"/>
      <c r="DP52" s="556"/>
      <c r="DQ52" s="556"/>
      <c r="DR52" s="556"/>
      <c r="DS52" s="556"/>
      <c r="DT52" s="559"/>
      <c r="DU52" s="556"/>
      <c r="DV52" s="559"/>
      <c r="DW52" s="556"/>
      <c r="DX52" s="556"/>
      <c r="DY52" s="556"/>
      <c r="DZ52" s="556"/>
      <c r="EA52" s="556"/>
      <c r="EB52" s="556"/>
      <c r="EC52" s="556"/>
      <c r="ED52" s="556"/>
      <c r="EE52" s="560"/>
      <c r="EF52" s="560"/>
      <c r="EG52" s="560"/>
      <c r="EH52" s="560"/>
      <c r="EI52" s="560"/>
      <c r="EJ52" s="556"/>
      <c r="EK52" s="556"/>
      <c r="EL52" s="556"/>
      <c r="EM52" s="556"/>
      <c r="EN52" s="556"/>
      <c r="EO52" s="556"/>
      <c r="EP52" s="556"/>
      <c r="EQ52" s="556"/>
      <c r="ER52" s="556"/>
      <c r="ES52" s="556"/>
      <c r="ET52" s="556"/>
      <c r="EU52" s="556"/>
      <c r="EV52" s="560"/>
      <c r="EW52" s="560"/>
      <c r="EX52" s="560"/>
      <c r="EY52" s="560"/>
      <c r="EZ52" s="560"/>
      <c r="FA52" s="556"/>
      <c r="FB52" s="556"/>
      <c r="FC52" s="556"/>
      <c r="FD52" s="556"/>
      <c r="FE52" s="556"/>
      <c r="FF52" s="556"/>
      <c r="FG52" s="556"/>
      <c r="FH52" s="556"/>
      <c r="FI52" s="556"/>
      <c r="FJ52" s="556"/>
      <c r="FK52" s="556"/>
      <c r="FL52" s="556"/>
      <c r="FM52" s="556"/>
      <c r="FN52" s="556"/>
      <c r="FO52" s="556"/>
      <c r="FP52" s="556"/>
      <c r="FQ52" s="556"/>
      <c r="FR52" s="556"/>
      <c r="FS52" s="556"/>
      <c r="FT52" s="556"/>
      <c r="FU52" s="556"/>
      <c r="FV52" s="556"/>
      <c r="FW52" s="556"/>
      <c r="FX52" s="556"/>
      <c r="FY52" s="556"/>
      <c r="FZ52" s="556"/>
      <c r="GA52" s="556"/>
      <c r="GB52" s="559"/>
      <c r="GC52" s="556"/>
      <c r="GD52" s="556"/>
      <c r="GE52" s="556"/>
      <c r="GF52" s="556"/>
      <c r="GG52" s="556"/>
      <c r="GH52" s="556"/>
      <c r="GI52" s="556"/>
      <c r="GJ52" s="556"/>
      <c r="GK52" s="556"/>
      <c r="GL52" s="556"/>
      <c r="GM52" s="556"/>
      <c r="GN52" s="556"/>
      <c r="GO52" s="556"/>
      <c r="GP52" s="556"/>
      <c r="GQ52" s="556"/>
      <c r="GR52" s="556"/>
      <c r="GS52" s="556"/>
      <c r="GT52" s="556"/>
      <c r="GU52" s="556"/>
      <c r="GV52" s="556"/>
      <c r="GW52" s="556"/>
      <c r="GX52" s="556"/>
      <c r="GY52" s="556"/>
      <c r="GZ52" s="556"/>
      <c r="HA52" s="556"/>
      <c r="HB52" s="556"/>
      <c r="HC52" s="556"/>
      <c r="HD52" s="556"/>
      <c r="HE52" s="556"/>
      <c r="HF52" s="556"/>
      <c r="HG52" s="556"/>
      <c r="HH52" s="556"/>
      <c r="HI52" s="556"/>
      <c r="HJ52" s="559"/>
      <c r="HK52" s="556"/>
      <c r="HL52" s="556"/>
      <c r="HM52" s="556"/>
      <c r="HN52" s="556"/>
      <c r="HO52" s="556"/>
      <c r="HP52" s="556"/>
      <c r="HQ52" s="556"/>
      <c r="HR52" s="556"/>
      <c r="HS52" s="556"/>
      <c r="HT52" s="556"/>
      <c r="HU52" s="556"/>
      <c r="HV52" s="556"/>
      <c r="HW52" s="556"/>
      <c r="HX52" s="556"/>
      <c r="HY52" s="556"/>
      <c r="HZ52" s="556" t="s">
        <v>16</v>
      </c>
      <c r="IA52" s="556" t="s">
        <v>2</v>
      </c>
      <c r="IB52" s="556" t="s">
        <v>4</v>
      </c>
      <c r="IC52" s="556" t="s">
        <v>16</v>
      </c>
      <c r="ID52" s="556" t="s">
        <v>30346</v>
      </c>
      <c r="IE52" s="556" t="s">
        <v>30347</v>
      </c>
      <c r="IF52" s="556" t="s">
        <v>30348</v>
      </c>
      <c r="IG52" s="556" t="s">
        <v>30349</v>
      </c>
      <c r="IH52" s="556" t="s">
        <v>30344</v>
      </c>
    </row>
    <row r="53" spans="1:242" s="561" customFormat="1" ht="36.75" customHeight="1" x14ac:dyDescent="0.2">
      <c r="A53" s="556">
        <v>118</v>
      </c>
      <c r="B53" s="556" t="s">
        <v>18653</v>
      </c>
      <c r="C53" s="556" t="s">
        <v>30589</v>
      </c>
      <c r="D53" s="556" t="s">
        <v>30534</v>
      </c>
      <c r="E53" s="556" t="s">
        <v>7</v>
      </c>
      <c r="F53" s="556" t="s">
        <v>30590</v>
      </c>
      <c r="G53" s="556">
        <v>1025.0999999999999</v>
      </c>
      <c r="H53" s="556">
        <v>11.1</v>
      </c>
      <c r="I53" s="556" t="s">
        <v>29288</v>
      </c>
      <c r="J53" s="556" t="s">
        <v>4</v>
      </c>
      <c r="K53" s="556" t="s">
        <v>30591</v>
      </c>
      <c r="L53" s="556">
        <v>782868676</v>
      </c>
      <c r="M53" s="556" t="s">
        <v>3</v>
      </c>
      <c r="N53" s="556" t="s">
        <v>31438</v>
      </c>
      <c r="O53" s="556">
        <v>52</v>
      </c>
      <c r="P53" s="556">
        <v>6</v>
      </c>
      <c r="Q53" s="556" t="s">
        <v>7</v>
      </c>
      <c r="R53" s="556" t="s">
        <v>31549</v>
      </c>
      <c r="S53" s="556" t="s">
        <v>4</v>
      </c>
      <c r="T53" s="556" t="s">
        <v>2</v>
      </c>
      <c r="U53" s="556" t="s">
        <v>4</v>
      </c>
      <c r="V53" s="556"/>
      <c r="W53" s="556" t="s">
        <v>4</v>
      </c>
      <c r="X53" s="556" t="s">
        <v>4</v>
      </c>
      <c r="Y53" s="557">
        <v>44356</v>
      </c>
      <c r="Z53" s="557" t="str">
        <f>IF(OR(T53="yes",Y53&gt;'SDG outcome'!$C$27),"yes","no")</f>
        <v>no</v>
      </c>
      <c r="AA53" s="558" t="str">
        <f t="shared" si="0"/>
        <v/>
      </c>
      <c r="AB53" s="558" t="str">
        <f>IF(AND(Z53="no",AND(Y53&gt;='SDG outcome'!$B$16,Y53&lt;'SDG outcome'!$C$27)),Y53-'SDG outcome'!$B$16,"")</f>
        <v/>
      </c>
      <c r="AC53" s="556" t="s">
        <v>31572</v>
      </c>
      <c r="AD53" s="556" t="s">
        <v>4</v>
      </c>
      <c r="AE53" s="556" t="s">
        <v>7</v>
      </c>
      <c r="AF53" s="556" t="s">
        <v>31838</v>
      </c>
      <c r="AG53" s="556" t="s">
        <v>4</v>
      </c>
      <c r="AH53" s="556" t="s">
        <v>7</v>
      </c>
      <c r="AI53" s="557">
        <v>45137</v>
      </c>
      <c r="AJ53" s="556" t="s">
        <v>4</v>
      </c>
      <c r="AK53" s="556"/>
      <c r="AL53" s="556"/>
      <c r="AM53" s="556"/>
      <c r="AN53" s="556"/>
      <c r="AO53" s="556"/>
      <c r="AP53" s="556"/>
      <c r="AQ53" s="556"/>
      <c r="AR53" s="556"/>
      <c r="AS53" s="556"/>
      <c r="AT53" s="556"/>
      <c r="AU53" s="556"/>
      <c r="AV53" s="556"/>
      <c r="AW53" s="556"/>
      <c r="AX53" s="556"/>
      <c r="AY53" s="556"/>
      <c r="AZ53" s="556"/>
      <c r="BA53" s="556"/>
      <c r="BB53" s="556"/>
      <c r="BC53" s="556"/>
      <c r="BD53" s="556"/>
      <c r="BE53" s="556"/>
      <c r="BF53" s="556"/>
      <c r="BG53" s="556"/>
      <c r="BH53" s="556"/>
      <c r="BI53" s="556"/>
      <c r="BJ53" s="556"/>
      <c r="BK53" s="556"/>
      <c r="BL53" s="556"/>
      <c r="BM53" s="556"/>
      <c r="BN53" s="556"/>
      <c r="BO53" s="556"/>
      <c r="BP53" s="556"/>
      <c r="BQ53" s="556"/>
      <c r="BR53" s="556"/>
      <c r="BS53" s="556"/>
      <c r="BT53" s="556"/>
      <c r="BU53" s="556"/>
      <c r="BV53" s="556"/>
      <c r="BW53" s="556"/>
      <c r="BX53" s="556"/>
      <c r="BY53" s="556"/>
      <c r="BZ53" s="556"/>
      <c r="CA53" s="556"/>
      <c r="CB53" s="556"/>
      <c r="CC53" s="556"/>
      <c r="CD53" s="556"/>
      <c r="CE53" s="556"/>
      <c r="CF53" s="556"/>
      <c r="CG53" s="556"/>
      <c r="CH53" s="556"/>
      <c r="CI53" s="556"/>
      <c r="CJ53" s="556"/>
      <c r="CK53" s="556"/>
      <c r="CL53" s="556"/>
      <c r="CM53" s="556"/>
      <c r="CN53" s="556"/>
      <c r="CO53" s="556"/>
      <c r="CP53" s="556"/>
      <c r="CQ53" s="556"/>
      <c r="CR53" s="556"/>
      <c r="CS53" s="556"/>
      <c r="CT53" s="556"/>
      <c r="CU53" s="556"/>
      <c r="CV53" s="556"/>
      <c r="CW53" s="556"/>
      <c r="CX53" s="556"/>
      <c r="CY53" s="556"/>
      <c r="CZ53" s="556"/>
      <c r="DA53" s="556"/>
      <c r="DB53" s="556"/>
      <c r="DC53" s="556"/>
      <c r="DD53" s="556"/>
      <c r="DE53" s="556"/>
      <c r="DF53" s="556"/>
      <c r="DG53" s="556"/>
      <c r="DH53" s="556"/>
      <c r="DI53" s="556"/>
      <c r="DJ53" s="556"/>
      <c r="DK53" s="556"/>
      <c r="DL53" s="556"/>
      <c r="DM53" s="556"/>
      <c r="DN53" s="556"/>
      <c r="DO53" s="556"/>
      <c r="DP53" s="556"/>
      <c r="DQ53" s="556"/>
      <c r="DR53" s="556"/>
      <c r="DS53" s="556"/>
      <c r="DT53" s="559"/>
      <c r="DU53" s="556"/>
      <c r="DV53" s="559"/>
      <c r="DW53" s="556"/>
      <c r="DX53" s="556"/>
      <c r="DY53" s="556"/>
      <c r="DZ53" s="556"/>
      <c r="EA53" s="556"/>
      <c r="EB53" s="556"/>
      <c r="EC53" s="556"/>
      <c r="ED53" s="556"/>
      <c r="EE53" s="560"/>
      <c r="EF53" s="560"/>
      <c r="EG53" s="560"/>
      <c r="EH53" s="560"/>
      <c r="EI53" s="560"/>
      <c r="EJ53" s="556"/>
      <c r="EK53" s="556"/>
      <c r="EL53" s="556"/>
      <c r="EM53" s="556"/>
      <c r="EN53" s="556"/>
      <c r="EO53" s="556"/>
      <c r="EP53" s="556"/>
      <c r="EQ53" s="556"/>
      <c r="ER53" s="556"/>
      <c r="ES53" s="556"/>
      <c r="ET53" s="556"/>
      <c r="EU53" s="556"/>
      <c r="EV53" s="560"/>
      <c r="EW53" s="560"/>
      <c r="EX53" s="560"/>
      <c r="EY53" s="560"/>
      <c r="EZ53" s="560"/>
      <c r="FA53" s="556"/>
      <c r="FB53" s="556"/>
      <c r="FC53" s="556"/>
      <c r="FD53" s="556"/>
      <c r="FE53" s="556"/>
      <c r="FF53" s="556"/>
      <c r="FG53" s="556"/>
      <c r="FH53" s="556"/>
      <c r="FI53" s="556"/>
      <c r="FJ53" s="556"/>
      <c r="FK53" s="556"/>
      <c r="FL53" s="556"/>
      <c r="FM53" s="556"/>
      <c r="FN53" s="556"/>
      <c r="FO53" s="556"/>
      <c r="FP53" s="556"/>
      <c r="FQ53" s="556"/>
      <c r="FR53" s="556"/>
      <c r="FS53" s="556"/>
      <c r="FT53" s="556"/>
      <c r="FU53" s="556"/>
      <c r="FV53" s="556"/>
      <c r="FW53" s="556"/>
      <c r="FX53" s="556"/>
      <c r="FY53" s="556"/>
      <c r="FZ53" s="556"/>
      <c r="GA53" s="556"/>
      <c r="GB53" s="559"/>
      <c r="GC53" s="556"/>
      <c r="GD53" s="556"/>
      <c r="GE53" s="556"/>
      <c r="GF53" s="556"/>
      <c r="GG53" s="556"/>
      <c r="GH53" s="556"/>
      <c r="GI53" s="556"/>
      <c r="GJ53" s="556"/>
      <c r="GK53" s="556"/>
      <c r="GL53" s="556"/>
      <c r="GM53" s="556"/>
      <c r="GN53" s="556"/>
      <c r="GO53" s="556"/>
      <c r="GP53" s="556"/>
      <c r="GQ53" s="556"/>
      <c r="GR53" s="556"/>
      <c r="GS53" s="556"/>
      <c r="GT53" s="556"/>
      <c r="GU53" s="556"/>
      <c r="GV53" s="556"/>
      <c r="GW53" s="556"/>
      <c r="GX53" s="556"/>
      <c r="GY53" s="556"/>
      <c r="GZ53" s="556"/>
      <c r="HA53" s="556"/>
      <c r="HB53" s="556"/>
      <c r="HC53" s="556"/>
      <c r="HD53" s="556"/>
      <c r="HE53" s="556"/>
      <c r="HF53" s="556"/>
      <c r="HG53" s="556"/>
      <c r="HH53" s="556"/>
      <c r="HI53" s="556"/>
      <c r="HJ53" s="559"/>
      <c r="HK53" s="556"/>
      <c r="HL53" s="556"/>
      <c r="HM53" s="556"/>
      <c r="HN53" s="556"/>
      <c r="HO53" s="556"/>
      <c r="HP53" s="556"/>
      <c r="HQ53" s="556"/>
      <c r="HR53" s="556"/>
      <c r="HS53" s="556"/>
      <c r="HT53" s="556"/>
      <c r="HU53" s="556"/>
      <c r="HV53" s="556"/>
      <c r="HW53" s="556"/>
      <c r="HX53" s="556"/>
      <c r="HY53" s="556"/>
      <c r="HZ53" s="556" t="s">
        <v>30592</v>
      </c>
      <c r="IA53" s="556" t="s">
        <v>7</v>
      </c>
      <c r="IB53" s="556" t="s">
        <v>30593</v>
      </c>
      <c r="IC53" s="556" t="s">
        <v>30594</v>
      </c>
      <c r="ID53" s="556" t="s">
        <v>30595</v>
      </c>
      <c r="IE53" s="556" t="s">
        <v>30596</v>
      </c>
      <c r="IF53" s="556" t="s">
        <v>30597</v>
      </c>
      <c r="IG53" s="556" t="s">
        <v>30598</v>
      </c>
      <c r="IH53" s="556" t="s">
        <v>30589</v>
      </c>
    </row>
    <row r="54" spans="1:242" s="561" customFormat="1" ht="36.75" customHeight="1" x14ac:dyDescent="0.2">
      <c r="A54" s="556">
        <v>155</v>
      </c>
      <c r="B54" s="556" t="s">
        <v>21611</v>
      </c>
      <c r="C54" s="556" t="s">
        <v>30949</v>
      </c>
      <c r="D54" s="556" t="s">
        <v>30866</v>
      </c>
      <c r="E54" s="556" t="s">
        <v>7</v>
      </c>
      <c r="F54" s="556" t="s">
        <v>30950</v>
      </c>
      <c r="G54" s="556">
        <v>0</v>
      </c>
      <c r="H54" s="556">
        <v>4699.9989999999998</v>
      </c>
      <c r="I54" s="556" t="s">
        <v>29319</v>
      </c>
      <c r="J54" s="556" t="s">
        <v>4</v>
      </c>
      <c r="K54" s="556" t="s">
        <v>21971</v>
      </c>
      <c r="L54" s="556">
        <v>774860020</v>
      </c>
      <c r="M54" s="556" t="s">
        <v>5</v>
      </c>
      <c r="N54" s="556" t="s">
        <v>31598</v>
      </c>
      <c r="O54" s="556" t="s">
        <v>4</v>
      </c>
      <c r="P54" s="556">
        <v>10</v>
      </c>
      <c r="Q54" s="556" t="s">
        <v>7</v>
      </c>
      <c r="R54" s="556" t="s">
        <v>31549</v>
      </c>
      <c r="S54" s="556" t="s">
        <v>4</v>
      </c>
      <c r="T54" s="556" t="s">
        <v>2</v>
      </c>
      <c r="U54" s="556" t="s">
        <v>4</v>
      </c>
      <c r="V54" s="556"/>
      <c r="W54" s="556" t="s">
        <v>4</v>
      </c>
      <c r="X54" s="556" t="s">
        <v>4</v>
      </c>
      <c r="Y54" s="557">
        <v>44385</v>
      </c>
      <c r="Z54" s="557" t="str">
        <f>IF(OR(T54="yes",Y54&gt;'SDG outcome'!$C$27),"yes","no")</f>
        <v>no</v>
      </c>
      <c r="AA54" s="558" t="str">
        <f t="shared" si="0"/>
        <v/>
      </c>
      <c r="AB54" s="558" t="str">
        <f>IF(AND(Z54="no",AND(Y54&gt;='SDG outcome'!$B$16,Y54&lt;'SDG outcome'!$C$27)),Y54-'SDG outcome'!$B$16,"")</f>
        <v/>
      </c>
      <c r="AC54" s="556" t="s">
        <v>8</v>
      </c>
      <c r="AD54" s="556" t="s">
        <v>9</v>
      </c>
      <c r="AE54" s="556" t="s">
        <v>4</v>
      </c>
      <c r="AF54" s="556" t="s">
        <v>4</v>
      </c>
      <c r="AG54" s="556" t="s">
        <v>4</v>
      </c>
      <c r="AH54" s="556" t="s">
        <v>7</v>
      </c>
      <c r="AI54" s="557" t="s">
        <v>9</v>
      </c>
      <c r="AJ54" s="556" t="s">
        <v>4</v>
      </c>
      <c r="AK54" s="556"/>
      <c r="AL54" s="556"/>
      <c r="AM54" s="556"/>
      <c r="AN54" s="556"/>
      <c r="AO54" s="556"/>
      <c r="AP54" s="556"/>
      <c r="AQ54" s="556"/>
      <c r="AR54" s="556"/>
      <c r="AS54" s="556"/>
      <c r="AT54" s="556"/>
      <c r="AU54" s="556"/>
      <c r="AV54" s="556"/>
      <c r="AW54" s="556"/>
      <c r="AX54" s="556"/>
      <c r="AY54" s="556"/>
      <c r="AZ54" s="556"/>
      <c r="BA54" s="556"/>
      <c r="BB54" s="556"/>
      <c r="BC54" s="556"/>
      <c r="BD54" s="556"/>
      <c r="BE54" s="556"/>
      <c r="BF54" s="556"/>
      <c r="BG54" s="556"/>
      <c r="BH54" s="556"/>
      <c r="BI54" s="556"/>
      <c r="BJ54" s="556"/>
      <c r="BK54" s="556"/>
      <c r="BL54" s="556"/>
      <c r="BM54" s="556"/>
      <c r="BN54" s="556"/>
      <c r="BO54" s="556"/>
      <c r="BP54" s="556"/>
      <c r="BQ54" s="556"/>
      <c r="BR54" s="556"/>
      <c r="BS54" s="556"/>
      <c r="BT54" s="556"/>
      <c r="BU54" s="556"/>
      <c r="BV54" s="556"/>
      <c r="BW54" s="556"/>
      <c r="BX54" s="556"/>
      <c r="BY54" s="556"/>
      <c r="BZ54" s="556"/>
      <c r="CA54" s="556"/>
      <c r="CB54" s="556"/>
      <c r="CC54" s="556"/>
      <c r="CD54" s="556"/>
      <c r="CE54" s="556"/>
      <c r="CF54" s="556"/>
      <c r="CG54" s="556"/>
      <c r="CH54" s="556"/>
      <c r="CI54" s="556"/>
      <c r="CJ54" s="556"/>
      <c r="CK54" s="556"/>
      <c r="CL54" s="556"/>
      <c r="CM54" s="556"/>
      <c r="CN54" s="556"/>
      <c r="CO54" s="556"/>
      <c r="CP54" s="556"/>
      <c r="CQ54" s="556"/>
      <c r="CR54" s="556"/>
      <c r="CS54" s="556"/>
      <c r="CT54" s="556"/>
      <c r="CU54" s="556"/>
      <c r="CV54" s="556"/>
      <c r="CW54" s="556"/>
      <c r="CX54" s="556"/>
      <c r="CY54" s="556"/>
      <c r="CZ54" s="556"/>
      <c r="DA54" s="556"/>
      <c r="DB54" s="556"/>
      <c r="DC54" s="556"/>
      <c r="DD54" s="556"/>
      <c r="DE54" s="556"/>
      <c r="DF54" s="556"/>
      <c r="DG54" s="556"/>
      <c r="DH54" s="556"/>
      <c r="DI54" s="556"/>
      <c r="DJ54" s="556"/>
      <c r="DK54" s="556"/>
      <c r="DL54" s="556"/>
      <c r="DM54" s="556"/>
      <c r="DN54" s="556"/>
      <c r="DO54" s="556"/>
      <c r="DP54" s="556"/>
      <c r="DQ54" s="556"/>
      <c r="DR54" s="556"/>
      <c r="DS54" s="556"/>
      <c r="DT54" s="559"/>
      <c r="DU54" s="556"/>
      <c r="DV54" s="559"/>
      <c r="DW54" s="556"/>
      <c r="DX54" s="556"/>
      <c r="DY54" s="556"/>
      <c r="DZ54" s="556"/>
      <c r="EA54" s="556"/>
      <c r="EB54" s="556"/>
      <c r="EC54" s="556"/>
      <c r="ED54" s="556"/>
      <c r="EE54" s="560"/>
      <c r="EF54" s="560"/>
      <c r="EG54" s="560"/>
      <c r="EH54" s="560"/>
      <c r="EI54" s="560"/>
      <c r="EJ54" s="556"/>
      <c r="EK54" s="556"/>
      <c r="EL54" s="556"/>
      <c r="EM54" s="556"/>
      <c r="EN54" s="556"/>
      <c r="EO54" s="556"/>
      <c r="EP54" s="556"/>
      <c r="EQ54" s="556"/>
      <c r="ER54" s="556"/>
      <c r="ES54" s="556"/>
      <c r="ET54" s="556"/>
      <c r="EU54" s="556"/>
      <c r="EV54" s="560"/>
      <c r="EW54" s="560"/>
      <c r="EX54" s="560"/>
      <c r="EY54" s="560"/>
      <c r="EZ54" s="560"/>
      <c r="FA54" s="556"/>
      <c r="FB54" s="556"/>
      <c r="FC54" s="556"/>
      <c r="FD54" s="556"/>
      <c r="FE54" s="556"/>
      <c r="FF54" s="556"/>
      <c r="FG54" s="556"/>
      <c r="FH54" s="556"/>
      <c r="FI54" s="556"/>
      <c r="FJ54" s="556"/>
      <c r="FK54" s="556"/>
      <c r="FL54" s="556"/>
      <c r="FM54" s="556"/>
      <c r="FN54" s="556"/>
      <c r="FO54" s="556"/>
      <c r="FP54" s="556"/>
      <c r="FQ54" s="556"/>
      <c r="FR54" s="556"/>
      <c r="FS54" s="556"/>
      <c r="FT54" s="556"/>
      <c r="FU54" s="556"/>
      <c r="FV54" s="556"/>
      <c r="FW54" s="556"/>
      <c r="FX54" s="556"/>
      <c r="FY54" s="556"/>
      <c r="FZ54" s="556"/>
      <c r="GA54" s="556"/>
      <c r="GB54" s="559"/>
      <c r="GC54" s="556"/>
      <c r="GD54" s="556"/>
      <c r="GE54" s="556"/>
      <c r="GF54" s="556"/>
      <c r="GG54" s="556"/>
      <c r="GH54" s="556"/>
      <c r="GI54" s="556"/>
      <c r="GJ54" s="556"/>
      <c r="GK54" s="556"/>
      <c r="GL54" s="556"/>
      <c r="GM54" s="556"/>
      <c r="GN54" s="556"/>
      <c r="GO54" s="556"/>
      <c r="GP54" s="556"/>
      <c r="GQ54" s="556"/>
      <c r="GR54" s="556"/>
      <c r="GS54" s="556"/>
      <c r="GT54" s="556"/>
      <c r="GU54" s="556"/>
      <c r="GV54" s="556"/>
      <c r="GW54" s="556"/>
      <c r="GX54" s="556"/>
      <c r="GY54" s="556"/>
      <c r="GZ54" s="556"/>
      <c r="HA54" s="556"/>
      <c r="HB54" s="556"/>
      <c r="HC54" s="556"/>
      <c r="HD54" s="556"/>
      <c r="HE54" s="556"/>
      <c r="HF54" s="556"/>
      <c r="HG54" s="556"/>
      <c r="HH54" s="556"/>
      <c r="HI54" s="556"/>
      <c r="HJ54" s="559"/>
      <c r="HK54" s="556"/>
      <c r="HL54" s="556"/>
      <c r="HM54" s="556"/>
      <c r="HN54" s="556"/>
      <c r="HO54" s="556"/>
      <c r="HP54" s="556"/>
      <c r="HQ54" s="556"/>
      <c r="HR54" s="556"/>
      <c r="HS54" s="556"/>
      <c r="HT54" s="556"/>
      <c r="HU54" s="556"/>
      <c r="HV54" s="556"/>
      <c r="HW54" s="556"/>
      <c r="HX54" s="556"/>
      <c r="HY54" s="556"/>
      <c r="HZ54" s="556" t="s">
        <v>30951</v>
      </c>
      <c r="IA54" s="556" t="s">
        <v>2</v>
      </c>
      <c r="IB54" s="556" t="s">
        <v>4</v>
      </c>
      <c r="IC54" s="556" t="s">
        <v>30952</v>
      </c>
      <c r="ID54" s="556" t="s">
        <v>30953</v>
      </c>
      <c r="IE54" s="556" t="s">
        <v>30954</v>
      </c>
      <c r="IF54" s="556" t="s">
        <v>30955</v>
      </c>
      <c r="IG54" s="556" t="s">
        <v>30956</v>
      </c>
      <c r="IH54" s="556" t="s">
        <v>30957</v>
      </c>
    </row>
    <row r="55" spans="1:242" s="561" customFormat="1" ht="36.75" customHeight="1" x14ac:dyDescent="0.2">
      <c r="A55" s="556">
        <v>62</v>
      </c>
      <c r="B55" s="556" t="s">
        <v>767</v>
      </c>
      <c r="C55" s="556" t="s">
        <v>29990</v>
      </c>
      <c r="D55" s="556" t="s">
        <v>21</v>
      </c>
      <c r="E55" s="556" t="s">
        <v>7</v>
      </c>
      <c r="F55" s="556" t="s">
        <v>29991</v>
      </c>
      <c r="G55" s="556">
        <v>1130.7</v>
      </c>
      <c r="H55" s="556">
        <v>4.7</v>
      </c>
      <c r="I55" s="556" t="s">
        <v>29389</v>
      </c>
      <c r="J55" s="556" t="s">
        <v>29992</v>
      </c>
      <c r="K55" s="556" t="s">
        <v>29993</v>
      </c>
      <c r="L55" s="556">
        <v>775304980</v>
      </c>
      <c r="M55" s="556" t="s">
        <v>5</v>
      </c>
      <c r="N55" s="556" t="s">
        <v>31598</v>
      </c>
      <c r="O55" s="556" t="s">
        <v>4</v>
      </c>
      <c r="P55" s="556">
        <v>1</v>
      </c>
      <c r="Q55" s="556" t="s">
        <v>7</v>
      </c>
      <c r="R55" s="556" t="s">
        <v>31588</v>
      </c>
      <c r="S55" s="556" t="s">
        <v>4</v>
      </c>
      <c r="T55" s="556" t="s">
        <v>2</v>
      </c>
      <c r="U55" s="556" t="s">
        <v>4</v>
      </c>
      <c r="V55" s="556"/>
      <c r="W55" s="556" t="s">
        <v>4</v>
      </c>
      <c r="X55" s="556" t="s">
        <v>4</v>
      </c>
      <c r="Y55" s="557">
        <v>44388</v>
      </c>
      <c r="Z55" s="557" t="str">
        <f>IF(OR(T55="yes",Y55&gt;'SDG outcome'!$C$27),"yes","no")</f>
        <v>no</v>
      </c>
      <c r="AA55" s="558" t="str">
        <f t="shared" si="0"/>
        <v/>
      </c>
      <c r="AB55" s="558" t="str">
        <f>IF(AND(Z55="no",AND(Y55&gt;='SDG outcome'!$B$16,Y55&lt;'SDG outcome'!$C$27)),Y55-'SDG outcome'!$B$16,"")</f>
        <v/>
      </c>
      <c r="AC55" s="556" t="s">
        <v>8</v>
      </c>
      <c r="AD55" s="556" t="s">
        <v>31736</v>
      </c>
      <c r="AE55" s="556" t="s">
        <v>4</v>
      </c>
      <c r="AF55" s="556" t="s">
        <v>4</v>
      </c>
      <c r="AG55" s="556" t="s">
        <v>4</v>
      </c>
      <c r="AH55" s="556" t="s">
        <v>4</v>
      </c>
      <c r="AI55" s="557" t="s">
        <v>4</v>
      </c>
      <c r="AJ55" s="556" t="s">
        <v>4</v>
      </c>
      <c r="AK55" s="556"/>
      <c r="AL55" s="556"/>
      <c r="AM55" s="556"/>
      <c r="AN55" s="556"/>
      <c r="AO55" s="556"/>
      <c r="AP55" s="556"/>
      <c r="AQ55" s="556"/>
      <c r="AR55" s="556"/>
      <c r="AS55" s="556"/>
      <c r="AT55" s="556"/>
      <c r="AU55" s="556"/>
      <c r="AV55" s="556"/>
      <c r="AW55" s="556"/>
      <c r="AX55" s="556"/>
      <c r="AY55" s="556"/>
      <c r="AZ55" s="556"/>
      <c r="BA55" s="556"/>
      <c r="BB55" s="556"/>
      <c r="BC55" s="556"/>
      <c r="BD55" s="556"/>
      <c r="BE55" s="556"/>
      <c r="BF55" s="556"/>
      <c r="BG55" s="556"/>
      <c r="BH55" s="556"/>
      <c r="BI55" s="556"/>
      <c r="BJ55" s="556"/>
      <c r="BK55" s="556"/>
      <c r="BL55" s="556"/>
      <c r="BM55" s="556"/>
      <c r="BN55" s="556"/>
      <c r="BO55" s="556"/>
      <c r="BP55" s="556"/>
      <c r="BQ55" s="556"/>
      <c r="BR55" s="556"/>
      <c r="BS55" s="556"/>
      <c r="BT55" s="556"/>
      <c r="BU55" s="556"/>
      <c r="BV55" s="556"/>
      <c r="BW55" s="556"/>
      <c r="BX55" s="556"/>
      <c r="BY55" s="556"/>
      <c r="BZ55" s="556"/>
      <c r="CA55" s="556"/>
      <c r="CB55" s="556"/>
      <c r="CC55" s="556"/>
      <c r="CD55" s="556"/>
      <c r="CE55" s="556"/>
      <c r="CF55" s="556"/>
      <c r="CG55" s="556"/>
      <c r="CH55" s="556"/>
      <c r="CI55" s="556"/>
      <c r="CJ55" s="556"/>
      <c r="CK55" s="556"/>
      <c r="CL55" s="556"/>
      <c r="CM55" s="556"/>
      <c r="CN55" s="556"/>
      <c r="CO55" s="556"/>
      <c r="CP55" s="556"/>
      <c r="CQ55" s="556"/>
      <c r="CR55" s="556"/>
      <c r="CS55" s="556"/>
      <c r="CT55" s="556"/>
      <c r="CU55" s="556"/>
      <c r="CV55" s="556"/>
      <c r="CW55" s="556"/>
      <c r="CX55" s="556"/>
      <c r="CY55" s="556"/>
      <c r="CZ55" s="556"/>
      <c r="DA55" s="556"/>
      <c r="DB55" s="556"/>
      <c r="DC55" s="556"/>
      <c r="DD55" s="556"/>
      <c r="DE55" s="556"/>
      <c r="DF55" s="556"/>
      <c r="DG55" s="556"/>
      <c r="DH55" s="556"/>
      <c r="DI55" s="556"/>
      <c r="DJ55" s="556"/>
      <c r="DK55" s="556"/>
      <c r="DL55" s="556"/>
      <c r="DM55" s="556"/>
      <c r="DN55" s="556"/>
      <c r="DO55" s="556"/>
      <c r="DP55" s="556"/>
      <c r="DQ55" s="556"/>
      <c r="DR55" s="556"/>
      <c r="DS55" s="556"/>
      <c r="DT55" s="559"/>
      <c r="DU55" s="556"/>
      <c r="DV55" s="559"/>
      <c r="DW55" s="556"/>
      <c r="DX55" s="556"/>
      <c r="DY55" s="556"/>
      <c r="DZ55" s="556"/>
      <c r="EA55" s="556"/>
      <c r="EB55" s="556"/>
      <c r="EC55" s="556"/>
      <c r="ED55" s="556"/>
      <c r="EE55" s="560"/>
      <c r="EF55" s="560"/>
      <c r="EG55" s="560"/>
      <c r="EH55" s="560"/>
      <c r="EI55" s="560"/>
      <c r="EJ55" s="556"/>
      <c r="EK55" s="556"/>
      <c r="EL55" s="556"/>
      <c r="EM55" s="556"/>
      <c r="EN55" s="556"/>
      <c r="EO55" s="556"/>
      <c r="EP55" s="556"/>
      <c r="EQ55" s="556"/>
      <c r="ER55" s="556"/>
      <c r="ES55" s="556"/>
      <c r="ET55" s="556"/>
      <c r="EU55" s="556"/>
      <c r="EV55" s="560"/>
      <c r="EW55" s="560"/>
      <c r="EX55" s="560"/>
      <c r="EY55" s="560"/>
      <c r="EZ55" s="560"/>
      <c r="FA55" s="556"/>
      <c r="FB55" s="556"/>
      <c r="FC55" s="556"/>
      <c r="FD55" s="556"/>
      <c r="FE55" s="556"/>
      <c r="FF55" s="556"/>
      <c r="FG55" s="556"/>
      <c r="FH55" s="556"/>
      <c r="FI55" s="556"/>
      <c r="FJ55" s="556"/>
      <c r="FK55" s="556"/>
      <c r="FL55" s="556"/>
      <c r="FM55" s="556"/>
      <c r="FN55" s="556"/>
      <c r="FO55" s="556"/>
      <c r="FP55" s="556"/>
      <c r="FQ55" s="556"/>
      <c r="FR55" s="556"/>
      <c r="FS55" s="556"/>
      <c r="FT55" s="556"/>
      <c r="FU55" s="556"/>
      <c r="FV55" s="556"/>
      <c r="FW55" s="556"/>
      <c r="FX55" s="556"/>
      <c r="FY55" s="556"/>
      <c r="FZ55" s="556"/>
      <c r="GA55" s="556"/>
      <c r="GB55" s="559"/>
      <c r="GC55" s="556"/>
      <c r="GD55" s="556"/>
      <c r="GE55" s="556"/>
      <c r="GF55" s="556"/>
      <c r="GG55" s="556"/>
      <c r="GH55" s="556"/>
      <c r="GI55" s="556"/>
      <c r="GJ55" s="556"/>
      <c r="GK55" s="556"/>
      <c r="GL55" s="556"/>
      <c r="GM55" s="556"/>
      <c r="GN55" s="556"/>
      <c r="GO55" s="556"/>
      <c r="GP55" s="556"/>
      <c r="GQ55" s="556"/>
      <c r="GR55" s="556"/>
      <c r="GS55" s="556"/>
      <c r="GT55" s="556"/>
      <c r="GU55" s="556"/>
      <c r="GV55" s="556"/>
      <c r="GW55" s="556"/>
      <c r="GX55" s="556"/>
      <c r="GY55" s="556"/>
      <c r="GZ55" s="556"/>
      <c r="HA55" s="556"/>
      <c r="HB55" s="556"/>
      <c r="HC55" s="556"/>
      <c r="HD55" s="556"/>
      <c r="HE55" s="556"/>
      <c r="HF55" s="556"/>
      <c r="HG55" s="556"/>
      <c r="HH55" s="556"/>
      <c r="HI55" s="556"/>
      <c r="HJ55" s="559"/>
      <c r="HK55" s="556"/>
      <c r="HL55" s="556"/>
      <c r="HM55" s="556"/>
      <c r="HN55" s="556"/>
      <c r="HO55" s="556"/>
      <c r="HP55" s="556"/>
      <c r="HQ55" s="556"/>
      <c r="HR55" s="556"/>
      <c r="HS55" s="556"/>
      <c r="HT55" s="556"/>
      <c r="HU55" s="556"/>
      <c r="HV55" s="556"/>
      <c r="HW55" s="556"/>
      <c r="HX55" s="556"/>
      <c r="HY55" s="556"/>
      <c r="HZ55" s="556" t="s">
        <v>29994</v>
      </c>
      <c r="IA55" s="556" t="s">
        <v>2</v>
      </c>
      <c r="IB55" s="556" t="s">
        <v>4</v>
      </c>
      <c r="IC55" s="556" t="s">
        <v>29995</v>
      </c>
      <c r="ID55" s="556" t="s">
        <v>29996</v>
      </c>
      <c r="IE55" s="556" t="s">
        <v>29997</v>
      </c>
      <c r="IF55" s="556" t="s">
        <v>29998</v>
      </c>
      <c r="IG55" s="556" t="s">
        <v>29999</v>
      </c>
      <c r="IH55" s="556" t="s">
        <v>30000</v>
      </c>
    </row>
    <row r="56" spans="1:242" s="561" customFormat="1" ht="36.75" customHeight="1" x14ac:dyDescent="0.2">
      <c r="A56" s="556">
        <v>150</v>
      </c>
      <c r="B56" s="556" t="s">
        <v>23513</v>
      </c>
      <c r="C56" s="556" t="s">
        <v>30889</v>
      </c>
      <c r="D56" s="556" t="s">
        <v>30866</v>
      </c>
      <c r="E56" s="556" t="s">
        <v>7</v>
      </c>
      <c r="F56" s="556" t="s">
        <v>30890</v>
      </c>
      <c r="G56" s="556">
        <v>1521.4</v>
      </c>
      <c r="H56" s="556">
        <v>33</v>
      </c>
      <c r="I56" s="556" t="s">
        <v>29288</v>
      </c>
      <c r="J56" s="556" t="s">
        <v>4</v>
      </c>
      <c r="K56" s="556" t="s">
        <v>23514</v>
      </c>
      <c r="L56" s="556">
        <v>772826472</v>
      </c>
      <c r="M56" s="556" t="s">
        <v>3</v>
      </c>
      <c r="N56" s="556" t="s">
        <v>31598</v>
      </c>
      <c r="O56" s="556" t="s">
        <v>4</v>
      </c>
      <c r="P56" s="556">
        <v>4</v>
      </c>
      <c r="Q56" s="556" t="s">
        <v>7</v>
      </c>
      <c r="R56" s="556" t="s">
        <v>31549</v>
      </c>
      <c r="S56" s="556" t="s">
        <v>4</v>
      </c>
      <c r="T56" s="556" t="s">
        <v>2</v>
      </c>
      <c r="U56" s="556" t="s">
        <v>4</v>
      </c>
      <c r="V56" s="556"/>
      <c r="W56" s="556" t="s">
        <v>4</v>
      </c>
      <c r="X56" s="556" t="s">
        <v>4</v>
      </c>
      <c r="Y56" s="557">
        <v>44388</v>
      </c>
      <c r="Z56" s="557" t="str">
        <f>IF(OR(T56="yes",Y56&gt;'SDG outcome'!$C$27),"yes","no")</f>
        <v>no</v>
      </c>
      <c r="AA56" s="558" t="str">
        <f t="shared" si="0"/>
        <v/>
      </c>
      <c r="AB56" s="558" t="str">
        <f>IF(AND(Z56="no",AND(Y56&gt;='SDG outcome'!$B$16,Y56&lt;'SDG outcome'!$C$27)),Y56-'SDG outcome'!$B$16,"")</f>
        <v/>
      </c>
      <c r="AC56" s="556" t="s">
        <v>8</v>
      </c>
      <c r="AD56" s="556" t="s">
        <v>9</v>
      </c>
      <c r="AE56" s="556" t="s">
        <v>4</v>
      </c>
      <c r="AF56" s="556" t="s">
        <v>4</v>
      </c>
      <c r="AG56" s="556" t="s">
        <v>4</v>
      </c>
      <c r="AH56" s="556" t="s">
        <v>7</v>
      </c>
      <c r="AI56" s="557" t="s">
        <v>9</v>
      </c>
      <c r="AJ56" s="556" t="s">
        <v>4</v>
      </c>
      <c r="AK56" s="556"/>
      <c r="AL56" s="556"/>
      <c r="AM56" s="556"/>
      <c r="AN56" s="556"/>
      <c r="AO56" s="556"/>
      <c r="AP56" s="556"/>
      <c r="AQ56" s="556"/>
      <c r="AR56" s="556"/>
      <c r="AS56" s="556"/>
      <c r="AT56" s="556"/>
      <c r="AU56" s="556"/>
      <c r="AV56" s="556"/>
      <c r="AW56" s="556"/>
      <c r="AX56" s="556"/>
      <c r="AY56" s="556"/>
      <c r="AZ56" s="556"/>
      <c r="BA56" s="556"/>
      <c r="BB56" s="556"/>
      <c r="BC56" s="556"/>
      <c r="BD56" s="556"/>
      <c r="BE56" s="556"/>
      <c r="BF56" s="556"/>
      <c r="BG56" s="556"/>
      <c r="BH56" s="556"/>
      <c r="BI56" s="556"/>
      <c r="BJ56" s="556"/>
      <c r="BK56" s="556"/>
      <c r="BL56" s="556"/>
      <c r="BM56" s="556"/>
      <c r="BN56" s="556"/>
      <c r="BO56" s="556"/>
      <c r="BP56" s="556"/>
      <c r="BQ56" s="556"/>
      <c r="BR56" s="556"/>
      <c r="BS56" s="556"/>
      <c r="BT56" s="556"/>
      <c r="BU56" s="556"/>
      <c r="BV56" s="556"/>
      <c r="BW56" s="556"/>
      <c r="BX56" s="556"/>
      <c r="BY56" s="556"/>
      <c r="BZ56" s="556"/>
      <c r="CA56" s="556"/>
      <c r="CB56" s="556"/>
      <c r="CC56" s="556"/>
      <c r="CD56" s="556"/>
      <c r="CE56" s="556"/>
      <c r="CF56" s="556"/>
      <c r="CG56" s="556"/>
      <c r="CH56" s="556"/>
      <c r="CI56" s="556"/>
      <c r="CJ56" s="556"/>
      <c r="CK56" s="556"/>
      <c r="CL56" s="556"/>
      <c r="CM56" s="556"/>
      <c r="CN56" s="556"/>
      <c r="CO56" s="556"/>
      <c r="CP56" s="556"/>
      <c r="CQ56" s="556"/>
      <c r="CR56" s="556"/>
      <c r="CS56" s="556"/>
      <c r="CT56" s="556"/>
      <c r="CU56" s="556"/>
      <c r="CV56" s="556"/>
      <c r="CW56" s="556"/>
      <c r="CX56" s="556"/>
      <c r="CY56" s="556"/>
      <c r="CZ56" s="556"/>
      <c r="DA56" s="556"/>
      <c r="DB56" s="556"/>
      <c r="DC56" s="556"/>
      <c r="DD56" s="556"/>
      <c r="DE56" s="556"/>
      <c r="DF56" s="556"/>
      <c r="DG56" s="556"/>
      <c r="DH56" s="556"/>
      <c r="DI56" s="556"/>
      <c r="DJ56" s="556"/>
      <c r="DK56" s="556"/>
      <c r="DL56" s="556"/>
      <c r="DM56" s="556"/>
      <c r="DN56" s="556"/>
      <c r="DO56" s="556"/>
      <c r="DP56" s="556"/>
      <c r="DQ56" s="556"/>
      <c r="DR56" s="556"/>
      <c r="DS56" s="556"/>
      <c r="DT56" s="559"/>
      <c r="DU56" s="556"/>
      <c r="DV56" s="559"/>
      <c r="DW56" s="556"/>
      <c r="DX56" s="556"/>
      <c r="DY56" s="556"/>
      <c r="DZ56" s="556"/>
      <c r="EA56" s="556"/>
      <c r="EB56" s="556"/>
      <c r="EC56" s="556"/>
      <c r="ED56" s="556"/>
      <c r="EE56" s="560"/>
      <c r="EF56" s="560"/>
      <c r="EG56" s="560"/>
      <c r="EH56" s="560"/>
      <c r="EI56" s="560"/>
      <c r="EJ56" s="556"/>
      <c r="EK56" s="556"/>
      <c r="EL56" s="556"/>
      <c r="EM56" s="556"/>
      <c r="EN56" s="556"/>
      <c r="EO56" s="556"/>
      <c r="EP56" s="556"/>
      <c r="EQ56" s="556"/>
      <c r="ER56" s="556"/>
      <c r="ES56" s="556"/>
      <c r="ET56" s="556"/>
      <c r="EU56" s="556"/>
      <c r="EV56" s="560"/>
      <c r="EW56" s="560"/>
      <c r="EX56" s="560"/>
      <c r="EY56" s="560"/>
      <c r="EZ56" s="560"/>
      <c r="FA56" s="556"/>
      <c r="FB56" s="556"/>
      <c r="FC56" s="556"/>
      <c r="FD56" s="556"/>
      <c r="FE56" s="556"/>
      <c r="FF56" s="556"/>
      <c r="FG56" s="556"/>
      <c r="FH56" s="556"/>
      <c r="FI56" s="556"/>
      <c r="FJ56" s="556"/>
      <c r="FK56" s="556"/>
      <c r="FL56" s="556"/>
      <c r="FM56" s="556"/>
      <c r="FN56" s="556"/>
      <c r="FO56" s="556"/>
      <c r="FP56" s="556"/>
      <c r="FQ56" s="556"/>
      <c r="FR56" s="556"/>
      <c r="FS56" s="556"/>
      <c r="FT56" s="556"/>
      <c r="FU56" s="556"/>
      <c r="FV56" s="556"/>
      <c r="FW56" s="556"/>
      <c r="FX56" s="556"/>
      <c r="FY56" s="556"/>
      <c r="FZ56" s="556"/>
      <c r="GA56" s="556"/>
      <c r="GB56" s="559"/>
      <c r="GC56" s="556"/>
      <c r="GD56" s="556"/>
      <c r="GE56" s="556"/>
      <c r="GF56" s="556"/>
      <c r="GG56" s="556"/>
      <c r="GH56" s="556"/>
      <c r="GI56" s="556"/>
      <c r="GJ56" s="556"/>
      <c r="GK56" s="556"/>
      <c r="GL56" s="556"/>
      <c r="GM56" s="556"/>
      <c r="GN56" s="556"/>
      <c r="GO56" s="556"/>
      <c r="GP56" s="556"/>
      <c r="GQ56" s="556"/>
      <c r="GR56" s="556"/>
      <c r="GS56" s="556"/>
      <c r="GT56" s="556"/>
      <c r="GU56" s="556"/>
      <c r="GV56" s="556"/>
      <c r="GW56" s="556"/>
      <c r="GX56" s="556"/>
      <c r="GY56" s="556"/>
      <c r="GZ56" s="556"/>
      <c r="HA56" s="556"/>
      <c r="HB56" s="556"/>
      <c r="HC56" s="556"/>
      <c r="HD56" s="556"/>
      <c r="HE56" s="556"/>
      <c r="HF56" s="556"/>
      <c r="HG56" s="556"/>
      <c r="HH56" s="556"/>
      <c r="HI56" s="556"/>
      <c r="HJ56" s="559"/>
      <c r="HK56" s="556"/>
      <c r="HL56" s="556"/>
      <c r="HM56" s="556"/>
      <c r="HN56" s="556"/>
      <c r="HO56" s="556"/>
      <c r="HP56" s="556"/>
      <c r="HQ56" s="556"/>
      <c r="HR56" s="556"/>
      <c r="HS56" s="556"/>
      <c r="HT56" s="556"/>
      <c r="HU56" s="556"/>
      <c r="HV56" s="556"/>
      <c r="HW56" s="556"/>
      <c r="HX56" s="556"/>
      <c r="HY56" s="556"/>
      <c r="HZ56" s="556" t="s">
        <v>30891</v>
      </c>
      <c r="IA56" s="556" t="s">
        <v>2</v>
      </c>
      <c r="IB56" s="556" t="s">
        <v>4</v>
      </c>
      <c r="IC56" s="556" t="s">
        <v>30892</v>
      </c>
      <c r="ID56" s="556" t="s">
        <v>30893</v>
      </c>
      <c r="IE56" s="556" t="s">
        <v>30894</v>
      </c>
      <c r="IF56" s="556" t="s">
        <v>30895</v>
      </c>
      <c r="IG56" s="556" t="s">
        <v>30896</v>
      </c>
      <c r="IH56" s="556" t="s">
        <v>30897</v>
      </c>
    </row>
    <row r="57" spans="1:242" s="561" customFormat="1" ht="36.75" customHeight="1" x14ac:dyDescent="0.2">
      <c r="A57" s="556">
        <v>185</v>
      </c>
      <c r="B57" s="556" t="s">
        <v>23903</v>
      </c>
      <c r="C57" s="556" t="s">
        <v>30785</v>
      </c>
      <c r="D57" s="556" t="s">
        <v>43</v>
      </c>
      <c r="E57" s="556" t="s">
        <v>7</v>
      </c>
      <c r="F57" s="556" t="s">
        <v>31236</v>
      </c>
      <c r="G57" s="556">
        <v>1390.9</v>
      </c>
      <c r="H57" s="556">
        <v>4.8</v>
      </c>
      <c r="I57" s="556" t="s">
        <v>29288</v>
      </c>
      <c r="J57" s="556" t="s">
        <v>4</v>
      </c>
      <c r="K57" s="556" t="s">
        <v>31237</v>
      </c>
      <c r="L57" s="556">
        <v>770942663</v>
      </c>
      <c r="M57" s="556" t="s">
        <v>3</v>
      </c>
      <c r="N57" s="556" t="s">
        <v>31438</v>
      </c>
      <c r="O57" s="556">
        <v>80</v>
      </c>
      <c r="P57" s="556">
        <v>6</v>
      </c>
      <c r="Q57" s="556" t="s">
        <v>7</v>
      </c>
      <c r="R57" s="556" t="s">
        <v>31588</v>
      </c>
      <c r="S57" s="556" t="s">
        <v>4</v>
      </c>
      <c r="T57" s="556" t="s">
        <v>2</v>
      </c>
      <c r="U57" s="556" t="s">
        <v>4</v>
      </c>
      <c r="V57" s="556"/>
      <c r="W57" s="556" t="s">
        <v>4</v>
      </c>
      <c r="X57" s="556" t="s">
        <v>4</v>
      </c>
      <c r="Y57" s="557">
        <v>44412</v>
      </c>
      <c r="Z57" s="557" t="str">
        <f>IF(OR(T57="yes",Y57&gt;'SDG outcome'!$C$27),"yes","no")</f>
        <v>no</v>
      </c>
      <c r="AA57" s="558" t="str">
        <f t="shared" si="0"/>
        <v/>
      </c>
      <c r="AB57" s="558" t="str">
        <f>IF(AND(Z57="no",AND(Y57&gt;='SDG outcome'!$B$16,Y57&lt;'SDG outcome'!$C$27)),Y57-'SDG outcome'!$B$16,"")</f>
        <v/>
      </c>
      <c r="AC57" s="556" t="s">
        <v>21816</v>
      </c>
      <c r="AD57" s="556" t="s">
        <v>4</v>
      </c>
      <c r="AE57" s="556" t="s">
        <v>4</v>
      </c>
      <c r="AF57" s="556" t="s">
        <v>4</v>
      </c>
      <c r="AG57" s="556" t="s">
        <v>4</v>
      </c>
      <c r="AH57" s="556" t="s">
        <v>4</v>
      </c>
      <c r="AI57" s="557" t="s">
        <v>4</v>
      </c>
      <c r="AJ57" s="556" t="s">
        <v>4</v>
      </c>
      <c r="AK57" s="556"/>
      <c r="AL57" s="556"/>
      <c r="AM57" s="556"/>
      <c r="AN57" s="556"/>
      <c r="AO57" s="556"/>
      <c r="AP57" s="556"/>
      <c r="AQ57" s="556"/>
      <c r="AR57" s="556"/>
      <c r="AS57" s="556"/>
      <c r="AT57" s="556"/>
      <c r="AU57" s="556"/>
      <c r="AV57" s="556"/>
      <c r="AW57" s="556"/>
      <c r="AX57" s="556"/>
      <c r="AY57" s="556"/>
      <c r="AZ57" s="556"/>
      <c r="BA57" s="556"/>
      <c r="BB57" s="556"/>
      <c r="BC57" s="556"/>
      <c r="BD57" s="556"/>
      <c r="BE57" s="556"/>
      <c r="BF57" s="556"/>
      <c r="BG57" s="556"/>
      <c r="BH57" s="556"/>
      <c r="BI57" s="556"/>
      <c r="BJ57" s="556"/>
      <c r="BK57" s="556"/>
      <c r="BL57" s="556"/>
      <c r="BM57" s="556"/>
      <c r="BN57" s="556"/>
      <c r="BO57" s="556"/>
      <c r="BP57" s="556"/>
      <c r="BQ57" s="556"/>
      <c r="BR57" s="556"/>
      <c r="BS57" s="556"/>
      <c r="BT57" s="556"/>
      <c r="BU57" s="556"/>
      <c r="BV57" s="556"/>
      <c r="BW57" s="556"/>
      <c r="BX57" s="556"/>
      <c r="BY57" s="556"/>
      <c r="BZ57" s="556"/>
      <c r="CA57" s="556"/>
      <c r="CB57" s="556"/>
      <c r="CC57" s="556"/>
      <c r="CD57" s="556"/>
      <c r="CE57" s="556"/>
      <c r="CF57" s="556"/>
      <c r="CG57" s="556"/>
      <c r="CH57" s="556"/>
      <c r="CI57" s="556"/>
      <c r="CJ57" s="556"/>
      <c r="CK57" s="556"/>
      <c r="CL57" s="556"/>
      <c r="CM57" s="556"/>
      <c r="CN57" s="556"/>
      <c r="CO57" s="556"/>
      <c r="CP57" s="556"/>
      <c r="CQ57" s="556"/>
      <c r="CR57" s="556"/>
      <c r="CS57" s="556"/>
      <c r="CT57" s="556"/>
      <c r="CU57" s="556"/>
      <c r="CV57" s="556"/>
      <c r="CW57" s="556"/>
      <c r="CX57" s="556"/>
      <c r="CY57" s="556"/>
      <c r="CZ57" s="556"/>
      <c r="DA57" s="556"/>
      <c r="DB57" s="556"/>
      <c r="DC57" s="556"/>
      <c r="DD57" s="556"/>
      <c r="DE57" s="556"/>
      <c r="DF57" s="556"/>
      <c r="DG57" s="556"/>
      <c r="DH57" s="556"/>
      <c r="DI57" s="556"/>
      <c r="DJ57" s="556"/>
      <c r="DK57" s="556"/>
      <c r="DL57" s="556"/>
      <c r="DM57" s="556"/>
      <c r="DN57" s="556"/>
      <c r="DO57" s="556"/>
      <c r="DP57" s="556"/>
      <c r="DQ57" s="556"/>
      <c r="DR57" s="556"/>
      <c r="DS57" s="556"/>
      <c r="DT57" s="559"/>
      <c r="DU57" s="556"/>
      <c r="DV57" s="559"/>
      <c r="DW57" s="556"/>
      <c r="DX57" s="556"/>
      <c r="DY57" s="556"/>
      <c r="DZ57" s="556"/>
      <c r="EA57" s="556"/>
      <c r="EB57" s="556"/>
      <c r="EC57" s="556"/>
      <c r="ED57" s="556"/>
      <c r="EE57" s="560"/>
      <c r="EF57" s="560"/>
      <c r="EG57" s="560"/>
      <c r="EH57" s="560"/>
      <c r="EI57" s="560"/>
      <c r="EJ57" s="556"/>
      <c r="EK57" s="556"/>
      <c r="EL57" s="556"/>
      <c r="EM57" s="556"/>
      <c r="EN57" s="556"/>
      <c r="EO57" s="556"/>
      <c r="EP57" s="556"/>
      <c r="EQ57" s="556"/>
      <c r="ER57" s="556"/>
      <c r="ES57" s="556"/>
      <c r="ET57" s="556"/>
      <c r="EU57" s="556"/>
      <c r="EV57" s="560"/>
      <c r="EW57" s="560"/>
      <c r="EX57" s="560"/>
      <c r="EY57" s="560"/>
      <c r="EZ57" s="560"/>
      <c r="FA57" s="556"/>
      <c r="FB57" s="556"/>
      <c r="FC57" s="556"/>
      <c r="FD57" s="556"/>
      <c r="FE57" s="556"/>
      <c r="FF57" s="556"/>
      <c r="FG57" s="556"/>
      <c r="FH57" s="556"/>
      <c r="FI57" s="556"/>
      <c r="FJ57" s="556"/>
      <c r="FK57" s="556"/>
      <c r="FL57" s="556"/>
      <c r="FM57" s="556"/>
      <c r="FN57" s="556"/>
      <c r="FO57" s="556"/>
      <c r="FP57" s="556"/>
      <c r="FQ57" s="556"/>
      <c r="FR57" s="556"/>
      <c r="FS57" s="556"/>
      <c r="FT57" s="556"/>
      <c r="FU57" s="556"/>
      <c r="FV57" s="556"/>
      <c r="FW57" s="556"/>
      <c r="FX57" s="556"/>
      <c r="FY57" s="556"/>
      <c r="FZ57" s="556"/>
      <c r="GA57" s="556"/>
      <c r="GB57" s="559"/>
      <c r="GC57" s="556"/>
      <c r="GD57" s="556"/>
      <c r="GE57" s="556"/>
      <c r="GF57" s="556"/>
      <c r="GG57" s="556"/>
      <c r="GH57" s="556"/>
      <c r="GI57" s="556"/>
      <c r="GJ57" s="556"/>
      <c r="GK57" s="556"/>
      <c r="GL57" s="556"/>
      <c r="GM57" s="556"/>
      <c r="GN57" s="556"/>
      <c r="GO57" s="556"/>
      <c r="GP57" s="556"/>
      <c r="GQ57" s="556"/>
      <c r="GR57" s="556"/>
      <c r="GS57" s="556"/>
      <c r="GT57" s="556"/>
      <c r="GU57" s="556"/>
      <c r="GV57" s="556"/>
      <c r="GW57" s="556"/>
      <c r="GX57" s="556"/>
      <c r="GY57" s="556"/>
      <c r="GZ57" s="556"/>
      <c r="HA57" s="556"/>
      <c r="HB57" s="556"/>
      <c r="HC57" s="556"/>
      <c r="HD57" s="556"/>
      <c r="HE57" s="556"/>
      <c r="HF57" s="556"/>
      <c r="HG57" s="556"/>
      <c r="HH57" s="556"/>
      <c r="HI57" s="556"/>
      <c r="HJ57" s="559"/>
      <c r="HK57" s="556"/>
      <c r="HL57" s="556"/>
      <c r="HM57" s="556"/>
      <c r="HN57" s="556"/>
      <c r="HO57" s="556"/>
      <c r="HP57" s="556"/>
      <c r="HQ57" s="556"/>
      <c r="HR57" s="556"/>
      <c r="HS57" s="556"/>
      <c r="HT57" s="556"/>
      <c r="HU57" s="556"/>
      <c r="HV57" s="556"/>
      <c r="HW57" s="556"/>
      <c r="HX57" s="556"/>
      <c r="HY57" s="556"/>
      <c r="HZ57" s="556" t="s">
        <v>31238</v>
      </c>
      <c r="IA57" s="556" t="s">
        <v>2</v>
      </c>
      <c r="IB57" s="556" t="s">
        <v>4</v>
      </c>
      <c r="IC57" s="556" t="s">
        <v>31239</v>
      </c>
      <c r="ID57" s="556" t="s">
        <v>31240</v>
      </c>
      <c r="IE57" s="556" t="s">
        <v>31241</v>
      </c>
      <c r="IF57" s="556" t="s">
        <v>31242</v>
      </c>
      <c r="IG57" s="556" t="s">
        <v>31243</v>
      </c>
      <c r="IH57" s="556" t="s">
        <v>31244</v>
      </c>
    </row>
    <row r="58" spans="1:242" s="561" customFormat="1" ht="36.75" customHeight="1" x14ac:dyDescent="0.2">
      <c r="A58" s="556">
        <v>5</v>
      </c>
      <c r="B58" s="556" t="s">
        <v>16561</v>
      </c>
      <c r="C58" s="556" t="s">
        <v>29362</v>
      </c>
      <c r="D58" s="556" t="s">
        <v>29286</v>
      </c>
      <c r="E58" s="556" t="s">
        <v>7</v>
      </c>
      <c r="F58" s="556" t="s">
        <v>29363</v>
      </c>
      <c r="G58" s="556">
        <v>1866.1020000000001</v>
      </c>
      <c r="H58" s="556">
        <v>1.0031270000000001</v>
      </c>
      <c r="I58" s="556" t="s">
        <v>29288</v>
      </c>
      <c r="J58" s="556" t="s">
        <v>4</v>
      </c>
      <c r="K58" s="556" t="s">
        <v>29364</v>
      </c>
      <c r="L58" s="556">
        <v>773080262</v>
      </c>
      <c r="M58" s="556" t="s">
        <v>3</v>
      </c>
      <c r="N58" s="556" t="s">
        <v>31438</v>
      </c>
      <c r="O58" s="556">
        <v>54</v>
      </c>
      <c r="P58" s="556">
        <v>7</v>
      </c>
      <c r="Q58" s="556" t="s">
        <v>7</v>
      </c>
      <c r="R58" s="556" t="s">
        <v>31562</v>
      </c>
      <c r="S58" s="556" t="s">
        <v>4</v>
      </c>
      <c r="T58" s="556" t="s">
        <v>2</v>
      </c>
      <c r="U58" s="556" t="s">
        <v>4</v>
      </c>
      <c r="V58" s="556"/>
      <c r="W58" s="556" t="s">
        <v>4</v>
      </c>
      <c r="X58" s="556" t="s">
        <v>4</v>
      </c>
      <c r="Y58" s="557">
        <v>44443</v>
      </c>
      <c r="Z58" s="557" t="str">
        <f>IF(OR(T58="yes",Y58&gt;'SDG outcome'!$C$27),"yes","no")</f>
        <v>no</v>
      </c>
      <c r="AA58" s="558" t="str">
        <f t="shared" si="0"/>
        <v/>
      </c>
      <c r="AB58" s="558" t="str">
        <f>IF(AND(Z58="no",AND(Y58&gt;='SDG outcome'!$B$16,Y58&lt;'SDG outcome'!$C$27)),Y58-'SDG outcome'!$B$16,"")</f>
        <v/>
      </c>
      <c r="AC58" s="556" t="s">
        <v>31572</v>
      </c>
      <c r="AD58" s="556" t="s">
        <v>4</v>
      </c>
      <c r="AE58" s="556" t="s">
        <v>7</v>
      </c>
      <c r="AF58" s="556" t="s">
        <v>31573</v>
      </c>
      <c r="AG58" s="556" t="s">
        <v>4</v>
      </c>
      <c r="AH58" s="556" t="s">
        <v>7</v>
      </c>
      <c r="AI58" s="557">
        <v>45122</v>
      </c>
      <c r="AJ58" s="556" t="s">
        <v>4</v>
      </c>
      <c r="AK58" s="556"/>
      <c r="AL58" s="556"/>
      <c r="AM58" s="556"/>
      <c r="AN58" s="556"/>
      <c r="AO58" s="556"/>
      <c r="AP58" s="556"/>
      <c r="AQ58" s="556"/>
      <c r="AR58" s="556"/>
      <c r="AS58" s="556"/>
      <c r="AT58" s="556"/>
      <c r="AU58" s="556"/>
      <c r="AV58" s="556"/>
      <c r="AW58" s="556"/>
      <c r="AX58" s="556"/>
      <c r="AY58" s="556"/>
      <c r="AZ58" s="556"/>
      <c r="BA58" s="556"/>
      <c r="BB58" s="556"/>
      <c r="BC58" s="556"/>
      <c r="BD58" s="556"/>
      <c r="BE58" s="556"/>
      <c r="BF58" s="556"/>
      <c r="BG58" s="556"/>
      <c r="BH58" s="556"/>
      <c r="BI58" s="556"/>
      <c r="BJ58" s="556"/>
      <c r="BK58" s="556"/>
      <c r="BL58" s="556"/>
      <c r="BM58" s="556"/>
      <c r="BN58" s="556"/>
      <c r="BO58" s="556"/>
      <c r="BP58" s="556"/>
      <c r="BQ58" s="556"/>
      <c r="BR58" s="556"/>
      <c r="BS58" s="556"/>
      <c r="BT58" s="556"/>
      <c r="BU58" s="556"/>
      <c r="BV58" s="556"/>
      <c r="BW58" s="556"/>
      <c r="BX58" s="556"/>
      <c r="BY58" s="556"/>
      <c r="BZ58" s="556"/>
      <c r="CA58" s="556"/>
      <c r="CB58" s="556"/>
      <c r="CC58" s="556"/>
      <c r="CD58" s="556"/>
      <c r="CE58" s="556"/>
      <c r="CF58" s="556"/>
      <c r="CG58" s="556"/>
      <c r="CH58" s="556"/>
      <c r="CI58" s="556"/>
      <c r="CJ58" s="556"/>
      <c r="CK58" s="556"/>
      <c r="CL58" s="556"/>
      <c r="CM58" s="556"/>
      <c r="CN58" s="556"/>
      <c r="CO58" s="556"/>
      <c r="CP58" s="556"/>
      <c r="CQ58" s="556"/>
      <c r="CR58" s="556"/>
      <c r="CS58" s="556"/>
      <c r="CT58" s="556"/>
      <c r="CU58" s="556"/>
      <c r="CV58" s="556"/>
      <c r="CW58" s="556"/>
      <c r="CX58" s="556"/>
      <c r="CY58" s="556"/>
      <c r="CZ58" s="556"/>
      <c r="DA58" s="556"/>
      <c r="DB58" s="556"/>
      <c r="DC58" s="556"/>
      <c r="DD58" s="556"/>
      <c r="DE58" s="556"/>
      <c r="DF58" s="556"/>
      <c r="DG58" s="556"/>
      <c r="DH58" s="556"/>
      <c r="DI58" s="556"/>
      <c r="DJ58" s="556"/>
      <c r="DK58" s="556"/>
      <c r="DL58" s="556"/>
      <c r="DM58" s="556"/>
      <c r="DN58" s="556"/>
      <c r="DO58" s="556"/>
      <c r="DP58" s="556"/>
      <c r="DQ58" s="556"/>
      <c r="DR58" s="556"/>
      <c r="DS58" s="556"/>
      <c r="DT58" s="559"/>
      <c r="DU58" s="556"/>
      <c r="DV58" s="559"/>
      <c r="DW58" s="556"/>
      <c r="DX58" s="556"/>
      <c r="DY58" s="556"/>
      <c r="DZ58" s="556"/>
      <c r="EA58" s="556"/>
      <c r="EB58" s="556"/>
      <c r="EC58" s="556"/>
      <c r="ED58" s="556"/>
      <c r="EE58" s="560"/>
      <c r="EF58" s="560"/>
      <c r="EG58" s="560"/>
      <c r="EH58" s="560"/>
      <c r="EI58" s="560"/>
      <c r="EJ58" s="556"/>
      <c r="EK58" s="556"/>
      <c r="EL58" s="556"/>
      <c r="EM58" s="556"/>
      <c r="EN58" s="556"/>
      <c r="EO58" s="556"/>
      <c r="EP58" s="556"/>
      <c r="EQ58" s="556"/>
      <c r="ER58" s="556"/>
      <c r="ES58" s="556"/>
      <c r="ET58" s="556"/>
      <c r="EU58" s="556"/>
      <c r="EV58" s="560"/>
      <c r="EW58" s="560"/>
      <c r="EX58" s="560"/>
      <c r="EY58" s="560"/>
      <c r="EZ58" s="560"/>
      <c r="FA58" s="556"/>
      <c r="FB58" s="556"/>
      <c r="FC58" s="556"/>
      <c r="FD58" s="556"/>
      <c r="FE58" s="556"/>
      <c r="FF58" s="556"/>
      <c r="FG58" s="556"/>
      <c r="FH58" s="556"/>
      <c r="FI58" s="556"/>
      <c r="FJ58" s="556"/>
      <c r="FK58" s="556"/>
      <c r="FL58" s="556"/>
      <c r="FM58" s="556"/>
      <c r="FN58" s="556"/>
      <c r="FO58" s="556"/>
      <c r="FP58" s="556"/>
      <c r="FQ58" s="556"/>
      <c r="FR58" s="556"/>
      <c r="FS58" s="556"/>
      <c r="FT58" s="556"/>
      <c r="FU58" s="556"/>
      <c r="FV58" s="556"/>
      <c r="FW58" s="556"/>
      <c r="FX58" s="556"/>
      <c r="FY58" s="556"/>
      <c r="FZ58" s="556"/>
      <c r="GA58" s="556"/>
      <c r="GB58" s="559"/>
      <c r="GC58" s="556"/>
      <c r="GD58" s="556"/>
      <c r="GE58" s="556"/>
      <c r="GF58" s="556"/>
      <c r="GG58" s="556"/>
      <c r="GH58" s="556"/>
      <c r="GI58" s="556"/>
      <c r="GJ58" s="556"/>
      <c r="GK58" s="556"/>
      <c r="GL58" s="556"/>
      <c r="GM58" s="556"/>
      <c r="GN58" s="556"/>
      <c r="GO58" s="556"/>
      <c r="GP58" s="556"/>
      <c r="GQ58" s="556"/>
      <c r="GR58" s="556"/>
      <c r="GS58" s="556"/>
      <c r="GT58" s="556"/>
      <c r="GU58" s="556"/>
      <c r="GV58" s="556"/>
      <c r="GW58" s="556"/>
      <c r="GX58" s="556"/>
      <c r="GY58" s="556"/>
      <c r="GZ58" s="556"/>
      <c r="HA58" s="556"/>
      <c r="HB58" s="556"/>
      <c r="HC58" s="556"/>
      <c r="HD58" s="556"/>
      <c r="HE58" s="556"/>
      <c r="HF58" s="556"/>
      <c r="HG58" s="556"/>
      <c r="HH58" s="556"/>
      <c r="HI58" s="556"/>
      <c r="HJ58" s="559"/>
      <c r="HK58" s="556"/>
      <c r="HL58" s="556"/>
      <c r="HM58" s="556"/>
      <c r="HN58" s="556"/>
      <c r="HO58" s="556"/>
      <c r="HP58" s="556"/>
      <c r="HQ58" s="556"/>
      <c r="HR58" s="556"/>
      <c r="HS58" s="556"/>
      <c r="HT58" s="556"/>
      <c r="HU58" s="556"/>
      <c r="HV58" s="556"/>
      <c r="HW58" s="556"/>
      <c r="HX58" s="556"/>
      <c r="HY58" s="556"/>
      <c r="HZ58" s="556" t="s">
        <v>29365</v>
      </c>
      <c r="IA58" s="556" t="s">
        <v>7</v>
      </c>
      <c r="IB58" s="556" t="s">
        <v>29366</v>
      </c>
      <c r="IC58" s="556" t="s">
        <v>29367</v>
      </c>
      <c r="ID58" s="556" t="s">
        <v>29368</v>
      </c>
      <c r="IE58" s="556" t="s">
        <v>29369</v>
      </c>
      <c r="IF58" s="556" t="s">
        <v>29370</v>
      </c>
      <c r="IG58" s="556" t="s">
        <v>29371</v>
      </c>
      <c r="IH58" s="556" t="s">
        <v>29362</v>
      </c>
    </row>
    <row r="59" spans="1:242" s="561" customFormat="1" ht="36.75" customHeight="1" x14ac:dyDescent="0.2">
      <c r="A59" s="556">
        <v>26</v>
      </c>
      <c r="B59" s="556" t="s">
        <v>10841</v>
      </c>
      <c r="C59" s="556" t="s">
        <v>29631</v>
      </c>
      <c r="D59" s="556" t="s">
        <v>29563</v>
      </c>
      <c r="E59" s="556" t="s">
        <v>7</v>
      </c>
      <c r="F59" s="556" t="s">
        <v>29632</v>
      </c>
      <c r="G59" s="556">
        <v>1130</v>
      </c>
      <c r="H59" s="556">
        <v>4.8</v>
      </c>
      <c r="I59" s="556" t="s">
        <v>29349</v>
      </c>
      <c r="J59" s="556" t="s">
        <v>4</v>
      </c>
      <c r="K59" s="556" t="s">
        <v>29633</v>
      </c>
      <c r="L59" s="556">
        <v>779950833</v>
      </c>
      <c r="M59" s="556" t="s">
        <v>5</v>
      </c>
      <c r="N59" s="556" t="s">
        <v>31438</v>
      </c>
      <c r="O59" s="556">
        <v>33</v>
      </c>
      <c r="P59" s="556">
        <v>20</v>
      </c>
      <c r="Q59" s="556" t="s">
        <v>7</v>
      </c>
      <c r="R59" s="556" t="s">
        <v>31588</v>
      </c>
      <c r="S59" s="556" t="s">
        <v>4</v>
      </c>
      <c r="T59" s="556" t="s">
        <v>2</v>
      </c>
      <c r="U59" s="556" t="s">
        <v>4</v>
      </c>
      <c r="V59" s="556"/>
      <c r="W59" s="556" t="s">
        <v>4</v>
      </c>
      <c r="X59" s="556" t="s">
        <v>4</v>
      </c>
      <c r="Y59" s="557">
        <v>44485</v>
      </c>
      <c r="Z59" s="557" t="str">
        <f>IF(OR(T59="yes",Y59&gt;'SDG outcome'!$C$27),"yes","no")</f>
        <v>no</v>
      </c>
      <c r="AA59" s="558" t="str">
        <f t="shared" si="0"/>
        <v/>
      </c>
      <c r="AB59" s="558" t="str">
        <f>IF(AND(Z59="no",AND(Y59&gt;='SDG outcome'!$B$16,Y59&lt;'SDG outcome'!$C$27)),Y59-'SDG outcome'!$B$16,"")</f>
        <v/>
      </c>
      <c r="AC59" s="556" t="s">
        <v>31572</v>
      </c>
      <c r="AD59" s="556" t="s">
        <v>4</v>
      </c>
      <c r="AE59" s="556" t="s">
        <v>2</v>
      </c>
      <c r="AF59" s="556" t="s">
        <v>4</v>
      </c>
      <c r="AG59" s="556" t="s">
        <v>31347</v>
      </c>
      <c r="AH59" s="556" t="s">
        <v>7</v>
      </c>
      <c r="AI59" s="557" t="s">
        <v>9</v>
      </c>
      <c r="AJ59" s="556" t="s">
        <v>4</v>
      </c>
      <c r="AK59" s="556"/>
      <c r="AL59" s="556"/>
      <c r="AM59" s="556"/>
      <c r="AN59" s="556"/>
      <c r="AO59" s="556"/>
      <c r="AP59" s="556"/>
      <c r="AQ59" s="556"/>
      <c r="AR59" s="556"/>
      <c r="AS59" s="556"/>
      <c r="AT59" s="556"/>
      <c r="AU59" s="556"/>
      <c r="AV59" s="556"/>
      <c r="AW59" s="556"/>
      <c r="AX59" s="556"/>
      <c r="AY59" s="556"/>
      <c r="AZ59" s="556"/>
      <c r="BA59" s="556"/>
      <c r="BB59" s="556"/>
      <c r="BC59" s="556"/>
      <c r="BD59" s="556"/>
      <c r="BE59" s="556"/>
      <c r="BF59" s="556"/>
      <c r="BG59" s="556"/>
      <c r="BH59" s="556"/>
      <c r="BI59" s="556"/>
      <c r="BJ59" s="556"/>
      <c r="BK59" s="556"/>
      <c r="BL59" s="556"/>
      <c r="BM59" s="556"/>
      <c r="BN59" s="556"/>
      <c r="BO59" s="556"/>
      <c r="BP59" s="556"/>
      <c r="BQ59" s="556"/>
      <c r="BR59" s="556"/>
      <c r="BS59" s="556"/>
      <c r="BT59" s="556"/>
      <c r="BU59" s="556"/>
      <c r="BV59" s="556"/>
      <c r="BW59" s="556"/>
      <c r="BX59" s="556"/>
      <c r="BY59" s="556"/>
      <c r="BZ59" s="556"/>
      <c r="CA59" s="556"/>
      <c r="CB59" s="556"/>
      <c r="CC59" s="556"/>
      <c r="CD59" s="556"/>
      <c r="CE59" s="556"/>
      <c r="CF59" s="556"/>
      <c r="CG59" s="556"/>
      <c r="CH59" s="556"/>
      <c r="CI59" s="556"/>
      <c r="CJ59" s="556"/>
      <c r="CK59" s="556"/>
      <c r="CL59" s="556"/>
      <c r="CM59" s="556"/>
      <c r="CN59" s="556"/>
      <c r="CO59" s="556"/>
      <c r="CP59" s="556"/>
      <c r="CQ59" s="556"/>
      <c r="CR59" s="556"/>
      <c r="CS59" s="556"/>
      <c r="CT59" s="556"/>
      <c r="CU59" s="556"/>
      <c r="CV59" s="556"/>
      <c r="CW59" s="556"/>
      <c r="CX59" s="556"/>
      <c r="CY59" s="556"/>
      <c r="CZ59" s="556"/>
      <c r="DA59" s="556"/>
      <c r="DB59" s="556"/>
      <c r="DC59" s="556"/>
      <c r="DD59" s="556"/>
      <c r="DE59" s="556"/>
      <c r="DF59" s="556"/>
      <c r="DG59" s="556"/>
      <c r="DH59" s="556"/>
      <c r="DI59" s="556"/>
      <c r="DJ59" s="556"/>
      <c r="DK59" s="556"/>
      <c r="DL59" s="556"/>
      <c r="DM59" s="556"/>
      <c r="DN59" s="556"/>
      <c r="DO59" s="556"/>
      <c r="DP59" s="556"/>
      <c r="DQ59" s="556"/>
      <c r="DR59" s="556"/>
      <c r="DS59" s="556"/>
      <c r="DT59" s="559"/>
      <c r="DU59" s="556"/>
      <c r="DV59" s="559"/>
      <c r="DW59" s="556"/>
      <c r="DX59" s="556"/>
      <c r="DY59" s="556"/>
      <c r="DZ59" s="556"/>
      <c r="EA59" s="556"/>
      <c r="EB59" s="556"/>
      <c r="EC59" s="556"/>
      <c r="ED59" s="556"/>
      <c r="EE59" s="560"/>
      <c r="EF59" s="560"/>
      <c r="EG59" s="560"/>
      <c r="EH59" s="560"/>
      <c r="EI59" s="560"/>
      <c r="EJ59" s="556"/>
      <c r="EK59" s="556"/>
      <c r="EL59" s="556"/>
      <c r="EM59" s="556"/>
      <c r="EN59" s="556"/>
      <c r="EO59" s="556"/>
      <c r="EP59" s="556"/>
      <c r="EQ59" s="556"/>
      <c r="ER59" s="556"/>
      <c r="ES59" s="556"/>
      <c r="ET59" s="556"/>
      <c r="EU59" s="556"/>
      <c r="EV59" s="560"/>
      <c r="EW59" s="560"/>
      <c r="EX59" s="560"/>
      <c r="EY59" s="560"/>
      <c r="EZ59" s="560"/>
      <c r="FA59" s="556"/>
      <c r="FB59" s="556"/>
      <c r="FC59" s="556"/>
      <c r="FD59" s="556"/>
      <c r="FE59" s="556"/>
      <c r="FF59" s="556"/>
      <c r="FG59" s="556"/>
      <c r="FH59" s="556"/>
      <c r="FI59" s="556"/>
      <c r="FJ59" s="556"/>
      <c r="FK59" s="556"/>
      <c r="FL59" s="556"/>
      <c r="FM59" s="556"/>
      <c r="FN59" s="556"/>
      <c r="FO59" s="556"/>
      <c r="FP59" s="556"/>
      <c r="FQ59" s="556"/>
      <c r="FR59" s="556"/>
      <c r="FS59" s="556"/>
      <c r="FT59" s="556"/>
      <c r="FU59" s="556"/>
      <c r="FV59" s="556"/>
      <c r="FW59" s="556"/>
      <c r="FX59" s="556"/>
      <c r="FY59" s="556"/>
      <c r="FZ59" s="556"/>
      <c r="GA59" s="556"/>
      <c r="GB59" s="559"/>
      <c r="GC59" s="556"/>
      <c r="GD59" s="556"/>
      <c r="GE59" s="556"/>
      <c r="GF59" s="556"/>
      <c r="GG59" s="556"/>
      <c r="GH59" s="556"/>
      <c r="GI59" s="556"/>
      <c r="GJ59" s="556"/>
      <c r="GK59" s="556"/>
      <c r="GL59" s="556"/>
      <c r="GM59" s="556"/>
      <c r="GN59" s="556"/>
      <c r="GO59" s="556"/>
      <c r="GP59" s="556"/>
      <c r="GQ59" s="556"/>
      <c r="GR59" s="556"/>
      <c r="GS59" s="556"/>
      <c r="GT59" s="556"/>
      <c r="GU59" s="556"/>
      <c r="GV59" s="556"/>
      <c r="GW59" s="556"/>
      <c r="GX59" s="556"/>
      <c r="GY59" s="556"/>
      <c r="GZ59" s="556"/>
      <c r="HA59" s="556"/>
      <c r="HB59" s="556"/>
      <c r="HC59" s="556"/>
      <c r="HD59" s="556"/>
      <c r="HE59" s="556"/>
      <c r="HF59" s="556"/>
      <c r="HG59" s="556"/>
      <c r="HH59" s="556"/>
      <c r="HI59" s="556"/>
      <c r="HJ59" s="559"/>
      <c r="HK59" s="556"/>
      <c r="HL59" s="556"/>
      <c r="HM59" s="556"/>
      <c r="HN59" s="556"/>
      <c r="HO59" s="556"/>
      <c r="HP59" s="556"/>
      <c r="HQ59" s="556"/>
      <c r="HR59" s="556"/>
      <c r="HS59" s="556"/>
      <c r="HT59" s="556"/>
      <c r="HU59" s="556"/>
      <c r="HV59" s="556"/>
      <c r="HW59" s="556"/>
      <c r="HX59" s="556"/>
      <c r="HY59" s="556"/>
      <c r="HZ59" s="556" t="s">
        <v>29634</v>
      </c>
      <c r="IA59" s="556" t="s">
        <v>7</v>
      </c>
      <c r="IB59" s="556" t="s">
        <v>29635</v>
      </c>
      <c r="IC59" s="556" t="s">
        <v>29636</v>
      </c>
      <c r="ID59" s="556" t="s">
        <v>29637</v>
      </c>
      <c r="IE59" s="556" t="s">
        <v>29638</v>
      </c>
      <c r="IF59" s="556" t="s">
        <v>29639</v>
      </c>
      <c r="IG59" s="556" t="s">
        <v>29640</v>
      </c>
      <c r="IH59" s="556" t="s">
        <v>29641</v>
      </c>
    </row>
    <row r="60" spans="1:242" s="561" customFormat="1" ht="36.75" customHeight="1" x14ac:dyDescent="0.2">
      <c r="A60" s="556">
        <v>66</v>
      </c>
      <c r="B60" s="556" t="s">
        <v>4771</v>
      </c>
      <c r="C60" s="556" t="s">
        <v>29899</v>
      </c>
      <c r="D60" s="556" t="s">
        <v>30002</v>
      </c>
      <c r="E60" s="556" t="s">
        <v>7</v>
      </c>
      <c r="F60" s="556" t="s">
        <v>30038</v>
      </c>
      <c r="G60" s="556">
        <v>1139.0999999999999</v>
      </c>
      <c r="H60" s="556">
        <v>5</v>
      </c>
      <c r="I60" s="556" t="s">
        <v>29288</v>
      </c>
      <c r="J60" s="556" t="s">
        <v>4</v>
      </c>
      <c r="K60" s="556" t="s">
        <v>30039</v>
      </c>
      <c r="L60" s="556">
        <v>772007826</v>
      </c>
      <c r="M60" s="556" t="s">
        <v>3</v>
      </c>
      <c r="N60" s="556" t="s">
        <v>31438</v>
      </c>
      <c r="O60" s="556">
        <v>66</v>
      </c>
      <c r="P60" s="556">
        <v>7</v>
      </c>
      <c r="Q60" s="556" t="s">
        <v>7</v>
      </c>
      <c r="R60" s="556" t="s">
        <v>31562</v>
      </c>
      <c r="S60" s="556" t="s">
        <v>4</v>
      </c>
      <c r="T60" s="556" t="s">
        <v>2</v>
      </c>
      <c r="U60" s="556" t="s">
        <v>4</v>
      </c>
      <c r="V60" s="556"/>
      <c r="W60" s="556" t="s">
        <v>4</v>
      </c>
      <c r="X60" s="556" t="s">
        <v>4</v>
      </c>
      <c r="Y60" s="557">
        <v>44531</v>
      </c>
      <c r="Z60" s="557" t="str">
        <f>IF(OR(T60="yes",Y60&gt;'SDG outcome'!$C$27),"yes","no")</f>
        <v>no</v>
      </c>
      <c r="AA60" s="558" t="str">
        <f t="shared" si="0"/>
        <v/>
      </c>
      <c r="AB60" s="558" t="str">
        <f>IF(AND(Z60="no",AND(Y60&gt;='SDG outcome'!$B$16,Y60&lt;'SDG outcome'!$C$27)),Y60-'SDG outcome'!$B$16,"")</f>
        <v/>
      </c>
      <c r="AC60" s="556" t="s">
        <v>31572</v>
      </c>
      <c r="AD60" s="556" t="s">
        <v>4</v>
      </c>
      <c r="AE60" s="556" t="s">
        <v>2</v>
      </c>
      <c r="AF60" s="556" t="s">
        <v>4</v>
      </c>
      <c r="AG60" s="556" t="s">
        <v>31742</v>
      </c>
      <c r="AH60" s="556" t="s">
        <v>4</v>
      </c>
      <c r="AI60" s="557" t="s">
        <v>4</v>
      </c>
      <c r="AJ60" s="556" t="s">
        <v>4</v>
      </c>
      <c r="AK60" s="556"/>
      <c r="AL60" s="556"/>
      <c r="AM60" s="556"/>
      <c r="AN60" s="556"/>
      <c r="AO60" s="556"/>
      <c r="AP60" s="556"/>
      <c r="AQ60" s="556"/>
      <c r="AR60" s="556"/>
      <c r="AS60" s="556"/>
      <c r="AT60" s="556"/>
      <c r="AU60" s="556"/>
      <c r="AV60" s="556"/>
      <c r="AW60" s="556"/>
      <c r="AX60" s="556"/>
      <c r="AY60" s="556"/>
      <c r="AZ60" s="556"/>
      <c r="BA60" s="556"/>
      <c r="BB60" s="556"/>
      <c r="BC60" s="556"/>
      <c r="BD60" s="556"/>
      <c r="BE60" s="556"/>
      <c r="BF60" s="556"/>
      <c r="BG60" s="556"/>
      <c r="BH60" s="556"/>
      <c r="BI60" s="556"/>
      <c r="BJ60" s="556"/>
      <c r="BK60" s="556"/>
      <c r="BL60" s="556"/>
      <c r="BM60" s="556"/>
      <c r="BN60" s="556"/>
      <c r="BO60" s="556"/>
      <c r="BP60" s="556"/>
      <c r="BQ60" s="556"/>
      <c r="BR60" s="556"/>
      <c r="BS60" s="556"/>
      <c r="BT60" s="556"/>
      <c r="BU60" s="556"/>
      <c r="BV60" s="556"/>
      <c r="BW60" s="556"/>
      <c r="BX60" s="556"/>
      <c r="BY60" s="556"/>
      <c r="BZ60" s="556"/>
      <c r="CA60" s="556"/>
      <c r="CB60" s="556"/>
      <c r="CC60" s="556"/>
      <c r="CD60" s="556"/>
      <c r="CE60" s="556"/>
      <c r="CF60" s="556"/>
      <c r="CG60" s="556"/>
      <c r="CH60" s="556"/>
      <c r="CI60" s="556"/>
      <c r="CJ60" s="556"/>
      <c r="CK60" s="556"/>
      <c r="CL60" s="556"/>
      <c r="CM60" s="556"/>
      <c r="CN60" s="556"/>
      <c r="CO60" s="556"/>
      <c r="CP60" s="556"/>
      <c r="CQ60" s="556"/>
      <c r="CR60" s="556"/>
      <c r="CS60" s="556"/>
      <c r="CT60" s="556"/>
      <c r="CU60" s="556"/>
      <c r="CV60" s="556"/>
      <c r="CW60" s="556"/>
      <c r="CX60" s="556"/>
      <c r="CY60" s="556"/>
      <c r="CZ60" s="556"/>
      <c r="DA60" s="556"/>
      <c r="DB60" s="556"/>
      <c r="DC60" s="556"/>
      <c r="DD60" s="556"/>
      <c r="DE60" s="556"/>
      <c r="DF60" s="556"/>
      <c r="DG60" s="556"/>
      <c r="DH60" s="556"/>
      <c r="DI60" s="556"/>
      <c r="DJ60" s="556"/>
      <c r="DK60" s="556"/>
      <c r="DL60" s="556"/>
      <c r="DM60" s="556"/>
      <c r="DN60" s="556"/>
      <c r="DO60" s="556"/>
      <c r="DP60" s="556"/>
      <c r="DQ60" s="556"/>
      <c r="DR60" s="556"/>
      <c r="DS60" s="556"/>
      <c r="DT60" s="559"/>
      <c r="DU60" s="556"/>
      <c r="DV60" s="559"/>
      <c r="DW60" s="556"/>
      <c r="DX60" s="556"/>
      <c r="DY60" s="556"/>
      <c r="DZ60" s="556"/>
      <c r="EA60" s="556"/>
      <c r="EB60" s="556"/>
      <c r="EC60" s="556"/>
      <c r="ED60" s="556"/>
      <c r="EE60" s="560"/>
      <c r="EF60" s="560"/>
      <c r="EG60" s="560"/>
      <c r="EH60" s="560"/>
      <c r="EI60" s="560"/>
      <c r="EJ60" s="556"/>
      <c r="EK60" s="556"/>
      <c r="EL60" s="556"/>
      <c r="EM60" s="556"/>
      <c r="EN60" s="556"/>
      <c r="EO60" s="556"/>
      <c r="EP60" s="556"/>
      <c r="EQ60" s="556"/>
      <c r="ER60" s="556"/>
      <c r="ES60" s="556"/>
      <c r="ET60" s="556"/>
      <c r="EU60" s="556"/>
      <c r="EV60" s="560"/>
      <c r="EW60" s="560"/>
      <c r="EX60" s="560"/>
      <c r="EY60" s="560"/>
      <c r="EZ60" s="560"/>
      <c r="FA60" s="556"/>
      <c r="FB60" s="556"/>
      <c r="FC60" s="556"/>
      <c r="FD60" s="556"/>
      <c r="FE60" s="556"/>
      <c r="FF60" s="556"/>
      <c r="FG60" s="556"/>
      <c r="FH60" s="556"/>
      <c r="FI60" s="556"/>
      <c r="FJ60" s="556"/>
      <c r="FK60" s="556"/>
      <c r="FL60" s="556"/>
      <c r="FM60" s="556"/>
      <c r="FN60" s="556"/>
      <c r="FO60" s="556"/>
      <c r="FP60" s="556"/>
      <c r="FQ60" s="556"/>
      <c r="FR60" s="556"/>
      <c r="FS60" s="556"/>
      <c r="FT60" s="556"/>
      <c r="FU60" s="556"/>
      <c r="FV60" s="556"/>
      <c r="FW60" s="556"/>
      <c r="FX60" s="556"/>
      <c r="FY60" s="556"/>
      <c r="FZ60" s="556"/>
      <c r="GA60" s="556"/>
      <c r="GB60" s="559"/>
      <c r="GC60" s="556"/>
      <c r="GD60" s="556"/>
      <c r="GE60" s="556"/>
      <c r="GF60" s="556"/>
      <c r="GG60" s="556"/>
      <c r="GH60" s="556"/>
      <c r="GI60" s="556"/>
      <c r="GJ60" s="556"/>
      <c r="GK60" s="556"/>
      <c r="GL60" s="556"/>
      <c r="GM60" s="556"/>
      <c r="GN60" s="556"/>
      <c r="GO60" s="556"/>
      <c r="GP60" s="556"/>
      <c r="GQ60" s="556"/>
      <c r="GR60" s="556"/>
      <c r="GS60" s="556"/>
      <c r="GT60" s="556"/>
      <c r="GU60" s="556"/>
      <c r="GV60" s="556"/>
      <c r="GW60" s="556"/>
      <c r="GX60" s="556"/>
      <c r="GY60" s="556"/>
      <c r="GZ60" s="556"/>
      <c r="HA60" s="556"/>
      <c r="HB60" s="556"/>
      <c r="HC60" s="556"/>
      <c r="HD60" s="556"/>
      <c r="HE60" s="556"/>
      <c r="HF60" s="556"/>
      <c r="HG60" s="556"/>
      <c r="HH60" s="556"/>
      <c r="HI60" s="556"/>
      <c r="HJ60" s="559"/>
      <c r="HK60" s="556"/>
      <c r="HL60" s="556"/>
      <c r="HM60" s="556"/>
      <c r="HN60" s="556"/>
      <c r="HO60" s="556"/>
      <c r="HP60" s="556"/>
      <c r="HQ60" s="556"/>
      <c r="HR60" s="556"/>
      <c r="HS60" s="556"/>
      <c r="HT60" s="556"/>
      <c r="HU60" s="556"/>
      <c r="HV60" s="556"/>
      <c r="HW60" s="556"/>
      <c r="HX60" s="556"/>
      <c r="HY60" s="556"/>
      <c r="HZ60" s="556" t="s">
        <v>30040</v>
      </c>
      <c r="IA60" s="556" t="s">
        <v>7</v>
      </c>
      <c r="IB60" s="556" t="s">
        <v>30041</v>
      </c>
      <c r="IC60" s="556" t="s">
        <v>30042</v>
      </c>
      <c r="ID60" s="556" t="s">
        <v>30043</v>
      </c>
      <c r="IE60" s="556" t="s">
        <v>30044</v>
      </c>
      <c r="IF60" s="556" t="s">
        <v>30045</v>
      </c>
      <c r="IG60" s="556" t="s">
        <v>30046</v>
      </c>
      <c r="IH60" s="556" t="s">
        <v>29908</v>
      </c>
    </row>
    <row r="61" spans="1:242" s="561" customFormat="1" ht="36.75" customHeight="1" x14ac:dyDescent="0.2">
      <c r="A61" s="556">
        <v>9</v>
      </c>
      <c r="B61" s="556" t="s">
        <v>16152</v>
      </c>
      <c r="C61" s="556" t="s">
        <v>29418</v>
      </c>
      <c r="D61" s="556" t="s">
        <v>29286</v>
      </c>
      <c r="E61" s="556" t="s">
        <v>7</v>
      </c>
      <c r="F61" s="556" t="s">
        <v>29419</v>
      </c>
      <c r="G61" s="556">
        <v>2026.6369999999999</v>
      </c>
      <c r="H61" s="556">
        <v>1.5080279999999999</v>
      </c>
      <c r="I61" s="556" t="s">
        <v>29288</v>
      </c>
      <c r="J61" s="556" t="s">
        <v>4</v>
      </c>
      <c r="K61" s="556" t="s">
        <v>29420</v>
      </c>
      <c r="L61" s="556">
        <v>779063124</v>
      </c>
      <c r="M61" s="556" t="s">
        <v>3</v>
      </c>
      <c r="N61" s="556" t="s">
        <v>31438</v>
      </c>
      <c r="O61" s="556">
        <v>61</v>
      </c>
      <c r="P61" s="556">
        <v>10</v>
      </c>
      <c r="Q61" s="556" t="s">
        <v>7</v>
      </c>
      <c r="R61" s="556" t="s">
        <v>31588</v>
      </c>
      <c r="S61" s="556" t="s">
        <v>4</v>
      </c>
      <c r="T61" s="556" t="s">
        <v>2</v>
      </c>
      <c r="U61" s="556" t="s">
        <v>4</v>
      </c>
      <c r="V61" s="556"/>
      <c r="W61" s="556" t="s">
        <v>4</v>
      </c>
      <c r="X61" s="556" t="s">
        <v>4</v>
      </c>
      <c r="Y61" s="557">
        <v>44600</v>
      </c>
      <c r="Z61" s="557" t="str">
        <f>IF(OR(T61="yes",Y61&gt;'SDG outcome'!$C$27),"yes","no")</f>
        <v>no</v>
      </c>
      <c r="AA61" s="558" t="str">
        <f t="shared" si="0"/>
        <v/>
      </c>
      <c r="AB61" s="558" t="str">
        <f>IF(AND(Z61="no",AND(Y61&gt;='SDG outcome'!$B$16,Y61&lt;'SDG outcome'!$C$27)),Y61-'SDG outcome'!$B$16,"")</f>
        <v/>
      </c>
      <c r="AC61" s="556" t="s">
        <v>31572</v>
      </c>
      <c r="AD61" s="556" t="s">
        <v>4</v>
      </c>
      <c r="AE61" s="556" t="s">
        <v>7</v>
      </c>
      <c r="AF61" s="556" t="s">
        <v>31589</v>
      </c>
      <c r="AG61" s="556" t="s">
        <v>4</v>
      </c>
      <c r="AH61" s="556" t="s">
        <v>7</v>
      </c>
      <c r="AI61" s="557">
        <v>45137</v>
      </c>
      <c r="AJ61" s="556" t="s">
        <v>4</v>
      </c>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6"/>
      <c r="CU61" s="556"/>
      <c r="CV61" s="556"/>
      <c r="CW61" s="556"/>
      <c r="CX61" s="556"/>
      <c r="CY61" s="556"/>
      <c r="CZ61" s="556"/>
      <c r="DA61" s="556"/>
      <c r="DB61" s="556"/>
      <c r="DC61" s="556"/>
      <c r="DD61" s="556"/>
      <c r="DE61" s="556"/>
      <c r="DF61" s="556"/>
      <c r="DG61" s="556"/>
      <c r="DH61" s="556"/>
      <c r="DI61" s="556"/>
      <c r="DJ61" s="556"/>
      <c r="DK61" s="556"/>
      <c r="DL61" s="556"/>
      <c r="DM61" s="556"/>
      <c r="DN61" s="556"/>
      <c r="DO61" s="556"/>
      <c r="DP61" s="556"/>
      <c r="DQ61" s="556"/>
      <c r="DR61" s="556"/>
      <c r="DS61" s="556"/>
      <c r="DT61" s="559"/>
      <c r="DU61" s="556"/>
      <c r="DV61" s="559"/>
      <c r="DW61" s="556"/>
      <c r="DX61" s="556"/>
      <c r="DY61" s="556"/>
      <c r="DZ61" s="556"/>
      <c r="EA61" s="556"/>
      <c r="EB61" s="556"/>
      <c r="EC61" s="556"/>
      <c r="ED61" s="556"/>
      <c r="EE61" s="560"/>
      <c r="EF61" s="560"/>
      <c r="EG61" s="560"/>
      <c r="EH61" s="560"/>
      <c r="EI61" s="560"/>
      <c r="EJ61" s="556"/>
      <c r="EK61" s="556"/>
      <c r="EL61" s="556"/>
      <c r="EM61" s="556"/>
      <c r="EN61" s="556"/>
      <c r="EO61" s="556"/>
      <c r="EP61" s="556"/>
      <c r="EQ61" s="556"/>
      <c r="ER61" s="556"/>
      <c r="ES61" s="556"/>
      <c r="ET61" s="556"/>
      <c r="EU61" s="556"/>
      <c r="EV61" s="560"/>
      <c r="EW61" s="560"/>
      <c r="EX61" s="560"/>
      <c r="EY61" s="560"/>
      <c r="EZ61" s="560"/>
      <c r="FA61" s="556"/>
      <c r="FB61" s="556"/>
      <c r="FC61" s="556"/>
      <c r="FD61" s="556"/>
      <c r="FE61" s="556"/>
      <c r="FF61" s="556"/>
      <c r="FG61" s="556"/>
      <c r="FH61" s="556"/>
      <c r="FI61" s="556"/>
      <c r="FJ61" s="556"/>
      <c r="FK61" s="556"/>
      <c r="FL61" s="556"/>
      <c r="FM61" s="556"/>
      <c r="FN61" s="556"/>
      <c r="FO61" s="556"/>
      <c r="FP61" s="556"/>
      <c r="FQ61" s="556"/>
      <c r="FR61" s="556"/>
      <c r="FS61" s="556"/>
      <c r="FT61" s="556"/>
      <c r="FU61" s="556"/>
      <c r="FV61" s="556"/>
      <c r="FW61" s="556"/>
      <c r="FX61" s="556"/>
      <c r="FY61" s="556"/>
      <c r="FZ61" s="556"/>
      <c r="GA61" s="556"/>
      <c r="GB61" s="559"/>
      <c r="GC61" s="556"/>
      <c r="GD61" s="556"/>
      <c r="GE61" s="556"/>
      <c r="GF61" s="556"/>
      <c r="GG61" s="556"/>
      <c r="GH61" s="556"/>
      <c r="GI61" s="556"/>
      <c r="GJ61" s="556"/>
      <c r="GK61" s="556"/>
      <c r="GL61" s="556"/>
      <c r="GM61" s="556"/>
      <c r="GN61" s="556"/>
      <c r="GO61" s="556"/>
      <c r="GP61" s="556"/>
      <c r="GQ61" s="556"/>
      <c r="GR61" s="556"/>
      <c r="GS61" s="556"/>
      <c r="GT61" s="556"/>
      <c r="GU61" s="556"/>
      <c r="GV61" s="556"/>
      <c r="GW61" s="556"/>
      <c r="GX61" s="556"/>
      <c r="GY61" s="556"/>
      <c r="GZ61" s="556"/>
      <c r="HA61" s="556"/>
      <c r="HB61" s="556"/>
      <c r="HC61" s="556"/>
      <c r="HD61" s="556"/>
      <c r="HE61" s="556"/>
      <c r="HF61" s="556"/>
      <c r="HG61" s="556"/>
      <c r="HH61" s="556"/>
      <c r="HI61" s="556"/>
      <c r="HJ61" s="559"/>
      <c r="HK61" s="556"/>
      <c r="HL61" s="556"/>
      <c r="HM61" s="556"/>
      <c r="HN61" s="556"/>
      <c r="HO61" s="556"/>
      <c r="HP61" s="556"/>
      <c r="HQ61" s="556"/>
      <c r="HR61" s="556"/>
      <c r="HS61" s="556"/>
      <c r="HT61" s="556"/>
      <c r="HU61" s="556"/>
      <c r="HV61" s="556"/>
      <c r="HW61" s="556"/>
      <c r="HX61" s="556"/>
      <c r="HY61" s="556"/>
      <c r="HZ61" s="556" t="s">
        <v>29421</v>
      </c>
      <c r="IA61" s="556" t="s">
        <v>7</v>
      </c>
      <c r="IB61" s="556" t="s">
        <v>29422</v>
      </c>
      <c r="IC61" s="556" t="s">
        <v>29423</v>
      </c>
      <c r="ID61" s="556" t="s">
        <v>29424</v>
      </c>
      <c r="IE61" s="556" t="s">
        <v>29425</v>
      </c>
      <c r="IF61" s="556" t="s">
        <v>29426</v>
      </c>
      <c r="IG61" s="556" t="s">
        <v>29427</v>
      </c>
      <c r="IH61" s="556" t="s">
        <v>29418</v>
      </c>
    </row>
    <row r="62" spans="1:242" s="561" customFormat="1" ht="36.75" customHeight="1" x14ac:dyDescent="0.2">
      <c r="A62" s="556">
        <v>40</v>
      </c>
      <c r="B62" s="556" t="s">
        <v>14500</v>
      </c>
      <c r="C62" s="556" t="s">
        <v>29779</v>
      </c>
      <c r="D62" s="556" t="s">
        <v>29691</v>
      </c>
      <c r="E62" s="556" t="s">
        <v>7</v>
      </c>
      <c r="F62" s="556" t="s">
        <v>29780</v>
      </c>
      <c r="G62" s="556">
        <v>1129.3</v>
      </c>
      <c r="H62" s="556">
        <v>3.2</v>
      </c>
      <c r="I62" s="556" t="s">
        <v>29288</v>
      </c>
      <c r="J62" s="556" t="s">
        <v>4</v>
      </c>
      <c r="K62" s="556" t="s">
        <v>29781</v>
      </c>
      <c r="L62" s="556">
        <v>778709093</v>
      </c>
      <c r="M62" s="556" t="s">
        <v>3</v>
      </c>
      <c r="N62" s="556" t="s">
        <v>31438</v>
      </c>
      <c r="O62" s="556">
        <v>54</v>
      </c>
      <c r="P62" s="556">
        <v>4</v>
      </c>
      <c r="Q62" s="556" t="s">
        <v>7</v>
      </c>
      <c r="R62" s="556" t="s">
        <v>31562</v>
      </c>
      <c r="S62" s="556" t="s">
        <v>4</v>
      </c>
      <c r="T62" s="556" t="s">
        <v>2</v>
      </c>
      <c r="U62" s="556" t="s">
        <v>4</v>
      </c>
      <c r="V62" s="556"/>
      <c r="W62" s="556" t="s">
        <v>4</v>
      </c>
      <c r="X62" s="556" t="s">
        <v>4</v>
      </c>
      <c r="Y62" s="557">
        <v>44630</v>
      </c>
      <c r="Z62" s="557" t="str">
        <f>IF(OR(T62="yes",Y62&gt;'SDG outcome'!$C$27),"yes","no")</f>
        <v>no</v>
      </c>
      <c r="AA62" s="558" t="str">
        <f t="shared" si="0"/>
        <v/>
      </c>
      <c r="AB62" s="558" t="str">
        <f>IF(AND(Z62="no",AND(Y62&gt;='SDG outcome'!$B$16,Y62&lt;'SDG outcome'!$C$27)),Y62-'SDG outcome'!$B$16,"")</f>
        <v/>
      </c>
      <c r="AC62" s="556" t="s">
        <v>31572</v>
      </c>
      <c r="AD62" s="556" t="s">
        <v>4</v>
      </c>
      <c r="AE62" s="556" t="s">
        <v>2</v>
      </c>
      <c r="AF62" s="556" t="s">
        <v>4</v>
      </c>
      <c r="AG62" s="556" t="s">
        <v>31690</v>
      </c>
      <c r="AH62" s="556" t="s">
        <v>7</v>
      </c>
      <c r="AI62" s="557" t="s">
        <v>9</v>
      </c>
      <c r="AJ62" s="556" t="s">
        <v>4</v>
      </c>
      <c r="AK62" s="556"/>
      <c r="AL62" s="556"/>
      <c r="AM62" s="556"/>
      <c r="AN62" s="556"/>
      <c r="AO62" s="556"/>
      <c r="AP62" s="556"/>
      <c r="AQ62" s="556"/>
      <c r="AR62" s="556"/>
      <c r="AS62" s="556"/>
      <c r="AT62" s="556"/>
      <c r="AU62" s="556"/>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c r="CT62" s="556"/>
      <c r="CU62" s="556"/>
      <c r="CV62" s="556"/>
      <c r="CW62" s="556"/>
      <c r="CX62" s="556"/>
      <c r="CY62" s="556"/>
      <c r="CZ62" s="556"/>
      <c r="DA62" s="556"/>
      <c r="DB62" s="556"/>
      <c r="DC62" s="556"/>
      <c r="DD62" s="556"/>
      <c r="DE62" s="556"/>
      <c r="DF62" s="556"/>
      <c r="DG62" s="556"/>
      <c r="DH62" s="556"/>
      <c r="DI62" s="556"/>
      <c r="DJ62" s="556"/>
      <c r="DK62" s="556"/>
      <c r="DL62" s="556"/>
      <c r="DM62" s="556"/>
      <c r="DN62" s="556"/>
      <c r="DO62" s="556"/>
      <c r="DP62" s="556"/>
      <c r="DQ62" s="556"/>
      <c r="DR62" s="556"/>
      <c r="DS62" s="556"/>
      <c r="DT62" s="559"/>
      <c r="DU62" s="556"/>
      <c r="DV62" s="559"/>
      <c r="DW62" s="556"/>
      <c r="DX62" s="556"/>
      <c r="DY62" s="556"/>
      <c r="DZ62" s="556"/>
      <c r="EA62" s="556"/>
      <c r="EB62" s="556"/>
      <c r="EC62" s="556"/>
      <c r="ED62" s="556"/>
      <c r="EE62" s="560"/>
      <c r="EF62" s="560"/>
      <c r="EG62" s="560"/>
      <c r="EH62" s="560"/>
      <c r="EI62" s="560"/>
      <c r="EJ62" s="556"/>
      <c r="EK62" s="556"/>
      <c r="EL62" s="556"/>
      <c r="EM62" s="556"/>
      <c r="EN62" s="556"/>
      <c r="EO62" s="556"/>
      <c r="EP62" s="556"/>
      <c r="EQ62" s="556"/>
      <c r="ER62" s="556"/>
      <c r="ES62" s="556"/>
      <c r="ET62" s="556"/>
      <c r="EU62" s="556"/>
      <c r="EV62" s="560"/>
      <c r="EW62" s="560"/>
      <c r="EX62" s="560"/>
      <c r="EY62" s="560"/>
      <c r="EZ62" s="560"/>
      <c r="FA62" s="556"/>
      <c r="FB62" s="556"/>
      <c r="FC62" s="556"/>
      <c r="FD62" s="556"/>
      <c r="FE62" s="556"/>
      <c r="FF62" s="556"/>
      <c r="FG62" s="556"/>
      <c r="FH62" s="556"/>
      <c r="FI62" s="556"/>
      <c r="FJ62" s="556"/>
      <c r="FK62" s="556"/>
      <c r="FL62" s="556"/>
      <c r="FM62" s="556"/>
      <c r="FN62" s="556"/>
      <c r="FO62" s="556"/>
      <c r="FP62" s="556"/>
      <c r="FQ62" s="556"/>
      <c r="FR62" s="556"/>
      <c r="FS62" s="556"/>
      <c r="FT62" s="556"/>
      <c r="FU62" s="556"/>
      <c r="FV62" s="556"/>
      <c r="FW62" s="556"/>
      <c r="FX62" s="556"/>
      <c r="FY62" s="556"/>
      <c r="FZ62" s="556"/>
      <c r="GA62" s="556"/>
      <c r="GB62" s="559"/>
      <c r="GC62" s="556"/>
      <c r="GD62" s="556"/>
      <c r="GE62" s="556"/>
      <c r="GF62" s="556"/>
      <c r="GG62" s="556"/>
      <c r="GH62" s="556"/>
      <c r="GI62" s="556"/>
      <c r="GJ62" s="556"/>
      <c r="GK62" s="556"/>
      <c r="GL62" s="556"/>
      <c r="GM62" s="556"/>
      <c r="GN62" s="556"/>
      <c r="GO62" s="556"/>
      <c r="GP62" s="556"/>
      <c r="GQ62" s="556"/>
      <c r="GR62" s="556"/>
      <c r="GS62" s="556"/>
      <c r="GT62" s="556"/>
      <c r="GU62" s="556"/>
      <c r="GV62" s="556"/>
      <c r="GW62" s="556"/>
      <c r="GX62" s="556"/>
      <c r="GY62" s="556"/>
      <c r="GZ62" s="556"/>
      <c r="HA62" s="556"/>
      <c r="HB62" s="556"/>
      <c r="HC62" s="556"/>
      <c r="HD62" s="556"/>
      <c r="HE62" s="556"/>
      <c r="HF62" s="556"/>
      <c r="HG62" s="556"/>
      <c r="HH62" s="556"/>
      <c r="HI62" s="556"/>
      <c r="HJ62" s="559"/>
      <c r="HK62" s="556"/>
      <c r="HL62" s="556"/>
      <c r="HM62" s="556"/>
      <c r="HN62" s="556"/>
      <c r="HO62" s="556"/>
      <c r="HP62" s="556"/>
      <c r="HQ62" s="556"/>
      <c r="HR62" s="556"/>
      <c r="HS62" s="556"/>
      <c r="HT62" s="556"/>
      <c r="HU62" s="556"/>
      <c r="HV62" s="556"/>
      <c r="HW62" s="556"/>
      <c r="HX62" s="556"/>
      <c r="HY62" s="556"/>
      <c r="HZ62" s="556" t="s">
        <v>29782</v>
      </c>
      <c r="IA62" s="556" t="s">
        <v>7</v>
      </c>
      <c r="IB62" s="556" t="s">
        <v>29783</v>
      </c>
      <c r="IC62" s="556" t="s">
        <v>29784</v>
      </c>
      <c r="ID62" s="556" t="s">
        <v>29785</v>
      </c>
      <c r="IE62" s="556" t="s">
        <v>29786</v>
      </c>
      <c r="IF62" s="556" t="s">
        <v>29787</v>
      </c>
      <c r="IG62" s="556" t="s">
        <v>29788</v>
      </c>
      <c r="IH62" s="556" t="s">
        <v>29789</v>
      </c>
    </row>
    <row r="63" spans="1:242" s="561" customFormat="1" ht="36.75" customHeight="1" x14ac:dyDescent="0.2">
      <c r="A63" s="556">
        <v>33</v>
      </c>
      <c r="B63" s="556" t="s">
        <v>13559</v>
      </c>
      <c r="C63" s="556" t="s">
        <v>29706</v>
      </c>
      <c r="D63" s="556" t="s">
        <v>29691</v>
      </c>
      <c r="E63" s="556" t="s">
        <v>7</v>
      </c>
      <c r="F63" s="556" t="s">
        <v>29707</v>
      </c>
      <c r="G63" s="556">
        <v>1076.5</v>
      </c>
      <c r="H63" s="556">
        <v>5</v>
      </c>
      <c r="I63" s="556" t="s">
        <v>29349</v>
      </c>
      <c r="J63" s="556" t="s">
        <v>4</v>
      </c>
      <c r="K63" s="556" t="s">
        <v>29708</v>
      </c>
      <c r="L63" s="556">
        <v>783700425</v>
      </c>
      <c r="M63" s="556" t="s">
        <v>3</v>
      </c>
      <c r="N63" s="556" t="s">
        <v>31438</v>
      </c>
      <c r="O63" s="556">
        <v>60</v>
      </c>
      <c r="P63" s="556">
        <v>6</v>
      </c>
      <c r="Q63" s="556" t="s">
        <v>7</v>
      </c>
      <c r="R63" s="556" t="s">
        <v>31588</v>
      </c>
      <c r="S63" s="556" t="s">
        <v>4</v>
      </c>
      <c r="T63" s="556" t="s">
        <v>2</v>
      </c>
      <c r="U63" s="556" t="s">
        <v>4</v>
      </c>
      <c r="V63" s="556"/>
      <c r="W63" s="556" t="s">
        <v>4</v>
      </c>
      <c r="X63" s="556" t="s">
        <v>4</v>
      </c>
      <c r="Y63" s="557">
        <v>44631</v>
      </c>
      <c r="Z63" s="557" t="str">
        <f>IF(OR(T63="yes",Y63&gt;'SDG outcome'!$C$27),"yes","no")</f>
        <v>no</v>
      </c>
      <c r="AA63" s="558" t="str">
        <f t="shared" si="0"/>
        <v/>
      </c>
      <c r="AB63" s="558" t="str">
        <f>IF(AND(Z63="no",AND(Y63&gt;='SDG outcome'!$B$16,Y63&lt;'SDG outcome'!$C$27)),Y63-'SDG outcome'!$B$16,"")</f>
        <v/>
      </c>
      <c r="AC63" s="556" t="s">
        <v>8</v>
      </c>
      <c r="AD63" s="556" t="s">
        <v>31680</v>
      </c>
      <c r="AE63" s="556" t="s">
        <v>4</v>
      </c>
      <c r="AF63" s="556" t="s">
        <v>4</v>
      </c>
      <c r="AG63" s="556" t="s">
        <v>4</v>
      </c>
      <c r="AH63" s="556" t="s">
        <v>7</v>
      </c>
      <c r="AI63" s="557" t="s">
        <v>9</v>
      </c>
      <c r="AJ63" s="556" t="s">
        <v>4</v>
      </c>
      <c r="AK63" s="556"/>
      <c r="AL63" s="556"/>
      <c r="AM63" s="556"/>
      <c r="AN63" s="556"/>
      <c r="AO63" s="556"/>
      <c r="AP63" s="556"/>
      <c r="AQ63" s="556"/>
      <c r="AR63" s="556"/>
      <c r="AS63" s="556"/>
      <c r="AT63" s="556"/>
      <c r="AU63" s="556"/>
      <c r="AV63" s="556"/>
      <c r="AW63" s="556"/>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556"/>
      <c r="CP63" s="556"/>
      <c r="CQ63" s="556"/>
      <c r="CR63" s="556"/>
      <c r="CS63" s="556"/>
      <c r="CT63" s="556"/>
      <c r="CU63" s="556"/>
      <c r="CV63" s="556"/>
      <c r="CW63" s="556"/>
      <c r="CX63" s="556"/>
      <c r="CY63" s="556"/>
      <c r="CZ63" s="556"/>
      <c r="DA63" s="556"/>
      <c r="DB63" s="556"/>
      <c r="DC63" s="556"/>
      <c r="DD63" s="556"/>
      <c r="DE63" s="556"/>
      <c r="DF63" s="556"/>
      <c r="DG63" s="556"/>
      <c r="DH63" s="556"/>
      <c r="DI63" s="556"/>
      <c r="DJ63" s="556"/>
      <c r="DK63" s="556"/>
      <c r="DL63" s="556"/>
      <c r="DM63" s="556"/>
      <c r="DN63" s="556"/>
      <c r="DO63" s="556"/>
      <c r="DP63" s="556"/>
      <c r="DQ63" s="556"/>
      <c r="DR63" s="556"/>
      <c r="DS63" s="556"/>
      <c r="DT63" s="559"/>
      <c r="DU63" s="556"/>
      <c r="DV63" s="559"/>
      <c r="DW63" s="556"/>
      <c r="DX63" s="556"/>
      <c r="DY63" s="556"/>
      <c r="DZ63" s="556"/>
      <c r="EA63" s="556"/>
      <c r="EB63" s="556"/>
      <c r="EC63" s="556"/>
      <c r="ED63" s="556"/>
      <c r="EE63" s="560"/>
      <c r="EF63" s="560"/>
      <c r="EG63" s="560"/>
      <c r="EH63" s="560"/>
      <c r="EI63" s="560"/>
      <c r="EJ63" s="556"/>
      <c r="EK63" s="556"/>
      <c r="EL63" s="556"/>
      <c r="EM63" s="556"/>
      <c r="EN63" s="556"/>
      <c r="EO63" s="556"/>
      <c r="EP63" s="556"/>
      <c r="EQ63" s="556"/>
      <c r="ER63" s="556"/>
      <c r="ES63" s="556"/>
      <c r="ET63" s="556"/>
      <c r="EU63" s="556"/>
      <c r="EV63" s="560"/>
      <c r="EW63" s="560"/>
      <c r="EX63" s="560"/>
      <c r="EY63" s="560"/>
      <c r="EZ63" s="560"/>
      <c r="FA63" s="556"/>
      <c r="FB63" s="556"/>
      <c r="FC63" s="556"/>
      <c r="FD63" s="556"/>
      <c r="FE63" s="556"/>
      <c r="FF63" s="556"/>
      <c r="FG63" s="556"/>
      <c r="FH63" s="556"/>
      <c r="FI63" s="556"/>
      <c r="FJ63" s="556"/>
      <c r="FK63" s="556"/>
      <c r="FL63" s="556"/>
      <c r="FM63" s="556"/>
      <c r="FN63" s="556"/>
      <c r="FO63" s="556"/>
      <c r="FP63" s="556"/>
      <c r="FQ63" s="556"/>
      <c r="FR63" s="556"/>
      <c r="FS63" s="556"/>
      <c r="FT63" s="556"/>
      <c r="FU63" s="556"/>
      <c r="FV63" s="556"/>
      <c r="FW63" s="556"/>
      <c r="FX63" s="556"/>
      <c r="FY63" s="556"/>
      <c r="FZ63" s="556"/>
      <c r="GA63" s="556"/>
      <c r="GB63" s="559"/>
      <c r="GC63" s="556"/>
      <c r="GD63" s="556"/>
      <c r="GE63" s="556"/>
      <c r="GF63" s="556"/>
      <c r="GG63" s="556"/>
      <c r="GH63" s="556"/>
      <c r="GI63" s="556"/>
      <c r="GJ63" s="556"/>
      <c r="GK63" s="556"/>
      <c r="GL63" s="556"/>
      <c r="GM63" s="556"/>
      <c r="GN63" s="556"/>
      <c r="GO63" s="556"/>
      <c r="GP63" s="556"/>
      <c r="GQ63" s="556"/>
      <c r="GR63" s="556"/>
      <c r="GS63" s="556"/>
      <c r="GT63" s="556"/>
      <c r="GU63" s="556"/>
      <c r="GV63" s="556"/>
      <c r="GW63" s="556"/>
      <c r="GX63" s="556"/>
      <c r="GY63" s="556"/>
      <c r="GZ63" s="556"/>
      <c r="HA63" s="556"/>
      <c r="HB63" s="556"/>
      <c r="HC63" s="556"/>
      <c r="HD63" s="556"/>
      <c r="HE63" s="556"/>
      <c r="HF63" s="556"/>
      <c r="HG63" s="556"/>
      <c r="HH63" s="556"/>
      <c r="HI63" s="556"/>
      <c r="HJ63" s="559"/>
      <c r="HK63" s="556"/>
      <c r="HL63" s="556"/>
      <c r="HM63" s="556"/>
      <c r="HN63" s="556"/>
      <c r="HO63" s="556"/>
      <c r="HP63" s="556"/>
      <c r="HQ63" s="556"/>
      <c r="HR63" s="556"/>
      <c r="HS63" s="556"/>
      <c r="HT63" s="556"/>
      <c r="HU63" s="556"/>
      <c r="HV63" s="556"/>
      <c r="HW63" s="556"/>
      <c r="HX63" s="556"/>
      <c r="HY63" s="556"/>
      <c r="HZ63" s="556" t="s">
        <v>29709</v>
      </c>
      <c r="IA63" s="556" t="s">
        <v>7</v>
      </c>
      <c r="IB63" s="556" t="s">
        <v>29710</v>
      </c>
      <c r="IC63" s="556" t="s">
        <v>29711</v>
      </c>
      <c r="ID63" s="556" t="s">
        <v>29712</v>
      </c>
      <c r="IE63" s="556" t="s">
        <v>29713</v>
      </c>
      <c r="IF63" s="556" t="s">
        <v>29714</v>
      </c>
      <c r="IG63" s="556" t="s">
        <v>29715</v>
      </c>
      <c r="IH63" s="556" t="s">
        <v>29706</v>
      </c>
    </row>
    <row r="64" spans="1:242" s="561" customFormat="1" ht="36.75" customHeight="1" x14ac:dyDescent="0.2">
      <c r="A64" s="556">
        <v>65</v>
      </c>
      <c r="B64" s="556" t="s">
        <v>4466</v>
      </c>
      <c r="C64" s="556" t="s">
        <v>30028</v>
      </c>
      <c r="D64" s="556" t="s">
        <v>30002</v>
      </c>
      <c r="E64" s="556" t="s">
        <v>7</v>
      </c>
      <c r="F64" s="556" t="s">
        <v>30029</v>
      </c>
      <c r="G64" s="556">
        <v>1113.8</v>
      </c>
      <c r="H64" s="556">
        <v>5</v>
      </c>
      <c r="I64" s="556" t="s">
        <v>29288</v>
      </c>
      <c r="J64" s="556" t="s">
        <v>4</v>
      </c>
      <c r="K64" s="556" t="s">
        <v>30030</v>
      </c>
      <c r="L64" s="556">
        <v>772668733</v>
      </c>
      <c r="M64" s="556" t="s">
        <v>3</v>
      </c>
      <c r="N64" s="556" t="s">
        <v>31438</v>
      </c>
      <c r="O64" s="556">
        <v>70</v>
      </c>
      <c r="P64" s="556">
        <v>20</v>
      </c>
      <c r="Q64" s="556" t="s">
        <v>7</v>
      </c>
      <c r="R64" s="556" t="s">
        <v>31562</v>
      </c>
      <c r="S64" s="556" t="s">
        <v>4</v>
      </c>
      <c r="T64" s="556" t="s">
        <v>2</v>
      </c>
      <c r="U64" s="556" t="s">
        <v>4</v>
      </c>
      <c r="V64" s="556"/>
      <c r="W64" s="556" t="s">
        <v>4</v>
      </c>
      <c r="X64" s="556" t="s">
        <v>4</v>
      </c>
      <c r="Y64" s="557">
        <v>45047</v>
      </c>
      <c r="Z64" s="557" t="str">
        <f>IF(OR(T64="yes",Y64&gt;'SDG outcome'!$C$27),"yes","no")</f>
        <v>yes</v>
      </c>
      <c r="AA64" s="558">
        <f t="shared" si="0"/>
        <v>0</v>
      </c>
      <c r="AB64" s="558" t="str">
        <f>IF(AND(Z64="no",AND(Y64&gt;='SDG outcome'!$B$16,Y64&lt;'SDG outcome'!$C$27)),Y64-'SDG outcome'!$B$16,"")</f>
        <v/>
      </c>
      <c r="AC64" s="556" t="s">
        <v>31572</v>
      </c>
      <c r="AD64" s="556" t="s">
        <v>4</v>
      </c>
      <c r="AE64" s="556" t="s">
        <v>7</v>
      </c>
      <c r="AF64" s="556" t="s">
        <v>31741</v>
      </c>
      <c r="AG64" s="556" t="s">
        <v>4</v>
      </c>
      <c r="AH64" s="556" t="s">
        <v>2</v>
      </c>
      <c r="AI64" s="557" t="s">
        <v>4</v>
      </c>
      <c r="AJ64" s="556" t="s">
        <v>4</v>
      </c>
      <c r="AK64" s="556"/>
      <c r="AL64" s="556"/>
      <c r="AM64" s="556"/>
      <c r="AN64" s="556"/>
      <c r="AO64" s="556"/>
      <c r="AP64" s="556"/>
      <c r="AQ64" s="556"/>
      <c r="AR64" s="556"/>
      <c r="AS64" s="556"/>
      <c r="AT64" s="556"/>
      <c r="AU64" s="556"/>
      <c r="AV64" s="556"/>
      <c r="AW64" s="556"/>
      <c r="AX64" s="556"/>
      <c r="AY64" s="556"/>
      <c r="AZ64" s="556"/>
      <c r="BA64" s="556"/>
      <c r="BB64" s="556"/>
      <c r="BC64" s="556"/>
      <c r="BD64" s="556"/>
      <c r="BE64" s="556"/>
      <c r="BF64" s="556"/>
      <c r="BG64" s="556"/>
      <c r="BH64" s="556"/>
      <c r="BI64" s="556"/>
      <c r="BJ64" s="556"/>
      <c r="BK64" s="556"/>
      <c r="BL64" s="556"/>
      <c r="BM64" s="556"/>
      <c r="BN64" s="556"/>
      <c r="BO64" s="556"/>
      <c r="BP64" s="556"/>
      <c r="BQ64" s="556"/>
      <c r="BR64" s="556"/>
      <c r="BS64" s="556"/>
      <c r="BT64" s="556"/>
      <c r="BU64" s="556"/>
      <c r="BV64" s="556"/>
      <c r="BW64" s="556"/>
      <c r="BX64" s="556"/>
      <c r="BY64" s="556"/>
      <c r="BZ64" s="556"/>
      <c r="CA64" s="556"/>
      <c r="CB64" s="556"/>
      <c r="CC64" s="556"/>
      <c r="CD64" s="556"/>
      <c r="CE64" s="556"/>
      <c r="CF64" s="556"/>
      <c r="CG64" s="556"/>
      <c r="CH64" s="556"/>
      <c r="CI64" s="556"/>
      <c r="CJ64" s="556"/>
      <c r="CK64" s="556"/>
      <c r="CL64" s="556"/>
      <c r="CM64" s="556"/>
      <c r="CN64" s="556"/>
      <c r="CO64" s="556"/>
      <c r="CP64" s="556"/>
      <c r="CQ64" s="556"/>
      <c r="CR64" s="556"/>
      <c r="CS64" s="556"/>
      <c r="CT64" s="556"/>
      <c r="CU64" s="556"/>
      <c r="CV64" s="556"/>
      <c r="CW64" s="556"/>
      <c r="CX64" s="556"/>
      <c r="CY64" s="556"/>
      <c r="CZ64" s="556"/>
      <c r="DA64" s="556"/>
      <c r="DB64" s="556"/>
      <c r="DC64" s="556"/>
      <c r="DD64" s="556"/>
      <c r="DE64" s="556"/>
      <c r="DF64" s="556"/>
      <c r="DG64" s="556"/>
      <c r="DH64" s="556"/>
      <c r="DI64" s="556"/>
      <c r="DJ64" s="556"/>
      <c r="DK64" s="556"/>
      <c r="DL64" s="556"/>
      <c r="DM64" s="556"/>
      <c r="DN64" s="556"/>
      <c r="DO64" s="556"/>
      <c r="DP64" s="556"/>
      <c r="DQ64" s="556"/>
      <c r="DR64" s="556"/>
      <c r="DS64" s="556"/>
      <c r="DT64" s="559"/>
      <c r="DU64" s="556"/>
      <c r="DV64" s="559"/>
      <c r="DW64" s="556"/>
      <c r="DX64" s="556"/>
      <c r="DY64" s="556"/>
      <c r="DZ64" s="556"/>
      <c r="EA64" s="556"/>
      <c r="EB64" s="556"/>
      <c r="EC64" s="556"/>
      <c r="ED64" s="556"/>
      <c r="EE64" s="560"/>
      <c r="EF64" s="560"/>
      <c r="EG64" s="560"/>
      <c r="EH64" s="560"/>
      <c r="EI64" s="560"/>
      <c r="EJ64" s="556"/>
      <c r="EK64" s="556"/>
      <c r="EL64" s="556"/>
      <c r="EM64" s="556"/>
      <c r="EN64" s="556"/>
      <c r="EO64" s="556"/>
      <c r="EP64" s="556"/>
      <c r="EQ64" s="556"/>
      <c r="ER64" s="556"/>
      <c r="ES64" s="556"/>
      <c r="ET64" s="556"/>
      <c r="EU64" s="556"/>
      <c r="EV64" s="560"/>
      <c r="EW64" s="560"/>
      <c r="EX64" s="560"/>
      <c r="EY64" s="560"/>
      <c r="EZ64" s="560"/>
      <c r="FA64" s="556"/>
      <c r="FB64" s="556"/>
      <c r="FC64" s="556"/>
      <c r="FD64" s="556"/>
      <c r="FE64" s="556"/>
      <c r="FF64" s="556"/>
      <c r="FG64" s="556"/>
      <c r="FH64" s="556"/>
      <c r="FI64" s="556"/>
      <c r="FJ64" s="556"/>
      <c r="FK64" s="556"/>
      <c r="FL64" s="556"/>
      <c r="FM64" s="556"/>
      <c r="FN64" s="556"/>
      <c r="FO64" s="556"/>
      <c r="FP64" s="556"/>
      <c r="FQ64" s="556"/>
      <c r="FR64" s="556"/>
      <c r="FS64" s="556"/>
      <c r="FT64" s="556"/>
      <c r="FU64" s="556"/>
      <c r="FV64" s="556"/>
      <c r="FW64" s="556"/>
      <c r="FX64" s="556"/>
      <c r="FY64" s="556"/>
      <c r="FZ64" s="556"/>
      <c r="GA64" s="556"/>
      <c r="GB64" s="559"/>
      <c r="GC64" s="556"/>
      <c r="GD64" s="556"/>
      <c r="GE64" s="556"/>
      <c r="GF64" s="556"/>
      <c r="GG64" s="556"/>
      <c r="GH64" s="556"/>
      <c r="GI64" s="556"/>
      <c r="GJ64" s="556"/>
      <c r="GK64" s="556"/>
      <c r="GL64" s="556"/>
      <c r="GM64" s="556"/>
      <c r="GN64" s="556"/>
      <c r="GO64" s="556"/>
      <c r="GP64" s="556"/>
      <c r="GQ64" s="556"/>
      <c r="GR64" s="556"/>
      <c r="GS64" s="556"/>
      <c r="GT64" s="556"/>
      <c r="GU64" s="556"/>
      <c r="GV64" s="556"/>
      <c r="GW64" s="556"/>
      <c r="GX64" s="556"/>
      <c r="GY64" s="556"/>
      <c r="GZ64" s="556"/>
      <c r="HA64" s="556"/>
      <c r="HB64" s="556"/>
      <c r="HC64" s="556"/>
      <c r="HD64" s="556"/>
      <c r="HE64" s="556"/>
      <c r="HF64" s="556"/>
      <c r="HG64" s="556"/>
      <c r="HH64" s="556"/>
      <c r="HI64" s="556"/>
      <c r="HJ64" s="559"/>
      <c r="HK64" s="556"/>
      <c r="HL64" s="556"/>
      <c r="HM64" s="556"/>
      <c r="HN64" s="556"/>
      <c r="HO64" s="556"/>
      <c r="HP64" s="556"/>
      <c r="HQ64" s="556"/>
      <c r="HR64" s="556"/>
      <c r="HS64" s="556"/>
      <c r="HT64" s="556"/>
      <c r="HU64" s="556"/>
      <c r="HV64" s="556"/>
      <c r="HW64" s="556"/>
      <c r="HX64" s="556"/>
      <c r="HY64" s="556"/>
      <c r="HZ64" s="556" t="s">
        <v>30031</v>
      </c>
      <c r="IA64" s="556" t="s">
        <v>2</v>
      </c>
      <c r="IB64" s="556" t="s">
        <v>4</v>
      </c>
      <c r="IC64" s="556" t="s">
        <v>30032</v>
      </c>
      <c r="ID64" s="556" t="s">
        <v>30033</v>
      </c>
      <c r="IE64" s="556" t="s">
        <v>30034</v>
      </c>
      <c r="IF64" s="556" t="s">
        <v>30035</v>
      </c>
      <c r="IG64" s="556" t="s">
        <v>30036</v>
      </c>
      <c r="IH64" s="556" t="s">
        <v>30037</v>
      </c>
    </row>
    <row r="65" spans="1:242" s="561" customFormat="1" ht="36.75" customHeight="1" x14ac:dyDescent="0.2">
      <c r="A65" s="556">
        <v>167</v>
      </c>
      <c r="B65" s="556" t="s">
        <v>1749</v>
      </c>
      <c r="C65" s="556" t="s">
        <v>31071</v>
      </c>
      <c r="D65" s="556" t="s">
        <v>34</v>
      </c>
      <c r="E65" s="556" t="s">
        <v>7</v>
      </c>
      <c r="F65" s="556" t="s">
        <v>31072</v>
      </c>
      <c r="G65" s="556">
        <v>1155.7</v>
      </c>
      <c r="H65" s="556">
        <v>4.8</v>
      </c>
      <c r="I65" s="556" t="s">
        <v>29288</v>
      </c>
      <c r="J65" s="556" t="s">
        <v>4</v>
      </c>
      <c r="K65" s="556" t="s">
        <v>1750</v>
      </c>
      <c r="L65" s="556">
        <v>774224337</v>
      </c>
      <c r="M65" s="556" t="s">
        <v>3</v>
      </c>
      <c r="N65" s="556" t="s">
        <v>31438</v>
      </c>
      <c r="O65" s="556">
        <v>65</v>
      </c>
      <c r="P65" s="556">
        <v>8</v>
      </c>
      <c r="Q65" s="556" t="s">
        <v>7</v>
      </c>
      <c r="R65" s="556" t="s">
        <v>31588</v>
      </c>
      <c r="S65" s="556" t="s">
        <v>4</v>
      </c>
      <c r="T65" s="556" t="s">
        <v>2</v>
      </c>
      <c r="U65" s="556" t="s">
        <v>4</v>
      </c>
      <c r="V65" s="556"/>
      <c r="W65" s="556" t="s">
        <v>4</v>
      </c>
      <c r="X65" s="556" t="s">
        <v>4</v>
      </c>
      <c r="Y65" s="557">
        <v>45056</v>
      </c>
      <c r="Z65" s="557" t="str">
        <f>IF(OR(T65="yes",Y65&gt;'SDG outcome'!$C$27),"yes","no")</f>
        <v>yes</v>
      </c>
      <c r="AA65" s="558">
        <f t="shared" si="0"/>
        <v>0</v>
      </c>
      <c r="AB65" s="558" t="str">
        <f>IF(AND(Z65="no",AND(Y65&gt;='SDG outcome'!$B$16,Y65&lt;'SDG outcome'!$C$27)),Y65-'SDG outcome'!$B$16,"")</f>
        <v/>
      </c>
      <c r="AC65" s="556" t="s">
        <v>31685</v>
      </c>
      <c r="AD65" s="556" t="s">
        <v>4</v>
      </c>
      <c r="AE65" s="556" t="s">
        <v>4</v>
      </c>
      <c r="AF65" s="556" t="s">
        <v>4</v>
      </c>
      <c r="AG65" s="556" t="s">
        <v>4</v>
      </c>
      <c r="AH65" s="556" t="s">
        <v>7</v>
      </c>
      <c r="AI65" s="557" t="s">
        <v>9</v>
      </c>
      <c r="AJ65" s="556" t="s">
        <v>4</v>
      </c>
      <c r="AK65" s="556"/>
      <c r="AL65" s="556"/>
      <c r="AM65" s="556"/>
      <c r="AN65" s="556"/>
      <c r="AO65" s="556"/>
      <c r="AP65" s="556"/>
      <c r="AQ65" s="556"/>
      <c r="AR65" s="556"/>
      <c r="AS65" s="556"/>
      <c r="AT65" s="556"/>
      <c r="AU65" s="556"/>
      <c r="AV65" s="556"/>
      <c r="AW65" s="556"/>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c r="CL65" s="556"/>
      <c r="CM65" s="556"/>
      <c r="CN65" s="556"/>
      <c r="CO65" s="556"/>
      <c r="CP65" s="556"/>
      <c r="CQ65" s="556"/>
      <c r="CR65" s="556"/>
      <c r="CS65" s="556"/>
      <c r="CT65" s="556"/>
      <c r="CU65" s="556"/>
      <c r="CV65" s="556"/>
      <c r="CW65" s="556"/>
      <c r="CX65" s="556"/>
      <c r="CY65" s="556"/>
      <c r="CZ65" s="556"/>
      <c r="DA65" s="556"/>
      <c r="DB65" s="556"/>
      <c r="DC65" s="556"/>
      <c r="DD65" s="556"/>
      <c r="DE65" s="556"/>
      <c r="DF65" s="556"/>
      <c r="DG65" s="556"/>
      <c r="DH65" s="556"/>
      <c r="DI65" s="556"/>
      <c r="DJ65" s="556"/>
      <c r="DK65" s="556"/>
      <c r="DL65" s="556"/>
      <c r="DM65" s="556"/>
      <c r="DN65" s="556"/>
      <c r="DO65" s="556"/>
      <c r="DP65" s="556"/>
      <c r="DQ65" s="556"/>
      <c r="DR65" s="556"/>
      <c r="DS65" s="556"/>
      <c r="DT65" s="559"/>
      <c r="DU65" s="556"/>
      <c r="DV65" s="559"/>
      <c r="DW65" s="556"/>
      <c r="DX65" s="556"/>
      <c r="DY65" s="556"/>
      <c r="DZ65" s="556"/>
      <c r="EA65" s="556"/>
      <c r="EB65" s="556"/>
      <c r="EC65" s="556"/>
      <c r="ED65" s="556"/>
      <c r="EE65" s="560"/>
      <c r="EF65" s="560"/>
      <c r="EG65" s="560"/>
      <c r="EH65" s="560"/>
      <c r="EI65" s="560"/>
      <c r="EJ65" s="556"/>
      <c r="EK65" s="556"/>
      <c r="EL65" s="556"/>
      <c r="EM65" s="556"/>
      <c r="EN65" s="556"/>
      <c r="EO65" s="556"/>
      <c r="EP65" s="556"/>
      <c r="EQ65" s="556"/>
      <c r="ER65" s="556"/>
      <c r="ES65" s="556"/>
      <c r="ET65" s="556"/>
      <c r="EU65" s="556"/>
      <c r="EV65" s="560"/>
      <c r="EW65" s="560"/>
      <c r="EX65" s="560"/>
      <c r="EY65" s="560"/>
      <c r="EZ65" s="560"/>
      <c r="FA65" s="556"/>
      <c r="FB65" s="556"/>
      <c r="FC65" s="556"/>
      <c r="FD65" s="556"/>
      <c r="FE65" s="556"/>
      <c r="FF65" s="556"/>
      <c r="FG65" s="556"/>
      <c r="FH65" s="556"/>
      <c r="FI65" s="556"/>
      <c r="FJ65" s="556"/>
      <c r="FK65" s="556"/>
      <c r="FL65" s="556"/>
      <c r="FM65" s="556"/>
      <c r="FN65" s="556"/>
      <c r="FO65" s="556"/>
      <c r="FP65" s="556"/>
      <c r="FQ65" s="556"/>
      <c r="FR65" s="556"/>
      <c r="FS65" s="556"/>
      <c r="FT65" s="556"/>
      <c r="FU65" s="556"/>
      <c r="FV65" s="556"/>
      <c r="FW65" s="556"/>
      <c r="FX65" s="556"/>
      <c r="FY65" s="556"/>
      <c r="FZ65" s="556"/>
      <c r="GA65" s="556"/>
      <c r="GB65" s="559"/>
      <c r="GC65" s="556"/>
      <c r="GD65" s="556"/>
      <c r="GE65" s="556"/>
      <c r="GF65" s="556"/>
      <c r="GG65" s="556"/>
      <c r="GH65" s="556"/>
      <c r="GI65" s="556"/>
      <c r="GJ65" s="556"/>
      <c r="GK65" s="556"/>
      <c r="GL65" s="556"/>
      <c r="GM65" s="556"/>
      <c r="GN65" s="556"/>
      <c r="GO65" s="556"/>
      <c r="GP65" s="556"/>
      <c r="GQ65" s="556"/>
      <c r="GR65" s="556"/>
      <c r="GS65" s="556"/>
      <c r="GT65" s="556"/>
      <c r="GU65" s="556"/>
      <c r="GV65" s="556"/>
      <c r="GW65" s="556"/>
      <c r="GX65" s="556"/>
      <c r="GY65" s="556"/>
      <c r="GZ65" s="556"/>
      <c r="HA65" s="556"/>
      <c r="HB65" s="556"/>
      <c r="HC65" s="556"/>
      <c r="HD65" s="556"/>
      <c r="HE65" s="556"/>
      <c r="HF65" s="556"/>
      <c r="HG65" s="556"/>
      <c r="HH65" s="556"/>
      <c r="HI65" s="556"/>
      <c r="HJ65" s="559"/>
      <c r="HK65" s="556"/>
      <c r="HL65" s="556"/>
      <c r="HM65" s="556"/>
      <c r="HN65" s="556"/>
      <c r="HO65" s="556"/>
      <c r="HP65" s="556"/>
      <c r="HQ65" s="556"/>
      <c r="HR65" s="556"/>
      <c r="HS65" s="556"/>
      <c r="HT65" s="556"/>
      <c r="HU65" s="556"/>
      <c r="HV65" s="556"/>
      <c r="HW65" s="556"/>
      <c r="HX65" s="556"/>
      <c r="HY65" s="556"/>
      <c r="HZ65" s="556" t="s">
        <v>31073</v>
      </c>
      <c r="IA65" s="556" t="s">
        <v>7</v>
      </c>
      <c r="IB65" s="556" t="s">
        <v>31074</v>
      </c>
      <c r="IC65" s="556" t="s">
        <v>31075</v>
      </c>
      <c r="ID65" s="556" t="s">
        <v>31076</v>
      </c>
      <c r="IE65" s="556" t="s">
        <v>31077</v>
      </c>
      <c r="IF65" s="556" t="s">
        <v>31078</v>
      </c>
      <c r="IG65" s="556" t="s">
        <v>31079</v>
      </c>
      <c r="IH65" s="556" t="s">
        <v>31071</v>
      </c>
    </row>
    <row r="66" spans="1:242" s="561" customFormat="1" ht="36.75" customHeight="1" x14ac:dyDescent="0.2">
      <c r="A66" s="556">
        <v>53</v>
      </c>
      <c r="B66" s="556" t="s">
        <v>8137</v>
      </c>
      <c r="C66" s="556" t="s">
        <v>29909</v>
      </c>
      <c r="D66" s="556" t="s">
        <v>21</v>
      </c>
      <c r="E66" s="556" t="s">
        <v>7</v>
      </c>
      <c r="F66" s="556" t="s">
        <v>29910</v>
      </c>
      <c r="G66" s="556">
        <v>1180.7</v>
      </c>
      <c r="H66" s="556">
        <v>4.3</v>
      </c>
      <c r="I66" s="556" t="s">
        <v>29288</v>
      </c>
      <c r="J66" s="556" t="s">
        <v>4</v>
      </c>
      <c r="K66" s="556" t="s">
        <v>29911</v>
      </c>
      <c r="L66" s="556">
        <v>703633671</v>
      </c>
      <c r="M66" s="556" t="s">
        <v>3</v>
      </c>
      <c r="N66" s="556" t="s">
        <v>31598</v>
      </c>
      <c r="O66" s="556" t="s">
        <v>4</v>
      </c>
      <c r="P66" s="556">
        <v>10</v>
      </c>
      <c r="Q66" s="556" t="s">
        <v>7</v>
      </c>
      <c r="R66" s="556" t="s">
        <v>31588</v>
      </c>
      <c r="S66" s="556" t="s">
        <v>4</v>
      </c>
      <c r="T66" s="556" t="s">
        <v>2</v>
      </c>
      <c r="U66" s="556" t="s">
        <v>4</v>
      </c>
      <c r="V66" s="556"/>
      <c r="W66" s="556" t="s">
        <v>4</v>
      </c>
      <c r="X66" s="556" t="s">
        <v>4</v>
      </c>
      <c r="Y66" s="557">
        <v>45088</v>
      </c>
      <c r="Z66" s="557" t="str">
        <f>IF(OR(T66="yes",Y66&gt;'SDG outcome'!$C$27),"yes","no")</f>
        <v>yes</v>
      </c>
      <c r="AA66" s="558">
        <f t="shared" ref="AA66:AA129" si="1">IF(Z66="no","",V66)</f>
        <v>0</v>
      </c>
      <c r="AB66" s="558" t="str">
        <f>IF(AND(Z66="no",AND(Y66&gt;='SDG outcome'!$B$16,Y66&lt;'SDG outcome'!$C$27)),Y66-'SDG outcome'!$B$16,"")</f>
        <v/>
      </c>
      <c r="AC66" s="556" t="s">
        <v>31572</v>
      </c>
      <c r="AD66" s="556" t="s">
        <v>4</v>
      </c>
      <c r="AE66" s="556" t="s">
        <v>7</v>
      </c>
      <c r="AF66" s="556" t="s">
        <v>31717</v>
      </c>
      <c r="AG66" s="556" t="s">
        <v>4</v>
      </c>
      <c r="AH66" s="556" t="s">
        <v>7</v>
      </c>
      <c r="AI66" s="557">
        <v>45180</v>
      </c>
      <c r="AJ66" s="556" t="s">
        <v>4</v>
      </c>
      <c r="AK66" s="556"/>
      <c r="AL66" s="556"/>
      <c r="AM66" s="556"/>
      <c r="AN66" s="556"/>
      <c r="AO66" s="556"/>
      <c r="AP66" s="556"/>
      <c r="AQ66" s="556"/>
      <c r="AR66" s="556"/>
      <c r="AS66" s="556"/>
      <c r="AT66" s="556"/>
      <c r="AU66" s="556"/>
      <c r="AV66" s="556"/>
      <c r="AW66" s="556"/>
      <c r="AX66" s="556"/>
      <c r="AY66" s="556"/>
      <c r="AZ66" s="556"/>
      <c r="BA66" s="556"/>
      <c r="BB66" s="556"/>
      <c r="BC66" s="556"/>
      <c r="BD66" s="556"/>
      <c r="BE66" s="556"/>
      <c r="BF66" s="556"/>
      <c r="BG66" s="556"/>
      <c r="BH66" s="556"/>
      <c r="BI66" s="556"/>
      <c r="BJ66" s="556"/>
      <c r="BK66" s="556"/>
      <c r="BL66" s="556"/>
      <c r="BM66" s="556"/>
      <c r="BN66" s="556"/>
      <c r="BO66" s="556"/>
      <c r="BP66" s="556"/>
      <c r="BQ66" s="556"/>
      <c r="BR66" s="556"/>
      <c r="BS66" s="556"/>
      <c r="BT66" s="556"/>
      <c r="BU66" s="556"/>
      <c r="BV66" s="556"/>
      <c r="BW66" s="556"/>
      <c r="BX66" s="556"/>
      <c r="BY66" s="556"/>
      <c r="BZ66" s="556"/>
      <c r="CA66" s="556"/>
      <c r="CB66" s="556"/>
      <c r="CC66" s="556"/>
      <c r="CD66" s="556"/>
      <c r="CE66" s="556"/>
      <c r="CF66" s="556"/>
      <c r="CG66" s="556"/>
      <c r="CH66" s="556"/>
      <c r="CI66" s="556"/>
      <c r="CJ66" s="556"/>
      <c r="CK66" s="556"/>
      <c r="CL66" s="556"/>
      <c r="CM66" s="556"/>
      <c r="CN66" s="556"/>
      <c r="CO66" s="556"/>
      <c r="CP66" s="556"/>
      <c r="CQ66" s="556"/>
      <c r="CR66" s="556"/>
      <c r="CS66" s="556"/>
      <c r="CT66" s="556"/>
      <c r="CU66" s="556"/>
      <c r="CV66" s="556"/>
      <c r="CW66" s="556"/>
      <c r="CX66" s="556"/>
      <c r="CY66" s="556"/>
      <c r="CZ66" s="556"/>
      <c r="DA66" s="556"/>
      <c r="DB66" s="556"/>
      <c r="DC66" s="556"/>
      <c r="DD66" s="556"/>
      <c r="DE66" s="556"/>
      <c r="DF66" s="556"/>
      <c r="DG66" s="556"/>
      <c r="DH66" s="556"/>
      <c r="DI66" s="556"/>
      <c r="DJ66" s="556"/>
      <c r="DK66" s="556"/>
      <c r="DL66" s="556"/>
      <c r="DM66" s="556"/>
      <c r="DN66" s="556"/>
      <c r="DO66" s="556"/>
      <c r="DP66" s="556"/>
      <c r="DQ66" s="556"/>
      <c r="DR66" s="556"/>
      <c r="DS66" s="556"/>
      <c r="DT66" s="559"/>
      <c r="DU66" s="556"/>
      <c r="DV66" s="559"/>
      <c r="DW66" s="556"/>
      <c r="DX66" s="556"/>
      <c r="DY66" s="556"/>
      <c r="DZ66" s="556"/>
      <c r="EA66" s="556"/>
      <c r="EB66" s="556"/>
      <c r="EC66" s="556"/>
      <c r="ED66" s="556"/>
      <c r="EE66" s="560"/>
      <c r="EF66" s="560"/>
      <c r="EG66" s="560"/>
      <c r="EH66" s="560"/>
      <c r="EI66" s="560"/>
      <c r="EJ66" s="556"/>
      <c r="EK66" s="556"/>
      <c r="EL66" s="556"/>
      <c r="EM66" s="556"/>
      <c r="EN66" s="556"/>
      <c r="EO66" s="556"/>
      <c r="EP66" s="556"/>
      <c r="EQ66" s="556"/>
      <c r="ER66" s="556"/>
      <c r="ES66" s="556"/>
      <c r="ET66" s="556"/>
      <c r="EU66" s="556"/>
      <c r="EV66" s="560"/>
      <c r="EW66" s="560"/>
      <c r="EX66" s="560"/>
      <c r="EY66" s="560"/>
      <c r="EZ66" s="560"/>
      <c r="FA66" s="556"/>
      <c r="FB66" s="556"/>
      <c r="FC66" s="556"/>
      <c r="FD66" s="556"/>
      <c r="FE66" s="556"/>
      <c r="FF66" s="556"/>
      <c r="FG66" s="556"/>
      <c r="FH66" s="556"/>
      <c r="FI66" s="556"/>
      <c r="FJ66" s="556"/>
      <c r="FK66" s="556"/>
      <c r="FL66" s="556"/>
      <c r="FM66" s="556"/>
      <c r="FN66" s="556"/>
      <c r="FO66" s="556"/>
      <c r="FP66" s="556"/>
      <c r="FQ66" s="556"/>
      <c r="FR66" s="556"/>
      <c r="FS66" s="556"/>
      <c r="FT66" s="556"/>
      <c r="FU66" s="556"/>
      <c r="FV66" s="556"/>
      <c r="FW66" s="556"/>
      <c r="FX66" s="556"/>
      <c r="FY66" s="556"/>
      <c r="FZ66" s="556"/>
      <c r="GA66" s="556"/>
      <c r="GB66" s="559"/>
      <c r="GC66" s="556"/>
      <c r="GD66" s="556"/>
      <c r="GE66" s="556"/>
      <c r="GF66" s="556"/>
      <c r="GG66" s="556"/>
      <c r="GH66" s="556"/>
      <c r="GI66" s="556"/>
      <c r="GJ66" s="556"/>
      <c r="GK66" s="556"/>
      <c r="GL66" s="556"/>
      <c r="GM66" s="556"/>
      <c r="GN66" s="556"/>
      <c r="GO66" s="556"/>
      <c r="GP66" s="556"/>
      <c r="GQ66" s="556"/>
      <c r="GR66" s="556"/>
      <c r="GS66" s="556"/>
      <c r="GT66" s="556"/>
      <c r="GU66" s="556"/>
      <c r="GV66" s="556"/>
      <c r="GW66" s="556"/>
      <c r="GX66" s="556"/>
      <c r="GY66" s="556"/>
      <c r="GZ66" s="556"/>
      <c r="HA66" s="556"/>
      <c r="HB66" s="556"/>
      <c r="HC66" s="556"/>
      <c r="HD66" s="556"/>
      <c r="HE66" s="556"/>
      <c r="HF66" s="556"/>
      <c r="HG66" s="556"/>
      <c r="HH66" s="556"/>
      <c r="HI66" s="556"/>
      <c r="HJ66" s="559"/>
      <c r="HK66" s="556"/>
      <c r="HL66" s="556"/>
      <c r="HM66" s="556"/>
      <c r="HN66" s="556"/>
      <c r="HO66" s="556"/>
      <c r="HP66" s="556"/>
      <c r="HQ66" s="556"/>
      <c r="HR66" s="556"/>
      <c r="HS66" s="556"/>
      <c r="HT66" s="556"/>
      <c r="HU66" s="556"/>
      <c r="HV66" s="556"/>
      <c r="HW66" s="556"/>
      <c r="HX66" s="556"/>
      <c r="HY66" s="556"/>
      <c r="HZ66" s="556" t="s">
        <v>29912</v>
      </c>
      <c r="IA66" s="556" t="s">
        <v>2</v>
      </c>
      <c r="IB66" s="556" t="s">
        <v>4</v>
      </c>
      <c r="IC66" s="556" t="s">
        <v>29913</v>
      </c>
      <c r="ID66" s="556" t="s">
        <v>29914</v>
      </c>
      <c r="IE66" s="556" t="s">
        <v>29915</v>
      </c>
      <c r="IF66" s="556" t="s">
        <v>29916</v>
      </c>
      <c r="IG66" s="556" t="s">
        <v>29917</v>
      </c>
      <c r="IH66" s="556" t="s">
        <v>29918</v>
      </c>
    </row>
    <row r="67" spans="1:242" s="561" customFormat="1" ht="36.75" customHeight="1" x14ac:dyDescent="0.2">
      <c r="A67" s="556">
        <v>198</v>
      </c>
      <c r="B67" s="556" t="s">
        <v>7160</v>
      </c>
      <c r="C67" s="556" t="s">
        <v>31364</v>
      </c>
      <c r="D67" s="556" t="s">
        <v>31344</v>
      </c>
      <c r="E67" s="556" t="s">
        <v>7</v>
      </c>
      <c r="F67" s="556" t="s">
        <v>31365</v>
      </c>
      <c r="G67" s="556">
        <v>1166.0609999999999</v>
      </c>
      <c r="H67" s="556">
        <v>4.8331220000000004</v>
      </c>
      <c r="I67" s="556" t="s">
        <v>29389</v>
      </c>
      <c r="J67" s="556" t="s">
        <v>22</v>
      </c>
      <c r="K67" s="556" t="s">
        <v>31366</v>
      </c>
      <c r="L67" s="556">
        <v>780363855</v>
      </c>
      <c r="M67" s="556" t="s">
        <v>5</v>
      </c>
      <c r="N67" s="556" t="s">
        <v>31598</v>
      </c>
      <c r="O67" s="556" t="s">
        <v>4</v>
      </c>
      <c r="P67" s="556">
        <v>4</v>
      </c>
      <c r="Q67" s="556" t="s">
        <v>7</v>
      </c>
      <c r="R67" s="556" t="s">
        <v>31731</v>
      </c>
      <c r="S67" s="556" t="s">
        <v>4</v>
      </c>
      <c r="T67" s="556" t="s">
        <v>2</v>
      </c>
      <c r="U67" s="556" t="s">
        <v>4</v>
      </c>
      <c r="V67" s="556"/>
      <c r="W67" s="556" t="s">
        <v>4</v>
      </c>
      <c r="X67" s="556" t="s">
        <v>4</v>
      </c>
      <c r="Y67" s="557">
        <v>45088</v>
      </c>
      <c r="Z67" s="557" t="str">
        <f>IF(OR(T67="yes",Y67&gt;'SDG outcome'!$C$27),"yes","no")</f>
        <v>yes</v>
      </c>
      <c r="AA67" s="558">
        <f t="shared" si="1"/>
        <v>0</v>
      </c>
      <c r="AB67" s="558" t="str">
        <f>IF(AND(Z67="no",AND(Y67&gt;='SDG outcome'!$B$16,Y67&lt;'SDG outcome'!$C$27)),Y67-'SDG outcome'!$B$16,"")</f>
        <v/>
      </c>
      <c r="AC67" s="556" t="s">
        <v>31572</v>
      </c>
      <c r="AD67" s="556" t="s">
        <v>4</v>
      </c>
      <c r="AE67" s="556" t="s">
        <v>2</v>
      </c>
      <c r="AF67" s="556" t="s">
        <v>4</v>
      </c>
      <c r="AG67" s="556" t="s">
        <v>31976</v>
      </c>
      <c r="AH67" s="556" t="s">
        <v>7</v>
      </c>
      <c r="AI67" s="557" t="s">
        <v>9</v>
      </c>
      <c r="AJ67" s="556" t="s">
        <v>4</v>
      </c>
      <c r="AK67" s="556"/>
      <c r="AL67" s="556"/>
      <c r="AM67" s="556"/>
      <c r="AN67" s="556"/>
      <c r="AO67" s="556"/>
      <c r="AP67" s="556"/>
      <c r="AQ67" s="556"/>
      <c r="AR67" s="556"/>
      <c r="AS67" s="556"/>
      <c r="AT67" s="556"/>
      <c r="AU67" s="556"/>
      <c r="AV67" s="556"/>
      <c r="AW67" s="556"/>
      <c r="AX67" s="556"/>
      <c r="AY67" s="556"/>
      <c r="AZ67" s="556"/>
      <c r="BA67" s="556"/>
      <c r="BB67" s="556"/>
      <c r="BC67" s="556"/>
      <c r="BD67" s="556"/>
      <c r="BE67" s="556"/>
      <c r="BF67" s="556"/>
      <c r="BG67" s="556"/>
      <c r="BH67" s="556"/>
      <c r="BI67" s="556"/>
      <c r="BJ67" s="556"/>
      <c r="BK67" s="556"/>
      <c r="BL67" s="556"/>
      <c r="BM67" s="556"/>
      <c r="BN67" s="556"/>
      <c r="BO67" s="556"/>
      <c r="BP67" s="556"/>
      <c r="BQ67" s="556"/>
      <c r="BR67" s="556"/>
      <c r="BS67" s="556"/>
      <c r="BT67" s="556"/>
      <c r="BU67" s="556"/>
      <c r="BV67" s="556"/>
      <c r="BW67" s="556"/>
      <c r="BX67" s="556"/>
      <c r="BY67" s="556"/>
      <c r="BZ67" s="556"/>
      <c r="CA67" s="556"/>
      <c r="CB67" s="556"/>
      <c r="CC67" s="556"/>
      <c r="CD67" s="556"/>
      <c r="CE67" s="556"/>
      <c r="CF67" s="556"/>
      <c r="CG67" s="556"/>
      <c r="CH67" s="556"/>
      <c r="CI67" s="556"/>
      <c r="CJ67" s="556"/>
      <c r="CK67" s="556"/>
      <c r="CL67" s="556"/>
      <c r="CM67" s="556"/>
      <c r="CN67" s="556"/>
      <c r="CO67" s="556"/>
      <c r="CP67" s="556"/>
      <c r="CQ67" s="556"/>
      <c r="CR67" s="556"/>
      <c r="CS67" s="556"/>
      <c r="CT67" s="556"/>
      <c r="CU67" s="556"/>
      <c r="CV67" s="556"/>
      <c r="CW67" s="556"/>
      <c r="CX67" s="556"/>
      <c r="CY67" s="556"/>
      <c r="CZ67" s="556"/>
      <c r="DA67" s="556"/>
      <c r="DB67" s="556"/>
      <c r="DC67" s="556"/>
      <c r="DD67" s="556"/>
      <c r="DE67" s="556"/>
      <c r="DF67" s="556"/>
      <c r="DG67" s="556"/>
      <c r="DH67" s="556"/>
      <c r="DI67" s="556"/>
      <c r="DJ67" s="556"/>
      <c r="DK67" s="556"/>
      <c r="DL67" s="556"/>
      <c r="DM67" s="556"/>
      <c r="DN67" s="556"/>
      <c r="DO67" s="556"/>
      <c r="DP67" s="556"/>
      <c r="DQ67" s="556"/>
      <c r="DR67" s="556"/>
      <c r="DS67" s="556"/>
      <c r="DT67" s="559"/>
      <c r="DU67" s="556"/>
      <c r="DV67" s="559"/>
      <c r="DW67" s="556"/>
      <c r="DX67" s="556"/>
      <c r="DY67" s="556"/>
      <c r="DZ67" s="556"/>
      <c r="EA67" s="556"/>
      <c r="EB67" s="556"/>
      <c r="EC67" s="556"/>
      <c r="ED67" s="556"/>
      <c r="EE67" s="560"/>
      <c r="EF67" s="560"/>
      <c r="EG67" s="560"/>
      <c r="EH67" s="560"/>
      <c r="EI67" s="560"/>
      <c r="EJ67" s="556"/>
      <c r="EK67" s="556"/>
      <c r="EL67" s="556"/>
      <c r="EM67" s="556"/>
      <c r="EN67" s="556"/>
      <c r="EO67" s="556"/>
      <c r="EP67" s="556"/>
      <c r="EQ67" s="556"/>
      <c r="ER67" s="556"/>
      <c r="ES67" s="556"/>
      <c r="ET67" s="556"/>
      <c r="EU67" s="556"/>
      <c r="EV67" s="560"/>
      <c r="EW67" s="560"/>
      <c r="EX67" s="560"/>
      <c r="EY67" s="560"/>
      <c r="EZ67" s="560"/>
      <c r="FA67" s="556"/>
      <c r="FB67" s="556"/>
      <c r="FC67" s="556"/>
      <c r="FD67" s="556"/>
      <c r="FE67" s="556"/>
      <c r="FF67" s="556"/>
      <c r="FG67" s="556"/>
      <c r="FH67" s="556"/>
      <c r="FI67" s="556"/>
      <c r="FJ67" s="556"/>
      <c r="FK67" s="556"/>
      <c r="FL67" s="556"/>
      <c r="FM67" s="556"/>
      <c r="FN67" s="556"/>
      <c r="FO67" s="556"/>
      <c r="FP67" s="556"/>
      <c r="FQ67" s="556"/>
      <c r="FR67" s="556"/>
      <c r="FS67" s="556"/>
      <c r="FT67" s="556"/>
      <c r="FU67" s="556"/>
      <c r="FV67" s="556"/>
      <c r="FW67" s="556"/>
      <c r="FX67" s="556"/>
      <c r="FY67" s="556"/>
      <c r="FZ67" s="556"/>
      <c r="GA67" s="556"/>
      <c r="GB67" s="559"/>
      <c r="GC67" s="556"/>
      <c r="GD67" s="556"/>
      <c r="GE67" s="556"/>
      <c r="GF67" s="556"/>
      <c r="GG67" s="556"/>
      <c r="GH67" s="556"/>
      <c r="GI67" s="556"/>
      <c r="GJ67" s="556"/>
      <c r="GK67" s="556"/>
      <c r="GL67" s="556"/>
      <c r="GM67" s="556"/>
      <c r="GN67" s="556"/>
      <c r="GO67" s="556"/>
      <c r="GP67" s="556"/>
      <c r="GQ67" s="556"/>
      <c r="GR67" s="556"/>
      <c r="GS67" s="556"/>
      <c r="GT67" s="556"/>
      <c r="GU67" s="556"/>
      <c r="GV67" s="556"/>
      <c r="GW67" s="556"/>
      <c r="GX67" s="556"/>
      <c r="GY67" s="556"/>
      <c r="GZ67" s="556"/>
      <c r="HA67" s="556"/>
      <c r="HB67" s="556"/>
      <c r="HC67" s="556"/>
      <c r="HD67" s="556"/>
      <c r="HE67" s="556"/>
      <c r="HF67" s="556"/>
      <c r="HG67" s="556"/>
      <c r="HH67" s="556"/>
      <c r="HI67" s="556"/>
      <c r="HJ67" s="559"/>
      <c r="HK67" s="556"/>
      <c r="HL67" s="556"/>
      <c r="HM67" s="556"/>
      <c r="HN67" s="556"/>
      <c r="HO67" s="556"/>
      <c r="HP67" s="556"/>
      <c r="HQ67" s="556"/>
      <c r="HR67" s="556"/>
      <c r="HS67" s="556"/>
      <c r="HT67" s="556"/>
      <c r="HU67" s="556"/>
      <c r="HV67" s="556"/>
      <c r="HW67" s="556"/>
      <c r="HX67" s="556"/>
      <c r="HY67" s="556"/>
      <c r="HZ67" s="556" t="s">
        <v>30883</v>
      </c>
      <c r="IA67" s="556" t="s">
        <v>7</v>
      </c>
      <c r="IB67" s="556" t="s">
        <v>31367</v>
      </c>
      <c r="IC67" s="556" t="s">
        <v>31368</v>
      </c>
      <c r="ID67" s="556" t="s">
        <v>31369</v>
      </c>
      <c r="IE67" s="556" t="s">
        <v>31370</v>
      </c>
      <c r="IF67" s="556" t="s">
        <v>31371</v>
      </c>
      <c r="IG67" s="556" t="s">
        <v>31372</v>
      </c>
      <c r="IH67" s="556" t="s">
        <v>31364</v>
      </c>
    </row>
    <row r="68" spans="1:242" s="561" customFormat="1" ht="36.75" customHeight="1" x14ac:dyDescent="0.2">
      <c r="A68" s="556">
        <v>190</v>
      </c>
      <c r="B68" s="556" t="s">
        <v>23725</v>
      </c>
      <c r="C68" s="556" t="s">
        <v>31282</v>
      </c>
      <c r="D68" s="556" t="s">
        <v>43</v>
      </c>
      <c r="E68" s="556" t="s">
        <v>7</v>
      </c>
      <c r="F68" s="556" t="s">
        <v>31283</v>
      </c>
      <c r="G68" s="556">
        <v>1434.3</v>
      </c>
      <c r="H68" s="556">
        <v>5</v>
      </c>
      <c r="I68" s="556" t="s">
        <v>29288</v>
      </c>
      <c r="J68" s="556" t="s">
        <v>4</v>
      </c>
      <c r="K68" s="556" t="s">
        <v>31284</v>
      </c>
      <c r="L68" s="556">
        <v>782921047</v>
      </c>
      <c r="M68" s="556" t="s">
        <v>3</v>
      </c>
      <c r="N68" s="556" t="s">
        <v>31590</v>
      </c>
      <c r="O68" s="556" t="s">
        <v>4</v>
      </c>
      <c r="P68" s="556">
        <v>6</v>
      </c>
      <c r="Q68" s="556" t="s">
        <v>7</v>
      </c>
      <c r="R68" s="556" t="s">
        <v>31622</v>
      </c>
      <c r="S68" s="556" t="s">
        <v>31959</v>
      </c>
      <c r="T68" s="556" t="s">
        <v>2</v>
      </c>
      <c r="U68" s="556" t="s">
        <v>4</v>
      </c>
      <c r="V68" s="556"/>
      <c r="W68" s="556" t="s">
        <v>4</v>
      </c>
      <c r="X68" s="556" t="s">
        <v>4</v>
      </c>
      <c r="Y68" s="557">
        <v>45110</v>
      </c>
      <c r="Z68" s="557" t="str">
        <f>IF(OR(T68="yes",Y68&gt;'SDG outcome'!$C$27),"yes","no")</f>
        <v>yes</v>
      </c>
      <c r="AA68" s="558">
        <f t="shared" si="1"/>
        <v>0</v>
      </c>
      <c r="AB68" s="558" t="str">
        <f>IF(AND(Z68="no",AND(Y68&gt;='SDG outcome'!$B$16,Y68&lt;'SDG outcome'!$C$27)),Y68-'SDG outcome'!$B$16,"")</f>
        <v/>
      </c>
      <c r="AC68" s="556" t="s">
        <v>31572</v>
      </c>
      <c r="AD68" s="556" t="s">
        <v>4</v>
      </c>
      <c r="AE68" s="556" t="s">
        <v>2</v>
      </c>
      <c r="AF68" s="556" t="s">
        <v>4</v>
      </c>
      <c r="AG68" s="556" t="s">
        <v>31960</v>
      </c>
      <c r="AH68" s="556" t="s">
        <v>9</v>
      </c>
      <c r="AI68" s="557" t="s">
        <v>4</v>
      </c>
      <c r="AJ68" s="556" t="s">
        <v>4</v>
      </c>
      <c r="AK68" s="556"/>
      <c r="AL68" s="556"/>
      <c r="AM68" s="556"/>
      <c r="AN68" s="556"/>
      <c r="AO68" s="556"/>
      <c r="AP68" s="556"/>
      <c r="AQ68" s="556"/>
      <c r="AR68" s="556"/>
      <c r="AS68" s="556"/>
      <c r="AT68" s="556"/>
      <c r="AU68" s="556"/>
      <c r="AV68" s="556"/>
      <c r="AW68" s="556"/>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556"/>
      <c r="CP68" s="556"/>
      <c r="CQ68" s="556"/>
      <c r="CR68" s="556"/>
      <c r="CS68" s="556"/>
      <c r="CT68" s="556"/>
      <c r="CU68" s="556"/>
      <c r="CV68" s="556"/>
      <c r="CW68" s="556"/>
      <c r="CX68" s="556"/>
      <c r="CY68" s="556"/>
      <c r="CZ68" s="556"/>
      <c r="DA68" s="556"/>
      <c r="DB68" s="556"/>
      <c r="DC68" s="556"/>
      <c r="DD68" s="556"/>
      <c r="DE68" s="556"/>
      <c r="DF68" s="556"/>
      <c r="DG68" s="556"/>
      <c r="DH68" s="556"/>
      <c r="DI68" s="556"/>
      <c r="DJ68" s="556"/>
      <c r="DK68" s="556"/>
      <c r="DL68" s="556"/>
      <c r="DM68" s="556"/>
      <c r="DN68" s="556"/>
      <c r="DO68" s="556"/>
      <c r="DP68" s="556"/>
      <c r="DQ68" s="556"/>
      <c r="DR68" s="556"/>
      <c r="DS68" s="556"/>
      <c r="DT68" s="559"/>
      <c r="DU68" s="556"/>
      <c r="DV68" s="559"/>
      <c r="DW68" s="556"/>
      <c r="DX68" s="556"/>
      <c r="DY68" s="556"/>
      <c r="DZ68" s="556"/>
      <c r="EA68" s="556"/>
      <c r="EB68" s="556"/>
      <c r="EC68" s="556"/>
      <c r="ED68" s="556"/>
      <c r="EE68" s="560"/>
      <c r="EF68" s="560"/>
      <c r="EG68" s="560"/>
      <c r="EH68" s="560"/>
      <c r="EI68" s="560"/>
      <c r="EJ68" s="556"/>
      <c r="EK68" s="556"/>
      <c r="EL68" s="556"/>
      <c r="EM68" s="556"/>
      <c r="EN68" s="556"/>
      <c r="EO68" s="556"/>
      <c r="EP68" s="556"/>
      <c r="EQ68" s="556"/>
      <c r="ER68" s="556"/>
      <c r="ES68" s="556"/>
      <c r="ET68" s="556"/>
      <c r="EU68" s="556"/>
      <c r="EV68" s="560"/>
      <c r="EW68" s="560"/>
      <c r="EX68" s="560"/>
      <c r="EY68" s="560"/>
      <c r="EZ68" s="560"/>
      <c r="FA68" s="556"/>
      <c r="FB68" s="556"/>
      <c r="FC68" s="556"/>
      <c r="FD68" s="556"/>
      <c r="FE68" s="556"/>
      <c r="FF68" s="556"/>
      <c r="FG68" s="556"/>
      <c r="FH68" s="556"/>
      <c r="FI68" s="556"/>
      <c r="FJ68" s="556"/>
      <c r="FK68" s="556"/>
      <c r="FL68" s="556"/>
      <c r="FM68" s="556"/>
      <c r="FN68" s="556"/>
      <c r="FO68" s="556"/>
      <c r="FP68" s="556"/>
      <c r="FQ68" s="556"/>
      <c r="FR68" s="556"/>
      <c r="FS68" s="556"/>
      <c r="FT68" s="556"/>
      <c r="FU68" s="556"/>
      <c r="FV68" s="556"/>
      <c r="FW68" s="556"/>
      <c r="FX68" s="556"/>
      <c r="FY68" s="556"/>
      <c r="FZ68" s="556"/>
      <c r="GA68" s="556"/>
      <c r="GB68" s="559"/>
      <c r="GC68" s="556"/>
      <c r="GD68" s="556"/>
      <c r="GE68" s="556"/>
      <c r="GF68" s="556"/>
      <c r="GG68" s="556"/>
      <c r="GH68" s="556"/>
      <c r="GI68" s="556"/>
      <c r="GJ68" s="556"/>
      <c r="GK68" s="556"/>
      <c r="GL68" s="556"/>
      <c r="GM68" s="556"/>
      <c r="GN68" s="556"/>
      <c r="GO68" s="556"/>
      <c r="GP68" s="556"/>
      <c r="GQ68" s="556"/>
      <c r="GR68" s="556"/>
      <c r="GS68" s="556"/>
      <c r="GT68" s="556"/>
      <c r="GU68" s="556"/>
      <c r="GV68" s="556"/>
      <c r="GW68" s="556"/>
      <c r="GX68" s="556"/>
      <c r="GY68" s="556"/>
      <c r="GZ68" s="556"/>
      <c r="HA68" s="556"/>
      <c r="HB68" s="556"/>
      <c r="HC68" s="556"/>
      <c r="HD68" s="556"/>
      <c r="HE68" s="556"/>
      <c r="HF68" s="556"/>
      <c r="HG68" s="556"/>
      <c r="HH68" s="556"/>
      <c r="HI68" s="556"/>
      <c r="HJ68" s="559"/>
      <c r="HK68" s="556"/>
      <c r="HL68" s="556"/>
      <c r="HM68" s="556"/>
      <c r="HN68" s="556"/>
      <c r="HO68" s="556"/>
      <c r="HP68" s="556"/>
      <c r="HQ68" s="556"/>
      <c r="HR68" s="556"/>
      <c r="HS68" s="556"/>
      <c r="HT68" s="556"/>
      <c r="HU68" s="556"/>
      <c r="HV68" s="556"/>
      <c r="HW68" s="556"/>
      <c r="HX68" s="556"/>
      <c r="HY68" s="556"/>
      <c r="HZ68" s="556" t="s">
        <v>31285</v>
      </c>
      <c r="IA68" s="556" t="s">
        <v>7</v>
      </c>
      <c r="IB68" s="556" t="s">
        <v>31286</v>
      </c>
      <c r="IC68" s="556" t="s">
        <v>16</v>
      </c>
      <c r="ID68" s="556" t="s">
        <v>31287</v>
      </c>
      <c r="IE68" s="556" t="s">
        <v>31288</v>
      </c>
      <c r="IF68" s="556" t="s">
        <v>31289</v>
      </c>
      <c r="IG68" s="556" t="s">
        <v>31290</v>
      </c>
      <c r="IH68" s="556" t="s">
        <v>31282</v>
      </c>
    </row>
    <row r="69" spans="1:242" s="561" customFormat="1" ht="36.75" customHeight="1" x14ac:dyDescent="0.2">
      <c r="A69" s="556">
        <v>108</v>
      </c>
      <c r="B69" s="556" t="s">
        <v>4637</v>
      </c>
      <c r="C69" s="556" t="s">
        <v>30480</v>
      </c>
      <c r="D69" s="556" t="s">
        <v>30392</v>
      </c>
      <c r="E69" s="556" t="s">
        <v>7</v>
      </c>
      <c r="F69" s="556" t="s">
        <v>30481</v>
      </c>
      <c r="G69" s="556">
        <v>1188.6120000000001</v>
      </c>
      <c r="H69" s="556">
        <v>1.230982</v>
      </c>
      <c r="I69" s="556" t="s">
        <v>29389</v>
      </c>
      <c r="J69" s="556" t="s">
        <v>30482</v>
      </c>
      <c r="K69" s="556" t="s">
        <v>30483</v>
      </c>
      <c r="L69" s="556">
        <v>772395571</v>
      </c>
      <c r="M69" s="556" t="s">
        <v>5</v>
      </c>
      <c r="N69" s="556" t="s">
        <v>31590</v>
      </c>
      <c r="O69" s="556" t="s">
        <v>4</v>
      </c>
      <c r="P69" s="556">
        <v>7</v>
      </c>
      <c r="Q69" s="556" t="s">
        <v>7</v>
      </c>
      <c r="R69" s="556" t="s">
        <v>31549</v>
      </c>
      <c r="S69" s="556" t="s">
        <v>4</v>
      </c>
      <c r="T69" s="556" t="s">
        <v>2</v>
      </c>
      <c r="U69" s="556" t="s">
        <v>4</v>
      </c>
      <c r="V69" s="556"/>
      <c r="W69" s="556" t="s">
        <v>4</v>
      </c>
      <c r="X69" s="556" t="s">
        <v>4</v>
      </c>
      <c r="Y69" s="557">
        <v>45116</v>
      </c>
      <c r="Z69" s="557" t="str">
        <f>IF(OR(T69="yes",Y69&gt;'SDG outcome'!$C$27),"yes","no")</f>
        <v>yes</v>
      </c>
      <c r="AA69" s="558">
        <f t="shared" si="1"/>
        <v>0</v>
      </c>
      <c r="AB69" s="558" t="str">
        <f>IF(AND(Z69="no",AND(Y69&gt;='SDG outcome'!$B$16,Y69&lt;'SDG outcome'!$C$27)),Y69-'SDG outcome'!$B$16,"")</f>
        <v/>
      </c>
      <c r="AC69" s="556" t="s">
        <v>31572</v>
      </c>
      <c r="AD69" s="556" t="s">
        <v>4</v>
      </c>
      <c r="AE69" s="556" t="s">
        <v>2</v>
      </c>
      <c r="AF69" s="556" t="s">
        <v>4</v>
      </c>
      <c r="AG69" s="556" t="s">
        <v>31818</v>
      </c>
      <c r="AH69" s="556" t="s">
        <v>31819</v>
      </c>
      <c r="AI69" s="557" t="s">
        <v>4</v>
      </c>
      <c r="AJ69" s="556" t="s">
        <v>4</v>
      </c>
      <c r="AK69" s="556"/>
      <c r="AL69" s="556"/>
      <c r="AM69" s="556"/>
      <c r="AN69" s="556"/>
      <c r="AO69" s="556"/>
      <c r="AP69" s="556"/>
      <c r="AQ69" s="556"/>
      <c r="AR69" s="556"/>
      <c r="AS69" s="556"/>
      <c r="AT69" s="556"/>
      <c r="AU69" s="556"/>
      <c r="AV69" s="556"/>
      <c r="AW69" s="556"/>
      <c r="AX69" s="556"/>
      <c r="AY69" s="556"/>
      <c r="AZ69" s="556"/>
      <c r="BA69" s="556"/>
      <c r="BB69" s="556"/>
      <c r="BC69" s="556"/>
      <c r="BD69" s="556"/>
      <c r="BE69" s="556"/>
      <c r="BF69" s="556"/>
      <c r="BG69" s="556"/>
      <c r="BH69" s="556"/>
      <c r="BI69" s="556"/>
      <c r="BJ69" s="556"/>
      <c r="BK69" s="556"/>
      <c r="BL69" s="556"/>
      <c r="BM69" s="556"/>
      <c r="BN69" s="556"/>
      <c r="BO69" s="556"/>
      <c r="BP69" s="556"/>
      <c r="BQ69" s="556"/>
      <c r="BR69" s="556"/>
      <c r="BS69" s="556"/>
      <c r="BT69" s="556"/>
      <c r="BU69" s="556"/>
      <c r="BV69" s="556"/>
      <c r="BW69" s="556"/>
      <c r="BX69" s="556"/>
      <c r="BY69" s="556"/>
      <c r="BZ69" s="556"/>
      <c r="CA69" s="556"/>
      <c r="CB69" s="556"/>
      <c r="CC69" s="556"/>
      <c r="CD69" s="556"/>
      <c r="CE69" s="556"/>
      <c r="CF69" s="556"/>
      <c r="CG69" s="556"/>
      <c r="CH69" s="556"/>
      <c r="CI69" s="556"/>
      <c r="CJ69" s="556"/>
      <c r="CK69" s="556"/>
      <c r="CL69" s="556"/>
      <c r="CM69" s="556"/>
      <c r="CN69" s="556"/>
      <c r="CO69" s="556"/>
      <c r="CP69" s="556"/>
      <c r="CQ69" s="556"/>
      <c r="CR69" s="556"/>
      <c r="CS69" s="556"/>
      <c r="CT69" s="556"/>
      <c r="CU69" s="556"/>
      <c r="CV69" s="556"/>
      <c r="CW69" s="556"/>
      <c r="CX69" s="556"/>
      <c r="CY69" s="556"/>
      <c r="CZ69" s="556"/>
      <c r="DA69" s="556"/>
      <c r="DB69" s="556"/>
      <c r="DC69" s="556"/>
      <c r="DD69" s="556"/>
      <c r="DE69" s="556"/>
      <c r="DF69" s="556"/>
      <c r="DG69" s="556"/>
      <c r="DH69" s="556"/>
      <c r="DI69" s="556"/>
      <c r="DJ69" s="556"/>
      <c r="DK69" s="556"/>
      <c r="DL69" s="556"/>
      <c r="DM69" s="556"/>
      <c r="DN69" s="556"/>
      <c r="DO69" s="556"/>
      <c r="DP69" s="556"/>
      <c r="DQ69" s="556"/>
      <c r="DR69" s="556"/>
      <c r="DS69" s="556"/>
      <c r="DT69" s="559"/>
      <c r="DU69" s="556"/>
      <c r="DV69" s="559"/>
      <c r="DW69" s="556"/>
      <c r="DX69" s="556"/>
      <c r="DY69" s="556"/>
      <c r="DZ69" s="556"/>
      <c r="EA69" s="556"/>
      <c r="EB69" s="556"/>
      <c r="EC69" s="556"/>
      <c r="ED69" s="556"/>
      <c r="EE69" s="560"/>
      <c r="EF69" s="560"/>
      <c r="EG69" s="560"/>
      <c r="EH69" s="560"/>
      <c r="EI69" s="560"/>
      <c r="EJ69" s="556"/>
      <c r="EK69" s="556"/>
      <c r="EL69" s="556"/>
      <c r="EM69" s="556"/>
      <c r="EN69" s="556"/>
      <c r="EO69" s="556"/>
      <c r="EP69" s="556"/>
      <c r="EQ69" s="556"/>
      <c r="ER69" s="556"/>
      <c r="ES69" s="556"/>
      <c r="ET69" s="556"/>
      <c r="EU69" s="556"/>
      <c r="EV69" s="560"/>
      <c r="EW69" s="560"/>
      <c r="EX69" s="560"/>
      <c r="EY69" s="560"/>
      <c r="EZ69" s="560"/>
      <c r="FA69" s="556"/>
      <c r="FB69" s="556"/>
      <c r="FC69" s="556"/>
      <c r="FD69" s="556"/>
      <c r="FE69" s="556"/>
      <c r="FF69" s="556"/>
      <c r="FG69" s="556"/>
      <c r="FH69" s="556"/>
      <c r="FI69" s="556"/>
      <c r="FJ69" s="556"/>
      <c r="FK69" s="556"/>
      <c r="FL69" s="556"/>
      <c r="FM69" s="556"/>
      <c r="FN69" s="556"/>
      <c r="FO69" s="556"/>
      <c r="FP69" s="556"/>
      <c r="FQ69" s="556"/>
      <c r="FR69" s="556"/>
      <c r="FS69" s="556"/>
      <c r="FT69" s="556"/>
      <c r="FU69" s="556"/>
      <c r="FV69" s="556"/>
      <c r="FW69" s="556"/>
      <c r="FX69" s="556"/>
      <c r="FY69" s="556"/>
      <c r="FZ69" s="556"/>
      <c r="GA69" s="556"/>
      <c r="GB69" s="559"/>
      <c r="GC69" s="556"/>
      <c r="GD69" s="556"/>
      <c r="GE69" s="556"/>
      <c r="GF69" s="556"/>
      <c r="GG69" s="556"/>
      <c r="GH69" s="556"/>
      <c r="GI69" s="556"/>
      <c r="GJ69" s="556"/>
      <c r="GK69" s="556"/>
      <c r="GL69" s="556"/>
      <c r="GM69" s="556"/>
      <c r="GN69" s="556"/>
      <c r="GO69" s="556"/>
      <c r="GP69" s="556"/>
      <c r="GQ69" s="556"/>
      <c r="GR69" s="556"/>
      <c r="GS69" s="556"/>
      <c r="GT69" s="556"/>
      <c r="GU69" s="556"/>
      <c r="GV69" s="556"/>
      <c r="GW69" s="556"/>
      <c r="GX69" s="556"/>
      <c r="GY69" s="556"/>
      <c r="GZ69" s="556"/>
      <c r="HA69" s="556"/>
      <c r="HB69" s="556"/>
      <c r="HC69" s="556"/>
      <c r="HD69" s="556"/>
      <c r="HE69" s="556"/>
      <c r="HF69" s="556"/>
      <c r="HG69" s="556"/>
      <c r="HH69" s="556"/>
      <c r="HI69" s="556"/>
      <c r="HJ69" s="559"/>
      <c r="HK69" s="556"/>
      <c r="HL69" s="556"/>
      <c r="HM69" s="556"/>
      <c r="HN69" s="556"/>
      <c r="HO69" s="556"/>
      <c r="HP69" s="556"/>
      <c r="HQ69" s="556"/>
      <c r="HR69" s="556"/>
      <c r="HS69" s="556"/>
      <c r="HT69" s="556"/>
      <c r="HU69" s="556"/>
      <c r="HV69" s="556"/>
      <c r="HW69" s="556"/>
      <c r="HX69" s="556"/>
      <c r="HY69" s="556"/>
      <c r="HZ69" s="556" t="s">
        <v>30484</v>
      </c>
      <c r="IA69" s="556" t="s">
        <v>7</v>
      </c>
      <c r="IB69" s="556" t="s">
        <v>30485</v>
      </c>
      <c r="IC69" s="556" t="s">
        <v>30486</v>
      </c>
      <c r="ID69" s="556" t="s">
        <v>30487</v>
      </c>
      <c r="IE69" s="556" t="s">
        <v>30488</v>
      </c>
      <c r="IF69" s="556" t="s">
        <v>30489</v>
      </c>
      <c r="IG69" s="556" t="s">
        <v>30490</v>
      </c>
      <c r="IH69" s="556" t="s">
        <v>30480</v>
      </c>
    </row>
    <row r="70" spans="1:242" s="561" customFormat="1" ht="36.75" customHeight="1" x14ac:dyDescent="0.2">
      <c r="A70" s="556">
        <v>194</v>
      </c>
      <c r="B70" s="556" t="s">
        <v>28359</v>
      </c>
      <c r="C70" s="556" t="s">
        <v>31321</v>
      </c>
      <c r="D70" s="556" t="s">
        <v>31312</v>
      </c>
      <c r="E70" s="556" t="s">
        <v>7</v>
      </c>
      <c r="F70" s="556" t="s">
        <v>31322</v>
      </c>
      <c r="G70" s="556">
        <v>1209.5</v>
      </c>
      <c r="H70" s="556">
        <v>4.8</v>
      </c>
      <c r="I70" s="556" t="s">
        <v>29319</v>
      </c>
      <c r="J70" s="556" t="s">
        <v>4</v>
      </c>
      <c r="K70" s="556" t="s">
        <v>31323</v>
      </c>
      <c r="L70" s="556">
        <v>772845354</v>
      </c>
      <c r="M70" s="556" t="s">
        <v>5</v>
      </c>
      <c r="N70" s="556" t="s">
        <v>31844</v>
      </c>
      <c r="O70" s="556" t="s">
        <v>4</v>
      </c>
      <c r="P70" s="556">
        <v>10</v>
      </c>
      <c r="Q70" s="556" t="s">
        <v>7</v>
      </c>
      <c r="R70" s="556" t="s">
        <v>31549</v>
      </c>
      <c r="S70" s="556" t="s">
        <v>4</v>
      </c>
      <c r="T70" s="556" t="s">
        <v>2</v>
      </c>
      <c r="U70" s="556" t="s">
        <v>4</v>
      </c>
      <c r="V70" s="556"/>
      <c r="W70" s="556" t="s">
        <v>4</v>
      </c>
      <c r="X70" s="556" t="s">
        <v>4</v>
      </c>
      <c r="Y70" s="557">
        <v>45116</v>
      </c>
      <c r="Z70" s="557" t="str">
        <f>IF(OR(T70="yes",Y70&gt;'SDG outcome'!$C$27),"yes","no")</f>
        <v>yes</v>
      </c>
      <c r="AA70" s="558">
        <f t="shared" si="1"/>
        <v>0</v>
      </c>
      <c r="AB70" s="558" t="str">
        <f>IF(AND(Z70="no",AND(Y70&gt;='SDG outcome'!$B$16,Y70&lt;'SDG outcome'!$C$27)),Y70-'SDG outcome'!$B$16,"")</f>
        <v/>
      </c>
      <c r="AC70" s="556" t="s">
        <v>31572</v>
      </c>
      <c r="AD70" s="556" t="s">
        <v>4</v>
      </c>
      <c r="AE70" s="556" t="s">
        <v>2</v>
      </c>
      <c r="AF70" s="556" t="s">
        <v>4</v>
      </c>
      <c r="AG70" s="556" t="s">
        <v>31969</v>
      </c>
      <c r="AH70" s="556" t="s">
        <v>7</v>
      </c>
      <c r="AI70" s="557" t="s">
        <v>9</v>
      </c>
      <c r="AJ70" s="556" t="s">
        <v>4</v>
      </c>
      <c r="AK70" s="556"/>
      <c r="AL70" s="556"/>
      <c r="AM70" s="556"/>
      <c r="AN70" s="556"/>
      <c r="AO70" s="556"/>
      <c r="AP70" s="556"/>
      <c r="AQ70" s="556"/>
      <c r="AR70" s="556"/>
      <c r="AS70" s="556"/>
      <c r="AT70" s="556"/>
      <c r="AU70" s="556"/>
      <c r="AV70" s="556"/>
      <c r="AW70" s="556"/>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6"/>
      <c r="BW70" s="556"/>
      <c r="BX70" s="556"/>
      <c r="BY70" s="556"/>
      <c r="BZ70" s="556"/>
      <c r="CA70" s="556"/>
      <c r="CB70" s="556"/>
      <c r="CC70" s="556"/>
      <c r="CD70" s="556"/>
      <c r="CE70" s="556"/>
      <c r="CF70" s="556"/>
      <c r="CG70" s="556"/>
      <c r="CH70" s="556"/>
      <c r="CI70" s="556"/>
      <c r="CJ70" s="556"/>
      <c r="CK70" s="556"/>
      <c r="CL70" s="556"/>
      <c r="CM70" s="556"/>
      <c r="CN70" s="556"/>
      <c r="CO70" s="556"/>
      <c r="CP70" s="556"/>
      <c r="CQ70" s="556"/>
      <c r="CR70" s="556"/>
      <c r="CS70" s="556"/>
      <c r="CT70" s="556"/>
      <c r="CU70" s="556"/>
      <c r="CV70" s="556"/>
      <c r="CW70" s="556"/>
      <c r="CX70" s="556"/>
      <c r="CY70" s="556"/>
      <c r="CZ70" s="556"/>
      <c r="DA70" s="556"/>
      <c r="DB70" s="556"/>
      <c r="DC70" s="556"/>
      <c r="DD70" s="556"/>
      <c r="DE70" s="556"/>
      <c r="DF70" s="556"/>
      <c r="DG70" s="556"/>
      <c r="DH70" s="556"/>
      <c r="DI70" s="556"/>
      <c r="DJ70" s="556"/>
      <c r="DK70" s="556"/>
      <c r="DL70" s="556"/>
      <c r="DM70" s="556"/>
      <c r="DN70" s="556"/>
      <c r="DO70" s="556"/>
      <c r="DP70" s="556"/>
      <c r="DQ70" s="556"/>
      <c r="DR70" s="556"/>
      <c r="DS70" s="556"/>
      <c r="DT70" s="559"/>
      <c r="DU70" s="556"/>
      <c r="DV70" s="559"/>
      <c r="DW70" s="556"/>
      <c r="DX70" s="556"/>
      <c r="DY70" s="556"/>
      <c r="DZ70" s="556"/>
      <c r="EA70" s="556"/>
      <c r="EB70" s="556"/>
      <c r="EC70" s="556"/>
      <c r="ED70" s="556"/>
      <c r="EE70" s="560"/>
      <c r="EF70" s="560"/>
      <c r="EG70" s="560"/>
      <c r="EH70" s="560"/>
      <c r="EI70" s="560"/>
      <c r="EJ70" s="556"/>
      <c r="EK70" s="556"/>
      <c r="EL70" s="556"/>
      <c r="EM70" s="556"/>
      <c r="EN70" s="556"/>
      <c r="EO70" s="556"/>
      <c r="EP70" s="556"/>
      <c r="EQ70" s="556"/>
      <c r="ER70" s="556"/>
      <c r="ES70" s="556"/>
      <c r="ET70" s="556"/>
      <c r="EU70" s="556"/>
      <c r="EV70" s="560"/>
      <c r="EW70" s="560"/>
      <c r="EX70" s="560"/>
      <c r="EY70" s="560"/>
      <c r="EZ70" s="560"/>
      <c r="FA70" s="556"/>
      <c r="FB70" s="556"/>
      <c r="FC70" s="556"/>
      <c r="FD70" s="556"/>
      <c r="FE70" s="556"/>
      <c r="FF70" s="556"/>
      <c r="FG70" s="556"/>
      <c r="FH70" s="556"/>
      <c r="FI70" s="556"/>
      <c r="FJ70" s="556"/>
      <c r="FK70" s="556"/>
      <c r="FL70" s="556"/>
      <c r="FM70" s="556"/>
      <c r="FN70" s="556"/>
      <c r="FO70" s="556"/>
      <c r="FP70" s="556"/>
      <c r="FQ70" s="556"/>
      <c r="FR70" s="556"/>
      <c r="FS70" s="556"/>
      <c r="FT70" s="556"/>
      <c r="FU70" s="556"/>
      <c r="FV70" s="556"/>
      <c r="FW70" s="556"/>
      <c r="FX70" s="556"/>
      <c r="FY70" s="556"/>
      <c r="FZ70" s="556"/>
      <c r="GA70" s="556"/>
      <c r="GB70" s="559"/>
      <c r="GC70" s="556"/>
      <c r="GD70" s="556"/>
      <c r="GE70" s="556"/>
      <c r="GF70" s="556"/>
      <c r="GG70" s="556"/>
      <c r="GH70" s="556"/>
      <c r="GI70" s="556"/>
      <c r="GJ70" s="556"/>
      <c r="GK70" s="556"/>
      <c r="GL70" s="556"/>
      <c r="GM70" s="556"/>
      <c r="GN70" s="556"/>
      <c r="GO70" s="556"/>
      <c r="GP70" s="556"/>
      <c r="GQ70" s="556"/>
      <c r="GR70" s="556"/>
      <c r="GS70" s="556"/>
      <c r="GT70" s="556"/>
      <c r="GU70" s="556"/>
      <c r="GV70" s="556"/>
      <c r="GW70" s="556"/>
      <c r="GX70" s="556"/>
      <c r="GY70" s="556"/>
      <c r="GZ70" s="556"/>
      <c r="HA70" s="556"/>
      <c r="HB70" s="556"/>
      <c r="HC70" s="556"/>
      <c r="HD70" s="556"/>
      <c r="HE70" s="556"/>
      <c r="HF70" s="556"/>
      <c r="HG70" s="556"/>
      <c r="HH70" s="556"/>
      <c r="HI70" s="556"/>
      <c r="HJ70" s="559"/>
      <c r="HK70" s="556"/>
      <c r="HL70" s="556"/>
      <c r="HM70" s="556"/>
      <c r="HN70" s="556"/>
      <c r="HO70" s="556"/>
      <c r="HP70" s="556"/>
      <c r="HQ70" s="556"/>
      <c r="HR70" s="556"/>
      <c r="HS70" s="556"/>
      <c r="HT70" s="556"/>
      <c r="HU70" s="556"/>
      <c r="HV70" s="556"/>
      <c r="HW70" s="556"/>
      <c r="HX70" s="556"/>
      <c r="HY70" s="556"/>
      <c r="HZ70" s="556" t="s">
        <v>31324</v>
      </c>
      <c r="IA70" s="556" t="s">
        <v>7</v>
      </c>
      <c r="IB70" s="556" t="s">
        <v>31325</v>
      </c>
      <c r="IC70" s="556" t="s">
        <v>31326</v>
      </c>
      <c r="ID70" s="556" t="s">
        <v>31327</v>
      </c>
      <c r="IE70" s="556" t="s">
        <v>31328</v>
      </c>
      <c r="IF70" s="556" t="s">
        <v>31329</v>
      </c>
      <c r="IG70" s="556" t="s">
        <v>31330</v>
      </c>
      <c r="IH70" s="556" t="s">
        <v>31321</v>
      </c>
    </row>
    <row r="71" spans="1:242" s="561" customFormat="1" ht="36.75" customHeight="1" x14ac:dyDescent="0.2">
      <c r="A71" s="556">
        <v>38</v>
      </c>
      <c r="B71" s="556" t="s">
        <v>14514</v>
      </c>
      <c r="C71" s="556" t="s">
        <v>29761</v>
      </c>
      <c r="D71" s="556" t="s">
        <v>29691</v>
      </c>
      <c r="E71" s="556" t="s">
        <v>7</v>
      </c>
      <c r="F71" s="556" t="s">
        <v>29762</v>
      </c>
      <c r="G71" s="556">
        <v>1143.0999999999999</v>
      </c>
      <c r="H71" s="556">
        <v>4.8</v>
      </c>
      <c r="I71" s="556" t="s">
        <v>29288</v>
      </c>
      <c r="J71" s="556" t="s">
        <v>4</v>
      </c>
      <c r="K71" s="556" t="s">
        <v>14515</v>
      </c>
      <c r="L71" s="556">
        <v>783812187</v>
      </c>
      <c r="M71" s="556" t="s">
        <v>3</v>
      </c>
      <c r="N71" s="556" t="s">
        <v>31438</v>
      </c>
      <c r="O71" s="556">
        <v>60</v>
      </c>
      <c r="P71" s="556">
        <v>16</v>
      </c>
      <c r="Q71" s="556" t="s">
        <v>7</v>
      </c>
      <c r="R71" s="556" t="s">
        <v>31549</v>
      </c>
      <c r="S71" s="556" t="s">
        <v>4</v>
      </c>
      <c r="T71" s="556" t="s">
        <v>2</v>
      </c>
      <c r="U71" s="556" t="s">
        <v>4</v>
      </c>
      <c r="V71" s="556"/>
      <c r="W71" s="556" t="s">
        <v>4</v>
      </c>
      <c r="X71" s="556" t="s">
        <v>4</v>
      </c>
      <c r="Y71" s="557">
        <v>45117</v>
      </c>
      <c r="Z71" s="557" t="str">
        <f>IF(OR(T71="yes",Y71&gt;'SDG outcome'!$C$27),"yes","no")</f>
        <v>yes</v>
      </c>
      <c r="AA71" s="558">
        <f t="shared" si="1"/>
        <v>0</v>
      </c>
      <c r="AB71" s="558" t="str">
        <f>IF(AND(Z71="no",AND(Y71&gt;='SDG outcome'!$B$16,Y71&lt;'SDG outcome'!$C$27)),Y71-'SDG outcome'!$B$16,"")</f>
        <v/>
      </c>
      <c r="AC71" s="556" t="s">
        <v>21816</v>
      </c>
      <c r="AD71" s="556" t="s">
        <v>4</v>
      </c>
      <c r="AE71" s="556" t="s">
        <v>4</v>
      </c>
      <c r="AF71" s="556" t="s">
        <v>4</v>
      </c>
      <c r="AG71" s="556" t="s">
        <v>4</v>
      </c>
      <c r="AH71" s="556" t="s">
        <v>9</v>
      </c>
      <c r="AI71" s="557" t="s">
        <v>4</v>
      </c>
      <c r="AJ71" s="556" t="s">
        <v>4</v>
      </c>
      <c r="AK71" s="556"/>
      <c r="AL71" s="556"/>
      <c r="AM71" s="556"/>
      <c r="AN71" s="556"/>
      <c r="AO71" s="556"/>
      <c r="AP71" s="556"/>
      <c r="AQ71" s="556"/>
      <c r="AR71" s="556"/>
      <c r="AS71" s="556"/>
      <c r="AT71" s="556"/>
      <c r="AU71" s="556"/>
      <c r="AV71" s="556"/>
      <c r="AW71" s="556"/>
      <c r="AX71" s="556"/>
      <c r="AY71" s="556"/>
      <c r="AZ71" s="556"/>
      <c r="BA71" s="556"/>
      <c r="BB71" s="556"/>
      <c r="BC71" s="556"/>
      <c r="BD71" s="556"/>
      <c r="BE71" s="556"/>
      <c r="BF71" s="556"/>
      <c r="BG71" s="556"/>
      <c r="BH71" s="556"/>
      <c r="BI71" s="556"/>
      <c r="BJ71" s="556"/>
      <c r="BK71" s="556"/>
      <c r="BL71" s="556"/>
      <c r="BM71" s="556"/>
      <c r="BN71" s="556"/>
      <c r="BO71" s="556"/>
      <c r="BP71" s="556"/>
      <c r="BQ71" s="556"/>
      <c r="BR71" s="556"/>
      <c r="BS71" s="556"/>
      <c r="BT71" s="556"/>
      <c r="BU71" s="556"/>
      <c r="BV71" s="556"/>
      <c r="BW71" s="556"/>
      <c r="BX71" s="556"/>
      <c r="BY71" s="556"/>
      <c r="BZ71" s="556"/>
      <c r="CA71" s="556"/>
      <c r="CB71" s="556"/>
      <c r="CC71" s="556"/>
      <c r="CD71" s="556"/>
      <c r="CE71" s="556"/>
      <c r="CF71" s="556"/>
      <c r="CG71" s="556"/>
      <c r="CH71" s="556"/>
      <c r="CI71" s="556"/>
      <c r="CJ71" s="556"/>
      <c r="CK71" s="556"/>
      <c r="CL71" s="556"/>
      <c r="CM71" s="556"/>
      <c r="CN71" s="556"/>
      <c r="CO71" s="556"/>
      <c r="CP71" s="556"/>
      <c r="CQ71" s="556"/>
      <c r="CR71" s="556"/>
      <c r="CS71" s="556"/>
      <c r="CT71" s="556"/>
      <c r="CU71" s="556"/>
      <c r="CV71" s="556"/>
      <c r="CW71" s="556"/>
      <c r="CX71" s="556"/>
      <c r="CY71" s="556"/>
      <c r="CZ71" s="556"/>
      <c r="DA71" s="556"/>
      <c r="DB71" s="556"/>
      <c r="DC71" s="556"/>
      <c r="DD71" s="556"/>
      <c r="DE71" s="556"/>
      <c r="DF71" s="556"/>
      <c r="DG71" s="556"/>
      <c r="DH71" s="556"/>
      <c r="DI71" s="556"/>
      <c r="DJ71" s="556"/>
      <c r="DK71" s="556"/>
      <c r="DL71" s="556"/>
      <c r="DM71" s="556"/>
      <c r="DN71" s="556"/>
      <c r="DO71" s="556"/>
      <c r="DP71" s="556"/>
      <c r="DQ71" s="556"/>
      <c r="DR71" s="556"/>
      <c r="DS71" s="556"/>
      <c r="DT71" s="559"/>
      <c r="DU71" s="556"/>
      <c r="DV71" s="559"/>
      <c r="DW71" s="556"/>
      <c r="DX71" s="556"/>
      <c r="DY71" s="556"/>
      <c r="DZ71" s="556"/>
      <c r="EA71" s="556"/>
      <c r="EB71" s="556"/>
      <c r="EC71" s="556"/>
      <c r="ED71" s="556"/>
      <c r="EE71" s="560"/>
      <c r="EF71" s="560"/>
      <c r="EG71" s="560"/>
      <c r="EH71" s="560"/>
      <c r="EI71" s="560"/>
      <c r="EJ71" s="556"/>
      <c r="EK71" s="556"/>
      <c r="EL71" s="556"/>
      <c r="EM71" s="556"/>
      <c r="EN71" s="556"/>
      <c r="EO71" s="556"/>
      <c r="EP71" s="556"/>
      <c r="EQ71" s="556"/>
      <c r="ER71" s="556"/>
      <c r="ES71" s="556"/>
      <c r="ET71" s="556"/>
      <c r="EU71" s="556"/>
      <c r="EV71" s="560"/>
      <c r="EW71" s="560"/>
      <c r="EX71" s="560"/>
      <c r="EY71" s="560"/>
      <c r="EZ71" s="560"/>
      <c r="FA71" s="556"/>
      <c r="FB71" s="556"/>
      <c r="FC71" s="556"/>
      <c r="FD71" s="556"/>
      <c r="FE71" s="556"/>
      <c r="FF71" s="556"/>
      <c r="FG71" s="556"/>
      <c r="FH71" s="556"/>
      <c r="FI71" s="556"/>
      <c r="FJ71" s="556"/>
      <c r="FK71" s="556"/>
      <c r="FL71" s="556"/>
      <c r="FM71" s="556"/>
      <c r="FN71" s="556"/>
      <c r="FO71" s="556"/>
      <c r="FP71" s="556"/>
      <c r="FQ71" s="556"/>
      <c r="FR71" s="556"/>
      <c r="FS71" s="556"/>
      <c r="FT71" s="556"/>
      <c r="FU71" s="556"/>
      <c r="FV71" s="556"/>
      <c r="FW71" s="556"/>
      <c r="FX71" s="556"/>
      <c r="FY71" s="556"/>
      <c r="FZ71" s="556"/>
      <c r="GA71" s="556"/>
      <c r="GB71" s="559"/>
      <c r="GC71" s="556"/>
      <c r="GD71" s="556"/>
      <c r="GE71" s="556"/>
      <c r="GF71" s="556"/>
      <c r="GG71" s="556"/>
      <c r="GH71" s="556"/>
      <c r="GI71" s="556"/>
      <c r="GJ71" s="556"/>
      <c r="GK71" s="556"/>
      <c r="GL71" s="556"/>
      <c r="GM71" s="556"/>
      <c r="GN71" s="556"/>
      <c r="GO71" s="556"/>
      <c r="GP71" s="556"/>
      <c r="GQ71" s="556"/>
      <c r="GR71" s="556"/>
      <c r="GS71" s="556"/>
      <c r="GT71" s="556"/>
      <c r="GU71" s="556"/>
      <c r="GV71" s="556"/>
      <c r="GW71" s="556"/>
      <c r="GX71" s="556"/>
      <c r="GY71" s="556"/>
      <c r="GZ71" s="556"/>
      <c r="HA71" s="556"/>
      <c r="HB71" s="556"/>
      <c r="HC71" s="556"/>
      <c r="HD71" s="556"/>
      <c r="HE71" s="556"/>
      <c r="HF71" s="556"/>
      <c r="HG71" s="556"/>
      <c r="HH71" s="556"/>
      <c r="HI71" s="556"/>
      <c r="HJ71" s="559"/>
      <c r="HK71" s="556"/>
      <c r="HL71" s="556"/>
      <c r="HM71" s="556"/>
      <c r="HN71" s="556"/>
      <c r="HO71" s="556"/>
      <c r="HP71" s="556"/>
      <c r="HQ71" s="556"/>
      <c r="HR71" s="556"/>
      <c r="HS71" s="556"/>
      <c r="HT71" s="556"/>
      <c r="HU71" s="556"/>
      <c r="HV71" s="556"/>
      <c r="HW71" s="556"/>
      <c r="HX71" s="556"/>
      <c r="HY71" s="556"/>
      <c r="HZ71" s="556" t="s">
        <v>29763</v>
      </c>
      <c r="IA71" s="556" t="s">
        <v>2</v>
      </c>
      <c r="IB71" s="556" t="s">
        <v>4</v>
      </c>
      <c r="IC71" s="556" t="s">
        <v>29764</v>
      </c>
      <c r="ID71" s="556" t="s">
        <v>29765</v>
      </c>
      <c r="IE71" s="556" t="s">
        <v>29766</v>
      </c>
      <c r="IF71" s="556" t="s">
        <v>29767</v>
      </c>
      <c r="IG71" s="556" t="s">
        <v>29768</v>
      </c>
      <c r="IH71" s="556" t="s">
        <v>29761</v>
      </c>
    </row>
    <row r="72" spans="1:242" s="561" customFormat="1" ht="36.75" customHeight="1" x14ac:dyDescent="0.2">
      <c r="A72" s="556">
        <v>49</v>
      </c>
      <c r="B72" s="556" t="s">
        <v>26810</v>
      </c>
      <c r="C72" s="556" t="s">
        <v>29870</v>
      </c>
      <c r="D72" s="556" t="s">
        <v>29799</v>
      </c>
      <c r="E72" s="556" t="s">
        <v>7</v>
      </c>
      <c r="F72" s="556" t="s">
        <v>29871</v>
      </c>
      <c r="G72" s="556">
        <v>1488.398682</v>
      </c>
      <c r="H72" s="556">
        <v>4.8643650000000003</v>
      </c>
      <c r="I72" s="556" t="s">
        <v>29288</v>
      </c>
      <c r="J72" s="556" t="s">
        <v>4</v>
      </c>
      <c r="K72" s="556" t="s">
        <v>29872</v>
      </c>
      <c r="L72" s="556">
        <v>782432160</v>
      </c>
      <c r="M72" s="556" t="s">
        <v>3</v>
      </c>
      <c r="N72" s="556" t="s">
        <v>31590</v>
      </c>
      <c r="O72" s="556" t="s">
        <v>4</v>
      </c>
      <c r="P72" s="556">
        <v>8</v>
      </c>
      <c r="Q72" s="556" t="s">
        <v>7</v>
      </c>
      <c r="R72" s="556" t="s">
        <v>31588</v>
      </c>
      <c r="S72" s="556" t="s">
        <v>4</v>
      </c>
      <c r="T72" s="556" t="s">
        <v>2</v>
      </c>
      <c r="U72" s="556" t="s">
        <v>4</v>
      </c>
      <c r="V72" s="556"/>
      <c r="W72" s="556" t="s">
        <v>4</v>
      </c>
      <c r="X72" s="556" t="s">
        <v>4</v>
      </c>
      <c r="Y72" s="557">
        <v>45117</v>
      </c>
      <c r="Z72" s="557" t="str">
        <f>IF(OR(T72="yes",Y72&gt;'SDG outcome'!$C$27),"yes","no")</f>
        <v>yes</v>
      </c>
      <c r="AA72" s="558">
        <f t="shared" si="1"/>
        <v>0</v>
      </c>
      <c r="AB72" s="558" t="str">
        <f>IF(AND(Z72="no",AND(Y72&gt;='SDG outcome'!$B$16,Y72&lt;'SDG outcome'!$C$27)),Y72-'SDG outcome'!$B$16,"")</f>
        <v/>
      </c>
      <c r="AC72" s="556" t="s">
        <v>31572</v>
      </c>
      <c r="AD72" s="556" t="s">
        <v>4</v>
      </c>
      <c r="AE72" s="556" t="s">
        <v>7</v>
      </c>
      <c r="AF72" s="556" t="s">
        <v>31711</v>
      </c>
      <c r="AG72" s="556" t="s">
        <v>4</v>
      </c>
      <c r="AH72" s="556" t="s">
        <v>7</v>
      </c>
      <c r="AI72" s="557">
        <v>45117</v>
      </c>
      <c r="AJ72" s="556" t="s">
        <v>4</v>
      </c>
      <c r="AK72" s="556"/>
      <c r="AL72" s="556"/>
      <c r="AM72" s="556"/>
      <c r="AN72" s="556"/>
      <c r="AO72" s="556"/>
      <c r="AP72" s="556"/>
      <c r="AQ72" s="556"/>
      <c r="AR72" s="556"/>
      <c r="AS72" s="556"/>
      <c r="AT72" s="556"/>
      <c r="AU72" s="556"/>
      <c r="AV72" s="556"/>
      <c r="AW72" s="556"/>
      <c r="AX72" s="556"/>
      <c r="AY72" s="556"/>
      <c r="AZ72" s="556"/>
      <c r="BA72" s="556"/>
      <c r="BB72" s="556"/>
      <c r="BC72" s="556"/>
      <c r="BD72" s="556"/>
      <c r="BE72" s="556"/>
      <c r="BF72" s="556"/>
      <c r="BG72" s="556"/>
      <c r="BH72" s="556"/>
      <c r="BI72" s="556"/>
      <c r="BJ72" s="556"/>
      <c r="BK72" s="556"/>
      <c r="BL72" s="556"/>
      <c r="BM72" s="556"/>
      <c r="BN72" s="556"/>
      <c r="BO72" s="556"/>
      <c r="BP72" s="556"/>
      <c r="BQ72" s="556"/>
      <c r="BR72" s="556"/>
      <c r="BS72" s="556"/>
      <c r="BT72" s="556"/>
      <c r="BU72" s="556"/>
      <c r="BV72" s="556"/>
      <c r="BW72" s="556"/>
      <c r="BX72" s="556"/>
      <c r="BY72" s="556"/>
      <c r="BZ72" s="556"/>
      <c r="CA72" s="556"/>
      <c r="CB72" s="556"/>
      <c r="CC72" s="556"/>
      <c r="CD72" s="556"/>
      <c r="CE72" s="556"/>
      <c r="CF72" s="556"/>
      <c r="CG72" s="556"/>
      <c r="CH72" s="556"/>
      <c r="CI72" s="556"/>
      <c r="CJ72" s="556"/>
      <c r="CK72" s="556"/>
      <c r="CL72" s="556"/>
      <c r="CM72" s="556"/>
      <c r="CN72" s="556"/>
      <c r="CO72" s="556"/>
      <c r="CP72" s="556"/>
      <c r="CQ72" s="556"/>
      <c r="CR72" s="556"/>
      <c r="CS72" s="556"/>
      <c r="CT72" s="556"/>
      <c r="CU72" s="556"/>
      <c r="CV72" s="556"/>
      <c r="CW72" s="556"/>
      <c r="CX72" s="556"/>
      <c r="CY72" s="556"/>
      <c r="CZ72" s="556"/>
      <c r="DA72" s="556"/>
      <c r="DB72" s="556"/>
      <c r="DC72" s="556"/>
      <c r="DD72" s="556"/>
      <c r="DE72" s="556"/>
      <c r="DF72" s="556"/>
      <c r="DG72" s="556"/>
      <c r="DH72" s="556"/>
      <c r="DI72" s="556"/>
      <c r="DJ72" s="556"/>
      <c r="DK72" s="556"/>
      <c r="DL72" s="556"/>
      <c r="DM72" s="556"/>
      <c r="DN72" s="556"/>
      <c r="DO72" s="556"/>
      <c r="DP72" s="556"/>
      <c r="DQ72" s="556"/>
      <c r="DR72" s="556"/>
      <c r="DS72" s="556"/>
      <c r="DT72" s="559"/>
      <c r="DU72" s="556"/>
      <c r="DV72" s="559"/>
      <c r="DW72" s="556"/>
      <c r="DX72" s="556"/>
      <c r="DY72" s="556"/>
      <c r="DZ72" s="556"/>
      <c r="EA72" s="556"/>
      <c r="EB72" s="556"/>
      <c r="EC72" s="556"/>
      <c r="ED72" s="556"/>
      <c r="EE72" s="560"/>
      <c r="EF72" s="560"/>
      <c r="EG72" s="560"/>
      <c r="EH72" s="560"/>
      <c r="EI72" s="560"/>
      <c r="EJ72" s="556"/>
      <c r="EK72" s="556"/>
      <c r="EL72" s="556"/>
      <c r="EM72" s="556"/>
      <c r="EN72" s="556"/>
      <c r="EO72" s="556"/>
      <c r="EP72" s="556"/>
      <c r="EQ72" s="556"/>
      <c r="ER72" s="556"/>
      <c r="ES72" s="556"/>
      <c r="ET72" s="556"/>
      <c r="EU72" s="556"/>
      <c r="EV72" s="560"/>
      <c r="EW72" s="560"/>
      <c r="EX72" s="560"/>
      <c r="EY72" s="560"/>
      <c r="EZ72" s="560"/>
      <c r="FA72" s="556"/>
      <c r="FB72" s="556"/>
      <c r="FC72" s="556"/>
      <c r="FD72" s="556"/>
      <c r="FE72" s="556"/>
      <c r="FF72" s="556"/>
      <c r="FG72" s="556"/>
      <c r="FH72" s="556"/>
      <c r="FI72" s="556"/>
      <c r="FJ72" s="556"/>
      <c r="FK72" s="556"/>
      <c r="FL72" s="556"/>
      <c r="FM72" s="556"/>
      <c r="FN72" s="556"/>
      <c r="FO72" s="556"/>
      <c r="FP72" s="556"/>
      <c r="FQ72" s="556"/>
      <c r="FR72" s="556"/>
      <c r="FS72" s="556"/>
      <c r="FT72" s="556"/>
      <c r="FU72" s="556"/>
      <c r="FV72" s="556"/>
      <c r="FW72" s="556"/>
      <c r="FX72" s="556"/>
      <c r="FY72" s="556"/>
      <c r="FZ72" s="556"/>
      <c r="GA72" s="556"/>
      <c r="GB72" s="559"/>
      <c r="GC72" s="556"/>
      <c r="GD72" s="556"/>
      <c r="GE72" s="556"/>
      <c r="GF72" s="556"/>
      <c r="GG72" s="556"/>
      <c r="GH72" s="556"/>
      <c r="GI72" s="556"/>
      <c r="GJ72" s="556"/>
      <c r="GK72" s="556"/>
      <c r="GL72" s="556"/>
      <c r="GM72" s="556"/>
      <c r="GN72" s="556"/>
      <c r="GO72" s="556"/>
      <c r="GP72" s="556"/>
      <c r="GQ72" s="556"/>
      <c r="GR72" s="556"/>
      <c r="GS72" s="556"/>
      <c r="GT72" s="556"/>
      <c r="GU72" s="556"/>
      <c r="GV72" s="556"/>
      <c r="GW72" s="556"/>
      <c r="GX72" s="556"/>
      <c r="GY72" s="556"/>
      <c r="GZ72" s="556"/>
      <c r="HA72" s="556"/>
      <c r="HB72" s="556"/>
      <c r="HC72" s="556"/>
      <c r="HD72" s="556"/>
      <c r="HE72" s="556"/>
      <c r="HF72" s="556"/>
      <c r="HG72" s="556"/>
      <c r="HH72" s="556"/>
      <c r="HI72" s="556"/>
      <c r="HJ72" s="559"/>
      <c r="HK72" s="556"/>
      <c r="HL72" s="556"/>
      <c r="HM72" s="556"/>
      <c r="HN72" s="556"/>
      <c r="HO72" s="556"/>
      <c r="HP72" s="556"/>
      <c r="HQ72" s="556"/>
      <c r="HR72" s="556"/>
      <c r="HS72" s="556"/>
      <c r="HT72" s="556"/>
      <c r="HU72" s="556"/>
      <c r="HV72" s="556"/>
      <c r="HW72" s="556"/>
      <c r="HX72" s="556"/>
      <c r="HY72" s="556"/>
      <c r="HZ72" s="556" t="s">
        <v>29873</v>
      </c>
      <c r="IA72" s="556" t="s">
        <v>7</v>
      </c>
      <c r="IB72" s="556" t="s">
        <v>29874</v>
      </c>
      <c r="IC72" s="556" t="s">
        <v>4</v>
      </c>
      <c r="ID72" s="556" t="s">
        <v>29875</v>
      </c>
      <c r="IE72" s="556" t="s">
        <v>9</v>
      </c>
      <c r="IF72" s="556" t="s">
        <v>29876</v>
      </c>
      <c r="IG72" s="556" t="s">
        <v>29877</v>
      </c>
      <c r="IH72" s="556" t="s">
        <v>29870</v>
      </c>
    </row>
    <row r="73" spans="1:242" s="561" customFormat="1" ht="36.75" customHeight="1" x14ac:dyDescent="0.2">
      <c r="A73" s="556">
        <v>101</v>
      </c>
      <c r="B73" s="556" t="s">
        <v>4789</v>
      </c>
      <c r="C73" s="556" t="s">
        <v>30402</v>
      </c>
      <c r="D73" s="556" t="s">
        <v>30392</v>
      </c>
      <c r="E73" s="556" t="s">
        <v>7</v>
      </c>
      <c r="F73" s="556" t="s">
        <v>30403</v>
      </c>
      <c r="G73" s="556">
        <v>1100.498</v>
      </c>
      <c r="H73" s="556">
        <v>1.9953069999999999</v>
      </c>
      <c r="I73" s="556" t="s">
        <v>29288</v>
      </c>
      <c r="J73" s="556" t="s">
        <v>4</v>
      </c>
      <c r="K73" s="556" t="s">
        <v>30404</v>
      </c>
      <c r="L73" s="556">
        <v>783696452</v>
      </c>
      <c r="M73" s="556" t="s">
        <v>3</v>
      </c>
      <c r="N73" s="556" t="s">
        <v>31598</v>
      </c>
      <c r="O73" s="556" t="s">
        <v>4</v>
      </c>
      <c r="P73" s="556">
        <v>8</v>
      </c>
      <c r="Q73" s="556" t="s">
        <v>7</v>
      </c>
      <c r="R73" s="556" t="s">
        <v>31588</v>
      </c>
      <c r="S73" s="556" t="s">
        <v>4</v>
      </c>
      <c r="T73" s="556" t="s">
        <v>2</v>
      </c>
      <c r="U73" s="556" t="s">
        <v>4</v>
      </c>
      <c r="V73" s="556"/>
      <c r="W73" s="556" t="s">
        <v>4</v>
      </c>
      <c r="X73" s="556" t="s">
        <v>4</v>
      </c>
      <c r="Y73" s="557">
        <v>45118</v>
      </c>
      <c r="Z73" s="557" t="str">
        <f>IF(OR(T73="yes",Y73&gt;'SDG outcome'!$C$27),"yes","no")</f>
        <v>yes</v>
      </c>
      <c r="AA73" s="558">
        <f t="shared" si="1"/>
        <v>0</v>
      </c>
      <c r="AB73" s="558" t="str">
        <f>IF(AND(Z73="no",AND(Y73&gt;='SDG outcome'!$B$16,Y73&lt;'SDG outcome'!$C$27)),Y73-'SDG outcome'!$B$16,"")</f>
        <v/>
      </c>
      <c r="AC73" s="556" t="s">
        <v>31699</v>
      </c>
      <c r="AD73" s="556" t="s">
        <v>4</v>
      </c>
      <c r="AE73" s="556" t="s">
        <v>4</v>
      </c>
      <c r="AF73" s="556" t="s">
        <v>4</v>
      </c>
      <c r="AG73" s="556" t="s">
        <v>4</v>
      </c>
      <c r="AH73" s="556" t="s">
        <v>4</v>
      </c>
      <c r="AI73" s="557" t="s">
        <v>4</v>
      </c>
      <c r="AJ73" s="556" t="s">
        <v>4</v>
      </c>
      <c r="AK73" s="556"/>
      <c r="AL73" s="556"/>
      <c r="AM73" s="556"/>
      <c r="AN73" s="556"/>
      <c r="AO73" s="556"/>
      <c r="AP73" s="556"/>
      <c r="AQ73" s="556"/>
      <c r="AR73" s="556"/>
      <c r="AS73" s="556"/>
      <c r="AT73" s="556"/>
      <c r="AU73" s="556"/>
      <c r="AV73" s="556"/>
      <c r="AW73" s="556"/>
      <c r="AX73" s="556"/>
      <c r="AY73" s="556"/>
      <c r="AZ73" s="556"/>
      <c r="BA73" s="556"/>
      <c r="BB73" s="556"/>
      <c r="BC73" s="556"/>
      <c r="BD73" s="556"/>
      <c r="BE73" s="556"/>
      <c r="BF73" s="556"/>
      <c r="BG73" s="556"/>
      <c r="BH73" s="556"/>
      <c r="BI73" s="556"/>
      <c r="BJ73" s="556"/>
      <c r="BK73" s="556"/>
      <c r="BL73" s="556"/>
      <c r="BM73" s="556"/>
      <c r="BN73" s="556"/>
      <c r="BO73" s="556"/>
      <c r="BP73" s="556"/>
      <c r="BQ73" s="556"/>
      <c r="BR73" s="556"/>
      <c r="BS73" s="556"/>
      <c r="BT73" s="556"/>
      <c r="BU73" s="556"/>
      <c r="BV73" s="556"/>
      <c r="BW73" s="556"/>
      <c r="BX73" s="556"/>
      <c r="BY73" s="556"/>
      <c r="BZ73" s="556"/>
      <c r="CA73" s="556"/>
      <c r="CB73" s="556"/>
      <c r="CC73" s="556"/>
      <c r="CD73" s="556"/>
      <c r="CE73" s="556"/>
      <c r="CF73" s="556"/>
      <c r="CG73" s="556"/>
      <c r="CH73" s="556"/>
      <c r="CI73" s="556"/>
      <c r="CJ73" s="556"/>
      <c r="CK73" s="556"/>
      <c r="CL73" s="556"/>
      <c r="CM73" s="556"/>
      <c r="CN73" s="556"/>
      <c r="CO73" s="556"/>
      <c r="CP73" s="556"/>
      <c r="CQ73" s="556"/>
      <c r="CR73" s="556"/>
      <c r="CS73" s="556"/>
      <c r="CT73" s="556"/>
      <c r="CU73" s="556"/>
      <c r="CV73" s="556"/>
      <c r="CW73" s="556"/>
      <c r="CX73" s="556"/>
      <c r="CY73" s="556"/>
      <c r="CZ73" s="556"/>
      <c r="DA73" s="556"/>
      <c r="DB73" s="556"/>
      <c r="DC73" s="556"/>
      <c r="DD73" s="556"/>
      <c r="DE73" s="556"/>
      <c r="DF73" s="556"/>
      <c r="DG73" s="556"/>
      <c r="DH73" s="556"/>
      <c r="DI73" s="556"/>
      <c r="DJ73" s="556"/>
      <c r="DK73" s="556"/>
      <c r="DL73" s="556"/>
      <c r="DM73" s="556"/>
      <c r="DN73" s="556"/>
      <c r="DO73" s="556"/>
      <c r="DP73" s="556"/>
      <c r="DQ73" s="556"/>
      <c r="DR73" s="556"/>
      <c r="DS73" s="556"/>
      <c r="DT73" s="559"/>
      <c r="DU73" s="556"/>
      <c r="DV73" s="559"/>
      <c r="DW73" s="556"/>
      <c r="DX73" s="556"/>
      <c r="DY73" s="556"/>
      <c r="DZ73" s="556"/>
      <c r="EA73" s="556"/>
      <c r="EB73" s="556"/>
      <c r="EC73" s="556"/>
      <c r="ED73" s="556"/>
      <c r="EE73" s="560"/>
      <c r="EF73" s="560"/>
      <c r="EG73" s="560"/>
      <c r="EH73" s="560"/>
      <c r="EI73" s="560"/>
      <c r="EJ73" s="556"/>
      <c r="EK73" s="556"/>
      <c r="EL73" s="556"/>
      <c r="EM73" s="556"/>
      <c r="EN73" s="556"/>
      <c r="EO73" s="556"/>
      <c r="EP73" s="556"/>
      <c r="EQ73" s="556"/>
      <c r="ER73" s="556"/>
      <c r="ES73" s="556"/>
      <c r="ET73" s="556"/>
      <c r="EU73" s="556"/>
      <c r="EV73" s="560"/>
      <c r="EW73" s="560"/>
      <c r="EX73" s="560"/>
      <c r="EY73" s="560"/>
      <c r="EZ73" s="560"/>
      <c r="FA73" s="556"/>
      <c r="FB73" s="556"/>
      <c r="FC73" s="556"/>
      <c r="FD73" s="556"/>
      <c r="FE73" s="556"/>
      <c r="FF73" s="556"/>
      <c r="FG73" s="556"/>
      <c r="FH73" s="556"/>
      <c r="FI73" s="556"/>
      <c r="FJ73" s="556"/>
      <c r="FK73" s="556"/>
      <c r="FL73" s="556"/>
      <c r="FM73" s="556"/>
      <c r="FN73" s="556"/>
      <c r="FO73" s="556"/>
      <c r="FP73" s="556"/>
      <c r="FQ73" s="556"/>
      <c r="FR73" s="556"/>
      <c r="FS73" s="556"/>
      <c r="FT73" s="556"/>
      <c r="FU73" s="556"/>
      <c r="FV73" s="556"/>
      <c r="FW73" s="556"/>
      <c r="FX73" s="556"/>
      <c r="FY73" s="556"/>
      <c r="FZ73" s="556"/>
      <c r="GA73" s="556"/>
      <c r="GB73" s="559"/>
      <c r="GC73" s="556"/>
      <c r="GD73" s="556"/>
      <c r="GE73" s="556"/>
      <c r="GF73" s="556"/>
      <c r="GG73" s="556"/>
      <c r="GH73" s="556"/>
      <c r="GI73" s="556"/>
      <c r="GJ73" s="556"/>
      <c r="GK73" s="556"/>
      <c r="GL73" s="556"/>
      <c r="GM73" s="556"/>
      <c r="GN73" s="556"/>
      <c r="GO73" s="556"/>
      <c r="GP73" s="556"/>
      <c r="GQ73" s="556"/>
      <c r="GR73" s="556"/>
      <c r="GS73" s="556"/>
      <c r="GT73" s="556"/>
      <c r="GU73" s="556"/>
      <c r="GV73" s="556"/>
      <c r="GW73" s="556"/>
      <c r="GX73" s="556"/>
      <c r="GY73" s="556"/>
      <c r="GZ73" s="556"/>
      <c r="HA73" s="556"/>
      <c r="HB73" s="556"/>
      <c r="HC73" s="556"/>
      <c r="HD73" s="556"/>
      <c r="HE73" s="556"/>
      <c r="HF73" s="556"/>
      <c r="HG73" s="556"/>
      <c r="HH73" s="556"/>
      <c r="HI73" s="556"/>
      <c r="HJ73" s="559"/>
      <c r="HK73" s="556"/>
      <c r="HL73" s="556"/>
      <c r="HM73" s="556"/>
      <c r="HN73" s="556"/>
      <c r="HO73" s="556"/>
      <c r="HP73" s="556"/>
      <c r="HQ73" s="556"/>
      <c r="HR73" s="556"/>
      <c r="HS73" s="556"/>
      <c r="HT73" s="556"/>
      <c r="HU73" s="556"/>
      <c r="HV73" s="556"/>
      <c r="HW73" s="556"/>
      <c r="HX73" s="556"/>
      <c r="HY73" s="556"/>
      <c r="HZ73" s="556" t="s">
        <v>30405</v>
      </c>
      <c r="IA73" s="556" t="s">
        <v>7</v>
      </c>
      <c r="IB73" s="556" t="s">
        <v>30406</v>
      </c>
      <c r="IC73" s="556" t="s">
        <v>30407</v>
      </c>
      <c r="ID73" s="556" t="s">
        <v>30408</v>
      </c>
      <c r="IE73" s="556" t="s">
        <v>30409</v>
      </c>
      <c r="IF73" s="556" t="s">
        <v>30410</v>
      </c>
      <c r="IG73" s="556" t="s">
        <v>30411</v>
      </c>
      <c r="IH73" s="556" t="s">
        <v>30402</v>
      </c>
    </row>
    <row r="74" spans="1:242" s="561" customFormat="1" ht="36.75" customHeight="1" x14ac:dyDescent="0.2">
      <c r="A74" s="556">
        <v>104</v>
      </c>
      <c r="B74" s="556" t="s">
        <v>7563</v>
      </c>
      <c r="C74" s="556" t="s">
        <v>30432</v>
      </c>
      <c r="D74" s="556" t="s">
        <v>30392</v>
      </c>
      <c r="E74" s="556" t="s">
        <v>7</v>
      </c>
      <c r="F74" s="556" t="s">
        <v>30433</v>
      </c>
      <c r="G74" s="556">
        <v>1092.412</v>
      </c>
      <c r="H74" s="556">
        <v>2.020804</v>
      </c>
      <c r="I74" s="556" t="s">
        <v>29288</v>
      </c>
      <c r="J74" s="556" t="s">
        <v>4</v>
      </c>
      <c r="K74" s="556" t="s">
        <v>30434</v>
      </c>
      <c r="L74" s="556">
        <v>772440267</v>
      </c>
      <c r="M74" s="556" t="s">
        <v>3</v>
      </c>
      <c r="N74" s="556" t="s">
        <v>31598</v>
      </c>
      <c r="O74" s="556" t="s">
        <v>4</v>
      </c>
      <c r="P74" s="556">
        <v>8</v>
      </c>
      <c r="Q74" s="556" t="s">
        <v>7</v>
      </c>
      <c r="R74" s="556" t="s">
        <v>31549</v>
      </c>
      <c r="S74" s="556" t="s">
        <v>4</v>
      </c>
      <c r="T74" s="556" t="s">
        <v>2</v>
      </c>
      <c r="U74" s="556" t="s">
        <v>4</v>
      </c>
      <c r="V74" s="556"/>
      <c r="W74" s="556" t="s">
        <v>4</v>
      </c>
      <c r="X74" s="556" t="s">
        <v>4</v>
      </c>
      <c r="Y74" s="557">
        <v>45118</v>
      </c>
      <c r="Z74" s="557" t="str">
        <f>IF(OR(T74="yes",Y74&gt;'SDG outcome'!$C$27),"yes","no")</f>
        <v>yes</v>
      </c>
      <c r="AA74" s="558">
        <f t="shared" si="1"/>
        <v>0</v>
      </c>
      <c r="AB74" s="558" t="str">
        <f>IF(AND(Z74="no",AND(Y74&gt;='SDG outcome'!$B$16,Y74&lt;'SDG outcome'!$C$27)),Y74-'SDG outcome'!$B$16,"")</f>
        <v/>
      </c>
      <c r="AC74" s="556" t="s">
        <v>31699</v>
      </c>
      <c r="AD74" s="556" t="s">
        <v>4</v>
      </c>
      <c r="AE74" s="556" t="s">
        <v>4</v>
      </c>
      <c r="AF74" s="556" t="s">
        <v>4</v>
      </c>
      <c r="AG74" s="556" t="s">
        <v>4</v>
      </c>
      <c r="AH74" s="556" t="s">
        <v>4</v>
      </c>
      <c r="AI74" s="557" t="s">
        <v>4</v>
      </c>
      <c r="AJ74" s="556" t="s">
        <v>4</v>
      </c>
      <c r="AK74" s="556"/>
      <c r="AL74" s="556"/>
      <c r="AM74" s="556"/>
      <c r="AN74" s="556"/>
      <c r="AO74" s="556"/>
      <c r="AP74" s="556"/>
      <c r="AQ74" s="556"/>
      <c r="AR74" s="556"/>
      <c r="AS74" s="556"/>
      <c r="AT74" s="556"/>
      <c r="AU74" s="556"/>
      <c r="AV74" s="556"/>
      <c r="AW74" s="556"/>
      <c r="AX74" s="556"/>
      <c r="AY74" s="556"/>
      <c r="AZ74" s="556"/>
      <c r="BA74" s="556"/>
      <c r="BB74" s="556"/>
      <c r="BC74" s="556"/>
      <c r="BD74" s="556"/>
      <c r="BE74" s="556"/>
      <c r="BF74" s="556"/>
      <c r="BG74" s="556"/>
      <c r="BH74" s="556"/>
      <c r="BI74" s="556"/>
      <c r="BJ74" s="556"/>
      <c r="BK74" s="556"/>
      <c r="BL74" s="556"/>
      <c r="BM74" s="556"/>
      <c r="BN74" s="556"/>
      <c r="BO74" s="556"/>
      <c r="BP74" s="556"/>
      <c r="BQ74" s="556"/>
      <c r="BR74" s="556"/>
      <c r="BS74" s="556"/>
      <c r="BT74" s="556"/>
      <c r="BU74" s="556"/>
      <c r="BV74" s="556"/>
      <c r="BW74" s="556"/>
      <c r="BX74" s="556"/>
      <c r="BY74" s="556"/>
      <c r="BZ74" s="556"/>
      <c r="CA74" s="556"/>
      <c r="CB74" s="556"/>
      <c r="CC74" s="556"/>
      <c r="CD74" s="556"/>
      <c r="CE74" s="556"/>
      <c r="CF74" s="556"/>
      <c r="CG74" s="556"/>
      <c r="CH74" s="556"/>
      <c r="CI74" s="556"/>
      <c r="CJ74" s="556"/>
      <c r="CK74" s="556"/>
      <c r="CL74" s="556"/>
      <c r="CM74" s="556"/>
      <c r="CN74" s="556"/>
      <c r="CO74" s="556"/>
      <c r="CP74" s="556"/>
      <c r="CQ74" s="556"/>
      <c r="CR74" s="556"/>
      <c r="CS74" s="556"/>
      <c r="CT74" s="556"/>
      <c r="CU74" s="556"/>
      <c r="CV74" s="556"/>
      <c r="CW74" s="556"/>
      <c r="CX74" s="556"/>
      <c r="CY74" s="556"/>
      <c r="CZ74" s="556"/>
      <c r="DA74" s="556"/>
      <c r="DB74" s="556"/>
      <c r="DC74" s="556"/>
      <c r="DD74" s="556"/>
      <c r="DE74" s="556"/>
      <c r="DF74" s="556"/>
      <c r="DG74" s="556"/>
      <c r="DH74" s="556"/>
      <c r="DI74" s="556"/>
      <c r="DJ74" s="556"/>
      <c r="DK74" s="556"/>
      <c r="DL74" s="556"/>
      <c r="DM74" s="556"/>
      <c r="DN74" s="556"/>
      <c r="DO74" s="556"/>
      <c r="DP74" s="556"/>
      <c r="DQ74" s="556"/>
      <c r="DR74" s="556"/>
      <c r="DS74" s="556"/>
      <c r="DT74" s="559"/>
      <c r="DU74" s="556"/>
      <c r="DV74" s="559"/>
      <c r="DW74" s="556"/>
      <c r="DX74" s="556"/>
      <c r="DY74" s="556"/>
      <c r="DZ74" s="556"/>
      <c r="EA74" s="556"/>
      <c r="EB74" s="556"/>
      <c r="EC74" s="556"/>
      <c r="ED74" s="556"/>
      <c r="EE74" s="560"/>
      <c r="EF74" s="560"/>
      <c r="EG74" s="560"/>
      <c r="EH74" s="560"/>
      <c r="EI74" s="560"/>
      <c r="EJ74" s="556"/>
      <c r="EK74" s="556"/>
      <c r="EL74" s="556"/>
      <c r="EM74" s="556"/>
      <c r="EN74" s="556"/>
      <c r="EO74" s="556"/>
      <c r="EP74" s="556"/>
      <c r="EQ74" s="556"/>
      <c r="ER74" s="556"/>
      <c r="ES74" s="556"/>
      <c r="ET74" s="556"/>
      <c r="EU74" s="556"/>
      <c r="EV74" s="560"/>
      <c r="EW74" s="560"/>
      <c r="EX74" s="560"/>
      <c r="EY74" s="560"/>
      <c r="EZ74" s="560"/>
      <c r="FA74" s="556"/>
      <c r="FB74" s="556"/>
      <c r="FC74" s="556"/>
      <c r="FD74" s="556"/>
      <c r="FE74" s="556"/>
      <c r="FF74" s="556"/>
      <c r="FG74" s="556"/>
      <c r="FH74" s="556"/>
      <c r="FI74" s="556"/>
      <c r="FJ74" s="556"/>
      <c r="FK74" s="556"/>
      <c r="FL74" s="556"/>
      <c r="FM74" s="556"/>
      <c r="FN74" s="556"/>
      <c r="FO74" s="556"/>
      <c r="FP74" s="556"/>
      <c r="FQ74" s="556"/>
      <c r="FR74" s="556"/>
      <c r="FS74" s="556"/>
      <c r="FT74" s="556"/>
      <c r="FU74" s="556"/>
      <c r="FV74" s="556"/>
      <c r="FW74" s="556"/>
      <c r="FX74" s="556"/>
      <c r="FY74" s="556"/>
      <c r="FZ74" s="556"/>
      <c r="GA74" s="556"/>
      <c r="GB74" s="559"/>
      <c r="GC74" s="556"/>
      <c r="GD74" s="556"/>
      <c r="GE74" s="556"/>
      <c r="GF74" s="556"/>
      <c r="GG74" s="556"/>
      <c r="GH74" s="556"/>
      <c r="GI74" s="556"/>
      <c r="GJ74" s="556"/>
      <c r="GK74" s="556"/>
      <c r="GL74" s="556"/>
      <c r="GM74" s="556"/>
      <c r="GN74" s="556"/>
      <c r="GO74" s="556"/>
      <c r="GP74" s="556"/>
      <c r="GQ74" s="556"/>
      <c r="GR74" s="556"/>
      <c r="GS74" s="556"/>
      <c r="GT74" s="556"/>
      <c r="GU74" s="556"/>
      <c r="GV74" s="556"/>
      <c r="GW74" s="556"/>
      <c r="GX74" s="556"/>
      <c r="GY74" s="556"/>
      <c r="GZ74" s="556"/>
      <c r="HA74" s="556"/>
      <c r="HB74" s="556"/>
      <c r="HC74" s="556"/>
      <c r="HD74" s="556"/>
      <c r="HE74" s="556"/>
      <c r="HF74" s="556"/>
      <c r="HG74" s="556"/>
      <c r="HH74" s="556"/>
      <c r="HI74" s="556"/>
      <c r="HJ74" s="559"/>
      <c r="HK74" s="556"/>
      <c r="HL74" s="556"/>
      <c r="HM74" s="556"/>
      <c r="HN74" s="556"/>
      <c r="HO74" s="556"/>
      <c r="HP74" s="556"/>
      <c r="HQ74" s="556"/>
      <c r="HR74" s="556"/>
      <c r="HS74" s="556"/>
      <c r="HT74" s="556"/>
      <c r="HU74" s="556"/>
      <c r="HV74" s="556"/>
      <c r="HW74" s="556"/>
      <c r="HX74" s="556"/>
      <c r="HY74" s="556"/>
      <c r="HZ74" s="556" t="s">
        <v>30435</v>
      </c>
      <c r="IA74" s="556" t="s">
        <v>7</v>
      </c>
      <c r="IB74" s="556" t="s">
        <v>30436</v>
      </c>
      <c r="IC74" s="556" t="s">
        <v>30437</v>
      </c>
      <c r="ID74" s="556" t="s">
        <v>30438</v>
      </c>
      <c r="IE74" s="556" t="s">
        <v>30439</v>
      </c>
      <c r="IF74" s="556" t="s">
        <v>30440</v>
      </c>
      <c r="IG74" s="556" t="s">
        <v>30441</v>
      </c>
      <c r="IH74" s="556" t="s">
        <v>30432</v>
      </c>
    </row>
    <row r="75" spans="1:242" s="561" customFormat="1" ht="36.75" customHeight="1" x14ac:dyDescent="0.2">
      <c r="A75" s="556">
        <v>140</v>
      </c>
      <c r="B75" s="556" t="s">
        <v>13820</v>
      </c>
      <c r="C75" s="556" t="s">
        <v>30785</v>
      </c>
      <c r="D75" s="556" t="s">
        <v>30786</v>
      </c>
      <c r="E75" s="556" t="s">
        <v>7</v>
      </c>
      <c r="F75" s="556" t="s">
        <v>30787</v>
      </c>
      <c r="G75" s="556">
        <v>1140.7</v>
      </c>
      <c r="H75" s="556">
        <v>3.9</v>
      </c>
      <c r="I75" s="556" t="s">
        <v>29288</v>
      </c>
      <c r="J75" s="556" t="s">
        <v>4</v>
      </c>
      <c r="K75" s="556" t="s">
        <v>13821</v>
      </c>
      <c r="L75" s="556">
        <v>774453591</v>
      </c>
      <c r="M75" s="556" t="s">
        <v>3</v>
      </c>
      <c r="N75" s="556" t="s">
        <v>31590</v>
      </c>
      <c r="O75" s="556" t="s">
        <v>4</v>
      </c>
      <c r="P75" s="556">
        <v>6</v>
      </c>
      <c r="Q75" s="556" t="s">
        <v>7</v>
      </c>
      <c r="R75" s="556" t="s">
        <v>31549</v>
      </c>
      <c r="S75" s="556" t="s">
        <v>4</v>
      </c>
      <c r="T75" s="556" t="s">
        <v>2</v>
      </c>
      <c r="U75" s="556" t="s">
        <v>4</v>
      </c>
      <c r="V75" s="556"/>
      <c r="W75" s="556" t="s">
        <v>4</v>
      </c>
      <c r="X75" s="556" t="s">
        <v>4</v>
      </c>
      <c r="Y75" s="557">
        <v>45118</v>
      </c>
      <c r="Z75" s="557" t="str">
        <f>IF(OR(T75="yes",Y75&gt;'SDG outcome'!$C$27),"yes","no")</f>
        <v>yes</v>
      </c>
      <c r="AA75" s="558">
        <f t="shared" si="1"/>
        <v>0</v>
      </c>
      <c r="AB75" s="558" t="str">
        <f>IF(AND(Z75="no",AND(Y75&gt;='SDG outcome'!$B$16,Y75&lt;'SDG outcome'!$C$27)),Y75-'SDG outcome'!$B$16,"")</f>
        <v/>
      </c>
      <c r="AC75" s="556" t="s">
        <v>31685</v>
      </c>
      <c r="AD75" s="556" t="s">
        <v>4</v>
      </c>
      <c r="AE75" s="556" t="s">
        <v>4</v>
      </c>
      <c r="AF75" s="556" t="s">
        <v>4</v>
      </c>
      <c r="AG75" s="556" t="s">
        <v>4</v>
      </c>
      <c r="AH75" s="556" t="s">
        <v>4</v>
      </c>
      <c r="AI75" s="557" t="s">
        <v>4</v>
      </c>
      <c r="AJ75" s="556" t="s">
        <v>4</v>
      </c>
      <c r="AK75" s="556"/>
      <c r="AL75" s="556"/>
      <c r="AM75" s="556"/>
      <c r="AN75" s="556"/>
      <c r="AO75" s="556"/>
      <c r="AP75" s="556"/>
      <c r="AQ75" s="556"/>
      <c r="AR75" s="556"/>
      <c r="AS75" s="556"/>
      <c r="AT75" s="556"/>
      <c r="AU75" s="556"/>
      <c r="AV75" s="556"/>
      <c r="AW75" s="556"/>
      <c r="AX75" s="556"/>
      <c r="AY75" s="556"/>
      <c r="AZ75" s="556"/>
      <c r="BA75" s="556"/>
      <c r="BB75" s="556"/>
      <c r="BC75" s="556"/>
      <c r="BD75" s="556"/>
      <c r="BE75" s="556"/>
      <c r="BF75" s="556"/>
      <c r="BG75" s="556"/>
      <c r="BH75" s="556"/>
      <c r="BI75" s="556"/>
      <c r="BJ75" s="556"/>
      <c r="BK75" s="556"/>
      <c r="BL75" s="556"/>
      <c r="BM75" s="556"/>
      <c r="BN75" s="556"/>
      <c r="BO75" s="556"/>
      <c r="BP75" s="556"/>
      <c r="BQ75" s="556"/>
      <c r="BR75" s="556"/>
      <c r="BS75" s="556"/>
      <c r="BT75" s="556"/>
      <c r="BU75" s="556"/>
      <c r="BV75" s="556"/>
      <c r="BW75" s="556"/>
      <c r="BX75" s="556"/>
      <c r="BY75" s="556"/>
      <c r="BZ75" s="556"/>
      <c r="CA75" s="556"/>
      <c r="CB75" s="556"/>
      <c r="CC75" s="556"/>
      <c r="CD75" s="556"/>
      <c r="CE75" s="556"/>
      <c r="CF75" s="556"/>
      <c r="CG75" s="556"/>
      <c r="CH75" s="556"/>
      <c r="CI75" s="556"/>
      <c r="CJ75" s="556"/>
      <c r="CK75" s="556"/>
      <c r="CL75" s="556"/>
      <c r="CM75" s="556"/>
      <c r="CN75" s="556"/>
      <c r="CO75" s="556"/>
      <c r="CP75" s="556"/>
      <c r="CQ75" s="556"/>
      <c r="CR75" s="556"/>
      <c r="CS75" s="556"/>
      <c r="CT75" s="556"/>
      <c r="CU75" s="556"/>
      <c r="CV75" s="556"/>
      <c r="CW75" s="556"/>
      <c r="CX75" s="556"/>
      <c r="CY75" s="556"/>
      <c r="CZ75" s="556"/>
      <c r="DA75" s="556"/>
      <c r="DB75" s="556"/>
      <c r="DC75" s="556"/>
      <c r="DD75" s="556"/>
      <c r="DE75" s="556"/>
      <c r="DF75" s="556"/>
      <c r="DG75" s="556"/>
      <c r="DH75" s="556"/>
      <c r="DI75" s="556"/>
      <c r="DJ75" s="556"/>
      <c r="DK75" s="556"/>
      <c r="DL75" s="556"/>
      <c r="DM75" s="556"/>
      <c r="DN75" s="556"/>
      <c r="DO75" s="556"/>
      <c r="DP75" s="556"/>
      <c r="DQ75" s="556"/>
      <c r="DR75" s="556"/>
      <c r="DS75" s="556"/>
      <c r="DT75" s="559"/>
      <c r="DU75" s="556"/>
      <c r="DV75" s="559"/>
      <c r="DW75" s="556"/>
      <c r="DX75" s="556"/>
      <c r="DY75" s="556"/>
      <c r="DZ75" s="556"/>
      <c r="EA75" s="556"/>
      <c r="EB75" s="556"/>
      <c r="EC75" s="556"/>
      <c r="ED75" s="556"/>
      <c r="EE75" s="560"/>
      <c r="EF75" s="560"/>
      <c r="EG75" s="560"/>
      <c r="EH75" s="560"/>
      <c r="EI75" s="560"/>
      <c r="EJ75" s="556"/>
      <c r="EK75" s="556"/>
      <c r="EL75" s="556"/>
      <c r="EM75" s="556"/>
      <c r="EN75" s="556"/>
      <c r="EO75" s="556"/>
      <c r="EP75" s="556"/>
      <c r="EQ75" s="556"/>
      <c r="ER75" s="556"/>
      <c r="ES75" s="556"/>
      <c r="ET75" s="556"/>
      <c r="EU75" s="556"/>
      <c r="EV75" s="560"/>
      <c r="EW75" s="560"/>
      <c r="EX75" s="560"/>
      <c r="EY75" s="560"/>
      <c r="EZ75" s="560"/>
      <c r="FA75" s="556"/>
      <c r="FB75" s="556"/>
      <c r="FC75" s="556"/>
      <c r="FD75" s="556"/>
      <c r="FE75" s="556"/>
      <c r="FF75" s="556"/>
      <c r="FG75" s="556"/>
      <c r="FH75" s="556"/>
      <c r="FI75" s="556"/>
      <c r="FJ75" s="556"/>
      <c r="FK75" s="556"/>
      <c r="FL75" s="556"/>
      <c r="FM75" s="556"/>
      <c r="FN75" s="556"/>
      <c r="FO75" s="556"/>
      <c r="FP75" s="556"/>
      <c r="FQ75" s="556"/>
      <c r="FR75" s="556"/>
      <c r="FS75" s="556"/>
      <c r="FT75" s="556"/>
      <c r="FU75" s="556"/>
      <c r="FV75" s="556"/>
      <c r="FW75" s="556"/>
      <c r="FX75" s="556"/>
      <c r="FY75" s="556"/>
      <c r="FZ75" s="556"/>
      <c r="GA75" s="556"/>
      <c r="GB75" s="559"/>
      <c r="GC75" s="556"/>
      <c r="GD75" s="556"/>
      <c r="GE75" s="556"/>
      <c r="GF75" s="556"/>
      <c r="GG75" s="556"/>
      <c r="GH75" s="556"/>
      <c r="GI75" s="556"/>
      <c r="GJ75" s="556"/>
      <c r="GK75" s="556"/>
      <c r="GL75" s="556"/>
      <c r="GM75" s="556"/>
      <c r="GN75" s="556"/>
      <c r="GO75" s="556"/>
      <c r="GP75" s="556"/>
      <c r="GQ75" s="556"/>
      <c r="GR75" s="556"/>
      <c r="GS75" s="556"/>
      <c r="GT75" s="556"/>
      <c r="GU75" s="556"/>
      <c r="GV75" s="556"/>
      <c r="GW75" s="556"/>
      <c r="GX75" s="556"/>
      <c r="GY75" s="556"/>
      <c r="GZ75" s="556"/>
      <c r="HA75" s="556"/>
      <c r="HB75" s="556"/>
      <c r="HC75" s="556"/>
      <c r="HD75" s="556"/>
      <c r="HE75" s="556"/>
      <c r="HF75" s="556"/>
      <c r="HG75" s="556"/>
      <c r="HH75" s="556"/>
      <c r="HI75" s="556"/>
      <c r="HJ75" s="559"/>
      <c r="HK75" s="556"/>
      <c r="HL75" s="556"/>
      <c r="HM75" s="556"/>
      <c r="HN75" s="556"/>
      <c r="HO75" s="556"/>
      <c r="HP75" s="556"/>
      <c r="HQ75" s="556"/>
      <c r="HR75" s="556"/>
      <c r="HS75" s="556"/>
      <c r="HT75" s="556"/>
      <c r="HU75" s="556"/>
      <c r="HV75" s="556"/>
      <c r="HW75" s="556"/>
      <c r="HX75" s="556"/>
      <c r="HY75" s="556"/>
      <c r="HZ75" s="556" t="s">
        <v>16</v>
      </c>
      <c r="IA75" s="556" t="s">
        <v>2</v>
      </c>
      <c r="IB75" s="556" t="s">
        <v>4</v>
      </c>
      <c r="IC75" s="556" t="s">
        <v>16</v>
      </c>
      <c r="ID75" s="556" t="s">
        <v>30788</v>
      </c>
      <c r="IE75" s="556" t="s">
        <v>30789</v>
      </c>
      <c r="IF75" s="556" t="s">
        <v>30790</v>
      </c>
      <c r="IG75" s="556" t="s">
        <v>30791</v>
      </c>
      <c r="IH75" s="556" t="s">
        <v>30785</v>
      </c>
    </row>
    <row r="76" spans="1:242" s="561" customFormat="1" ht="36.75" customHeight="1" x14ac:dyDescent="0.2">
      <c r="A76" s="556">
        <v>145</v>
      </c>
      <c r="B76" s="556" t="s">
        <v>11781</v>
      </c>
      <c r="C76" s="556" t="s">
        <v>30840</v>
      </c>
      <c r="D76" s="556" t="s">
        <v>30786</v>
      </c>
      <c r="E76" s="556" t="s">
        <v>7</v>
      </c>
      <c r="F76" s="556" t="s">
        <v>30841</v>
      </c>
      <c r="G76" s="556">
        <v>1225.4000000000001</v>
      </c>
      <c r="H76" s="556">
        <v>4.5</v>
      </c>
      <c r="I76" s="556" t="s">
        <v>29288</v>
      </c>
      <c r="J76" s="556" t="s">
        <v>4</v>
      </c>
      <c r="K76" s="556" t="s">
        <v>30842</v>
      </c>
      <c r="L76" s="556">
        <v>772822015</v>
      </c>
      <c r="M76" s="556" t="s">
        <v>3</v>
      </c>
      <c r="N76" s="556" t="s">
        <v>31590</v>
      </c>
      <c r="O76" s="556" t="s">
        <v>4</v>
      </c>
      <c r="P76" s="556">
        <v>10</v>
      </c>
      <c r="Q76" s="556" t="s">
        <v>7</v>
      </c>
      <c r="R76" s="556" t="s">
        <v>31549</v>
      </c>
      <c r="S76" s="556" t="s">
        <v>4</v>
      </c>
      <c r="T76" s="556" t="s">
        <v>2</v>
      </c>
      <c r="U76" s="556" t="s">
        <v>4</v>
      </c>
      <c r="V76" s="556"/>
      <c r="W76" s="556" t="s">
        <v>4</v>
      </c>
      <c r="X76" s="556" t="s">
        <v>4</v>
      </c>
      <c r="Y76" s="557">
        <v>45118</v>
      </c>
      <c r="Z76" s="557" t="str">
        <f>IF(OR(T76="yes",Y76&gt;'SDG outcome'!$C$27),"yes","no")</f>
        <v>yes</v>
      </c>
      <c r="AA76" s="558">
        <f t="shared" si="1"/>
        <v>0</v>
      </c>
      <c r="AB76" s="558" t="str">
        <f>IF(AND(Z76="no",AND(Y76&gt;='SDG outcome'!$B$16,Y76&lt;'SDG outcome'!$C$27)),Y76-'SDG outcome'!$B$16,"")</f>
        <v/>
      </c>
      <c r="AC76" s="556" t="s">
        <v>31699</v>
      </c>
      <c r="AD76" s="556" t="s">
        <v>4</v>
      </c>
      <c r="AE76" s="556" t="s">
        <v>4</v>
      </c>
      <c r="AF76" s="556" t="s">
        <v>4</v>
      </c>
      <c r="AG76" s="556" t="s">
        <v>4</v>
      </c>
      <c r="AH76" s="556" t="s">
        <v>4</v>
      </c>
      <c r="AI76" s="557" t="s">
        <v>4</v>
      </c>
      <c r="AJ76" s="556" t="s">
        <v>4</v>
      </c>
      <c r="AK76" s="556"/>
      <c r="AL76" s="556"/>
      <c r="AM76" s="556"/>
      <c r="AN76" s="556"/>
      <c r="AO76" s="556"/>
      <c r="AP76" s="556"/>
      <c r="AQ76" s="556"/>
      <c r="AR76" s="556"/>
      <c r="AS76" s="556"/>
      <c r="AT76" s="556"/>
      <c r="AU76" s="556"/>
      <c r="AV76" s="556"/>
      <c r="AW76" s="556"/>
      <c r="AX76" s="556"/>
      <c r="AY76" s="556"/>
      <c r="AZ76" s="556"/>
      <c r="BA76" s="556"/>
      <c r="BB76" s="556"/>
      <c r="BC76" s="556"/>
      <c r="BD76" s="556"/>
      <c r="BE76" s="556"/>
      <c r="BF76" s="556"/>
      <c r="BG76" s="556"/>
      <c r="BH76" s="556"/>
      <c r="BI76" s="556"/>
      <c r="BJ76" s="556"/>
      <c r="BK76" s="556"/>
      <c r="BL76" s="556"/>
      <c r="BM76" s="556"/>
      <c r="BN76" s="556"/>
      <c r="BO76" s="556"/>
      <c r="BP76" s="556"/>
      <c r="BQ76" s="556"/>
      <c r="BR76" s="556"/>
      <c r="BS76" s="556"/>
      <c r="BT76" s="556"/>
      <c r="BU76" s="556"/>
      <c r="BV76" s="556"/>
      <c r="BW76" s="556"/>
      <c r="BX76" s="556"/>
      <c r="BY76" s="556"/>
      <c r="BZ76" s="556"/>
      <c r="CA76" s="556"/>
      <c r="CB76" s="556"/>
      <c r="CC76" s="556"/>
      <c r="CD76" s="556"/>
      <c r="CE76" s="556"/>
      <c r="CF76" s="556"/>
      <c r="CG76" s="556"/>
      <c r="CH76" s="556"/>
      <c r="CI76" s="556"/>
      <c r="CJ76" s="556"/>
      <c r="CK76" s="556"/>
      <c r="CL76" s="556"/>
      <c r="CM76" s="556"/>
      <c r="CN76" s="556"/>
      <c r="CO76" s="556"/>
      <c r="CP76" s="556"/>
      <c r="CQ76" s="556"/>
      <c r="CR76" s="556"/>
      <c r="CS76" s="556"/>
      <c r="CT76" s="556"/>
      <c r="CU76" s="556"/>
      <c r="CV76" s="556"/>
      <c r="CW76" s="556"/>
      <c r="CX76" s="556"/>
      <c r="CY76" s="556"/>
      <c r="CZ76" s="556"/>
      <c r="DA76" s="556"/>
      <c r="DB76" s="556"/>
      <c r="DC76" s="556"/>
      <c r="DD76" s="556"/>
      <c r="DE76" s="556"/>
      <c r="DF76" s="556"/>
      <c r="DG76" s="556"/>
      <c r="DH76" s="556"/>
      <c r="DI76" s="556"/>
      <c r="DJ76" s="556"/>
      <c r="DK76" s="556"/>
      <c r="DL76" s="556"/>
      <c r="DM76" s="556"/>
      <c r="DN76" s="556"/>
      <c r="DO76" s="556"/>
      <c r="DP76" s="556"/>
      <c r="DQ76" s="556"/>
      <c r="DR76" s="556"/>
      <c r="DS76" s="556"/>
      <c r="DT76" s="559"/>
      <c r="DU76" s="556"/>
      <c r="DV76" s="559"/>
      <c r="DW76" s="556"/>
      <c r="DX76" s="556"/>
      <c r="DY76" s="556"/>
      <c r="DZ76" s="556"/>
      <c r="EA76" s="556"/>
      <c r="EB76" s="556"/>
      <c r="EC76" s="556"/>
      <c r="ED76" s="556"/>
      <c r="EE76" s="560"/>
      <c r="EF76" s="560"/>
      <c r="EG76" s="560"/>
      <c r="EH76" s="560"/>
      <c r="EI76" s="560"/>
      <c r="EJ76" s="556"/>
      <c r="EK76" s="556"/>
      <c r="EL76" s="556"/>
      <c r="EM76" s="556"/>
      <c r="EN76" s="556"/>
      <c r="EO76" s="556"/>
      <c r="EP76" s="556"/>
      <c r="EQ76" s="556"/>
      <c r="ER76" s="556"/>
      <c r="ES76" s="556"/>
      <c r="ET76" s="556"/>
      <c r="EU76" s="556"/>
      <c r="EV76" s="560"/>
      <c r="EW76" s="560"/>
      <c r="EX76" s="560"/>
      <c r="EY76" s="560"/>
      <c r="EZ76" s="560"/>
      <c r="FA76" s="556"/>
      <c r="FB76" s="556"/>
      <c r="FC76" s="556"/>
      <c r="FD76" s="556"/>
      <c r="FE76" s="556"/>
      <c r="FF76" s="556"/>
      <c r="FG76" s="556"/>
      <c r="FH76" s="556"/>
      <c r="FI76" s="556"/>
      <c r="FJ76" s="556"/>
      <c r="FK76" s="556"/>
      <c r="FL76" s="556"/>
      <c r="FM76" s="556"/>
      <c r="FN76" s="556"/>
      <c r="FO76" s="556"/>
      <c r="FP76" s="556"/>
      <c r="FQ76" s="556"/>
      <c r="FR76" s="556"/>
      <c r="FS76" s="556"/>
      <c r="FT76" s="556"/>
      <c r="FU76" s="556"/>
      <c r="FV76" s="556"/>
      <c r="FW76" s="556"/>
      <c r="FX76" s="556"/>
      <c r="FY76" s="556"/>
      <c r="FZ76" s="556"/>
      <c r="GA76" s="556"/>
      <c r="GB76" s="559"/>
      <c r="GC76" s="556"/>
      <c r="GD76" s="556"/>
      <c r="GE76" s="556"/>
      <c r="GF76" s="556"/>
      <c r="GG76" s="556"/>
      <c r="GH76" s="556"/>
      <c r="GI76" s="556"/>
      <c r="GJ76" s="556"/>
      <c r="GK76" s="556"/>
      <c r="GL76" s="556"/>
      <c r="GM76" s="556"/>
      <c r="GN76" s="556"/>
      <c r="GO76" s="556"/>
      <c r="GP76" s="556"/>
      <c r="GQ76" s="556"/>
      <c r="GR76" s="556"/>
      <c r="GS76" s="556"/>
      <c r="GT76" s="556"/>
      <c r="GU76" s="556"/>
      <c r="GV76" s="556"/>
      <c r="GW76" s="556"/>
      <c r="GX76" s="556"/>
      <c r="GY76" s="556"/>
      <c r="GZ76" s="556"/>
      <c r="HA76" s="556"/>
      <c r="HB76" s="556"/>
      <c r="HC76" s="556"/>
      <c r="HD76" s="556"/>
      <c r="HE76" s="556"/>
      <c r="HF76" s="556"/>
      <c r="HG76" s="556"/>
      <c r="HH76" s="556"/>
      <c r="HI76" s="556"/>
      <c r="HJ76" s="559"/>
      <c r="HK76" s="556"/>
      <c r="HL76" s="556"/>
      <c r="HM76" s="556"/>
      <c r="HN76" s="556"/>
      <c r="HO76" s="556"/>
      <c r="HP76" s="556"/>
      <c r="HQ76" s="556"/>
      <c r="HR76" s="556"/>
      <c r="HS76" s="556"/>
      <c r="HT76" s="556"/>
      <c r="HU76" s="556"/>
      <c r="HV76" s="556"/>
      <c r="HW76" s="556"/>
      <c r="HX76" s="556"/>
      <c r="HY76" s="556"/>
      <c r="HZ76" s="556" t="s">
        <v>16</v>
      </c>
      <c r="IA76" s="556" t="s">
        <v>2</v>
      </c>
      <c r="IB76" s="556" t="s">
        <v>4</v>
      </c>
      <c r="IC76" s="556" t="s">
        <v>16</v>
      </c>
      <c r="ID76" s="556" t="s">
        <v>30843</v>
      </c>
      <c r="IE76" s="556" t="s">
        <v>30844</v>
      </c>
      <c r="IF76" s="556" t="s">
        <v>30845</v>
      </c>
      <c r="IG76" s="556" t="s">
        <v>30846</v>
      </c>
      <c r="IH76" s="556" t="s">
        <v>30840</v>
      </c>
    </row>
    <row r="77" spans="1:242" s="561" customFormat="1" ht="36.75" customHeight="1" x14ac:dyDescent="0.2">
      <c r="A77" s="556">
        <v>146</v>
      </c>
      <c r="B77" s="556" t="s">
        <v>13110</v>
      </c>
      <c r="C77" s="556" t="s">
        <v>30847</v>
      </c>
      <c r="D77" s="556" t="s">
        <v>30786</v>
      </c>
      <c r="E77" s="556" t="s">
        <v>7</v>
      </c>
      <c r="F77" s="556" t="s">
        <v>30848</v>
      </c>
      <c r="G77" s="556">
        <v>1199.3</v>
      </c>
      <c r="H77" s="556">
        <v>6</v>
      </c>
      <c r="I77" s="556" t="s">
        <v>29288</v>
      </c>
      <c r="J77" s="556" t="s">
        <v>4</v>
      </c>
      <c r="K77" s="556" t="s">
        <v>30849</v>
      </c>
      <c r="L77" s="556">
        <v>786803302</v>
      </c>
      <c r="M77" s="556" t="s">
        <v>3</v>
      </c>
      <c r="N77" s="556" t="s">
        <v>31590</v>
      </c>
      <c r="O77" s="556" t="s">
        <v>4</v>
      </c>
      <c r="P77" s="556">
        <v>12</v>
      </c>
      <c r="Q77" s="556" t="s">
        <v>7</v>
      </c>
      <c r="R77" s="556" t="s">
        <v>31549</v>
      </c>
      <c r="S77" s="556" t="s">
        <v>4</v>
      </c>
      <c r="T77" s="556" t="s">
        <v>2</v>
      </c>
      <c r="U77" s="556" t="s">
        <v>4</v>
      </c>
      <c r="V77" s="556"/>
      <c r="W77" s="556" t="s">
        <v>4</v>
      </c>
      <c r="X77" s="556" t="s">
        <v>4</v>
      </c>
      <c r="Y77" s="557">
        <v>45118</v>
      </c>
      <c r="Z77" s="557" t="str">
        <f>IF(OR(T77="yes",Y77&gt;'SDG outcome'!$C$27),"yes","no")</f>
        <v>yes</v>
      </c>
      <c r="AA77" s="558">
        <f t="shared" si="1"/>
        <v>0</v>
      </c>
      <c r="AB77" s="558" t="str">
        <f>IF(AND(Z77="no",AND(Y77&gt;='SDG outcome'!$B$16,Y77&lt;'SDG outcome'!$C$27)),Y77-'SDG outcome'!$B$16,"")</f>
        <v/>
      </c>
      <c r="AC77" s="556" t="s">
        <v>31572</v>
      </c>
      <c r="AD77" s="556" t="s">
        <v>4</v>
      </c>
      <c r="AE77" s="556" t="s">
        <v>7</v>
      </c>
      <c r="AF77" s="556" t="s">
        <v>31872</v>
      </c>
      <c r="AG77" s="556" t="s">
        <v>4</v>
      </c>
      <c r="AH77" s="556" t="s">
        <v>7</v>
      </c>
      <c r="AI77" s="557">
        <v>45118</v>
      </c>
      <c r="AJ77" s="556" t="s">
        <v>4</v>
      </c>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c r="CM77" s="556"/>
      <c r="CN77" s="556"/>
      <c r="CO77" s="556"/>
      <c r="CP77" s="556"/>
      <c r="CQ77" s="556"/>
      <c r="CR77" s="556"/>
      <c r="CS77" s="556"/>
      <c r="CT77" s="556"/>
      <c r="CU77" s="556"/>
      <c r="CV77" s="556"/>
      <c r="CW77" s="556"/>
      <c r="CX77" s="556"/>
      <c r="CY77" s="556"/>
      <c r="CZ77" s="556"/>
      <c r="DA77" s="556"/>
      <c r="DB77" s="556"/>
      <c r="DC77" s="556"/>
      <c r="DD77" s="556"/>
      <c r="DE77" s="556"/>
      <c r="DF77" s="556"/>
      <c r="DG77" s="556"/>
      <c r="DH77" s="556"/>
      <c r="DI77" s="556"/>
      <c r="DJ77" s="556"/>
      <c r="DK77" s="556"/>
      <c r="DL77" s="556"/>
      <c r="DM77" s="556"/>
      <c r="DN77" s="556"/>
      <c r="DO77" s="556"/>
      <c r="DP77" s="556"/>
      <c r="DQ77" s="556"/>
      <c r="DR77" s="556"/>
      <c r="DS77" s="556"/>
      <c r="DT77" s="559"/>
      <c r="DU77" s="556"/>
      <c r="DV77" s="559"/>
      <c r="DW77" s="556"/>
      <c r="DX77" s="556"/>
      <c r="DY77" s="556"/>
      <c r="DZ77" s="556"/>
      <c r="EA77" s="556"/>
      <c r="EB77" s="556"/>
      <c r="EC77" s="556"/>
      <c r="ED77" s="556"/>
      <c r="EE77" s="560"/>
      <c r="EF77" s="560"/>
      <c r="EG77" s="560"/>
      <c r="EH77" s="560"/>
      <c r="EI77" s="560"/>
      <c r="EJ77" s="556"/>
      <c r="EK77" s="556"/>
      <c r="EL77" s="556"/>
      <c r="EM77" s="556"/>
      <c r="EN77" s="556"/>
      <c r="EO77" s="556"/>
      <c r="EP77" s="556"/>
      <c r="EQ77" s="556"/>
      <c r="ER77" s="556"/>
      <c r="ES77" s="556"/>
      <c r="ET77" s="556"/>
      <c r="EU77" s="556"/>
      <c r="EV77" s="560"/>
      <c r="EW77" s="560"/>
      <c r="EX77" s="560"/>
      <c r="EY77" s="560"/>
      <c r="EZ77" s="560"/>
      <c r="FA77" s="556"/>
      <c r="FB77" s="556"/>
      <c r="FC77" s="556"/>
      <c r="FD77" s="556"/>
      <c r="FE77" s="556"/>
      <c r="FF77" s="556"/>
      <c r="FG77" s="556"/>
      <c r="FH77" s="556"/>
      <c r="FI77" s="556"/>
      <c r="FJ77" s="556"/>
      <c r="FK77" s="556"/>
      <c r="FL77" s="556"/>
      <c r="FM77" s="556"/>
      <c r="FN77" s="556"/>
      <c r="FO77" s="556"/>
      <c r="FP77" s="556"/>
      <c r="FQ77" s="556"/>
      <c r="FR77" s="556"/>
      <c r="FS77" s="556"/>
      <c r="FT77" s="556"/>
      <c r="FU77" s="556"/>
      <c r="FV77" s="556"/>
      <c r="FW77" s="556"/>
      <c r="FX77" s="556"/>
      <c r="FY77" s="556"/>
      <c r="FZ77" s="556"/>
      <c r="GA77" s="556"/>
      <c r="GB77" s="559"/>
      <c r="GC77" s="556"/>
      <c r="GD77" s="556"/>
      <c r="GE77" s="556"/>
      <c r="GF77" s="556"/>
      <c r="GG77" s="556"/>
      <c r="GH77" s="556"/>
      <c r="GI77" s="556"/>
      <c r="GJ77" s="556"/>
      <c r="GK77" s="556"/>
      <c r="GL77" s="556"/>
      <c r="GM77" s="556"/>
      <c r="GN77" s="556"/>
      <c r="GO77" s="556"/>
      <c r="GP77" s="556"/>
      <c r="GQ77" s="556"/>
      <c r="GR77" s="556"/>
      <c r="GS77" s="556"/>
      <c r="GT77" s="556"/>
      <c r="GU77" s="556"/>
      <c r="GV77" s="556"/>
      <c r="GW77" s="556"/>
      <c r="GX77" s="556"/>
      <c r="GY77" s="556"/>
      <c r="GZ77" s="556"/>
      <c r="HA77" s="556"/>
      <c r="HB77" s="556"/>
      <c r="HC77" s="556"/>
      <c r="HD77" s="556"/>
      <c r="HE77" s="556"/>
      <c r="HF77" s="556"/>
      <c r="HG77" s="556"/>
      <c r="HH77" s="556"/>
      <c r="HI77" s="556"/>
      <c r="HJ77" s="559"/>
      <c r="HK77" s="556"/>
      <c r="HL77" s="556"/>
      <c r="HM77" s="556"/>
      <c r="HN77" s="556"/>
      <c r="HO77" s="556"/>
      <c r="HP77" s="556"/>
      <c r="HQ77" s="556"/>
      <c r="HR77" s="556"/>
      <c r="HS77" s="556"/>
      <c r="HT77" s="556"/>
      <c r="HU77" s="556"/>
      <c r="HV77" s="556"/>
      <c r="HW77" s="556"/>
      <c r="HX77" s="556"/>
      <c r="HY77" s="556"/>
      <c r="HZ77" s="556" t="s">
        <v>30850</v>
      </c>
      <c r="IA77" s="556" t="s">
        <v>7</v>
      </c>
      <c r="IB77" s="556" t="s">
        <v>30851</v>
      </c>
      <c r="IC77" s="556" t="s">
        <v>30852</v>
      </c>
      <c r="ID77" s="556" t="s">
        <v>30853</v>
      </c>
      <c r="IE77" s="556" t="s">
        <v>30854</v>
      </c>
      <c r="IF77" s="556" t="s">
        <v>30855</v>
      </c>
      <c r="IG77" s="556" t="s">
        <v>30856</v>
      </c>
      <c r="IH77" s="556" t="s">
        <v>30847</v>
      </c>
    </row>
    <row r="78" spans="1:242" s="561" customFormat="1" ht="36.75" customHeight="1" x14ac:dyDescent="0.2">
      <c r="A78" s="239">
        <v>24</v>
      </c>
      <c r="B78" s="239" t="s">
        <v>15135</v>
      </c>
      <c r="C78" s="239" t="s">
        <v>29610</v>
      </c>
      <c r="D78" s="239" t="s">
        <v>29563</v>
      </c>
      <c r="E78" s="239" t="s">
        <v>7</v>
      </c>
      <c r="F78" s="239" t="s">
        <v>29611</v>
      </c>
      <c r="G78" s="239">
        <v>1051.4000000000001</v>
      </c>
      <c r="H78" s="239">
        <v>4.5999999999999996</v>
      </c>
      <c r="I78" s="239" t="s">
        <v>29349</v>
      </c>
      <c r="J78" s="239" t="s">
        <v>4</v>
      </c>
      <c r="K78" s="239" t="s">
        <v>29612</v>
      </c>
      <c r="L78" s="239">
        <v>761071585</v>
      </c>
      <c r="M78" s="239" t="s">
        <v>5</v>
      </c>
      <c r="N78" s="239" t="s">
        <v>31598</v>
      </c>
      <c r="O78" s="239" t="s">
        <v>4</v>
      </c>
      <c r="P78" s="239">
        <v>6</v>
      </c>
      <c r="Q78" s="239" t="s">
        <v>7</v>
      </c>
      <c r="R78" s="239" t="s">
        <v>31655</v>
      </c>
      <c r="S78" s="239" t="s">
        <v>4</v>
      </c>
      <c r="T78" s="239" t="s">
        <v>7</v>
      </c>
      <c r="U78" s="239" t="s">
        <v>7</v>
      </c>
      <c r="V78" s="239"/>
      <c r="W78" s="239" t="s">
        <v>7</v>
      </c>
      <c r="X78" s="239" t="s">
        <v>4</v>
      </c>
      <c r="Y78" s="239" t="s">
        <v>4</v>
      </c>
      <c r="Z78" s="241" t="str">
        <f>IF(OR(T78="yes",Y78&gt;'SDG outcome'!$C$27),"yes","no")</f>
        <v>yes</v>
      </c>
      <c r="AA78" s="243">
        <f t="shared" si="1"/>
        <v>0</v>
      </c>
      <c r="AB78" s="243" t="str">
        <f>IF(AND(Z78="no",AND(Y78&gt;='SDG outcome'!$B$16,Y78&lt;'SDG outcome'!$C$27)),Y78-'SDG outcome'!$B$16,"")</f>
        <v/>
      </c>
      <c r="AC78" s="239" t="s">
        <v>4</v>
      </c>
      <c r="AD78" s="239" t="s">
        <v>4</v>
      </c>
      <c r="AE78" s="239" t="s">
        <v>4</v>
      </c>
      <c r="AF78" s="239" t="s">
        <v>4</v>
      </c>
      <c r="AG78" s="239" t="s">
        <v>4</v>
      </c>
      <c r="AH78" s="239" t="s">
        <v>4</v>
      </c>
      <c r="AI78" s="239" t="s">
        <v>4</v>
      </c>
      <c r="AJ78" s="239" t="s">
        <v>29290</v>
      </c>
      <c r="AK78" s="239" t="s">
        <v>29291</v>
      </c>
      <c r="AL78" s="239" t="s">
        <v>4</v>
      </c>
      <c r="AM78" s="239" t="s">
        <v>4</v>
      </c>
      <c r="AN78" s="239" t="s">
        <v>31605</v>
      </c>
      <c r="AO78" s="239" t="s">
        <v>4</v>
      </c>
      <c r="AP78" s="239" t="s">
        <v>31600</v>
      </c>
      <c r="AQ78" s="239" t="s">
        <v>4</v>
      </c>
      <c r="AR78" s="239" t="s">
        <v>31574</v>
      </c>
      <c r="AS78" s="239" t="s">
        <v>4</v>
      </c>
      <c r="AT78" s="239" t="s">
        <v>7</v>
      </c>
      <c r="AU78" s="239" t="s">
        <v>4</v>
      </c>
      <c r="AV78" s="239" t="s">
        <v>4</v>
      </c>
      <c r="AW78" s="239" t="s">
        <v>31539</v>
      </c>
      <c r="AX78" s="239" t="s">
        <v>4</v>
      </c>
      <c r="AY78" s="239" t="s">
        <v>4</v>
      </c>
      <c r="AZ78" s="239" t="s">
        <v>2</v>
      </c>
      <c r="BA78" s="239" t="s">
        <v>4</v>
      </c>
      <c r="BB78" s="239" t="s">
        <v>4</v>
      </c>
      <c r="BC78" s="239" t="s">
        <v>31563</v>
      </c>
      <c r="BD78" s="239" t="s">
        <v>31541</v>
      </c>
      <c r="BE78" s="239" t="s">
        <v>4</v>
      </c>
      <c r="BF78" s="239" t="s">
        <v>14</v>
      </c>
      <c r="BG78" s="239" t="s">
        <v>4</v>
      </c>
      <c r="BH78" s="239" t="s">
        <v>31542</v>
      </c>
      <c r="BI78" s="239" t="s">
        <v>31662</v>
      </c>
      <c r="BJ78" s="239" t="s">
        <v>31566</v>
      </c>
      <c r="BK78" s="239">
        <v>1</v>
      </c>
      <c r="BL78" s="239">
        <v>30</v>
      </c>
      <c r="BM78" s="239" t="s">
        <v>7</v>
      </c>
      <c r="BN78" s="239" t="s">
        <v>6</v>
      </c>
      <c r="BO78" s="239" t="s">
        <v>4</v>
      </c>
      <c r="BP78" s="239" t="s">
        <v>31425</v>
      </c>
      <c r="BQ78" s="239">
        <v>1</v>
      </c>
      <c r="BR78" s="239">
        <v>60</v>
      </c>
      <c r="BS78" s="239" t="s">
        <v>31435</v>
      </c>
      <c r="BT78" s="239"/>
      <c r="BU78" s="239">
        <v>1</v>
      </c>
      <c r="BV78" s="239" cm="1">
        <f t="array" ref="BV78">_xlfn.IFS(BS78="Foreword vehicle",BU78*0,BS78="Human wastes",BU78*0,BS78="Jerrycans",BU78*$BV$228,BS78="Number of Basins",BU78*$BV$229,BS78="Number of Buckets",BU78*$CA$226,BS78="Number of Kgs",BU78*$CA$227,BS78="Number of spades",BU78*$CA$228,BS78="Number of wheelbarrows",BU78*$CA$229,BT78="Foreword vehicle",BU78*0,BT78="Human wastes",BU78*0,BT78="Jerrycans",BU78*$BV$228,BS78="","")</f>
        <v>70.5</v>
      </c>
      <c r="BW78" s="239">
        <f>IF(BV78="","",Table14[[#This Row],[Calculation: Conversion of metric to Kg manure feeding (Columns: BP, BQ, BR)]]*Table14[[#This Row],[Number of times used to feed biodigester]])</f>
        <v>70.5</v>
      </c>
      <c r="BX78" s="239" cm="1">
        <f t="array" ref="BX78">_xlfn.IFS(BP78="Number of times per day (1 to 3)",BW78/$BX$226,BP78="Number of times per week (1 to 6)",BW78/$BX$227,BP78="Number of times per Month (1 to 3)",BW78/$BX$228,BW78="","")</f>
        <v>70.5</v>
      </c>
      <c r="BY78" s="239" t="s">
        <v>31650</v>
      </c>
      <c r="BZ78" s="239" t="s">
        <v>4</v>
      </c>
      <c r="CA78" s="239" t="s">
        <v>2</v>
      </c>
      <c r="CB78" s="239" t="s">
        <v>4</v>
      </c>
      <c r="CC78" s="239" t="s">
        <v>4</v>
      </c>
      <c r="CD78" s="239" t="s">
        <v>4</v>
      </c>
      <c r="CE78" s="239" t="s">
        <v>7</v>
      </c>
      <c r="CF78" s="239" t="s">
        <v>31663</v>
      </c>
      <c r="CG78" s="239" t="s">
        <v>4</v>
      </c>
      <c r="CH78" s="239" t="s">
        <v>31664</v>
      </c>
      <c r="CI78" s="239">
        <v>0</v>
      </c>
      <c r="CJ78" s="239">
        <v>62</v>
      </c>
      <c r="CK78" s="239">
        <v>5</v>
      </c>
      <c r="CL78" s="239">
        <v>0</v>
      </c>
      <c r="CM78" s="239">
        <v>85</v>
      </c>
      <c r="CN78" s="239">
        <v>25</v>
      </c>
      <c r="CO78" s="239">
        <v>10</v>
      </c>
      <c r="CP78" s="239">
        <v>120</v>
      </c>
      <c r="CQ78" s="239">
        <v>2</v>
      </c>
      <c r="CR78" s="239">
        <v>7</v>
      </c>
      <c r="CS78" s="239">
        <f>CP78/'SDG outcome'!$C$9*CQ78*CR78</f>
        <v>4.8414985590778103</v>
      </c>
      <c r="CT78" s="239" t="s">
        <v>4</v>
      </c>
      <c r="CU78" s="239" t="s">
        <v>4</v>
      </c>
      <c r="CV78" s="239" t="s">
        <v>4</v>
      </c>
      <c r="CW78" s="239">
        <v>50</v>
      </c>
      <c r="CX78" s="239">
        <v>50</v>
      </c>
      <c r="CY78" s="239" t="s">
        <v>31665</v>
      </c>
      <c r="CZ78" s="239" t="s">
        <v>4</v>
      </c>
      <c r="DA78" s="239" t="s">
        <v>4</v>
      </c>
      <c r="DB78" s="239" t="s">
        <v>4</v>
      </c>
      <c r="DC78" s="239">
        <v>0</v>
      </c>
      <c r="DD78" s="239">
        <v>100</v>
      </c>
      <c r="DE78" s="239" t="s">
        <v>31666</v>
      </c>
      <c r="DF78" s="239">
        <v>0</v>
      </c>
      <c r="DG78" s="239">
        <v>100</v>
      </c>
      <c r="DH78" s="239" t="s">
        <v>31666</v>
      </c>
      <c r="DI78" s="239" t="s">
        <v>4</v>
      </c>
      <c r="DJ78" s="239" t="s">
        <v>4</v>
      </c>
      <c r="DK78" s="239" t="s">
        <v>4</v>
      </c>
      <c r="DL78" s="239">
        <v>0</v>
      </c>
      <c r="DM78" s="239">
        <v>100</v>
      </c>
      <c r="DN78" s="239" t="s">
        <v>31666</v>
      </c>
      <c r="DO78" s="239">
        <v>0.5</v>
      </c>
      <c r="DP78" s="239" t="s">
        <v>7</v>
      </c>
      <c r="DQ78" s="239" t="s">
        <v>29292</v>
      </c>
      <c r="DR78" s="239" t="s">
        <v>4</v>
      </c>
      <c r="DS78" s="239" t="s">
        <v>29293</v>
      </c>
      <c r="DT78" s="240">
        <v>15000</v>
      </c>
      <c r="DU78" s="239" t="s">
        <v>29293</v>
      </c>
      <c r="DV78" s="240">
        <v>0</v>
      </c>
      <c r="DW78" s="239" t="s">
        <v>29508</v>
      </c>
      <c r="DX78" s="239"/>
      <c r="DY78" s="239"/>
      <c r="DZ78" s="239"/>
      <c r="EA78" s="239"/>
      <c r="EB78" s="239"/>
      <c r="EC78" s="239"/>
      <c r="ED78" s="239"/>
      <c r="EE78" s="320">
        <f>Table14[[#This Row],[% Fertilizer]]*$DX78/10000</f>
        <v>0</v>
      </c>
      <c r="EF78" s="320">
        <f>Table14[[#This Row],[% bioslurry used as Insecticide/Pesticide]]*$DX78/10000</f>
        <v>0</v>
      </c>
      <c r="EG78" s="320">
        <f>Table14[[#This Row],[% of Bioslurry used as animal feed]]*$DX78/10000</f>
        <v>0</v>
      </c>
      <c r="EH78" s="320">
        <f>Table14[[#This Row],[% of Bioslurry sold]]*$DX78/10000</f>
        <v>0</v>
      </c>
      <c r="EI78" s="320">
        <f>Table14[[#This Row],[% used other way(if used directly)]]*$DX78/10000</f>
        <v>0</v>
      </c>
      <c r="EJ78" s="239">
        <v>100</v>
      </c>
      <c r="EK78" s="239" t="s">
        <v>26</v>
      </c>
      <c r="EL78" s="239"/>
      <c r="EM78" s="239"/>
      <c r="EN78" s="239"/>
      <c r="EO78" s="239">
        <f>(Table14[[#This Row],[% Uncovered lagoon greater than 1 meter]]+Table14[[#This Row],[Uncovered lagoon (black watery mass) &lt;1 meter]]+Table14[[#This Row],[% Liquid slurry (brown porridge type)]])*Table14[[#This Row],[% Store it first]]/100</f>
        <v>0</v>
      </c>
      <c r="EP78" s="239">
        <v>100</v>
      </c>
      <c r="EQ78" s="239"/>
      <c r="ER78" s="239"/>
      <c r="ES78" s="239"/>
      <c r="ET78" s="239">
        <f>(Table14[[#This Row],[% Solid storage]]+Table14[[#This Row],[% Sun drying]]+Table14[[#This Row],[% Composting with a roof]]+Table14[[#This Row],[% Composting without a roof]])*Table14[[#This Row],[% Store it first]]/100</f>
        <v>100</v>
      </c>
      <c r="EU78" s="239">
        <v>14</v>
      </c>
      <c r="EV78" s="320">
        <f t="shared" ref="EV78:EV109" si="2">FF78*$EJ78/10000</f>
        <v>0.9</v>
      </c>
      <c r="EW78" s="320">
        <f t="shared" ref="EW78:EW109" si="3">FG78*$EJ78/10000</f>
        <v>0</v>
      </c>
      <c r="EX78" s="320">
        <f t="shared" ref="EX78:EX109" si="4">FH78*$EJ78/10000</f>
        <v>0.1</v>
      </c>
      <c r="EY78" s="320">
        <f t="shared" ref="EY78:EY109" si="5">FI78*$EJ78/10000</f>
        <v>0</v>
      </c>
      <c r="EZ78" s="320">
        <f t="shared" ref="EZ78:EZ109" si="6">FJ78*$EJ78/10000</f>
        <v>0</v>
      </c>
      <c r="FA78" s="239"/>
      <c r="FB78" s="239"/>
      <c r="FC78" s="239"/>
      <c r="FD78" s="239">
        <f>Table14[[#This Row],[% I donâ€™t use it / discarded]]+Table14[[#This Row],[% Other (specify)(If you use bioslurry directly)]]+Table14[[#This Row],[% Store it first]]+Table14[[#This Row],[% Use directly for various purposes]]</f>
        <v>100</v>
      </c>
      <c r="FE78" s="239" t="s">
        <v>29336</v>
      </c>
      <c r="FF78" s="239">
        <v>90</v>
      </c>
      <c r="FG78" s="239"/>
      <c r="FH78" s="239">
        <v>10</v>
      </c>
      <c r="FI78" s="239"/>
      <c r="FJ78" s="239"/>
      <c r="FK78" s="239">
        <v>2.8330000000000002</v>
      </c>
      <c r="FL78" s="239" t="s">
        <v>7</v>
      </c>
      <c r="FM78" s="239">
        <v>20</v>
      </c>
      <c r="FN78" s="239">
        <f>FK78*FM78/100</f>
        <v>0.56659999999999999</v>
      </c>
      <c r="FO78" s="239" t="s">
        <v>29613</v>
      </c>
      <c r="FP78" s="239" t="s">
        <v>29298</v>
      </c>
      <c r="FQ78" s="239">
        <v>84</v>
      </c>
      <c r="FR78" s="239" t="s">
        <v>2</v>
      </c>
      <c r="FS78" s="239" t="s">
        <v>4</v>
      </c>
      <c r="FT78" s="239" t="s">
        <v>4</v>
      </c>
      <c r="FU78" s="239" t="s">
        <v>2</v>
      </c>
      <c r="FV78" s="239" t="s">
        <v>4</v>
      </c>
      <c r="FW78" s="239" t="s">
        <v>4</v>
      </c>
      <c r="FX78" s="239" t="s">
        <v>4</v>
      </c>
      <c r="FY78" s="239" t="s">
        <v>4</v>
      </c>
      <c r="FZ78" s="239" t="s">
        <v>4</v>
      </c>
      <c r="GA78" s="239" t="s">
        <v>4</v>
      </c>
      <c r="GB78" s="240" t="s">
        <v>4</v>
      </c>
      <c r="GC78" s="239" t="s">
        <v>4</v>
      </c>
      <c r="GD78" s="239" t="s">
        <v>7</v>
      </c>
      <c r="GE78" s="239" t="s">
        <v>29301</v>
      </c>
      <c r="GF78" s="239" t="s">
        <v>4</v>
      </c>
      <c r="GG78" s="239" t="s">
        <v>7</v>
      </c>
      <c r="GH78" s="239" t="s">
        <v>7</v>
      </c>
      <c r="GI78" s="239" t="s">
        <v>29302</v>
      </c>
      <c r="GJ78" s="239" t="s">
        <v>29579</v>
      </c>
      <c r="GK78" s="239" t="s">
        <v>4</v>
      </c>
      <c r="GL78" s="239">
        <v>0</v>
      </c>
      <c r="GM78" s="239"/>
      <c r="GN78" s="239" t="s">
        <v>4</v>
      </c>
      <c r="GO78" s="239" t="s">
        <v>4</v>
      </c>
      <c r="GP78" s="239" t="s">
        <v>4</v>
      </c>
      <c r="GQ78" s="239" t="s">
        <v>4</v>
      </c>
      <c r="GR78" s="239" t="s">
        <v>4</v>
      </c>
      <c r="GS78" s="239" t="s">
        <v>4</v>
      </c>
      <c r="GT78" s="239" t="s">
        <v>4</v>
      </c>
      <c r="GU78" s="239" t="s">
        <v>4</v>
      </c>
      <c r="GV78" s="239" t="s">
        <v>4</v>
      </c>
      <c r="GW78" s="239" t="s">
        <v>29304</v>
      </c>
      <c r="GX78" s="239" t="s">
        <v>29305</v>
      </c>
      <c r="GY78" s="239" t="s">
        <v>29306</v>
      </c>
      <c r="GZ78" s="239" t="s">
        <v>4</v>
      </c>
      <c r="HA78" s="239" t="s">
        <v>4</v>
      </c>
      <c r="HB78" s="239" t="s">
        <v>4</v>
      </c>
      <c r="HC78" s="239" t="s">
        <v>4</v>
      </c>
      <c r="HD78" s="239" t="s">
        <v>4</v>
      </c>
      <c r="HE78" s="239" t="s">
        <v>4</v>
      </c>
      <c r="HF78" s="239" t="s">
        <v>4</v>
      </c>
      <c r="HG78" s="239" t="s">
        <v>4</v>
      </c>
      <c r="HH78" s="239" t="s">
        <v>29354</v>
      </c>
      <c r="HI78" s="239" t="s">
        <v>4</v>
      </c>
      <c r="HJ78" s="240">
        <v>0</v>
      </c>
      <c r="HK78" s="239" t="s">
        <v>29325</v>
      </c>
      <c r="HL78" s="239" t="s">
        <v>29309</v>
      </c>
      <c r="HM78" s="239" t="s">
        <v>4</v>
      </c>
      <c r="HN78" s="239" t="s">
        <v>4</v>
      </c>
      <c r="HO78" s="239" t="s">
        <v>4</v>
      </c>
      <c r="HP78" s="239" t="s">
        <v>4</v>
      </c>
      <c r="HQ78" s="239" t="s">
        <v>4</v>
      </c>
      <c r="HR78" s="239" t="s">
        <v>4</v>
      </c>
      <c r="HS78" s="239" t="s">
        <v>4</v>
      </c>
      <c r="HT78" s="239" t="s">
        <v>4</v>
      </c>
      <c r="HU78" s="239" t="s">
        <v>2</v>
      </c>
      <c r="HV78" s="239" t="s">
        <v>4</v>
      </c>
      <c r="HW78" s="239" t="s">
        <v>4</v>
      </c>
      <c r="HX78" s="239" t="s">
        <v>4</v>
      </c>
      <c r="HY78" s="239" t="s">
        <v>4</v>
      </c>
      <c r="HZ78" s="239" t="s">
        <v>29614</v>
      </c>
      <c r="IA78" s="239" t="s">
        <v>2</v>
      </c>
      <c r="IB78" s="239" t="s">
        <v>4</v>
      </c>
      <c r="IC78" s="239" t="s">
        <v>29615</v>
      </c>
      <c r="ID78" s="239" t="s">
        <v>29616</v>
      </c>
      <c r="IE78" s="239" t="s">
        <v>29617</v>
      </c>
      <c r="IF78" s="239" t="s">
        <v>29618</v>
      </c>
      <c r="IG78" s="239" t="s">
        <v>29619</v>
      </c>
      <c r="IH78" s="239" t="s">
        <v>29620</v>
      </c>
    </row>
    <row r="79" spans="1:242" s="561" customFormat="1" ht="36.75" customHeight="1" x14ac:dyDescent="0.2">
      <c r="A79" s="239">
        <v>186</v>
      </c>
      <c r="B79" s="239" t="s">
        <v>20620</v>
      </c>
      <c r="C79" s="239" t="s">
        <v>31245</v>
      </c>
      <c r="D79" s="239" t="s">
        <v>43</v>
      </c>
      <c r="E79" s="239" t="s">
        <v>7</v>
      </c>
      <c r="F79" s="239" t="s">
        <v>31246</v>
      </c>
      <c r="G79" s="239">
        <v>1437</v>
      </c>
      <c r="H79" s="239">
        <v>5</v>
      </c>
      <c r="I79" s="239" t="s">
        <v>29288</v>
      </c>
      <c r="J79" s="239" t="s">
        <v>4</v>
      </c>
      <c r="K79" s="239" t="s">
        <v>31247</v>
      </c>
      <c r="L79" s="239">
        <v>701952095</v>
      </c>
      <c r="M79" s="239" t="s">
        <v>3</v>
      </c>
      <c r="N79" s="239" t="s">
        <v>31590</v>
      </c>
      <c r="O79" s="239" t="s">
        <v>4</v>
      </c>
      <c r="P79" s="239">
        <v>10</v>
      </c>
      <c r="Q79" s="239" t="s">
        <v>7</v>
      </c>
      <c r="R79" s="239" t="s">
        <v>31588</v>
      </c>
      <c r="S79" s="239" t="s">
        <v>4</v>
      </c>
      <c r="T79" s="239" t="s">
        <v>7</v>
      </c>
      <c r="U79" s="239" t="s">
        <v>7</v>
      </c>
      <c r="V79" s="239"/>
      <c r="W79" s="239" t="s">
        <v>7</v>
      </c>
      <c r="X79" s="239" t="s">
        <v>4</v>
      </c>
      <c r="Y79" s="239" t="s">
        <v>4</v>
      </c>
      <c r="Z79" s="241" t="str">
        <f>IF(OR(T79="yes",Y79&gt;'SDG outcome'!$C$27),"yes","no")</f>
        <v>yes</v>
      </c>
      <c r="AA79" s="243">
        <f t="shared" si="1"/>
        <v>0</v>
      </c>
      <c r="AB79" s="243" t="str">
        <f>IF(AND(Z79="no",AND(Y79&gt;='SDG outcome'!$B$16,Y79&lt;'SDG outcome'!$C$27)),Y79-'SDG outcome'!$B$16,"")</f>
        <v/>
      </c>
      <c r="AC79" s="239" t="s">
        <v>4</v>
      </c>
      <c r="AD79" s="239" t="s">
        <v>4</v>
      </c>
      <c r="AE79" s="239" t="s">
        <v>4</v>
      </c>
      <c r="AF79" s="239" t="s">
        <v>4</v>
      </c>
      <c r="AG79" s="239" t="s">
        <v>4</v>
      </c>
      <c r="AH79" s="239" t="s">
        <v>4</v>
      </c>
      <c r="AI79" s="239" t="s">
        <v>4</v>
      </c>
      <c r="AJ79" s="239" t="s">
        <v>29290</v>
      </c>
      <c r="AK79" s="239" t="s">
        <v>29694</v>
      </c>
      <c r="AL79" s="239" t="s">
        <v>4</v>
      </c>
      <c r="AM79" s="239" t="s">
        <v>4</v>
      </c>
      <c r="AN79" s="239" t="s">
        <v>31536</v>
      </c>
      <c r="AO79" s="239" t="s">
        <v>4</v>
      </c>
      <c r="AP79" s="239" t="s">
        <v>31537</v>
      </c>
      <c r="AQ79" s="239" t="s">
        <v>4</v>
      </c>
      <c r="AR79" s="239" t="s">
        <v>31538</v>
      </c>
      <c r="AS79" s="239" t="s">
        <v>4</v>
      </c>
      <c r="AT79" s="239" t="s">
        <v>7</v>
      </c>
      <c r="AU79" s="239" t="s">
        <v>4</v>
      </c>
      <c r="AV79" s="239" t="s">
        <v>4</v>
      </c>
      <c r="AW79" s="239" t="s">
        <v>31539</v>
      </c>
      <c r="AX79" s="239" t="s">
        <v>4</v>
      </c>
      <c r="AY79" s="239" t="s">
        <v>4</v>
      </c>
      <c r="AZ79" s="239" t="s">
        <v>2</v>
      </c>
      <c r="BA79" s="239" t="s">
        <v>4</v>
      </c>
      <c r="BB79" s="239" t="s">
        <v>4</v>
      </c>
      <c r="BC79" s="239" t="s">
        <v>31563</v>
      </c>
      <c r="BD79" s="239" t="s">
        <v>22</v>
      </c>
      <c r="BE79" s="239" t="s">
        <v>4</v>
      </c>
      <c r="BF79" s="239" t="s">
        <v>31564</v>
      </c>
      <c r="BG79" s="239" t="s">
        <v>4</v>
      </c>
      <c r="BH79" s="239" t="s">
        <v>31542</v>
      </c>
      <c r="BI79" s="239" t="s">
        <v>31949</v>
      </c>
      <c r="BJ79" s="239" t="s">
        <v>31544</v>
      </c>
      <c r="BK79" s="239">
        <v>2</v>
      </c>
      <c r="BL79" s="239">
        <v>120</v>
      </c>
      <c r="BM79" s="239" t="s">
        <v>7</v>
      </c>
      <c r="BN79" s="239" t="s">
        <v>6</v>
      </c>
      <c r="BO79" s="239" t="s">
        <v>4</v>
      </c>
      <c r="BP79" s="239" t="s">
        <v>31425</v>
      </c>
      <c r="BQ79" s="239">
        <v>1</v>
      </c>
      <c r="BR79" s="239">
        <v>45</v>
      </c>
      <c r="BS79" s="239" t="s">
        <v>31435</v>
      </c>
      <c r="BT79" s="239"/>
      <c r="BU79" s="239">
        <v>1</v>
      </c>
      <c r="BV79" s="239" cm="1">
        <f t="array" ref="BV79">_xlfn.IFS(BS79="Foreword vehicle",BU79*0,BS79="Human wastes",BU79*0,BS79="Jerrycans",BU79*$BV$228,BS79="Number of Basins",BU79*$BV$229,BS79="Number of Buckets",BU79*$CA$226,BS79="Number of Kgs",BU79*$CA$227,BS79="Number of spades",BU79*$CA$228,BS79="Number of wheelbarrows",BU79*$CA$229,BT79="Foreword vehicle",BU79*0,BT79="Human wastes",BU79*0,BT79="Jerrycans",BU79*$BV$228,BS79="","")</f>
        <v>70.5</v>
      </c>
      <c r="BW79" s="239">
        <f>IF(BV79="","",Table14[[#This Row],[Calculation: Conversion of metric to Kg manure feeding (Columns: BP, BQ, BR)]]*Table14[[#This Row],[Number of times used to feed biodigester]])</f>
        <v>70.5</v>
      </c>
      <c r="BX79" s="239" cm="1">
        <f t="array" ref="BX79">_xlfn.IFS(BP79="Number of times per day (1 to 3)",BW79/$BX$226,BP79="Number of times per week (1 to 6)",BW79/$BX$227,BP79="Number of times per Month (1 to 3)",BW79/$BX$228,BW79="","")</f>
        <v>70.5</v>
      </c>
      <c r="BY79" s="239" t="s">
        <v>22</v>
      </c>
      <c r="BZ79" s="239" t="s">
        <v>4</v>
      </c>
      <c r="CA79" s="239" t="s">
        <v>2</v>
      </c>
      <c r="CB79" s="239" t="s">
        <v>4</v>
      </c>
      <c r="CC79" s="239" t="s">
        <v>4</v>
      </c>
      <c r="CD79" s="239" t="s">
        <v>4</v>
      </c>
      <c r="CE79" s="239" t="s">
        <v>7</v>
      </c>
      <c r="CF79" s="239" t="s">
        <v>31639</v>
      </c>
      <c r="CG79" s="239" t="s">
        <v>4</v>
      </c>
      <c r="CH79" s="239" t="s">
        <v>31683</v>
      </c>
      <c r="CI79" s="239">
        <v>40</v>
      </c>
      <c r="CJ79" s="239">
        <v>60</v>
      </c>
      <c r="CK79" s="239">
        <v>0</v>
      </c>
      <c r="CL79" s="239">
        <v>0</v>
      </c>
      <c r="CM79" s="239">
        <v>0</v>
      </c>
      <c r="CN79" s="239">
        <v>0</v>
      </c>
      <c r="CO79" s="239">
        <v>0</v>
      </c>
      <c r="CP79" s="239">
        <v>0</v>
      </c>
      <c r="CQ79" s="239">
        <v>0</v>
      </c>
      <c r="CR79" s="239">
        <v>0</v>
      </c>
      <c r="CS79" s="239">
        <f>CP79/'SDG outcome'!$C$9*CQ79*CR79</f>
        <v>0</v>
      </c>
      <c r="CT79" s="239">
        <v>0</v>
      </c>
      <c r="CU79" s="239">
        <v>100</v>
      </c>
      <c r="CV79" s="239" t="s">
        <v>31950</v>
      </c>
      <c r="CW79" s="239">
        <v>100</v>
      </c>
      <c r="CX79" s="239">
        <v>0</v>
      </c>
      <c r="CY79" s="239" t="s">
        <v>4</v>
      </c>
      <c r="CZ79" s="239" t="s">
        <v>4</v>
      </c>
      <c r="DA79" s="239" t="s">
        <v>4</v>
      </c>
      <c r="DB79" s="239" t="s">
        <v>4</v>
      </c>
      <c r="DC79" s="239" t="s">
        <v>4</v>
      </c>
      <c r="DD79" s="239" t="s">
        <v>4</v>
      </c>
      <c r="DE79" s="239" t="s">
        <v>4</v>
      </c>
      <c r="DF79" s="239" t="s">
        <v>4</v>
      </c>
      <c r="DG79" s="239" t="s">
        <v>4</v>
      </c>
      <c r="DH79" s="239" t="s">
        <v>4</v>
      </c>
      <c r="DI79" s="239" t="s">
        <v>4</v>
      </c>
      <c r="DJ79" s="239" t="s">
        <v>4</v>
      </c>
      <c r="DK79" s="239" t="s">
        <v>4</v>
      </c>
      <c r="DL79" s="239" t="s">
        <v>4</v>
      </c>
      <c r="DM79" s="239" t="s">
        <v>4</v>
      </c>
      <c r="DN79" s="239" t="s">
        <v>4</v>
      </c>
      <c r="DO79" s="239">
        <v>2</v>
      </c>
      <c r="DP79" s="239" t="s">
        <v>2</v>
      </c>
      <c r="DQ79" s="239" t="s">
        <v>29292</v>
      </c>
      <c r="DR79" s="239" t="s">
        <v>4</v>
      </c>
      <c r="DS79" s="239" t="s">
        <v>29294</v>
      </c>
      <c r="DT79" s="240" t="s">
        <v>4</v>
      </c>
      <c r="DU79" s="239" t="s">
        <v>29294</v>
      </c>
      <c r="DV79" s="240" t="s">
        <v>4</v>
      </c>
      <c r="DW79" s="239" t="s">
        <v>29295</v>
      </c>
      <c r="DX79" s="239">
        <v>100</v>
      </c>
      <c r="DY79" s="239" t="s">
        <v>29296</v>
      </c>
      <c r="DZ79" s="239">
        <v>100</v>
      </c>
      <c r="EA79" s="239"/>
      <c r="EB79" s="239"/>
      <c r="EC79" s="239"/>
      <c r="ED79" s="239"/>
      <c r="EE79" s="320">
        <f>Table14[[#This Row],[% Fertilizer]]*$DX79/10000</f>
        <v>1</v>
      </c>
      <c r="EF79" s="320">
        <f>Table14[[#This Row],[% bioslurry used as Insecticide/Pesticide]]*$DX79/10000</f>
        <v>0</v>
      </c>
      <c r="EG79" s="320">
        <f>Table14[[#This Row],[% of Bioslurry used as animal feed]]*$DX79/10000</f>
        <v>0</v>
      </c>
      <c r="EH79" s="320">
        <f>Table14[[#This Row],[% of Bioslurry sold]]*$DX79/10000</f>
        <v>0</v>
      </c>
      <c r="EI79" s="320">
        <f>Table14[[#This Row],[% used other way(if used directly)]]*$DX79/10000</f>
        <v>0</v>
      </c>
      <c r="EJ79" s="239"/>
      <c r="EK79" s="239"/>
      <c r="EL79" s="239"/>
      <c r="EM79" s="239"/>
      <c r="EN79" s="239"/>
      <c r="EO79" s="239">
        <f>(Table14[[#This Row],[% Uncovered lagoon greater than 1 meter]]+Table14[[#This Row],[Uncovered lagoon (black watery mass) &lt;1 meter]]+Table14[[#This Row],[% Liquid slurry (brown porridge type)]])*Table14[[#This Row],[% Store it first]]/100</f>
        <v>0</v>
      </c>
      <c r="EP79" s="239"/>
      <c r="EQ79" s="239"/>
      <c r="ER79" s="239"/>
      <c r="ES79" s="239"/>
      <c r="ET79" s="239">
        <f>(Table14[[#This Row],[% Solid storage]]+Table14[[#This Row],[% Sun drying]]+Table14[[#This Row],[% Composting with a roof]]+Table14[[#This Row],[% Composting without a roof]])*Table14[[#This Row],[% Store it first]]/100</f>
        <v>0</v>
      </c>
      <c r="EU79" s="239"/>
      <c r="EV79" s="320">
        <f t="shared" si="2"/>
        <v>0</v>
      </c>
      <c r="EW79" s="320">
        <f t="shared" si="3"/>
        <v>0</v>
      </c>
      <c r="EX79" s="320">
        <f t="shared" si="4"/>
        <v>0</v>
      </c>
      <c r="EY79" s="320">
        <f t="shared" si="5"/>
        <v>0</v>
      </c>
      <c r="EZ79" s="320">
        <f t="shared" si="6"/>
        <v>0</v>
      </c>
      <c r="FA79" s="239"/>
      <c r="FB79" s="239"/>
      <c r="FC79" s="239"/>
      <c r="FD79" s="239">
        <f>Table14[[#This Row],[% I donâ€™t use it / discarded]]+Table14[[#This Row],[% Other (specify)(If you use bioslurry directly)]]+Table14[[#This Row],[% Store it first]]+Table14[[#This Row],[% Use directly for various purposes]]</f>
        <v>100</v>
      </c>
      <c r="FE79" s="239" t="s">
        <v>4</v>
      </c>
      <c r="FF79" s="239"/>
      <c r="FG79" s="239"/>
      <c r="FH79" s="239"/>
      <c r="FI79" s="239"/>
      <c r="FJ79" s="239"/>
      <c r="FK79" s="239">
        <v>210</v>
      </c>
      <c r="FL79" s="239" t="s">
        <v>7</v>
      </c>
      <c r="FM79" s="239">
        <v>30</v>
      </c>
      <c r="FN79" s="239"/>
      <c r="FO79" s="239" t="s">
        <v>29952</v>
      </c>
      <c r="FP79" s="239" t="s">
        <v>29298</v>
      </c>
      <c r="FQ79" s="239">
        <v>168</v>
      </c>
      <c r="FR79" s="239" t="s">
        <v>7</v>
      </c>
      <c r="FS79" s="239" t="s">
        <v>29555</v>
      </c>
      <c r="FT79" s="239" t="s">
        <v>4</v>
      </c>
      <c r="FU79" s="239" t="s">
        <v>2</v>
      </c>
      <c r="FV79" s="239" t="s">
        <v>4</v>
      </c>
      <c r="FW79" s="239" t="s">
        <v>4</v>
      </c>
      <c r="FX79" s="239" t="s">
        <v>4</v>
      </c>
      <c r="FY79" s="239" t="s">
        <v>4</v>
      </c>
      <c r="FZ79" s="239" t="s">
        <v>4</v>
      </c>
      <c r="GA79" s="239" t="s">
        <v>4</v>
      </c>
      <c r="GB79" s="240" t="s">
        <v>4</v>
      </c>
      <c r="GC79" s="239" t="s">
        <v>4</v>
      </c>
      <c r="GD79" s="239" t="s">
        <v>2</v>
      </c>
      <c r="GE79" s="239" t="s">
        <v>4</v>
      </c>
      <c r="GF79" s="239" t="s">
        <v>4</v>
      </c>
      <c r="GG79" s="239" t="s">
        <v>7</v>
      </c>
      <c r="GH79" s="239" t="s">
        <v>7</v>
      </c>
      <c r="GI79" s="239" t="s">
        <v>29302</v>
      </c>
      <c r="GJ79" s="239" t="s">
        <v>31248</v>
      </c>
      <c r="GK79" s="239" t="s">
        <v>29304</v>
      </c>
      <c r="GL79" s="239">
        <v>1</v>
      </c>
      <c r="GM79" s="239" t="s">
        <v>29465</v>
      </c>
      <c r="GN79" s="239" t="s">
        <v>4</v>
      </c>
      <c r="GO79" s="239" t="s">
        <v>29556</v>
      </c>
      <c r="GP79" s="239" t="s">
        <v>4</v>
      </c>
      <c r="GQ79" s="239" t="s">
        <v>4</v>
      </c>
      <c r="GR79" s="239" t="s">
        <v>29451</v>
      </c>
      <c r="GS79" s="239" t="s">
        <v>4</v>
      </c>
      <c r="GT79" s="239" t="s">
        <v>4</v>
      </c>
      <c r="GU79" s="239" t="s">
        <v>4</v>
      </c>
      <c r="GV79" s="239" t="s">
        <v>4</v>
      </c>
      <c r="GW79" s="239" t="s">
        <v>4</v>
      </c>
      <c r="GX79" s="239" t="s">
        <v>4</v>
      </c>
      <c r="GY79" s="239" t="s">
        <v>4</v>
      </c>
      <c r="GZ79" s="239" t="s">
        <v>4</v>
      </c>
      <c r="HA79" s="239" t="s">
        <v>4</v>
      </c>
      <c r="HB79" s="239" t="s">
        <v>4</v>
      </c>
      <c r="HC79" s="239" t="s">
        <v>4</v>
      </c>
      <c r="HD79" s="239" t="s">
        <v>4</v>
      </c>
      <c r="HE79" s="239" t="s">
        <v>4</v>
      </c>
      <c r="HF79" s="239" t="s">
        <v>4</v>
      </c>
      <c r="HG79" s="239" t="s">
        <v>4</v>
      </c>
      <c r="HH79" s="239" t="s">
        <v>29354</v>
      </c>
      <c r="HI79" s="239" t="s">
        <v>4</v>
      </c>
      <c r="HJ79" s="240">
        <v>0</v>
      </c>
      <c r="HK79" s="239" t="s">
        <v>2</v>
      </c>
      <c r="HL79" s="239" t="s">
        <v>29309</v>
      </c>
      <c r="HM79" s="239" t="s">
        <v>4</v>
      </c>
      <c r="HN79" s="239" t="s">
        <v>4</v>
      </c>
      <c r="HO79" s="239" t="s">
        <v>4</v>
      </c>
      <c r="HP79" s="239" t="s">
        <v>4</v>
      </c>
      <c r="HQ79" s="239" t="s">
        <v>4</v>
      </c>
      <c r="HR79" s="239" t="s">
        <v>4</v>
      </c>
      <c r="HS79" s="239" t="s">
        <v>4</v>
      </c>
      <c r="HT79" s="239" t="s">
        <v>4</v>
      </c>
      <c r="HU79" s="239" t="s">
        <v>2</v>
      </c>
      <c r="HV79" s="239" t="s">
        <v>4</v>
      </c>
      <c r="HW79" s="239" t="s">
        <v>4</v>
      </c>
      <c r="HX79" s="239" t="s">
        <v>4</v>
      </c>
      <c r="HY79" s="239" t="s">
        <v>4</v>
      </c>
      <c r="HZ79" s="239" t="s">
        <v>16</v>
      </c>
      <c r="IA79" s="239" t="s">
        <v>2</v>
      </c>
      <c r="IB79" s="239" t="s">
        <v>4</v>
      </c>
      <c r="IC79" s="239" t="s">
        <v>16</v>
      </c>
      <c r="ID79" s="239" t="s">
        <v>31249</v>
      </c>
      <c r="IE79" s="239" t="s">
        <v>31250</v>
      </c>
      <c r="IF79" s="239" t="s">
        <v>31251</v>
      </c>
      <c r="IG79" s="239" t="s">
        <v>31252</v>
      </c>
      <c r="IH79" s="239" t="s">
        <v>31253</v>
      </c>
    </row>
    <row r="80" spans="1:242" s="561" customFormat="1" ht="36.75" customHeight="1" x14ac:dyDescent="0.2">
      <c r="A80" s="239">
        <v>173</v>
      </c>
      <c r="B80" s="239" t="s">
        <v>20970</v>
      </c>
      <c r="C80" s="239" t="s">
        <v>30299</v>
      </c>
      <c r="D80" s="239" t="s">
        <v>31090</v>
      </c>
      <c r="E80" s="239" t="s">
        <v>7</v>
      </c>
      <c r="F80" s="239" t="s">
        <v>31128</v>
      </c>
      <c r="G80" s="239">
        <v>1261.5247440000001</v>
      </c>
      <c r="H80" s="239">
        <v>6</v>
      </c>
      <c r="I80" s="239" t="s">
        <v>29319</v>
      </c>
      <c r="J80" s="239" t="s">
        <v>4</v>
      </c>
      <c r="K80" s="239" t="s">
        <v>31129</v>
      </c>
      <c r="L80" s="239">
        <v>782903894</v>
      </c>
      <c r="M80" s="239" t="s">
        <v>5</v>
      </c>
      <c r="N80" s="239" t="s">
        <v>31598</v>
      </c>
      <c r="O80" s="239" t="s">
        <v>4</v>
      </c>
      <c r="P80" s="239">
        <v>8</v>
      </c>
      <c r="Q80" s="239" t="s">
        <v>7</v>
      </c>
      <c r="R80" s="239" t="s">
        <v>31588</v>
      </c>
      <c r="S80" s="239" t="s">
        <v>4</v>
      </c>
      <c r="T80" s="239" t="s">
        <v>7</v>
      </c>
      <c r="U80" s="239" t="s">
        <v>7</v>
      </c>
      <c r="V80" s="239"/>
      <c r="W80" s="239" t="s">
        <v>7</v>
      </c>
      <c r="X80" s="239" t="s">
        <v>4</v>
      </c>
      <c r="Y80" s="239" t="s">
        <v>4</v>
      </c>
      <c r="Z80" s="241" t="str">
        <f>IF(OR(T80="yes",Y80&gt;'SDG outcome'!$C$27),"yes","no")</f>
        <v>yes</v>
      </c>
      <c r="AA80" s="243">
        <f t="shared" si="1"/>
        <v>0</v>
      </c>
      <c r="AB80" s="243" t="str">
        <f>IF(AND(Z80="no",AND(Y80&gt;='SDG outcome'!$B$16,Y80&lt;'SDG outcome'!$C$27)),Y80-'SDG outcome'!$B$16,"")</f>
        <v/>
      </c>
      <c r="AC80" s="239" t="s">
        <v>4</v>
      </c>
      <c r="AD80" s="239" t="s">
        <v>4</v>
      </c>
      <c r="AE80" s="239" t="s">
        <v>4</v>
      </c>
      <c r="AF80" s="239" t="s">
        <v>4</v>
      </c>
      <c r="AG80" s="239" t="s">
        <v>4</v>
      </c>
      <c r="AH80" s="239" t="s">
        <v>4</v>
      </c>
      <c r="AI80" s="239" t="s">
        <v>4</v>
      </c>
      <c r="AJ80" s="239" t="s">
        <v>29290</v>
      </c>
      <c r="AK80" s="239" t="s">
        <v>29694</v>
      </c>
      <c r="AL80" s="239" t="s">
        <v>4</v>
      </c>
      <c r="AM80" s="239" t="s">
        <v>4</v>
      </c>
      <c r="AN80" s="239" t="s">
        <v>31536</v>
      </c>
      <c r="AO80" s="239" t="s">
        <v>4</v>
      </c>
      <c r="AP80" s="239" t="s">
        <v>31537</v>
      </c>
      <c r="AQ80" s="239" t="s">
        <v>4</v>
      </c>
      <c r="AR80" s="239" t="s">
        <v>31538</v>
      </c>
      <c r="AS80" s="239" t="s">
        <v>4</v>
      </c>
      <c r="AT80" s="239" t="s">
        <v>7</v>
      </c>
      <c r="AU80" s="239" t="s">
        <v>4</v>
      </c>
      <c r="AV80" s="239" t="s">
        <v>4</v>
      </c>
      <c r="AW80" s="239" t="s">
        <v>31539</v>
      </c>
      <c r="AX80" s="239" t="s">
        <v>4</v>
      </c>
      <c r="AY80" s="239" t="s">
        <v>4</v>
      </c>
      <c r="AZ80" s="239" t="s">
        <v>2</v>
      </c>
      <c r="BA80" s="239" t="s">
        <v>4</v>
      </c>
      <c r="BB80" s="239" t="s">
        <v>4</v>
      </c>
      <c r="BC80" s="239" t="s">
        <v>31563</v>
      </c>
      <c r="BD80" s="239" t="s">
        <v>22</v>
      </c>
      <c r="BE80" s="239" t="s">
        <v>4</v>
      </c>
      <c r="BF80" s="239" t="s">
        <v>31564</v>
      </c>
      <c r="BG80" s="239" t="s">
        <v>4</v>
      </c>
      <c r="BH80" s="239" t="s">
        <v>31542</v>
      </c>
      <c r="BI80" s="239" t="s">
        <v>31917</v>
      </c>
      <c r="BJ80" s="239" t="s">
        <v>31566</v>
      </c>
      <c r="BK80" s="239">
        <v>1</v>
      </c>
      <c r="BL80" s="239">
        <v>30</v>
      </c>
      <c r="BM80" s="239" t="s">
        <v>7</v>
      </c>
      <c r="BN80" s="239" t="s">
        <v>6</v>
      </c>
      <c r="BO80" s="239" t="s">
        <v>4</v>
      </c>
      <c r="BP80" s="239" t="s">
        <v>31425</v>
      </c>
      <c r="BQ80" s="239">
        <v>1</v>
      </c>
      <c r="BR80" s="239">
        <v>15</v>
      </c>
      <c r="BS80" s="239" t="s">
        <v>31435</v>
      </c>
      <c r="BT80" s="239"/>
      <c r="BU80" s="239">
        <v>1</v>
      </c>
      <c r="BV80" s="239" cm="1">
        <f t="array" ref="BV80">_xlfn.IFS(BS80="Foreword vehicle",BU80*0,BS80="Human wastes",BU80*0,BS80="Jerrycans",BU80*$BV$228,BS80="Number of Basins",BU80*$BV$229,BS80="Number of Buckets",BU80*$CA$226,BS80="Number of Kgs",BU80*$CA$227,BS80="Number of spades",BU80*$CA$228,BS80="Number of wheelbarrows",BU80*$CA$229,BT80="Foreword vehicle",BU80*0,BT80="Human wastes",BU80*0,BT80="Jerrycans",BU80*$BV$228,BS80="","")</f>
        <v>70.5</v>
      </c>
      <c r="BW80" s="239">
        <f>IF(BV80="","",Table14[[#This Row],[Calculation: Conversion of metric to Kg manure feeding (Columns: BP, BQ, BR)]]*Table14[[#This Row],[Number of times used to feed biodigester]])</f>
        <v>70.5</v>
      </c>
      <c r="BX80" s="239" cm="1">
        <f t="array" ref="BX80">_xlfn.IFS(BP80="Number of times per day (1 to 3)",BW80/$BX$226,BP80="Number of times per week (1 to 6)",BW80/$BX$227,BP80="Number of times per Month (1 to 3)",BW80/$BX$228,BW80="","")</f>
        <v>70.5</v>
      </c>
      <c r="BY80" s="239" t="s">
        <v>22</v>
      </c>
      <c r="BZ80" s="239" t="s">
        <v>4</v>
      </c>
      <c r="CA80" s="239" t="s">
        <v>2</v>
      </c>
      <c r="CB80" s="239" t="s">
        <v>4</v>
      </c>
      <c r="CC80" s="239" t="s">
        <v>4</v>
      </c>
      <c r="CD80" s="239" t="s">
        <v>4</v>
      </c>
      <c r="CE80" s="239" t="s">
        <v>7</v>
      </c>
      <c r="CF80" s="239" t="s">
        <v>31918</v>
      </c>
      <c r="CG80" s="239" t="s">
        <v>4</v>
      </c>
      <c r="CH80" s="239" t="s">
        <v>31919</v>
      </c>
      <c r="CI80" s="239">
        <v>40</v>
      </c>
      <c r="CJ80" s="239">
        <v>20</v>
      </c>
      <c r="CK80" s="239">
        <v>0</v>
      </c>
      <c r="CL80" s="239">
        <v>0</v>
      </c>
      <c r="CM80" s="239">
        <v>30</v>
      </c>
      <c r="CN80" s="239">
        <v>0</v>
      </c>
      <c r="CO80" s="239">
        <v>0</v>
      </c>
      <c r="CP80" s="239">
        <v>0</v>
      </c>
      <c r="CQ80" s="239">
        <v>0</v>
      </c>
      <c r="CR80" s="239">
        <v>0</v>
      </c>
      <c r="CS80" s="239">
        <f>CP80/'SDG outcome'!$C$9*CQ80*CR80</f>
        <v>0</v>
      </c>
      <c r="CT80" s="239">
        <v>0</v>
      </c>
      <c r="CU80" s="239">
        <v>100</v>
      </c>
      <c r="CV80" s="239" t="s">
        <v>31920</v>
      </c>
      <c r="CW80" s="239">
        <v>30</v>
      </c>
      <c r="CX80" s="239">
        <v>70</v>
      </c>
      <c r="CY80" s="239" t="s">
        <v>31921</v>
      </c>
      <c r="CZ80" s="239" t="s">
        <v>4</v>
      </c>
      <c r="DA80" s="239" t="s">
        <v>4</v>
      </c>
      <c r="DB80" s="239" t="s">
        <v>4</v>
      </c>
      <c r="DC80" s="239" t="s">
        <v>4</v>
      </c>
      <c r="DD80" s="239" t="s">
        <v>4</v>
      </c>
      <c r="DE80" s="239" t="s">
        <v>4</v>
      </c>
      <c r="DF80" s="239" t="s">
        <v>4</v>
      </c>
      <c r="DG80" s="239" t="s">
        <v>4</v>
      </c>
      <c r="DH80" s="239" t="s">
        <v>4</v>
      </c>
      <c r="DI80" s="239" t="s">
        <v>4</v>
      </c>
      <c r="DJ80" s="239" t="s">
        <v>4</v>
      </c>
      <c r="DK80" s="239" t="s">
        <v>4</v>
      </c>
      <c r="DL80" s="239">
        <v>0</v>
      </c>
      <c r="DM80" s="239">
        <v>100</v>
      </c>
      <c r="DN80" s="239" t="s">
        <v>31922</v>
      </c>
      <c r="DO80" s="239">
        <v>2</v>
      </c>
      <c r="DP80" s="239" t="s">
        <v>2</v>
      </c>
      <c r="DQ80" s="239" t="s">
        <v>29375</v>
      </c>
      <c r="DR80" s="239" t="s">
        <v>4</v>
      </c>
      <c r="DS80" s="239" t="s">
        <v>4</v>
      </c>
      <c r="DT80" s="240" t="s">
        <v>4</v>
      </c>
      <c r="DU80" s="239" t="s">
        <v>29294</v>
      </c>
      <c r="DV80" s="240" t="s">
        <v>4</v>
      </c>
      <c r="DW80" s="239" t="s">
        <v>30537</v>
      </c>
      <c r="DX80" s="239">
        <v>0</v>
      </c>
      <c r="DY80" s="239"/>
      <c r="DZ80" s="239"/>
      <c r="EA80" s="239"/>
      <c r="EB80" s="239"/>
      <c r="EC80" s="239"/>
      <c r="ED80" s="239"/>
      <c r="EE80" s="320">
        <f>Table14[[#This Row],[% Fertilizer]]*$DX80/10000</f>
        <v>0</v>
      </c>
      <c r="EF80" s="320">
        <f>Table14[[#This Row],[% bioslurry used as Insecticide/Pesticide]]*$DX80/10000</f>
        <v>0</v>
      </c>
      <c r="EG80" s="320">
        <f>Table14[[#This Row],[% of Bioslurry used as animal feed]]*$DX80/10000</f>
        <v>0</v>
      </c>
      <c r="EH80" s="320">
        <f>Table14[[#This Row],[% of Bioslurry sold]]*$DX80/10000</f>
        <v>0</v>
      </c>
      <c r="EI80" s="320">
        <f>Table14[[#This Row],[% used other way(if used directly)]]*$DX80/10000</f>
        <v>0</v>
      </c>
      <c r="EJ80" s="239"/>
      <c r="EK80" s="239"/>
      <c r="EL80" s="239"/>
      <c r="EM80" s="239"/>
      <c r="EN80" s="239"/>
      <c r="EO80" s="239">
        <f>(Table14[[#This Row],[% Uncovered lagoon greater than 1 meter]]+Table14[[#This Row],[Uncovered lagoon (black watery mass) &lt;1 meter]]+Table14[[#This Row],[% Liquid slurry (brown porridge type)]])*Table14[[#This Row],[% Store it first]]/100</f>
        <v>0</v>
      </c>
      <c r="EP80" s="239"/>
      <c r="EQ80" s="239"/>
      <c r="ER80" s="239"/>
      <c r="ES80" s="239"/>
      <c r="ET80" s="239">
        <f>(Table14[[#This Row],[% Solid storage]]+Table14[[#This Row],[% Sun drying]]+Table14[[#This Row],[% Composting with a roof]]+Table14[[#This Row],[% Composting without a roof]])*Table14[[#This Row],[% Store it first]]/100</f>
        <v>0</v>
      </c>
      <c r="EU80" s="239"/>
      <c r="EV80" s="320">
        <f t="shared" si="2"/>
        <v>0</v>
      </c>
      <c r="EW80" s="320">
        <f t="shared" si="3"/>
        <v>0</v>
      </c>
      <c r="EX80" s="320">
        <f t="shared" si="4"/>
        <v>0</v>
      </c>
      <c r="EY80" s="320">
        <f t="shared" si="5"/>
        <v>0</v>
      </c>
      <c r="EZ80" s="320">
        <f t="shared" si="6"/>
        <v>0</v>
      </c>
      <c r="FA80" s="239">
        <v>100</v>
      </c>
      <c r="FB80" s="239"/>
      <c r="FC80" s="239"/>
      <c r="FD80" s="239">
        <f>Table14[[#This Row],[% I donâ€™t use it / discarded]]+Table14[[#This Row],[% Other (specify)(If you use bioslurry directly)]]+Table14[[#This Row],[% Store it first]]+Table14[[#This Row],[% Use directly for various purposes]]</f>
        <v>100</v>
      </c>
      <c r="FE80" s="239" t="s">
        <v>4</v>
      </c>
      <c r="FF80" s="239"/>
      <c r="FG80" s="239"/>
      <c r="FH80" s="239"/>
      <c r="FI80" s="239"/>
      <c r="FJ80" s="239"/>
      <c r="FK80" s="239">
        <v>40</v>
      </c>
      <c r="FL80" s="239" t="s">
        <v>31130</v>
      </c>
      <c r="FM80" s="239">
        <v>0</v>
      </c>
      <c r="FN80" s="239">
        <f>FK80*FM80/100</f>
        <v>0</v>
      </c>
      <c r="FO80" s="239" t="s">
        <v>4</v>
      </c>
      <c r="FP80" s="239" t="s">
        <v>4</v>
      </c>
      <c r="FQ80" s="239" t="s">
        <v>4</v>
      </c>
      <c r="FR80" s="239" t="s">
        <v>7</v>
      </c>
      <c r="FS80" s="239" t="s">
        <v>29555</v>
      </c>
      <c r="FT80" s="239" t="s">
        <v>4</v>
      </c>
      <c r="FU80" s="239" t="s">
        <v>4</v>
      </c>
      <c r="FV80" s="239" t="s">
        <v>4</v>
      </c>
      <c r="FW80" s="239" t="s">
        <v>4</v>
      </c>
      <c r="FX80" s="239" t="s">
        <v>4</v>
      </c>
      <c r="FY80" s="239" t="s">
        <v>4</v>
      </c>
      <c r="FZ80" s="239" t="s">
        <v>4</v>
      </c>
      <c r="GA80" s="239" t="s">
        <v>4</v>
      </c>
      <c r="GB80" s="240" t="s">
        <v>4</v>
      </c>
      <c r="GC80" s="239" t="s">
        <v>4</v>
      </c>
      <c r="GD80" s="239" t="s">
        <v>7</v>
      </c>
      <c r="GE80" s="239" t="s">
        <v>29526</v>
      </c>
      <c r="GF80" s="239" t="s">
        <v>31131</v>
      </c>
      <c r="GG80" s="239" t="s">
        <v>2</v>
      </c>
      <c r="GH80" s="239" t="s">
        <v>2</v>
      </c>
      <c r="GI80" s="239" t="s">
        <v>4</v>
      </c>
      <c r="GJ80" s="239" t="s">
        <v>4</v>
      </c>
      <c r="GK80" s="239" t="s">
        <v>4</v>
      </c>
      <c r="GL80" s="239">
        <v>0</v>
      </c>
      <c r="GM80" s="239"/>
      <c r="GN80" s="239" t="s">
        <v>4</v>
      </c>
      <c r="GO80" s="239" t="s">
        <v>4</v>
      </c>
      <c r="GP80" s="239" t="s">
        <v>4</v>
      </c>
      <c r="GQ80" s="239" t="s">
        <v>4</v>
      </c>
      <c r="GR80" s="239" t="s">
        <v>4</v>
      </c>
      <c r="GS80" s="239" t="s">
        <v>4</v>
      </c>
      <c r="GT80" s="239" t="s">
        <v>4</v>
      </c>
      <c r="GU80" s="239" t="s">
        <v>4</v>
      </c>
      <c r="GV80" s="239" t="s">
        <v>4</v>
      </c>
      <c r="GW80" s="239" t="s">
        <v>29433</v>
      </c>
      <c r="GX80" s="239" t="s">
        <v>4</v>
      </c>
      <c r="GY80" s="239" t="s">
        <v>4</v>
      </c>
      <c r="GZ80" s="239" t="s">
        <v>4</v>
      </c>
      <c r="HA80" s="239" t="s">
        <v>4</v>
      </c>
      <c r="HB80" s="239" t="s">
        <v>4</v>
      </c>
      <c r="HC80" s="239" t="s">
        <v>4</v>
      </c>
      <c r="HD80" s="239" t="s">
        <v>4</v>
      </c>
      <c r="HE80" s="239" t="s">
        <v>4</v>
      </c>
      <c r="HF80" s="239" t="s">
        <v>13</v>
      </c>
      <c r="HG80" s="239" t="s">
        <v>31132</v>
      </c>
      <c r="HH80" s="239" t="s">
        <v>29354</v>
      </c>
      <c r="HI80" s="239" t="s">
        <v>4</v>
      </c>
      <c r="HJ80" s="240">
        <v>0</v>
      </c>
      <c r="HK80" s="239" t="s">
        <v>29325</v>
      </c>
      <c r="HL80" s="239" t="s">
        <v>29309</v>
      </c>
      <c r="HM80" s="239" t="s">
        <v>4</v>
      </c>
      <c r="HN80" s="239" t="s">
        <v>4</v>
      </c>
      <c r="HO80" s="239" t="s">
        <v>4</v>
      </c>
      <c r="HP80" s="239" t="s">
        <v>4</v>
      </c>
      <c r="HQ80" s="239" t="s">
        <v>4</v>
      </c>
      <c r="HR80" s="239" t="s">
        <v>4</v>
      </c>
      <c r="HS80" s="239" t="s">
        <v>4</v>
      </c>
      <c r="HT80" s="239" t="s">
        <v>4</v>
      </c>
      <c r="HU80" s="239" t="s">
        <v>2</v>
      </c>
      <c r="HV80" s="239" t="s">
        <v>4</v>
      </c>
      <c r="HW80" s="239" t="s">
        <v>4</v>
      </c>
      <c r="HX80" s="239" t="s">
        <v>4</v>
      </c>
      <c r="HY80" s="239" t="s">
        <v>4</v>
      </c>
      <c r="HZ80" s="239" t="s">
        <v>16</v>
      </c>
      <c r="IA80" s="239" t="s">
        <v>2</v>
      </c>
      <c r="IB80" s="239" t="s">
        <v>4</v>
      </c>
      <c r="IC80" s="239" t="s">
        <v>16</v>
      </c>
      <c r="ID80" s="239" t="s">
        <v>31133</v>
      </c>
      <c r="IE80" s="239" t="s">
        <v>31134</v>
      </c>
      <c r="IF80" s="239" t="s">
        <v>31135</v>
      </c>
      <c r="IG80" s="239" t="s">
        <v>31136</v>
      </c>
      <c r="IH80" s="239" t="s">
        <v>31137</v>
      </c>
    </row>
    <row r="81" spans="1:242" s="561" customFormat="1" ht="36.75" customHeight="1" x14ac:dyDescent="0.2">
      <c r="A81" s="239">
        <v>174</v>
      </c>
      <c r="B81" s="239" t="s">
        <v>26549</v>
      </c>
      <c r="C81" s="239" t="s">
        <v>31138</v>
      </c>
      <c r="D81" s="239" t="s">
        <v>31090</v>
      </c>
      <c r="E81" s="239" t="s">
        <v>7</v>
      </c>
      <c r="F81" s="239" t="s">
        <v>31139</v>
      </c>
      <c r="G81" s="239">
        <v>1300.332099</v>
      </c>
      <c r="H81" s="239">
        <v>8</v>
      </c>
      <c r="I81" s="239" t="s">
        <v>29288</v>
      </c>
      <c r="J81" s="239" t="s">
        <v>4</v>
      </c>
      <c r="K81" s="239" t="s">
        <v>31140</v>
      </c>
      <c r="L81" s="239">
        <v>760773819</v>
      </c>
      <c r="M81" s="239" t="s">
        <v>3</v>
      </c>
      <c r="N81" s="239" t="s">
        <v>31598</v>
      </c>
      <c r="O81" s="239" t="s">
        <v>4</v>
      </c>
      <c r="P81" s="239">
        <v>10</v>
      </c>
      <c r="Q81" s="239" t="s">
        <v>7</v>
      </c>
      <c r="R81" s="239" t="s">
        <v>31588</v>
      </c>
      <c r="S81" s="239" t="s">
        <v>4</v>
      </c>
      <c r="T81" s="239" t="s">
        <v>7</v>
      </c>
      <c r="U81" s="239" t="s">
        <v>2</v>
      </c>
      <c r="V81" s="239">
        <v>15</v>
      </c>
      <c r="W81" s="239" t="s">
        <v>7</v>
      </c>
      <c r="X81" s="239" t="s">
        <v>4</v>
      </c>
      <c r="Y81" s="239" t="s">
        <v>4</v>
      </c>
      <c r="Z81" s="241" t="str">
        <f>IF(OR(T81="yes",Y81&gt;'SDG outcome'!$C$27),"yes","no")</f>
        <v>yes</v>
      </c>
      <c r="AA81" s="243">
        <f t="shared" si="1"/>
        <v>15</v>
      </c>
      <c r="AB81" s="243" t="str">
        <f>IF(AND(Z81="no",AND(Y81&gt;='SDG outcome'!$B$16,Y81&lt;'SDG outcome'!$C$27)),Y81-'SDG outcome'!$B$16,"")</f>
        <v/>
      </c>
      <c r="AC81" s="239" t="s">
        <v>4</v>
      </c>
      <c r="AD81" s="239" t="s">
        <v>4</v>
      </c>
      <c r="AE81" s="239" t="s">
        <v>4</v>
      </c>
      <c r="AF81" s="239" t="s">
        <v>4</v>
      </c>
      <c r="AG81" s="239" t="s">
        <v>4</v>
      </c>
      <c r="AH81" s="239" t="s">
        <v>4</v>
      </c>
      <c r="AI81" s="239" t="s">
        <v>4</v>
      </c>
      <c r="AJ81" s="239" t="s">
        <v>29290</v>
      </c>
      <c r="AK81" s="239" t="s">
        <v>29291</v>
      </c>
      <c r="AL81" s="239" t="s">
        <v>4</v>
      </c>
      <c r="AM81" s="239" t="s">
        <v>4</v>
      </c>
      <c r="AN81" s="239" t="s">
        <v>31536</v>
      </c>
      <c r="AO81" s="239" t="s">
        <v>4</v>
      </c>
      <c r="AP81" s="239" t="s">
        <v>31600</v>
      </c>
      <c r="AQ81" s="239" t="s">
        <v>4</v>
      </c>
      <c r="AR81" s="239" t="s">
        <v>31538</v>
      </c>
      <c r="AS81" s="239" t="s">
        <v>4</v>
      </c>
      <c r="AT81" s="239" t="s">
        <v>2</v>
      </c>
      <c r="AU81" s="239" t="s">
        <v>31581</v>
      </c>
      <c r="AV81" s="239" t="s">
        <v>4</v>
      </c>
      <c r="AW81" s="239" t="s">
        <v>31539</v>
      </c>
      <c r="AX81" s="239" t="s">
        <v>4</v>
      </c>
      <c r="AY81" s="239" t="s">
        <v>4</v>
      </c>
      <c r="AZ81" s="239" t="s">
        <v>2</v>
      </c>
      <c r="BA81" s="239" t="s">
        <v>4</v>
      </c>
      <c r="BB81" s="239" t="s">
        <v>4</v>
      </c>
      <c r="BC81" s="239" t="s">
        <v>31563</v>
      </c>
      <c r="BD81" s="239" t="s">
        <v>22</v>
      </c>
      <c r="BE81" s="239" t="s">
        <v>4</v>
      </c>
      <c r="BF81" s="239" t="s">
        <v>31564</v>
      </c>
      <c r="BG81" s="239" t="s">
        <v>4</v>
      </c>
      <c r="BH81" s="239" t="s">
        <v>31542</v>
      </c>
      <c r="BI81" s="239" t="s">
        <v>31923</v>
      </c>
      <c r="BJ81" s="239" t="s">
        <v>31544</v>
      </c>
      <c r="BK81" s="239">
        <v>5</v>
      </c>
      <c r="BL81" s="239">
        <v>45</v>
      </c>
      <c r="BM81" s="239" t="s">
        <v>7</v>
      </c>
      <c r="BN81" s="239" t="s">
        <v>6</v>
      </c>
      <c r="BO81" s="239" t="s">
        <v>4</v>
      </c>
      <c r="BP81" s="239" t="s">
        <v>31425</v>
      </c>
      <c r="BQ81" s="239">
        <v>1</v>
      </c>
      <c r="BR81" s="239">
        <v>30</v>
      </c>
      <c r="BS81" s="239" t="s">
        <v>31435</v>
      </c>
      <c r="BT81" s="239"/>
      <c r="BU81" s="239">
        <v>1</v>
      </c>
      <c r="BV81" s="239" cm="1">
        <f t="array" ref="BV81">_xlfn.IFS(BS81="Foreword vehicle",BU81*0,BS81="Human wastes",BU81*0,BS81="Jerrycans",BU81*$BV$228,BS81="Number of Basins",BU81*$BV$229,BS81="Number of Buckets",BU81*$CA$226,BS81="Number of Kgs",BU81*$CA$227,BS81="Number of spades",BU81*$CA$228,BS81="Number of wheelbarrows",BU81*$CA$229,BT81="Foreword vehicle",BU81*0,BT81="Human wastes",BU81*0,BT81="Jerrycans",BU81*$BV$228,BS81="","")</f>
        <v>70.5</v>
      </c>
      <c r="BW81" s="239">
        <f>IF(BV81="","",Table14[[#This Row],[Calculation: Conversion of metric to Kg manure feeding (Columns: BP, BQ, BR)]]*Table14[[#This Row],[Number of times used to feed biodigester]])</f>
        <v>70.5</v>
      </c>
      <c r="BX81" s="239" cm="1">
        <f t="array" ref="BX81">_xlfn.IFS(BP81="Number of times per day (1 to 3)",BW81/$BX$226,BP81="Number of times per week (1 to 6)",BW81/$BX$227,BP81="Number of times per Month (1 to 3)",BW81/$BX$228,BW81="","")</f>
        <v>70.5</v>
      </c>
      <c r="BY81" s="239" t="s">
        <v>22</v>
      </c>
      <c r="BZ81" s="239" t="s">
        <v>4</v>
      </c>
      <c r="CA81" s="239" t="s">
        <v>7</v>
      </c>
      <c r="CB81" s="239" t="s">
        <v>31651</v>
      </c>
      <c r="CC81" s="239" t="s">
        <v>4</v>
      </c>
      <c r="CD81" s="239" t="s">
        <v>31722</v>
      </c>
      <c r="CE81" s="239" t="s">
        <v>7</v>
      </c>
      <c r="CF81" s="239" t="s">
        <v>31924</v>
      </c>
      <c r="CG81" s="239" t="s">
        <v>4</v>
      </c>
      <c r="CH81" s="239" t="s">
        <v>31919</v>
      </c>
      <c r="CI81" s="239">
        <v>40</v>
      </c>
      <c r="CJ81" s="239">
        <v>20</v>
      </c>
      <c r="CK81" s="239">
        <v>0</v>
      </c>
      <c r="CL81" s="239">
        <v>0</v>
      </c>
      <c r="CM81" s="239">
        <v>70</v>
      </c>
      <c r="CN81" s="239">
        <v>0</v>
      </c>
      <c r="CO81" s="239">
        <v>0</v>
      </c>
      <c r="CP81" s="239">
        <v>0</v>
      </c>
      <c r="CQ81" s="239">
        <v>0</v>
      </c>
      <c r="CR81" s="239">
        <v>0</v>
      </c>
      <c r="CS81" s="239">
        <f>CP81/'SDG outcome'!$C$9*CQ81*CR81</f>
        <v>0</v>
      </c>
      <c r="CT81" s="239">
        <v>20</v>
      </c>
      <c r="CU81" s="239">
        <v>80</v>
      </c>
      <c r="CV81" s="239" t="s">
        <v>31915</v>
      </c>
      <c r="CW81" s="239">
        <v>10</v>
      </c>
      <c r="CX81" s="239">
        <v>90</v>
      </c>
      <c r="CY81" s="239" t="s">
        <v>31915</v>
      </c>
      <c r="CZ81" s="239" t="s">
        <v>4</v>
      </c>
      <c r="DA81" s="239" t="s">
        <v>4</v>
      </c>
      <c r="DB81" s="239" t="s">
        <v>4</v>
      </c>
      <c r="DC81" s="239" t="s">
        <v>4</v>
      </c>
      <c r="DD81" s="239" t="s">
        <v>4</v>
      </c>
      <c r="DE81" s="239" t="s">
        <v>4</v>
      </c>
      <c r="DF81" s="239" t="s">
        <v>4</v>
      </c>
      <c r="DG81" s="239" t="s">
        <v>4</v>
      </c>
      <c r="DH81" s="239" t="s">
        <v>4</v>
      </c>
      <c r="DI81" s="239" t="s">
        <v>4</v>
      </c>
      <c r="DJ81" s="239" t="s">
        <v>4</v>
      </c>
      <c r="DK81" s="239" t="s">
        <v>4</v>
      </c>
      <c r="DL81" s="239">
        <v>0</v>
      </c>
      <c r="DM81" s="239">
        <v>100</v>
      </c>
      <c r="DN81" s="239" t="s">
        <v>31925</v>
      </c>
      <c r="DO81" s="239">
        <v>4</v>
      </c>
      <c r="DP81" s="239" t="s">
        <v>2</v>
      </c>
      <c r="DQ81" s="239" t="s">
        <v>29375</v>
      </c>
      <c r="DR81" s="239" t="s">
        <v>4</v>
      </c>
      <c r="DS81" s="239" t="s">
        <v>4</v>
      </c>
      <c r="DT81" s="240" t="s">
        <v>4</v>
      </c>
      <c r="DU81" s="239" t="s">
        <v>29294</v>
      </c>
      <c r="DV81" s="240" t="s">
        <v>4</v>
      </c>
      <c r="DW81" s="239" t="s">
        <v>29508</v>
      </c>
      <c r="DX81" s="239"/>
      <c r="DY81" s="239"/>
      <c r="DZ81" s="239"/>
      <c r="EA81" s="239"/>
      <c r="EB81" s="239"/>
      <c r="EC81" s="239"/>
      <c r="ED81" s="239"/>
      <c r="EE81" s="320">
        <f>Table14[[#This Row],[% Fertilizer]]*$DX81/10000</f>
        <v>0</v>
      </c>
      <c r="EF81" s="320">
        <f>Table14[[#This Row],[% bioslurry used as Insecticide/Pesticide]]*$DX81/10000</f>
        <v>0</v>
      </c>
      <c r="EG81" s="320">
        <f>Table14[[#This Row],[% of Bioslurry used as animal feed]]*$DX81/10000</f>
        <v>0</v>
      </c>
      <c r="EH81" s="320">
        <f>Table14[[#This Row],[% of Bioslurry sold]]*$DX81/10000</f>
        <v>0</v>
      </c>
      <c r="EI81" s="320">
        <f>Table14[[#This Row],[% used other way(if used directly)]]*$DX81/10000</f>
        <v>0</v>
      </c>
      <c r="EJ81" s="239">
        <v>100</v>
      </c>
      <c r="EK81" s="239" t="s">
        <v>30747</v>
      </c>
      <c r="EL81" s="239"/>
      <c r="EM81" s="239">
        <v>100</v>
      </c>
      <c r="EN81" s="239"/>
      <c r="EO81" s="239">
        <f>(Table14[[#This Row],[% Uncovered lagoon greater than 1 meter]]+Table14[[#This Row],[Uncovered lagoon (black watery mass) &lt;1 meter]]+Table14[[#This Row],[% Liquid slurry (brown porridge type)]])*Table14[[#This Row],[% Store it first]]/100</f>
        <v>100</v>
      </c>
      <c r="EP81" s="239"/>
      <c r="EQ81" s="239"/>
      <c r="ER81" s="239"/>
      <c r="ES81" s="239"/>
      <c r="ET81" s="239">
        <f>(Table14[[#This Row],[% Solid storage]]+Table14[[#This Row],[% Sun drying]]+Table14[[#This Row],[% Composting with a roof]]+Table14[[#This Row],[% Composting without a roof]])*Table14[[#This Row],[% Store it first]]/100</f>
        <v>0</v>
      </c>
      <c r="EU81" s="239">
        <v>60</v>
      </c>
      <c r="EV81" s="320">
        <f t="shared" si="2"/>
        <v>1</v>
      </c>
      <c r="EW81" s="320">
        <f t="shared" si="3"/>
        <v>0</v>
      </c>
      <c r="EX81" s="320">
        <f t="shared" si="4"/>
        <v>0</v>
      </c>
      <c r="EY81" s="320">
        <f t="shared" si="5"/>
        <v>0</v>
      </c>
      <c r="EZ81" s="320">
        <f t="shared" si="6"/>
        <v>0</v>
      </c>
      <c r="FA81" s="239"/>
      <c r="FB81" s="239"/>
      <c r="FC81" s="239"/>
      <c r="FD81" s="239">
        <f>Table14[[#This Row],[% I donâ€™t use it / discarded]]+Table14[[#This Row],[% Other (specify)(If you use bioslurry directly)]]+Table14[[#This Row],[% Store it first]]+Table14[[#This Row],[% Use directly for various purposes]]</f>
        <v>100</v>
      </c>
      <c r="FE81" s="239" t="s">
        <v>29296</v>
      </c>
      <c r="FF81" s="239">
        <v>100</v>
      </c>
      <c r="FG81" s="239"/>
      <c r="FH81" s="239"/>
      <c r="FI81" s="239"/>
      <c r="FJ81" s="239"/>
      <c r="FK81" s="239">
        <v>16</v>
      </c>
      <c r="FL81" s="239" t="s">
        <v>7</v>
      </c>
      <c r="FM81" s="239">
        <v>15</v>
      </c>
      <c r="FN81" s="239">
        <f>FK81*FM81/100</f>
        <v>2.4</v>
      </c>
      <c r="FO81" s="239" t="s">
        <v>31141</v>
      </c>
      <c r="FP81" s="239" t="s">
        <v>29298</v>
      </c>
      <c r="FQ81" s="239">
        <v>30</v>
      </c>
      <c r="FR81" s="239" t="s">
        <v>7</v>
      </c>
      <c r="FS81" s="239" t="s">
        <v>29555</v>
      </c>
      <c r="FT81" s="239" t="s">
        <v>4</v>
      </c>
      <c r="FU81" s="239" t="s">
        <v>7</v>
      </c>
      <c r="FV81" s="239" t="s">
        <v>29393</v>
      </c>
      <c r="FW81" s="239" t="s">
        <v>4</v>
      </c>
      <c r="FX81" s="239" t="s">
        <v>30093</v>
      </c>
      <c r="FY81" s="239" t="s">
        <v>4</v>
      </c>
      <c r="FZ81" s="239" t="s">
        <v>4</v>
      </c>
      <c r="GA81" s="239" t="s">
        <v>4</v>
      </c>
      <c r="GB81" s="240" t="s">
        <v>4</v>
      </c>
      <c r="GC81" s="239" t="s">
        <v>4</v>
      </c>
      <c r="GD81" s="239" t="s">
        <v>2</v>
      </c>
      <c r="GE81" s="239" t="s">
        <v>4</v>
      </c>
      <c r="GF81" s="239" t="s">
        <v>4</v>
      </c>
      <c r="GG81" s="239" t="s">
        <v>7</v>
      </c>
      <c r="GH81" s="239" t="s">
        <v>2</v>
      </c>
      <c r="GI81" s="239" t="s">
        <v>4</v>
      </c>
      <c r="GJ81" s="239" t="s">
        <v>4</v>
      </c>
      <c r="GK81" s="239" t="s">
        <v>29433</v>
      </c>
      <c r="GL81" s="239">
        <v>0</v>
      </c>
      <c r="GM81" s="239"/>
      <c r="GN81" s="239" t="s">
        <v>4</v>
      </c>
      <c r="GO81" s="239" t="s">
        <v>4</v>
      </c>
      <c r="GP81" s="239" t="s">
        <v>4</v>
      </c>
      <c r="GQ81" s="239" t="s">
        <v>4</v>
      </c>
      <c r="GR81" s="239" t="s">
        <v>4</v>
      </c>
      <c r="GS81" s="239" t="s">
        <v>4</v>
      </c>
      <c r="GT81" s="239" t="s">
        <v>4</v>
      </c>
      <c r="GU81" s="239" t="s">
        <v>13</v>
      </c>
      <c r="GV81" s="239" t="s">
        <v>31142</v>
      </c>
      <c r="GW81" s="239" t="s">
        <v>4</v>
      </c>
      <c r="GX81" s="239" t="s">
        <v>4</v>
      </c>
      <c r="GY81" s="239" t="s">
        <v>4</v>
      </c>
      <c r="GZ81" s="239" t="s">
        <v>4</v>
      </c>
      <c r="HA81" s="239" t="s">
        <v>4</v>
      </c>
      <c r="HB81" s="239" t="s">
        <v>4</v>
      </c>
      <c r="HC81" s="239" t="s">
        <v>4</v>
      </c>
      <c r="HD81" s="239" t="s">
        <v>4</v>
      </c>
      <c r="HE81" s="239" t="s">
        <v>4</v>
      </c>
      <c r="HF81" s="239" t="s">
        <v>4</v>
      </c>
      <c r="HG81" s="239" t="s">
        <v>4</v>
      </c>
      <c r="HH81" s="239" t="s">
        <v>29354</v>
      </c>
      <c r="HI81" s="239" t="s">
        <v>4</v>
      </c>
      <c r="HJ81" s="240">
        <v>0</v>
      </c>
      <c r="HK81" s="239" t="s">
        <v>7</v>
      </c>
      <c r="HL81" s="239" t="s">
        <v>29309</v>
      </c>
      <c r="HM81" s="239" t="s">
        <v>4</v>
      </c>
      <c r="HN81" s="239" t="s">
        <v>4</v>
      </c>
      <c r="HO81" s="239" t="s">
        <v>4</v>
      </c>
      <c r="HP81" s="239" t="s">
        <v>4</v>
      </c>
      <c r="HQ81" s="239" t="s">
        <v>4</v>
      </c>
      <c r="HR81" s="239" t="s">
        <v>4</v>
      </c>
      <c r="HS81" s="239" t="s">
        <v>4</v>
      </c>
      <c r="HT81" s="239" t="s">
        <v>4</v>
      </c>
      <c r="HU81" s="239" t="s">
        <v>2</v>
      </c>
      <c r="HV81" s="239" t="s">
        <v>4</v>
      </c>
      <c r="HW81" s="239" t="s">
        <v>4</v>
      </c>
      <c r="HX81" s="239" t="s">
        <v>4</v>
      </c>
      <c r="HY81" s="239" t="s">
        <v>4</v>
      </c>
      <c r="HZ81" s="239" t="s">
        <v>16</v>
      </c>
      <c r="IA81" s="239" t="s">
        <v>7</v>
      </c>
      <c r="IB81" s="239" t="s">
        <v>31143</v>
      </c>
      <c r="IC81" s="239" t="s">
        <v>16</v>
      </c>
      <c r="ID81" s="239" t="s">
        <v>31144</v>
      </c>
      <c r="IE81" s="239" t="s">
        <v>31145</v>
      </c>
      <c r="IF81" s="239" t="s">
        <v>31146</v>
      </c>
      <c r="IG81" s="239" t="s">
        <v>9</v>
      </c>
      <c r="IH81" s="239" t="s">
        <v>31147</v>
      </c>
    </row>
    <row r="82" spans="1:242" s="561" customFormat="1" ht="36.75" customHeight="1" x14ac:dyDescent="0.2">
      <c r="A82" s="239">
        <v>20</v>
      </c>
      <c r="B82" s="239" t="s">
        <v>11685</v>
      </c>
      <c r="C82" s="239" t="s">
        <v>29562</v>
      </c>
      <c r="D82" s="239" t="s">
        <v>29563</v>
      </c>
      <c r="E82" s="239" t="s">
        <v>7</v>
      </c>
      <c r="F82" s="239" t="s">
        <v>29564</v>
      </c>
      <c r="G82" s="239">
        <v>1111.9000000000001</v>
      </c>
      <c r="H82" s="239">
        <v>4.5999999999999996</v>
      </c>
      <c r="I82" s="239" t="s">
        <v>29288</v>
      </c>
      <c r="J82" s="239" t="s">
        <v>4</v>
      </c>
      <c r="K82" s="239" t="s">
        <v>29565</v>
      </c>
      <c r="L82" s="239">
        <v>774531423</v>
      </c>
      <c r="M82" s="239" t="s">
        <v>3</v>
      </c>
      <c r="N82" s="239" t="s">
        <v>31590</v>
      </c>
      <c r="O82" s="239" t="s">
        <v>4</v>
      </c>
      <c r="P82" s="239">
        <v>2</v>
      </c>
      <c r="Q82" s="239" t="s">
        <v>7</v>
      </c>
      <c r="R82" s="239" t="s">
        <v>31549</v>
      </c>
      <c r="S82" s="239" t="s">
        <v>4</v>
      </c>
      <c r="T82" s="239" t="s">
        <v>7</v>
      </c>
      <c r="U82" s="239" t="s">
        <v>2</v>
      </c>
      <c r="V82" s="239">
        <v>365</v>
      </c>
      <c r="W82" s="239" t="s">
        <v>7</v>
      </c>
      <c r="X82" s="239" t="s">
        <v>4</v>
      </c>
      <c r="Y82" s="239" t="s">
        <v>4</v>
      </c>
      <c r="Z82" s="241" t="str">
        <f>IF(OR(T82="yes",Y82&gt;'SDG outcome'!$C$27),"yes","no")</f>
        <v>yes</v>
      </c>
      <c r="AA82" s="243">
        <f t="shared" si="1"/>
        <v>365</v>
      </c>
      <c r="AB82" s="243" t="str">
        <f>IF(AND(Z82="no",AND(Y82&gt;='SDG outcome'!$B$16,Y82&lt;'SDG outcome'!$C$27)),Y82-'SDG outcome'!$B$16,"")</f>
        <v/>
      </c>
      <c r="AC82" s="239" t="s">
        <v>4</v>
      </c>
      <c r="AD82" s="239" t="s">
        <v>4</v>
      </c>
      <c r="AE82" s="239" t="s">
        <v>4</v>
      </c>
      <c r="AF82" s="239" t="s">
        <v>4</v>
      </c>
      <c r="AG82" s="239" t="s">
        <v>4</v>
      </c>
      <c r="AH82" s="239" t="s">
        <v>4</v>
      </c>
      <c r="AI82" s="239" t="s">
        <v>4</v>
      </c>
      <c r="AJ82" s="239" t="s">
        <v>29290</v>
      </c>
      <c r="AK82" s="239" t="s">
        <v>29291</v>
      </c>
      <c r="AL82" s="239" t="s">
        <v>4</v>
      </c>
      <c r="AM82" s="239" t="s">
        <v>4</v>
      </c>
      <c r="AN82" s="239" t="s">
        <v>31536</v>
      </c>
      <c r="AO82" s="239" t="s">
        <v>4</v>
      </c>
      <c r="AP82" s="239" t="s">
        <v>31537</v>
      </c>
      <c r="AQ82" s="239" t="s">
        <v>4</v>
      </c>
      <c r="AR82" s="239" t="s">
        <v>31647</v>
      </c>
      <c r="AS82" s="239" t="s">
        <v>4</v>
      </c>
      <c r="AT82" s="239" t="s">
        <v>7</v>
      </c>
      <c r="AU82" s="239" t="s">
        <v>4</v>
      </c>
      <c r="AV82" s="239" t="s">
        <v>4</v>
      </c>
      <c r="AW82" s="239" t="s">
        <v>31539</v>
      </c>
      <c r="AX82" s="239" t="s">
        <v>4</v>
      </c>
      <c r="AY82" s="239" t="s">
        <v>4</v>
      </c>
      <c r="AZ82" s="239" t="s">
        <v>7</v>
      </c>
      <c r="BA82" s="239" t="s">
        <v>11</v>
      </c>
      <c r="BB82" s="239" t="s">
        <v>4</v>
      </c>
      <c r="BC82" s="239" t="s">
        <v>31540</v>
      </c>
      <c r="BD82" s="239" t="s">
        <v>31541</v>
      </c>
      <c r="BE82" s="239" t="s">
        <v>4</v>
      </c>
      <c r="BF82" s="239" t="s">
        <v>31648</v>
      </c>
      <c r="BG82" s="239" t="s">
        <v>4</v>
      </c>
      <c r="BH82" s="239" t="s">
        <v>31542</v>
      </c>
      <c r="BI82" s="239" t="s">
        <v>31649</v>
      </c>
      <c r="BJ82" s="239" t="s">
        <v>31616</v>
      </c>
      <c r="BK82" s="239">
        <v>3</v>
      </c>
      <c r="BL82" s="239">
        <v>120</v>
      </c>
      <c r="BM82" s="239" t="s">
        <v>7</v>
      </c>
      <c r="BN82" s="239" t="s">
        <v>6</v>
      </c>
      <c r="BO82" s="239" t="s">
        <v>4</v>
      </c>
      <c r="BP82" s="239" t="s">
        <v>31425</v>
      </c>
      <c r="BQ82" s="239">
        <v>1</v>
      </c>
      <c r="BR82" s="239">
        <v>30</v>
      </c>
      <c r="BS82" s="239" t="s">
        <v>31434</v>
      </c>
      <c r="BT82" s="239"/>
      <c r="BU82" s="239">
        <v>1</v>
      </c>
      <c r="BV82" s="239" cm="1">
        <f t="array" ref="BV82">_xlfn.IFS(BS82="Foreword vehicle",BU82*0,BS82="Human wastes",BU82*0,BS82="Jerrycans",BU82*$BV$228,BS82="Number of Basins",BU82*$BV$229,BS82="Number of Buckets",BU82*$CA$226,BS82="Number of Kgs",BU82*$CA$227,BS82="Number of spades",BU82*$CA$228,BS82="Number of wheelbarrows",BU82*$CA$229,BT82="Foreword vehicle",BU82*0,BT82="Human wastes",BU82*0,BT82="Jerrycans",BU82*$BV$228,BS82="","")</f>
        <v>16</v>
      </c>
      <c r="BW82" s="239">
        <f>IF(BV82="","",Table14[[#This Row],[Calculation: Conversion of metric to Kg manure feeding (Columns: BP, BQ, BR)]]*Table14[[#This Row],[Number of times used to feed biodigester]])</f>
        <v>16</v>
      </c>
      <c r="BX82" s="239" cm="1">
        <f t="array" ref="BX82">_xlfn.IFS(BP82="Number of times per day (1 to 3)",BW82/$BX$226,BP82="Number of times per week (1 to 6)",BW82/$BX$227,BP82="Number of times per Month (1 to 3)",BW82/$BX$228,BW82="","")</f>
        <v>16</v>
      </c>
      <c r="BY82" s="239" t="s">
        <v>31650</v>
      </c>
      <c r="BZ82" s="239" t="s">
        <v>4</v>
      </c>
      <c r="CA82" s="239" t="s">
        <v>7</v>
      </c>
      <c r="CB82" s="239" t="s">
        <v>31651</v>
      </c>
      <c r="CC82" s="239" t="s">
        <v>4</v>
      </c>
      <c r="CD82" s="239" t="s">
        <v>31652</v>
      </c>
      <c r="CE82" s="239" t="s">
        <v>7</v>
      </c>
      <c r="CF82" s="239" t="s">
        <v>31653</v>
      </c>
      <c r="CG82" s="239" t="s">
        <v>4</v>
      </c>
      <c r="CH82" s="239" t="s">
        <v>31654</v>
      </c>
      <c r="CI82" s="239">
        <v>0</v>
      </c>
      <c r="CJ82" s="239">
        <v>18</v>
      </c>
      <c r="CK82" s="239">
        <v>3</v>
      </c>
      <c r="CL82" s="239">
        <v>3</v>
      </c>
      <c r="CM82" s="239">
        <v>0</v>
      </c>
      <c r="CN82" s="239">
        <v>50</v>
      </c>
      <c r="CO82" s="239">
        <v>0</v>
      </c>
      <c r="CP82" s="239">
        <v>0</v>
      </c>
      <c r="CQ82" s="239">
        <v>0</v>
      </c>
      <c r="CR82" s="239">
        <v>0</v>
      </c>
      <c r="CS82" s="239">
        <f>CP82/'SDG outcome'!$C$9*CQ82*CR82</f>
        <v>0</v>
      </c>
      <c r="CT82" s="239" t="s">
        <v>4</v>
      </c>
      <c r="CU82" s="239" t="s">
        <v>4</v>
      </c>
      <c r="CV82" s="239" t="s">
        <v>4</v>
      </c>
      <c r="CW82" s="239">
        <v>100</v>
      </c>
      <c r="CX82" s="239">
        <v>0</v>
      </c>
      <c r="CY82" s="239" t="s">
        <v>4</v>
      </c>
      <c r="CZ82" s="239" t="s">
        <v>4</v>
      </c>
      <c r="DA82" s="239" t="s">
        <v>4</v>
      </c>
      <c r="DB82" s="239" t="s">
        <v>4</v>
      </c>
      <c r="DC82" s="239">
        <v>0</v>
      </c>
      <c r="DD82" s="239">
        <v>100</v>
      </c>
      <c r="DE82" s="239" t="s">
        <v>19</v>
      </c>
      <c r="DF82" s="239">
        <v>0</v>
      </c>
      <c r="DG82" s="239">
        <v>100</v>
      </c>
      <c r="DH82" s="239" t="s">
        <v>19</v>
      </c>
      <c r="DI82" s="239">
        <v>0</v>
      </c>
      <c r="DJ82" s="239">
        <v>100</v>
      </c>
      <c r="DK82" s="239" t="s">
        <v>19</v>
      </c>
      <c r="DL82" s="239" t="s">
        <v>4</v>
      </c>
      <c r="DM82" s="239" t="s">
        <v>4</v>
      </c>
      <c r="DN82" s="239" t="s">
        <v>4</v>
      </c>
      <c r="DO82" s="239">
        <v>0.5</v>
      </c>
      <c r="DP82" s="239" t="s">
        <v>2</v>
      </c>
      <c r="DQ82" s="239" t="s">
        <v>29292</v>
      </c>
      <c r="DR82" s="239" t="s">
        <v>4</v>
      </c>
      <c r="DS82" s="239" t="s">
        <v>29293</v>
      </c>
      <c r="DT82" s="240">
        <v>50000</v>
      </c>
      <c r="DU82" s="239" t="s">
        <v>29293</v>
      </c>
      <c r="DV82" s="240">
        <v>0</v>
      </c>
      <c r="DW82" s="239" t="s">
        <v>29508</v>
      </c>
      <c r="DX82" s="239"/>
      <c r="DY82" s="239"/>
      <c r="DZ82" s="239"/>
      <c r="EA82" s="239"/>
      <c r="EB82" s="239"/>
      <c r="EC82" s="239"/>
      <c r="ED82" s="239"/>
      <c r="EE82" s="320">
        <f>Table14[[#This Row],[% Fertilizer]]*$DX82/10000</f>
        <v>0</v>
      </c>
      <c r="EF82" s="320">
        <f>Table14[[#This Row],[% bioslurry used as Insecticide/Pesticide]]*$DX82/10000</f>
        <v>0</v>
      </c>
      <c r="EG82" s="320">
        <f>Table14[[#This Row],[% of Bioslurry used as animal feed]]*$DX82/10000</f>
        <v>0</v>
      </c>
      <c r="EH82" s="320">
        <f>Table14[[#This Row],[% of Bioslurry sold]]*$DX82/10000</f>
        <v>0</v>
      </c>
      <c r="EI82" s="320">
        <f>Table14[[#This Row],[% used other way(if used directly)]]*$DX82/10000</f>
        <v>0</v>
      </c>
      <c r="EJ82" s="239">
        <v>100</v>
      </c>
      <c r="EK82" s="239" t="s">
        <v>26</v>
      </c>
      <c r="EL82" s="239"/>
      <c r="EM82" s="239"/>
      <c r="EN82" s="239"/>
      <c r="EO82" s="239">
        <f>(Table14[[#This Row],[% Uncovered lagoon greater than 1 meter]]+Table14[[#This Row],[Uncovered lagoon (black watery mass) &lt;1 meter]]+Table14[[#This Row],[% Liquid slurry (brown porridge type)]])*Table14[[#This Row],[% Store it first]]/100</f>
        <v>0</v>
      </c>
      <c r="EP82" s="239">
        <v>100</v>
      </c>
      <c r="EQ82" s="239"/>
      <c r="ER82" s="239"/>
      <c r="ES82" s="239"/>
      <c r="ET82" s="239">
        <f>(Table14[[#This Row],[% Solid storage]]+Table14[[#This Row],[% Sun drying]]+Table14[[#This Row],[% Composting with a roof]]+Table14[[#This Row],[% Composting without a roof]])*Table14[[#This Row],[% Store it first]]/100</f>
        <v>100</v>
      </c>
      <c r="EU82" s="239">
        <v>30</v>
      </c>
      <c r="EV82" s="320">
        <f t="shared" si="2"/>
        <v>1</v>
      </c>
      <c r="EW82" s="320">
        <f t="shared" si="3"/>
        <v>0</v>
      </c>
      <c r="EX82" s="320">
        <f t="shared" si="4"/>
        <v>0</v>
      </c>
      <c r="EY82" s="320">
        <f t="shared" si="5"/>
        <v>0</v>
      </c>
      <c r="EZ82" s="320">
        <f t="shared" si="6"/>
        <v>0</v>
      </c>
      <c r="FA82" s="239"/>
      <c r="FB82" s="239"/>
      <c r="FC82" s="239"/>
      <c r="FD82" s="239">
        <f>Table14[[#This Row],[% I donâ€™t use it / discarded]]+Table14[[#This Row],[% Other (specify)(If you use bioslurry directly)]]+Table14[[#This Row],[% Store it first]]+Table14[[#This Row],[% Use directly for various purposes]]</f>
        <v>100</v>
      </c>
      <c r="FE82" s="239" t="s">
        <v>29296</v>
      </c>
      <c r="FF82" s="239">
        <v>100</v>
      </c>
      <c r="FG82" s="239"/>
      <c r="FH82" s="239"/>
      <c r="FI82" s="239"/>
      <c r="FJ82" s="239"/>
      <c r="FK82" s="239" t="s">
        <v>9</v>
      </c>
      <c r="FL82" s="239" t="s">
        <v>7</v>
      </c>
      <c r="FM82" s="239">
        <v>10</v>
      </c>
      <c r="FN82" s="239"/>
      <c r="FO82" s="239" t="s">
        <v>29566</v>
      </c>
      <c r="FP82" s="239" t="s">
        <v>29298</v>
      </c>
      <c r="FQ82" s="239">
        <v>108</v>
      </c>
      <c r="FR82" s="239" t="s">
        <v>2</v>
      </c>
      <c r="FS82" s="239" t="s">
        <v>4</v>
      </c>
      <c r="FT82" s="239" t="s">
        <v>4</v>
      </c>
      <c r="FU82" s="239" t="s">
        <v>2</v>
      </c>
      <c r="FV82" s="239" t="s">
        <v>4</v>
      </c>
      <c r="FW82" s="239" t="s">
        <v>4</v>
      </c>
      <c r="FX82" s="239" t="s">
        <v>4</v>
      </c>
      <c r="FY82" s="239" t="s">
        <v>4</v>
      </c>
      <c r="FZ82" s="239" t="s">
        <v>4</v>
      </c>
      <c r="GA82" s="239" t="s">
        <v>4</v>
      </c>
      <c r="GB82" s="240" t="s">
        <v>4</v>
      </c>
      <c r="GC82" s="239" t="s">
        <v>4</v>
      </c>
      <c r="GD82" s="239" t="s">
        <v>7</v>
      </c>
      <c r="GE82" s="239" t="s">
        <v>29301</v>
      </c>
      <c r="GF82" s="239" t="s">
        <v>4</v>
      </c>
      <c r="GG82" s="239" t="s">
        <v>7</v>
      </c>
      <c r="GH82" s="239" t="s">
        <v>2</v>
      </c>
      <c r="GI82" s="239" t="s">
        <v>4</v>
      </c>
      <c r="GJ82" s="239" t="s">
        <v>4</v>
      </c>
      <c r="GK82" s="239" t="s">
        <v>29304</v>
      </c>
      <c r="GL82" s="239">
        <v>0.5</v>
      </c>
      <c r="GM82" s="239" t="s">
        <v>29478</v>
      </c>
      <c r="GN82" s="239" t="s">
        <v>29306</v>
      </c>
      <c r="GO82" s="239" t="s">
        <v>29466</v>
      </c>
      <c r="GP82" s="239" t="s">
        <v>4</v>
      </c>
      <c r="GQ82" s="239" t="s">
        <v>4</v>
      </c>
      <c r="GR82" s="239" t="s">
        <v>4</v>
      </c>
      <c r="GS82" s="239" t="s">
        <v>4</v>
      </c>
      <c r="GT82" s="239" t="s">
        <v>4</v>
      </c>
      <c r="GU82" s="239" t="s">
        <v>4</v>
      </c>
      <c r="GV82" s="239" t="s">
        <v>4</v>
      </c>
      <c r="GW82" s="239" t="s">
        <v>4</v>
      </c>
      <c r="GX82" s="239" t="s">
        <v>4</v>
      </c>
      <c r="GY82" s="239" t="s">
        <v>4</v>
      </c>
      <c r="GZ82" s="239" t="s">
        <v>4</v>
      </c>
      <c r="HA82" s="239" t="s">
        <v>4</v>
      </c>
      <c r="HB82" s="239" t="s">
        <v>4</v>
      </c>
      <c r="HC82" s="239" t="s">
        <v>4</v>
      </c>
      <c r="HD82" s="239" t="s">
        <v>4</v>
      </c>
      <c r="HE82" s="239" t="s">
        <v>4</v>
      </c>
      <c r="HF82" s="239" t="s">
        <v>4</v>
      </c>
      <c r="HG82" s="239" t="s">
        <v>4</v>
      </c>
      <c r="HH82" s="239" t="s">
        <v>29354</v>
      </c>
      <c r="HI82" s="239" t="s">
        <v>4</v>
      </c>
      <c r="HJ82" s="240">
        <v>500</v>
      </c>
      <c r="HK82" s="239" t="s">
        <v>29325</v>
      </c>
      <c r="HL82" s="239" t="s">
        <v>29480</v>
      </c>
      <c r="HM82" s="239" t="s">
        <v>4</v>
      </c>
      <c r="HN82" s="239" t="s">
        <v>4</v>
      </c>
      <c r="HO82" s="239" t="s">
        <v>4</v>
      </c>
      <c r="HP82" s="239" t="s">
        <v>4</v>
      </c>
      <c r="HQ82" s="239" t="s">
        <v>4</v>
      </c>
      <c r="HR82" s="239" t="s">
        <v>4</v>
      </c>
      <c r="HS82" s="239" t="s">
        <v>4</v>
      </c>
      <c r="HT82" s="239" t="s">
        <v>4</v>
      </c>
      <c r="HU82" s="239" t="s">
        <v>2</v>
      </c>
      <c r="HV82" s="239" t="s">
        <v>4</v>
      </c>
      <c r="HW82" s="239" t="s">
        <v>4</v>
      </c>
      <c r="HX82" s="239" t="s">
        <v>4</v>
      </c>
      <c r="HY82" s="239" t="s">
        <v>4</v>
      </c>
      <c r="HZ82" s="239" t="s">
        <v>29567</v>
      </c>
      <c r="IA82" s="239" t="s">
        <v>7</v>
      </c>
      <c r="IB82" s="239" t="s">
        <v>29568</v>
      </c>
      <c r="IC82" s="239" t="s">
        <v>29569</v>
      </c>
      <c r="ID82" s="239" t="s">
        <v>29570</v>
      </c>
      <c r="IE82" s="239" t="s">
        <v>29571</v>
      </c>
      <c r="IF82" s="239" t="s">
        <v>29572</v>
      </c>
      <c r="IG82" s="239" t="s">
        <v>29573</v>
      </c>
      <c r="IH82" s="239" t="s">
        <v>29574</v>
      </c>
    </row>
    <row r="83" spans="1:242" s="561" customFormat="1" ht="36.75" customHeight="1" x14ac:dyDescent="0.2">
      <c r="A83" s="239">
        <v>160</v>
      </c>
      <c r="B83" s="239" t="s">
        <v>4886</v>
      </c>
      <c r="C83" s="239" t="s">
        <v>30999</v>
      </c>
      <c r="D83" s="239" t="s">
        <v>34</v>
      </c>
      <c r="E83" s="239" t="s">
        <v>7</v>
      </c>
      <c r="F83" s="239" t="s">
        <v>31000</v>
      </c>
      <c r="G83" s="239">
        <v>1182.3</v>
      </c>
      <c r="H83" s="239">
        <v>5</v>
      </c>
      <c r="I83" s="239" t="s">
        <v>29389</v>
      </c>
      <c r="J83" s="239" t="s">
        <v>22</v>
      </c>
      <c r="K83" s="239" t="s">
        <v>31001</v>
      </c>
      <c r="L83" s="239">
        <v>701954959</v>
      </c>
      <c r="M83" s="239" t="s">
        <v>5</v>
      </c>
      <c r="N83" s="239" t="s">
        <v>31438</v>
      </c>
      <c r="O83" s="239">
        <v>41</v>
      </c>
      <c r="P83" s="239">
        <v>5</v>
      </c>
      <c r="Q83" s="239" t="s">
        <v>7</v>
      </c>
      <c r="R83" s="239" t="s">
        <v>31588</v>
      </c>
      <c r="S83" s="239" t="s">
        <v>4</v>
      </c>
      <c r="T83" s="239" t="s">
        <v>7</v>
      </c>
      <c r="U83" s="239" t="s">
        <v>7</v>
      </c>
      <c r="V83" s="239"/>
      <c r="W83" s="239" t="s">
        <v>7</v>
      </c>
      <c r="X83" s="239" t="s">
        <v>4</v>
      </c>
      <c r="Y83" s="239" t="s">
        <v>4</v>
      </c>
      <c r="Z83" s="241" t="str">
        <f>IF(OR(T83="yes",Y83&gt;'SDG outcome'!$C$27),"yes","no")</f>
        <v>yes</v>
      </c>
      <c r="AA83" s="243">
        <f t="shared" si="1"/>
        <v>0</v>
      </c>
      <c r="AB83" s="243" t="str">
        <f>IF(AND(Z83="no",AND(Y83&gt;='SDG outcome'!$B$16,Y83&lt;'SDG outcome'!$C$27)),Y83-'SDG outcome'!$B$16,"")</f>
        <v/>
      </c>
      <c r="AC83" s="239" t="s">
        <v>4</v>
      </c>
      <c r="AD83" s="239" t="s">
        <v>4</v>
      </c>
      <c r="AE83" s="239" t="s">
        <v>4</v>
      </c>
      <c r="AF83" s="239" t="s">
        <v>4</v>
      </c>
      <c r="AG83" s="239" t="s">
        <v>4</v>
      </c>
      <c r="AH83" s="239" t="s">
        <v>4</v>
      </c>
      <c r="AI83" s="239" t="s">
        <v>4</v>
      </c>
      <c r="AJ83" s="239" t="s">
        <v>29290</v>
      </c>
      <c r="AK83" s="239" t="s">
        <v>29694</v>
      </c>
      <c r="AL83" s="239" t="s">
        <v>4</v>
      </c>
      <c r="AM83" s="239" t="s">
        <v>4</v>
      </c>
      <c r="AN83" s="239" t="s">
        <v>31599</v>
      </c>
      <c r="AO83" s="239" t="s">
        <v>4</v>
      </c>
      <c r="AP83" s="239" t="s">
        <v>31537</v>
      </c>
      <c r="AQ83" s="239" t="s">
        <v>4</v>
      </c>
      <c r="AR83" s="239" t="s">
        <v>31538</v>
      </c>
      <c r="AS83" s="239" t="s">
        <v>4</v>
      </c>
      <c r="AT83" s="239" t="s">
        <v>2</v>
      </c>
      <c r="AU83" s="239" t="s">
        <v>31581</v>
      </c>
      <c r="AV83" s="239" t="s">
        <v>4</v>
      </c>
      <c r="AW83" s="239" t="s">
        <v>31539</v>
      </c>
      <c r="AX83" s="239" t="s">
        <v>4</v>
      </c>
      <c r="AY83" s="239" t="s">
        <v>4</v>
      </c>
      <c r="AZ83" s="239" t="s">
        <v>2</v>
      </c>
      <c r="BA83" s="239" t="s">
        <v>4</v>
      </c>
      <c r="BB83" s="239" t="s">
        <v>4</v>
      </c>
      <c r="BC83" s="239" t="s">
        <v>31563</v>
      </c>
      <c r="BD83" s="239" t="s">
        <v>22</v>
      </c>
      <c r="BE83" s="239" t="s">
        <v>4</v>
      </c>
      <c r="BF83" s="239" t="s">
        <v>31564</v>
      </c>
      <c r="BG83" s="239" t="s">
        <v>4</v>
      </c>
      <c r="BH83" s="239" t="s">
        <v>31542</v>
      </c>
      <c r="BI83" s="239" t="s">
        <v>31726</v>
      </c>
      <c r="BJ83" s="239" t="s">
        <v>31616</v>
      </c>
      <c r="BK83" s="239">
        <v>2</v>
      </c>
      <c r="BL83" s="239">
        <v>60</v>
      </c>
      <c r="BM83" s="239" t="s">
        <v>7</v>
      </c>
      <c r="BN83" s="239" t="s">
        <v>6</v>
      </c>
      <c r="BO83" s="239" t="s">
        <v>4</v>
      </c>
      <c r="BP83" s="239" t="s">
        <v>31429</v>
      </c>
      <c r="BQ83" s="239">
        <v>2</v>
      </c>
      <c r="BR83" s="239">
        <v>40</v>
      </c>
      <c r="BS83" s="239" t="s">
        <v>31435</v>
      </c>
      <c r="BT83" s="239"/>
      <c r="BU83" s="239">
        <v>3</v>
      </c>
      <c r="BV83" s="239" cm="1">
        <f t="array" ref="BV83">_xlfn.IFS(BS83="Foreword vehicle",BU83*0,BS83="Human wastes",BU83*0,BS83="Jerrycans",BU83*$BV$228,BS83="Number of Basins",BU83*$BV$229,BS83="Number of Buckets",BU83*$CA$226,BS83="Number of Kgs",BU83*$CA$227,BS83="Number of spades",BU83*$CA$228,BS83="Number of wheelbarrows",BU83*$CA$229,BT83="Foreword vehicle",BU83*0,BT83="Human wastes",BU83*0,BT83="Jerrycans",BU83*$BV$228,BS83="","")</f>
        <v>211.5</v>
      </c>
      <c r="BW83" s="239">
        <f>IF(BV83="","",Table14[[#This Row],[Calculation: Conversion of metric to Kg manure feeding (Columns: BP, BQ, BR)]]*Table14[[#This Row],[Number of times used to feed biodigester]])</f>
        <v>423</v>
      </c>
      <c r="BX83" s="239" cm="1">
        <f t="array" ref="BX83">_xlfn.IFS(BP83="Number of times per day (1 to 3)",BW83/$BX$226,BP83="Number of times per week (1 to 6)",BW83/$BX$227,BP83="Number of times per Month (1 to 3)",BW83/$BX$228,BW83="","")</f>
        <v>60.428571428571431</v>
      </c>
      <c r="BY83" s="239" t="s">
        <v>22</v>
      </c>
      <c r="BZ83" s="239" t="s">
        <v>4</v>
      </c>
      <c r="CA83" s="239" t="s">
        <v>2</v>
      </c>
      <c r="CB83" s="239" t="s">
        <v>4</v>
      </c>
      <c r="CC83" s="239" t="s">
        <v>4</v>
      </c>
      <c r="CD83" s="239" t="s">
        <v>4</v>
      </c>
      <c r="CE83" s="239" t="s">
        <v>7</v>
      </c>
      <c r="CF83" s="239" t="s">
        <v>31750</v>
      </c>
      <c r="CG83" s="239" t="s">
        <v>4</v>
      </c>
      <c r="CH83" s="239" t="s">
        <v>31751</v>
      </c>
      <c r="CI83" s="239">
        <v>8</v>
      </c>
      <c r="CJ83" s="239">
        <v>15</v>
      </c>
      <c r="CK83" s="239">
        <v>3</v>
      </c>
      <c r="CL83" s="239">
        <v>0</v>
      </c>
      <c r="CM83" s="239">
        <v>0</v>
      </c>
      <c r="CN83" s="239">
        <v>0</v>
      </c>
      <c r="CO83" s="239">
        <v>0</v>
      </c>
      <c r="CP83" s="239">
        <v>0</v>
      </c>
      <c r="CQ83" s="239">
        <v>0</v>
      </c>
      <c r="CR83" s="239">
        <v>0</v>
      </c>
      <c r="CS83" s="239">
        <f>CP83/'SDG outcome'!$C$9*CQ83*CR83</f>
        <v>0</v>
      </c>
      <c r="CT83" s="239">
        <v>10</v>
      </c>
      <c r="CU83" s="239">
        <v>90</v>
      </c>
      <c r="CV83" s="239" t="s">
        <v>31752</v>
      </c>
      <c r="CW83" s="239">
        <v>10</v>
      </c>
      <c r="CX83" s="239">
        <v>90</v>
      </c>
      <c r="CY83" s="239" t="s">
        <v>31753</v>
      </c>
      <c r="CZ83" s="239" t="s">
        <v>4</v>
      </c>
      <c r="DA83" s="239" t="s">
        <v>4</v>
      </c>
      <c r="DB83" s="239" t="s">
        <v>4</v>
      </c>
      <c r="DC83" s="239">
        <v>0</v>
      </c>
      <c r="DD83" s="239">
        <v>100</v>
      </c>
      <c r="DE83" s="239" t="s">
        <v>31754</v>
      </c>
      <c r="DF83" s="239" t="s">
        <v>4</v>
      </c>
      <c r="DG83" s="239" t="s">
        <v>4</v>
      </c>
      <c r="DH83" s="239" t="s">
        <v>4</v>
      </c>
      <c r="DI83" s="239" t="s">
        <v>4</v>
      </c>
      <c r="DJ83" s="239" t="s">
        <v>4</v>
      </c>
      <c r="DK83" s="239" t="s">
        <v>4</v>
      </c>
      <c r="DL83" s="239" t="s">
        <v>4</v>
      </c>
      <c r="DM83" s="239" t="s">
        <v>4</v>
      </c>
      <c r="DN83" s="239" t="s">
        <v>4</v>
      </c>
      <c r="DO83" s="239">
        <v>6</v>
      </c>
      <c r="DP83" s="239" t="s">
        <v>2</v>
      </c>
      <c r="DQ83" s="239" t="s">
        <v>29292</v>
      </c>
      <c r="DR83" s="239" t="s">
        <v>4</v>
      </c>
      <c r="DS83" s="239" t="s">
        <v>29294</v>
      </c>
      <c r="DT83" s="240" t="s">
        <v>4</v>
      </c>
      <c r="DU83" s="239" t="s">
        <v>29294</v>
      </c>
      <c r="DV83" s="240" t="s">
        <v>4</v>
      </c>
      <c r="DW83" s="239" t="s">
        <v>29508</v>
      </c>
      <c r="DX83" s="239"/>
      <c r="DY83" s="239"/>
      <c r="DZ83" s="239"/>
      <c r="EA83" s="239"/>
      <c r="EB83" s="239"/>
      <c r="EC83" s="239"/>
      <c r="ED83" s="239"/>
      <c r="EE83" s="320">
        <f>Table14[[#This Row],[% Fertilizer]]*$DX83/10000</f>
        <v>0</v>
      </c>
      <c r="EF83" s="320">
        <f>Table14[[#This Row],[% bioslurry used as Insecticide/Pesticide]]*$DX83/10000</f>
        <v>0</v>
      </c>
      <c r="EG83" s="320">
        <f>Table14[[#This Row],[% of Bioslurry used as animal feed]]*$DX83/10000</f>
        <v>0</v>
      </c>
      <c r="EH83" s="320">
        <f>Table14[[#This Row],[% of Bioslurry sold]]*$DX83/10000</f>
        <v>0</v>
      </c>
      <c r="EI83" s="320">
        <f>Table14[[#This Row],[% used other way(if used directly)]]*$DX83/10000</f>
        <v>0</v>
      </c>
      <c r="EJ83" s="239">
        <v>100</v>
      </c>
      <c r="EK83" s="239" t="s">
        <v>29443</v>
      </c>
      <c r="EL83" s="239"/>
      <c r="EM83" s="239"/>
      <c r="EN83" s="239"/>
      <c r="EO83" s="239">
        <f>(Table14[[#This Row],[% Uncovered lagoon greater than 1 meter]]+Table14[[#This Row],[Uncovered lagoon (black watery mass) &lt;1 meter]]+Table14[[#This Row],[% Liquid slurry (brown porridge type)]])*Table14[[#This Row],[% Store it first]]/100</f>
        <v>0</v>
      </c>
      <c r="EP83" s="239"/>
      <c r="EQ83" s="239"/>
      <c r="ER83" s="239"/>
      <c r="ES83" s="239">
        <v>100</v>
      </c>
      <c r="ET83" s="239">
        <f>(Table14[[#This Row],[% Solid storage]]+Table14[[#This Row],[% Sun drying]]+Table14[[#This Row],[% Composting with a roof]]+Table14[[#This Row],[% Composting without a roof]])*Table14[[#This Row],[% Store it first]]/100</f>
        <v>100</v>
      </c>
      <c r="EU83" s="239">
        <v>14</v>
      </c>
      <c r="EV83" s="320">
        <f t="shared" si="2"/>
        <v>1</v>
      </c>
      <c r="EW83" s="320">
        <f t="shared" si="3"/>
        <v>0</v>
      </c>
      <c r="EX83" s="320">
        <f t="shared" si="4"/>
        <v>0</v>
      </c>
      <c r="EY83" s="320">
        <f t="shared" si="5"/>
        <v>0</v>
      </c>
      <c r="EZ83" s="320">
        <f t="shared" si="6"/>
        <v>0</v>
      </c>
      <c r="FA83" s="239"/>
      <c r="FB83" s="239"/>
      <c r="FC83" s="239"/>
      <c r="FD83" s="239">
        <f>Table14[[#This Row],[% I donâ€™t use it / discarded]]+Table14[[#This Row],[% Other (specify)(If you use bioslurry directly)]]+Table14[[#This Row],[% Store it first]]+Table14[[#This Row],[% Use directly for various purposes]]</f>
        <v>100</v>
      </c>
      <c r="FE83" s="239" t="s">
        <v>29296</v>
      </c>
      <c r="FF83" s="239">
        <v>100</v>
      </c>
      <c r="FG83" s="239"/>
      <c r="FH83" s="239"/>
      <c r="FI83" s="239"/>
      <c r="FJ83" s="239"/>
      <c r="FK83" s="239" t="s">
        <v>9</v>
      </c>
      <c r="FL83" s="239" t="s">
        <v>7</v>
      </c>
      <c r="FM83" s="239">
        <v>20</v>
      </c>
      <c r="FN83" s="239"/>
      <c r="FO83" s="239" t="s">
        <v>31002</v>
      </c>
      <c r="FP83" s="239" t="s">
        <v>29298</v>
      </c>
      <c r="FQ83" s="239">
        <v>108</v>
      </c>
      <c r="FR83" s="239" t="s">
        <v>7</v>
      </c>
      <c r="FS83" s="239" t="s">
        <v>29393</v>
      </c>
      <c r="FT83" s="239" t="s">
        <v>4</v>
      </c>
      <c r="FU83" s="239" t="s">
        <v>2</v>
      </c>
      <c r="FV83" s="239" t="s">
        <v>4</v>
      </c>
      <c r="FW83" s="239" t="s">
        <v>4</v>
      </c>
      <c r="FX83" s="239" t="s">
        <v>4</v>
      </c>
      <c r="FY83" s="239" t="s">
        <v>4</v>
      </c>
      <c r="FZ83" s="239" t="s">
        <v>4</v>
      </c>
      <c r="GA83" s="239" t="s">
        <v>4</v>
      </c>
      <c r="GB83" s="240" t="s">
        <v>4</v>
      </c>
      <c r="GC83" s="239" t="s">
        <v>4</v>
      </c>
      <c r="GD83" s="239" t="s">
        <v>2</v>
      </c>
      <c r="GE83" s="239" t="s">
        <v>4</v>
      </c>
      <c r="GF83" s="239" t="s">
        <v>4</v>
      </c>
      <c r="GG83" s="239" t="s">
        <v>7</v>
      </c>
      <c r="GH83" s="239" t="s">
        <v>7</v>
      </c>
      <c r="GI83" s="239" t="s">
        <v>29302</v>
      </c>
      <c r="GJ83" s="239" t="s">
        <v>31003</v>
      </c>
      <c r="GK83" s="239" t="s">
        <v>4</v>
      </c>
      <c r="GL83" s="239">
        <v>0</v>
      </c>
      <c r="GM83" s="239"/>
      <c r="GN83" s="239" t="s">
        <v>4</v>
      </c>
      <c r="GO83" s="239" t="s">
        <v>4</v>
      </c>
      <c r="GP83" s="239" t="s">
        <v>4</v>
      </c>
      <c r="GQ83" s="239" t="s">
        <v>4</v>
      </c>
      <c r="GR83" s="239" t="s">
        <v>4</v>
      </c>
      <c r="GS83" s="239" t="s">
        <v>4</v>
      </c>
      <c r="GT83" s="239" t="s">
        <v>4</v>
      </c>
      <c r="GU83" s="239" t="s">
        <v>4</v>
      </c>
      <c r="GV83" s="239" t="s">
        <v>4</v>
      </c>
      <c r="GW83" s="239" t="s">
        <v>29304</v>
      </c>
      <c r="GX83" s="239" t="s">
        <v>29305</v>
      </c>
      <c r="GY83" s="239" t="s">
        <v>29306</v>
      </c>
      <c r="GZ83" s="239" t="s">
        <v>4</v>
      </c>
      <c r="HA83" s="239" t="s">
        <v>4</v>
      </c>
      <c r="HB83" s="239" t="s">
        <v>4</v>
      </c>
      <c r="HC83" s="239" t="s">
        <v>4</v>
      </c>
      <c r="HD83" s="239" t="s">
        <v>4</v>
      </c>
      <c r="HE83" s="239" t="s">
        <v>4</v>
      </c>
      <c r="HF83" s="239" t="s">
        <v>13</v>
      </c>
      <c r="HG83" s="239" t="s">
        <v>4</v>
      </c>
      <c r="HH83" s="239" t="s">
        <v>29354</v>
      </c>
      <c r="HI83" s="239" t="s">
        <v>4</v>
      </c>
      <c r="HJ83" s="240">
        <v>0</v>
      </c>
      <c r="HK83" s="239" t="s">
        <v>29325</v>
      </c>
      <c r="HL83" s="239" t="s">
        <v>29309</v>
      </c>
      <c r="HM83" s="239" t="s">
        <v>4</v>
      </c>
      <c r="HN83" s="239" t="s">
        <v>4</v>
      </c>
      <c r="HO83" s="239" t="s">
        <v>4</v>
      </c>
      <c r="HP83" s="239" t="s">
        <v>4</v>
      </c>
      <c r="HQ83" s="239" t="s">
        <v>4</v>
      </c>
      <c r="HR83" s="239" t="s">
        <v>4</v>
      </c>
      <c r="HS83" s="239" t="s">
        <v>4</v>
      </c>
      <c r="HT83" s="239" t="s">
        <v>4</v>
      </c>
      <c r="HU83" s="239" t="s">
        <v>2</v>
      </c>
      <c r="HV83" s="239" t="s">
        <v>4</v>
      </c>
      <c r="HW83" s="239" t="s">
        <v>4</v>
      </c>
      <c r="HX83" s="239" t="s">
        <v>4</v>
      </c>
      <c r="HY83" s="239" t="s">
        <v>4</v>
      </c>
      <c r="HZ83" s="239" t="s">
        <v>31004</v>
      </c>
      <c r="IA83" s="239" t="s">
        <v>2</v>
      </c>
      <c r="IB83" s="239" t="s">
        <v>4</v>
      </c>
      <c r="IC83" s="239" t="s">
        <v>31005</v>
      </c>
      <c r="ID83" s="239" t="s">
        <v>31006</v>
      </c>
      <c r="IE83" s="239" t="s">
        <v>31007</v>
      </c>
      <c r="IF83" s="239" t="s">
        <v>31008</v>
      </c>
      <c r="IG83" s="239" t="s">
        <v>31009</v>
      </c>
      <c r="IH83" s="239" t="s">
        <v>30999</v>
      </c>
    </row>
    <row r="84" spans="1:242" s="561" customFormat="1" ht="36.75" customHeight="1" x14ac:dyDescent="0.2">
      <c r="A84" s="239">
        <v>21</v>
      </c>
      <c r="B84" s="239" t="s">
        <v>17093</v>
      </c>
      <c r="C84" s="239" t="s">
        <v>29575</v>
      </c>
      <c r="D84" s="239" t="s">
        <v>29563</v>
      </c>
      <c r="E84" s="239" t="s">
        <v>7</v>
      </c>
      <c r="F84" s="239" t="s">
        <v>29576</v>
      </c>
      <c r="G84" s="239">
        <v>1082.5999999999999</v>
      </c>
      <c r="H84" s="239">
        <v>3.4</v>
      </c>
      <c r="I84" s="239" t="s">
        <v>29349</v>
      </c>
      <c r="J84" s="239" t="s">
        <v>4</v>
      </c>
      <c r="K84" s="239" t="s">
        <v>29577</v>
      </c>
      <c r="L84" s="239">
        <v>764476279</v>
      </c>
      <c r="M84" s="239" t="s">
        <v>5</v>
      </c>
      <c r="N84" s="239" t="s">
        <v>31438</v>
      </c>
      <c r="O84" s="239">
        <v>22</v>
      </c>
      <c r="P84" s="239">
        <v>6</v>
      </c>
      <c r="Q84" s="239" t="s">
        <v>7</v>
      </c>
      <c r="R84" s="239" t="s">
        <v>31655</v>
      </c>
      <c r="S84" s="239" t="s">
        <v>4</v>
      </c>
      <c r="T84" s="239" t="s">
        <v>7</v>
      </c>
      <c r="U84" s="239" t="s">
        <v>7</v>
      </c>
      <c r="V84" s="239"/>
      <c r="W84" s="239" t="s">
        <v>7</v>
      </c>
      <c r="X84" s="239" t="s">
        <v>4</v>
      </c>
      <c r="Y84" s="239" t="s">
        <v>4</v>
      </c>
      <c r="Z84" s="241" t="str">
        <f>IF(OR(T84="yes",Y84&gt;'SDG outcome'!$C$27),"yes","no")</f>
        <v>yes</v>
      </c>
      <c r="AA84" s="243">
        <f t="shared" si="1"/>
        <v>0</v>
      </c>
      <c r="AB84" s="243" t="str">
        <f>IF(AND(Z84="no",AND(Y84&gt;='SDG outcome'!$B$16,Y84&lt;'SDG outcome'!$C$27)),Y84-'SDG outcome'!$B$16,"")</f>
        <v/>
      </c>
      <c r="AC84" s="239" t="s">
        <v>4</v>
      </c>
      <c r="AD84" s="239" t="s">
        <v>4</v>
      </c>
      <c r="AE84" s="239" t="s">
        <v>4</v>
      </c>
      <c r="AF84" s="239" t="s">
        <v>4</v>
      </c>
      <c r="AG84" s="239" t="s">
        <v>4</v>
      </c>
      <c r="AH84" s="239" t="s">
        <v>4</v>
      </c>
      <c r="AI84" s="239" t="s">
        <v>4</v>
      </c>
      <c r="AJ84" s="239" t="s">
        <v>29290</v>
      </c>
      <c r="AK84" s="239" t="s">
        <v>29291</v>
      </c>
      <c r="AL84" s="239" t="s">
        <v>4</v>
      </c>
      <c r="AM84" s="239" t="s">
        <v>4</v>
      </c>
      <c r="AN84" s="239" t="s">
        <v>31536</v>
      </c>
      <c r="AO84" s="239" t="s">
        <v>4</v>
      </c>
      <c r="AP84" s="239" t="s">
        <v>31600</v>
      </c>
      <c r="AQ84" s="239" t="s">
        <v>4</v>
      </c>
      <c r="AR84" s="239" t="s">
        <v>13</v>
      </c>
      <c r="AS84" s="239" t="s">
        <v>31656</v>
      </c>
      <c r="AT84" s="239" t="s">
        <v>7</v>
      </c>
      <c r="AU84" s="239" t="s">
        <v>4</v>
      </c>
      <c r="AV84" s="239" t="s">
        <v>4</v>
      </c>
      <c r="AW84" s="239" t="s">
        <v>31539</v>
      </c>
      <c r="AX84" s="239" t="s">
        <v>4</v>
      </c>
      <c r="AY84" s="239" t="s">
        <v>4</v>
      </c>
      <c r="AZ84" s="239" t="s">
        <v>7</v>
      </c>
      <c r="BA84" s="239" t="s">
        <v>11</v>
      </c>
      <c r="BB84" s="239" t="s">
        <v>4</v>
      </c>
      <c r="BC84" s="239" t="s">
        <v>31563</v>
      </c>
      <c r="BD84" s="239" t="s">
        <v>22</v>
      </c>
      <c r="BE84" s="239" t="s">
        <v>4</v>
      </c>
      <c r="BF84" s="239" t="s">
        <v>14</v>
      </c>
      <c r="BG84" s="239" t="s">
        <v>4</v>
      </c>
      <c r="BH84" s="239" t="s">
        <v>31542</v>
      </c>
      <c r="BI84" s="239" t="s">
        <v>31657</v>
      </c>
      <c r="BJ84" s="239" t="s">
        <v>31632</v>
      </c>
      <c r="BK84" s="239">
        <v>3</v>
      </c>
      <c r="BL84" s="239">
        <v>240</v>
      </c>
      <c r="BM84" s="239" t="s">
        <v>7</v>
      </c>
      <c r="BN84" s="239" t="s">
        <v>6</v>
      </c>
      <c r="BO84" s="239" t="s">
        <v>4</v>
      </c>
      <c r="BP84" s="239" t="s">
        <v>31425</v>
      </c>
      <c r="BQ84" s="239">
        <v>1</v>
      </c>
      <c r="BR84" s="239">
        <v>40</v>
      </c>
      <c r="BS84" s="239" t="s">
        <v>31435</v>
      </c>
      <c r="BT84" s="239"/>
      <c r="BU84" s="239">
        <v>1</v>
      </c>
      <c r="BV84" s="239" cm="1">
        <f t="array" ref="BV84">_xlfn.IFS(BS84="Foreword vehicle",BU84*0,BS84="Human wastes",BU84*0,BS84="Jerrycans",BU84*$BV$228,BS84="Number of Basins",BU84*$BV$229,BS84="Number of Buckets",BU84*$CA$226,BS84="Number of Kgs",BU84*$CA$227,BS84="Number of spades",BU84*$CA$228,BS84="Number of wheelbarrows",BU84*$CA$229,BT84="Foreword vehicle",BU84*0,BT84="Human wastes",BU84*0,BT84="Jerrycans",BU84*$BV$228,BS84="","")</f>
        <v>70.5</v>
      </c>
      <c r="BW84" s="239">
        <f>IF(BV84="","",Table14[[#This Row],[Calculation: Conversion of metric to Kg manure feeding (Columns: BP, BQ, BR)]]*Table14[[#This Row],[Number of times used to feed biodigester]])</f>
        <v>70.5</v>
      </c>
      <c r="BX84" s="239" cm="1">
        <f t="array" ref="BX84">_xlfn.IFS(BP84="Number of times per day (1 to 3)",BW84/$BX$226,BP84="Number of times per week (1 to 6)",BW84/$BX$227,BP84="Number of times per Month (1 to 3)",BW84/$BX$228,BW84="","")</f>
        <v>70.5</v>
      </c>
      <c r="BY84" s="239" t="s">
        <v>31650</v>
      </c>
      <c r="BZ84" s="239" t="s">
        <v>4</v>
      </c>
      <c r="CA84" s="239" t="s">
        <v>2</v>
      </c>
      <c r="CB84" s="239" t="s">
        <v>4</v>
      </c>
      <c r="CC84" s="239" t="s">
        <v>4</v>
      </c>
      <c r="CD84" s="239" t="s">
        <v>4</v>
      </c>
      <c r="CE84" s="239" t="s">
        <v>7</v>
      </c>
      <c r="CF84" s="239" t="s">
        <v>31639</v>
      </c>
      <c r="CG84" s="239" t="s">
        <v>4</v>
      </c>
      <c r="CH84" s="239" t="s">
        <v>31658</v>
      </c>
      <c r="CI84" s="239">
        <v>0</v>
      </c>
      <c r="CJ84" s="239">
        <v>10</v>
      </c>
      <c r="CK84" s="239">
        <v>0</v>
      </c>
      <c r="CL84" s="239">
        <v>3</v>
      </c>
      <c r="CM84" s="239">
        <v>8</v>
      </c>
      <c r="CN84" s="239">
        <v>15</v>
      </c>
      <c r="CO84" s="239">
        <v>0</v>
      </c>
      <c r="CP84" s="239">
        <v>0</v>
      </c>
      <c r="CQ84" s="239">
        <v>0</v>
      </c>
      <c r="CR84" s="239">
        <v>0</v>
      </c>
      <c r="CS84" s="239">
        <f>CP84/'SDG outcome'!$C$9*CQ84*CR84</f>
        <v>0</v>
      </c>
      <c r="CT84" s="239" t="s">
        <v>4</v>
      </c>
      <c r="CU84" s="239" t="s">
        <v>4</v>
      </c>
      <c r="CV84" s="239" t="s">
        <v>4</v>
      </c>
      <c r="CW84" s="239">
        <v>100</v>
      </c>
      <c r="CX84" s="239">
        <v>0</v>
      </c>
      <c r="CY84" s="239" t="s">
        <v>4</v>
      </c>
      <c r="CZ84" s="239" t="s">
        <v>4</v>
      </c>
      <c r="DA84" s="239" t="s">
        <v>4</v>
      </c>
      <c r="DB84" s="239" t="s">
        <v>4</v>
      </c>
      <c r="DC84" s="239" t="s">
        <v>4</v>
      </c>
      <c r="DD84" s="239" t="s">
        <v>4</v>
      </c>
      <c r="DE84" s="239" t="s">
        <v>4</v>
      </c>
      <c r="DF84" s="239">
        <v>0</v>
      </c>
      <c r="DG84" s="239">
        <v>100</v>
      </c>
      <c r="DH84" s="239" t="s">
        <v>31659</v>
      </c>
      <c r="DI84" s="239">
        <v>0</v>
      </c>
      <c r="DJ84" s="239">
        <v>100</v>
      </c>
      <c r="DK84" s="239" t="s">
        <v>31659</v>
      </c>
      <c r="DL84" s="239">
        <v>0</v>
      </c>
      <c r="DM84" s="239">
        <v>100</v>
      </c>
      <c r="DN84" s="239" t="s">
        <v>31659</v>
      </c>
      <c r="DO84" s="239">
        <v>0.5</v>
      </c>
      <c r="DP84" s="239" t="s">
        <v>7</v>
      </c>
      <c r="DQ84" s="239" t="s">
        <v>29292</v>
      </c>
      <c r="DR84" s="239" t="s">
        <v>4</v>
      </c>
      <c r="DS84" s="239" t="s">
        <v>29294</v>
      </c>
      <c r="DT84" s="240" t="s">
        <v>4</v>
      </c>
      <c r="DU84" s="239" t="s">
        <v>29293</v>
      </c>
      <c r="DV84" s="240">
        <v>0</v>
      </c>
      <c r="DW84" s="239" t="s">
        <v>29295</v>
      </c>
      <c r="DX84" s="239">
        <v>100</v>
      </c>
      <c r="DY84" s="239" t="s">
        <v>29336</v>
      </c>
      <c r="DZ84" s="239">
        <v>80</v>
      </c>
      <c r="EA84" s="239"/>
      <c r="EB84" s="239">
        <v>20</v>
      </c>
      <c r="EC84" s="239"/>
      <c r="ED84" s="239"/>
      <c r="EE84" s="320">
        <f>Table14[[#This Row],[% Fertilizer]]*$DX84/10000</f>
        <v>0.8</v>
      </c>
      <c r="EF84" s="320">
        <f>Table14[[#This Row],[% bioslurry used as Insecticide/Pesticide]]*$DX84/10000</f>
        <v>0</v>
      </c>
      <c r="EG84" s="320">
        <f>Table14[[#This Row],[% of Bioslurry used as animal feed]]*$DX84/10000</f>
        <v>0.2</v>
      </c>
      <c r="EH84" s="320">
        <f>Table14[[#This Row],[% of Bioslurry sold]]*$DX84/10000</f>
        <v>0</v>
      </c>
      <c r="EI84" s="320">
        <f>Table14[[#This Row],[% used other way(if used directly)]]*$DX84/10000</f>
        <v>0</v>
      </c>
      <c r="EJ84" s="239"/>
      <c r="EK84" s="239"/>
      <c r="EL84" s="239"/>
      <c r="EM84" s="239"/>
      <c r="EN84" s="239"/>
      <c r="EO84" s="239">
        <f>(Table14[[#This Row],[% Uncovered lagoon greater than 1 meter]]+Table14[[#This Row],[Uncovered lagoon (black watery mass) &lt;1 meter]]+Table14[[#This Row],[% Liquid slurry (brown porridge type)]])*Table14[[#This Row],[% Store it first]]/100</f>
        <v>0</v>
      </c>
      <c r="EP84" s="239"/>
      <c r="EQ84" s="239"/>
      <c r="ER84" s="239"/>
      <c r="ES84" s="239"/>
      <c r="ET84" s="239">
        <f>(Table14[[#This Row],[% Solid storage]]+Table14[[#This Row],[% Sun drying]]+Table14[[#This Row],[% Composting with a roof]]+Table14[[#This Row],[% Composting without a roof]])*Table14[[#This Row],[% Store it first]]/100</f>
        <v>0</v>
      </c>
      <c r="EU84" s="239"/>
      <c r="EV84" s="320">
        <f t="shared" si="2"/>
        <v>0</v>
      </c>
      <c r="EW84" s="320">
        <f t="shared" si="3"/>
        <v>0</v>
      </c>
      <c r="EX84" s="320">
        <f t="shared" si="4"/>
        <v>0</v>
      </c>
      <c r="EY84" s="320">
        <f t="shared" si="5"/>
        <v>0</v>
      </c>
      <c r="EZ84" s="320">
        <f t="shared" si="6"/>
        <v>0</v>
      </c>
      <c r="FA84" s="239"/>
      <c r="FB84" s="239"/>
      <c r="FC84" s="239"/>
      <c r="FD84" s="239">
        <f>Table14[[#This Row],[% I donâ€™t use it / discarded]]+Table14[[#This Row],[% Other (specify)(If you use bioslurry directly)]]+Table14[[#This Row],[% Store it first]]+Table14[[#This Row],[% Use directly for various purposes]]</f>
        <v>100</v>
      </c>
      <c r="FE84" s="239" t="s">
        <v>4</v>
      </c>
      <c r="FF84" s="239"/>
      <c r="FG84" s="239"/>
      <c r="FH84" s="239"/>
      <c r="FI84" s="239"/>
      <c r="FJ84" s="239"/>
      <c r="FK84" s="239" t="s">
        <v>9</v>
      </c>
      <c r="FL84" s="239" t="s">
        <v>7</v>
      </c>
      <c r="FM84" s="239">
        <v>50</v>
      </c>
      <c r="FN84" s="239"/>
      <c r="FO84" s="239" t="s">
        <v>29578</v>
      </c>
      <c r="FP84" s="239" t="s">
        <v>29298</v>
      </c>
      <c r="FQ84" s="239" t="s">
        <v>9</v>
      </c>
      <c r="FR84" s="239" t="s">
        <v>2</v>
      </c>
      <c r="FS84" s="239" t="s">
        <v>4</v>
      </c>
      <c r="FT84" s="239" t="s">
        <v>4</v>
      </c>
      <c r="FU84" s="239" t="s">
        <v>2</v>
      </c>
      <c r="FV84" s="239" t="s">
        <v>4</v>
      </c>
      <c r="FW84" s="239" t="s">
        <v>4</v>
      </c>
      <c r="FX84" s="239" t="s">
        <v>4</v>
      </c>
      <c r="FY84" s="239" t="s">
        <v>4</v>
      </c>
      <c r="FZ84" s="239" t="s">
        <v>4</v>
      </c>
      <c r="GA84" s="239" t="s">
        <v>4</v>
      </c>
      <c r="GB84" s="240" t="s">
        <v>4</v>
      </c>
      <c r="GC84" s="239" t="s">
        <v>4</v>
      </c>
      <c r="GD84" s="239" t="s">
        <v>7</v>
      </c>
      <c r="GE84" s="239" t="s">
        <v>29301</v>
      </c>
      <c r="GF84" s="239" t="s">
        <v>4</v>
      </c>
      <c r="GG84" s="239" t="s">
        <v>7</v>
      </c>
      <c r="GH84" s="239" t="s">
        <v>7</v>
      </c>
      <c r="GI84" s="239" t="s">
        <v>29302</v>
      </c>
      <c r="GJ84" s="239" t="s">
        <v>29579</v>
      </c>
      <c r="GK84" s="239" t="s">
        <v>4</v>
      </c>
      <c r="GL84" s="239">
        <v>0</v>
      </c>
      <c r="GM84" s="239"/>
      <c r="GN84" s="239" t="s">
        <v>4</v>
      </c>
      <c r="GO84" s="239" t="s">
        <v>4</v>
      </c>
      <c r="GP84" s="239" t="s">
        <v>4</v>
      </c>
      <c r="GQ84" s="239" t="s">
        <v>4</v>
      </c>
      <c r="GR84" s="239" t="s">
        <v>4</v>
      </c>
      <c r="GS84" s="239" t="s">
        <v>4</v>
      </c>
      <c r="GT84" s="239" t="s">
        <v>4</v>
      </c>
      <c r="GU84" s="239" t="s">
        <v>4</v>
      </c>
      <c r="GV84" s="239" t="s">
        <v>4</v>
      </c>
      <c r="GW84" s="239" t="s">
        <v>29304</v>
      </c>
      <c r="GX84" s="239" t="s">
        <v>29305</v>
      </c>
      <c r="GY84" s="239" t="s">
        <v>29306</v>
      </c>
      <c r="GZ84" s="239" t="s">
        <v>4</v>
      </c>
      <c r="HA84" s="239" t="s">
        <v>4</v>
      </c>
      <c r="HB84" s="239" t="s">
        <v>4</v>
      </c>
      <c r="HC84" s="239" t="s">
        <v>4</v>
      </c>
      <c r="HD84" s="239" t="s">
        <v>4</v>
      </c>
      <c r="HE84" s="239" t="s">
        <v>4</v>
      </c>
      <c r="HF84" s="239" t="s">
        <v>4</v>
      </c>
      <c r="HG84" s="239" t="s">
        <v>4</v>
      </c>
      <c r="HH84" s="239" t="s">
        <v>29354</v>
      </c>
      <c r="HI84" s="239" t="s">
        <v>4</v>
      </c>
      <c r="HJ84" s="240">
        <v>0</v>
      </c>
      <c r="HK84" s="239" t="s">
        <v>29325</v>
      </c>
      <c r="HL84" s="239" t="s">
        <v>29309</v>
      </c>
      <c r="HM84" s="239" t="s">
        <v>4</v>
      </c>
      <c r="HN84" s="239" t="s">
        <v>4</v>
      </c>
      <c r="HO84" s="239" t="s">
        <v>4</v>
      </c>
      <c r="HP84" s="239" t="s">
        <v>4</v>
      </c>
      <c r="HQ84" s="239" t="s">
        <v>4</v>
      </c>
      <c r="HR84" s="239" t="s">
        <v>4</v>
      </c>
      <c r="HS84" s="239" t="s">
        <v>4</v>
      </c>
      <c r="HT84" s="239" t="s">
        <v>4</v>
      </c>
      <c r="HU84" s="239" t="s">
        <v>2</v>
      </c>
      <c r="HV84" s="239" t="s">
        <v>4</v>
      </c>
      <c r="HW84" s="239" t="s">
        <v>4</v>
      </c>
      <c r="HX84" s="239" t="s">
        <v>4</v>
      </c>
      <c r="HY84" s="239" t="s">
        <v>4</v>
      </c>
      <c r="HZ84" s="239" t="s">
        <v>16</v>
      </c>
      <c r="IA84" s="239" t="s">
        <v>7</v>
      </c>
      <c r="IB84" s="239" t="s">
        <v>29580</v>
      </c>
      <c r="IC84" s="239" t="s">
        <v>29581</v>
      </c>
      <c r="ID84" s="239" t="s">
        <v>29582</v>
      </c>
      <c r="IE84" s="239" t="s">
        <v>29583</v>
      </c>
      <c r="IF84" s="239" t="s">
        <v>29584</v>
      </c>
      <c r="IG84" s="239" t="s">
        <v>29585</v>
      </c>
      <c r="IH84" s="239" t="s">
        <v>29586</v>
      </c>
    </row>
    <row r="85" spans="1:242" s="561" customFormat="1" ht="36.75" customHeight="1" x14ac:dyDescent="0.2">
      <c r="A85" s="239">
        <v>88</v>
      </c>
      <c r="B85" s="239" t="s">
        <v>13985</v>
      </c>
      <c r="C85" s="239" t="s">
        <v>30267</v>
      </c>
      <c r="D85" s="239" t="s">
        <v>30207</v>
      </c>
      <c r="E85" s="239" t="s">
        <v>7</v>
      </c>
      <c r="F85" s="239" t="s">
        <v>30268</v>
      </c>
      <c r="G85" s="239">
        <v>1160.5</v>
      </c>
      <c r="H85" s="239">
        <v>3.6</v>
      </c>
      <c r="I85" s="239" t="s">
        <v>29319</v>
      </c>
      <c r="J85" s="239" t="s">
        <v>4</v>
      </c>
      <c r="K85" s="239" t="s">
        <v>30269</v>
      </c>
      <c r="L85" s="239">
        <v>773306584</v>
      </c>
      <c r="M85" s="239" t="s">
        <v>5</v>
      </c>
      <c r="N85" s="239" t="s">
        <v>31598</v>
      </c>
      <c r="O85" s="239" t="s">
        <v>4</v>
      </c>
      <c r="P85" s="239">
        <v>10</v>
      </c>
      <c r="Q85" s="239" t="s">
        <v>7</v>
      </c>
      <c r="R85" s="239" t="s">
        <v>31562</v>
      </c>
      <c r="S85" s="239" t="s">
        <v>4</v>
      </c>
      <c r="T85" s="239" t="s">
        <v>7</v>
      </c>
      <c r="U85" s="239" t="s">
        <v>7</v>
      </c>
      <c r="V85" s="239"/>
      <c r="W85" s="239" t="s">
        <v>7</v>
      </c>
      <c r="X85" s="239" t="s">
        <v>4</v>
      </c>
      <c r="Y85" s="239" t="s">
        <v>4</v>
      </c>
      <c r="Z85" s="241" t="str">
        <f>IF(OR(T85="yes",Y85&gt;'SDG outcome'!$C$27),"yes","no")</f>
        <v>yes</v>
      </c>
      <c r="AA85" s="243">
        <f t="shared" si="1"/>
        <v>0</v>
      </c>
      <c r="AB85" s="243" t="str">
        <f>IF(AND(Z85="no",AND(Y85&gt;='SDG outcome'!$B$16,Y85&lt;'SDG outcome'!$C$27)),Y85-'SDG outcome'!$B$16,"")</f>
        <v/>
      </c>
      <c r="AC85" s="239" t="s">
        <v>4</v>
      </c>
      <c r="AD85" s="239" t="s">
        <v>4</v>
      </c>
      <c r="AE85" s="239" t="s">
        <v>4</v>
      </c>
      <c r="AF85" s="239" t="s">
        <v>4</v>
      </c>
      <c r="AG85" s="239" t="s">
        <v>4</v>
      </c>
      <c r="AH85" s="239" t="s">
        <v>4</v>
      </c>
      <c r="AI85" s="239" t="s">
        <v>4</v>
      </c>
      <c r="AJ85" s="239" t="s">
        <v>29290</v>
      </c>
      <c r="AK85" s="239" t="s">
        <v>29694</v>
      </c>
      <c r="AL85" s="239" t="s">
        <v>4</v>
      </c>
      <c r="AM85" s="239" t="s">
        <v>4</v>
      </c>
      <c r="AN85" s="239" t="s">
        <v>31536</v>
      </c>
      <c r="AO85" s="239" t="s">
        <v>4</v>
      </c>
      <c r="AP85" s="239" t="s">
        <v>31537</v>
      </c>
      <c r="AQ85" s="239" t="s">
        <v>4</v>
      </c>
      <c r="AR85" s="239" t="s">
        <v>31779</v>
      </c>
      <c r="AS85" s="239" t="s">
        <v>4</v>
      </c>
      <c r="AT85" s="239" t="s">
        <v>7</v>
      </c>
      <c r="AU85" s="239" t="s">
        <v>4</v>
      </c>
      <c r="AV85" s="239" t="s">
        <v>4</v>
      </c>
      <c r="AW85" s="239" t="s">
        <v>31539</v>
      </c>
      <c r="AX85" s="239" t="s">
        <v>4</v>
      </c>
      <c r="AY85" s="239" t="s">
        <v>4</v>
      </c>
      <c r="AZ85" s="239" t="s">
        <v>7</v>
      </c>
      <c r="BA85" s="239" t="s">
        <v>11</v>
      </c>
      <c r="BB85" s="239" t="s">
        <v>4</v>
      </c>
      <c r="BC85" s="239" t="s">
        <v>31563</v>
      </c>
      <c r="BD85" s="239" t="s">
        <v>14</v>
      </c>
      <c r="BE85" s="239" t="s">
        <v>4</v>
      </c>
      <c r="BF85" s="239" t="s">
        <v>31541</v>
      </c>
      <c r="BG85" s="239" t="s">
        <v>4</v>
      </c>
      <c r="BH85" s="239" t="s">
        <v>31542</v>
      </c>
      <c r="BI85" s="239" t="s">
        <v>31780</v>
      </c>
      <c r="BJ85" s="239" t="s">
        <v>31544</v>
      </c>
      <c r="BK85" s="239">
        <v>3</v>
      </c>
      <c r="BL85" s="239">
        <v>40</v>
      </c>
      <c r="BM85" s="239" t="s">
        <v>7</v>
      </c>
      <c r="BN85" s="239" t="s">
        <v>6</v>
      </c>
      <c r="BO85" s="239" t="s">
        <v>4</v>
      </c>
      <c r="BP85" s="239" t="s">
        <v>31429</v>
      </c>
      <c r="BQ85" s="239">
        <v>3</v>
      </c>
      <c r="BR85" s="239">
        <v>30</v>
      </c>
      <c r="BS85" s="239" t="s">
        <v>31434</v>
      </c>
      <c r="BT85" s="239"/>
      <c r="BU85" s="239">
        <v>2</v>
      </c>
      <c r="BV85" s="239" cm="1">
        <f t="array" ref="BV85">_xlfn.IFS(BS85="Foreword vehicle",BU85*0,BS85="Human wastes",BU85*0,BS85="Jerrycans",BU85*$BV$228,BS85="Number of Basins",BU85*$BV$229,BS85="Number of Buckets",BU85*$CA$226,BS85="Number of Kgs",BU85*$CA$227,BS85="Number of spades",BU85*$CA$228,BS85="Number of wheelbarrows",BU85*$CA$229,BT85="Foreword vehicle",BU85*0,BT85="Human wastes",BU85*0,BT85="Jerrycans",BU85*$BV$228,BS85="","")</f>
        <v>32</v>
      </c>
      <c r="BW85" s="239">
        <f>IF(BV85="","",Table14[[#This Row],[Calculation: Conversion of metric to Kg manure feeding (Columns: BP, BQ, BR)]]*Table14[[#This Row],[Number of times used to feed biodigester]])</f>
        <v>96</v>
      </c>
      <c r="BX85" s="239" cm="1">
        <f t="array" ref="BX85">_xlfn.IFS(BP85="Number of times per day (1 to 3)",BW85/$BX$226,BP85="Number of times per week (1 to 6)",BW85/$BX$227,BP85="Number of times per Month (1 to 3)",BW85/$BX$228,BW85="","")</f>
        <v>13.714285714285714</v>
      </c>
      <c r="BY85" s="239" t="s">
        <v>31552</v>
      </c>
      <c r="BZ85" s="239" t="s">
        <v>4</v>
      </c>
      <c r="CA85" s="239" t="s">
        <v>2</v>
      </c>
      <c r="CB85" s="239" t="s">
        <v>4</v>
      </c>
      <c r="CC85" s="239" t="s">
        <v>4</v>
      </c>
      <c r="CD85" s="239" t="s">
        <v>4</v>
      </c>
      <c r="CE85" s="239" t="s">
        <v>7</v>
      </c>
      <c r="CF85" s="239" t="s">
        <v>31781</v>
      </c>
      <c r="CG85" s="239" t="s">
        <v>4</v>
      </c>
      <c r="CH85" s="239" t="s">
        <v>31658</v>
      </c>
      <c r="CI85" s="239">
        <v>0</v>
      </c>
      <c r="CJ85" s="239">
        <v>10</v>
      </c>
      <c r="CK85" s="239">
        <v>0</v>
      </c>
      <c r="CL85" s="239">
        <v>0</v>
      </c>
      <c r="CM85" s="239">
        <v>5</v>
      </c>
      <c r="CN85" s="239">
        <v>10</v>
      </c>
      <c r="CO85" s="239">
        <v>0</v>
      </c>
      <c r="CP85" s="239">
        <v>0</v>
      </c>
      <c r="CQ85" s="239">
        <v>0</v>
      </c>
      <c r="CR85" s="239">
        <v>0</v>
      </c>
      <c r="CS85" s="239">
        <f>CP85/'SDG outcome'!$C$9*CQ85*CR85</f>
        <v>0</v>
      </c>
      <c r="CT85" s="239" t="s">
        <v>4</v>
      </c>
      <c r="CU85" s="239" t="s">
        <v>4</v>
      </c>
      <c r="CV85" s="239" t="s">
        <v>4</v>
      </c>
      <c r="CW85" s="239">
        <v>100</v>
      </c>
      <c r="CX85" s="239">
        <v>0</v>
      </c>
      <c r="CY85" s="239" t="s">
        <v>4</v>
      </c>
      <c r="CZ85" s="239" t="s">
        <v>4</v>
      </c>
      <c r="DA85" s="239" t="s">
        <v>4</v>
      </c>
      <c r="DB85" s="239" t="s">
        <v>4</v>
      </c>
      <c r="DC85" s="239" t="s">
        <v>4</v>
      </c>
      <c r="DD85" s="239" t="s">
        <v>4</v>
      </c>
      <c r="DE85" s="239" t="s">
        <v>4</v>
      </c>
      <c r="DF85" s="239">
        <v>0</v>
      </c>
      <c r="DG85" s="239">
        <v>100</v>
      </c>
      <c r="DH85" s="239" t="s">
        <v>31782</v>
      </c>
      <c r="DI85" s="239">
        <v>0</v>
      </c>
      <c r="DJ85" s="239">
        <v>100</v>
      </c>
      <c r="DK85" s="239" t="s">
        <v>31783</v>
      </c>
      <c r="DL85" s="239">
        <v>0</v>
      </c>
      <c r="DM85" s="239">
        <v>100</v>
      </c>
      <c r="DN85" s="239" t="s">
        <v>31784</v>
      </c>
      <c r="DO85" s="239">
        <v>4</v>
      </c>
      <c r="DP85" s="239" t="s">
        <v>2</v>
      </c>
      <c r="DQ85" s="239" t="s">
        <v>29375</v>
      </c>
      <c r="DR85" s="239" t="s">
        <v>4</v>
      </c>
      <c r="DS85" s="239" t="s">
        <v>4</v>
      </c>
      <c r="DT85" s="240" t="s">
        <v>4</v>
      </c>
      <c r="DU85" s="239" t="s">
        <v>29294</v>
      </c>
      <c r="DV85" s="240" t="s">
        <v>4</v>
      </c>
      <c r="DW85" s="239" t="s">
        <v>29295</v>
      </c>
      <c r="DX85" s="239">
        <v>100</v>
      </c>
      <c r="DY85" s="239" t="s">
        <v>29296</v>
      </c>
      <c r="DZ85" s="239">
        <v>100</v>
      </c>
      <c r="EA85" s="239"/>
      <c r="EB85" s="239"/>
      <c r="EC85" s="239"/>
      <c r="ED85" s="239"/>
      <c r="EE85" s="320">
        <f>Table14[[#This Row],[% Fertilizer]]*$DX85/10000</f>
        <v>1</v>
      </c>
      <c r="EF85" s="320">
        <f>Table14[[#This Row],[% bioslurry used as Insecticide/Pesticide]]*$DX85/10000</f>
        <v>0</v>
      </c>
      <c r="EG85" s="320">
        <f>Table14[[#This Row],[% of Bioslurry used as animal feed]]*$DX85/10000</f>
        <v>0</v>
      </c>
      <c r="EH85" s="320">
        <f>Table14[[#This Row],[% of Bioslurry sold]]*$DX85/10000</f>
        <v>0</v>
      </c>
      <c r="EI85" s="320">
        <f>Table14[[#This Row],[% used other way(if used directly)]]*$DX85/10000</f>
        <v>0</v>
      </c>
      <c r="EJ85" s="239"/>
      <c r="EK85" s="239"/>
      <c r="EL85" s="239"/>
      <c r="EM85" s="239"/>
      <c r="EN85" s="239"/>
      <c r="EO85" s="239">
        <f>(Table14[[#This Row],[% Uncovered lagoon greater than 1 meter]]+Table14[[#This Row],[Uncovered lagoon (black watery mass) &lt;1 meter]]+Table14[[#This Row],[% Liquid slurry (brown porridge type)]])*Table14[[#This Row],[% Store it first]]/100</f>
        <v>0</v>
      </c>
      <c r="EP85" s="239"/>
      <c r="EQ85" s="239"/>
      <c r="ER85" s="239"/>
      <c r="ES85" s="239"/>
      <c r="ET85" s="239">
        <f>(Table14[[#This Row],[% Solid storage]]+Table14[[#This Row],[% Sun drying]]+Table14[[#This Row],[% Composting with a roof]]+Table14[[#This Row],[% Composting without a roof]])*Table14[[#This Row],[% Store it first]]/100</f>
        <v>0</v>
      </c>
      <c r="EU85" s="239"/>
      <c r="EV85" s="320">
        <f t="shared" si="2"/>
        <v>0</v>
      </c>
      <c r="EW85" s="320">
        <f t="shared" si="3"/>
        <v>0</v>
      </c>
      <c r="EX85" s="320">
        <f t="shared" si="4"/>
        <v>0</v>
      </c>
      <c r="EY85" s="320">
        <f t="shared" si="5"/>
        <v>0</v>
      </c>
      <c r="EZ85" s="320">
        <f t="shared" si="6"/>
        <v>0</v>
      </c>
      <c r="FA85" s="239"/>
      <c r="FB85" s="239"/>
      <c r="FC85" s="239"/>
      <c r="FD85" s="239">
        <f>Table14[[#This Row],[% I donâ€™t use it / discarded]]+Table14[[#This Row],[% Other (specify)(If you use bioslurry directly)]]+Table14[[#This Row],[% Store it first]]+Table14[[#This Row],[% Use directly for various purposes]]</f>
        <v>100</v>
      </c>
      <c r="FE85" s="239" t="s">
        <v>4</v>
      </c>
      <c r="FF85" s="239"/>
      <c r="FG85" s="239"/>
      <c r="FH85" s="239"/>
      <c r="FI85" s="239"/>
      <c r="FJ85" s="239"/>
      <c r="FK85" s="239">
        <v>4</v>
      </c>
      <c r="FL85" s="239" t="s">
        <v>30270</v>
      </c>
      <c r="FM85" s="239">
        <v>70</v>
      </c>
      <c r="FN85" s="239">
        <f>FK85*FM85/100</f>
        <v>2.8</v>
      </c>
      <c r="FO85" s="239" t="s">
        <v>30271</v>
      </c>
      <c r="FP85" s="239" t="s">
        <v>29298</v>
      </c>
      <c r="FQ85" s="239">
        <v>72</v>
      </c>
      <c r="FR85" s="239" t="s">
        <v>2</v>
      </c>
      <c r="FS85" s="239" t="s">
        <v>4</v>
      </c>
      <c r="FT85" s="239" t="s">
        <v>4</v>
      </c>
      <c r="FU85" s="239" t="s">
        <v>2</v>
      </c>
      <c r="FV85" s="239" t="s">
        <v>4</v>
      </c>
      <c r="FW85" s="239" t="s">
        <v>4</v>
      </c>
      <c r="FX85" s="239" t="s">
        <v>4</v>
      </c>
      <c r="FY85" s="239" t="s">
        <v>4</v>
      </c>
      <c r="FZ85" s="239" t="s">
        <v>4</v>
      </c>
      <c r="GA85" s="239" t="s">
        <v>4</v>
      </c>
      <c r="GB85" s="240" t="s">
        <v>4</v>
      </c>
      <c r="GC85" s="239" t="s">
        <v>4</v>
      </c>
      <c r="GD85" s="239" t="s">
        <v>7</v>
      </c>
      <c r="GE85" s="239" t="s">
        <v>29301</v>
      </c>
      <c r="GF85" s="239" t="s">
        <v>4</v>
      </c>
      <c r="GG85" s="239" t="s">
        <v>7</v>
      </c>
      <c r="GH85" s="239" t="s">
        <v>2</v>
      </c>
      <c r="GI85" s="239" t="s">
        <v>4</v>
      </c>
      <c r="GJ85" s="239" t="s">
        <v>4</v>
      </c>
      <c r="GK85" s="239" t="s">
        <v>4</v>
      </c>
      <c r="GL85" s="239">
        <v>0</v>
      </c>
      <c r="GM85" s="239"/>
      <c r="GN85" s="239" t="s">
        <v>4</v>
      </c>
      <c r="GO85" s="239" t="s">
        <v>4</v>
      </c>
      <c r="GP85" s="239" t="s">
        <v>4</v>
      </c>
      <c r="GQ85" s="239" t="s">
        <v>4</v>
      </c>
      <c r="GR85" s="239" t="s">
        <v>4</v>
      </c>
      <c r="GS85" s="239" t="s">
        <v>4</v>
      </c>
      <c r="GT85" s="239" t="s">
        <v>4</v>
      </c>
      <c r="GU85" s="239" t="s">
        <v>4</v>
      </c>
      <c r="GV85" s="239" t="s">
        <v>4</v>
      </c>
      <c r="GW85" s="239" t="s">
        <v>29304</v>
      </c>
      <c r="GX85" s="239" t="s">
        <v>30272</v>
      </c>
      <c r="GY85" s="239" t="s">
        <v>29306</v>
      </c>
      <c r="GZ85" s="239" t="s">
        <v>29883</v>
      </c>
      <c r="HA85" s="239" t="s">
        <v>30273</v>
      </c>
      <c r="HB85" s="239" t="s">
        <v>4</v>
      </c>
      <c r="HC85" s="239" t="s">
        <v>29451</v>
      </c>
      <c r="HD85" s="239" t="s">
        <v>4</v>
      </c>
      <c r="HE85" s="239" t="s">
        <v>4</v>
      </c>
      <c r="HF85" s="239" t="s">
        <v>13</v>
      </c>
      <c r="HG85" s="239" t="s">
        <v>4</v>
      </c>
      <c r="HH85" s="239" t="s">
        <v>30211</v>
      </c>
      <c r="HI85" s="239" t="s">
        <v>4</v>
      </c>
      <c r="HJ85" s="240">
        <v>0</v>
      </c>
      <c r="HK85" s="239" t="s">
        <v>7</v>
      </c>
      <c r="HL85" s="239" t="s">
        <v>29309</v>
      </c>
      <c r="HM85" s="239" t="s">
        <v>4</v>
      </c>
      <c r="HN85" s="239" t="s">
        <v>4</v>
      </c>
      <c r="HO85" s="239" t="s">
        <v>4</v>
      </c>
      <c r="HP85" s="239" t="s">
        <v>4</v>
      </c>
      <c r="HQ85" s="239" t="s">
        <v>4</v>
      </c>
      <c r="HR85" s="239" t="s">
        <v>4</v>
      </c>
      <c r="HS85" s="239" t="s">
        <v>4</v>
      </c>
      <c r="HT85" s="239" t="s">
        <v>4</v>
      </c>
      <c r="HU85" s="239" t="s">
        <v>2</v>
      </c>
      <c r="HV85" s="239" t="s">
        <v>4</v>
      </c>
      <c r="HW85" s="239" t="s">
        <v>4</v>
      </c>
      <c r="HX85" s="239" t="s">
        <v>4</v>
      </c>
      <c r="HY85" s="239" t="s">
        <v>4</v>
      </c>
      <c r="HZ85" s="239" t="s">
        <v>30274</v>
      </c>
      <c r="IA85" s="239" t="s">
        <v>7</v>
      </c>
      <c r="IB85" s="239" t="s">
        <v>30275</v>
      </c>
      <c r="IC85" s="239" t="s">
        <v>30276</v>
      </c>
      <c r="ID85" s="239" t="s">
        <v>30277</v>
      </c>
      <c r="IE85" s="239" t="s">
        <v>30278</v>
      </c>
      <c r="IF85" s="239" t="s">
        <v>30279</v>
      </c>
      <c r="IG85" s="239" t="s">
        <v>30280</v>
      </c>
      <c r="IH85" s="239" t="s">
        <v>30281</v>
      </c>
    </row>
    <row r="86" spans="1:242" s="561" customFormat="1" ht="36.75" customHeight="1" x14ac:dyDescent="0.2">
      <c r="A86" s="239">
        <v>176</v>
      </c>
      <c r="B86" s="239" t="s">
        <v>19672</v>
      </c>
      <c r="C86" s="239" t="s">
        <v>31155</v>
      </c>
      <c r="D86" s="239" t="s">
        <v>56</v>
      </c>
      <c r="E86" s="239" t="s">
        <v>7</v>
      </c>
      <c r="F86" s="239" t="s">
        <v>31156</v>
      </c>
      <c r="G86" s="239">
        <v>1495.1</v>
      </c>
      <c r="H86" s="239">
        <v>4.8</v>
      </c>
      <c r="I86" s="239" t="s">
        <v>29319</v>
      </c>
      <c r="J86" s="239" t="s">
        <v>4</v>
      </c>
      <c r="K86" s="239" t="s">
        <v>31157</v>
      </c>
      <c r="L86" s="239">
        <v>782385812</v>
      </c>
      <c r="M86" s="239" t="s">
        <v>5</v>
      </c>
      <c r="N86" s="239" t="s">
        <v>31590</v>
      </c>
      <c r="O86" s="239" t="s">
        <v>4</v>
      </c>
      <c r="P86" s="239">
        <v>10</v>
      </c>
      <c r="Q86" s="239" t="s">
        <v>7</v>
      </c>
      <c r="R86" s="239" t="s">
        <v>31588</v>
      </c>
      <c r="S86" s="239" t="s">
        <v>4</v>
      </c>
      <c r="T86" s="239" t="s">
        <v>7</v>
      </c>
      <c r="U86" s="239" t="s">
        <v>7</v>
      </c>
      <c r="V86" s="239"/>
      <c r="W86" s="239" t="s">
        <v>7</v>
      </c>
      <c r="X86" s="239" t="s">
        <v>4</v>
      </c>
      <c r="Y86" s="239" t="s">
        <v>4</v>
      </c>
      <c r="Z86" s="241" t="str">
        <f>IF(OR(T86="yes",Y86&gt;'SDG outcome'!$C$27),"yes","no")</f>
        <v>yes</v>
      </c>
      <c r="AA86" s="243">
        <f t="shared" si="1"/>
        <v>0</v>
      </c>
      <c r="AB86" s="243" t="str">
        <f>IF(AND(Z86="no",AND(Y86&gt;='SDG outcome'!$B$16,Y86&lt;'SDG outcome'!$C$27)),Y86-'SDG outcome'!$B$16,"")</f>
        <v/>
      </c>
      <c r="AC86" s="239" t="s">
        <v>4</v>
      </c>
      <c r="AD86" s="239" t="s">
        <v>4</v>
      </c>
      <c r="AE86" s="239" t="s">
        <v>4</v>
      </c>
      <c r="AF86" s="239" t="s">
        <v>4</v>
      </c>
      <c r="AG86" s="239" t="s">
        <v>4</v>
      </c>
      <c r="AH86" s="239" t="s">
        <v>4</v>
      </c>
      <c r="AI86" s="239" t="s">
        <v>4</v>
      </c>
      <c r="AJ86" s="239" t="s">
        <v>29290</v>
      </c>
      <c r="AK86" s="239" t="s">
        <v>29694</v>
      </c>
      <c r="AL86" s="239" t="s">
        <v>4</v>
      </c>
      <c r="AM86" s="239" t="s">
        <v>4</v>
      </c>
      <c r="AN86" s="239" t="s">
        <v>31718</v>
      </c>
      <c r="AO86" s="239" t="s">
        <v>4</v>
      </c>
      <c r="AP86" s="239" t="s">
        <v>31537</v>
      </c>
      <c r="AQ86" s="239" t="s">
        <v>4</v>
      </c>
      <c r="AR86" s="239" t="s">
        <v>31538</v>
      </c>
      <c r="AS86" s="239" t="s">
        <v>4</v>
      </c>
      <c r="AT86" s="239" t="s">
        <v>2</v>
      </c>
      <c r="AU86" s="239" t="s">
        <v>31581</v>
      </c>
      <c r="AV86" s="239" t="s">
        <v>4</v>
      </c>
      <c r="AW86" s="239" t="s">
        <v>31539</v>
      </c>
      <c r="AX86" s="239" t="s">
        <v>4</v>
      </c>
      <c r="AY86" s="239" t="s">
        <v>4</v>
      </c>
      <c r="AZ86" s="239" t="s">
        <v>2</v>
      </c>
      <c r="BA86" s="239" t="s">
        <v>4</v>
      </c>
      <c r="BB86" s="239" t="s">
        <v>4</v>
      </c>
      <c r="BC86" s="239" t="s">
        <v>31563</v>
      </c>
      <c r="BD86" s="239" t="s">
        <v>22</v>
      </c>
      <c r="BE86" s="239" t="s">
        <v>4</v>
      </c>
      <c r="BF86" s="239" t="s">
        <v>31564</v>
      </c>
      <c r="BG86" s="239" t="s">
        <v>4</v>
      </c>
      <c r="BH86" s="239" t="s">
        <v>31542</v>
      </c>
      <c r="BI86" s="239" t="s">
        <v>31929</v>
      </c>
      <c r="BJ86" s="239" t="s">
        <v>31616</v>
      </c>
      <c r="BK86" s="239">
        <v>2</v>
      </c>
      <c r="BL86" s="239">
        <v>480</v>
      </c>
      <c r="BM86" s="239" t="s">
        <v>7</v>
      </c>
      <c r="BN86" s="239" t="s">
        <v>6</v>
      </c>
      <c r="BO86" s="239" t="s">
        <v>4</v>
      </c>
      <c r="BP86" s="239" t="s">
        <v>31429</v>
      </c>
      <c r="BQ86" s="239">
        <v>2</v>
      </c>
      <c r="BR86" s="239">
        <v>60</v>
      </c>
      <c r="BS86" s="239" t="s">
        <v>31435</v>
      </c>
      <c r="BT86" s="239"/>
      <c r="BU86" s="239">
        <v>4</v>
      </c>
      <c r="BV86" s="239" cm="1">
        <f t="array" ref="BV86">_xlfn.IFS(BS86="Foreword vehicle",BU86*0,BS86="Human wastes",BU86*0,BS86="Jerrycans",BU86*$BV$228,BS86="Number of Basins",BU86*$BV$229,BS86="Number of Buckets",BU86*$CA$226,BS86="Number of Kgs",BU86*$CA$227,BS86="Number of spades",BU86*$CA$228,BS86="Number of wheelbarrows",BU86*$CA$229,BT86="Foreword vehicle",BU86*0,BT86="Human wastes",BU86*0,BT86="Jerrycans",BU86*$BV$228,BS86="","")</f>
        <v>282</v>
      </c>
      <c r="BW86" s="239">
        <f>IF(BV86="","",Table14[[#This Row],[Calculation: Conversion of metric to Kg manure feeding (Columns: BP, BQ, BR)]]*Table14[[#This Row],[Number of times used to feed biodigester]])</f>
        <v>564</v>
      </c>
      <c r="BX86" s="239" cm="1">
        <f t="array" ref="BX86">_xlfn.IFS(BP86="Number of times per day (1 to 3)",BW86/$BX$226,BP86="Number of times per week (1 to 6)",BW86/$BX$227,BP86="Number of times per Month (1 to 3)",BW86/$BX$228,BW86="","")</f>
        <v>80.571428571428569</v>
      </c>
      <c r="BY86" s="239" t="s">
        <v>22</v>
      </c>
      <c r="BZ86" s="239" t="s">
        <v>4</v>
      </c>
      <c r="CA86" s="239" t="s">
        <v>2</v>
      </c>
      <c r="CB86" s="239" t="s">
        <v>4</v>
      </c>
      <c r="CC86" s="239" t="s">
        <v>4</v>
      </c>
      <c r="CD86" s="239" t="s">
        <v>4</v>
      </c>
      <c r="CE86" s="239" t="s">
        <v>7</v>
      </c>
      <c r="CF86" s="239" t="s">
        <v>31930</v>
      </c>
      <c r="CG86" s="239" t="s">
        <v>4</v>
      </c>
      <c r="CH86" s="239" t="s">
        <v>31705</v>
      </c>
      <c r="CI86" s="239">
        <v>0</v>
      </c>
      <c r="CJ86" s="239">
        <v>10</v>
      </c>
      <c r="CK86" s="239">
        <v>0</v>
      </c>
      <c r="CL86" s="239">
        <v>0</v>
      </c>
      <c r="CM86" s="239">
        <v>0</v>
      </c>
      <c r="CN86" s="239">
        <v>0</v>
      </c>
      <c r="CO86" s="239">
        <v>0</v>
      </c>
      <c r="CP86" s="239">
        <v>0</v>
      </c>
      <c r="CQ86" s="239">
        <v>0</v>
      </c>
      <c r="CR86" s="239">
        <v>0</v>
      </c>
      <c r="CS86" s="239">
        <f>CP86/'SDG outcome'!$C$9*CQ86*CR86</f>
        <v>0</v>
      </c>
      <c r="CT86" s="239" t="s">
        <v>4</v>
      </c>
      <c r="CU86" s="239" t="s">
        <v>4</v>
      </c>
      <c r="CV86" s="239" t="s">
        <v>4</v>
      </c>
      <c r="CW86" s="239">
        <v>40</v>
      </c>
      <c r="CX86" s="239">
        <v>60</v>
      </c>
      <c r="CY86" s="239" t="s">
        <v>31931</v>
      </c>
      <c r="CZ86" s="239" t="s">
        <v>4</v>
      </c>
      <c r="DA86" s="239" t="s">
        <v>4</v>
      </c>
      <c r="DB86" s="239" t="s">
        <v>4</v>
      </c>
      <c r="DC86" s="239" t="s">
        <v>4</v>
      </c>
      <c r="DD86" s="239" t="s">
        <v>4</v>
      </c>
      <c r="DE86" s="239" t="s">
        <v>4</v>
      </c>
      <c r="DF86" s="239" t="s">
        <v>4</v>
      </c>
      <c r="DG86" s="239" t="s">
        <v>4</v>
      </c>
      <c r="DH86" s="239" t="s">
        <v>4</v>
      </c>
      <c r="DI86" s="239" t="s">
        <v>4</v>
      </c>
      <c r="DJ86" s="239" t="s">
        <v>4</v>
      </c>
      <c r="DK86" s="239" t="s">
        <v>4</v>
      </c>
      <c r="DL86" s="239" t="s">
        <v>4</v>
      </c>
      <c r="DM86" s="239" t="s">
        <v>4</v>
      </c>
      <c r="DN86" s="239" t="s">
        <v>4</v>
      </c>
      <c r="DO86" s="239">
        <v>2</v>
      </c>
      <c r="DP86" s="239" t="s">
        <v>7</v>
      </c>
      <c r="DQ86" s="239" t="s">
        <v>29375</v>
      </c>
      <c r="DR86" s="239" t="s">
        <v>4</v>
      </c>
      <c r="DS86" s="239" t="s">
        <v>4</v>
      </c>
      <c r="DT86" s="240" t="s">
        <v>4</v>
      </c>
      <c r="DU86" s="239" t="s">
        <v>29293</v>
      </c>
      <c r="DV86" s="240">
        <v>60000</v>
      </c>
      <c r="DW86" s="239" t="s">
        <v>29508</v>
      </c>
      <c r="DX86" s="239"/>
      <c r="DY86" s="239"/>
      <c r="DZ86" s="239"/>
      <c r="EA86" s="239"/>
      <c r="EB86" s="239"/>
      <c r="EC86" s="239"/>
      <c r="ED86" s="239"/>
      <c r="EE86" s="320">
        <f>Table14[[#This Row],[% Fertilizer]]*$DX86/10000</f>
        <v>0</v>
      </c>
      <c r="EF86" s="320">
        <f>Table14[[#This Row],[% bioslurry used as Insecticide/Pesticide]]*$DX86/10000</f>
        <v>0</v>
      </c>
      <c r="EG86" s="320">
        <f>Table14[[#This Row],[% of Bioslurry used as animal feed]]*$DX86/10000</f>
        <v>0</v>
      </c>
      <c r="EH86" s="320">
        <f>Table14[[#This Row],[% of Bioslurry sold]]*$DX86/10000</f>
        <v>0</v>
      </c>
      <c r="EI86" s="320">
        <f>Table14[[#This Row],[% used other way(if used directly)]]*$DX86/10000</f>
        <v>0</v>
      </c>
      <c r="EJ86" s="239">
        <v>100</v>
      </c>
      <c r="EK86" s="239" t="s">
        <v>30747</v>
      </c>
      <c r="EL86" s="239"/>
      <c r="EM86" s="239">
        <v>100</v>
      </c>
      <c r="EN86" s="239"/>
      <c r="EO86" s="239">
        <f>(Table14[[#This Row],[% Uncovered lagoon greater than 1 meter]]+Table14[[#This Row],[Uncovered lagoon (black watery mass) &lt;1 meter]]+Table14[[#This Row],[% Liquid slurry (brown porridge type)]])*Table14[[#This Row],[% Store it first]]/100</f>
        <v>100</v>
      </c>
      <c r="EP86" s="239"/>
      <c r="EQ86" s="239"/>
      <c r="ER86" s="239"/>
      <c r="ES86" s="239"/>
      <c r="ET86" s="239">
        <f>(Table14[[#This Row],[% Solid storage]]+Table14[[#This Row],[% Sun drying]]+Table14[[#This Row],[% Composting with a roof]]+Table14[[#This Row],[% Composting without a roof]])*Table14[[#This Row],[% Store it first]]/100</f>
        <v>0</v>
      </c>
      <c r="EU86" s="239">
        <v>45</v>
      </c>
      <c r="EV86" s="320">
        <f t="shared" si="2"/>
        <v>1</v>
      </c>
      <c r="EW86" s="320">
        <f t="shared" si="3"/>
        <v>0</v>
      </c>
      <c r="EX86" s="320">
        <f t="shared" si="4"/>
        <v>0</v>
      </c>
      <c r="EY86" s="320">
        <f t="shared" si="5"/>
        <v>0</v>
      </c>
      <c r="EZ86" s="320">
        <f t="shared" si="6"/>
        <v>0</v>
      </c>
      <c r="FA86" s="239"/>
      <c r="FB86" s="239"/>
      <c r="FC86" s="239"/>
      <c r="FD86" s="239">
        <f>Table14[[#This Row],[% I donâ€™t use it / discarded]]+Table14[[#This Row],[% Other (specify)(If you use bioslurry directly)]]+Table14[[#This Row],[% Store it first]]+Table14[[#This Row],[% Use directly for various purposes]]</f>
        <v>100</v>
      </c>
      <c r="FE86" s="239" t="s">
        <v>29296</v>
      </c>
      <c r="FF86" s="239">
        <v>100</v>
      </c>
      <c r="FG86" s="239"/>
      <c r="FH86" s="239"/>
      <c r="FI86" s="239"/>
      <c r="FJ86" s="239"/>
      <c r="FK86" s="239">
        <v>4</v>
      </c>
      <c r="FL86" s="239" t="s">
        <v>7</v>
      </c>
      <c r="FM86" s="239">
        <v>70</v>
      </c>
      <c r="FN86" s="239">
        <f>FK86*FM86/100</f>
        <v>2.8</v>
      </c>
      <c r="FO86" s="239" t="s">
        <v>29463</v>
      </c>
      <c r="FP86" s="239" t="s">
        <v>29298</v>
      </c>
      <c r="FQ86" s="239">
        <v>72</v>
      </c>
      <c r="FR86" s="239" t="s">
        <v>7</v>
      </c>
      <c r="FS86" s="239" t="s">
        <v>29393</v>
      </c>
      <c r="FT86" s="239" t="s">
        <v>4</v>
      </c>
      <c r="FU86" s="239" t="s">
        <v>7</v>
      </c>
      <c r="FV86" s="239" t="s">
        <v>29393</v>
      </c>
      <c r="FW86" s="239" t="s">
        <v>4</v>
      </c>
      <c r="FX86" s="239" t="s">
        <v>13</v>
      </c>
      <c r="FY86" s="239" t="s">
        <v>31158</v>
      </c>
      <c r="FZ86" s="239" t="s">
        <v>4</v>
      </c>
      <c r="GA86" s="239" t="s">
        <v>4</v>
      </c>
      <c r="GB86" s="240" t="s">
        <v>4</v>
      </c>
      <c r="GC86" s="239" t="s">
        <v>4</v>
      </c>
      <c r="GD86" s="239" t="s">
        <v>2</v>
      </c>
      <c r="GE86" s="239" t="s">
        <v>4</v>
      </c>
      <c r="GF86" s="239" t="s">
        <v>4</v>
      </c>
      <c r="GG86" s="239" t="s">
        <v>7</v>
      </c>
      <c r="GH86" s="239" t="s">
        <v>7</v>
      </c>
      <c r="GI86" s="239" t="s">
        <v>29302</v>
      </c>
      <c r="GJ86" s="239" t="s">
        <v>30078</v>
      </c>
      <c r="GK86" s="239" t="s">
        <v>4</v>
      </c>
      <c r="GL86" s="239">
        <v>0</v>
      </c>
      <c r="GM86" s="239"/>
      <c r="GN86" s="239" t="s">
        <v>4</v>
      </c>
      <c r="GO86" s="239" t="s">
        <v>4</v>
      </c>
      <c r="GP86" s="239" t="s">
        <v>4</v>
      </c>
      <c r="GQ86" s="239" t="s">
        <v>4</v>
      </c>
      <c r="GR86" s="239" t="s">
        <v>4</v>
      </c>
      <c r="GS86" s="239" t="s">
        <v>4</v>
      </c>
      <c r="GT86" s="239" t="s">
        <v>4</v>
      </c>
      <c r="GU86" s="239" t="s">
        <v>4</v>
      </c>
      <c r="GV86" s="239" t="s">
        <v>4</v>
      </c>
      <c r="GW86" s="239" t="s">
        <v>29304</v>
      </c>
      <c r="GX86" s="239" t="s">
        <v>29396</v>
      </c>
      <c r="GY86" s="239" t="s">
        <v>4</v>
      </c>
      <c r="GZ86" s="239" t="s">
        <v>4</v>
      </c>
      <c r="HA86" s="239" t="s">
        <v>30821</v>
      </c>
      <c r="HB86" s="239" t="s">
        <v>4</v>
      </c>
      <c r="HC86" s="239" t="s">
        <v>4</v>
      </c>
      <c r="HD86" s="239" t="s">
        <v>4</v>
      </c>
      <c r="HE86" s="239" t="s">
        <v>4</v>
      </c>
      <c r="HF86" s="239" t="s">
        <v>4</v>
      </c>
      <c r="HG86" s="239" t="s">
        <v>4</v>
      </c>
      <c r="HH86" s="239" t="s">
        <v>30211</v>
      </c>
      <c r="HI86" s="239" t="s">
        <v>4</v>
      </c>
      <c r="HJ86" s="240">
        <v>0</v>
      </c>
      <c r="HK86" s="239" t="s">
        <v>2</v>
      </c>
      <c r="HL86" s="239" t="s">
        <v>29480</v>
      </c>
      <c r="HM86" s="239" t="s">
        <v>4</v>
      </c>
      <c r="HN86" s="239" t="s">
        <v>4</v>
      </c>
      <c r="HO86" s="239" t="s">
        <v>4</v>
      </c>
      <c r="HP86" s="239" t="s">
        <v>4</v>
      </c>
      <c r="HQ86" s="239" t="s">
        <v>4</v>
      </c>
      <c r="HR86" s="239" t="s">
        <v>4</v>
      </c>
      <c r="HS86" s="239" t="s">
        <v>4</v>
      </c>
      <c r="HT86" s="239" t="s">
        <v>4</v>
      </c>
      <c r="HU86" s="239" t="s">
        <v>2</v>
      </c>
      <c r="HV86" s="239" t="s">
        <v>4</v>
      </c>
      <c r="HW86" s="239" t="s">
        <v>4</v>
      </c>
      <c r="HX86" s="239" t="s">
        <v>4</v>
      </c>
      <c r="HY86" s="239" t="s">
        <v>4</v>
      </c>
      <c r="HZ86" s="239" t="s">
        <v>31159</v>
      </c>
      <c r="IA86" s="239" t="s">
        <v>7</v>
      </c>
      <c r="IB86" s="239" t="s">
        <v>31160</v>
      </c>
      <c r="IC86" s="239" t="s">
        <v>16</v>
      </c>
      <c r="ID86" s="239" t="s">
        <v>31161</v>
      </c>
      <c r="IE86" s="239" t="s">
        <v>31162</v>
      </c>
      <c r="IF86" s="239" t="s">
        <v>31163</v>
      </c>
      <c r="IG86" s="239" t="s">
        <v>9</v>
      </c>
      <c r="IH86" s="239" t="s">
        <v>31155</v>
      </c>
    </row>
    <row r="87" spans="1:242" s="561" customFormat="1" ht="36.75" customHeight="1" x14ac:dyDescent="0.2">
      <c r="A87" s="239">
        <v>106</v>
      </c>
      <c r="B87" s="239">
        <v>3369</v>
      </c>
      <c r="C87" s="239" t="s">
        <v>30456</v>
      </c>
      <c r="D87" s="239" t="s">
        <v>30392</v>
      </c>
      <c r="E87" s="239" t="s">
        <v>7</v>
      </c>
      <c r="F87" s="239" t="s">
        <v>30457</v>
      </c>
      <c r="G87" s="239">
        <v>1247.173</v>
      </c>
      <c r="H87" s="239">
        <v>0.99824400000000002</v>
      </c>
      <c r="I87" s="239" t="s">
        <v>29319</v>
      </c>
      <c r="J87" s="239" t="s">
        <v>4</v>
      </c>
      <c r="K87" s="239" t="s">
        <v>30458</v>
      </c>
      <c r="L87" s="239">
        <v>772379834</v>
      </c>
      <c r="M87" s="239" t="s">
        <v>5</v>
      </c>
      <c r="N87" s="239" t="s">
        <v>31598</v>
      </c>
      <c r="O87" s="239" t="s">
        <v>4</v>
      </c>
      <c r="P87" s="239">
        <v>5</v>
      </c>
      <c r="Q87" s="239" t="s">
        <v>7</v>
      </c>
      <c r="R87" s="239" t="s">
        <v>31549</v>
      </c>
      <c r="S87" s="239" t="s">
        <v>4</v>
      </c>
      <c r="T87" s="239" t="s">
        <v>7</v>
      </c>
      <c r="U87" s="239" t="s">
        <v>7</v>
      </c>
      <c r="V87" s="239"/>
      <c r="W87" s="239" t="s">
        <v>7</v>
      </c>
      <c r="X87" s="239" t="s">
        <v>4</v>
      </c>
      <c r="Y87" s="239" t="s">
        <v>4</v>
      </c>
      <c r="Z87" s="241" t="str">
        <f>IF(OR(T87="yes",Y87&gt;'SDG outcome'!$C$27),"yes","no")</f>
        <v>yes</v>
      </c>
      <c r="AA87" s="243">
        <f t="shared" si="1"/>
        <v>0</v>
      </c>
      <c r="AB87" s="243" t="str">
        <f>IF(AND(Z87="no",AND(Y87&gt;='SDG outcome'!$B$16,Y87&lt;'SDG outcome'!$C$27)),Y87-'SDG outcome'!$B$16,"")</f>
        <v/>
      </c>
      <c r="AC87" s="239" t="s">
        <v>4</v>
      </c>
      <c r="AD87" s="239" t="s">
        <v>4</v>
      </c>
      <c r="AE87" s="239" t="s">
        <v>4</v>
      </c>
      <c r="AF87" s="239" t="s">
        <v>4</v>
      </c>
      <c r="AG87" s="239" t="s">
        <v>4</v>
      </c>
      <c r="AH87" s="239" t="s">
        <v>4</v>
      </c>
      <c r="AI87" s="239" t="s">
        <v>4</v>
      </c>
      <c r="AJ87" s="239" t="s">
        <v>29290</v>
      </c>
      <c r="AK87" s="239" t="s">
        <v>29694</v>
      </c>
      <c r="AL87" s="239" t="s">
        <v>4</v>
      </c>
      <c r="AM87" s="239" t="s">
        <v>4</v>
      </c>
      <c r="AN87" s="239" t="s">
        <v>31536</v>
      </c>
      <c r="AO87" s="239" t="s">
        <v>4</v>
      </c>
      <c r="AP87" s="239" t="s">
        <v>31537</v>
      </c>
      <c r="AQ87" s="239" t="s">
        <v>4</v>
      </c>
      <c r="AR87" s="239" t="s">
        <v>31538</v>
      </c>
      <c r="AS87" s="239" t="s">
        <v>4</v>
      </c>
      <c r="AT87" s="239" t="s">
        <v>7</v>
      </c>
      <c r="AU87" s="239" t="s">
        <v>4</v>
      </c>
      <c r="AV87" s="239" t="s">
        <v>4</v>
      </c>
      <c r="AW87" s="239" t="s">
        <v>31539</v>
      </c>
      <c r="AX87" s="239" t="s">
        <v>4</v>
      </c>
      <c r="AY87" s="239" t="s">
        <v>4</v>
      </c>
      <c r="AZ87" s="239" t="s">
        <v>7</v>
      </c>
      <c r="BA87" s="239" t="s">
        <v>6</v>
      </c>
      <c r="BB87" s="239" t="s">
        <v>4</v>
      </c>
      <c r="BC87" s="239" t="s">
        <v>31563</v>
      </c>
      <c r="BD87" s="239" t="s">
        <v>22</v>
      </c>
      <c r="BE87" s="239" t="s">
        <v>4</v>
      </c>
      <c r="BF87" s="239" t="s">
        <v>31564</v>
      </c>
      <c r="BG87" s="239" t="s">
        <v>4</v>
      </c>
      <c r="BH87" s="239" t="s">
        <v>31542</v>
      </c>
      <c r="BI87" s="239" t="s">
        <v>31812</v>
      </c>
      <c r="BJ87" s="239" t="s">
        <v>31544</v>
      </c>
      <c r="BK87" s="239">
        <v>3</v>
      </c>
      <c r="BL87" s="239">
        <v>180</v>
      </c>
      <c r="BM87" s="239" t="s">
        <v>7</v>
      </c>
      <c r="BN87" s="239" t="s">
        <v>6</v>
      </c>
      <c r="BO87" s="239" t="s">
        <v>4</v>
      </c>
      <c r="BP87" s="239" t="s">
        <v>31425</v>
      </c>
      <c r="BQ87" s="239">
        <v>1</v>
      </c>
      <c r="BR87" s="239">
        <v>60</v>
      </c>
      <c r="BS87" s="239" t="s">
        <v>31430</v>
      </c>
      <c r="BT87" s="239"/>
      <c r="BU87" s="239">
        <v>10</v>
      </c>
      <c r="BV87" s="239" cm="1">
        <f t="array" ref="BV87">_xlfn.IFS(BS87="Foreword vehicle",BU87*0,BS87="Human wastes",BU87*0,BS87="Jerrycans",BU87*$BV$228,BS87="Number of Basins",BU87*$BV$229,BS87="Number of Buckets",BU87*$CA$226,BS87="Number of Kgs",BU87*$CA$227,BS87="Number of spades",BU87*$CA$228,BS87="Number of wheelbarrows",BU87*$CA$229,BT87="Foreword vehicle",BU87*0,BT87="Human wastes",BU87*0,BT87="Jerrycans",BU87*$BV$228,BS87="","")</f>
        <v>10</v>
      </c>
      <c r="BW87" s="239">
        <f>IF(BV87="","",Table14[[#This Row],[Calculation: Conversion of metric to Kg manure feeding (Columns: BP, BQ, BR)]]*Table14[[#This Row],[Number of times used to feed biodigester]])</f>
        <v>10</v>
      </c>
      <c r="BX87" s="239" cm="1">
        <f t="array" ref="BX87">_xlfn.IFS(BP87="Number of times per day (1 to 3)",BW87/$BX$226,BP87="Number of times per week (1 to 6)",BW87/$BX$227,BP87="Number of times per Month (1 to 3)",BW87/$BX$228,BW87="","")</f>
        <v>10</v>
      </c>
      <c r="BY87" s="239" t="s">
        <v>22</v>
      </c>
      <c r="BZ87" s="239" t="s">
        <v>4</v>
      </c>
      <c r="CA87" s="239" t="s">
        <v>2</v>
      </c>
      <c r="CB87" s="239" t="s">
        <v>4</v>
      </c>
      <c r="CC87" s="239" t="s">
        <v>4</v>
      </c>
      <c r="CD87" s="239" t="s">
        <v>4</v>
      </c>
      <c r="CE87" s="239" t="s">
        <v>7</v>
      </c>
      <c r="CF87" s="239" t="s">
        <v>31639</v>
      </c>
      <c r="CG87" s="239" t="s">
        <v>4</v>
      </c>
      <c r="CH87" s="239" t="s">
        <v>31813</v>
      </c>
      <c r="CI87" s="239">
        <v>0</v>
      </c>
      <c r="CJ87" s="239">
        <v>9</v>
      </c>
      <c r="CK87" s="239">
        <v>0</v>
      </c>
      <c r="CL87" s="239">
        <v>0</v>
      </c>
      <c r="CM87" s="239">
        <v>4</v>
      </c>
      <c r="CN87" s="239">
        <v>0</v>
      </c>
      <c r="CO87" s="239">
        <v>0</v>
      </c>
      <c r="CP87" s="239">
        <v>0</v>
      </c>
      <c r="CQ87" s="239">
        <v>0</v>
      </c>
      <c r="CR87" s="239">
        <v>0</v>
      </c>
      <c r="CS87" s="239">
        <f>CP87/'SDG outcome'!$C$9*CQ87*CR87</f>
        <v>0</v>
      </c>
      <c r="CT87" s="239" t="s">
        <v>4</v>
      </c>
      <c r="CU87" s="239" t="s">
        <v>4</v>
      </c>
      <c r="CV87" s="239" t="s">
        <v>4</v>
      </c>
      <c r="CW87" s="239">
        <v>70</v>
      </c>
      <c r="CX87" s="239">
        <v>30</v>
      </c>
      <c r="CY87" s="239" t="s">
        <v>31814</v>
      </c>
      <c r="CZ87" s="239" t="s">
        <v>4</v>
      </c>
      <c r="DA87" s="239" t="s">
        <v>4</v>
      </c>
      <c r="DB87" s="239" t="s">
        <v>4</v>
      </c>
      <c r="DC87" s="239" t="s">
        <v>4</v>
      </c>
      <c r="DD87" s="239" t="s">
        <v>4</v>
      </c>
      <c r="DE87" s="239" t="s">
        <v>4</v>
      </c>
      <c r="DF87" s="239" t="s">
        <v>4</v>
      </c>
      <c r="DG87" s="239" t="s">
        <v>4</v>
      </c>
      <c r="DH87" s="239" t="s">
        <v>4</v>
      </c>
      <c r="DI87" s="239" t="s">
        <v>4</v>
      </c>
      <c r="DJ87" s="239" t="s">
        <v>4</v>
      </c>
      <c r="DK87" s="239" t="s">
        <v>4</v>
      </c>
      <c r="DL87" s="239">
        <v>0</v>
      </c>
      <c r="DM87" s="239">
        <v>100</v>
      </c>
      <c r="DN87" s="239" t="s">
        <v>31815</v>
      </c>
      <c r="DO87" s="239">
        <v>2</v>
      </c>
      <c r="DP87" s="239" t="s">
        <v>7</v>
      </c>
      <c r="DQ87" s="239" t="s">
        <v>29375</v>
      </c>
      <c r="DR87" s="239" t="s">
        <v>4</v>
      </c>
      <c r="DS87" s="239" t="s">
        <v>4</v>
      </c>
      <c r="DT87" s="240" t="s">
        <v>4</v>
      </c>
      <c r="DU87" s="239" t="s">
        <v>29294</v>
      </c>
      <c r="DV87" s="240" t="s">
        <v>4</v>
      </c>
      <c r="DW87" s="239" t="s">
        <v>30459</v>
      </c>
      <c r="DX87" s="239">
        <v>80</v>
      </c>
      <c r="DY87" s="239" t="s">
        <v>30460</v>
      </c>
      <c r="DZ87" s="239">
        <v>50</v>
      </c>
      <c r="EA87" s="239">
        <v>50</v>
      </c>
      <c r="EB87" s="239"/>
      <c r="EC87" s="239"/>
      <c r="ED87" s="239"/>
      <c r="EE87" s="320">
        <f>Table14[[#This Row],[% Fertilizer]]*$DX87/10000</f>
        <v>0.4</v>
      </c>
      <c r="EF87" s="320">
        <f>Table14[[#This Row],[% bioslurry used as Insecticide/Pesticide]]*$DX87/10000</f>
        <v>0.4</v>
      </c>
      <c r="EG87" s="320">
        <f>Table14[[#This Row],[% of Bioslurry used as animal feed]]*$DX87/10000</f>
        <v>0</v>
      </c>
      <c r="EH87" s="320">
        <f>Table14[[#This Row],[% of Bioslurry sold]]*$DX87/10000</f>
        <v>0</v>
      </c>
      <c r="EI87" s="320">
        <f>Table14[[#This Row],[% used other way(if used directly)]]*$DX87/10000</f>
        <v>0</v>
      </c>
      <c r="EJ87" s="239">
        <v>0</v>
      </c>
      <c r="EK87" s="239"/>
      <c r="EL87" s="239"/>
      <c r="EM87" s="239"/>
      <c r="EN87" s="239"/>
      <c r="EO87" s="239">
        <f>(Table14[[#This Row],[% Uncovered lagoon greater than 1 meter]]+Table14[[#This Row],[Uncovered lagoon (black watery mass) &lt;1 meter]]+Table14[[#This Row],[% Liquid slurry (brown porridge type)]])*Table14[[#This Row],[% Store it first]]/100</f>
        <v>0</v>
      </c>
      <c r="EP87" s="239"/>
      <c r="EQ87" s="239"/>
      <c r="ER87" s="239"/>
      <c r="ES87" s="239"/>
      <c r="ET87" s="239">
        <f>(Table14[[#This Row],[% Solid storage]]+Table14[[#This Row],[% Sun drying]]+Table14[[#This Row],[% Composting with a roof]]+Table14[[#This Row],[% Composting without a roof]])*Table14[[#This Row],[% Store it first]]/100</f>
        <v>0</v>
      </c>
      <c r="EU87" s="239"/>
      <c r="EV87" s="320">
        <f t="shared" si="2"/>
        <v>0</v>
      </c>
      <c r="EW87" s="320">
        <f t="shared" si="3"/>
        <v>0</v>
      </c>
      <c r="EX87" s="320">
        <f t="shared" si="4"/>
        <v>0</v>
      </c>
      <c r="EY87" s="320">
        <f t="shared" si="5"/>
        <v>0</v>
      </c>
      <c r="EZ87" s="320">
        <f t="shared" si="6"/>
        <v>0</v>
      </c>
      <c r="FA87" s="239">
        <v>0</v>
      </c>
      <c r="FB87" s="239">
        <v>20</v>
      </c>
      <c r="FC87" s="239" t="s">
        <v>30461</v>
      </c>
      <c r="FD87" s="239">
        <f>Table14[[#This Row],[% I donâ€™t use it / discarded]]+Table14[[#This Row],[% Other use of bioslurry(What do you do with the slurry from your biodigester )]]+Table14[[#This Row],[% Store it first]]+Table14[[#This Row],[% Use directly for various purposes]]</f>
        <v>100</v>
      </c>
      <c r="FE87" s="239" t="s">
        <v>4</v>
      </c>
      <c r="FF87" s="239"/>
      <c r="FG87" s="239"/>
      <c r="FH87" s="239"/>
      <c r="FI87" s="239"/>
      <c r="FJ87" s="239"/>
      <c r="FK87" s="239" t="s">
        <v>4</v>
      </c>
      <c r="FL87" s="239" t="s">
        <v>7</v>
      </c>
      <c r="FM87" s="239">
        <v>70</v>
      </c>
      <c r="FN87" s="239"/>
      <c r="FO87" s="239" t="s">
        <v>30462</v>
      </c>
      <c r="FP87" s="239" t="s">
        <v>29298</v>
      </c>
      <c r="FQ87" s="239">
        <v>120</v>
      </c>
      <c r="FR87" s="239" t="s">
        <v>7</v>
      </c>
      <c r="FS87" s="239" t="s">
        <v>29393</v>
      </c>
      <c r="FT87" s="239" t="s">
        <v>4</v>
      </c>
      <c r="FU87" s="239" t="s">
        <v>7</v>
      </c>
      <c r="FV87" s="239" t="s">
        <v>29393</v>
      </c>
      <c r="FW87" s="239" t="s">
        <v>4</v>
      </c>
      <c r="FX87" s="239" t="s">
        <v>29477</v>
      </c>
      <c r="FY87" s="239" t="s">
        <v>4</v>
      </c>
      <c r="FZ87" s="239" t="s">
        <v>4</v>
      </c>
      <c r="GA87" s="239" t="s">
        <v>4</v>
      </c>
      <c r="GB87" s="240" t="s">
        <v>4</v>
      </c>
      <c r="GC87" s="239" t="s">
        <v>4</v>
      </c>
      <c r="GD87" s="239" t="s">
        <v>7</v>
      </c>
      <c r="GE87" s="239" t="s">
        <v>29301</v>
      </c>
      <c r="GF87" s="239" t="s">
        <v>4</v>
      </c>
      <c r="GG87" s="239" t="s">
        <v>7</v>
      </c>
      <c r="GH87" s="239" t="s">
        <v>2</v>
      </c>
      <c r="GI87" s="239" t="s">
        <v>4</v>
      </c>
      <c r="GJ87" s="239" t="s">
        <v>4</v>
      </c>
      <c r="GK87" s="239" t="s">
        <v>4</v>
      </c>
      <c r="GL87" s="239">
        <v>0</v>
      </c>
      <c r="GM87" s="239"/>
      <c r="GN87" s="239" t="s">
        <v>4</v>
      </c>
      <c r="GO87" s="239" t="s">
        <v>4</v>
      </c>
      <c r="GP87" s="239" t="s">
        <v>4</v>
      </c>
      <c r="GQ87" s="239" t="s">
        <v>4</v>
      </c>
      <c r="GR87" s="239" t="s">
        <v>4</v>
      </c>
      <c r="GS87" s="239" t="s">
        <v>4</v>
      </c>
      <c r="GT87" s="239" t="s">
        <v>4</v>
      </c>
      <c r="GU87" s="239" t="s">
        <v>4</v>
      </c>
      <c r="GV87" s="239" t="s">
        <v>4</v>
      </c>
      <c r="GW87" s="239" t="s">
        <v>29304</v>
      </c>
      <c r="GX87" s="239" t="s">
        <v>29940</v>
      </c>
      <c r="GY87" s="239" t="s">
        <v>4</v>
      </c>
      <c r="GZ87" s="239" t="s">
        <v>29941</v>
      </c>
      <c r="HA87" s="239" t="s">
        <v>4</v>
      </c>
      <c r="HB87" s="239" t="s">
        <v>4</v>
      </c>
      <c r="HC87" s="239" t="s">
        <v>4</v>
      </c>
      <c r="HD87" s="239" t="s">
        <v>4</v>
      </c>
      <c r="HE87" s="239" t="s">
        <v>30463</v>
      </c>
      <c r="HF87" s="239" t="s">
        <v>29353</v>
      </c>
      <c r="HG87" s="239" t="s">
        <v>4</v>
      </c>
      <c r="HH87" s="239" t="s">
        <v>30211</v>
      </c>
      <c r="HI87" s="239" t="s">
        <v>4</v>
      </c>
      <c r="HJ87" s="240">
        <v>200</v>
      </c>
      <c r="HK87" s="239" t="s">
        <v>29325</v>
      </c>
      <c r="HL87" s="239" t="s">
        <v>29309</v>
      </c>
      <c r="HM87" s="239" t="s">
        <v>4</v>
      </c>
      <c r="HN87" s="239" t="s">
        <v>4</v>
      </c>
      <c r="HO87" s="239" t="s">
        <v>4</v>
      </c>
      <c r="HP87" s="239" t="s">
        <v>4</v>
      </c>
      <c r="HQ87" s="239" t="s">
        <v>4</v>
      </c>
      <c r="HR87" s="239" t="s">
        <v>4</v>
      </c>
      <c r="HS87" s="239" t="s">
        <v>4</v>
      </c>
      <c r="HT87" s="239" t="s">
        <v>4</v>
      </c>
      <c r="HU87" s="239" t="s">
        <v>2</v>
      </c>
      <c r="HV87" s="239" t="s">
        <v>4</v>
      </c>
      <c r="HW87" s="239" t="s">
        <v>4</v>
      </c>
      <c r="HX87" s="239" t="s">
        <v>4</v>
      </c>
      <c r="HY87" s="239" t="s">
        <v>4</v>
      </c>
      <c r="HZ87" s="239" t="s">
        <v>16</v>
      </c>
      <c r="IA87" s="239" t="s">
        <v>2</v>
      </c>
      <c r="IB87" s="239" t="s">
        <v>4</v>
      </c>
      <c r="IC87" s="239" t="s">
        <v>30464</v>
      </c>
      <c r="ID87" s="239" t="s">
        <v>30465</v>
      </c>
      <c r="IE87" s="239" t="s">
        <v>30466</v>
      </c>
      <c r="IF87" s="239" t="s">
        <v>30467</v>
      </c>
      <c r="IG87" s="239" t="s">
        <v>30468</v>
      </c>
      <c r="IH87" s="239" t="s">
        <v>30456</v>
      </c>
    </row>
    <row r="88" spans="1:242" s="561" customFormat="1" ht="36.75" customHeight="1" x14ac:dyDescent="0.2">
      <c r="A88" s="239">
        <v>113</v>
      </c>
      <c r="B88" s="239" t="s">
        <v>27481</v>
      </c>
      <c r="C88" s="239" t="s">
        <v>30533</v>
      </c>
      <c r="D88" s="239" t="s">
        <v>30534</v>
      </c>
      <c r="E88" s="239" t="s">
        <v>7</v>
      </c>
      <c r="F88" s="239" t="s">
        <v>30535</v>
      </c>
      <c r="G88" s="239">
        <v>0</v>
      </c>
      <c r="H88" s="239">
        <v>4199.9989999999998</v>
      </c>
      <c r="I88" s="239" t="s">
        <v>29319</v>
      </c>
      <c r="J88" s="239" t="s">
        <v>4</v>
      </c>
      <c r="K88" s="239" t="s">
        <v>30536</v>
      </c>
      <c r="L88" s="239">
        <v>775129196</v>
      </c>
      <c r="M88" s="239" t="s">
        <v>5</v>
      </c>
      <c r="N88" s="239" t="s">
        <v>31438</v>
      </c>
      <c r="O88" s="239">
        <v>58</v>
      </c>
      <c r="P88" s="239">
        <v>8</v>
      </c>
      <c r="Q88" s="239" t="s">
        <v>7</v>
      </c>
      <c r="R88" s="239" t="s">
        <v>31549</v>
      </c>
      <c r="S88" s="239" t="s">
        <v>4</v>
      </c>
      <c r="T88" s="239" t="s">
        <v>7</v>
      </c>
      <c r="U88" s="239" t="s">
        <v>7</v>
      </c>
      <c r="V88" s="239"/>
      <c r="W88" s="239" t="s">
        <v>7</v>
      </c>
      <c r="X88" s="239" t="s">
        <v>4</v>
      </c>
      <c r="Y88" s="239" t="s">
        <v>4</v>
      </c>
      <c r="Z88" s="241" t="str">
        <f>IF(OR(T88="yes",Y88&gt;'SDG outcome'!$C$27),"yes","no")</f>
        <v>yes</v>
      </c>
      <c r="AA88" s="243">
        <f t="shared" si="1"/>
        <v>0</v>
      </c>
      <c r="AB88" s="243" t="str">
        <f>IF(AND(Z88="no",AND(Y88&gt;='SDG outcome'!$B$16,Y88&lt;'SDG outcome'!$C$27)),Y88-'SDG outcome'!$B$16,"")</f>
        <v/>
      </c>
      <c r="AC88" s="239" t="s">
        <v>4</v>
      </c>
      <c r="AD88" s="239" t="s">
        <v>4</v>
      </c>
      <c r="AE88" s="239" t="s">
        <v>4</v>
      </c>
      <c r="AF88" s="239" t="s">
        <v>4</v>
      </c>
      <c r="AG88" s="239" t="s">
        <v>4</v>
      </c>
      <c r="AH88" s="239" t="s">
        <v>4</v>
      </c>
      <c r="AI88" s="239" t="s">
        <v>4</v>
      </c>
      <c r="AJ88" s="239" t="s">
        <v>29290</v>
      </c>
      <c r="AK88" s="239" t="s">
        <v>29694</v>
      </c>
      <c r="AL88" s="239" t="s">
        <v>4</v>
      </c>
      <c r="AM88" s="239" t="s">
        <v>4</v>
      </c>
      <c r="AN88" s="239" t="s">
        <v>31536</v>
      </c>
      <c r="AO88" s="239" t="s">
        <v>4</v>
      </c>
      <c r="AP88" s="239" t="s">
        <v>31537</v>
      </c>
      <c r="AQ88" s="239" t="s">
        <v>4</v>
      </c>
      <c r="AR88" s="239" t="s">
        <v>31538</v>
      </c>
      <c r="AS88" s="239" t="s">
        <v>4</v>
      </c>
      <c r="AT88" s="239" t="s">
        <v>7</v>
      </c>
      <c r="AU88" s="239" t="s">
        <v>4</v>
      </c>
      <c r="AV88" s="239" t="s">
        <v>4</v>
      </c>
      <c r="AW88" s="239" t="s">
        <v>31539</v>
      </c>
      <c r="AX88" s="239" t="s">
        <v>4</v>
      </c>
      <c r="AY88" s="239" t="s">
        <v>4</v>
      </c>
      <c r="AZ88" s="239" t="s">
        <v>2</v>
      </c>
      <c r="BA88" s="239" t="s">
        <v>4</v>
      </c>
      <c r="BB88" s="239" t="s">
        <v>4</v>
      </c>
      <c r="BC88" s="239" t="s">
        <v>31563</v>
      </c>
      <c r="BD88" s="239" t="s">
        <v>31541</v>
      </c>
      <c r="BE88" s="239" t="s">
        <v>4</v>
      </c>
      <c r="BF88" s="239" t="s">
        <v>14</v>
      </c>
      <c r="BG88" s="239" t="s">
        <v>4</v>
      </c>
      <c r="BH88" s="239" t="s">
        <v>31542</v>
      </c>
      <c r="BI88" s="239" t="s">
        <v>31826</v>
      </c>
      <c r="BJ88" s="239" t="s">
        <v>31544</v>
      </c>
      <c r="BK88" s="239">
        <v>2</v>
      </c>
      <c r="BL88" s="239">
        <v>240</v>
      </c>
      <c r="BM88" s="239" t="s">
        <v>7</v>
      </c>
      <c r="BN88" s="239" t="s">
        <v>6</v>
      </c>
      <c r="BO88" s="239" t="s">
        <v>4</v>
      </c>
      <c r="BP88" s="239" t="s">
        <v>31425</v>
      </c>
      <c r="BQ88" s="239">
        <v>3</v>
      </c>
      <c r="BR88" s="239">
        <v>0</v>
      </c>
      <c r="BS88" s="239" t="s">
        <v>13</v>
      </c>
      <c r="BT88" s="239" t="s">
        <v>31428</v>
      </c>
      <c r="BU88" s="239"/>
      <c r="BV88" s="239" cm="1">
        <f t="array" ref="BV88">_xlfn.IFS(BS88="Foreword vehicle",BU88*0,BS88="Human wastes",BU88*0,BS88="Jerrycans",BU88*$BV$228,BS88="Number of Basins",BU88*$BV$229,BS88="Number of Buckets",BU88*$CA$226,BS88="Number of Kgs",BU88*$CA$227,BS88="Number of spades",BU88*$CA$228,BS88="Number of wheelbarrows",BU88*$CA$229,BT88="Foreword vehicle",BU88*0,BT88="Human wastes",BU88*0,BT88="Jerrycans",BU88*$BV$228,BS88="","")</f>
        <v>0</v>
      </c>
      <c r="BW88" s="239">
        <f>IF(BV88="","",Table14[[#This Row],[Calculation: Conversion of metric to Kg manure feeding (Columns: BP, BQ, BR)]]*Table14[[#This Row],[Number of times used to feed biodigester]])</f>
        <v>0</v>
      </c>
      <c r="BX88" s="239" cm="1">
        <f t="array" ref="BX88">_xlfn.IFS(BP88="Number of times per day (1 to 3)",BW88/$BX$226,BP88="Number of times per week (1 to 6)",BW88/$BX$227,BP88="Number of times per Month (1 to 3)",BW88/$BX$228,BW88="","")</f>
        <v>0</v>
      </c>
      <c r="BY88" s="239" t="s">
        <v>13</v>
      </c>
      <c r="BZ88" s="239" t="s">
        <v>31827</v>
      </c>
      <c r="CA88" s="239" t="s">
        <v>2</v>
      </c>
      <c r="CB88" s="239" t="s">
        <v>4</v>
      </c>
      <c r="CC88" s="239" t="s">
        <v>4</v>
      </c>
      <c r="CD88" s="239" t="s">
        <v>4</v>
      </c>
      <c r="CE88" s="239" t="s">
        <v>7</v>
      </c>
      <c r="CF88" s="239" t="s">
        <v>31828</v>
      </c>
      <c r="CG88" s="239" t="s">
        <v>4</v>
      </c>
      <c r="CH88" s="239" t="s">
        <v>31829</v>
      </c>
      <c r="CI88" s="239">
        <v>0</v>
      </c>
      <c r="CJ88" s="239">
        <v>8</v>
      </c>
      <c r="CK88" s="239">
        <v>13</v>
      </c>
      <c r="CL88" s="239">
        <v>0</v>
      </c>
      <c r="CM88" s="239">
        <v>16</v>
      </c>
      <c r="CN88" s="239">
        <v>15</v>
      </c>
      <c r="CO88" s="239">
        <v>4</v>
      </c>
      <c r="CP88" s="239">
        <v>120</v>
      </c>
      <c r="CQ88" s="239">
        <v>1</v>
      </c>
      <c r="CR88" s="239">
        <v>13</v>
      </c>
      <c r="CS88" s="239">
        <f>CP88/'SDG outcome'!$C$9*CQ88*CR88</f>
        <v>4.4956772334293946</v>
      </c>
      <c r="CT88" s="239" t="s">
        <v>4</v>
      </c>
      <c r="CU88" s="239" t="s">
        <v>4</v>
      </c>
      <c r="CV88" s="239" t="s">
        <v>4</v>
      </c>
      <c r="CW88" s="239">
        <v>0</v>
      </c>
      <c r="CX88" s="239">
        <v>100</v>
      </c>
      <c r="CY88" s="239" t="s">
        <v>31830</v>
      </c>
      <c r="CZ88" s="239">
        <v>0</v>
      </c>
      <c r="DA88" s="239">
        <v>100</v>
      </c>
      <c r="DB88" s="239" t="s">
        <v>31831</v>
      </c>
      <c r="DC88" s="239">
        <v>0</v>
      </c>
      <c r="DD88" s="239">
        <v>100</v>
      </c>
      <c r="DE88" s="239" t="s">
        <v>31830</v>
      </c>
      <c r="DF88" s="239">
        <v>0</v>
      </c>
      <c r="DG88" s="239">
        <v>100</v>
      </c>
      <c r="DH88" s="239" t="s">
        <v>31830</v>
      </c>
      <c r="DI88" s="239" t="s">
        <v>4</v>
      </c>
      <c r="DJ88" s="239" t="s">
        <v>4</v>
      </c>
      <c r="DK88" s="239" t="s">
        <v>4</v>
      </c>
      <c r="DL88" s="239">
        <v>0</v>
      </c>
      <c r="DM88" s="239">
        <v>100</v>
      </c>
      <c r="DN88" s="239" t="s">
        <v>31830</v>
      </c>
      <c r="DO88" s="239">
        <v>0.45</v>
      </c>
      <c r="DP88" s="239" t="s">
        <v>2</v>
      </c>
      <c r="DQ88" s="239" t="s">
        <v>29292</v>
      </c>
      <c r="DR88" s="239" t="s">
        <v>4</v>
      </c>
      <c r="DS88" s="239" t="s">
        <v>29294</v>
      </c>
      <c r="DT88" s="240" t="s">
        <v>4</v>
      </c>
      <c r="DU88" s="239" t="s">
        <v>29294</v>
      </c>
      <c r="DV88" s="240" t="s">
        <v>4</v>
      </c>
      <c r="DW88" s="239" t="s">
        <v>30537</v>
      </c>
      <c r="DX88" s="239">
        <v>0</v>
      </c>
      <c r="DY88" s="239"/>
      <c r="DZ88" s="239"/>
      <c r="EA88" s="239"/>
      <c r="EB88" s="239"/>
      <c r="EC88" s="239"/>
      <c r="ED88" s="239"/>
      <c r="EE88" s="320">
        <f>Table14[[#This Row],[% Fertilizer]]*$DX88/10000</f>
        <v>0</v>
      </c>
      <c r="EF88" s="320">
        <f>Table14[[#This Row],[% bioslurry used as Insecticide/Pesticide]]*$DX88/10000</f>
        <v>0</v>
      </c>
      <c r="EG88" s="320">
        <f>Table14[[#This Row],[% of Bioslurry used as animal feed]]*$DX88/10000</f>
        <v>0</v>
      </c>
      <c r="EH88" s="320">
        <f>Table14[[#This Row],[% of Bioslurry sold]]*$DX88/10000</f>
        <v>0</v>
      </c>
      <c r="EI88" s="320">
        <f>Table14[[#This Row],[% used other way(if used directly)]]*$DX88/10000</f>
        <v>0</v>
      </c>
      <c r="EJ88" s="239"/>
      <c r="EK88" s="239"/>
      <c r="EL88" s="239"/>
      <c r="EM88" s="239"/>
      <c r="EN88" s="239"/>
      <c r="EO88" s="239">
        <f>(Table14[[#This Row],[% Uncovered lagoon greater than 1 meter]]+Table14[[#This Row],[Uncovered lagoon (black watery mass) &lt;1 meter]]+Table14[[#This Row],[% Liquid slurry (brown porridge type)]])*Table14[[#This Row],[% Store it first]]/100</f>
        <v>0</v>
      </c>
      <c r="EP88" s="239"/>
      <c r="EQ88" s="239"/>
      <c r="ER88" s="239"/>
      <c r="ES88" s="239"/>
      <c r="ET88" s="239">
        <f>(Table14[[#This Row],[% Solid storage]]+Table14[[#This Row],[% Sun drying]]+Table14[[#This Row],[% Composting with a roof]]+Table14[[#This Row],[% Composting without a roof]])*Table14[[#This Row],[% Store it first]]/100</f>
        <v>0</v>
      </c>
      <c r="EU88" s="239"/>
      <c r="EV88" s="320">
        <f t="shared" si="2"/>
        <v>0</v>
      </c>
      <c r="EW88" s="320">
        <f t="shared" si="3"/>
        <v>0</v>
      </c>
      <c r="EX88" s="320">
        <f t="shared" si="4"/>
        <v>0</v>
      </c>
      <c r="EY88" s="320">
        <f t="shared" si="5"/>
        <v>0</v>
      </c>
      <c r="EZ88" s="320">
        <f t="shared" si="6"/>
        <v>0</v>
      </c>
      <c r="FA88" s="239">
        <v>100</v>
      </c>
      <c r="FB88" s="239"/>
      <c r="FC88" s="239"/>
      <c r="FD88" s="239">
        <f>Table14[[#This Row],[% I donâ€™t use it / discarded]]+Table14[[#This Row],[% Other (specify)(If you use bioslurry directly)]]+Table14[[#This Row],[% Store it first]]+Table14[[#This Row],[% Use directly for various purposes]]</f>
        <v>100</v>
      </c>
      <c r="FE88" s="239" t="s">
        <v>4</v>
      </c>
      <c r="FF88" s="239"/>
      <c r="FG88" s="239"/>
      <c r="FH88" s="239"/>
      <c r="FI88" s="239"/>
      <c r="FJ88" s="239"/>
      <c r="FK88" s="239">
        <v>2.8</v>
      </c>
      <c r="FL88" s="239" t="s">
        <v>4</v>
      </c>
      <c r="FM88" s="239" t="s">
        <v>4</v>
      </c>
      <c r="FN88" s="239"/>
      <c r="FO88" s="239" t="s">
        <v>4</v>
      </c>
      <c r="FP88" s="239" t="s">
        <v>4</v>
      </c>
      <c r="FQ88" s="239" t="s">
        <v>4</v>
      </c>
      <c r="FR88" s="239" t="s">
        <v>2</v>
      </c>
      <c r="FS88" s="239" t="s">
        <v>4</v>
      </c>
      <c r="FT88" s="239" t="s">
        <v>4</v>
      </c>
      <c r="FU88" s="239" t="s">
        <v>4</v>
      </c>
      <c r="FV88" s="239" t="s">
        <v>4</v>
      </c>
      <c r="FW88" s="239" t="s">
        <v>4</v>
      </c>
      <c r="FX88" s="239" t="s">
        <v>4</v>
      </c>
      <c r="FY88" s="239" t="s">
        <v>4</v>
      </c>
      <c r="FZ88" s="239" t="s">
        <v>4</v>
      </c>
      <c r="GA88" s="239" t="s">
        <v>4</v>
      </c>
      <c r="GB88" s="240" t="s">
        <v>4</v>
      </c>
      <c r="GC88" s="239" t="s">
        <v>4</v>
      </c>
      <c r="GD88" s="239" t="s">
        <v>7</v>
      </c>
      <c r="GE88" s="239" t="s">
        <v>29301</v>
      </c>
      <c r="GF88" s="239" t="s">
        <v>4</v>
      </c>
      <c r="GG88" s="239" t="s">
        <v>7</v>
      </c>
      <c r="GH88" s="239" t="s">
        <v>7</v>
      </c>
      <c r="GI88" s="239" t="s">
        <v>30538</v>
      </c>
      <c r="GJ88" s="239" t="s">
        <v>29817</v>
      </c>
      <c r="GK88" s="239" t="s">
        <v>4</v>
      </c>
      <c r="GL88" s="239">
        <v>0</v>
      </c>
      <c r="GM88" s="239"/>
      <c r="GN88" s="239" t="s">
        <v>4</v>
      </c>
      <c r="GO88" s="239" t="s">
        <v>4</v>
      </c>
      <c r="GP88" s="239" t="s">
        <v>4</v>
      </c>
      <c r="GQ88" s="239" t="s">
        <v>4</v>
      </c>
      <c r="GR88" s="239" t="s">
        <v>4</v>
      </c>
      <c r="GS88" s="239" t="s">
        <v>4</v>
      </c>
      <c r="GT88" s="239" t="s">
        <v>4</v>
      </c>
      <c r="GU88" s="239" t="s">
        <v>4</v>
      </c>
      <c r="GV88" s="239" t="s">
        <v>4</v>
      </c>
      <c r="GW88" s="239" t="s">
        <v>29304</v>
      </c>
      <c r="GX88" s="239" t="s">
        <v>29305</v>
      </c>
      <c r="GY88" s="239" t="s">
        <v>29306</v>
      </c>
      <c r="GZ88" s="239" t="s">
        <v>4</v>
      </c>
      <c r="HA88" s="239" t="s">
        <v>4</v>
      </c>
      <c r="HB88" s="239" t="s">
        <v>4</v>
      </c>
      <c r="HC88" s="239" t="s">
        <v>4</v>
      </c>
      <c r="HD88" s="239" t="s">
        <v>4</v>
      </c>
      <c r="HE88" s="239" t="s">
        <v>4</v>
      </c>
      <c r="HF88" s="239" t="s">
        <v>4</v>
      </c>
      <c r="HG88" s="239" t="s">
        <v>4</v>
      </c>
      <c r="HH88" s="239" t="s">
        <v>29847</v>
      </c>
      <c r="HI88" s="239" t="s">
        <v>4</v>
      </c>
      <c r="HJ88" s="240">
        <v>70</v>
      </c>
      <c r="HK88" s="239" t="s">
        <v>2</v>
      </c>
      <c r="HL88" s="239" t="s">
        <v>29309</v>
      </c>
      <c r="HM88" s="239" t="s">
        <v>4</v>
      </c>
      <c r="HN88" s="239" t="s">
        <v>4</v>
      </c>
      <c r="HO88" s="239" t="s">
        <v>4</v>
      </c>
      <c r="HP88" s="239" t="s">
        <v>4</v>
      </c>
      <c r="HQ88" s="239" t="s">
        <v>4</v>
      </c>
      <c r="HR88" s="239" t="s">
        <v>4</v>
      </c>
      <c r="HS88" s="239" t="s">
        <v>4</v>
      </c>
      <c r="HT88" s="239" t="s">
        <v>4</v>
      </c>
      <c r="HU88" s="239" t="s">
        <v>2</v>
      </c>
      <c r="HV88" s="239" t="s">
        <v>4</v>
      </c>
      <c r="HW88" s="239" t="s">
        <v>4</v>
      </c>
      <c r="HX88" s="239" t="s">
        <v>4</v>
      </c>
      <c r="HY88" s="239" t="s">
        <v>4</v>
      </c>
      <c r="HZ88" s="239" t="s">
        <v>30539</v>
      </c>
      <c r="IA88" s="239" t="s">
        <v>7</v>
      </c>
      <c r="IB88" s="239" t="s">
        <v>30540</v>
      </c>
      <c r="IC88" s="239" t="s">
        <v>30541</v>
      </c>
      <c r="ID88" s="239" t="s">
        <v>30542</v>
      </c>
      <c r="IE88" s="239" t="s">
        <v>30543</v>
      </c>
      <c r="IF88" s="239" t="s">
        <v>30544</v>
      </c>
      <c r="IG88" s="239" t="s">
        <v>30545</v>
      </c>
      <c r="IH88" s="239" t="s">
        <v>30533</v>
      </c>
    </row>
    <row r="89" spans="1:242" s="561" customFormat="1" ht="36.75" customHeight="1" x14ac:dyDescent="0.2">
      <c r="A89" s="239">
        <v>85</v>
      </c>
      <c r="B89" s="239" t="s">
        <v>27545</v>
      </c>
      <c r="C89" s="239" t="s">
        <v>30234</v>
      </c>
      <c r="D89" s="239" t="s">
        <v>30207</v>
      </c>
      <c r="E89" s="239" t="s">
        <v>7</v>
      </c>
      <c r="F89" s="239" t="s">
        <v>30235</v>
      </c>
      <c r="G89" s="239">
        <v>1258.9000000000001</v>
      </c>
      <c r="H89" s="239">
        <v>4.8</v>
      </c>
      <c r="I89" s="239" t="s">
        <v>29288</v>
      </c>
      <c r="J89" s="239" t="s">
        <v>4</v>
      </c>
      <c r="K89" s="239" t="s">
        <v>30236</v>
      </c>
      <c r="L89" s="239">
        <v>781050839</v>
      </c>
      <c r="M89" s="239" t="s">
        <v>3</v>
      </c>
      <c r="N89" s="239" t="s">
        <v>31598</v>
      </c>
      <c r="O89" s="239" t="s">
        <v>4</v>
      </c>
      <c r="P89" s="239">
        <v>10</v>
      </c>
      <c r="Q89" s="239" t="s">
        <v>7</v>
      </c>
      <c r="R89" s="239" t="s">
        <v>31549</v>
      </c>
      <c r="S89" s="239" t="s">
        <v>4</v>
      </c>
      <c r="T89" s="239" t="s">
        <v>7</v>
      </c>
      <c r="U89" s="239" t="s">
        <v>7</v>
      </c>
      <c r="V89" s="239"/>
      <c r="W89" s="239" t="s">
        <v>7</v>
      </c>
      <c r="X89" s="239" t="s">
        <v>4</v>
      </c>
      <c r="Y89" s="239" t="s">
        <v>4</v>
      </c>
      <c r="Z89" s="241" t="str">
        <f>IF(OR(T89="yes",Y89&gt;'SDG outcome'!$C$27),"yes","no")</f>
        <v>yes</v>
      </c>
      <c r="AA89" s="243">
        <f t="shared" si="1"/>
        <v>0</v>
      </c>
      <c r="AB89" s="243" t="str">
        <f>IF(AND(Z89="no",AND(Y89&gt;='SDG outcome'!$B$16,Y89&lt;'SDG outcome'!$C$27)),Y89-'SDG outcome'!$B$16,"")</f>
        <v/>
      </c>
      <c r="AC89" s="239" t="s">
        <v>4</v>
      </c>
      <c r="AD89" s="239" t="s">
        <v>4</v>
      </c>
      <c r="AE89" s="239" t="s">
        <v>4</v>
      </c>
      <c r="AF89" s="239" t="s">
        <v>4</v>
      </c>
      <c r="AG89" s="239" t="s">
        <v>4</v>
      </c>
      <c r="AH89" s="239" t="s">
        <v>4</v>
      </c>
      <c r="AI89" s="239" t="s">
        <v>4</v>
      </c>
      <c r="AJ89" s="239" t="s">
        <v>29290</v>
      </c>
      <c r="AK89" s="239" t="s">
        <v>29291</v>
      </c>
      <c r="AL89" s="239" t="s">
        <v>4</v>
      </c>
      <c r="AM89" s="239" t="s">
        <v>4</v>
      </c>
      <c r="AN89" s="239" t="s">
        <v>31536</v>
      </c>
      <c r="AO89" s="239" t="s">
        <v>4</v>
      </c>
      <c r="AP89" s="239" t="s">
        <v>31537</v>
      </c>
      <c r="AQ89" s="239" t="s">
        <v>4</v>
      </c>
      <c r="AR89" s="239" t="s">
        <v>31538</v>
      </c>
      <c r="AS89" s="239" t="s">
        <v>4</v>
      </c>
      <c r="AT89" s="239" t="s">
        <v>7</v>
      </c>
      <c r="AU89" s="239" t="s">
        <v>4</v>
      </c>
      <c r="AV89" s="239" t="s">
        <v>4</v>
      </c>
      <c r="AW89" s="239" t="s">
        <v>31539</v>
      </c>
      <c r="AX89" s="239" t="s">
        <v>4</v>
      </c>
      <c r="AY89" s="239" t="s">
        <v>4</v>
      </c>
      <c r="AZ89" s="239" t="s">
        <v>2</v>
      </c>
      <c r="BA89" s="239" t="s">
        <v>4</v>
      </c>
      <c r="BB89" s="239" t="s">
        <v>4</v>
      </c>
      <c r="BC89" s="239" t="s">
        <v>31563</v>
      </c>
      <c r="BD89" s="239" t="s">
        <v>22</v>
      </c>
      <c r="BE89" s="239" t="s">
        <v>4</v>
      </c>
      <c r="BF89" s="239" t="s">
        <v>14</v>
      </c>
      <c r="BG89" s="239" t="s">
        <v>4</v>
      </c>
      <c r="BH89" s="239" t="s">
        <v>31542</v>
      </c>
      <c r="BI89" s="239" t="s">
        <v>31773</v>
      </c>
      <c r="BJ89" s="239" t="s">
        <v>31544</v>
      </c>
      <c r="BK89" s="239">
        <v>1</v>
      </c>
      <c r="BL89" s="239">
        <v>60</v>
      </c>
      <c r="BM89" s="239" t="s">
        <v>7</v>
      </c>
      <c r="BN89" s="239" t="s">
        <v>6</v>
      </c>
      <c r="BO89" s="239" t="s">
        <v>4</v>
      </c>
      <c r="BP89" s="239" t="s">
        <v>31429</v>
      </c>
      <c r="BQ89" s="239">
        <v>1</v>
      </c>
      <c r="BR89" s="239">
        <v>40</v>
      </c>
      <c r="BS89" s="239" t="s">
        <v>31435</v>
      </c>
      <c r="BT89" s="239"/>
      <c r="BU89" s="239">
        <v>1</v>
      </c>
      <c r="BV89" s="239" cm="1">
        <f t="array" ref="BV89">_xlfn.IFS(BS89="Foreword vehicle",BU89*0,BS89="Human wastes",BU89*0,BS89="Jerrycans",BU89*$BV$228,BS89="Number of Basins",BU89*$BV$229,BS89="Number of Buckets",BU89*$CA$226,BS89="Number of Kgs",BU89*$CA$227,BS89="Number of spades",BU89*$CA$228,BS89="Number of wheelbarrows",BU89*$CA$229,BT89="Foreword vehicle",BU89*0,BT89="Human wastes",BU89*0,BT89="Jerrycans",BU89*$BV$228,BS89="","")</f>
        <v>70.5</v>
      </c>
      <c r="BW89" s="239">
        <f>IF(BV89="","",Table14[[#This Row],[Calculation: Conversion of metric to Kg manure feeding (Columns: BP, BQ, BR)]]*Table14[[#This Row],[Number of times used to feed biodigester]])</f>
        <v>70.5</v>
      </c>
      <c r="BX89" s="239" cm="1">
        <f t="array" ref="BX89">_xlfn.IFS(BP89="Number of times per day (1 to 3)",BW89/$BX$226,BP89="Number of times per week (1 to 6)",BW89/$BX$227,BP89="Number of times per Month (1 to 3)",BW89/$BX$228,BW89="","")</f>
        <v>10.071428571428571</v>
      </c>
      <c r="BY89" s="239" t="s">
        <v>22</v>
      </c>
      <c r="BZ89" s="239" t="s">
        <v>4</v>
      </c>
      <c r="CA89" s="239" t="s">
        <v>2</v>
      </c>
      <c r="CB89" s="239" t="s">
        <v>4</v>
      </c>
      <c r="CC89" s="239" t="s">
        <v>4</v>
      </c>
      <c r="CD89" s="239" t="s">
        <v>4</v>
      </c>
      <c r="CE89" s="239" t="s">
        <v>7</v>
      </c>
      <c r="CF89" s="239" t="s">
        <v>31774</v>
      </c>
      <c r="CG89" s="239" t="s">
        <v>4</v>
      </c>
      <c r="CH89" s="239" t="s">
        <v>31683</v>
      </c>
      <c r="CI89" s="239">
        <v>1</v>
      </c>
      <c r="CJ89" s="239">
        <v>7</v>
      </c>
      <c r="CK89" s="239">
        <v>0</v>
      </c>
      <c r="CL89" s="239">
        <v>0</v>
      </c>
      <c r="CM89" s="239">
        <v>0</v>
      </c>
      <c r="CN89" s="239">
        <v>0</v>
      </c>
      <c r="CO89" s="239">
        <v>0</v>
      </c>
      <c r="CP89" s="239">
        <v>0</v>
      </c>
      <c r="CQ89" s="239">
        <v>0</v>
      </c>
      <c r="CR89" s="239">
        <v>0</v>
      </c>
      <c r="CS89" s="239">
        <f>CP89/'SDG outcome'!$C$9*CQ89*CR89</f>
        <v>0</v>
      </c>
      <c r="CT89" s="239">
        <v>100</v>
      </c>
      <c r="CU89" s="239">
        <v>0</v>
      </c>
      <c r="CV89" s="239" t="s">
        <v>4</v>
      </c>
      <c r="CW89" s="239">
        <v>100</v>
      </c>
      <c r="CX89" s="239">
        <v>0</v>
      </c>
      <c r="CY89" s="239" t="s">
        <v>4</v>
      </c>
      <c r="CZ89" s="239" t="s">
        <v>4</v>
      </c>
      <c r="DA89" s="239" t="s">
        <v>4</v>
      </c>
      <c r="DB89" s="239" t="s">
        <v>4</v>
      </c>
      <c r="DC89" s="239" t="s">
        <v>4</v>
      </c>
      <c r="DD89" s="239" t="s">
        <v>4</v>
      </c>
      <c r="DE89" s="239" t="s">
        <v>4</v>
      </c>
      <c r="DF89" s="239" t="s">
        <v>4</v>
      </c>
      <c r="DG89" s="239" t="s">
        <v>4</v>
      </c>
      <c r="DH89" s="239" t="s">
        <v>4</v>
      </c>
      <c r="DI89" s="239" t="s">
        <v>4</v>
      </c>
      <c r="DJ89" s="239" t="s">
        <v>4</v>
      </c>
      <c r="DK89" s="239" t="s">
        <v>4</v>
      </c>
      <c r="DL89" s="239" t="s">
        <v>4</v>
      </c>
      <c r="DM89" s="239" t="s">
        <v>4</v>
      </c>
      <c r="DN89" s="239" t="s">
        <v>4</v>
      </c>
      <c r="DO89" s="239">
        <v>0.5</v>
      </c>
      <c r="DP89" s="239" t="s">
        <v>2</v>
      </c>
      <c r="DQ89" s="239" t="s">
        <v>29375</v>
      </c>
      <c r="DR89" s="239" t="s">
        <v>4</v>
      </c>
      <c r="DS89" s="239" t="s">
        <v>4</v>
      </c>
      <c r="DT89" s="240" t="s">
        <v>4</v>
      </c>
      <c r="DU89" s="239" t="s">
        <v>29294</v>
      </c>
      <c r="DV89" s="240" t="s">
        <v>4</v>
      </c>
      <c r="DW89" s="239" t="s">
        <v>29295</v>
      </c>
      <c r="DX89" s="239">
        <v>100</v>
      </c>
      <c r="DY89" s="239" t="s">
        <v>29296</v>
      </c>
      <c r="DZ89" s="239">
        <v>100</v>
      </c>
      <c r="EA89" s="239"/>
      <c r="EB89" s="239"/>
      <c r="EC89" s="239"/>
      <c r="ED89" s="239"/>
      <c r="EE89" s="320">
        <f>Table14[[#This Row],[% Fertilizer]]*$DX89/10000</f>
        <v>1</v>
      </c>
      <c r="EF89" s="320">
        <f>Table14[[#This Row],[% bioslurry used as Insecticide/Pesticide]]*$DX89/10000</f>
        <v>0</v>
      </c>
      <c r="EG89" s="320">
        <f>Table14[[#This Row],[% of Bioslurry used as animal feed]]*$DX89/10000</f>
        <v>0</v>
      </c>
      <c r="EH89" s="320">
        <f>Table14[[#This Row],[% of Bioslurry sold]]*$DX89/10000</f>
        <v>0</v>
      </c>
      <c r="EI89" s="320">
        <f>Table14[[#This Row],[% used other way(if used directly)]]*$DX89/10000</f>
        <v>0</v>
      </c>
      <c r="EJ89" s="239"/>
      <c r="EK89" s="239"/>
      <c r="EL89" s="239"/>
      <c r="EM89" s="239"/>
      <c r="EN89" s="239"/>
      <c r="EO89" s="239">
        <f>(Table14[[#This Row],[% Uncovered lagoon greater than 1 meter]]+Table14[[#This Row],[Uncovered lagoon (black watery mass) &lt;1 meter]]+Table14[[#This Row],[% Liquid slurry (brown porridge type)]])*Table14[[#This Row],[% Store it first]]/100</f>
        <v>0</v>
      </c>
      <c r="EP89" s="239"/>
      <c r="EQ89" s="239"/>
      <c r="ER89" s="239"/>
      <c r="ES89" s="239"/>
      <c r="ET89" s="239">
        <f>(Table14[[#This Row],[% Solid storage]]+Table14[[#This Row],[% Sun drying]]+Table14[[#This Row],[% Composting with a roof]]+Table14[[#This Row],[% Composting without a roof]])*Table14[[#This Row],[% Store it first]]/100</f>
        <v>0</v>
      </c>
      <c r="EU89" s="239"/>
      <c r="EV89" s="320">
        <f t="shared" si="2"/>
        <v>0</v>
      </c>
      <c r="EW89" s="320">
        <f t="shared" si="3"/>
        <v>0</v>
      </c>
      <c r="EX89" s="320">
        <f t="shared" si="4"/>
        <v>0</v>
      </c>
      <c r="EY89" s="320">
        <f t="shared" si="5"/>
        <v>0</v>
      </c>
      <c r="EZ89" s="320">
        <f t="shared" si="6"/>
        <v>0</v>
      </c>
      <c r="FA89" s="239"/>
      <c r="FB89" s="239"/>
      <c r="FC89" s="239"/>
      <c r="FD89" s="239">
        <f>Table14[[#This Row],[% I donâ€™t use it / discarded]]+Table14[[#This Row],[% Other (specify)(If you use bioslurry directly)]]+Table14[[#This Row],[% Store it first]]+Table14[[#This Row],[% Use directly for various purposes]]</f>
        <v>100</v>
      </c>
      <c r="FE89" s="239" t="s">
        <v>4</v>
      </c>
      <c r="FF89" s="239"/>
      <c r="FG89" s="239"/>
      <c r="FH89" s="239"/>
      <c r="FI89" s="239"/>
      <c r="FJ89" s="239"/>
      <c r="FK89" s="239">
        <v>2</v>
      </c>
      <c r="FL89" s="239" t="s">
        <v>7</v>
      </c>
      <c r="FM89" s="239">
        <v>70</v>
      </c>
      <c r="FN89" s="239">
        <f>FK89*FM89/100</f>
        <v>1.4</v>
      </c>
      <c r="FO89" s="239" t="s">
        <v>30237</v>
      </c>
      <c r="FP89" s="239" t="s">
        <v>29298</v>
      </c>
      <c r="FQ89" s="239">
        <v>60</v>
      </c>
      <c r="FR89" s="239" t="s">
        <v>2</v>
      </c>
      <c r="FS89" s="239" t="s">
        <v>4</v>
      </c>
      <c r="FT89" s="239" t="s">
        <v>4</v>
      </c>
      <c r="FU89" s="239" t="s">
        <v>2</v>
      </c>
      <c r="FV89" s="239" t="s">
        <v>4</v>
      </c>
      <c r="FW89" s="239" t="s">
        <v>4</v>
      </c>
      <c r="FX89" s="239" t="s">
        <v>4</v>
      </c>
      <c r="FY89" s="239" t="s">
        <v>4</v>
      </c>
      <c r="FZ89" s="239" t="s">
        <v>4</v>
      </c>
      <c r="GA89" s="239" t="s">
        <v>4</v>
      </c>
      <c r="GB89" s="240" t="s">
        <v>4</v>
      </c>
      <c r="GC89" s="239" t="s">
        <v>4</v>
      </c>
      <c r="GD89" s="239" t="s">
        <v>2</v>
      </c>
      <c r="GE89" s="239" t="s">
        <v>4</v>
      </c>
      <c r="GF89" s="239" t="s">
        <v>4</v>
      </c>
      <c r="GG89" s="239" t="s">
        <v>7</v>
      </c>
      <c r="GH89" s="239" t="s">
        <v>2</v>
      </c>
      <c r="GI89" s="239" t="s">
        <v>4</v>
      </c>
      <c r="GJ89" s="239" t="s">
        <v>4</v>
      </c>
      <c r="GK89" s="239" t="s">
        <v>29304</v>
      </c>
      <c r="GL89" s="239">
        <v>1</v>
      </c>
      <c r="GM89" s="239" t="s">
        <v>29478</v>
      </c>
      <c r="GN89" s="239" t="s">
        <v>29306</v>
      </c>
      <c r="GO89" s="239" t="s">
        <v>30210</v>
      </c>
      <c r="GP89" s="239" t="s">
        <v>4</v>
      </c>
      <c r="GQ89" s="239" t="s">
        <v>4</v>
      </c>
      <c r="GR89" s="239" t="s">
        <v>4</v>
      </c>
      <c r="GS89" s="239" t="s">
        <v>4</v>
      </c>
      <c r="GT89" s="239" t="s">
        <v>4</v>
      </c>
      <c r="GU89" s="239" t="s">
        <v>4</v>
      </c>
      <c r="GV89" s="239" t="s">
        <v>4</v>
      </c>
      <c r="GW89" s="239" t="s">
        <v>4</v>
      </c>
      <c r="GX89" s="239" t="s">
        <v>4</v>
      </c>
      <c r="GY89" s="239" t="s">
        <v>4</v>
      </c>
      <c r="GZ89" s="239" t="s">
        <v>4</v>
      </c>
      <c r="HA89" s="239" t="s">
        <v>4</v>
      </c>
      <c r="HB89" s="239" t="s">
        <v>4</v>
      </c>
      <c r="HC89" s="239" t="s">
        <v>4</v>
      </c>
      <c r="HD89" s="239" t="s">
        <v>4</v>
      </c>
      <c r="HE89" s="239" t="s">
        <v>4</v>
      </c>
      <c r="HF89" s="239" t="s">
        <v>4</v>
      </c>
      <c r="HG89" s="239" t="s">
        <v>4</v>
      </c>
      <c r="HH89" s="239" t="s">
        <v>30211</v>
      </c>
      <c r="HI89" s="239" t="s">
        <v>4</v>
      </c>
      <c r="HJ89" s="240">
        <v>50</v>
      </c>
      <c r="HK89" s="239" t="s">
        <v>29325</v>
      </c>
      <c r="HL89" s="239" t="s">
        <v>29309</v>
      </c>
      <c r="HM89" s="239" t="s">
        <v>4</v>
      </c>
      <c r="HN89" s="239" t="s">
        <v>4</v>
      </c>
      <c r="HO89" s="239" t="s">
        <v>4</v>
      </c>
      <c r="HP89" s="239" t="s">
        <v>4</v>
      </c>
      <c r="HQ89" s="239" t="s">
        <v>4</v>
      </c>
      <c r="HR89" s="239" t="s">
        <v>4</v>
      </c>
      <c r="HS89" s="239" t="s">
        <v>4</v>
      </c>
      <c r="HT89" s="239" t="s">
        <v>4</v>
      </c>
      <c r="HU89" s="239" t="s">
        <v>2</v>
      </c>
      <c r="HV89" s="239" t="s">
        <v>4</v>
      </c>
      <c r="HW89" s="239" t="s">
        <v>4</v>
      </c>
      <c r="HX89" s="239" t="s">
        <v>4</v>
      </c>
      <c r="HY89" s="239" t="s">
        <v>4</v>
      </c>
      <c r="HZ89" s="239" t="s">
        <v>30238</v>
      </c>
      <c r="IA89" s="239" t="s">
        <v>7</v>
      </c>
      <c r="IB89" s="239" t="s">
        <v>30239</v>
      </c>
      <c r="IC89" s="239" t="s">
        <v>30240</v>
      </c>
      <c r="ID89" s="239" t="s">
        <v>30241</v>
      </c>
      <c r="IE89" s="239" t="s">
        <v>9</v>
      </c>
      <c r="IF89" s="239" t="s">
        <v>30242</v>
      </c>
      <c r="IG89" s="239" t="s">
        <v>30243</v>
      </c>
      <c r="IH89" s="239" t="s">
        <v>30244</v>
      </c>
    </row>
    <row r="90" spans="1:242" s="561" customFormat="1" ht="36.75" customHeight="1" x14ac:dyDescent="0.2">
      <c r="A90" s="239">
        <v>103</v>
      </c>
      <c r="B90" s="239" t="s">
        <v>7379</v>
      </c>
      <c r="C90" s="239" t="s">
        <v>30421</v>
      </c>
      <c r="D90" s="239" t="s">
        <v>30392</v>
      </c>
      <c r="E90" s="239" t="s">
        <v>7</v>
      </c>
      <c r="F90" s="239" t="s">
        <v>30422</v>
      </c>
      <c r="G90" s="239">
        <v>0</v>
      </c>
      <c r="H90" s="239">
        <v>2200</v>
      </c>
      <c r="I90" s="239" t="s">
        <v>29389</v>
      </c>
      <c r="J90" s="239" t="s">
        <v>30423</v>
      </c>
      <c r="K90" s="239" t="s">
        <v>30424</v>
      </c>
      <c r="L90" s="239">
        <v>756751100</v>
      </c>
      <c r="M90" s="239" t="s">
        <v>3</v>
      </c>
      <c r="N90" s="239" t="s">
        <v>31438</v>
      </c>
      <c r="O90" s="239">
        <v>36</v>
      </c>
      <c r="P90" s="239">
        <v>7</v>
      </c>
      <c r="Q90" s="239" t="s">
        <v>7</v>
      </c>
      <c r="R90" s="239" t="s">
        <v>31549</v>
      </c>
      <c r="S90" s="239" t="s">
        <v>4</v>
      </c>
      <c r="T90" s="239" t="s">
        <v>7</v>
      </c>
      <c r="U90" s="239" t="s">
        <v>2</v>
      </c>
      <c r="V90" s="239">
        <v>150</v>
      </c>
      <c r="W90" s="239" t="s">
        <v>7</v>
      </c>
      <c r="X90" s="239" t="s">
        <v>4</v>
      </c>
      <c r="Y90" s="239" t="s">
        <v>4</v>
      </c>
      <c r="Z90" s="241" t="str">
        <f>IF(OR(T90="yes",Y90&gt;'SDG outcome'!$C$27),"yes","no")</f>
        <v>yes</v>
      </c>
      <c r="AA90" s="243">
        <f t="shared" si="1"/>
        <v>150</v>
      </c>
      <c r="AB90" s="243" t="str">
        <f>IF(AND(Z90="no",AND(Y90&gt;='SDG outcome'!$B$16,Y90&lt;'SDG outcome'!$C$27)),Y90-'SDG outcome'!$B$16,"")</f>
        <v/>
      </c>
      <c r="AC90" s="239" t="s">
        <v>4</v>
      </c>
      <c r="AD90" s="239" t="s">
        <v>4</v>
      </c>
      <c r="AE90" s="239" t="s">
        <v>4</v>
      </c>
      <c r="AF90" s="239" t="s">
        <v>4</v>
      </c>
      <c r="AG90" s="239" t="s">
        <v>4</v>
      </c>
      <c r="AH90" s="239" t="s">
        <v>4</v>
      </c>
      <c r="AI90" s="239" t="s">
        <v>4</v>
      </c>
      <c r="AJ90" s="239" t="s">
        <v>29290</v>
      </c>
      <c r="AK90" s="239" t="s">
        <v>29694</v>
      </c>
      <c r="AL90" s="239" t="s">
        <v>4</v>
      </c>
      <c r="AM90" s="239" t="s">
        <v>4</v>
      </c>
      <c r="AN90" s="239" t="s">
        <v>31536</v>
      </c>
      <c r="AO90" s="239" t="s">
        <v>4</v>
      </c>
      <c r="AP90" s="239" t="s">
        <v>31537</v>
      </c>
      <c r="AQ90" s="239" t="s">
        <v>4</v>
      </c>
      <c r="AR90" s="239" t="s">
        <v>31538</v>
      </c>
      <c r="AS90" s="239" t="s">
        <v>4</v>
      </c>
      <c r="AT90" s="239" t="s">
        <v>7</v>
      </c>
      <c r="AU90" s="239" t="s">
        <v>4</v>
      </c>
      <c r="AV90" s="239" t="s">
        <v>4</v>
      </c>
      <c r="AW90" s="239" t="s">
        <v>31539</v>
      </c>
      <c r="AX90" s="239" t="s">
        <v>4</v>
      </c>
      <c r="AY90" s="239" t="s">
        <v>4</v>
      </c>
      <c r="AZ90" s="239" t="s">
        <v>2</v>
      </c>
      <c r="BA90" s="239" t="s">
        <v>4</v>
      </c>
      <c r="BB90" s="239" t="s">
        <v>4</v>
      </c>
      <c r="BC90" s="239" t="s">
        <v>31619</v>
      </c>
      <c r="BD90" s="239" t="s">
        <v>4</v>
      </c>
      <c r="BE90" s="239" t="s">
        <v>4</v>
      </c>
      <c r="BF90" s="239" t="s">
        <v>4</v>
      </c>
      <c r="BG90" s="239" t="s">
        <v>4</v>
      </c>
      <c r="BH90" s="239" t="s">
        <v>4</v>
      </c>
      <c r="BI90" s="239" t="s">
        <v>4</v>
      </c>
      <c r="BJ90" s="239" t="s">
        <v>4</v>
      </c>
      <c r="BK90" s="239" t="s">
        <v>4</v>
      </c>
      <c r="BL90" s="239" t="s">
        <v>4</v>
      </c>
      <c r="BM90" s="239" t="s">
        <v>7</v>
      </c>
      <c r="BN90" s="239" t="s">
        <v>6</v>
      </c>
      <c r="BO90" s="239" t="s">
        <v>4</v>
      </c>
      <c r="BP90" s="239" t="s">
        <v>31425</v>
      </c>
      <c r="BQ90" s="239">
        <v>1</v>
      </c>
      <c r="BR90" s="239">
        <v>60</v>
      </c>
      <c r="BS90" s="239" t="s">
        <v>31434</v>
      </c>
      <c r="BT90" s="239"/>
      <c r="BU90" s="239">
        <v>2</v>
      </c>
      <c r="BV90" s="239" cm="1">
        <f t="array" ref="BV90">_xlfn.IFS(BS90="Foreword vehicle",BU90*0,BS90="Human wastes",BU90*0,BS90="Jerrycans",BU90*$BV$228,BS90="Number of Basins",BU90*$BV$229,BS90="Number of Buckets",BU90*$CA$226,BS90="Number of Kgs",BU90*$CA$227,BS90="Number of spades",BU90*$CA$228,BS90="Number of wheelbarrows",BU90*$CA$229,BT90="Foreword vehicle",BU90*0,BT90="Human wastes",BU90*0,BT90="Jerrycans",BU90*$BV$228,BS90="","")</f>
        <v>32</v>
      </c>
      <c r="BW90" s="239">
        <f>IF(BV90="","",Table14[[#This Row],[Calculation: Conversion of metric to Kg manure feeding (Columns: BP, BQ, BR)]]*Table14[[#This Row],[Number of times used to feed biodigester]])</f>
        <v>32</v>
      </c>
      <c r="BX90" s="239" cm="1">
        <f t="array" ref="BX90">_xlfn.IFS(BP90="Number of times per day (1 to 3)",BW90/$BX$226,BP90="Number of times per week (1 to 6)",BW90/$BX$227,BP90="Number of times per Month (1 to 3)",BW90/$BX$228,BW90="","")</f>
        <v>32</v>
      </c>
      <c r="BY90" s="239" t="s">
        <v>22</v>
      </c>
      <c r="BZ90" s="239" t="s">
        <v>4</v>
      </c>
      <c r="CA90" s="239" t="s">
        <v>2</v>
      </c>
      <c r="CB90" s="239" t="s">
        <v>4</v>
      </c>
      <c r="CC90" s="239" t="s">
        <v>4</v>
      </c>
      <c r="CD90" s="239" t="s">
        <v>4</v>
      </c>
      <c r="CE90" s="239" t="s">
        <v>7</v>
      </c>
      <c r="CF90" s="239" t="s">
        <v>31808</v>
      </c>
      <c r="CG90" s="239" t="s">
        <v>4</v>
      </c>
      <c r="CH90" s="239" t="s">
        <v>31809</v>
      </c>
      <c r="CI90" s="239">
        <v>0</v>
      </c>
      <c r="CJ90" s="239">
        <v>7</v>
      </c>
      <c r="CK90" s="239">
        <v>5</v>
      </c>
      <c r="CL90" s="239">
        <v>0</v>
      </c>
      <c r="CM90" s="239">
        <v>0</v>
      </c>
      <c r="CN90" s="239">
        <v>25</v>
      </c>
      <c r="CO90" s="239">
        <v>0</v>
      </c>
      <c r="CP90" s="239">
        <v>0</v>
      </c>
      <c r="CQ90" s="239">
        <v>0</v>
      </c>
      <c r="CR90" s="239">
        <v>0</v>
      </c>
      <c r="CS90" s="239">
        <f>CP90/'SDG outcome'!$C$9*CQ90*CR90</f>
        <v>0</v>
      </c>
      <c r="CT90" s="239" t="s">
        <v>4</v>
      </c>
      <c r="CU90" s="239" t="s">
        <v>4</v>
      </c>
      <c r="CV90" s="239" t="s">
        <v>4</v>
      </c>
      <c r="CW90" s="239">
        <v>50</v>
      </c>
      <c r="CX90" s="239">
        <v>50</v>
      </c>
      <c r="CY90" s="239" t="s">
        <v>31810</v>
      </c>
      <c r="CZ90" s="239" t="s">
        <v>4</v>
      </c>
      <c r="DA90" s="239" t="s">
        <v>4</v>
      </c>
      <c r="DB90" s="239" t="s">
        <v>4</v>
      </c>
      <c r="DC90" s="239">
        <v>0</v>
      </c>
      <c r="DD90" s="239">
        <v>100</v>
      </c>
      <c r="DE90" s="239" t="s">
        <v>31811</v>
      </c>
      <c r="DF90" s="239">
        <v>0</v>
      </c>
      <c r="DG90" s="239">
        <v>100</v>
      </c>
      <c r="DH90" s="239" t="s">
        <v>31811</v>
      </c>
      <c r="DI90" s="239" t="s">
        <v>4</v>
      </c>
      <c r="DJ90" s="239" t="s">
        <v>4</v>
      </c>
      <c r="DK90" s="239" t="s">
        <v>4</v>
      </c>
      <c r="DL90" s="239" t="s">
        <v>4</v>
      </c>
      <c r="DM90" s="239" t="s">
        <v>4</v>
      </c>
      <c r="DN90" s="239" t="s">
        <v>4</v>
      </c>
      <c r="DO90" s="239">
        <v>4</v>
      </c>
      <c r="DP90" s="239" t="s">
        <v>2</v>
      </c>
      <c r="DQ90" s="239" t="s">
        <v>29292</v>
      </c>
      <c r="DR90" s="239" t="s">
        <v>4</v>
      </c>
      <c r="DS90" s="239" t="s">
        <v>29293</v>
      </c>
      <c r="DT90" s="240">
        <v>20000</v>
      </c>
      <c r="DU90" s="239" t="s">
        <v>29293</v>
      </c>
      <c r="DV90" s="240">
        <v>230000</v>
      </c>
      <c r="DW90" s="239" t="s">
        <v>29295</v>
      </c>
      <c r="DX90" s="239">
        <v>100</v>
      </c>
      <c r="DY90" s="239" t="s">
        <v>29296</v>
      </c>
      <c r="DZ90" s="239">
        <v>100</v>
      </c>
      <c r="EA90" s="239"/>
      <c r="EB90" s="239"/>
      <c r="EC90" s="239"/>
      <c r="ED90" s="239"/>
      <c r="EE90" s="320">
        <f>Table14[[#This Row],[% Fertilizer]]*$DX90/10000</f>
        <v>1</v>
      </c>
      <c r="EF90" s="320">
        <f>Table14[[#This Row],[% bioslurry used as Insecticide/Pesticide]]*$DX90/10000</f>
        <v>0</v>
      </c>
      <c r="EG90" s="320">
        <f>Table14[[#This Row],[% of Bioslurry used as animal feed]]*$DX90/10000</f>
        <v>0</v>
      </c>
      <c r="EH90" s="320">
        <f>Table14[[#This Row],[% of Bioslurry sold]]*$DX90/10000</f>
        <v>0</v>
      </c>
      <c r="EI90" s="320">
        <f>Table14[[#This Row],[% used other way(if used directly)]]*$DX90/10000</f>
        <v>0</v>
      </c>
      <c r="EJ90" s="239"/>
      <c r="EK90" s="239"/>
      <c r="EL90" s="239"/>
      <c r="EM90" s="239"/>
      <c r="EN90" s="239"/>
      <c r="EO90" s="239">
        <f>(Table14[[#This Row],[% Uncovered lagoon greater than 1 meter]]+Table14[[#This Row],[Uncovered lagoon (black watery mass) &lt;1 meter]]+Table14[[#This Row],[% Liquid slurry (brown porridge type)]])*Table14[[#This Row],[% Store it first]]/100</f>
        <v>0</v>
      </c>
      <c r="EP90" s="239"/>
      <c r="EQ90" s="239"/>
      <c r="ER90" s="239"/>
      <c r="ES90" s="239"/>
      <c r="ET90" s="239">
        <f>(Table14[[#This Row],[% Solid storage]]+Table14[[#This Row],[% Sun drying]]+Table14[[#This Row],[% Composting with a roof]]+Table14[[#This Row],[% Composting without a roof]])*Table14[[#This Row],[% Store it first]]/100</f>
        <v>0</v>
      </c>
      <c r="EU90" s="239"/>
      <c r="EV90" s="320">
        <f t="shared" si="2"/>
        <v>0</v>
      </c>
      <c r="EW90" s="320">
        <f t="shared" si="3"/>
        <v>0</v>
      </c>
      <c r="EX90" s="320">
        <f t="shared" si="4"/>
        <v>0</v>
      </c>
      <c r="EY90" s="320">
        <f t="shared" si="5"/>
        <v>0</v>
      </c>
      <c r="EZ90" s="320">
        <f t="shared" si="6"/>
        <v>0</v>
      </c>
      <c r="FA90" s="239"/>
      <c r="FB90" s="239"/>
      <c r="FC90" s="239"/>
      <c r="FD90" s="239">
        <f>Table14[[#This Row],[% I donâ€™t use it / discarded]]+Table14[[#This Row],[% Other (specify)(If you use bioslurry directly)]]+Table14[[#This Row],[% Store it first]]+Table14[[#This Row],[% Use directly for various purposes]]</f>
        <v>100</v>
      </c>
      <c r="FE90" s="239" t="s">
        <v>4</v>
      </c>
      <c r="FF90" s="239"/>
      <c r="FG90" s="239"/>
      <c r="FH90" s="239"/>
      <c r="FI90" s="239"/>
      <c r="FJ90" s="239"/>
      <c r="FK90" s="239" t="s">
        <v>4</v>
      </c>
      <c r="FL90" s="239" t="s">
        <v>7</v>
      </c>
      <c r="FM90" s="239">
        <v>100</v>
      </c>
      <c r="FN90" s="239"/>
      <c r="FO90" s="239" t="s">
        <v>30425</v>
      </c>
      <c r="FP90" s="239" t="s">
        <v>29298</v>
      </c>
      <c r="FQ90" s="239" t="s">
        <v>4</v>
      </c>
      <c r="FR90" s="239" t="s">
        <v>2</v>
      </c>
      <c r="FS90" s="239" t="s">
        <v>4</v>
      </c>
      <c r="FT90" s="239" t="s">
        <v>4</v>
      </c>
      <c r="FU90" s="239" t="s">
        <v>7</v>
      </c>
      <c r="FV90" s="239" t="s">
        <v>29393</v>
      </c>
      <c r="FW90" s="239" t="s">
        <v>4</v>
      </c>
      <c r="FX90" s="239" t="s">
        <v>29477</v>
      </c>
      <c r="FY90" s="239" t="s">
        <v>4</v>
      </c>
      <c r="FZ90" s="239" t="s">
        <v>4</v>
      </c>
      <c r="GA90" s="239" t="s">
        <v>4</v>
      </c>
      <c r="GB90" s="240" t="s">
        <v>4</v>
      </c>
      <c r="GC90" s="239" t="s">
        <v>4</v>
      </c>
      <c r="GD90" s="239" t="s">
        <v>2</v>
      </c>
      <c r="GE90" s="239" t="s">
        <v>4</v>
      </c>
      <c r="GF90" s="239" t="s">
        <v>4</v>
      </c>
      <c r="GG90" s="239" t="s">
        <v>7</v>
      </c>
      <c r="GH90" s="239" t="s">
        <v>2</v>
      </c>
      <c r="GI90" s="239" t="s">
        <v>4</v>
      </c>
      <c r="GJ90" s="239" t="s">
        <v>4</v>
      </c>
      <c r="GK90" s="239" t="s">
        <v>29433</v>
      </c>
      <c r="GL90" s="239">
        <v>0</v>
      </c>
      <c r="GM90" s="239"/>
      <c r="GN90" s="239" t="s">
        <v>4</v>
      </c>
      <c r="GO90" s="239" t="s">
        <v>4</v>
      </c>
      <c r="GP90" s="239" t="s">
        <v>4</v>
      </c>
      <c r="GQ90" s="239" t="s">
        <v>4</v>
      </c>
      <c r="GR90" s="239" t="s">
        <v>4</v>
      </c>
      <c r="GS90" s="239" t="s">
        <v>4</v>
      </c>
      <c r="GT90" s="239" t="s">
        <v>4</v>
      </c>
      <c r="GU90" s="239" t="s">
        <v>29353</v>
      </c>
      <c r="GV90" s="239" t="s">
        <v>4</v>
      </c>
      <c r="GW90" s="239" t="s">
        <v>4</v>
      </c>
      <c r="GX90" s="239" t="s">
        <v>4</v>
      </c>
      <c r="GY90" s="239" t="s">
        <v>4</v>
      </c>
      <c r="GZ90" s="239" t="s">
        <v>4</v>
      </c>
      <c r="HA90" s="239" t="s">
        <v>4</v>
      </c>
      <c r="HB90" s="239" t="s">
        <v>4</v>
      </c>
      <c r="HC90" s="239" t="s">
        <v>4</v>
      </c>
      <c r="HD90" s="239" t="s">
        <v>4</v>
      </c>
      <c r="HE90" s="239" t="s">
        <v>4</v>
      </c>
      <c r="HF90" s="239" t="s">
        <v>4</v>
      </c>
      <c r="HG90" s="239" t="s">
        <v>4</v>
      </c>
      <c r="HH90" s="239" t="s">
        <v>30211</v>
      </c>
      <c r="HI90" s="239" t="s">
        <v>4</v>
      </c>
      <c r="HJ90" s="240">
        <v>0</v>
      </c>
      <c r="HK90" s="239" t="s">
        <v>29325</v>
      </c>
      <c r="HL90" s="239" t="s">
        <v>29309</v>
      </c>
      <c r="HM90" s="239" t="s">
        <v>4</v>
      </c>
      <c r="HN90" s="239" t="s">
        <v>4</v>
      </c>
      <c r="HO90" s="239" t="s">
        <v>4</v>
      </c>
      <c r="HP90" s="239" t="s">
        <v>4</v>
      </c>
      <c r="HQ90" s="239" t="s">
        <v>4</v>
      </c>
      <c r="HR90" s="239" t="s">
        <v>4</v>
      </c>
      <c r="HS90" s="239" t="s">
        <v>4</v>
      </c>
      <c r="HT90" s="239" t="s">
        <v>4</v>
      </c>
      <c r="HU90" s="239" t="s">
        <v>2</v>
      </c>
      <c r="HV90" s="239" t="s">
        <v>4</v>
      </c>
      <c r="HW90" s="239" t="s">
        <v>4</v>
      </c>
      <c r="HX90" s="239" t="s">
        <v>4</v>
      </c>
      <c r="HY90" s="239" t="s">
        <v>4</v>
      </c>
      <c r="HZ90" s="239" t="s">
        <v>30426</v>
      </c>
      <c r="IA90" s="239" t="s">
        <v>2</v>
      </c>
      <c r="IB90" s="239" t="s">
        <v>4</v>
      </c>
      <c r="IC90" s="239" t="s">
        <v>16</v>
      </c>
      <c r="ID90" s="239" t="s">
        <v>30427</v>
      </c>
      <c r="IE90" s="239" t="s">
        <v>30428</v>
      </c>
      <c r="IF90" s="239" t="s">
        <v>30429</v>
      </c>
      <c r="IG90" s="239" t="s">
        <v>30430</v>
      </c>
      <c r="IH90" s="239" t="s">
        <v>30431</v>
      </c>
    </row>
    <row r="91" spans="1:242" s="561" customFormat="1" ht="36.75" customHeight="1" x14ac:dyDescent="0.2">
      <c r="A91" s="239">
        <v>114</v>
      </c>
      <c r="B91" s="239" t="s">
        <v>18779</v>
      </c>
      <c r="C91" s="239" t="s">
        <v>30546</v>
      </c>
      <c r="D91" s="239" t="s">
        <v>30534</v>
      </c>
      <c r="E91" s="239" t="s">
        <v>7</v>
      </c>
      <c r="F91" s="239" t="s">
        <v>30547</v>
      </c>
      <c r="G91" s="239">
        <v>0</v>
      </c>
      <c r="H91" s="239">
        <v>3500</v>
      </c>
      <c r="I91" s="239" t="s">
        <v>29288</v>
      </c>
      <c r="J91" s="239" t="s">
        <v>4</v>
      </c>
      <c r="K91" s="239" t="s">
        <v>30548</v>
      </c>
      <c r="L91" s="239">
        <v>774722649</v>
      </c>
      <c r="M91" s="239" t="s">
        <v>3</v>
      </c>
      <c r="N91" s="239" t="s">
        <v>31438</v>
      </c>
      <c r="O91" s="239">
        <v>49</v>
      </c>
      <c r="P91" s="239">
        <v>3</v>
      </c>
      <c r="Q91" s="239" t="s">
        <v>7</v>
      </c>
      <c r="R91" s="239" t="s">
        <v>31549</v>
      </c>
      <c r="S91" s="239" t="s">
        <v>4</v>
      </c>
      <c r="T91" s="239" t="s">
        <v>7</v>
      </c>
      <c r="U91" s="239" t="s">
        <v>7</v>
      </c>
      <c r="V91" s="239"/>
      <c r="W91" s="239" t="s">
        <v>7</v>
      </c>
      <c r="X91" s="239" t="s">
        <v>4</v>
      </c>
      <c r="Y91" s="239" t="s">
        <v>4</v>
      </c>
      <c r="Z91" s="241" t="str">
        <f>IF(OR(T91="yes",Y91&gt;'SDG outcome'!$C$27),"yes","no")</f>
        <v>yes</v>
      </c>
      <c r="AA91" s="243">
        <f t="shared" si="1"/>
        <v>0</v>
      </c>
      <c r="AB91" s="243" t="str">
        <f>IF(AND(Z91="no",AND(Y91&gt;='SDG outcome'!$B$16,Y91&lt;'SDG outcome'!$C$27)),Y91-'SDG outcome'!$B$16,"")</f>
        <v/>
      </c>
      <c r="AC91" s="239" t="s">
        <v>4</v>
      </c>
      <c r="AD91" s="239" t="s">
        <v>4</v>
      </c>
      <c r="AE91" s="239" t="s">
        <v>4</v>
      </c>
      <c r="AF91" s="239" t="s">
        <v>4</v>
      </c>
      <c r="AG91" s="239" t="s">
        <v>4</v>
      </c>
      <c r="AH91" s="239" t="s">
        <v>4</v>
      </c>
      <c r="AI91" s="239" t="s">
        <v>4</v>
      </c>
      <c r="AJ91" s="239" t="s">
        <v>30549</v>
      </c>
      <c r="AK91" s="239" t="s">
        <v>29291</v>
      </c>
      <c r="AL91" s="239" t="s">
        <v>4</v>
      </c>
      <c r="AM91" s="239" t="s">
        <v>30550</v>
      </c>
      <c r="AN91" s="239" t="s">
        <v>31536</v>
      </c>
      <c r="AO91" s="239" t="s">
        <v>4</v>
      </c>
      <c r="AP91" s="239" t="s">
        <v>31537</v>
      </c>
      <c r="AQ91" s="239" t="s">
        <v>4</v>
      </c>
      <c r="AR91" s="239" t="s">
        <v>31538</v>
      </c>
      <c r="AS91" s="239" t="s">
        <v>4</v>
      </c>
      <c r="AT91" s="239" t="s">
        <v>7</v>
      </c>
      <c r="AU91" s="239" t="s">
        <v>4</v>
      </c>
      <c r="AV91" s="239" t="s">
        <v>4</v>
      </c>
      <c r="AW91" s="239" t="s">
        <v>31539</v>
      </c>
      <c r="AX91" s="239" t="s">
        <v>4</v>
      </c>
      <c r="AY91" s="239" t="s">
        <v>4</v>
      </c>
      <c r="AZ91" s="239" t="s">
        <v>7</v>
      </c>
      <c r="BA91" s="239" t="s">
        <v>11</v>
      </c>
      <c r="BB91" s="239" t="s">
        <v>4</v>
      </c>
      <c r="BC91" s="239" t="s">
        <v>31619</v>
      </c>
      <c r="BD91" s="239" t="s">
        <v>4</v>
      </c>
      <c r="BE91" s="239" t="s">
        <v>4</v>
      </c>
      <c r="BF91" s="239" t="s">
        <v>4</v>
      </c>
      <c r="BG91" s="239" t="s">
        <v>4</v>
      </c>
      <c r="BH91" s="239" t="s">
        <v>4</v>
      </c>
      <c r="BI91" s="239" t="s">
        <v>4</v>
      </c>
      <c r="BJ91" s="239" t="s">
        <v>4</v>
      </c>
      <c r="BK91" s="239" t="s">
        <v>4</v>
      </c>
      <c r="BL91" s="239" t="s">
        <v>4</v>
      </c>
      <c r="BM91" s="239" t="s">
        <v>7</v>
      </c>
      <c r="BN91" s="239" t="s">
        <v>6</v>
      </c>
      <c r="BO91" s="239" t="s">
        <v>4</v>
      </c>
      <c r="BP91" s="239" t="s">
        <v>31425</v>
      </c>
      <c r="BQ91" s="239">
        <v>1</v>
      </c>
      <c r="BR91" s="239">
        <v>45</v>
      </c>
      <c r="BS91" s="239" t="s">
        <v>13</v>
      </c>
      <c r="BT91" s="239" t="s">
        <v>31431</v>
      </c>
      <c r="BU91" s="239">
        <v>1</v>
      </c>
      <c r="BV91" s="239" cm="1">
        <f t="array" ref="BV91">_xlfn.IFS(BS91="Foreword vehicle",BU91*0,BS91="Human wastes",BU91*0,BS91="Jerrycans",BU91*$BV$228,BS91="Number of Basins",BU91*$BV$229,BS91="Number of Buckets",BU91*$CA$226,BS91="Number of Kgs",BU91*$CA$227,BS91="Number of spades",BU91*$CA$228,BS91="Number of wheelbarrows",BU91*$CA$229,BT91="Foreword vehicle",BU91*0,BT91="Human wastes",BU91*0,BT91="Jerrycans",BU91*$BV$228,BS91="","")</f>
        <v>18</v>
      </c>
      <c r="BW91" s="239">
        <f>IF(BV91="","",Table14[[#This Row],[Calculation: Conversion of metric to Kg manure feeding (Columns: BP, BQ, BR)]]*Table14[[#This Row],[Number of times used to feed biodigester]])</f>
        <v>18</v>
      </c>
      <c r="BX91" s="239" cm="1">
        <f t="array" ref="BX91">_xlfn.IFS(BP91="Number of times per day (1 to 3)",BW91/$BX$226,BP91="Number of times per week (1 to 6)",BW91/$BX$227,BP91="Number of times per Month (1 to 3)",BW91/$BX$228,BW91="","")</f>
        <v>18</v>
      </c>
      <c r="BY91" s="239" t="s">
        <v>31541</v>
      </c>
      <c r="BZ91" s="239" t="s">
        <v>4</v>
      </c>
      <c r="CA91" s="239" t="s">
        <v>2</v>
      </c>
      <c r="CB91" s="239" t="s">
        <v>4</v>
      </c>
      <c r="CC91" s="239" t="s">
        <v>4</v>
      </c>
      <c r="CD91" s="239" t="s">
        <v>4</v>
      </c>
      <c r="CE91" s="239" t="s">
        <v>7</v>
      </c>
      <c r="CF91" s="239" t="s">
        <v>31832</v>
      </c>
      <c r="CG91" s="239" t="s">
        <v>4</v>
      </c>
      <c r="CH91" s="239" t="s">
        <v>31833</v>
      </c>
      <c r="CI91" s="239">
        <v>0</v>
      </c>
      <c r="CJ91" s="239">
        <v>7</v>
      </c>
      <c r="CK91" s="239">
        <v>37</v>
      </c>
      <c r="CL91" s="239">
        <v>0</v>
      </c>
      <c r="CM91" s="239">
        <v>4</v>
      </c>
      <c r="CN91" s="239">
        <v>0</v>
      </c>
      <c r="CO91" s="239">
        <v>36</v>
      </c>
      <c r="CP91" s="239">
        <v>120</v>
      </c>
      <c r="CQ91" s="239">
        <v>1</v>
      </c>
      <c r="CR91" s="239">
        <v>36</v>
      </c>
      <c r="CS91" s="239">
        <f>CP91/'SDG outcome'!$C$9*CQ91*CR91</f>
        <v>12.449567723342939</v>
      </c>
      <c r="CT91" s="239" t="s">
        <v>4</v>
      </c>
      <c r="CU91" s="239" t="s">
        <v>4</v>
      </c>
      <c r="CV91" s="239" t="s">
        <v>4</v>
      </c>
      <c r="CW91" s="239">
        <v>100</v>
      </c>
      <c r="CX91" s="239">
        <v>0</v>
      </c>
      <c r="CY91" s="239" t="s">
        <v>4</v>
      </c>
      <c r="CZ91" s="239">
        <v>100</v>
      </c>
      <c r="DA91" s="239">
        <v>0</v>
      </c>
      <c r="DB91" s="239" t="s">
        <v>4</v>
      </c>
      <c r="DC91" s="239">
        <v>100</v>
      </c>
      <c r="DD91" s="239">
        <v>0</v>
      </c>
      <c r="DE91" s="239" t="s">
        <v>4</v>
      </c>
      <c r="DF91" s="239" t="s">
        <v>4</v>
      </c>
      <c r="DG91" s="239" t="s">
        <v>4</v>
      </c>
      <c r="DH91" s="239" t="s">
        <v>4</v>
      </c>
      <c r="DI91" s="239" t="s">
        <v>4</v>
      </c>
      <c r="DJ91" s="239" t="s">
        <v>4</v>
      </c>
      <c r="DK91" s="239" t="s">
        <v>4</v>
      </c>
      <c r="DL91" s="239">
        <v>0</v>
      </c>
      <c r="DM91" s="239">
        <v>100</v>
      </c>
      <c r="DN91" s="239" t="s">
        <v>31834</v>
      </c>
      <c r="DO91" s="239">
        <v>1.3</v>
      </c>
      <c r="DP91" s="239" t="s">
        <v>7</v>
      </c>
      <c r="DQ91" s="239" t="s">
        <v>29292</v>
      </c>
      <c r="DR91" s="239" t="s">
        <v>4</v>
      </c>
      <c r="DS91" s="239" t="s">
        <v>29294</v>
      </c>
      <c r="DT91" s="240" t="s">
        <v>4</v>
      </c>
      <c r="DU91" s="239" t="s">
        <v>29294</v>
      </c>
      <c r="DV91" s="240" t="s">
        <v>4</v>
      </c>
      <c r="DW91" s="239" t="s">
        <v>29508</v>
      </c>
      <c r="DX91" s="239"/>
      <c r="DY91" s="239"/>
      <c r="DZ91" s="239"/>
      <c r="EA91" s="239"/>
      <c r="EB91" s="239"/>
      <c r="EC91" s="239"/>
      <c r="ED91" s="239"/>
      <c r="EE91" s="320">
        <f>Table14[[#This Row],[% Fertilizer]]*$DX91/10000</f>
        <v>0</v>
      </c>
      <c r="EF91" s="320">
        <f>Table14[[#This Row],[% bioslurry used as Insecticide/Pesticide]]*$DX91/10000</f>
        <v>0</v>
      </c>
      <c r="EG91" s="320">
        <f>Table14[[#This Row],[% of Bioslurry used as animal feed]]*$DX91/10000</f>
        <v>0</v>
      </c>
      <c r="EH91" s="320">
        <f>Table14[[#This Row],[% of Bioslurry sold]]*$DX91/10000</f>
        <v>0</v>
      </c>
      <c r="EI91" s="320">
        <f>Table14[[#This Row],[% used other way(if used directly)]]*$DX91/10000</f>
        <v>0</v>
      </c>
      <c r="EJ91" s="239">
        <v>100</v>
      </c>
      <c r="EK91" s="239" t="s">
        <v>30551</v>
      </c>
      <c r="EL91" s="239"/>
      <c r="EM91" s="239">
        <v>100</v>
      </c>
      <c r="EN91" s="239"/>
      <c r="EO91" s="239">
        <f>(Table14[[#This Row],[% Uncovered lagoon greater than 1 meter]]+Table14[[#This Row],[Uncovered lagoon (black watery mass) &lt;1 meter]]+Table14[[#This Row],[% Liquid slurry (brown porridge type)]])*Table14[[#This Row],[% Store it first]]/100</f>
        <v>100</v>
      </c>
      <c r="EP91" s="239"/>
      <c r="EQ91" s="239"/>
      <c r="ER91" s="239"/>
      <c r="ES91" s="239"/>
      <c r="ET91" s="239">
        <f>(Table14[[#This Row],[% Solid storage]]+Table14[[#This Row],[% Sun drying]]+Table14[[#This Row],[% Composting with a roof]]+Table14[[#This Row],[% Composting without a roof]])*Table14[[#This Row],[% Store it first]]/100</f>
        <v>0</v>
      </c>
      <c r="EU91" s="239">
        <v>21</v>
      </c>
      <c r="EV91" s="320">
        <f t="shared" si="2"/>
        <v>0.9</v>
      </c>
      <c r="EW91" s="320">
        <f t="shared" si="3"/>
        <v>0</v>
      </c>
      <c r="EX91" s="320">
        <f t="shared" si="4"/>
        <v>0.1</v>
      </c>
      <c r="EY91" s="320">
        <f t="shared" si="5"/>
        <v>0</v>
      </c>
      <c r="EZ91" s="320">
        <f t="shared" si="6"/>
        <v>0</v>
      </c>
      <c r="FA91" s="239"/>
      <c r="FB91" s="239"/>
      <c r="FC91" s="239"/>
      <c r="FD91" s="239">
        <f>Table14[[#This Row],[% I donâ€™t use it / discarded]]+Table14[[#This Row],[% Other (specify)(If you use bioslurry directly)]]+Table14[[#This Row],[% Store it first]]+Table14[[#This Row],[% Use directly for various purposes]]</f>
        <v>100</v>
      </c>
      <c r="FE91" s="239" t="s">
        <v>29336</v>
      </c>
      <c r="FF91" s="239">
        <v>90</v>
      </c>
      <c r="FG91" s="239"/>
      <c r="FH91" s="239">
        <v>10</v>
      </c>
      <c r="FI91" s="239"/>
      <c r="FJ91" s="239"/>
      <c r="FK91" s="239" t="s">
        <v>9</v>
      </c>
      <c r="FL91" s="239" t="s">
        <v>7</v>
      </c>
      <c r="FM91" s="239">
        <v>100</v>
      </c>
      <c r="FN91" s="239"/>
      <c r="FO91" s="239" t="s">
        <v>30552</v>
      </c>
      <c r="FP91" s="239" t="s">
        <v>29298</v>
      </c>
      <c r="FQ91" s="239">
        <v>10</v>
      </c>
      <c r="FR91" s="239" t="s">
        <v>2</v>
      </c>
      <c r="FS91" s="239" t="s">
        <v>4</v>
      </c>
      <c r="FT91" s="239" t="s">
        <v>4</v>
      </c>
      <c r="FU91" s="239" t="s">
        <v>2</v>
      </c>
      <c r="FV91" s="239" t="s">
        <v>4</v>
      </c>
      <c r="FW91" s="239" t="s">
        <v>4</v>
      </c>
      <c r="FX91" s="239" t="s">
        <v>4</v>
      </c>
      <c r="FY91" s="239" t="s">
        <v>4</v>
      </c>
      <c r="FZ91" s="239" t="s">
        <v>4</v>
      </c>
      <c r="GA91" s="239" t="s">
        <v>4</v>
      </c>
      <c r="GB91" s="240" t="s">
        <v>4</v>
      </c>
      <c r="GC91" s="239" t="s">
        <v>4</v>
      </c>
      <c r="GD91" s="239" t="s">
        <v>7</v>
      </c>
      <c r="GE91" s="239" t="s">
        <v>29301</v>
      </c>
      <c r="GF91" s="239" t="s">
        <v>4</v>
      </c>
      <c r="GG91" s="239" t="s">
        <v>7</v>
      </c>
      <c r="GH91" s="239" t="s">
        <v>2</v>
      </c>
      <c r="GI91" s="239" t="s">
        <v>4</v>
      </c>
      <c r="GJ91" s="239" t="s">
        <v>4</v>
      </c>
      <c r="GK91" s="239" t="s">
        <v>29304</v>
      </c>
      <c r="GL91" s="239">
        <v>1.1000000000000001</v>
      </c>
      <c r="GM91" s="239" t="s">
        <v>29396</v>
      </c>
      <c r="GN91" s="239" t="s">
        <v>4</v>
      </c>
      <c r="GO91" s="239" t="s">
        <v>4</v>
      </c>
      <c r="GP91" s="239" t="s">
        <v>30338</v>
      </c>
      <c r="GQ91" s="239" t="s">
        <v>4</v>
      </c>
      <c r="GR91" s="239" t="s">
        <v>4</v>
      </c>
      <c r="GS91" s="239" t="s">
        <v>4</v>
      </c>
      <c r="GT91" s="239" t="s">
        <v>4</v>
      </c>
      <c r="GU91" s="239" t="s">
        <v>4</v>
      </c>
      <c r="GV91" s="239" t="s">
        <v>4</v>
      </c>
      <c r="GW91" s="239" t="s">
        <v>4</v>
      </c>
      <c r="GX91" s="239" t="s">
        <v>4</v>
      </c>
      <c r="GY91" s="239" t="s">
        <v>4</v>
      </c>
      <c r="GZ91" s="239" t="s">
        <v>4</v>
      </c>
      <c r="HA91" s="239" t="s">
        <v>4</v>
      </c>
      <c r="HB91" s="239" t="s">
        <v>4</v>
      </c>
      <c r="HC91" s="239" t="s">
        <v>4</v>
      </c>
      <c r="HD91" s="239" t="s">
        <v>4</v>
      </c>
      <c r="HE91" s="239" t="s">
        <v>4</v>
      </c>
      <c r="HF91" s="239" t="s">
        <v>4</v>
      </c>
      <c r="HG91" s="239" t="s">
        <v>4</v>
      </c>
      <c r="HH91" s="239" t="s">
        <v>29354</v>
      </c>
      <c r="HI91" s="239" t="s">
        <v>4</v>
      </c>
      <c r="HJ91" s="240">
        <v>200</v>
      </c>
      <c r="HK91" s="239" t="s">
        <v>2</v>
      </c>
      <c r="HL91" s="239" t="s">
        <v>29837</v>
      </c>
      <c r="HM91" s="239" t="s">
        <v>4</v>
      </c>
      <c r="HN91" s="239" t="s">
        <v>4</v>
      </c>
      <c r="HO91" s="239" t="s">
        <v>4</v>
      </c>
      <c r="HP91" s="239" t="s">
        <v>4</v>
      </c>
      <c r="HQ91" s="239" t="s">
        <v>4</v>
      </c>
      <c r="HR91" s="239" t="s">
        <v>4</v>
      </c>
      <c r="HS91" s="239" t="s">
        <v>4</v>
      </c>
      <c r="HT91" s="239" t="s">
        <v>4</v>
      </c>
      <c r="HU91" s="239" t="s">
        <v>2</v>
      </c>
      <c r="HV91" s="239" t="s">
        <v>4</v>
      </c>
      <c r="HW91" s="239" t="s">
        <v>4</v>
      </c>
      <c r="HX91" s="239" t="s">
        <v>4</v>
      </c>
      <c r="HY91" s="239" t="s">
        <v>4</v>
      </c>
      <c r="HZ91" s="239" t="s">
        <v>30553</v>
      </c>
      <c r="IA91" s="239" t="s">
        <v>7</v>
      </c>
      <c r="IB91" s="239" t="s">
        <v>30554</v>
      </c>
      <c r="IC91" s="239" t="s">
        <v>30555</v>
      </c>
      <c r="ID91" s="239" t="s">
        <v>30556</v>
      </c>
      <c r="IE91" s="239" t="s">
        <v>30557</v>
      </c>
      <c r="IF91" s="239" t="s">
        <v>30558</v>
      </c>
      <c r="IG91" s="239" t="s">
        <v>30559</v>
      </c>
      <c r="IH91" s="239" t="s">
        <v>30546</v>
      </c>
    </row>
    <row r="92" spans="1:242" s="561" customFormat="1" ht="36.75" customHeight="1" x14ac:dyDescent="0.2">
      <c r="A92" s="239">
        <v>27</v>
      </c>
      <c r="B92" s="239" t="s">
        <v>29642</v>
      </c>
      <c r="C92" s="239" t="s">
        <v>29643</v>
      </c>
      <c r="D92" s="239" t="s">
        <v>29563</v>
      </c>
      <c r="E92" s="239" t="s">
        <v>7</v>
      </c>
      <c r="F92" s="239" t="s">
        <v>29644</v>
      </c>
      <c r="G92" s="239">
        <v>1100.5</v>
      </c>
      <c r="H92" s="239">
        <v>4.8</v>
      </c>
      <c r="I92" s="239" t="s">
        <v>29319</v>
      </c>
      <c r="J92" s="239" t="s">
        <v>4</v>
      </c>
      <c r="K92" s="239" t="s">
        <v>29645</v>
      </c>
      <c r="L92" s="239">
        <v>782421523</v>
      </c>
      <c r="M92" s="239" t="s">
        <v>5</v>
      </c>
      <c r="N92" s="239" t="s">
        <v>31438</v>
      </c>
      <c r="O92" s="239">
        <v>78</v>
      </c>
      <c r="P92" s="239">
        <v>3</v>
      </c>
      <c r="Q92" s="239" t="s">
        <v>7</v>
      </c>
      <c r="R92" s="239" t="s">
        <v>31655</v>
      </c>
      <c r="S92" s="239" t="s">
        <v>4</v>
      </c>
      <c r="T92" s="239" t="s">
        <v>7</v>
      </c>
      <c r="U92" s="239" t="s">
        <v>2</v>
      </c>
      <c r="V92" s="239">
        <v>7</v>
      </c>
      <c r="W92" s="239" t="s">
        <v>7</v>
      </c>
      <c r="X92" s="239" t="s">
        <v>4</v>
      </c>
      <c r="Y92" s="239" t="s">
        <v>4</v>
      </c>
      <c r="Z92" s="241" t="str">
        <f>IF(OR(T92="yes",Y92&gt;'SDG outcome'!$C$27),"yes","no")</f>
        <v>yes</v>
      </c>
      <c r="AA92" s="243">
        <f t="shared" si="1"/>
        <v>7</v>
      </c>
      <c r="AB92" s="243" t="str">
        <f>IF(AND(Z92="no",AND(Y92&gt;='SDG outcome'!$B$16,Y92&lt;'SDG outcome'!$C$27)),Y92-'SDG outcome'!$B$16,"")</f>
        <v/>
      </c>
      <c r="AC92" s="239" t="s">
        <v>4</v>
      </c>
      <c r="AD92" s="239" t="s">
        <v>4</v>
      </c>
      <c r="AE92" s="239" t="s">
        <v>4</v>
      </c>
      <c r="AF92" s="239" t="s">
        <v>4</v>
      </c>
      <c r="AG92" s="239" t="s">
        <v>4</v>
      </c>
      <c r="AH92" s="239" t="s">
        <v>4</v>
      </c>
      <c r="AI92" s="239" t="s">
        <v>4</v>
      </c>
      <c r="AJ92" s="239" t="s">
        <v>29290</v>
      </c>
      <c r="AK92" s="239" t="s">
        <v>29291</v>
      </c>
      <c r="AL92" s="239" t="s">
        <v>4</v>
      </c>
      <c r="AM92" s="239" t="s">
        <v>4</v>
      </c>
      <c r="AN92" s="239" t="s">
        <v>31536</v>
      </c>
      <c r="AO92" s="239" t="s">
        <v>4</v>
      </c>
      <c r="AP92" s="239" t="s">
        <v>31537</v>
      </c>
      <c r="AQ92" s="239" t="s">
        <v>4</v>
      </c>
      <c r="AR92" s="239" t="s">
        <v>31538</v>
      </c>
      <c r="AS92" s="239" t="s">
        <v>4</v>
      </c>
      <c r="AT92" s="239" t="s">
        <v>7</v>
      </c>
      <c r="AU92" s="239" t="s">
        <v>4</v>
      </c>
      <c r="AV92" s="239" t="s">
        <v>4</v>
      </c>
      <c r="AW92" s="239" t="s">
        <v>31539</v>
      </c>
      <c r="AX92" s="239" t="s">
        <v>4</v>
      </c>
      <c r="AY92" s="239" t="s">
        <v>4</v>
      </c>
      <c r="AZ92" s="239" t="s">
        <v>7</v>
      </c>
      <c r="BA92" s="239" t="s">
        <v>11</v>
      </c>
      <c r="BB92" s="239" t="s">
        <v>4</v>
      </c>
      <c r="BC92" s="239" t="s">
        <v>31563</v>
      </c>
      <c r="BD92" s="239" t="s">
        <v>31541</v>
      </c>
      <c r="BE92" s="239" t="s">
        <v>4</v>
      </c>
      <c r="BF92" s="239" t="s">
        <v>14</v>
      </c>
      <c r="BG92" s="239" t="s">
        <v>4</v>
      </c>
      <c r="BH92" s="239" t="s">
        <v>31542</v>
      </c>
      <c r="BI92" s="239" t="s">
        <v>31668</v>
      </c>
      <c r="BJ92" s="239" t="s">
        <v>31544</v>
      </c>
      <c r="BK92" s="239">
        <v>1</v>
      </c>
      <c r="BL92" s="239">
        <v>30</v>
      </c>
      <c r="BM92" s="239" t="s">
        <v>7</v>
      </c>
      <c r="BN92" s="239" t="s">
        <v>6</v>
      </c>
      <c r="BO92" s="239" t="s">
        <v>4</v>
      </c>
      <c r="BP92" s="239" t="s">
        <v>31425</v>
      </c>
      <c r="BQ92" s="239">
        <v>2</v>
      </c>
      <c r="BR92" s="239">
        <v>15</v>
      </c>
      <c r="BS92" s="239" t="s">
        <v>31434</v>
      </c>
      <c r="BT92" s="239"/>
      <c r="BU92" s="239">
        <v>1</v>
      </c>
      <c r="BV92" s="239" cm="1">
        <f t="array" ref="BV92">_xlfn.IFS(BS92="Foreword vehicle",BU92*0,BS92="Human wastes",BU92*0,BS92="Jerrycans",BU92*$BV$228,BS92="Number of Basins",BU92*$BV$229,BS92="Number of Buckets",BU92*$CA$226,BS92="Number of Kgs",BU92*$CA$227,BS92="Number of spades",BU92*$CA$228,BS92="Number of wheelbarrows",BU92*$CA$229,BT92="Foreword vehicle",BU92*0,BT92="Human wastes",BU92*0,BT92="Jerrycans",BU92*$BV$228,BS92="","")</f>
        <v>16</v>
      </c>
      <c r="BW92" s="239">
        <f>IF(BV92="","",Table14[[#This Row],[Calculation: Conversion of metric to Kg manure feeding (Columns: BP, BQ, BR)]]*Table14[[#This Row],[Number of times used to feed biodigester]])</f>
        <v>32</v>
      </c>
      <c r="BX92" s="239" cm="1">
        <f t="array" ref="BX92">_xlfn.IFS(BP92="Number of times per day (1 to 3)",BW92/$BX$226,BP92="Number of times per week (1 to 6)",BW92/$BX$227,BP92="Number of times per Month (1 to 3)",BW92/$BX$228,BW92="","")</f>
        <v>32</v>
      </c>
      <c r="BY92" s="239" t="s">
        <v>31552</v>
      </c>
      <c r="BZ92" s="239" t="s">
        <v>4</v>
      </c>
      <c r="CA92" s="239" t="s">
        <v>2</v>
      </c>
      <c r="CB92" s="239" t="s">
        <v>4</v>
      </c>
      <c r="CC92" s="239" t="s">
        <v>4</v>
      </c>
      <c r="CD92" s="239" t="s">
        <v>4</v>
      </c>
      <c r="CE92" s="239" t="s">
        <v>7</v>
      </c>
      <c r="CF92" s="239" t="s">
        <v>31669</v>
      </c>
      <c r="CG92" s="239" t="s">
        <v>4</v>
      </c>
      <c r="CH92" s="239" t="s">
        <v>31670</v>
      </c>
      <c r="CI92" s="239">
        <v>0</v>
      </c>
      <c r="CJ92" s="239">
        <v>6</v>
      </c>
      <c r="CK92" s="239">
        <v>0</v>
      </c>
      <c r="CL92" s="239">
        <v>3</v>
      </c>
      <c r="CM92" s="239">
        <v>4</v>
      </c>
      <c r="CN92" s="239">
        <v>0</v>
      </c>
      <c r="CO92" s="239">
        <v>0</v>
      </c>
      <c r="CP92" s="239">
        <v>0</v>
      </c>
      <c r="CQ92" s="239">
        <v>0</v>
      </c>
      <c r="CR92" s="239">
        <v>0</v>
      </c>
      <c r="CS92" s="239">
        <f>CP92/'SDG outcome'!$C$9*CQ92*CR92</f>
        <v>0</v>
      </c>
      <c r="CT92" s="239" t="s">
        <v>4</v>
      </c>
      <c r="CU92" s="239" t="s">
        <v>4</v>
      </c>
      <c r="CV92" s="239" t="s">
        <v>4</v>
      </c>
      <c r="CW92" s="239">
        <v>100</v>
      </c>
      <c r="CX92" s="239">
        <v>0</v>
      </c>
      <c r="CY92" s="239" t="s">
        <v>4</v>
      </c>
      <c r="CZ92" s="239" t="s">
        <v>4</v>
      </c>
      <c r="DA92" s="239" t="s">
        <v>4</v>
      </c>
      <c r="DB92" s="239" t="s">
        <v>4</v>
      </c>
      <c r="DC92" s="239" t="s">
        <v>4</v>
      </c>
      <c r="DD92" s="239" t="s">
        <v>4</v>
      </c>
      <c r="DE92" s="239" t="s">
        <v>4</v>
      </c>
      <c r="DF92" s="239" t="s">
        <v>4</v>
      </c>
      <c r="DG92" s="239" t="s">
        <v>4</v>
      </c>
      <c r="DH92" s="239" t="s">
        <v>4</v>
      </c>
      <c r="DI92" s="239">
        <v>0</v>
      </c>
      <c r="DJ92" s="239">
        <v>100</v>
      </c>
      <c r="DK92" s="239" t="s">
        <v>31671</v>
      </c>
      <c r="DL92" s="239">
        <v>0</v>
      </c>
      <c r="DM92" s="239">
        <v>100</v>
      </c>
      <c r="DN92" s="239" t="s">
        <v>31672</v>
      </c>
      <c r="DO92" s="239">
        <v>0.5</v>
      </c>
      <c r="DP92" s="239" t="s">
        <v>2</v>
      </c>
      <c r="DQ92" s="239" t="s">
        <v>29292</v>
      </c>
      <c r="DR92" s="239" t="s">
        <v>4</v>
      </c>
      <c r="DS92" s="239" t="s">
        <v>29293</v>
      </c>
      <c r="DT92" s="240">
        <v>15000</v>
      </c>
      <c r="DU92" s="239" t="s">
        <v>29293</v>
      </c>
      <c r="DV92" s="240">
        <v>0</v>
      </c>
      <c r="DW92" s="239" t="s">
        <v>29295</v>
      </c>
      <c r="DX92" s="239">
        <v>100</v>
      </c>
      <c r="DY92" s="239" t="s">
        <v>29296</v>
      </c>
      <c r="DZ92" s="239">
        <v>100</v>
      </c>
      <c r="EA92" s="239"/>
      <c r="EB92" s="239"/>
      <c r="EC92" s="239"/>
      <c r="ED92" s="239"/>
      <c r="EE92" s="320">
        <f>Table14[[#This Row],[% Fertilizer]]*$DX92/10000</f>
        <v>1</v>
      </c>
      <c r="EF92" s="320">
        <f>Table14[[#This Row],[% bioslurry used as Insecticide/Pesticide]]*$DX92/10000</f>
        <v>0</v>
      </c>
      <c r="EG92" s="320">
        <f>Table14[[#This Row],[% of Bioslurry used as animal feed]]*$DX92/10000</f>
        <v>0</v>
      </c>
      <c r="EH92" s="320">
        <f>Table14[[#This Row],[% of Bioslurry sold]]*$DX92/10000</f>
        <v>0</v>
      </c>
      <c r="EI92" s="320">
        <f>Table14[[#This Row],[% used other way(if used directly)]]*$DX92/10000</f>
        <v>0</v>
      </c>
      <c r="EJ92" s="239"/>
      <c r="EK92" s="239"/>
      <c r="EL92" s="239"/>
      <c r="EM92" s="239"/>
      <c r="EN92" s="239"/>
      <c r="EO92" s="239">
        <f>(Table14[[#This Row],[% Uncovered lagoon greater than 1 meter]]+Table14[[#This Row],[Uncovered lagoon (black watery mass) &lt;1 meter]]+Table14[[#This Row],[% Liquid slurry (brown porridge type)]])*Table14[[#This Row],[% Store it first]]/100</f>
        <v>0</v>
      </c>
      <c r="EP92" s="239"/>
      <c r="EQ92" s="239"/>
      <c r="ER92" s="239"/>
      <c r="ES92" s="239"/>
      <c r="ET92" s="239">
        <f>(Table14[[#This Row],[% Solid storage]]+Table14[[#This Row],[% Sun drying]]+Table14[[#This Row],[% Composting with a roof]]+Table14[[#This Row],[% Composting without a roof]])*Table14[[#This Row],[% Store it first]]/100</f>
        <v>0</v>
      </c>
      <c r="EU92" s="239"/>
      <c r="EV92" s="320">
        <f t="shared" si="2"/>
        <v>0</v>
      </c>
      <c r="EW92" s="320">
        <f t="shared" si="3"/>
        <v>0</v>
      </c>
      <c r="EX92" s="320">
        <f t="shared" si="4"/>
        <v>0</v>
      </c>
      <c r="EY92" s="320">
        <f t="shared" si="5"/>
        <v>0</v>
      </c>
      <c r="EZ92" s="320">
        <f t="shared" si="6"/>
        <v>0</v>
      </c>
      <c r="FA92" s="239"/>
      <c r="FB92" s="239"/>
      <c r="FC92" s="239"/>
      <c r="FD92" s="239">
        <f>Table14[[#This Row],[% I donâ€™t use it / discarded]]+Table14[[#This Row],[% Other (specify)(If you use bioslurry directly)]]+Table14[[#This Row],[% Store it first]]+Table14[[#This Row],[% Use directly for various purposes]]</f>
        <v>100</v>
      </c>
      <c r="FE92" s="239" t="s">
        <v>4</v>
      </c>
      <c r="FF92" s="239"/>
      <c r="FG92" s="239"/>
      <c r="FH92" s="239"/>
      <c r="FI92" s="239"/>
      <c r="FJ92" s="239"/>
      <c r="FK92" s="239">
        <v>4.0469999999999997</v>
      </c>
      <c r="FL92" s="239" t="s">
        <v>7</v>
      </c>
      <c r="FM92" s="239">
        <v>20</v>
      </c>
      <c r="FN92" s="239">
        <f>FK92*FM92/100</f>
        <v>0.80940000000000001</v>
      </c>
      <c r="FO92" s="239" t="s">
        <v>29613</v>
      </c>
      <c r="FP92" s="239" t="s">
        <v>29298</v>
      </c>
      <c r="FQ92" s="239">
        <v>40</v>
      </c>
      <c r="FR92" s="239" t="s">
        <v>2</v>
      </c>
      <c r="FS92" s="239" t="s">
        <v>4</v>
      </c>
      <c r="FT92" s="239" t="s">
        <v>4</v>
      </c>
      <c r="FU92" s="239" t="s">
        <v>2</v>
      </c>
      <c r="FV92" s="239" t="s">
        <v>4</v>
      </c>
      <c r="FW92" s="239" t="s">
        <v>4</v>
      </c>
      <c r="FX92" s="239" t="s">
        <v>4</v>
      </c>
      <c r="FY92" s="239" t="s">
        <v>4</v>
      </c>
      <c r="FZ92" s="239" t="s">
        <v>4</v>
      </c>
      <c r="GA92" s="239" t="s">
        <v>4</v>
      </c>
      <c r="GB92" s="240" t="s">
        <v>4</v>
      </c>
      <c r="GC92" s="239" t="s">
        <v>4</v>
      </c>
      <c r="GD92" s="239" t="s">
        <v>7</v>
      </c>
      <c r="GE92" s="239" t="s">
        <v>29301</v>
      </c>
      <c r="GF92" s="239" t="s">
        <v>4</v>
      </c>
      <c r="GG92" s="239" t="s">
        <v>7</v>
      </c>
      <c r="GH92" s="239" t="s">
        <v>7</v>
      </c>
      <c r="GI92" s="239" t="s">
        <v>29302</v>
      </c>
      <c r="GJ92" s="239" t="s">
        <v>29579</v>
      </c>
      <c r="GK92" s="239" t="s">
        <v>4</v>
      </c>
      <c r="GL92" s="239">
        <v>0</v>
      </c>
      <c r="GM92" s="239"/>
      <c r="GN92" s="239" t="s">
        <v>4</v>
      </c>
      <c r="GO92" s="239" t="s">
        <v>4</v>
      </c>
      <c r="GP92" s="239" t="s">
        <v>4</v>
      </c>
      <c r="GQ92" s="239" t="s">
        <v>4</v>
      </c>
      <c r="GR92" s="239" t="s">
        <v>4</v>
      </c>
      <c r="GS92" s="239" t="s">
        <v>4</v>
      </c>
      <c r="GT92" s="239" t="s">
        <v>4</v>
      </c>
      <c r="GU92" s="239" t="s">
        <v>4</v>
      </c>
      <c r="GV92" s="239" t="s">
        <v>4</v>
      </c>
      <c r="GW92" s="239" t="s">
        <v>29304</v>
      </c>
      <c r="GX92" s="239" t="s">
        <v>29305</v>
      </c>
      <c r="GY92" s="239" t="s">
        <v>29306</v>
      </c>
      <c r="GZ92" s="239" t="s">
        <v>4</v>
      </c>
      <c r="HA92" s="239" t="s">
        <v>4</v>
      </c>
      <c r="HB92" s="239" t="s">
        <v>4</v>
      </c>
      <c r="HC92" s="239" t="s">
        <v>4</v>
      </c>
      <c r="HD92" s="239" t="s">
        <v>4</v>
      </c>
      <c r="HE92" s="239" t="s">
        <v>4</v>
      </c>
      <c r="HF92" s="239" t="s">
        <v>4</v>
      </c>
      <c r="HG92" s="239" t="s">
        <v>4</v>
      </c>
      <c r="HH92" s="239" t="s">
        <v>29354</v>
      </c>
      <c r="HI92" s="239" t="s">
        <v>4</v>
      </c>
      <c r="HJ92" s="240">
        <v>100</v>
      </c>
      <c r="HK92" s="239" t="s">
        <v>2</v>
      </c>
      <c r="HL92" s="239" t="s">
        <v>29309</v>
      </c>
      <c r="HM92" s="239" t="s">
        <v>4</v>
      </c>
      <c r="HN92" s="239" t="s">
        <v>4</v>
      </c>
      <c r="HO92" s="239" t="s">
        <v>4</v>
      </c>
      <c r="HP92" s="239" t="s">
        <v>4</v>
      </c>
      <c r="HQ92" s="239" t="s">
        <v>4</v>
      </c>
      <c r="HR92" s="239" t="s">
        <v>4</v>
      </c>
      <c r="HS92" s="239" t="s">
        <v>4</v>
      </c>
      <c r="HT92" s="239" t="s">
        <v>4</v>
      </c>
      <c r="HU92" s="239" t="s">
        <v>2</v>
      </c>
      <c r="HV92" s="239" t="s">
        <v>4</v>
      </c>
      <c r="HW92" s="239" t="s">
        <v>4</v>
      </c>
      <c r="HX92" s="239" t="s">
        <v>4</v>
      </c>
      <c r="HY92" s="239" t="s">
        <v>4</v>
      </c>
      <c r="HZ92" s="239" t="s">
        <v>16</v>
      </c>
      <c r="IA92" s="239" t="s">
        <v>2</v>
      </c>
      <c r="IB92" s="239" t="s">
        <v>4</v>
      </c>
      <c r="IC92" s="239" t="s">
        <v>29646</v>
      </c>
      <c r="ID92" s="239" t="s">
        <v>29647</v>
      </c>
      <c r="IE92" s="239" t="s">
        <v>29648</v>
      </c>
      <c r="IF92" s="239" t="s">
        <v>29649</v>
      </c>
      <c r="IG92" s="239" t="s">
        <v>29650</v>
      </c>
      <c r="IH92" s="239" t="s">
        <v>29643</v>
      </c>
    </row>
    <row r="93" spans="1:242" s="1" customFormat="1" ht="36.75" customHeight="1" x14ac:dyDescent="0.2">
      <c r="A93" s="239">
        <v>175</v>
      </c>
      <c r="B93" s="239" t="s">
        <v>25468</v>
      </c>
      <c r="C93" s="239" t="s">
        <v>31100</v>
      </c>
      <c r="D93" s="239" t="s">
        <v>56</v>
      </c>
      <c r="E93" s="239" t="s">
        <v>7</v>
      </c>
      <c r="F93" s="239" t="s">
        <v>31148</v>
      </c>
      <c r="G93" s="239">
        <v>1554.3</v>
      </c>
      <c r="H93" s="239">
        <v>4.4000000000000004</v>
      </c>
      <c r="I93" s="239" t="s">
        <v>29349</v>
      </c>
      <c r="J93" s="239" t="s">
        <v>4</v>
      </c>
      <c r="K93" s="239" t="s">
        <v>31149</v>
      </c>
      <c r="L93" s="239">
        <v>709297187</v>
      </c>
      <c r="M93" s="239" t="s">
        <v>5</v>
      </c>
      <c r="N93" s="239" t="s">
        <v>31598</v>
      </c>
      <c r="O93" s="239" t="s">
        <v>4</v>
      </c>
      <c r="P93" s="239">
        <v>8</v>
      </c>
      <c r="Q93" s="239" t="s">
        <v>7</v>
      </c>
      <c r="R93" s="239" t="s">
        <v>31655</v>
      </c>
      <c r="S93" s="239" t="s">
        <v>4</v>
      </c>
      <c r="T93" s="239" t="s">
        <v>7</v>
      </c>
      <c r="U93" s="239" t="s">
        <v>7</v>
      </c>
      <c r="V93" s="239"/>
      <c r="W93" s="239" t="s">
        <v>7</v>
      </c>
      <c r="X93" s="239" t="s">
        <v>4</v>
      </c>
      <c r="Y93" s="239" t="s">
        <v>4</v>
      </c>
      <c r="Z93" s="241" t="str">
        <f>IF(OR(T93="yes",Y93&gt;'SDG outcome'!$C$27),"yes","no")</f>
        <v>yes</v>
      </c>
      <c r="AA93" s="243">
        <f t="shared" si="1"/>
        <v>0</v>
      </c>
      <c r="AB93" s="243" t="str">
        <f>IF(AND(Z93="no",AND(Y93&gt;='SDG outcome'!$B$16,Y93&lt;'SDG outcome'!$C$27)),Y93-'SDG outcome'!$B$16,"")</f>
        <v/>
      </c>
      <c r="AC93" s="239" t="s">
        <v>4</v>
      </c>
      <c r="AD93" s="239" t="s">
        <v>4</v>
      </c>
      <c r="AE93" s="239" t="s">
        <v>4</v>
      </c>
      <c r="AF93" s="239" t="s">
        <v>4</v>
      </c>
      <c r="AG93" s="239" t="s">
        <v>4</v>
      </c>
      <c r="AH93" s="239" t="s">
        <v>4</v>
      </c>
      <c r="AI93" s="239" t="s">
        <v>4</v>
      </c>
      <c r="AJ93" s="239" t="s">
        <v>29290</v>
      </c>
      <c r="AK93" s="239" t="s">
        <v>29694</v>
      </c>
      <c r="AL93" s="239" t="s">
        <v>4</v>
      </c>
      <c r="AM93" s="239" t="s">
        <v>4</v>
      </c>
      <c r="AN93" s="239" t="s">
        <v>31718</v>
      </c>
      <c r="AO93" s="239" t="s">
        <v>4</v>
      </c>
      <c r="AP93" s="239" t="s">
        <v>31537</v>
      </c>
      <c r="AQ93" s="239" t="s">
        <v>4</v>
      </c>
      <c r="AR93" s="239" t="s">
        <v>31538</v>
      </c>
      <c r="AS93" s="239" t="s">
        <v>4</v>
      </c>
      <c r="AT93" s="239" t="s">
        <v>7</v>
      </c>
      <c r="AU93" s="239" t="s">
        <v>4</v>
      </c>
      <c r="AV93" s="239" t="s">
        <v>4</v>
      </c>
      <c r="AW93" s="239" t="s">
        <v>31539</v>
      </c>
      <c r="AX93" s="239" t="s">
        <v>4</v>
      </c>
      <c r="AY93" s="239" t="s">
        <v>4</v>
      </c>
      <c r="AZ93" s="239" t="s">
        <v>7</v>
      </c>
      <c r="BA93" s="239" t="s">
        <v>11</v>
      </c>
      <c r="BB93" s="239" t="s">
        <v>4</v>
      </c>
      <c r="BC93" s="239" t="s">
        <v>31563</v>
      </c>
      <c r="BD93" s="239" t="s">
        <v>22</v>
      </c>
      <c r="BE93" s="239" t="s">
        <v>4</v>
      </c>
      <c r="BF93" s="239" t="s">
        <v>14</v>
      </c>
      <c r="BG93" s="239" t="s">
        <v>4</v>
      </c>
      <c r="BH93" s="239" t="s">
        <v>31542</v>
      </c>
      <c r="BI93" s="239" t="s">
        <v>31926</v>
      </c>
      <c r="BJ93" s="239" t="s">
        <v>31544</v>
      </c>
      <c r="BK93" s="239">
        <v>1</v>
      </c>
      <c r="BL93" s="239">
        <v>240</v>
      </c>
      <c r="BM93" s="239" t="s">
        <v>7</v>
      </c>
      <c r="BN93" s="239" t="s">
        <v>6</v>
      </c>
      <c r="BO93" s="239" t="s">
        <v>4</v>
      </c>
      <c r="BP93" s="239" t="s">
        <v>31429</v>
      </c>
      <c r="BQ93" s="239">
        <v>2</v>
      </c>
      <c r="BR93" s="239">
        <v>30</v>
      </c>
      <c r="BS93" s="239" t="s">
        <v>31434</v>
      </c>
      <c r="BT93" s="239"/>
      <c r="BU93" s="239">
        <v>4</v>
      </c>
      <c r="BV93" s="239" cm="1">
        <f t="array" ref="BV93">_xlfn.IFS(BS93="Foreword vehicle",BU93*0,BS93="Human wastes",BU93*0,BS93="Jerrycans",BU93*$BV$228,BS93="Number of Basins",BU93*$BV$229,BS93="Number of Buckets",BU93*$CA$226,BS93="Number of Kgs",BU93*$CA$227,BS93="Number of spades",BU93*$CA$228,BS93="Number of wheelbarrows",BU93*$CA$229,BT93="Foreword vehicle",BU93*0,BT93="Human wastes",BU93*0,BT93="Jerrycans",BU93*$BV$228,BS93="","")</f>
        <v>64</v>
      </c>
      <c r="BW93" s="239">
        <f>IF(BV93="","",Table14[[#This Row],[Calculation: Conversion of metric to Kg manure feeding (Columns: BP, BQ, BR)]]*Table14[[#This Row],[Number of times used to feed biodigester]])</f>
        <v>128</v>
      </c>
      <c r="BX93" s="239" cm="1">
        <f t="array" ref="BX93">_xlfn.IFS(BP93="Number of times per day (1 to 3)",BW93/$BX$226,BP93="Number of times per week (1 to 6)",BW93/$BX$227,BP93="Number of times per Month (1 to 3)",BW93/$BX$228,BW93="","")</f>
        <v>18.285714285714285</v>
      </c>
      <c r="BY93" s="239" t="s">
        <v>22</v>
      </c>
      <c r="BZ93" s="239" t="s">
        <v>4</v>
      </c>
      <c r="CA93" s="239" t="s">
        <v>2</v>
      </c>
      <c r="CB93" s="239" t="s">
        <v>4</v>
      </c>
      <c r="CC93" s="239" t="s">
        <v>4</v>
      </c>
      <c r="CD93" s="239" t="s">
        <v>4</v>
      </c>
      <c r="CE93" s="239" t="s">
        <v>7</v>
      </c>
      <c r="CF93" s="239" t="s">
        <v>31927</v>
      </c>
      <c r="CG93" s="239" t="s">
        <v>4</v>
      </c>
      <c r="CH93" s="239" t="s">
        <v>31705</v>
      </c>
      <c r="CI93" s="239">
        <v>0</v>
      </c>
      <c r="CJ93" s="239">
        <v>6</v>
      </c>
      <c r="CK93" s="239">
        <v>0</v>
      </c>
      <c r="CL93" s="239">
        <v>0</v>
      </c>
      <c r="CM93" s="239">
        <v>0</v>
      </c>
      <c r="CN93" s="239">
        <v>0</v>
      </c>
      <c r="CO93" s="239">
        <v>0</v>
      </c>
      <c r="CP93" s="239">
        <v>0</v>
      </c>
      <c r="CQ93" s="239">
        <v>0</v>
      </c>
      <c r="CR93" s="239">
        <v>0</v>
      </c>
      <c r="CS93" s="239">
        <f>CP93/'SDG outcome'!$C$9*CQ93*CR93</f>
        <v>0</v>
      </c>
      <c r="CT93" s="239" t="s">
        <v>4</v>
      </c>
      <c r="CU93" s="239" t="s">
        <v>4</v>
      </c>
      <c r="CV93" s="239" t="s">
        <v>4</v>
      </c>
      <c r="CW93" s="239">
        <v>80</v>
      </c>
      <c r="CX93" s="239">
        <v>20</v>
      </c>
      <c r="CY93" s="239" t="s">
        <v>31928</v>
      </c>
      <c r="CZ93" s="239" t="s">
        <v>4</v>
      </c>
      <c r="DA93" s="239" t="s">
        <v>4</v>
      </c>
      <c r="DB93" s="239" t="s">
        <v>4</v>
      </c>
      <c r="DC93" s="239" t="s">
        <v>4</v>
      </c>
      <c r="DD93" s="239" t="s">
        <v>4</v>
      </c>
      <c r="DE93" s="239" t="s">
        <v>4</v>
      </c>
      <c r="DF93" s="239" t="s">
        <v>4</v>
      </c>
      <c r="DG93" s="239" t="s">
        <v>4</v>
      </c>
      <c r="DH93" s="239" t="s">
        <v>4</v>
      </c>
      <c r="DI93" s="239" t="s">
        <v>4</v>
      </c>
      <c r="DJ93" s="239" t="s">
        <v>4</v>
      </c>
      <c r="DK93" s="239" t="s">
        <v>4</v>
      </c>
      <c r="DL93" s="239" t="s">
        <v>4</v>
      </c>
      <c r="DM93" s="239" t="s">
        <v>4</v>
      </c>
      <c r="DN93" s="239" t="s">
        <v>4</v>
      </c>
      <c r="DO93" s="239">
        <v>2.5</v>
      </c>
      <c r="DP93" s="239" t="s">
        <v>2</v>
      </c>
      <c r="DQ93" s="239" t="s">
        <v>29292</v>
      </c>
      <c r="DR93" s="239" t="s">
        <v>4</v>
      </c>
      <c r="DS93" s="239" t="s">
        <v>29293</v>
      </c>
      <c r="DT93" s="240">
        <v>40000</v>
      </c>
      <c r="DU93" s="239" t="s">
        <v>29294</v>
      </c>
      <c r="DV93" s="240" t="s">
        <v>4</v>
      </c>
      <c r="DW93" s="239" t="s">
        <v>29508</v>
      </c>
      <c r="DX93" s="239"/>
      <c r="DY93" s="239"/>
      <c r="DZ93" s="239"/>
      <c r="EA93" s="239"/>
      <c r="EB93" s="239"/>
      <c r="EC93" s="239"/>
      <c r="ED93" s="239"/>
      <c r="EE93" s="320">
        <f>Table14[[#This Row],[% Fertilizer]]*$DX93/10000</f>
        <v>0</v>
      </c>
      <c r="EF93" s="320">
        <f>Table14[[#This Row],[% bioslurry used as Insecticide/Pesticide]]*$DX93/10000</f>
        <v>0</v>
      </c>
      <c r="EG93" s="320">
        <f>Table14[[#This Row],[% of Bioslurry used as animal feed]]*$DX93/10000</f>
        <v>0</v>
      </c>
      <c r="EH93" s="320">
        <f>Table14[[#This Row],[% of Bioslurry sold]]*$DX93/10000</f>
        <v>0</v>
      </c>
      <c r="EI93" s="320">
        <f>Table14[[#This Row],[% used other way(if used directly)]]*$DX93/10000</f>
        <v>0</v>
      </c>
      <c r="EJ93" s="239">
        <v>100</v>
      </c>
      <c r="EK93" s="239" t="s">
        <v>30747</v>
      </c>
      <c r="EL93" s="239"/>
      <c r="EM93" s="239">
        <v>100</v>
      </c>
      <c r="EN93" s="239"/>
      <c r="EO93" s="239">
        <f>(Table14[[#This Row],[% Uncovered lagoon greater than 1 meter]]+Table14[[#This Row],[Uncovered lagoon (black watery mass) &lt;1 meter]]+Table14[[#This Row],[% Liquid slurry (brown porridge type)]])*Table14[[#This Row],[% Store it first]]/100</f>
        <v>100</v>
      </c>
      <c r="EP93" s="239"/>
      <c r="EQ93" s="239"/>
      <c r="ER93" s="239"/>
      <c r="ES93" s="239"/>
      <c r="ET93" s="239">
        <f>(Table14[[#This Row],[% Solid storage]]+Table14[[#This Row],[% Sun drying]]+Table14[[#This Row],[% Composting with a roof]]+Table14[[#This Row],[% Composting without a roof]])*Table14[[#This Row],[% Store it first]]/100</f>
        <v>0</v>
      </c>
      <c r="EU93" s="239">
        <v>30</v>
      </c>
      <c r="EV93" s="320">
        <f t="shared" si="2"/>
        <v>1</v>
      </c>
      <c r="EW93" s="320">
        <f t="shared" si="3"/>
        <v>0</v>
      </c>
      <c r="EX93" s="320">
        <f t="shared" si="4"/>
        <v>0</v>
      </c>
      <c r="EY93" s="320">
        <f t="shared" si="5"/>
        <v>0</v>
      </c>
      <c r="EZ93" s="320">
        <f t="shared" si="6"/>
        <v>0</v>
      </c>
      <c r="FA93" s="239"/>
      <c r="FB93" s="239"/>
      <c r="FC93" s="239"/>
      <c r="FD93" s="239">
        <f>Table14[[#This Row],[% I donâ€™t use it / discarded]]+Table14[[#This Row],[% Other (specify)(If you use bioslurry directly)]]+Table14[[#This Row],[% Store it first]]+Table14[[#This Row],[% Use directly for various purposes]]</f>
        <v>100</v>
      </c>
      <c r="FE93" s="239" t="s">
        <v>29296</v>
      </c>
      <c r="FF93" s="239">
        <v>100</v>
      </c>
      <c r="FG93" s="239"/>
      <c r="FH93" s="239"/>
      <c r="FI93" s="239"/>
      <c r="FJ93" s="239"/>
      <c r="FK93" s="239">
        <v>1.2</v>
      </c>
      <c r="FL93" s="239" t="s">
        <v>7</v>
      </c>
      <c r="FM93" s="239">
        <v>75</v>
      </c>
      <c r="FN93" s="239">
        <f>FK93*FM93/100</f>
        <v>0.9</v>
      </c>
      <c r="FO93" s="239" t="s">
        <v>29431</v>
      </c>
      <c r="FP93" s="239" t="s">
        <v>29298</v>
      </c>
      <c r="FQ93" s="239">
        <v>54</v>
      </c>
      <c r="FR93" s="239" t="s">
        <v>7</v>
      </c>
      <c r="FS93" s="239" t="s">
        <v>29393</v>
      </c>
      <c r="FT93" s="239" t="s">
        <v>4</v>
      </c>
      <c r="FU93" s="239" t="s">
        <v>7</v>
      </c>
      <c r="FV93" s="239" t="s">
        <v>29393</v>
      </c>
      <c r="FW93" s="239" t="s">
        <v>4</v>
      </c>
      <c r="FX93" s="239" t="s">
        <v>13</v>
      </c>
      <c r="FY93" s="239" t="s">
        <v>31150</v>
      </c>
      <c r="FZ93" s="239" t="s">
        <v>4</v>
      </c>
      <c r="GA93" s="239" t="s">
        <v>4</v>
      </c>
      <c r="GB93" s="240" t="s">
        <v>4</v>
      </c>
      <c r="GC93" s="239" t="s">
        <v>4</v>
      </c>
      <c r="GD93" s="239" t="s">
        <v>2</v>
      </c>
      <c r="GE93" s="239" t="s">
        <v>4</v>
      </c>
      <c r="GF93" s="239" t="s">
        <v>4</v>
      </c>
      <c r="GG93" s="239" t="s">
        <v>2</v>
      </c>
      <c r="GH93" s="239" t="s">
        <v>7</v>
      </c>
      <c r="GI93" s="239" t="s">
        <v>29302</v>
      </c>
      <c r="GJ93" s="239" t="s">
        <v>30078</v>
      </c>
      <c r="GK93" s="239" t="s">
        <v>4</v>
      </c>
      <c r="GL93" s="239">
        <v>0</v>
      </c>
      <c r="GM93" s="239"/>
      <c r="GN93" s="239" t="s">
        <v>4</v>
      </c>
      <c r="GO93" s="239" t="s">
        <v>4</v>
      </c>
      <c r="GP93" s="239" t="s">
        <v>4</v>
      </c>
      <c r="GQ93" s="239" t="s">
        <v>4</v>
      </c>
      <c r="GR93" s="239" t="s">
        <v>4</v>
      </c>
      <c r="GS93" s="239" t="s">
        <v>4</v>
      </c>
      <c r="GT93" s="239" t="s">
        <v>4</v>
      </c>
      <c r="GU93" s="239" t="s">
        <v>4</v>
      </c>
      <c r="GV93" s="239" t="s">
        <v>4</v>
      </c>
      <c r="GW93" s="239" t="s">
        <v>29304</v>
      </c>
      <c r="GX93" s="239" t="s">
        <v>29940</v>
      </c>
      <c r="GY93" s="239" t="s">
        <v>4</v>
      </c>
      <c r="GZ93" s="239" t="s">
        <v>29556</v>
      </c>
      <c r="HA93" s="239" t="s">
        <v>4</v>
      </c>
      <c r="HB93" s="239" t="s">
        <v>4</v>
      </c>
      <c r="HC93" s="239" t="s">
        <v>4</v>
      </c>
      <c r="HD93" s="239" t="s">
        <v>4</v>
      </c>
      <c r="HE93" s="239" t="s">
        <v>4</v>
      </c>
      <c r="HF93" s="239" t="s">
        <v>4</v>
      </c>
      <c r="HG93" s="239" t="s">
        <v>4</v>
      </c>
      <c r="HH93" s="239" t="s">
        <v>29354</v>
      </c>
      <c r="HI93" s="239" t="s">
        <v>4</v>
      </c>
      <c r="HJ93" s="240">
        <v>0</v>
      </c>
      <c r="HK93" s="239" t="s">
        <v>2</v>
      </c>
      <c r="HL93" s="239" t="s">
        <v>29480</v>
      </c>
      <c r="HM93" s="239" t="s">
        <v>4</v>
      </c>
      <c r="HN93" s="239" t="s">
        <v>4</v>
      </c>
      <c r="HO93" s="239" t="s">
        <v>4</v>
      </c>
      <c r="HP93" s="239" t="s">
        <v>4</v>
      </c>
      <c r="HQ93" s="239" t="s">
        <v>4</v>
      </c>
      <c r="HR93" s="239" t="s">
        <v>4</v>
      </c>
      <c r="HS93" s="239" t="s">
        <v>4</v>
      </c>
      <c r="HT93" s="239" t="s">
        <v>4</v>
      </c>
      <c r="HU93" s="239" t="s">
        <v>2</v>
      </c>
      <c r="HV93" s="239" t="s">
        <v>4</v>
      </c>
      <c r="HW93" s="239" t="s">
        <v>4</v>
      </c>
      <c r="HX93" s="239" t="s">
        <v>4</v>
      </c>
      <c r="HY93" s="239" t="s">
        <v>4</v>
      </c>
      <c r="HZ93" s="239" t="s">
        <v>31151</v>
      </c>
      <c r="IA93" s="239" t="s">
        <v>2</v>
      </c>
      <c r="IB93" s="239" t="s">
        <v>4</v>
      </c>
      <c r="IC93" s="239" t="s">
        <v>16</v>
      </c>
      <c r="ID93" s="239" t="s">
        <v>31152</v>
      </c>
      <c r="IE93" s="239" t="s">
        <v>31153</v>
      </c>
      <c r="IF93" s="239" t="s">
        <v>31154</v>
      </c>
      <c r="IG93" s="239" t="s">
        <v>9</v>
      </c>
      <c r="IH93" s="239" t="s">
        <v>31100</v>
      </c>
    </row>
    <row r="94" spans="1:242" s="1" customFormat="1" ht="36.75" customHeight="1" x14ac:dyDescent="0.2">
      <c r="A94" s="239">
        <v>46</v>
      </c>
      <c r="B94" s="239" t="s">
        <v>21146</v>
      </c>
      <c r="C94" s="239" t="s">
        <v>29844</v>
      </c>
      <c r="D94" s="239" t="s">
        <v>29799</v>
      </c>
      <c r="E94" s="239" t="s">
        <v>7</v>
      </c>
      <c r="F94" s="239" t="s">
        <v>29845</v>
      </c>
      <c r="G94" s="239">
        <v>1257.5504149999999</v>
      </c>
      <c r="H94" s="239">
        <v>4.9857839999999998</v>
      </c>
      <c r="I94" s="239" t="s">
        <v>29288</v>
      </c>
      <c r="J94" s="239" t="s">
        <v>4</v>
      </c>
      <c r="K94" s="239" t="s">
        <v>29846</v>
      </c>
      <c r="L94" s="239">
        <v>715303149</v>
      </c>
      <c r="M94" s="239" t="s">
        <v>3</v>
      </c>
      <c r="N94" s="239" t="s">
        <v>31590</v>
      </c>
      <c r="O94" s="239" t="s">
        <v>4</v>
      </c>
      <c r="P94" s="239">
        <v>3</v>
      </c>
      <c r="Q94" s="239" t="s">
        <v>7</v>
      </c>
      <c r="R94" s="239" t="s">
        <v>31588</v>
      </c>
      <c r="S94" s="239" t="s">
        <v>4</v>
      </c>
      <c r="T94" s="239" t="s">
        <v>7</v>
      </c>
      <c r="U94" s="239" t="s">
        <v>7</v>
      </c>
      <c r="V94" s="239"/>
      <c r="W94" s="239" t="s">
        <v>7</v>
      </c>
      <c r="X94" s="239" t="s">
        <v>4</v>
      </c>
      <c r="Y94" s="239" t="s">
        <v>4</v>
      </c>
      <c r="Z94" s="241" t="str">
        <f>IF(OR(T94="yes",Y94&gt;'SDG outcome'!$C$27),"yes","no")</f>
        <v>yes</v>
      </c>
      <c r="AA94" s="243">
        <f t="shared" si="1"/>
        <v>0</v>
      </c>
      <c r="AB94" s="243" t="str">
        <f>IF(AND(Z94="no",AND(Y94&gt;='SDG outcome'!$B$16,Y94&lt;'SDG outcome'!$C$27)),Y94-'SDG outcome'!$B$16,"")</f>
        <v/>
      </c>
      <c r="AC94" s="239" t="s">
        <v>4</v>
      </c>
      <c r="AD94" s="239" t="s">
        <v>4</v>
      </c>
      <c r="AE94" s="239" t="s">
        <v>4</v>
      </c>
      <c r="AF94" s="239" t="s">
        <v>4</v>
      </c>
      <c r="AG94" s="239" t="s">
        <v>4</v>
      </c>
      <c r="AH94" s="239" t="s">
        <v>4</v>
      </c>
      <c r="AI94" s="239" t="s">
        <v>4</v>
      </c>
      <c r="AJ94" s="239" t="s">
        <v>29290</v>
      </c>
      <c r="AK94" s="239" t="s">
        <v>29291</v>
      </c>
      <c r="AL94" s="239" t="s">
        <v>4</v>
      </c>
      <c r="AM94" s="239" t="s">
        <v>4</v>
      </c>
      <c r="AN94" s="239" t="s">
        <v>31536</v>
      </c>
      <c r="AO94" s="239" t="s">
        <v>4</v>
      </c>
      <c r="AP94" s="239" t="s">
        <v>13</v>
      </c>
      <c r="AQ94" s="239" t="s">
        <v>31702</v>
      </c>
      <c r="AR94" s="239" t="s">
        <v>31538</v>
      </c>
      <c r="AS94" s="239" t="s">
        <v>4</v>
      </c>
      <c r="AT94" s="239" t="s">
        <v>7</v>
      </c>
      <c r="AU94" s="239" t="s">
        <v>4</v>
      </c>
      <c r="AV94" s="239" t="s">
        <v>4</v>
      </c>
      <c r="AW94" s="239" t="s">
        <v>31539</v>
      </c>
      <c r="AX94" s="239" t="s">
        <v>4</v>
      </c>
      <c r="AY94" s="239" t="s">
        <v>4</v>
      </c>
      <c r="AZ94" s="239" t="s">
        <v>7</v>
      </c>
      <c r="BA94" s="239" t="s">
        <v>6</v>
      </c>
      <c r="BB94" s="239" t="s">
        <v>4</v>
      </c>
      <c r="BC94" s="239" t="s">
        <v>31563</v>
      </c>
      <c r="BD94" s="239" t="s">
        <v>22</v>
      </c>
      <c r="BE94" s="239" t="s">
        <v>4</v>
      </c>
      <c r="BF94" s="239" t="s">
        <v>14</v>
      </c>
      <c r="BG94" s="239" t="s">
        <v>4</v>
      </c>
      <c r="BH94" s="239" t="s">
        <v>31542</v>
      </c>
      <c r="BI94" s="239" t="s">
        <v>31703</v>
      </c>
      <c r="BJ94" s="239" t="s">
        <v>31632</v>
      </c>
      <c r="BK94" s="239">
        <v>2</v>
      </c>
      <c r="BL94" s="239">
        <v>420</v>
      </c>
      <c r="BM94" s="239" t="s">
        <v>7</v>
      </c>
      <c r="BN94" s="239" t="s">
        <v>6</v>
      </c>
      <c r="BO94" s="239" t="s">
        <v>4</v>
      </c>
      <c r="BP94" s="239" t="s">
        <v>31425</v>
      </c>
      <c r="BQ94" s="239">
        <v>1</v>
      </c>
      <c r="BR94" s="239">
        <v>40</v>
      </c>
      <c r="BS94" s="239" t="s">
        <v>31435</v>
      </c>
      <c r="BT94" s="239"/>
      <c r="BU94" s="239">
        <v>1</v>
      </c>
      <c r="BV94" s="239" cm="1">
        <f t="array" ref="BV94">_xlfn.IFS(BS94="Foreword vehicle",BU94*0,BS94="Human wastes",BU94*0,BS94="Jerrycans",BU94*$BV$228,BS94="Number of Basins",BU94*$BV$229,BS94="Number of Buckets",BU94*$CA$226,BS94="Number of Kgs",BU94*$CA$227,BS94="Number of spades",BU94*$CA$228,BS94="Number of wheelbarrows",BU94*$CA$229,BT94="Foreword vehicle",BU94*0,BT94="Human wastes",BU94*0,BT94="Jerrycans",BU94*$BV$228,BS94="","")</f>
        <v>70.5</v>
      </c>
      <c r="BW94" s="239">
        <f>IF(BV94="","",Table14[[#This Row],[Calculation: Conversion of metric to Kg manure feeding (Columns: BP, BQ, BR)]]*Table14[[#This Row],[Number of times used to feed biodigester]])</f>
        <v>70.5</v>
      </c>
      <c r="BX94" s="239" cm="1">
        <f t="array" ref="BX94">_xlfn.IFS(BP94="Number of times per day (1 to 3)",BW94/$BX$226,BP94="Number of times per week (1 to 6)",BW94/$BX$227,BP94="Number of times per Month (1 to 3)",BW94/$BX$228,BW94="","")</f>
        <v>70.5</v>
      </c>
      <c r="BY94" s="239" t="s">
        <v>22</v>
      </c>
      <c r="BZ94" s="239" t="s">
        <v>4</v>
      </c>
      <c r="CA94" s="239" t="s">
        <v>2</v>
      </c>
      <c r="CB94" s="239" t="s">
        <v>4</v>
      </c>
      <c r="CC94" s="239" t="s">
        <v>4</v>
      </c>
      <c r="CD94" s="239" t="s">
        <v>4</v>
      </c>
      <c r="CE94" s="239" t="s">
        <v>7</v>
      </c>
      <c r="CF94" s="239" t="s">
        <v>31704</v>
      </c>
      <c r="CG94" s="239" t="s">
        <v>4</v>
      </c>
      <c r="CH94" s="239" t="s">
        <v>31705</v>
      </c>
      <c r="CI94" s="239">
        <v>0</v>
      </c>
      <c r="CJ94" s="239">
        <v>5</v>
      </c>
      <c r="CK94" s="239">
        <v>0</v>
      </c>
      <c r="CL94" s="239">
        <v>0</v>
      </c>
      <c r="CM94" s="239">
        <v>0</v>
      </c>
      <c r="CN94" s="239">
        <v>0</v>
      </c>
      <c r="CO94" s="239">
        <v>0</v>
      </c>
      <c r="CP94" s="239">
        <v>0</v>
      </c>
      <c r="CQ94" s="239">
        <v>0</v>
      </c>
      <c r="CR94" s="239">
        <v>0</v>
      </c>
      <c r="CS94" s="239">
        <f>CP94/'SDG outcome'!$C$9*CQ94*CR94</f>
        <v>0</v>
      </c>
      <c r="CT94" s="239" t="s">
        <v>4</v>
      </c>
      <c r="CU94" s="239" t="s">
        <v>4</v>
      </c>
      <c r="CV94" s="239" t="s">
        <v>4</v>
      </c>
      <c r="CW94" s="239">
        <v>50</v>
      </c>
      <c r="CX94" s="239">
        <v>50</v>
      </c>
      <c r="CY94" s="239" t="s">
        <v>31706</v>
      </c>
      <c r="CZ94" s="239" t="s">
        <v>4</v>
      </c>
      <c r="DA94" s="239" t="s">
        <v>4</v>
      </c>
      <c r="DB94" s="239" t="s">
        <v>4</v>
      </c>
      <c r="DC94" s="239" t="s">
        <v>4</v>
      </c>
      <c r="DD94" s="239" t="s">
        <v>4</v>
      </c>
      <c r="DE94" s="239" t="s">
        <v>4</v>
      </c>
      <c r="DF94" s="239" t="s">
        <v>4</v>
      </c>
      <c r="DG94" s="239" t="s">
        <v>4</v>
      </c>
      <c r="DH94" s="239" t="s">
        <v>4</v>
      </c>
      <c r="DI94" s="239" t="s">
        <v>4</v>
      </c>
      <c r="DJ94" s="239" t="s">
        <v>4</v>
      </c>
      <c r="DK94" s="239" t="s">
        <v>4</v>
      </c>
      <c r="DL94" s="239" t="s">
        <v>4</v>
      </c>
      <c r="DM94" s="239" t="s">
        <v>4</v>
      </c>
      <c r="DN94" s="239" t="s">
        <v>4</v>
      </c>
      <c r="DO94" s="239">
        <v>3</v>
      </c>
      <c r="DP94" s="239" t="s">
        <v>7</v>
      </c>
      <c r="DQ94" s="239" t="s">
        <v>29292</v>
      </c>
      <c r="DR94" s="239" t="s">
        <v>4</v>
      </c>
      <c r="DS94" s="239" t="s">
        <v>29294</v>
      </c>
      <c r="DT94" s="240" t="s">
        <v>4</v>
      </c>
      <c r="DU94" s="239" t="s">
        <v>29294</v>
      </c>
      <c r="DV94" s="240" t="s">
        <v>4</v>
      </c>
      <c r="DW94" s="239" t="s">
        <v>29295</v>
      </c>
      <c r="DX94" s="239">
        <v>100</v>
      </c>
      <c r="DY94" s="239" t="s">
        <v>29296</v>
      </c>
      <c r="DZ94" s="239">
        <v>100</v>
      </c>
      <c r="EA94" s="239"/>
      <c r="EB94" s="239"/>
      <c r="EC94" s="239"/>
      <c r="ED94" s="239"/>
      <c r="EE94" s="320">
        <f>Table14[[#This Row],[% Fertilizer]]*$DX94/10000</f>
        <v>1</v>
      </c>
      <c r="EF94" s="320">
        <f>Table14[[#This Row],[% bioslurry used as Insecticide/Pesticide]]*$DX94/10000</f>
        <v>0</v>
      </c>
      <c r="EG94" s="320">
        <f>Table14[[#This Row],[% of Bioslurry used as animal feed]]*$DX94/10000</f>
        <v>0</v>
      </c>
      <c r="EH94" s="320">
        <f>Table14[[#This Row],[% of Bioslurry sold]]*$DX94/10000</f>
        <v>0</v>
      </c>
      <c r="EI94" s="320">
        <f>Table14[[#This Row],[% used other way(if used directly)]]*$DX94/10000</f>
        <v>0</v>
      </c>
      <c r="EJ94" s="239"/>
      <c r="EK94" s="239"/>
      <c r="EL94" s="239"/>
      <c r="EM94" s="239"/>
      <c r="EN94" s="239"/>
      <c r="EO94" s="239">
        <f>(Table14[[#This Row],[% Uncovered lagoon greater than 1 meter]]+Table14[[#This Row],[Uncovered lagoon (black watery mass) &lt;1 meter]]+Table14[[#This Row],[% Liquid slurry (brown porridge type)]])*Table14[[#This Row],[% Store it first]]/100</f>
        <v>0</v>
      </c>
      <c r="EP94" s="239"/>
      <c r="EQ94" s="239"/>
      <c r="ER94" s="239"/>
      <c r="ES94" s="239"/>
      <c r="ET94" s="239">
        <f>(Table14[[#This Row],[% Solid storage]]+Table14[[#This Row],[% Sun drying]]+Table14[[#This Row],[% Composting with a roof]]+Table14[[#This Row],[% Composting without a roof]])*Table14[[#This Row],[% Store it first]]/100</f>
        <v>0</v>
      </c>
      <c r="EU94" s="239"/>
      <c r="EV94" s="320">
        <f t="shared" si="2"/>
        <v>0</v>
      </c>
      <c r="EW94" s="320">
        <f t="shared" si="3"/>
        <v>0</v>
      </c>
      <c r="EX94" s="320">
        <f t="shared" si="4"/>
        <v>0</v>
      </c>
      <c r="EY94" s="320">
        <f t="shared" si="5"/>
        <v>0</v>
      </c>
      <c r="EZ94" s="320">
        <f t="shared" si="6"/>
        <v>0</v>
      </c>
      <c r="FA94" s="239"/>
      <c r="FB94" s="239"/>
      <c r="FC94" s="239"/>
      <c r="FD94" s="239">
        <f>Table14[[#This Row],[% I donâ€™t use it / discarded]]+Table14[[#This Row],[% Other (specify)(If you use bioslurry directly)]]+Table14[[#This Row],[% Store it first]]+Table14[[#This Row],[% Use directly for various purposes]]</f>
        <v>100</v>
      </c>
      <c r="FE94" s="239" t="s">
        <v>4</v>
      </c>
      <c r="FF94" s="239"/>
      <c r="FG94" s="239"/>
      <c r="FH94" s="239"/>
      <c r="FI94" s="239"/>
      <c r="FJ94" s="239"/>
      <c r="FK94" s="239" t="s">
        <v>9</v>
      </c>
      <c r="FL94" s="239" t="s">
        <v>7</v>
      </c>
      <c r="FM94" s="239">
        <v>0</v>
      </c>
      <c r="FN94" s="239"/>
      <c r="FO94" s="239" t="s">
        <v>29834</v>
      </c>
      <c r="FP94" s="239" t="s">
        <v>29298</v>
      </c>
      <c r="FQ94" s="239">
        <v>120</v>
      </c>
      <c r="FR94" s="239" t="s">
        <v>7</v>
      </c>
      <c r="FS94" s="239" t="s">
        <v>29393</v>
      </c>
      <c r="FT94" s="239" t="s">
        <v>4</v>
      </c>
      <c r="FU94" s="239" t="s">
        <v>7</v>
      </c>
      <c r="FV94" s="239" t="s">
        <v>29393</v>
      </c>
      <c r="FW94" s="239" t="s">
        <v>4</v>
      </c>
      <c r="FX94" s="239" t="s">
        <v>29300</v>
      </c>
      <c r="FY94" s="239" t="s">
        <v>4</v>
      </c>
      <c r="FZ94" s="239" t="s">
        <v>4</v>
      </c>
      <c r="GA94" s="239" t="s">
        <v>4</v>
      </c>
      <c r="GB94" s="240" t="s">
        <v>4</v>
      </c>
      <c r="GC94" s="239" t="s">
        <v>4</v>
      </c>
      <c r="GD94" s="239" t="s">
        <v>2</v>
      </c>
      <c r="GE94" s="239" t="s">
        <v>4</v>
      </c>
      <c r="GF94" s="239" t="s">
        <v>4</v>
      </c>
      <c r="GG94" s="239" t="s">
        <v>2</v>
      </c>
      <c r="GH94" s="239" t="s">
        <v>2</v>
      </c>
      <c r="GI94" s="239" t="s">
        <v>4</v>
      </c>
      <c r="GJ94" s="239" t="s">
        <v>4</v>
      </c>
      <c r="GK94" s="239" t="s">
        <v>29304</v>
      </c>
      <c r="GL94" s="239" t="s">
        <v>36269</v>
      </c>
      <c r="GM94" s="239" t="s">
        <v>29529</v>
      </c>
      <c r="GN94" s="239" t="s">
        <v>4</v>
      </c>
      <c r="GO94" s="239" t="s">
        <v>4</v>
      </c>
      <c r="GP94" s="239" t="s">
        <v>4</v>
      </c>
      <c r="GQ94" s="239" t="s">
        <v>4</v>
      </c>
      <c r="GR94" s="239" t="s">
        <v>29451</v>
      </c>
      <c r="GS94" s="239" t="s">
        <v>4</v>
      </c>
      <c r="GT94" s="239" t="s">
        <v>4</v>
      </c>
      <c r="GU94" s="239" t="s">
        <v>4</v>
      </c>
      <c r="GV94" s="239" t="s">
        <v>4</v>
      </c>
      <c r="GW94" s="239" t="s">
        <v>4</v>
      </c>
      <c r="GX94" s="239" t="s">
        <v>4</v>
      </c>
      <c r="GY94" s="239" t="s">
        <v>4</v>
      </c>
      <c r="GZ94" s="239" t="s">
        <v>4</v>
      </c>
      <c r="HA94" s="239" t="s">
        <v>4</v>
      </c>
      <c r="HB94" s="239" t="s">
        <v>4</v>
      </c>
      <c r="HC94" s="239" t="s">
        <v>4</v>
      </c>
      <c r="HD94" s="239" t="s">
        <v>4</v>
      </c>
      <c r="HE94" s="239" t="s">
        <v>4</v>
      </c>
      <c r="HF94" s="239" t="s">
        <v>4</v>
      </c>
      <c r="HG94" s="239" t="s">
        <v>4</v>
      </c>
      <c r="HH94" s="239" t="s">
        <v>29847</v>
      </c>
      <c r="HI94" s="239" t="s">
        <v>4</v>
      </c>
      <c r="HJ94" s="240">
        <v>0</v>
      </c>
      <c r="HK94" s="239" t="s">
        <v>2</v>
      </c>
      <c r="HL94" s="239" t="s">
        <v>29837</v>
      </c>
      <c r="HM94" s="239" t="s">
        <v>4</v>
      </c>
      <c r="HN94" s="239" t="s">
        <v>4</v>
      </c>
      <c r="HO94" s="239" t="s">
        <v>4</v>
      </c>
      <c r="HP94" s="239" t="s">
        <v>4</v>
      </c>
      <c r="HQ94" s="239" t="s">
        <v>4</v>
      </c>
      <c r="HR94" s="239" t="s">
        <v>4</v>
      </c>
      <c r="HS94" s="239" t="s">
        <v>4</v>
      </c>
      <c r="HT94" s="239" t="s">
        <v>4</v>
      </c>
      <c r="HU94" s="239" t="s">
        <v>2</v>
      </c>
      <c r="HV94" s="239" t="s">
        <v>4</v>
      </c>
      <c r="HW94" s="239" t="s">
        <v>4</v>
      </c>
      <c r="HX94" s="239" t="s">
        <v>4</v>
      </c>
      <c r="HY94" s="239" t="s">
        <v>4</v>
      </c>
      <c r="HZ94" s="239" t="s">
        <v>16</v>
      </c>
      <c r="IA94" s="239" t="s">
        <v>2</v>
      </c>
      <c r="IB94" s="239" t="s">
        <v>4</v>
      </c>
      <c r="IC94" s="239" t="s">
        <v>16</v>
      </c>
      <c r="ID94" s="239" t="s">
        <v>29848</v>
      </c>
      <c r="IE94" s="239" t="s">
        <v>29849</v>
      </c>
      <c r="IF94" s="239" t="s">
        <v>29850</v>
      </c>
      <c r="IG94" s="239" t="s">
        <v>29851</v>
      </c>
      <c r="IH94" s="239" t="s">
        <v>29844</v>
      </c>
    </row>
    <row r="95" spans="1:242" s="1" customFormat="1" ht="36.75" customHeight="1" x14ac:dyDescent="0.2">
      <c r="A95" s="239">
        <v>128</v>
      </c>
      <c r="B95" s="239" t="s">
        <v>15719</v>
      </c>
      <c r="C95" s="239" t="s">
        <v>30664</v>
      </c>
      <c r="D95" s="239" t="s">
        <v>30638</v>
      </c>
      <c r="E95" s="239" t="s">
        <v>7</v>
      </c>
      <c r="F95" s="239" t="s">
        <v>30665</v>
      </c>
      <c r="G95" s="239">
        <v>1167.671143</v>
      </c>
      <c r="H95" s="239">
        <v>4.2880000000000003</v>
      </c>
      <c r="I95" s="239" t="s">
        <v>29319</v>
      </c>
      <c r="J95" s="239" t="s">
        <v>4</v>
      </c>
      <c r="K95" s="239" t="s">
        <v>30666</v>
      </c>
      <c r="L95" s="239" t="s">
        <v>9</v>
      </c>
      <c r="M95" s="239" t="s">
        <v>5</v>
      </c>
      <c r="N95" s="239" t="s">
        <v>31844</v>
      </c>
      <c r="O95" s="239" t="s">
        <v>4</v>
      </c>
      <c r="P95" s="239">
        <v>6</v>
      </c>
      <c r="Q95" s="239" t="s">
        <v>7</v>
      </c>
      <c r="R95" s="239" t="s">
        <v>31562</v>
      </c>
      <c r="S95" s="239" t="s">
        <v>4</v>
      </c>
      <c r="T95" s="239" t="s">
        <v>7</v>
      </c>
      <c r="U95" s="239" t="s">
        <v>7</v>
      </c>
      <c r="V95" s="239"/>
      <c r="W95" s="239" t="s">
        <v>7</v>
      </c>
      <c r="X95" s="239" t="s">
        <v>4</v>
      </c>
      <c r="Y95" s="239" t="s">
        <v>4</v>
      </c>
      <c r="Z95" s="241" t="str">
        <f>IF(OR(T95="yes",Y95&gt;'SDG outcome'!$C$27),"yes","no")</f>
        <v>yes</v>
      </c>
      <c r="AA95" s="243">
        <f t="shared" si="1"/>
        <v>0</v>
      </c>
      <c r="AB95" s="243" t="str">
        <f>IF(AND(Z95="no",AND(Y95&gt;='SDG outcome'!$B$16,Y95&lt;'SDG outcome'!$C$27)),Y95-'SDG outcome'!$B$16,"")</f>
        <v/>
      </c>
      <c r="AC95" s="239" t="s">
        <v>4</v>
      </c>
      <c r="AD95" s="239" t="s">
        <v>4</v>
      </c>
      <c r="AE95" s="239" t="s">
        <v>4</v>
      </c>
      <c r="AF95" s="239" t="s">
        <v>4</v>
      </c>
      <c r="AG95" s="239" t="s">
        <v>4</v>
      </c>
      <c r="AH95" s="239" t="s">
        <v>4</v>
      </c>
      <c r="AI95" s="239" t="s">
        <v>4</v>
      </c>
      <c r="AJ95" s="239" t="s">
        <v>29290</v>
      </c>
      <c r="AK95" s="239" t="s">
        <v>29462</v>
      </c>
      <c r="AL95" s="239" t="s">
        <v>4</v>
      </c>
      <c r="AM95" s="239" t="s">
        <v>4</v>
      </c>
      <c r="AN95" s="239" t="s">
        <v>31536</v>
      </c>
      <c r="AO95" s="239" t="s">
        <v>4</v>
      </c>
      <c r="AP95" s="239" t="s">
        <v>31537</v>
      </c>
      <c r="AQ95" s="239" t="s">
        <v>4</v>
      </c>
      <c r="AR95" s="239" t="s">
        <v>31538</v>
      </c>
      <c r="AS95" s="239" t="s">
        <v>4</v>
      </c>
      <c r="AT95" s="239" t="s">
        <v>7</v>
      </c>
      <c r="AU95" s="239" t="s">
        <v>4</v>
      </c>
      <c r="AV95" s="239" t="s">
        <v>4</v>
      </c>
      <c r="AW95" s="239" t="s">
        <v>31539</v>
      </c>
      <c r="AX95" s="239" t="s">
        <v>4</v>
      </c>
      <c r="AY95" s="239" t="s">
        <v>4</v>
      </c>
      <c r="AZ95" s="239" t="s">
        <v>2</v>
      </c>
      <c r="BA95" s="239" t="s">
        <v>4</v>
      </c>
      <c r="BB95" s="239" t="s">
        <v>4</v>
      </c>
      <c r="BC95" s="239" t="s">
        <v>31563</v>
      </c>
      <c r="BD95" s="239" t="s">
        <v>14</v>
      </c>
      <c r="BE95" s="239" t="s">
        <v>4</v>
      </c>
      <c r="BF95" s="239" t="s">
        <v>31541</v>
      </c>
      <c r="BG95" s="239" t="s">
        <v>4</v>
      </c>
      <c r="BH95" s="239" t="s">
        <v>31542</v>
      </c>
      <c r="BI95" s="239" t="s">
        <v>31848</v>
      </c>
      <c r="BJ95" s="239" t="s">
        <v>31616</v>
      </c>
      <c r="BK95" s="239">
        <v>2</v>
      </c>
      <c r="BL95" s="239">
        <v>10</v>
      </c>
      <c r="BM95" s="239" t="s">
        <v>7</v>
      </c>
      <c r="BN95" s="239" t="s">
        <v>6</v>
      </c>
      <c r="BO95" s="239" t="s">
        <v>4</v>
      </c>
      <c r="BP95" s="239" t="s">
        <v>31429</v>
      </c>
      <c r="BQ95" s="239">
        <v>4</v>
      </c>
      <c r="BR95" s="239">
        <v>20</v>
      </c>
      <c r="BS95" s="239" t="s">
        <v>31434</v>
      </c>
      <c r="BT95" s="239"/>
      <c r="BU95" s="239">
        <v>3</v>
      </c>
      <c r="BV95" s="239" cm="1">
        <f t="array" ref="BV95">_xlfn.IFS(BS95="Foreword vehicle",BU95*0,BS95="Human wastes",BU95*0,BS95="Jerrycans",BU95*$BV$228,BS95="Number of Basins",BU95*$BV$229,BS95="Number of Buckets",BU95*$CA$226,BS95="Number of Kgs",BU95*$CA$227,BS95="Number of spades",BU95*$CA$228,BS95="Number of wheelbarrows",BU95*$CA$229,BT95="Foreword vehicle",BU95*0,BT95="Human wastes",BU95*0,BT95="Jerrycans",BU95*$BV$228,BS95="","")</f>
        <v>48</v>
      </c>
      <c r="BW95" s="239">
        <f>IF(BV95="","",Table14[[#This Row],[Calculation: Conversion of metric to Kg manure feeding (Columns: BP, BQ, BR)]]*Table14[[#This Row],[Number of times used to feed biodigester]])</f>
        <v>192</v>
      </c>
      <c r="BX95" s="239" cm="1">
        <f t="array" ref="BX95">_xlfn.IFS(BP95="Number of times per day (1 to 3)",BW95/$BX$226,BP95="Number of times per week (1 to 6)",BW95/$BX$227,BP95="Number of times per Month (1 to 3)",BW95/$BX$228,BW95="","")</f>
        <v>27.428571428571427</v>
      </c>
      <c r="BY95" s="239" t="s">
        <v>31552</v>
      </c>
      <c r="BZ95" s="239" t="s">
        <v>4</v>
      </c>
      <c r="CA95" s="239" t="s">
        <v>2</v>
      </c>
      <c r="CB95" s="239" t="s">
        <v>4</v>
      </c>
      <c r="CC95" s="239" t="s">
        <v>4</v>
      </c>
      <c r="CD95" s="239" t="s">
        <v>4</v>
      </c>
      <c r="CE95" s="239" t="s">
        <v>7</v>
      </c>
      <c r="CF95" s="239" t="s">
        <v>31849</v>
      </c>
      <c r="CG95" s="239" t="s">
        <v>4</v>
      </c>
      <c r="CH95" s="239" t="s">
        <v>31850</v>
      </c>
      <c r="CI95" s="239">
        <v>0</v>
      </c>
      <c r="CJ95" s="239">
        <v>5</v>
      </c>
      <c r="CK95" s="239">
        <v>0</v>
      </c>
      <c r="CL95" s="239">
        <v>0</v>
      </c>
      <c r="CM95" s="239">
        <v>0</v>
      </c>
      <c r="CN95" s="239">
        <v>0</v>
      </c>
      <c r="CO95" s="239">
        <v>0</v>
      </c>
      <c r="CP95" s="239">
        <v>0</v>
      </c>
      <c r="CQ95" s="239">
        <v>0</v>
      </c>
      <c r="CR95" s="239">
        <v>0</v>
      </c>
      <c r="CS95" s="239">
        <f>CP95/'SDG outcome'!$C$9*CQ95*CR95</f>
        <v>0</v>
      </c>
      <c r="CT95" s="239" t="s">
        <v>4</v>
      </c>
      <c r="CU95" s="239" t="s">
        <v>4</v>
      </c>
      <c r="CV95" s="239" t="s">
        <v>4</v>
      </c>
      <c r="CW95" s="239">
        <v>25</v>
      </c>
      <c r="CX95" s="239">
        <v>75</v>
      </c>
      <c r="CY95" s="239" t="s">
        <v>31851</v>
      </c>
      <c r="CZ95" s="239" t="s">
        <v>4</v>
      </c>
      <c r="DA95" s="239" t="s">
        <v>4</v>
      </c>
      <c r="DB95" s="239" t="s">
        <v>4</v>
      </c>
      <c r="DC95" s="239" t="s">
        <v>4</v>
      </c>
      <c r="DD95" s="239" t="s">
        <v>4</v>
      </c>
      <c r="DE95" s="239" t="s">
        <v>4</v>
      </c>
      <c r="DF95" s="239" t="s">
        <v>4</v>
      </c>
      <c r="DG95" s="239" t="s">
        <v>4</v>
      </c>
      <c r="DH95" s="239" t="s">
        <v>4</v>
      </c>
      <c r="DI95" s="239">
        <v>0</v>
      </c>
      <c r="DJ95" s="239">
        <v>100</v>
      </c>
      <c r="DK95" s="239" t="s">
        <v>31852</v>
      </c>
      <c r="DL95" s="239" t="s">
        <v>4</v>
      </c>
      <c r="DM95" s="239" t="s">
        <v>4</v>
      </c>
      <c r="DN95" s="239" t="s">
        <v>4</v>
      </c>
      <c r="DO95" s="239">
        <v>2</v>
      </c>
      <c r="DP95" s="239" t="s">
        <v>2</v>
      </c>
      <c r="DQ95" s="239" t="s">
        <v>29375</v>
      </c>
      <c r="DR95" s="239" t="s">
        <v>4</v>
      </c>
      <c r="DS95" s="239" t="s">
        <v>4</v>
      </c>
      <c r="DT95" s="240" t="s">
        <v>4</v>
      </c>
      <c r="DU95" s="239" t="s">
        <v>29294</v>
      </c>
      <c r="DV95" s="240" t="s">
        <v>4</v>
      </c>
      <c r="DW95" s="239" t="s">
        <v>29508</v>
      </c>
      <c r="DX95" s="239"/>
      <c r="DY95" s="239"/>
      <c r="DZ95" s="239"/>
      <c r="EA95" s="239"/>
      <c r="EB95" s="239"/>
      <c r="EC95" s="239"/>
      <c r="ED95" s="239"/>
      <c r="EE95" s="320">
        <f>Table14[[#This Row],[% Fertilizer]]*$DX95/10000</f>
        <v>0</v>
      </c>
      <c r="EF95" s="320">
        <f>Table14[[#This Row],[% bioslurry used as Insecticide/Pesticide]]*$DX95/10000</f>
        <v>0</v>
      </c>
      <c r="EG95" s="320">
        <f>Table14[[#This Row],[% of Bioslurry used as animal feed]]*$DX95/10000</f>
        <v>0</v>
      </c>
      <c r="EH95" s="320">
        <f>Table14[[#This Row],[% of Bioslurry sold]]*$DX95/10000</f>
        <v>0</v>
      </c>
      <c r="EI95" s="320">
        <f>Table14[[#This Row],[% used other way(if used directly)]]*$DX95/10000</f>
        <v>0</v>
      </c>
      <c r="EJ95" s="239">
        <v>100</v>
      </c>
      <c r="EK95" s="239" t="s">
        <v>30667</v>
      </c>
      <c r="EL95" s="239"/>
      <c r="EM95" s="239"/>
      <c r="EN95" s="239">
        <v>100</v>
      </c>
      <c r="EO95" s="239">
        <f>(Table14[[#This Row],[% Uncovered lagoon greater than 1 meter]]+Table14[[#This Row],[Uncovered lagoon (black watery mass) &lt;1 meter]]+Table14[[#This Row],[% Liquid slurry (brown porridge type)]])*Table14[[#This Row],[% Store it first]]/100</f>
        <v>100</v>
      </c>
      <c r="EP95" s="239"/>
      <c r="EQ95" s="239"/>
      <c r="ER95" s="239"/>
      <c r="ES95" s="239"/>
      <c r="ET95" s="239">
        <f>(Table14[[#This Row],[% Solid storage]]+Table14[[#This Row],[% Sun drying]]+Table14[[#This Row],[% Composting with a roof]]+Table14[[#This Row],[% Composting without a roof]])*Table14[[#This Row],[% Store it first]]/100</f>
        <v>0</v>
      </c>
      <c r="EU95" s="239">
        <v>5</v>
      </c>
      <c r="EV95" s="320">
        <f t="shared" si="2"/>
        <v>1</v>
      </c>
      <c r="EW95" s="320">
        <f t="shared" si="3"/>
        <v>0</v>
      </c>
      <c r="EX95" s="320">
        <f t="shared" si="4"/>
        <v>0</v>
      </c>
      <c r="EY95" s="320">
        <f t="shared" si="5"/>
        <v>0</v>
      </c>
      <c r="EZ95" s="320">
        <f t="shared" si="6"/>
        <v>0</v>
      </c>
      <c r="FA95" s="239"/>
      <c r="FB95" s="239"/>
      <c r="FC95" s="239"/>
      <c r="FD95" s="239">
        <f>Table14[[#This Row],[% I donâ€™t use it / discarded]]+Table14[[#This Row],[% Other (specify)(If you use bioslurry directly)]]+Table14[[#This Row],[% Store it first]]+Table14[[#This Row],[% Use directly for various purposes]]</f>
        <v>100</v>
      </c>
      <c r="FE95" s="239" t="s">
        <v>29296</v>
      </c>
      <c r="FF95" s="239">
        <v>100</v>
      </c>
      <c r="FG95" s="239"/>
      <c r="FH95" s="239"/>
      <c r="FI95" s="239"/>
      <c r="FJ95" s="239"/>
      <c r="FK95" s="239">
        <v>2.8</v>
      </c>
      <c r="FL95" s="239" t="s">
        <v>30668</v>
      </c>
      <c r="FM95" s="239">
        <v>0</v>
      </c>
      <c r="FN95" s="239">
        <f>FK95*FM95/100</f>
        <v>0</v>
      </c>
      <c r="FO95" s="239" t="s">
        <v>4</v>
      </c>
      <c r="FP95" s="239" t="s">
        <v>4</v>
      </c>
      <c r="FQ95" s="239" t="s">
        <v>4</v>
      </c>
      <c r="FR95" s="239" t="s">
        <v>4</v>
      </c>
      <c r="FS95" s="239" t="s">
        <v>4</v>
      </c>
      <c r="FT95" s="239" t="s">
        <v>4</v>
      </c>
      <c r="FU95" s="239" t="s">
        <v>4</v>
      </c>
      <c r="FV95" s="239" t="s">
        <v>4</v>
      </c>
      <c r="FW95" s="239" t="s">
        <v>4</v>
      </c>
      <c r="FX95" s="239" t="s">
        <v>4</v>
      </c>
      <c r="FY95" s="239" t="s">
        <v>4</v>
      </c>
      <c r="FZ95" s="239" t="s">
        <v>4</v>
      </c>
      <c r="GA95" s="239" t="s">
        <v>4</v>
      </c>
      <c r="GB95" s="240" t="s">
        <v>4</v>
      </c>
      <c r="GC95" s="239" t="s">
        <v>4</v>
      </c>
      <c r="GD95" s="239" t="s">
        <v>2</v>
      </c>
      <c r="GE95" s="239" t="s">
        <v>4</v>
      </c>
      <c r="GF95" s="239" t="s">
        <v>4</v>
      </c>
      <c r="GG95" s="239" t="s">
        <v>7</v>
      </c>
      <c r="GH95" s="239" t="s">
        <v>2</v>
      </c>
      <c r="GI95" s="239" t="s">
        <v>4</v>
      </c>
      <c r="GJ95" s="239" t="s">
        <v>4</v>
      </c>
      <c r="GK95" s="239" t="s">
        <v>4</v>
      </c>
      <c r="GL95" s="239">
        <v>0</v>
      </c>
      <c r="GM95" s="239"/>
      <c r="GN95" s="239" t="s">
        <v>4</v>
      </c>
      <c r="GO95" s="239" t="s">
        <v>4</v>
      </c>
      <c r="GP95" s="239" t="s">
        <v>4</v>
      </c>
      <c r="GQ95" s="239" t="s">
        <v>4</v>
      </c>
      <c r="GR95" s="239" t="s">
        <v>4</v>
      </c>
      <c r="GS95" s="239" t="s">
        <v>4</v>
      </c>
      <c r="GT95" s="239" t="s">
        <v>4</v>
      </c>
      <c r="GU95" s="239" t="s">
        <v>4</v>
      </c>
      <c r="GV95" s="239" t="s">
        <v>4</v>
      </c>
      <c r="GW95" s="239" t="s">
        <v>29433</v>
      </c>
      <c r="GX95" s="239" t="s">
        <v>4</v>
      </c>
      <c r="GY95" s="239" t="s">
        <v>4</v>
      </c>
      <c r="GZ95" s="239" t="s">
        <v>4</v>
      </c>
      <c r="HA95" s="239" t="s">
        <v>4</v>
      </c>
      <c r="HB95" s="239" t="s">
        <v>4</v>
      </c>
      <c r="HC95" s="239" t="s">
        <v>4</v>
      </c>
      <c r="HD95" s="239" t="s">
        <v>4</v>
      </c>
      <c r="HE95" s="239" t="s">
        <v>4</v>
      </c>
      <c r="HF95" s="239" t="s">
        <v>29353</v>
      </c>
      <c r="HG95" s="239" t="s">
        <v>4</v>
      </c>
      <c r="HH95" s="239" t="s">
        <v>29354</v>
      </c>
      <c r="HI95" s="239" t="s">
        <v>4</v>
      </c>
      <c r="HJ95" s="240">
        <v>0</v>
      </c>
      <c r="HK95" s="239" t="s">
        <v>7</v>
      </c>
      <c r="HL95" s="239" t="s">
        <v>29309</v>
      </c>
      <c r="HM95" s="239" t="s">
        <v>4</v>
      </c>
      <c r="HN95" s="239" t="s">
        <v>4</v>
      </c>
      <c r="HO95" s="239" t="s">
        <v>4</v>
      </c>
      <c r="HP95" s="239" t="s">
        <v>4</v>
      </c>
      <c r="HQ95" s="239" t="s">
        <v>4</v>
      </c>
      <c r="HR95" s="239" t="s">
        <v>4</v>
      </c>
      <c r="HS95" s="239" t="s">
        <v>4</v>
      </c>
      <c r="HT95" s="239" t="s">
        <v>4</v>
      </c>
      <c r="HU95" s="239" t="s">
        <v>2</v>
      </c>
      <c r="HV95" s="239" t="s">
        <v>4</v>
      </c>
      <c r="HW95" s="239" t="s">
        <v>4</v>
      </c>
      <c r="HX95" s="239" t="s">
        <v>4</v>
      </c>
      <c r="HY95" s="239" t="s">
        <v>4</v>
      </c>
      <c r="HZ95" s="239" t="s">
        <v>30669</v>
      </c>
      <c r="IA95" s="239" t="s">
        <v>2</v>
      </c>
      <c r="IB95" s="239" t="s">
        <v>4</v>
      </c>
      <c r="IC95" s="239" t="s">
        <v>30670</v>
      </c>
      <c r="ID95" s="239" t="s">
        <v>30671</v>
      </c>
      <c r="IE95" s="239" t="s">
        <v>30672</v>
      </c>
      <c r="IF95" s="239" t="s">
        <v>30673</v>
      </c>
      <c r="IG95" s="239" t="s">
        <v>30674</v>
      </c>
      <c r="IH95" s="239" t="s">
        <v>30664</v>
      </c>
    </row>
    <row r="96" spans="1:242" s="1" customFormat="1" ht="36.75" customHeight="1" x14ac:dyDescent="0.2">
      <c r="A96" s="239">
        <v>157</v>
      </c>
      <c r="B96" s="239" t="s">
        <v>6940</v>
      </c>
      <c r="C96" s="239" t="s">
        <v>30969</v>
      </c>
      <c r="D96" s="239" t="s">
        <v>34</v>
      </c>
      <c r="E96" s="239" t="s">
        <v>7</v>
      </c>
      <c r="F96" s="239" t="s">
        <v>30970</v>
      </c>
      <c r="G96" s="239">
        <v>1152.2</v>
      </c>
      <c r="H96" s="239">
        <v>4.2</v>
      </c>
      <c r="I96" s="239" t="s">
        <v>29319</v>
      </c>
      <c r="J96" s="239" t="s">
        <v>4</v>
      </c>
      <c r="K96" s="239" t="s">
        <v>6941</v>
      </c>
      <c r="L96" s="239">
        <v>752129986</v>
      </c>
      <c r="M96" s="239" t="s">
        <v>5</v>
      </c>
      <c r="N96" s="239" t="s">
        <v>31598</v>
      </c>
      <c r="O96" s="239" t="s">
        <v>4</v>
      </c>
      <c r="P96" s="239">
        <v>8</v>
      </c>
      <c r="Q96" s="239" t="s">
        <v>7</v>
      </c>
      <c r="R96" s="239" t="s">
        <v>31588</v>
      </c>
      <c r="S96" s="239" t="s">
        <v>4</v>
      </c>
      <c r="T96" s="239" t="s">
        <v>7</v>
      </c>
      <c r="U96" s="239" t="s">
        <v>7</v>
      </c>
      <c r="V96" s="239"/>
      <c r="W96" s="239" t="s">
        <v>7</v>
      </c>
      <c r="X96" s="239" t="s">
        <v>4</v>
      </c>
      <c r="Y96" s="239" t="s">
        <v>4</v>
      </c>
      <c r="Z96" s="241" t="str">
        <f>IF(OR(T96="yes",Y96&gt;'SDG outcome'!$C$27),"yes","no")</f>
        <v>yes</v>
      </c>
      <c r="AA96" s="243">
        <f t="shared" si="1"/>
        <v>0</v>
      </c>
      <c r="AB96" s="243" t="str">
        <f>IF(AND(Z96="no",AND(Y96&gt;='SDG outcome'!$B$16,Y96&lt;'SDG outcome'!$C$27)),Y96-'SDG outcome'!$B$16,"")</f>
        <v/>
      </c>
      <c r="AC96" s="239" t="s">
        <v>4</v>
      </c>
      <c r="AD96" s="239" t="s">
        <v>4</v>
      </c>
      <c r="AE96" s="239" t="s">
        <v>4</v>
      </c>
      <c r="AF96" s="239" t="s">
        <v>4</v>
      </c>
      <c r="AG96" s="239" t="s">
        <v>4</v>
      </c>
      <c r="AH96" s="239" t="s">
        <v>4</v>
      </c>
      <c r="AI96" s="239" t="s">
        <v>4</v>
      </c>
      <c r="AJ96" s="239" t="s">
        <v>29290</v>
      </c>
      <c r="AK96" s="239" t="s">
        <v>29694</v>
      </c>
      <c r="AL96" s="239" t="s">
        <v>4</v>
      </c>
      <c r="AM96" s="239" t="s">
        <v>4</v>
      </c>
      <c r="AN96" s="239" t="s">
        <v>31605</v>
      </c>
      <c r="AO96" s="239" t="s">
        <v>4</v>
      </c>
      <c r="AP96" s="239" t="s">
        <v>31600</v>
      </c>
      <c r="AQ96" s="239" t="s">
        <v>4</v>
      </c>
      <c r="AR96" s="239" t="s">
        <v>31538</v>
      </c>
      <c r="AS96" s="239" t="s">
        <v>4</v>
      </c>
      <c r="AT96" s="239" t="s">
        <v>7</v>
      </c>
      <c r="AU96" s="239" t="s">
        <v>4</v>
      </c>
      <c r="AV96" s="239" t="s">
        <v>4</v>
      </c>
      <c r="AW96" s="239" t="s">
        <v>31539</v>
      </c>
      <c r="AX96" s="239" t="s">
        <v>4</v>
      </c>
      <c r="AY96" s="239" t="s">
        <v>4</v>
      </c>
      <c r="AZ96" s="239" t="s">
        <v>7</v>
      </c>
      <c r="BA96" s="239" t="s">
        <v>11</v>
      </c>
      <c r="BB96" s="239" t="s">
        <v>4</v>
      </c>
      <c r="BC96" s="239" t="s">
        <v>31557</v>
      </c>
      <c r="BD96" s="239" t="s">
        <v>4</v>
      </c>
      <c r="BE96" s="239" t="s">
        <v>4</v>
      </c>
      <c r="BF96" s="239" t="s">
        <v>4</v>
      </c>
      <c r="BG96" s="239" t="s">
        <v>4</v>
      </c>
      <c r="BH96" s="239" t="s">
        <v>4</v>
      </c>
      <c r="BI96" s="239" t="s">
        <v>4</v>
      </c>
      <c r="BJ96" s="239" t="s">
        <v>4</v>
      </c>
      <c r="BK96" s="239" t="s">
        <v>4</v>
      </c>
      <c r="BL96" s="239" t="s">
        <v>4</v>
      </c>
      <c r="BM96" s="239" t="s">
        <v>7</v>
      </c>
      <c r="BN96" s="239" t="s">
        <v>6</v>
      </c>
      <c r="BO96" s="239" t="s">
        <v>4</v>
      </c>
      <c r="BP96" s="239" t="s">
        <v>31425</v>
      </c>
      <c r="BQ96" s="239">
        <v>1</v>
      </c>
      <c r="BR96" s="239">
        <v>15</v>
      </c>
      <c r="BS96" s="239" t="s">
        <v>31433</v>
      </c>
      <c r="BT96" s="239"/>
      <c r="BU96" s="239">
        <v>20</v>
      </c>
      <c r="BV96" s="239" cm="1">
        <f t="array" ref="BV96">_xlfn.IFS(BS96="Foreword vehicle",BU96*0,BS96="Human wastes",BU96*0,BS96="Jerrycans",BU96*$BV$228,BS96="Number of Basins",BU96*$BV$229,BS96="Number of Buckets",BU96*$CA$226,BS96="Number of Kgs",BU96*$CA$227,BS96="Number of spades",BU96*$CA$228,BS96="Number of wheelbarrows",BU96*$CA$229,BT96="Foreword vehicle",BU96*0,BT96="Human wastes",BU96*0,BT96="Jerrycans",BU96*$BV$228,BS96="","")</f>
        <v>60</v>
      </c>
      <c r="BW96" s="239">
        <f>IF(BV96="","",Table14[[#This Row],[Calculation: Conversion of metric to Kg manure feeding (Columns: BP, BQ, BR)]]*Table14[[#This Row],[Number of times used to feed biodigester]])</f>
        <v>60</v>
      </c>
      <c r="BX96" s="239" cm="1">
        <f t="array" ref="BX96">_xlfn.IFS(BP96="Number of times per day (1 to 3)",BW96/$BX$226,BP96="Number of times per week (1 to 6)",BW96/$BX$227,BP96="Number of times per Month (1 to 3)",BW96/$BX$228,BW96="","")</f>
        <v>60</v>
      </c>
      <c r="BY96" s="239" t="s">
        <v>22</v>
      </c>
      <c r="BZ96" s="239" t="s">
        <v>4</v>
      </c>
      <c r="CA96" s="239" t="s">
        <v>2</v>
      </c>
      <c r="CB96" s="239" t="s">
        <v>4</v>
      </c>
      <c r="CC96" s="239" t="s">
        <v>4</v>
      </c>
      <c r="CD96" s="239" t="s">
        <v>4</v>
      </c>
      <c r="CE96" s="239" t="s">
        <v>7</v>
      </c>
      <c r="CF96" s="239" t="s">
        <v>31901</v>
      </c>
      <c r="CG96" s="239" t="s">
        <v>4</v>
      </c>
      <c r="CH96" s="239" t="s">
        <v>31724</v>
      </c>
      <c r="CI96" s="239">
        <v>0</v>
      </c>
      <c r="CJ96" s="239">
        <v>5</v>
      </c>
      <c r="CK96" s="239">
        <v>0</v>
      </c>
      <c r="CL96" s="239">
        <v>0</v>
      </c>
      <c r="CM96" s="239">
        <v>0</v>
      </c>
      <c r="CN96" s="239">
        <v>800</v>
      </c>
      <c r="CO96" s="239">
        <v>0</v>
      </c>
      <c r="CP96" s="239">
        <v>0</v>
      </c>
      <c r="CQ96" s="239">
        <v>0</v>
      </c>
      <c r="CR96" s="239">
        <v>0</v>
      </c>
      <c r="CS96" s="239">
        <f>CP96/'SDG outcome'!$C$9*CQ96*CR96</f>
        <v>0</v>
      </c>
      <c r="CT96" s="239" t="s">
        <v>4</v>
      </c>
      <c r="CU96" s="239" t="s">
        <v>4</v>
      </c>
      <c r="CV96" s="239" t="s">
        <v>4</v>
      </c>
      <c r="CW96" s="239">
        <v>100</v>
      </c>
      <c r="CX96" s="239">
        <v>0</v>
      </c>
      <c r="CY96" s="239" t="s">
        <v>4</v>
      </c>
      <c r="CZ96" s="239" t="s">
        <v>4</v>
      </c>
      <c r="DA96" s="239" t="s">
        <v>4</v>
      </c>
      <c r="DB96" s="239" t="s">
        <v>4</v>
      </c>
      <c r="DC96" s="239" t="s">
        <v>4</v>
      </c>
      <c r="DD96" s="239" t="s">
        <v>4</v>
      </c>
      <c r="DE96" s="239" t="s">
        <v>4</v>
      </c>
      <c r="DF96" s="239">
        <v>0</v>
      </c>
      <c r="DG96" s="239">
        <v>100</v>
      </c>
      <c r="DH96" s="239" t="s">
        <v>31729</v>
      </c>
      <c r="DI96" s="239" t="s">
        <v>4</v>
      </c>
      <c r="DJ96" s="239" t="s">
        <v>4</v>
      </c>
      <c r="DK96" s="239" t="s">
        <v>4</v>
      </c>
      <c r="DL96" s="239" t="s">
        <v>4</v>
      </c>
      <c r="DM96" s="239" t="s">
        <v>4</v>
      </c>
      <c r="DN96" s="239" t="s">
        <v>4</v>
      </c>
      <c r="DO96" s="239">
        <v>8</v>
      </c>
      <c r="DP96" s="239" t="s">
        <v>7</v>
      </c>
      <c r="DQ96" s="239" t="s">
        <v>29292</v>
      </c>
      <c r="DR96" s="239" t="s">
        <v>4</v>
      </c>
      <c r="DS96" s="239" t="s">
        <v>29293</v>
      </c>
      <c r="DT96" s="240">
        <v>90000</v>
      </c>
      <c r="DU96" s="239" t="s">
        <v>29294</v>
      </c>
      <c r="DV96" s="240" t="s">
        <v>4</v>
      </c>
      <c r="DW96" s="239" t="s">
        <v>29442</v>
      </c>
      <c r="DX96" s="239">
        <v>50</v>
      </c>
      <c r="DY96" s="239" t="s">
        <v>29296</v>
      </c>
      <c r="DZ96" s="239">
        <v>100</v>
      </c>
      <c r="EA96" s="239"/>
      <c r="EB96" s="239"/>
      <c r="EC96" s="239"/>
      <c r="ED96" s="239"/>
      <c r="EE96" s="320">
        <f>Table14[[#This Row],[% Fertilizer]]*$DX96/10000</f>
        <v>0.5</v>
      </c>
      <c r="EF96" s="320">
        <f>Table14[[#This Row],[% bioslurry used as Insecticide/Pesticide]]*$DX96/10000</f>
        <v>0</v>
      </c>
      <c r="EG96" s="320">
        <f>Table14[[#This Row],[% of Bioslurry used as animal feed]]*$DX96/10000</f>
        <v>0</v>
      </c>
      <c r="EH96" s="320">
        <f>Table14[[#This Row],[% of Bioslurry sold]]*$DX96/10000</f>
        <v>0</v>
      </c>
      <c r="EI96" s="320">
        <f>Table14[[#This Row],[% used other way(if used directly)]]*$DX96/10000</f>
        <v>0</v>
      </c>
      <c r="EJ96" s="239">
        <v>50</v>
      </c>
      <c r="EK96" s="239" t="s">
        <v>29443</v>
      </c>
      <c r="EL96" s="239"/>
      <c r="EM96" s="239"/>
      <c r="EN96" s="239"/>
      <c r="EO96" s="239">
        <f>(Table14[[#This Row],[% Uncovered lagoon greater than 1 meter]]+Table14[[#This Row],[Uncovered lagoon (black watery mass) &lt;1 meter]]+Table14[[#This Row],[% Liquid slurry (brown porridge type)]])*Table14[[#This Row],[% Store it first]]/100</f>
        <v>0</v>
      </c>
      <c r="EP96" s="239"/>
      <c r="EQ96" s="239"/>
      <c r="ER96" s="239"/>
      <c r="ES96" s="239">
        <v>100</v>
      </c>
      <c r="ET96" s="239">
        <f>(Table14[[#This Row],[% Solid storage]]+Table14[[#This Row],[% Sun drying]]+Table14[[#This Row],[% Composting with a roof]]+Table14[[#This Row],[% Composting without a roof]])*Table14[[#This Row],[% Store it first]]/100</f>
        <v>50</v>
      </c>
      <c r="EU96" s="239">
        <v>60</v>
      </c>
      <c r="EV96" s="320">
        <f t="shared" si="2"/>
        <v>0.5</v>
      </c>
      <c r="EW96" s="320">
        <f t="shared" si="3"/>
        <v>0</v>
      </c>
      <c r="EX96" s="320">
        <f t="shared" si="4"/>
        <v>0</v>
      </c>
      <c r="EY96" s="320">
        <f t="shared" si="5"/>
        <v>0</v>
      </c>
      <c r="EZ96" s="320">
        <f t="shared" si="6"/>
        <v>0</v>
      </c>
      <c r="FA96" s="239"/>
      <c r="FB96" s="239"/>
      <c r="FC96" s="239"/>
      <c r="FD96" s="239">
        <f>Table14[[#This Row],[% I donâ€™t use it / discarded]]+Table14[[#This Row],[% Other (specify)(If you use bioslurry directly)]]+Table14[[#This Row],[% Store it first]]+Table14[[#This Row],[% Use directly for various purposes]]</f>
        <v>100</v>
      </c>
      <c r="FE96" s="239" t="s">
        <v>29296</v>
      </c>
      <c r="FF96" s="239">
        <v>100</v>
      </c>
      <c r="FG96" s="239"/>
      <c r="FH96" s="239"/>
      <c r="FI96" s="239"/>
      <c r="FJ96" s="239"/>
      <c r="FK96" s="239" t="s">
        <v>9</v>
      </c>
      <c r="FL96" s="239" t="s">
        <v>7</v>
      </c>
      <c r="FM96" s="239">
        <v>40</v>
      </c>
      <c r="FN96" s="239"/>
      <c r="FO96" s="239" t="s">
        <v>30971</v>
      </c>
      <c r="FP96" s="239" t="s">
        <v>29298</v>
      </c>
      <c r="FQ96" s="239">
        <v>60</v>
      </c>
      <c r="FR96" s="239" t="s">
        <v>7</v>
      </c>
      <c r="FS96" s="239" t="s">
        <v>29393</v>
      </c>
      <c r="FT96" s="239" t="s">
        <v>4</v>
      </c>
      <c r="FU96" s="239" t="s">
        <v>2</v>
      </c>
      <c r="FV96" s="239" t="s">
        <v>4</v>
      </c>
      <c r="FW96" s="239" t="s">
        <v>4</v>
      </c>
      <c r="FX96" s="239" t="s">
        <v>4</v>
      </c>
      <c r="FY96" s="239" t="s">
        <v>4</v>
      </c>
      <c r="FZ96" s="239" t="s">
        <v>4</v>
      </c>
      <c r="GA96" s="239" t="s">
        <v>4</v>
      </c>
      <c r="GB96" s="240" t="s">
        <v>4</v>
      </c>
      <c r="GC96" s="239" t="s">
        <v>4</v>
      </c>
      <c r="GD96" s="239" t="s">
        <v>2</v>
      </c>
      <c r="GE96" s="239" t="s">
        <v>4</v>
      </c>
      <c r="GF96" s="239" t="s">
        <v>4</v>
      </c>
      <c r="GG96" s="239" t="s">
        <v>7</v>
      </c>
      <c r="GH96" s="239" t="s">
        <v>7</v>
      </c>
      <c r="GI96" s="239" t="s">
        <v>29302</v>
      </c>
      <c r="GJ96" s="239" t="s">
        <v>30972</v>
      </c>
      <c r="GK96" s="239" t="s">
        <v>4</v>
      </c>
      <c r="GL96" s="239">
        <v>0</v>
      </c>
      <c r="GM96" s="239"/>
      <c r="GN96" s="239" t="s">
        <v>4</v>
      </c>
      <c r="GO96" s="239" t="s">
        <v>4</v>
      </c>
      <c r="GP96" s="239" t="s">
        <v>4</v>
      </c>
      <c r="GQ96" s="239" t="s">
        <v>4</v>
      </c>
      <c r="GR96" s="239" t="s">
        <v>4</v>
      </c>
      <c r="GS96" s="239" t="s">
        <v>4</v>
      </c>
      <c r="GT96" s="239" t="s">
        <v>4</v>
      </c>
      <c r="GU96" s="239" t="s">
        <v>4</v>
      </c>
      <c r="GV96" s="239" t="s">
        <v>4</v>
      </c>
      <c r="GW96" s="239" t="s">
        <v>29304</v>
      </c>
      <c r="GX96" s="239" t="s">
        <v>29305</v>
      </c>
      <c r="GY96" s="239" t="s">
        <v>29306</v>
      </c>
      <c r="GZ96" s="239" t="s">
        <v>4</v>
      </c>
      <c r="HA96" s="239" t="s">
        <v>4</v>
      </c>
      <c r="HB96" s="239" t="s">
        <v>4</v>
      </c>
      <c r="HC96" s="239" t="s">
        <v>4</v>
      </c>
      <c r="HD96" s="239" t="s">
        <v>4</v>
      </c>
      <c r="HE96" s="239" t="s">
        <v>30973</v>
      </c>
      <c r="HF96" s="239" t="s">
        <v>13</v>
      </c>
      <c r="HG96" s="239" t="s">
        <v>4</v>
      </c>
      <c r="HH96" s="239" t="s">
        <v>29354</v>
      </c>
      <c r="HI96" s="239" t="s">
        <v>4</v>
      </c>
      <c r="HJ96" s="240">
        <v>0</v>
      </c>
      <c r="HK96" s="239" t="s">
        <v>2</v>
      </c>
      <c r="HL96" s="239" t="s">
        <v>29309</v>
      </c>
      <c r="HM96" s="239" t="s">
        <v>4</v>
      </c>
      <c r="HN96" s="239" t="s">
        <v>4</v>
      </c>
      <c r="HO96" s="239" t="s">
        <v>4</v>
      </c>
      <c r="HP96" s="239" t="s">
        <v>4</v>
      </c>
      <c r="HQ96" s="239" t="s">
        <v>4</v>
      </c>
      <c r="HR96" s="239" t="s">
        <v>4</v>
      </c>
      <c r="HS96" s="239" t="s">
        <v>4</v>
      </c>
      <c r="HT96" s="239" t="s">
        <v>4</v>
      </c>
      <c r="HU96" s="239" t="s">
        <v>2</v>
      </c>
      <c r="HV96" s="239" t="s">
        <v>4</v>
      </c>
      <c r="HW96" s="239" t="s">
        <v>4</v>
      </c>
      <c r="HX96" s="239" t="s">
        <v>4</v>
      </c>
      <c r="HY96" s="239" t="s">
        <v>4</v>
      </c>
      <c r="HZ96" s="239" t="s">
        <v>30974</v>
      </c>
      <c r="IA96" s="239" t="s">
        <v>7</v>
      </c>
      <c r="IB96" s="239" t="s">
        <v>30975</v>
      </c>
      <c r="IC96" s="239" t="s">
        <v>30976</v>
      </c>
      <c r="ID96" s="239" t="s">
        <v>30977</v>
      </c>
      <c r="IE96" s="239" t="s">
        <v>30978</v>
      </c>
      <c r="IF96" s="239" t="s">
        <v>30979</v>
      </c>
      <c r="IG96" s="239" t="s">
        <v>30980</v>
      </c>
      <c r="IH96" s="239" t="s">
        <v>30969</v>
      </c>
    </row>
    <row r="97" spans="1:242" s="1" customFormat="1" ht="36.75" customHeight="1" x14ac:dyDescent="0.2">
      <c r="A97" s="239">
        <v>195</v>
      </c>
      <c r="B97" s="239" t="s">
        <v>1343</v>
      </c>
      <c r="C97" s="239" t="s">
        <v>31331</v>
      </c>
      <c r="D97" s="239" t="s">
        <v>31312</v>
      </c>
      <c r="E97" s="239" t="s">
        <v>7</v>
      </c>
      <c r="F97" s="239" t="s">
        <v>31332</v>
      </c>
      <c r="G97" s="239">
        <v>1207.4000000000001</v>
      </c>
      <c r="H97" s="239">
        <v>4.5</v>
      </c>
      <c r="I97" s="239" t="s">
        <v>29288</v>
      </c>
      <c r="J97" s="239" t="s">
        <v>4</v>
      </c>
      <c r="K97" s="239" t="s">
        <v>31333</v>
      </c>
      <c r="L97" s="239">
        <v>782494980</v>
      </c>
      <c r="M97" s="239" t="s">
        <v>3</v>
      </c>
      <c r="N97" s="239" t="s">
        <v>31844</v>
      </c>
      <c r="O97" s="239" t="s">
        <v>4</v>
      </c>
      <c r="P97" s="239">
        <v>10</v>
      </c>
      <c r="Q97" s="239" t="s">
        <v>7</v>
      </c>
      <c r="R97" s="239" t="s">
        <v>31588</v>
      </c>
      <c r="S97" s="239" t="s">
        <v>4</v>
      </c>
      <c r="T97" s="239" t="s">
        <v>7</v>
      </c>
      <c r="U97" s="239" t="s">
        <v>7</v>
      </c>
      <c r="V97" s="239"/>
      <c r="W97" s="239" t="s">
        <v>7</v>
      </c>
      <c r="X97" s="239" t="s">
        <v>4</v>
      </c>
      <c r="Y97" s="239" t="s">
        <v>4</v>
      </c>
      <c r="Z97" s="241" t="str">
        <f>IF(OR(T97="yes",Y97&gt;'SDG outcome'!$C$27),"yes","no")</f>
        <v>yes</v>
      </c>
      <c r="AA97" s="243">
        <f t="shared" si="1"/>
        <v>0</v>
      </c>
      <c r="AB97" s="243" t="str">
        <f>IF(AND(Z97="no",AND(Y97&gt;='SDG outcome'!$B$16,Y97&lt;'SDG outcome'!$C$27)),Y97-'SDG outcome'!$B$16,"")</f>
        <v/>
      </c>
      <c r="AC97" s="239" t="s">
        <v>4</v>
      </c>
      <c r="AD97" s="239" t="s">
        <v>4</v>
      </c>
      <c r="AE97" s="239" t="s">
        <v>4</v>
      </c>
      <c r="AF97" s="239" t="s">
        <v>4</v>
      </c>
      <c r="AG97" s="239" t="s">
        <v>4</v>
      </c>
      <c r="AH97" s="239" t="s">
        <v>4</v>
      </c>
      <c r="AI97" s="239" t="s">
        <v>4</v>
      </c>
      <c r="AJ97" s="239" t="s">
        <v>29290</v>
      </c>
      <c r="AK97" s="239" t="s">
        <v>31294</v>
      </c>
      <c r="AL97" s="239" t="s">
        <v>4</v>
      </c>
      <c r="AM97" s="239" t="s">
        <v>4</v>
      </c>
      <c r="AN97" s="239" t="s">
        <v>31536</v>
      </c>
      <c r="AO97" s="239" t="s">
        <v>4</v>
      </c>
      <c r="AP97" s="239" t="s">
        <v>31537</v>
      </c>
      <c r="AQ97" s="239" t="s">
        <v>4</v>
      </c>
      <c r="AR97" s="239" t="s">
        <v>31538</v>
      </c>
      <c r="AS97" s="239" t="s">
        <v>4</v>
      </c>
      <c r="AT97" s="239" t="s">
        <v>7</v>
      </c>
      <c r="AU97" s="239" t="s">
        <v>4</v>
      </c>
      <c r="AV97" s="239" t="s">
        <v>4</v>
      </c>
      <c r="AW97" s="239" t="s">
        <v>31539</v>
      </c>
      <c r="AX97" s="239" t="s">
        <v>4</v>
      </c>
      <c r="AY97" s="239" t="s">
        <v>4</v>
      </c>
      <c r="AZ97" s="239" t="s">
        <v>7</v>
      </c>
      <c r="BA97" s="239" t="s">
        <v>11</v>
      </c>
      <c r="BB97" s="239" t="s">
        <v>4</v>
      </c>
      <c r="BC97" s="239" t="s">
        <v>31619</v>
      </c>
      <c r="BD97" s="239" t="s">
        <v>4</v>
      </c>
      <c r="BE97" s="239" t="s">
        <v>4</v>
      </c>
      <c r="BF97" s="239" t="s">
        <v>4</v>
      </c>
      <c r="BG97" s="239" t="s">
        <v>4</v>
      </c>
      <c r="BH97" s="239" t="s">
        <v>4</v>
      </c>
      <c r="BI97" s="239" t="s">
        <v>4</v>
      </c>
      <c r="BJ97" s="239" t="s">
        <v>4</v>
      </c>
      <c r="BK97" s="239" t="s">
        <v>4</v>
      </c>
      <c r="BL97" s="239" t="s">
        <v>4</v>
      </c>
      <c r="BM97" s="239" t="s">
        <v>7</v>
      </c>
      <c r="BN97" s="239" t="s">
        <v>6</v>
      </c>
      <c r="BO97" s="239" t="s">
        <v>4</v>
      </c>
      <c r="BP97" s="239" t="s">
        <v>31429</v>
      </c>
      <c r="BQ97" s="239">
        <v>3</v>
      </c>
      <c r="BR97" s="239">
        <v>30</v>
      </c>
      <c r="BS97" s="239" t="s">
        <v>31434</v>
      </c>
      <c r="BT97" s="239"/>
      <c r="BU97" s="239">
        <v>2</v>
      </c>
      <c r="BV97" s="239" cm="1">
        <f t="array" ref="BV97">_xlfn.IFS(BS97="Foreword vehicle",BU97*0,BS97="Human wastes",BU97*0,BS97="Jerrycans",BU97*$BV$228,BS97="Number of Basins",BU97*$BV$229,BS97="Number of Buckets",BU97*$CA$226,BS97="Number of Kgs",BU97*$CA$227,BS97="Number of spades",BU97*$CA$228,BS97="Number of wheelbarrows",BU97*$CA$229,BT97="Foreword vehicle",BU97*0,BT97="Human wastes",BU97*0,BT97="Jerrycans",BU97*$BV$228,BS97="","")</f>
        <v>32</v>
      </c>
      <c r="BW97" s="239">
        <f>IF(BV97="","",Table14[[#This Row],[Calculation: Conversion of metric to Kg manure feeding (Columns: BP, BQ, BR)]]*Table14[[#This Row],[Number of times used to feed biodigester]])</f>
        <v>96</v>
      </c>
      <c r="BX97" s="239" cm="1">
        <f t="array" ref="BX97">_xlfn.IFS(BP97="Number of times per day (1 to 3)",BW97/$BX$226,BP97="Number of times per week (1 to 6)",BW97/$BX$227,BP97="Number of times per Month (1 to 3)",BW97/$BX$228,BW97="","")</f>
        <v>13.714285714285714</v>
      </c>
      <c r="BY97" s="239" t="s">
        <v>22</v>
      </c>
      <c r="BZ97" s="239" t="s">
        <v>4</v>
      </c>
      <c r="CA97" s="239" t="s">
        <v>2</v>
      </c>
      <c r="CB97" s="239" t="s">
        <v>4</v>
      </c>
      <c r="CC97" s="239" t="s">
        <v>4</v>
      </c>
      <c r="CD97" s="239" t="s">
        <v>4</v>
      </c>
      <c r="CE97" s="239" t="s">
        <v>7</v>
      </c>
      <c r="CF97" s="239" t="s">
        <v>31974</v>
      </c>
      <c r="CG97" s="239" t="s">
        <v>4</v>
      </c>
      <c r="CH97" s="239" t="s">
        <v>31705</v>
      </c>
      <c r="CI97" s="239">
        <v>0</v>
      </c>
      <c r="CJ97" s="239">
        <v>5</v>
      </c>
      <c r="CK97" s="239">
        <v>0</v>
      </c>
      <c r="CL97" s="239">
        <v>0</v>
      </c>
      <c r="CM97" s="239">
        <v>0</v>
      </c>
      <c r="CN97" s="239">
        <v>0</v>
      </c>
      <c r="CO97" s="239">
        <v>0</v>
      </c>
      <c r="CP97" s="239">
        <v>0</v>
      </c>
      <c r="CQ97" s="239">
        <v>0</v>
      </c>
      <c r="CR97" s="239">
        <v>0</v>
      </c>
      <c r="CS97" s="239">
        <f>CP97/'SDG outcome'!$C$9*CQ97*CR97</f>
        <v>0</v>
      </c>
      <c r="CT97" s="239" t="s">
        <v>4</v>
      </c>
      <c r="CU97" s="239" t="s">
        <v>4</v>
      </c>
      <c r="CV97" s="239" t="s">
        <v>4</v>
      </c>
      <c r="CW97" s="239">
        <v>100</v>
      </c>
      <c r="CX97" s="239">
        <v>0</v>
      </c>
      <c r="CY97" s="239" t="s">
        <v>4</v>
      </c>
      <c r="CZ97" s="239" t="s">
        <v>4</v>
      </c>
      <c r="DA97" s="239" t="s">
        <v>4</v>
      </c>
      <c r="DB97" s="239" t="s">
        <v>4</v>
      </c>
      <c r="DC97" s="239" t="s">
        <v>4</v>
      </c>
      <c r="DD97" s="239" t="s">
        <v>4</v>
      </c>
      <c r="DE97" s="239" t="s">
        <v>4</v>
      </c>
      <c r="DF97" s="239" t="s">
        <v>4</v>
      </c>
      <c r="DG97" s="239" t="s">
        <v>4</v>
      </c>
      <c r="DH97" s="239" t="s">
        <v>4</v>
      </c>
      <c r="DI97" s="239" t="s">
        <v>4</v>
      </c>
      <c r="DJ97" s="239" t="s">
        <v>4</v>
      </c>
      <c r="DK97" s="239" t="s">
        <v>4</v>
      </c>
      <c r="DL97" s="239" t="s">
        <v>4</v>
      </c>
      <c r="DM97" s="239" t="s">
        <v>4</v>
      </c>
      <c r="DN97" s="239" t="s">
        <v>4</v>
      </c>
      <c r="DO97" s="239">
        <v>2</v>
      </c>
      <c r="DP97" s="239" t="s">
        <v>2</v>
      </c>
      <c r="DQ97" s="239" t="s">
        <v>29292</v>
      </c>
      <c r="DR97" s="239" t="s">
        <v>4</v>
      </c>
      <c r="DS97" s="239" t="s">
        <v>29293</v>
      </c>
      <c r="DT97" s="240">
        <v>200000</v>
      </c>
      <c r="DU97" s="239" t="s">
        <v>29294</v>
      </c>
      <c r="DV97" s="240" t="s">
        <v>4</v>
      </c>
      <c r="DW97" s="239" t="s">
        <v>29295</v>
      </c>
      <c r="DX97" s="239">
        <v>100</v>
      </c>
      <c r="DY97" s="239" t="s">
        <v>29296</v>
      </c>
      <c r="DZ97" s="239">
        <v>100</v>
      </c>
      <c r="EA97" s="239"/>
      <c r="EB97" s="239"/>
      <c r="EC97" s="239"/>
      <c r="ED97" s="239"/>
      <c r="EE97" s="320">
        <f>Table14[[#This Row],[% Fertilizer]]*$DX97/10000</f>
        <v>1</v>
      </c>
      <c r="EF97" s="320">
        <f>Table14[[#This Row],[% bioslurry used as Insecticide/Pesticide]]*$DX97/10000</f>
        <v>0</v>
      </c>
      <c r="EG97" s="320">
        <f>Table14[[#This Row],[% of Bioslurry used as animal feed]]*$DX97/10000</f>
        <v>0</v>
      </c>
      <c r="EH97" s="320">
        <f>Table14[[#This Row],[% of Bioslurry sold]]*$DX97/10000</f>
        <v>0</v>
      </c>
      <c r="EI97" s="320">
        <f>Table14[[#This Row],[% used other way(if used directly)]]*$DX97/10000</f>
        <v>0</v>
      </c>
      <c r="EJ97" s="239"/>
      <c r="EK97" s="239"/>
      <c r="EL97" s="239"/>
      <c r="EM97" s="239"/>
      <c r="EN97" s="239"/>
      <c r="EO97" s="239">
        <f>(Table14[[#This Row],[% Uncovered lagoon greater than 1 meter]]+Table14[[#This Row],[Uncovered lagoon (black watery mass) &lt;1 meter]]+Table14[[#This Row],[% Liquid slurry (brown porridge type)]])*Table14[[#This Row],[% Store it first]]/100</f>
        <v>0</v>
      </c>
      <c r="EP97" s="239"/>
      <c r="EQ97" s="239"/>
      <c r="ER97" s="239"/>
      <c r="ES97" s="239"/>
      <c r="ET97" s="239">
        <f>(Table14[[#This Row],[% Solid storage]]+Table14[[#This Row],[% Sun drying]]+Table14[[#This Row],[% Composting with a roof]]+Table14[[#This Row],[% Composting without a roof]])*Table14[[#This Row],[% Store it first]]/100</f>
        <v>0</v>
      </c>
      <c r="EU97" s="239"/>
      <c r="EV97" s="320">
        <f t="shared" si="2"/>
        <v>0</v>
      </c>
      <c r="EW97" s="320">
        <f t="shared" si="3"/>
        <v>0</v>
      </c>
      <c r="EX97" s="320">
        <f t="shared" si="4"/>
        <v>0</v>
      </c>
      <c r="EY97" s="320">
        <f t="shared" si="5"/>
        <v>0</v>
      </c>
      <c r="EZ97" s="320">
        <f t="shared" si="6"/>
        <v>0</v>
      </c>
      <c r="FA97" s="239"/>
      <c r="FB97" s="239"/>
      <c r="FC97" s="239"/>
      <c r="FD97" s="239">
        <f>Table14[[#This Row],[% I donâ€™t use it / discarded]]+Table14[[#This Row],[% Other (specify)(If you use bioslurry directly)]]+Table14[[#This Row],[% Store it first]]+Table14[[#This Row],[% Use directly for various purposes]]</f>
        <v>100</v>
      </c>
      <c r="FE97" s="239" t="s">
        <v>4</v>
      </c>
      <c r="FF97" s="239"/>
      <c r="FG97" s="239"/>
      <c r="FH97" s="239"/>
      <c r="FI97" s="239"/>
      <c r="FJ97" s="239"/>
      <c r="FK97" s="239" t="s">
        <v>9</v>
      </c>
      <c r="FL97" s="239" t="s">
        <v>7</v>
      </c>
      <c r="FM97" s="239">
        <v>60</v>
      </c>
      <c r="FN97" s="239"/>
      <c r="FO97" s="239" t="s">
        <v>31334</v>
      </c>
      <c r="FP97" s="239" t="s">
        <v>29298</v>
      </c>
      <c r="FQ97" s="239">
        <v>180</v>
      </c>
      <c r="FR97" s="239" t="s">
        <v>2</v>
      </c>
      <c r="FS97" s="239" t="s">
        <v>4</v>
      </c>
      <c r="FT97" s="239" t="s">
        <v>4</v>
      </c>
      <c r="FU97" s="239" t="s">
        <v>2</v>
      </c>
      <c r="FV97" s="239" t="s">
        <v>4</v>
      </c>
      <c r="FW97" s="239" t="s">
        <v>4</v>
      </c>
      <c r="FX97" s="239" t="s">
        <v>4</v>
      </c>
      <c r="FY97" s="239" t="s">
        <v>4</v>
      </c>
      <c r="FZ97" s="239" t="s">
        <v>4</v>
      </c>
      <c r="GA97" s="239" t="s">
        <v>4</v>
      </c>
      <c r="GB97" s="240" t="s">
        <v>4</v>
      </c>
      <c r="GC97" s="239" t="s">
        <v>4</v>
      </c>
      <c r="GD97" s="239" t="s">
        <v>2</v>
      </c>
      <c r="GE97" s="239" t="s">
        <v>4</v>
      </c>
      <c r="GF97" s="239" t="s">
        <v>4</v>
      </c>
      <c r="GG97" s="239" t="s">
        <v>7</v>
      </c>
      <c r="GH97" s="239" t="s">
        <v>7</v>
      </c>
      <c r="GI97" s="239" t="s">
        <v>29302</v>
      </c>
      <c r="GJ97" s="239" t="s">
        <v>31335</v>
      </c>
      <c r="GK97" s="239" t="s">
        <v>29304</v>
      </c>
      <c r="GL97" s="239">
        <v>1</v>
      </c>
      <c r="GM97" s="239" t="s">
        <v>29305</v>
      </c>
      <c r="GN97" s="239" t="s">
        <v>29323</v>
      </c>
      <c r="GO97" s="239" t="s">
        <v>4</v>
      </c>
      <c r="GP97" s="239" t="s">
        <v>4</v>
      </c>
      <c r="GQ97" s="239" t="s">
        <v>4</v>
      </c>
      <c r="GR97" s="239" t="s">
        <v>4</v>
      </c>
      <c r="GS97" s="239" t="s">
        <v>4</v>
      </c>
      <c r="GT97" s="239" t="s">
        <v>4</v>
      </c>
      <c r="GU97" s="239" t="s">
        <v>4</v>
      </c>
      <c r="GV97" s="239" t="s">
        <v>4</v>
      </c>
      <c r="GW97" s="239" t="s">
        <v>4</v>
      </c>
      <c r="GX97" s="239" t="s">
        <v>4</v>
      </c>
      <c r="GY97" s="239" t="s">
        <v>4</v>
      </c>
      <c r="GZ97" s="239" t="s">
        <v>4</v>
      </c>
      <c r="HA97" s="239" t="s">
        <v>4</v>
      </c>
      <c r="HB97" s="239" t="s">
        <v>4</v>
      </c>
      <c r="HC97" s="239" t="s">
        <v>4</v>
      </c>
      <c r="HD97" s="239" t="s">
        <v>4</v>
      </c>
      <c r="HE97" s="239" t="s">
        <v>4</v>
      </c>
      <c r="HF97" s="239" t="s">
        <v>4</v>
      </c>
      <c r="HG97" s="239" t="s">
        <v>4</v>
      </c>
      <c r="HH97" s="239" t="s">
        <v>29452</v>
      </c>
      <c r="HI97" s="239" t="s">
        <v>4</v>
      </c>
      <c r="HJ97" s="240">
        <v>0</v>
      </c>
      <c r="HK97" s="239" t="s">
        <v>2</v>
      </c>
      <c r="HL97" s="239" t="s">
        <v>29309</v>
      </c>
      <c r="HM97" s="239" t="s">
        <v>4</v>
      </c>
      <c r="HN97" s="239" t="s">
        <v>4</v>
      </c>
      <c r="HO97" s="239" t="s">
        <v>4</v>
      </c>
      <c r="HP97" s="239" t="s">
        <v>4</v>
      </c>
      <c r="HQ97" s="239" t="s">
        <v>4</v>
      </c>
      <c r="HR97" s="239" t="s">
        <v>4</v>
      </c>
      <c r="HS97" s="239" t="s">
        <v>4</v>
      </c>
      <c r="HT97" s="239" t="s">
        <v>4</v>
      </c>
      <c r="HU97" s="239" t="s">
        <v>2</v>
      </c>
      <c r="HV97" s="239" t="s">
        <v>4</v>
      </c>
      <c r="HW97" s="239" t="s">
        <v>4</v>
      </c>
      <c r="HX97" s="239" t="s">
        <v>4</v>
      </c>
      <c r="HY97" s="239" t="s">
        <v>4</v>
      </c>
      <c r="HZ97" s="239" t="s">
        <v>31336</v>
      </c>
      <c r="IA97" s="239" t="s">
        <v>7</v>
      </c>
      <c r="IB97" s="239" t="s">
        <v>31337</v>
      </c>
      <c r="IC97" s="239" t="s">
        <v>31338</v>
      </c>
      <c r="ID97" s="239" t="s">
        <v>31339</v>
      </c>
      <c r="IE97" s="239" t="s">
        <v>31340</v>
      </c>
      <c r="IF97" s="239" t="s">
        <v>31341</v>
      </c>
      <c r="IG97" s="239" t="s">
        <v>31342</v>
      </c>
      <c r="IH97" s="239" t="s">
        <v>31331</v>
      </c>
    </row>
    <row r="98" spans="1:242" s="1" customFormat="1" ht="36.75" customHeight="1" x14ac:dyDescent="0.2">
      <c r="A98" s="239">
        <v>197</v>
      </c>
      <c r="B98" s="239" t="s">
        <v>5747</v>
      </c>
      <c r="C98" s="239" t="s">
        <v>31356</v>
      </c>
      <c r="D98" s="239" t="s">
        <v>31344</v>
      </c>
      <c r="E98" s="239" t="s">
        <v>7</v>
      </c>
      <c r="F98" s="239" t="s">
        <v>31357</v>
      </c>
      <c r="G98" s="239">
        <v>1123.5250000000001</v>
      </c>
      <c r="H98" s="239">
        <v>5.7861989999999999</v>
      </c>
      <c r="I98" s="239" t="s">
        <v>29389</v>
      </c>
      <c r="J98" s="239" t="s">
        <v>30482</v>
      </c>
      <c r="K98" s="239" t="s">
        <v>31358</v>
      </c>
      <c r="L98" s="239">
        <v>750979848</v>
      </c>
      <c r="M98" s="239" t="s">
        <v>5</v>
      </c>
      <c r="N98" s="239" t="s">
        <v>31598</v>
      </c>
      <c r="O98" s="239" t="s">
        <v>4</v>
      </c>
      <c r="P98" s="239">
        <v>5</v>
      </c>
      <c r="Q98" s="239" t="s">
        <v>7</v>
      </c>
      <c r="R98" s="239" t="s">
        <v>31731</v>
      </c>
      <c r="S98" s="239" t="s">
        <v>4</v>
      </c>
      <c r="T98" s="239" t="s">
        <v>7</v>
      </c>
      <c r="U98" s="239" t="s">
        <v>7</v>
      </c>
      <c r="V98" s="239"/>
      <c r="W98" s="239" t="s">
        <v>7</v>
      </c>
      <c r="X98" s="239" t="s">
        <v>4</v>
      </c>
      <c r="Y98" s="239" t="s">
        <v>4</v>
      </c>
      <c r="Z98" s="241" t="str">
        <f>IF(OR(T98="yes",Y98&gt;'SDG outcome'!$C$27),"yes","no")</f>
        <v>yes</v>
      </c>
      <c r="AA98" s="243">
        <f t="shared" si="1"/>
        <v>0</v>
      </c>
      <c r="AB98" s="243" t="str">
        <f>IF(AND(Z98="no",AND(Y98&gt;='SDG outcome'!$B$16,Y98&lt;'SDG outcome'!$C$27)),Y98-'SDG outcome'!$B$16,"")</f>
        <v/>
      </c>
      <c r="AC98" s="239" t="s">
        <v>4</v>
      </c>
      <c r="AD98" s="239" t="s">
        <v>4</v>
      </c>
      <c r="AE98" s="239" t="s">
        <v>4</v>
      </c>
      <c r="AF98" s="239" t="s">
        <v>4</v>
      </c>
      <c r="AG98" s="239" t="s">
        <v>4</v>
      </c>
      <c r="AH98" s="239" t="s">
        <v>4</v>
      </c>
      <c r="AI98" s="239" t="s">
        <v>4</v>
      </c>
      <c r="AJ98" s="239" t="s">
        <v>29290</v>
      </c>
      <c r="AK98" s="239" t="s">
        <v>29694</v>
      </c>
      <c r="AL98" s="239" t="s">
        <v>4</v>
      </c>
      <c r="AM98" s="239" t="s">
        <v>4</v>
      </c>
      <c r="AN98" s="239" t="s">
        <v>31536</v>
      </c>
      <c r="AO98" s="239" t="s">
        <v>4</v>
      </c>
      <c r="AP98" s="239" t="s">
        <v>31537</v>
      </c>
      <c r="AQ98" s="239" t="s">
        <v>4</v>
      </c>
      <c r="AR98" s="239" t="s">
        <v>31538</v>
      </c>
      <c r="AS98" s="239" t="s">
        <v>4</v>
      </c>
      <c r="AT98" s="239" t="s">
        <v>7</v>
      </c>
      <c r="AU98" s="239" t="s">
        <v>4</v>
      </c>
      <c r="AV98" s="239" t="s">
        <v>4</v>
      </c>
      <c r="AW98" s="239" t="s">
        <v>31550</v>
      </c>
      <c r="AX98" s="239" t="s">
        <v>4</v>
      </c>
      <c r="AY98" s="239" t="s">
        <v>4</v>
      </c>
      <c r="AZ98" s="239" t="s">
        <v>7</v>
      </c>
      <c r="BA98" s="239" t="s">
        <v>28</v>
      </c>
      <c r="BB98" s="239" t="s">
        <v>4</v>
      </c>
      <c r="BC98" s="239" t="s">
        <v>4</v>
      </c>
      <c r="BD98" s="239" t="s">
        <v>4</v>
      </c>
      <c r="BE98" s="239" t="s">
        <v>4</v>
      </c>
      <c r="BF98" s="239" t="s">
        <v>4</v>
      </c>
      <c r="BG98" s="239" t="s">
        <v>4</v>
      </c>
      <c r="BH98" s="239" t="s">
        <v>4</v>
      </c>
      <c r="BI98" s="239" t="s">
        <v>4</v>
      </c>
      <c r="BJ98" s="239" t="s">
        <v>4</v>
      </c>
      <c r="BK98" s="239" t="s">
        <v>4</v>
      </c>
      <c r="BL98" s="239" t="s">
        <v>4</v>
      </c>
      <c r="BM98" s="239" t="s">
        <v>7</v>
      </c>
      <c r="BN98" s="239" t="s">
        <v>76</v>
      </c>
      <c r="BO98" s="239" t="s">
        <v>4</v>
      </c>
      <c r="BP98" s="239" t="s">
        <v>31432</v>
      </c>
      <c r="BQ98" s="239">
        <v>2</v>
      </c>
      <c r="BR98" s="239">
        <v>60</v>
      </c>
      <c r="BS98" s="239" t="s">
        <v>31435</v>
      </c>
      <c r="BT98" s="239"/>
      <c r="BU98" s="239">
        <v>7</v>
      </c>
      <c r="BV98" s="239" cm="1">
        <f t="array" ref="BV98">_xlfn.IFS(BS98="Foreword vehicle",BU98*0,BS98="Human wastes",BU98*0,BS98="Jerrycans",BU98*$BV$228,BS98="Number of Basins",BU98*$BV$229,BS98="Number of Buckets",BU98*$CA$226,BS98="Number of Kgs",BU98*$CA$227,BS98="Number of spades",BU98*$CA$228,BS98="Number of wheelbarrows",BU98*$CA$229,BT98="Foreword vehicle",BU98*0,BT98="Human wastes",BU98*0,BT98="Jerrycans",BU98*$BV$228,BS98="","")</f>
        <v>493.5</v>
      </c>
      <c r="BW98" s="239">
        <f>IF(BV98="","",Table14[[#This Row],[Calculation: Conversion of metric to Kg manure feeding (Columns: BP, BQ, BR)]]*Table14[[#This Row],[Number of times used to feed biodigester]])</f>
        <v>987</v>
      </c>
      <c r="BX98" s="239" cm="1">
        <f t="array" ref="BX98">_xlfn.IFS(BP98="Number of times per day (1 to 3)",BW98/$BX$226,BP98="Number of times per week (1 to 6)",BW98/$BX$227,BP98="Number of times per Month (1 to 3)",BW98/$BX$228,BW98="","")</f>
        <v>32.9</v>
      </c>
      <c r="BY98" s="239" t="s">
        <v>22</v>
      </c>
      <c r="BZ98" s="239" t="s">
        <v>4</v>
      </c>
      <c r="CA98" s="239" t="s">
        <v>2</v>
      </c>
      <c r="CB98" s="239" t="s">
        <v>4</v>
      </c>
      <c r="CC98" s="239" t="s">
        <v>4</v>
      </c>
      <c r="CD98" s="239" t="s">
        <v>4</v>
      </c>
      <c r="CE98" s="239" t="s">
        <v>7</v>
      </c>
      <c r="CF98" s="239" t="s">
        <v>31639</v>
      </c>
      <c r="CG98" s="239" t="s">
        <v>4</v>
      </c>
      <c r="CH98" s="239" t="s">
        <v>31728</v>
      </c>
      <c r="CI98" s="239">
        <v>0</v>
      </c>
      <c r="CJ98" s="239">
        <v>5</v>
      </c>
      <c r="CK98" s="239">
        <v>7</v>
      </c>
      <c r="CL98" s="239">
        <v>0</v>
      </c>
      <c r="CM98" s="239">
        <v>0</v>
      </c>
      <c r="CN98" s="239">
        <v>0</v>
      </c>
      <c r="CO98" s="239">
        <v>0</v>
      </c>
      <c r="CP98" s="239">
        <v>0</v>
      </c>
      <c r="CQ98" s="239">
        <v>0</v>
      </c>
      <c r="CR98" s="239">
        <v>0</v>
      </c>
      <c r="CS98" s="239">
        <f>CP98/'SDG outcome'!$C$9*CQ98*CR98</f>
        <v>0</v>
      </c>
      <c r="CT98" s="239" t="s">
        <v>4</v>
      </c>
      <c r="CU98" s="239" t="s">
        <v>4</v>
      </c>
      <c r="CV98" s="239" t="s">
        <v>4</v>
      </c>
      <c r="CW98" s="239">
        <v>100</v>
      </c>
      <c r="CX98" s="239">
        <v>0</v>
      </c>
      <c r="CY98" s="239" t="s">
        <v>4</v>
      </c>
      <c r="CZ98" s="239" t="s">
        <v>4</v>
      </c>
      <c r="DA98" s="239" t="s">
        <v>4</v>
      </c>
      <c r="DB98" s="239" t="s">
        <v>4</v>
      </c>
      <c r="DC98" s="239">
        <v>0</v>
      </c>
      <c r="DD98" s="239">
        <v>100</v>
      </c>
      <c r="DE98" s="239" t="s">
        <v>31790</v>
      </c>
      <c r="DF98" s="239" t="s">
        <v>4</v>
      </c>
      <c r="DG98" s="239" t="s">
        <v>4</v>
      </c>
      <c r="DH98" s="239" t="s">
        <v>4</v>
      </c>
      <c r="DI98" s="239" t="s">
        <v>4</v>
      </c>
      <c r="DJ98" s="239" t="s">
        <v>4</v>
      </c>
      <c r="DK98" s="239" t="s">
        <v>4</v>
      </c>
      <c r="DL98" s="239" t="s">
        <v>4</v>
      </c>
      <c r="DM98" s="239" t="s">
        <v>4</v>
      </c>
      <c r="DN98" s="239" t="s">
        <v>4</v>
      </c>
      <c r="DO98" s="239">
        <v>4</v>
      </c>
      <c r="DP98" s="239" t="s">
        <v>2</v>
      </c>
      <c r="DQ98" s="239" t="s">
        <v>29292</v>
      </c>
      <c r="DR98" s="239" t="s">
        <v>4</v>
      </c>
      <c r="DS98" s="239" t="s">
        <v>29293</v>
      </c>
      <c r="DT98" s="240">
        <v>120000</v>
      </c>
      <c r="DU98" s="239" t="s">
        <v>29293</v>
      </c>
      <c r="DV98" s="240">
        <v>120000</v>
      </c>
      <c r="DW98" s="239" t="s">
        <v>29295</v>
      </c>
      <c r="DX98" s="239">
        <v>100</v>
      </c>
      <c r="DY98" s="239" t="s">
        <v>29296</v>
      </c>
      <c r="DZ98" s="239">
        <v>100</v>
      </c>
      <c r="EA98" s="239"/>
      <c r="EB98" s="239"/>
      <c r="EC98" s="239"/>
      <c r="ED98" s="239"/>
      <c r="EE98" s="320">
        <f>Table14[[#This Row],[% Fertilizer]]*$DX98/10000</f>
        <v>1</v>
      </c>
      <c r="EF98" s="320">
        <f>Table14[[#This Row],[% bioslurry used as Insecticide/Pesticide]]*$DX98/10000</f>
        <v>0</v>
      </c>
      <c r="EG98" s="320">
        <f>Table14[[#This Row],[% of Bioslurry used as animal feed]]*$DX98/10000</f>
        <v>0</v>
      </c>
      <c r="EH98" s="320">
        <f>Table14[[#This Row],[% of Bioslurry sold]]*$DX98/10000</f>
        <v>0</v>
      </c>
      <c r="EI98" s="320">
        <f>Table14[[#This Row],[% used other way(if used directly)]]*$DX98/10000</f>
        <v>0</v>
      </c>
      <c r="EJ98" s="239"/>
      <c r="EK98" s="239"/>
      <c r="EL98" s="239"/>
      <c r="EM98" s="239"/>
      <c r="EN98" s="239"/>
      <c r="EO98" s="239">
        <f>(Table14[[#This Row],[% Uncovered lagoon greater than 1 meter]]+Table14[[#This Row],[Uncovered lagoon (black watery mass) &lt;1 meter]]+Table14[[#This Row],[% Liquid slurry (brown porridge type)]])*Table14[[#This Row],[% Store it first]]/100</f>
        <v>0</v>
      </c>
      <c r="EP98" s="239"/>
      <c r="EQ98" s="239"/>
      <c r="ER98" s="239"/>
      <c r="ES98" s="239"/>
      <c r="ET98" s="239">
        <f>(Table14[[#This Row],[% Solid storage]]+Table14[[#This Row],[% Sun drying]]+Table14[[#This Row],[% Composting with a roof]]+Table14[[#This Row],[% Composting without a roof]])*Table14[[#This Row],[% Store it first]]/100</f>
        <v>0</v>
      </c>
      <c r="EU98" s="239"/>
      <c r="EV98" s="320">
        <f t="shared" si="2"/>
        <v>0</v>
      </c>
      <c r="EW98" s="320">
        <f t="shared" si="3"/>
        <v>0</v>
      </c>
      <c r="EX98" s="320">
        <f t="shared" si="4"/>
        <v>0</v>
      </c>
      <c r="EY98" s="320">
        <f t="shared" si="5"/>
        <v>0</v>
      </c>
      <c r="EZ98" s="320">
        <f t="shared" si="6"/>
        <v>0</v>
      </c>
      <c r="FA98" s="239"/>
      <c r="FB98" s="239"/>
      <c r="FC98" s="239"/>
      <c r="FD98" s="239">
        <f>Table14[[#This Row],[% I donâ€™t use it / discarded]]+Table14[[#This Row],[% Other (specify)(If you use bioslurry directly)]]+Table14[[#This Row],[% Store it first]]+Table14[[#This Row],[% Use directly for various purposes]]</f>
        <v>100</v>
      </c>
      <c r="FE98" s="239" t="s">
        <v>4</v>
      </c>
      <c r="FF98" s="239"/>
      <c r="FG98" s="239"/>
      <c r="FH98" s="239"/>
      <c r="FI98" s="239"/>
      <c r="FJ98" s="239"/>
      <c r="FK98" s="239">
        <v>2</v>
      </c>
      <c r="FL98" s="239" t="s">
        <v>7</v>
      </c>
      <c r="FM98" s="239">
        <v>80</v>
      </c>
      <c r="FN98" s="239">
        <f>FK98*FM98/100</f>
        <v>1.6</v>
      </c>
      <c r="FO98" s="239" t="s">
        <v>31359</v>
      </c>
      <c r="FP98" s="239" t="s">
        <v>29298</v>
      </c>
      <c r="FQ98" s="239">
        <v>96</v>
      </c>
      <c r="FR98" s="239" t="s">
        <v>2</v>
      </c>
      <c r="FS98" s="239" t="s">
        <v>4</v>
      </c>
      <c r="FT98" s="239" t="s">
        <v>4</v>
      </c>
      <c r="FU98" s="239" t="s">
        <v>2</v>
      </c>
      <c r="FV98" s="239" t="s">
        <v>4</v>
      </c>
      <c r="FW98" s="239" t="s">
        <v>4</v>
      </c>
      <c r="FX98" s="239" t="s">
        <v>4</v>
      </c>
      <c r="FY98" s="239" t="s">
        <v>4</v>
      </c>
      <c r="FZ98" s="239" t="s">
        <v>4</v>
      </c>
      <c r="GA98" s="239" t="s">
        <v>4</v>
      </c>
      <c r="GB98" s="240" t="s">
        <v>4</v>
      </c>
      <c r="GC98" s="239" t="s">
        <v>4</v>
      </c>
      <c r="GD98" s="239" t="s">
        <v>2</v>
      </c>
      <c r="GE98" s="239" t="s">
        <v>4</v>
      </c>
      <c r="GF98" s="239" t="s">
        <v>4</v>
      </c>
      <c r="GG98" s="239" t="s">
        <v>7</v>
      </c>
      <c r="GH98" s="239" t="s">
        <v>2</v>
      </c>
      <c r="GI98" s="239" t="s">
        <v>4</v>
      </c>
      <c r="GJ98" s="239" t="s">
        <v>4</v>
      </c>
      <c r="GK98" s="239" t="s">
        <v>4</v>
      </c>
      <c r="GL98" s="239">
        <v>0</v>
      </c>
      <c r="GM98" s="239"/>
      <c r="GN98" s="239" t="s">
        <v>4</v>
      </c>
      <c r="GO98" s="239" t="s">
        <v>4</v>
      </c>
      <c r="GP98" s="239" t="s">
        <v>4</v>
      </c>
      <c r="GQ98" s="239" t="s">
        <v>4</v>
      </c>
      <c r="GR98" s="239" t="s">
        <v>4</v>
      </c>
      <c r="GS98" s="239" t="s">
        <v>4</v>
      </c>
      <c r="GT98" s="239" t="s">
        <v>4</v>
      </c>
      <c r="GU98" s="239" t="s">
        <v>4</v>
      </c>
      <c r="GV98" s="239" t="s">
        <v>4</v>
      </c>
      <c r="GW98" s="239" t="s">
        <v>29304</v>
      </c>
      <c r="GX98" s="239" t="s">
        <v>29305</v>
      </c>
      <c r="GY98" s="239" t="s">
        <v>29306</v>
      </c>
      <c r="GZ98" s="239" t="s">
        <v>4</v>
      </c>
      <c r="HA98" s="239" t="s">
        <v>4</v>
      </c>
      <c r="HB98" s="239" t="s">
        <v>4</v>
      </c>
      <c r="HC98" s="239" t="s">
        <v>4</v>
      </c>
      <c r="HD98" s="239" t="s">
        <v>4</v>
      </c>
      <c r="HE98" s="239" t="s">
        <v>4</v>
      </c>
      <c r="HF98" s="239" t="s">
        <v>4</v>
      </c>
      <c r="HG98" s="239" t="s">
        <v>4</v>
      </c>
      <c r="HH98" s="239" t="s">
        <v>29698</v>
      </c>
      <c r="HI98" s="239" t="s">
        <v>4</v>
      </c>
      <c r="HJ98" s="240">
        <v>0</v>
      </c>
      <c r="HK98" s="239" t="s">
        <v>29325</v>
      </c>
      <c r="HL98" s="239" t="s">
        <v>29837</v>
      </c>
      <c r="HM98" s="239" t="s">
        <v>4</v>
      </c>
      <c r="HN98" s="239" t="s">
        <v>4</v>
      </c>
      <c r="HO98" s="239" t="s">
        <v>4</v>
      </c>
      <c r="HP98" s="239" t="s">
        <v>4</v>
      </c>
      <c r="HQ98" s="239" t="s">
        <v>4</v>
      </c>
      <c r="HR98" s="239" t="s">
        <v>4</v>
      </c>
      <c r="HS98" s="239" t="s">
        <v>4</v>
      </c>
      <c r="HT98" s="239" t="s">
        <v>4</v>
      </c>
      <c r="HU98" s="239" t="s">
        <v>2</v>
      </c>
      <c r="HV98" s="239" t="s">
        <v>4</v>
      </c>
      <c r="HW98" s="239" t="s">
        <v>4</v>
      </c>
      <c r="HX98" s="239" t="s">
        <v>4</v>
      </c>
      <c r="HY98" s="239" t="s">
        <v>4</v>
      </c>
      <c r="HZ98" s="239" t="s">
        <v>30883</v>
      </c>
      <c r="IA98" s="239" t="s">
        <v>2</v>
      </c>
      <c r="IB98" s="239" t="s">
        <v>4</v>
      </c>
      <c r="IC98" s="239" t="s">
        <v>30883</v>
      </c>
      <c r="ID98" s="239" t="s">
        <v>31360</v>
      </c>
      <c r="IE98" s="239" t="s">
        <v>31361</v>
      </c>
      <c r="IF98" s="239" t="s">
        <v>31362</v>
      </c>
      <c r="IG98" s="239" t="s">
        <v>31363</v>
      </c>
      <c r="IH98" s="239" t="s">
        <v>31356</v>
      </c>
    </row>
    <row r="99" spans="1:242" s="1" customFormat="1" ht="36.75" customHeight="1" x14ac:dyDescent="0.2">
      <c r="A99" s="239">
        <v>129</v>
      </c>
      <c r="B99" s="239" t="s">
        <v>15161</v>
      </c>
      <c r="C99" s="239" t="s">
        <v>29428</v>
      </c>
      <c r="D99" s="239" t="s">
        <v>30638</v>
      </c>
      <c r="E99" s="239" t="s">
        <v>7</v>
      </c>
      <c r="F99" s="239" t="s">
        <v>30675</v>
      </c>
      <c r="G99" s="239">
        <v>1103.6602780000001</v>
      </c>
      <c r="H99" s="239">
        <v>4.2880000000000003</v>
      </c>
      <c r="I99" s="239" t="s">
        <v>29319</v>
      </c>
      <c r="J99" s="239" t="s">
        <v>4</v>
      </c>
      <c r="K99" s="239" t="s">
        <v>30676</v>
      </c>
      <c r="L99" s="239">
        <v>771454909</v>
      </c>
      <c r="M99" s="239" t="s">
        <v>5</v>
      </c>
      <c r="N99" s="239" t="s">
        <v>31844</v>
      </c>
      <c r="O99" s="239" t="s">
        <v>4</v>
      </c>
      <c r="P99" s="239">
        <v>11</v>
      </c>
      <c r="Q99" s="239" t="s">
        <v>7</v>
      </c>
      <c r="R99" s="239" t="s">
        <v>31549</v>
      </c>
      <c r="S99" s="239" t="s">
        <v>4</v>
      </c>
      <c r="T99" s="239" t="s">
        <v>7</v>
      </c>
      <c r="U99" s="239" t="s">
        <v>7</v>
      </c>
      <c r="V99" s="239"/>
      <c r="W99" s="239" t="s">
        <v>7</v>
      </c>
      <c r="X99" s="239" t="s">
        <v>4</v>
      </c>
      <c r="Y99" s="239" t="s">
        <v>4</v>
      </c>
      <c r="Z99" s="241" t="str">
        <f>IF(OR(T99="yes",Y99&gt;'SDG outcome'!$C$27),"yes","no")</f>
        <v>yes</v>
      </c>
      <c r="AA99" s="243">
        <f t="shared" si="1"/>
        <v>0</v>
      </c>
      <c r="AB99" s="243" t="str">
        <f>IF(AND(Z99="no",AND(Y99&gt;='SDG outcome'!$B$16,Y99&lt;'SDG outcome'!$C$27)),Y99-'SDG outcome'!$B$16,"")</f>
        <v/>
      </c>
      <c r="AC99" s="239" t="s">
        <v>4</v>
      </c>
      <c r="AD99" s="239" t="s">
        <v>4</v>
      </c>
      <c r="AE99" s="239" t="s">
        <v>4</v>
      </c>
      <c r="AF99" s="239" t="s">
        <v>4</v>
      </c>
      <c r="AG99" s="239" t="s">
        <v>4</v>
      </c>
      <c r="AH99" s="239" t="s">
        <v>4</v>
      </c>
      <c r="AI99" s="239" t="s">
        <v>4</v>
      </c>
      <c r="AJ99" s="239" t="s">
        <v>29290</v>
      </c>
      <c r="AK99" s="239" t="s">
        <v>29694</v>
      </c>
      <c r="AL99" s="239" t="s">
        <v>4</v>
      </c>
      <c r="AM99" s="239" t="s">
        <v>4</v>
      </c>
      <c r="AN99" s="239" t="s">
        <v>31536</v>
      </c>
      <c r="AO99" s="239" t="s">
        <v>4</v>
      </c>
      <c r="AP99" s="239" t="s">
        <v>31537</v>
      </c>
      <c r="AQ99" s="239" t="s">
        <v>4</v>
      </c>
      <c r="AR99" s="239" t="s">
        <v>31538</v>
      </c>
      <c r="AS99" s="239" t="s">
        <v>4</v>
      </c>
      <c r="AT99" s="239" t="s">
        <v>7</v>
      </c>
      <c r="AU99" s="239" t="s">
        <v>4</v>
      </c>
      <c r="AV99" s="239" t="s">
        <v>4</v>
      </c>
      <c r="AW99" s="239" t="s">
        <v>31539</v>
      </c>
      <c r="AX99" s="239" t="s">
        <v>4</v>
      </c>
      <c r="AY99" s="239" t="s">
        <v>4</v>
      </c>
      <c r="AZ99" s="239" t="s">
        <v>2</v>
      </c>
      <c r="BA99" s="239" t="s">
        <v>4</v>
      </c>
      <c r="BB99" s="239" t="s">
        <v>4</v>
      </c>
      <c r="BC99" s="239" t="s">
        <v>31563</v>
      </c>
      <c r="BD99" s="239" t="s">
        <v>31541</v>
      </c>
      <c r="BE99" s="239" t="s">
        <v>4</v>
      </c>
      <c r="BF99" s="239" t="s">
        <v>14</v>
      </c>
      <c r="BG99" s="239" t="s">
        <v>4</v>
      </c>
      <c r="BH99" s="239" t="s">
        <v>31542</v>
      </c>
      <c r="BI99" s="239" t="s">
        <v>31853</v>
      </c>
      <c r="BJ99" s="239" t="s">
        <v>31544</v>
      </c>
      <c r="BK99" s="239">
        <v>2</v>
      </c>
      <c r="BL99" s="239">
        <v>120</v>
      </c>
      <c r="BM99" s="239" t="s">
        <v>7</v>
      </c>
      <c r="BN99" s="239" t="s">
        <v>6</v>
      </c>
      <c r="BO99" s="239" t="s">
        <v>4</v>
      </c>
      <c r="BP99" s="239" t="s">
        <v>31425</v>
      </c>
      <c r="BQ99" s="239">
        <v>1</v>
      </c>
      <c r="BR99" s="239">
        <v>20</v>
      </c>
      <c r="BS99" s="239" t="s">
        <v>31434</v>
      </c>
      <c r="BT99" s="239"/>
      <c r="BU99" s="239">
        <v>1</v>
      </c>
      <c r="BV99" s="239" cm="1">
        <f t="array" ref="BV99">_xlfn.IFS(BS99="Foreword vehicle",BU99*0,BS99="Human wastes",BU99*0,BS99="Jerrycans",BU99*$BV$228,BS99="Number of Basins",BU99*$BV$229,BS99="Number of Buckets",BU99*$CA$226,BS99="Number of Kgs",BU99*$CA$227,BS99="Number of spades",BU99*$CA$228,BS99="Number of wheelbarrows",BU99*$CA$229,BT99="Foreword vehicle",BU99*0,BT99="Human wastes",BU99*0,BT99="Jerrycans",BU99*$BV$228,BS99="","")</f>
        <v>16</v>
      </c>
      <c r="BW99" s="239">
        <f>IF(BV99="","",Table14[[#This Row],[Calculation: Conversion of metric to Kg manure feeding (Columns: BP, BQ, BR)]]*Table14[[#This Row],[Number of times used to feed biodigester]])</f>
        <v>16</v>
      </c>
      <c r="BX99" s="239" cm="1">
        <f t="array" ref="BX99">_xlfn.IFS(BP99="Number of times per day (1 to 3)",BW99/$BX$226,BP99="Number of times per week (1 to 6)",BW99/$BX$227,BP99="Number of times per Month (1 to 3)",BW99/$BX$228,BW99="","")</f>
        <v>16</v>
      </c>
      <c r="BY99" s="239" t="s">
        <v>31541</v>
      </c>
      <c r="BZ99" s="239" t="s">
        <v>4</v>
      </c>
      <c r="CA99" s="239" t="s">
        <v>2</v>
      </c>
      <c r="CB99" s="239" t="s">
        <v>4</v>
      </c>
      <c r="CC99" s="239" t="s">
        <v>4</v>
      </c>
      <c r="CD99" s="239" t="s">
        <v>4</v>
      </c>
      <c r="CE99" s="239" t="s">
        <v>7</v>
      </c>
      <c r="CF99" s="239" t="s">
        <v>31854</v>
      </c>
      <c r="CG99" s="239" t="s">
        <v>4</v>
      </c>
      <c r="CH99" s="239" t="s">
        <v>31705</v>
      </c>
      <c r="CI99" s="239">
        <v>0</v>
      </c>
      <c r="CJ99" s="239">
        <v>4</v>
      </c>
      <c r="CK99" s="239">
        <v>0</v>
      </c>
      <c r="CL99" s="239">
        <v>4</v>
      </c>
      <c r="CM99" s="239">
        <v>0</v>
      </c>
      <c r="CN99" s="239">
        <v>0</v>
      </c>
      <c r="CO99" s="239">
        <v>0</v>
      </c>
      <c r="CP99" s="239">
        <v>0</v>
      </c>
      <c r="CQ99" s="239">
        <v>0</v>
      </c>
      <c r="CR99" s="239">
        <v>0</v>
      </c>
      <c r="CS99" s="239">
        <f>CP99/'SDG outcome'!$C$9*CQ99*CR99</f>
        <v>0</v>
      </c>
      <c r="CT99" s="239" t="s">
        <v>4</v>
      </c>
      <c r="CU99" s="239" t="s">
        <v>4</v>
      </c>
      <c r="CV99" s="239" t="s">
        <v>4</v>
      </c>
      <c r="CW99" s="239">
        <v>80</v>
      </c>
      <c r="CX99" s="239">
        <v>20</v>
      </c>
      <c r="CY99" s="239" t="s">
        <v>31855</v>
      </c>
      <c r="CZ99" s="239" t="s">
        <v>4</v>
      </c>
      <c r="DA99" s="239" t="s">
        <v>4</v>
      </c>
      <c r="DB99" s="239" t="s">
        <v>4</v>
      </c>
      <c r="DC99" s="239" t="s">
        <v>4</v>
      </c>
      <c r="DD99" s="239" t="s">
        <v>4</v>
      </c>
      <c r="DE99" s="239" t="s">
        <v>4</v>
      </c>
      <c r="DF99" s="239" t="s">
        <v>4</v>
      </c>
      <c r="DG99" s="239" t="s">
        <v>4</v>
      </c>
      <c r="DH99" s="239" t="s">
        <v>4</v>
      </c>
      <c r="DI99" s="239" t="s">
        <v>4</v>
      </c>
      <c r="DJ99" s="239" t="s">
        <v>4</v>
      </c>
      <c r="DK99" s="239" t="s">
        <v>4</v>
      </c>
      <c r="DL99" s="239" t="s">
        <v>4</v>
      </c>
      <c r="DM99" s="239" t="s">
        <v>4</v>
      </c>
      <c r="DN99" s="239" t="s">
        <v>4</v>
      </c>
      <c r="DO99" s="239">
        <v>3</v>
      </c>
      <c r="DP99" s="239" t="s">
        <v>7</v>
      </c>
      <c r="DQ99" s="239" t="s">
        <v>29292</v>
      </c>
      <c r="DR99" s="239" t="s">
        <v>4</v>
      </c>
      <c r="DS99" s="239" t="s">
        <v>29294</v>
      </c>
      <c r="DT99" s="240" t="s">
        <v>4</v>
      </c>
      <c r="DU99" s="239" t="s">
        <v>29294</v>
      </c>
      <c r="DV99" s="240" t="s">
        <v>4</v>
      </c>
      <c r="DW99" s="239" t="s">
        <v>29295</v>
      </c>
      <c r="DX99" s="239">
        <v>100</v>
      </c>
      <c r="DY99" s="239" t="s">
        <v>30460</v>
      </c>
      <c r="DZ99" s="239">
        <v>90</v>
      </c>
      <c r="EA99" s="239">
        <v>10</v>
      </c>
      <c r="EB99" s="239"/>
      <c r="EC99" s="239"/>
      <c r="ED99" s="239"/>
      <c r="EE99" s="320">
        <f>Table14[[#This Row],[% Fertilizer]]*$DX99/10000</f>
        <v>0.9</v>
      </c>
      <c r="EF99" s="320">
        <f>Table14[[#This Row],[% bioslurry used as Insecticide/Pesticide]]*$DX99/10000</f>
        <v>0.1</v>
      </c>
      <c r="EG99" s="320">
        <f>Table14[[#This Row],[% of Bioslurry used as animal feed]]*$DX99/10000</f>
        <v>0</v>
      </c>
      <c r="EH99" s="320">
        <f>Table14[[#This Row],[% of Bioslurry sold]]*$DX99/10000</f>
        <v>0</v>
      </c>
      <c r="EI99" s="320">
        <f>Table14[[#This Row],[% used other way(if used directly)]]*$DX99/10000</f>
        <v>0</v>
      </c>
      <c r="EJ99" s="239"/>
      <c r="EK99" s="239"/>
      <c r="EL99" s="239"/>
      <c r="EM99" s="239"/>
      <c r="EN99" s="239"/>
      <c r="EO99" s="239">
        <f>(Table14[[#This Row],[% Uncovered lagoon greater than 1 meter]]+Table14[[#This Row],[Uncovered lagoon (black watery mass) &lt;1 meter]]+Table14[[#This Row],[% Liquid slurry (brown porridge type)]])*Table14[[#This Row],[% Store it first]]/100</f>
        <v>0</v>
      </c>
      <c r="EP99" s="239"/>
      <c r="EQ99" s="239"/>
      <c r="ER99" s="239"/>
      <c r="ES99" s="239"/>
      <c r="ET99" s="239">
        <f>(Table14[[#This Row],[% Solid storage]]+Table14[[#This Row],[% Sun drying]]+Table14[[#This Row],[% Composting with a roof]]+Table14[[#This Row],[% Composting without a roof]])*Table14[[#This Row],[% Store it first]]/100</f>
        <v>0</v>
      </c>
      <c r="EU99" s="239"/>
      <c r="EV99" s="320">
        <f t="shared" si="2"/>
        <v>0</v>
      </c>
      <c r="EW99" s="320">
        <f t="shared" si="3"/>
        <v>0</v>
      </c>
      <c r="EX99" s="320">
        <f t="shared" si="4"/>
        <v>0</v>
      </c>
      <c r="EY99" s="320">
        <f t="shared" si="5"/>
        <v>0</v>
      </c>
      <c r="EZ99" s="320">
        <f t="shared" si="6"/>
        <v>0</v>
      </c>
      <c r="FA99" s="239"/>
      <c r="FB99" s="239"/>
      <c r="FC99" s="239"/>
      <c r="FD99" s="239">
        <f>Table14[[#This Row],[% I donâ€™t use it / discarded]]+Table14[[#This Row],[% Other (specify)(If you use bioslurry directly)]]+Table14[[#This Row],[% Store it first]]+Table14[[#This Row],[% Use directly for various purposes]]</f>
        <v>100</v>
      </c>
      <c r="FE99" s="239" t="s">
        <v>4</v>
      </c>
      <c r="FF99" s="239"/>
      <c r="FG99" s="239"/>
      <c r="FH99" s="239"/>
      <c r="FI99" s="239"/>
      <c r="FJ99" s="239"/>
      <c r="FK99" s="239">
        <v>5</v>
      </c>
      <c r="FL99" s="239" t="s">
        <v>7</v>
      </c>
      <c r="FM99" s="239">
        <v>25</v>
      </c>
      <c r="FN99" s="239">
        <f>FK99*FM99/100</f>
        <v>1.25</v>
      </c>
      <c r="FO99" s="239" t="s">
        <v>30677</v>
      </c>
      <c r="FP99" s="239" t="s">
        <v>29298</v>
      </c>
      <c r="FQ99" s="239">
        <v>2</v>
      </c>
      <c r="FR99" s="239" t="s">
        <v>7</v>
      </c>
      <c r="FS99" s="239" t="s">
        <v>29492</v>
      </c>
      <c r="FT99" s="239" t="s">
        <v>4</v>
      </c>
      <c r="FU99" s="239" t="s">
        <v>2</v>
      </c>
      <c r="FV99" s="239" t="s">
        <v>4</v>
      </c>
      <c r="FW99" s="239" t="s">
        <v>4</v>
      </c>
      <c r="FX99" s="239" t="s">
        <v>4</v>
      </c>
      <c r="FY99" s="239" t="s">
        <v>4</v>
      </c>
      <c r="FZ99" s="239" t="s">
        <v>29292</v>
      </c>
      <c r="GA99" s="239" t="s">
        <v>9</v>
      </c>
      <c r="GB99" s="240" t="s">
        <v>4</v>
      </c>
      <c r="GC99" s="239" t="s">
        <v>4</v>
      </c>
      <c r="GD99" s="239" t="s">
        <v>2</v>
      </c>
      <c r="GE99" s="239" t="s">
        <v>4</v>
      </c>
      <c r="GF99" s="239" t="s">
        <v>4</v>
      </c>
      <c r="GG99" s="239" t="s">
        <v>7</v>
      </c>
      <c r="GH99" s="239" t="s">
        <v>7</v>
      </c>
      <c r="GI99" s="239" t="s">
        <v>29302</v>
      </c>
      <c r="GJ99" s="239" t="s">
        <v>30678</v>
      </c>
      <c r="GK99" s="239" t="s">
        <v>4</v>
      </c>
      <c r="GL99" s="239">
        <v>0</v>
      </c>
      <c r="GM99" s="239"/>
      <c r="GN99" s="239" t="s">
        <v>4</v>
      </c>
      <c r="GO99" s="239" t="s">
        <v>4</v>
      </c>
      <c r="GP99" s="239" t="s">
        <v>4</v>
      </c>
      <c r="GQ99" s="239" t="s">
        <v>4</v>
      </c>
      <c r="GR99" s="239" t="s">
        <v>4</v>
      </c>
      <c r="GS99" s="239" t="s">
        <v>4</v>
      </c>
      <c r="GT99" s="239" t="s">
        <v>4</v>
      </c>
      <c r="GU99" s="239" t="s">
        <v>4</v>
      </c>
      <c r="GV99" s="239" t="s">
        <v>4</v>
      </c>
      <c r="GW99" s="239" t="s">
        <v>29304</v>
      </c>
      <c r="GX99" s="239" t="s">
        <v>29305</v>
      </c>
      <c r="GY99" s="239" t="s">
        <v>29306</v>
      </c>
      <c r="GZ99" s="239" t="s">
        <v>4</v>
      </c>
      <c r="HA99" s="239" t="s">
        <v>4</v>
      </c>
      <c r="HB99" s="239" t="s">
        <v>4</v>
      </c>
      <c r="HC99" s="239" t="s">
        <v>4</v>
      </c>
      <c r="HD99" s="239" t="s">
        <v>4</v>
      </c>
      <c r="HE99" s="239" t="s">
        <v>30679</v>
      </c>
      <c r="HF99" s="239" t="s">
        <v>13</v>
      </c>
      <c r="HG99" s="239" t="s">
        <v>30680</v>
      </c>
      <c r="HH99" s="239" t="s">
        <v>30681</v>
      </c>
      <c r="HI99" s="239" t="s">
        <v>4</v>
      </c>
      <c r="HJ99" s="240">
        <v>10</v>
      </c>
      <c r="HK99" s="239" t="s">
        <v>7</v>
      </c>
      <c r="HL99" s="239" t="s">
        <v>29309</v>
      </c>
      <c r="HM99" s="239" t="s">
        <v>4</v>
      </c>
      <c r="HN99" s="239" t="s">
        <v>4</v>
      </c>
      <c r="HO99" s="239" t="s">
        <v>4</v>
      </c>
      <c r="HP99" s="239" t="s">
        <v>4</v>
      </c>
      <c r="HQ99" s="239" t="s">
        <v>4</v>
      </c>
      <c r="HR99" s="239" t="s">
        <v>4</v>
      </c>
      <c r="HS99" s="239" t="s">
        <v>4</v>
      </c>
      <c r="HT99" s="239" t="s">
        <v>4</v>
      </c>
      <c r="HU99" s="239" t="s">
        <v>2</v>
      </c>
      <c r="HV99" s="239" t="s">
        <v>4</v>
      </c>
      <c r="HW99" s="239" t="s">
        <v>4</v>
      </c>
      <c r="HX99" s="239" t="s">
        <v>4</v>
      </c>
      <c r="HY99" s="239" t="s">
        <v>4</v>
      </c>
      <c r="HZ99" s="239" t="s">
        <v>16</v>
      </c>
      <c r="IA99" s="239" t="s">
        <v>2</v>
      </c>
      <c r="IB99" s="239" t="s">
        <v>4</v>
      </c>
      <c r="IC99" s="239" t="s">
        <v>30682</v>
      </c>
      <c r="ID99" s="239" t="s">
        <v>30683</v>
      </c>
      <c r="IE99" s="239" t="s">
        <v>30684</v>
      </c>
      <c r="IF99" s="239" t="s">
        <v>30685</v>
      </c>
      <c r="IG99" s="239" t="s">
        <v>30686</v>
      </c>
      <c r="IH99" s="239" t="s">
        <v>29428</v>
      </c>
    </row>
    <row r="100" spans="1:242" s="1" customFormat="1" ht="36.75" customHeight="1" x14ac:dyDescent="0.2">
      <c r="A100" s="239">
        <v>161</v>
      </c>
      <c r="B100" s="239" t="s">
        <v>419</v>
      </c>
      <c r="C100" s="239" t="s">
        <v>30061</v>
      </c>
      <c r="D100" s="239" t="s">
        <v>34</v>
      </c>
      <c r="E100" s="239" t="s">
        <v>7</v>
      </c>
      <c r="F100" s="239" t="s">
        <v>31010</v>
      </c>
      <c r="G100" s="239">
        <v>1106.5999999999999</v>
      </c>
      <c r="H100" s="239">
        <v>4.2</v>
      </c>
      <c r="I100" s="239" t="s">
        <v>29288</v>
      </c>
      <c r="J100" s="239" t="s">
        <v>4</v>
      </c>
      <c r="K100" s="239" t="s">
        <v>31011</v>
      </c>
      <c r="L100" s="239">
        <v>772627472</v>
      </c>
      <c r="M100" s="239" t="s">
        <v>3</v>
      </c>
      <c r="N100" s="239" t="s">
        <v>31438</v>
      </c>
      <c r="O100" s="239">
        <v>69</v>
      </c>
      <c r="P100" s="239">
        <v>3</v>
      </c>
      <c r="Q100" s="239" t="s">
        <v>7</v>
      </c>
      <c r="R100" s="239" t="s">
        <v>31549</v>
      </c>
      <c r="S100" s="239" t="s">
        <v>4</v>
      </c>
      <c r="T100" s="239" t="s">
        <v>7</v>
      </c>
      <c r="U100" s="239" t="s">
        <v>7</v>
      </c>
      <c r="V100" s="239"/>
      <c r="W100" s="239" t="s">
        <v>7</v>
      </c>
      <c r="X100" s="239" t="s">
        <v>4</v>
      </c>
      <c r="Y100" s="239" t="s">
        <v>4</v>
      </c>
      <c r="Z100" s="241" t="str">
        <f>IF(OR(T100="yes",Y100&gt;'SDG outcome'!$C$27),"yes","no")</f>
        <v>yes</v>
      </c>
      <c r="AA100" s="243">
        <f t="shared" si="1"/>
        <v>0</v>
      </c>
      <c r="AB100" s="243" t="str">
        <f>IF(AND(Z100="no",AND(Y100&gt;='SDG outcome'!$B$16,Y100&lt;'SDG outcome'!$C$27)),Y100-'SDG outcome'!$B$16,"")</f>
        <v/>
      </c>
      <c r="AC100" s="239" t="s">
        <v>4</v>
      </c>
      <c r="AD100" s="239" t="s">
        <v>4</v>
      </c>
      <c r="AE100" s="239" t="s">
        <v>4</v>
      </c>
      <c r="AF100" s="239" t="s">
        <v>4</v>
      </c>
      <c r="AG100" s="239" t="s">
        <v>4</v>
      </c>
      <c r="AH100" s="239" t="s">
        <v>4</v>
      </c>
      <c r="AI100" s="239" t="s">
        <v>4</v>
      </c>
      <c r="AJ100" s="239" t="s">
        <v>29290</v>
      </c>
      <c r="AK100" s="239" t="s">
        <v>29694</v>
      </c>
      <c r="AL100" s="239" t="s">
        <v>4</v>
      </c>
      <c r="AM100" s="239" t="s">
        <v>4</v>
      </c>
      <c r="AN100" s="239" t="s">
        <v>31718</v>
      </c>
      <c r="AO100" s="239" t="s">
        <v>4</v>
      </c>
      <c r="AP100" s="239" t="s">
        <v>31600</v>
      </c>
      <c r="AQ100" s="239" t="s">
        <v>4</v>
      </c>
      <c r="AR100" s="239" t="s">
        <v>31538</v>
      </c>
      <c r="AS100" s="239" t="s">
        <v>4</v>
      </c>
      <c r="AT100" s="239" t="s">
        <v>7</v>
      </c>
      <c r="AU100" s="239" t="s">
        <v>4</v>
      </c>
      <c r="AV100" s="239" t="s">
        <v>4</v>
      </c>
      <c r="AW100" s="239" t="s">
        <v>31550</v>
      </c>
      <c r="AX100" s="239" t="s">
        <v>4</v>
      </c>
      <c r="AY100" s="239" t="s">
        <v>4</v>
      </c>
      <c r="AZ100" s="239" t="s">
        <v>7</v>
      </c>
      <c r="BA100" s="239" t="s">
        <v>6</v>
      </c>
      <c r="BB100" s="239" t="s">
        <v>4</v>
      </c>
      <c r="BC100" s="239" t="s">
        <v>32</v>
      </c>
      <c r="BD100" s="239" t="s">
        <v>22</v>
      </c>
      <c r="BE100" s="239" t="s">
        <v>4</v>
      </c>
      <c r="BF100" s="239" t="s">
        <v>4</v>
      </c>
      <c r="BG100" s="239" t="s">
        <v>4</v>
      </c>
      <c r="BH100" s="239" t="s">
        <v>31542</v>
      </c>
      <c r="BI100" s="239" t="s">
        <v>31726</v>
      </c>
      <c r="BJ100" s="239" t="s">
        <v>31616</v>
      </c>
      <c r="BK100" s="239">
        <v>3</v>
      </c>
      <c r="BL100" s="239" t="s">
        <v>4</v>
      </c>
      <c r="BM100" s="239" t="s">
        <v>7</v>
      </c>
      <c r="BN100" s="239" t="s">
        <v>6</v>
      </c>
      <c r="BO100" s="239" t="s">
        <v>4</v>
      </c>
      <c r="BP100" s="239" t="s">
        <v>31425</v>
      </c>
      <c r="BQ100" s="239">
        <v>1</v>
      </c>
      <c r="BR100" s="239">
        <v>30</v>
      </c>
      <c r="BS100" s="239" t="s">
        <v>31434</v>
      </c>
      <c r="BT100" s="239"/>
      <c r="BU100" s="239">
        <v>4</v>
      </c>
      <c r="BV100" s="239" cm="1">
        <f t="array" ref="BV100">_xlfn.IFS(BS100="Foreword vehicle",BU100*0,BS100="Human wastes",BU100*0,BS100="Jerrycans",BU100*$BV$228,BS100="Number of Basins",BU100*$BV$229,BS100="Number of Buckets",BU100*$CA$226,BS100="Number of Kgs",BU100*$CA$227,BS100="Number of spades",BU100*$CA$228,BS100="Number of wheelbarrows",BU100*$CA$229,BT100="Foreword vehicle",BU100*0,BT100="Human wastes",BU100*0,BT100="Jerrycans",BU100*$BV$228,BS100="","")</f>
        <v>64</v>
      </c>
      <c r="BW100" s="239">
        <f>IF(BV100="","",Table14[[#This Row],[Calculation: Conversion of metric to Kg manure feeding (Columns: BP, BQ, BR)]]*Table14[[#This Row],[Number of times used to feed biodigester]])</f>
        <v>64</v>
      </c>
      <c r="BX100" s="239" cm="1">
        <f t="array" ref="BX100">_xlfn.IFS(BP100="Number of times per day (1 to 3)",BW100/$BX$226,BP100="Number of times per week (1 to 6)",BW100/$BX$227,BP100="Number of times per Month (1 to 3)",BW100/$BX$228,BW100="","")</f>
        <v>64</v>
      </c>
      <c r="BY100" s="239" t="s">
        <v>22</v>
      </c>
      <c r="BZ100" s="239" t="s">
        <v>4</v>
      </c>
      <c r="CA100" s="239" t="s">
        <v>2</v>
      </c>
      <c r="CB100" s="239" t="s">
        <v>4</v>
      </c>
      <c r="CC100" s="239" t="s">
        <v>4</v>
      </c>
      <c r="CD100" s="239" t="s">
        <v>4</v>
      </c>
      <c r="CE100" s="239" t="s">
        <v>7</v>
      </c>
      <c r="CF100" s="239" t="s">
        <v>31727</v>
      </c>
      <c r="CG100" s="239" t="s">
        <v>4</v>
      </c>
      <c r="CH100" s="239" t="s">
        <v>31728</v>
      </c>
      <c r="CI100" s="239">
        <v>0</v>
      </c>
      <c r="CJ100" s="239">
        <v>4</v>
      </c>
      <c r="CK100" s="239">
        <v>6</v>
      </c>
      <c r="CL100" s="239">
        <v>0</v>
      </c>
      <c r="CM100" s="239">
        <v>0</v>
      </c>
      <c r="CN100" s="239">
        <v>0</v>
      </c>
      <c r="CO100" s="239">
        <v>9</v>
      </c>
      <c r="CP100" s="239">
        <v>120</v>
      </c>
      <c r="CQ100" s="239">
        <v>2</v>
      </c>
      <c r="CR100" s="239">
        <v>5</v>
      </c>
      <c r="CS100" s="239">
        <f>CP100/'SDG outcome'!$C$9*CQ100*CR100</f>
        <v>3.4582132564841501</v>
      </c>
      <c r="CT100" s="239" t="s">
        <v>4</v>
      </c>
      <c r="CU100" s="239" t="s">
        <v>4</v>
      </c>
      <c r="CV100" s="239" t="s">
        <v>4</v>
      </c>
      <c r="CW100" s="239">
        <v>100</v>
      </c>
      <c r="CX100" s="239">
        <v>0</v>
      </c>
      <c r="CY100" s="239" t="s">
        <v>4</v>
      </c>
      <c r="CZ100" s="239" t="s">
        <v>4</v>
      </c>
      <c r="DA100" s="239" t="s">
        <v>4</v>
      </c>
      <c r="DB100" s="239" t="s">
        <v>4</v>
      </c>
      <c r="DC100" s="239">
        <v>0</v>
      </c>
      <c r="DD100" s="239">
        <v>100</v>
      </c>
      <c r="DE100" s="239" t="s">
        <v>31729</v>
      </c>
      <c r="DF100" s="239" t="s">
        <v>4</v>
      </c>
      <c r="DG100" s="239" t="s">
        <v>4</v>
      </c>
      <c r="DH100" s="239" t="s">
        <v>4</v>
      </c>
      <c r="DI100" s="239" t="s">
        <v>4</v>
      </c>
      <c r="DJ100" s="239" t="s">
        <v>4</v>
      </c>
      <c r="DK100" s="239" t="s">
        <v>4</v>
      </c>
      <c r="DL100" s="239" t="s">
        <v>4</v>
      </c>
      <c r="DM100" s="239" t="s">
        <v>4</v>
      </c>
      <c r="DN100" s="239" t="s">
        <v>4</v>
      </c>
      <c r="DO100" s="239">
        <v>3</v>
      </c>
      <c r="DP100" s="239" t="s">
        <v>7</v>
      </c>
      <c r="DQ100" s="239" t="s">
        <v>29292</v>
      </c>
      <c r="DR100" s="239" t="s">
        <v>4</v>
      </c>
      <c r="DS100" s="239" t="s">
        <v>29294</v>
      </c>
      <c r="DT100" s="240" t="s">
        <v>4</v>
      </c>
      <c r="DU100" s="239" t="s">
        <v>29294</v>
      </c>
      <c r="DV100" s="240" t="s">
        <v>4</v>
      </c>
      <c r="DW100" s="239" t="s">
        <v>29442</v>
      </c>
      <c r="DX100" s="239">
        <v>50</v>
      </c>
      <c r="DY100" s="239" t="s">
        <v>29296</v>
      </c>
      <c r="DZ100" s="239">
        <v>100</v>
      </c>
      <c r="EA100" s="239"/>
      <c r="EB100" s="239"/>
      <c r="EC100" s="239"/>
      <c r="ED100" s="239"/>
      <c r="EE100" s="320">
        <f>Table14[[#This Row],[% Fertilizer]]*$DX100/10000</f>
        <v>0.5</v>
      </c>
      <c r="EF100" s="320">
        <f>Table14[[#This Row],[% bioslurry used as Insecticide/Pesticide]]*$DX100/10000</f>
        <v>0</v>
      </c>
      <c r="EG100" s="320">
        <f>Table14[[#This Row],[% of Bioslurry used as animal feed]]*$DX100/10000</f>
        <v>0</v>
      </c>
      <c r="EH100" s="320">
        <f>Table14[[#This Row],[% of Bioslurry sold]]*$DX100/10000</f>
        <v>0</v>
      </c>
      <c r="EI100" s="320">
        <f>Table14[[#This Row],[% used other way(if used directly)]]*$DX100/10000</f>
        <v>0</v>
      </c>
      <c r="EJ100" s="239">
        <v>50</v>
      </c>
      <c r="EK100" s="239" t="s">
        <v>31012</v>
      </c>
      <c r="EL100" s="239"/>
      <c r="EM100" s="239"/>
      <c r="EN100" s="239"/>
      <c r="EO100" s="239">
        <f>(Table14[[#This Row],[% Uncovered lagoon greater than 1 meter]]+Table14[[#This Row],[Uncovered lagoon (black watery mass) &lt;1 meter]]+Table14[[#This Row],[% Liquid slurry (brown porridge type)]])*Table14[[#This Row],[% Store it first]]/100</f>
        <v>0</v>
      </c>
      <c r="EP100" s="239"/>
      <c r="EQ100" s="239"/>
      <c r="ER100" s="239">
        <v>100</v>
      </c>
      <c r="ES100" s="239"/>
      <c r="ET100" s="239">
        <f>(Table14[[#This Row],[% Solid storage]]+Table14[[#This Row],[% Sun drying]]+Table14[[#This Row],[% Composting with a roof]]+Table14[[#This Row],[% Composting without a roof]])*Table14[[#This Row],[% Store it first]]/100</f>
        <v>50</v>
      </c>
      <c r="EU100" s="239">
        <v>60</v>
      </c>
      <c r="EV100" s="320">
        <f t="shared" si="2"/>
        <v>0.5</v>
      </c>
      <c r="EW100" s="320">
        <f t="shared" si="3"/>
        <v>0</v>
      </c>
      <c r="EX100" s="320">
        <f t="shared" si="4"/>
        <v>0</v>
      </c>
      <c r="EY100" s="320">
        <f t="shared" si="5"/>
        <v>0</v>
      </c>
      <c r="EZ100" s="320">
        <f t="shared" si="6"/>
        <v>0</v>
      </c>
      <c r="FA100" s="239"/>
      <c r="FB100" s="239"/>
      <c r="FC100" s="239"/>
      <c r="FD100" s="239">
        <f>Table14[[#This Row],[% I donâ€™t use it / discarded]]+Table14[[#This Row],[% Other (specify)(If you use bioslurry directly)]]+Table14[[#This Row],[% Store it first]]+Table14[[#This Row],[% Use directly for various purposes]]</f>
        <v>100</v>
      </c>
      <c r="FE100" s="239" t="s">
        <v>29296</v>
      </c>
      <c r="FF100" s="239">
        <v>100</v>
      </c>
      <c r="FG100" s="239"/>
      <c r="FH100" s="239"/>
      <c r="FI100" s="239"/>
      <c r="FJ100" s="239"/>
      <c r="FK100" s="239" t="s">
        <v>9</v>
      </c>
      <c r="FL100" s="239" t="s">
        <v>7</v>
      </c>
      <c r="FM100" s="239">
        <v>30</v>
      </c>
      <c r="FN100" s="239"/>
      <c r="FO100" s="239" t="s">
        <v>31013</v>
      </c>
      <c r="FP100" s="239" t="s">
        <v>29298</v>
      </c>
      <c r="FQ100" s="239">
        <v>144</v>
      </c>
      <c r="FR100" s="239" t="s">
        <v>7</v>
      </c>
      <c r="FS100" s="239" t="s">
        <v>29393</v>
      </c>
      <c r="FT100" s="239" t="s">
        <v>4</v>
      </c>
      <c r="FU100" s="239" t="s">
        <v>2</v>
      </c>
      <c r="FV100" s="239" t="s">
        <v>4</v>
      </c>
      <c r="FW100" s="239" t="s">
        <v>4</v>
      </c>
      <c r="FX100" s="239" t="s">
        <v>4</v>
      </c>
      <c r="FY100" s="239" t="s">
        <v>4</v>
      </c>
      <c r="FZ100" s="239" t="s">
        <v>4</v>
      </c>
      <c r="GA100" s="239" t="s">
        <v>4</v>
      </c>
      <c r="GB100" s="240" t="s">
        <v>4</v>
      </c>
      <c r="GC100" s="239" t="s">
        <v>4</v>
      </c>
      <c r="GD100" s="239" t="s">
        <v>2</v>
      </c>
      <c r="GE100" s="239" t="s">
        <v>4</v>
      </c>
      <c r="GF100" s="239" t="s">
        <v>4</v>
      </c>
      <c r="GG100" s="239" t="s">
        <v>7</v>
      </c>
      <c r="GH100" s="239" t="s">
        <v>7</v>
      </c>
      <c r="GI100" s="239" t="s">
        <v>29302</v>
      </c>
      <c r="GJ100" s="239" t="s">
        <v>31014</v>
      </c>
      <c r="GK100" s="239" t="s">
        <v>29304</v>
      </c>
      <c r="GL100" s="239">
        <v>3</v>
      </c>
      <c r="GM100" s="239" t="s">
        <v>29940</v>
      </c>
      <c r="GN100" s="239" t="s">
        <v>4</v>
      </c>
      <c r="GO100" s="239" t="s">
        <v>29941</v>
      </c>
      <c r="GP100" s="239" t="s">
        <v>4</v>
      </c>
      <c r="GQ100" s="239" t="s">
        <v>4</v>
      </c>
      <c r="GR100" s="239" t="s">
        <v>4</v>
      </c>
      <c r="GS100" s="239" t="s">
        <v>4</v>
      </c>
      <c r="GT100" s="239" t="s">
        <v>4</v>
      </c>
      <c r="GU100" s="239" t="s">
        <v>4</v>
      </c>
      <c r="GV100" s="239" t="s">
        <v>4</v>
      </c>
      <c r="GW100" s="239" t="s">
        <v>4</v>
      </c>
      <c r="GX100" s="239" t="s">
        <v>4</v>
      </c>
      <c r="GY100" s="239" t="s">
        <v>4</v>
      </c>
      <c r="GZ100" s="239" t="s">
        <v>4</v>
      </c>
      <c r="HA100" s="239" t="s">
        <v>4</v>
      </c>
      <c r="HB100" s="239" t="s">
        <v>4</v>
      </c>
      <c r="HC100" s="239" t="s">
        <v>4</v>
      </c>
      <c r="HD100" s="239" t="s">
        <v>4</v>
      </c>
      <c r="HE100" s="239" t="s">
        <v>4</v>
      </c>
      <c r="HF100" s="239" t="s">
        <v>4</v>
      </c>
      <c r="HG100" s="239" t="s">
        <v>4</v>
      </c>
      <c r="HH100" s="239" t="s">
        <v>29452</v>
      </c>
      <c r="HI100" s="239" t="s">
        <v>4</v>
      </c>
      <c r="HJ100" s="240">
        <v>0</v>
      </c>
      <c r="HK100" s="239" t="s">
        <v>7</v>
      </c>
      <c r="HL100" s="239" t="s">
        <v>29309</v>
      </c>
      <c r="HM100" s="239" t="s">
        <v>4</v>
      </c>
      <c r="HN100" s="239" t="s">
        <v>4</v>
      </c>
      <c r="HO100" s="239" t="s">
        <v>4</v>
      </c>
      <c r="HP100" s="239" t="s">
        <v>4</v>
      </c>
      <c r="HQ100" s="239" t="s">
        <v>4</v>
      </c>
      <c r="HR100" s="239" t="s">
        <v>4</v>
      </c>
      <c r="HS100" s="239" t="s">
        <v>4</v>
      </c>
      <c r="HT100" s="239" t="s">
        <v>4</v>
      </c>
      <c r="HU100" s="239" t="s">
        <v>2</v>
      </c>
      <c r="HV100" s="239" t="s">
        <v>4</v>
      </c>
      <c r="HW100" s="239" t="s">
        <v>4</v>
      </c>
      <c r="HX100" s="239" t="s">
        <v>4</v>
      </c>
      <c r="HY100" s="239" t="s">
        <v>4</v>
      </c>
      <c r="HZ100" s="239" t="s">
        <v>31015</v>
      </c>
      <c r="IA100" s="239" t="s">
        <v>2</v>
      </c>
      <c r="IB100" s="239" t="s">
        <v>4</v>
      </c>
      <c r="IC100" s="239" t="s">
        <v>31016</v>
      </c>
      <c r="ID100" s="239" t="s">
        <v>31017</v>
      </c>
      <c r="IE100" s="239" t="s">
        <v>31018</v>
      </c>
      <c r="IF100" s="239" t="s">
        <v>31019</v>
      </c>
      <c r="IG100" s="239" t="s">
        <v>31020</v>
      </c>
      <c r="IH100" s="239" t="s">
        <v>30061</v>
      </c>
    </row>
    <row r="101" spans="1:242" s="1" customFormat="1" ht="36.75" customHeight="1" x14ac:dyDescent="0.2">
      <c r="A101" s="239">
        <v>165</v>
      </c>
      <c r="B101" s="239" t="s">
        <v>422</v>
      </c>
      <c r="C101" s="239" t="s">
        <v>31053</v>
      </c>
      <c r="D101" s="239" t="s">
        <v>34</v>
      </c>
      <c r="E101" s="239" t="s">
        <v>7</v>
      </c>
      <c r="F101" s="239" t="s">
        <v>31054</v>
      </c>
      <c r="G101" s="239">
        <v>1140.5</v>
      </c>
      <c r="H101" s="239">
        <v>4.5999999999999996</v>
      </c>
      <c r="I101" s="239" t="s">
        <v>29288</v>
      </c>
      <c r="J101" s="239" t="s">
        <v>4</v>
      </c>
      <c r="K101" s="239" t="s">
        <v>31055</v>
      </c>
      <c r="L101" s="239">
        <v>782901311</v>
      </c>
      <c r="M101" s="239" t="s">
        <v>3</v>
      </c>
      <c r="N101" s="239" t="s">
        <v>31438</v>
      </c>
      <c r="O101" s="239">
        <v>53</v>
      </c>
      <c r="P101" s="239">
        <v>5</v>
      </c>
      <c r="Q101" s="239" t="s">
        <v>7</v>
      </c>
      <c r="R101" s="239" t="s">
        <v>31588</v>
      </c>
      <c r="S101" s="239" t="s">
        <v>4</v>
      </c>
      <c r="T101" s="239" t="s">
        <v>7</v>
      </c>
      <c r="U101" s="239" t="s">
        <v>7</v>
      </c>
      <c r="V101" s="239"/>
      <c r="W101" s="239" t="s">
        <v>7</v>
      </c>
      <c r="X101" s="239" t="s">
        <v>4</v>
      </c>
      <c r="Y101" s="239" t="s">
        <v>4</v>
      </c>
      <c r="Z101" s="241" t="str">
        <f>IF(OR(T101="yes",Y101&gt;'SDG outcome'!$C$27),"yes","no")</f>
        <v>yes</v>
      </c>
      <c r="AA101" s="243">
        <f t="shared" si="1"/>
        <v>0</v>
      </c>
      <c r="AB101" s="243" t="str">
        <f>IF(AND(Z101="no",AND(Y101&gt;='SDG outcome'!$B$16,Y101&lt;'SDG outcome'!$C$27)),Y101-'SDG outcome'!$B$16,"")</f>
        <v/>
      </c>
      <c r="AC101" s="239" t="s">
        <v>4</v>
      </c>
      <c r="AD101" s="239" t="s">
        <v>4</v>
      </c>
      <c r="AE101" s="239" t="s">
        <v>4</v>
      </c>
      <c r="AF101" s="239" t="s">
        <v>4</v>
      </c>
      <c r="AG101" s="239" t="s">
        <v>4</v>
      </c>
      <c r="AH101" s="239" t="s">
        <v>4</v>
      </c>
      <c r="AI101" s="239" t="s">
        <v>4</v>
      </c>
      <c r="AJ101" s="239" t="s">
        <v>29290</v>
      </c>
      <c r="AK101" s="239" t="s">
        <v>29694</v>
      </c>
      <c r="AL101" s="239" t="s">
        <v>4</v>
      </c>
      <c r="AM101" s="239" t="s">
        <v>4</v>
      </c>
      <c r="AN101" s="239" t="s">
        <v>31605</v>
      </c>
      <c r="AO101" s="239" t="s">
        <v>4</v>
      </c>
      <c r="AP101" s="239" t="s">
        <v>31600</v>
      </c>
      <c r="AQ101" s="239" t="s">
        <v>4</v>
      </c>
      <c r="AR101" s="239" t="s">
        <v>31538</v>
      </c>
      <c r="AS101" s="239" t="s">
        <v>4</v>
      </c>
      <c r="AT101" s="239" t="s">
        <v>7</v>
      </c>
      <c r="AU101" s="239" t="s">
        <v>4</v>
      </c>
      <c r="AV101" s="239" t="s">
        <v>4</v>
      </c>
      <c r="AW101" s="239" t="s">
        <v>31550</v>
      </c>
      <c r="AX101" s="239" t="s">
        <v>4</v>
      </c>
      <c r="AY101" s="239" t="s">
        <v>4</v>
      </c>
      <c r="AZ101" s="239" t="s">
        <v>7</v>
      </c>
      <c r="BA101" s="239" t="s">
        <v>6</v>
      </c>
      <c r="BB101" s="239" t="s">
        <v>4</v>
      </c>
      <c r="BC101" s="239" t="s">
        <v>31563</v>
      </c>
      <c r="BD101" s="239" t="s">
        <v>22</v>
      </c>
      <c r="BE101" s="239" t="s">
        <v>4</v>
      </c>
      <c r="BF101" s="239" t="s">
        <v>4</v>
      </c>
      <c r="BG101" s="239" t="s">
        <v>4</v>
      </c>
      <c r="BH101" s="239" t="s">
        <v>31542</v>
      </c>
      <c r="BI101" s="239" t="s">
        <v>31787</v>
      </c>
      <c r="BJ101" s="239" t="s">
        <v>31616</v>
      </c>
      <c r="BK101" s="239">
        <v>1</v>
      </c>
      <c r="BL101" s="239">
        <v>180</v>
      </c>
      <c r="BM101" s="239" t="s">
        <v>7</v>
      </c>
      <c r="BN101" s="239" t="s">
        <v>11</v>
      </c>
      <c r="BO101" s="239" t="s">
        <v>4</v>
      </c>
      <c r="BP101" s="239" t="s">
        <v>31429</v>
      </c>
      <c r="BQ101" s="239">
        <v>3</v>
      </c>
      <c r="BR101" s="239">
        <v>60</v>
      </c>
      <c r="BS101" s="239" t="s">
        <v>31434</v>
      </c>
      <c r="BT101" s="239"/>
      <c r="BU101" s="239">
        <v>10</v>
      </c>
      <c r="BV101" s="239" cm="1">
        <f t="array" ref="BV101">_xlfn.IFS(BS101="Foreword vehicle",BU101*0,BS101="Human wastes",BU101*0,BS101="Jerrycans",BU101*$BV$228,BS101="Number of Basins",BU101*$BV$229,BS101="Number of Buckets",BU101*$CA$226,BS101="Number of Kgs",BU101*$CA$227,BS101="Number of spades",BU101*$CA$228,BS101="Number of wheelbarrows",BU101*$CA$229,BT101="Foreword vehicle",BU101*0,BT101="Human wastes",BU101*0,BT101="Jerrycans",BU101*$BV$228,BS101="","")</f>
        <v>160</v>
      </c>
      <c r="BW101" s="239">
        <f>IF(BV101="","",Table14[[#This Row],[Calculation: Conversion of metric to Kg manure feeding (Columns: BP, BQ, BR)]]*Table14[[#This Row],[Number of times used to feed biodigester]])</f>
        <v>480</v>
      </c>
      <c r="BX101" s="239" cm="1">
        <f t="array" ref="BX101">_xlfn.IFS(BP101="Number of times per day (1 to 3)",BW101/$BX$226,BP101="Number of times per week (1 to 6)",BW101/$BX$227,BP101="Number of times per Month (1 to 3)",BW101/$BX$228,BW101="","")</f>
        <v>68.571428571428569</v>
      </c>
      <c r="BY101" s="239" t="s">
        <v>22</v>
      </c>
      <c r="BZ101" s="239" t="s">
        <v>4</v>
      </c>
      <c r="CA101" s="239" t="s">
        <v>2</v>
      </c>
      <c r="CB101" s="239" t="s">
        <v>4</v>
      </c>
      <c r="CC101" s="239" t="s">
        <v>4</v>
      </c>
      <c r="CD101" s="239" t="s">
        <v>4</v>
      </c>
      <c r="CE101" s="239" t="s">
        <v>7</v>
      </c>
      <c r="CF101" s="239" t="s">
        <v>31788</v>
      </c>
      <c r="CG101" s="239" t="s">
        <v>4</v>
      </c>
      <c r="CH101" s="239" t="s">
        <v>31728</v>
      </c>
      <c r="CI101" s="239">
        <v>0</v>
      </c>
      <c r="CJ101" s="239">
        <v>4</v>
      </c>
      <c r="CK101" s="239">
        <v>3</v>
      </c>
      <c r="CL101" s="239">
        <v>0</v>
      </c>
      <c r="CM101" s="239">
        <v>0</v>
      </c>
      <c r="CN101" s="239">
        <v>0</v>
      </c>
      <c r="CO101" s="239">
        <v>0</v>
      </c>
      <c r="CP101" s="239">
        <v>0</v>
      </c>
      <c r="CQ101" s="239">
        <v>0</v>
      </c>
      <c r="CR101" s="239">
        <v>0</v>
      </c>
      <c r="CS101" s="239">
        <f>CP101/'SDG outcome'!$C$9*CQ101*CR101</f>
        <v>0</v>
      </c>
      <c r="CT101" s="239" t="s">
        <v>4</v>
      </c>
      <c r="CU101" s="239" t="s">
        <v>4</v>
      </c>
      <c r="CV101" s="239" t="s">
        <v>4</v>
      </c>
      <c r="CW101" s="239">
        <v>100</v>
      </c>
      <c r="CX101" s="239">
        <v>0</v>
      </c>
      <c r="CY101" s="239" t="s">
        <v>4</v>
      </c>
      <c r="CZ101" s="239" t="s">
        <v>4</v>
      </c>
      <c r="DA101" s="239" t="s">
        <v>4</v>
      </c>
      <c r="DB101" s="239" t="s">
        <v>4</v>
      </c>
      <c r="DC101" s="239">
        <v>0</v>
      </c>
      <c r="DD101" s="239">
        <v>100</v>
      </c>
      <c r="DE101" s="239" t="s">
        <v>31789</v>
      </c>
      <c r="DF101" s="239" t="s">
        <v>4</v>
      </c>
      <c r="DG101" s="239" t="s">
        <v>4</v>
      </c>
      <c r="DH101" s="239" t="s">
        <v>4</v>
      </c>
      <c r="DI101" s="239" t="s">
        <v>4</v>
      </c>
      <c r="DJ101" s="239" t="s">
        <v>4</v>
      </c>
      <c r="DK101" s="239" t="s">
        <v>4</v>
      </c>
      <c r="DL101" s="239" t="s">
        <v>4</v>
      </c>
      <c r="DM101" s="239" t="s">
        <v>4</v>
      </c>
      <c r="DN101" s="239" t="s">
        <v>4</v>
      </c>
      <c r="DO101" s="239">
        <v>3</v>
      </c>
      <c r="DP101" s="239" t="s">
        <v>7</v>
      </c>
      <c r="DQ101" s="239" t="s">
        <v>29292</v>
      </c>
      <c r="DR101" s="239" t="s">
        <v>4</v>
      </c>
      <c r="DS101" s="239" t="s">
        <v>29294</v>
      </c>
      <c r="DT101" s="240" t="s">
        <v>4</v>
      </c>
      <c r="DU101" s="239" t="s">
        <v>29294</v>
      </c>
      <c r="DV101" s="240" t="s">
        <v>4</v>
      </c>
      <c r="DW101" s="239" t="s">
        <v>29442</v>
      </c>
      <c r="DX101" s="239">
        <v>50</v>
      </c>
      <c r="DY101" s="239" t="s">
        <v>29296</v>
      </c>
      <c r="DZ101" s="239">
        <v>100</v>
      </c>
      <c r="EA101" s="239"/>
      <c r="EB101" s="239"/>
      <c r="EC101" s="239"/>
      <c r="ED101" s="239"/>
      <c r="EE101" s="320">
        <f>Table14[[#This Row],[% Fertilizer]]*$DX101/10000</f>
        <v>0.5</v>
      </c>
      <c r="EF101" s="320">
        <f>Table14[[#This Row],[% bioslurry used as Insecticide/Pesticide]]*$DX101/10000</f>
        <v>0</v>
      </c>
      <c r="EG101" s="320">
        <f>Table14[[#This Row],[% of Bioslurry used as animal feed]]*$DX101/10000</f>
        <v>0</v>
      </c>
      <c r="EH101" s="320">
        <f>Table14[[#This Row],[% of Bioslurry sold]]*$DX101/10000</f>
        <v>0</v>
      </c>
      <c r="EI101" s="320">
        <f>Table14[[#This Row],[% used other way(if used directly)]]*$DX101/10000</f>
        <v>0</v>
      </c>
      <c r="EJ101" s="239">
        <v>50</v>
      </c>
      <c r="EK101" s="239" t="s">
        <v>29443</v>
      </c>
      <c r="EL101" s="239"/>
      <c r="EM101" s="239"/>
      <c r="EN101" s="239"/>
      <c r="EO101" s="239">
        <f>(Table14[[#This Row],[% Uncovered lagoon greater than 1 meter]]+Table14[[#This Row],[Uncovered lagoon (black watery mass) &lt;1 meter]]+Table14[[#This Row],[% Liquid slurry (brown porridge type)]])*Table14[[#This Row],[% Store it first]]/100</f>
        <v>0</v>
      </c>
      <c r="EP101" s="239"/>
      <c r="EQ101" s="239"/>
      <c r="ER101" s="239"/>
      <c r="ES101" s="239">
        <v>100</v>
      </c>
      <c r="ET101" s="239">
        <f>(Table14[[#This Row],[% Solid storage]]+Table14[[#This Row],[% Sun drying]]+Table14[[#This Row],[% Composting with a roof]]+Table14[[#This Row],[% Composting without a roof]])*Table14[[#This Row],[% Store it first]]/100</f>
        <v>50</v>
      </c>
      <c r="EU101" s="239">
        <v>60</v>
      </c>
      <c r="EV101" s="320">
        <f t="shared" si="2"/>
        <v>0.5</v>
      </c>
      <c r="EW101" s="320">
        <f t="shared" si="3"/>
        <v>0</v>
      </c>
      <c r="EX101" s="320">
        <f t="shared" si="4"/>
        <v>0</v>
      </c>
      <c r="EY101" s="320">
        <f t="shared" si="5"/>
        <v>0</v>
      </c>
      <c r="EZ101" s="320">
        <f t="shared" si="6"/>
        <v>0</v>
      </c>
      <c r="FA101" s="239"/>
      <c r="FB101" s="239"/>
      <c r="FC101" s="239"/>
      <c r="FD101" s="239">
        <f>Table14[[#This Row],[% I donâ€™t use it / discarded]]+Table14[[#This Row],[% Other (specify)(If you use bioslurry directly)]]+Table14[[#This Row],[% Store it first]]+Table14[[#This Row],[% Use directly for various purposes]]</f>
        <v>100</v>
      </c>
      <c r="FE101" s="239" t="s">
        <v>29296</v>
      </c>
      <c r="FF101" s="239">
        <v>100</v>
      </c>
      <c r="FG101" s="239"/>
      <c r="FH101" s="239"/>
      <c r="FI101" s="239"/>
      <c r="FJ101" s="239"/>
      <c r="FK101" s="239" t="s">
        <v>9</v>
      </c>
      <c r="FL101" s="239" t="s">
        <v>30901</v>
      </c>
      <c r="FM101" s="239">
        <v>30</v>
      </c>
      <c r="FN101" s="239"/>
      <c r="FO101" s="239" t="s">
        <v>31056</v>
      </c>
      <c r="FP101" s="239" t="s">
        <v>29298</v>
      </c>
      <c r="FQ101" s="239">
        <v>144</v>
      </c>
      <c r="FR101" s="239" t="s">
        <v>7</v>
      </c>
      <c r="FS101" s="239" t="s">
        <v>29393</v>
      </c>
      <c r="FT101" s="239" t="s">
        <v>4</v>
      </c>
      <c r="FU101" s="239" t="s">
        <v>2</v>
      </c>
      <c r="FV101" s="239" t="s">
        <v>4</v>
      </c>
      <c r="FW101" s="239" t="s">
        <v>4</v>
      </c>
      <c r="FX101" s="239" t="s">
        <v>4</v>
      </c>
      <c r="FY101" s="239" t="s">
        <v>4</v>
      </c>
      <c r="FZ101" s="239" t="s">
        <v>4</v>
      </c>
      <c r="GA101" s="239" t="s">
        <v>4</v>
      </c>
      <c r="GB101" s="240" t="s">
        <v>4</v>
      </c>
      <c r="GC101" s="239" t="s">
        <v>4</v>
      </c>
      <c r="GD101" s="239" t="s">
        <v>2</v>
      </c>
      <c r="GE101" s="239" t="s">
        <v>4</v>
      </c>
      <c r="GF101" s="239" t="s">
        <v>4</v>
      </c>
      <c r="GG101" s="239" t="s">
        <v>7</v>
      </c>
      <c r="GH101" s="239" t="s">
        <v>7</v>
      </c>
      <c r="GI101" s="239" t="s">
        <v>29302</v>
      </c>
      <c r="GJ101" s="239" t="s">
        <v>31057</v>
      </c>
      <c r="GK101" s="239" t="s">
        <v>29304</v>
      </c>
      <c r="GL101" s="239">
        <v>1</v>
      </c>
      <c r="GM101" s="239" t="s">
        <v>29305</v>
      </c>
      <c r="GN101" s="239" t="s">
        <v>29339</v>
      </c>
      <c r="GO101" s="239" t="s">
        <v>4</v>
      </c>
      <c r="GP101" s="239" t="s">
        <v>4</v>
      </c>
      <c r="GQ101" s="239" t="s">
        <v>4</v>
      </c>
      <c r="GR101" s="239" t="s">
        <v>4</v>
      </c>
      <c r="GS101" s="239" t="s">
        <v>4</v>
      </c>
      <c r="GT101" s="239" t="s">
        <v>4</v>
      </c>
      <c r="GU101" s="239" t="s">
        <v>4</v>
      </c>
      <c r="GV101" s="239" t="s">
        <v>4</v>
      </c>
      <c r="GW101" s="239" t="s">
        <v>4</v>
      </c>
      <c r="GX101" s="239" t="s">
        <v>4</v>
      </c>
      <c r="GY101" s="239" t="s">
        <v>4</v>
      </c>
      <c r="GZ101" s="239" t="s">
        <v>4</v>
      </c>
      <c r="HA101" s="239" t="s">
        <v>4</v>
      </c>
      <c r="HB101" s="239" t="s">
        <v>4</v>
      </c>
      <c r="HC101" s="239" t="s">
        <v>4</v>
      </c>
      <c r="HD101" s="239" t="s">
        <v>4</v>
      </c>
      <c r="HE101" s="239" t="s">
        <v>4</v>
      </c>
      <c r="HF101" s="239" t="s">
        <v>4</v>
      </c>
      <c r="HG101" s="239" t="s">
        <v>4</v>
      </c>
      <c r="HH101" s="239" t="s">
        <v>29452</v>
      </c>
      <c r="HI101" s="239" t="s">
        <v>4</v>
      </c>
      <c r="HJ101" s="240">
        <v>0</v>
      </c>
      <c r="HK101" s="239" t="s">
        <v>7</v>
      </c>
      <c r="HL101" s="239" t="s">
        <v>29309</v>
      </c>
      <c r="HM101" s="239" t="s">
        <v>4</v>
      </c>
      <c r="HN101" s="239" t="s">
        <v>4</v>
      </c>
      <c r="HO101" s="239" t="s">
        <v>4</v>
      </c>
      <c r="HP101" s="239" t="s">
        <v>4</v>
      </c>
      <c r="HQ101" s="239" t="s">
        <v>4</v>
      </c>
      <c r="HR101" s="239" t="s">
        <v>4</v>
      </c>
      <c r="HS101" s="239" t="s">
        <v>4</v>
      </c>
      <c r="HT101" s="239" t="s">
        <v>4</v>
      </c>
      <c r="HU101" s="239" t="s">
        <v>2</v>
      </c>
      <c r="HV101" s="239" t="s">
        <v>4</v>
      </c>
      <c r="HW101" s="239" t="s">
        <v>4</v>
      </c>
      <c r="HX101" s="239" t="s">
        <v>4</v>
      </c>
      <c r="HY101" s="239" t="s">
        <v>4</v>
      </c>
      <c r="HZ101" s="239" t="s">
        <v>31025</v>
      </c>
      <c r="IA101" s="239" t="s">
        <v>2</v>
      </c>
      <c r="IB101" s="239" t="s">
        <v>4</v>
      </c>
      <c r="IC101" s="239" t="s">
        <v>31058</v>
      </c>
      <c r="ID101" s="239" t="s">
        <v>31059</v>
      </c>
      <c r="IE101" s="239" t="s">
        <v>31060</v>
      </c>
      <c r="IF101" s="239" t="s">
        <v>31061</v>
      </c>
      <c r="IG101" s="239" t="s">
        <v>31062</v>
      </c>
      <c r="IH101" s="239" t="s">
        <v>31053</v>
      </c>
    </row>
    <row r="102" spans="1:242" s="1" customFormat="1" ht="36.75" customHeight="1" x14ac:dyDescent="0.2">
      <c r="A102" s="239">
        <v>86</v>
      </c>
      <c r="B102" s="239" t="s">
        <v>14439</v>
      </c>
      <c r="C102" s="239" t="s">
        <v>30245</v>
      </c>
      <c r="D102" s="239" t="s">
        <v>30207</v>
      </c>
      <c r="E102" s="239" t="s">
        <v>7</v>
      </c>
      <c r="F102" s="239" t="s">
        <v>30246</v>
      </c>
      <c r="G102" s="239">
        <v>1170.9000000000001</v>
      </c>
      <c r="H102" s="239">
        <v>4.8</v>
      </c>
      <c r="I102" s="239" t="s">
        <v>29288</v>
      </c>
      <c r="J102" s="239" t="s">
        <v>4</v>
      </c>
      <c r="K102" s="239" t="s">
        <v>30247</v>
      </c>
      <c r="L102" s="239">
        <v>782398337</v>
      </c>
      <c r="M102" s="239" t="s">
        <v>3</v>
      </c>
      <c r="N102" s="239" t="s">
        <v>31598</v>
      </c>
      <c r="O102" s="239" t="s">
        <v>4</v>
      </c>
      <c r="P102" s="239">
        <v>5</v>
      </c>
      <c r="Q102" s="239" t="s">
        <v>7</v>
      </c>
      <c r="R102" s="239" t="s">
        <v>31535</v>
      </c>
      <c r="S102" s="239" t="s">
        <v>4</v>
      </c>
      <c r="T102" s="239" t="s">
        <v>7</v>
      </c>
      <c r="U102" s="239" t="s">
        <v>7</v>
      </c>
      <c r="V102" s="239"/>
      <c r="W102" s="239" t="s">
        <v>7</v>
      </c>
      <c r="X102" s="239" t="s">
        <v>4</v>
      </c>
      <c r="Y102" s="239" t="s">
        <v>4</v>
      </c>
      <c r="Z102" s="241" t="str">
        <f>IF(OR(T102="yes",Y102&gt;'SDG outcome'!$C$27),"yes","no")</f>
        <v>yes</v>
      </c>
      <c r="AA102" s="243">
        <f t="shared" si="1"/>
        <v>0</v>
      </c>
      <c r="AB102" s="243" t="str">
        <f>IF(AND(Z102="no",AND(Y102&gt;='SDG outcome'!$B$16,Y102&lt;'SDG outcome'!$C$27)),Y102-'SDG outcome'!$B$16,"")</f>
        <v/>
      </c>
      <c r="AC102" s="239" t="s">
        <v>4</v>
      </c>
      <c r="AD102" s="239" t="s">
        <v>4</v>
      </c>
      <c r="AE102" s="239" t="s">
        <v>4</v>
      </c>
      <c r="AF102" s="239" t="s">
        <v>4</v>
      </c>
      <c r="AG102" s="239" t="s">
        <v>4</v>
      </c>
      <c r="AH102" s="239" t="s">
        <v>4</v>
      </c>
      <c r="AI102" s="239" t="s">
        <v>4</v>
      </c>
      <c r="AJ102" s="239" t="s">
        <v>29290</v>
      </c>
      <c r="AK102" s="239" t="s">
        <v>29694</v>
      </c>
      <c r="AL102" s="239" t="s">
        <v>4</v>
      </c>
      <c r="AM102" s="239" t="s">
        <v>4</v>
      </c>
      <c r="AN102" s="239" t="s">
        <v>31536</v>
      </c>
      <c r="AO102" s="239" t="s">
        <v>4</v>
      </c>
      <c r="AP102" s="239" t="s">
        <v>31537</v>
      </c>
      <c r="AQ102" s="239" t="s">
        <v>4</v>
      </c>
      <c r="AR102" s="239" t="s">
        <v>31538</v>
      </c>
      <c r="AS102" s="239" t="s">
        <v>4</v>
      </c>
      <c r="AT102" s="239" t="s">
        <v>2</v>
      </c>
      <c r="AU102" s="239" t="s">
        <v>31581</v>
      </c>
      <c r="AV102" s="239" t="s">
        <v>4</v>
      </c>
      <c r="AW102" s="239" t="s">
        <v>31539</v>
      </c>
      <c r="AX102" s="239" t="s">
        <v>4</v>
      </c>
      <c r="AY102" s="239" t="s">
        <v>4</v>
      </c>
      <c r="AZ102" s="239" t="s">
        <v>2</v>
      </c>
      <c r="BA102" s="239" t="s">
        <v>4</v>
      </c>
      <c r="BB102" s="239" t="s">
        <v>4</v>
      </c>
      <c r="BC102" s="239" t="s">
        <v>31563</v>
      </c>
      <c r="BD102" s="239" t="s">
        <v>14</v>
      </c>
      <c r="BE102" s="239" t="s">
        <v>4</v>
      </c>
      <c r="BF102" s="239" t="s">
        <v>31541</v>
      </c>
      <c r="BG102" s="239" t="s">
        <v>4</v>
      </c>
      <c r="BH102" s="239" t="s">
        <v>31591</v>
      </c>
      <c r="BI102" s="239" t="s">
        <v>31775</v>
      </c>
      <c r="BJ102" s="239" t="s">
        <v>31544</v>
      </c>
      <c r="BK102" s="239">
        <v>2</v>
      </c>
      <c r="BL102" s="239">
        <v>40</v>
      </c>
      <c r="BM102" s="239" t="s">
        <v>7</v>
      </c>
      <c r="BN102" s="239" t="s">
        <v>6</v>
      </c>
      <c r="BO102" s="239" t="s">
        <v>4</v>
      </c>
      <c r="BP102" s="239" t="s">
        <v>31425</v>
      </c>
      <c r="BQ102" s="239">
        <v>1</v>
      </c>
      <c r="BR102" s="239">
        <v>40</v>
      </c>
      <c r="BS102" s="239" t="s">
        <v>31434</v>
      </c>
      <c r="BT102" s="239"/>
      <c r="BU102" s="239">
        <v>2</v>
      </c>
      <c r="BV102" s="239" cm="1">
        <f t="array" ref="BV102">_xlfn.IFS(BS102="Foreword vehicle",BU102*0,BS102="Human wastes",BU102*0,BS102="Jerrycans",BU102*$BV$228,BS102="Number of Basins",BU102*$BV$229,BS102="Number of Buckets",BU102*$CA$226,BS102="Number of Kgs",BU102*$CA$227,BS102="Number of spades",BU102*$CA$228,BS102="Number of wheelbarrows",BU102*$CA$229,BT102="Foreword vehicle",BU102*0,BT102="Human wastes",BU102*0,BT102="Jerrycans",BU102*$BV$228,BS102="","")</f>
        <v>32</v>
      </c>
      <c r="BW102" s="239">
        <f>IF(BV102="","",Table14[[#This Row],[Calculation: Conversion of metric to Kg manure feeding (Columns: BP, BQ, BR)]]*Table14[[#This Row],[Number of times used to feed biodigester]])</f>
        <v>32</v>
      </c>
      <c r="BX102" s="239" cm="1">
        <f t="array" ref="BX102">_xlfn.IFS(BP102="Number of times per day (1 to 3)",BW102/$BX$226,BP102="Number of times per week (1 to 6)",BW102/$BX$227,BP102="Number of times per Month (1 to 3)",BW102/$BX$228,BW102="","")</f>
        <v>32</v>
      </c>
      <c r="BY102" s="239" t="s">
        <v>31541</v>
      </c>
      <c r="BZ102" s="239" t="s">
        <v>4</v>
      </c>
      <c r="CA102" s="239" t="s">
        <v>2</v>
      </c>
      <c r="CB102" s="239" t="s">
        <v>4</v>
      </c>
      <c r="CC102" s="239" t="s">
        <v>4</v>
      </c>
      <c r="CD102" s="239" t="s">
        <v>4</v>
      </c>
      <c r="CE102" s="239" t="s">
        <v>7</v>
      </c>
      <c r="CF102" s="239" t="s">
        <v>31776</v>
      </c>
      <c r="CG102" s="239" t="s">
        <v>4</v>
      </c>
      <c r="CH102" s="239" t="s">
        <v>31683</v>
      </c>
      <c r="CI102" s="239">
        <v>1</v>
      </c>
      <c r="CJ102" s="239">
        <v>3</v>
      </c>
      <c r="CK102" s="239">
        <v>0</v>
      </c>
      <c r="CL102" s="239">
        <v>0</v>
      </c>
      <c r="CM102" s="239">
        <v>0</v>
      </c>
      <c r="CN102" s="239">
        <v>0</v>
      </c>
      <c r="CO102" s="239">
        <v>0</v>
      </c>
      <c r="CP102" s="239">
        <v>0</v>
      </c>
      <c r="CQ102" s="239">
        <v>0</v>
      </c>
      <c r="CR102" s="239">
        <v>0</v>
      </c>
      <c r="CS102" s="239">
        <f>CP102/'SDG outcome'!$C$9*CQ102*CR102</f>
        <v>0</v>
      </c>
      <c r="CT102" s="239">
        <v>80</v>
      </c>
      <c r="CU102" s="239">
        <v>20</v>
      </c>
      <c r="CV102" s="239" t="s">
        <v>31777</v>
      </c>
      <c r="CW102" s="239">
        <v>80</v>
      </c>
      <c r="CX102" s="239">
        <v>20</v>
      </c>
      <c r="CY102" s="239" t="s">
        <v>31777</v>
      </c>
      <c r="CZ102" s="239" t="s">
        <v>4</v>
      </c>
      <c r="DA102" s="239" t="s">
        <v>4</v>
      </c>
      <c r="DB102" s="239" t="s">
        <v>4</v>
      </c>
      <c r="DC102" s="239" t="s">
        <v>4</v>
      </c>
      <c r="DD102" s="239" t="s">
        <v>4</v>
      </c>
      <c r="DE102" s="239" t="s">
        <v>4</v>
      </c>
      <c r="DF102" s="239" t="s">
        <v>4</v>
      </c>
      <c r="DG102" s="239" t="s">
        <v>4</v>
      </c>
      <c r="DH102" s="239" t="s">
        <v>4</v>
      </c>
      <c r="DI102" s="239" t="s">
        <v>4</v>
      </c>
      <c r="DJ102" s="239" t="s">
        <v>4</v>
      </c>
      <c r="DK102" s="239" t="s">
        <v>4</v>
      </c>
      <c r="DL102" s="239" t="s">
        <v>4</v>
      </c>
      <c r="DM102" s="239" t="s">
        <v>4</v>
      </c>
      <c r="DN102" s="239" t="s">
        <v>4</v>
      </c>
      <c r="DO102" s="239">
        <v>0.5</v>
      </c>
      <c r="DP102" s="239" t="s">
        <v>2</v>
      </c>
      <c r="DQ102" s="239" t="s">
        <v>29375</v>
      </c>
      <c r="DR102" s="239" t="s">
        <v>4</v>
      </c>
      <c r="DS102" s="239" t="s">
        <v>4</v>
      </c>
      <c r="DT102" s="240" t="s">
        <v>4</v>
      </c>
      <c r="DU102" s="239" t="s">
        <v>29294</v>
      </c>
      <c r="DV102" s="240" t="s">
        <v>4</v>
      </c>
      <c r="DW102" s="239" t="s">
        <v>29295</v>
      </c>
      <c r="DX102" s="239">
        <v>100</v>
      </c>
      <c r="DY102" s="239" t="s">
        <v>29296</v>
      </c>
      <c r="DZ102" s="239">
        <v>100</v>
      </c>
      <c r="EA102" s="239"/>
      <c r="EB102" s="239"/>
      <c r="EC102" s="239"/>
      <c r="ED102" s="239"/>
      <c r="EE102" s="320">
        <f>Table14[[#This Row],[% Fertilizer]]*$DX102/10000</f>
        <v>1</v>
      </c>
      <c r="EF102" s="320">
        <f>Table14[[#This Row],[% bioslurry used as Insecticide/Pesticide]]*$DX102/10000</f>
        <v>0</v>
      </c>
      <c r="EG102" s="320">
        <f>Table14[[#This Row],[% of Bioslurry used as animal feed]]*$DX102/10000</f>
        <v>0</v>
      </c>
      <c r="EH102" s="320">
        <f>Table14[[#This Row],[% of Bioslurry sold]]*$DX102/10000</f>
        <v>0</v>
      </c>
      <c r="EI102" s="320">
        <f>Table14[[#This Row],[% used other way(if used directly)]]*$DX102/10000</f>
        <v>0</v>
      </c>
      <c r="EJ102" s="239"/>
      <c r="EK102" s="239"/>
      <c r="EL102" s="239"/>
      <c r="EM102" s="239"/>
      <c r="EN102" s="239"/>
      <c r="EO102" s="239">
        <f>(Table14[[#This Row],[% Uncovered lagoon greater than 1 meter]]+Table14[[#This Row],[Uncovered lagoon (black watery mass) &lt;1 meter]]+Table14[[#This Row],[% Liquid slurry (brown porridge type)]])*Table14[[#This Row],[% Store it first]]/100</f>
        <v>0</v>
      </c>
      <c r="EP102" s="239"/>
      <c r="EQ102" s="239"/>
      <c r="ER102" s="239"/>
      <c r="ES102" s="239"/>
      <c r="ET102" s="239">
        <f>(Table14[[#This Row],[% Solid storage]]+Table14[[#This Row],[% Sun drying]]+Table14[[#This Row],[% Composting with a roof]]+Table14[[#This Row],[% Composting without a roof]])*Table14[[#This Row],[% Store it first]]/100</f>
        <v>0</v>
      </c>
      <c r="EU102" s="239"/>
      <c r="EV102" s="320">
        <f t="shared" si="2"/>
        <v>0</v>
      </c>
      <c r="EW102" s="320">
        <f t="shared" si="3"/>
        <v>0</v>
      </c>
      <c r="EX102" s="320">
        <f t="shared" si="4"/>
        <v>0</v>
      </c>
      <c r="EY102" s="320">
        <f t="shared" si="5"/>
        <v>0</v>
      </c>
      <c r="EZ102" s="320">
        <f t="shared" si="6"/>
        <v>0</v>
      </c>
      <c r="FA102" s="239"/>
      <c r="FB102" s="239"/>
      <c r="FC102" s="239"/>
      <c r="FD102" s="239">
        <f>Table14[[#This Row],[% I donâ€™t use it / discarded]]+Table14[[#This Row],[% Other (specify)(If you use bioslurry directly)]]+Table14[[#This Row],[% Store it first]]+Table14[[#This Row],[% Use directly for various purposes]]</f>
        <v>100</v>
      </c>
      <c r="FE102" s="239" t="s">
        <v>4</v>
      </c>
      <c r="FF102" s="239"/>
      <c r="FG102" s="239"/>
      <c r="FH102" s="239"/>
      <c r="FI102" s="239"/>
      <c r="FJ102" s="239"/>
      <c r="FK102" s="239">
        <v>4.8</v>
      </c>
      <c r="FL102" s="239" t="s">
        <v>7</v>
      </c>
      <c r="FM102" s="239">
        <v>10</v>
      </c>
      <c r="FN102" s="239">
        <f t="shared" ref="FN102:FN110" si="7">FK102*FM102/100</f>
        <v>0.48</v>
      </c>
      <c r="FO102" s="239" t="s">
        <v>30248</v>
      </c>
      <c r="FP102" s="239" t="s">
        <v>29298</v>
      </c>
      <c r="FQ102" s="239">
        <v>48</v>
      </c>
      <c r="FR102" s="239" t="s">
        <v>2</v>
      </c>
      <c r="FS102" s="239" t="s">
        <v>4</v>
      </c>
      <c r="FT102" s="239" t="s">
        <v>4</v>
      </c>
      <c r="FU102" s="239" t="s">
        <v>2</v>
      </c>
      <c r="FV102" s="239" t="s">
        <v>4</v>
      </c>
      <c r="FW102" s="239" t="s">
        <v>4</v>
      </c>
      <c r="FX102" s="239" t="s">
        <v>4</v>
      </c>
      <c r="FY102" s="239" t="s">
        <v>4</v>
      </c>
      <c r="FZ102" s="239" t="s">
        <v>4</v>
      </c>
      <c r="GA102" s="239" t="s">
        <v>4</v>
      </c>
      <c r="GB102" s="240" t="s">
        <v>4</v>
      </c>
      <c r="GC102" s="239" t="s">
        <v>4</v>
      </c>
      <c r="GD102" s="239" t="s">
        <v>2</v>
      </c>
      <c r="GE102" s="239" t="s">
        <v>4</v>
      </c>
      <c r="GF102" s="239" t="s">
        <v>4</v>
      </c>
      <c r="GG102" s="239" t="s">
        <v>7</v>
      </c>
      <c r="GH102" s="239" t="s">
        <v>2</v>
      </c>
      <c r="GI102" s="239" t="s">
        <v>4</v>
      </c>
      <c r="GJ102" s="239" t="s">
        <v>4</v>
      </c>
      <c r="GK102" s="239" t="s">
        <v>29433</v>
      </c>
      <c r="GL102" s="239">
        <v>0</v>
      </c>
      <c r="GM102" s="239"/>
      <c r="GN102" s="239" t="s">
        <v>4</v>
      </c>
      <c r="GO102" s="239" t="s">
        <v>4</v>
      </c>
      <c r="GP102" s="239" t="s">
        <v>4</v>
      </c>
      <c r="GQ102" s="239" t="s">
        <v>4</v>
      </c>
      <c r="GR102" s="239" t="s">
        <v>4</v>
      </c>
      <c r="GS102" s="239" t="s">
        <v>4</v>
      </c>
      <c r="GT102" s="239" t="s">
        <v>4</v>
      </c>
      <c r="GU102" s="239" t="s">
        <v>13</v>
      </c>
      <c r="GV102" s="239" t="s">
        <v>30249</v>
      </c>
      <c r="GW102" s="239" t="s">
        <v>4</v>
      </c>
      <c r="GX102" s="239" t="s">
        <v>4</v>
      </c>
      <c r="GY102" s="239" t="s">
        <v>4</v>
      </c>
      <c r="GZ102" s="239" t="s">
        <v>4</v>
      </c>
      <c r="HA102" s="239" t="s">
        <v>4</v>
      </c>
      <c r="HB102" s="239" t="s">
        <v>4</v>
      </c>
      <c r="HC102" s="239" t="s">
        <v>4</v>
      </c>
      <c r="HD102" s="239" t="s">
        <v>4</v>
      </c>
      <c r="HE102" s="239" t="s">
        <v>4</v>
      </c>
      <c r="HF102" s="239" t="s">
        <v>4</v>
      </c>
      <c r="HG102" s="239" t="s">
        <v>4</v>
      </c>
      <c r="HH102" s="239" t="s">
        <v>30211</v>
      </c>
      <c r="HI102" s="239" t="s">
        <v>4</v>
      </c>
      <c r="HJ102" s="240">
        <v>50</v>
      </c>
      <c r="HK102" s="239" t="s">
        <v>29325</v>
      </c>
      <c r="HL102" s="239" t="s">
        <v>29309</v>
      </c>
      <c r="HM102" s="239" t="s">
        <v>4</v>
      </c>
      <c r="HN102" s="239" t="s">
        <v>4</v>
      </c>
      <c r="HO102" s="239" t="s">
        <v>4</v>
      </c>
      <c r="HP102" s="239" t="s">
        <v>4</v>
      </c>
      <c r="HQ102" s="239" t="s">
        <v>4</v>
      </c>
      <c r="HR102" s="239" t="s">
        <v>4</v>
      </c>
      <c r="HS102" s="239" t="s">
        <v>4</v>
      </c>
      <c r="HT102" s="239" t="s">
        <v>4</v>
      </c>
      <c r="HU102" s="239" t="s">
        <v>2</v>
      </c>
      <c r="HV102" s="239" t="s">
        <v>4</v>
      </c>
      <c r="HW102" s="239" t="s">
        <v>4</v>
      </c>
      <c r="HX102" s="239" t="s">
        <v>4</v>
      </c>
      <c r="HY102" s="239" t="s">
        <v>4</v>
      </c>
      <c r="HZ102" s="239" t="s">
        <v>30250</v>
      </c>
      <c r="IA102" s="239" t="s">
        <v>2</v>
      </c>
      <c r="IB102" s="239" t="s">
        <v>4</v>
      </c>
      <c r="IC102" s="239" t="s">
        <v>30251</v>
      </c>
      <c r="ID102" s="239" t="s">
        <v>30252</v>
      </c>
      <c r="IE102" s="239" t="s">
        <v>30253</v>
      </c>
      <c r="IF102" s="239" t="s">
        <v>30254</v>
      </c>
      <c r="IG102" s="239" t="s">
        <v>30255</v>
      </c>
      <c r="IH102" s="239" t="s">
        <v>30256</v>
      </c>
    </row>
    <row r="103" spans="1:242" s="1" customFormat="1" ht="36.75" customHeight="1" x14ac:dyDescent="0.2">
      <c r="A103" s="239">
        <v>57</v>
      </c>
      <c r="B103" s="239" t="s">
        <v>5054</v>
      </c>
      <c r="C103" s="239" t="s">
        <v>29949</v>
      </c>
      <c r="D103" s="239" t="s">
        <v>21</v>
      </c>
      <c r="E103" s="239" t="s">
        <v>7</v>
      </c>
      <c r="F103" s="239" t="s">
        <v>29950</v>
      </c>
      <c r="G103" s="239">
        <v>1071.8</v>
      </c>
      <c r="H103" s="239">
        <v>4.9000000000000004</v>
      </c>
      <c r="I103" s="239" t="s">
        <v>29319</v>
      </c>
      <c r="J103" s="239" t="s">
        <v>4</v>
      </c>
      <c r="K103" s="239" t="s">
        <v>29951</v>
      </c>
      <c r="L103" s="239">
        <v>772350680</v>
      </c>
      <c r="M103" s="239" t="s">
        <v>5</v>
      </c>
      <c r="N103" s="239" t="s">
        <v>31598</v>
      </c>
      <c r="O103" s="239" t="s">
        <v>4</v>
      </c>
      <c r="P103" s="239">
        <v>5</v>
      </c>
      <c r="Q103" s="239" t="s">
        <v>7</v>
      </c>
      <c r="R103" s="239" t="s">
        <v>31588</v>
      </c>
      <c r="S103" s="239" t="s">
        <v>4</v>
      </c>
      <c r="T103" s="239" t="s">
        <v>7</v>
      </c>
      <c r="U103" s="239" t="s">
        <v>7</v>
      </c>
      <c r="V103" s="239"/>
      <c r="W103" s="239" t="s">
        <v>7</v>
      </c>
      <c r="X103" s="239" t="s">
        <v>4</v>
      </c>
      <c r="Y103" s="239" t="s">
        <v>4</v>
      </c>
      <c r="Z103" s="241" t="str">
        <f>IF(OR(T103="yes",Y103&gt;'SDG outcome'!$C$27),"yes","no")</f>
        <v>yes</v>
      </c>
      <c r="AA103" s="243">
        <f t="shared" si="1"/>
        <v>0</v>
      </c>
      <c r="AB103" s="243" t="str">
        <f>IF(AND(Z103="no",AND(Y103&gt;='SDG outcome'!$B$16,Y103&lt;'SDG outcome'!$C$27)),Y103-'SDG outcome'!$B$16,"")</f>
        <v/>
      </c>
      <c r="AC103" s="239" t="s">
        <v>4</v>
      </c>
      <c r="AD103" s="239" t="s">
        <v>4</v>
      </c>
      <c r="AE103" s="239" t="s">
        <v>4</v>
      </c>
      <c r="AF103" s="239" t="s">
        <v>4</v>
      </c>
      <c r="AG103" s="239" t="s">
        <v>4</v>
      </c>
      <c r="AH103" s="239" t="s">
        <v>4</v>
      </c>
      <c r="AI103" s="239" t="s">
        <v>4</v>
      </c>
      <c r="AJ103" s="239" t="s">
        <v>29290</v>
      </c>
      <c r="AK103" s="239" t="s">
        <v>29462</v>
      </c>
      <c r="AL103" s="239" t="s">
        <v>4</v>
      </c>
      <c r="AM103" s="239" t="s">
        <v>4</v>
      </c>
      <c r="AN103" s="239" t="s">
        <v>31536</v>
      </c>
      <c r="AO103" s="239" t="s">
        <v>4</v>
      </c>
      <c r="AP103" s="239" t="s">
        <v>31537</v>
      </c>
      <c r="AQ103" s="239" t="s">
        <v>4</v>
      </c>
      <c r="AR103" s="239" t="s">
        <v>31538</v>
      </c>
      <c r="AS103" s="239" t="s">
        <v>4</v>
      </c>
      <c r="AT103" s="239" t="s">
        <v>7</v>
      </c>
      <c r="AU103" s="239" t="s">
        <v>4</v>
      </c>
      <c r="AV103" s="239" t="s">
        <v>4</v>
      </c>
      <c r="AW103" s="239" t="s">
        <v>31539</v>
      </c>
      <c r="AX103" s="239" t="s">
        <v>4</v>
      </c>
      <c r="AY103" s="239" t="s">
        <v>4</v>
      </c>
      <c r="AZ103" s="239" t="s">
        <v>7</v>
      </c>
      <c r="BA103" s="239" t="s">
        <v>11</v>
      </c>
      <c r="BB103" s="239" t="s">
        <v>4</v>
      </c>
      <c r="BC103" s="239" t="s">
        <v>31619</v>
      </c>
      <c r="BD103" s="239" t="s">
        <v>4</v>
      </c>
      <c r="BE103" s="239" t="s">
        <v>4</v>
      </c>
      <c r="BF103" s="239" t="s">
        <v>4</v>
      </c>
      <c r="BG103" s="239" t="s">
        <v>4</v>
      </c>
      <c r="BH103" s="239" t="s">
        <v>4</v>
      </c>
      <c r="BI103" s="239" t="s">
        <v>4</v>
      </c>
      <c r="BJ103" s="239" t="s">
        <v>4</v>
      </c>
      <c r="BK103" s="239" t="s">
        <v>4</v>
      </c>
      <c r="BL103" s="239" t="s">
        <v>4</v>
      </c>
      <c r="BM103" s="239" t="s">
        <v>7</v>
      </c>
      <c r="BN103" s="239" t="s">
        <v>6</v>
      </c>
      <c r="BO103" s="239" t="s">
        <v>4</v>
      </c>
      <c r="BP103" s="239" t="s">
        <v>31429</v>
      </c>
      <c r="BQ103" s="239">
        <v>6</v>
      </c>
      <c r="BR103" s="239">
        <v>40</v>
      </c>
      <c r="BS103" s="239" t="s">
        <v>31434</v>
      </c>
      <c r="BT103" s="239"/>
      <c r="BU103" s="239">
        <v>4</v>
      </c>
      <c r="BV103" s="239" cm="1">
        <f t="array" ref="BV103">_xlfn.IFS(BS103="Foreword vehicle",BU103*0,BS103="Human wastes",BU103*0,BS103="Jerrycans",BU103*$BV$228,BS103="Number of Basins",BU103*$BV$229,BS103="Number of Buckets",BU103*$CA$226,BS103="Number of Kgs",BU103*$CA$227,BS103="Number of spades",BU103*$CA$228,BS103="Number of wheelbarrows",BU103*$CA$229,BT103="Foreword vehicle",BU103*0,BT103="Human wastes",BU103*0,BT103="Jerrycans",BU103*$BV$228,BS103="","")</f>
        <v>64</v>
      </c>
      <c r="BW103" s="239">
        <f>IF(BV103="","",Table14[[#This Row],[Calculation: Conversion of metric to Kg manure feeding (Columns: BP, BQ, BR)]]*Table14[[#This Row],[Number of times used to feed biodigester]])</f>
        <v>384</v>
      </c>
      <c r="BX103" s="239" cm="1">
        <f t="array" ref="BX103">_xlfn.IFS(BP103="Number of times per day (1 to 3)",BW103/$BX$226,BP103="Number of times per week (1 to 6)",BW103/$BX$227,BP103="Number of times per Month (1 to 3)",BW103/$BX$228,BW103="","")</f>
        <v>54.857142857142854</v>
      </c>
      <c r="BY103" s="239" t="s">
        <v>31650</v>
      </c>
      <c r="BZ103" s="239" t="s">
        <v>4</v>
      </c>
      <c r="CA103" s="239" t="s">
        <v>2</v>
      </c>
      <c r="CB103" s="239" t="s">
        <v>4</v>
      </c>
      <c r="CC103" s="239" t="s">
        <v>4</v>
      </c>
      <c r="CD103" s="239" t="s">
        <v>4</v>
      </c>
      <c r="CE103" s="239" t="s">
        <v>7</v>
      </c>
      <c r="CF103" s="239" t="s">
        <v>31739</v>
      </c>
      <c r="CG103" s="239" t="s">
        <v>4</v>
      </c>
      <c r="CH103" s="239" t="s">
        <v>31728</v>
      </c>
      <c r="CI103" s="239">
        <v>0</v>
      </c>
      <c r="CJ103" s="239">
        <v>3</v>
      </c>
      <c r="CK103" s="239">
        <v>3</v>
      </c>
      <c r="CL103" s="239">
        <v>0</v>
      </c>
      <c r="CM103" s="239">
        <v>0</v>
      </c>
      <c r="CN103" s="239">
        <v>0</v>
      </c>
      <c r="CO103" s="239">
        <v>0</v>
      </c>
      <c r="CP103" s="239">
        <v>0</v>
      </c>
      <c r="CQ103" s="239">
        <v>0</v>
      </c>
      <c r="CR103" s="239">
        <v>0</v>
      </c>
      <c r="CS103" s="239">
        <f>CP103/'SDG outcome'!$C$9*CQ103*CR103</f>
        <v>0</v>
      </c>
      <c r="CT103" s="239" t="s">
        <v>4</v>
      </c>
      <c r="CU103" s="239" t="s">
        <v>4</v>
      </c>
      <c r="CV103" s="239" t="s">
        <v>4</v>
      </c>
      <c r="CW103" s="239">
        <v>100</v>
      </c>
      <c r="CX103" s="239">
        <v>0</v>
      </c>
      <c r="CY103" s="239" t="s">
        <v>4</v>
      </c>
      <c r="CZ103" s="239" t="s">
        <v>4</v>
      </c>
      <c r="DA103" s="239" t="s">
        <v>4</v>
      </c>
      <c r="DB103" s="239" t="s">
        <v>4</v>
      </c>
      <c r="DC103" s="239">
        <v>0</v>
      </c>
      <c r="DD103" s="239">
        <v>100</v>
      </c>
      <c r="DE103" s="239" t="s">
        <v>31740</v>
      </c>
      <c r="DF103" s="239" t="s">
        <v>4</v>
      </c>
      <c r="DG103" s="239" t="s">
        <v>4</v>
      </c>
      <c r="DH103" s="239" t="s">
        <v>4</v>
      </c>
      <c r="DI103" s="239" t="s">
        <v>4</v>
      </c>
      <c r="DJ103" s="239" t="s">
        <v>4</v>
      </c>
      <c r="DK103" s="239" t="s">
        <v>4</v>
      </c>
      <c r="DL103" s="239" t="s">
        <v>4</v>
      </c>
      <c r="DM103" s="239" t="s">
        <v>4</v>
      </c>
      <c r="DN103" s="239" t="s">
        <v>4</v>
      </c>
      <c r="DO103" s="239">
        <v>1</v>
      </c>
      <c r="DP103" s="239" t="s">
        <v>2</v>
      </c>
      <c r="DQ103" s="239" t="s">
        <v>29292</v>
      </c>
      <c r="DR103" s="239" t="s">
        <v>4</v>
      </c>
      <c r="DS103" s="239" t="s">
        <v>29293</v>
      </c>
      <c r="DT103" s="240">
        <v>45000</v>
      </c>
      <c r="DU103" s="239" t="s">
        <v>29294</v>
      </c>
      <c r="DV103" s="240" t="s">
        <v>4</v>
      </c>
      <c r="DW103" s="239" t="s">
        <v>29295</v>
      </c>
      <c r="DX103" s="239">
        <v>100</v>
      </c>
      <c r="DY103" s="239" t="s">
        <v>29296</v>
      </c>
      <c r="DZ103" s="239">
        <v>100</v>
      </c>
      <c r="EA103" s="239"/>
      <c r="EB103" s="239"/>
      <c r="EC103" s="239"/>
      <c r="ED103" s="239"/>
      <c r="EE103" s="320">
        <f>Table14[[#This Row],[% Fertilizer]]*$DX103/10000</f>
        <v>1</v>
      </c>
      <c r="EF103" s="320">
        <f>Table14[[#This Row],[% bioslurry used as Insecticide/Pesticide]]*$DX103/10000</f>
        <v>0</v>
      </c>
      <c r="EG103" s="320">
        <f>Table14[[#This Row],[% of Bioslurry used as animal feed]]*$DX103/10000</f>
        <v>0</v>
      </c>
      <c r="EH103" s="320">
        <f>Table14[[#This Row],[% of Bioslurry sold]]*$DX103/10000</f>
        <v>0</v>
      </c>
      <c r="EI103" s="320">
        <f>Table14[[#This Row],[% used other way(if used directly)]]*$DX103/10000</f>
        <v>0</v>
      </c>
      <c r="EJ103" s="239"/>
      <c r="EK103" s="239"/>
      <c r="EL103" s="239"/>
      <c r="EM103" s="239"/>
      <c r="EN103" s="239"/>
      <c r="EO103" s="239">
        <f>(Table14[[#This Row],[% Uncovered lagoon greater than 1 meter]]+Table14[[#This Row],[Uncovered lagoon (black watery mass) &lt;1 meter]]+Table14[[#This Row],[% Liquid slurry (brown porridge type)]])*Table14[[#This Row],[% Store it first]]/100</f>
        <v>0</v>
      </c>
      <c r="EP103" s="239"/>
      <c r="EQ103" s="239"/>
      <c r="ER103" s="239"/>
      <c r="ES103" s="239"/>
      <c r="ET103" s="239">
        <f>(Table14[[#This Row],[% Solid storage]]+Table14[[#This Row],[% Sun drying]]+Table14[[#This Row],[% Composting with a roof]]+Table14[[#This Row],[% Composting without a roof]])*Table14[[#This Row],[% Store it first]]/100</f>
        <v>0</v>
      </c>
      <c r="EU103" s="239"/>
      <c r="EV103" s="320">
        <f t="shared" si="2"/>
        <v>0</v>
      </c>
      <c r="EW103" s="320">
        <f t="shared" si="3"/>
        <v>0</v>
      </c>
      <c r="EX103" s="320">
        <f t="shared" si="4"/>
        <v>0</v>
      </c>
      <c r="EY103" s="320">
        <f t="shared" si="5"/>
        <v>0</v>
      </c>
      <c r="EZ103" s="320">
        <f t="shared" si="6"/>
        <v>0</v>
      </c>
      <c r="FA103" s="239"/>
      <c r="FB103" s="239"/>
      <c r="FC103" s="239"/>
      <c r="FD103" s="239">
        <f>Table14[[#This Row],[% I donâ€™t use it / discarded]]+Table14[[#This Row],[% Other (specify)(If you use bioslurry directly)]]+Table14[[#This Row],[% Store it first]]+Table14[[#This Row],[% Use directly for various purposes]]</f>
        <v>100</v>
      </c>
      <c r="FE103" s="239" t="s">
        <v>4</v>
      </c>
      <c r="FF103" s="239"/>
      <c r="FG103" s="239"/>
      <c r="FH103" s="239"/>
      <c r="FI103" s="239"/>
      <c r="FJ103" s="239"/>
      <c r="FK103" s="239">
        <v>0.5</v>
      </c>
      <c r="FL103" s="239" t="s">
        <v>7</v>
      </c>
      <c r="FM103" s="239">
        <v>10</v>
      </c>
      <c r="FN103" s="239">
        <f t="shared" si="7"/>
        <v>0.05</v>
      </c>
      <c r="FO103" s="239" t="s">
        <v>29952</v>
      </c>
      <c r="FP103" s="239" t="s">
        <v>29298</v>
      </c>
      <c r="FQ103" s="239">
        <v>108</v>
      </c>
      <c r="FR103" s="239" t="s">
        <v>7</v>
      </c>
      <c r="FS103" s="239" t="s">
        <v>29393</v>
      </c>
      <c r="FT103" s="239" t="s">
        <v>4</v>
      </c>
      <c r="FU103" s="239" t="s">
        <v>2</v>
      </c>
      <c r="FV103" s="239" t="s">
        <v>4</v>
      </c>
      <c r="FW103" s="239" t="s">
        <v>4</v>
      </c>
      <c r="FX103" s="239" t="s">
        <v>4</v>
      </c>
      <c r="FY103" s="239" t="s">
        <v>4</v>
      </c>
      <c r="FZ103" s="239" t="s">
        <v>4</v>
      </c>
      <c r="GA103" s="239" t="s">
        <v>4</v>
      </c>
      <c r="GB103" s="240" t="s">
        <v>4</v>
      </c>
      <c r="GC103" s="239" t="s">
        <v>4</v>
      </c>
      <c r="GD103" s="239" t="s">
        <v>2</v>
      </c>
      <c r="GE103" s="239" t="s">
        <v>4</v>
      </c>
      <c r="GF103" s="239" t="s">
        <v>4</v>
      </c>
      <c r="GG103" s="239" t="s">
        <v>7</v>
      </c>
      <c r="GH103" s="239" t="s">
        <v>2</v>
      </c>
      <c r="GI103" s="239" t="s">
        <v>4</v>
      </c>
      <c r="GJ103" s="239" t="s">
        <v>4</v>
      </c>
      <c r="GK103" s="239" t="s">
        <v>4</v>
      </c>
      <c r="GL103" s="239">
        <v>0</v>
      </c>
      <c r="GM103" s="239"/>
      <c r="GN103" s="239" t="s">
        <v>4</v>
      </c>
      <c r="GO103" s="239" t="s">
        <v>4</v>
      </c>
      <c r="GP103" s="239" t="s">
        <v>4</v>
      </c>
      <c r="GQ103" s="239" t="s">
        <v>4</v>
      </c>
      <c r="GR103" s="239" t="s">
        <v>4</v>
      </c>
      <c r="GS103" s="239" t="s">
        <v>4</v>
      </c>
      <c r="GT103" s="239" t="s">
        <v>4</v>
      </c>
      <c r="GU103" s="239" t="s">
        <v>4</v>
      </c>
      <c r="GV103" s="239" t="s">
        <v>4</v>
      </c>
      <c r="GW103" s="239" t="s">
        <v>29304</v>
      </c>
      <c r="GX103" s="239" t="s">
        <v>29940</v>
      </c>
      <c r="GY103" s="239" t="s">
        <v>4</v>
      </c>
      <c r="GZ103" s="239" t="s">
        <v>29941</v>
      </c>
      <c r="HA103" s="239" t="s">
        <v>4</v>
      </c>
      <c r="HB103" s="239" t="s">
        <v>4</v>
      </c>
      <c r="HC103" s="239" t="s">
        <v>4</v>
      </c>
      <c r="HD103" s="239" t="s">
        <v>4</v>
      </c>
      <c r="HE103" s="239" t="s">
        <v>4</v>
      </c>
      <c r="HF103" s="239" t="s">
        <v>4</v>
      </c>
      <c r="HG103" s="239" t="s">
        <v>4</v>
      </c>
      <c r="HH103" s="239" t="s">
        <v>29452</v>
      </c>
      <c r="HI103" s="239" t="s">
        <v>4</v>
      </c>
      <c r="HJ103" s="240">
        <v>0</v>
      </c>
      <c r="HK103" s="239" t="s">
        <v>2</v>
      </c>
      <c r="HL103" s="239" t="s">
        <v>29309</v>
      </c>
      <c r="HM103" s="239" t="s">
        <v>4</v>
      </c>
      <c r="HN103" s="239" t="s">
        <v>4</v>
      </c>
      <c r="HO103" s="239" t="s">
        <v>4</v>
      </c>
      <c r="HP103" s="239" t="s">
        <v>4</v>
      </c>
      <c r="HQ103" s="239" t="s">
        <v>4</v>
      </c>
      <c r="HR103" s="239" t="s">
        <v>4</v>
      </c>
      <c r="HS103" s="239" t="s">
        <v>4</v>
      </c>
      <c r="HT103" s="239" t="s">
        <v>4</v>
      </c>
      <c r="HU103" s="239" t="s">
        <v>2</v>
      </c>
      <c r="HV103" s="239" t="s">
        <v>4</v>
      </c>
      <c r="HW103" s="239" t="s">
        <v>4</v>
      </c>
      <c r="HX103" s="239" t="s">
        <v>4</v>
      </c>
      <c r="HY103" s="239" t="s">
        <v>4</v>
      </c>
      <c r="HZ103" s="239" t="s">
        <v>29953</v>
      </c>
      <c r="IA103" s="239" t="s">
        <v>7</v>
      </c>
      <c r="IB103" s="239" t="s">
        <v>29954</v>
      </c>
      <c r="IC103" s="239" t="s">
        <v>29955</v>
      </c>
      <c r="ID103" s="239" t="s">
        <v>29956</v>
      </c>
      <c r="IE103" s="239" t="s">
        <v>29957</v>
      </c>
      <c r="IF103" s="239" t="s">
        <v>29958</v>
      </c>
      <c r="IG103" s="239" t="s">
        <v>29959</v>
      </c>
      <c r="IH103" s="239" t="s">
        <v>29960</v>
      </c>
    </row>
    <row r="104" spans="1:242" s="1" customFormat="1" ht="36.75" customHeight="1" x14ac:dyDescent="0.2">
      <c r="A104" s="239">
        <v>123</v>
      </c>
      <c r="B104" s="239" t="s">
        <v>15421</v>
      </c>
      <c r="C104" s="239" t="s">
        <v>30637</v>
      </c>
      <c r="D104" s="239" t="s">
        <v>30638</v>
      </c>
      <c r="E104" s="239" t="s">
        <v>7</v>
      </c>
      <c r="F104" s="239" t="s">
        <v>30639</v>
      </c>
      <c r="G104" s="239">
        <v>1156.690552</v>
      </c>
      <c r="H104" s="239">
        <v>4.2880000000000003</v>
      </c>
      <c r="I104" s="239" t="s">
        <v>29319</v>
      </c>
      <c r="J104" s="239" t="s">
        <v>4</v>
      </c>
      <c r="K104" s="239" t="s">
        <v>15422</v>
      </c>
      <c r="L104" s="239">
        <v>753895910</v>
      </c>
      <c r="M104" s="239" t="s">
        <v>5</v>
      </c>
      <c r="N104" s="239" t="s">
        <v>31844</v>
      </c>
      <c r="O104" s="239" t="s">
        <v>4</v>
      </c>
      <c r="P104" s="239">
        <v>13</v>
      </c>
      <c r="Q104" s="239" t="s">
        <v>7</v>
      </c>
      <c r="R104" s="239" t="s">
        <v>31562</v>
      </c>
      <c r="S104" s="239" t="s">
        <v>4</v>
      </c>
      <c r="T104" s="239" t="s">
        <v>7</v>
      </c>
      <c r="U104" s="239" t="s">
        <v>7</v>
      </c>
      <c r="V104" s="239"/>
      <c r="W104" s="239" t="s">
        <v>7</v>
      </c>
      <c r="X104" s="239" t="s">
        <v>4</v>
      </c>
      <c r="Y104" s="239" t="s">
        <v>4</v>
      </c>
      <c r="Z104" s="241" t="str">
        <f>IF(OR(T104="yes",Y104&gt;'SDG outcome'!$C$27),"yes","no")</f>
        <v>yes</v>
      </c>
      <c r="AA104" s="243">
        <f t="shared" si="1"/>
        <v>0</v>
      </c>
      <c r="AB104" s="243" t="str">
        <f>IF(AND(Z104="no",AND(Y104&gt;='SDG outcome'!$B$16,Y104&lt;'SDG outcome'!$C$27)),Y104-'SDG outcome'!$B$16,"")</f>
        <v/>
      </c>
      <c r="AC104" s="239" t="s">
        <v>4</v>
      </c>
      <c r="AD104" s="239" t="s">
        <v>4</v>
      </c>
      <c r="AE104" s="239" t="s">
        <v>4</v>
      </c>
      <c r="AF104" s="239" t="s">
        <v>4</v>
      </c>
      <c r="AG104" s="239" t="s">
        <v>4</v>
      </c>
      <c r="AH104" s="239" t="s">
        <v>4</v>
      </c>
      <c r="AI104" s="239" t="s">
        <v>4</v>
      </c>
      <c r="AJ104" s="239" t="s">
        <v>29290</v>
      </c>
      <c r="AK104" s="239" t="s">
        <v>29291</v>
      </c>
      <c r="AL104" s="239" t="s">
        <v>4</v>
      </c>
      <c r="AM104" s="239" t="s">
        <v>4</v>
      </c>
      <c r="AN104" s="239" t="s">
        <v>31536</v>
      </c>
      <c r="AO104" s="239" t="s">
        <v>4</v>
      </c>
      <c r="AP104" s="239" t="s">
        <v>31537</v>
      </c>
      <c r="AQ104" s="239" t="s">
        <v>4</v>
      </c>
      <c r="AR104" s="239" t="s">
        <v>31538</v>
      </c>
      <c r="AS104" s="239" t="s">
        <v>4</v>
      </c>
      <c r="AT104" s="239" t="s">
        <v>7</v>
      </c>
      <c r="AU104" s="239" t="s">
        <v>4</v>
      </c>
      <c r="AV104" s="239" t="s">
        <v>4</v>
      </c>
      <c r="AW104" s="239" t="s">
        <v>31539</v>
      </c>
      <c r="AX104" s="239" t="s">
        <v>4</v>
      </c>
      <c r="AY104" s="239" t="s">
        <v>4</v>
      </c>
      <c r="AZ104" s="239" t="s">
        <v>2</v>
      </c>
      <c r="BA104" s="239" t="s">
        <v>4</v>
      </c>
      <c r="BB104" s="239" t="s">
        <v>4</v>
      </c>
      <c r="BC104" s="239" t="s">
        <v>31563</v>
      </c>
      <c r="BD104" s="239" t="s">
        <v>31541</v>
      </c>
      <c r="BE104" s="239" t="s">
        <v>4</v>
      </c>
      <c r="BF104" s="239" t="s">
        <v>14</v>
      </c>
      <c r="BG104" s="239" t="s">
        <v>4</v>
      </c>
      <c r="BH104" s="239" t="s">
        <v>31542</v>
      </c>
      <c r="BI104" s="239" t="s">
        <v>31845</v>
      </c>
      <c r="BJ104" s="239" t="s">
        <v>31544</v>
      </c>
      <c r="BK104" s="239">
        <v>2</v>
      </c>
      <c r="BL104" s="239">
        <v>180</v>
      </c>
      <c r="BM104" s="239" t="s">
        <v>7</v>
      </c>
      <c r="BN104" s="239" t="s">
        <v>6</v>
      </c>
      <c r="BO104" s="239" t="s">
        <v>4</v>
      </c>
      <c r="BP104" s="239" t="s">
        <v>31429</v>
      </c>
      <c r="BQ104" s="239">
        <v>2</v>
      </c>
      <c r="BR104" s="239">
        <v>60</v>
      </c>
      <c r="BS104" s="239" t="s">
        <v>31434</v>
      </c>
      <c r="BT104" s="239"/>
      <c r="BU104" s="239">
        <v>3</v>
      </c>
      <c r="BV104" s="239" cm="1">
        <f t="array" ref="BV104">_xlfn.IFS(BS104="Foreword vehicle",BU104*0,BS104="Human wastes",BU104*0,BS104="Jerrycans",BU104*$BV$228,BS104="Number of Basins",BU104*$BV$229,BS104="Number of Buckets",BU104*$CA$226,BS104="Number of Kgs",BU104*$CA$227,BS104="Number of spades",BU104*$CA$228,BS104="Number of wheelbarrows",BU104*$CA$229,BT104="Foreword vehicle",BU104*0,BT104="Human wastes",BU104*0,BT104="Jerrycans",BU104*$BV$228,BS104="","")</f>
        <v>48</v>
      </c>
      <c r="BW104" s="239">
        <f>IF(BV104="","",Table14[[#This Row],[Calculation: Conversion of metric to Kg manure feeding (Columns: BP, BQ, BR)]]*Table14[[#This Row],[Number of times used to feed biodigester]])</f>
        <v>96</v>
      </c>
      <c r="BX104" s="239" cm="1">
        <f t="array" ref="BX104">_xlfn.IFS(BP104="Number of times per day (1 to 3)",BW104/$BX$226,BP104="Number of times per week (1 to 6)",BW104/$BX$227,BP104="Number of times per Month (1 to 3)",BW104/$BX$228,BW104="","")</f>
        <v>13.714285714285714</v>
      </c>
      <c r="BY104" s="239" t="s">
        <v>31552</v>
      </c>
      <c r="BZ104" s="239" t="s">
        <v>4</v>
      </c>
      <c r="CA104" s="239" t="s">
        <v>2</v>
      </c>
      <c r="CB104" s="239" t="s">
        <v>4</v>
      </c>
      <c r="CC104" s="239" t="s">
        <v>4</v>
      </c>
      <c r="CD104" s="239" t="s">
        <v>4</v>
      </c>
      <c r="CE104" s="239" t="s">
        <v>7</v>
      </c>
      <c r="CF104" s="239" t="s">
        <v>31846</v>
      </c>
      <c r="CG104" s="239" t="s">
        <v>4</v>
      </c>
      <c r="CH104" s="239" t="s">
        <v>31705</v>
      </c>
      <c r="CI104" s="239">
        <v>0</v>
      </c>
      <c r="CJ104" s="239">
        <v>3</v>
      </c>
      <c r="CK104" s="239">
        <v>0</v>
      </c>
      <c r="CL104" s="239">
        <v>0</v>
      </c>
      <c r="CM104" s="239">
        <v>0</v>
      </c>
      <c r="CN104" s="239">
        <v>0</v>
      </c>
      <c r="CO104" s="239">
        <v>0</v>
      </c>
      <c r="CP104" s="239">
        <v>0</v>
      </c>
      <c r="CQ104" s="239">
        <v>0</v>
      </c>
      <c r="CR104" s="239">
        <v>0</v>
      </c>
      <c r="CS104" s="239">
        <f>CP104/'SDG outcome'!$C$9*CQ104*CR104</f>
        <v>0</v>
      </c>
      <c r="CT104" s="239" t="s">
        <v>4</v>
      </c>
      <c r="CU104" s="239" t="s">
        <v>4</v>
      </c>
      <c r="CV104" s="239" t="s">
        <v>4</v>
      </c>
      <c r="CW104" s="239">
        <v>100</v>
      </c>
      <c r="CX104" s="239">
        <v>0</v>
      </c>
      <c r="CY104" s="239" t="s">
        <v>4</v>
      </c>
      <c r="CZ104" s="239" t="s">
        <v>4</v>
      </c>
      <c r="DA104" s="239" t="s">
        <v>4</v>
      </c>
      <c r="DB104" s="239" t="s">
        <v>4</v>
      </c>
      <c r="DC104" s="239" t="s">
        <v>4</v>
      </c>
      <c r="DD104" s="239" t="s">
        <v>4</v>
      </c>
      <c r="DE104" s="239" t="s">
        <v>4</v>
      </c>
      <c r="DF104" s="239" t="s">
        <v>4</v>
      </c>
      <c r="DG104" s="239" t="s">
        <v>4</v>
      </c>
      <c r="DH104" s="239" t="s">
        <v>4</v>
      </c>
      <c r="DI104" s="239" t="s">
        <v>4</v>
      </c>
      <c r="DJ104" s="239" t="s">
        <v>4</v>
      </c>
      <c r="DK104" s="239" t="s">
        <v>4</v>
      </c>
      <c r="DL104" s="239" t="s">
        <v>4</v>
      </c>
      <c r="DM104" s="239" t="s">
        <v>4</v>
      </c>
      <c r="DN104" s="239" t="s">
        <v>4</v>
      </c>
      <c r="DO104" s="239">
        <v>4</v>
      </c>
      <c r="DP104" s="239" t="s">
        <v>7</v>
      </c>
      <c r="DQ104" s="239" t="s">
        <v>29292</v>
      </c>
      <c r="DR104" s="239" t="s">
        <v>4</v>
      </c>
      <c r="DS104" s="239" t="s">
        <v>29294</v>
      </c>
      <c r="DT104" s="240" t="s">
        <v>4</v>
      </c>
      <c r="DU104" s="239" t="s">
        <v>29294</v>
      </c>
      <c r="DV104" s="240" t="s">
        <v>4</v>
      </c>
      <c r="DW104" s="239" t="s">
        <v>29295</v>
      </c>
      <c r="DX104" s="239">
        <v>100</v>
      </c>
      <c r="DY104" s="239" t="s">
        <v>30460</v>
      </c>
      <c r="DZ104" s="239">
        <v>90</v>
      </c>
      <c r="EA104" s="239">
        <v>10</v>
      </c>
      <c r="EB104" s="239"/>
      <c r="EC104" s="239"/>
      <c r="ED104" s="239"/>
      <c r="EE104" s="320">
        <f>Table14[[#This Row],[% Fertilizer]]*$DX104/10000</f>
        <v>0.9</v>
      </c>
      <c r="EF104" s="320">
        <f>Table14[[#This Row],[% bioslurry used as Insecticide/Pesticide]]*$DX104/10000</f>
        <v>0.1</v>
      </c>
      <c r="EG104" s="320">
        <f>Table14[[#This Row],[% of Bioslurry used as animal feed]]*$DX104/10000</f>
        <v>0</v>
      </c>
      <c r="EH104" s="320">
        <f>Table14[[#This Row],[% of Bioslurry sold]]*$DX104/10000</f>
        <v>0</v>
      </c>
      <c r="EI104" s="320">
        <f>Table14[[#This Row],[% used other way(if used directly)]]*$DX104/10000</f>
        <v>0</v>
      </c>
      <c r="EJ104" s="239"/>
      <c r="EK104" s="239"/>
      <c r="EL104" s="239"/>
      <c r="EM104" s="239"/>
      <c r="EN104" s="239"/>
      <c r="EO104" s="239">
        <f>(Table14[[#This Row],[% Uncovered lagoon greater than 1 meter]]+Table14[[#This Row],[Uncovered lagoon (black watery mass) &lt;1 meter]]+Table14[[#This Row],[% Liquid slurry (brown porridge type)]])*Table14[[#This Row],[% Store it first]]/100</f>
        <v>0</v>
      </c>
      <c r="EP104" s="239"/>
      <c r="EQ104" s="239"/>
      <c r="ER104" s="239"/>
      <c r="ES104" s="239"/>
      <c r="ET104" s="239">
        <f>(Table14[[#This Row],[% Solid storage]]+Table14[[#This Row],[% Sun drying]]+Table14[[#This Row],[% Composting with a roof]]+Table14[[#This Row],[% Composting without a roof]])*Table14[[#This Row],[% Store it first]]/100</f>
        <v>0</v>
      </c>
      <c r="EU104" s="239"/>
      <c r="EV104" s="320">
        <f t="shared" si="2"/>
        <v>0</v>
      </c>
      <c r="EW104" s="320">
        <f t="shared" si="3"/>
        <v>0</v>
      </c>
      <c r="EX104" s="320">
        <f t="shared" si="4"/>
        <v>0</v>
      </c>
      <c r="EY104" s="320">
        <f t="shared" si="5"/>
        <v>0</v>
      </c>
      <c r="EZ104" s="320">
        <f t="shared" si="6"/>
        <v>0</v>
      </c>
      <c r="FA104" s="239"/>
      <c r="FB104" s="239"/>
      <c r="FC104" s="239"/>
      <c r="FD104" s="239">
        <f>Table14[[#This Row],[% I donâ€™t use it / discarded]]+Table14[[#This Row],[% Other (specify)(If you use bioslurry directly)]]+Table14[[#This Row],[% Store it first]]+Table14[[#This Row],[% Use directly for various purposes]]</f>
        <v>100</v>
      </c>
      <c r="FE104" s="239" t="s">
        <v>4</v>
      </c>
      <c r="FF104" s="239"/>
      <c r="FG104" s="239"/>
      <c r="FH104" s="239"/>
      <c r="FI104" s="239"/>
      <c r="FJ104" s="239"/>
      <c r="FK104" s="239">
        <v>0.2</v>
      </c>
      <c r="FL104" s="239" t="s">
        <v>7</v>
      </c>
      <c r="FM104" s="239">
        <v>100</v>
      </c>
      <c r="FN104" s="239">
        <f t="shared" si="7"/>
        <v>0.2</v>
      </c>
      <c r="FO104" s="239" t="s">
        <v>30640</v>
      </c>
      <c r="FP104" s="239" t="s">
        <v>29298</v>
      </c>
      <c r="FQ104" s="239">
        <v>3</v>
      </c>
      <c r="FR104" s="239" t="s">
        <v>2</v>
      </c>
      <c r="FS104" s="239" t="s">
        <v>4</v>
      </c>
      <c r="FT104" s="239" t="s">
        <v>4</v>
      </c>
      <c r="FU104" s="239" t="s">
        <v>2</v>
      </c>
      <c r="FV104" s="239" t="s">
        <v>4</v>
      </c>
      <c r="FW104" s="239" t="s">
        <v>4</v>
      </c>
      <c r="FX104" s="239" t="s">
        <v>4</v>
      </c>
      <c r="FY104" s="239" t="s">
        <v>4</v>
      </c>
      <c r="FZ104" s="239" t="s">
        <v>4</v>
      </c>
      <c r="GA104" s="239" t="s">
        <v>4</v>
      </c>
      <c r="GB104" s="240" t="s">
        <v>4</v>
      </c>
      <c r="GC104" s="239" t="s">
        <v>4</v>
      </c>
      <c r="GD104" s="239" t="s">
        <v>2</v>
      </c>
      <c r="GE104" s="239" t="s">
        <v>4</v>
      </c>
      <c r="GF104" s="239" t="s">
        <v>4</v>
      </c>
      <c r="GG104" s="239" t="s">
        <v>7</v>
      </c>
      <c r="GH104" s="239" t="s">
        <v>7</v>
      </c>
      <c r="GI104" s="239" t="s">
        <v>29302</v>
      </c>
      <c r="GJ104" s="239" t="s">
        <v>30641</v>
      </c>
      <c r="GK104" s="239" t="s">
        <v>4</v>
      </c>
      <c r="GL104" s="239">
        <v>0</v>
      </c>
      <c r="GM104" s="239"/>
      <c r="GN104" s="239" t="s">
        <v>4</v>
      </c>
      <c r="GO104" s="239" t="s">
        <v>4</v>
      </c>
      <c r="GP104" s="239" t="s">
        <v>4</v>
      </c>
      <c r="GQ104" s="239" t="s">
        <v>4</v>
      </c>
      <c r="GR104" s="239" t="s">
        <v>4</v>
      </c>
      <c r="GS104" s="239" t="s">
        <v>4</v>
      </c>
      <c r="GT104" s="239" t="s">
        <v>4</v>
      </c>
      <c r="GU104" s="239" t="s">
        <v>4</v>
      </c>
      <c r="GV104" s="239" t="s">
        <v>4</v>
      </c>
      <c r="GW104" s="239" t="s">
        <v>29304</v>
      </c>
      <c r="GX104" s="239" t="s">
        <v>29305</v>
      </c>
      <c r="GY104" s="239" t="s">
        <v>30642</v>
      </c>
      <c r="GZ104" s="239" t="s">
        <v>4</v>
      </c>
      <c r="HA104" s="239" t="s">
        <v>4</v>
      </c>
      <c r="HB104" s="239" t="s">
        <v>4</v>
      </c>
      <c r="HC104" s="239" t="s">
        <v>4</v>
      </c>
      <c r="HD104" s="239" t="s">
        <v>4</v>
      </c>
      <c r="HE104" s="239" t="s">
        <v>30643</v>
      </c>
      <c r="HF104" s="239" t="s">
        <v>13</v>
      </c>
      <c r="HG104" s="239" t="s">
        <v>16</v>
      </c>
      <c r="HH104" s="239" t="s">
        <v>30644</v>
      </c>
      <c r="HI104" s="239" t="s">
        <v>4</v>
      </c>
      <c r="HJ104" s="240">
        <v>100</v>
      </c>
      <c r="HK104" s="239" t="s">
        <v>7</v>
      </c>
      <c r="HL104" s="239" t="s">
        <v>29309</v>
      </c>
      <c r="HM104" s="239" t="s">
        <v>4</v>
      </c>
      <c r="HN104" s="239" t="s">
        <v>4</v>
      </c>
      <c r="HO104" s="239" t="s">
        <v>4</v>
      </c>
      <c r="HP104" s="239" t="s">
        <v>4</v>
      </c>
      <c r="HQ104" s="239" t="s">
        <v>4</v>
      </c>
      <c r="HR104" s="239" t="s">
        <v>4</v>
      </c>
      <c r="HS104" s="239" t="s">
        <v>4</v>
      </c>
      <c r="HT104" s="239" t="s">
        <v>4</v>
      </c>
      <c r="HU104" s="239" t="s">
        <v>2</v>
      </c>
      <c r="HV104" s="239" t="s">
        <v>4</v>
      </c>
      <c r="HW104" s="239" t="s">
        <v>4</v>
      </c>
      <c r="HX104" s="239" t="s">
        <v>4</v>
      </c>
      <c r="HY104" s="239" t="s">
        <v>4</v>
      </c>
      <c r="HZ104" s="239" t="s">
        <v>30645</v>
      </c>
      <c r="IA104" s="239" t="s">
        <v>2</v>
      </c>
      <c r="IB104" s="239" t="s">
        <v>4</v>
      </c>
      <c r="IC104" s="239" t="s">
        <v>30646</v>
      </c>
      <c r="ID104" s="239" t="s">
        <v>30647</v>
      </c>
      <c r="IE104" s="239" t="s">
        <v>30648</v>
      </c>
      <c r="IF104" s="239" t="s">
        <v>30649</v>
      </c>
      <c r="IG104" s="239" t="s">
        <v>30650</v>
      </c>
      <c r="IH104" s="239" t="s">
        <v>30637</v>
      </c>
    </row>
    <row r="105" spans="1:242" s="1" customFormat="1" ht="36.75" customHeight="1" x14ac:dyDescent="0.2">
      <c r="A105" s="239">
        <v>202</v>
      </c>
      <c r="B105" s="239" t="s">
        <v>6872</v>
      </c>
      <c r="C105" s="239" t="s">
        <v>31408</v>
      </c>
      <c r="D105" s="239" t="s">
        <v>31344</v>
      </c>
      <c r="E105" s="239" t="s">
        <v>7</v>
      </c>
      <c r="F105" s="239" t="s">
        <v>31409</v>
      </c>
      <c r="G105" s="239">
        <v>1175.3810000000001</v>
      </c>
      <c r="H105" s="239">
        <v>4.8711130000000002</v>
      </c>
      <c r="I105" s="239" t="s">
        <v>29288</v>
      </c>
      <c r="J105" s="239" t="s">
        <v>4</v>
      </c>
      <c r="K105" s="239" t="s">
        <v>6873</v>
      </c>
      <c r="L105" s="239">
        <v>756842345</v>
      </c>
      <c r="M105" s="239" t="s">
        <v>3</v>
      </c>
      <c r="N105" s="239" t="s">
        <v>31438</v>
      </c>
      <c r="O105" s="239">
        <v>54</v>
      </c>
      <c r="P105" s="239">
        <v>10</v>
      </c>
      <c r="Q105" s="239" t="s">
        <v>7</v>
      </c>
      <c r="R105" s="239" t="s">
        <v>31731</v>
      </c>
      <c r="S105" s="239" t="s">
        <v>4</v>
      </c>
      <c r="T105" s="239" t="s">
        <v>7</v>
      </c>
      <c r="U105" s="239" t="s">
        <v>7</v>
      </c>
      <c r="V105" s="239"/>
      <c r="W105" s="239" t="s">
        <v>7</v>
      </c>
      <c r="X105" s="239" t="s">
        <v>4</v>
      </c>
      <c r="Y105" s="239" t="s">
        <v>4</v>
      </c>
      <c r="Z105" s="241" t="str">
        <f>IF(OR(T105="yes",Y105&gt;'SDG outcome'!$C$27),"yes","no")</f>
        <v>yes</v>
      </c>
      <c r="AA105" s="243">
        <f t="shared" si="1"/>
        <v>0</v>
      </c>
      <c r="AB105" s="243" t="str">
        <f>IF(AND(Z105="no",AND(Y105&gt;='SDG outcome'!$B$16,Y105&lt;'SDG outcome'!$C$27)),Y105-'SDG outcome'!$B$16,"")</f>
        <v/>
      </c>
      <c r="AC105" s="239" t="s">
        <v>4</v>
      </c>
      <c r="AD105" s="239" t="s">
        <v>4</v>
      </c>
      <c r="AE105" s="239" t="s">
        <v>4</v>
      </c>
      <c r="AF105" s="239" t="s">
        <v>4</v>
      </c>
      <c r="AG105" s="239" t="s">
        <v>4</v>
      </c>
      <c r="AH105" s="239" t="s">
        <v>4</v>
      </c>
      <c r="AI105" s="239" t="s">
        <v>4</v>
      </c>
      <c r="AJ105" s="239" t="s">
        <v>29290</v>
      </c>
      <c r="AK105" s="239" t="s">
        <v>29694</v>
      </c>
      <c r="AL105" s="239" t="s">
        <v>4</v>
      </c>
      <c r="AM105" s="239" t="s">
        <v>4</v>
      </c>
      <c r="AN105" s="239" t="s">
        <v>31536</v>
      </c>
      <c r="AO105" s="239" t="s">
        <v>4</v>
      </c>
      <c r="AP105" s="239" t="s">
        <v>31537</v>
      </c>
      <c r="AQ105" s="239" t="s">
        <v>4</v>
      </c>
      <c r="AR105" s="239" t="s">
        <v>31538</v>
      </c>
      <c r="AS105" s="239" t="s">
        <v>4</v>
      </c>
      <c r="AT105" s="239" t="s">
        <v>7</v>
      </c>
      <c r="AU105" s="239" t="s">
        <v>4</v>
      </c>
      <c r="AV105" s="239" t="s">
        <v>4</v>
      </c>
      <c r="AW105" s="239" t="s">
        <v>31539</v>
      </c>
      <c r="AX105" s="239" t="s">
        <v>4</v>
      </c>
      <c r="AY105" s="239" t="s">
        <v>4</v>
      </c>
      <c r="AZ105" s="239" t="s">
        <v>2</v>
      </c>
      <c r="BA105" s="239" t="s">
        <v>4</v>
      </c>
      <c r="BB105" s="239" t="s">
        <v>4</v>
      </c>
      <c r="BC105" s="239" t="s">
        <v>31563</v>
      </c>
      <c r="BD105" s="239" t="s">
        <v>14</v>
      </c>
      <c r="BE105" s="239" t="s">
        <v>4</v>
      </c>
      <c r="BF105" s="239" t="s">
        <v>22</v>
      </c>
      <c r="BG105" s="239" t="s">
        <v>4</v>
      </c>
      <c r="BH105" s="239" t="s">
        <v>31542</v>
      </c>
      <c r="BI105" s="239" t="s">
        <v>31977</v>
      </c>
      <c r="BJ105" s="239" t="s">
        <v>31544</v>
      </c>
      <c r="BK105" s="239">
        <v>1</v>
      </c>
      <c r="BL105" s="239">
        <v>40</v>
      </c>
      <c r="BM105" s="239" t="s">
        <v>7</v>
      </c>
      <c r="BN105" s="239" t="s">
        <v>6</v>
      </c>
      <c r="BO105" s="239" t="s">
        <v>4</v>
      </c>
      <c r="BP105" s="239" t="s">
        <v>31425</v>
      </c>
      <c r="BQ105" s="239">
        <v>1</v>
      </c>
      <c r="BR105" s="239">
        <v>40</v>
      </c>
      <c r="BS105" s="239" t="s">
        <v>31434</v>
      </c>
      <c r="BT105" s="239"/>
      <c r="BU105" s="239">
        <v>1</v>
      </c>
      <c r="BV105" s="239" cm="1">
        <f t="array" ref="BV105">_xlfn.IFS(BS105="Foreword vehicle",BU105*0,BS105="Human wastes",BU105*0,BS105="Jerrycans",BU105*$BV$228,BS105="Number of Basins",BU105*$BV$229,BS105="Number of Buckets",BU105*$CA$226,BS105="Number of Kgs",BU105*$CA$227,BS105="Number of spades",BU105*$CA$228,BS105="Number of wheelbarrows",BU105*$CA$229,BT105="Foreword vehicle",BU105*0,BT105="Human wastes",BU105*0,BT105="Jerrycans",BU105*$BV$228,BS105="","")</f>
        <v>16</v>
      </c>
      <c r="BW105" s="239">
        <f>IF(BV105="","",Table14[[#This Row],[Calculation: Conversion of metric to Kg manure feeding (Columns: BP, BQ, BR)]]*Table14[[#This Row],[Number of times used to feed biodigester]])</f>
        <v>16</v>
      </c>
      <c r="BX105" s="239" cm="1">
        <f t="array" ref="BX105">_xlfn.IFS(BP105="Number of times per day (1 to 3)",BW105/$BX$226,BP105="Number of times per week (1 to 6)",BW105/$BX$227,BP105="Number of times per Month (1 to 3)",BW105/$BX$228,BW105="","")</f>
        <v>16</v>
      </c>
      <c r="BY105" s="239" t="s">
        <v>31541</v>
      </c>
      <c r="BZ105" s="239" t="s">
        <v>4</v>
      </c>
      <c r="CA105" s="239" t="s">
        <v>2</v>
      </c>
      <c r="CB105" s="239" t="s">
        <v>4</v>
      </c>
      <c r="CC105" s="239" t="s">
        <v>4</v>
      </c>
      <c r="CD105" s="239" t="s">
        <v>4</v>
      </c>
      <c r="CE105" s="239" t="s">
        <v>7</v>
      </c>
      <c r="CF105" s="239" t="s">
        <v>31978</v>
      </c>
      <c r="CG105" s="239" t="s">
        <v>4</v>
      </c>
      <c r="CH105" s="239" t="s">
        <v>31705</v>
      </c>
      <c r="CI105" s="239">
        <v>0</v>
      </c>
      <c r="CJ105" s="239">
        <v>3</v>
      </c>
      <c r="CK105" s="239">
        <v>0</v>
      </c>
      <c r="CL105" s="239">
        <v>0</v>
      </c>
      <c r="CM105" s="239">
        <v>0</v>
      </c>
      <c r="CN105" s="239">
        <v>0</v>
      </c>
      <c r="CO105" s="239">
        <v>0</v>
      </c>
      <c r="CP105" s="239">
        <v>0</v>
      </c>
      <c r="CQ105" s="239">
        <v>0</v>
      </c>
      <c r="CR105" s="239">
        <v>0</v>
      </c>
      <c r="CS105" s="239">
        <f>CP105/'SDG outcome'!$C$9*CQ105*CR105</f>
        <v>0</v>
      </c>
      <c r="CT105" s="239" t="s">
        <v>4</v>
      </c>
      <c r="CU105" s="239" t="s">
        <v>4</v>
      </c>
      <c r="CV105" s="239" t="s">
        <v>4</v>
      </c>
      <c r="CW105" s="239">
        <v>100</v>
      </c>
      <c r="CX105" s="239">
        <v>0</v>
      </c>
      <c r="CY105" s="239" t="s">
        <v>4</v>
      </c>
      <c r="CZ105" s="239" t="s">
        <v>4</v>
      </c>
      <c r="DA105" s="239" t="s">
        <v>4</v>
      </c>
      <c r="DB105" s="239" t="s">
        <v>4</v>
      </c>
      <c r="DC105" s="239" t="s">
        <v>4</v>
      </c>
      <c r="DD105" s="239" t="s">
        <v>4</v>
      </c>
      <c r="DE105" s="239" t="s">
        <v>4</v>
      </c>
      <c r="DF105" s="239" t="s">
        <v>4</v>
      </c>
      <c r="DG105" s="239" t="s">
        <v>4</v>
      </c>
      <c r="DH105" s="239" t="s">
        <v>4</v>
      </c>
      <c r="DI105" s="239" t="s">
        <v>4</v>
      </c>
      <c r="DJ105" s="239" t="s">
        <v>4</v>
      </c>
      <c r="DK105" s="239" t="s">
        <v>4</v>
      </c>
      <c r="DL105" s="239" t="s">
        <v>4</v>
      </c>
      <c r="DM105" s="239" t="s">
        <v>4</v>
      </c>
      <c r="DN105" s="239" t="s">
        <v>4</v>
      </c>
      <c r="DO105" s="239">
        <v>4</v>
      </c>
      <c r="DP105" s="239" t="s">
        <v>2</v>
      </c>
      <c r="DQ105" s="239" t="s">
        <v>29292</v>
      </c>
      <c r="DR105" s="239" t="s">
        <v>4</v>
      </c>
      <c r="DS105" s="239" t="s">
        <v>29293</v>
      </c>
      <c r="DT105" s="240">
        <v>40000</v>
      </c>
      <c r="DU105" s="239" t="s">
        <v>29293</v>
      </c>
      <c r="DV105" s="240">
        <v>0</v>
      </c>
      <c r="DW105" s="239" t="s">
        <v>29295</v>
      </c>
      <c r="DX105" s="239">
        <v>100</v>
      </c>
      <c r="DY105" s="239" t="s">
        <v>29296</v>
      </c>
      <c r="DZ105" s="239">
        <v>100</v>
      </c>
      <c r="EA105" s="239"/>
      <c r="EB105" s="239"/>
      <c r="EC105" s="239"/>
      <c r="ED105" s="239"/>
      <c r="EE105" s="320">
        <f>Table14[[#This Row],[% Fertilizer]]*$DX105/10000</f>
        <v>1</v>
      </c>
      <c r="EF105" s="320">
        <f>Table14[[#This Row],[% bioslurry used as Insecticide/Pesticide]]*$DX105/10000</f>
        <v>0</v>
      </c>
      <c r="EG105" s="320">
        <f>Table14[[#This Row],[% of Bioslurry used as animal feed]]*$DX105/10000</f>
        <v>0</v>
      </c>
      <c r="EH105" s="320">
        <f>Table14[[#This Row],[% of Bioslurry sold]]*$DX105/10000</f>
        <v>0</v>
      </c>
      <c r="EI105" s="320">
        <f>Table14[[#This Row],[% used other way(if used directly)]]*$DX105/10000</f>
        <v>0</v>
      </c>
      <c r="EJ105" s="239"/>
      <c r="EK105" s="239"/>
      <c r="EL105" s="239"/>
      <c r="EM105" s="239"/>
      <c r="EN105" s="239"/>
      <c r="EO105" s="239">
        <f>(Table14[[#This Row],[% Uncovered lagoon greater than 1 meter]]+Table14[[#This Row],[Uncovered lagoon (black watery mass) &lt;1 meter]]+Table14[[#This Row],[% Liquid slurry (brown porridge type)]])*Table14[[#This Row],[% Store it first]]/100</f>
        <v>0</v>
      </c>
      <c r="EP105" s="239"/>
      <c r="EQ105" s="239"/>
      <c r="ER105" s="239"/>
      <c r="ES105" s="239"/>
      <c r="ET105" s="239">
        <f>(Table14[[#This Row],[% Solid storage]]+Table14[[#This Row],[% Sun drying]]+Table14[[#This Row],[% Composting with a roof]]+Table14[[#This Row],[% Composting without a roof]])*Table14[[#This Row],[% Store it first]]/100</f>
        <v>0</v>
      </c>
      <c r="EU105" s="239"/>
      <c r="EV105" s="320">
        <f t="shared" si="2"/>
        <v>0</v>
      </c>
      <c r="EW105" s="320">
        <f t="shared" si="3"/>
        <v>0</v>
      </c>
      <c r="EX105" s="320">
        <f t="shared" si="4"/>
        <v>0</v>
      </c>
      <c r="EY105" s="320">
        <f t="shared" si="5"/>
        <v>0</v>
      </c>
      <c r="EZ105" s="320">
        <f t="shared" si="6"/>
        <v>0</v>
      </c>
      <c r="FA105" s="239"/>
      <c r="FB105" s="239"/>
      <c r="FC105" s="239"/>
      <c r="FD105" s="239">
        <f>Table14[[#This Row],[% I donâ€™t use it / discarded]]+Table14[[#This Row],[% Other (specify)(If you use bioslurry directly)]]+Table14[[#This Row],[% Store it first]]+Table14[[#This Row],[% Use directly for various purposes]]</f>
        <v>100</v>
      </c>
      <c r="FE105" s="239" t="s">
        <v>4</v>
      </c>
      <c r="FF105" s="239"/>
      <c r="FG105" s="239"/>
      <c r="FH105" s="239"/>
      <c r="FI105" s="239"/>
      <c r="FJ105" s="239"/>
      <c r="FK105" s="239">
        <v>2.4</v>
      </c>
      <c r="FL105" s="239" t="s">
        <v>7</v>
      </c>
      <c r="FM105" s="239">
        <v>80</v>
      </c>
      <c r="FN105" s="239">
        <f t="shared" si="7"/>
        <v>1.92</v>
      </c>
      <c r="FO105" s="239" t="s">
        <v>31410</v>
      </c>
      <c r="FP105" s="239" t="s">
        <v>29298</v>
      </c>
      <c r="FQ105" s="239">
        <v>82</v>
      </c>
      <c r="FR105" s="239" t="s">
        <v>2</v>
      </c>
      <c r="FS105" s="239" t="s">
        <v>4</v>
      </c>
      <c r="FT105" s="239" t="s">
        <v>4</v>
      </c>
      <c r="FU105" s="239" t="s">
        <v>2</v>
      </c>
      <c r="FV105" s="239" t="s">
        <v>4</v>
      </c>
      <c r="FW105" s="239" t="s">
        <v>4</v>
      </c>
      <c r="FX105" s="239" t="s">
        <v>4</v>
      </c>
      <c r="FY105" s="239" t="s">
        <v>4</v>
      </c>
      <c r="FZ105" s="239" t="s">
        <v>4</v>
      </c>
      <c r="GA105" s="239" t="s">
        <v>4</v>
      </c>
      <c r="GB105" s="240" t="s">
        <v>4</v>
      </c>
      <c r="GC105" s="239" t="s">
        <v>4</v>
      </c>
      <c r="GD105" s="239" t="s">
        <v>7</v>
      </c>
      <c r="GE105" s="239" t="s">
        <v>29301</v>
      </c>
      <c r="GF105" s="239" t="s">
        <v>4</v>
      </c>
      <c r="GG105" s="239" t="s">
        <v>7</v>
      </c>
      <c r="GH105" s="239" t="s">
        <v>2</v>
      </c>
      <c r="GI105" s="239" t="s">
        <v>4</v>
      </c>
      <c r="GJ105" s="239" t="s">
        <v>4</v>
      </c>
      <c r="GK105" s="239" t="s">
        <v>29304</v>
      </c>
      <c r="GL105" s="239">
        <v>2</v>
      </c>
      <c r="GM105" s="239" t="s">
        <v>13</v>
      </c>
      <c r="GN105" s="239" t="s">
        <v>4</v>
      </c>
      <c r="GO105" s="239" t="s">
        <v>4</v>
      </c>
      <c r="GP105" s="239" t="s">
        <v>4</v>
      </c>
      <c r="GQ105" s="239" t="s">
        <v>4</v>
      </c>
      <c r="GR105" s="239" t="s">
        <v>4</v>
      </c>
      <c r="GS105" s="239" t="s">
        <v>4</v>
      </c>
      <c r="GT105" s="239" t="s">
        <v>31411</v>
      </c>
      <c r="GU105" s="239" t="s">
        <v>4</v>
      </c>
      <c r="GV105" s="239" t="s">
        <v>4</v>
      </c>
      <c r="GW105" s="239" t="s">
        <v>4</v>
      </c>
      <c r="GX105" s="239" t="s">
        <v>4</v>
      </c>
      <c r="GY105" s="239" t="s">
        <v>4</v>
      </c>
      <c r="GZ105" s="239" t="s">
        <v>4</v>
      </c>
      <c r="HA105" s="239" t="s">
        <v>4</v>
      </c>
      <c r="HB105" s="239" t="s">
        <v>4</v>
      </c>
      <c r="HC105" s="239" t="s">
        <v>4</v>
      </c>
      <c r="HD105" s="239" t="s">
        <v>4</v>
      </c>
      <c r="HE105" s="239" t="s">
        <v>4</v>
      </c>
      <c r="HF105" s="239" t="s">
        <v>4</v>
      </c>
      <c r="HG105" s="239" t="s">
        <v>4</v>
      </c>
      <c r="HH105" s="239" t="s">
        <v>29307</v>
      </c>
      <c r="HI105" s="239" t="s">
        <v>31412</v>
      </c>
      <c r="HJ105" s="240">
        <v>0</v>
      </c>
      <c r="HK105" s="239" t="s">
        <v>2</v>
      </c>
      <c r="HL105" s="239" t="s">
        <v>29309</v>
      </c>
      <c r="HM105" s="239" t="s">
        <v>4</v>
      </c>
      <c r="HN105" s="239" t="s">
        <v>4</v>
      </c>
      <c r="HO105" s="239" t="s">
        <v>4</v>
      </c>
      <c r="HP105" s="239" t="s">
        <v>4</v>
      </c>
      <c r="HQ105" s="239" t="s">
        <v>4</v>
      </c>
      <c r="HR105" s="239" t="s">
        <v>4</v>
      </c>
      <c r="HS105" s="239" t="s">
        <v>4</v>
      </c>
      <c r="HT105" s="239" t="s">
        <v>4</v>
      </c>
      <c r="HU105" s="239" t="s">
        <v>2</v>
      </c>
      <c r="HV105" s="239" t="s">
        <v>4</v>
      </c>
      <c r="HW105" s="239" t="s">
        <v>4</v>
      </c>
      <c r="HX105" s="239" t="s">
        <v>4</v>
      </c>
      <c r="HY105" s="239" t="s">
        <v>4</v>
      </c>
      <c r="HZ105" s="239" t="s">
        <v>31413</v>
      </c>
      <c r="IA105" s="239" t="s">
        <v>7</v>
      </c>
      <c r="IB105" s="239" t="s">
        <v>31414</v>
      </c>
      <c r="IC105" s="239" t="s">
        <v>16</v>
      </c>
      <c r="ID105" s="239" t="s">
        <v>31415</v>
      </c>
      <c r="IE105" s="239" t="s">
        <v>31416</v>
      </c>
      <c r="IF105" s="239" t="s">
        <v>31417</v>
      </c>
      <c r="IG105" s="239" t="s">
        <v>31418</v>
      </c>
      <c r="IH105" s="239" t="s">
        <v>31408</v>
      </c>
    </row>
    <row r="106" spans="1:242" s="1" customFormat="1" ht="36.75" customHeight="1" x14ac:dyDescent="0.2">
      <c r="A106" s="239">
        <v>151</v>
      </c>
      <c r="B106" s="239" t="s">
        <v>20781</v>
      </c>
      <c r="C106" s="239" t="s">
        <v>30898</v>
      </c>
      <c r="D106" s="239" t="s">
        <v>30866</v>
      </c>
      <c r="E106" s="239" t="s">
        <v>7</v>
      </c>
      <c r="F106" s="239" t="s">
        <v>30899</v>
      </c>
      <c r="G106" s="239">
        <v>1466.7</v>
      </c>
      <c r="H106" s="239">
        <v>10.8</v>
      </c>
      <c r="I106" s="239" t="s">
        <v>29288</v>
      </c>
      <c r="J106" s="239" t="s">
        <v>4</v>
      </c>
      <c r="K106" s="239" t="s">
        <v>30900</v>
      </c>
      <c r="L106" s="239">
        <v>774821473</v>
      </c>
      <c r="M106" s="239" t="s">
        <v>3</v>
      </c>
      <c r="N106" s="239" t="s">
        <v>31438</v>
      </c>
      <c r="O106" s="239">
        <v>58</v>
      </c>
      <c r="P106" s="239">
        <v>5</v>
      </c>
      <c r="Q106" s="239" t="s">
        <v>7</v>
      </c>
      <c r="R106" s="239" t="s">
        <v>31549</v>
      </c>
      <c r="S106" s="239" t="s">
        <v>4</v>
      </c>
      <c r="T106" s="239" t="s">
        <v>7</v>
      </c>
      <c r="U106" s="239" t="s">
        <v>7</v>
      </c>
      <c r="V106" s="239"/>
      <c r="W106" s="239" t="s">
        <v>7</v>
      </c>
      <c r="X106" s="239" t="s">
        <v>4</v>
      </c>
      <c r="Y106" s="239" t="s">
        <v>4</v>
      </c>
      <c r="Z106" s="241" t="str">
        <f>IF(OR(T106="yes",Y106&gt;'SDG outcome'!$C$27),"yes","no")</f>
        <v>yes</v>
      </c>
      <c r="AA106" s="243">
        <f t="shared" si="1"/>
        <v>0</v>
      </c>
      <c r="AB106" s="243" t="str">
        <f>IF(AND(Z106="no",AND(Y106&gt;='SDG outcome'!$B$16,Y106&lt;'SDG outcome'!$C$27)),Y106-'SDG outcome'!$B$16,"")</f>
        <v/>
      </c>
      <c r="AC106" s="239" t="s">
        <v>4</v>
      </c>
      <c r="AD106" s="239" t="s">
        <v>4</v>
      </c>
      <c r="AE106" s="239" t="s">
        <v>4</v>
      </c>
      <c r="AF106" s="239" t="s">
        <v>4</v>
      </c>
      <c r="AG106" s="239" t="s">
        <v>4</v>
      </c>
      <c r="AH106" s="239" t="s">
        <v>4</v>
      </c>
      <c r="AI106" s="239" t="s">
        <v>4</v>
      </c>
      <c r="AJ106" s="239" t="s">
        <v>29290</v>
      </c>
      <c r="AK106" s="239" t="s">
        <v>29694</v>
      </c>
      <c r="AL106" s="239" t="s">
        <v>4</v>
      </c>
      <c r="AM106" s="239" t="s">
        <v>4</v>
      </c>
      <c r="AN106" s="239" t="s">
        <v>31536</v>
      </c>
      <c r="AO106" s="239" t="s">
        <v>4</v>
      </c>
      <c r="AP106" s="239" t="s">
        <v>31537</v>
      </c>
      <c r="AQ106" s="239" t="s">
        <v>4</v>
      </c>
      <c r="AR106" s="239" t="s">
        <v>31538</v>
      </c>
      <c r="AS106" s="239" t="s">
        <v>4</v>
      </c>
      <c r="AT106" s="239" t="s">
        <v>7</v>
      </c>
      <c r="AU106" s="239" t="s">
        <v>4</v>
      </c>
      <c r="AV106" s="239" t="s">
        <v>4</v>
      </c>
      <c r="AW106" s="239" t="s">
        <v>31539</v>
      </c>
      <c r="AX106" s="239" t="s">
        <v>4</v>
      </c>
      <c r="AY106" s="239" t="s">
        <v>4</v>
      </c>
      <c r="AZ106" s="239" t="s">
        <v>2</v>
      </c>
      <c r="BA106" s="239" t="s">
        <v>4</v>
      </c>
      <c r="BB106" s="239" t="s">
        <v>4</v>
      </c>
      <c r="BC106" s="239" t="s">
        <v>31563</v>
      </c>
      <c r="BD106" s="239" t="s">
        <v>13</v>
      </c>
      <c r="BE106" s="239" t="s">
        <v>31877</v>
      </c>
      <c r="BF106" s="239" t="s">
        <v>31878</v>
      </c>
      <c r="BG106" s="239" t="s">
        <v>4</v>
      </c>
      <c r="BH106" s="239" t="s">
        <v>31542</v>
      </c>
      <c r="BI106" s="239" t="s">
        <v>31879</v>
      </c>
      <c r="BJ106" s="239" t="s">
        <v>31544</v>
      </c>
      <c r="BK106" s="239">
        <v>2</v>
      </c>
      <c r="BL106" s="239">
        <v>120</v>
      </c>
      <c r="BM106" s="239" t="s">
        <v>7</v>
      </c>
      <c r="BN106" s="239" t="s">
        <v>6</v>
      </c>
      <c r="BO106" s="239" t="s">
        <v>4</v>
      </c>
      <c r="BP106" s="239" t="s">
        <v>31425</v>
      </c>
      <c r="BQ106" s="239">
        <v>1</v>
      </c>
      <c r="BR106" s="239">
        <v>30</v>
      </c>
      <c r="BS106" s="239" t="s">
        <v>31434</v>
      </c>
      <c r="BT106" s="239"/>
      <c r="BU106" s="239">
        <v>3</v>
      </c>
      <c r="BV106" s="239" cm="1">
        <f t="array" ref="BV106">_xlfn.IFS(BS106="Foreword vehicle",BU106*0,BS106="Human wastes",BU106*0,BS106="Jerrycans",BU106*$BV$228,BS106="Number of Basins",BU106*$BV$229,BS106="Number of Buckets",BU106*$CA$226,BS106="Number of Kgs",BU106*$CA$227,BS106="Number of spades",BU106*$CA$228,BS106="Number of wheelbarrows",BU106*$CA$229,BT106="Foreword vehicle",BU106*0,BT106="Human wastes",BU106*0,BT106="Jerrycans",BU106*$BV$228,BS106="","")</f>
        <v>48</v>
      </c>
      <c r="BW106" s="239">
        <f>IF(BV106="","",Table14[[#This Row],[Calculation: Conversion of metric to Kg manure feeding (Columns: BP, BQ, BR)]]*Table14[[#This Row],[Number of times used to feed biodigester]])</f>
        <v>48</v>
      </c>
      <c r="BX106" s="239" cm="1">
        <f t="array" ref="BX106">_xlfn.IFS(BP106="Number of times per day (1 to 3)",BW106/$BX$226,BP106="Number of times per week (1 to 6)",BW106/$BX$227,BP106="Number of times per Month (1 to 3)",BW106/$BX$228,BW106="","")</f>
        <v>48</v>
      </c>
      <c r="BY106" s="239" t="s">
        <v>31541</v>
      </c>
      <c r="BZ106" s="239" t="s">
        <v>4</v>
      </c>
      <c r="CA106" s="239" t="s">
        <v>2</v>
      </c>
      <c r="CB106" s="239" t="s">
        <v>4</v>
      </c>
      <c r="CC106" s="239" t="s">
        <v>4</v>
      </c>
      <c r="CD106" s="239" t="s">
        <v>4</v>
      </c>
      <c r="CE106" s="239" t="s">
        <v>7</v>
      </c>
      <c r="CF106" s="239" t="s">
        <v>31880</v>
      </c>
      <c r="CG106" s="239" t="s">
        <v>4</v>
      </c>
      <c r="CH106" s="239" t="s">
        <v>31677</v>
      </c>
      <c r="CI106" s="239">
        <v>10</v>
      </c>
      <c r="CJ106" s="239">
        <v>2</v>
      </c>
      <c r="CK106" s="239">
        <v>0</v>
      </c>
      <c r="CL106" s="239">
        <v>0</v>
      </c>
      <c r="CM106" s="239">
        <v>7</v>
      </c>
      <c r="CN106" s="239">
        <v>200</v>
      </c>
      <c r="CO106" s="239">
        <v>0</v>
      </c>
      <c r="CP106" s="239">
        <v>0</v>
      </c>
      <c r="CQ106" s="239">
        <v>0</v>
      </c>
      <c r="CR106" s="239">
        <v>0</v>
      </c>
      <c r="CS106" s="239">
        <f>CP106/'SDG outcome'!$C$9*CQ106*CR106</f>
        <v>0</v>
      </c>
      <c r="CT106" s="239">
        <v>80</v>
      </c>
      <c r="CU106" s="239">
        <v>20</v>
      </c>
      <c r="CV106" s="239" t="s">
        <v>31881</v>
      </c>
      <c r="CW106" s="239">
        <v>100</v>
      </c>
      <c r="CX106" s="239">
        <v>0</v>
      </c>
      <c r="CY106" s="239" t="s">
        <v>4</v>
      </c>
      <c r="CZ106" s="239" t="s">
        <v>4</v>
      </c>
      <c r="DA106" s="239" t="s">
        <v>4</v>
      </c>
      <c r="DB106" s="239" t="s">
        <v>4</v>
      </c>
      <c r="DC106" s="239" t="s">
        <v>4</v>
      </c>
      <c r="DD106" s="239" t="s">
        <v>4</v>
      </c>
      <c r="DE106" s="239" t="s">
        <v>4</v>
      </c>
      <c r="DF106" s="239">
        <v>100</v>
      </c>
      <c r="DG106" s="239">
        <v>0</v>
      </c>
      <c r="DH106" s="239" t="s">
        <v>4</v>
      </c>
      <c r="DI106" s="239" t="s">
        <v>4</v>
      </c>
      <c r="DJ106" s="239" t="s">
        <v>4</v>
      </c>
      <c r="DK106" s="239" t="s">
        <v>4</v>
      </c>
      <c r="DL106" s="239">
        <v>0</v>
      </c>
      <c r="DM106" s="239">
        <v>100</v>
      </c>
      <c r="DN106" s="239" t="s">
        <v>31882</v>
      </c>
      <c r="DO106" s="239">
        <v>2</v>
      </c>
      <c r="DP106" s="239" t="s">
        <v>7</v>
      </c>
      <c r="DQ106" s="239" t="s">
        <v>29292</v>
      </c>
      <c r="DR106" s="239" t="s">
        <v>4</v>
      </c>
      <c r="DS106" s="239" t="s">
        <v>29294</v>
      </c>
      <c r="DT106" s="240" t="s">
        <v>4</v>
      </c>
      <c r="DU106" s="239" t="s">
        <v>29293</v>
      </c>
      <c r="DV106" s="240">
        <v>0</v>
      </c>
      <c r="DW106" s="239" t="s">
        <v>29295</v>
      </c>
      <c r="DX106" s="239">
        <v>100</v>
      </c>
      <c r="DY106" s="239" t="s">
        <v>29296</v>
      </c>
      <c r="DZ106" s="239">
        <v>100</v>
      </c>
      <c r="EA106" s="239"/>
      <c r="EB106" s="239"/>
      <c r="EC106" s="239"/>
      <c r="ED106" s="239"/>
      <c r="EE106" s="320">
        <f>Table14[[#This Row],[% Fertilizer]]*$DX106/10000</f>
        <v>1</v>
      </c>
      <c r="EF106" s="320">
        <f>Table14[[#This Row],[% bioslurry used as Insecticide/Pesticide]]*$DX106/10000</f>
        <v>0</v>
      </c>
      <c r="EG106" s="320">
        <f>Table14[[#This Row],[% of Bioslurry used as animal feed]]*$DX106/10000</f>
        <v>0</v>
      </c>
      <c r="EH106" s="320">
        <f>Table14[[#This Row],[% of Bioslurry sold]]*$DX106/10000</f>
        <v>0</v>
      </c>
      <c r="EI106" s="320">
        <f>Table14[[#This Row],[% used other way(if used directly)]]*$DX106/10000</f>
        <v>0</v>
      </c>
      <c r="EJ106" s="239"/>
      <c r="EK106" s="239"/>
      <c r="EL106" s="239"/>
      <c r="EM106" s="239"/>
      <c r="EN106" s="239"/>
      <c r="EO106" s="239">
        <f>(Table14[[#This Row],[% Uncovered lagoon greater than 1 meter]]+Table14[[#This Row],[Uncovered lagoon (black watery mass) &lt;1 meter]]+Table14[[#This Row],[% Liquid slurry (brown porridge type)]])*Table14[[#This Row],[% Store it first]]/100</f>
        <v>0</v>
      </c>
      <c r="EP106" s="239"/>
      <c r="EQ106" s="239"/>
      <c r="ER106" s="239"/>
      <c r="ES106" s="239"/>
      <c r="ET106" s="239">
        <f>(Table14[[#This Row],[% Solid storage]]+Table14[[#This Row],[% Sun drying]]+Table14[[#This Row],[% Composting with a roof]]+Table14[[#This Row],[% Composting without a roof]])*Table14[[#This Row],[% Store it first]]/100</f>
        <v>0</v>
      </c>
      <c r="EU106" s="239"/>
      <c r="EV106" s="320">
        <f t="shared" si="2"/>
        <v>0</v>
      </c>
      <c r="EW106" s="320">
        <f t="shared" si="3"/>
        <v>0</v>
      </c>
      <c r="EX106" s="320">
        <f t="shared" si="4"/>
        <v>0</v>
      </c>
      <c r="EY106" s="320">
        <f t="shared" si="5"/>
        <v>0</v>
      </c>
      <c r="EZ106" s="320">
        <f t="shared" si="6"/>
        <v>0</v>
      </c>
      <c r="FA106" s="239"/>
      <c r="FB106" s="239"/>
      <c r="FC106" s="239"/>
      <c r="FD106" s="239">
        <f>Table14[[#This Row],[% I donâ€™t use it / discarded]]+Table14[[#This Row],[% Other (specify)(If you use bioslurry directly)]]+Table14[[#This Row],[% Store it first]]+Table14[[#This Row],[% Use directly for various purposes]]</f>
        <v>100</v>
      </c>
      <c r="FE106" s="239" t="s">
        <v>4</v>
      </c>
      <c r="FF106" s="239"/>
      <c r="FG106" s="239"/>
      <c r="FH106" s="239"/>
      <c r="FI106" s="239"/>
      <c r="FJ106" s="239"/>
      <c r="FK106" s="239">
        <v>1.2</v>
      </c>
      <c r="FL106" s="239" t="s">
        <v>30901</v>
      </c>
      <c r="FM106" s="239">
        <v>80</v>
      </c>
      <c r="FN106" s="239">
        <f t="shared" si="7"/>
        <v>0.96</v>
      </c>
      <c r="FO106" s="239" t="s">
        <v>30902</v>
      </c>
      <c r="FP106" s="239" t="s">
        <v>29298</v>
      </c>
      <c r="FQ106" s="239">
        <v>240</v>
      </c>
      <c r="FR106" s="239" t="s">
        <v>7</v>
      </c>
      <c r="FS106" s="239" t="s">
        <v>29299</v>
      </c>
      <c r="FT106" s="239" t="s">
        <v>4</v>
      </c>
      <c r="FU106" s="239" t="s">
        <v>7</v>
      </c>
      <c r="FV106" s="239" t="s">
        <v>29376</v>
      </c>
      <c r="FW106" s="239" t="s">
        <v>30903</v>
      </c>
      <c r="FX106" s="239" t="s">
        <v>13</v>
      </c>
      <c r="FY106" s="239" t="s">
        <v>30904</v>
      </c>
      <c r="FZ106" s="239" t="s">
        <v>4</v>
      </c>
      <c r="GA106" s="239" t="s">
        <v>4</v>
      </c>
      <c r="GB106" s="240" t="s">
        <v>4</v>
      </c>
      <c r="GC106" s="239" t="s">
        <v>4</v>
      </c>
      <c r="GD106" s="239" t="s">
        <v>7</v>
      </c>
      <c r="GE106" s="239" t="s">
        <v>29301</v>
      </c>
      <c r="GF106" s="239" t="s">
        <v>4</v>
      </c>
      <c r="GG106" s="239" t="s">
        <v>7</v>
      </c>
      <c r="GH106" s="239" t="s">
        <v>7</v>
      </c>
      <c r="GI106" s="239" t="s">
        <v>29302</v>
      </c>
      <c r="GJ106" s="239" t="s">
        <v>30905</v>
      </c>
      <c r="GK106" s="239" t="s">
        <v>29304</v>
      </c>
      <c r="GL106" s="239">
        <v>2</v>
      </c>
      <c r="GM106" s="239" t="s">
        <v>29305</v>
      </c>
      <c r="GN106" s="239" t="s">
        <v>29306</v>
      </c>
      <c r="GO106" s="239" t="s">
        <v>4</v>
      </c>
      <c r="GP106" s="239" t="s">
        <v>4</v>
      </c>
      <c r="GQ106" s="239" t="s">
        <v>4</v>
      </c>
      <c r="GR106" s="239" t="s">
        <v>4</v>
      </c>
      <c r="GS106" s="239" t="s">
        <v>4</v>
      </c>
      <c r="GT106" s="239" t="s">
        <v>4</v>
      </c>
      <c r="GU106" s="239" t="s">
        <v>4</v>
      </c>
      <c r="GV106" s="239" t="s">
        <v>4</v>
      </c>
      <c r="GW106" s="239" t="s">
        <v>4</v>
      </c>
      <c r="GX106" s="239" t="s">
        <v>4</v>
      </c>
      <c r="GY106" s="239" t="s">
        <v>4</v>
      </c>
      <c r="GZ106" s="239" t="s">
        <v>4</v>
      </c>
      <c r="HA106" s="239" t="s">
        <v>4</v>
      </c>
      <c r="HB106" s="239" t="s">
        <v>4</v>
      </c>
      <c r="HC106" s="239" t="s">
        <v>4</v>
      </c>
      <c r="HD106" s="239" t="s">
        <v>4</v>
      </c>
      <c r="HE106" s="239" t="s">
        <v>4</v>
      </c>
      <c r="HF106" s="239" t="s">
        <v>4</v>
      </c>
      <c r="HG106" s="239" t="s">
        <v>4</v>
      </c>
      <c r="HH106" s="239" t="s">
        <v>29410</v>
      </c>
      <c r="HI106" s="239" t="s">
        <v>4</v>
      </c>
      <c r="HJ106" s="240">
        <v>600</v>
      </c>
      <c r="HK106" s="239" t="s">
        <v>2</v>
      </c>
      <c r="HL106" s="239" t="s">
        <v>29309</v>
      </c>
      <c r="HM106" s="239" t="s">
        <v>4</v>
      </c>
      <c r="HN106" s="239" t="s">
        <v>4</v>
      </c>
      <c r="HO106" s="239" t="s">
        <v>4</v>
      </c>
      <c r="HP106" s="239" t="s">
        <v>4</v>
      </c>
      <c r="HQ106" s="239" t="s">
        <v>4</v>
      </c>
      <c r="HR106" s="239" t="s">
        <v>4</v>
      </c>
      <c r="HS106" s="239" t="s">
        <v>4</v>
      </c>
      <c r="HT106" s="239" t="s">
        <v>4</v>
      </c>
      <c r="HU106" s="239" t="s">
        <v>2</v>
      </c>
      <c r="HV106" s="239" t="s">
        <v>4</v>
      </c>
      <c r="HW106" s="239" t="s">
        <v>4</v>
      </c>
      <c r="HX106" s="239" t="s">
        <v>4</v>
      </c>
      <c r="HY106" s="239" t="s">
        <v>4</v>
      </c>
      <c r="HZ106" s="239" t="s">
        <v>30906</v>
      </c>
      <c r="IA106" s="239" t="s">
        <v>7</v>
      </c>
      <c r="IB106" s="239" t="s">
        <v>30907</v>
      </c>
      <c r="IC106" s="239" t="s">
        <v>30883</v>
      </c>
      <c r="ID106" s="239" t="s">
        <v>30908</v>
      </c>
      <c r="IE106" s="239" t="s">
        <v>30909</v>
      </c>
      <c r="IF106" s="239" t="s">
        <v>30910</v>
      </c>
      <c r="IG106" s="239" t="s">
        <v>30911</v>
      </c>
      <c r="IH106" s="239" t="s">
        <v>30912</v>
      </c>
    </row>
    <row r="107" spans="1:242" s="1" customFormat="1" ht="36.75" customHeight="1" x14ac:dyDescent="0.2">
      <c r="A107" s="239">
        <v>32</v>
      </c>
      <c r="B107" s="239" t="s">
        <v>11614</v>
      </c>
      <c r="C107" s="239" t="s">
        <v>29690</v>
      </c>
      <c r="D107" s="239" t="s">
        <v>29691</v>
      </c>
      <c r="E107" s="239" t="s">
        <v>7</v>
      </c>
      <c r="F107" s="239" t="s">
        <v>29692</v>
      </c>
      <c r="G107" s="239">
        <v>1155.4000000000001</v>
      </c>
      <c r="H107" s="239">
        <v>4.9000000000000004</v>
      </c>
      <c r="I107" s="239" t="s">
        <v>29319</v>
      </c>
      <c r="J107" s="239" t="s">
        <v>4</v>
      </c>
      <c r="K107" s="239" t="s">
        <v>29693</v>
      </c>
      <c r="L107" s="239">
        <v>772483289</v>
      </c>
      <c r="M107" s="239" t="s">
        <v>5</v>
      </c>
      <c r="N107" s="239" t="s">
        <v>31438</v>
      </c>
      <c r="O107" s="239">
        <v>62</v>
      </c>
      <c r="P107" s="239">
        <v>9</v>
      </c>
      <c r="Q107" s="239" t="s">
        <v>7</v>
      </c>
      <c r="R107" s="239" t="s">
        <v>31588</v>
      </c>
      <c r="S107" s="239" t="s">
        <v>4</v>
      </c>
      <c r="T107" s="239" t="s">
        <v>7</v>
      </c>
      <c r="U107" s="239" t="s">
        <v>7</v>
      </c>
      <c r="V107" s="239"/>
      <c r="W107" s="239" t="s">
        <v>7</v>
      </c>
      <c r="X107" s="239" t="s">
        <v>4</v>
      </c>
      <c r="Y107" s="239" t="s">
        <v>4</v>
      </c>
      <c r="Z107" s="241" t="str">
        <f>IF(OR(T107="yes",Y107&gt;'SDG outcome'!$C$27),"yes","no")</f>
        <v>yes</v>
      </c>
      <c r="AA107" s="243">
        <f t="shared" si="1"/>
        <v>0</v>
      </c>
      <c r="AB107" s="243" t="str">
        <f>IF(AND(Z107="no",AND(Y107&gt;='SDG outcome'!$B$16,Y107&lt;'SDG outcome'!$C$27)),Y107-'SDG outcome'!$B$16,"")</f>
        <v/>
      </c>
      <c r="AC107" s="239" t="s">
        <v>4</v>
      </c>
      <c r="AD107" s="239" t="s">
        <v>4</v>
      </c>
      <c r="AE107" s="239" t="s">
        <v>4</v>
      </c>
      <c r="AF107" s="239" t="s">
        <v>4</v>
      </c>
      <c r="AG107" s="239" t="s">
        <v>4</v>
      </c>
      <c r="AH107" s="239" t="s">
        <v>4</v>
      </c>
      <c r="AI107" s="239" t="s">
        <v>4</v>
      </c>
      <c r="AJ107" s="239" t="s">
        <v>29290</v>
      </c>
      <c r="AK107" s="239" t="s">
        <v>29694</v>
      </c>
      <c r="AL107" s="239" t="s">
        <v>4</v>
      </c>
      <c r="AM107" s="239" t="s">
        <v>4</v>
      </c>
      <c r="AN107" s="239" t="s">
        <v>31536</v>
      </c>
      <c r="AO107" s="239" t="s">
        <v>4</v>
      </c>
      <c r="AP107" s="239" t="s">
        <v>31600</v>
      </c>
      <c r="AQ107" s="239" t="s">
        <v>4</v>
      </c>
      <c r="AR107" s="239" t="s">
        <v>31601</v>
      </c>
      <c r="AS107" s="239" t="s">
        <v>4</v>
      </c>
      <c r="AT107" s="239" t="s">
        <v>7</v>
      </c>
      <c r="AU107" s="239" t="s">
        <v>4</v>
      </c>
      <c r="AV107" s="239" t="s">
        <v>4</v>
      </c>
      <c r="AW107" s="239" t="s">
        <v>31550</v>
      </c>
      <c r="AX107" s="239" t="s">
        <v>4</v>
      </c>
      <c r="AY107" s="239" t="s">
        <v>4</v>
      </c>
      <c r="AZ107" s="239" t="s">
        <v>2</v>
      </c>
      <c r="BA107" s="239" t="s">
        <v>4</v>
      </c>
      <c r="BB107" s="239" t="s">
        <v>4</v>
      </c>
      <c r="BC107" s="239" t="s">
        <v>4</v>
      </c>
      <c r="BD107" s="239" t="s">
        <v>4</v>
      </c>
      <c r="BE107" s="239" t="s">
        <v>4</v>
      </c>
      <c r="BF107" s="239" t="s">
        <v>4</v>
      </c>
      <c r="BG107" s="239" t="s">
        <v>4</v>
      </c>
      <c r="BH107" s="239" t="s">
        <v>4</v>
      </c>
      <c r="BI107" s="239" t="s">
        <v>4</v>
      </c>
      <c r="BJ107" s="239" t="s">
        <v>4</v>
      </c>
      <c r="BK107" s="239" t="s">
        <v>4</v>
      </c>
      <c r="BL107" s="239" t="s">
        <v>4</v>
      </c>
      <c r="BM107" s="239" t="s">
        <v>7</v>
      </c>
      <c r="BN107" s="239" t="s">
        <v>6</v>
      </c>
      <c r="BO107" s="239" t="s">
        <v>4</v>
      </c>
      <c r="BP107" s="239" t="s">
        <v>31425</v>
      </c>
      <c r="BQ107" s="239">
        <v>1</v>
      </c>
      <c r="BR107" s="239">
        <v>30</v>
      </c>
      <c r="BS107" s="239" t="s">
        <v>31426</v>
      </c>
      <c r="BT107" s="239"/>
      <c r="BU107" s="239">
        <v>2</v>
      </c>
      <c r="BV107" s="239" cm="1">
        <f t="array" ref="BV107">_xlfn.IFS(BS107="Foreword vehicle",BU107*0,BS107="Human wastes",BU107*0,BS107="Jerrycans",BU107*$BV$228,BS107="Number of Basins",BU107*$BV$229,BS107="Number of Buckets",BU107*$CA$226,BS107="Number of Kgs",BU107*$CA$227,BS107="Number of spades",BU107*$CA$228,BS107="Number of wheelbarrows",BU107*$CA$229,BT107="Foreword vehicle",BU107*0,BT107="Human wastes",BU107*0,BT107="Jerrycans",BU107*$BV$228,BS107="","")</f>
        <v>46</v>
      </c>
      <c r="BW107" s="239">
        <f>IF(BV107="","",Table14[[#This Row],[Calculation: Conversion of metric to Kg manure feeding (Columns: BP, BQ, BR)]]*Table14[[#This Row],[Number of times used to feed biodigester]])</f>
        <v>46</v>
      </c>
      <c r="BX107" s="239" cm="1">
        <f t="array" ref="BX107">_xlfn.IFS(BP107="Number of times per day (1 to 3)",BW107/$BX$226,BP107="Number of times per week (1 to 6)",BW107/$BX$227,BP107="Number of times per Month (1 to 3)",BW107/$BX$228,BW107="","")</f>
        <v>46</v>
      </c>
      <c r="BY107" s="239" t="s">
        <v>22</v>
      </c>
      <c r="BZ107" s="239" t="s">
        <v>4</v>
      </c>
      <c r="CA107" s="239" t="s">
        <v>2</v>
      </c>
      <c r="CB107" s="239" t="s">
        <v>4</v>
      </c>
      <c r="CC107" s="239" t="s">
        <v>4</v>
      </c>
      <c r="CD107" s="239" t="s">
        <v>4</v>
      </c>
      <c r="CE107" s="239" t="s">
        <v>7</v>
      </c>
      <c r="CF107" s="239" t="s">
        <v>31676</v>
      </c>
      <c r="CG107" s="239" t="s">
        <v>4</v>
      </c>
      <c r="CH107" s="239" t="s">
        <v>31677</v>
      </c>
      <c r="CI107" s="239">
        <v>4</v>
      </c>
      <c r="CJ107" s="239">
        <v>2</v>
      </c>
      <c r="CK107" s="239">
        <v>0</v>
      </c>
      <c r="CL107" s="239">
        <v>0</v>
      </c>
      <c r="CM107" s="239">
        <v>10</v>
      </c>
      <c r="CN107" s="239">
        <v>20</v>
      </c>
      <c r="CO107" s="239">
        <v>0</v>
      </c>
      <c r="CP107" s="239">
        <v>0</v>
      </c>
      <c r="CQ107" s="239">
        <v>0</v>
      </c>
      <c r="CR107" s="239">
        <v>0</v>
      </c>
      <c r="CS107" s="239">
        <f>CP107/'SDG outcome'!$C$9*CQ107*CR107</f>
        <v>0</v>
      </c>
      <c r="CT107" s="239">
        <v>100</v>
      </c>
      <c r="CU107" s="239">
        <v>0</v>
      </c>
      <c r="CV107" s="239" t="s">
        <v>4</v>
      </c>
      <c r="CW107" s="239">
        <v>100</v>
      </c>
      <c r="CX107" s="239">
        <v>0</v>
      </c>
      <c r="CY107" s="239" t="s">
        <v>4</v>
      </c>
      <c r="CZ107" s="239" t="s">
        <v>4</v>
      </c>
      <c r="DA107" s="239" t="s">
        <v>4</v>
      </c>
      <c r="DB107" s="239" t="s">
        <v>4</v>
      </c>
      <c r="DC107" s="239" t="s">
        <v>4</v>
      </c>
      <c r="DD107" s="239" t="s">
        <v>4</v>
      </c>
      <c r="DE107" s="239" t="s">
        <v>4</v>
      </c>
      <c r="DF107" s="239">
        <v>0</v>
      </c>
      <c r="DG107" s="239">
        <v>100</v>
      </c>
      <c r="DH107" s="239" t="s">
        <v>31678</v>
      </c>
      <c r="DI107" s="239" t="s">
        <v>4</v>
      </c>
      <c r="DJ107" s="239" t="s">
        <v>4</v>
      </c>
      <c r="DK107" s="239" t="s">
        <v>4</v>
      </c>
      <c r="DL107" s="239">
        <v>0</v>
      </c>
      <c r="DM107" s="239">
        <v>100</v>
      </c>
      <c r="DN107" s="239" t="s">
        <v>31679</v>
      </c>
      <c r="DO107" s="239">
        <v>2</v>
      </c>
      <c r="DP107" s="239" t="s">
        <v>2</v>
      </c>
      <c r="DQ107" s="239" t="s">
        <v>29292</v>
      </c>
      <c r="DR107" s="239" t="s">
        <v>4</v>
      </c>
      <c r="DS107" s="239" t="s">
        <v>29293</v>
      </c>
      <c r="DT107" s="240">
        <v>200000</v>
      </c>
      <c r="DU107" s="239" t="s">
        <v>29294</v>
      </c>
      <c r="DV107" s="240" t="s">
        <v>4</v>
      </c>
      <c r="DW107" s="239" t="s">
        <v>29508</v>
      </c>
      <c r="DX107" s="239"/>
      <c r="DY107" s="239"/>
      <c r="DZ107" s="239"/>
      <c r="EA107" s="239"/>
      <c r="EB107" s="239"/>
      <c r="EC107" s="239"/>
      <c r="ED107" s="239"/>
      <c r="EE107" s="320">
        <f>Table14[[#This Row],[% Fertilizer]]*$DX107/10000</f>
        <v>0</v>
      </c>
      <c r="EF107" s="320">
        <f>Table14[[#This Row],[% bioslurry used as Insecticide/Pesticide]]*$DX107/10000</f>
        <v>0</v>
      </c>
      <c r="EG107" s="320">
        <f>Table14[[#This Row],[% of Bioslurry used as animal feed]]*$DX107/10000</f>
        <v>0</v>
      </c>
      <c r="EH107" s="320">
        <f>Table14[[#This Row],[% of Bioslurry sold]]*$DX107/10000</f>
        <v>0</v>
      </c>
      <c r="EI107" s="320">
        <f>Table14[[#This Row],[% used other way(if used directly)]]*$DX107/10000</f>
        <v>0</v>
      </c>
      <c r="EJ107" s="239">
        <v>100</v>
      </c>
      <c r="EK107" s="239" t="s">
        <v>29509</v>
      </c>
      <c r="EL107" s="239">
        <v>100</v>
      </c>
      <c r="EM107" s="239"/>
      <c r="EN107" s="239"/>
      <c r="EO107" s="239">
        <f>(Table14[[#This Row],[% Uncovered lagoon greater than 1 meter]]+Table14[[#This Row],[Uncovered lagoon (black watery mass) &lt;1 meter]]+Table14[[#This Row],[% Liquid slurry (brown porridge type)]])*Table14[[#This Row],[% Store it first]]/100</f>
        <v>100</v>
      </c>
      <c r="EP107" s="239"/>
      <c r="EQ107" s="239"/>
      <c r="ER107" s="239"/>
      <c r="ES107" s="239"/>
      <c r="ET107" s="239">
        <f>(Table14[[#This Row],[% Solid storage]]+Table14[[#This Row],[% Sun drying]]+Table14[[#This Row],[% Composting with a roof]]+Table14[[#This Row],[% Composting without a roof]])*Table14[[#This Row],[% Store it first]]/100</f>
        <v>0</v>
      </c>
      <c r="EU107" s="239">
        <v>7</v>
      </c>
      <c r="EV107" s="320">
        <f t="shared" si="2"/>
        <v>0.8</v>
      </c>
      <c r="EW107" s="320">
        <f t="shared" si="3"/>
        <v>0</v>
      </c>
      <c r="EX107" s="320">
        <f t="shared" si="4"/>
        <v>0</v>
      </c>
      <c r="EY107" s="320">
        <f t="shared" si="5"/>
        <v>0.2</v>
      </c>
      <c r="EZ107" s="320">
        <f t="shared" si="6"/>
        <v>0</v>
      </c>
      <c r="FA107" s="239"/>
      <c r="FB107" s="239"/>
      <c r="FC107" s="239"/>
      <c r="FD107" s="239">
        <f>Table14[[#This Row],[% I donâ€™t use it / discarded]]+Table14[[#This Row],[% Other (specify)(If you use bioslurry directly)]]+Table14[[#This Row],[% Store it first]]+Table14[[#This Row],[% Use directly for various purposes]]</f>
        <v>100</v>
      </c>
      <c r="FE107" s="239" t="s">
        <v>29695</v>
      </c>
      <c r="FF107" s="239">
        <v>80</v>
      </c>
      <c r="FG107" s="239"/>
      <c r="FH107" s="239"/>
      <c r="FI107" s="239">
        <v>20</v>
      </c>
      <c r="FJ107" s="239"/>
      <c r="FK107" s="239">
        <v>4</v>
      </c>
      <c r="FL107" s="239" t="s">
        <v>7</v>
      </c>
      <c r="FM107" s="239">
        <v>25</v>
      </c>
      <c r="FN107" s="239">
        <f t="shared" si="7"/>
        <v>1</v>
      </c>
      <c r="FO107" s="239" t="s">
        <v>29696</v>
      </c>
      <c r="FP107" s="239" t="s">
        <v>29298</v>
      </c>
      <c r="FQ107" s="239">
        <v>120</v>
      </c>
      <c r="FR107" s="239" t="s">
        <v>2</v>
      </c>
      <c r="FS107" s="239" t="s">
        <v>4</v>
      </c>
      <c r="FT107" s="239" t="s">
        <v>4</v>
      </c>
      <c r="FU107" s="239" t="s">
        <v>2</v>
      </c>
      <c r="FV107" s="239" t="s">
        <v>4</v>
      </c>
      <c r="FW107" s="239" t="s">
        <v>4</v>
      </c>
      <c r="FX107" s="239" t="s">
        <v>4</v>
      </c>
      <c r="FY107" s="239" t="s">
        <v>4</v>
      </c>
      <c r="FZ107" s="239" t="s">
        <v>4</v>
      </c>
      <c r="GA107" s="239" t="s">
        <v>4</v>
      </c>
      <c r="GB107" s="240" t="s">
        <v>4</v>
      </c>
      <c r="GC107" s="239" t="s">
        <v>4</v>
      </c>
      <c r="GD107" s="239" t="s">
        <v>2</v>
      </c>
      <c r="GE107" s="239" t="s">
        <v>4</v>
      </c>
      <c r="GF107" s="239" t="s">
        <v>4</v>
      </c>
      <c r="GG107" s="239" t="s">
        <v>7</v>
      </c>
      <c r="GH107" s="239" t="s">
        <v>2</v>
      </c>
      <c r="GI107" s="239" t="s">
        <v>4</v>
      </c>
      <c r="GJ107" s="239" t="s">
        <v>4</v>
      </c>
      <c r="GK107" s="239" t="s">
        <v>4</v>
      </c>
      <c r="GL107" s="239">
        <v>0</v>
      </c>
      <c r="GM107" s="239"/>
      <c r="GN107" s="239" t="s">
        <v>4</v>
      </c>
      <c r="GO107" s="239" t="s">
        <v>4</v>
      </c>
      <c r="GP107" s="239" t="s">
        <v>4</v>
      </c>
      <c r="GQ107" s="239" t="s">
        <v>4</v>
      </c>
      <c r="GR107" s="239" t="s">
        <v>4</v>
      </c>
      <c r="GS107" s="239" t="s">
        <v>4</v>
      </c>
      <c r="GT107" s="239" t="s">
        <v>4</v>
      </c>
      <c r="GU107" s="239" t="s">
        <v>4</v>
      </c>
      <c r="GV107" s="239" t="s">
        <v>4</v>
      </c>
      <c r="GW107" s="239" t="s">
        <v>29433</v>
      </c>
      <c r="GX107" s="239" t="s">
        <v>4</v>
      </c>
      <c r="GY107" s="239" t="s">
        <v>4</v>
      </c>
      <c r="GZ107" s="239" t="s">
        <v>4</v>
      </c>
      <c r="HA107" s="239" t="s">
        <v>4</v>
      </c>
      <c r="HB107" s="239" t="s">
        <v>4</v>
      </c>
      <c r="HC107" s="239" t="s">
        <v>4</v>
      </c>
      <c r="HD107" s="239" t="s">
        <v>4</v>
      </c>
      <c r="HE107" s="239" t="s">
        <v>4</v>
      </c>
      <c r="HF107" s="239" t="s">
        <v>13</v>
      </c>
      <c r="HG107" s="239" t="s">
        <v>29697</v>
      </c>
      <c r="HH107" s="239" t="s">
        <v>29698</v>
      </c>
      <c r="HI107" s="239" t="s">
        <v>4</v>
      </c>
      <c r="HJ107" s="240">
        <v>0</v>
      </c>
      <c r="HK107" s="239" t="s">
        <v>2</v>
      </c>
      <c r="HL107" s="239" t="s">
        <v>29309</v>
      </c>
      <c r="HM107" s="239" t="s">
        <v>4</v>
      </c>
      <c r="HN107" s="239" t="s">
        <v>4</v>
      </c>
      <c r="HO107" s="239" t="s">
        <v>4</v>
      </c>
      <c r="HP107" s="239" t="s">
        <v>4</v>
      </c>
      <c r="HQ107" s="239" t="s">
        <v>4</v>
      </c>
      <c r="HR107" s="239" t="s">
        <v>4</v>
      </c>
      <c r="HS107" s="239" t="s">
        <v>4</v>
      </c>
      <c r="HT107" s="239" t="s">
        <v>4</v>
      </c>
      <c r="HU107" s="239" t="s">
        <v>2</v>
      </c>
      <c r="HV107" s="239" t="s">
        <v>4</v>
      </c>
      <c r="HW107" s="239" t="s">
        <v>4</v>
      </c>
      <c r="HX107" s="239" t="s">
        <v>4</v>
      </c>
      <c r="HY107" s="239" t="s">
        <v>72</v>
      </c>
      <c r="HZ107" s="239" t="s">
        <v>29699</v>
      </c>
      <c r="IA107" s="239" t="s">
        <v>7</v>
      </c>
      <c r="IB107" s="239" t="s">
        <v>29700</v>
      </c>
      <c r="IC107" s="239" t="s">
        <v>29701</v>
      </c>
      <c r="ID107" s="239" t="s">
        <v>29702</v>
      </c>
      <c r="IE107" s="239" t="s">
        <v>29703</v>
      </c>
      <c r="IF107" s="239" t="s">
        <v>29704</v>
      </c>
      <c r="IG107" s="239" t="s">
        <v>29705</v>
      </c>
      <c r="IH107" s="239" t="s">
        <v>29690</v>
      </c>
    </row>
    <row r="108" spans="1:242" s="1" customFormat="1" ht="36.75" customHeight="1" x14ac:dyDescent="0.2">
      <c r="A108" s="239">
        <v>34</v>
      </c>
      <c r="B108" s="239" t="s">
        <v>14502</v>
      </c>
      <c r="C108" s="239" t="s">
        <v>29716</v>
      </c>
      <c r="D108" s="239" t="s">
        <v>29691</v>
      </c>
      <c r="E108" s="239" t="s">
        <v>7</v>
      </c>
      <c r="F108" s="239" t="s">
        <v>29717</v>
      </c>
      <c r="G108" s="239">
        <v>1127.4000000000001</v>
      </c>
      <c r="H108" s="239">
        <v>1.8</v>
      </c>
      <c r="I108" s="239" t="s">
        <v>29288</v>
      </c>
      <c r="J108" s="239" t="s">
        <v>4</v>
      </c>
      <c r="K108" s="239" t="s">
        <v>29718</v>
      </c>
      <c r="L108" s="239">
        <v>752840252</v>
      </c>
      <c r="M108" s="239" t="s">
        <v>3</v>
      </c>
      <c r="N108" s="239" t="s">
        <v>31598</v>
      </c>
      <c r="O108" s="239" t="s">
        <v>4</v>
      </c>
      <c r="P108" s="239">
        <v>13</v>
      </c>
      <c r="Q108" s="239" t="s">
        <v>7</v>
      </c>
      <c r="R108" s="239" t="s">
        <v>31588</v>
      </c>
      <c r="S108" s="239" t="s">
        <v>4</v>
      </c>
      <c r="T108" s="239" t="s">
        <v>7</v>
      </c>
      <c r="U108" s="239" t="s">
        <v>7</v>
      </c>
      <c r="V108" s="239"/>
      <c r="W108" s="239" t="s">
        <v>7</v>
      </c>
      <c r="X108" s="239" t="s">
        <v>4</v>
      </c>
      <c r="Y108" s="239" t="s">
        <v>4</v>
      </c>
      <c r="Z108" s="241" t="str">
        <f>IF(OR(T108="yes",Y108&gt;'SDG outcome'!$C$27),"yes","no")</f>
        <v>yes</v>
      </c>
      <c r="AA108" s="243">
        <f t="shared" si="1"/>
        <v>0</v>
      </c>
      <c r="AB108" s="243" t="str">
        <f>IF(AND(Z108="no",AND(Y108&gt;='SDG outcome'!$B$16,Y108&lt;'SDG outcome'!$C$27)),Y108-'SDG outcome'!$B$16,"")</f>
        <v/>
      </c>
      <c r="AC108" s="239" t="s">
        <v>4</v>
      </c>
      <c r="AD108" s="239" t="s">
        <v>4</v>
      </c>
      <c r="AE108" s="239" t="s">
        <v>4</v>
      </c>
      <c r="AF108" s="239" t="s">
        <v>4</v>
      </c>
      <c r="AG108" s="239" t="s">
        <v>4</v>
      </c>
      <c r="AH108" s="239" t="s">
        <v>4</v>
      </c>
      <c r="AI108" s="239" t="s">
        <v>4</v>
      </c>
      <c r="AJ108" s="239" t="s">
        <v>29290</v>
      </c>
      <c r="AK108" s="239" t="s">
        <v>29694</v>
      </c>
      <c r="AL108" s="239" t="s">
        <v>4</v>
      </c>
      <c r="AM108" s="239" t="s">
        <v>4</v>
      </c>
      <c r="AN108" s="239" t="s">
        <v>31536</v>
      </c>
      <c r="AO108" s="239" t="s">
        <v>4</v>
      </c>
      <c r="AP108" s="239" t="s">
        <v>31537</v>
      </c>
      <c r="AQ108" s="239" t="s">
        <v>4</v>
      </c>
      <c r="AR108" s="239" t="s">
        <v>31538</v>
      </c>
      <c r="AS108" s="239" t="s">
        <v>4</v>
      </c>
      <c r="AT108" s="239" t="s">
        <v>7</v>
      </c>
      <c r="AU108" s="239" t="s">
        <v>4</v>
      </c>
      <c r="AV108" s="239" t="s">
        <v>4</v>
      </c>
      <c r="AW108" s="239" t="s">
        <v>31539</v>
      </c>
      <c r="AX108" s="239" t="s">
        <v>4</v>
      </c>
      <c r="AY108" s="239" t="s">
        <v>4</v>
      </c>
      <c r="AZ108" s="239" t="s">
        <v>2</v>
      </c>
      <c r="BA108" s="239" t="s">
        <v>4</v>
      </c>
      <c r="BB108" s="239" t="s">
        <v>4</v>
      </c>
      <c r="BC108" s="239" t="s">
        <v>31563</v>
      </c>
      <c r="BD108" s="239" t="s">
        <v>31541</v>
      </c>
      <c r="BE108" s="239" t="s">
        <v>4</v>
      </c>
      <c r="BF108" s="239" t="s">
        <v>14</v>
      </c>
      <c r="BG108" s="239" t="s">
        <v>4</v>
      </c>
      <c r="BH108" s="239" t="s">
        <v>31542</v>
      </c>
      <c r="BI108" s="239" t="s">
        <v>31681</v>
      </c>
      <c r="BJ108" s="239" t="s">
        <v>31566</v>
      </c>
      <c r="BK108" s="239">
        <v>1</v>
      </c>
      <c r="BL108" s="239">
        <v>30</v>
      </c>
      <c r="BM108" s="239" t="s">
        <v>7</v>
      </c>
      <c r="BN108" s="239" t="s">
        <v>6</v>
      </c>
      <c r="BO108" s="239" t="s">
        <v>4</v>
      </c>
      <c r="BP108" s="239" t="s">
        <v>31425</v>
      </c>
      <c r="BQ108" s="239">
        <v>1</v>
      </c>
      <c r="BR108" s="239">
        <v>30</v>
      </c>
      <c r="BS108" s="239" t="s">
        <v>31434</v>
      </c>
      <c r="BT108" s="239"/>
      <c r="BU108" s="239">
        <v>1</v>
      </c>
      <c r="BV108" s="239" cm="1">
        <f t="array" ref="BV108">_xlfn.IFS(BS108="Foreword vehicle",BU108*0,BS108="Human wastes",BU108*0,BS108="Jerrycans",BU108*$BV$228,BS108="Number of Basins",BU108*$BV$229,BS108="Number of Buckets",BU108*$CA$226,BS108="Number of Kgs",BU108*$CA$227,BS108="Number of spades",BU108*$CA$228,BS108="Number of wheelbarrows",BU108*$CA$229,BT108="Foreword vehicle",BU108*0,BT108="Human wastes",BU108*0,BT108="Jerrycans",BU108*$BV$228,BS108="","")</f>
        <v>16</v>
      </c>
      <c r="BW108" s="239">
        <f>IF(BV108="","",Table14[[#This Row],[Calculation: Conversion of metric to Kg manure feeding (Columns: BP, BQ, BR)]]*Table14[[#This Row],[Number of times used to feed biodigester]])</f>
        <v>16</v>
      </c>
      <c r="BX108" s="239" cm="1">
        <f t="array" ref="BX108">_xlfn.IFS(BP108="Number of times per day (1 to 3)",BW108/$BX$226,BP108="Number of times per week (1 to 6)",BW108/$BX$227,BP108="Number of times per Month (1 to 3)",BW108/$BX$228,BW108="","")</f>
        <v>16</v>
      </c>
      <c r="BY108" s="239" t="s">
        <v>31541</v>
      </c>
      <c r="BZ108" s="239" t="s">
        <v>4</v>
      </c>
      <c r="CA108" s="239" t="s">
        <v>2</v>
      </c>
      <c r="CB108" s="239" t="s">
        <v>4</v>
      </c>
      <c r="CC108" s="239" t="s">
        <v>4</v>
      </c>
      <c r="CD108" s="239" t="s">
        <v>4</v>
      </c>
      <c r="CE108" s="239" t="s">
        <v>7</v>
      </c>
      <c r="CF108" s="239" t="s">
        <v>31682</v>
      </c>
      <c r="CG108" s="239" t="s">
        <v>4</v>
      </c>
      <c r="CH108" s="239" t="s">
        <v>31683</v>
      </c>
      <c r="CI108" s="239">
        <v>1</v>
      </c>
      <c r="CJ108" s="239">
        <v>2</v>
      </c>
      <c r="CK108" s="239">
        <v>0</v>
      </c>
      <c r="CL108" s="239">
        <v>0</v>
      </c>
      <c r="CM108" s="239">
        <v>0</v>
      </c>
      <c r="CN108" s="239">
        <v>0</v>
      </c>
      <c r="CO108" s="239">
        <v>0</v>
      </c>
      <c r="CP108" s="239">
        <v>0</v>
      </c>
      <c r="CQ108" s="239">
        <v>0</v>
      </c>
      <c r="CR108" s="239">
        <v>0</v>
      </c>
      <c r="CS108" s="239">
        <f>CP108/'SDG outcome'!$C$9*CQ108*CR108</f>
        <v>0</v>
      </c>
      <c r="CT108" s="239">
        <v>100</v>
      </c>
      <c r="CU108" s="239">
        <v>0</v>
      </c>
      <c r="CV108" s="239" t="s">
        <v>4</v>
      </c>
      <c r="CW108" s="239">
        <v>100</v>
      </c>
      <c r="CX108" s="239">
        <v>0</v>
      </c>
      <c r="CY108" s="239" t="s">
        <v>4</v>
      </c>
      <c r="CZ108" s="239" t="s">
        <v>4</v>
      </c>
      <c r="DA108" s="239" t="s">
        <v>4</v>
      </c>
      <c r="DB108" s="239" t="s">
        <v>4</v>
      </c>
      <c r="DC108" s="239" t="s">
        <v>4</v>
      </c>
      <c r="DD108" s="239" t="s">
        <v>4</v>
      </c>
      <c r="DE108" s="239" t="s">
        <v>4</v>
      </c>
      <c r="DF108" s="239" t="s">
        <v>4</v>
      </c>
      <c r="DG108" s="239" t="s">
        <v>4</v>
      </c>
      <c r="DH108" s="239" t="s">
        <v>4</v>
      </c>
      <c r="DI108" s="239" t="s">
        <v>4</v>
      </c>
      <c r="DJ108" s="239" t="s">
        <v>4</v>
      </c>
      <c r="DK108" s="239" t="s">
        <v>4</v>
      </c>
      <c r="DL108" s="239" t="s">
        <v>4</v>
      </c>
      <c r="DM108" s="239" t="s">
        <v>4</v>
      </c>
      <c r="DN108" s="239" t="s">
        <v>4</v>
      </c>
      <c r="DO108" s="239">
        <v>0.5</v>
      </c>
      <c r="DP108" s="239" t="s">
        <v>2</v>
      </c>
      <c r="DQ108" s="239" t="s">
        <v>29375</v>
      </c>
      <c r="DR108" s="239" t="s">
        <v>4</v>
      </c>
      <c r="DS108" s="239" t="s">
        <v>4</v>
      </c>
      <c r="DT108" s="240" t="s">
        <v>4</v>
      </c>
      <c r="DU108" s="239" t="s">
        <v>29294</v>
      </c>
      <c r="DV108" s="240" t="s">
        <v>4</v>
      </c>
      <c r="DW108" s="239" t="s">
        <v>29508</v>
      </c>
      <c r="DX108" s="239"/>
      <c r="DY108" s="239"/>
      <c r="DZ108" s="239"/>
      <c r="EA108" s="239"/>
      <c r="EB108" s="239"/>
      <c r="EC108" s="239"/>
      <c r="ED108" s="239"/>
      <c r="EE108" s="320">
        <f>Table14[[#This Row],[% Fertilizer]]*$DX108/10000</f>
        <v>0</v>
      </c>
      <c r="EF108" s="320">
        <f>Table14[[#This Row],[% bioslurry used as Insecticide/Pesticide]]*$DX108/10000</f>
        <v>0</v>
      </c>
      <c r="EG108" s="320">
        <f>Table14[[#This Row],[% of Bioslurry used as animal feed]]*$DX108/10000</f>
        <v>0</v>
      </c>
      <c r="EH108" s="320">
        <f>Table14[[#This Row],[% of Bioslurry sold]]*$DX108/10000</f>
        <v>0</v>
      </c>
      <c r="EI108" s="320">
        <f>Table14[[#This Row],[% used other way(if used directly)]]*$DX108/10000</f>
        <v>0</v>
      </c>
      <c r="EJ108" s="239">
        <v>100</v>
      </c>
      <c r="EK108" s="239" t="s">
        <v>29719</v>
      </c>
      <c r="EL108" s="239"/>
      <c r="EM108" s="239"/>
      <c r="EN108" s="239"/>
      <c r="EO108" s="239">
        <f>(Table14[[#This Row],[% Uncovered lagoon greater than 1 meter]]+Table14[[#This Row],[Uncovered lagoon (black watery mass) &lt;1 meter]]+Table14[[#This Row],[% Liquid slurry (brown porridge type)]])*Table14[[#This Row],[% Store it first]]/100</f>
        <v>0</v>
      </c>
      <c r="EP108" s="239"/>
      <c r="EQ108" s="239">
        <v>100</v>
      </c>
      <c r="ER108" s="239"/>
      <c r="ES108" s="239"/>
      <c r="ET108" s="239">
        <f>(Table14[[#This Row],[% Solid storage]]+Table14[[#This Row],[% Sun drying]]+Table14[[#This Row],[% Composting with a roof]]+Table14[[#This Row],[% Composting without a roof]])*Table14[[#This Row],[% Store it first]]/100</f>
        <v>100</v>
      </c>
      <c r="EU108" s="239">
        <v>7</v>
      </c>
      <c r="EV108" s="320">
        <f t="shared" si="2"/>
        <v>1</v>
      </c>
      <c r="EW108" s="320">
        <f t="shared" si="3"/>
        <v>0</v>
      </c>
      <c r="EX108" s="320">
        <f t="shared" si="4"/>
        <v>0</v>
      </c>
      <c r="EY108" s="320">
        <f t="shared" si="5"/>
        <v>0</v>
      </c>
      <c r="EZ108" s="320">
        <f t="shared" si="6"/>
        <v>0</v>
      </c>
      <c r="FA108" s="239"/>
      <c r="FB108" s="239"/>
      <c r="FC108" s="239"/>
      <c r="FD108" s="239">
        <f>Table14[[#This Row],[% I donâ€™t use it / discarded]]+Table14[[#This Row],[% Other (specify)(If you use bioslurry directly)]]+Table14[[#This Row],[% Store it first]]+Table14[[#This Row],[% Use directly for various purposes]]</f>
        <v>100</v>
      </c>
      <c r="FE108" s="239" t="s">
        <v>29296</v>
      </c>
      <c r="FF108" s="239">
        <v>100</v>
      </c>
      <c r="FG108" s="239"/>
      <c r="FH108" s="239"/>
      <c r="FI108" s="239"/>
      <c r="FJ108" s="239"/>
      <c r="FK108" s="239">
        <v>2</v>
      </c>
      <c r="FL108" s="239" t="s">
        <v>7</v>
      </c>
      <c r="FM108" s="239">
        <v>60</v>
      </c>
      <c r="FN108" s="239">
        <f t="shared" si="7"/>
        <v>1.2</v>
      </c>
      <c r="FO108" s="239" t="s">
        <v>29720</v>
      </c>
      <c r="FP108" s="239" t="s">
        <v>29298</v>
      </c>
      <c r="FQ108" s="239" t="s">
        <v>9</v>
      </c>
      <c r="FR108" s="239" t="s">
        <v>2</v>
      </c>
      <c r="FS108" s="239" t="s">
        <v>4</v>
      </c>
      <c r="FT108" s="239" t="s">
        <v>4</v>
      </c>
      <c r="FU108" s="239" t="s">
        <v>2</v>
      </c>
      <c r="FV108" s="239" t="s">
        <v>4</v>
      </c>
      <c r="FW108" s="239" t="s">
        <v>4</v>
      </c>
      <c r="FX108" s="239" t="s">
        <v>4</v>
      </c>
      <c r="FY108" s="239" t="s">
        <v>4</v>
      </c>
      <c r="FZ108" s="239" t="s">
        <v>4</v>
      </c>
      <c r="GA108" s="239" t="s">
        <v>4</v>
      </c>
      <c r="GB108" s="240" t="s">
        <v>4</v>
      </c>
      <c r="GC108" s="239" t="s">
        <v>4</v>
      </c>
      <c r="GD108" s="239" t="s">
        <v>7</v>
      </c>
      <c r="GE108" s="239" t="s">
        <v>29301</v>
      </c>
      <c r="GF108" s="239" t="s">
        <v>4</v>
      </c>
      <c r="GG108" s="239" t="s">
        <v>7</v>
      </c>
      <c r="GH108" s="239" t="s">
        <v>7</v>
      </c>
      <c r="GI108" s="239" t="s">
        <v>29302</v>
      </c>
      <c r="GJ108" s="239" t="s">
        <v>29721</v>
      </c>
      <c r="GK108" s="239" t="s">
        <v>29433</v>
      </c>
      <c r="GL108" s="239">
        <v>0</v>
      </c>
      <c r="GM108" s="239"/>
      <c r="GN108" s="239" t="s">
        <v>4</v>
      </c>
      <c r="GO108" s="239" t="s">
        <v>4</v>
      </c>
      <c r="GP108" s="239" t="s">
        <v>4</v>
      </c>
      <c r="GQ108" s="239" t="s">
        <v>4</v>
      </c>
      <c r="GR108" s="239" t="s">
        <v>4</v>
      </c>
      <c r="GS108" s="239" t="s">
        <v>4</v>
      </c>
      <c r="GT108" s="239" t="s">
        <v>4</v>
      </c>
      <c r="GU108" s="239" t="s">
        <v>13</v>
      </c>
      <c r="GV108" s="239" t="s">
        <v>29722</v>
      </c>
      <c r="GW108" s="239" t="s">
        <v>4</v>
      </c>
      <c r="GX108" s="239" t="s">
        <v>4</v>
      </c>
      <c r="GY108" s="239" t="s">
        <v>4</v>
      </c>
      <c r="GZ108" s="239" t="s">
        <v>4</v>
      </c>
      <c r="HA108" s="239" t="s">
        <v>4</v>
      </c>
      <c r="HB108" s="239" t="s">
        <v>4</v>
      </c>
      <c r="HC108" s="239" t="s">
        <v>4</v>
      </c>
      <c r="HD108" s="239" t="s">
        <v>4</v>
      </c>
      <c r="HE108" s="239" t="s">
        <v>4</v>
      </c>
      <c r="HF108" s="239" t="s">
        <v>4</v>
      </c>
      <c r="HG108" s="239" t="s">
        <v>4</v>
      </c>
      <c r="HH108" s="239" t="s">
        <v>29354</v>
      </c>
      <c r="HI108" s="239" t="s">
        <v>4</v>
      </c>
      <c r="HJ108" s="240">
        <v>500</v>
      </c>
      <c r="HK108" s="239" t="s">
        <v>2</v>
      </c>
      <c r="HL108" s="239" t="s">
        <v>29309</v>
      </c>
      <c r="HM108" s="239" t="s">
        <v>4</v>
      </c>
      <c r="HN108" s="239" t="s">
        <v>4</v>
      </c>
      <c r="HO108" s="239" t="s">
        <v>4</v>
      </c>
      <c r="HP108" s="239" t="s">
        <v>4</v>
      </c>
      <c r="HQ108" s="239" t="s">
        <v>4</v>
      </c>
      <c r="HR108" s="239" t="s">
        <v>4</v>
      </c>
      <c r="HS108" s="239" t="s">
        <v>4</v>
      </c>
      <c r="HT108" s="239" t="s">
        <v>4</v>
      </c>
      <c r="HU108" s="239" t="s">
        <v>2</v>
      </c>
      <c r="HV108" s="239" t="s">
        <v>4</v>
      </c>
      <c r="HW108" s="239" t="s">
        <v>4</v>
      </c>
      <c r="HX108" s="239" t="s">
        <v>4</v>
      </c>
      <c r="HY108" s="239" t="s">
        <v>4</v>
      </c>
      <c r="HZ108" s="239" t="s">
        <v>29723</v>
      </c>
      <c r="IA108" s="239" t="s">
        <v>7</v>
      </c>
      <c r="IB108" s="239" t="s">
        <v>29724</v>
      </c>
      <c r="IC108" s="239" t="s">
        <v>29725</v>
      </c>
      <c r="ID108" s="239" t="s">
        <v>29726</v>
      </c>
      <c r="IE108" s="239" t="s">
        <v>29727</v>
      </c>
      <c r="IF108" s="239" t="s">
        <v>29728</v>
      </c>
      <c r="IG108" s="239" t="s">
        <v>29729</v>
      </c>
      <c r="IH108" s="239" t="s">
        <v>29716</v>
      </c>
    </row>
    <row r="109" spans="1:242" s="1" customFormat="1" ht="36.75" customHeight="1" x14ac:dyDescent="0.2">
      <c r="A109" s="239">
        <v>1</v>
      </c>
      <c r="B109" s="239" t="s">
        <v>17544</v>
      </c>
      <c r="C109" s="239" t="s">
        <v>29285</v>
      </c>
      <c r="D109" s="239" t="s">
        <v>29286</v>
      </c>
      <c r="E109" s="239" t="s">
        <v>7</v>
      </c>
      <c r="F109" s="239" t="s">
        <v>29287</v>
      </c>
      <c r="G109" s="239">
        <v>1902.376</v>
      </c>
      <c r="H109" s="239">
        <v>2.1672060000000002</v>
      </c>
      <c r="I109" s="239" t="s">
        <v>29288</v>
      </c>
      <c r="J109" s="239" t="s">
        <v>4</v>
      </c>
      <c r="K109" s="239" t="s">
        <v>29289</v>
      </c>
      <c r="L109" s="239">
        <v>779520029</v>
      </c>
      <c r="M109" s="239" t="s">
        <v>3</v>
      </c>
      <c r="N109" s="239" t="s">
        <v>31438</v>
      </c>
      <c r="O109" s="239">
        <v>47</v>
      </c>
      <c r="P109" s="239">
        <v>9</v>
      </c>
      <c r="Q109" s="239" t="s">
        <v>7</v>
      </c>
      <c r="R109" s="239" t="s">
        <v>31535</v>
      </c>
      <c r="S109" s="239" t="s">
        <v>4</v>
      </c>
      <c r="T109" s="239" t="s">
        <v>7</v>
      </c>
      <c r="U109" s="239" t="s">
        <v>7</v>
      </c>
      <c r="V109" s="239"/>
      <c r="W109" s="239" t="s">
        <v>7</v>
      </c>
      <c r="X109" s="239" t="s">
        <v>4</v>
      </c>
      <c r="Y109" s="239" t="s">
        <v>4</v>
      </c>
      <c r="Z109" s="241" t="str">
        <f>IF(OR(T109="yes",Y109&gt;'SDG outcome'!$C$27),"yes","no")</f>
        <v>yes</v>
      </c>
      <c r="AA109" s="243">
        <f t="shared" si="1"/>
        <v>0</v>
      </c>
      <c r="AB109" s="243" t="str">
        <f>IF(AND(Z109="no",AND(Y109&gt;='SDG outcome'!$B$16,Y109&lt;'SDG outcome'!$C$27)),Y109-'SDG outcome'!$B$16,"")</f>
        <v/>
      </c>
      <c r="AC109" s="239" t="s">
        <v>4</v>
      </c>
      <c r="AD109" s="239" t="s">
        <v>4</v>
      </c>
      <c r="AE109" s="239" t="s">
        <v>4</v>
      </c>
      <c r="AF109" s="239" t="s">
        <v>4</v>
      </c>
      <c r="AG109" s="239" t="s">
        <v>4</v>
      </c>
      <c r="AH109" s="239" t="s">
        <v>4</v>
      </c>
      <c r="AI109" s="239" t="s">
        <v>4</v>
      </c>
      <c r="AJ109" s="239" t="s">
        <v>29290</v>
      </c>
      <c r="AK109" s="239" t="s">
        <v>29291</v>
      </c>
      <c r="AL109" s="239" t="s">
        <v>4</v>
      </c>
      <c r="AM109" s="239" t="s">
        <v>4</v>
      </c>
      <c r="AN109" s="239" t="s">
        <v>31536</v>
      </c>
      <c r="AO109" s="239" t="s">
        <v>4</v>
      </c>
      <c r="AP109" s="239" t="s">
        <v>31537</v>
      </c>
      <c r="AQ109" s="239" t="s">
        <v>4</v>
      </c>
      <c r="AR109" s="239" t="s">
        <v>31538</v>
      </c>
      <c r="AS109" s="239" t="s">
        <v>4</v>
      </c>
      <c r="AT109" s="239" t="s">
        <v>7</v>
      </c>
      <c r="AU109" s="239" t="s">
        <v>4</v>
      </c>
      <c r="AV109" s="239" t="s">
        <v>4</v>
      </c>
      <c r="AW109" s="239" t="s">
        <v>31539</v>
      </c>
      <c r="AX109" s="239" t="s">
        <v>4</v>
      </c>
      <c r="AY109" s="239" t="s">
        <v>4</v>
      </c>
      <c r="AZ109" s="239" t="s">
        <v>2</v>
      </c>
      <c r="BA109" s="239" t="s">
        <v>4</v>
      </c>
      <c r="BB109" s="239" t="s">
        <v>4</v>
      </c>
      <c r="BC109" s="239" t="s">
        <v>31540</v>
      </c>
      <c r="BD109" s="239" t="s">
        <v>31541</v>
      </c>
      <c r="BE109" s="239" t="s">
        <v>4</v>
      </c>
      <c r="BF109" s="239" t="s">
        <v>14</v>
      </c>
      <c r="BG109" s="239" t="s">
        <v>4</v>
      </c>
      <c r="BH109" s="239" t="s">
        <v>31542</v>
      </c>
      <c r="BI109" s="239" t="s">
        <v>31543</v>
      </c>
      <c r="BJ109" s="239" t="s">
        <v>31544</v>
      </c>
      <c r="BK109" s="239">
        <v>2</v>
      </c>
      <c r="BL109" s="239">
        <v>300</v>
      </c>
      <c r="BM109" s="239" t="s">
        <v>7</v>
      </c>
      <c r="BN109" s="239" t="s">
        <v>6</v>
      </c>
      <c r="BO109" s="239" t="s">
        <v>4</v>
      </c>
      <c r="BP109" s="239" t="s">
        <v>31425</v>
      </c>
      <c r="BQ109" s="239">
        <v>1</v>
      </c>
      <c r="BR109" s="239">
        <v>30</v>
      </c>
      <c r="BS109" s="239" t="s">
        <v>31434</v>
      </c>
      <c r="BT109" s="239"/>
      <c r="BU109" s="239">
        <v>2</v>
      </c>
      <c r="BV109" s="239" cm="1">
        <f t="array" ref="BV109">_xlfn.IFS(BS109="Foreword vehicle",BU109*0,BS109="Human wastes",BU109*0,BS109="Jerrycans",BU109*$BV$228,BS109="Number of Basins",BU109*$BV$229,BS109="Number of Buckets",BU109*$CA$226,BS109="Number of Kgs",BU109*$CA$227,BS109="Number of spades",BU109*$CA$228,BS109="Number of wheelbarrows",BU109*$CA$229,BT109="Foreword vehicle",BU109*0,BT109="Human wastes",BU109*0,BT109="Jerrycans",BU109*$BV$228,Table14[[#This Row],[Number of metric Selected from previous question]]="NA","")</f>
        <v>32</v>
      </c>
      <c r="BW109" s="239">
        <f>IF(BV109="","",Table14[[#This Row],[Calculation: Conversion of metric to Kg manure feeding (Columns: BP, BQ, BR)]]*Table14[[#This Row],[Number of times used to feed biodigester]])</f>
        <v>32</v>
      </c>
      <c r="BX109" s="239" cm="1">
        <f t="array" ref="BX109">_xlfn.IFS(BP109="Number of times per day (1 to 3)",BW109/$BX$226,BP109="Number of times per week (1 to 6)",BW109/$BX$227,BP109="Number of times per Month (1 to 3)",BW109/$BX$228,BW109="","")</f>
        <v>32</v>
      </c>
      <c r="BY109" s="239" t="s">
        <v>31541</v>
      </c>
      <c r="BZ109" s="239" t="s">
        <v>4</v>
      </c>
      <c r="CA109" s="239" t="s">
        <v>2</v>
      </c>
      <c r="CB109" s="239" t="s">
        <v>4</v>
      </c>
      <c r="CC109" s="239" t="s">
        <v>4</v>
      </c>
      <c r="CD109" s="239" t="s">
        <v>4</v>
      </c>
      <c r="CE109" s="239" t="s">
        <v>7</v>
      </c>
      <c r="CF109" s="239" t="s">
        <v>31545</v>
      </c>
      <c r="CG109" s="239" t="s">
        <v>4</v>
      </c>
      <c r="CH109" s="239" t="s">
        <v>31546</v>
      </c>
      <c r="CI109" s="239">
        <v>0</v>
      </c>
      <c r="CJ109" s="239">
        <v>2</v>
      </c>
      <c r="CK109" s="239">
        <v>0</v>
      </c>
      <c r="CL109" s="239">
        <v>0</v>
      </c>
      <c r="CM109" s="239">
        <v>3</v>
      </c>
      <c r="CN109" s="239">
        <v>7</v>
      </c>
      <c r="CO109" s="239">
        <v>2</v>
      </c>
      <c r="CP109" s="239">
        <v>120</v>
      </c>
      <c r="CQ109" s="239">
        <v>4</v>
      </c>
      <c r="CR109" s="239">
        <v>32</v>
      </c>
      <c r="CS109" s="239">
        <f>CP109/'SDG outcome'!$C$9*CQ109*CR109</f>
        <v>44.26512968299712</v>
      </c>
      <c r="CT109" s="239" t="s">
        <v>4</v>
      </c>
      <c r="CU109" s="239" t="s">
        <v>4</v>
      </c>
      <c r="CV109" s="239" t="s">
        <v>4</v>
      </c>
      <c r="CW109" s="239">
        <v>100</v>
      </c>
      <c r="CX109" s="239">
        <v>0</v>
      </c>
      <c r="CY109" s="239" t="s">
        <v>4</v>
      </c>
      <c r="CZ109" s="239">
        <v>0</v>
      </c>
      <c r="DA109" s="239">
        <v>100</v>
      </c>
      <c r="DB109" s="239" t="s">
        <v>9</v>
      </c>
      <c r="DC109" s="239" t="s">
        <v>4</v>
      </c>
      <c r="DD109" s="239" t="s">
        <v>4</v>
      </c>
      <c r="DE109" s="239" t="s">
        <v>4</v>
      </c>
      <c r="DF109" s="239">
        <v>0</v>
      </c>
      <c r="DG109" s="239">
        <v>100</v>
      </c>
      <c r="DH109" s="239" t="s">
        <v>31547</v>
      </c>
      <c r="DI109" s="239" t="s">
        <v>4</v>
      </c>
      <c r="DJ109" s="239" t="s">
        <v>4</v>
      </c>
      <c r="DK109" s="239" t="s">
        <v>4</v>
      </c>
      <c r="DL109" s="239">
        <v>0</v>
      </c>
      <c r="DM109" s="239">
        <v>100</v>
      </c>
      <c r="DN109" s="239" t="s">
        <v>31548</v>
      </c>
      <c r="DO109" s="239">
        <v>3</v>
      </c>
      <c r="DP109" s="239" t="s">
        <v>2</v>
      </c>
      <c r="DQ109" s="239" t="s">
        <v>29292</v>
      </c>
      <c r="DR109" s="239" t="s">
        <v>4</v>
      </c>
      <c r="DS109" s="239" t="s">
        <v>29293</v>
      </c>
      <c r="DT109" s="240">
        <v>60000</v>
      </c>
      <c r="DU109" s="239" t="s">
        <v>29294</v>
      </c>
      <c r="DV109" s="240" t="s">
        <v>4</v>
      </c>
      <c r="DW109" s="239" t="s">
        <v>29295</v>
      </c>
      <c r="DX109" s="239">
        <v>100</v>
      </c>
      <c r="DY109" s="239" t="s">
        <v>29296</v>
      </c>
      <c r="DZ109" s="239">
        <v>100</v>
      </c>
      <c r="EA109" s="239"/>
      <c r="EB109" s="239"/>
      <c r="EC109" s="239"/>
      <c r="ED109" s="239"/>
      <c r="EE109" s="320">
        <f>Table14[[#This Row],[% Fertilizer]]*$DX109/10000</f>
        <v>1</v>
      </c>
      <c r="EF109" s="320">
        <f>Table14[[#This Row],[% bioslurry used as Insecticide/Pesticide]]*$DX109/10000</f>
        <v>0</v>
      </c>
      <c r="EG109" s="320">
        <f>Table14[[#This Row],[% of Bioslurry used as animal feed]]*$DX109/10000</f>
        <v>0</v>
      </c>
      <c r="EH109" s="320">
        <f>Table14[[#This Row],[% of Bioslurry sold]]*$DX109/10000</f>
        <v>0</v>
      </c>
      <c r="EI109" s="320">
        <f>Table14[[#This Row],[% used other way(if used directly)]]*$DX109/10000</f>
        <v>0</v>
      </c>
      <c r="EJ109" s="239"/>
      <c r="EK109" s="239"/>
      <c r="EL109" s="239"/>
      <c r="EM109" s="239"/>
      <c r="EN109" s="239"/>
      <c r="EO109" s="239">
        <f>(Table14[[#This Row],[% Uncovered lagoon greater than 1 meter]]+Table14[[#This Row],[Uncovered lagoon (black watery mass) &lt;1 meter]]+Table14[[#This Row],[% Liquid slurry (brown porridge type)]])*Table14[[#This Row],[% Store it first]]/100</f>
        <v>0</v>
      </c>
      <c r="EP109" s="239"/>
      <c r="EQ109" s="239"/>
      <c r="ER109" s="239"/>
      <c r="ES109" s="239"/>
      <c r="ET109" s="239">
        <f>(Table14[[#This Row],[% Solid storage]]+Table14[[#This Row],[% Sun drying]]+Table14[[#This Row],[% Composting with a roof]]+Table14[[#This Row],[% Composting without a roof]])*Table14[[#This Row],[% Store it first]]/100</f>
        <v>0</v>
      </c>
      <c r="EU109" s="239"/>
      <c r="EV109" s="320">
        <f t="shared" si="2"/>
        <v>0</v>
      </c>
      <c r="EW109" s="320">
        <f t="shared" si="3"/>
        <v>0</v>
      </c>
      <c r="EX109" s="320">
        <f t="shared" si="4"/>
        <v>0</v>
      </c>
      <c r="EY109" s="320">
        <f t="shared" si="5"/>
        <v>0</v>
      </c>
      <c r="EZ109" s="320">
        <f t="shared" si="6"/>
        <v>0</v>
      </c>
      <c r="FA109" s="239"/>
      <c r="FB109" s="239"/>
      <c r="FC109" s="239"/>
      <c r="FD109" s="239">
        <f>Table14[[#This Row],[% I donâ€™t use it / discarded]]+Table14[[#This Row],[% Other (specify)(If you use bioslurry directly)]]+Table14[[#This Row],[% Store it first]]+Table14[[#This Row],[% Use directly for various purposes]]</f>
        <v>100</v>
      </c>
      <c r="FE109" s="239" t="s">
        <v>4</v>
      </c>
      <c r="FF109" s="239"/>
      <c r="FG109" s="239"/>
      <c r="FH109" s="239"/>
      <c r="FI109" s="239"/>
      <c r="FJ109" s="239"/>
      <c r="FK109" s="239">
        <v>3</v>
      </c>
      <c r="FL109" s="239" t="s">
        <v>7</v>
      </c>
      <c r="FM109" s="239">
        <v>80</v>
      </c>
      <c r="FN109" s="239">
        <f t="shared" si="7"/>
        <v>2.4</v>
      </c>
      <c r="FO109" s="239" t="s">
        <v>29297</v>
      </c>
      <c r="FP109" s="239" t="s">
        <v>29298</v>
      </c>
      <c r="FQ109" s="239">
        <v>22</v>
      </c>
      <c r="FR109" s="239" t="s">
        <v>7</v>
      </c>
      <c r="FS109" s="239" t="s">
        <v>29299</v>
      </c>
      <c r="FT109" s="239" t="s">
        <v>4</v>
      </c>
      <c r="FU109" s="239" t="s">
        <v>7</v>
      </c>
      <c r="FV109" s="239" t="s">
        <v>29299</v>
      </c>
      <c r="FW109" s="239" t="s">
        <v>4</v>
      </c>
      <c r="FX109" s="239" t="s">
        <v>29300</v>
      </c>
      <c r="FY109" s="239" t="s">
        <v>4</v>
      </c>
      <c r="FZ109" s="239" t="s">
        <v>4</v>
      </c>
      <c r="GA109" s="239" t="s">
        <v>4</v>
      </c>
      <c r="GB109" s="240" t="s">
        <v>4</v>
      </c>
      <c r="GC109" s="239" t="s">
        <v>4</v>
      </c>
      <c r="GD109" s="239" t="s">
        <v>7</v>
      </c>
      <c r="GE109" s="239" t="s">
        <v>29301</v>
      </c>
      <c r="GF109" s="239" t="s">
        <v>4</v>
      </c>
      <c r="GG109" s="239" t="s">
        <v>7</v>
      </c>
      <c r="GH109" s="239" t="s">
        <v>7</v>
      </c>
      <c r="GI109" s="239" t="s">
        <v>29302</v>
      </c>
      <c r="GJ109" s="239" t="s">
        <v>29303</v>
      </c>
      <c r="GK109" s="239" t="s">
        <v>29304</v>
      </c>
      <c r="GL109" s="239">
        <v>4</v>
      </c>
      <c r="GM109" s="239" t="s">
        <v>29305</v>
      </c>
      <c r="GN109" s="239" t="s">
        <v>29306</v>
      </c>
      <c r="GO109" s="239" t="s">
        <v>4</v>
      </c>
      <c r="GP109" s="239" t="s">
        <v>4</v>
      </c>
      <c r="GQ109" s="239" t="s">
        <v>4</v>
      </c>
      <c r="GR109" s="239" t="s">
        <v>4</v>
      </c>
      <c r="GS109" s="239" t="s">
        <v>4</v>
      </c>
      <c r="GT109" s="239" t="s">
        <v>4</v>
      </c>
      <c r="GU109" s="239" t="s">
        <v>4</v>
      </c>
      <c r="GV109" s="239" t="s">
        <v>4</v>
      </c>
      <c r="GW109" s="239" t="s">
        <v>4</v>
      </c>
      <c r="GX109" s="239" t="s">
        <v>4</v>
      </c>
      <c r="GY109" s="239" t="s">
        <v>4</v>
      </c>
      <c r="GZ109" s="239" t="s">
        <v>4</v>
      </c>
      <c r="HA109" s="239" t="s">
        <v>4</v>
      </c>
      <c r="HB109" s="239" t="s">
        <v>4</v>
      </c>
      <c r="HC109" s="239" t="s">
        <v>4</v>
      </c>
      <c r="HD109" s="239" t="s">
        <v>4</v>
      </c>
      <c r="HE109" s="239" t="s">
        <v>4</v>
      </c>
      <c r="HF109" s="239" t="s">
        <v>4</v>
      </c>
      <c r="HG109" s="239" t="s">
        <v>4</v>
      </c>
      <c r="HH109" s="239" t="s">
        <v>29307</v>
      </c>
      <c r="HI109" s="239" t="s">
        <v>29308</v>
      </c>
      <c r="HJ109" s="240">
        <v>0</v>
      </c>
      <c r="HK109" s="239" t="s">
        <v>7</v>
      </c>
      <c r="HL109" s="239" t="s">
        <v>29309</v>
      </c>
      <c r="HM109" s="239" t="s">
        <v>4</v>
      </c>
      <c r="HN109" s="239" t="s">
        <v>4</v>
      </c>
      <c r="HO109" s="239" t="s">
        <v>4</v>
      </c>
      <c r="HP109" s="239" t="s">
        <v>4</v>
      </c>
      <c r="HQ109" s="239" t="s">
        <v>4</v>
      </c>
      <c r="HR109" s="239" t="s">
        <v>4</v>
      </c>
      <c r="HS109" s="239" t="s">
        <v>4</v>
      </c>
      <c r="HT109" s="239" t="s">
        <v>4</v>
      </c>
      <c r="HU109" s="239" t="s">
        <v>2</v>
      </c>
      <c r="HV109" s="239" t="s">
        <v>4</v>
      </c>
      <c r="HW109" s="239" t="s">
        <v>4</v>
      </c>
      <c r="HX109" s="239" t="s">
        <v>4</v>
      </c>
      <c r="HY109" s="239" t="s">
        <v>4</v>
      </c>
      <c r="HZ109" s="239" t="s">
        <v>29310</v>
      </c>
      <c r="IA109" s="239" t="s">
        <v>7</v>
      </c>
      <c r="IB109" s="239" t="s">
        <v>29311</v>
      </c>
      <c r="IC109" s="239" t="s">
        <v>29312</v>
      </c>
      <c r="ID109" s="239" t="s">
        <v>29313</v>
      </c>
      <c r="IE109" s="239" t="s">
        <v>29314</v>
      </c>
      <c r="IF109" s="239" t="s">
        <v>29315</v>
      </c>
      <c r="IG109" s="239" t="s">
        <v>29316</v>
      </c>
      <c r="IH109" s="239" t="s">
        <v>29285</v>
      </c>
    </row>
    <row r="110" spans="1:242" s="1" customFormat="1" ht="36.75" customHeight="1" x14ac:dyDescent="0.2">
      <c r="A110" s="239">
        <v>68</v>
      </c>
      <c r="B110" s="239" t="s">
        <v>5804</v>
      </c>
      <c r="C110" s="239" t="s">
        <v>30061</v>
      </c>
      <c r="D110" s="239" t="s">
        <v>30002</v>
      </c>
      <c r="E110" s="239" t="s">
        <v>7</v>
      </c>
      <c r="F110" s="239" t="s">
        <v>30062</v>
      </c>
      <c r="G110" s="239">
        <v>1220</v>
      </c>
      <c r="H110" s="239">
        <v>4.9000000000000004</v>
      </c>
      <c r="I110" s="239" t="s">
        <v>29319</v>
      </c>
      <c r="J110" s="239" t="s">
        <v>4</v>
      </c>
      <c r="K110" s="239" t="s">
        <v>5805</v>
      </c>
      <c r="L110" s="239">
        <v>772479001</v>
      </c>
      <c r="M110" s="239" t="s">
        <v>5</v>
      </c>
      <c r="N110" s="239" t="s">
        <v>31438</v>
      </c>
      <c r="O110" s="239">
        <v>65</v>
      </c>
      <c r="P110" s="239">
        <v>3</v>
      </c>
      <c r="Q110" s="239" t="s">
        <v>7</v>
      </c>
      <c r="R110" s="239" t="s">
        <v>31549</v>
      </c>
      <c r="S110" s="239" t="s">
        <v>4</v>
      </c>
      <c r="T110" s="239" t="s">
        <v>7</v>
      </c>
      <c r="U110" s="239" t="s">
        <v>7</v>
      </c>
      <c r="V110" s="239"/>
      <c r="W110" s="239" t="s">
        <v>7</v>
      </c>
      <c r="X110" s="239" t="s">
        <v>4</v>
      </c>
      <c r="Y110" s="239" t="s">
        <v>4</v>
      </c>
      <c r="Z110" s="241" t="str">
        <f>IF(OR(T110="yes",Y110&gt;'SDG outcome'!$C$27),"yes","no")</f>
        <v>yes</v>
      </c>
      <c r="AA110" s="243">
        <f t="shared" si="1"/>
        <v>0</v>
      </c>
      <c r="AB110" s="243" t="str">
        <f>IF(AND(Z110="no",AND(Y110&gt;='SDG outcome'!$B$16,Y110&lt;'SDG outcome'!$C$27)),Y110-'SDG outcome'!$B$16,"")</f>
        <v/>
      </c>
      <c r="AC110" s="239" t="s">
        <v>4</v>
      </c>
      <c r="AD110" s="239" t="s">
        <v>4</v>
      </c>
      <c r="AE110" s="239" t="s">
        <v>4</v>
      </c>
      <c r="AF110" s="239" t="s">
        <v>4</v>
      </c>
      <c r="AG110" s="239" t="s">
        <v>4</v>
      </c>
      <c r="AH110" s="239" t="s">
        <v>4</v>
      </c>
      <c r="AI110" s="239" t="s">
        <v>4</v>
      </c>
      <c r="AJ110" s="239" t="s">
        <v>29290</v>
      </c>
      <c r="AK110" s="239" t="s">
        <v>29291</v>
      </c>
      <c r="AL110" s="239" t="s">
        <v>4</v>
      </c>
      <c r="AM110" s="239" t="s">
        <v>4</v>
      </c>
      <c r="AN110" s="239" t="s">
        <v>31536</v>
      </c>
      <c r="AO110" s="239" t="s">
        <v>4</v>
      </c>
      <c r="AP110" s="239" t="s">
        <v>31537</v>
      </c>
      <c r="AQ110" s="239" t="s">
        <v>4</v>
      </c>
      <c r="AR110" s="239" t="s">
        <v>31538</v>
      </c>
      <c r="AS110" s="239" t="s">
        <v>4</v>
      </c>
      <c r="AT110" s="239" t="s">
        <v>7</v>
      </c>
      <c r="AU110" s="239" t="s">
        <v>4</v>
      </c>
      <c r="AV110" s="239" t="s">
        <v>4</v>
      </c>
      <c r="AW110" s="239" t="s">
        <v>31550</v>
      </c>
      <c r="AX110" s="239" t="s">
        <v>4</v>
      </c>
      <c r="AY110" s="239" t="s">
        <v>4</v>
      </c>
      <c r="AZ110" s="239" t="s">
        <v>2</v>
      </c>
      <c r="BA110" s="239" t="s">
        <v>4</v>
      </c>
      <c r="BB110" s="239" t="s">
        <v>4</v>
      </c>
      <c r="BC110" s="239" t="s">
        <v>4</v>
      </c>
      <c r="BD110" s="239" t="s">
        <v>4</v>
      </c>
      <c r="BE110" s="239" t="s">
        <v>4</v>
      </c>
      <c r="BF110" s="239" t="s">
        <v>4</v>
      </c>
      <c r="BG110" s="239" t="s">
        <v>4</v>
      </c>
      <c r="BH110" s="239" t="s">
        <v>4</v>
      </c>
      <c r="BI110" s="239" t="s">
        <v>4</v>
      </c>
      <c r="BJ110" s="239" t="s">
        <v>4</v>
      </c>
      <c r="BK110" s="239" t="s">
        <v>4</v>
      </c>
      <c r="BL110" s="239" t="s">
        <v>4</v>
      </c>
      <c r="BM110" s="239" t="s">
        <v>7</v>
      </c>
      <c r="BN110" s="239" t="s">
        <v>6</v>
      </c>
      <c r="BO110" s="239" t="s">
        <v>4</v>
      </c>
      <c r="BP110" s="239" t="s">
        <v>31429</v>
      </c>
      <c r="BQ110" s="239">
        <v>2</v>
      </c>
      <c r="BR110" s="239">
        <v>90</v>
      </c>
      <c r="BS110" s="239" t="s">
        <v>31433</v>
      </c>
      <c r="BT110" s="239"/>
      <c r="BU110" s="239">
        <v>20</v>
      </c>
      <c r="BV110" s="239" cm="1">
        <f t="array" ref="BV110">_xlfn.IFS(BS110="Foreword vehicle",BU110*0,BS110="Human wastes",BU110*0,BS110="Jerrycans",BU110*$BV$228,BS110="Number of Basins",BU110*$BV$229,BS110="Number of Buckets",BU110*$CA$226,BS110="Number of Kgs",BU110*$CA$227,BS110="Number of spades",BU110*$CA$228,BS110="Number of wheelbarrows",BU110*$CA$229,BT110="Foreword vehicle",BU110*0,BT110="Human wastes",BU110*0,BT110="Jerrycans",BU110*$BV$228,BS110="","")</f>
        <v>60</v>
      </c>
      <c r="BW110" s="239">
        <f>IF(BV110="","",Table14[[#This Row],[Calculation: Conversion of metric to Kg manure feeding (Columns: BP, BQ, BR)]]*Table14[[#This Row],[Number of times used to feed biodigester]])</f>
        <v>120</v>
      </c>
      <c r="BX110" s="239" cm="1">
        <f t="array" ref="BX110">_xlfn.IFS(BP110="Number of times per day (1 to 3)",BW110/$BX$226,BP110="Number of times per week (1 to 6)",BW110/$BX$227,BP110="Number of times per Month (1 to 3)",BW110/$BX$228,BW110="","")</f>
        <v>17.142857142857142</v>
      </c>
      <c r="BY110" s="239" t="s">
        <v>31552</v>
      </c>
      <c r="BZ110" s="239" t="s">
        <v>4</v>
      </c>
      <c r="CA110" s="239" t="s">
        <v>7</v>
      </c>
      <c r="CB110" s="239" t="s">
        <v>31721</v>
      </c>
      <c r="CC110" s="239" t="s">
        <v>4</v>
      </c>
      <c r="CD110" s="239" t="s">
        <v>31722</v>
      </c>
      <c r="CE110" s="239" t="s">
        <v>7</v>
      </c>
      <c r="CF110" s="239" t="s">
        <v>31723</v>
      </c>
      <c r="CG110" s="239" t="s">
        <v>4</v>
      </c>
      <c r="CH110" s="239" t="s">
        <v>31724</v>
      </c>
      <c r="CI110" s="239">
        <v>0</v>
      </c>
      <c r="CJ110" s="239">
        <v>2</v>
      </c>
      <c r="CK110" s="239">
        <v>0</v>
      </c>
      <c r="CL110" s="239">
        <v>0</v>
      </c>
      <c r="CM110" s="239">
        <v>0</v>
      </c>
      <c r="CN110" s="239">
        <v>7</v>
      </c>
      <c r="CO110" s="239">
        <v>0</v>
      </c>
      <c r="CP110" s="239">
        <v>0</v>
      </c>
      <c r="CQ110" s="239">
        <v>0</v>
      </c>
      <c r="CR110" s="239">
        <v>0</v>
      </c>
      <c r="CS110" s="239">
        <f>CP110/'SDG outcome'!$C$9*CQ110*CR110</f>
        <v>0</v>
      </c>
      <c r="CT110" s="239" t="s">
        <v>4</v>
      </c>
      <c r="CU110" s="239" t="s">
        <v>4</v>
      </c>
      <c r="CV110" s="239" t="s">
        <v>4</v>
      </c>
      <c r="CW110" s="239">
        <v>100</v>
      </c>
      <c r="CX110" s="239">
        <v>0</v>
      </c>
      <c r="CY110" s="239" t="s">
        <v>4</v>
      </c>
      <c r="CZ110" s="239" t="s">
        <v>4</v>
      </c>
      <c r="DA110" s="239" t="s">
        <v>4</v>
      </c>
      <c r="DB110" s="239" t="s">
        <v>4</v>
      </c>
      <c r="DC110" s="239" t="s">
        <v>4</v>
      </c>
      <c r="DD110" s="239" t="s">
        <v>4</v>
      </c>
      <c r="DE110" s="239" t="s">
        <v>4</v>
      </c>
      <c r="DF110" s="239">
        <v>0</v>
      </c>
      <c r="DG110" s="239">
        <v>100</v>
      </c>
      <c r="DH110" s="239" t="s">
        <v>31725</v>
      </c>
      <c r="DI110" s="239" t="s">
        <v>4</v>
      </c>
      <c r="DJ110" s="239" t="s">
        <v>4</v>
      </c>
      <c r="DK110" s="239" t="s">
        <v>4</v>
      </c>
      <c r="DL110" s="239" t="s">
        <v>4</v>
      </c>
      <c r="DM110" s="239" t="s">
        <v>4</v>
      </c>
      <c r="DN110" s="239" t="s">
        <v>4</v>
      </c>
      <c r="DO110" s="239">
        <v>3</v>
      </c>
      <c r="DP110" s="239" t="s">
        <v>2</v>
      </c>
      <c r="DQ110" s="239" t="s">
        <v>29292</v>
      </c>
      <c r="DR110" s="239" t="s">
        <v>4</v>
      </c>
      <c r="DS110" s="239" t="s">
        <v>29294</v>
      </c>
      <c r="DT110" s="240" t="s">
        <v>4</v>
      </c>
      <c r="DU110" s="239" t="s">
        <v>29294</v>
      </c>
      <c r="DV110" s="240" t="s">
        <v>4</v>
      </c>
      <c r="DW110" s="239" t="s">
        <v>29295</v>
      </c>
      <c r="DX110" s="239">
        <v>100</v>
      </c>
      <c r="DY110" s="239" t="s">
        <v>30063</v>
      </c>
      <c r="DZ110" s="239">
        <v>40</v>
      </c>
      <c r="EA110" s="239"/>
      <c r="EB110" s="239"/>
      <c r="EC110" s="239">
        <v>60</v>
      </c>
      <c r="ED110" s="239"/>
      <c r="EE110" s="320">
        <f>Table14[[#This Row],[% Fertilizer]]*$DX110/10000</f>
        <v>0.4</v>
      </c>
      <c r="EF110" s="320">
        <f>Table14[[#This Row],[% bioslurry used as Insecticide/Pesticide]]*$DX110/10000</f>
        <v>0</v>
      </c>
      <c r="EG110" s="320">
        <f>Table14[[#This Row],[% of Bioslurry used as animal feed]]*$DX110/10000</f>
        <v>0</v>
      </c>
      <c r="EH110" s="320">
        <f>Table14[[#This Row],[% of Bioslurry sold]]*$DX110/10000</f>
        <v>0.6</v>
      </c>
      <c r="EI110" s="320">
        <f>Table14[[#This Row],[% used other way(if used directly)]]*$DX110/10000</f>
        <v>0</v>
      </c>
      <c r="EJ110" s="239"/>
      <c r="EK110" s="239"/>
      <c r="EL110" s="239"/>
      <c r="EM110" s="239"/>
      <c r="EN110" s="239"/>
      <c r="EO110" s="239">
        <f>(Table14[[#This Row],[% Uncovered lagoon greater than 1 meter]]+Table14[[#This Row],[Uncovered lagoon (black watery mass) &lt;1 meter]]+Table14[[#This Row],[% Liquid slurry (brown porridge type)]])*Table14[[#This Row],[% Store it first]]/100</f>
        <v>0</v>
      </c>
      <c r="EP110" s="239"/>
      <c r="EQ110" s="239"/>
      <c r="ER110" s="239"/>
      <c r="ES110" s="239"/>
      <c r="ET110" s="239">
        <f>(Table14[[#This Row],[% Solid storage]]+Table14[[#This Row],[% Sun drying]]+Table14[[#This Row],[% Composting with a roof]]+Table14[[#This Row],[% Composting without a roof]])*Table14[[#This Row],[% Store it first]]/100</f>
        <v>0</v>
      </c>
      <c r="EU110" s="239"/>
      <c r="EV110" s="320">
        <f t="shared" ref="EV110:EV141" si="8">FF110*$EJ110/10000</f>
        <v>0</v>
      </c>
      <c r="EW110" s="320">
        <f t="shared" ref="EW110:EW141" si="9">FG110*$EJ110/10000</f>
        <v>0</v>
      </c>
      <c r="EX110" s="320">
        <f t="shared" ref="EX110:EX141" si="10">FH110*$EJ110/10000</f>
        <v>0</v>
      </c>
      <c r="EY110" s="320">
        <f t="shared" ref="EY110:EY141" si="11">FI110*$EJ110/10000</f>
        <v>0</v>
      </c>
      <c r="EZ110" s="320">
        <f t="shared" ref="EZ110:EZ141" si="12">FJ110*$EJ110/10000</f>
        <v>0</v>
      </c>
      <c r="FA110" s="239"/>
      <c r="FB110" s="239"/>
      <c r="FC110" s="239"/>
      <c r="FD110" s="239">
        <f>Table14[[#This Row],[% I donâ€™t use it / discarded]]+Table14[[#This Row],[% Other (specify)(If you use bioslurry directly)]]+Table14[[#This Row],[% Store it first]]+Table14[[#This Row],[% Use directly for various purposes]]</f>
        <v>100</v>
      </c>
      <c r="FE110" s="239" t="s">
        <v>4</v>
      </c>
      <c r="FF110" s="239"/>
      <c r="FG110" s="239"/>
      <c r="FH110" s="239"/>
      <c r="FI110" s="239"/>
      <c r="FJ110" s="239"/>
      <c r="FK110" s="239">
        <v>0.2</v>
      </c>
      <c r="FL110" s="239" t="s">
        <v>7</v>
      </c>
      <c r="FM110" s="239">
        <v>30</v>
      </c>
      <c r="FN110" s="239">
        <f t="shared" si="7"/>
        <v>0.06</v>
      </c>
      <c r="FO110" s="239" t="s">
        <v>30064</v>
      </c>
      <c r="FP110" s="239" t="s">
        <v>29298</v>
      </c>
      <c r="FQ110" s="239">
        <v>50</v>
      </c>
      <c r="FR110" s="239" t="s">
        <v>2</v>
      </c>
      <c r="FS110" s="239" t="s">
        <v>4</v>
      </c>
      <c r="FT110" s="239" t="s">
        <v>4</v>
      </c>
      <c r="FU110" s="239" t="s">
        <v>2</v>
      </c>
      <c r="FV110" s="239" t="s">
        <v>4</v>
      </c>
      <c r="FW110" s="239" t="s">
        <v>4</v>
      </c>
      <c r="FX110" s="239" t="s">
        <v>4</v>
      </c>
      <c r="FY110" s="239" t="s">
        <v>4</v>
      </c>
      <c r="FZ110" s="239" t="s">
        <v>4</v>
      </c>
      <c r="GA110" s="239" t="s">
        <v>4</v>
      </c>
      <c r="GB110" s="240" t="s">
        <v>4</v>
      </c>
      <c r="GC110" s="239" t="s">
        <v>4</v>
      </c>
      <c r="GD110" s="239" t="s">
        <v>2</v>
      </c>
      <c r="GE110" s="239" t="s">
        <v>4</v>
      </c>
      <c r="GF110" s="239" t="s">
        <v>4</v>
      </c>
      <c r="GG110" s="239" t="s">
        <v>7</v>
      </c>
      <c r="GH110" s="239" t="s">
        <v>2</v>
      </c>
      <c r="GI110" s="239" t="s">
        <v>4</v>
      </c>
      <c r="GJ110" s="239" t="s">
        <v>4</v>
      </c>
      <c r="GK110" s="239" t="s">
        <v>4</v>
      </c>
      <c r="GL110" s="239">
        <v>0</v>
      </c>
      <c r="GM110" s="239"/>
      <c r="GN110" s="239" t="s">
        <v>4</v>
      </c>
      <c r="GO110" s="239" t="s">
        <v>4</v>
      </c>
      <c r="GP110" s="239" t="s">
        <v>4</v>
      </c>
      <c r="GQ110" s="239" t="s">
        <v>4</v>
      </c>
      <c r="GR110" s="239" t="s">
        <v>4</v>
      </c>
      <c r="GS110" s="239" t="s">
        <v>4</v>
      </c>
      <c r="GT110" s="239" t="s">
        <v>4</v>
      </c>
      <c r="GU110" s="239" t="s">
        <v>4</v>
      </c>
      <c r="GV110" s="239" t="s">
        <v>4</v>
      </c>
      <c r="GW110" s="239" t="s">
        <v>29304</v>
      </c>
      <c r="GX110" s="239" t="s">
        <v>29305</v>
      </c>
      <c r="GY110" s="239" t="s">
        <v>29306</v>
      </c>
      <c r="GZ110" s="239" t="s">
        <v>4</v>
      </c>
      <c r="HA110" s="239" t="s">
        <v>4</v>
      </c>
      <c r="HB110" s="239" t="s">
        <v>4</v>
      </c>
      <c r="HC110" s="239" t="s">
        <v>4</v>
      </c>
      <c r="HD110" s="239" t="s">
        <v>4</v>
      </c>
      <c r="HE110" s="239" t="s">
        <v>30065</v>
      </c>
      <c r="HF110" s="239" t="s">
        <v>13</v>
      </c>
      <c r="HG110" s="239" t="s">
        <v>30066</v>
      </c>
      <c r="HH110" s="239" t="s">
        <v>29847</v>
      </c>
      <c r="HI110" s="239" t="s">
        <v>4</v>
      </c>
      <c r="HJ110" s="240">
        <v>0</v>
      </c>
      <c r="HK110" s="239" t="s">
        <v>7</v>
      </c>
      <c r="HL110" s="239" t="s">
        <v>29837</v>
      </c>
      <c r="HM110" s="239" t="s">
        <v>4</v>
      </c>
      <c r="HN110" s="239" t="s">
        <v>4</v>
      </c>
      <c r="HO110" s="239" t="s">
        <v>4</v>
      </c>
      <c r="HP110" s="239" t="s">
        <v>4</v>
      </c>
      <c r="HQ110" s="239" t="s">
        <v>4</v>
      </c>
      <c r="HR110" s="239" t="s">
        <v>4</v>
      </c>
      <c r="HS110" s="239" t="s">
        <v>4</v>
      </c>
      <c r="HT110" s="239" t="s">
        <v>4</v>
      </c>
      <c r="HU110" s="239" t="s">
        <v>2</v>
      </c>
      <c r="HV110" s="239" t="s">
        <v>4</v>
      </c>
      <c r="HW110" s="239" t="s">
        <v>4</v>
      </c>
      <c r="HX110" s="239" t="s">
        <v>4</v>
      </c>
      <c r="HY110" s="239" t="s">
        <v>4</v>
      </c>
      <c r="HZ110" s="239" t="s">
        <v>30067</v>
      </c>
      <c r="IA110" s="239" t="s">
        <v>2</v>
      </c>
      <c r="IB110" s="239" t="s">
        <v>4</v>
      </c>
      <c r="IC110" s="239" t="s">
        <v>16</v>
      </c>
      <c r="ID110" s="239" t="s">
        <v>30068</v>
      </c>
      <c r="IE110" s="239" t="s">
        <v>30069</v>
      </c>
      <c r="IF110" s="239" t="s">
        <v>30070</v>
      </c>
      <c r="IG110" s="239" t="s">
        <v>30071</v>
      </c>
      <c r="IH110" s="239" t="s">
        <v>30072</v>
      </c>
    </row>
    <row r="111" spans="1:242" s="1" customFormat="1" ht="36.75" customHeight="1" x14ac:dyDescent="0.2">
      <c r="A111" s="239">
        <v>159</v>
      </c>
      <c r="B111" s="239" t="s">
        <v>6805</v>
      </c>
      <c r="C111" s="239" t="s">
        <v>30990</v>
      </c>
      <c r="D111" s="239" t="s">
        <v>34</v>
      </c>
      <c r="E111" s="239" t="s">
        <v>7</v>
      </c>
      <c r="F111" s="239" t="s">
        <v>30991</v>
      </c>
      <c r="G111" s="239">
        <v>1186.8</v>
      </c>
      <c r="H111" s="239">
        <v>3.4</v>
      </c>
      <c r="I111" s="239" t="s">
        <v>29288</v>
      </c>
      <c r="J111" s="239" t="s">
        <v>4</v>
      </c>
      <c r="K111" s="239" t="s">
        <v>6806</v>
      </c>
      <c r="L111" s="239">
        <v>772413450</v>
      </c>
      <c r="M111" s="239" t="s">
        <v>30992</v>
      </c>
      <c r="N111" s="239" t="s">
        <v>31598</v>
      </c>
      <c r="O111" s="239" t="s">
        <v>4</v>
      </c>
      <c r="P111" s="239">
        <v>9</v>
      </c>
      <c r="Q111" s="239" t="s">
        <v>7</v>
      </c>
      <c r="R111" s="239" t="s">
        <v>31588</v>
      </c>
      <c r="S111" s="239" t="s">
        <v>4</v>
      </c>
      <c r="T111" s="239" t="s">
        <v>7</v>
      </c>
      <c r="U111" s="239" t="s">
        <v>7</v>
      </c>
      <c r="V111" s="239"/>
      <c r="W111" s="239" t="s">
        <v>7</v>
      </c>
      <c r="X111" s="239" t="s">
        <v>4</v>
      </c>
      <c r="Y111" s="239" t="s">
        <v>4</v>
      </c>
      <c r="Z111" s="241" t="str">
        <f>IF(OR(T111="yes",Y111&gt;'SDG outcome'!$C$27),"yes","no")</f>
        <v>yes</v>
      </c>
      <c r="AA111" s="243">
        <f t="shared" si="1"/>
        <v>0</v>
      </c>
      <c r="AB111" s="243" t="str">
        <f>IF(AND(Z111="no",AND(Y111&gt;='SDG outcome'!$B$16,Y111&lt;'SDG outcome'!$C$27)),Y111-'SDG outcome'!$B$16,"")</f>
        <v/>
      </c>
      <c r="AC111" s="239" t="s">
        <v>4</v>
      </c>
      <c r="AD111" s="239" t="s">
        <v>4</v>
      </c>
      <c r="AE111" s="239" t="s">
        <v>4</v>
      </c>
      <c r="AF111" s="239" t="s">
        <v>4</v>
      </c>
      <c r="AG111" s="239" t="s">
        <v>4</v>
      </c>
      <c r="AH111" s="239" t="s">
        <v>4</v>
      </c>
      <c r="AI111" s="239" t="s">
        <v>4</v>
      </c>
      <c r="AJ111" s="239" t="s">
        <v>29290</v>
      </c>
      <c r="AK111" s="239" t="s">
        <v>29694</v>
      </c>
      <c r="AL111" s="239" t="s">
        <v>4</v>
      </c>
      <c r="AM111" s="239" t="s">
        <v>4</v>
      </c>
      <c r="AN111" s="239" t="s">
        <v>31599</v>
      </c>
      <c r="AO111" s="239" t="s">
        <v>4</v>
      </c>
      <c r="AP111" s="239" t="s">
        <v>31600</v>
      </c>
      <c r="AQ111" s="239" t="s">
        <v>4</v>
      </c>
      <c r="AR111" s="239" t="s">
        <v>31538</v>
      </c>
      <c r="AS111" s="239" t="s">
        <v>4</v>
      </c>
      <c r="AT111" s="239" t="s">
        <v>7</v>
      </c>
      <c r="AU111" s="239" t="s">
        <v>4</v>
      </c>
      <c r="AV111" s="239" t="s">
        <v>4</v>
      </c>
      <c r="AW111" s="239" t="s">
        <v>31550</v>
      </c>
      <c r="AX111" s="239" t="s">
        <v>4</v>
      </c>
      <c r="AY111" s="239" t="s">
        <v>4</v>
      </c>
      <c r="AZ111" s="239" t="s">
        <v>7</v>
      </c>
      <c r="BA111" s="239" t="s">
        <v>76</v>
      </c>
      <c r="BB111" s="239" t="s">
        <v>4</v>
      </c>
      <c r="BC111" s="239" t="s">
        <v>4</v>
      </c>
      <c r="BD111" s="239" t="s">
        <v>4</v>
      </c>
      <c r="BE111" s="239" t="s">
        <v>4</v>
      </c>
      <c r="BF111" s="239" t="s">
        <v>4</v>
      </c>
      <c r="BG111" s="239" t="s">
        <v>4</v>
      </c>
      <c r="BH111" s="239" t="s">
        <v>4</v>
      </c>
      <c r="BI111" s="239" t="s">
        <v>4</v>
      </c>
      <c r="BJ111" s="239" t="s">
        <v>4</v>
      </c>
      <c r="BK111" s="239" t="s">
        <v>4</v>
      </c>
      <c r="BL111" s="239" t="s">
        <v>4</v>
      </c>
      <c r="BM111" s="239" t="s">
        <v>7</v>
      </c>
      <c r="BN111" s="239" t="s">
        <v>6</v>
      </c>
      <c r="BO111" s="239" t="s">
        <v>4</v>
      </c>
      <c r="BP111" s="239" t="s">
        <v>31429</v>
      </c>
      <c r="BQ111" s="239">
        <v>2</v>
      </c>
      <c r="BR111" s="239">
        <v>30</v>
      </c>
      <c r="BS111" s="239" t="s">
        <v>31426</v>
      </c>
      <c r="BT111" s="239"/>
      <c r="BU111" s="239">
        <v>3</v>
      </c>
      <c r="BV111" s="239" cm="1">
        <f t="array" ref="BV111">_xlfn.IFS(BS111="Foreword vehicle",BU111*0,BS111="Human wastes",BU111*0,BS111="Jerrycans",BU111*$BV$228,BS111="Number of Basins",BU111*$BV$229,BS111="Number of Buckets",BU111*$CA$226,BS111="Number of Kgs",BU111*$CA$227,BS111="Number of spades",BU111*$CA$228,BS111="Number of wheelbarrows",BU111*$CA$229,BT111="Foreword vehicle",BU111*0,BT111="Human wastes",BU111*0,BT111="Jerrycans",BU111*$BV$228,BS111="","")</f>
        <v>69</v>
      </c>
      <c r="BW111" s="239">
        <f>IF(BV111="","",Table14[[#This Row],[Calculation: Conversion of metric to Kg manure feeding (Columns: BP, BQ, BR)]]*Table14[[#This Row],[Number of times used to feed biodigester]])</f>
        <v>138</v>
      </c>
      <c r="BX111" s="239" cm="1">
        <f t="array" ref="BX111">_xlfn.IFS(BP111="Number of times per day (1 to 3)",BW111/$BX$226,BP111="Number of times per week (1 to 6)",BW111/$BX$227,BP111="Number of times per Month (1 to 3)",BW111/$BX$228,BW111="","")</f>
        <v>19.714285714285715</v>
      </c>
      <c r="BY111" s="239" t="s">
        <v>22</v>
      </c>
      <c r="BZ111" s="239" t="s">
        <v>4</v>
      </c>
      <c r="CA111" s="239" t="s">
        <v>2</v>
      </c>
      <c r="CB111" s="239" t="s">
        <v>4</v>
      </c>
      <c r="CC111" s="239" t="s">
        <v>4</v>
      </c>
      <c r="CD111" s="239" t="s">
        <v>4</v>
      </c>
      <c r="CE111" s="239" t="s">
        <v>7</v>
      </c>
      <c r="CF111" s="239" t="s">
        <v>31727</v>
      </c>
      <c r="CG111" s="239" t="s">
        <v>4</v>
      </c>
      <c r="CH111" s="239" t="s">
        <v>31724</v>
      </c>
      <c r="CI111" s="239">
        <v>0</v>
      </c>
      <c r="CJ111" s="239">
        <v>2</v>
      </c>
      <c r="CK111" s="239">
        <v>0</v>
      </c>
      <c r="CL111" s="239">
        <v>0</v>
      </c>
      <c r="CM111" s="239">
        <v>0</v>
      </c>
      <c r="CN111" s="239">
        <v>40</v>
      </c>
      <c r="CO111" s="239">
        <v>0</v>
      </c>
      <c r="CP111" s="239">
        <v>0</v>
      </c>
      <c r="CQ111" s="239">
        <v>0</v>
      </c>
      <c r="CR111" s="239">
        <v>0</v>
      </c>
      <c r="CS111" s="239">
        <f>CP111/'SDG outcome'!$C$9*CQ111*CR111</f>
        <v>0</v>
      </c>
      <c r="CT111" s="239" t="s">
        <v>4</v>
      </c>
      <c r="CU111" s="239" t="s">
        <v>4</v>
      </c>
      <c r="CV111" s="239" t="s">
        <v>4</v>
      </c>
      <c r="CW111" s="239">
        <v>100</v>
      </c>
      <c r="CX111" s="239">
        <v>0</v>
      </c>
      <c r="CY111" s="239" t="s">
        <v>4</v>
      </c>
      <c r="CZ111" s="239" t="s">
        <v>4</v>
      </c>
      <c r="DA111" s="239" t="s">
        <v>4</v>
      </c>
      <c r="DB111" s="239" t="s">
        <v>4</v>
      </c>
      <c r="DC111" s="239" t="s">
        <v>4</v>
      </c>
      <c r="DD111" s="239" t="s">
        <v>4</v>
      </c>
      <c r="DE111" s="239" t="s">
        <v>4</v>
      </c>
      <c r="DF111" s="239">
        <v>0</v>
      </c>
      <c r="DG111" s="239">
        <v>100</v>
      </c>
      <c r="DH111" s="239" t="s">
        <v>31907</v>
      </c>
      <c r="DI111" s="239" t="s">
        <v>4</v>
      </c>
      <c r="DJ111" s="239" t="s">
        <v>4</v>
      </c>
      <c r="DK111" s="239" t="s">
        <v>4</v>
      </c>
      <c r="DL111" s="239" t="s">
        <v>4</v>
      </c>
      <c r="DM111" s="239" t="s">
        <v>4</v>
      </c>
      <c r="DN111" s="239" t="s">
        <v>4</v>
      </c>
      <c r="DO111" s="239">
        <v>2</v>
      </c>
      <c r="DP111" s="239" t="s">
        <v>2</v>
      </c>
      <c r="DQ111" s="239" t="s">
        <v>29292</v>
      </c>
      <c r="DR111" s="239" t="s">
        <v>4</v>
      </c>
      <c r="DS111" s="239" t="s">
        <v>29294</v>
      </c>
      <c r="DT111" s="240" t="s">
        <v>4</v>
      </c>
      <c r="DU111" s="239" t="s">
        <v>29294</v>
      </c>
      <c r="DV111" s="240" t="s">
        <v>4</v>
      </c>
      <c r="DW111" s="239" t="s">
        <v>29295</v>
      </c>
      <c r="DX111" s="239">
        <v>100</v>
      </c>
      <c r="DY111" s="239" t="s">
        <v>29296</v>
      </c>
      <c r="DZ111" s="239">
        <v>100</v>
      </c>
      <c r="EA111" s="239"/>
      <c r="EB111" s="239"/>
      <c r="EC111" s="239"/>
      <c r="ED111" s="239"/>
      <c r="EE111" s="320">
        <f>Table14[[#This Row],[% Fertilizer]]*$DX111/10000</f>
        <v>1</v>
      </c>
      <c r="EF111" s="320">
        <f>Table14[[#This Row],[% bioslurry used as Insecticide/Pesticide]]*$DX111/10000</f>
        <v>0</v>
      </c>
      <c r="EG111" s="320">
        <f>Table14[[#This Row],[% of Bioslurry used as animal feed]]*$DX111/10000</f>
        <v>0</v>
      </c>
      <c r="EH111" s="320">
        <f>Table14[[#This Row],[% of Bioslurry sold]]*$DX111/10000</f>
        <v>0</v>
      </c>
      <c r="EI111" s="320">
        <f>Table14[[#This Row],[% used other way(if used directly)]]*$DX111/10000</f>
        <v>0</v>
      </c>
      <c r="EJ111" s="239"/>
      <c r="EK111" s="239"/>
      <c r="EL111" s="239"/>
      <c r="EM111" s="239"/>
      <c r="EN111" s="239"/>
      <c r="EO111" s="239">
        <f>(Table14[[#This Row],[% Uncovered lagoon greater than 1 meter]]+Table14[[#This Row],[Uncovered lagoon (black watery mass) &lt;1 meter]]+Table14[[#This Row],[% Liquid slurry (brown porridge type)]])*Table14[[#This Row],[% Store it first]]/100</f>
        <v>0</v>
      </c>
      <c r="EP111" s="239"/>
      <c r="EQ111" s="239"/>
      <c r="ER111" s="239"/>
      <c r="ES111" s="239"/>
      <c r="ET111" s="239">
        <f>(Table14[[#This Row],[% Solid storage]]+Table14[[#This Row],[% Sun drying]]+Table14[[#This Row],[% Composting with a roof]]+Table14[[#This Row],[% Composting without a roof]])*Table14[[#This Row],[% Store it first]]/100</f>
        <v>0</v>
      </c>
      <c r="EU111" s="239"/>
      <c r="EV111" s="320">
        <f t="shared" si="8"/>
        <v>0</v>
      </c>
      <c r="EW111" s="320">
        <f t="shared" si="9"/>
        <v>0</v>
      </c>
      <c r="EX111" s="320">
        <f t="shared" si="10"/>
        <v>0</v>
      </c>
      <c r="EY111" s="320">
        <f t="shared" si="11"/>
        <v>0</v>
      </c>
      <c r="EZ111" s="320">
        <f t="shared" si="12"/>
        <v>0</v>
      </c>
      <c r="FA111" s="239"/>
      <c r="FB111" s="239"/>
      <c r="FC111" s="239"/>
      <c r="FD111" s="239">
        <f>Table14[[#This Row],[% I donâ€™t use it / discarded]]+Table14[[#This Row],[% Other (specify)(If you use bioslurry directly)]]+Table14[[#This Row],[% Store it first]]+Table14[[#This Row],[% Use directly for various purposes]]</f>
        <v>100</v>
      </c>
      <c r="FE111" s="239" t="s">
        <v>4</v>
      </c>
      <c r="FF111" s="239"/>
      <c r="FG111" s="239"/>
      <c r="FH111" s="239"/>
      <c r="FI111" s="239"/>
      <c r="FJ111" s="239"/>
      <c r="FK111" s="239" t="s">
        <v>9</v>
      </c>
      <c r="FL111" s="239" t="s">
        <v>7</v>
      </c>
      <c r="FM111" s="239">
        <v>20</v>
      </c>
      <c r="FN111" s="239"/>
      <c r="FO111" s="239" t="s">
        <v>29431</v>
      </c>
      <c r="FP111" s="239" t="s">
        <v>29298</v>
      </c>
      <c r="FQ111" s="239">
        <v>84</v>
      </c>
      <c r="FR111" s="239" t="s">
        <v>7</v>
      </c>
      <c r="FS111" s="239" t="s">
        <v>29393</v>
      </c>
      <c r="FT111" s="239" t="s">
        <v>4</v>
      </c>
      <c r="FU111" s="239" t="s">
        <v>2</v>
      </c>
      <c r="FV111" s="239" t="s">
        <v>4</v>
      </c>
      <c r="FW111" s="239" t="s">
        <v>4</v>
      </c>
      <c r="FX111" s="239" t="s">
        <v>4</v>
      </c>
      <c r="FY111" s="239" t="s">
        <v>4</v>
      </c>
      <c r="FZ111" s="239" t="s">
        <v>4</v>
      </c>
      <c r="GA111" s="239" t="s">
        <v>4</v>
      </c>
      <c r="GB111" s="240" t="s">
        <v>4</v>
      </c>
      <c r="GC111" s="239" t="s">
        <v>4</v>
      </c>
      <c r="GD111" s="239" t="s">
        <v>2</v>
      </c>
      <c r="GE111" s="239" t="s">
        <v>4</v>
      </c>
      <c r="GF111" s="239" t="s">
        <v>4</v>
      </c>
      <c r="GG111" s="239" t="s">
        <v>7</v>
      </c>
      <c r="GH111" s="239" t="s">
        <v>7</v>
      </c>
      <c r="GI111" s="239" t="s">
        <v>29302</v>
      </c>
      <c r="GJ111" s="239" t="s">
        <v>29817</v>
      </c>
      <c r="GK111" s="239" t="s">
        <v>29304</v>
      </c>
      <c r="GL111" s="239">
        <v>2</v>
      </c>
      <c r="GM111" s="239" t="s">
        <v>29305</v>
      </c>
      <c r="GN111" s="239" t="s">
        <v>29339</v>
      </c>
      <c r="GO111" s="239" t="s">
        <v>4</v>
      </c>
      <c r="GP111" s="239" t="s">
        <v>4</v>
      </c>
      <c r="GQ111" s="239" t="s">
        <v>4</v>
      </c>
      <c r="GR111" s="239" t="s">
        <v>4</v>
      </c>
      <c r="GS111" s="239" t="s">
        <v>4</v>
      </c>
      <c r="GT111" s="239" t="s">
        <v>4</v>
      </c>
      <c r="GU111" s="239" t="s">
        <v>4</v>
      </c>
      <c r="GV111" s="239" t="s">
        <v>4</v>
      </c>
      <c r="GW111" s="239" t="s">
        <v>29304</v>
      </c>
      <c r="GX111" s="239" t="s">
        <v>29305</v>
      </c>
      <c r="GY111" s="239" t="s">
        <v>29409</v>
      </c>
      <c r="GZ111" s="239" t="s">
        <v>4</v>
      </c>
      <c r="HA111" s="239" t="s">
        <v>4</v>
      </c>
      <c r="HB111" s="239" t="s">
        <v>4</v>
      </c>
      <c r="HC111" s="239" t="s">
        <v>4</v>
      </c>
      <c r="HD111" s="239" t="s">
        <v>4</v>
      </c>
      <c r="HE111" s="239" t="s">
        <v>4</v>
      </c>
      <c r="HF111" s="239" t="s">
        <v>13</v>
      </c>
      <c r="HG111" s="239" t="s">
        <v>4</v>
      </c>
      <c r="HH111" s="239" t="s">
        <v>29354</v>
      </c>
      <c r="HI111" s="239" t="s">
        <v>4</v>
      </c>
      <c r="HJ111" s="240">
        <v>0</v>
      </c>
      <c r="HK111" s="239" t="s">
        <v>2</v>
      </c>
      <c r="HL111" s="239" t="s">
        <v>29309</v>
      </c>
      <c r="HM111" s="239" t="s">
        <v>4</v>
      </c>
      <c r="HN111" s="239" t="s">
        <v>4</v>
      </c>
      <c r="HO111" s="239" t="s">
        <v>4</v>
      </c>
      <c r="HP111" s="239" t="s">
        <v>4</v>
      </c>
      <c r="HQ111" s="239" t="s">
        <v>4</v>
      </c>
      <c r="HR111" s="239" t="s">
        <v>4</v>
      </c>
      <c r="HS111" s="239" t="s">
        <v>4</v>
      </c>
      <c r="HT111" s="239" t="s">
        <v>4</v>
      </c>
      <c r="HU111" s="239" t="s">
        <v>2</v>
      </c>
      <c r="HV111" s="239" t="s">
        <v>4</v>
      </c>
      <c r="HW111" s="239" t="s">
        <v>4</v>
      </c>
      <c r="HX111" s="239" t="s">
        <v>4</v>
      </c>
      <c r="HY111" s="239" t="s">
        <v>4</v>
      </c>
      <c r="HZ111" s="239" t="s">
        <v>30993</v>
      </c>
      <c r="IA111" s="239" t="s">
        <v>2</v>
      </c>
      <c r="IB111" s="239" t="s">
        <v>4</v>
      </c>
      <c r="IC111" s="239" t="s">
        <v>30994</v>
      </c>
      <c r="ID111" s="239" t="s">
        <v>30995</v>
      </c>
      <c r="IE111" s="239" t="s">
        <v>30996</v>
      </c>
      <c r="IF111" s="239" t="s">
        <v>30997</v>
      </c>
      <c r="IG111" s="239" t="s">
        <v>30998</v>
      </c>
      <c r="IH111" s="239" t="s">
        <v>30990</v>
      </c>
    </row>
    <row r="112" spans="1:242" s="1" customFormat="1" ht="36.75" customHeight="1" x14ac:dyDescent="0.2">
      <c r="A112" s="239">
        <v>201</v>
      </c>
      <c r="B112" s="239" t="s">
        <v>6820</v>
      </c>
      <c r="C112" s="239" t="s">
        <v>31395</v>
      </c>
      <c r="D112" s="239" t="s">
        <v>31344</v>
      </c>
      <c r="E112" s="239" t="s">
        <v>7</v>
      </c>
      <c r="F112" s="239" t="s">
        <v>31396</v>
      </c>
      <c r="G112" s="239">
        <v>1178.598</v>
      </c>
      <c r="H112" s="239">
        <v>6.03634</v>
      </c>
      <c r="I112" s="239" t="s">
        <v>29288</v>
      </c>
      <c r="J112" s="239" t="s">
        <v>4</v>
      </c>
      <c r="K112" s="239" t="s">
        <v>31397</v>
      </c>
      <c r="L112" s="239">
        <v>752123737</v>
      </c>
      <c r="M112" s="239" t="s">
        <v>3</v>
      </c>
      <c r="N112" s="239" t="s">
        <v>31438</v>
      </c>
      <c r="O112" s="239">
        <v>45</v>
      </c>
      <c r="P112" s="239">
        <v>5</v>
      </c>
      <c r="Q112" s="239" t="s">
        <v>7</v>
      </c>
      <c r="R112" s="239" t="s">
        <v>31535</v>
      </c>
      <c r="S112" s="239" t="s">
        <v>4</v>
      </c>
      <c r="T112" s="239" t="s">
        <v>7</v>
      </c>
      <c r="U112" s="239" t="s">
        <v>7</v>
      </c>
      <c r="V112" s="239"/>
      <c r="W112" s="239" t="s">
        <v>7</v>
      </c>
      <c r="X112" s="239" t="s">
        <v>4</v>
      </c>
      <c r="Y112" s="239" t="s">
        <v>4</v>
      </c>
      <c r="Z112" s="241" t="str">
        <f>IF(OR(T112="yes",Y112&gt;'SDG outcome'!$C$27),"yes","no")</f>
        <v>yes</v>
      </c>
      <c r="AA112" s="243">
        <f t="shared" si="1"/>
        <v>0</v>
      </c>
      <c r="AB112" s="243" t="str">
        <f>IF(AND(Z112="no",AND(Y112&gt;='SDG outcome'!$B$16,Y112&lt;'SDG outcome'!$C$27)),Y112-'SDG outcome'!$B$16,"")</f>
        <v/>
      </c>
      <c r="AC112" s="239" t="s">
        <v>4</v>
      </c>
      <c r="AD112" s="239" t="s">
        <v>4</v>
      </c>
      <c r="AE112" s="239" t="s">
        <v>4</v>
      </c>
      <c r="AF112" s="239" t="s">
        <v>4</v>
      </c>
      <c r="AG112" s="239" t="s">
        <v>4</v>
      </c>
      <c r="AH112" s="239" t="s">
        <v>4</v>
      </c>
      <c r="AI112" s="239" t="s">
        <v>4</v>
      </c>
      <c r="AJ112" s="239" t="s">
        <v>29290</v>
      </c>
      <c r="AK112" s="239" t="s">
        <v>31398</v>
      </c>
      <c r="AL112" s="239" t="s">
        <v>4</v>
      </c>
      <c r="AM112" s="239" t="s">
        <v>4</v>
      </c>
      <c r="AN112" s="239" t="s">
        <v>13</v>
      </c>
      <c r="AO112" s="239" t="s">
        <v>31791</v>
      </c>
      <c r="AP112" s="239" t="s">
        <v>31743</v>
      </c>
      <c r="AQ112" s="239" t="s">
        <v>4</v>
      </c>
      <c r="AR112" s="239" t="s">
        <v>31538</v>
      </c>
      <c r="AS112" s="239" t="s">
        <v>4</v>
      </c>
      <c r="AT112" s="239" t="s">
        <v>2</v>
      </c>
      <c r="AU112" s="239" t="s">
        <v>31614</v>
      </c>
      <c r="AV112" s="239" t="s">
        <v>4</v>
      </c>
      <c r="AW112" s="239" t="s">
        <v>31550</v>
      </c>
      <c r="AX112" s="239" t="s">
        <v>4</v>
      </c>
      <c r="AY112" s="239" t="s">
        <v>4</v>
      </c>
      <c r="AZ112" s="239" t="s">
        <v>7</v>
      </c>
      <c r="BA112" s="239" t="s">
        <v>53</v>
      </c>
      <c r="BB112" s="239" t="s">
        <v>4</v>
      </c>
      <c r="BC112" s="239" t="s">
        <v>4</v>
      </c>
      <c r="BD112" s="239" t="s">
        <v>4</v>
      </c>
      <c r="BE112" s="239" t="s">
        <v>4</v>
      </c>
      <c r="BF112" s="239" t="s">
        <v>4</v>
      </c>
      <c r="BG112" s="239" t="s">
        <v>4</v>
      </c>
      <c r="BH112" s="239" t="s">
        <v>4</v>
      </c>
      <c r="BI112" s="239" t="s">
        <v>4</v>
      </c>
      <c r="BJ112" s="239" t="s">
        <v>4</v>
      </c>
      <c r="BK112" s="239" t="s">
        <v>4</v>
      </c>
      <c r="BL112" s="239" t="s">
        <v>4</v>
      </c>
      <c r="BM112" s="239" t="s">
        <v>7</v>
      </c>
      <c r="BN112" s="239" t="s">
        <v>11</v>
      </c>
      <c r="BO112" s="239" t="s">
        <v>4</v>
      </c>
      <c r="BP112" s="239" t="s">
        <v>31429</v>
      </c>
      <c r="BQ112" s="239">
        <v>1</v>
      </c>
      <c r="BR112" s="239">
        <v>30</v>
      </c>
      <c r="BS112" s="239" t="s">
        <v>31435</v>
      </c>
      <c r="BT112" s="239"/>
      <c r="BU112" s="239">
        <v>5</v>
      </c>
      <c r="BV112" s="239" cm="1">
        <f t="array" ref="BV112">_xlfn.IFS(BS112="Foreword vehicle",BU112*0,BS112="Human wastes",BU112*0,BS112="Jerrycans",BU112*$BV$228,BS112="Number of Basins",BU112*$BV$229,BS112="Number of Buckets",BU112*$CA$226,BS112="Number of Kgs",BU112*$CA$227,BS112="Number of spades",BU112*$CA$228,BS112="Number of wheelbarrows",BU112*$CA$229,BT112="Foreword vehicle",BU112*0,BT112="Human wastes",BU112*0,BT112="Jerrycans",BU112*$BV$228,BS112="","")</f>
        <v>352.5</v>
      </c>
      <c r="BW112" s="239">
        <f>IF(BV112="","",Table14[[#This Row],[Calculation: Conversion of metric to Kg manure feeding (Columns: BP, BQ, BR)]]*Table14[[#This Row],[Number of times used to feed biodigester]])</f>
        <v>352.5</v>
      </c>
      <c r="BX112" s="239" cm="1">
        <f t="array" ref="BX112">_xlfn.IFS(BP112="Number of times per day (1 to 3)",BW112/$BX$226,BP112="Number of times per week (1 to 6)",BW112/$BX$227,BP112="Number of times per Month (1 to 3)",BW112/$BX$228,BW112="","")</f>
        <v>50.357142857142854</v>
      </c>
      <c r="BY112" s="239" t="s">
        <v>22</v>
      </c>
      <c r="BZ112" s="239" t="s">
        <v>4</v>
      </c>
      <c r="CA112" s="239" t="s">
        <v>2</v>
      </c>
      <c r="CB112" s="239" t="s">
        <v>4</v>
      </c>
      <c r="CC112" s="239" t="s">
        <v>4</v>
      </c>
      <c r="CD112" s="239" t="s">
        <v>4</v>
      </c>
      <c r="CE112" s="239" t="s">
        <v>7</v>
      </c>
      <c r="CF112" s="239" t="s">
        <v>31792</v>
      </c>
      <c r="CG112" s="239" t="s">
        <v>4</v>
      </c>
      <c r="CH112" s="239" t="s">
        <v>31705</v>
      </c>
      <c r="CI112" s="239">
        <v>0</v>
      </c>
      <c r="CJ112" s="239">
        <v>2</v>
      </c>
      <c r="CK112" s="239">
        <v>0</v>
      </c>
      <c r="CL112" s="239">
        <v>0</v>
      </c>
      <c r="CM112" s="239">
        <v>0</v>
      </c>
      <c r="CN112" s="239">
        <v>0</v>
      </c>
      <c r="CO112" s="239">
        <v>0</v>
      </c>
      <c r="CP112" s="239">
        <v>0</v>
      </c>
      <c r="CQ112" s="239">
        <v>0</v>
      </c>
      <c r="CR112" s="239">
        <v>0</v>
      </c>
      <c r="CS112" s="239">
        <f>CP112/'SDG outcome'!$C$9*CQ112*CR112</f>
        <v>0</v>
      </c>
      <c r="CT112" s="239" t="s">
        <v>4</v>
      </c>
      <c r="CU112" s="239" t="s">
        <v>4</v>
      </c>
      <c r="CV112" s="239" t="s">
        <v>4</v>
      </c>
      <c r="CW112" s="239">
        <v>100</v>
      </c>
      <c r="CX112" s="239">
        <v>0</v>
      </c>
      <c r="CY112" s="239" t="s">
        <v>4</v>
      </c>
      <c r="CZ112" s="239" t="s">
        <v>4</v>
      </c>
      <c r="DA112" s="239" t="s">
        <v>4</v>
      </c>
      <c r="DB112" s="239" t="s">
        <v>4</v>
      </c>
      <c r="DC112" s="239" t="s">
        <v>4</v>
      </c>
      <c r="DD112" s="239" t="s">
        <v>4</v>
      </c>
      <c r="DE112" s="239" t="s">
        <v>4</v>
      </c>
      <c r="DF112" s="239" t="s">
        <v>4</v>
      </c>
      <c r="DG112" s="239" t="s">
        <v>4</v>
      </c>
      <c r="DH112" s="239" t="s">
        <v>4</v>
      </c>
      <c r="DI112" s="239" t="s">
        <v>4</v>
      </c>
      <c r="DJ112" s="239" t="s">
        <v>4</v>
      </c>
      <c r="DK112" s="239" t="s">
        <v>4</v>
      </c>
      <c r="DL112" s="239" t="s">
        <v>4</v>
      </c>
      <c r="DM112" s="239" t="s">
        <v>4</v>
      </c>
      <c r="DN112" s="239" t="s">
        <v>4</v>
      </c>
      <c r="DO112" s="239">
        <v>2</v>
      </c>
      <c r="DP112" s="239" t="s">
        <v>2</v>
      </c>
      <c r="DQ112" s="239" t="s">
        <v>29292</v>
      </c>
      <c r="DR112" s="239" t="s">
        <v>4</v>
      </c>
      <c r="DS112" s="239" t="s">
        <v>29293</v>
      </c>
      <c r="DT112" s="240">
        <v>120000</v>
      </c>
      <c r="DU112" s="239" t="s">
        <v>29293</v>
      </c>
      <c r="DV112" s="240">
        <v>70000</v>
      </c>
      <c r="DW112" s="239" t="s">
        <v>29295</v>
      </c>
      <c r="DX112" s="239">
        <v>100</v>
      </c>
      <c r="DY112" s="239" t="s">
        <v>29296</v>
      </c>
      <c r="DZ112" s="239">
        <v>100</v>
      </c>
      <c r="EA112" s="239"/>
      <c r="EB112" s="239"/>
      <c r="EC112" s="239"/>
      <c r="ED112" s="239"/>
      <c r="EE112" s="320">
        <f>Table14[[#This Row],[% Fertilizer]]*$DX112/10000</f>
        <v>1</v>
      </c>
      <c r="EF112" s="320">
        <f>Table14[[#This Row],[% bioslurry used as Insecticide/Pesticide]]*$DX112/10000</f>
        <v>0</v>
      </c>
      <c r="EG112" s="320">
        <f>Table14[[#This Row],[% of Bioslurry used as animal feed]]*$DX112/10000</f>
        <v>0</v>
      </c>
      <c r="EH112" s="320">
        <f>Table14[[#This Row],[% of Bioslurry sold]]*$DX112/10000</f>
        <v>0</v>
      </c>
      <c r="EI112" s="320">
        <f>Table14[[#This Row],[% used other way(if used directly)]]*$DX112/10000</f>
        <v>0</v>
      </c>
      <c r="EJ112" s="239"/>
      <c r="EK112" s="239"/>
      <c r="EL112" s="239"/>
      <c r="EM112" s="239"/>
      <c r="EN112" s="239"/>
      <c r="EO112" s="239">
        <f>(Table14[[#This Row],[% Uncovered lagoon greater than 1 meter]]+Table14[[#This Row],[Uncovered lagoon (black watery mass) &lt;1 meter]]+Table14[[#This Row],[% Liquid slurry (brown porridge type)]])*Table14[[#This Row],[% Store it first]]/100</f>
        <v>0</v>
      </c>
      <c r="EP112" s="239"/>
      <c r="EQ112" s="239"/>
      <c r="ER112" s="239"/>
      <c r="ES112" s="239"/>
      <c r="ET112" s="239">
        <f>(Table14[[#This Row],[% Solid storage]]+Table14[[#This Row],[% Sun drying]]+Table14[[#This Row],[% Composting with a roof]]+Table14[[#This Row],[% Composting without a roof]])*Table14[[#This Row],[% Store it first]]/100</f>
        <v>0</v>
      </c>
      <c r="EU112" s="239"/>
      <c r="EV112" s="320">
        <f t="shared" si="8"/>
        <v>0</v>
      </c>
      <c r="EW112" s="320">
        <f t="shared" si="9"/>
        <v>0</v>
      </c>
      <c r="EX112" s="320">
        <f t="shared" si="10"/>
        <v>0</v>
      </c>
      <c r="EY112" s="320">
        <f t="shared" si="11"/>
        <v>0</v>
      </c>
      <c r="EZ112" s="320">
        <f t="shared" si="12"/>
        <v>0</v>
      </c>
      <c r="FA112" s="239"/>
      <c r="FB112" s="239"/>
      <c r="FC112" s="239"/>
      <c r="FD112" s="239">
        <f>Table14[[#This Row],[% I donâ€™t use it / discarded]]+Table14[[#This Row],[% Other (specify)(If you use bioslurry directly)]]+Table14[[#This Row],[% Store it first]]+Table14[[#This Row],[% Use directly for various purposes]]</f>
        <v>100</v>
      </c>
      <c r="FE112" s="239" t="s">
        <v>4</v>
      </c>
      <c r="FF112" s="239"/>
      <c r="FG112" s="239"/>
      <c r="FH112" s="239"/>
      <c r="FI112" s="239"/>
      <c r="FJ112" s="239"/>
      <c r="FK112" s="239">
        <v>0.8</v>
      </c>
      <c r="FL112" s="239" t="s">
        <v>7</v>
      </c>
      <c r="FM112" s="239">
        <v>80</v>
      </c>
      <c r="FN112" s="239">
        <f>FK112*FM112/100</f>
        <v>0.64</v>
      </c>
      <c r="FO112" s="239" t="s">
        <v>31399</v>
      </c>
      <c r="FP112" s="239" t="s">
        <v>29298</v>
      </c>
      <c r="FQ112" s="239">
        <v>72</v>
      </c>
      <c r="FR112" s="239" t="s">
        <v>2</v>
      </c>
      <c r="FS112" s="239" t="s">
        <v>4</v>
      </c>
      <c r="FT112" s="239" t="s">
        <v>4</v>
      </c>
      <c r="FU112" s="239" t="s">
        <v>2</v>
      </c>
      <c r="FV112" s="239" t="s">
        <v>4</v>
      </c>
      <c r="FW112" s="239" t="s">
        <v>4</v>
      </c>
      <c r="FX112" s="239" t="s">
        <v>4</v>
      </c>
      <c r="FY112" s="239" t="s">
        <v>4</v>
      </c>
      <c r="FZ112" s="239" t="s">
        <v>4</v>
      </c>
      <c r="GA112" s="239" t="s">
        <v>4</v>
      </c>
      <c r="GB112" s="240" t="s">
        <v>4</v>
      </c>
      <c r="GC112" s="239" t="s">
        <v>4</v>
      </c>
      <c r="GD112" s="239" t="s">
        <v>2</v>
      </c>
      <c r="GE112" s="239" t="s">
        <v>4</v>
      </c>
      <c r="GF112" s="239" t="s">
        <v>4</v>
      </c>
      <c r="GG112" s="239" t="s">
        <v>7</v>
      </c>
      <c r="GH112" s="239" t="s">
        <v>7</v>
      </c>
      <c r="GI112" s="239" t="s">
        <v>29302</v>
      </c>
      <c r="GJ112" s="239" t="s">
        <v>31400</v>
      </c>
      <c r="GK112" s="239" t="s">
        <v>29304</v>
      </c>
      <c r="GL112" s="239">
        <v>0</v>
      </c>
      <c r="GM112" s="239" t="s">
        <v>29305</v>
      </c>
      <c r="GN112" s="239" t="s">
        <v>29306</v>
      </c>
      <c r="GO112" s="239" t="s">
        <v>4</v>
      </c>
      <c r="GP112" s="239" t="s">
        <v>4</v>
      </c>
      <c r="GQ112" s="239" t="s">
        <v>4</v>
      </c>
      <c r="GR112" s="239" t="s">
        <v>4</v>
      </c>
      <c r="GS112" s="239" t="s">
        <v>4</v>
      </c>
      <c r="GT112" s="239" t="s">
        <v>4</v>
      </c>
      <c r="GU112" s="239" t="s">
        <v>4</v>
      </c>
      <c r="GV112" s="239" t="s">
        <v>4</v>
      </c>
      <c r="GW112" s="239" t="s">
        <v>4</v>
      </c>
      <c r="GX112" s="239" t="s">
        <v>4</v>
      </c>
      <c r="GY112" s="239" t="s">
        <v>4</v>
      </c>
      <c r="GZ112" s="239" t="s">
        <v>4</v>
      </c>
      <c r="HA112" s="239" t="s">
        <v>4</v>
      </c>
      <c r="HB112" s="239" t="s">
        <v>4</v>
      </c>
      <c r="HC112" s="239" t="s">
        <v>4</v>
      </c>
      <c r="HD112" s="239" t="s">
        <v>4</v>
      </c>
      <c r="HE112" s="239" t="s">
        <v>4</v>
      </c>
      <c r="HF112" s="239" t="s">
        <v>4</v>
      </c>
      <c r="HG112" s="239" t="s">
        <v>4</v>
      </c>
      <c r="HH112" s="239" t="s">
        <v>29307</v>
      </c>
      <c r="HI112" s="239" t="s">
        <v>31401</v>
      </c>
      <c r="HJ112" s="240">
        <v>0</v>
      </c>
      <c r="HK112" s="239" t="s">
        <v>2</v>
      </c>
      <c r="HL112" s="239" t="s">
        <v>29837</v>
      </c>
      <c r="HM112" s="239" t="s">
        <v>4</v>
      </c>
      <c r="HN112" s="239" t="s">
        <v>4</v>
      </c>
      <c r="HO112" s="239" t="s">
        <v>4</v>
      </c>
      <c r="HP112" s="239" t="s">
        <v>4</v>
      </c>
      <c r="HQ112" s="239" t="s">
        <v>4</v>
      </c>
      <c r="HR112" s="239" t="s">
        <v>4</v>
      </c>
      <c r="HS112" s="239" t="s">
        <v>4</v>
      </c>
      <c r="HT112" s="239" t="s">
        <v>4</v>
      </c>
      <c r="HU112" s="239" t="s">
        <v>2</v>
      </c>
      <c r="HV112" s="239" t="s">
        <v>4</v>
      </c>
      <c r="HW112" s="239" t="s">
        <v>4</v>
      </c>
      <c r="HX112" s="239" t="s">
        <v>4</v>
      </c>
      <c r="HY112" s="239" t="s">
        <v>4</v>
      </c>
      <c r="HZ112" s="239" t="s">
        <v>31402</v>
      </c>
      <c r="IA112" s="239" t="s">
        <v>7</v>
      </c>
      <c r="IB112" s="239" t="s">
        <v>31403</v>
      </c>
      <c r="IC112" s="239" t="s">
        <v>16</v>
      </c>
      <c r="ID112" s="239" t="s">
        <v>31404</v>
      </c>
      <c r="IE112" s="239" t="s">
        <v>31405</v>
      </c>
      <c r="IF112" s="239" t="s">
        <v>31406</v>
      </c>
      <c r="IG112" s="239" t="s">
        <v>31407</v>
      </c>
      <c r="IH112" s="239" t="s">
        <v>31395</v>
      </c>
    </row>
    <row r="113" spans="1:242" s="1" customFormat="1" ht="36.75" customHeight="1" x14ac:dyDescent="0.2">
      <c r="A113" s="239">
        <v>171</v>
      </c>
      <c r="B113" s="239" t="s">
        <v>20514</v>
      </c>
      <c r="C113" s="239" t="s">
        <v>31109</v>
      </c>
      <c r="D113" s="239" t="s">
        <v>31090</v>
      </c>
      <c r="E113" s="239" t="s">
        <v>7</v>
      </c>
      <c r="F113" s="239" t="s">
        <v>31110</v>
      </c>
      <c r="G113" s="239">
        <v>1329.3858740000001</v>
      </c>
      <c r="H113" s="239">
        <v>8</v>
      </c>
      <c r="I113" s="239" t="s">
        <v>29319</v>
      </c>
      <c r="J113" s="239" t="s">
        <v>4</v>
      </c>
      <c r="K113" s="239" t="s">
        <v>31111</v>
      </c>
      <c r="L113" s="239">
        <v>782444738</v>
      </c>
      <c r="M113" s="239" t="s">
        <v>5</v>
      </c>
      <c r="N113" s="239" t="s">
        <v>31438</v>
      </c>
      <c r="O113" s="239">
        <v>72</v>
      </c>
      <c r="P113" s="239">
        <v>7</v>
      </c>
      <c r="Q113" s="239" t="s">
        <v>7</v>
      </c>
      <c r="R113" s="239" t="s">
        <v>31588</v>
      </c>
      <c r="S113" s="239" t="s">
        <v>4</v>
      </c>
      <c r="T113" s="239" t="s">
        <v>7</v>
      </c>
      <c r="U113" s="239" t="s">
        <v>7</v>
      </c>
      <c r="V113" s="239"/>
      <c r="W113" s="239" t="s">
        <v>7</v>
      </c>
      <c r="X113" s="239" t="s">
        <v>4</v>
      </c>
      <c r="Y113" s="239" t="s">
        <v>4</v>
      </c>
      <c r="Z113" s="241" t="str">
        <f>IF(OR(T113="yes",Y113&gt;'SDG outcome'!$C$27),"yes","no")</f>
        <v>yes</v>
      </c>
      <c r="AA113" s="243">
        <f t="shared" si="1"/>
        <v>0</v>
      </c>
      <c r="AB113" s="243" t="str">
        <f>IF(AND(Z113="no",AND(Y113&gt;='SDG outcome'!$B$16,Y113&lt;'SDG outcome'!$C$27)),Y113-'SDG outcome'!$B$16,"")</f>
        <v/>
      </c>
      <c r="AC113" s="239" t="s">
        <v>4</v>
      </c>
      <c r="AD113" s="239" t="s">
        <v>4</v>
      </c>
      <c r="AE113" s="239" t="s">
        <v>4</v>
      </c>
      <c r="AF113" s="239" t="s">
        <v>4</v>
      </c>
      <c r="AG113" s="239" t="s">
        <v>4</v>
      </c>
      <c r="AH113" s="239" t="s">
        <v>4</v>
      </c>
      <c r="AI113" s="239" t="s">
        <v>4</v>
      </c>
      <c r="AJ113" s="239" t="s">
        <v>29290</v>
      </c>
      <c r="AK113" s="239" t="s">
        <v>29291</v>
      </c>
      <c r="AL113" s="239" t="s">
        <v>4</v>
      </c>
      <c r="AM113" s="239" t="s">
        <v>4</v>
      </c>
      <c r="AN113" s="239" t="s">
        <v>31536</v>
      </c>
      <c r="AO113" s="239" t="s">
        <v>4</v>
      </c>
      <c r="AP113" s="239" t="s">
        <v>31537</v>
      </c>
      <c r="AQ113" s="239" t="s">
        <v>4</v>
      </c>
      <c r="AR113" s="239" t="s">
        <v>31538</v>
      </c>
      <c r="AS113" s="239" t="s">
        <v>4</v>
      </c>
      <c r="AT113" s="239" t="s">
        <v>2</v>
      </c>
      <c r="AU113" s="239" t="s">
        <v>31614</v>
      </c>
      <c r="AV113" s="239" t="s">
        <v>4</v>
      </c>
      <c r="AW113" s="239" t="s">
        <v>31539</v>
      </c>
      <c r="AX113" s="239" t="s">
        <v>4</v>
      </c>
      <c r="AY113" s="239" t="s">
        <v>4</v>
      </c>
      <c r="AZ113" s="239" t="s">
        <v>2</v>
      </c>
      <c r="BA113" s="239" t="s">
        <v>4</v>
      </c>
      <c r="BB113" s="239" t="s">
        <v>4</v>
      </c>
      <c r="BC113" s="239" t="s">
        <v>31563</v>
      </c>
      <c r="BD113" s="239" t="s">
        <v>22</v>
      </c>
      <c r="BE113" s="239" t="s">
        <v>4</v>
      </c>
      <c r="BF113" s="239" t="s">
        <v>31564</v>
      </c>
      <c r="BG113" s="239" t="s">
        <v>4</v>
      </c>
      <c r="BH113" s="239" t="s">
        <v>31640</v>
      </c>
      <c r="BI113" s="239" t="s">
        <v>31912</v>
      </c>
      <c r="BJ113" s="239" t="s">
        <v>31566</v>
      </c>
      <c r="BK113" s="239">
        <v>1</v>
      </c>
      <c r="BL113" s="239">
        <v>30</v>
      </c>
      <c r="BM113" s="239" t="s">
        <v>7</v>
      </c>
      <c r="BN113" s="239" t="s">
        <v>6</v>
      </c>
      <c r="BO113" s="239" t="s">
        <v>4</v>
      </c>
      <c r="BP113" s="239" t="s">
        <v>31425</v>
      </c>
      <c r="BQ113" s="239">
        <v>1</v>
      </c>
      <c r="BR113" s="239">
        <v>30</v>
      </c>
      <c r="BS113" s="239" t="s">
        <v>31435</v>
      </c>
      <c r="BT113" s="239"/>
      <c r="BU113" s="239">
        <v>1</v>
      </c>
      <c r="BV113" s="239" cm="1">
        <f t="array" ref="BV113">_xlfn.IFS(BS113="Foreword vehicle",BU113*0,BS113="Human wastes",BU113*0,BS113="Jerrycans",BU113*$BV$228,BS113="Number of Basins",BU113*$BV$229,BS113="Number of Buckets",BU113*$CA$226,BS113="Number of Kgs",BU113*$CA$227,BS113="Number of spades",BU113*$CA$228,BS113="Number of wheelbarrows",BU113*$CA$229,BT113="Foreword vehicle",BU113*0,BT113="Human wastes",BU113*0,BT113="Jerrycans",BU113*$BV$228,BS113="","")</f>
        <v>70.5</v>
      </c>
      <c r="BW113" s="239">
        <f>IF(BV113="","",Table14[[#This Row],[Calculation: Conversion of metric to Kg manure feeding (Columns: BP, BQ, BR)]]*Table14[[#This Row],[Number of times used to feed biodigester]])</f>
        <v>70.5</v>
      </c>
      <c r="BX113" s="239" cm="1">
        <f t="array" ref="BX113">_xlfn.IFS(BP113="Number of times per day (1 to 3)",BW113/$BX$226,BP113="Number of times per week (1 to 6)",BW113/$BX$227,BP113="Number of times per Month (1 to 3)",BW113/$BX$228,BW113="","")</f>
        <v>70.5</v>
      </c>
      <c r="BY113" s="239" t="s">
        <v>22</v>
      </c>
      <c r="BZ113" s="239" t="s">
        <v>4</v>
      </c>
      <c r="CA113" s="239" t="s">
        <v>7</v>
      </c>
      <c r="CB113" s="239" t="s">
        <v>31913</v>
      </c>
      <c r="CC113" s="239" t="s">
        <v>4</v>
      </c>
      <c r="CD113" s="239" t="s">
        <v>31347</v>
      </c>
      <c r="CE113" s="239" t="s">
        <v>7</v>
      </c>
      <c r="CF113" s="239" t="s">
        <v>31914</v>
      </c>
      <c r="CG113" s="239" t="s">
        <v>4</v>
      </c>
      <c r="CH113" s="239" t="s">
        <v>31604</v>
      </c>
      <c r="CI113" s="239">
        <v>50</v>
      </c>
      <c r="CJ113" s="239">
        <v>0</v>
      </c>
      <c r="CK113" s="239">
        <v>0</v>
      </c>
      <c r="CL113" s="239">
        <v>0</v>
      </c>
      <c r="CM113" s="239">
        <v>0</v>
      </c>
      <c r="CN113" s="239">
        <v>0</v>
      </c>
      <c r="CO113" s="239">
        <v>0</v>
      </c>
      <c r="CP113" s="239">
        <v>0</v>
      </c>
      <c r="CQ113" s="239">
        <v>0</v>
      </c>
      <c r="CR113" s="239">
        <v>0</v>
      </c>
      <c r="CS113" s="239">
        <f>CP113/'SDG outcome'!$C$9*CQ113*CR113</f>
        <v>0</v>
      </c>
      <c r="CT113" s="239">
        <v>10</v>
      </c>
      <c r="CU113" s="239">
        <v>90</v>
      </c>
      <c r="CV113" s="239" t="s">
        <v>31915</v>
      </c>
      <c r="CW113" s="239" t="s">
        <v>4</v>
      </c>
      <c r="CX113" s="239" t="s">
        <v>4</v>
      </c>
      <c r="CY113" s="239" t="s">
        <v>4</v>
      </c>
      <c r="CZ113" s="239" t="s">
        <v>4</v>
      </c>
      <c r="DA113" s="239" t="s">
        <v>4</v>
      </c>
      <c r="DB113" s="239" t="s">
        <v>4</v>
      </c>
      <c r="DC113" s="239" t="s">
        <v>4</v>
      </c>
      <c r="DD113" s="239" t="s">
        <v>4</v>
      </c>
      <c r="DE113" s="239" t="s">
        <v>4</v>
      </c>
      <c r="DF113" s="239" t="s">
        <v>4</v>
      </c>
      <c r="DG113" s="239" t="s">
        <v>4</v>
      </c>
      <c r="DH113" s="239" t="s">
        <v>4</v>
      </c>
      <c r="DI113" s="239" t="s">
        <v>4</v>
      </c>
      <c r="DJ113" s="239" t="s">
        <v>4</v>
      </c>
      <c r="DK113" s="239" t="s">
        <v>4</v>
      </c>
      <c r="DL113" s="239" t="s">
        <v>4</v>
      </c>
      <c r="DM113" s="239" t="s">
        <v>4</v>
      </c>
      <c r="DN113" s="239" t="s">
        <v>4</v>
      </c>
      <c r="DO113" s="239">
        <v>3</v>
      </c>
      <c r="DP113" s="239" t="s">
        <v>2</v>
      </c>
      <c r="DQ113" s="239" t="s">
        <v>29375</v>
      </c>
      <c r="DR113" s="239" t="s">
        <v>4</v>
      </c>
      <c r="DS113" s="239" t="s">
        <v>4</v>
      </c>
      <c r="DT113" s="240" t="s">
        <v>4</v>
      </c>
      <c r="DU113" s="239" t="s">
        <v>29294</v>
      </c>
      <c r="DV113" s="240" t="s">
        <v>4</v>
      </c>
      <c r="DW113" s="239" t="s">
        <v>29508</v>
      </c>
      <c r="DX113" s="239"/>
      <c r="DY113" s="239"/>
      <c r="DZ113" s="239"/>
      <c r="EA113" s="239"/>
      <c r="EB113" s="239"/>
      <c r="EC113" s="239"/>
      <c r="ED113" s="239"/>
      <c r="EE113" s="320">
        <f>Table14[[#This Row],[% Fertilizer]]*$DX113/10000</f>
        <v>0</v>
      </c>
      <c r="EF113" s="320">
        <f>Table14[[#This Row],[% bioslurry used as Insecticide/Pesticide]]*$DX113/10000</f>
        <v>0</v>
      </c>
      <c r="EG113" s="320">
        <f>Table14[[#This Row],[% of Bioslurry used as animal feed]]*$DX113/10000</f>
        <v>0</v>
      </c>
      <c r="EH113" s="320">
        <f>Table14[[#This Row],[% of Bioslurry sold]]*$DX113/10000</f>
        <v>0</v>
      </c>
      <c r="EI113" s="320">
        <f>Table14[[#This Row],[% used other way(if used directly)]]*$DX113/10000</f>
        <v>0</v>
      </c>
      <c r="EJ113" s="239">
        <v>100</v>
      </c>
      <c r="EK113" s="239" t="s">
        <v>30747</v>
      </c>
      <c r="EL113" s="239"/>
      <c r="EM113" s="239">
        <v>100</v>
      </c>
      <c r="EN113" s="239"/>
      <c r="EO113" s="239">
        <f>(Table14[[#This Row],[% Uncovered lagoon greater than 1 meter]]+Table14[[#This Row],[Uncovered lagoon (black watery mass) &lt;1 meter]]+Table14[[#This Row],[% Liquid slurry (brown porridge type)]])*Table14[[#This Row],[% Store it first]]/100</f>
        <v>100</v>
      </c>
      <c r="EP113" s="239"/>
      <c r="EQ113" s="239"/>
      <c r="ER113" s="239"/>
      <c r="ES113" s="239"/>
      <c r="ET113" s="239">
        <f>(Table14[[#This Row],[% Solid storage]]+Table14[[#This Row],[% Sun drying]]+Table14[[#This Row],[% Composting with a roof]]+Table14[[#This Row],[% Composting without a roof]])*Table14[[#This Row],[% Store it first]]/100</f>
        <v>0</v>
      </c>
      <c r="EU113" s="239">
        <v>60</v>
      </c>
      <c r="EV113" s="320">
        <f t="shared" si="8"/>
        <v>1</v>
      </c>
      <c r="EW113" s="320">
        <f t="shared" si="9"/>
        <v>0</v>
      </c>
      <c r="EX113" s="320">
        <f t="shared" si="10"/>
        <v>0</v>
      </c>
      <c r="EY113" s="320">
        <f t="shared" si="11"/>
        <v>0</v>
      </c>
      <c r="EZ113" s="320">
        <f t="shared" si="12"/>
        <v>0</v>
      </c>
      <c r="FA113" s="239"/>
      <c r="FB113" s="239"/>
      <c r="FC113" s="239"/>
      <c r="FD113" s="239">
        <f>Table14[[#This Row],[% I donâ€™t use it / discarded]]+Table14[[#This Row],[% Other (specify)(If you use bioslurry directly)]]+Table14[[#This Row],[% Store it first]]+Table14[[#This Row],[% Use directly for various purposes]]</f>
        <v>100</v>
      </c>
      <c r="FE113" s="239" t="s">
        <v>29296</v>
      </c>
      <c r="FF113" s="239">
        <v>100</v>
      </c>
      <c r="FG113" s="239"/>
      <c r="FH113" s="239"/>
      <c r="FI113" s="239"/>
      <c r="FJ113" s="239"/>
      <c r="FK113" s="239">
        <v>32</v>
      </c>
      <c r="FL113" s="239" t="s">
        <v>7</v>
      </c>
      <c r="FM113" s="239">
        <v>25</v>
      </c>
      <c r="FN113" s="239">
        <f>FK113*FM113/100</f>
        <v>8</v>
      </c>
      <c r="FO113" s="239" t="s">
        <v>31112</v>
      </c>
      <c r="FP113" s="239" t="s">
        <v>29298</v>
      </c>
      <c r="FQ113" s="239">
        <v>120</v>
      </c>
      <c r="FR113" s="239" t="s">
        <v>2</v>
      </c>
      <c r="FS113" s="239" t="s">
        <v>4</v>
      </c>
      <c r="FT113" s="239" t="s">
        <v>4</v>
      </c>
      <c r="FU113" s="239" t="s">
        <v>7</v>
      </c>
      <c r="FV113" s="239" t="s">
        <v>29393</v>
      </c>
      <c r="FW113" s="239" t="s">
        <v>4</v>
      </c>
      <c r="FX113" s="239" t="s">
        <v>29300</v>
      </c>
      <c r="FY113" s="239" t="s">
        <v>4</v>
      </c>
      <c r="FZ113" s="239" t="s">
        <v>4</v>
      </c>
      <c r="GA113" s="239" t="s">
        <v>4</v>
      </c>
      <c r="GB113" s="240" t="s">
        <v>4</v>
      </c>
      <c r="GC113" s="239" t="s">
        <v>4</v>
      </c>
      <c r="GD113" s="239" t="s">
        <v>7</v>
      </c>
      <c r="GE113" s="239" t="s">
        <v>29526</v>
      </c>
      <c r="GF113" s="239" t="s">
        <v>31113</v>
      </c>
      <c r="GG113" s="239" t="s">
        <v>2</v>
      </c>
      <c r="GH113" s="239" t="s">
        <v>2</v>
      </c>
      <c r="GI113" s="239" t="s">
        <v>4</v>
      </c>
      <c r="GJ113" s="239" t="s">
        <v>4</v>
      </c>
      <c r="GK113" s="239" t="s">
        <v>4</v>
      </c>
      <c r="GL113" s="239">
        <v>0</v>
      </c>
      <c r="GM113" s="239"/>
      <c r="GN113" s="239" t="s">
        <v>4</v>
      </c>
      <c r="GO113" s="239" t="s">
        <v>4</v>
      </c>
      <c r="GP113" s="239" t="s">
        <v>4</v>
      </c>
      <c r="GQ113" s="239" t="s">
        <v>4</v>
      </c>
      <c r="GR113" s="239" t="s">
        <v>4</v>
      </c>
      <c r="GS113" s="239" t="s">
        <v>4</v>
      </c>
      <c r="GT113" s="239" t="s">
        <v>4</v>
      </c>
      <c r="GU113" s="239" t="s">
        <v>4</v>
      </c>
      <c r="GV113" s="239" t="s">
        <v>4</v>
      </c>
      <c r="GW113" s="239" t="s">
        <v>29433</v>
      </c>
      <c r="GX113" s="239" t="s">
        <v>4</v>
      </c>
      <c r="GY113" s="239" t="s">
        <v>4</v>
      </c>
      <c r="GZ113" s="239" t="s">
        <v>4</v>
      </c>
      <c r="HA113" s="239" t="s">
        <v>4</v>
      </c>
      <c r="HB113" s="239" t="s">
        <v>4</v>
      </c>
      <c r="HC113" s="239" t="s">
        <v>4</v>
      </c>
      <c r="HD113" s="239" t="s">
        <v>4</v>
      </c>
      <c r="HE113" s="239" t="s">
        <v>4</v>
      </c>
      <c r="HF113" s="239" t="s">
        <v>13</v>
      </c>
      <c r="HG113" s="239" t="s">
        <v>31114</v>
      </c>
      <c r="HH113" s="239" t="s">
        <v>29354</v>
      </c>
      <c r="HI113" s="239" t="s">
        <v>4</v>
      </c>
      <c r="HJ113" s="240">
        <v>0</v>
      </c>
      <c r="HK113" s="239" t="s">
        <v>29325</v>
      </c>
      <c r="HL113" s="239" t="s">
        <v>29309</v>
      </c>
      <c r="HM113" s="239" t="s">
        <v>4</v>
      </c>
      <c r="HN113" s="239" t="s">
        <v>4</v>
      </c>
      <c r="HO113" s="239" t="s">
        <v>4</v>
      </c>
      <c r="HP113" s="239" t="s">
        <v>4</v>
      </c>
      <c r="HQ113" s="239" t="s">
        <v>4</v>
      </c>
      <c r="HR113" s="239" t="s">
        <v>4</v>
      </c>
      <c r="HS113" s="239" t="s">
        <v>4</v>
      </c>
      <c r="HT113" s="239" t="s">
        <v>4</v>
      </c>
      <c r="HU113" s="239" t="s">
        <v>2</v>
      </c>
      <c r="HV113" s="239" t="s">
        <v>4</v>
      </c>
      <c r="HW113" s="239" t="s">
        <v>4</v>
      </c>
      <c r="HX113" s="239" t="s">
        <v>4</v>
      </c>
      <c r="HY113" s="239" t="s">
        <v>4</v>
      </c>
      <c r="HZ113" s="239" t="s">
        <v>16</v>
      </c>
      <c r="IA113" s="239" t="s">
        <v>2</v>
      </c>
      <c r="IB113" s="239" t="s">
        <v>4</v>
      </c>
      <c r="IC113" s="239" t="s">
        <v>16</v>
      </c>
      <c r="ID113" s="239" t="s">
        <v>31115</v>
      </c>
      <c r="IE113" s="239" t="s">
        <v>31116</v>
      </c>
      <c r="IF113" s="239" t="s">
        <v>31117</v>
      </c>
      <c r="IG113" s="239" t="s">
        <v>31118</v>
      </c>
      <c r="IH113" s="239" t="s">
        <v>31119</v>
      </c>
    </row>
    <row r="114" spans="1:242" s="1" customFormat="1" ht="36.75" customHeight="1" x14ac:dyDescent="0.2">
      <c r="A114" s="239">
        <v>192</v>
      </c>
      <c r="B114" s="239" t="s">
        <v>26815</v>
      </c>
      <c r="C114" s="239" t="s">
        <v>31301</v>
      </c>
      <c r="D114" s="239" t="s">
        <v>43</v>
      </c>
      <c r="E114" s="239" t="s">
        <v>7</v>
      </c>
      <c r="F114" s="239" t="s">
        <v>31302</v>
      </c>
      <c r="G114" s="239">
        <v>1428</v>
      </c>
      <c r="H114" s="239">
        <v>5</v>
      </c>
      <c r="I114" s="239" t="s">
        <v>29349</v>
      </c>
      <c r="J114" s="239" t="s">
        <v>4</v>
      </c>
      <c r="K114" s="239" t="s">
        <v>31303</v>
      </c>
      <c r="L114" s="239">
        <v>781159535</v>
      </c>
      <c r="M114" s="239" t="s">
        <v>5</v>
      </c>
      <c r="N114" s="239" t="s">
        <v>31590</v>
      </c>
      <c r="O114" s="239" t="s">
        <v>4</v>
      </c>
      <c r="P114" s="239">
        <v>6</v>
      </c>
      <c r="Q114" s="239" t="s">
        <v>7</v>
      </c>
      <c r="R114" s="239" t="s">
        <v>31588</v>
      </c>
      <c r="S114" s="239" t="s">
        <v>4</v>
      </c>
      <c r="T114" s="239" t="s">
        <v>7</v>
      </c>
      <c r="U114" s="239" t="s">
        <v>7</v>
      </c>
      <c r="V114" s="239"/>
      <c r="W114" s="239" t="s">
        <v>7</v>
      </c>
      <c r="X114" s="239" t="s">
        <v>4</v>
      </c>
      <c r="Y114" s="239" t="s">
        <v>4</v>
      </c>
      <c r="Z114" s="241" t="str">
        <f>IF(OR(T114="yes",Y114&gt;'SDG outcome'!$C$27),"yes","no")</f>
        <v>yes</v>
      </c>
      <c r="AA114" s="243">
        <f t="shared" si="1"/>
        <v>0</v>
      </c>
      <c r="AB114" s="243" t="str">
        <f>IF(AND(Z114="no",AND(Y114&gt;='SDG outcome'!$B$16,Y114&lt;'SDG outcome'!$C$27)),Y114-'SDG outcome'!$B$16,"")</f>
        <v/>
      </c>
      <c r="AC114" s="239" t="s">
        <v>4</v>
      </c>
      <c r="AD114" s="239" t="s">
        <v>4</v>
      </c>
      <c r="AE114" s="239" t="s">
        <v>4</v>
      </c>
      <c r="AF114" s="239" t="s">
        <v>4</v>
      </c>
      <c r="AG114" s="239" t="s">
        <v>4</v>
      </c>
      <c r="AH114" s="239" t="s">
        <v>4</v>
      </c>
      <c r="AI114" s="239" t="s">
        <v>4</v>
      </c>
      <c r="AJ114" s="239" t="s">
        <v>29290</v>
      </c>
      <c r="AK114" s="239" t="s">
        <v>29694</v>
      </c>
      <c r="AL114" s="239" t="s">
        <v>4</v>
      </c>
      <c r="AM114" s="239" t="s">
        <v>4</v>
      </c>
      <c r="AN114" s="239" t="s">
        <v>31536</v>
      </c>
      <c r="AO114" s="239" t="s">
        <v>4</v>
      </c>
      <c r="AP114" s="239" t="s">
        <v>31600</v>
      </c>
      <c r="AQ114" s="239" t="s">
        <v>4</v>
      </c>
      <c r="AR114" s="239" t="s">
        <v>31538</v>
      </c>
      <c r="AS114" s="239" t="s">
        <v>4</v>
      </c>
      <c r="AT114" s="239" t="s">
        <v>7</v>
      </c>
      <c r="AU114" s="239" t="s">
        <v>4</v>
      </c>
      <c r="AV114" s="239" t="s">
        <v>4</v>
      </c>
      <c r="AW114" s="239" t="s">
        <v>31539</v>
      </c>
      <c r="AX114" s="239" t="s">
        <v>4</v>
      </c>
      <c r="AY114" s="239" t="s">
        <v>4</v>
      </c>
      <c r="AZ114" s="239" t="s">
        <v>2</v>
      </c>
      <c r="BA114" s="239" t="s">
        <v>4</v>
      </c>
      <c r="BB114" s="239" t="s">
        <v>4</v>
      </c>
      <c r="BC114" s="239" t="s">
        <v>31563</v>
      </c>
      <c r="BD114" s="239" t="s">
        <v>22</v>
      </c>
      <c r="BE114" s="239" t="s">
        <v>4</v>
      </c>
      <c r="BF114" s="239" t="s">
        <v>31564</v>
      </c>
      <c r="BG114" s="239" t="s">
        <v>4</v>
      </c>
      <c r="BH114" s="239" t="s">
        <v>31542</v>
      </c>
      <c r="BI114" s="239" t="s">
        <v>31963</v>
      </c>
      <c r="BJ114" s="239" t="s">
        <v>31544</v>
      </c>
      <c r="BK114" s="239">
        <v>3</v>
      </c>
      <c r="BL114" s="239">
        <v>90</v>
      </c>
      <c r="BM114" s="239" t="s">
        <v>7</v>
      </c>
      <c r="BN114" s="239" t="s">
        <v>6</v>
      </c>
      <c r="BO114" s="239" t="s">
        <v>4</v>
      </c>
      <c r="BP114" s="239" t="s">
        <v>31429</v>
      </c>
      <c r="BQ114" s="239">
        <v>2</v>
      </c>
      <c r="BR114" s="239">
        <v>30</v>
      </c>
      <c r="BS114" s="239" t="s">
        <v>31435</v>
      </c>
      <c r="BT114" s="239"/>
      <c r="BU114" s="239">
        <v>2</v>
      </c>
      <c r="BV114" s="239" cm="1">
        <f t="array" ref="BV114">_xlfn.IFS(BS114="Foreword vehicle",BU114*0,BS114="Human wastes",BU114*0,BS114="Jerrycans",BU114*$BV$228,BS114="Number of Basins",BU114*$BV$229,BS114="Number of Buckets",BU114*$CA$226,BS114="Number of Kgs",BU114*$CA$227,BS114="Number of spades",BU114*$CA$228,BS114="Number of wheelbarrows",BU114*$CA$229,BT114="Foreword vehicle",BU114*0,BT114="Human wastes",BU114*0,BT114="Jerrycans",BU114*$BV$228,BS114="","")</f>
        <v>141</v>
      </c>
      <c r="BW114" s="239">
        <f>IF(BV114="","",Table14[[#This Row],[Calculation: Conversion of metric to Kg manure feeding (Columns: BP, BQ, BR)]]*Table14[[#This Row],[Number of times used to feed biodigester]])</f>
        <v>282</v>
      </c>
      <c r="BX114" s="239" cm="1">
        <f t="array" ref="BX114">_xlfn.IFS(BP114="Number of times per day (1 to 3)",BW114/$BX$226,BP114="Number of times per week (1 to 6)",BW114/$BX$227,BP114="Number of times per Month (1 to 3)",BW114/$BX$228,BW114="","")</f>
        <v>40.285714285714285</v>
      </c>
      <c r="BY114" s="239" t="s">
        <v>22</v>
      </c>
      <c r="BZ114" s="239" t="s">
        <v>4</v>
      </c>
      <c r="CA114" s="239" t="s">
        <v>2</v>
      </c>
      <c r="CB114" s="239" t="s">
        <v>4</v>
      </c>
      <c r="CC114" s="239" t="s">
        <v>4</v>
      </c>
      <c r="CD114" s="239" t="s">
        <v>4</v>
      </c>
      <c r="CE114" s="239" t="s">
        <v>7</v>
      </c>
      <c r="CF114" s="239" t="s">
        <v>31964</v>
      </c>
      <c r="CG114" s="239" t="s">
        <v>4</v>
      </c>
      <c r="CH114" s="239" t="s">
        <v>31604</v>
      </c>
      <c r="CI114" s="239">
        <v>40</v>
      </c>
      <c r="CJ114" s="239">
        <v>0</v>
      </c>
      <c r="CK114" s="239">
        <v>0</v>
      </c>
      <c r="CL114" s="239">
        <v>0</v>
      </c>
      <c r="CM114" s="239">
        <v>0</v>
      </c>
      <c r="CN114" s="239">
        <v>0</v>
      </c>
      <c r="CO114" s="239">
        <v>0</v>
      </c>
      <c r="CP114" s="239">
        <v>0</v>
      </c>
      <c r="CQ114" s="239">
        <v>0</v>
      </c>
      <c r="CR114" s="239">
        <v>0</v>
      </c>
      <c r="CS114" s="239">
        <f>CP114/'SDG outcome'!$C$9*CQ114*CR114</f>
        <v>0</v>
      </c>
      <c r="CT114" s="239">
        <v>40</v>
      </c>
      <c r="CU114" s="239">
        <v>60</v>
      </c>
      <c r="CV114" s="239" t="s">
        <v>31965</v>
      </c>
      <c r="CW114" s="239" t="s">
        <v>4</v>
      </c>
      <c r="CX114" s="239" t="s">
        <v>4</v>
      </c>
      <c r="CY114" s="239" t="s">
        <v>4</v>
      </c>
      <c r="CZ114" s="239" t="s">
        <v>4</v>
      </c>
      <c r="DA114" s="239" t="s">
        <v>4</v>
      </c>
      <c r="DB114" s="239" t="s">
        <v>4</v>
      </c>
      <c r="DC114" s="239" t="s">
        <v>4</v>
      </c>
      <c r="DD114" s="239" t="s">
        <v>4</v>
      </c>
      <c r="DE114" s="239" t="s">
        <v>4</v>
      </c>
      <c r="DF114" s="239" t="s">
        <v>4</v>
      </c>
      <c r="DG114" s="239" t="s">
        <v>4</v>
      </c>
      <c r="DH114" s="239" t="s">
        <v>4</v>
      </c>
      <c r="DI114" s="239" t="s">
        <v>4</v>
      </c>
      <c r="DJ114" s="239" t="s">
        <v>4</v>
      </c>
      <c r="DK114" s="239" t="s">
        <v>4</v>
      </c>
      <c r="DL114" s="239" t="s">
        <v>4</v>
      </c>
      <c r="DM114" s="239" t="s">
        <v>4</v>
      </c>
      <c r="DN114" s="239" t="s">
        <v>4</v>
      </c>
      <c r="DO114" s="239">
        <v>3</v>
      </c>
      <c r="DP114" s="239" t="s">
        <v>2</v>
      </c>
      <c r="DQ114" s="239" t="s">
        <v>29292</v>
      </c>
      <c r="DR114" s="239" t="s">
        <v>4</v>
      </c>
      <c r="DS114" s="239" t="s">
        <v>29294</v>
      </c>
      <c r="DT114" s="240" t="s">
        <v>4</v>
      </c>
      <c r="DU114" s="239" t="s">
        <v>29294</v>
      </c>
      <c r="DV114" s="240" t="s">
        <v>4</v>
      </c>
      <c r="DW114" s="239" t="s">
        <v>29295</v>
      </c>
      <c r="DX114" s="239">
        <v>100</v>
      </c>
      <c r="DY114" s="239" t="s">
        <v>29296</v>
      </c>
      <c r="DZ114" s="239">
        <v>100</v>
      </c>
      <c r="EA114" s="239"/>
      <c r="EB114" s="239"/>
      <c r="EC114" s="239"/>
      <c r="ED114" s="239"/>
      <c r="EE114" s="320">
        <f>Table14[[#This Row],[% Fertilizer]]*$DX114/10000</f>
        <v>1</v>
      </c>
      <c r="EF114" s="320">
        <f>Table14[[#This Row],[% bioslurry used as Insecticide/Pesticide]]*$DX114/10000</f>
        <v>0</v>
      </c>
      <c r="EG114" s="320">
        <f>Table14[[#This Row],[% of Bioslurry used as animal feed]]*$DX114/10000</f>
        <v>0</v>
      </c>
      <c r="EH114" s="320">
        <f>Table14[[#This Row],[% of Bioslurry sold]]*$DX114/10000</f>
        <v>0</v>
      </c>
      <c r="EI114" s="320">
        <f>Table14[[#This Row],[% used other way(if used directly)]]*$DX114/10000</f>
        <v>0</v>
      </c>
      <c r="EJ114" s="239"/>
      <c r="EK114" s="239"/>
      <c r="EL114" s="239"/>
      <c r="EM114" s="239"/>
      <c r="EN114" s="239"/>
      <c r="EO114" s="239">
        <f>(Table14[[#This Row],[% Uncovered lagoon greater than 1 meter]]+Table14[[#This Row],[Uncovered lagoon (black watery mass) &lt;1 meter]]+Table14[[#This Row],[% Liquid slurry (brown porridge type)]])*Table14[[#This Row],[% Store it first]]/100</f>
        <v>0</v>
      </c>
      <c r="EP114" s="239"/>
      <c r="EQ114" s="239"/>
      <c r="ER114" s="239"/>
      <c r="ES114" s="239"/>
      <c r="ET114" s="239">
        <f>(Table14[[#This Row],[% Solid storage]]+Table14[[#This Row],[% Sun drying]]+Table14[[#This Row],[% Composting with a roof]]+Table14[[#This Row],[% Composting without a roof]])*Table14[[#This Row],[% Store it first]]/100</f>
        <v>0</v>
      </c>
      <c r="EU114" s="239"/>
      <c r="EV114" s="320">
        <f t="shared" si="8"/>
        <v>0</v>
      </c>
      <c r="EW114" s="320">
        <f t="shared" si="9"/>
        <v>0</v>
      </c>
      <c r="EX114" s="320">
        <f t="shared" si="10"/>
        <v>0</v>
      </c>
      <c r="EY114" s="320">
        <f t="shared" si="11"/>
        <v>0</v>
      </c>
      <c r="EZ114" s="320">
        <f t="shared" si="12"/>
        <v>0</v>
      </c>
      <c r="FA114" s="239"/>
      <c r="FB114" s="239"/>
      <c r="FC114" s="239"/>
      <c r="FD114" s="239">
        <f>Table14[[#This Row],[% I donâ€™t use it / discarded]]+Table14[[#This Row],[% Other (specify)(If you use bioslurry directly)]]+Table14[[#This Row],[% Store it first]]+Table14[[#This Row],[% Use directly for various purposes]]</f>
        <v>100</v>
      </c>
      <c r="FE114" s="239" t="s">
        <v>4</v>
      </c>
      <c r="FF114" s="239"/>
      <c r="FG114" s="239"/>
      <c r="FH114" s="239"/>
      <c r="FI114" s="239"/>
      <c r="FJ114" s="239"/>
      <c r="FK114" s="239" t="s">
        <v>9</v>
      </c>
      <c r="FL114" s="239" t="s">
        <v>7</v>
      </c>
      <c r="FM114" s="239">
        <v>40</v>
      </c>
      <c r="FN114" s="239"/>
      <c r="FO114" s="239" t="s">
        <v>29952</v>
      </c>
      <c r="FP114" s="239" t="s">
        <v>29298</v>
      </c>
      <c r="FQ114" s="239">
        <v>8</v>
      </c>
      <c r="FR114" s="239" t="s">
        <v>7</v>
      </c>
      <c r="FS114" s="239" t="s">
        <v>29393</v>
      </c>
      <c r="FT114" s="239" t="s">
        <v>4</v>
      </c>
      <c r="FU114" s="239" t="s">
        <v>2</v>
      </c>
      <c r="FV114" s="239" t="s">
        <v>4</v>
      </c>
      <c r="FW114" s="239" t="s">
        <v>4</v>
      </c>
      <c r="FX114" s="239" t="s">
        <v>4</v>
      </c>
      <c r="FY114" s="239" t="s">
        <v>4</v>
      </c>
      <c r="FZ114" s="239" t="s">
        <v>4</v>
      </c>
      <c r="GA114" s="239" t="s">
        <v>4</v>
      </c>
      <c r="GB114" s="240" t="s">
        <v>4</v>
      </c>
      <c r="GC114" s="239" t="s">
        <v>4</v>
      </c>
      <c r="GD114" s="239" t="s">
        <v>2</v>
      </c>
      <c r="GE114" s="239" t="s">
        <v>4</v>
      </c>
      <c r="GF114" s="239" t="s">
        <v>4</v>
      </c>
      <c r="GG114" s="239" t="s">
        <v>7</v>
      </c>
      <c r="GH114" s="239" t="s">
        <v>2</v>
      </c>
      <c r="GI114" s="239" t="s">
        <v>4</v>
      </c>
      <c r="GJ114" s="239" t="s">
        <v>4</v>
      </c>
      <c r="GK114" s="239" t="s">
        <v>4</v>
      </c>
      <c r="GL114" s="239">
        <v>0</v>
      </c>
      <c r="GM114" s="239"/>
      <c r="GN114" s="239" t="s">
        <v>4</v>
      </c>
      <c r="GO114" s="239" t="s">
        <v>4</v>
      </c>
      <c r="GP114" s="239" t="s">
        <v>4</v>
      </c>
      <c r="GQ114" s="239" t="s">
        <v>4</v>
      </c>
      <c r="GR114" s="239" t="s">
        <v>4</v>
      </c>
      <c r="GS114" s="239" t="s">
        <v>4</v>
      </c>
      <c r="GT114" s="239" t="s">
        <v>4</v>
      </c>
      <c r="GU114" s="239" t="s">
        <v>4</v>
      </c>
      <c r="GV114" s="239" t="s">
        <v>4</v>
      </c>
      <c r="GW114" s="239" t="s">
        <v>29304</v>
      </c>
      <c r="GX114" s="239" t="s">
        <v>29305</v>
      </c>
      <c r="GY114" s="239" t="s">
        <v>29306</v>
      </c>
      <c r="GZ114" s="239" t="s">
        <v>4</v>
      </c>
      <c r="HA114" s="239" t="s">
        <v>4</v>
      </c>
      <c r="HB114" s="239" t="s">
        <v>4</v>
      </c>
      <c r="HC114" s="239" t="s">
        <v>4</v>
      </c>
      <c r="HD114" s="239" t="s">
        <v>4</v>
      </c>
      <c r="HE114" s="239" t="s">
        <v>31304</v>
      </c>
      <c r="HF114" s="239" t="s">
        <v>13</v>
      </c>
      <c r="HG114" s="239" t="s">
        <v>30931</v>
      </c>
      <c r="HH114" s="239" t="s">
        <v>29307</v>
      </c>
      <c r="HI114" s="239" t="s">
        <v>31305</v>
      </c>
      <c r="HJ114" s="240">
        <v>500</v>
      </c>
      <c r="HK114" s="239" t="s">
        <v>2</v>
      </c>
      <c r="HL114" s="239" t="s">
        <v>29309</v>
      </c>
      <c r="HM114" s="239" t="s">
        <v>4</v>
      </c>
      <c r="HN114" s="239" t="s">
        <v>4</v>
      </c>
      <c r="HO114" s="239" t="s">
        <v>4</v>
      </c>
      <c r="HP114" s="239" t="s">
        <v>4</v>
      </c>
      <c r="HQ114" s="239" t="s">
        <v>4</v>
      </c>
      <c r="HR114" s="239" t="s">
        <v>4</v>
      </c>
      <c r="HS114" s="239" t="s">
        <v>4</v>
      </c>
      <c r="HT114" s="239" t="s">
        <v>4</v>
      </c>
      <c r="HU114" s="239" t="s">
        <v>2</v>
      </c>
      <c r="HV114" s="239" t="s">
        <v>4</v>
      </c>
      <c r="HW114" s="239" t="s">
        <v>4</v>
      </c>
      <c r="HX114" s="239" t="s">
        <v>4</v>
      </c>
      <c r="HY114" s="239" t="s">
        <v>4</v>
      </c>
      <c r="HZ114" s="239" t="s">
        <v>16</v>
      </c>
      <c r="IA114" s="239" t="s">
        <v>2</v>
      </c>
      <c r="IB114" s="239" t="s">
        <v>4</v>
      </c>
      <c r="IC114" s="239" t="s">
        <v>16</v>
      </c>
      <c r="ID114" s="239" t="s">
        <v>31306</v>
      </c>
      <c r="IE114" s="239" t="s">
        <v>31307</v>
      </c>
      <c r="IF114" s="239" t="s">
        <v>31308</v>
      </c>
      <c r="IG114" s="239" t="s">
        <v>31309</v>
      </c>
      <c r="IH114" s="239" t="s">
        <v>31310</v>
      </c>
    </row>
    <row r="115" spans="1:242" s="1" customFormat="1" ht="36.75" customHeight="1" x14ac:dyDescent="0.2">
      <c r="A115" s="239">
        <v>105</v>
      </c>
      <c r="B115" s="239" t="s">
        <v>8618</v>
      </c>
      <c r="C115" s="239" t="s">
        <v>30442</v>
      </c>
      <c r="D115" s="239" t="s">
        <v>30392</v>
      </c>
      <c r="E115" s="239" t="s">
        <v>7</v>
      </c>
      <c r="F115" s="239" t="s">
        <v>30443</v>
      </c>
      <c r="G115" s="239">
        <v>1110.6110000000001</v>
      </c>
      <c r="H115" s="239">
        <v>0.84888799999999998</v>
      </c>
      <c r="I115" s="239" t="s">
        <v>29349</v>
      </c>
      <c r="J115" s="239" t="s">
        <v>4</v>
      </c>
      <c r="K115" s="239" t="s">
        <v>30444</v>
      </c>
      <c r="L115" s="239">
        <v>706689363</v>
      </c>
      <c r="M115" s="239" t="s">
        <v>3</v>
      </c>
      <c r="N115" s="239" t="s">
        <v>31590</v>
      </c>
      <c r="O115" s="239" t="s">
        <v>4</v>
      </c>
      <c r="P115" s="239">
        <v>12</v>
      </c>
      <c r="Q115" s="239" t="s">
        <v>7</v>
      </c>
      <c r="R115" s="239" t="s">
        <v>31562</v>
      </c>
      <c r="S115" s="239" t="s">
        <v>4</v>
      </c>
      <c r="T115" s="239" t="s">
        <v>7</v>
      </c>
      <c r="U115" s="239" t="s">
        <v>7</v>
      </c>
      <c r="V115" s="239"/>
      <c r="W115" s="239" t="s">
        <v>7</v>
      </c>
      <c r="X115" s="239" t="s">
        <v>4</v>
      </c>
      <c r="Y115" s="239" t="s">
        <v>4</v>
      </c>
      <c r="Z115" s="241" t="str">
        <f>IF(OR(T115="yes",Y115&gt;'SDG outcome'!$C$27),"yes","no")</f>
        <v>yes</v>
      </c>
      <c r="AA115" s="243">
        <f t="shared" si="1"/>
        <v>0</v>
      </c>
      <c r="AB115" s="243" t="str">
        <f>IF(AND(Z115="no",AND(Y115&gt;='SDG outcome'!$B$16,Y115&lt;'SDG outcome'!$C$27)),Y115-'SDG outcome'!$B$16,"")</f>
        <v/>
      </c>
      <c r="AC115" s="239" t="s">
        <v>4</v>
      </c>
      <c r="AD115" s="239" t="s">
        <v>4</v>
      </c>
      <c r="AE115" s="239" t="s">
        <v>4</v>
      </c>
      <c r="AF115" s="239" t="s">
        <v>4</v>
      </c>
      <c r="AG115" s="239" t="s">
        <v>4</v>
      </c>
      <c r="AH115" s="239" t="s">
        <v>4</v>
      </c>
      <c r="AI115" s="239" t="s">
        <v>4</v>
      </c>
      <c r="AJ115" s="239" t="s">
        <v>29290</v>
      </c>
      <c r="AK115" s="239" t="s">
        <v>29694</v>
      </c>
      <c r="AL115" s="239" t="s">
        <v>4</v>
      </c>
      <c r="AM115" s="239" t="s">
        <v>4</v>
      </c>
      <c r="AN115" s="239" t="s">
        <v>31536</v>
      </c>
      <c r="AO115" s="239" t="s">
        <v>4</v>
      </c>
      <c r="AP115" s="239" t="s">
        <v>31537</v>
      </c>
      <c r="AQ115" s="239" t="s">
        <v>4</v>
      </c>
      <c r="AR115" s="239" t="s">
        <v>31538</v>
      </c>
      <c r="AS115" s="239" t="s">
        <v>4</v>
      </c>
      <c r="AT115" s="239" t="s">
        <v>7</v>
      </c>
      <c r="AU115" s="239" t="s">
        <v>4</v>
      </c>
      <c r="AV115" s="239" t="s">
        <v>4</v>
      </c>
      <c r="AW115" s="239" t="s">
        <v>31539</v>
      </c>
      <c r="AX115" s="239" t="s">
        <v>4</v>
      </c>
      <c r="AY115" s="239" t="s">
        <v>4</v>
      </c>
      <c r="AZ115" s="239" t="s">
        <v>7</v>
      </c>
      <c r="BA115" s="239" t="s">
        <v>28</v>
      </c>
      <c r="BB115" s="239" t="s">
        <v>4</v>
      </c>
      <c r="BC115" s="239" t="s">
        <v>31563</v>
      </c>
      <c r="BD115" s="239" t="s">
        <v>22</v>
      </c>
      <c r="BE115" s="239" t="s">
        <v>4</v>
      </c>
      <c r="BF115" s="239" t="s">
        <v>14</v>
      </c>
      <c r="BG115" s="239" t="s">
        <v>4</v>
      </c>
      <c r="BH115" s="239" t="s">
        <v>31542</v>
      </c>
      <c r="BI115" s="239" t="s">
        <v>31979</v>
      </c>
      <c r="BJ115" s="239" t="s">
        <v>31566</v>
      </c>
      <c r="BK115" s="239">
        <v>1</v>
      </c>
      <c r="BL115" s="239">
        <v>60</v>
      </c>
      <c r="BM115" s="239" t="s">
        <v>7</v>
      </c>
      <c r="BN115" s="239" t="s">
        <v>6</v>
      </c>
      <c r="BO115" s="239" t="s">
        <v>4</v>
      </c>
      <c r="BP115" s="239" t="s">
        <v>31425</v>
      </c>
      <c r="BQ115" s="239">
        <v>2</v>
      </c>
      <c r="BR115" s="239">
        <v>30</v>
      </c>
      <c r="BS115" s="239" t="s">
        <v>31426</v>
      </c>
      <c r="BT115" s="239"/>
      <c r="BU115" s="239">
        <v>2</v>
      </c>
      <c r="BV115" s="239" cm="1">
        <f t="array" ref="BV115">_xlfn.IFS(BS115="Foreword vehicle",BU115*0,BS115="Human wastes",BU115*0,BS115="Jerrycans",BU115*$BV$228,BS115="Number of Basins",BU115*$BV$229,BS115="Number of Buckets",BU115*$CA$226,BS115="Number of Kgs",BU115*$CA$227,BS115="Number of spades",BU115*$CA$228,BS115="Number of wheelbarrows",BU115*$CA$229,BT115="Foreword vehicle",BU115*0,BT115="Human wastes",BU115*0,BT115="Jerrycans",BU115*$BV$228,BS115="","")</f>
        <v>46</v>
      </c>
      <c r="BW115" s="239">
        <f>IF(BV115="","",Table14[[#This Row],[Calculation: Conversion of metric to Kg manure feeding (Columns: BP, BQ, BR)]]*Table14[[#This Row],[Number of times used to feed biodigester]])</f>
        <v>92</v>
      </c>
      <c r="BX115" s="239" cm="1">
        <f t="array" ref="BX115">_xlfn.IFS(BP115="Number of times per day (1 to 3)",BW115/$BX$226,BP115="Number of times per week (1 to 6)",BW115/$BX$227,BP115="Number of times per Month (1 to 3)",BW115/$BX$228,BW115="","")</f>
        <v>92</v>
      </c>
      <c r="BY115" s="239" t="s">
        <v>22</v>
      </c>
      <c r="BZ115" s="239" t="s">
        <v>4</v>
      </c>
      <c r="CA115" s="239" t="s">
        <v>2</v>
      </c>
      <c r="CB115" s="239" t="s">
        <v>4</v>
      </c>
      <c r="CC115" s="239" t="s">
        <v>4</v>
      </c>
      <c r="CD115" s="239" t="s">
        <v>4</v>
      </c>
      <c r="CE115" s="239" t="s">
        <v>7</v>
      </c>
      <c r="CF115" s="239" t="s">
        <v>31980</v>
      </c>
      <c r="CG115" s="239" t="s">
        <v>4</v>
      </c>
      <c r="CH115" s="239" t="s">
        <v>31578</v>
      </c>
      <c r="CI115" s="239">
        <v>36</v>
      </c>
      <c r="CJ115" s="239">
        <v>0</v>
      </c>
      <c r="CK115" s="239">
        <v>0</v>
      </c>
      <c r="CL115" s="239">
        <v>0</v>
      </c>
      <c r="CM115" s="239">
        <v>0</v>
      </c>
      <c r="CN115" s="239">
        <v>100</v>
      </c>
      <c r="CO115" s="239">
        <v>0</v>
      </c>
      <c r="CP115" s="239">
        <v>0</v>
      </c>
      <c r="CQ115" s="239">
        <v>0</v>
      </c>
      <c r="CR115" s="239">
        <v>0</v>
      </c>
      <c r="CS115" s="239">
        <f>CP115/'SDG outcome'!$C$9*CQ115*CR115</f>
        <v>0</v>
      </c>
      <c r="CT115" s="239">
        <v>25</v>
      </c>
      <c r="CU115" s="239">
        <v>75</v>
      </c>
      <c r="CV115" s="239" t="s">
        <v>31981</v>
      </c>
      <c r="CW115" s="239" t="s">
        <v>4</v>
      </c>
      <c r="CX115" s="239" t="s">
        <v>4</v>
      </c>
      <c r="CY115" s="239" t="s">
        <v>4</v>
      </c>
      <c r="CZ115" s="239" t="s">
        <v>4</v>
      </c>
      <c r="DA115" s="239" t="s">
        <v>4</v>
      </c>
      <c r="DB115" s="239" t="s">
        <v>4</v>
      </c>
      <c r="DC115" s="239" t="s">
        <v>4</v>
      </c>
      <c r="DD115" s="239" t="s">
        <v>4</v>
      </c>
      <c r="DE115" s="239" t="s">
        <v>4</v>
      </c>
      <c r="DF115" s="239">
        <v>0</v>
      </c>
      <c r="DG115" s="239">
        <v>100</v>
      </c>
      <c r="DH115" s="239" t="s">
        <v>31982</v>
      </c>
      <c r="DI115" s="239" t="s">
        <v>4</v>
      </c>
      <c r="DJ115" s="239" t="s">
        <v>4</v>
      </c>
      <c r="DK115" s="239" t="s">
        <v>4</v>
      </c>
      <c r="DL115" s="239" t="s">
        <v>4</v>
      </c>
      <c r="DM115" s="239" t="s">
        <v>4</v>
      </c>
      <c r="DN115" s="239" t="s">
        <v>4</v>
      </c>
      <c r="DO115" s="239">
        <v>2</v>
      </c>
      <c r="DP115" s="239" t="s">
        <v>7</v>
      </c>
      <c r="DQ115" s="239" t="s">
        <v>29375</v>
      </c>
      <c r="DR115" s="239" t="s">
        <v>4</v>
      </c>
      <c r="DS115" s="239" t="s">
        <v>4</v>
      </c>
      <c r="DT115" s="240" t="s">
        <v>4</v>
      </c>
      <c r="DU115" s="239" t="s">
        <v>29294</v>
      </c>
      <c r="DV115" s="240" t="s">
        <v>4</v>
      </c>
      <c r="DW115" s="239" t="s">
        <v>29508</v>
      </c>
      <c r="DX115" s="239"/>
      <c r="DY115" s="239"/>
      <c r="DZ115" s="239"/>
      <c r="EA115" s="239"/>
      <c r="EB115" s="239"/>
      <c r="EC115" s="239"/>
      <c r="ED115" s="239"/>
      <c r="EE115" s="320">
        <f>Table14[[#This Row],[% Fertilizer]]*$DX115/10000</f>
        <v>0</v>
      </c>
      <c r="EF115" s="320">
        <f>Table14[[#This Row],[% bioslurry used as Insecticide/Pesticide]]*$DX115/10000</f>
        <v>0</v>
      </c>
      <c r="EG115" s="320">
        <f>Table14[[#This Row],[% of Bioslurry used as animal feed]]*$DX115/10000</f>
        <v>0</v>
      </c>
      <c r="EH115" s="320">
        <f>Table14[[#This Row],[% of Bioslurry sold]]*$DX115/10000</f>
        <v>0</v>
      </c>
      <c r="EI115" s="320">
        <f>Table14[[#This Row],[% used other way(if used directly)]]*$DX115/10000</f>
        <v>0</v>
      </c>
      <c r="EJ115" s="239">
        <v>100</v>
      </c>
      <c r="EK115" s="239" t="s">
        <v>30747</v>
      </c>
      <c r="EL115" s="239"/>
      <c r="EM115" s="239">
        <v>100</v>
      </c>
      <c r="EN115" s="239"/>
      <c r="EO115" s="239">
        <f>(Table14[[#This Row],[% Uncovered lagoon greater than 1 meter]]+Table14[[#This Row],[Uncovered lagoon (black watery mass) &lt;1 meter]]+Table14[[#This Row],[% Liquid slurry (brown porridge type)]])*Table14[[#This Row],[% Store it first]]/100</f>
        <v>100</v>
      </c>
      <c r="EP115" s="239"/>
      <c r="EQ115" s="239"/>
      <c r="ER115" s="239"/>
      <c r="ES115" s="239"/>
      <c r="ET115" s="239">
        <f>(Table14[[#This Row],[% Solid storage]]+Table14[[#This Row],[% Sun drying]]+Table14[[#This Row],[% Composting with a roof]]+Table14[[#This Row],[% Composting without a roof]])*Table14[[#This Row],[% Store it first]]/100</f>
        <v>0</v>
      </c>
      <c r="EU115" s="239">
        <v>180</v>
      </c>
      <c r="EV115" s="320">
        <f t="shared" si="8"/>
        <v>1</v>
      </c>
      <c r="EW115" s="320">
        <f t="shared" si="9"/>
        <v>0</v>
      </c>
      <c r="EX115" s="320">
        <f t="shared" si="10"/>
        <v>0</v>
      </c>
      <c r="EY115" s="320">
        <f t="shared" si="11"/>
        <v>0</v>
      </c>
      <c r="EZ115" s="320">
        <f t="shared" si="12"/>
        <v>0</v>
      </c>
      <c r="FA115" s="239"/>
      <c r="FB115" s="239"/>
      <c r="FC115" s="239"/>
      <c r="FD115" s="239">
        <f>Table14[[#This Row],[% I donâ€™t use it / discarded]]+Table14[[#This Row],[% Other (specify)(If you use bioslurry directly)]]+Table14[[#This Row],[% Store it first]]+Table14[[#This Row],[% Use directly for various purposes]]</f>
        <v>100</v>
      </c>
      <c r="FE115" s="239" t="s">
        <v>29296</v>
      </c>
      <c r="FF115" s="239">
        <v>100</v>
      </c>
      <c r="FG115" s="239"/>
      <c r="FH115" s="239"/>
      <c r="FI115" s="239"/>
      <c r="FJ115" s="239"/>
      <c r="FK115" s="239">
        <v>4</v>
      </c>
      <c r="FL115" s="239" t="s">
        <v>7</v>
      </c>
      <c r="FM115" s="239">
        <v>100</v>
      </c>
      <c r="FN115" s="239">
        <f>FK115*FM115/100</f>
        <v>4</v>
      </c>
      <c r="FO115" s="239" t="s">
        <v>30445</v>
      </c>
      <c r="FP115" s="239" t="s">
        <v>29298</v>
      </c>
      <c r="FQ115" s="239">
        <v>29</v>
      </c>
      <c r="FR115" s="239" t="s">
        <v>7</v>
      </c>
      <c r="FS115" s="239" t="s">
        <v>29393</v>
      </c>
      <c r="FT115" s="239" t="s">
        <v>4</v>
      </c>
      <c r="FU115" s="239" t="s">
        <v>7</v>
      </c>
      <c r="FV115" s="239" t="s">
        <v>29393</v>
      </c>
      <c r="FW115" s="239" t="s">
        <v>4</v>
      </c>
      <c r="FX115" s="239" t="s">
        <v>30446</v>
      </c>
      <c r="FY115" s="239" t="s">
        <v>4</v>
      </c>
      <c r="FZ115" s="239" t="s">
        <v>4</v>
      </c>
      <c r="GA115" s="239" t="s">
        <v>4</v>
      </c>
      <c r="GB115" s="240" t="s">
        <v>4</v>
      </c>
      <c r="GC115" s="239" t="s">
        <v>4</v>
      </c>
      <c r="GD115" s="239" t="s">
        <v>2</v>
      </c>
      <c r="GE115" s="239" t="s">
        <v>4</v>
      </c>
      <c r="GF115" s="239" t="s">
        <v>4</v>
      </c>
      <c r="GG115" s="239" t="s">
        <v>7</v>
      </c>
      <c r="GH115" s="239" t="s">
        <v>7</v>
      </c>
      <c r="GI115" s="239" t="s">
        <v>29302</v>
      </c>
      <c r="GJ115" s="239" t="s">
        <v>30447</v>
      </c>
      <c r="GK115" s="239" t="s">
        <v>29433</v>
      </c>
      <c r="GL115" s="239">
        <v>0</v>
      </c>
      <c r="GM115" s="239"/>
      <c r="GN115" s="239" t="s">
        <v>4</v>
      </c>
      <c r="GO115" s="239" t="s">
        <v>4</v>
      </c>
      <c r="GP115" s="239" t="s">
        <v>4</v>
      </c>
      <c r="GQ115" s="239" t="s">
        <v>4</v>
      </c>
      <c r="GR115" s="239" t="s">
        <v>4</v>
      </c>
      <c r="GS115" s="239" t="s">
        <v>4</v>
      </c>
      <c r="GT115" s="239" t="s">
        <v>4</v>
      </c>
      <c r="GU115" s="239" t="s">
        <v>29353</v>
      </c>
      <c r="GV115" s="239" t="s">
        <v>4</v>
      </c>
      <c r="GW115" s="239" t="s">
        <v>4</v>
      </c>
      <c r="GX115" s="239" t="s">
        <v>4</v>
      </c>
      <c r="GY115" s="239" t="s">
        <v>4</v>
      </c>
      <c r="GZ115" s="239" t="s">
        <v>4</v>
      </c>
      <c r="HA115" s="239" t="s">
        <v>4</v>
      </c>
      <c r="HB115" s="239" t="s">
        <v>4</v>
      </c>
      <c r="HC115" s="239" t="s">
        <v>4</v>
      </c>
      <c r="HD115" s="239" t="s">
        <v>4</v>
      </c>
      <c r="HE115" s="239" t="s">
        <v>4</v>
      </c>
      <c r="HF115" s="239" t="s">
        <v>4</v>
      </c>
      <c r="HG115" s="239" t="s">
        <v>4</v>
      </c>
      <c r="HH115" s="239" t="s">
        <v>30448</v>
      </c>
      <c r="HI115" s="239" t="s">
        <v>4</v>
      </c>
      <c r="HJ115" s="240">
        <v>0</v>
      </c>
      <c r="HK115" s="239" t="s">
        <v>29325</v>
      </c>
      <c r="HL115" s="239" t="s">
        <v>29309</v>
      </c>
      <c r="HM115" s="239" t="s">
        <v>4</v>
      </c>
      <c r="HN115" s="239" t="s">
        <v>4</v>
      </c>
      <c r="HO115" s="239" t="s">
        <v>4</v>
      </c>
      <c r="HP115" s="239" t="s">
        <v>4</v>
      </c>
      <c r="HQ115" s="239" t="s">
        <v>4</v>
      </c>
      <c r="HR115" s="239" t="s">
        <v>4</v>
      </c>
      <c r="HS115" s="239" t="s">
        <v>4</v>
      </c>
      <c r="HT115" s="239" t="s">
        <v>4</v>
      </c>
      <c r="HU115" s="239" t="s">
        <v>2</v>
      </c>
      <c r="HV115" s="239" t="s">
        <v>4</v>
      </c>
      <c r="HW115" s="239" t="s">
        <v>4</v>
      </c>
      <c r="HX115" s="239" t="s">
        <v>4</v>
      </c>
      <c r="HY115" s="239" t="s">
        <v>4</v>
      </c>
      <c r="HZ115" s="239" t="s">
        <v>30449</v>
      </c>
      <c r="IA115" s="239" t="s">
        <v>7</v>
      </c>
      <c r="IB115" s="239" t="s">
        <v>30450</v>
      </c>
      <c r="IC115" s="239" t="s">
        <v>30451</v>
      </c>
      <c r="ID115" s="239" t="s">
        <v>30452</v>
      </c>
      <c r="IE115" s="239" t="s">
        <v>30453</v>
      </c>
      <c r="IF115" s="239" t="s">
        <v>30454</v>
      </c>
      <c r="IG115" s="239" t="s">
        <v>30455</v>
      </c>
      <c r="IH115" s="239" t="s">
        <v>30442</v>
      </c>
    </row>
    <row r="116" spans="1:242" s="1" customFormat="1" ht="36.75" customHeight="1" x14ac:dyDescent="0.2">
      <c r="A116" s="239">
        <v>12</v>
      </c>
      <c r="B116" s="239" t="s">
        <v>24227</v>
      </c>
      <c r="C116" s="239" t="s">
        <v>29460</v>
      </c>
      <c r="D116" s="239" t="s">
        <v>52</v>
      </c>
      <c r="E116" s="239" t="s">
        <v>7</v>
      </c>
      <c r="F116" s="239" t="s">
        <v>29461</v>
      </c>
      <c r="G116" s="239">
        <v>1740.4</v>
      </c>
      <c r="H116" s="239">
        <v>4.8</v>
      </c>
      <c r="I116" s="239" t="s">
        <v>29288</v>
      </c>
      <c r="J116" s="239" t="s">
        <v>4</v>
      </c>
      <c r="K116" s="239" t="s">
        <v>24228</v>
      </c>
      <c r="L116" s="239">
        <v>772990080</v>
      </c>
      <c r="M116" s="239" t="s">
        <v>3</v>
      </c>
      <c r="N116" s="239" t="s">
        <v>31438</v>
      </c>
      <c r="O116" s="239">
        <v>65</v>
      </c>
      <c r="P116" s="239">
        <v>5</v>
      </c>
      <c r="Q116" s="239" t="s">
        <v>7</v>
      </c>
      <c r="R116" s="239" t="s">
        <v>31535</v>
      </c>
      <c r="S116" s="239" t="s">
        <v>4</v>
      </c>
      <c r="T116" s="239" t="s">
        <v>7</v>
      </c>
      <c r="U116" s="239" t="s">
        <v>7</v>
      </c>
      <c r="V116" s="239"/>
      <c r="W116" s="239" t="s">
        <v>7</v>
      </c>
      <c r="X116" s="239" t="s">
        <v>4</v>
      </c>
      <c r="Y116" s="239" t="s">
        <v>4</v>
      </c>
      <c r="Z116" s="241" t="str">
        <f>IF(OR(T116="yes",Y116&gt;'SDG outcome'!$C$27),"yes","no")</f>
        <v>yes</v>
      </c>
      <c r="AA116" s="243">
        <f t="shared" si="1"/>
        <v>0</v>
      </c>
      <c r="AB116" s="243" t="str">
        <f>IF(AND(Z116="no",AND(Y116&gt;='SDG outcome'!$B$16,Y116&lt;'SDG outcome'!$C$27)),Y116-'SDG outcome'!$B$16,"")</f>
        <v/>
      </c>
      <c r="AC116" s="239" t="s">
        <v>4</v>
      </c>
      <c r="AD116" s="239" t="s">
        <v>4</v>
      </c>
      <c r="AE116" s="239" t="s">
        <v>4</v>
      </c>
      <c r="AF116" s="239" t="s">
        <v>4</v>
      </c>
      <c r="AG116" s="239" t="s">
        <v>4</v>
      </c>
      <c r="AH116" s="239" t="s">
        <v>4</v>
      </c>
      <c r="AI116" s="239" t="s">
        <v>4</v>
      </c>
      <c r="AJ116" s="239" t="s">
        <v>29290</v>
      </c>
      <c r="AK116" s="239" t="s">
        <v>29462</v>
      </c>
      <c r="AL116" s="239" t="s">
        <v>4</v>
      </c>
      <c r="AM116" s="239" t="s">
        <v>4</v>
      </c>
      <c r="AN116" s="239" t="s">
        <v>31605</v>
      </c>
      <c r="AO116" s="239" t="s">
        <v>4</v>
      </c>
      <c r="AP116" s="239" t="s">
        <v>31600</v>
      </c>
      <c r="AQ116" s="239" t="s">
        <v>4</v>
      </c>
      <c r="AR116" s="239" t="s">
        <v>31538</v>
      </c>
      <c r="AS116" s="239" t="s">
        <v>4</v>
      </c>
      <c r="AT116" s="239" t="s">
        <v>7</v>
      </c>
      <c r="AU116" s="239" t="s">
        <v>4</v>
      </c>
      <c r="AV116" s="239" t="s">
        <v>4</v>
      </c>
      <c r="AW116" s="239" t="s">
        <v>31539</v>
      </c>
      <c r="AX116" s="239" t="s">
        <v>4</v>
      </c>
      <c r="AY116" s="239" t="s">
        <v>4</v>
      </c>
      <c r="AZ116" s="239" t="s">
        <v>7</v>
      </c>
      <c r="BA116" s="239" t="s">
        <v>11</v>
      </c>
      <c r="BB116" s="239" t="s">
        <v>4</v>
      </c>
      <c r="BC116" s="239" t="s">
        <v>31563</v>
      </c>
      <c r="BD116" s="239" t="s">
        <v>22</v>
      </c>
      <c r="BE116" s="239" t="s">
        <v>4</v>
      </c>
      <c r="BF116" s="239" t="s">
        <v>31564</v>
      </c>
      <c r="BG116" s="239" t="s">
        <v>4</v>
      </c>
      <c r="BH116" s="239" t="s">
        <v>31542</v>
      </c>
      <c r="BI116" s="239" t="s">
        <v>31606</v>
      </c>
      <c r="BJ116" s="239" t="s">
        <v>31544</v>
      </c>
      <c r="BK116" s="239">
        <v>2</v>
      </c>
      <c r="BL116" s="239">
        <v>60</v>
      </c>
      <c r="BM116" s="239" t="s">
        <v>7</v>
      </c>
      <c r="BN116" s="239" t="s">
        <v>6</v>
      </c>
      <c r="BO116" s="239" t="s">
        <v>4</v>
      </c>
      <c r="BP116" s="239" t="s">
        <v>31429</v>
      </c>
      <c r="BQ116" s="239">
        <v>2</v>
      </c>
      <c r="BR116" s="239">
        <v>60</v>
      </c>
      <c r="BS116" s="239" t="s">
        <v>31434</v>
      </c>
      <c r="BT116" s="239"/>
      <c r="BU116" s="239">
        <v>6</v>
      </c>
      <c r="BV116" s="239" cm="1">
        <f t="array" ref="BV116">_xlfn.IFS(BS116="Foreword vehicle",BU116*0,BS116="Human wastes",BU116*0,BS116="Jerrycans",BU116*$BV$228,BS116="Number of Basins",BU116*$BV$229,BS116="Number of Buckets",BU116*$CA$226,BS116="Number of Kgs",BU116*$CA$227,BS116="Number of spades",BU116*$CA$228,BS116="Number of wheelbarrows",BU116*$CA$229,BT116="Foreword vehicle",BU116*0,BT116="Human wastes",BU116*0,BT116="Jerrycans",BU116*$BV$228,BS116="","")</f>
        <v>96</v>
      </c>
      <c r="BW116" s="239">
        <f>IF(BV116="","",Table14[[#This Row],[Calculation: Conversion of metric to Kg manure feeding (Columns: BP, BQ, BR)]]*Table14[[#This Row],[Number of times used to feed biodigester]])</f>
        <v>192</v>
      </c>
      <c r="BX116" s="239" cm="1">
        <f t="array" ref="BX116">_xlfn.IFS(BP116="Number of times per day (1 to 3)",BW116/$BX$226,BP116="Number of times per week (1 to 6)",BW116/$BX$227,BP116="Number of times per Month (1 to 3)",BW116/$BX$228,BW116="","")</f>
        <v>27.428571428571427</v>
      </c>
      <c r="BY116" s="239" t="s">
        <v>22</v>
      </c>
      <c r="BZ116" s="239" t="s">
        <v>4</v>
      </c>
      <c r="CA116" s="239" t="s">
        <v>2</v>
      </c>
      <c r="CB116" s="239" t="s">
        <v>4</v>
      </c>
      <c r="CC116" s="239" t="s">
        <v>4</v>
      </c>
      <c r="CD116" s="239" t="s">
        <v>4</v>
      </c>
      <c r="CE116" s="239" t="s">
        <v>7</v>
      </c>
      <c r="CF116" s="239" t="s">
        <v>31607</v>
      </c>
      <c r="CG116" s="239" t="s">
        <v>4</v>
      </c>
      <c r="CH116" s="239" t="s">
        <v>31608</v>
      </c>
      <c r="CI116" s="239">
        <v>35</v>
      </c>
      <c r="CJ116" s="239">
        <v>0</v>
      </c>
      <c r="CK116" s="239">
        <v>4</v>
      </c>
      <c r="CL116" s="239">
        <v>5</v>
      </c>
      <c r="CM116" s="239">
        <v>20</v>
      </c>
      <c r="CN116" s="239">
        <v>20</v>
      </c>
      <c r="CO116" s="239">
        <v>0</v>
      </c>
      <c r="CP116" s="239">
        <v>0</v>
      </c>
      <c r="CQ116" s="239">
        <v>0</v>
      </c>
      <c r="CR116" s="239">
        <v>0</v>
      </c>
      <c r="CS116" s="239">
        <f>CP116/'SDG outcome'!$C$9*CQ116*CR116</f>
        <v>0</v>
      </c>
      <c r="CT116" s="239">
        <v>50</v>
      </c>
      <c r="CU116" s="239">
        <v>50</v>
      </c>
      <c r="CV116" s="239" t="s">
        <v>31609</v>
      </c>
      <c r="CW116" s="239" t="s">
        <v>4</v>
      </c>
      <c r="CX116" s="239" t="s">
        <v>4</v>
      </c>
      <c r="CY116" s="239" t="s">
        <v>4</v>
      </c>
      <c r="CZ116" s="239" t="s">
        <v>4</v>
      </c>
      <c r="DA116" s="239" t="s">
        <v>4</v>
      </c>
      <c r="DB116" s="239" t="s">
        <v>4</v>
      </c>
      <c r="DC116" s="239">
        <v>0</v>
      </c>
      <c r="DD116" s="239">
        <v>100</v>
      </c>
      <c r="DE116" s="239" t="s">
        <v>31610</v>
      </c>
      <c r="DF116" s="239">
        <v>0</v>
      </c>
      <c r="DG116" s="239">
        <v>100</v>
      </c>
      <c r="DH116" s="239" t="s">
        <v>31611</v>
      </c>
      <c r="DI116" s="239">
        <v>0</v>
      </c>
      <c r="DJ116" s="239">
        <v>100</v>
      </c>
      <c r="DK116" s="239" t="s">
        <v>31612</v>
      </c>
      <c r="DL116" s="239">
        <v>0</v>
      </c>
      <c r="DM116" s="239">
        <v>100</v>
      </c>
      <c r="DN116" s="239" t="s">
        <v>31613</v>
      </c>
      <c r="DO116" s="239">
        <v>1</v>
      </c>
      <c r="DP116" s="239" t="s">
        <v>7</v>
      </c>
      <c r="DQ116" s="239" t="s">
        <v>29375</v>
      </c>
      <c r="DR116" s="239" t="s">
        <v>4</v>
      </c>
      <c r="DS116" s="239" t="s">
        <v>4</v>
      </c>
      <c r="DT116" s="240" t="s">
        <v>4</v>
      </c>
      <c r="DU116" s="239" t="s">
        <v>29293</v>
      </c>
      <c r="DV116" s="240">
        <v>200000</v>
      </c>
      <c r="DW116" s="239" t="s">
        <v>29295</v>
      </c>
      <c r="DX116" s="239">
        <v>100</v>
      </c>
      <c r="DY116" s="239" t="s">
        <v>29296</v>
      </c>
      <c r="DZ116" s="239">
        <v>100</v>
      </c>
      <c r="EA116" s="239"/>
      <c r="EB116" s="239"/>
      <c r="EC116" s="239"/>
      <c r="ED116" s="239"/>
      <c r="EE116" s="320">
        <f>Table14[[#This Row],[% Fertilizer]]*$DX116/10000</f>
        <v>1</v>
      </c>
      <c r="EF116" s="320">
        <f>Table14[[#This Row],[% bioslurry used as Insecticide/Pesticide]]*$DX116/10000</f>
        <v>0</v>
      </c>
      <c r="EG116" s="320">
        <f>Table14[[#This Row],[% of Bioslurry used as animal feed]]*$DX116/10000</f>
        <v>0</v>
      </c>
      <c r="EH116" s="320">
        <f>Table14[[#This Row],[% of Bioslurry sold]]*$DX116/10000</f>
        <v>0</v>
      </c>
      <c r="EI116" s="320">
        <f>Table14[[#This Row],[% used other way(if used directly)]]*$DX116/10000</f>
        <v>0</v>
      </c>
      <c r="EJ116" s="239"/>
      <c r="EK116" s="239"/>
      <c r="EL116" s="239"/>
      <c r="EM116" s="239"/>
      <c r="EN116" s="239"/>
      <c r="EO116" s="239">
        <f>(Table14[[#This Row],[% Uncovered lagoon greater than 1 meter]]+Table14[[#This Row],[Uncovered lagoon (black watery mass) &lt;1 meter]]+Table14[[#This Row],[% Liquid slurry (brown porridge type)]])*Table14[[#This Row],[% Store it first]]/100</f>
        <v>0</v>
      </c>
      <c r="EP116" s="239"/>
      <c r="EQ116" s="239"/>
      <c r="ER116" s="239"/>
      <c r="ES116" s="239"/>
      <c r="ET116" s="239">
        <f>(Table14[[#This Row],[% Solid storage]]+Table14[[#This Row],[% Sun drying]]+Table14[[#This Row],[% Composting with a roof]]+Table14[[#This Row],[% Composting without a roof]])*Table14[[#This Row],[% Store it first]]/100</f>
        <v>0</v>
      </c>
      <c r="EU116" s="239"/>
      <c r="EV116" s="320">
        <f t="shared" si="8"/>
        <v>0</v>
      </c>
      <c r="EW116" s="320">
        <f t="shared" si="9"/>
        <v>0</v>
      </c>
      <c r="EX116" s="320">
        <f t="shared" si="10"/>
        <v>0</v>
      </c>
      <c r="EY116" s="320">
        <f t="shared" si="11"/>
        <v>0</v>
      </c>
      <c r="EZ116" s="320">
        <f t="shared" si="12"/>
        <v>0</v>
      </c>
      <c r="FA116" s="239"/>
      <c r="FB116" s="239"/>
      <c r="FC116" s="239"/>
      <c r="FD116" s="239">
        <f>Table14[[#This Row],[% I donâ€™t use it / discarded]]+Table14[[#This Row],[% Other (specify)(If you use bioslurry directly)]]+Table14[[#This Row],[% Store it first]]+Table14[[#This Row],[% Use directly for various purposes]]</f>
        <v>100</v>
      </c>
      <c r="FE116" s="239" t="s">
        <v>4</v>
      </c>
      <c r="FF116" s="239"/>
      <c r="FG116" s="239"/>
      <c r="FH116" s="239"/>
      <c r="FI116" s="239"/>
      <c r="FJ116" s="239"/>
      <c r="FK116" s="239">
        <v>2</v>
      </c>
      <c r="FL116" s="239" t="s">
        <v>7</v>
      </c>
      <c r="FM116" s="239">
        <v>50</v>
      </c>
      <c r="FN116" s="239">
        <f>FK116*FM116/100</f>
        <v>1</v>
      </c>
      <c r="FO116" s="239" t="s">
        <v>29463</v>
      </c>
      <c r="FP116" s="239" t="s">
        <v>29298</v>
      </c>
      <c r="FQ116" s="239">
        <v>100</v>
      </c>
      <c r="FR116" s="239" t="s">
        <v>7</v>
      </c>
      <c r="FS116" s="239" t="s">
        <v>29393</v>
      </c>
      <c r="FT116" s="239" t="s">
        <v>4</v>
      </c>
      <c r="FU116" s="239" t="s">
        <v>7</v>
      </c>
      <c r="FV116" s="239" t="s">
        <v>29393</v>
      </c>
      <c r="FW116" s="239" t="s">
        <v>4</v>
      </c>
      <c r="FX116" s="239" t="s">
        <v>29300</v>
      </c>
      <c r="FY116" s="239" t="s">
        <v>4</v>
      </c>
      <c r="FZ116" s="239" t="s">
        <v>4</v>
      </c>
      <c r="GA116" s="239" t="s">
        <v>4</v>
      </c>
      <c r="GB116" s="240" t="s">
        <v>4</v>
      </c>
      <c r="GC116" s="239" t="s">
        <v>4</v>
      </c>
      <c r="GD116" s="239" t="s">
        <v>2</v>
      </c>
      <c r="GE116" s="239" t="s">
        <v>4</v>
      </c>
      <c r="GF116" s="239" t="s">
        <v>4</v>
      </c>
      <c r="GG116" s="239" t="s">
        <v>2</v>
      </c>
      <c r="GH116" s="239" t="s">
        <v>7</v>
      </c>
      <c r="GI116" s="239" t="s">
        <v>29302</v>
      </c>
      <c r="GJ116" s="239" t="s">
        <v>29464</v>
      </c>
      <c r="GK116" s="239" t="s">
        <v>29304</v>
      </c>
      <c r="GL116" s="239">
        <v>0.5</v>
      </c>
      <c r="GM116" s="239" t="s">
        <v>29465</v>
      </c>
      <c r="GN116" s="239" t="s">
        <v>4</v>
      </c>
      <c r="GO116" s="239" t="s">
        <v>29466</v>
      </c>
      <c r="GP116" s="239" t="s">
        <v>4</v>
      </c>
      <c r="GQ116" s="239" t="s">
        <v>4</v>
      </c>
      <c r="GR116" s="239" t="s">
        <v>29451</v>
      </c>
      <c r="GS116" s="239" t="s">
        <v>4</v>
      </c>
      <c r="GT116" s="239" t="s">
        <v>4</v>
      </c>
      <c r="GU116" s="239" t="s">
        <v>4</v>
      </c>
      <c r="GV116" s="239" t="s">
        <v>4</v>
      </c>
      <c r="GW116" s="239" t="s">
        <v>4</v>
      </c>
      <c r="GX116" s="239" t="s">
        <v>4</v>
      </c>
      <c r="GY116" s="239" t="s">
        <v>4</v>
      </c>
      <c r="GZ116" s="239" t="s">
        <v>4</v>
      </c>
      <c r="HA116" s="239" t="s">
        <v>4</v>
      </c>
      <c r="HB116" s="239" t="s">
        <v>4</v>
      </c>
      <c r="HC116" s="239" t="s">
        <v>4</v>
      </c>
      <c r="HD116" s="239" t="s">
        <v>4</v>
      </c>
      <c r="HE116" s="239" t="s">
        <v>4</v>
      </c>
      <c r="HF116" s="239" t="s">
        <v>4</v>
      </c>
      <c r="HG116" s="239" t="s">
        <v>4</v>
      </c>
      <c r="HH116" s="239" t="s">
        <v>29467</v>
      </c>
      <c r="HI116" s="239" t="s">
        <v>4</v>
      </c>
      <c r="HJ116" s="240">
        <v>0</v>
      </c>
      <c r="HK116" s="239" t="s">
        <v>2</v>
      </c>
      <c r="HL116" s="239" t="s">
        <v>29309</v>
      </c>
      <c r="HM116" s="239" t="s">
        <v>4</v>
      </c>
      <c r="HN116" s="239" t="s">
        <v>4</v>
      </c>
      <c r="HO116" s="239" t="s">
        <v>4</v>
      </c>
      <c r="HP116" s="239" t="s">
        <v>4</v>
      </c>
      <c r="HQ116" s="239" t="s">
        <v>4</v>
      </c>
      <c r="HR116" s="239" t="s">
        <v>4</v>
      </c>
      <c r="HS116" s="239" t="s">
        <v>4</v>
      </c>
      <c r="HT116" s="239" t="s">
        <v>4</v>
      </c>
      <c r="HU116" s="239" t="s">
        <v>2</v>
      </c>
      <c r="HV116" s="239" t="s">
        <v>4</v>
      </c>
      <c r="HW116" s="239" t="s">
        <v>4</v>
      </c>
      <c r="HX116" s="239" t="s">
        <v>4</v>
      </c>
      <c r="HY116" s="239" t="s">
        <v>4</v>
      </c>
      <c r="HZ116" s="239" t="s">
        <v>29468</v>
      </c>
      <c r="IA116" s="239" t="s">
        <v>2</v>
      </c>
      <c r="IB116" s="239" t="s">
        <v>4</v>
      </c>
      <c r="IC116" s="239" t="s">
        <v>16</v>
      </c>
      <c r="ID116" s="239" t="s">
        <v>29469</v>
      </c>
      <c r="IE116" s="239" t="s">
        <v>29470</v>
      </c>
      <c r="IF116" s="239" t="s">
        <v>29471</v>
      </c>
      <c r="IG116" s="239" t="s">
        <v>29472</v>
      </c>
      <c r="IH116" s="239" t="s">
        <v>29460</v>
      </c>
    </row>
    <row r="117" spans="1:242" s="1" customFormat="1" ht="36.75" customHeight="1" x14ac:dyDescent="0.2">
      <c r="A117" s="239">
        <v>158</v>
      </c>
      <c r="B117" s="239" t="s">
        <v>6472</v>
      </c>
      <c r="C117" s="239" t="s">
        <v>30785</v>
      </c>
      <c r="D117" s="239" t="s">
        <v>34</v>
      </c>
      <c r="E117" s="239" t="s">
        <v>7</v>
      </c>
      <c r="F117" s="239" t="s">
        <v>30981</v>
      </c>
      <c r="G117" s="239">
        <v>1144.3</v>
      </c>
      <c r="H117" s="239">
        <v>5</v>
      </c>
      <c r="I117" s="239" t="s">
        <v>29288</v>
      </c>
      <c r="J117" s="239" t="s">
        <v>4</v>
      </c>
      <c r="K117" s="239" t="s">
        <v>30982</v>
      </c>
      <c r="L117" s="239">
        <v>772425288</v>
      </c>
      <c r="M117" s="239" t="s">
        <v>3</v>
      </c>
      <c r="N117" s="239" t="s">
        <v>31598</v>
      </c>
      <c r="O117" s="239" t="s">
        <v>4</v>
      </c>
      <c r="P117" s="239">
        <v>9</v>
      </c>
      <c r="Q117" s="239" t="s">
        <v>7</v>
      </c>
      <c r="R117" s="239" t="s">
        <v>31588</v>
      </c>
      <c r="S117" s="239" t="s">
        <v>4</v>
      </c>
      <c r="T117" s="239" t="s">
        <v>7</v>
      </c>
      <c r="U117" s="239" t="s">
        <v>7</v>
      </c>
      <c r="V117" s="239"/>
      <c r="W117" s="239" t="s">
        <v>7</v>
      </c>
      <c r="X117" s="239" t="s">
        <v>4</v>
      </c>
      <c r="Y117" s="239" t="s">
        <v>4</v>
      </c>
      <c r="Z117" s="241" t="str">
        <f>IF(OR(T117="yes",Y117&gt;'SDG outcome'!$C$27),"yes","no")</f>
        <v>yes</v>
      </c>
      <c r="AA117" s="243">
        <f t="shared" si="1"/>
        <v>0</v>
      </c>
      <c r="AB117" s="243" t="str">
        <f>IF(AND(Z117="no",AND(Y117&gt;='SDG outcome'!$B$16,Y117&lt;'SDG outcome'!$C$27)),Y117-'SDG outcome'!$B$16,"")</f>
        <v/>
      </c>
      <c r="AC117" s="239" t="s">
        <v>4</v>
      </c>
      <c r="AD117" s="239" t="s">
        <v>4</v>
      </c>
      <c r="AE117" s="239" t="s">
        <v>4</v>
      </c>
      <c r="AF117" s="239" t="s">
        <v>4</v>
      </c>
      <c r="AG117" s="239" t="s">
        <v>4</v>
      </c>
      <c r="AH117" s="239" t="s">
        <v>4</v>
      </c>
      <c r="AI117" s="239" t="s">
        <v>4</v>
      </c>
      <c r="AJ117" s="239" t="s">
        <v>29290</v>
      </c>
      <c r="AK117" s="239" t="s">
        <v>29694</v>
      </c>
      <c r="AL117" s="239" t="s">
        <v>4</v>
      </c>
      <c r="AM117" s="239" t="s">
        <v>4</v>
      </c>
      <c r="AN117" s="239" t="s">
        <v>31599</v>
      </c>
      <c r="AO117" s="239" t="s">
        <v>4</v>
      </c>
      <c r="AP117" s="239" t="s">
        <v>31537</v>
      </c>
      <c r="AQ117" s="239" t="s">
        <v>4</v>
      </c>
      <c r="AR117" s="239" t="s">
        <v>31538</v>
      </c>
      <c r="AS117" s="239" t="s">
        <v>4</v>
      </c>
      <c r="AT117" s="239" t="s">
        <v>7</v>
      </c>
      <c r="AU117" s="239" t="s">
        <v>4</v>
      </c>
      <c r="AV117" s="239" t="s">
        <v>4</v>
      </c>
      <c r="AW117" s="239" t="s">
        <v>31550</v>
      </c>
      <c r="AX117" s="239" t="s">
        <v>4</v>
      </c>
      <c r="AY117" s="239" t="s">
        <v>4</v>
      </c>
      <c r="AZ117" s="239" t="s">
        <v>7</v>
      </c>
      <c r="BA117" s="239" t="s">
        <v>76</v>
      </c>
      <c r="BB117" s="239" t="s">
        <v>4</v>
      </c>
      <c r="BC117" s="239" t="s">
        <v>4</v>
      </c>
      <c r="BD117" s="239" t="s">
        <v>4</v>
      </c>
      <c r="BE117" s="239" t="s">
        <v>4</v>
      </c>
      <c r="BF117" s="239" t="s">
        <v>4</v>
      </c>
      <c r="BG117" s="239" t="s">
        <v>4</v>
      </c>
      <c r="BH117" s="239" t="s">
        <v>4</v>
      </c>
      <c r="BI117" s="239" t="s">
        <v>4</v>
      </c>
      <c r="BJ117" s="239" t="s">
        <v>4</v>
      </c>
      <c r="BK117" s="239" t="s">
        <v>4</v>
      </c>
      <c r="BL117" s="239" t="s">
        <v>4</v>
      </c>
      <c r="BM117" s="239" t="s">
        <v>7</v>
      </c>
      <c r="BN117" s="239" t="s">
        <v>6</v>
      </c>
      <c r="BO117" s="239" t="s">
        <v>4</v>
      </c>
      <c r="BP117" s="239" t="s">
        <v>31425</v>
      </c>
      <c r="BQ117" s="239">
        <v>1</v>
      </c>
      <c r="BR117" s="239">
        <v>15</v>
      </c>
      <c r="BS117" s="239" t="s">
        <v>31426</v>
      </c>
      <c r="BT117" s="239"/>
      <c r="BU117" s="239">
        <v>3</v>
      </c>
      <c r="BV117" s="239" cm="1">
        <f t="array" ref="BV117">_xlfn.IFS(BS117="Foreword vehicle",BU117*0,BS117="Human wastes",BU117*0,BS117="Jerrycans",BU117*$BV$228,BS117="Number of Basins",BU117*$BV$229,BS117="Number of Buckets",BU117*$CA$226,BS117="Number of Kgs",BU117*$CA$227,BS117="Number of spades",BU117*$CA$228,BS117="Number of wheelbarrows",BU117*$CA$229,BT117="Foreword vehicle",BU117*0,BT117="Human wastes",BU117*0,BT117="Jerrycans",BU117*$BV$228,BS117="","")</f>
        <v>69</v>
      </c>
      <c r="BW117" s="239">
        <f>IF(BV117="","",Table14[[#This Row],[Calculation: Conversion of metric to Kg manure feeding (Columns: BP, BQ, BR)]]*Table14[[#This Row],[Number of times used to feed biodigester]])</f>
        <v>69</v>
      </c>
      <c r="BX117" s="239" cm="1">
        <f t="array" ref="BX117">_xlfn.IFS(BP117="Number of times per day (1 to 3)",BW117/$BX$226,BP117="Number of times per week (1 to 6)",BW117/$BX$227,BP117="Number of times per Month (1 to 3)",BW117/$BX$228,BW117="","")</f>
        <v>69</v>
      </c>
      <c r="BY117" s="239" t="s">
        <v>22</v>
      </c>
      <c r="BZ117" s="239" t="s">
        <v>4</v>
      </c>
      <c r="CA117" s="239" t="s">
        <v>2</v>
      </c>
      <c r="CB117" s="239" t="s">
        <v>4</v>
      </c>
      <c r="CC117" s="239" t="s">
        <v>4</v>
      </c>
      <c r="CD117" s="239" t="s">
        <v>4</v>
      </c>
      <c r="CE117" s="239" t="s">
        <v>7</v>
      </c>
      <c r="CF117" s="239" t="s">
        <v>31905</v>
      </c>
      <c r="CG117" s="239" t="s">
        <v>4</v>
      </c>
      <c r="CH117" s="239" t="s">
        <v>31578</v>
      </c>
      <c r="CI117" s="239">
        <v>30</v>
      </c>
      <c r="CJ117" s="239">
        <v>0</v>
      </c>
      <c r="CK117" s="239">
        <v>0</v>
      </c>
      <c r="CL117" s="239">
        <v>0</v>
      </c>
      <c r="CM117" s="239">
        <v>0</v>
      </c>
      <c r="CN117" s="239">
        <v>10</v>
      </c>
      <c r="CO117" s="239">
        <v>0</v>
      </c>
      <c r="CP117" s="239">
        <v>0</v>
      </c>
      <c r="CQ117" s="239">
        <v>0</v>
      </c>
      <c r="CR117" s="239">
        <v>0</v>
      </c>
      <c r="CS117" s="239">
        <f>CP117/'SDG outcome'!$C$9*CQ117*CR117</f>
        <v>0</v>
      </c>
      <c r="CT117" s="239">
        <v>10</v>
      </c>
      <c r="CU117" s="239">
        <v>90</v>
      </c>
      <c r="CV117" s="239" t="s">
        <v>31906</v>
      </c>
      <c r="CW117" s="239" t="s">
        <v>4</v>
      </c>
      <c r="CX117" s="239" t="s">
        <v>4</v>
      </c>
      <c r="CY117" s="239" t="s">
        <v>4</v>
      </c>
      <c r="CZ117" s="239" t="s">
        <v>4</v>
      </c>
      <c r="DA117" s="239" t="s">
        <v>4</v>
      </c>
      <c r="DB117" s="239" t="s">
        <v>4</v>
      </c>
      <c r="DC117" s="239" t="s">
        <v>4</v>
      </c>
      <c r="DD117" s="239" t="s">
        <v>4</v>
      </c>
      <c r="DE117" s="239" t="s">
        <v>4</v>
      </c>
      <c r="DF117" s="239">
        <v>0</v>
      </c>
      <c r="DG117" s="239">
        <v>100</v>
      </c>
      <c r="DH117" s="239" t="s">
        <v>31729</v>
      </c>
      <c r="DI117" s="239" t="s">
        <v>4</v>
      </c>
      <c r="DJ117" s="239" t="s">
        <v>4</v>
      </c>
      <c r="DK117" s="239" t="s">
        <v>4</v>
      </c>
      <c r="DL117" s="239" t="s">
        <v>4</v>
      </c>
      <c r="DM117" s="239" t="s">
        <v>4</v>
      </c>
      <c r="DN117" s="239" t="s">
        <v>4</v>
      </c>
      <c r="DO117" s="239">
        <v>4</v>
      </c>
      <c r="DP117" s="239" t="s">
        <v>2</v>
      </c>
      <c r="DQ117" s="239" t="s">
        <v>29292</v>
      </c>
      <c r="DR117" s="239" t="s">
        <v>4</v>
      </c>
      <c r="DS117" s="239" t="s">
        <v>29294</v>
      </c>
      <c r="DT117" s="240" t="s">
        <v>4</v>
      </c>
      <c r="DU117" s="239" t="s">
        <v>29294</v>
      </c>
      <c r="DV117" s="240" t="s">
        <v>4</v>
      </c>
      <c r="DW117" s="239" t="s">
        <v>29295</v>
      </c>
      <c r="DX117" s="239">
        <v>100</v>
      </c>
      <c r="DY117" s="239" t="s">
        <v>29296</v>
      </c>
      <c r="DZ117" s="239">
        <v>100</v>
      </c>
      <c r="EA117" s="239"/>
      <c r="EB117" s="239"/>
      <c r="EC117" s="239"/>
      <c r="ED117" s="239"/>
      <c r="EE117" s="320">
        <f>Table14[[#This Row],[% Fertilizer]]*$DX117/10000</f>
        <v>1</v>
      </c>
      <c r="EF117" s="320">
        <f>Table14[[#This Row],[% bioslurry used as Insecticide/Pesticide]]*$DX117/10000</f>
        <v>0</v>
      </c>
      <c r="EG117" s="320">
        <f>Table14[[#This Row],[% of Bioslurry used as animal feed]]*$DX117/10000</f>
        <v>0</v>
      </c>
      <c r="EH117" s="320">
        <f>Table14[[#This Row],[% of Bioslurry sold]]*$DX117/10000</f>
        <v>0</v>
      </c>
      <c r="EI117" s="320">
        <f>Table14[[#This Row],[% used other way(if used directly)]]*$DX117/10000</f>
        <v>0</v>
      </c>
      <c r="EJ117" s="239"/>
      <c r="EK117" s="239"/>
      <c r="EL117" s="239"/>
      <c r="EM117" s="239"/>
      <c r="EN117" s="239"/>
      <c r="EO117" s="239">
        <f>(Table14[[#This Row],[% Uncovered lagoon greater than 1 meter]]+Table14[[#This Row],[Uncovered lagoon (black watery mass) &lt;1 meter]]+Table14[[#This Row],[% Liquid slurry (brown porridge type)]])*Table14[[#This Row],[% Store it first]]/100</f>
        <v>0</v>
      </c>
      <c r="EP117" s="239"/>
      <c r="EQ117" s="239"/>
      <c r="ER117" s="239"/>
      <c r="ES117" s="239"/>
      <c r="ET117" s="239">
        <f>(Table14[[#This Row],[% Solid storage]]+Table14[[#This Row],[% Sun drying]]+Table14[[#This Row],[% Composting with a roof]]+Table14[[#This Row],[% Composting without a roof]])*Table14[[#This Row],[% Store it first]]/100</f>
        <v>0</v>
      </c>
      <c r="EU117" s="239"/>
      <c r="EV117" s="320">
        <f t="shared" si="8"/>
        <v>0</v>
      </c>
      <c r="EW117" s="320">
        <f t="shared" si="9"/>
        <v>0</v>
      </c>
      <c r="EX117" s="320">
        <f t="shared" si="10"/>
        <v>0</v>
      </c>
      <c r="EY117" s="320">
        <f t="shared" si="11"/>
        <v>0</v>
      </c>
      <c r="EZ117" s="320">
        <f t="shared" si="12"/>
        <v>0</v>
      </c>
      <c r="FA117" s="239"/>
      <c r="FB117" s="239"/>
      <c r="FC117" s="239"/>
      <c r="FD117" s="239">
        <f>Table14[[#This Row],[% I donâ€™t use it / discarded]]+Table14[[#This Row],[% Other (specify)(If you use bioslurry directly)]]+Table14[[#This Row],[% Store it first]]+Table14[[#This Row],[% Use directly for various purposes]]</f>
        <v>100</v>
      </c>
      <c r="FE117" s="239" t="s">
        <v>4</v>
      </c>
      <c r="FF117" s="239"/>
      <c r="FG117" s="239"/>
      <c r="FH117" s="239"/>
      <c r="FI117" s="239"/>
      <c r="FJ117" s="239"/>
      <c r="FK117" s="239" t="s">
        <v>9</v>
      </c>
      <c r="FL117" s="239" t="s">
        <v>30270</v>
      </c>
      <c r="FM117" s="239">
        <v>30</v>
      </c>
      <c r="FN117" s="239"/>
      <c r="FO117" s="239" t="s">
        <v>30983</v>
      </c>
      <c r="FP117" s="239" t="s">
        <v>29298</v>
      </c>
      <c r="FQ117" s="239">
        <v>84</v>
      </c>
      <c r="FR117" s="239" t="s">
        <v>7</v>
      </c>
      <c r="FS117" s="239" t="s">
        <v>29393</v>
      </c>
      <c r="FT117" s="239" t="s">
        <v>4</v>
      </c>
      <c r="FU117" s="239" t="s">
        <v>2</v>
      </c>
      <c r="FV117" s="239" t="s">
        <v>4</v>
      </c>
      <c r="FW117" s="239" t="s">
        <v>4</v>
      </c>
      <c r="FX117" s="239" t="s">
        <v>4</v>
      </c>
      <c r="FY117" s="239" t="s">
        <v>4</v>
      </c>
      <c r="FZ117" s="239" t="s">
        <v>4</v>
      </c>
      <c r="GA117" s="239" t="s">
        <v>4</v>
      </c>
      <c r="GB117" s="240" t="s">
        <v>4</v>
      </c>
      <c r="GC117" s="239" t="s">
        <v>4</v>
      </c>
      <c r="GD117" s="239" t="s">
        <v>2</v>
      </c>
      <c r="GE117" s="239" t="s">
        <v>4</v>
      </c>
      <c r="GF117" s="239" t="s">
        <v>4</v>
      </c>
      <c r="GG117" s="239" t="s">
        <v>7</v>
      </c>
      <c r="GH117" s="239" t="s">
        <v>7</v>
      </c>
      <c r="GI117" s="239" t="s">
        <v>29302</v>
      </c>
      <c r="GJ117" s="239" t="s">
        <v>29817</v>
      </c>
      <c r="GK117" s="239" t="s">
        <v>29304</v>
      </c>
      <c r="GL117" s="239">
        <v>3</v>
      </c>
      <c r="GM117" s="239" t="s">
        <v>29305</v>
      </c>
      <c r="GN117" s="239" t="s">
        <v>29323</v>
      </c>
      <c r="GO117" s="239" t="s">
        <v>4</v>
      </c>
      <c r="GP117" s="239" t="s">
        <v>4</v>
      </c>
      <c r="GQ117" s="239" t="s">
        <v>4</v>
      </c>
      <c r="GR117" s="239" t="s">
        <v>4</v>
      </c>
      <c r="GS117" s="239" t="s">
        <v>4</v>
      </c>
      <c r="GT117" s="239" t="s">
        <v>4</v>
      </c>
      <c r="GU117" s="239" t="s">
        <v>4</v>
      </c>
      <c r="GV117" s="239" t="s">
        <v>4</v>
      </c>
      <c r="GW117" s="239" t="s">
        <v>4</v>
      </c>
      <c r="GX117" s="239" t="s">
        <v>4</v>
      </c>
      <c r="GY117" s="239" t="s">
        <v>4</v>
      </c>
      <c r="GZ117" s="239" t="s">
        <v>4</v>
      </c>
      <c r="HA117" s="239" t="s">
        <v>4</v>
      </c>
      <c r="HB117" s="239" t="s">
        <v>4</v>
      </c>
      <c r="HC117" s="239" t="s">
        <v>4</v>
      </c>
      <c r="HD117" s="239" t="s">
        <v>4</v>
      </c>
      <c r="HE117" s="239" t="s">
        <v>4</v>
      </c>
      <c r="HF117" s="239" t="s">
        <v>4</v>
      </c>
      <c r="HG117" s="239" t="s">
        <v>4</v>
      </c>
      <c r="HH117" s="239" t="s">
        <v>29354</v>
      </c>
      <c r="HI117" s="239" t="s">
        <v>4</v>
      </c>
      <c r="HJ117" s="240">
        <v>0</v>
      </c>
      <c r="HK117" s="239" t="s">
        <v>2</v>
      </c>
      <c r="HL117" s="239" t="s">
        <v>29309</v>
      </c>
      <c r="HM117" s="239" t="s">
        <v>4</v>
      </c>
      <c r="HN117" s="239" t="s">
        <v>4</v>
      </c>
      <c r="HO117" s="239" t="s">
        <v>4</v>
      </c>
      <c r="HP117" s="239" t="s">
        <v>4</v>
      </c>
      <c r="HQ117" s="239" t="s">
        <v>4</v>
      </c>
      <c r="HR117" s="239" t="s">
        <v>4</v>
      </c>
      <c r="HS117" s="239" t="s">
        <v>4</v>
      </c>
      <c r="HT117" s="239" t="s">
        <v>4</v>
      </c>
      <c r="HU117" s="239" t="s">
        <v>2</v>
      </c>
      <c r="HV117" s="239" t="s">
        <v>4</v>
      </c>
      <c r="HW117" s="239" t="s">
        <v>4</v>
      </c>
      <c r="HX117" s="239" t="s">
        <v>4</v>
      </c>
      <c r="HY117" s="239" t="s">
        <v>4</v>
      </c>
      <c r="HZ117" s="239" t="s">
        <v>30984</v>
      </c>
      <c r="IA117" s="239" t="s">
        <v>2</v>
      </c>
      <c r="IB117" s="239" t="s">
        <v>4</v>
      </c>
      <c r="IC117" s="239" t="s">
        <v>30985</v>
      </c>
      <c r="ID117" s="239" t="s">
        <v>30986</v>
      </c>
      <c r="IE117" s="239" t="s">
        <v>30987</v>
      </c>
      <c r="IF117" s="239" t="s">
        <v>30988</v>
      </c>
      <c r="IG117" s="239" t="s">
        <v>30989</v>
      </c>
      <c r="IH117" s="239" t="s">
        <v>30785</v>
      </c>
    </row>
    <row r="118" spans="1:242" s="1" customFormat="1" ht="36.75" customHeight="1" x14ac:dyDescent="0.2">
      <c r="A118" s="239">
        <v>178</v>
      </c>
      <c r="B118" s="239" t="s">
        <v>22979</v>
      </c>
      <c r="C118" s="239" t="s">
        <v>31173</v>
      </c>
      <c r="D118" s="239" t="s">
        <v>56</v>
      </c>
      <c r="E118" s="239" t="s">
        <v>7</v>
      </c>
      <c r="F118" s="239" t="s">
        <v>31174</v>
      </c>
      <c r="G118" s="239">
        <v>1430.1</v>
      </c>
      <c r="H118" s="239">
        <v>4.9000000000000004</v>
      </c>
      <c r="I118" s="239" t="s">
        <v>29389</v>
      </c>
      <c r="J118" s="239" t="s">
        <v>22</v>
      </c>
      <c r="K118" s="239" t="s">
        <v>31175</v>
      </c>
      <c r="L118" s="239">
        <v>788793839</v>
      </c>
      <c r="M118" s="239" t="s">
        <v>5</v>
      </c>
      <c r="N118" s="239" t="s">
        <v>31598</v>
      </c>
      <c r="O118" s="239" t="s">
        <v>4</v>
      </c>
      <c r="P118" s="239">
        <v>4</v>
      </c>
      <c r="Q118" s="239" t="s">
        <v>7</v>
      </c>
      <c r="R118" s="239" t="s">
        <v>31588</v>
      </c>
      <c r="S118" s="239" t="s">
        <v>4</v>
      </c>
      <c r="T118" s="239" t="s">
        <v>7</v>
      </c>
      <c r="U118" s="239" t="s">
        <v>7</v>
      </c>
      <c r="V118" s="239"/>
      <c r="W118" s="239" t="s">
        <v>7</v>
      </c>
      <c r="X118" s="239" t="s">
        <v>4</v>
      </c>
      <c r="Y118" s="239" t="s">
        <v>4</v>
      </c>
      <c r="Z118" s="241" t="str">
        <f>IF(OR(T118="yes",Y118&gt;'SDG outcome'!$C$27),"yes","no")</f>
        <v>yes</v>
      </c>
      <c r="AA118" s="243">
        <f t="shared" si="1"/>
        <v>0</v>
      </c>
      <c r="AB118" s="243" t="str">
        <f>IF(AND(Z118="no",AND(Y118&gt;='SDG outcome'!$B$16,Y118&lt;'SDG outcome'!$C$27)),Y118-'SDG outcome'!$B$16,"")</f>
        <v/>
      </c>
      <c r="AC118" s="239" t="s">
        <v>4</v>
      </c>
      <c r="AD118" s="239" t="s">
        <v>4</v>
      </c>
      <c r="AE118" s="239" t="s">
        <v>4</v>
      </c>
      <c r="AF118" s="239" t="s">
        <v>4</v>
      </c>
      <c r="AG118" s="239" t="s">
        <v>4</v>
      </c>
      <c r="AH118" s="239" t="s">
        <v>4</v>
      </c>
      <c r="AI118" s="239" t="s">
        <v>4</v>
      </c>
      <c r="AJ118" s="239" t="s">
        <v>29290</v>
      </c>
      <c r="AK118" s="239" t="s">
        <v>29694</v>
      </c>
      <c r="AL118" s="239" t="s">
        <v>4</v>
      </c>
      <c r="AM118" s="239" t="s">
        <v>4</v>
      </c>
      <c r="AN118" s="239" t="s">
        <v>31718</v>
      </c>
      <c r="AO118" s="239" t="s">
        <v>4</v>
      </c>
      <c r="AP118" s="239" t="s">
        <v>31537</v>
      </c>
      <c r="AQ118" s="239" t="s">
        <v>4</v>
      </c>
      <c r="AR118" s="239" t="s">
        <v>31538</v>
      </c>
      <c r="AS118" s="239" t="s">
        <v>4</v>
      </c>
      <c r="AT118" s="239" t="s">
        <v>7</v>
      </c>
      <c r="AU118" s="239" t="s">
        <v>4</v>
      </c>
      <c r="AV118" s="239" t="s">
        <v>4</v>
      </c>
      <c r="AW118" s="239" t="s">
        <v>31539</v>
      </c>
      <c r="AX118" s="239" t="s">
        <v>4</v>
      </c>
      <c r="AY118" s="239" t="s">
        <v>4</v>
      </c>
      <c r="AZ118" s="239" t="s">
        <v>2</v>
      </c>
      <c r="BA118" s="239" t="s">
        <v>4</v>
      </c>
      <c r="BB118" s="239" t="s">
        <v>4</v>
      </c>
      <c r="BC118" s="239" t="s">
        <v>31563</v>
      </c>
      <c r="BD118" s="239" t="s">
        <v>22</v>
      </c>
      <c r="BE118" s="239" t="s">
        <v>4</v>
      </c>
      <c r="BF118" s="239" t="s">
        <v>31564</v>
      </c>
      <c r="BG118" s="239" t="s">
        <v>4</v>
      </c>
      <c r="BH118" s="239" t="s">
        <v>31542</v>
      </c>
      <c r="BI118" s="239" t="s">
        <v>31934</v>
      </c>
      <c r="BJ118" s="239" t="s">
        <v>31632</v>
      </c>
      <c r="BK118" s="239">
        <v>3</v>
      </c>
      <c r="BL118" s="239">
        <v>180</v>
      </c>
      <c r="BM118" s="239" t="s">
        <v>7</v>
      </c>
      <c r="BN118" s="239" t="s">
        <v>6</v>
      </c>
      <c r="BO118" s="239" t="s">
        <v>4</v>
      </c>
      <c r="BP118" s="239" t="s">
        <v>31425</v>
      </c>
      <c r="BQ118" s="239">
        <v>1</v>
      </c>
      <c r="BR118" s="239">
        <v>30</v>
      </c>
      <c r="BS118" s="239" t="s">
        <v>31435</v>
      </c>
      <c r="BT118" s="239"/>
      <c r="BU118" s="239">
        <v>1</v>
      </c>
      <c r="BV118" s="239" cm="1">
        <f t="array" ref="BV118">_xlfn.IFS(BS118="Foreword vehicle",BU118*0,BS118="Human wastes",BU118*0,BS118="Jerrycans",BU118*$BV$228,BS118="Number of Basins",BU118*$BV$229,BS118="Number of Buckets",BU118*$CA$226,BS118="Number of Kgs",BU118*$CA$227,BS118="Number of spades",BU118*$CA$228,BS118="Number of wheelbarrows",BU118*$CA$229,BT118="Foreword vehicle",BU118*0,BT118="Human wastes",BU118*0,BT118="Jerrycans",BU118*$BV$228,BS118="","")</f>
        <v>70.5</v>
      </c>
      <c r="BW118" s="239">
        <f>IF(BV118="","",Table14[[#This Row],[Calculation: Conversion of metric to Kg manure feeding (Columns: BP, BQ, BR)]]*Table14[[#This Row],[Number of times used to feed biodigester]])</f>
        <v>70.5</v>
      </c>
      <c r="BX118" s="239" cm="1">
        <f t="array" ref="BX118">_xlfn.IFS(BP118="Number of times per day (1 to 3)",BW118/$BX$226,BP118="Number of times per week (1 to 6)",BW118/$BX$227,BP118="Number of times per Month (1 to 3)",BW118/$BX$228,BW118="","")</f>
        <v>70.5</v>
      </c>
      <c r="BY118" s="239" t="s">
        <v>22</v>
      </c>
      <c r="BZ118" s="239" t="s">
        <v>4</v>
      </c>
      <c r="CA118" s="239" t="s">
        <v>2</v>
      </c>
      <c r="CB118" s="239" t="s">
        <v>4</v>
      </c>
      <c r="CC118" s="239" t="s">
        <v>4</v>
      </c>
      <c r="CD118" s="239" t="s">
        <v>4</v>
      </c>
      <c r="CE118" s="239" t="s">
        <v>7</v>
      </c>
      <c r="CF118" s="239" t="s">
        <v>31935</v>
      </c>
      <c r="CG118" s="239" t="s">
        <v>4</v>
      </c>
      <c r="CH118" s="239" t="s">
        <v>31604</v>
      </c>
      <c r="CI118" s="239">
        <v>30</v>
      </c>
      <c r="CJ118" s="239">
        <v>0</v>
      </c>
      <c r="CK118" s="239">
        <v>0</v>
      </c>
      <c r="CL118" s="239">
        <v>0</v>
      </c>
      <c r="CM118" s="239">
        <v>0</v>
      </c>
      <c r="CN118" s="239">
        <v>0</v>
      </c>
      <c r="CO118" s="239">
        <v>0</v>
      </c>
      <c r="CP118" s="239">
        <v>0</v>
      </c>
      <c r="CQ118" s="239">
        <v>0</v>
      </c>
      <c r="CR118" s="239">
        <v>0</v>
      </c>
      <c r="CS118" s="239">
        <f>CP118/'SDG outcome'!$C$9*CQ118*CR118</f>
        <v>0</v>
      </c>
      <c r="CT118" s="239">
        <v>20</v>
      </c>
      <c r="CU118" s="239">
        <v>80</v>
      </c>
      <c r="CV118" s="239" t="s">
        <v>31936</v>
      </c>
      <c r="CW118" s="239" t="s">
        <v>4</v>
      </c>
      <c r="CX118" s="239" t="s">
        <v>4</v>
      </c>
      <c r="CY118" s="239" t="s">
        <v>4</v>
      </c>
      <c r="CZ118" s="239" t="s">
        <v>4</v>
      </c>
      <c r="DA118" s="239" t="s">
        <v>4</v>
      </c>
      <c r="DB118" s="239" t="s">
        <v>4</v>
      </c>
      <c r="DC118" s="239" t="s">
        <v>4</v>
      </c>
      <c r="DD118" s="239" t="s">
        <v>4</v>
      </c>
      <c r="DE118" s="239" t="s">
        <v>4</v>
      </c>
      <c r="DF118" s="239" t="s">
        <v>4</v>
      </c>
      <c r="DG118" s="239" t="s">
        <v>4</v>
      </c>
      <c r="DH118" s="239" t="s">
        <v>4</v>
      </c>
      <c r="DI118" s="239" t="s">
        <v>4</v>
      </c>
      <c r="DJ118" s="239" t="s">
        <v>4</v>
      </c>
      <c r="DK118" s="239" t="s">
        <v>4</v>
      </c>
      <c r="DL118" s="239" t="s">
        <v>4</v>
      </c>
      <c r="DM118" s="239" t="s">
        <v>4</v>
      </c>
      <c r="DN118" s="239" t="s">
        <v>4</v>
      </c>
      <c r="DO118" s="239">
        <v>2</v>
      </c>
      <c r="DP118" s="239" t="s">
        <v>2</v>
      </c>
      <c r="DQ118" s="239" t="s">
        <v>29375</v>
      </c>
      <c r="DR118" s="239" t="s">
        <v>4</v>
      </c>
      <c r="DS118" s="239" t="s">
        <v>4</v>
      </c>
      <c r="DT118" s="240" t="s">
        <v>4</v>
      </c>
      <c r="DU118" s="239" t="s">
        <v>29294</v>
      </c>
      <c r="DV118" s="240" t="s">
        <v>4</v>
      </c>
      <c r="DW118" s="239" t="s">
        <v>29508</v>
      </c>
      <c r="DX118" s="239"/>
      <c r="DY118" s="239"/>
      <c r="DZ118" s="239"/>
      <c r="EA118" s="239"/>
      <c r="EB118" s="239"/>
      <c r="EC118" s="239"/>
      <c r="ED118" s="239"/>
      <c r="EE118" s="320">
        <f>Table14[[#This Row],[% Fertilizer]]*$DX118/10000</f>
        <v>0</v>
      </c>
      <c r="EF118" s="320">
        <f>Table14[[#This Row],[% bioslurry used as Insecticide/Pesticide]]*$DX118/10000</f>
        <v>0</v>
      </c>
      <c r="EG118" s="320">
        <f>Table14[[#This Row],[% of Bioslurry used as animal feed]]*$DX118/10000</f>
        <v>0</v>
      </c>
      <c r="EH118" s="320">
        <f>Table14[[#This Row],[% of Bioslurry sold]]*$DX118/10000</f>
        <v>0</v>
      </c>
      <c r="EI118" s="320">
        <f>Table14[[#This Row],[% used other way(if used directly)]]*$DX118/10000</f>
        <v>0</v>
      </c>
      <c r="EJ118" s="239">
        <v>100</v>
      </c>
      <c r="EK118" s="239" t="s">
        <v>30667</v>
      </c>
      <c r="EL118" s="239"/>
      <c r="EM118" s="239"/>
      <c r="EN118" s="239">
        <v>100</v>
      </c>
      <c r="EO118" s="239">
        <f>(Table14[[#This Row],[% Uncovered lagoon greater than 1 meter]]+Table14[[#This Row],[Uncovered lagoon (black watery mass) &lt;1 meter]]+Table14[[#This Row],[% Liquid slurry (brown porridge type)]])*Table14[[#This Row],[% Store it first]]/100</f>
        <v>100</v>
      </c>
      <c r="EP118" s="239"/>
      <c r="EQ118" s="239"/>
      <c r="ER118" s="239"/>
      <c r="ES118" s="239"/>
      <c r="ET118" s="239">
        <f>(Table14[[#This Row],[% Solid storage]]+Table14[[#This Row],[% Sun drying]]+Table14[[#This Row],[% Composting with a roof]]+Table14[[#This Row],[% Composting without a roof]])*Table14[[#This Row],[% Store it first]]/100</f>
        <v>0</v>
      </c>
      <c r="EU118" s="239">
        <v>30</v>
      </c>
      <c r="EV118" s="320">
        <f t="shared" si="8"/>
        <v>1</v>
      </c>
      <c r="EW118" s="320">
        <f t="shared" si="9"/>
        <v>0</v>
      </c>
      <c r="EX118" s="320">
        <f t="shared" si="10"/>
        <v>0</v>
      </c>
      <c r="EY118" s="320">
        <f t="shared" si="11"/>
        <v>0</v>
      </c>
      <c r="EZ118" s="320">
        <f t="shared" si="12"/>
        <v>0</v>
      </c>
      <c r="FA118" s="239"/>
      <c r="FB118" s="239"/>
      <c r="FC118" s="239"/>
      <c r="FD118" s="239">
        <f>Table14[[#This Row],[% I donâ€™t use it / discarded]]+Table14[[#This Row],[% Other (specify)(If you use bioslurry directly)]]+Table14[[#This Row],[% Store it first]]+Table14[[#This Row],[% Use directly for various purposes]]</f>
        <v>100</v>
      </c>
      <c r="FE118" s="239" t="s">
        <v>29296</v>
      </c>
      <c r="FF118" s="239">
        <v>100</v>
      </c>
      <c r="FG118" s="239"/>
      <c r="FH118" s="239"/>
      <c r="FI118" s="239"/>
      <c r="FJ118" s="239"/>
      <c r="FK118" s="239">
        <v>4</v>
      </c>
      <c r="FL118" s="239" t="s">
        <v>7</v>
      </c>
      <c r="FM118" s="239">
        <v>40</v>
      </c>
      <c r="FN118" s="239">
        <f>FK118*FM118/100</f>
        <v>1.6</v>
      </c>
      <c r="FO118" s="239" t="s">
        <v>31176</v>
      </c>
      <c r="FP118" s="239" t="s">
        <v>29298</v>
      </c>
      <c r="FQ118" s="239">
        <v>132</v>
      </c>
      <c r="FR118" s="239" t="s">
        <v>7</v>
      </c>
      <c r="FS118" s="239" t="s">
        <v>29393</v>
      </c>
      <c r="FT118" s="239" t="s">
        <v>4</v>
      </c>
      <c r="FU118" s="239" t="s">
        <v>7</v>
      </c>
      <c r="FV118" s="239" t="s">
        <v>29393</v>
      </c>
      <c r="FW118" s="239" t="s">
        <v>4</v>
      </c>
      <c r="FX118" s="239" t="s">
        <v>13</v>
      </c>
      <c r="FY118" s="239" t="s">
        <v>31177</v>
      </c>
      <c r="FZ118" s="239" t="s">
        <v>4</v>
      </c>
      <c r="GA118" s="239" t="s">
        <v>4</v>
      </c>
      <c r="GB118" s="240" t="s">
        <v>4</v>
      </c>
      <c r="GC118" s="239" t="s">
        <v>4</v>
      </c>
      <c r="GD118" s="239" t="s">
        <v>2</v>
      </c>
      <c r="GE118" s="239" t="s">
        <v>4</v>
      </c>
      <c r="GF118" s="239" t="s">
        <v>4</v>
      </c>
      <c r="GG118" s="239" t="s">
        <v>2</v>
      </c>
      <c r="GH118" s="239" t="s">
        <v>2</v>
      </c>
      <c r="GI118" s="239" t="s">
        <v>4</v>
      </c>
      <c r="GJ118" s="239" t="s">
        <v>4</v>
      </c>
      <c r="GK118" s="239" t="s">
        <v>4</v>
      </c>
      <c r="GL118" s="239">
        <v>0</v>
      </c>
      <c r="GM118" s="239"/>
      <c r="GN118" s="239" t="s">
        <v>4</v>
      </c>
      <c r="GO118" s="239" t="s">
        <v>4</v>
      </c>
      <c r="GP118" s="239" t="s">
        <v>4</v>
      </c>
      <c r="GQ118" s="239" t="s">
        <v>4</v>
      </c>
      <c r="GR118" s="239" t="s">
        <v>4</v>
      </c>
      <c r="GS118" s="239" t="s">
        <v>4</v>
      </c>
      <c r="GT118" s="239" t="s">
        <v>4</v>
      </c>
      <c r="GU118" s="239" t="s">
        <v>4</v>
      </c>
      <c r="GV118" s="239" t="s">
        <v>4</v>
      </c>
      <c r="GW118" s="239" t="s">
        <v>29304</v>
      </c>
      <c r="GX118" s="239" t="s">
        <v>29529</v>
      </c>
      <c r="GY118" s="239" t="s">
        <v>4</v>
      </c>
      <c r="GZ118" s="239" t="s">
        <v>4</v>
      </c>
      <c r="HA118" s="239" t="s">
        <v>4</v>
      </c>
      <c r="HB118" s="239" t="s">
        <v>4</v>
      </c>
      <c r="HC118" s="239" t="s">
        <v>29451</v>
      </c>
      <c r="HD118" s="239" t="s">
        <v>4</v>
      </c>
      <c r="HE118" s="239" t="s">
        <v>4</v>
      </c>
      <c r="HF118" s="239" t="s">
        <v>4</v>
      </c>
      <c r="HG118" s="239" t="s">
        <v>4</v>
      </c>
      <c r="HH118" s="239" t="s">
        <v>29354</v>
      </c>
      <c r="HI118" s="239" t="s">
        <v>4</v>
      </c>
      <c r="HJ118" s="240">
        <v>0</v>
      </c>
      <c r="HK118" s="239" t="s">
        <v>2</v>
      </c>
      <c r="HL118" s="239" t="s">
        <v>29480</v>
      </c>
      <c r="HM118" s="239" t="s">
        <v>4</v>
      </c>
      <c r="HN118" s="239" t="s">
        <v>4</v>
      </c>
      <c r="HO118" s="239" t="s">
        <v>4</v>
      </c>
      <c r="HP118" s="239" t="s">
        <v>4</v>
      </c>
      <c r="HQ118" s="239" t="s">
        <v>4</v>
      </c>
      <c r="HR118" s="239" t="s">
        <v>4</v>
      </c>
      <c r="HS118" s="239" t="s">
        <v>4</v>
      </c>
      <c r="HT118" s="239" t="s">
        <v>4</v>
      </c>
      <c r="HU118" s="239" t="s">
        <v>2</v>
      </c>
      <c r="HV118" s="239" t="s">
        <v>4</v>
      </c>
      <c r="HW118" s="239" t="s">
        <v>4</v>
      </c>
      <c r="HX118" s="239" t="s">
        <v>4</v>
      </c>
      <c r="HY118" s="239" t="s">
        <v>4</v>
      </c>
      <c r="HZ118" s="239" t="s">
        <v>16</v>
      </c>
      <c r="IA118" s="239" t="s">
        <v>2</v>
      </c>
      <c r="IB118" s="239" t="s">
        <v>4</v>
      </c>
      <c r="IC118" s="239" t="s">
        <v>31178</v>
      </c>
      <c r="ID118" s="239" t="s">
        <v>31179</v>
      </c>
      <c r="IE118" s="239" t="s">
        <v>31180</v>
      </c>
      <c r="IF118" s="239" t="s">
        <v>31181</v>
      </c>
      <c r="IG118" s="239" t="s">
        <v>9</v>
      </c>
      <c r="IH118" s="239" t="s">
        <v>31173</v>
      </c>
    </row>
    <row r="119" spans="1:242" s="1" customFormat="1" ht="36.75" customHeight="1" x14ac:dyDescent="0.2">
      <c r="A119" s="239">
        <v>184</v>
      </c>
      <c r="B119" s="239" t="s">
        <v>20474</v>
      </c>
      <c r="C119" s="239" t="s">
        <v>31226</v>
      </c>
      <c r="D119" s="239" t="s">
        <v>43</v>
      </c>
      <c r="E119" s="239" t="s">
        <v>7</v>
      </c>
      <c r="F119" s="239" t="s">
        <v>31227</v>
      </c>
      <c r="G119" s="239">
        <v>1453.5</v>
      </c>
      <c r="H119" s="239">
        <v>4.9000000000000004</v>
      </c>
      <c r="I119" s="239" t="s">
        <v>29288</v>
      </c>
      <c r="J119" s="239" t="s">
        <v>4</v>
      </c>
      <c r="K119" s="239" t="s">
        <v>20475</v>
      </c>
      <c r="L119" s="239">
        <v>772412816</v>
      </c>
      <c r="M119" s="239" t="s">
        <v>3</v>
      </c>
      <c r="N119" s="239" t="s">
        <v>31438</v>
      </c>
      <c r="O119" s="239">
        <v>73</v>
      </c>
      <c r="P119" s="239">
        <v>10</v>
      </c>
      <c r="Q119" s="239" t="s">
        <v>7</v>
      </c>
      <c r="R119" s="239" t="s">
        <v>31588</v>
      </c>
      <c r="S119" s="239" t="s">
        <v>4</v>
      </c>
      <c r="T119" s="239" t="s">
        <v>7</v>
      </c>
      <c r="U119" s="239" t="s">
        <v>7</v>
      </c>
      <c r="V119" s="239"/>
      <c r="W119" s="239" t="s">
        <v>7</v>
      </c>
      <c r="X119" s="239" t="s">
        <v>4</v>
      </c>
      <c r="Y119" s="239" t="s">
        <v>4</v>
      </c>
      <c r="Z119" s="241" t="str">
        <f>IF(OR(T119="yes",Y119&gt;'SDG outcome'!$C$27),"yes","no")</f>
        <v>yes</v>
      </c>
      <c r="AA119" s="243">
        <f t="shared" si="1"/>
        <v>0</v>
      </c>
      <c r="AB119" s="243" t="str">
        <f>IF(AND(Z119="no",AND(Y119&gt;='SDG outcome'!$B$16,Y119&lt;'SDG outcome'!$C$27)),Y119-'SDG outcome'!$B$16,"")</f>
        <v/>
      </c>
      <c r="AC119" s="239" t="s">
        <v>4</v>
      </c>
      <c r="AD119" s="239" t="s">
        <v>4</v>
      </c>
      <c r="AE119" s="239" t="s">
        <v>4</v>
      </c>
      <c r="AF119" s="239" t="s">
        <v>4</v>
      </c>
      <c r="AG119" s="239" t="s">
        <v>4</v>
      </c>
      <c r="AH119" s="239" t="s">
        <v>4</v>
      </c>
      <c r="AI119" s="239" t="s">
        <v>4</v>
      </c>
      <c r="AJ119" s="239" t="s">
        <v>29290</v>
      </c>
      <c r="AK119" s="239" t="s">
        <v>29694</v>
      </c>
      <c r="AL119" s="239" t="s">
        <v>4</v>
      </c>
      <c r="AM119" s="239" t="s">
        <v>4</v>
      </c>
      <c r="AN119" s="239" t="s">
        <v>31536</v>
      </c>
      <c r="AO119" s="239" t="s">
        <v>4</v>
      </c>
      <c r="AP119" s="239" t="s">
        <v>31600</v>
      </c>
      <c r="AQ119" s="239" t="s">
        <v>4</v>
      </c>
      <c r="AR119" s="239" t="s">
        <v>31601</v>
      </c>
      <c r="AS119" s="239" t="s">
        <v>4</v>
      </c>
      <c r="AT119" s="239" t="s">
        <v>7</v>
      </c>
      <c r="AU119" s="239" t="s">
        <v>4</v>
      </c>
      <c r="AV119" s="239" t="s">
        <v>4</v>
      </c>
      <c r="AW119" s="239" t="s">
        <v>31539</v>
      </c>
      <c r="AX119" s="239" t="s">
        <v>4</v>
      </c>
      <c r="AY119" s="239" t="s">
        <v>4</v>
      </c>
      <c r="AZ119" s="239" t="s">
        <v>2</v>
      </c>
      <c r="BA119" s="239" t="s">
        <v>4</v>
      </c>
      <c r="BB119" s="239" t="s">
        <v>4</v>
      </c>
      <c r="BC119" s="239" t="s">
        <v>31563</v>
      </c>
      <c r="BD119" s="239" t="s">
        <v>22</v>
      </c>
      <c r="BE119" s="239" t="s">
        <v>4</v>
      </c>
      <c r="BF119" s="239" t="s">
        <v>31564</v>
      </c>
      <c r="BG119" s="239" t="s">
        <v>4</v>
      </c>
      <c r="BH119" s="239" t="s">
        <v>31542</v>
      </c>
      <c r="BI119" s="239" t="s">
        <v>31945</v>
      </c>
      <c r="BJ119" s="239" t="s">
        <v>31544</v>
      </c>
      <c r="BK119" s="239">
        <v>3</v>
      </c>
      <c r="BL119" s="239">
        <v>60</v>
      </c>
      <c r="BM119" s="239" t="s">
        <v>7</v>
      </c>
      <c r="BN119" s="239" t="s">
        <v>6</v>
      </c>
      <c r="BO119" s="239" t="s">
        <v>4</v>
      </c>
      <c r="BP119" s="239" t="s">
        <v>31429</v>
      </c>
      <c r="BQ119" s="239">
        <v>2</v>
      </c>
      <c r="BR119" s="239">
        <v>50</v>
      </c>
      <c r="BS119" s="239" t="s">
        <v>31435</v>
      </c>
      <c r="BT119" s="239"/>
      <c r="BU119" s="239">
        <v>2</v>
      </c>
      <c r="BV119" s="239" cm="1">
        <f t="array" ref="BV119">_xlfn.IFS(BS119="Foreword vehicle",BU119*0,BS119="Human wastes",BU119*0,BS119="Jerrycans",BU119*$BV$228,BS119="Number of Basins",BU119*$BV$229,BS119="Number of Buckets",BU119*$CA$226,BS119="Number of Kgs",BU119*$CA$227,BS119="Number of spades",BU119*$CA$228,BS119="Number of wheelbarrows",BU119*$CA$229,BT119="Foreword vehicle",BU119*0,BT119="Human wastes",BU119*0,BT119="Jerrycans",BU119*$BV$228,BS119="","")</f>
        <v>141</v>
      </c>
      <c r="BW119" s="239">
        <f>IF(BV119="","",Table14[[#This Row],[Calculation: Conversion of metric to Kg manure feeding (Columns: BP, BQ, BR)]]*Table14[[#This Row],[Number of times used to feed biodigester]])</f>
        <v>282</v>
      </c>
      <c r="BX119" s="239" cm="1">
        <f t="array" ref="BX119">_xlfn.IFS(BP119="Number of times per day (1 to 3)",BW119/$BX$226,BP119="Number of times per week (1 to 6)",BW119/$BX$227,BP119="Number of times per Month (1 to 3)",BW119/$BX$228,BW119="","")</f>
        <v>40.285714285714285</v>
      </c>
      <c r="BY119" s="239" t="s">
        <v>22</v>
      </c>
      <c r="BZ119" s="239" t="s">
        <v>4</v>
      </c>
      <c r="CA119" s="239" t="s">
        <v>2</v>
      </c>
      <c r="CB119" s="239" t="s">
        <v>4</v>
      </c>
      <c r="CC119" s="239" t="s">
        <v>4</v>
      </c>
      <c r="CD119" s="239" t="s">
        <v>4</v>
      </c>
      <c r="CE119" s="239" t="s">
        <v>7</v>
      </c>
      <c r="CF119" s="239" t="s">
        <v>31946</v>
      </c>
      <c r="CG119" s="239" t="s">
        <v>4</v>
      </c>
      <c r="CH119" s="239" t="s">
        <v>31578</v>
      </c>
      <c r="CI119" s="239">
        <v>30</v>
      </c>
      <c r="CJ119" s="239">
        <v>0</v>
      </c>
      <c r="CK119" s="239">
        <v>0</v>
      </c>
      <c r="CL119" s="239">
        <v>0</v>
      </c>
      <c r="CM119" s="239">
        <v>0</v>
      </c>
      <c r="CN119" s="239">
        <v>20</v>
      </c>
      <c r="CO119" s="239">
        <v>0</v>
      </c>
      <c r="CP119" s="239">
        <v>0</v>
      </c>
      <c r="CQ119" s="239">
        <v>0</v>
      </c>
      <c r="CR119" s="239">
        <v>0</v>
      </c>
      <c r="CS119" s="239">
        <f>CP119/'SDG outcome'!$C$9*CQ119*CR119</f>
        <v>0</v>
      </c>
      <c r="CT119" s="239">
        <v>30</v>
      </c>
      <c r="CU119" s="239">
        <v>70</v>
      </c>
      <c r="CV119" s="239" t="s">
        <v>31947</v>
      </c>
      <c r="CW119" s="239" t="s">
        <v>4</v>
      </c>
      <c r="CX119" s="239" t="s">
        <v>4</v>
      </c>
      <c r="CY119" s="239" t="s">
        <v>4</v>
      </c>
      <c r="CZ119" s="239" t="s">
        <v>4</v>
      </c>
      <c r="DA119" s="239" t="s">
        <v>4</v>
      </c>
      <c r="DB119" s="239" t="s">
        <v>4</v>
      </c>
      <c r="DC119" s="239" t="s">
        <v>4</v>
      </c>
      <c r="DD119" s="239" t="s">
        <v>4</v>
      </c>
      <c r="DE119" s="239" t="s">
        <v>4</v>
      </c>
      <c r="DF119" s="239">
        <v>0</v>
      </c>
      <c r="DG119" s="239">
        <v>100</v>
      </c>
      <c r="DH119" s="239" t="s">
        <v>31948</v>
      </c>
      <c r="DI119" s="239" t="s">
        <v>4</v>
      </c>
      <c r="DJ119" s="239" t="s">
        <v>4</v>
      </c>
      <c r="DK119" s="239" t="s">
        <v>4</v>
      </c>
      <c r="DL119" s="239" t="s">
        <v>4</v>
      </c>
      <c r="DM119" s="239" t="s">
        <v>4</v>
      </c>
      <c r="DN119" s="239" t="s">
        <v>4</v>
      </c>
      <c r="DO119" s="239">
        <v>4</v>
      </c>
      <c r="DP119" s="239" t="s">
        <v>7</v>
      </c>
      <c r="DQ119" s="239" t="s">
        <v>29292</v>
      </c>
      <c r="DR119" s="239" t="s">
        <v>4</v>
      </c>
      <c r="DS119" s="239" t="s">
        <v>29294</v>
      </c>
      <c r="DT119" s="240" t="s">
        <v>4</v>
      </c>
      <c r="DU119" s="239" t="s">
        <v>29294</v>
      </c>
      <c r="DV119" s="240" t="s">
        <v>4</v>
      </c>
      <c r="DW119" s="239" t="s">
        <v>29442</v>
      </c>
      <c r="DX119" s="239">
        <v>80</v>
      </c>
      <c r="DY119" s="239" t="s">
        <v>29296</v>
      </c>
      <c r="DZ119" s="239">
        <v>100</v>
      </c>
      <c r="EA119" s="239"/>
      <c r="EB119" s="239"/>
      <c r="EC119" s="239"/>
      <c r="ED119" s="239"/>
      <c r="EE119" s="320">
        <f>Table14[[#This Row],[% Fertilizer]]*$DX119/10000</f>
        <v>0.8</v>
      </c>
      <c r="EF119" s="320">
        <f>Table14[[#This Row],[% bioslurry used as Insecticide/Pesticide]]*$DX119/10000</f>
        <v>0</v>
      </c>
      <c r="EG119" s="320">
        <f>Table14[[#This Row],[% of Bioslurry used as animal feed]]*$DX119/10000</f>
        <v>0</v>
      </c>
      <c r="EH119" s="320">
        <f>Table14[[#This Row],[% of Bioslurry sold]]*$DX119/10000</f>
        <v>0</v>
      </c>
      <c r="EI119" s="320">
        <f>Table14[[#This Row],[% used other way(if used directly)]]*$DX119/10000</f>
        <v>0</v>
      </c>
      <c r="EJ119" s="239">
        <v>20</v>
      </c>
      <c r="EK119" s="239" t="s">
        <v>30667</v>
      </c>
      <c r="EL119" s="239"/>
      <c r="EM119" s="239"/>
      <c r="EN119" s="239">
        <v>100</v>
      </c>
      <c r="EO119" s="239">
        <f>(Table14[[#This Row],[% Uncovered lagoon greater than 1 meter]]+Table14[[#This Row],[Uncovered lagoon (black watery mass) &lt;1 meter]]+Table14[[#This Row],[% Liquid slurry (brown porridge type)]])*Table14[[#This Row],[% Store it first]]/100</f>
        <v>20</v>
      </c>
      <c r="EP119" s="239"/>
      <c r="EQ119" s="239"/>
      <c r="ER119" s="239"/>
      <c r="ES119" s="239"/>
      <c r="ET119" s="239">
        <f>(Table14[[#This Row],[% Solid storage]]+Table14[[#This Row],[% Sun drying]]+Table14[[#This Row],[% Composting with a roof]]+Table14[[#This Row],[% Composting without a roof]])*Table14[[#This Row],[% Store it first]]/100</f>
        <v>0</v>
      </c>
      <c r="EU119" s="239">
        <v>10</v>
      </c>
      <c r="EV119" s="320">
        <f t="shared" si="8"/>
        <v>0.2</v>
      </c>
      <c r="EW119" s="320">
        <f t="shared" si="9"/>
        <v>0</v>
      </c>
      <c r="EX119" s="320">
        <f t="shared" si="10"/>
        <v>0</v>
      </c>
      <c r="EY119" s="320">
        <f t="shared" si="11"/>
        <v>0</v>
      </c>
      <c r="EZ119" s="320">
        <f t="shared" si="12"/>
        <v>0</v>
      </c>
      <c r="FA119" s="239"/>
      <c r="FB119" s="239"/>
      <c r="FC119" s="239"/>
      <c r="FD119" s="239">
        <f>Table14[[#This Row],[% I donâ€™t use it / discarded]]+Table14[[#This Row],[% Other use of bioslurry(What do you do with the slurry from your biodigester )]]+Table14[[#This Row],[% Store it first]]+Table14[[#This Row],[% Use directly for various purposes]]</f>
        <v>100</v>
      </c>
      <c r="FE119" s="239" t="s">
        <v>29296</v>
      </c>
      <c r="FF119" s="239">
        <v>100</v>
      </c>
      <c r="FG119" s="239"/>
      <c r="FH119" s="239"/>
      <c r="FI119" s="239"/>
      <c r="FJ119" s="239"/>
      <c r="FK119" s="239" t="s">
        <v>9</v>
      </c>
      <c r="FL119" s="239" t="s">
        <v>7</v>
      </c>
      <c r="FM119" s="239">
        <v>40</v>
      </c>
      <c r="FN119" s="239"/>
      <c r="FO119" s="239" t="s">
        <v>29952</v>
      </c>
      <c r="FP119" s="239" t="s">
        <v>29298</v>
      </c>
      <c r="FQ119" s="239">
        <v>130</v>
      </c>
      <c r="FR119" s="239" t="s">
        <v>7</v>
      </c>
      <c r="FS119" s="239" t="s">
        <v>29393</v>
      </c>
      <c r="FT119" s="239" t="s">
        <v>4</v>
      </c>
      <c r="FU119" s="239" t="s">
        <v>7</v>
      </c>
      <c r="FV119" s="239" t="s">
        <v>29555</v>
      </c>
      <c r="FW119" s="239" t="s">
        <v>4</v>
      </c>
      <c r="FX119" s="239" t="s">
        <v>13</v>
      </c>
      <c r="FY119" s="239" t="s">
        <v>31228</v>
      </c>
      <c r="FZ119" s="239" t="s">
        <v>4</v>
      </c>
      <c r="GA119" s="239" t="s">
        <v>4</v>
      </c>
      <c r="GB119" s="240" t="s">
        <v>4</v>
      </c>
      <c r="GC119" s="239" t="s">
        <v>4</v>
      </c>
      <c r="GD119" s="239" t="s">
        <v>2</v>
      </c>
      <c r="GE119" s="239" t="s">
        <v>4</v>
      </c>
      <c r="GF119" s="239" t="s">
        <v>4</v>
      </c>
      <c r="GG119" s="239" t="s">
        <v>7</v>
      </c>
      <c r="GH119" s="239" t="s">
        <v>2</v>
      </c>
      <c r="GI119" s="239" t="s">
        <v>4</v>
      </c>
      <c r="GJ119" s="239" t="s">
        <v>4</v>
      </c>
      <c r="GK119" s="239" t="s">
        <v>29304</v>
      </c>
      <c r="GL119" s="239">
        <v>2</v>
      </c>
      <c r="GM119" s="239" t="s">
        <v>29478</v>
      </c>
      <c r="GN119" s="239" t="s">
        <v>29306</v>
      </c>
      <c r="GO119" s="239" t="s">
        <v>31229</v>
      </c>
      <c r="GP119" s="239" t="s">
        <v>4</v>
      </c>
      <c r="GQ119" s="239" t="s">
        <v>4</v>
      </c>
      <c r="GR119" s="239" t="s">
        <v>4</v>
      </c>
      <c r="GS119" s="239" t="s">
        <v>4</v>
      </c>
      <c r="GT119" s="239" t="s">
        <v>4</v>
      </c>
      <c r="GU119" s="239" t="s">
        <v>4</v>
      </c>
      <c r="GV119" s="239" t="s">
        <v>4</v>
      </c>
      <c r="GW119" s="239" t="s">
        <v>4</v>
      </c>
      <c r="GX119" s="239" t="s">
        <v>4</v>
      </c>
      <c r="GY119" s="239" t="s">
        <v>4</v>
      </c>
      <c r="GZ119" s="239" t="s">
        <v>4</v>
      </c>
      <c r="HA119" s="239" t="s">
        <v>4</v>
      </c>
      <c r="HB119" s="239" t="s">
        <v>4</v>
      </c>
      <c r="HC119" s="239" t="s">
        <v>4</v>
      </c>
      <c r="HD119" s="239" t="s">
        <v>4</v>
      </c>
      <c r="HE119" s="239" t="s">
        <v>4</v>
      </c>
      <c r="HF119" s="239" t="s">
        <v>4</v>
      </c>
      <c r="HG119" s="239" t="s">
        <v>4</v>
      </c>
      <c r="HH119" s="239" t="s">
        <v>29354</v>
      </c>
      <c r="HI119" s="239" t="s">
        <v>4</v>
      </c>
      <c r="HJ119" s="240">
        <v>0</v>
      </c>
      <c r="HK119" s="239" t="s">
        <v>2</v>
      </c>
      <c r="HL119" s="239" t="s">
        <v>29309</v>
      </c>
      <c r="HM119" s="239" t="s">
        <v>4</v>
      </c>
      <c r="HN119" s="239" t="s">
        <v>4</v>
      </c>
      <c r="HO119" s="239" t="s">
        <v>4</v>
      </c>
      <c r="HP119" s="239" t="s">
        <v>4</v>
      </c>
      <c r="HQ119" s="239" t="s">
        <v>4</v>
      </c>
      <c r="HR119" s="239" t="s">
        <v>4</v>
      </c>
      <c r="HS119" s="239" t="s">
        <v>4</v>
      </c>
      <c r="HT119" s="239" t="s">
        <v>4</v>
      </c>
      <c r="HU119" s="239" t="s">
        <v>2</v>
      </c>
      <c r="HV119" s="239" t="s">
        <v>4</v>
      </c>
      <c r="HW119" s="239" t="s">
        <v>4</v>
      </c>
      <c r="HX119" s="239" t="s">
        <v>4</v>
      </c>
      <c r="HY119" s="239" t="s">
        <v>4</v>
      </c>
      <c r="HZ119" s="239" t="s">
        <v>31230</v>
      </c>
      <c r="IA119" s="239" t="s">
        <v>2</v>
      </c>
      <c r="IB119" s="239" t="s">
        <v>4</v>
      </c>
      <c r="IC119" s="239" t="s">
        <v>16</v>
      </c>
      <c r="ID119" s="239" t="s">
        <v>31231</v>
      </c>
      <c r="IE119" s="239" t="s">
        <v>31232</v>
      </c>
      <c r="IF119" s="239" t="s">
        <v>31233</v>
      </c>
      <c r="IG119" s="239" t="s">
        <v>31234</v>
      </c>
      <c r="IH119" s="239" t="s">
        <v>31235</v>
      </c>
    </row>
    <row r="120" spans="1:242" s="1" customFormat="1" ht="36.75" customHeight="1" x14ac:dyDescent="0.2">
      <c r="A120" s="239">
        <v>188</v>
      </c>
      <c r="B120" s="239" t="s">
        <v>23692</v>
      </c>
      <c r="C120" s="239" t="s">
        <v>31263</v>
      </c>
      <c r="D120" s="239" t="s">
        <v>43</v>
      </c>
      <c r="E120" s="239" t="s">
        <v>7</v>
      </c>
      <c r="F120" s="239" t="s">
        <v>31264</v>
      </c>
      <c r="G120" s="239">
        <v>1415.3</v>
      </c>
      <c r="H120" s="239">
        <v>4.9000000000000004</v>
      </c>
      <c r="I120" s="239" t="s">
        <v>29288</v>
      </c>
      <c r="J120" s="239" t="s">
        <v>4</v>
      </c>
      <c r="K120" s="239" t="s">
        <v>31265</v>
      </c>
      <c r="L120" s="239">
        <v>777912044</v>
      </c>
      <c r="M120" s="239" t="s">
        <v>3</v>
      </c>
      <c r="N120" s="239" t="s">
        <v>31590</v>
      </c>
      <c r="O120" s="239" t="s">
        <v>4</v>
      </c>
      <c r="P120" s="239">
        <v>10</v>
      </c>
      <c r="Q120" s="239" t="s">
        <v>7</v>
      </c>
      <c r="R120" s="239" t="s">
        <v>31588</v>
      </c>
      <c r="S120" s="239" t="s">
        <v>4</v>
      </c>
      <c r="T120" s="239" t="s">
        <v>7</v>
      </c>
      <c r="U120" s="239" t="s">
        <v>7</v>
      </c>
      <c r="V120" s="239"/>
      <c r="W120" s="239" t="s">
        <v>7</v>
      </c>
      <c r="X120" s="239" t="s">
        <v>4</v>
      </c>
      <c r="Y120" s="239" t="s">
        <v>4</v>
      </c>
      <c r="Z120" s="241" t="str">
        <f>IF(OR(T120="yes",Y120&gt;'SDG outcome'!$C$27),"yes","no")</f>
        <v>yes</v>
      </c>
      <c r="AA120" s="243">
        <f t="shared" si="1"/>
        <v>0</v>
      </c>
      <c r="AB120" s="243" t="str">
        <f>IF(AND(Z120="no",AND(Y120&gt;='SDG outcome'!$B$16,Y120&lt;'SDG outcome'!$C$27)),Y120-'SDG outcome'!$B$16,"")</f>
        <v/>
      </c>
      <c r="AC120" s="239" t="s">
        <v>4</v>
      </c>
      <c r="AD120" s="239" t="s">
        <v>4</v>
      </c>
      <c r="AE120" s="239" t="s">
        <v>4</v>
      </c>
      <c r="AF120" s="239" t="s">
        <v>4</v>
      </c>
      <c r="AG120" s="239" t="s">
        <v>4</v>
      </c>
      <c r="AH120" s="239" t="s">
        <v>4</v>
      </c>
      <c r="AI120" s="239" t="s">
        <v>4</v>
      </c>
      <c r="AJ120" s="239" t="s">
        <v>29290</v>
      </c>
      <c r="AK120" s="239" t="s">
        <v>29694</v>
      </c>
      <c r="AL120" s="239" t="s">
        <v>4</v>
      </c>
      <c r="AM120" s="239" t="s">
        <v>4</v>
      </c>
      <c r="AN120" s="239" t="s">
        <v>31718</v>
      </c>
      <c r="AO120" s="239" t="s">
        <v>4</v>
      </c>
      <c r="AP120" s="239" t="s">
        <v>31600</v>
      </c>
      <c r="AQ120" s="239" t="s">
        <v>4</v>
      </c>
      <c r="AR120" s="239" t="s">
        <v>31538</v>
      </c>
      <c r="AS120" s="239" t="s">
        <v>4</v>
      </c>
      <c r="AT120" s="239" t="s">
        <v>7</v>
      </c>
      <c r="AU120" s="239" t="s">
        <v>4</v>
      </c>
      <c r="AV120" s="239" t="s">
        <v>4</v>
      </c>
      <c r="AW120" s="239" t="s">
        <v>31550</v>
      </c>
      <c r="AX120" s="239" t="s">
        <v>4</v>
      </c>
      <c r="AY120" s="239" t="s">
        <v>4</v>
      </c>
      <c r="AZ120" s="239" t="s">
        <v>7</v>
      </c>
      <c r="BA120" s="239" t="s">
        <v>28</v>
      </c>
      <c r="BB120" s="239" t="s">
        <v>4</v>
      </c>
      <c r="BC120" s="239" t="s">
        <v>4</v>
      </c>
      <c r="BD120" s="239" t="s">
        <v>4</v>
      </c>
      <c r="BE120" s="239" t="s">
        <v>4</v>
      </c>
      <c r="BF120" s="239" t="s">
        <v>4</v>
      </c>
      <c r="BG120" s="239" t="s">
        <v>4</v>
      </c>
      <c r="BH120" s="239" t="s">
        <v>4</v>
      </c>
      <c r="BI120" s="239" t="s">
        <v>4</v>
      </c>
      <c r="BJ120" s="239" t="s">
        <v>4</v>
      </c>
      <c r="BK120" s="239" t="s">
        <v>4</v>
      </c>
      <c r="BL120" s="239" t="s">
        <v>4</v>
      </c>
      <c r="BM120" s="239" t="s">
        <v>7</v>
      </c>
      <c r="BN120" s="239" t="s">
        <v>11</v>
      </c>
      <c r="BO120" s="239" t="s">
        <v>4</v>
      </c>
      <c r="BP120" s="239" t="s">
        <v>31425</v>
      </c>
      <c r="BQ120" s="239">
        <v>1</v>
      </c>
      <c r="BR120" s="239">
        <v>30</v>
      </c>
      <c r="BS120" s="239" t="s">
        <v>31426</v>
      </c>
      <c r="BT120" s="239"/>
      <c r="BU120" s="239">
        <v>4</v>
      </c>
      <c r="BV120" s="239" cm="1">
        <f t="array" ref="BV120">_xlfn.IFS(BS120="Foreword vehicle",BU120*0,BS120="Human wastes",BU120*0,BS120="Jerrycans",BU120*$BV$228,BS120="Number of Basins",BU120*$BV$229,BS120="Number of Buckets",BU120*$CA$226,BS120="Number of Kgs",BU120*$CA$227,BS120="Number of spades",BU120*$CA$228,BS120="Number of wheelbarrows",BU120*$CA$229,BT120="Foreword vehicle",BU120*0,BT120="Human wastes",BU120*0,BT120="Jerrycans",BU120*$BV$228,BS120="","")</f>
        <v>92</v>
      </c>
      <c r="BW120" s="239">
        <f>IF(BV120="","",Table14[[#This Row],[Calculation: Conversion of metric to Kg manure feeding (Columns: BP, BQ, BR)]]*Table14[[#This Row],[Number of times used to feed biodigester]])</f>
        <v>92</v>
      </c>
      <c r="BX120" s="239" cm="1">
        <f t="array" ref="BX120">_xlfn.IFS(BP120="Number of times per day (1 to 3)",BW120/$BX$226,BP120="Number of times per week (1 to 6)",BW120/$BX$227,BP120="Number of times per Month (1 to 3)",BW120/$BX$228,BW120="","")</f>
        <v>92</v>
      </c>
      <c r="BY120" s="239" t="s">
        <v>22</v>
      </c>
      <c r="BZ120" s="239" t="s">
        <v>4</v>
      </c>
      <c r="CA120" s="239" t="s">
        <v>2</v>
      </c>
      <c r="CB120" s="239" t="s">
        <v>4</v>
      </c>
      <c r="CC120" s="239" t="s">
        <v>4</v>
      </c>
      <c r="CD120" s="239" t="s">
        <v>4</v>
      </c>
      <c r="CE120" s="239" t="s">
        <v>7</v>
      </c>
      <c r="CF120" s="239" t="s">
        <v>31954</v>
      </c>
      <c r="CG120" s="239" t="s">
        <v>4</v>
      </c>
      <c r="CH120" s="239" t="s">
        <v>31604</v>
      </c>
      <c r="CI120" s="239">
        <v>20</v>
      </c>
      <c r="CJ120" s="239">
        <v>0</v>
      </c>
      <c r="CK120" s="239">
        <v>0</v>
      </c>
      <c r="CL120" s="239">
        <v>0</v>
      </c>
      <c r="CM120" s="239">
        <v>0</v>
      </c>
      <c r="CN120" s="239">
        <v>0</v>
      </c>
      <c r="CO120" s="239">
        <v>0</v>
      </c>
      <c r="CP120" s="239">
        <v>0</v>
      </c>
      <c r="CQ120" s="239">
        <v>0</v>
      </c>
      <c r="CR120" s="239">
        <v>0</v>
      </c>
      <c r="CS120" s="239">
        <f>CP120/'SDG outcome'!$C$9*CQ120*CR120</f>
        <v>0</v>
      </c>
      <c r="CT120" s="239">
        <v>50</v>
      </c>
      <c r="CU120" s="239">
        <v>50</v>
      </c>
      <c r="CV120" s="239" t="s">
        <v>31955</v>
      </c>
      <c r="CW120" s="239" t="s">
        <v>4</v>
      </c>
      <c r="CX120" s="239" t="s">
        <v>4</v>
      </c>
      <c r="CY120" s="239" t="s">
        <v>4</v>
      </c>
      <c r="CZ120" s="239" t="s">
        <v>4</v>
      </c>
      <c r="DA120" s="239" t="s">
        <v>4</v>
      </c>
      <c r="DB120" s="239" t="s">
        <v>4</v>
      </c>
      <c r="DC120" s="239" t="s">
        <v>4</v>
      </c>
      <c r="DD120" s="239" t="s">
        <v>4</v>
      </c>
      <c r="DE120" s="239" t="s">
        <v>4</v>
      </c>
      <c r="DF120" s="239" t="s">
        <v>4</v>
      </c>
      <c r="DG120" s="239" t="s">
        <v>4</v>
      </c>
      <c r="DH120" s="239" t="s">
        <v>4</v>
      </c>
      <c r="DI120" s="239" t="s">
        <v>4</v>
      </c>
      <c r="DJ120" s="239" t="s">
        <v>4</v>
      </c>
      <c r="DK120" s="239" t="s">
        <v>4</v>
      </c>
      <c r="DL120" s="239" t="s">
        <v>4</v>
      </c>
      <c r="DM120" s="239" t="s">
        <v>4</v>
      </c>
      <c r="DN120" s="239" t="s">
        <v>4</v>
      </c>
      <c r="DO120" s="239">
        <v>2</v>
      </c>
      <c r="DP120" s="239" t="s">
        <v>2</v>
      </c>
      <c r="DQ120" s="239" t="s">
        <v>29292</v>
      </c>
      <c r="DR120" s="239" t="s">
        <v>4</v>
      </c>
      <c r="DS120" s="239" t="s">
        <v>29294</v>
      </c>
      <c r="DT120" s="240" t="s">
        <v>4</v>
      </c>
      <c r="DU120" s="239" t="s">
        <v>29294</v>
      </c>
      <c r="DV120" s="240" t="s">
        <v>4</v>
      </c>
      <c r="DW120" s="239" t="s">
        <v>29442</v>
      </c>
      <c r="DX120" s="239">
        <v>80</v>
      </c>
      <c r="DY120" s="239" t="s">
        <v>29296</v>
      </c>
      <c r="DZ120" s="239">
        <v>100</v>
      </c>
      <c r="EA120" s="239"/>
      <c r="EB120" s="239"/>
      <c r="EC120" s="239"/>
      <c r="ED120" s="239"/>
      <c r="EE120" s="320">
        <f>Table14[[#This Row],[% Fertilizer]]*$DX120/10000</f>
        <v>0.8</v>
      </c>
      <c r="EF120" s="320">
        <f>Table14[[#This Row],[% bioslurry used as Insecticide/Pesticide]]*$DX120/10000</f>
        <v>0</v>
      </c>
      <c r="EG120" s="320">
        <f>Table14[[#This Row],[% of Bioslurry used as animal feed]]*$DX120/10000</f>
        <v>0</v>
      </c>
      <c r="EH120" s="320">
        <f>Table14[[#This Row],[% of Bioslurry sold]]*$DX120/10000</f>
        <v>0</v>
      </c>
      <c r="EI120" s="320">
        <f>Table14[[#This Row],[% used other way(if used directly)]]*$DX120/10000</f>
        <v>0</v>
      </c>
      <c r="EJ120" s="239">
        <v>20</v>
      </c>
      <c r="EK120" s="239" t="s">
        <v>29443</v>
      </c>
      <c r="EL120" s="239"/>
      <c r="EM120" s="239"/>
      <c r="EN120" s="239"/>
      <c r="EO120" s="239">
        <f>(Table14[[#This Row],[% Uncovered lagoon greater than 1 meter]]+Table14[[#This Row],[Uncovered lagoon (black watery mass) &lt;1 meter]]+Table14[[#This Row],[% Liquid slurry (brown porridge type)]])*Table14[[#This Row],[% Store it first]]/100</f>
        <v>0</v>
      </c>
      <c r="EP120" s="239"/>
      <c r="EQ120" s="239"/>
      <c r="ER120" s="239"/>
      <c r="ES120" s="239">
        <v>100</v>
      </c>
      <c r="ET120" s="239">
        <f>(Table14[[#This Row],[% Solid storage]]+Table14[[#This Row],[% Sun drying]]+Table14[[#This Row],[% Composting with a roof]]+Table14[[#This Row],[% Composting without a roof]])*Table14[[#This Row],[% Store it first]]/100</f>
        <v>20</v>
      </c>
      <c r="EU120" s="239">
        <v>30</v>
      </c>
      <c r="EV120" s="320">
        <f t="shared" si="8"/>
        <v>0.2</v>
      </c>
      <c r="EW120" s="320">
        <f t="shared" si="9"/>
        <v>0</v>
      </c>
      <c r="EX120" s="320">
        <f t="shared" si="10"/>
        <v>0</v>
      </c>
      <c r="EY120" s="320">
        <f t="shared" si="11"/>
        <v>0</v>
      </c>
      <c r="EZ120" s="320">
        <f t="shared" si="12"/>
        <v>0</v>
      </c>
      <c r="FA120" s="239"/>
      <c r="FB120" s="239"/>
      <c r="FC120" s="239"/>
      <c r="FD120" s="239">
        <f>Table14[[#This Row],[% I donâ€™t use it / discarded]]+Table14[[#This Row],[% Other use of bioslurry(What do you do with the slurry from your biodigester )]]+Table14[[#This Row],[% Store it first]]+Table14[[#This Row],[% Use directly for various purposes]]</f>
        <v>100</v>
      </c>
      <c r="FE120" s="239" t="s">
        <v>29296</v>
      </c>
      <c r="FF120" s="239">
        <v>100</v>
      </c>
      <c r="FG120" s="239"/>
      <c r="FH120" s="239"/>
      <c r="FI120" s="239"/>
      <c r="FJ120" s="239"/>
      <c r="FK120" s="239" t="s">
        <v>9</v>
      </c>
      <c r="FL120" s="239" t="s">
        <v>7</v>
      </c>
      <c r="FM120" s="239">
        <v>30</v>
      </c>
      <c r="FN120" s="239"/>
      <c r="FO120" s="239" t="s">
        <v>29952</v>
      </c>
      <c r="FP120" s="239" t="s">
        <v>29298</v>
      </c>
      <c r="FQ120" s="239">
        <v>67</v>
      </c>
      <c r="FR120" s="239" t="s">
        <v>7</v>
      </c>
      <c r="FS120" s="239" t="s">
        <v>29555</v>
      </c>
      <c r="FT120" s="239" t="s">
        <v>4</v>
      </c>
      <c r="FU120" s="239" t="s">
        <v>2</v>
      </c>
      <c r="FV120" s="239" t="s">
        <v>4</v>
      </c>
      <c r="FW120" s="239" t="s">
        <v>4</v>
      </c>
      <c r="FX120" s="239" t="s">
        <v>4</v>
      </c>
      <c r="FY120" s="239" t="s">
        <v>4</v>
      </c>
      <c r="FZ120" s="239" t="s">
        <v>4</v>
      </c>
      <c r="GA120" s="239" t="s">
        <v>4</v>
      </c>
      <c r="GB120" s="240" t="s">
        <v>4</v>
      </c>
      <c r="GC120" s="239" t="s">
        <v>4</v>
      </c>
      <c r="GD120" s="239" t="s">
        <v>2</v>
      </c>
      <c r="GE120" s="239" t="s">
        <v>4</v>
      </c>
      <c r="GF120" s="239" t="s">
        <v>4</v>
      </c>
      <c r="GG120" s="239" t="s">
        <v>7</v>
      </c>
      <c r="GH120" s="239" t="s">
        <v>7</v>
      </c>
      <c r="GI120" s="239" t="s">
        <v>29302</v>
      </c>
      <c r="GJ120" s="239" t="s">
        <v>31266</v>
      </c>
      <c r="GK120" s="239" t="s">
        <v>29304</v>
      </c>
      <c r="GL120" s="239">
        <v>1</v>
      </c>
      <c r="GM120" s="239" t="s">
        <v>29478</v>
      </c>
      <c r="GN120" s="239" t="s">
        <v>29306</v>
      </c>
      <c r="GO120" s="239" t="s">
        <v>31229</v>
      </c>
      <c r="GP120" s="239" t="s">
        <v>4</v>
      </c>
      <c r="GQ120" s="239" t="s">
        <v>4</v>
      </c>
      <c r="GR120" s="239" t="s">
        <v>4</v>
      </c>
      <c r="GS120" s="239" t="s">
        <v>4</v>
      </c>
      <c r="GT120" s="239" t="s">
        <v>4</v>
      </c>
      <c r="GU120" s="239" t="s">
        <v>4</v>
      </c>
      <c r="GV120" s="239" t="s">
        <v>4</v>
      </c>
      <c r="GW120" s="239" t="s">
        <v>4</v>
      </c>
      <c r="GX120" s="239" t="s">
        <v>4</v>
      </c>
      <c r="GY120" s="239" t="s">
        <v>4</v>
      </c>
      <c r="GZ120" s="239" t="s">
        <v>4</v>
      </c>
      <c r="HA120" s="239" t="s">
        <v>4</v>
      </c>
      <c r="HB120" s="239" t="s">
        <v>4</v>
      </c>
      <c r="HC120" s="239" t="s">
        <v>4</v>
      </c>
      <c r="HD120" s="239" t="s">
        <v>4</v>
      </c>
      <c r="HE120" s="239" t="s">
        <v>4</v>
      </c>
      <c r="HF120" s="239" t="s">
        <v>4</v>
      </c>
      <c r="HG120" s="239" t="s">
        <v>4</v>
      </c>
      <c r="HH120" s="239" t="s">
        <v>29354</v>
      </c>
      <c r="HI120" s="239" t="s">
        <v>4</v>
      </c>
      <c r="HJ120" s="240">
        <v>0</v>
      </c>
      <c r="HK120" s="239" t="s">
        <v>2</v>
      </c>
      <c r="HL120" s="239" t="s">
        <v>29309</v>
      </c>
      <c r="HM120" s="239" t="s">
        <v>4</v>
      </c>
      <c r="HN120" s="239" t="s">
        <v>4</v>
      </c>
      <c r="HO120" s="239" t="s">
        <v>4</v>
      </c>
      <c r="HP120" s="239" t="s">
        <v>4</v>
      </c>
      <c r="HQ120" s="239" t="s">
        <v>4</v>
      </c>
      <c r="HR120" s="239" t="s">
        <v>4</v>
      </c>
      <c r="HS120" s="239" t="s">
        <v>4</v>
      </c>
      <c r="HT120" s="239" t="s">
        <v>4</v>
      </c>
      <c r="HU120" s="239" t="s">
        <v>2</v>
      </c>
      <c r="HV120" s="239" t="s">
        <v>4</v>
      </c>
      <c r="HW120" s="239" t="s">
        <v>4</v>
      </c>
      <c r="HX120" s="239" t="s">
        <v>4</v>
      </c>
      <c r="HY120" s="239" t="s">
        <v>4</v>
      </c>
      <c r="HZ120" s="239" t="s">
        <v>16</v>
      </c>
      <c r="IA120" s="239" t="s">
        <v>7</v>
      </c>
      <c r="IB120" s="239" t="s">
        <v>31267</v>
      </c>
      <c r="IC120" s="239" t="s">
        <v>16</v>
      </c>
      <c r="ID120" s="239" t="s">
        <v>31268</v>
      </c>
      <c r="IE120" s="239" t="s">
        <v>31269</v>
      </c>
      <c r="IF120" s="239" t="s">
        <v>31270</v>
      </c>
      <c r="IG120" s="239" t="s">
        <v>31271</v>
      </c>
      <c r="IH120" s="239" t="s">
        <v>31263</v>
      </c>
    </row>
    <row r="121" spans="1:242" s="1" customFormat="1" ht="36.75" customHeight="1" x14ac:dyDescent="0.2">
      <c r="A121" s="239">
        <v>42</v>
      </c>
      <c r="B121" s="239" t="s">
        <v>25572</v>
      </c>
      <c r="C121" s="239" t="s">
        <v>29620</v>
      </c>
      <c r="D121" s="239" t="s">
        <v>29799</v>
      </c>
      <c r="E121" s="239" t="s">
        <v>7</v>
      </c>
      <c r="F121" s="239" t="s">
        <v>29800</v>
      </c>
      <c r="G121" s="239">
        <v>1594.883789</v>
      </c>
      <c r="H121" s="239">
        <v>4.6123469999999998</v>
      </c>
      <c r="I121" s="239" t="s">
        <v>29389</v>
      </c>
      <c r="J121" s="239" t="s">
        <v>30482</v>
      </c>
      <c r="K121" s="239" t="s">
        <v>29801</v>
      </c>
      <c r="L121" s="239">
        <v>770394777</v>
      </c>
      <c r="M121" s="239" t="s">
        <v>5</v>
      </c>
      <c r="N121" s="239" t="s">
        <v>31598</v>
      </c>
      <c r="O121" s="239" t="s">
        <v>4</v>
      </c>
      <c r="P121" s="239">
        <v>10</v>
      </c>
      <c r="Q121" s="239" t="s">
        <v>7</v>
      </c>
      <c r="R121" s="239" t="s">
        <v>31588</v>
      </c>
      <c r="S121" s="239" t="s">
        <v>4</v>
      </c>
      <c r="T121" s="239" t="s">
        <v>7</v>
      </c>
      <c r="U121" s="239" t="s">
        <v>7</v>
      </c>
      <c r="V121" s="239"/>
      <c r="W121" s="239" t="s">
        <v>7</v>
      </c>
      <c r="X121" s="239" t="s">
        <v>4</v>
      </c>
      <c r="Y121" s="239" t="s">
        <v>4</v>
      </c>
      <c r="Z121" s="241" t="str">
        <f>IF(OR(T121="yes",Y121&gt;'SDG outcome'!$C$27),"yes","no")</f>
        <v>yes</v>
      </c>
      <c r="AA121" s="243">
        <f t="shared" si="1"/>
        <v>0</v>
      </c>
      <c r="AB121" s="243" t="str">
        <f>IF(AND(Z121="no",AND(Y121&gt;='SDG outcome'!$B$16,Y121&lt;'SDG outcome'!$C$27)),Y121-'SDG outcome'!$B$16,"")</f>
        <v/>
      </c>
      <c r="AC121" s="239" t="s">
        <v>4</v>
      </c>
      <c r="AD121" s="239" t="s">
        <v>4</v>
      </c>
      <c r="AE121" s="239" t="s">
        <v>4</v>
      </c>
      <c r="AF121" s="239" t="s">
        <v>4</v>
      </c>
      <c r="AG121" s="239" t="s">
        <v>4</v>
      </c>
      <c r="AH121" s="239" t="s">
        <v>4</v>
      </c>
      <c r="AI121" s="239" t="s">
        <v>4</v>
      </c>
      <c r="AJ121" s="239" t="s">
        <v>29290</v>
      </c>
      <c r="AK121" s="239" t="s">
        <v>29291</v>
      </c>
      <c r="AL121" s="239" t="s">
        <v>4</v>
      </c>
      <c r="AM121" s="239" t="s">
        <v>4</v>
      </c>
      <c r="AN121" s="239" t="s">
        <v>31599</v>
      </c>
      <c r="AO121" s="239" t="s">
        <v>4</v>
      </c>
      <c r="AP121" s="239" t="s">
        <v>31600</v>
      </c>
      <c r="AQ121" s="239" t="s">
        <v>4</v>
      </c>
      <c r="AR121" s="239" t="s">
        <v>31538</v>
      </c>
      <c r="AS121" s="239" t="s">
        <v>4</v>
      </c>
      <c r="AT121" s="239" t="s">
        <v>7</v>
      </c>
      <c r="AU121" s="239" t="s">
        <v>4</v>
      </c>
      <c r="AV121" s="239" t="s">
        <v>4</v>
      </c>
      <c r="AW121" s="239" t="s">
        <v>31539</v>
      </c>
      <c r="AX121" s="239" t="s">
        <v>4</v>
      </c>
      <c r="AY121" s="239" t="s">
        <v>4</v>
      </c>
      <c r="AZ121" s="239" t="s">
        <v>7</v>
      </c>
      <c r="BA121" s="239" t="s">
        <v>6</v>
      </c>
      <c r="BB121" s="239" t="s">
        <v>4</v>
      </c>
      <c r="BC121" s="239" t="s">
        <v>31563</v>
      </c>
      <c r="BD121" s="239" t="s">
        <v>22</v>
      </c>
      <c r="BE121" s="239" t="s">
        <v>4</v>
      </c>
      <c r="BF121" s="239" t="s">
        <v>31564</v>
      </c>
      <c r="BG121" s="239" t="s">
        <v>4</v>
      </c>
      <c r="BH121" s="239" t="s">
        <v>31542</v>
      </c>
      <c r="BI121" s="239" t="s">
        <v>31691</v>
      </c>
      <c r="BJ121" s="239" t="s">
        <v>31632</v>
      </c>
      <c r="BK121" s="239">
        <v>2</v>
      </c>
      <c r="BL121" s="239">
        <v>12</v>
      </c>
      <c r="BM121" s="239" t="s">
        <v>7</v>
      </c>
      <c r="BN121" s="239" t="s">
        <v>6</v>
      </c>
      <c r="BO121" s="239" t="s">
        <v>4</v>
      </c>
      <c r="BP121" s="239" t="s">
        <v>31425</v>
      </c>
      <c r="BQ121" s="239">
        <v>1</v>
      </c>
      <c r="BR121" s="239">
        <v>30</v>
      </c>
      <c r="BS121" s="239" t="s">
        <v>31435</v>
      </c>
      <c r="BT121" s="239"/>
      <c r="BU121" s="239">
        <v>1</v>
      </c>
      <c r="BV121" s="239" cm="1">
        <f t="array" ref="BV121">_xlfn.IFS(BS121="Foreword vehicle",BU121*0,BS121="Human wastes",BU121*0,BS121="Jerrycans",BU121*$BV$228,BS121="Number of Basins",BU121*$BV$229,BS121="Number of Buckets",BU121*$CA$226,BS121="Number of Kgs",BU121*$CA$227,BS121="Number of spades",BU121*$CA$228,BS121="Number of wheelbarrows",BU121*$CA$229,BT121="Foreword vehicle",BU121*0,BT121="Human wastes",BU121*0,BT121="Jerrycans",BU121*$BV$228,BS121="","")</f>
        <v>70.5</v>
      </c>
      <c r="BW121" s="239">
        <f>IF(BV121="","",Table14[[#This Row],[Calculation: Conversion of metric to Kg manure feeding (Columns: BP, BQ, BR)]]*Table14[[#This Row],[Number of times used to feed biodigester]])</f>
        <v>70.5</v>
      </c>
      <c r="BX121" s="239" cm="1">
        <f t="array" ref="BX121">_xlfn.IFS(BP121="Number of times per day (1 to 3)",BW121/$BX$226,BP121="Number of times per week (1 to 6)",BW121/$BX$227,BP121="Number of times per Month (1 to 3)",BW121/$BX$228,BW121="","")</f>
        <v>70.5</v>
      </c>
      <c r="BY121" s="239" t="s">
        <v>22</v>
      </c>
      <c r="BZ121" s="239" t="s">
        <v>4</v>
      </c>
      <c r="CA121" s="239" t="s">
        <v>2</v>
      </c>
      <c r="CB121" s="239" t="s">
        <v>4</v>
      </c>
      <c r="CC121" s="239" t="s">
        <v>4</v>
      </c>
      <c r="CD121" s="239" t="s">
        <v>4</v>
      </c>
      <c r="CE121" s="239" t="s">
        <v>7</v>
      </c>
      <c r="CF121" s="239" t="s">
        <v>31692</v>
      </c>
      <c r="CG121" s="239" t="s">
        <v>4</v>
      </c>
      <c r="CH121" s="239" t="s">
        <v>31634</v>
      </c>
      <c r="CI121" s="239">
        <v>18</v>
      </c>
      <c r="CJ121" s="239">
        <v>0</v>
      </c>
      <c r="CK121" s="239">
        <v>0</v>
      </c>
      <c r="CL121" s="239">
        <v>0</v>
      </c>
      <c r="CM121" s="239">
        <v>28</v>
      </c>
      <c r="CN121" s="239">
        <v>0</v>
      </c>
      <c r="CO121" s="239">
        <v>0</v>
      </c>
      <c r="CP121" s="239">
        <v>0</v>
      </c>
      <c r="CQ121" s="239">
        <v>0</v>
      </c>
      <c r="CR121" s="239">
        <v>0</v>
      </c>
      <c r="CS121" s="239">
        <f>CP121/'SDG outcome'!$C$9*CQ121*CR121</f>
        <v>0</v>
      </c>
      <c r="CT121" s="239">
        <v>30</v>
      </c>
      <c r="CU121" s="239">
        <v>70</v>
      </c>
      <c r="CV121" s="239" t="s">
        <v>31693</v>
      </c>
      <c r="CW121" s="239" t="s">
        <v>4</v>
      </c>
      <c r="CX121" s="239" t="s">
        <v>4</v>
      </c>
      <c r="CY121" s="239" t="s">
        <v>4</v>
      </c>
      <c r="CZ121" s="239" t="s">
        <v>4</v>
      </c>
      <c r="DA121" s="239" t="s">
        <v>4</v>
      </c>
      <c r="DB121" s="239" t="s">
        <v>4</v>
      </c>
      <c r="DC121" s="239" t="s">
        <v>4</v>
      </c>
      <c r="DD121" s="239" t="s">
        <v>4</v>
      </c>
      <c r="DE121" s="239" t="s">
        <v>4</v>
      </c>
      <c r="DF121" s="239" t="s">
        <v>4</v>
      </c>
      <c r="DG121" s="239" t="s">
        <v>4</v>
      </c>
      <c r="DH121" s="239" t="s">
        <v>4</v>
      </c>
      <c r="DI121" s="239" t="s">
        <v>4</v>
      </c>
      <c r="DJ121" s="239" t="s">
        <v>4</v>
      </c>
      <c r="DK121" s="239" t="s">
        <v>4</v>
      </c>
      <c r="DL121" s="239">
        <v>0</v>
      </c>
      <c r="DM121" s="239">
        <v>100</v>
      </c>
      <c r="DN121" s="239" t="s">
        <v>31694</v>
      </c>
      <c r="DO121" s="239">
        <v>4</v>
      </c>
      <c r="DP121" s="239" t="s">
        <v>7</v>
      </c>
      <c r="DQ121" s="239" t="s">
        <v>29292</v>
      </c>
      <c r="DR121" s="239" t="s">
        <v>4</v>
      </c>
      <c r="DS121" s="239" t="s">
        <v>29294</v>
      </c>
      <c r="DT121" s="240" t="s">
        <v>4</v>
      </c>
      <c r="DU121" s="239" t="s">
        <v>29294</v>
      </c>
      <c r="DV121" s="240" t="s">
        <v>4</v>
      </c>
      <c r="DW121" s="239" t="s">
        <v>29295</v>
      </c>
      <c r="DX121" s="239">
        <v>100</v>
      </c>
      <c r="DY121" s="239" t="s">
        <v>29296</v>
      </c>
      <c r="DZ121" s="239">
        <v>100</v>
      </c>
      <c r="EA121" s="239"/>
      <c r="EB121" s="239"/>
      <c r="EC121" s="239"/>
      <c r="ED121" s="239"/>
      <c r="EE121" s="320">
        <f>Table14[[#This Row],[% Fertilizer]]*$DX121/10000</f>
        <v>1</v>
      </c>
      <c r="EF121" s="320">
        <f>Table14[[#This Row],[% bioslurry used as Insecticide/Pesticide]]*$DX121/10000</f>
        <v>0</v>
      </c>
      <c r="EG121" s="320">
        <f>Table14[[#This Row],[% of Bioslurry used as animal feed]]*$DX121/10000</f>
        <v>0</v>
      </c>
      <c r="EH121" s="320">
        <f>Table14[[#This Row],[% of Bioslurry sold]]*$DX121/10000</f>
        <v>0</v>
      </c>
      <c r="EI121" s="320">
        <f>Table14[[#This Row],[% used other way(if used directly)]]*$DX121/10000</f>
        <v>0</v>
      </c>
      <c r="EJ121" s="239"/>
      <c r="EK121" s="239"/>
      <c r="EL121" s="239"/>
      <c r="EM121" s="239"/>
      <c r="EN121" s="239"/>
      <c r="EO121" s="239">
        <f>(Table14[[#This Row],[% Uncovered lagoon greater than 1 meter]]+Table14[[#This Row],[Uncovered lagoon (black watery mass) &lt;1 meter]]+Table14[[#This Row],[% Liquid slurry (brown porridge type)]])*Table14[[#This Row],[% Store it first]]/100</f>
        <v>0</v>
      </c>
      <c r="EP121" s="239"/>
      <c r="EQ121" s="239"/>
      <c r="ER121" s="239"/>
      <c r="ES121" s="239"/>
      <c r="ET121" s="239">
        <f>(Table14[[#This Row],[% Solid storage]]+Table14[[#This Row],[% Sun drying]]+Table14[[#This Row],[% Composting with a roof]]+Table14[[#This Row],[% Composting without a roof]])*Table14[[#This Row],[% Store it first]]/100</f>
        <v>0</v>
      </c>
      <c r="EU121" s="239"/>
      <c r="EV121" s="320">
        <f t="shared" si="8"/>
        <v>0</v>
      </c>
      <c r="EW121" s="320">
        <f t="shared" si="9"/>
        <v>0</v>
      </c>
      <c r="EX121" s="320">
        <f t="shared" si="10"/>
        <v>0</v>
      </c>
      <c r="EY121" s="320">
        <f t="shared" si="11"/>
        <v>0</v>
      </c>
      <c r="EZ121" s="320">
        <f t="shared" si="12"/>
        <v>0</v>
      </c>
      <c r="FA121" s="239"/>
      <c r="FB121" s="239"/>
      <c r="FC121" s="239"/>
      <c r="FD121" s="239">
        <f>Table14[[#This Row],[% I donâ€™t use it / discarded]]+Table14[[#This Row],[% Other (specify)(If you use bioslurry directly)]]+Table14[[#This Row],[% Store it first]]+Table14[[#This Row],[% Use directly for various purposes]]</f>
        <v>100</v>
      </c>
      <c r="FE121" s="239" t="s">
        <v>4</v>
      </c>
      <c r="FF121" s="239"/>
      <c r="FG121" s="239"/>
      <c r="FH121" s="239"/>
      <c r="FI121" s="239"/>
      <c r="FJ121" s="239"/>
      <c r="FK121" s="239">
        <v>10</v>
      </c>
      <c r="FL121" s="239" t="s">
        <v>29802</v>
      </c>
      <c r="FM121" s="239">
        <v>0</v>
      </c>
      <c r="FN121" s="239">
        <f>FK121*FM121/100</f>
        <v>0</v>
      </c>
      <c r="FO121" s="239" t="s">
        <v>29803</v>
      </c>
      <c r="FP121" s="239" t="s">
        <v>29298</v>
      </c>
      <c r="FQ121" s="239">
        <v>42</v>
      </c>
      <c r="FR121" s="239" t="s">
        <v>7</v>
      </c>
      <c r="FS121" s="239" t="s">
        <v>29393</v>
      </c>
      <c r="FT121" s="239" t="s">
        <v>4</v>
      </c>
      <c r="FU121" s="239" t="s">
        <v>2</v>
      </c>
      <c r="FV121" s="239" t="s">
        <v>4</v>
      </c>
      <c r="FW121" s="239" t="s">
        <v>4</v>
      </c>
      <c r="FX121" s="239" t="s">
        <v>4</v>
      </c>
      <c r="FY121" s="239" t="s">
        <v>4</v>
      </c>
      <c r="FZ121" s="239" t="s">
        <v>4</v>
      </c>
      <c r="GA121" s="239" t="s">
        <v>4</v>
      </c>
      <c r="GB121" s="240" t="s">
        <v>4</v>
      </c>
      <c r="GC121" s="239" t="s">
        <v>4</v>
      </c>
      <c r="GD121" s="239" t="s">
        <v>2</v>
      </c>
      <c r="GE121" s="239" t="s">
        <v>4</v>
      </c>
      <c r="GF121" s="239" t="s">
        <v>4</v>
      </c>
      <c r="GG121" s="239" t="s">
        <v>7</v>
      </c>
      <c r="GH121" s="239" t="s">
        <v>2</v>
      </c>
      <c r="GI121" s="239" t="s">
        <v>4</v>
      </c>
      <c r="GJ121" s="239" t="s">
        <v>4</v>
      </c>
      <c r="GK121" s="239" t="s">
        <v>4</v>
      </c>
      <c r="GL121" s="239">
        <v>0</v>
      </c>
      <c r="GM121" s="239"/>
      <c r="GN121" s="239" t="s">
        <v>4</v>
      </c>
      <c r="GO121" s="239" t="s">
        <v>4</v>
      </c>
      <c r="GP121" s="239" t="s">
        <v>4</v>
      </c>
      <c r="GQ121" s="239" t="s">
        <v>4</v>
      </c>
      <c r="GR121" s="239" t="s">
        <v>4</v>
      </c>
      <c r="GS121" s="239" t="s">
        <v>4</v>
      </c>
      <c r="GT121" s="239" t="s">
        <v>4</v>
      </c>
      <c r="GU121" s="239" t="s">
        <v>4</v>
      </c>
      <c r="GV121" s="239" t="s">
        <v>4</v>
      </c>
      <c r="GW121" s="239" t="s">
        <v>29304</v>
      </c>
      <c r="GX121" s="239" t="s">
        <v>29305</v>
      </c>
      <c r="GY121" s="239" t="s">
        <v>29306</v>
      </c>
      <c r="GZ121" s="239" t="s">
        <v>4</v>
      </c>
      <c r="HA121" s="239" t="s">
        <v>4</v>
      </c>
      <c r="HB121" s="239" t="s">
        <v>4</v>
      </c>
      <c r="HC121" s="239" t="s">
        <v>4</v>
      </c>
      <c r="HD121" s="239" t="s">
        <v>4</v>
      </c>
      <c r="HE121" s="239" t="s">
        <v>29804</v>
      </c>
      <c r="HF121" s="239" t="s">
        <v>13</v>
      </c>
      <c r="HG121" s="239" t="s">
        <v>72</v>
      </c>
      <c r="HH121" s="239" t="s">
        <v>29805</v>
      </c>
      <c r="HI121" s="239" t="s">
        <v>4</v>
      </c>
      <c r="HJ121" s="240">
        <v>0</v>
      </c>
      <c r="HK121" s="239" t="s">
        <v>2</v>
      </c>
      <c r="HL121" s="239" t="s">
        <v>29309</v>
      </c>
      <c r="HM121" s="239" t="s">
        <v>4</v>
      </c>
      <c r="HN121" s="239" t="s">
        <v>4</v>
      </c>
      <c r="HO121" s="239" t="s">
        <v>4</v>
      </c>
      <c r="HP121" s="239" t="s">
        <v>4</v>
      </c>
      <c r="HQ121" s="239" t="s">
        <v>4</v>
      </c>
      <c r="HR121" s="239" t="s">
        <v>4</v>
      </c>
      <c r="HS121" s="239" t="s">
        <v>4</v>
      </c>
      <c r="HT121" s="239" t="s">
        <v>4</v>
      </c>
      <c r="HU121" s="239" t="s">
        <v>2</v>
      </c>
      <c r="HV121" s="239" t="s">
        <v>4</v>
      </c>
      <c r="HW121" s="239" t="s">
        <v>4</v>
      </c>
      <c r="HX121" s="239" t="s">
        <v>4</v>
      </c>
      <c r="HY121" s="239" t="s">
        <v>4</v>
      </c>
      <c r="HZ121" s="239" t="s">
        <v>29806</v>
      </c>
      <c r="IA121" s="239" t="s">
        <v>7</v>
      </c>
      <c r="IB121" s="239" t="s">
        <v>29807</v>
      </c>
      <c r="IC121" s="239" t="s">
        <v>29808</v>
      </c>
      <c r="ID121" s="239" t="s">
        <v>29809</v>
      </c>
      <c r="IE121" s="239" t="s">
        <v>29810</v>
      </c>
      <c r="IF121" s="239" t="s">
        <v>29811</v>
      </c>
      <c r="IG121" s="239" t="s">
        <v>29812</v>
      </c>
      <c r="IH121" s="239" t="s">
        <v>29620</v>
      </c>
    </row>
    <row r="122" spans="1:242" s="1" customFormat="1" ht="36.75" customHeight="1" x14ac:dyDescent="0.2">
      <c r="A122" s="239">
        <v>177</v>
      </c>
      <c r="B122" s="239" t="s">
        <v>19883</v>
      </c>
      <c r="C122" s="239" t="s">
        <v>31164</v>
      </c>
      <c r="D122" s="239" t="s">
        <v>56</v>
      </c>
      <c r="E122" s="239" t="s">
        <v>7</v>
      </c>
      <c r="F122" s="239" t="s">
        <v>31165</v>
      </c>
      <c r="G122" s="239">
        <v>1397.8</v>
      </c>
      <c r="H122" s="239">
        <v>5</v>
      </c>
      <c r="I122" s="239" t="s">
        <v>29349</v>
      </c>
      <c r="J122" s="239" t="s">
        <v>4</v>
      </c>
      <c r="K122" s="239" t="s">
        <v>31166</v>
      </c>
      <c r="L122" s="239">
        <v>784582410</v>
      </c>
      <c r="M122" s="239" t="s">
        <v>5</v>
      </c>
      <c r="N122" s="239" t="s">
        <v>31598</v>
      </c>
      <c r="O122" s="239" t="s">
        <v>4</v>
      </c>
      <c r="P122" s="239">
        <v>5</v>
      </c>
      <c r="Q122" s="239" t="s">
        <v>7</v>
      </c>
      <c r="R122" s="239" t="s">
        <v>31588</v>
      </c>
      <c r="S122" s="239" t="s">
        <v>4</v>
      </c>
      <c r="T122" s="239" t="s">
        <v>7</v>
      </c>
      <c r="U122" s="239" t="s">
        <v>7</v>
      </c>
      <c r="V122" s="239"/>
      <c r="W122" s="239" t="s">
        <v>7</v>
      </c>
      <c r="X122" s="239" t="s">
        <v>4</v>
      </c>
      <c r="Y122" s="239" t="s">
        <v>4</v>
      </c>
      <c r="Z122" s="241" t="str">
        <f>IF(OR(T122="yes",Y122&gt;'SDG outcome'!$C$27),"yes","no")</f>
        <v>yes</v>
      </c>
      <c r="AA122" s="243">
        <f t="shared" si="1"/>
        <v>0</v>
      </c>
      <c r="AB122" s="243" t="str">
        <f>IF(AND(Z122="no",AND(Y122&gt;='SDG outcome'!$B$16,Y122&lt;'SDG outcome'!$C$27)),Y122-'SDG outcome'!$B$16,"")</f>
        <v/>
      </c>
      <c r="AC122" s="239" t="s">
        <v>4</v>
      </c>
      <c r="AD122" s="239" t="s">
        <v>4</v>
      </c>
      <c r="AE122" s="239" t="s">
        <v>4</v>
      </c>
      <c r="AF122" s="239" t="s">
        <v>4</v>
      </c>
      <c r="AG122" s="239" t="s">
        <v>4</v>
      </c>
      <c r="AH122" s="239" t="s">
        <v>4</v>
      </c>
      <c r="AI122" s="239" t="s">
        <v>4</v>
      </c>
      <c r="AJ122" s="239" t="s">
        <v>29290</v>
      </c>
      <c r="AK122" s="239" t="s">
        <v>29694</v>
      </c>
      <c r="AL122" s="239" t="s">
        <v>4</v>
      </c>
      <c r="AM122" s="239" t="s">
        <v>4</v>
      </c>
      <c r="AN122" s="239" t="s">
        <v>31718</v>
      </c>
      <c r="AO122" s="239" t="s">
        <v>4</v>
      </c>
      <c r="AP122" s="239" t="s">
        <v>31600</v>
      </c>
      <c r="AQ122" s="239" t="s">
        <v>4</v>
      </c>
      <c r="AR122" s="239" t="s">
        <v>31538</v>
      </c>
      <c r="AS122" s="239" t="s">
        <v>4</v>
      </c>
      <c r="AT122" s="239" t="s">
        <v>2</v>
      </c>
      <c r="AU122" s="239" t="s">
        <v>31581</v>
      </c>
      <c r="AV122" s="239" t="s">
        <v>4</v>
      </c>
      <c r="AW122" s="239" t="s">
        <v>31550</v>
      </c>
      <c r="AX122" s="239" t="s">
        <v>4</v>
      </c>
      <c r="AY122" s="239" t="s">
        <v>4</v>
      </c>
      <c r="AZ122" s="239" t="s">
        <v>2</v>
      </c>
      <c r="BA122" s="239" t="s">
        <v>4</v>
      </c>
      <c r="BB122" s="239" t="s">
        <v>4</v>
      </c>
      <c r="BC122" s="239" t="s">
        <v>4</v>
      </c>
      <c r="BD122" s="239" t="s">
        <v>4</v>
      </c>
      <c r="BE122" s="239" t="s">
        <v>4</v>
      </c>
      <c r="BF122" s="239" t="s">
        <v>4</v>
      </c>
      <c r="BG122" s="239" t="s">
        <v>4</v>
      </c>
      <c r="BH122" s="239" t="s">
        <v>4</v>
      </c>
      <c r="BI122" s="239" t="s">
        <v>4</v>
      </c>
      <c r="BJ122" s="239" t="s">
        <v>4</v>
      </c>
      <c r="BK122" s="239" t="s">
        <v>4</v>
      </c>
      <c r="BL122" s="239" t="s">
        <v>4</v>
      </c>
      <c r="BM122" s="239" t="s">
        <v>7</v>
      </c>
      <c r="BN122" s="239" t="s">
        <v>6</v>
      </c>
      <c r="BO122" s="239" t="s">
        <v>4</v>
      </c>
      <c r="BP122" s="239" t="s">
        <v>31429</v>
      </c>
      <c r="BQ122" s="239">
        <v>2</v>
      </c>
      <c r="BR122" s="239">
        <v>40</v>
      </c>
      <c r="BS122" s="239" t="s">
        <v>31435</v>
      </c>
      <c r="BT122" s="239"/>
      <c r="BU122" s="239">
        <v>2</v>
      </c>
      <c r="BV122" s="239" cm="1">
        <f t="array" ref="BV122">_xlfn.IFS(BS122="Foreword vehicle",BU122*0,BS122="Human wastes",BU122*0,BS122="Jerrycans",BU122*$BV$228,BS122="Number of Basins",BU122*$BV$229,BS122="Number of Buckets",BU122*$CA$226,BS122="Number of Kgs",BU122*$CA$227,BS122="Number of spades",BU122*$CA$228,BS122="Number of wheelbarrows",BU122*$CA$229,BT122="Foreword vehicle",BU122*0,BT122="Human wastes",BU122*0,BT122="Jerrycans",BU122*$BV$228,BS122="","")</f>
        <v>141</v>
      </c>
      <c r="BW122" s="239">
        <f>IF(BV122="","",Table14[[#This Row],[Calculation: Conversion of metric to Kg manure feeding (Columns: BP, BQ, BR)]]*Table14[[#This Row],[Number of times used to feed biodigester]])</f>
        <v>282</v>
      </c>
      <c r="BX122" s="239" cm="1">
        <f t="array" ref="BX122">_xlfn.IFS(BP122="Number of times per day (1 to 3)",BW122/$BX$226,BP122="Number of times per week (1 to 6)",BW122/$BX$227,BP122="Number of times per Month (1 to 3)",BW122/$BX$228,BW122="","")</f>
        <v>40.285714285714285</v>
      </c>
      <c r="BY122" s="239" t="s">
        <v>22</v>
      </c>
      <c r="BZ122" s="239" t="s">
        <v>4</v>
      </c>
      <c r="CA122" s="239" t="s">
        <v>2</v>
      </c>
      <c r="CB122" s="239" t="s">
        <v>4</v>
      </c>
      <c r="CC122" s="239" t="s">
        <v>4</v>
      </c>
      <c r="CD122" s="239" t="s">
        <v>4</v>
      </c>
      <c r="CE122" s="239" t="s">
        <v>7</v>
      </c>
      <c r="CF122" s="239" t="s">
        <v>31932</v>
      </c>
      <c r="CG122" s="239" t="s">
        <v>4</v>
      </c>
      <c r="CH122" s="239" t="s">
        <v>31604</v>
      </c>
      <c r="CI122" s="239">
        <v>18</v>
      </c>
      <c r="CJ122" s="239">
        <v>0</v>
      </c>
      <c r="CK122" s="239">
        <v>0</v>
      </c>
      <c r="CL122" s="239">
        <v>0</v>
      </c>
      <c r="CM122" s="239">
        <v>0</v>
      </c>
      <c r="CN122" s="239">
        <v>0</v>
      </c>
      <c r="CO122" s="239">
        <v>0</v>
      </c>
      <c r="CP122" s="239">
        <v>0</v>
      </c>
      <c r="CQ122" s="239">
        <v>0</v>
      </c>
      <c r="CR122" s="239">
        <v>0</v>
      </c>
      <c r="CS122" s="239">
        <f>CP122/'SDG outcome'!$C$9*CQ122*CR122</f>
        <v>0</v>
      </c>
      <c r="CT122" s="239">
        <v>20</v>
      </c>
      <c r="CU122" s="239">
        <v>80</v>
      </c>
      <c r="CV122" s="239" t="s">
        <v>31933</v>
      </c>
      <c r="CW122" s="239" t="s">
        <v>4</v>
      </c>
      <c r="CX122" s="239" t="s">
        <v>4</v>
      </c>
      <c r="CY122" s="239" t="s">
        <v>4</v>
      </c>
      <c r="CZ122" s="239" t="s">
        <v>4</v>
      </c>
      <c r="DA122" s="239" t="s">
        <v>4</v>
      </c>
      <c r="DB122" s="239" t="s">
        <v>4</v>
      </c>
      <c r="DC122" s="239" t="s">
        <v>4</v>
      </c>
      <c r="DD122" s="239" t="s">
        <v>4</v>
      </c>
      <c r="DE122" s="239" t="s">
        <v>4</v>
      </c>
      <c r="DF122" s="239" t="s">
        <v>4</v>
      </c>
      <c r="DG122" s="239" t="s">
        <v>4</v>
      </c>
      <c r="DH122" s="239" t="s">
        <v>4</v>
      </c>
      <c r="DI122" s="239" t="s">
        <v>4</v>
      </c>
      <c r="DJ122" s="239" t="s">
        <v>4</v>
      </c>
      <c r="DK122" s="239" t="s">
        <v>4</v>
      </c>
      <c r="DL122" s="239" t="s">
        <v>4</v>
      </c>
      <c r="DM122" s="239" t="s">
        <v>4</v>
      </c>
      <c r="DN122" s="239" t="s">
        <v>4</v>
      </c>
      <c r="DO122" s="239">
        <v>2</v>
      </c>
      <c r="DP122" s="239" t="s">
        <v>2</v>
      </c>
      <c r="DQ122" s="239" t="s">
        <v>29292</v>
      </c>
      <c r="DR122" s="239" t="s">
        <v>4</v>
      </c>
      <c r="DS122" s="239" t="s">
        <v>29293</v>
      </c>
      <c r="DT122" s="240">
        <v>20000</v>
      </c>
      <c r="DU122" s="239" t="s">
        <v>29293</v>
      </c>
      <c r="DV122" s="240">
        <v>200000</v>
      </c>
      <c r="DW122" s="239" t="s">
        <v>29295</v>
      </c>
      <c r="DX122" s="239">
        <v>100</v>
      </c>
      <c r="DY122" s="239" t="s">
        <v>29296</v>
      </c>
      <c r="DZ122" s="239">
        <v>100</v>
      </c>
      <c r="EA122" s="239"/>
      <c r="EB122" s="239"/>
      <c r="EC122" s="239"/>
      <c r="ED122" s="239"/>
      <c r="EE122" s="320">
        <f>Table14[[#This Row],[% Fertilizer]]*$DX122/10000</f>
        <v>1</v>
      </c>
      <c r="EF122" s="320">
        <f>Table14[[#This Row],[% bioslurry used as Insecticide/Pesticide]]*$DX122/10000</f>
        <v>0</v>
      </c>
      <c r="EG122" s="320">
        <f>Table14[[#This Row],[% of Bioslurry used as animal feed]]*$DX122/10000</f>
        <v>0</v>
      </c>
      <c r="EH122" s="320">
        <f>Table14[[#This Row],[% of Bioslurry sold]]*$DX122/10000</f>
        <v>0</v>
      </c>
      <c r="EI122" s="320">
        <f>Table14[[#This Row],[% used other way(if used directly)]]*$DX122/10000</f>
        <v>0</v>
      </c>
      <c r="EJ122" s="239"/>
      <c r="EK122" s="239"/>
      <c r="EL122" s="239"/>
      <c r="EM122" s="239"/>
      <c r="EN122" s="239"/>
      <c r="EO122" s="239">
        <f>(Table14[[#This Row],[% Uncovered lagoon greater than 1 meter]]+Table14[[#This Row],[Uncovered lagoon (black watery mass) &lt;1 meter]]+Table14[[#This Row],[% Liquid slurry (brown porridge type)]])*Table14[[#This Row],[% Store it first]]/100</f>
        <v>0</v>
      </c>
      <c r="EP122" s="239"/>
      <c r="EQ122" s="239"/>
      <c r="ER122" s="239"/>
      <c r="ES122" s="239"/>
      <c r="ET122" s="239">
        <f>(Table14[[#This Row],[% Solid storage]]+Table14[[#This Row],[% Sun drying]]+Table14[[#This Row],[% Composting with a roof]]+Table14[[#This Row],[% Composting without a roof]])*Table14[[#This Row],[% Store it first]]/100</f>
        <v>0</v>
      </c>
      <c r="EU122" s="239"/>
      <c r="EV122" s="320">
        <f t="shared" si="8"/>
        <v>0</v>
      </c>
      <c r="EW122" s="320">
        <f t="shared" si="9"/>
        <v>0</v>
      </c>
      <c r="EX122" s="320">
        <f t="shared" si="10"/>
        <v>0</v>
      </c>
      <c r="EY122" s="320">
        <f t="shared" si="11"/>
        <v>0</v>
      </c>
      <c r="EZ122" s="320">
        <f t="shared" si="12"/>
        <v>0</v>
      </c>
      <c r="FA122" s="239"/>
      <c r="FB122" s="239"/>
      <c r="FC122" s="239"/>
      <c r="FD122" s="239">
        <f>Table14[[#This Row],[% I donâ€™t use it / discarded]]+Table14[[#This Row],[% Other (specify)(If you use bioslurry directly)]]+Table14[[#This Row],[% Store it first]]+Table14[[#This Row],[% Use directly for various purposes]]</f>
        <v>100</v>
      </c>
      <c r="FE122" s="239" t="s">
        <v>4</v>
      </c>
      <c r="FF122" s="239"/>
      <c r="FG122" s="239"/>
      <c r="FH122" s="239"/>
      <c r="FI122" s="239"/>
      <c r="FJ122" s="239"/>
      <c r="FK122" s="239">
        <v>1.6</v>
      </c>
      <c r="FL122" s="239" t="s">
        <v>7</v>
      </c>
      <c r="FM122" s="239">
        <v>50</v>
      </c>
      <c r="FN122" s="239">
        <f>FK122*FM122/100</f>
        <v>0.8</v>
      </c>
      <c r="FO122" s="239" t="s">
        <v>29431</v>
      </c>
      <c r="FP122" s="239" t="s">
        <v>29298</v>
      </c>
      <c r="FQ122" s="239">
        <v>132</v>
      </c>
      <c r="FR122" s="239" t="s">
        <v>7</v>
      </c>
      <c r="FS122" s="239" t="s">
        <v>29393</v>
      </c>
      <c r="FT122" s="239" t="s">
        <v>4</v>
      </c>
      <c r="FU122" s="239" t="s">
        <v>7</v>
      </c>
      <c r="FV122" s="239" t="s">
        <v>29393</v>
      </c>
      <c r="FW122" s="239" t="s">
        <v>4</v>
      </c>
      <c r="FX122" s="239" t="s">
        <v>13</v>
      </c>
      <c r="FY122" s="239" t="s">
        <v>31167</v>
      </c>
      <c r="FZ122" s="239" t="s">
        <v>4</v>
      </c>
      <c r="GA122" s="239" t="s">
        <v>4</v>
      </c>
      <c r="GB122" s="240" t="s">
        <v>4</v>
      </c>
      <c r="GC122" s="239" t="s">
        <v>4</v>
      </c>
      <c r="GD122" s="239" t="s">
        <v>2</v>
      </c>
      <c r="GE122" s="239" t="s">
        <v>4</v>
      </c>
      <c r="GF122" s="239" t="s">
        <v>4</v>
      </c>
      <c r="GG122" s="239" t="s">
        <v>7</v>
      </c>
      <c r="GH122" s="239" t="s">
        <v>7</v>
      </c>
      <c r="GI122" s="239" t="s">
        <v>29302</v>
      </c>
      <c r="GJ122" s="239" t="s">
        <v>30078</v>
      </c>
      <c r="GK122" s="239" t="s">
        <v>4</v>
      </c>
      <c r="GL122" s="239">
        <v>0</v>
      </c>
      <c r="GM122" s="239"/>
      <c r="GN122" s="239" t="s">
        <v>4</v>
      </c>
      <c r="GO122" s="239" t="s">
        <v>4</v>
      </c>
      <c r="GP122" s="239" t="s">
        <v>4</v>
      </c>
      <c r="GQ122" s="239" t="s">
        <v>4</v>
      </c>
      <c r="GR122" s="239" t="s">
        <v>4</v>
      </c>
      <c r="GS122" s="239" t="s">
        <v>4</v>
      </c>
      <c r="GT122" s="239" t="s">
        <v>4</v>
      </c>
      <c r="GU122" s="239" t="s">
        <v>4</v>
      </c>
      <c r="GV122" s="239" t="s">
        <v>4</v>
      </c>
      <c r="GW122" s="239" t="s">
        <v>29304</v>
      </c>
      <c r="GX122" s="239" t="s">
        <v>29940</v>
      </c>
      <c r="GY122" s="239" t="s">
        <v>4</v>
      </c>
      <c r="GZ122" s="239" t="s">
        <v>29556</v>
      </c>
      <c r="HA122" s="239" t="s">
        <v>4</v>
      </c>
      <c r="HB122" s="239" t="s">
        <v>4</v>
      </c>
      <c r="HC122" s="239" t="s">
        <v>4</v>
      </c>
      <c r="HD122" s="239" t="s">
        <v>4</v>
      </c>
      <c r="HE122" s="239" t="s">
        <v>4</v>
      </c>
      <c r="HF122" s="239" t="s">
        <v>4</v>
      </c>
      <c r="HG122" s="239" t="s">
        <v>4</v>
      </c>
      <c r="HH122" s="239" t="s">
        <v>29452</v>
      </c>
      <c r="HI122" s="239" t="s">
        <v>4</v>
      </c>
      <c r="HJ122" s="240">
        <v>0</v>
      </c>
      <c r="HK122" s="239" t="s">
        <v>2</v>
      </c>
      <c r="HL122" s="239" t="s">
        <v>29837</v>
      </c>
      <c r="HM122" s="239" t="s">
        <v>4</v>
      </c>
      <c r="HN122" s="239" t="s">
        <v>4</v>
      </c>
      <c r="HO122" s="239" t="s">
        <v>4</v>
      </c>
      <c r="HP122" s="239" t="s">
        <v>4</v>
      </c>
      <c r="HQ122" s="239" t="s">
        <v>4</v>
      </c>
      <c r="HR122" s="239" t="s">
        <v>4</v>
      </c>
      <c r="HS122" s="239" t="s">
        <v>4</v>
      </c>
      <c r="HT122" s="239" t="s">
        <v>4</v>
      </c>
      <c r="HU122" s="239" t="s">
        <v>2</v>
      </c>
      <c r="HV122" s="239" t="s">
        <v>4</v>
      </c>
      <c r="HW122" s="239" t="s">
        <v>4</v>
      </c>
      <c r="HX122" s="239" t="s">
        <v>4</v>
      </c>
      <c r="HY122" s="239" t="s">
        <v>4</v>
      </c>
      <c r="HZ122" s="239" t="s">
        <v>16</v>
      </c>
      <c r="IA122" s="239" t="s">
        <v>2</v>
      </c>
      <c r="IB122" s="239" t="s">
        <v>4</v>
      </c>
      <c r="IC122" s="239" t="s">
        <v>31168</v>
      </c>
      <c r="ID122" s="239" t="s">
        <v>31169</v>
      </c>
      <c r="IE122" s="239" t="s">
        <v>31170</v>
      </c>
      <c r="IF122" s="239" t="s">
        <v>31171</v>
      </c>
      <c r="IG122" s="239" t="s">
        <v>31172</v>
      </c>
      <c r="IH122" s="239" t="s">
        <v>31164</v>
      </c>
    </row>
    <row r="123" spans="1:242" s="1" customFormat="1" ht="36.75" customHeight="1" x14ac:dyDescent="0.2">
      <c r="A123" s="239">
        <v>182</v>
      </c>
      <c r="B123" s="239" t="s">
        <v>23925</v>
      </c>
      <c r="C123" s="239" t="s">
        <v>31207</v>
      </c>
      <c r="D123" s="239" t="s">
        <v>43</v>
      </c>
      <c r="E123" s="239" t="s">
        <v>7</v>
      </c>
      <c r="F123" s="239" t="s">
        <v>31208</v>
      </c>
      <c r="G123" s="239">
        <v>1463.8</v>
      </c>
      <c r="H123" s="239">
        <v>3.2</v>
      </c>
      <c r="I123" s="239" t="s">
        <v>29349</v>
      </c>
      <c r="J123" s="239" t="s">
        <v>4</v>
      </c>
      <c r="K123" s="239" t="s">
        <v>31209</v>
      </c>
      <c r="L123" s="239">
        <v>779611366</v>
      </c>
      <c r="M123" s="239" t="s">
        <v>5</v>
      </c>
      <c r="N123" s="239" t="s">
        <v>31438</v>
      </c>
      <c r="O123" s="239">
        <v>21</v>
      </c>
      <c r="P123" s="239">
        <v>7</v>
      </c>
      <c r="Q123" s="239" t="s">
        <v>7</v>
      </c>
      <c r="R123" s="239" t="s">
        <v>31549</v>
      </c>
      <c r="S123" s="239" t="s">
        <v>4</v>
      </c>
      <c r="T123" s="239" t="s">
        <v>7</v>
      </c>
      <c r="U123" s="239" t="s">
        <v>7</v>
      </c>
      <c r="V123" s="239"/>
      <c r="W123" s="239" t="s">
        <v>7</v>
      </c>
      <c r="X123" s="239" t="s">
        <v>4</v>
      </c>
      <c r="Y123" s="239" t="s">
        <v>4</v>
      </c>
      <c r="Z123" s="241" t="str">
        <f>IF(OR(T123="yes",Y123&gt;'SDG outcome'!$C$27),"yes","no")</f>
        <v>yes</v>
      </c>
      <c r="AA123" s="243">
        <f t="shared" si="1"/>
        <v>0</v>
      </c>
      <c r="AB123" s="243" t="str">
        <f>IF(AND(Z123="no",AND(Y123&gt;='SDG outcome'!$B$16,Y123&lt;'SDG outcome'!$C$27)),Y123-'SDG outcome'!$B$16,"")</f>
        <v/>
      </c>
      <c r="AC123" s="239" t="s">
        <v>4</v>
      </c>
      <c r="AD123" s="239" t="s">
        <v>4</v>
      </c>
      <c r="AE123" s="239" t="s">
        <v>4</v>
      </c>
      <c r="AF123" s="239" t="s">
        <v>4</v>
      </c>
      <c r="AG123" s="239" t="s">
        <v>4</v>
      </c>
      <c r="AH123" s="239" t="s">
        <v>4</v>
      </c>
      <c r="AI123" s="239" t="s">
        <v>4</v>
      </c>
      <c r="AJ123" s="239" t="s">
        <v>29290</v>
      </c>
      <c r="AK123" s="239" t="s">
        <v>29694</v>
      </c>
      <c r="AL123" s="239" t="s">
        <v>4</v>
      </c>
      <c r="AM123" s="239" t="s">
        <v>4</v>
      </c>
      <c r="AN123" s="239" t="s">
        <v>31599</v>
      </c>
      <c r="AO123" s="239" t="s">
        <v>4</v>
      </c>
      <c r="AP123" s="239" t="s">
        <v>31600</v>
      </c>
      <c r="AQ123" s="239" t="s">
        <v>4</v>
      </c>
      <c r="AR123" s="239" t="s">
        <v>31601</v>
      </c>
      <c r="AS123" s="239" t="s">
        <v>4</v>
      </c>
      <c r="AT123" s="239" t="s">
        <v>7</v>
      </c>
      <c r="AU123" s="239" t="s">
        <v>4</v>
      </c>
      <c r="AV123" s="239" t="s">
        <v>4</v>
      </c>
      <c r="AW123" s="239" t="s">
        <v>31539</v>
      </c>
      <c r="AX123" s="239" t="s">
        <v>4</v>
      </c>
      <c r="AY123" s="239" t="s">
        <v>4</v>
      </c>
      <c r="AZ123" s="239" t="s">
        <v>2</v>
      </c>
      <c r="BA123" s="239" t="s">
        <v>4</v>
      </c>
      <c r="BB123" s="239" t="s">
        <v>4</v>
      </c>
      <c r="BC123" s="239" t="s">
        <v>31563</v>
      </c>
      <c r="BD123" s="239" t="s">
        <v>22</v>
      </c>
      <c r="BE123" s="239" t="s">
        <v>4</v>
      </c>
      <c r="BF123" s="239" t="s">
        <v>31564</v>
      </c>
      <c r="BG123" s="239" t="s">
        <v>4</v>
      </c>
      <c r="BH123" s="239" t="s">
        <v>31542</v>
      </c>
      <c r="BI123" s="239" t="s">
        <v>31941</v>
      </c>
      <c r="BJ123" s="239" t="s">
        <v>31544</v>
      </c>
      <c r="BK123" s="239">
        <v>3</v>
      </c>
      <c r="BL123" s="239">
        <v>60</v>
      </c>
      <c r="BM123" s="239" t="s">
        <v>7</v>
      </c>
      <c r="BN123" s="239" t="s">
        <v>6</v>
      </c>
      <c r="BO123" s="239" t="s">
        <v>4</v>
      </c>
      <c r="BP123" s="239" t="s">
        <v>31425</v>
      </c>
      <c r="BQ123" s="239">
        <v>1</v>
      </c>
      <c r="BR123" s="239">
        <v>45</v>
      </c>
      <c r="BS123" s="239" t="s">
        <v>31435</v>
      </c>
      <c r="BT123" s="239"/>
      <c r="BU123" s="239">
        <v>1</v>
      </c>
      <c r="BV123" s="239" cm="1">
        <f t="array" ref="BV123">_xlfn.IFS(BS123="Foreword vehicle",BU123*0,BS123="Human wastes",BU123*0,BS123="Jerrycans",BU123*$BV$228,BS123="Number of Basins",BU123*$BV$229,BS123="Number of Buckets",BU123*$CA$226,BS123="Number of Kgs",BU123*$CA$227,BS123="Number of spades",BU123*$CA$228,BS123="Number of wheelbarrows",BU123*$CA$229,BT123="Foreword vehicle",BU123*0,BT123="Human wastes",BU123*0,BT123="Jerrycans",BU123*$BV$228,BS123="","")</f>
        <v>70.5</v>
      </c>
      <c r="BW123" s="239">
        <f>IF(BV123="","",Table14[[#This Row],[Calculation: Conversion of metric to Kg manure feeding (Columns: BP, BQ, BR)]]*Table14[[#This Row],[Number of times used to feed biodigester]])</f>
        <v>70.5</v>
      </c>
      <c r="BX123" s="239" cm="1">
        <f t="array" ref="BX123">_xlfn.IFS(BP123="Number of times per day (1 to 3)",BW123/$BX$226,BP123="Number of times per week (1 to 6)",BW123/$BX$227,BP123="Number of times per Month (1 to 3)",BW123/$BX$228,BW123="","")</f>
        <v>70.5</v>
      </c>
      <c r="BY123" s="239" t="s">
        <v>22</v>
      </c>
      <c r="BZ123" s="239" t="s">
        <v>4</v>
      </c>
      <c r="CA123" s="239" t="s">
        <v>2</v>
      </c>
      <c r="CB123" s="239" t="s">
        <v>4</v>
      </c>
      <c r="CC123" s="239" t="s">
        <v>4</v>
      </c>
      <c r="CD123" s="239" t="s">
        <v>4</v>
      </c>
      <c r="CE123" s="239" t="s">
        <v>7</v>
      </c>
      <c r="CF123" s="239" t="s">
        <v>31942</v>
      </c>
      <c r="CG123" s="239" t="s">
        <v>4</v>
      </c>
      <c r="CH123" s="239" t="s">
        <v>31604</v>
      </c>
      <c r="CI123" s="239">
        <v>16</v>
      </c>
      <c r="CJ123" s="239">
        <v>0</v>
      </c>
      <c r="CK123" s="239">
        <v>0</v>
      </c>
      <c r="CL123" s="239">
        <v>0</v>
      </c>
      <c r="CM123" s="239">
        <v>0</v>
      </c>
      <c r="CN123" s="239">
        <v>0</v>
      </c>
      <c r="CO123" s="239">
        <v>0</v>
      </c>
      <c r="CP123" s="239">
        <v>0</v>
      </c>
      <c r="CQ123" s="239">
        <v>0</v>
      </c>
      <c r="CR123" s="239">
        <v>0</v>
      </c>
      <c r="CS123" s="239">
        <f>CP123/'SDG outcome'!$C$9*CQ123*CR123</f>
        <v>0</v>
      </c>
      <c r="CT123" s="239">
        <v>50</v>
      </c>
      <c r="CU123" s="239">
        <v>50</v>
      </c>
      <c r="CV123" s="239" t="s">
        <v>31943</v>
      </c>
      <c r="CW123" s="239" t="s">
        <v>4</v>
      </c>
      <c r="CX123" s="239" t="s">
        <v>4</v>
      </c>
      <c r="CY123" s="239" t="s">
        <v>4</v>
      </c>
      <c r="CZ123" s="239" t="s">
        <v>4</v>
      </c>
      <c r="DA123" s="239" t="s">
        <v>4</v>
      </c>
      <c r="DB123" s="239" t="s">
        <v>4</v>
      </c>
      <c r="DC123" s="239" t="s">
        <v>4</v>
      </c>
      <c r="DD123" s="239" t="s">
        <v>4</v>
      </c>
      <c r="DE123" s="239" t="s">
        <v>4</v>
      </c>
      <c r="DF123" s="239" t="s">
        <v>4</v>
      </c>
      <c r="DG123" s="239" t="s">
        <v>4</v>
      </c>
      <c r="DH123" s="239" t="s">
        <v>4</v>
      </c>
      <c r="DI123" s="239" t="s">
        <v>4</v>
      </c>
      <c r="DJ123" s="239" t="s">
        <v>4</v>
      </c>
      <c r="DK123" s="239" t="s">
        <v>4</v>
      </c>
      <c r="DL123" s="239" t="s">
        <v>4</v>
      </c>
      <c r="DM123" s="239" t="s">
        <v>4</v>
      </c>
      <c r="DN123" s="239" t="s">
        <v>4</v>
      </c>
      <c r="DO123" s="239">
        <v>2</v>
      </c>
      <c r="DP123" s="239" t="s">
        <v>2</v>
      </c>
      <c r="DQ123" s="239" t="s">
        <v>29292</v>
      </c>
      <c r="DR123" s="239" t="s">
        <v>4</v>
      </c>
      <c r="DS123" s="239" t="s">
        <v>29294</v>
      </c>
      <c r="DT123" s="240" t="s">
        <v>4</v>
      </c>
      <c r="DU123" s="239" t="s">
        <v>29294</v>
      </c>
      <c r="DV123" s="240" t="s">
        <v>4</v>
      </c>
      <c r="DW123" s="239" t="s">
        <v>29295</v>
      </c>
      <c r="DX123" s="239">
        <v>100</v>
      </c>
      <c r="DY123" s="239" t="s">
        <v>29296</v>
      </c>
      <c r="DZ123" s="239">
        <v>100</v>
      </c>
      <c r="EA123" s="239"/>
      <c r="EB123" s="239"/>
      <c r="EC123" s="239"/>
      <c r="ED123" s="239"/>
      <c r="EE123" s="320">
        <f>Table14[[#This Row],[% Fertilizer]]*$DX123/10000</f>
        <v>1</v>
      </c>
      <c r="EF123" s="320">
        <f>Table14[[#This Row],[% bioslurry used as Insecticide/Pesticide]]*$DX123/10000</f>
        <v>0</v>
      </c>
      <c r="EG123" s="320">
        <f>Table14[[#This Row],[% of Bioslurry used as animal feed]]*$DX123/10000</f>
        <v>0</v>
      </c>
      <c r="EH123" s="320">
        <f>Table14[[#This Row],[% of Bioslurry sold]]*$DX123/10000</f>
        <v>0</v>
      </c>
      <c r="EI123" s="320">
        <f>Table14[[#This Row],[% used other way(if used directly)]]*$DX123/10000</f>
        <v>0</v>
      </c>
      <c r="EJ123" s="239"/>
      <c r="EK123" s="239"/>
      <c r="EL123" s="239"/>
      <c r="EM123" s="239"/>
      <c r="EN123" s="239"/>
      <c r="EO123" s="239">
        <f>(Table14[[#This Row],[% Uncovered lagoon greater than 1 meter]]+Table14[[#This Row],[Uncovered lagoon (black watery mass) &lt;1 meter]]+Table14[[#This Row],[% Liquid slurry (brown porridge type)]])*Table14[[#This Row],[% Store it first]]/100</f>
        <v>0</v>
      </c>
      <c r="EP123" s="239"/>
      <c r="EQ123" s="239"/>
      <c r="ER123" s="239"/>
      <c r="ES123" s="239"/>
      <c r="ET123" s="239">
        <f>(Table14[[#This Row],[% Solid storage]]+Table14[[#This Row],[% Sun drying]]+Table14[[#This Row],[% Composting with a roof]]+Table14[[#This Row],[% Composting without a roof]])*Table14[[#This Row],[% Store it first]]/100</f>
        <v>0</v>
      </c>
      <c r="EU123" s="239"/>
      <c r="EV123" s="320">
        <f t="shared" si="8"/>
        <v>0</v>
      </c>
      <c r="EW123" s="320">
        <f t="shared" si="9"/>
        <v>0</v>
      </c>
      <c r="EX123" s="320">
        <f t="shared" si="10"/>
        <v>0</v>
      </c>
      <c r="EY123" s="320">
        <f t="shared" si="11"/>
        <v>0</v>
      </c>
      <c r="EZ123" s="320">
        <f t="shared" si="12"/>
        <v>0</v>
      </c>
      <c r="FA123" s="239"/>
      <c r="FB123" s="239"/>
      <c r="FC123" s="239"/>
      <c r="FD123" s="239">
        <f>Table14[[#This Row],[% I donâ€™t use it / discarded]]+Table14[[#This Row],[% Other (specify)(If you use bioslurry directly)]]+Table14[[#This Row],[% Store it first]]+Table14[[#This Row],[% Use directly for various purposes]]</f>
        <v>100</v>
      </c>
      <c r="FE123" s="239" t="s">
        <v>4</v>
      </c>
      <c r="FF123" s="239"/>
      <c r="FG123" s="239"/>
      <c r="FH123" s="239"/>
      <c r="FI123" s="239"/>
      <c r="FJ123" s="239"/>
      <c r="FK123" s="239" t="s">
        <v>9</v>
      </c>
      <c r="FL123" s="239" t="s">
        <v>7</v>
      </c>
      <c r="FM123" s="239">
        <v>30</v>
      </c>
      <c r="FN123" s="239"/>
      <c r="FO123" s="239" t="s">
        <v>29952</v>
      </c>
      <c r="FP123" s="239" t="s">
        <v>29298</v>
      </c>
      <c r="FQ123" s="239">
        <v>66</v>
      </c>
      <c r="FR123" s="239" t="s">
        <v>7</v>
      </c>
      <c r="FS123" s="239" t="s">
        <v>29393</v>
      </c>
      <c r="FT123" s="239" t="s">
        <v>4</v>
      </c>
      <c r="FU123" s="239" t="s">
        <v>2</v>
      </c>
      <c r="FV123" s="239" t="s">
        <v>4</v>
      </c>
      <c r="FW123" s="239" t="s">
        <v>4</v>
      </c>
      <c r="FX123" s="239" t="s">
        <v>4</v>
      </c>
      <c r="FY123" s="239" t="s">
        <v>4</v>
      </c>
      <c r="FZ123" s="239" t="s">
        <v>4</v>
      </c>
      <c r="GA123" s="239" t="s">
        <v>4</v>
      </c>
      <c r="GB123" s="240" t="s">
        <v>4</v>
      </c>
      <c r="GC123" s="239" t="s">
        <v>4</v>
      </c>
      <c r="GD123" s="239" t="s">
        <v>2</v>
      </c>
      <c r="GE123" s="239" t="s">
        <v>4</v>
      </c>
      <c r="GF123" s="239" t="s">
        <v>4</v>
      </c>
      <c r="GG123" s="239" t="s">
        <v>7</v>
      </c>
      <c r="GH123" s="239" t="s">
        <v>2</v>
      </c>
      <c r="GI123" s="239" t="s">
        <v>4</v>
      </c>
      <c r="GJ123" s="239" t="s">
        <v>4</v>
      </c>
      <c r="GK123" s="239" t="s">
        <v>4</v>
      </c>
      <c r="GL123" s="239">
        <v>0</v>
      </c>
      <c r="GM123" s="239"/>
      <c r="GN123" s="239" t="s">
        <v>4</v>
      </c>
      <c r="GO123" s="239" t="s">
        <v>4</v>
      </c>
      <c r="GP123" s="239" t="s">
        <v>4</v>
      </c>
      <c r="GQ123" s="239" t="s">
        <v>4</v>
      </c>
      <c r="GR123" s="239" t="s">
        <v>4</v>
      </c>
      <c r="GS123" s="239" t="s">
        <v>4</v>
      </c>
      <c r="GT123" s="239" t="s">
        <v>4</v>
      </c>
      <c r="GU123" s="239" t="s">
        <v>4</v>
      </c>
      <c r="GV123" s="239" t="s">
        <v>4</v>
      </c>
      <c r="GW123" s="239" t="s">
        <v>29304</v>
      </c>
      <c r="GX123" s="239" t="s">
        <v>29465</v>
      </c>
      <c r="GY123" s="239" t="s">
        <v>4</v>
      </c>
      <c r="GZ123" s="239" t="s">
        <v>29556</v>
      </c>
      <c r="HA123" s="239" t="s">
        <v>4</v>
      </c>
      <c r="HB123" s="239" t="s">
        <v>4</v>
      </c>
      <c r="HC123" s="239" t="s">
        <v>29451</v>
      </c>
      <c r="HD123" s="239" t="s">
        <v>4</v>
      </c>
      <c r="HE123" s="239" t="s">
        <v>31210</v>
      </c>
      <c r="HF123" s="239" t="s">
        <v>13</v>
      </c>
      <c r="HG123" s="239" t="s">
        <v>4</v>
      </c>
      <c r="HH123" s="239" t="s">
        <v>29354</v>
      </c>
      <c r="HI123" s="239" t="s">
        <v>4</v>
      </c>
      <c r="HJ123" s="240">
        <v>0</v>
      </c>
      <c r="HK123" s="239" t="s">
        <v>2</v>
      </c>
      <c r="HL123" s="239" t="s">
        <v>29309</v>
      </c>
      <c r="HM123" s="239" t="s">
        <v>4</v>
      </c>
      <c r="HN123" s="239" t="s">
        <v>4</v>
      </c>
      <c r="HO123" s="239" t="s">
        <v>4</v>
      </c>
      <c r="HP123" s="239" t="s">
        <v>4</v>
      </c>
      <c r="HQ123" s="239" t="s">
        <v>4</v>
      </c>
      <c r="HR123" s="239" t="s">
        <v>4</v>
      </c>
      <c r="HS123" s="239" t="s">
        <v>4</v>
      </c>
      <c r="HT123" s="239" t="s">
        <v>4</v>
      </c>
      <c r="HU123" s="239" t="s">
        <v>2</v>
      </c>
      <c r="HV123" s="239" t="s">
        <v>4</v>
      </c>
      <c r="HW123" s="239" t="s">
        <v>4</v>
      </c>
      <c r="HX123" s="239" t="s">
        <v>4</v>
      </c>
      <c r="HY123" s="239" t="s">
        <v>4</v>
      </c>
      <c r="HZ123" s="239" t="s">
        <v>16</v>
      </c>
      <c r="IA123" s="239" t="s">
        <v>7</v>
      </c>
      <c r="IB123" s="239" t="s">
        <v>31211</v>
      </c>
      <c r="IC123" s="239" t="s">
        <v>16</v>
      </c>
      <c r="ID123" s="239" t="s">
        <v>31212</v>
      </c>
      <c r="IE123" s="239" t="s">
        <v>31213</v>
      </c>
      <c r="IF123" s="239" t="s">
        <v>31214</v>
      </c>
      <c r="IG123" s="239" t="s">
        <v>31215</v>
      </c>
      <c r="IH123" s="239" t="s">
        <v>31216</v>
      </c>
    </row>
    <row r="124" spans="1:242" s="1" customFormat="1" ht="36.75" customHeight="1" x14ac:dyDescent="0.2">
      <c r="A124" s="239">
        <v>17</v>
      </c>
      <c r="B124" s="239" t="s">
        <v>24045</v>
      </c>
      <c r="C124" s="239" t="s">
        <v>29522</v>
      </c>
      <c r="D124" s="239" t="s">
        <v>52</v>
      </c>
      <c r="E124" s="239" t="s">
        <v>7</v>
      </c>
      <c r="F124" s="239" t="s">
        <v>29523</v>
      </c>
      <c r="G124" s="239">
        <v>1563.6</v>
      </c>
      <c r="H124" s="239">
        <v>4.8</v>
      </c>
      <c r="I124" s="239" t="s">
        <v>29288</v>
      </c>
      <c r="J124" s="239" t="s">
        <v>4</v>
      </c>
      <c r="K124" s="239" t="s">
        <v>29524</v>
      </c>
      <c r="L124" s="239">
        <v>774512476</v>
      </c>
      <c r="M124" s="239" t="s">
        <v>3</v>
      </c>
      <c r="N124" s="239" t="s">
        <v>31438</v>
      </c>
      <c r="O124" s="239">
        <v>68</v>
      </c>
      <c r="P124" s="239">
        <v>5</v>
      </c>
      <c r="Q124" s="239" t="s">
        <v>7</v>
      </c>
      <c r="R124" s="239" t="s">
        <v>31535</v>
      </c>
      <c r="S124" s="239" t="s">
        <v>4</v>
      </c>
      <c r="T124" s="239" t="s">
        <v>7</v>
      </c>
      <c r="U124" s="239" t="s">
        <v>2</v>
      </c>
      <c r="V124" s="239">
        <v>180</v>
      </c>
      <c r="W124" s="239" t="s">
        <v>7</v>
      </c>
      <c r="X124" s="239" t="s">
        <v>4</v>
      </c>
      <c r="Y124" s="239" t="s">
        <v>4</v>
      </c>
      <c r="Z124" s="241" t="str">
        <f>IF(OR(T124="yes",Y124&gt;'SDG outcome'!$C$27),"yes","no")</f>
        <v>yes</v>
      </c>
      <c r="AA124" s="243">
        <f t="shared" si="1"/>
        <v>180</v>
      </c>
      <c r="AB124" s="243" t="str">
        <f>IF(AND(Z124="no",AND(Y124&gt;='SDG outcome'!$B$16,Y124&lt;'SDG outcome'!$C$27)),Y124-'SDG outcome'!$B$16,"")</f>
        <v/>
      </c>
      <c r="AC124" s="239" t="s">
        <v>4</v>
      </c>
      <c r="AD124" s="239" t="s">
        <v>4</v>
      </c>
      <c r="AE124" s="239" t="s">
        <v>4</v>
      </c>
      <c r="AF124" s="239" t="s">
        <v>4</v>
      </c>
      <c r="AG124" s="239" t="s">
        <v>4</v>
      </c>
      <c r="AH124" s="239" t="s">
        <v>4</v>
      </c>
      <c r="AI124" s="239" t="s">
        <v>4</v>
      </c>
      <c r="AJ124" s="239" t="s">
        <v>29290</v>
      </c>
      <c r="AK124" s="239" t="s">
        <v>29291</v>
      </c>
      <c r="AL124" s="239" t="s">
        <v>4</v>
      </c>
      <c r="AM124" s="239" t="s">
        <v>4</v>
      </c>
      <c r="AN124" s="239" t="s">
        <v>31605</v>
      </c>
      <c r="AO124" s="239" t="s">
        <v>4</v>
      </c>
      <c r="AP124" s="239" t="s">
        <v>31600</v>
      </c>
      <c r="AQ124" s="239" t="s">
        <v>4</v>
      </c>
      <c r="AR124" s="239" t="s">
        <v>31601</v>
      </c>
      <c r="AS124" s="239" t="s">
        <v>4</v>
      </c>
      <c r="AT124" s="239" t="s">
        <v>7</v>
      </c>
      <c r="AU124" s="239" t="s">
        <v>4</v>
      </c>
      <c r="AV124" s="239" t="s">
        <v>4</v>
      </c>
      <c r="AW124" s="239" t="s">
        <v>31539</v>
      </c>
      <c r="AX124" s="239" t="s">
        <v>4</v>
      </c>
      <c r="AY124" s="239" t="s">
        <v>4</v>
      </c>
      <c r="AZ124" s="239" t="s">
        <v>7</v>
      </c>
      <c r="BA124" s="239" t="s">
        <v>11</v>
      </c>
      <c r="BB124" s="239" t="s">
        <v>4</v>
      </c>
      <c r="BC124" s="239" t="s">
        <v>31563</v>
      </c>
      <c r="BD124" s="239" t="s">
        <v>22</v>
      </c>
      <c r="BE124" s="239" t="s">
        <v>4</v>
      </c>
      <c r="BF124" s="239" t="s">
        <v>31564</v>
      </c>
      <c r="BG124" s="239" t="s">
        <v>4</v>
      </c>
      <c r="BH124" s="239" t="s">
        <v>31542</v>
      </c>
      <c r="BI124" s="239" t="s">
        <v>31631</v>
      </c>
      <c r="BJ124" s="239" t="s">
        <v>31632</v>
      </c>
      <c r="BK124" s="239">
        <v>2</v>
      </c>
      <c r="BL124" s="239">
        <v>174</v>
      </c>
      <c r="BM124" s="239" t="s">
        <v>7</v>
      </c>
      <c r="BN124" s="239" t="s">
        <v>6</v>
      </c>
      <c r="BO124" s="239" t="s">
        <v>4</v>
      </c>
      <c r="BP124" s="239" t="s">
        <v>31425</v>
      </c>
      <c r="BQ124" s="239">
        <v>1</v>
      </c>
      <c r="BR124" s="239">
        <v>30</v>
      </c>
      <c r="BS124" s="239" t="s">
        <v>31434</v>
      </c>
      <c r="BT124" s="239"/>
      <c r="BU124" s="239">
        <v>1</v>
      </c>
      <c r="BV124" s="239" cm="1">
        <f t="array" ref="BV124">_xlfn.IFS(BS124="Foreword vehicle",BU124*0,BS124="Human wastes",BU124*0,BS124="Jerrycans",BU124*$BV$228,BS124="Number of Basins",BU124*$BV$229,BS124="Number of Buckets",BU124*$CA$226,BS124="Number of Kgs",BU124*$CA$227,BS124="Number of spades",BU124*$CA$228,BS124="Number of wheelbarrows",BU124*$CA$229,BT124="Foreword vehicle",BU124*0,BT124="Human wastes",BU124*0,BT124="Jerrycans",BU124*$BV$228,BS124="","")</f>
        <v>16</v>
      </c>
      <c r="BW124" s="239">
        <f>IF(BV124="","",Table14[[#This Row],[Calculation: Conversion of metric to Kg manure feeding (Columns: BP, BQ, BR)]]*Table14[[#This Row],[Number of times used to feed biodigester]])</f>
        <v>16</v>
      </c>
      <c r="BX124" s="239" cm="1">
        <f t="array" ref="BX124">_xlfn.IFS(BP124="Number of times per day (1 to 3)",BW124/$BX$226,BP124="Number of times per week (1 to 6)",BW124/$BX$227,BP124="Number of times per Month (1 to 3)",BW124/$BX$228,BW124="","")</f>
        <v>16</v>
      </c>
      <c r="BY124" s="239" t="s">
        <v>22</v>
      </c>
      <c r="BZ124" s="239" t="s">
        <v>4</v>
      </c>
      <c r="CA124" s="239" t="s">
        <v>2</v>
      </c>
      <c r="CB124" s="239" t="s">
        <v>4</v>
      </c>
      <c r="CC124" s="239" t="s">
        <v>4</v>
      </c>
      <c r="CD124" s="239" t="s">
        <v>4</v>
      </c>
      <c r="CE124" s="239" t="s">
        <v>7</v>
      </c>
      <c r="CF124" s="239" t="s">
        <v>31633</v>
      </c>
      <c r="CG124" s="239" t="s">
        <v>4</v>
      </c>
      <c r="CH124" s="239" t="s">
        <v>31634</v>
      </c>
      <c r="CI124" s="239">
        <v>15</v>
      </c>
      <c r="CJ124" s="239">
        <v>0</v>
      </c>
      <c r="CK124" s="239">
        <v>0</v>
      </c>
      <c r="CL124" s="239">
        <v>0</v>
      </c>
      <c r="CM124" s="239">
        <v>11</v>
      </c>
      <c r="CN124" s="239">
        <v>0</v>
      </c>
      <c r="CO124" s="239">
        <v>0</v>
      </c>
      <c r="CP124" s="239">
        <v>0</v>
      </c>
      <c r="CQ124" s="239">
        <v>0</v>
      </c>
      <c r="CR124" s="239">
        <v>0</v>
      </c>
      <c r="CS124" s="239">
        <f>CP124/'SDG outcome'!$C$9*CQ124*CR124</f>
        <v>0</v>
      </c>
      <c r="CT124" s="239">
        <v>50</v>
      </c>
      <c r="CU124" s="239">
        <v>50</v>
      </c>
      <c r="CV124" s="239" t="s">
        <v>31635</v>
      </c>
      <c r="CW124" s="239" t="s">
        <v>4</v>
      </c>
      <c r="CX124" s="239" t="s">
        <v>4</v>
      </c>
      <c r="CY124" s="239" t="s">
        <v>4</v>
      </c>
      <c r="CZ124" s="239" t="s">
        <v>4</v>
      </c>
      <c r="DA124" s="239" t="s">
        <v>4</v>
      </c>
      <c r="DB124" s="239" t="s">
        <v>4</v>
      </c>
      <c r="DC124" s="239" t="s">
        <v>4</v>
      </c>
      <c r="DD124" s="239" t="s">
        <v>4</v>
      </c>
      <c r="DE124" s="239" t="s">
        <v>4</v>
      </c>
      <c r="DF124" s="239" t="s">
        <v>4</v>
      </c>
      <c r="DG124" s="239" t="s">
        <v>4</v>
      </c>
      <c r="DH124" s="239" t="s">
        <v>4</v>
      </c>
      <c r="DI124" s="239" t="s">
        <v>4</v>
      </c>
      <c r="DJ124" s="239" t="s">
        <v>4</v>
      </c>
      <c r="DK124" s="239" t="s">
        <v>4</v>
      </c>
      <c r="DL124" s="239">
        <v>0</v>
      </c>
      <c r="DM124" s="239">
        <v>100</v>
      </c>
      <c r="DN124" s="239" t="s">
        <v>31636</v>
      </c>
      <c r="DO124" s="239">
        <v>0.75</v>
      </c>
      <c r="DP124" s="239" t="s">
        <v>2</v>
      </c>
      <c r="DQ124" s="239" t="s">
        <v>29375</v>
      </c>
      <c r="DR124" s="239" t="s">
        <v>4</v>
      </c>
      <c r="DS124" s="239" t="s">
        <v>4</v>
      </c>
      <c r="DT124" s="240" t="s">
        <v>4</v>
      </c>
      <c r="DU124" s="239" t="s">
        <v>29294</v>
      </c>
      <c r="DV124" s="240" t="s">
        <v>4</v>
      </c>
      <c r="DW124" s="239" t="s">
        <v>29295</v>
      </c>
      <c r="DX124" s="239">
        <v>100</v>
      </c>
      <c r="DY124" s="239" t="s">
        <v>29296</v>
      </c>
      <c r="DZ124" s="239">
        <v>100</v>
      </c>
      <c r="EA124" s="239"/>
      <c r="EB124" s="239"/>
      <c r="EC124" s="239"/>
      <c r="ED124" s="239"/>
      <c r="EE124" s="320">
        <f>Table14[[#This Row],[% Fertilizer]]*$DX124/10000</f>
        <v>1</v>
      </c>
      <c r="EF124" s="320">
        <f>Table14[[#This Row],[% bioslurry used as Insecticide/Pesticide]]*$DX124/10000</f>
        <v>0</v>
      </c>
      <c r="EG124" s="320">
        <f>Table14[[#This Row],[% of Bioslurry used as animal feed]]*$DX124/10000</f>
        <v>0</v>
      </c>
      <c r="EH124" s="320">
        <f>Table14[[#This Row],[% of Bioslurry sold]]*$DX124/10000</f>
        <v>0</v>
      </c>
      <c r="EI124" s="320">
        <f>Table14[[#This Row],[% used other way(if used directly)]]*$DX124/10000</f>
        <v>0</v>
      </c>
      <c r="EJ124" s="239"/>
      <c r="EK124" s="239"/>
      <c r="EL124" s="239"/>
      <c r="EM124" s="239"/>
      <c r="EN124" s="239"/>
      <c r="EO124" s="239">
        <f>(Table14[[#This Row],[% Uncovered lagoon greater than 1 meter]]+Table14[[#This Row],[Uncovered lagoon (black watery mass) &lt;1 meter]]+Table14[[#This Row],[% Liquid slurry (brown porridge type)]])*Table14[[#This Row],[% Store it first]]/100</f>
        <v>0</v>
      </c>
      <c r="EP124" s="239"/>
      <c r="EQ124" s="239"/>
      <c r="ER124" s="239"/>
      <c r="ES124" s="239"/>
      <c r="ET124" s="239">
        <f>(Table14[[#This Row],[% Solid storage]]+Table14[[#This Row],[% Sun drying]]+Table14[[#This Row],[% Composting with a roof]]+Table14[[#This Row],[% Composting without a roof]])*Table14[[#This Row],[% Store it first]]/100</f>
        <v>0</v>
      </c>
      <c r="EU124" s="239"/>
      <c r="EV124" s="320">
        <f t="shared" si="8"/>
        <v>0</v>
      </c>
      <c r="EW124" s="320">
        <f t="shared" si="9"/>
        <v>0</v>
      </c>
      <c r="EX124" s="320">
        <f t="shared" si="10"/>
        <v>0</v>
      </c>
      <c r="EY124" s="320">
        <f t="shared" si="11"/>
        <v>0</v>
      </c>
      <c r="EZ124" s="320">
        <f t="shared" si="12"/>
        <v>0</v>
      </c>
      <c r="FA124" s="239"/>
      <c r="FB124" s="239"/>
      <c r="FC124" s="239"/>
      <c r="FD124" s="239">
        <f>Table14[[#This Row],[% I donâ€™t use it / discarded]]+Table14[[#This Row],[% Other (specify)(If you use bioslurry directly)]]+Table14[[#This Row],[% Store it first]]+Table14[[#This Row],[% Use directly for various purposes]]</f>
        <v>100</v>
      </c>
      <c r="FE124" s="239" t="s">
        <v>4</v>
      </c>
      <c r="FF124" s="239"/>
      <c r="FG124" s="239"/>
      <c r="FH124" s="239"/>
      <c r="FI124" s="239"/>
      <c r="FJ124" s="239"/>
      <c r="FK124" s="239">
        <v>2.4</v>
      </c>
      <c r="FL124" s="239" t="s">
        <v>7</v>
      </c>
      <c r="FM124" s="239">
        <v>50</v>
      </c>
      <c r="FN124" s="239">
        <f>FK124*FM124/100</f>
        <v>1.2</v>
      </c>
      <c r="FO124" s="239" t="s">
        <v>29525</v>
      </c>
      <c r="FP124" s="239" t="s">
        <v>29298</v>
      </c>
      <c r="FQ124" s="239">
        <v>60</v>
      </c>
      <c r="FR124" s="239" t="s">
        <v>7</v>
      </c>
      <c r="FS124" s="239" t="s">
        <v>29393</v>
      </c>
      <c r="FT124" s="239" t="s">
        <v>4</v>
      </c>
      <c r="FU124" s="239" t="s">
        <v>7</v>
      </c>
      <c r="FV124" s="239" t="s">
        <v>29393</v>
      </c>
      <c r="FW124" s="239" t="s">
        <v>4</v>
      </c>
      <c r="FX124" s="239" t="s">
        <v>29300</v>
      </c>
      <c r="FY124" s="239" t="s">
        <v>4</v>
      </c>
      <c r="FZ124" s="239" t="s">
        <v>4</v>
      </c>
      <c r="GA124" s="239" t="s">
        <v>4</v>
      </c>
      <c r="GB124" s="240" t="s">
        <v>4</v>
      </c>
      <c r="GC124" s="239" t="s">
        <v>4</v>
      </c>
      <c r="GD124" s="239" t="s">
        <v>7</v>
      </c>
      <c r="GE124" s="239" t="s">
        <v>29526</v>
      </c>
      <c r="GF124" s="239" t="s">
        <v>29527</v>
      </c>
      <c r="GG124" s="239" t="s">
        <v>7</v>
      </c>
      <c r="GH124" s="239" t="s">
        <v>7</v>
      </c>
      <c r="GI124" s="239" t="s">
        <v>29302</v>
      </c>
      <c r="GJ124" s="239" t="s">
        <v>29528</v>
      </c>
      <c r="GK124" s="239" t="s">
        <v>29304</v>
      </c>
      <c r="GL124" s="239">
        <v>0.5</v>
      </c>
      <c r="GM124" s="239" t="s">
        <v>29529</v>
      </c>
      <c r="GN124" s="239" t="s">
        <v>4</v>
      </c>
      <c r="GO124" s="239" t="s">
        <v>4</v>
      </c>
      <c r="GP124" s="239" t="s">
        <v>4</v>
      </c>
      <c r="GQ124" s="239" t="s">
        <v>4</v>
      </c>
      <c r="GR124" s="239" t="s">
        <v>29451</v>
      </c>
      <c r="GS124" s="239" t="s">
        <v>4</v>
      </c>
      <c r="GT124" s="239" t="s">
        <v>4</v>
      </c>
      <c r="GU124" s="239" t="s">
        <v>4</v>
      </c>
      <c r="GV124" s="239" t="s">
        <v>4</v>
      </c>
      <c r="GW124" s="239" t="s">
        <v>4</v>
      </c>
      <c r="GX124" s="239" t="s">
        <v>4</v>
      </c>
      <c r="GY124" s="239" t="s">
        <v>4</v>
      </c>
      <c r="GZ124" s="239" t="s">
        <v>4</v>
      </c>
      <c r="HA124" s="239" t="s">
        <v>4</v>
      </c>
      <c r="HB124" s="239" t="s">
        <v>4</v>
      </c>
      <c r="HC124" s="239" t="s">
        <v>4</v>
      </c>
      <c r="HD124" s="239" t="s">
        <v>4</v>
      </c>
      <c r="HE124" s="239" t="s">
        <v>4</v>
      </c>
      <c r="HF124" s="239" t="s">
        <v>4</v>
      </c>
      <c r="HG124" s="239" t="s">
        <v>4</v>
      </c>
      <c r="HH124" s="239" t="s">
        <v>29354</v>
      </c>
      <c r="HI124" s="239" t="s">
        <v>4</v>
      </c>
      <c r="HJ124" s="240">
        <v>0</v>
      </c>
      <c r="HK124" s="239" t="s">
        <v>7</v>
      </c>
      <c r="HL124" s="239" t="s">
        <v>29309</v>
      </c>
      <c r="HM124" s="239" t="s">
        <v>4</v>
      </c>
      <c r="HN124" s="239" t="s">
        <v>4</v>
      </c>
      <c r="HO124" s="239" t="s">
        <v>4</v>
      </c>
      <c r="HP124" s="239" t="s">
        <v>4</v>
      </c>
      <c r="HQ124" s="239" t="s">
        <v>4</v>
      </c>
      <c r="HR124" s="239" t="s">
        <v>4</v>
      </c>
      <c r="HS124" s="239" t="s">
        <v>4</v>
      </c>
      <c r="HT124" s="239" t="s">
        <v>4</v>
      </c>
      <c r="HU124" s="239" t="s">
        <v>2</v>
      </c>
      <c r="HV124" s="239" t="s">
        <v>4</v>
      </c>
      <c r="HW124" s="239" t="s">
        <v>4</v>
      </c>
      <c r="HX124" s="239" t="s">
        <v>4</v>
      </c>
      <c r="HY124" s="239" t="s">
        <v>4</v>
      </c>
      <c r="HZ124" s="239" t="s">
        <v>29530</v>
      </c>
      <c r="IA124" s="239" t="s">
        <v>7</v>
      </c>
      <c r="IB124" s="239" t="s">
        <v>29531</v>
      </c>
      <c r="IC124" s="239" t="s">
        <v>29532</v>
      </c>
      <c r="ID124" s="239" t="s">
        <v>29533</v>
      </c>
      <c r="IE124" s="239" t="s">
        <v>29534</v>
      </c>
      <c r="IF124" s="239" t="s">
        <v>29535</v>
      </c>
      <c r="IG124" s="239" t="s">
        <v>29536</v>
      </c>
      <c r="IH124" s="239" t="s">
        <v>29522</v>
      </c>
    </row>
    <row r="125" spans="1:242" s="1" customFormat="1" ht="36.75" customHeight="1" x14ac:dyDescent="0.2">
      <c r="A125" s="239">
        <v>69</v>
      </c>
      <c r="B125" s="239" t="s">
        <v>8346</v>
      </c>
      <c r="C125" s="239" t="s">
        <v>30073</v>
      </c>
      <c r="D125" s="239" t="s">
        <v>30002</v>
      </c>
      <c r="E125" s="239" t="s">
        <v>7</v>
      </c>
      <c r="F125" s="239" t="s">
        <v>30074</v>
      </c>
      <c r="G125" s="239">
        <v>1181.0999999999999</v>
      </c>
      <c r="H125" s="239">
        <v>3</v>
      </c>
      <c r="I125" s="239" t="s">
        <v>29319</v>
      </c>
      <c r="J125" s="239" t="s">
        <v>4</v>
      </c>
      <c r="K125" s="239" t="s">
        <v>30075</v>
      </c>
      <c r="L125" s="239">
        <v>703614712</v>
      </c>
      <c r="M125" s="239" t="s">
        <v>5</v>
      </c>
      <c r="N125" s="239" t="s">
        <v>31438</v>
      </c>
      <c r="O125" s="239">
        <v>52</v>
      </c>
      <c r="P125" s="239">
        <v>7</v>
      </c>
      <c r="Q125" s="239" t="s">
        <v>7</v>
      </c>
      <c r="R125" s="239" t="s">
        <v>31562</v>
      </c>
      <c r="S125" s="239" t="s">
        <v>4</v>
      </c>
      <c r="T125" s="239" t="s">
        <v>7</v>
      </c>
      <c r="U125" s="239" t="s">
        <v>7</v>
      </c>
      <c r="V125" s="239"/>
      <c r="W125" s="239" t="s">
        <v>7</v>
      </c>
      <c r="X125" s="239" t="s">
        <v>4</v>
      </c>
      <c r="Y125" s="239" t="s">
        <v>4</v>
      </c>
      <c r="Z125" s="241" t="str">
        <f>IF(OR(T125="yes",Y125&gt;'SDG outcome'!$C$27),"yes","no")</f>
        <v>yes</v>
      </c>
      <c r="AA125" s="243">
        <f t="shared" si="1"/>
        <v>0</v>
      </c>
      <c r="AB125" s="243" t="str">
        <f>IF(AND(Z125="no",AND(Y125&gt;='SDG outcome'!$B$16,Y125&lt;'SDG outcome'!$C$27)),Y125-'SDG outcome'!$B$16,"")</f>
        <v/>
      </c>
      <c r="AC125" s="239" t="s">
        <v>4</v>
      </c>
      <c r="AD125" s="239" t="s">
        <v>4</v>
      </c>
      <c r="AE125" s="239" t="s">
        <v>4</v>
      </c>
      <c r="AF125" s="239" t="s">
        <v>4</v>
      </c>
      <c r="AG125" s="239" t="s">
        <v>4</v>
      </c>
      <c r="AH125" s="239" t="s">
        <v>4</v>
      </c>
      <c r="AI125" s="239" t="s">
        <v>4</v>
      </c>
      <c r="AJ125" s="239" t="s">
        <v>29290</v>
      </c>
      <c r="AK125" s="239" t="s">
        <v>29291</v>
      </c>
      <c r="AL125" s="239" t="s">
        <v>4</v>
      </c>
      <c r="AM125" s="239" t="s">
        <v>4</v>
      </c>
      <c r="AN125" s="239" t="s">
        <v>31536</v>
      </c>
      <c r="AO125" s="239" t="s">
        <v>4</v>
      </c>
      <c r="AP125" s="239" t="s">
        <v>31600</v>
      </c>
      <c r="AQ125" s="239" t="s">
        <v>4</v>
      </c>
      <c r="AR125" s="239" t="s">
        <v>31538</v>
      </c>
      <c r="AS125" s="239" t="s">
        <v>4</v>
      </c>
      <c r="AT125" s="239" t="s">
        <v>7</v>
      </c>
      <c r="AU125" s="239" t="s">
        <v>4</v>
      </c>
      <c r="AV125" s="239" t="s">
        <v>4</v>
      </c>
      <c r="AW125" s="239" t="s">
        <v>31550</v>
      </c>
      <c r="AX125" s="239" t="s">
        <v>4</v>
      </c>
      <c r="AY125" s="239" t="s">
        <v>4</v>
      </c>
      <c r="AZ125" s="239" t="s">
        <v>7</v>
      </c>
      <c r="BA125" s="239" t="s">
        <v>6</v>
      </c>
      <c r="BB125" s="239" t="s">
        <v>4</v>
      </c>
      <c r="BC125" s="239" t="s">
        <v>31563</v>
      </c>
      <c r="BD125" s="239" t="s">
        <v>22</v>
      </c>
      <c r="BE125" s="239" t="s">
        <v>4</v>
      </c>
      <c r="BF125" s="239" t="s">
        <v>4</v>
      </c>
      <c r="BG125" s="239" t="s">
        <v>4</v>
      </c>
      <c r="BH125" s="239" t="s">
        <v>31542</v>
      </c>
      <c r="BI125" s="239" t="s">
        <v>31801</v>
      </c>
      <c r="BJ125" s="239" t="s">
        <v>31544</v>
      </c>
      <c r="BK125" s="239">
        <v>1</v>
      </c>
      <c r="BL125" s="239">
        <v>90</v>
      </c>
      <c r="BM125" s="239" t="s">
        <v>7</v>
      </c>
      <c r="BN125" s="239" t="s">
        <v>6</v>
      </c>
      <c r="BO125" s="239" t="s">
        <v>4</v>
      </c>
      <c r="BP125" s="239" t="s">
        <v>31425</v>
      </c>
      <c r="BQ125" s="239">
        <v>1</v>
      </c>
      <c r="BR125" s="239">
        <v>30</v>
      </c>
      <c r="BS125" s="239" t="s">
        <v>31435</v>
      </c>
      <c r="BT125" s="239"/>
      <c r="BU125" s="239">
        <v>1</v>
      </c>
      <c r="BV125" s="239" cm="1">
        <f t="array" ref="BV125">_xlfn.IFS(BS125="Foreword vehicle",BU125*0,BS125="Human wastes",BU125*0,BS125="Jerrycans",BU125*$BV$228,BS125="Number of Basins",BU125*$BV$229,BS125="Number of Buckets",BU125*$CA$226,BS125="Number of Kgs",BU125*$CA$227,BS125="Number of spades",BU125*$CA$228,BS125="Number of wheelbarrows",BU125*$CA$229,BT125="Foreword vehicle",BU125*0,BT125="Human wastes",BU125*0,BT125="Jerrycans",BU125*$BV$228,BS125="","")</f>
        <v>70.5</v>
      </c>
      <c r="BW125" s="239">
        <f>IF(BV125="","",Table14[[#This Row],[Calculation: Conversion of metric to Kg manure feeding (Columns: BP, BQ, BR)]]*Table14[[#This Row],[Number of times used to feed biodigester]])</f>
        <v>70.5</v>
      </c>
      <c r="BX125" s="239" cm="1">
        <f t="array" ref="BX125">_xlfn.IFS(BP125="Number of times per day (1 to 3)",BW125/$BX$226,BP125="Number of times per week (1 to 6)",BW125/$BX$227,BP125="Number of times per Month (1 to 3)",BW125/$BX$228,BW125="","")</f>
        <v>70.5</v>
      </c>
      <c r="BY125" s="239" t="s">
        <v>22</v>
      </c>
      <c r="BZ125" s="239" t="s">
        <v>4</v>
      </c>
      <c r="CA125" s="239" t="s">
        <v>2</v>
      </c>
      <c r="CB125" s="239" t="s">
        <v>4</v>
      </c>
      <c r="CC125" s="239" t="s">
        <v>4</v>
      </c>
      <c r="CD125" s="239" t="s">
        <v>4</v>
      </c>
      <c r="CE125" s="239" t="s">
        <v>7</v>
      </c>
      <c r="CF125" s="239" t="s">
        <v>31802</v>
      </c>
      <c r="CG125" s="239" t="s">
        <v>4</v>
      </c>
      <c r="CH125" s="239" t="s">
        <v>31634</v>
      </c>
      <c r="CI125" s="239">
        <v>15</v>
      </c>
      <c r="CJ125" s="239">
        <v>0</v>
      </c>
      <c r="CK125" s="239">
        <v>0</v>
      </c>
      <c r="CL125" s="239">
        <v>0</v>
      </c>
      <c r="CM125" s="239">
        <v>5</v>
      </c>
      <c r="CN125" s="239">
        <v>0</v>
      </c>
      <c r="CO125" s="239">
        <v>0</v>
      </c>
      <c r="CP125" s="239">
        <v>0</v>
      </c>
      <c r="CQ125" s="239">
        <v>0</v>
      </c>
      <c r="CR125" s="239">
        <v>0</v>
      </c>
      <c r="CS125" s="239">
        <f>CP125/'SDG outcome'!$C$9*CQ125*CR125</f>
        <v>0</v>
      </c>
      <c r="CT125" s="239">
        <v>100</v>
      </c>
      <c r="CU125" s="239">
        <v>0</v>
      </c>
      <c r="CV125" s="239" t="s">
        <v>4</v>
      </c>
      <c r="CW125" s="239" t="s">
        <v>4</v>
      </c>
      <c r="CX125" s="239" t="s">
        <v>4</v>
      </c>
      <c r="CY125" s="239" t="s">
        <v>4</v>
      </c>
      <c r="CZ125" s="239" t="s">
        <v>4</v>
      </c>
      <c r="DA125" s="239" t="s">
        <v>4</v>
      </c>
      <c r="DB125" s="239" t="s">
        <v>4</v>
      </c>
      <c r="DC125" s="239" t="s">
        <v>4</v>
      </c>
      <c r="DD125" s="239" t="s">
        <v>4</v>
      </c>
      <c r="DE125" s="239" t="s">
        <v>4</v>
      </c>
      <c r="DF125" s="239" t="s">
        <v>4</v>
      </c>
      <c r="DG125" s="239" t="s">
        <v>4</v>
      </c>
      <c r="DH125" s="239" t="s">
        <v>4</v>
      </c>
      <c r="DI125" s="239" t="s">
        <v>4</v>
      </c>
      <c r="DJ125" s="239" t="s">
        <v>4</v>
      </c>
      <c r="DK125" s="239" t="s">
        <v>4</v>
      </c>
      <c r="DL125" s="239">
        <v>0</v>
      </c>
      <c r="DM125" s="239">
        <v>100</v>
      </c>
      <c r="DN125" s="239" t="s">
        <v>31803</v>
      </c>
      <c r="DO125" s="239">
        <v>6</v>
      </c>
      <c r="DP125" s="239" t="s">
        <v>7</v>
      </c>
      <c r="DQ125" s="239" t="s">
        <v>29292</v>
      </c>
      <c r="DR125" s="239" t="s">
        <v>4</v>
      </c>
      <c r="DS125" s="239" t="s">
        <v>29293</v>
      </c>
      <c r="DT125" s="240">
        <v>30000</v>
      </c>
      <c r="DU125" s="239" t="s">
        <v>29294</v>
      </c>
      <c r="DV125" s="240" t="s">
        <v>4</v>
      </c>
      <c r="DW125" s="239" t="s">
        <v>29442</v>
      </c>
      <c r="DX125" s="239">
        <v>90</v>
      </c>
      <c r="DY125" s="239" t="s">
        <v>30063</v>
      </c>
      <c r="DZ125" s="239">
        <v>60</v>
      </c>
      <c r="EA125" s="239"/>
      <c r="EB125" s="239"/>
      <c r="EC125" s="239">
        <v>40</v>
      </c>
      <c r="ED125" s="239"/>
      <c r="EE125" s="320">
        <f>Table14[[#This Row],[% Fertilizer]]*$DX125/10000</f>
        <v>0.54</v>
      </c>
      <c r="EF125" s="320">
        <f>Table14[[#This Row],[% bioslurry used as Insecticide/Pesticide]]*$DX125/10000</f>
        <v>0</v>
      </c>
      <c r="EG125" s="320">
        <f>Table14[[#This Row],[% of Bioslurry used as animal feed]]*$DX125/10000</f>
        <v>0</v>
      </c>
      <c r="EH125" s="320">
        <f>Table14[[#This Row],[% of Bioslurry sold]]*$DX125/10000</f>
        <v>0.36</v>
      </c>
      <c r="EI125" s="320">
        <f>Table14[[#This Row],[% used other way(if used directly)]]*$DX125/10000</f>
        <v>0</v>
      </c>
      <c r="EJ125" s="239">
        <v>10</v>
      </c>
      <c r="EK125" s="239" t="s">
        <v>29509</v>
      </c>
      <c r="EL125" s="239">
        <v>100</v>
      </c>
      <c r="EM125" s="239"/>
      <c r="EN125" s="239"/>
      <c r="EO125" s="239">
        <f>(Table14[[#This Row],[% Uncovered lagoon greater than 1 meter]]+Table14[[#This Row],[Uncovered lagoon (black watery mass) &lt;1 meter]]+Table14[[#This Row],[% Liquid slurry (brown porridge type)]])*Table14[[#This Row],[% Store it first]]/100</f>
        <v>10</v>
      </c>
      <c r="EP125" s="239"/>
      <c r="EQ125" s="239"/>
      <c r="ER125" s="239"/>
      <c r="ES125" s="239"/>
      <c r="ET125" s="239">
        <f>(Table14[[#This Row],[% Solid storage]]+Table14[[#This Row],[% Sun drying]]+Table14[[#This Row],[% Composting with a roof]]+Table14[[#This Row],[% Composting without a roof]])*Table14[[#This Row],[% Store it first]]/100</f>
        <v>0</v>
      </c>
      <c r="EU125" s="239">
        <v>20</v>
      </c>
      <c r="EV125" s="320">
        <f t="shared" si="8"/>
        <v>0</v>
      </c>
      <c r="EW125" s="320">
        <f t="shared" si="9"/>
        <v>0</v>
      </c>
      <c r="EX125" s="320">
        <f t="shared" si="10"/>
        <v>0</v>
      </c>
      <c r="EY125" s="320">
        <f t="shared" si="11"/>
        <v>0.1</v>
      </c>
      <c r="EZ125" s="320">
        <f t="shared" si="12"/>
        <v>0</v>
      </c>
      <c r="FA125" s="239"/>
      <c r="FB125" s="239"/>
      <c r="FC125" s="239"/>
      <c r="FD125" s="239">
        <f>Table14[[#This Row],[% I donâ€™t use it / discarded]]+Table14[[#This Row],[% Other (specify)(If you use bioslurry directly)]]+Table14[[#This Row],[% Store it first]]+Table14[[#This Row],[% Use directly for various purposes]]</f>
        <v>100</v>
      </c>
      <c r="FE125" s="239" t="s">
        <v>30076</v>
      </c>
      <c r="FF125" s="239"/>
      <c r="FG125" s="239"/>
      <c r="FH125" s="239"/>
      <c r="FI125" s="239">
        <v>100</v>
      </c>
      <c r="FJ125" s="239"/>
      <c r="FK125" s="239">
        <v>1</v>
      </c>
      <c r="FL125" s="239" t="s">
        <v>7</v>
      </c>
      <c r="FM125" s="239">
        <v>70</v>
      </c>
      <c r="FN125" s="239">
        <f>FK125*FM125/100</f>
        <v>0.7</v>
      </c>
      <c r="FO125" s="239" t="s">
        <v>30077</v>
      </c>
      <c r="FP125" s="239" t="s">
        <v>29298</v>
      </c>
      <c r="FQ125" s="239">
        <v>15</v>
      </c>
      <c r="FR125" s="239" t="s">
        <v>2</v>
      </c>
      <c r="FS125" s="239" t="s">
        <v>4</v>
      </c>
      <c r="FT125" s="239" t="s">
        <v>4</v>
      </c>
      <c r="FU125" s="239" t="s">
        <v>7</v>
      </c>
      <c r="FV125" s="239" t="s">
        <v>29555</v>
      </c>
      <c r="FW125" s="239" t="s">
        <v>4</v>
      </c>
      <c r="FX125" s="239" t="s">
        <v>29477</v>
      </c>
      <c r="FY125" s="239" t="s">
        <v>4</v>
      </c>
      <c r="FZ125" s="239" t="s">
        <v>4</v>
      </c>
      <c r="GA125" s="239" t="s">
        <v>4</v>
      </c>
      <c r="GB125" s="240" t="s">
        <v>4</v>
      </c>
      <c r="GC125" s="239" t="s">
        <v>4</v>
      </c>
      <c r="GD125" s="239" t="s">
        <v>2</v>
      </c>
      <c r="GE125" s="239" t="s">
        <v>4</v>
      </c>
      <c r="GF125" s="239" t="s">
        <v>4</v>
      </c>
      <c r="GG125" s="239" t="s">
        <v>7</v>
      </c>
      <c r="GH125" s="239" t="s">
        <v>7</v>
      </c>
      <c r="GI125" s="239" t="s">
        <v>29302</v>
      </c>
      <c r="GJ125" s="239" t="s">
        <v>30078</v>
      </c>
      <c r="GK125" s="239" t="s">
        <v>4</v>
      </c>
      <c r="GL125" s="239">
        <v>0</v>
      </c>
      <c r="GM125" s="239"/>
      <c r="GN125" s="239" t="s">
        <v>4</v>
      </c>
      <c r="GO125" s="239" t="s">
        <v>4</v>
      </c>
      <c r="GP125" s="239" t="s">
        <v>4</v>
      </c>
      <c r="GQ125" s="239" t="s">
        <v>4</v>
      </c>
      <c r="GR125" s="239" t="s">
        <v>4</v>
      </c>
      <c r="GS125" s="239" t="s">
        <v>4</v>
      </c>
      <c r="GT125" s="239" t="s">
        <v>4</v>
      </c>
      <c r="GU125" s="239" t="s">
        <v>4</v>
      </c>
      <c r="GV125" s="239" t="s">
        <v>4</v>
      </c>
      <c r="GW125" s="239" t="s">
        <v>29304</v>
      </c>
      <c r="GX125" s="239" t="s">
        <v>29305</v>
      </c>
      <c r="GY125" s="239" t="s">
        <v>29306</v>
      </c>
      <c r="GZ125" s="239" t="s">
        <v>4</v>
      </c>
      <c r="HA125" s="239" t="s">
        <v>4</v>
      </c>
      <c r="HB125" s="239" t="s">
        <v>4</v>
      </c>
      <c r="HC125" s="239" t="s">
        <v>4</v>
      </c>
      <c r="HD125" s="239" t="s">
        <v>4</v>
      </c>
      <c r="HE125" s="239" t="s">
        <v>30079</v>
      </c>
      <c r="HF125" s="239" t="s">
        <v>13</v>
      </c>
      <c r="HG125" s="239" t="s">
        <v>30080</v>
      </c>
      <c r="HH125" s="239" t="s">
        <v>29452</v>
      </c>
      <c r="HI125" s="239" t="s">
        <v>4</v>
      </c>
      <c r="HJ125" s="240">
        <v>500</v>
      </c>
      <c r="HK125" s="239" t="s">
        <v>29325</v>
      </c>
      <c r="HL125" s="239" t="s">
        <v>29837</v>
      </c>
      <c r="HM125" s="239" t="s">
        <v>4</v>
      </c>
      <c r="HN125" s="239" t="s">
        <v>4</v>
      </c>
      <c r="HO125" s="239" t="s">
        <v>4</v>
      </c>
      <c r="HP125" s="239" t="s">
        <v>4</v>
      </c>
      <c r="HQ125" s="239" t="s">
        <v>4</v>
      </c>
      <c r="HR125" s="239" t="s">
        <v>4</v>
      </c>
      <c r="HS125" s="239" t="s">
        <v>4</v>
      </c>
      <c r="HT125" s="239" t="s">
        <v>4</v>
      </c>
      <c r="HU125" s="239" t="s">
        <v>2</v>
      </c>
      <c r="HV125" s="239" t="s">
        <v>4</v>
      </c>
      <c r="HW125" s="239" t="s">
        <v>4</v>
      </c>
      <c r="HX125" s="239" t="s">
        <v>4</v>
      </c>
      <c r="HY125" s="239" t="s">
        <v>72</v>
      </c>
      <c r="HZ125" s="239" t="s">
        <v>30081</v>
      </c>
      <c r="IA125" s="239" t="s">
        <v>7</v>
      </c>
      <c r="IB125" s="239" t="s">
        <v>30082</v>
      </c>
      <c r="IC125" s="239" t="s">
        <v>30083</v>
      </c>
      <c r="ID125" s="239" t="s">
        <v>30084</v>
      </c>
      <c r="IE125" s="239" t="s">
        <v>30085</v>
      </c>
      <c r="IF125" s="239" t="s">
        <v>30086</v>
      </c>
      <c r="IG125" s="239" t="s">
        <v>30087</v>
      </c>
      <c r="IH125" s="239" t="s">
        <v>30088</v>
      </c>
    </row>
    <row r="126" spans="1:242" s="1" customFormat="1" ht="36.75" customHeight="1" x14ac:dyDescent="0.2">
      <c r="A126" s="239">
        <v>149</v>
      </c>
      <c r="B126" s="239" t="s">
        <v>21383</v>
      </c>
      <c r="C126" s="239" t="s">
        <v>30875</v>
      </c>
      <c r="D126" s="239" t="s">
        <v>30866</v>
      </c>
      <c r="E126" s="239" t="s">
        <v>7</v>
      </c>
      <c r="F126" s="239" t="s">
        <v>30876</v>
      </c>
      <c r="G126" s="239">
        <v>1495.4</v>
      </c>
      <c r="H126" s="239">
        <v>9.9</v>
      </c>
      <c r="I126" s="239" t="s">
        <v>29288</v>
      </c>
      <c r="J126" s="239" t="s">
        <v>4</v>
      </c>
      <c r="K126" s="239" t="s">
        <v>30877</v>
      </c>
      <c r="L126" s="239">
        <v>772410782</v>
      </c>
      <c r="M126" s="239" t="s">
        <v>3</v>
      </c>
      <c r="N126" s="239" t="s">
        <v>31598</v>
      </c>
      <c r="O126" s="239" t="s">
        <v>4</v>
      </c>
      <c r="P126" s="239">
        <v>9</v>
      </c>
      <c r="Q126" s="239" t="s">
        <v>7</v>
      </c>
      <c r="R126" s="239" t="s">
        <v>31549</v>
      </c>
      <c r="S126" s="239" t="s">
        <v>4</v>
      </c>
      <c r="T126" s="239" t="s">
        <v>7</v>
      </c>
      <c r="U126" s="239" t="s">
        <v>7</v>
      </c>
      <c r="V126" s="239"/>
      <c r="W126" s="239" t="s">
        <v>7</v>
      </c>
      <c r="X126" s="239" t="s">
        <v>4</v>
      </c>
      <c r="Y126" s="239" t="s">
        <v>4</v>
      </c>
      <c r="Z126" s="241" t="str">
        <f>IF(OR(T126="yes",Y126&gt;'SDG outcome'!$C$27),"yes","no")</f>
        <v>yes</v>
      </c>
      <c r="AA126" s="243">
        <f t="shared" si="1"/>
        <v>0</v>
      </c>
      <c r="AB126" s="243" t="str">
        <f>IF(AND(Z126="no",AND(Y126&gt;='SDG outcome'!$B$16,Y126&lt;'SDG outcome'!$C$27)),Y126-'SDG outcome'!$B$16,"")</f>
        <v/>
      </c>
      <c r="AC126" s="239" t="s">
        <v>4</v>
      </c>
      <c r="AD126" s="239" t="s">
        <v>4</v>
      </c>
      <c r="AE126" s="239" t="s">
        <v>4</v>
      </c>
      <c r="AF126" s="239" t="s">
        <v>4</v>
      </c>
      <c r="AG126" s="239" t="s">
        <v>4</v>
      </c>
      <c r="AH126" s="239" t="s">
        <v>4</v>
      </c>
      <c r="AI126" s="239" t="s">
        <v>4</v>
      </c>
      <c r="AJ126" s="239" t="s">
        <v>29290</v>
      </c>
      <c r="AK126" s="239" t="s">
        <v>29694</v>
      </c>
      <c r="AL126" s="239" t="s">
        <v>4</v>
      </c>
      <c r="AM126" s="239" t="s">
        <v>4</v>
      </c>
      <c r="AN126" s="239" t="s">
        <v>31718</v>
      </c>
      <c r="AO126" s="239" t="s">
        <v>4</v>
      </c>
      <c r="AP126" s="239" t="s">
        <v>31600</v>
      </c>
      <c r="AQ126" s="239" t="s">
        <v>4</v>
      </c>
      <c r="AR126" s="239" t="s">
        <v>31538</v>
      </c>
      <c r="AS126" s="239" t="s">
        <v>4</v>
      </c>
      <c r="AT126" s="239" t="s">
        <v>7</v>
      </c>
      <c r="AU126" s="239" t="s">
        <v>4</v>
      </c>
      <c r="AV126" s="239" t="s">
        <v>4</v>
      </c>
      <c r="AW126" s="239" t="s">
        <v>31539</v>
      </c>
      <c r="AX126" s="239" t="s">
        <v>4</v>
      </c>
      <c r="AY126" s="239" t="s">
        <v>4</v>
      </c>
      <c r="AZ126" s="239" t="s">
        <v>7</v>
      </c>
      <c r="BA126" s="239" t="s">
        <v>11</v>
      </c>
      <c r="BB126" s="239" t="s">
        <v>4</v>
      </c>
      <c r="BC126" s="239" t="s">
        <v>31563</v>
      </c>
      <c r="BD126" s="239" t="s">
        <v>22</v>
      </c>
      <c r="BE126" s="239" t="s">
        <v>4</v>
      </c>
      <c r="BF126" s="239" t="s">
        <v>31564</v>
      </c>
      <c r="BG126" s="239" t="s">
        <v>4</v>
      </c>
      <c r="BH126" s="239" t="s">
        <v>31542</v>
      </c>
      <c r="BI126" s="239" t="s">
        <v>31875</v>
      </c>
      <c r="BJ126" s="239" t="s">
        <v>31616</v>
      </c>
      <c r="BK126" s="239">
        <v>1</v>
      </c>
      <c r="BL126" s="239">
        <v>180</v>
      </c>
      <c r="BM126" s="239" t="s">
        <v>7</v>
      </c>
      <c r="BN126" s="239" t="s">
        <v>6</v>
      </c>
      <c r="BO126" s="239" t="s">
        <v>4</v>
      </c>
      <c r="BP126" s="239" t="s">
        <v>31429</v>
      </c>
      <c r="BQ126" s="239">
        <v>3</v>
      </c>
      <c r="BR126" s="239">
        <v>30</v>
      </c>
      <c r="BS126" s="239" t="s">
        <v>31435</v>
      </c>
      <c r="BT126" s="239"/>
      <c r="BU126" s="239">
        <v>2</v>
      </c>
      <c r="BV126" s="239" cm="1">
        <f t="array" ref="BV126">_xlfn.IFS(BS126="Foreword vehicle",BU126*0,BS126="Human wastes",BU126*0,BS126="Jerrycans",BU126*$BV$228,BS126="Number of Basins",BU126*$BV$229,BS126="Number of Buckets",BU126*$CA$226,BS126="Number of Kgs",BU126*$CA$227,BS126="Number of spades",BU126*$CA$228,BS126="Number of wheelbarrows",BU126*$CA$229,BT126="Foreword vehicle",BU126*0,BT126="Human wastes",BU126*0,BT126="Jerrycans",BU126*$BV$228,BS126="","")</f>
        <v>141</v>
      </c>
      <c r="BW126" s="239">
        <f>IF(BV126="","",Table14[[#This Row],[Calculation: Conversion of metric to Kg manure feeding (Columns: BP, BQ, BR)]]*Table14[[#This Row],[Number of times used to feed biodigester]])</f>
        <v>423</v>
      </c>
      <c r="BX126" s="239" cm="1">
        <f t="array" ref="BX126">_xlfn.IFS(BP126="Number of times per day (1 to 3)",BW126/$BX$226,BP126="Number of times per week (1 to 6)",BW126/$BX$227,BP126="Number of times per Month (1 to 3)",BW126/$BX$228,BW126="","")</f>
        <v>60.428571428571431</v>
      </c>
      <c r="BY126" s="239" t="s">
        <v>22</v>
      </c>
      <c r="BZ126" s="239" t="s">
        <v>4</v>
      </c>
      <c r="CA126" s="239" t="s">
        <v>2</v>
      </c>
      <c r="CB126" s="239" t="s">
        <v>4</v>
      </c>
      <c r="CC126" s="239" t="s">
        <v>4</v>
      </c>
      <c r="CD126" s="239" t="s">
        <v>4</v>
      </c>
      <c r="CE126" s="239" t="s">
        <v>7</v>
      </c>
      <c r="CF126" s="239" t="s">
        <v>31876</v>
      </c>
      <c r="CG126" s="239" t="s">
        <v>4</v>
      </c>
      <c r="CH126" s="239" t="s">
        <v>31585</v>
      </c>
      <c r="CI126" s="239">
        <v>15</v>
      </c>
      <c r="CJ126" s="239">
        <v>0</v>
      </c>
      <c r="CK126" s="239">
        <v>0</v>
      </c>
      <c r="CL126" s="239">
        <v>0</v>
      </c>
      <c r="CM126" s="239">
        <v>40</v>
      </c>
      <c r="CN126" s="239">
        <v>40</v>
      </c>
      <c r="CO126" s="239">
        <v>0</v>
      </c>
      <c r="CP126" s="239">
        <v>0</v>
      </c>
      <c r="CQ126" s="239">
        <v>0</v>
      </c>
      <c r="CR126" s="239">
        <v>0</v>
      </c>
      <c r="CS126" s="239">
        <f>CP126/'SDG outcome'!$C$9*CQ126*CR126</f>
        <v>0</v>
      </c>
      <c r="CT126" s="239">
        <v>100</v>
      </c>
      <c r="CU126" s="239">
        <v>0</v>
      </c>
      <c r="CV126" s="239" t="s">
        <v>4</v>
      </c>
      <c r="CW126" s="239" t="s">
        <v>4</v>
      </c>
      <c r="CX126" s="239" t="s">
        <v>4</v>
      </c>
      <c r="CY126" s="239" t="s">
        <v>4</v>
      </c>
      <c r="CZ126" s="239" t="s">
        <v>4</v>
      </c>
      <c r="DA126" s="239" t="s">
        <v>4</v>
      </c>
      <c r="DB126" s="239" t="s">
        <v>4</v>
      </c>
      <c r="DC126" s="239" t="s">
        <v>4</v>
      </c>
      <c r="DD126" s="239" t="s">
        <v>4</v>
      </c>
      <c r="DE126" s="239" t="s">
        <v>4</v>
      </c>
      <c r="DF126" s="239">
        <v>100</v>
      </c>
      <c r="DG126" s="239">
        <v>0</v>
      </c>
      <c r="DH126" s="239" t="s">
        <v>4</v>
      </c>
      <c r="DI126" s="239" t="s">
        <v>4</v>
      </c>
      <c r="DJ126" s="239" t="s">
        <v>4</v>
      </c>
      <c r="DK126" s="239" t="s">
        <v>4</v>
      </c>
      <c r="DL126" s="239" t="s">
        <v>4</v>
      </c>
      <c r="DM126" s="239" t="s">
        <v>4</v>
      </c>
      <c r="DN126" s="239" t="s">
        <v>4</v>
      </c>
      <c r="DO126" s="239">
        <v>4</v>
      </c>
      <c r="DP126" s="239" t="s">
        <v>7</v>
      </c>
      <c r="DQ126" s="239" t="s">
        <v>29292</v>
      </c>
      <c r="DR126" s="239" t="s">
        <v>4</v>
      </c>
      <c r="DS126" s="239" t="s">
        <v>29293</v>
      </c>
      <c r="DT126" s="240">
        <v>50000</v>
      </c>
      <c r="DU126" s="239" t="s">
        <v>29293</v>
      </c>
      <c r="DV126" s="240">
        <v>40000</v>
      </c>
      <c r="DW126" s="239" t="s">
        <v>29295</v>
      </c>
      <c r="DX126" s="239">
        <v>100</v>
      </c>
      <c r="DY126" s="239" t="s">
        <v>29296</v>
      </c>
      <c r="DZ126" s="239">
        <v>100</v>
      </c>
      <c r="EA126" s="239"/>
      <c r="EB126" s="239"/>
      <c r="EC126" s="239"/>
      <c r="ED126" s="239"/>
      <c r="EE126" s="320">
        <f>Table14[[#This Row],[% Fertilizer]]*$DX126/10000</f>
        <v>1</v>
      </c>
      <c r="EF126" s="320">
        <f>Table14[[#This Row],[% bioslurry used as Insecticide/Pesticide]]*$DX126/10000</f>
        <v>0</v>
      </c>
      <c r="EG126" s="320">
        <f>Table14[[#This Row],[% of Bioslurry used as animal feed]]*$DX126/10000</f>
        <v>0</v>
      </c>
      <c r="EH126" s="320">
        <f>Table14[[#This Row],[% of Bioslurry sold]]*$DX126/10000</f>
        <v>0</v>
      </c>
      <c r="EI126" s="320">
        <f>Table14[[#This Row],[% used other way(if used directly)]]*$DX126/10000</f>
        <v>0</v>
      </c>
      <c r="EJ126" s="239"/>
      <c r="EK126" s="239"/>
      <c r="EL126" s="239"/>
      <c r="EM126" s="239"/>
      <c r="EN126" s="239"/>
      <c r="EO126" s="239">
        <f>(Table14[[#This Row],[% Uncovered lagoon greater than 1 meter]]+Table14[[#This Row],[Uncovered lagoon (black watery mass) &lt;1 meter]]+Table14[[#This Row],[% Liquid slurry (brown porridge type)]])*Table14[[#This Row],[% Store it first]]/100</f>
        <v>0</v>
      </c>
      <c r="EP126" s="239"/>
      <c r="EQ126" s="239"/>
      <c r="ER126" s="239"/>
      <c r="ES126" s="239"/>
      <c r="ET126" s="239">
        <f>(Table14[[#This Row],[% Solid storage]]+Table14[[#This Row],[% Sun drying]]+Table14[[#This Row],[% Composting with a roof]]+Table14[[#This Row],[% Composting without a roof]])*Table14[[#This Row],[% Store it first]]/100</f>
        <v>0</v>
      </c>
      <c r="EU126" s="239"/>
      <c r="EV126" s="320">
        <f t="shared" si="8"/>
        <v>0</v>
      </c>
      <c r="EW126" s="320">
        <f t="shared" si="9"/>
        <v>0</v>
      </c>
      <c r="EX126" s="320">
        <f t="shared" si="10"/>
        <v>0</v>
      </c>
      <c r="EY126" s="320">
        <f t="shared" si="11"/>
        <v>0</v>
      </c>
      <c r="EZ126" s="320">
        <f t="shared" si="12"/>
        <v>0</v>
      </c>
      <c r="FA126" s="239"/>
      <c r="FB126" s="239"/>
      <c r="FC126" s="239"/>
      <c r="FD126" s="239">
        <f>Table14[[#This Row],[% I donâ€™t use it / discarded]]+Table14[[#This Row],[% Other (specify)(If you use bioslurry directly)]]+Table14[[#This Row],[% Store it first]]+Table14[[#This Row],[% Use directly for various purposes]]</f>
        <v>100</v>
      </c>
      <c r="FE126" s="239" t="s">
        <v>4</v>
      </c>
      <c r="FF126" s="239"/>
      <c r="FG126" s="239"/>
      <c r="FH126" s="239"/>
      <c r="FI126" s="239"/>
      <c r="FJ126" s="239"/>
      <c r="FK126" s="239">
        <v>6</v>
      </c>
      <c r="FL126" s="239" t="s">
        <v>7</v>
      </c>
      <c r="FM126" s="239">
        <v>60</v>
      </c>
      <c r="FN126" s="239">
        <f>FK126*FM126/100</f>
        <v>3.6</v>
      </c>
      <c r="FO126" s="239" t="s">
        <v>30878</v>
      </c>
      <c r="FP126" s="239" t="s">
        <v>29298</v>
      </c>
      <c r="FQ126" s="239">
        <v>6</v>
      </c>
      <c r="FR126" s="239" t="s">
        <v>2</v>
      </c>
      <c r="FS126" s="239" t="s">
        <v>4</v>
      </c>
      <c r="FT126" s="239" t="s">
        <v>4</v>
      </c>
      <c r="FU126" s="239" t="s">
        <v>7</v>
      </c>
      <c r="FV126" s="239" t="s">
        <v>29376</v>
      </c>
      <c r="FW126" s="239" t="s">
        <v>30879</v>
      </c>
      <c r="FX126" s="239" t="s">
        <v>13</v>
      </c>
      <c r="FY126" s="239" t="s">
        <v>30880</v>
      </c>
      <c r="FZ126" s="239" t="s">
        <v>4</v>
      </c>
      <c r="GA126" s="239" t="s">
        <v>4</v>
      </c>
      <c r="GB126" s="240" t="s">
        <v>4</v>
      </c>
      <c r="GC126" s="239" t="s">
        <v>4</v>
      </c>
      <c r="GD126" s="239" t="s">
        <v>7</v>
      </c>
      <c r="GE126" s="239" t="s">
        <v>29301</v>
      </c>
      <c r="GF126" s="239" t="s">
        <v>4</v>
      </c>
      <c r="GG126" s="239" t="s">
        <v>7</v>
      </c>
      <c r="GH126" s="239" t="s">
        <v>7</v>
      </c>
      <c r="GI126" s="239" t="s">
        <v>29302</v>
      </c>
      <c r="GJ126" s="239" t="s">
        <v>30078</v>
      </c>
      <c r="GK126" s="239" t="s">
        <v>29304</v>
      </c>
      <c r="GL126" s="239">
        <v>1</v>
      </c>
      <c r="GM126" s="239" t="s">
        <v>29396</v>
      </c>
      <c r="GN126" s="239" t="s">
        <v>4</v>
      </c>
      <c r="GO126" s="239" t="s">
        <v>4</v>
      </c>
      <c r="GP126" s="239" t="s">
        <v>29397</v>
      </c>
      <c r="GQ126" s="239" t="s">
        <v>4</v>
      </c>
      <c r="GR126" s="239" t="s">
        <v>4</v>
      </c>
      <c r="GS126" s="239" t="s">
        <v>4</v>
      </c>
      <c r="GT126" s="239" t="s">
        <v>4</v>
      </c>
      <c r="GU126" s="239" t="s">
        <v>4</v>
      </c>
      <c r="GV126" s="239" t="s">
        <v>4</v>
      </c>
      <c r="GW126" s="239" t="s">
        <v>4</v>
      </c>
      <c r="GX126" s="239" t="s">
        <v>4</v>
      </c>
      <c r="GY126" s="239" t="s">
        <v>4</v>
      </c>
      <c r="GZ126" s="239" t="s">
        <v>4</v>
      </c>
      <c r="HA126" s="239" t="s">
        <v>4</v>
      </c>
      <c r="HB126" s="239" t="s">
        <v>4</v>
      </c>
      <c r="HC126" s="239" t="s">
        <v>4</v>
      </c>
      <c r="HD126" s="239" t="s">
        <v>4</v>
      </c>
      <c r="HE126" s="239" t="s">
        <v>4</v>
      </c>
      <c r="HF126" s="239" t="s">
        <v>4</v>
      </c>
      <c r="HG126" s="239" t="s">
        <v>4</v>
      </c>
      <c r="HH126" s="239" t="s">
        <v>29698</v>
      </c>
      <c r="HI126" s="239" t="s">
        <v>4</v>
      </c>
      <c r="HJ126" s="240">
        <v>0</v>
      </c>
      <c r="HK126" s="239" t="s">
        <v>7</v>
      </c>
      <c r="HL126" s="239" t="s">
        <v>29309</v>
      </c>
      <c r="HM126" s="239" t="s">
        <v>4</v>
      </c>
      <c r="HN126" s="239" t="s">
        <v>4</v>
      </c>
      <c r="HO126" s="239" t="s">
        <v>4</v>
      </c>
      <c r="HP126" s="239" t="s">
        <v>4</v>
      </c>
      <c r="HQ126" s="239" t="s">
        <v>4</v>
      </c>
      <c r="HR126" s="239" t="s">
        <v>4</v>
      </c>
      <c r="HS126" s="239" t="s">
        <v>4</v>
      </c>
      <c r="HT126" s="239" t="s">
        <v>4</v>
      </c>
      <c r="HU126" s="239" t="s">
        <v>2</v>
      </c>
      <c r="HV126" s="239" t="s">
        <v>4</v>
      </c>
      <c r="HW126" s="239" t="s">
        <v>4</v>
      </c>
      <c r="HX126" s="239" t="s">
        <v>4</v>
      </c>
      <c r="HY126" s="239" t="s">
        <v>4</v>
      </c>
      <c r="HZ126" s="239" t="s">
        <v>30881</v>
      </c>
      <c r="IA126" s="239" t="s">
        <v>7</v>
      </c>
      <c r="IB126" s="239" t="s">
        <v>30882</v>
      </c>
      <c r="IC126" s="239" t="s">
        <v>30883</v>
      </c>
      <c r="ID126" s="239" t="s">
        <v>30884</v>
      </c>
      <c r="IE126" s="239" t="s">
        <v>30885</v>
      </c>
      <c r="IF126" s="239" t="s">
        <v>30886</v>
      </c>
      <c r="IG126" s="239" t="s">
        <v>30887</v>
      </c>
      <c r="IH126" s="239" t="s">
        <v>30888</v>
      </c>
    </row>
    <row r="127" spans="1:242" s="1" customFormat="1" ht="36.75" customHeight="1" x14ac:dyDescent="0.2">
      <c r="A127" s="239">
        <v>82</v>
      </c>
      <c r="B127" s="239" t="s">
        <v>16719</v>
      </c>
      <c r="C127" s="239" t="s">
        <v>30206</v>
      </c>
      <c r="D127" s="239" t="s">
        <v>30207</v>
      </c>
      <c r="E127" s="239" t="s">
        <v>7</v>
      </c>
      <c r="F127" s="239" t="s">
        <v>30208</v>
      </c>
      <c r="G127" s="239">
        <v>1195.7</v>
      </c>
      <c r="H127" s="239">
        <v>5</v>
      </c>
      <c r="I127" s="239" t="s">
        <v>29319</v>
      </c>
      <c r="J127" s="239" t="s">
        <v>4</v>
      </c>
      <c r="K127" s="239" t="s">
        <v>16720</v>
      </c>
      <c r="L127" s="239">
        <v>772456807</v>
      </c>
      <c r="M127" s="239" t="s">
        <v>5</v>
      </c>
      <c r="N127" s="239" t="s">
        <v>31598</v>
      </c>
      <c r="O127" s="239" t="s">
        <v>4</v>
      </c>
      <c r="P127" s="239">
        <v>4</v>
      </c>
      <c r="Q127" s="239" t="s">
        <v>7</v>
      </c>
      <c r="R127" s="239" t="s">
        <v>31535</v>
      </c>
      <c r="S127" s="239" t="s">
        <v>4</v>
      </c>
      <c r="T127" s="239" t="s">
        <v>7</v>
      </c>
      <c r="U127" s="239" t="s">
        <v>7</v>
      </c>
      <c r="V127" s="239"/>
      <c r="W127" s="239" t="s">
        <v>7</v>
      </c>
      <c r="X127" s="239" t="s">
        <v>4</v>
      </c>
      <c r="Y127" s="239" t="s">
        <v>4</v>
      </c>
      <c r="Z127" s="241" t="str">
        <f>IF(OR(T127="yes",Y127&gt;'SDG outcome'!$C$27),"yes","no")</f>
        <v>yes</v>
      </c>
      <c r="AA127" s="243">
        <f t="shared" si="1"/>
        <v>0</v>
      </c>
      <c r="AB127" s="243" t="str">
        <f>IF(AND(Z127="no",AND(Y127&gt;='SDG outcome'!$B$16,Y127&lt;'SDG outcome'!$C$27)),Y127-'SDG outcome'!$B$16,"")</f>
        <v/>
      </c>
      <c r="AC127" s="239" t="s">
        <v>4</v>
      </c>
      <c r="AD127" s="239" t="s">
        <v>4</v>
      </c>
      <c r="AE127" s="239" t="s">
        <v>4</v>
      </c>
      <c r="AF127" s="239" t="s">
        <v>4</v>
      </c>
      <c r="AG127" s="239" t="s">
        <v>4</v>
      </c>
      <c r="AH127" s="239" t="s">
        <v>4</v>
      </c>
      <c r="AI127" s="239" t="s">
        <v>4</v>
      </c>
      <c r="AJ127" s="239" t="s">
        <v>29290</v>
      </c>
      <c r="AK127" s="239" t="s">
        <v>29291</v>
      </c>
      <c r="AL127" s="239" t="s">
        <v>4</v>
      </c>
      <c r="AM127" s="239" t="s">
        <v>4</v>
      </c>
      <c r="AN127" s="239" t="s">
        <v>31536</v>
      </c>
      <c r="AO127" s="239" t="s">
        <v>4</v>
      </c>
      <c r="AP127" s="239" t="s">
        <v>31537</v>
      </c>
      <c r="AQ127" s="239" t="s">
        <v>4</v>
      </c>
      <c r="AR127" s="239" t="s">
        <v>31538</v>
      </c>
      <c r="AS127" s="239" t="s">
        <v>4</v>
      </c>
      <c r="AT127" s="239" t="s">
        <v>7</v>
      </c>
      <c r="AU127" s="239" t="s">
        <v>4</v>
      </c>
      <c r="AV127" s="239" t="s">
        <v>4</v>
      </c>
      <c r="AW127" s="239" t="s">
        <v>31539</v>
      </c>
      <c r="AX127" s="239" t="s">
        <v>4</v>
      </c>
      <c r="AY127" s="239" t="s">
        <v>4</v>
      </c>
      <c r="AZ127" s="239" t="s">
        <v>7</v>
      </c>
      <c r="BA127" s="239" t="s">
        <v>11</v>
      </c>
      <c r="BB127" s="239" t="s">
        <v>4</v>
      </c>
      <c r="BC127" s="239" t="s">
        <v>31563</v>
      </c>
      <c r="BD127" s="239" t="s">
        <v>22</v>
      </c>
      <c r="BE127" s="239" t="s">
        <v>4</v>
      </c>
      <c r="BF127" s="239" t="s">
        <v>31564</v>
      </c>
      <c r="BG127" s="239" t="s">
        <v>4</v>
      </c>
      <c r="BH127" s="239" t="s">
        <v>31542</v>
      </c>
      <c r="BI127" s="239" t="s">
        <v>31768</v>
      </c>
      <c r="BJ127" s="239" t="s">
        <v>31566</v>
      </c>
      <c r="BK127" s="239">
        <v>1</v>
      </c>
      <c r="BL127" s="239">
        <v>40</v>
      </c>
      <c r="BM127" s="239" t="s">
        <v>7</v>
      </c>
      <c r="BN127" s="239" t="s">
        <v>6</v>
      </c>
      <c r="BO127" s="239" t="s">
        <v>4</v>
      </c>
      <c r="BP127" s="239" t="s">
        <v>31429</v>
      </c>
      <c r="BQ127" s="239">
        <v>4</v>
      </c>
      <c r="BR127" s="239">
        <v>35</v>
      </c>
      <c r="BS127" s="239" t="s">
        <v>31435</v>
      </c>
      <c r="BT127" s="239"/>
      <c r="BU127" s="239">
        <v>2</v>
      </c>
      <c r="BV127" s="239" cm="1">
        <f t="array" ref="BV127">_xlfn.IFS(BS127="Foreword vehicle",BU127*0,BS127="Human wastes",BU127*0,BS127="Jerrycans",BU127*$BV$228,BS127="Number of Basins",BU127*$BV$229,BS127="Number of Buckets",BU127*$CA$226,BS127="Number of Kgs",BU127*$CA$227,BS127="Number of spades",BU127*$CA$228,BS127="Number of wheelbarrows",BU127*$CA$229,BT127="Foreword vehicle",BU127*0,BT127="Human wastes",BU127*0,BT127="Jerrycans",BU127*$BV$228,BS127="","")</f>
        <v>141</v>
      </c>
      <c r="BW127" s="239">
        <f>IF(BV127="","",Table14[[#This Row],[Calculation: Conversion of metric to Kg manure feeding (Columns: BP, BQ, BR)]]*Table14[[#This Row],[Number of times used to feed biodigester]])</f>
        <v>564</v>
      </c>
      <c r="BX127" s="239" cm="1">
        <f t="array" ref="BX127">_xlfn.IFS(BP127="Number of times per day (1 to 3)",BW127/$BX$226,BP127="Number of times per week (1 to 6)",BW127/$BX$227,BP127="Number of times per Month (1 to 3)",BW127/$BX$228,BW127="","")</f>
        <v>80.571428571428569</v>
      </c>
      <c r="BY127" s="239" t="s">
        <v>22</v>
      </c>
      <c r="BZ127" s="239" t="s">
        <v>4</v>
      </c>
      <c r="CA127" s="239" t="s">
        <v>2</v>
      </c>
      <c r="CB127" s="239" t="s">
        <v>4</v>
      </c>
      <c r="CC127" s="239" t="s">
        <v>4</v>
      </c>
      <c r="CD127" s="239" t="s">
        <v>4</v>
      </c>
      <c r="CE127" s="239" t="s">
        <v>7</v>
      </c>
      <c r="CF127" s="239" t="s">
        <v>31769</v>
      </c>
      <c r="CG127" s="239" t="s">
        <v>4</v>
      </c>
      <c r="CH127" s="239" t="s">
        <v>31559</v>
      </c>
      <c r="CI127" s="239">
        <v>12</v>
      </c>
      <c r="CJ127" s="239">
        <v>0</v>
      </c>
      <c r="CK127" s="239">
        <v>10</v>
      </c>
      <c r="CL127" s="239">
        <v>0</v>
      </c>
      <c r="CM127" s="239">
        <v>0</v>
      </c>
      <c r="CN127" s="239">
        <v>40</v>
      </c>
      <c r="CO127" s="239">
        <v>170</v>
      </c>
      <c r="CP127" s="239">
        <v>120</v>
      </c>
      <c r="CQ127" s="239">
        <v>3</v>
      </c>
      <c r="CR127" s="239">
        <v>10</v>
      </c>
      <c r="CS127" s="239">
        <f>CP127/'SDG outcome'!$C$9*CQ127*CR127</f>
        <v>10.37463976945245</v>
      </c>
      <c r="CT127" s="239">
        <v>70</v>
      </c>
      <c r="CU127" s="239">
        <v>30</v>
      </c>
      <c r="CV127" s="239" t="s">
        <v>31770</v>
      </c>
      <c r="CW127" s="239" t="s">
        <v>4</v>
      </c>
      <c r="CX127" s="239" t="s">
        <v>4</v>
      </c>
      <c r="CY127" s="239" t="s">
        <v>4</v>
      </c>
      <c r="CZ127" s="239" t="s">
        <v>4</v>
      </c>
      <c r="DA127" s="239" t="s">
        <v>4</v>
      </c>
      <c r="DB127" s="239" t="s">
        <v>4</v>
      </c>
      <c r="DC127" s="239">
        <v>100</v>
      </c>
      <c r="DD127" s="239">
        <v>0</v>
      </c>
      <c r="DE127" s="239" t="s">
        <v>4</v>
      </c>
      <c r="DF127" s="239">
        <v>0</v>
      </c>
      <c r="DG127" s="239">
        <v>100</v>
      </c>
      <c r="DH127" s="239" t="s">
        <v>31771</v>
      </c>
      <c r="DI127" s="239" t="s">
        <v>4</v>
      </c>
      <c r="DJ127" s="239" t="s">
        <v>4</v>
      </c>
      <c r="DK127" s="239" t="s">
        <v>4</v>
      </c>
      <c r="DL127" s="239" t="s">
        <v>4</v>
      </c>
      <c r="DM127" s="239" t="s">
        <v>4</v>
      </c>
      <c r="DN127" s="239" t="s">
        <v>4</v>
      </c>
      <c r="DO127" s="239">
        <v>8</v>
      </c>
      <c r="DP127" s="239" t="s">
        <v>7</v>
      </c>
      <c r="DQ127" s="239" t="s">
        <v>29375</v>
      </c>
      <c r="DR127" s="239" t="s">
        <v>4</v>
      </c>
      <c r="DS127" s="239" t="s">
        <v>4</v>
      </c>
      <c r="DT127" s="240" t="s">
        <v>4</v>
      </c>
      <c r="DU127" s="239" t="s">
        <v>29294</v>
      </c>
      <c r="DV127" s="240" t="s">
        <v>4</v>
      </c>
      <c r="DW127" s="239" t="s">
        <v>29508</v>
      </c>
      <c r="DX127" s="239"/>
      <c r="DY127" s="239"/>
      <c r="DZ127" s="239"/>
      <c r="EA127" s="239"/>
      <c r="EB127" s="239"/>
      <c r="EC127" s="239"/>
      <c r="ED127" s="239"/>
      <c r="EE127" s="320">
        <f>Table14[[#This Row],[% Fertilizer]]*$DX127/10000</f>
        <v>0</v>
      </c>
      <c r="EF127" s="320">
        <f>Table14[[#This Row],[% bioslurry used as Insecticide/Pesticide]]*$DX127/10000</f>
        <v>0</v>
      </c>
      <c r="EG127" s="320">
        <f>Table14[[#This Row],[% of Bioslurry used as animal feed]]*$DX127/10000</f>
        <v>0</v>
      </c>
      <c r="EH127" s="320">
        <f>Table14[[#This Row],[% of Bioslurry sold]]*$DX127/10000</f>
        <v>0</v>
      </c>
      <c r="EI127" s="320">
        <f>Table14[[#This Row],[% used other way(if used directly)]]*$DX127/10000</f>
        <v>0</v>
      </c>
      <c r="EJ127" s="239">
        <v>100</v>
      </c>
      <c r="EK127" s="239" t="s">
        <v>29719</v>
      </c>
      <c r="EL127" s="239"/>
      <c r="EM127" s="239"/>
      <c r="EN127" s="239"/>
      <c r="EO127" s="239">
        <f>(Table14[[#This Row],[% Uncovered lagoon greater than 1 meter]]+Table14[[#This Row],[Uncovered lagoon (black watery mass) &lt;1 meter]]+Table14[[#This Row],[% Liquid slurry (brown porridge type)]])*Table14[[#This Row],[% Store it first]]/100</f>
        <v>0</v>
      </c>
      <c r="EP127" s="239"/>
      <c r="EQ127" s="239">
        <v>100</v>
      </c>
      <c r="ER127" s="239"/>
      <c r="ES127" s="239"/>
      <c r="ET127" s="239">
        <f>(Table14[[#This Row],[% Solid storage]]+Table14[[#This Row],[% Sun drying]]+Table14[[#This Row],[% Composting with a roof]]+Table14[[#This Row],[% Composting without a roof]])*Table14[[#This Row],[% Store it first]]/100</f>
        <v>100</v>
      </c>
      <c r="EU127" s="239">
        <v>3</v>
      </c>
      <c r="EV127" s="320">
        <f t="shared" si="8"/>
        <v>1</v>
      </c>
      <c r="EW127" s="320">
        <f t="shared" si="9"/>
        <v>0</v>
      </c>
      <c r="EX127" s="320">
        <f t="shared" si="10"/>
        <v>0</v>
      </c>
      <c r="EY127" s="320">
        <f t="shared" si="11"/>
        <v>0</v>
      </c>
      <c r="EZ127" s="320">
        <f t="shared" si="12"/>
        <v>0</v>
      </c>
      <c r="FA127" s="239"/>
      <c r="FB127" s="239"/>
      <c r="FC127" s="239"/>
      <c r="FD127" s="239">
        <f>Table14[[#This Row],[% I donâ€™t use it / discarded]]+Table14[[#This Row],[% Other (specify)(If you use bioslurry directly)]]+Table14[[#This Row],[% Store it first]]+Table14[[#This Row],[% Use directly for various purposes]]</f>
        <v>100</v>
      </c>
      <c r="FE127" s="239" t="s">
        <v>29296</v>
      </c>
      <c r="FF127" s="239">
        <v>100</v>
      </c>
      <c r="FG127" s="239"/>
      <c r="FH127" s="239"/>
      <c r="FI127" s="239"/>
      <c r="FJ127" s="239"/>
      <c r="FK127" s="239" t="s">
        <v>9</v>
      </c>
      <c r="FL127" s="239" t="s">
        <v>7</v>
      </c>
      <c r="FM127" s="239">
        <v>0</v>
      </c>
      <c r="FN127" s="239"/>
      <c r="FO127" s="239" t="s">
        <v>30209</v>
      </c>
      <c r="FP127" s="239" t="s">
        <v>29298</v>
      </c>
      <c r="FQ127" s="239">
        <v>36</v>
      </c>
      <c r="FR127" s="239" t="s">
        <v>2</v>
      </c>
      <c r="FS127" s="239" t="s">
        <v>4</v>
      </c>
      <c r="FT127" s="239" t="s">
        <v>4</v>
      </c>
      <c r="FU127" s="239" t="s">
        <v>2</v>
      </c>
      <c r="FV127" s="239" t="s">
        <v>4</v>
      </c>
      <c r="FW127" s="239" t="s">
        <v>4</v>
      </c>
      <c r="FX127" s="239" t="s">
        <v>4</v>
      </c>
      <c r="FY127" s="239" t="s">
        <v>4</v>
      </c>
      <c r="FZ127" s="239" t="s">
        <v>4</v>
      </c>
      <c r="GA127" s="239" t="s">
        <v>4</v>
      </c>
      <c r="GB127" s="240" t="s">
        <v>4</v>
      </c>
      <c r="GC127" s="239" t="s">
        <v>4</v>
      </c>
      <c r="GD127" s="239" t="s">
        <v>2</v>
      </c>
      <c r="GE127" s="239" t="s">
        <v>4</v>
      </c>
      <c r="GF127" s="239" t="s">
        <v>4</v>
      </c>
      <c r="GG127" s="239" t="s">
        <v>7</v>
      </c>
      <c r="GH127" s="239" t="s">
        <v>2</v>
      </c>
      <c r="GI127" s="239" t="s">
        <v>4</v>
      </c>
      <c r="GJ127" s="239" t="s">
        <v>4</v>
      </c>
      <c r="GK127" s="239" t="s">
        <v>4</v>
      </c>
      <c r="GL127" s="239">
        <v>0</v>
      </c>
      <c r="GM127" s="239"/>
      <c r="GN127" s="239" t="s">
        <v>4</v>
      </c>
      <c r="GO127" s="239" t="s">
        <v>4</v>
      </c>
      <c r="GP127" s="239" t="s">
        <v>4</v>
      </c>
      <c r="GQ127" s="239" t="s">
        <v>4</v>
      </c>
      <c r="GR127" s="239" t="s">
        <v>4</v>
      </c>
      <c r="GS127" s="239" t="s">
        <v>4</v>
      </c>
      <c r="GT127" s="239" t="s">
        <v>4</v>
      </c>
      <c r="GU127" s="239" t="s">
        <v>4</v>
      </c>
      <c r="GV127" s="239" t="s">
        <v>4</v>
      </c>
      <c r="GW127" s="239" t="s">
        <v>29304</v>
      </c>
      <c r="GX127" s="239" t="s">
        <v>29478</v>
      </c>
      <c r="GY127" s="239" t="s">
        <v>29306</v>
      </c>
      <c r="GZ127" s="239" t="s">
        <v>30210</v>
      </c>
      <c r="HA127" s="239" t="s">
        <v>4</v>
      </c>
      <c r="HB127" s="239" t="s">
        <v>4</v>
      </c>
      <c r="HC127" s="239" t="s">
        <v>4</v>
      </c>
      <c r="HD127" s="239" t="s">
        <v>4</v>
      </c>
      <c r="HE127" s="239" t="s">
        <v>4</v>
      </c>
      <c r="HF127" s="239" t="s">
        <v>13</v>
      </c>
      <c r="HG127" s="239" t="s">
        <v>4</v>
      </c>
      <c r="HH127" s="239" t="s">
        <v>30211</v>
      </c>
      <c r="HI127" s="239" t="s">
        <v>4</v>
      </c>
      <c r="HJ127" s="240">
        <v>0</v>
      </c>
      <c r="HK127" s="239" t="s">
        <v>2</v>
      </c>
      <c r="HL127" s="239" t="s">
        <v>29837</v>
      </c>
      <c r="HM127" s="239" t="s">
        <v>4</v>
      </c>
      <c r="HN127" s="239" t="s">
        <v>4</v>
      </c>
      <c r="HO127" s="239" t="s">
        <v>4</v>
      </c>
      <c r="HP127" s="239" t="s">
        <v>4</v>
      </c>
      <c r="HQ127" s="239" t="s">
        <v>4</v>
      </c>
      <c r="HR127" s="239" t="s">
        <v>4</v>
      </c>
      <c r="HS127" s="239" t="s">
        <v>4</v>
      </c>
      <c r="HT127" s="239" t="s">
        <v>4</v>
      </c>
      <c r="HU127" s="239" t="s">
        <v>2</v>
      </c>
      <c r="HV127" s="239" t="s">
        <v>4</v>
      </c>
      <c r="HW127" s="239" t="s">
        <v>4</v>
      </c>
      <c r="HX127" s="239" t="s">
        <v>4</v>
      </c>
      <c r="HY127" s="239" t="s">
        <v>4</v>
      </c>
      <c r="HZ127" s="239" t="s">
        <v>30212</v>
      </c>
      <c r="IA127" s="239" t="s">
        <v>7</v>
      </c>
      <c r="IB127" s="239" t="s">
        <v>30213</v>
      </c>
      <c r="IC127" s="239" t="s">
        <v>30214</v>
      </c>
      <c r="ID127" s="239" t="s">
        <v>30215</v>
      </c>
      <c r="IE127" s="239" t="s">
        <v>30216</v>
      </c>
      <c r="IF127" s="239" t="s">
        <v>30217</v>
      </c>
      <c r="IG127" s="239" t="s">
        <v>30218</v>
      </c>
      <c r="IH127" s="239" t="s">
        <v>30133</v>
      </c>
    </row>
    <row r="128" spans="1:242" s="1" customFormat="1" ht="36.75" customHeight="1" x14ac:dyDescent="0.2">
      <c r="A128" s="239">
        <v>144</v>
      </c>
      <c r="B128" s="239" t="s">
        <v>17110</v>
      </c>
      <c r="C128" s="239" t="s">
        <v>30827</v>
      </c>
      <c r="D128" s="239" t="s">
        <v>30786</v>
      </c>
      <c r="E128" s="239" t="s">
        <v>7</v>
      </c>
      <c r="F128" s="239" t="s">
        <v>30828</v>
      </c>
      <c r="G128" s="239">
        <v>1147.8</v>
      </c>
      <c r="H128" s="239">
        <v>5</v>
      </c>
      <c r="I128" s="239" t="s">
        <v>29288</v>
      </c>
      <c r="J128" s="239" t="s">
        <v>4</v>
      </c>
      <c r="K128" s="239" t="s">
        <v>30829</v>
      </c>
      <c r="L128" s="239">
        <v>772619289</v>
      </c>
      <c r="M128" s="239" t="s">
        <v>3</v>
      </c>
      <c r="N128" s="239" t="s">
        <v>31590</v>
      </c>
      <c r="O128" s="239" t="s">
        <v>4</v>
      </c>
      <c r="P128" s="239">
        <v>5</v>
      </c>
      <c r="Q128" s="239" t="s">
        <v>7</v>
      </c>
      <c r="R128" s="239" t="s">
        <v>31562</v>
      </c>
      <c r="S128" s="239" t="s">
        <v>4</v>
      </c>
      <c r="T128" s="239" t="s">
        <v>7</v>
      </c>
      <c r="U128" s="239" t="s">
        <v>7</v>
      </c>
      <c r="V128" s="239"/>
      <c r="W128" s="239" t="s">
        <v>7</v>
      </c>
      <c r="X128" s="239" t="s">
        <v>4</v>
      </c>
      <c r="Y128" s="239" t="s">
        <v>4</v>
      </c>
      <c r="Z128" s="241" t="str">
        <f>IF(OR(T128="yes",Y128&gt;'SDG outcome'!$C$27),"yes","no")</f>
        <v>yes</v>
      </c>
      <c r="AA128" s="243">
        <f t="shared" si="1"/>
        <v>0</v>
      </c>
      <c r="AB128" s="243" t="str">
        <f>IF(AND(Z128="no",AND(Y128&gt;='SDG outcome'!$B$16,Y128&lt;'SDG outcome'!$C$27)),Y128-'SDG outcome'!$B$16,"")</f>
        <v/>
      </c>
      <c r="AC128" s="239" t="s">
        <v>4</v>
      </c>
      <c r="AD128" s="239" t="s">
        <v>4</v>
      </c>
      <c r="AE128" s="239" t="s">
        <v>4</v>
      </c>
      <c r="AF128" s="239" t="s">
        <v>4</v>
      </c>
      <c r="AG128" s="239" t="s">
        <v>4</v>
      </c>
      <c r="AH128" s="239" t="s">
        <v>4</v>
      </c>
      <c r="AI128" s="239" t="s">
        <v>4</v>
      </c>
      <c r="AJ128" s="239" t="s">
        <v>29290</v>
      </c>
      <c r="AK128" s="239" t="s">
        <v>29694</v>
      </c>
      <c r="AL128" s="239" t="s">
        <v>4</v>
      </c>
      <c r="AM128" s="239" t="s">
        <v>4</v>
      </c>
      <c r="AN128" s="239" t="s">
        <v>31536</v>
      </c>
      <c r="AO128" s="239" t="s">
        <v>4</v>
      </c>
      <c r="AP128" s="239" t="s">
        <v>31600</v>
      </c>
      <c r="AQ128" s="239" t="s">
        <v>4</v>
      </c>
      <c r="AR128" s="239" t="s">
        <v>31538</v>
      </c>
      <c r="AS128" s="239" t="s">
        <v>4</v>
      </c>
      <c r="AT128" s="239" t="s">
        <v>7</v>
      </c>
      <c r="AU128" s="239" t="s">
        <v>4</v>
      </c>
      <c r="AV128" s="239" t="s">
        <v>4</v>
      </c>
      <c r="AW128" s="239" t="s">
        <v>31550</v>
      </c>
      <c r="AX128" s="239" t="s">
        <v>4</v>
      </c>
      <c r="AY128" s="239" t="s">
        <v>4</v>
      </c>
      <c r="AZ128" s="239" t="s">
        <v>7</v>
      </c>
      <c r="BA128" s="239" t="s">
        <v>6</v>
      </c>
      <c r="BB128" s="239" t="s">
        <v>4</v>
      </c>
      <c r="BC128" s="239" t="s">
        <v>31540</v>
      </c>
      <c r="BD128" s="239" t="s">
        <v>22</v>
      </c>
      <c r="BE128" s="239" t="s">
        <v>4</v>
      </c>
      <c r="BF128" s="239" t="s">
        <v>4</v>
      </c>
      <c r="BG128" s="239" t="s">
        <v>4</v>
      </c>
      <c r="BH128" s="239" t="s">
        <v>31542</v>
      </c>
      <c r="BI128" s="239" t="s">
        <v>31543</v>
      </c>
      <c r="BJ128" s="239" t="s">
        <v>31544</v>
      </c>
      <c r="BK128" s="239">
        <v>2</v>
      </c>
      <c r="BL128" s="239">
        <v>60</v>
      </c>
      <c r="BM128" s="239" t="s">
        <v>7</v>
      </c>
      <c r="BN128" s="239" t="s">
        <v>6</v>
      </c>
      <c r="BO128" s="239" t="s">
        <v>4</v>
      </c>
      <c r="BP128" s="239" t="s">
        <v>31429</v>
      </c>
      <c r="BQ128" s="239">
        <v>1</v>
      </c>
      <c r="BR128" s="239">
        <v>30</v>
      </c>
      <c r="BS128" s="239" t="s">
        <v>31435</v>
      </c>
      <c r="BT128" s="239"/>
      <c r="BU128" s="239">
        <v>1</v>
      </c>
      <c r="BV128" s="239" cm="1">
        <f t="array" ref="BV128">_xlfn.IFS(BS128="Foreword vehicle",BU128*0,BS128="Human wastes",BU128*0,BS128="Jerrycans",BU128*$BV$228,BS128="Number of Basins",BU128*$BV$229,BS128="Number of Buckets",BU128*$CA$226,BS128="Number of Kgs",BU128*$CA$227,BS128="Number of spades",BU128*$CA$228,BS128="Number of wheelbarrows",BU128*$CA$229,BT128="Foreword vehicle",BU128*0,BT128="Human wastes",BU128*0,BT128="Jerrycans",BU128*$BV$228,BS128="","")</f>
        <v>70.5</v>
      </c>
      <c r="BW128" s="239">
        <f>IF(BV128="","",Table14[[#This Row],[Calculation: Conversion of metric to Kg manure feeding (Columns: BP, BQ, BR)]]*Table14[[#This Row],[Number of times used to feed biodigester]])</f>
        <v>70.5</v>
      </c>
      <c r="BX128" s="239" cm="1">
        <f t="array" ref="BX128">_xlfn.IFS(BP128="Number of times per day (1 to 3)",BW128/$BX$226,BP128="Number of times per week (1 to 6)",BW128/$BX$227,BP128="Number of times per Month (1 to 3)",BW128/$BX$228,BW128="","")</f>
        <v>10.071428571428571</v>
      </c>
      <c r="BY128" s="239" t="s">
        <v>22</v>
      </c>
      <c r="BZ128" s="239" t="s">
        <v>4</v>
      </c>
      <c r="CA128" s="239" t="s">
        <v>2</v>
      </c>
      <c r="CB128" s="239" t="s">
        <v>4</v>
      </c>
      <c r="CC128" s="239" t="s">
        <v>4</v>
      </c>
      <c r="CD128" s="239" t="s">
        <v>4</v>
      </c>
      <c r="CE128" s="239" t="s">
        <v>7</v>
      </c>
      <c r="CF128" s="239" t="s">
        <v>31871</v>
      </c>
      <c r="CG128" s="239" t="s">
        <v>4</v>
      </c>
      <c r="CH128" s="239" t="s">
        <v>31604</v>
      </c>
      <c r="CI128" s="239">
        <v>12</v>
      </c>
      <c r="CJ128" s="239">
        <v>0</v>
      </c>
      <c r="CK128" s="239">
        <v>0</v>
      </c>
      <c r="CL128" s="239">
        <v>0</v>
      </c>
      <c r="CM128" s="239">
        <v>0</v>
      </c>
      <c r="CN128" s="239">
        <v>0</v>
      </c>
      <c r="CO128" s="239">
        <v>0</v>
      </c>
      <c r="CP128" s="239">
        <v>0</v>
      </c>
      <c r="CQ128" s="239">
        <v>0</v>
      </c>
      <c r="CR128" s="239">
        <v>0</v>
      </c>
      <c r="CS128" s="239">
        <f>CP128/'SDG outcome'!$C$9*CQ128*CR128</f>
        <v>0</v>
      </c>
      <c r="CT128" s="239">
        <v>100</v>
      </c>
      <c r="CU128" s="239">
        <v>0</v>
      </c>
      <c r="CV128" s="239" t="s">
        <v>4</v>
      </c>
      <c r="CW128" s="239" t="s">
        <v>4</v>
      </c>
      <c r="CX128" s="239" t="s">
        <v>4</v>
      </c>
      <c r="CY128" s="239" t="s">
        <v>4</v>
      </c>
      <c r="CZ128" s="239" t="s">
        <v>4</v>
      </c>
      <c r="DA128" s="239" t="s">
        <v>4</v>
      </c>
      <c r="DB128" s="239" t="s">
        <v>4</v>
      </c>
      <c r="DC128" s="239" t="s">
        <v>4</v>
      </c>
      <c r="DD128" s="239" t="s">
        <v>4</v>
      </c>
      <c r="DE128" s="239" t="s">
        <v>4</v>
      </c>
      <c r="DF128" s="239" t="s">
        <v>4</v>
      </c>
      <c r="DG128" s="239" t="s">
        <v>4</v>
      </c>
      <c r="DH128" s="239" t="s">
        <v>4</v>
      </c>
      <c r="DI128" s="239" t="s">
        <v>4</v>
      </c>
      <c r="DJ128" s="239" t="s">
        <v>4</v>
      </c>
      <c r="DK128" s="239" t="s">
        <v>4</v>
      </c>
      <c r="DL128" s="239" t="s">
        <v>4</v>
      </c>
      <c r="DM128" s="239" t="s">
        <v>4</v>
      </c>
      <c r="DN128" s="239" t="s">
        <v>4</v>
      </c>
      <c r="DO128" s="239">
        <v>3</v>
      </c>
      <c r="DP128" s="239" t="s">
        <v>2</v>
      </c>
      <c r="DQ128" s="239" t="s">
        <v>29292</v>
      </c>
      <c r="DR128" s="239" t="s">
        <v>4</v>
      </c>
      <c r="DS128" s="239" t="s">
        <v>29294</v>
      </c>
      <c r="DT128" s="240" t="s">
        <v>4</v>
      </c>
      <c r="DU128" s="239" t="s">
        <v>29294</v>
      </c>
      <c r="DV128" s="240" t="s">
        <v>4</v>
      </c>
      <c r="DW128" s="239" t="s">
        <v>29508</v>
      </c>
      <c r="DX128" s="239"/>
      <c r="DY128" s="239"/>
      <c r="DZ128" s="239"/>
      <c r="EA128" s="239"/>
      <c r="EB128" s="239"/>
      <c r="EC128" s="239"/>
      <c r="ED128" s="239"/>
      <c r="EE128" s="320">
        <f>Table14[[#This Row],[% Fertilizer]]*$DX128/10000</f>
        <v>0</v>
      </c>
      <c r="EF128" s="320">
        <f>Table14[[#This Row],[% bioslurry used as Insecticide/Pesticide]]*$DX128/10000</f>
        <v>0</v>
      </c>
      <c r="EG128" s="320">
        <f>Table14[[#This Row],[% of Bioslurry used as animal feed]]*$DX128/10000</f>
        <v>0</v>
      </c>
      <c r="EH128" s="320">
        <f>Table14[[#This Row],[% of Bioslurry sold]]*$DX128/10000</f>
        <v>0</v>
      </c>
      <c r="EI128" s="320">
        <f>Table14[[#This Row],[% used other way(if used directly)]]*$DX128/10000</f>
        <v>0</v>
      </c>
      <c r="EJ128" s="239">
        <v>100</v>
      </c>
      <c r="EK128" s="239" t="s">
        <v>30747</v>
      </c>
      <c r="EL128" s="239"/>
      <c r="EM128" s="239">
        <v>100</v>
      </c>
      <c r="EN128" s="239"/>
      <c r="EO128" s="239">
        <f>(Table14[[#This Row],[% Uncovered lagoon greater than 1 meter]]+Table14[[#This Row],[Uncovered lagoon (black watery mass) &lt;1 meter]]+Table14[[#This Row],[% Liquid slurry (brown porridge type)]])*Table14[[#This Row],[% Store it first]]/100</f>
        <v>100</v>
      </c>
      <c r="EP128" s="239"/>
      <c r="EQ128" s="239"/>
      <c r="ER128" s="239"/>
      <c r="ES128" s="239"/>
      <c r="ET128" s="239">
        <f>(Table14[[#This Row],[% Solid storage]]+Table14[[#This Row],[% Sun drying]]+Table14[[#This Row],[% Composting with a roof]]+Table14[[#This Row],[% Composting without a roof]])*Table14[[#This Row],[% Store it first]]/100</f>
        <v>0</v>
      </c>
      <c r="EU128" s="239">
        <v>60</v>
      </c>
      <c r="EV128" s="320">
        <f t="shared" si="8"/>
        <v>1</v>
      </c>
      <c r="EW128" s="320">
        <f t="shared" si="9"/>
        <v>0</v>
      </c>
      <c r="EX128" s="320">
        <f t="shared" si="10"/>
        <v>0</v>
      </c>
      <c r="EY128" s="320">
        <f t="shared" si="11"/>
        <v>0</v>
      </c>
      <c r="EZ128" s="320">
        <f t="shared" si="12"/>
        <v>0</v>
      </c>
      <c r="FA128" s="239"/>
      <c r="FB128" s="239"/>
      <c r="FC128" s="239"/>
      <c r="FD128" s="239">
        <f>Table14[[#This Row],[% I donâ€™t use it / discarded]]+Table14[[#This Row],[% Other (specify)(If you use bioslurry directly)]]+Table14[[#This Row],[% Store it first]]+Table14[[#This Row],[% Use directly for various purposes]]</f>
        <v>100</v>
      </c>
      <c r="FE128" s="239" t="s">
        <v>29296</v>
      </c>
      <c r="FF128" s="239">
        <v>100</v>
      </c>
      <c r="FG128" s="239"/>
      <c r="FH128" s="239"/>
      <c r="FI128" s="239"/>
      <c r="FJ128" s="239"/>
      <c r="FK128" s="239">
        <v>4</v>
      </c>
      <c r="FL128" s="239" t="s">
        <v>29802</v>
      </c>
      <c r="FM128" s="239">
        <v>0</v>
      </c>
      <c r="FN128" s="239">
        <f>FK128*FM128/100</f>
        <v>0</v>
      </c>
      <c r="FO128" s="239" t="s">
        <v>30830</v>
      </c>
      <c r="FP128" s="239" t="s">
        <v>29298</v>
      </c>
      <c r="FQ128" s="239">
        <v>24</v>
      </c>
      <c r="FR128" s="239" t="s">
        <v>7</v>
      </c>
      <c r="FS128" s="239" t="s">
        <v>30819</v>
      </c>
      <c r="FT128" s="239" t="s">
        <v>4</v>
      </c>
      <c r="FU128" s="239" t="s">
        <v>2</v>
      </c>
      <c r="FV128" s="239" t="s">
        <v>4</v>
      </c>
      <c r="FW128" s="239" t="s">
        <v>4</v>
      </c>
      <c r="FX128" s="239" t="s">
        <v>4</v>
      </c>
      <c r="FY128" s="239" t="s">
        <v>4</v>
      </c>
      <c r="FZ128" s="239" t="s">
        <v>29292</v>
      </c>
      <c r="GA128" s="239" t="s">
        <v>29294</v>
      </c>
      <c r="GB128" s="240" t="s">
        <v>4</v>
      </c>
      <c r="GC128" s="239" t="s">
        <v>4</v>
      </c>
      <c r="GD128" s="239" t="s">
        <v>7</v>
      </c>
      <c r="GE128" s="239" t="s">
        <v>29301</v>
      </c>
      <c r="GF128" s="239" t="s">
        <v>4</v>
      </c>
      <c r="GG128" s="239" t="s">
        <v>7</v>
      </c>
      <c r="GH128" s="239" t="s">
        <v>7</v>
      </c>
      <c r="GI128" s="239" t="s">
        <v>29302</v>
      </c>
      <c r="GJ128" s="239" t="s">
        <v>30831</v>
      </c>
      <c r="GK128" s="239" t="s">
        <v>29304</v>
      </c>
      <c r="GL128" s="239">
        <v>2</v>
      </c>
      <c r="GM128" s="239" t="s">
        <v>30832</v>
      </c>
      <c r="GN128" s="239" t="s">
        <v>4</v>
      </c>
      <c r="GO128" s="239" t="s">
        <v>30796</v>
      </c>
      <c r="GP128" s="239" t="s">
        <v>29498</v>
      </c>
      <c r="GQ128" s="239" t="s">
        <v>4</v>
      </c>
      <c r="GR128" s="239" t="s">
        <v>29451</v>
      </c>
      <c r="GS128" s="239" t="s">
        <v>4</v>
      </c>
      <c r="GT128" s="239" t="s">
        <v>4</v>
      </c>
      <c r="GU128" s="239" t="s">
        <v>4</v>
      </c>
      <c r="GV128" s="239" t="s">
        <v>4</v>
      </c>
      <c r="GW128" s="239" t="s">
        <v>4</v>
      </c>
      <c r="GX128" s="239" t="s">
        <v>4</v>
      </c>
      <c r="GY128" s="239" t="s">
        <v>4</v>
      </c>
      <c r="GZ128" s="239" t="s">
        <v>4</v>
      </c>
      <c r="HA128" s="239" t="s">
        <v>4</v>
      </c>
      <c r="HB128" s="239" t="s">
        <v>4</v>
      </c>
      <c r="HC128" s="239" t="s">
        <v>4</v>
      </c>
      <c r="HD128" s="239" t="s">
        <v>4</v>
      </c>
      <c r="HE128" s="239" t="s">
        <v>4</v>
      </c>
      <c r="HF128" s="239" t="s">
        <v>4</v>
      </c>
      <c r="HG128" s="239" t="s">
        <v>4</v>
      </c>
      <c r="HH128" s="239" t="s">
        <v>30833</v>
      </c>
      <c r="HI128" s="239" t="s">
        <v>4</v>
      </c>
      <c r="HJ128" s="240">
        <v>0</v>
      </c>
      <c r="HK128" s="239" t="s">
        <v>7</v>
      </c>
      <c r="HL128" s="239" t="s">
        <v>29837</v>
      </c>
      <c r="HM128" s="239" t="s">
        <v>4</v>
      </c>
      <c r="HN128" s="239" t="s">
        <v>4</v>
      </c>
      <c r="HO128" s="239" t="s">
        <v>4</v>
      </c>
      <c r="HP128" s="239" t="s">
        <v>4</v>
      </c>
      <c r="HQ128" s="239" t="s">
        <v>4</v>
      </c>
      <c r="HR128" s="239" t="s">
        <v>4</v>
      </c>
      <c r="HS128" s="239" t="s">
        <v>4</v>
      </c>
      <c r="HT128" s="239" t="s">
        <v>4</v>
      </c>
      <c r="HU128" s="239" t="s">
        <v>2</v>
      </c>
      <c r="HV128" s="239" t="s">
        <v>4</v>
      </c>
      <c r="HW128" s="239" t="s">
        <v>4</v>
      </c>
      <c r="HX128" s="239" t="s">
        <v>4</v>
      </c>
      <c r="HY128" s="239" t="s">
        <v>4</v>
      </c>
      <c r="HZ128" s="239" t="s">
        <v>30834</v>
      </c>
      <c r="IA128" s="239" t="s">
        <v>7</v>
      </c>
      <c r="IB128" s="239" t="s">
        <v>30835</v>
      </c>
      <c r="IC128" s="239" t="s">
        <v>16</v>
      </c>
      <c r="ID128" s="239" t="s">
        <v>30836</v>
      </c>
      <c r="IE128" s="239" t="s">
        <v>30837</v>
      </c>
      <c r="IF128" s="239" t="s">
        <v>30838</v>
      </c>
      <c r="IG128" s="239" t="s">
        <v>30839</v>
      </c>
      <c r="IH128" s="239" t="s">
        <v>30827</v>
      </c>
    </row>
    <row r="129" spans="1:242" s="1" customFormat="1" ht="36.75" customHeight="1" x14ac:dyDescent="0.2">
      <c r="A129" s="239">
        <v>13</v>
      </c>
      <c r="B129" s="239" t="s">
        <v>28126</v>
      </c>
      <c r="C129" s="239" t="s">
        <v>29473</v>
      </c>
      <c r="D129" s="239" t="s">
        <v>52</v>
      </c>
      <c r="E129" s="239" t="s">
        <v>7</v>
      </c>
      <c r="F129" s="239" t="s">
        <v>29474</v>
      </c>
      <c r="G129" s="239">
        <v>1490.4</v>
      </c>
      <c r="H129" s="239">
        <v>4.8</v>
      </c>
      <c r="I129" s="239" t="s">
        <v>29349</v>
      </c>
      <c r="J129" s="239" t="s">
        <v>4</v>
      </c>
      <c r="K129" s="239" t="s">
        <v>29475</v>
      </c>
      <c r="L129" s="239">
        <v>779866957</v>
      </c>
      <c r="M129" s="239" t="s">
        <v>5</v>
      </c>
      <c r="N129" s="239" t="s">
        <v>31438</v>
      </c>
      <c r="O129" s="239">
        <v>41</v>
      </c>
      <c r="P129" s="239">
        <v>8</v>
      </c>
      <c r="Q129" s="239" t="s">
        <v>7</v>
      </c>
      <c r="R129" s="239" t="s">
        <v>31549</v>
      </c>
      <c r="S129" s="239" t="s">
        <v>4</v>
      </c>
      <c r="T129" s="239" t="s">
        <v>7</v>
      </c>
      <c r="U129" s="239" t="s">
        <v>7</v>
      </c>
      <c r="V129" s="239"/>
      <c r="W129" s="239" t="s">
        <v>7</v>
      </c>
      <c r="X129" s="239" t="s">
        <v>4</v>
      </c>
      <c r="Y129" s="239" t="s">
        <v>4</v>
      </c>
      <c r="Z129" s="241" t="str">
        <f>IF(OR(T129="yes",Y129&gt;'SDG outcome'!$C$27),"yes","no")</f>
        <v>yes</v>
      </c>
      <c r="AA129" s="243">
        <f t="shared" si="1"/>
        <v>0</v>
      </c>
      <c r="AB129" s="243" t="str">
        <f>IF(AND(Z129="no",AND(Y129&gt;='SDG outcome'!$B$16,Y129&lt;'SDG outcome'!$C$27)),Y129-'SDG outcome'!$B$16,"")</f>
        <v/>
      </c>
      <c r="AC129" s="239" t="s">
        <v>4</v>
      </c>
      <c r="AD129" s="239" t="s">
        <v>4</v>
      </c>
      <c r="AE129" s="239" t="s">
        <v>4</v>
      </c>
      <c r="AF129" s="239" t="s">
        <v>4</v>
      </c>
      <c r="AG129" s="239" t="s">
        <v>4</v>
      </c>
      <c r="AH129" s="239" t="s">
        <v>4</v>
      </c>
      <c r="AI129" s="239" t="s">
        <v>4</v>
      </c>
      <c r="AJ129" s="239" t="s">
        <v>29290</v>
      </c>
      <c r="AK129" s="239" t="s">
        <v>29291</v>
      </c>
      <c r="AL129" s="239" t="s">
        <v>4</v>
      </c>
      <c r="AM129" s="239" t="s">
        <v>4</v>
      </c>
      <c r="AN129" s="239" t="s">
        <v>31536</v>
      </c>
      <c r="AO129" s="239" t="s">
        <v>4</v>
      </c>
      <c r="AP129" s="239" t="s">
        <v>31537</v>
      </c>
      <c r="AQ129" s="239" t="s">
        <v>4</v>
      </c>
      <c r="AR129" s="239" t="s">
        <v>31538</v>
      </c>
      <c r="AS129" s="239" t="s">
        <v>4</v>
      </c>
      <c r="AT129" s="239" t="s">
        <v>2</v>
      </c>
      <c r="AU129" s="239" t="s">
        <v>31614</v>
      </c>
      <c r="AV129" s="239" t="s">
        <v>4</v>
      </c>
      <c r="AW129" s="239" t="s">
        <v>31539</v>
      </c>
      <c r="AX129" s="239" t="s">
        <v>4</v>
      </c>
      <c r="AY129" s="239" t="s">
        <v>4</v>
      </c>
      <c r="AZ129" s="239" t="s">
        <v>2</v>
      </c>
      <c r="BA129" s="239" t="s">
        <v>4</v>
      </c>
      <c r="BB129" s="239" t="s">
        <v>4</v>
      </c>
      <c r="BC129" s="239" t="s">
        <v>31563</v>
      </c>
      <c r="BD129" s="239" t="s">
        <v>22</v>
      </c>
      <c r="BE129" s="239" t="s">
        <v>4</v>
      </c>
      <c r="BF129" s="239" t="s">
        <v>22</v>
      </c>
      <c r="BG129" s="239" t="s">
        <v>4</v>
      </c>
      <c r="BH129" s="239" t="s">
        <v>31542</v>
      </c>
      <c r="BI129" s="239" t="s">
        <v>31615</v>
      </c>
      <c r="BJ129" s="239" t="s">
        <v>31616</v>
      </c>
      <c r="BK129" s="239">
        <v>1</v>
      </c>
      <c r="BL129" s="239">
        <v>420</v>
      </c>
      <c r="BM129" s="239" t="s">
        <v>7</v>
      </c>
      <c r="BN129" s="239" t="s">
        <v>6</v>
      </c>
      <c r="BO129" s="239" t="s">
        <v>4</v>
      </c>
      <c r="BP129" s="239" t="s">
        <v>31425</v>
      </c>
      <c r="BQ129" s="239">
        <v>1</v>
      </c>
      <c r="BR129" s="239">
        <v>30</v>
      </c>
      <c r="BS129" s="239" t="s">
        <v>31435</v>
      </c>
      <c r="BT129" s="239"/>
      <c r="BU129" s="239">
        <v>1</v>
      </c>
      <c r="BV129" s="239" cm="1">
        <f t="array" ref="BV129">_xlfn.IFS(BS129="Foreword vehicle",BU129*0,BS129="Human wastes",BU129*0,BS129="Jerrycans",BU129*$BV$228,BS129="Number of Basins",BU129*$BV$229,BS129="Number of Buckets",BU129*$CA$226,BS129="Number of Kgs",BU129*$CA$227,BS129="Number of spades",BU129*$CA$228,BS129="Number of wheelbarrows",BU129*$CA$229,BT129="Foreword vehicle",BU129*0,BT129="Human wastes",BU129*0,BT129="Jerrycans",BU129*$BV$228,BS129="","")</f>
        <v>70.5</v>
      </c>
      <c r="BW129" s="239">
        <f>IF(BV129="","",Table14[[#This Row],[Calculation: Conversion of metric to Kg manure feeding (Columns: BP, BQ, BR)]]*Table14[[#This Row],[Number of times used to feed biodigester]])</f>
        <v>70.5</v>
      </c>
      <c r="BX129" s="239" cm="1">
        <f t="array" ref="BX129">_xlfn.IFS(BP129="Number of times per day (1 to 3)",BW129/$BX$226,BP129="Number of times per week (1 to 6)",BW129/$BX$227,BP129="Number of times per Month (1 to 3)",BW129/$BX$228,BW129="","")</f>
        <v>70.5</v>
      </c>
      <c r="BY129" s="239" t="s">
        <v>22</v>
      </c>
      <c r="BZ129" s="239" t="s">
        <v>4</v>
      </c>
      <c r="CA129" s="239" t="s">
        <v>2</v>
      </c>
      <c r="CB129" s="239" t="s">
        <v>4</v>
      </c>
      <c r="CC129" s="239" t="s">
        <v>4</v>
      </c>
      <c r="CD129" s="239" t="s">
        <v>4</v>
      </c>
      <c r="CE129" s="239" t="s">
        <v>7</v>
      </c>
      <c r="CF129" s="239" t="s">
        <v>31617</v>
      </c>
      <c r="CG129" s="239" t="s">
        <v>4</v>
      </c>
      <c r="CH129" s="239" t="s">
        <v>31559</v>
      </c>
      <c r="CI129" s="239">
        <v>10</v>
      </c>
      <c r="CJ129" s="239">
        <v>0</v>
      </c>
      <c r="CK129" s="239">
        <v>2</v>
      </c>
      <c r="CL129" s="239">
        <v>0</v>
      </c>
      <c r="CM129" s="239">
        <v>0</v>
      </c>
      <c r="CN129" s="239">
        <v>130</v>
      </c>
      <c r="CO129" s="239">
        <v>4</v>
      </c>
      <c r="CP129" s="239">
        <v>150</v>
      </c>
      <c r="CQ129" s="239">
        <v>2</v>
      </c>
      <c r="CR129" s="239">
        <v>8</v>
      </c>
      <c r="CS129" s="239">
        <f>CP129/'SDG outcome'!$C$9*CQ129*CR129</f>
        <v>6.9164265129682994</v>
      </c>
      <c r="CT129" s="239">
        <v>100</v>
      </c>
      <c r="CU129" s="239">
        <v>0</v>
      </c>
      <c r="CV129" s="239" t="s">
        <v>4</v>
      </c>
      <c r="CW129" s="239" t="s">
        <v>4</v>
      </c>
      <c r="CX129" s="239" t="s">
        <v>4</v>
      </c>
      <c r="CY129" s="239" t="s">
        <v>4</v>
      </c>
      <c r="CZ129" s="239" t="s">
        <v>4</v>
      </c>
      <c r="DA129" s="239" t="s">
        <v>4</v>
      </c>
      <c r="DB129" s="239" t="s">
        <v>4</v>
      </c>
      <c r="DC129" s="239">
        <v>100</v>
      </c>
      <c r="DD129" s="239">
        <v>0</v>
      </c>
      <c r="DE129" s="239" t="s">
        <v>4</v>
      </c>
      <c r="DF129" s="239">
        <v>0</v>
      </c>
      <c r="DG129" s="239">
        <v>100</v>
      </c>
      <c r="DH129" s="239" t="s">
        <v>31618</v>
      </c>
      <c r="DI129" s="239" t="s">
        <v>4</v>
      </c>
      <c r="DJ129" s="239" t="s">
        <v>4</v>
      </c>
      <c r="DK129" s="239" t="s">
        <v>4</v>
      </c>
      <c r="DL129" s="239" t="s">
        <v>4</v>
      </c>
      <c r="DM129" s="239" t="s">
        <v>4</v>
      </c>
      <c r="DN129" s="239" t="s">
        <v>4</v>
      </c>
      <c r="DO129" s="239">
        <v>1</v>
      </c>
      <c r="DP129" s="239" t="s">
        <v>2</v>
      </c>
      <c r="DQ129" s="239" t="s">
        <v>29375</v>
      </c>
      <c r="DR129" s="239" t="s">
        <v>4</v>
      </c>
      <c r="DS129" s="239" t="s">
        <v>4</v>
      </c>
      <c r="DT129" s="240" t="s">
        <v>4</v>
      </c>
      <c r="DU129" s="239" t="s">
        <v>29294</v>
      </c>
      <c r="DV129" s="240" t="s">
        <v>4</v>
      </c>
      <c r="DW129" s="239" t="s">
        <v>29295</v>
      </c>
      <c r="DX129" s="239">
        <v>100</v>
      </c>
      <c r="DY129" s="239" t="s">
        <v>29296</v>
      </c>
      <c r="DZ129" s="239">
        <v>100</v>
      </c>
      <c r="EA129" s="239"/>
      <c r="EB129" s="239"/>
      <c r="EC129" s="239"/>
      <c r="ED129" s="239"/>
      <c r="EE129" s="320">
        <f>Table14[[#This Row],[% Fertilizer]]*$DX129/10000</f>
        <v>1</v>
      </c>
      <c r="EF129" s="320">
        <f>Table14[[#This Row],[% bioslurry used as Insecticide/Pesticide]]*$DX129/10000</f>
        <v>0</v>
      </c>
      <c r="EG129" s="320">
        <f>Table14[[#This Row],[% of Bioslurry used as animal feed]]*$DX129/10000</f>
        <v>0</v>
      </c>
      <c r="EH129" s="320">
        <f>Table14[[#This Row],[% of Bioslurry sold]]*$DX129/10000</f>
        <v>0</v>
      </c>
      <c r="EI129" s="320">
        <f>Table14[[#This Row],[% used other way(if used directly)]]*$DX129/10000</f>
        <v>0</v>
      </c>
      <c r="EJ129" s="239"/>
      <c r="EK129" s="239"/>
      <c r="EL129" s="239"/>
      <c r="EM129" s="239"/>
      <c r="EN129" s="239"/>
      <c r="EO129" s="239">
        <f>(Table14[[#This Row],[% Uncovered lagoon greater than 1 meter]]+Table14[[#This Row],[Uncovered lagoon (black watery mass) &lt;1 meter]]+Table14[[#This Row],[% Liquid slurry (brown porridge type)]])*Table14[[#This Row],[% Store it first]]/100</f>
        <v>0</v>
      </c>
      <c r="EP129" s="239"/>
      <c r="EQ129" s="239"/>
      <c r="ER129" s="239"/>
      <c r="ES129" s="239"/>
      <c r="ET129" s="239">
        <f>(Table14[[#This Row],[% Solid storage]]+Table14[[#This Row],[% Sun drying]]+Table14[[#This Row],[% Composting with a roof]]+Table14[[#This Row],[% Composting without a roof]])*Table14[[#This Row],[% Store it first]]/100</f>
        <v>0</v>
      </c>
      <c r="EU129" s="239"/>
      <c r="EV129" s="320">
        <f t="shared" si="8"/>
        <v>0</v>
      </c>
      <c r="EW129" s="320">
        <f t="shared" si="9"/>
        <v>0</v>
      </c>
      <c r="EX129" s="320">
        <f t="shared" si="10"/>
        <v>0</v>
      </c>
      <c r="EY129" s="320">
        <f t="shared" si="11"/>
        <v>0</v>
      </c>
      <c r="EZ129" s="320">
        <f t="shared" si="12"/>
        <v>0</v>
      </c>
      <c r="FA129" s="239"/>
      <c r="FB129" s="239"/>
      <c r="FC129" s="239"/>
      <c r="FD129" s="239">
        <f>Table14[[#This Row],[% I donâ€™t use it / discarded]]+Table14[[#This Row],[% Other (specify)(If you use bioslurry directly)]]+Table14[[#This Row],[% Store it first]]+Table14[[#This Row],[% Use directly for various purposes]]</f>
        <v>100</v>
      </c>
      <c r="FE129" s="239" t="s">
        <v>4</v>
      </c>
      <c r="FF129" s="239"/>
      <c r="FG129" s="239"/>
      <c r="FH129" s="239"/>
      <c r="FI129" s="239"/>
      <c r="FJ129" s="239"/>
      <c r="FK129" s="239">
        <v>2.4</v>
      </c>
      <c r="FL129" s="239" t="s">
        <v>7</v>
      </c>
      <c r="FM129" s="239">
        <v>50</v>
      </c>
      <c r="FN129" s="239">
        <f>FK129*FM129/100</f>
        <v>1.2</v>
      </c>
      <c r="FO129" s="239" t="s">
        <v>29476</v>
      </c>
      <c r="FP129" s="239" t="s">
        <v>29298</v>
      </c>
      <c r="FQ129" s="239">
        <v>120</v>
      </c>
      <c r="FR129" s="239" t="s">
        <v>7</v>
      </c>
      <c r="FS129" s="239" t="s">
        <v>29393</v>
      </c>
      <c r="FT129" s="239" t="s">
        <v>4</v>
      </c>
      <c r="FU129" s="239" t="s">
        <v>7</v>
      </c>
      <c r="FV129" s="239" t="s">
        <v>29393</v>
      </c>
      <c r="FW129" s="239" t="s">
        <v>4</v>
      </c>
      <c r="FX129" s="239" t="s">
        <v>29477</v>
      </c>
      <c r="FY129" s="239" t="s">
        <v>4</v>
      </c>
      <c r="FZ129" s="239" t="s">
        <v>4</v>
      </c>
      <c r="GA129" s="239" t="s">
        <v>4</v>
      </c>
      <c r="GB129" s="240" t="s">
        <v>4</v>
      </c>
      <c r="GC129" s="239" t="s">
        <v>4</v>
      </c>
      <c r="GD129" s="239" t="s">
        <v>2</v>
      </c>
      <c r="GE129" s="239" t="s">
        <v>4</v>
      </c>
      <c r="GF129" s="239" t="s">
        <v>4</v>
      </c>
      <c r="GG129" s="239" t="s">
        <v>2</v>
      </c>
      <c r="GH129" s="239" t="s">
        <v>2</v>
      </c>
      <c r="GI129" s="239" t="s">
        <v>4</v>
      </c>
      <c r="GJ129" s="239" t="s">
        <v>4</v>
      </c>
      <c r="GK129" s="239" t="s">
        <v>4</v>
      </c>
      <c r="GL129" s="239">
        <v>0</v>
      </c>
      <c r="GM129" s="239"/>
      <c r="GN129" s="239" t="s">
        <v>4</v>
      </c>
      <c r="GO129" s="239" t="s">
        <v>4</v>
      </c>
      <c r="GP129" s="239" t="s">
        <v>4</v>
      </c>
      <c r="GQ129" s="239" t="s">
        <v>4</v>
      </c>
      <c r="GR129" s="239" t="s">
        <v>4</v>
      </c>
      <c r="GS129" s="239" t="s">
        <v>4</v>
      </c>
      <c r="GT129" s="239" t="s">
        <v>4</v>
      </c>
      <c r="GU129" s="239" t="s">
        <v>4</v>
      </c>
      <c r="GV129" s="239" t="s">
        <v>4</v>
      </c>
      <c r="GW129" s="239" t="s">
        <v>29304</v>
      </c>
      <c r="GX129" s="239" t="s">
        <v>29478</v>
      </c>
      <c r="GY129" s="239" t="s">
        <v>29306</v>
      </c>
      <c r="GZ129" s="239" t="s">
        <v>29479</v>
      </c>
      <c r="HA129" s="239" t="s">
        <v>4</v>
      </c>
      <c r="HB129" s="239" t="s">
        <v>4</v>
      </c>
      <c r="HC129" s="239" t="s">
        <v>4</v>
      </c>
      <c r="HD129" s="239" t="s">
        <v>4</v>
      </c>
      <c r="HE129" s="239" t="s">
        <v>4</v>
      </c>
      <c r="HF129" s="239" t="s">
        <v>4</v>
      </c>
      <c r="HG129" s="239" t="s">
        <v>4</v>
      </c>
      <c r="HH129" s="239" t="s">
        <v>29410</v>
      </c>
      <c r="HI129" s="239" t="s">
        <v>4</v>
      </c>
      <c r="HJ129" s="240">
        <v>50</v>
      </c>
      <c r="HK129" s="239" t="s">
        <v>29325</v>
      </c>
      <c r="HL129" s="239" t="s">
        <v>29480</v>
      </c>
      <c r="HM129" s="239" t="s">
        <v>4</v>
      </c>
      <c r="HN129" s="239" t="s">
        <v>4</v>
      </c>
      <c r="HO129" s="239" t="s">
        <v>4</v>
      </c>
      <c r="HP129" s="239" t="s">
        <v>4</v>
      </c>
      <c r="HQ129" s="239" t="s">
        <v>4</v>
      </c>
      <c r="HR129" s="239" t="s">
        <v>4</v>
      </c>
      <c r="HS129" s="239" t="s">
        <v>4</v>
      </c>
      <c r="HT129" s="239" t="s">
        <v>4</v>
      </c>
      <c r="HU129" s="239" t="s">
        <v>2</v>
      </c>
      <c r="HV129" s="239" t="s">
        <v>4</v>
      </c>
      <c r="HW129" s="239" t="s">
        <v>4</v>
      </c>
      <c r="HX129" s="239" t="s">
        <v>4</v>
      </c>
      <c r="HY129" s="239" t="s">
        <v>4</v>
      </c>
      <c r="HZ129" s="239" t="s">
        <v>29481</v>
      </c>
      <c r="IA129" s="239" t="s">
        <v>2</v>
      </c>
      <c r="IB129" s="239" t="s">
        <v>4</v>
      </c>
      <c r="IC129" s="239" t="s">
        <v>16</v>
      </c>
      <c r="ID129" s="239" t="s">
        <v>29482</v>
      </c>
      <c r="IE129" s="239" t="s">
        <v>29483</v>
      </c>
      <c r="IF129" s="239" t="s">
        <v>29484</v>
      </c>
      <c r="IG129" s="239" t="s">
        <v>9</v>
      </c>
      <c r="IH129" s="239" t="s">
        <v>29485</v>
      </c>
    </row>
    <row r="130" spans="1:242" s="1" customFormat="1" ht="36.75" customHeight="1" x14ac:dyDescent="0.2">
      <c r="A130" s="239">
        <v>98</v>
      </c>
      <c r="B130" s="239" t="s">
        <v>3066</v>
      </c>
      <c r="C130" s="239" t="s">
        <v>30371</v>
      </c>
      <c r="D130" s="239" t="s">
        <v>30309</v>
      </c>
      <c r="E130" s="239" t="s">
        <v>7</v>
      </c>
      <c r="F130" s="239" t="s">
        <v>30372</v>
      </c>
      <c r="G130" s="239">
        <v>1209.8</v>
      </c>
      <c r="H130" s="239">
        <v>5</v>
      </c>
      <c r="I130" s="239" t="s">
        <v>29288</v>
      </c>
      <c r="J130" s="239" t="s">
        <v>4</v>
      </c>
      <c r="K130" s="239" t="s">
        <v>30373</v>
      </c>
      <c r="L130" s="239">
        <v>772471120</v>
      </c>
      <c r="M130" s="239" t="s">
        <v>3</v>
      </c>
      <c r="N130" s="239" t="s">
        <v>31598</v>
      </c>
      <c r="O130" s="239" t="s">
        <v>4</v>
      </c>
      <c r="P130" s="239">
        <v>8</v>
      </c>
      <c r="Q130" s="239" t="s">
        <v>7</v>
      </c>
      <c r="R130" s="239" t="s">
        <v>31588</v>
      </c>
      <c r="S130" s="239" t="s">
        <v>4</v>
      </c>
      <c r="T130" s="239" t="s">
        <v>7</v>
      </c>
      <c r="U130" s="239" t="s">
        <v>2</v>
      </c>
      <c r="V130" s="239">
        <v>60</v>
      </c>
      <c r="W130" s="239" t="s">
        <v>7</v>
      </c>
      <c r="X130" s="239" t="s">
        <v>4</v>
      </c>
      <c r="Y130" s="239" t="s">
        <v>4</v>
      </c>
      <c r="Z130" s="241" t="str">
        <f>IF(OR(T130="yes",Y130&gt;'SDG outcome'!$C$27),"yes","no")</f>
        <v>yes</v>
      </c>
      <c r="AA130" s="243">
        <f t="shared" ref="AA130:AA193" si="13">IF(Z130="no","",V130)</f>
        <v>60</v>
      </c>
      <c r="AB130" s="243" t="str">
        <f>IF(AND(Z130="no",AND(Y130&gt;='SDG outcome'!$B$16,Y130&lt;'SDG outcome'!$C$27)),Y130-'SDG outcome'!$B$16,"")</f>
        <v/>
      </c>
      <c r="AC130" s="239" t="s">
        <v>4</v>
      </c>
      <c r="AD130" s="239" t="s">
        <v>4</v>
      </c>
      <c r="AE130" s="239" t="s">
        <v>4</v>
      </c>
      <c r="AF130" s="239" t="s">
        <v>4</v>
      </c>
      <c r="AG130" s="239" t="s">
        <v>4</v>
      </c>
      <c r="AH130" s="239" t="s">
        <v>4</v>
      </c>
      <c r="AI130" s="239" t="s">
        <v>4</v>
      </c>
      <c r="AJ130" s="239" t="s">
        <v>29290</v>
      </c>
      <c r="AK130" s="239" t="s">
        <v>29694</v>
      </c>
      <c r="AL130" s="239" t="s">
        <v>4</v>
      </c>
      <c r="AM130" s="239" t="s">
        <v>4</v>
      </c>
      <c r="AN130" s="239" t="s">
        <v>31536</v>
      </c>
      <c r="AO130" s="239" t="s">
        <v>4</v>
      </c>
      <c r="AP130" s="239" t="s">
        <v>31537</v>
      </c>
      <c r="AQ130" s="239" t="s">
        <v>4</v>
      </c>
      <c r="AR130" s="239" t="s">
        <v>31538</v>
      </c>
      <c r="AS130" s="239" t="s">
        <v>4</v>
      </c>
      <c r="AT130" s="239" t="s">
        <v>7</v>
      </c>
      <c r="AU130" s="239" t="s">
        <v>4</v>
      </c>
      <c r="AV130" s="239" t="s">
        <v>4</v>
      </c>
      <c r="AW130" s="239" t="s">
        <v>31539</v>
      </c>
      <c r="AX130" s="239" t="s">
        <v>4</v>
      </c>
      <c r="AY130" s="239" t="s">
        <v>4</v>
      </c>
      <c r="AZ130" s="239" t="s">
        <v>7</v>
      </c>
      <c r="BA130" s="239" t="s">
        <v>11</v>
      </c>
      <c r="BB130" s="239" t="s">
        <v>4</v>
      </c>
      <c r="BC130" s="239" t="s">
        <v>31557</v>
      </c>
      <c r="BD130" s="239" t="s">
        <v>4</v>
      </c>
      <c r="BE130" s="239" t="s">
        <v>4</v>
      </c>
      <c r="BF130" s="239" t="s">
        <v>4</v>
      </c>
      <c r="BG130" s="239" t="s">
        <v>4</v>
      </c>
      <c r="BH130" s="239" t="s">
        <v>4</v>
      </c>
      <c r="BI130" s="239" t="s">
        <v>4</v>
      </c>
      <c r="BJ130" s="239" t="s">
        <v>4</v>
      </c>
      <c r="BK130" s="239" t="s">
        <v>4</v>
      </c>
      <c r="BL130" s="239" t="s">
        <v>4</v>
      </c>
      <c r="BM130" s="239" t="s">
        <v>7</v>
      </c>
      <c r="BN130" s="239" t="s">
        <v>6</v>
      </c>
      <c r="BO130" s="239" t="s">
        <v>4</v>
      </c>
      <c r="BP130" s="239" t="s">
        <v>31429</v>
      </c>
      <c r="BQ130" s="239">
        <v>3</v>
      </c>
      <c r="BR130" s="239">
        <v>60</v>
      </c>
      <c r="BS130" s="239" t="s">
        <v>31435</v>
      </c>
      <c r="BT130" s="239"/>
      <c r="BU130" s="239">
        <v>1</v>
      </c>
      <c r="BV130" s="239" cm="1">
        <f t="array" ref="BV130">_xlfn.IFS(BS130="Foreword vehicle",BU130*0,BS130="Human wastes",BU130*0,BS130="Jerrycans",BU130*$BV$228,BS130="Number of Basins",BU130*$BV$229,BS130="Number of Buckets",BU130*$CA$226,BS130="Number of Kgs",BU130*$CA$227,BS130="Number of spades",BU130*$CA$228,BS130="Number of wheelbarrows",BU130*$CA$229,BT130="Foreword vehicle",BU130*0,BT130="Human wastes",BU130*0,BT130="Jerrycans",BU130*$BV$228,BS130="","")</f>
        <v>70.5</v>
      </c>
      <c r="BW130" s="239">
        <f>IF(BV130="","",Table14[[#This Row],[Calculation: Conversion of metric to Kg manure feeding (Columns: BP, BQ, BR)]]*Table14[[#This Row],[Number of times used to feed biodigester]])</f>
        <v>211.5</v>
      </c>
      <c r="BX130" s="239" cm="1">
        <f t="array" ref="BX130">_xlfn.IFS(BP130="Number of times per day (1 to 3)",BW130/$BX$226,BP130="Number of times per week (1 to 6)",BW130/$BX$227,BP130="Number of times per Month (1 to 3)",BW130/$BX$228,BW130="","")</f>
        <v>30.214285714285715</v>
      </c>
      <c r="BY130" s="239" t="s">
        <v>22</v>
      </c>
      <c r="BZ130" s="239" t="s">
        <v>4</v>
      </c>
      <c r="CA130" s="239" t="s">
        <v>2</v>
      </c>
      <c r="CB130" s="239" t="s">
        <v>4</v>
      </c>
      <c r="CC130" s="239" t="s">
        <v>4</v>
      </c>
      <c r="CD130" s="239" t="s">
        <v>4</v>
      </c>
      <c r="CE130" s="239" t="s">
        <v>7</v>
      </c>
      <c r="CF130" s="239" t="s">
        <v>31894</v>
      </c>
      <c r="CG130" s="239" t="s">
        <v>4</v>
      </c>
      <c r="CH130" s="239" t="s">
        <v>31554</v>
      </c>
      <c r="CI130" s="239">
        <v>10</v>
      </c>
      <c r="CJ130" s="239">
        <v>0</v>
      </c>
      <c r="CK130" s="239">
        <v>6</v>
      </c>
      <c r="CL130" s="239">
        <v>0</v>
      </c>
      <c r="CM130" s="239">
        <v>8</v>
      </c>
      <c r="CN130" s="239">
        <v>20</v>
      </c>
      <c r="CO130" s="239">
        <v>0</v>
      </c>
      <c r="CP130" s="239">
        <v>0</v>
      </c>
      <c r="CQ130" s="239">
        <v>0</v>
      </c>
      <c r="CR130" s="239">
        <v>0</v>
      </c>
      <c r="CS130" s="239">
        <f>CP130/'SDG outcome'!$C$9*CQ130*CR130</f>
        <v>0</v>
      </c>
      <c r="CT130" s="239">
        <v>100</v>
      </c>
      <c r="CU130" s="239">
        <v>0</v>
      </c>
      <c r="CV130" s="239" t="s">
        <v>4</v>
      </c>
      <c r="CW130" s="239" t="s">
        <v>4</v>
      </c>
      <c r="CX130" s="239" t="s">
        <v>4</v>
      </c>
      <c r="CY130" s="239" t="s">
        <v>4</v>
      </c>
      <c r="CZ130" s="239" t="s">
        <v>4</v>
      </c>
      <c r="DA130" s="239" t="s">
        <v>4</v>
      </c>
      <c r="DB130" s="239" t="s">
        <v>4</v>
      </c>
      <c r="DC130" s="239">
        <v>0</v>
      </c>
      <c r="DD130" s="239">
        <v>100</v>
      </c>
      <c r="DE130" s="239" t="s">
        <v>31895</v>
      </c>
      <c r="DF130" s="239">
        <v>0</v>
      </c>
      <c r="DG130" s="239">
        <v>100</v>
      </c>
      <c r="DH130" s="239" t="s">
        <v>31896</v>
      </c>
      <c r="DI130" s="239" t="s">
        <v>4</v>
      </c>
      <c r="DJ130" s="239" t="s">
        <v>4</v>
      </c>
      <c r="DK130" s="239" t="s">
        <v>4</v>
      </c>
      <c r="DL130" s="239">
        <v>0</v>
      </c>
      <c r="DM130" s="239">
        <v>100</v>
      </c>
      <c r="DN130" s="239" t="s">
        <v>31897</v>
      </c>
      <c r="DO130" s="239">
        <v>3</v>
      </c>
      <c r="DP130" s="239" t="s">
        <v>2</v>
      </c>
      <c r="DQ130" s="239" t="s">
        <v>29292</v>
      </c>
      <c r="DR130" s="239" t="s">
        <v>4</v>
      </c>
      <c r="DS130" s="239" t="s">
        <v>29293</v>
      </c>
      <c r="DT130" s="240">
        <v>60000</v>
      </c>
      <c r="DU130" s="239" t="s">
        <v>29293</v>
      </c>
      <c r="DV130" s="240">
        <v>1000000</v>
      </c>
      <c r="DW130" s="239" t="s">
        <v>29295</v>
      </c>
      <c r="DX130" s="239">
        <v>100</v>
      </c>
      <c r="DY130" s="239" t="s">
        <v>29296</v>
      </c>
      <c r="DZ130" s="239">
        <v>100</v>
      </c>
      <c r="EA130" s="239"/>
      <c r="EB130" s="239"/>
      <c r="EC130" s="239"/>
      <c r="ED130" s="239"/>
      <c r="EE130" s="320">
        <f>Table14[[#This Row],[% Fertilizer]]*$DX130/10000</f>
        <v>1</v>
      </c>
      <c r="EF130" s="320">
        <f>Table14[[#This Row],[% bioslurry used as Insecticide/Pesticide]]*$DX130/10000</f>
        <v>0</v>
      </c>
      <c r="EG130" s="320">
        <f>Table14[[#This Row],[% of Bioslurry used as animal feed]]*$DX130/10000</f>
        <v>0</v>
      </c>
      <c r="EH130" s="320">
        <f>Table14[[#This Row],[% of Bioslurry sold]]*$DX130/10000</f>
        <v>0</v>
      </c>
      <c r="EI130" s="320">
        <f>Table14[[#This Row],[% used other way(if used directly)]]*$DX130/10000</f>
        <v>0</v>
      </c>
      <c r="EJ130" s="239"/>
      <c r="EK130" s="239"/>
      <c r="EL130" s="239"/>
      <c r="EM130" s="239"/>
      <c r="EN130" s="239"/>
      <c r="EO130" s="239">
        <f>(Table14[[#This Row],[% Uncovered lagoon greater than 1 meter]]+Table14[[#This Row],[Uncovered lagoon (black watery mass) &lt;1 meter]]+Table14[[#This Row],[% Liquid slurry (brown porridge type)]])*Table14[[#This Row],[% Store it first]]/100</f>
        <v>0</v>
      </c>
      <c r="EP130" s="239"/>
      <c r="EQ130" s="239"/>
      <c r="ER130" s="239"/>
      <c r="ES130" s="239"/>
      <c r="ET130" s="239">
        <f>(Table14[[#This Row],[% Solid storage]]+Table14[[#This Row],[% Sun drying]]+Table14[[#This Row],[% Composting with a roof]]+Table14[[#This Row],[% Composting without a roof]])*Table14[[#This Row],[% Store it first]]/100</f>
        <v>0</v>
      </c>
      <c r="EU130" s="239"/>
      <c r="EV130" s="320">
        <f t="shared" si="8"/>
        <v>0</v>
      </c>
      <c r="EW130" s="320">
        <f t="shared" si="9"/>
        <v>0</v>
      </c>
      <c r="EX130" s="320">
        <f t="shared" si="10"/>
        <v>0</v>
      </c>
      <c r="EY130" s="320">
        <f t="shared" si="11"/>
        <v>0</v>
      </c>
      <c r="EZ130" s="320">
        <f t="shared" si="12"/>
        <v>0</v>
      </c>
      <c r="FA130" s="239"/>
      <c r="FB130" s="239"/>
      <c r="FC130" s="239"/>
      <c r="FD130" s="239">
        <f>Table14[[#This Row],[% I donâ€™t use it / discarded]]+Table14[[#This Row],[% Other (specify)(If you use bioslurry directly)]]+Table14[[#This Row],[% Store it first]]+Table14[[#This Row],[% Use directly for various purposes]]</f>
        <v>100</v>
      </c>
      <c r="FE130" s="239" t="s">
        <v>4</v>
      </c>
      <c r="FF130" s="239"/>
      <c r="FG130" s="239"/>
      <c r="FH130" s="239"/>
      <c r="FI130" s="239"/>
      <c r="FJ130" s="239"/>
      <c r="FK130" s="239">
        <v>2.5</v>
      </c>
      <c r="FL130" s="239" t="s">
        <v>7</v>
      </c>
      <c r="FM130" s="239">
        <v>25</v>
      </c>
      <c r="FN130" s="239">
        <f>FK130*FM130/100</f>
        <v>0.625</v>
      </c>
      <c r="FO130" s="239" t="s">
        <v>30364</v>
      </c>
      <c r="FP130" s="239" t="s">
        <v>29298</v>
      </c>
      <c r="FQ130" s="239">
        <v>96</v>
      </c>
      <c r="FR130" s="239" t="s">
        <v>7</v>
      </c>
      <c r="FS130" s="239" t="s">
        <v>29393</v>
      </c>
      <c r="FT130" s="239" t="s">
        <v>4</v>
      </c>
      <c r="FU130" s="239" t="s">
        <v>7</v>
      </c>
      <c r="FV130" s="239" t="s">
        <v>29393</v>
      </c>
      <c r="FW130" s="239" t="s">
        <v>4</v>
      </c>
      <c r="FX130" s="239" t="s">
        <v>29300</v>
      </c>
      <c r="FY130" s="239" t="s">
        <v>4</v>
      </c>
      <c r="FZ130" s="239" t="s">
        <v>4</v>
      </c>
      <c r="GA130" s="239" t="s">
        <v>4</v>
      </c>
      <c r="GB130" s="240" t="s">
        <v>4</v>
      </c>
      <c r="GC130" s="239" t="s">
        <v>4</v>
      </c>
      <c r="GD130" s="239" t="s">
        <v>7</v>
      </c>
      <c r="GE130" s="239" t="s">
        <v>29301</v>
      </c>
      <c r="GF130" s="239" t="s">
        <v>4</v>
      </c>
      <c r="GG130" s="239" t="s">
        <v>7</v>
      </c>
      <c r="GH130" s="239" t="s">
        <v>2</v>
      </c>
      <c r="GI130" s="239" t="s">
        <v>4</v>
      </c>
      <c r="GJ130" s="239" t="s">
        <v>4</v>
      </c>
      <c r="GK130" s="239" t="s">
        <v>29304</v>
      </c>
      <c r="GL130" s="239">
        <v>1</v>
      </c>
      <c r="GM130" s="239" t="s">
        <v>29305</v>
      </c>
      <c r="GN130" s="239" t="s">
        <v>29306</v>
      </c>
      <c r="GO130" s="239" t="s">
        <v>4</v>
      </c>
      <c r="GP130" s="239" t="s">
        <v>4</v>
      </c>
      <c r="GQ130" s="239" t="s">
        <v>4</v>
      </c>
      <c r="GR130" s="239" t="s">
        <v>4</v>
      </c>
      <c r="GS130" s="239" t="s">
        <v>4</v>
      </c>
      <c r="GT130" s="239" t="s">
        <v>4</v>
      </c>
      <c r="GU130" s="239" t="s">
        <v>4</v>
      </c>
      <c r="GV130" s="239" t="s">
        <v>4</v>
      </c>
      <c r="GW130" s="239" t="s">
        <v>4</v>
      </c>
      <c r="GX130" s="239" t="s">
        <v>4</v>
      </c>
      <c r="GY130" s="239" t="s">
        <v>4</v>
      </c>
      <c r="GZ130" s="239" t="s">
        <v>4</v>
      </c>
      <c r="HA130" s="239" t="s">
        <v>4</v>
      </c>
      <c r="HB130" s="239" t="s">
        <v>4</v>
      </c>
      <c r="HC130" s="239" t="s">
        <v>4</v>
      </c>
      <c r="HD130" s="239" t="s">
        <v>4</v>
      </c>
      <c r="HE130" s="239" t="s">
        <v>4</v>
      </c>
      <c r="HF130" s="239" t="s">
        <v>4</v>
      </c>
      <c r="HG130" s="239" t="s">
        <v>4</v>
      </c>
      <c r="HH130" s="239" t="s">
        <v>29354</v>
      </c>
      <c r="HI130" s="239" t="s">
        <v>4</v>
      </c>
      <c r="HJ130" s="240">
        <v>0</v>
      </c>
      <c r="HK130" s="239" t="s">
        <v>2</v>
      </c>
      <c r="HL130" s="239" t="s">
        <v>29309</v>
      </c>
      <c r="HM130" s="239" t="s">
        <v>4</v>
      </c>
      <c r="HN130" s="239" t="s">
        <v>4</v>
      </c>
      <c r="HO130" s="239" t="s">
        <v>4</v>
      </c>
      <c r="HP130" s="239" t="s">
        <v>4</v>
      </c>
      <c r="HQ130" s="239" t="s">
        <v>4</v>
      </c>
      <c r="HR130" s="239" t="s">
        <v>4</v>
      </c>
      <c r="HS130" s="239" t="s">
        <v>4</v>
      </c>
      <c r="HT130" s="239" t="s">
        <v>4</v>
      </c>
      <c r="HU130" s="239" t="s">
        <v>2</v>
      </c>
      <c r="HV130" s="239" t="s">
        <v>4</v>
      </c>
      <c r="HW130" s="239" t="s">
        <v>4</v>
      </c>
      <c r="HX130" s="239" t="s">
        <v>4</v>
      </c>
      <c r="HY130" s="239" t="s">
        <v>4</v>
      </c>
      <c r="HZ130" s="239" t="s">
        <v>30374</v>
      </c>
      <c r="IA130" s="239" t="s">
        <v>7</v>
      </c>
      <c r="IB130" s="239" t="s">
        <v>30375</v>
      </c>
      <c r="IC130" s="239" t="s">
        <v>30376</v>
      </c>
      <c r="ID130" s="239" t="s">
        <v>30377</v>
      </c>
      <c r="IE130" s="239" t="s">
        <v>30378</v>
      </c>
      <c r="IF130" s="239" t="s">
        <v>30379</v>
      </c>
      <c r="IG130" s="239" t="s">
        <v>30380</v>
      </c>
      <c r="IH130" s="239" t="s">
        <v>30371</v>
      </c>
    </row>
    <row r="131" spans="1:242" s="1" customFormat="1" ht="36.75" customHeight="1" x14ac:dyDescent="0.2">
      <c r="A131" s="239">
        <v>10</v>
      </c>
      <c r="B131" s="239" t="s">
        <v>22727</v>
      </c>
      <c r="C131" s="239" t="s">
        <v>29428</v>
      </c>
      <c r="D131" s="239" t="s">
        <v>52</v>
      </c>
      <c r="E131" s="239" t="s">
        <v>7</v>
      </c>
      <c r="F131" s="239" t="s">
        <v>29429</v>
      </c>
      <c r="G131" s="239">
        <v>1667.4</v>
      </c>
      <c r="H131" s="239">
        <v>4.3</v>
      </c>
      <c r="I131" s="239" t="s">
        <v>29288</v>
      </c>
      <c r="J131" s="239" t="s">
        <v>4</v>
      </c>
      <c r="K131" s="239" t="s">
        <v>29430</v>
      </c>
      <c r="L131" s="239">
        <v>772590563</v>
      </c>
      <c r="M131" s="239" t="s">
        <v>3</v>
      </c>
      <c r="N131" s="239" t="s">
        <v>31590</v>
      </c>
      <c r="O131" s="239" t="s">
        <v>4</v>
      </c>
      <c r="P131" s="239">
        <v>5</v>
      </c>
      <c r="Q131" s="239" t="s">
        <v>7</v>
      </c>
      <c r="R131" s="239" t="s">
        <v>31535</v>
      </c>
      <c r="S131" s="239" t="s">
        <v>4</v>
      </c>
      <c r="T131" s="239" t="s">
        <v>7</v>
      </c>
      <c r="U131" s="239" t="s">
        <v>7</v>
      </c>
      <c r="V131" s="239"/>
      <c r="W131" s="239" t="s">
        <v>7</v>
      </c>
      <c r="X131" s="239" t="s">
        <v>4</v>
      </c>
      <c r="Y131" s="239" t="s">
        <v>4</v>
      </c>
      <c r="Z131" s="241" t="str">
        <f>IF(OR(T131="yes",Y131&gt;'SDG outcome'!$C$27),"yes","no")</f>
        <v>yes</v>
      </c>
      <c r="AA131" s="243">
        <f t="shared" si="13"/>
        <v>0</v>
      </c>
      <c r="AB131" s="243" t="str">
        <f>IF(AND(Z131="no",AND(Y131&gt;='SDG outcome'!$B$16,Y131&lt;'SDG outcome'!$C$27)),Y131-'SDG outcome'!$B$16,"")</f>
        <v/>
      </c>
      <c r="AC131" s="239" t="s">
        <v>4</v>
      </c>
      <c r="AD131" s="239" t="s">
        <v>4</v>
      </c>
      <c r="AE131" s="239" t="s">
        <v>4</v>
      </c>
      <c r="AF131" s="239" t="s">
        <v>4</v>
      </c>
      <c r="AG131" s="239" t="s">
        <v>4</v>
      </c>
      <c r="AH131" s="239" t="s">
        <v>4</v>
      </c>
      <c r="AI131" s="239" t="s">
        <v>4</v>
      </c>
      <c r="AJ131" s="239" t="s">
        <v>29290</v>
      </c>
      <c r="AK131" s="239" t="s">
        <v>29291</v>
      </c>
      <c r="AL131" s="239" t="s">
        <v>4</v>
      </c>
      <c r="AM131" s="239" t="s">
        <v>4</v>
      </c>
      <c r="AN131" s="239" t="s">
        <v>31536</v>
      </c>
      <c r="AO131" s="239" t="s">
        <v>4</v>
      </c>
      <c r="AP131" s="239" t="s">
        <v>31537</v>
      </c>
      <c r="AQ131" s="239" t="s">
        <v>4</v>
      </c>
      <c r="AR131" s="239" t="s">
        <v>31538</v>
      </c>
      <c r="AS131" s="239" t="s">
        <v>4</v>
      </c>
      <c r="AT131" s="239" t="s">
        <v>2</v>
      </c>
      <c r="AU131" s="239" t="s">
        <v>31581</v>
      </c>
      <c r="AV131" s="239" t="s">
        <v>4</v>
      </c>
      <c r="AW131" s="239" t="s">
        <v>31539</v>
      </c>
      <c r="AX131" s="239" t="s">
        <v>4</v>
      </c>
      <c r="AY131" s="239" t="s">
        <v>4</v>
      </c>
      <c r="AZ131" s="239" t="s">
        <v>2</v>
      </c>
      <c r="BA131" s="239" t="s">
        <v>4</v>
      </c>
      <c r="BB131" s="239" t="s">
        <v>4</v>
      </c>
      <c r="BC131" s="239" t="s">
        <v>31563</v>
      </c>
      <c r="BD131" s="239" t="s">
        <v>22</v>
      </c>
      <c r="BE131" s="239" t="s">
        <v>4</v>
      </c>
      <c r="BF131" s="239" t="s">
        <v>31564</v>
      </c>
      <c r="BG131" s="239" t="s">
        <v>4</v>
      </c>
      <c r="BH131" s="239" t="s">
        <v>31591</v>
      </c>
      <c r="BI131" s="239" t="s">
        <v>31592</v>
      </c>
      <c r="BJ131" s="239" t="s">
        <v>31566</v>
      </c>
      <c r="BK131" s="239">
        <v>1</v>
      </c>
      <c r="BL131" s="239">
        <v>30</v>
      </c>
      <c r="BM131" s="239" t="s">
        <v>7</v>
      </c>
      <c r="BN131" s="239" t="s">
        <v>6</v>
      </c>
      <c r="BO131" s="239" t="s">
        <v>4</v>
      </c>
      <c r="BP131" s="239" t="s">
        <v>31429</v>
      </c>
      <c r="BQ131" s="239">
        <v>2</v>
      </c>
      <c r="BR131" s="239">
        <v>60</v>
      </c>
      <c r="BS131" s="239" t="s">
        <v>31434</v>
      </c>
      <c r="BT131" s="239"/>
      <c r="BU131" s="239">
        <v>3</v>
      </c>
      <c r="BV131" s="239" cm="1">
        <f t="array" ref="BV131">_xlfn.IFS(BS131="Foreword vehicle",BU131*0,BS131="Human wastes",BU131*0,BS131="Jerrycans",BU131*$BV$228,BS131="Number of Basins",BU131*$BV$229,BS131="Number of Buckets",BU131*$CA$226,BS131="Number of Kgs",BU131*$CA$227,BS131="Number of spades",BU131*$CA$228,BS131="Number of wheelbarrows",BU131*$CA$229,BT131="Foreword vehicle",BU131*0,BT131="Human wastes",BU131*0,BT131="Jerrycans",BU131*$BV$228,BS131="","")</f>
        <v>48</v>
      </c>
      <c r="BW131" s="239">
        <f>IF(BV131="","",Table14[[#This Row],[Calculation: Conversion of metric to Kg manure feeding (Columns: BP, BQ, BR)]]*Table14[[#This Row],[Number of times used to feed biodigester]])</f>
        <v>96</v>
      </c>
      <c r="BX131" s="239" cm="1">
        <f t="array" ref="BX131">_xlfn.IFS(BP131="Number of times per day (1 to 3)",BW131/$BX$226,BP131="Number of times per week (1 to 6)",BW131/$BX$227,BP131="Number of times per Month (1 to 3)",BW131/$BX$228,BW131="","")</f>
        <v>13.714285714285714</v>
      </c>
      <c r="BY131" s="239" t="s">
        <v>22</v>
      </c>
      <c r="BZ131" s="239" t="s">
        <v>4</v>
      </c>
      <c r="CA131" s="239" t="s">
        <v>2</v>
      </c>
      <c r="CB131" s="239" t="s">
        <v>4</v>
      </c>
      <c r="CC131" s="239" t="s">
        <v>4</v>
      </c>
      <c r="CD131" s="239" t="s">
        <v>4</v>
      </c>
      <c r="CE131" s="239" t="s">
        <v>7</v>
      </c>
      <c r="CF131" s="239" t="s">
        <v>31593</v>
      </c>
      <c r="CG131" s="239" t="s">
        <v>4</v>
      </c>
      <c r="CH131" s="239" t="s">
        <v>31594</v>
      </c>
      <c r="CI131" s="239">
        <v>8</v>
      </c>
      <c r="CJ131" s="239">
        <v>0</v>
      </c>
      <c r="CK131" s="239">
        <v>4</v>
      </c>
      <c r="CL131" s="239">
        <v>0</v>
      </c>
      <c r="CM131" s="239">
        <v>20</v>
      </c>
      <c r="CN131" s="239">
        <v>0</v>
      </c>
      <c r="CO131" s="239">
        <v>0</v>
      </c>
      <c r="CP131" s="239">
        <v>0</v>
      </c>
      <c r="CQ131" s="239">
        <v>0</v>
      </c>
      <c r="CR131" s="239">
        <v>0</v>
      </c>
      <c r="CS131" s="239">
        <f>CP131/'SDG outcome'!$C$9*CQ131*CR131</f>
        <v>0</v>
      </c>
      <c r="CT131" s="239">
        <v>25</v>
      </c>
      <c r="CU131" s="239">
        <v>75</v>
      </c>
      <c r="CV131" s="239" t="s">
        <v>31595</v>
      </c>
      <c r="CW131" s="239" t="s">
        <v>4</v>
      </c>
      <c r="CX131" s="239" t="s">
        <v>4</v>
      </c>
      <c r="CY131" s="239" t="s">
        <v>4</v>
      </c>
      <c r="CZ131" s="239" t="s">
        <v>4</v>
      </c>
      <c r="DA131" s="239" t="s">
        <v>4</v>
      </c>
      <c r="DB131" s="239" t="s">
        <v>4</v>
      </c>
      <c r="DC131" s="239">
        <v>0</v>
      </c>
      <c r="DD131" s="239">
        <v>100</v>
      </c>
      <c r="DE131" s="239" t="s">
        <v>31596</v>
      </c>
      <c r="DF131" s="239" t="s">
        <v>4</v>
      </c>
      <c r="DG131" s="239" t="s">
        <v>4</v>
      </c>
      <c r="DH131" s="239" t="s">
        <v>4</v>
      </c>
      <c r="DI131" s="239" t="s">
        <v>4</v>
      </c>
      <c r="DJ131" s="239" t="s">
        <v>4</v>
      </c>
      <c r="DK131" s="239" t="s">
        <v>4</v>
      </c>
      <c r="DL131" s="239">
        <v>0</v>
      </c>
      <c r="DM131" s="239">
        <v>100</v>
      </c>
      <c r="DN131" s="239" t="s">
        <v>31597</v>
      </c>
      <c r="DO131" s="239">
        <v>0.5</v>
      </c>
      <c r="DP131" s="239" t="s">
        <v>2</v>
      </c>
      <c r="DQ131" s="239" t="s">
        <v>29375</v>
      </c>
      <c r="DR131" s="239" t="s">
        <v>4</v>
      </c>
      <c r="DS131" s="239" t="s">
        <v>4</v>
      </c>
      <c r="DT131" s="240" t="s">
        <v>4</v>
      </c>
      <c r="DU131" s="239" t="s">
        <v>29294</v>
      </c>
      <c r="DV131" s="240" t="s">
        <v>4</v>
      </c>
      <c r="DW131" s="239" t="s">
        <v>29295</v>
      </c>
      <c r="DX131" s="239">
        <v>100</v>
      </c>
      <c r="DY131" s="239" t="s">
        <v>29296</v>
      </c>
      <c r="DZ131" s="239">
        <v>100</v>
      </c>
      <c r="EA131" s="239"/>
      <c r="EB131" s="239"/>
      <c r="EC131" s="239"/>
      <c r="ED131" s="239"/>
      <c r="EE131" s="320">
        <f>Table14[[#This Row],[% Fertilizer]]*$DX131/10000</f>
        <v>1</v>
      </c>
      <c r="EF131" s="320">
        <f>Table14[[#This Row],[% bioslurry used as Insecticide/Pesticide]]*$DX131/10000</f>
        <v>0</v>
      </c>
      <c r="EG131" s="320">
        <f>Table14[[#This Row],[% of Bioslurry used as animal feed]]*$DX131/10000</f>
        <v>0</v>
      </c>
      <c r="EH131" s="320">
        <f>Table14[[#This Row],[% of Bioslurry sold]]*$DX131/10000</f>
        <v>0</v>
      </c>
      <c r="EI131" s="320">
        <f>Table14[[#This Row],[% used other way(if used directly)]]*$DX131/10000</f>
        <v>0</v>
      </c>
      <c r="EJ131" s="239"/>
      <c r="EK131" s="239"/>
      <c r="EL131" s="239"/>
      <c r="EM131" s="239"/>
      <c r="EN131" s="239"/>
      <c r="EO131" s="239">
        <f>(Table14[[#This Row],[% Uncovered lagoon greater than 1 meter]]+Table14[[#This Row],[Uncovered lagoon (black watery mass) &lt;1 meter]]+Table14[[#This Row],[% Liquid slurry (brown porridge type)]])*Table14[[#This Row],[% Store it first]]/100</f>
        <v>0</v>
      </c>
      <c r="EP131" s="239"/>
      <c r="EQ131" s="239"/>
      <c r="ER131" s="239"/>
      <c r="ES131" s="239"/>
      <c r="ET131" s="239">
        <f>(Table14[[#This Row],[% Solid storage]]+Table14[[#This Row],[% Sun drying]]+Table14[[#This Row],[% Composting with a roof]]+Table14[[#This Row],[% Composting without a roof]])*Table14[[#This Row],[% Store it first]]/100</f>
        <v>0</v>
      </c>
      <c r="EU131" s="239"/>
      <c r="EV131" s="320">
        <f t="shared" si="8"/>
        <v>0</v>
      </c>
      <c r="EW131" s="320">
        <f t="shared" si="9"/>
        <v>0</v>
      </c>
      <c r="EX131" s="320">
        <f t="shared" si="10"/>
        <v>0</v>
      </c>
      <c r="EY131" s="320">
        <f t="shared" si="11"/>
        <v>0</v>
      </c>
      <c r="EZ131" s="320">
        <f t="shared" si="12"/>
        <v>0</v>
      </c>
      <c r="FA131" s="239"/>
      <c r="FB131" s="239"/>
      <c r="FC131" s="239"/>
      <c r="FD131" s="239">
        <f>Table14[[#This Row],[% I donâ€™t use it / discarded]]+Table14[[#This Row],[% Other (specify)(If you use bioslurry directly)]]+Table14[[#This Row],[% Store it first]]+Table14[[#This Row],[% Use directly for various purposes]]</f>
        <v>100</v>
      </c>
      <c r="FE131" s="239" t="s">
        <v>4</v>
      </c>
      <c r="FF131" s="239"/>
      <c r="FG131" s="239"/>
      <c r="FH131" s="239"/>
      <c r="FI131" s="239"/>
      <c r="FJ131" s="239"/>
      <c r="FK131" s="239">
        <v>2.8</v>
      </c>
      <c r="FL131" s="239" t="s">
        <v>7</v>
      </c>
      <c r="FM131" s="239">
        <v>45</v>
      </c>
      <c r="FN131" s="239">
        <f>FK131*FM131/100</f>
        <v>1.2599999999999998</v>
      </c>
      <c r="FO131" s="239" t="s">
        <v>29431</v>
      </c>
      <c r="FP131" s="239" t="s">
        <v>29298</v>
      </c>
      <c r="FQ131" s="239">
        <v>72</v>
      </c>
      <c r="FR131" s="239" t="s">
        <v>7</v>
      </c>
      <c r="FS131" s="239" t="s">
        <v>29393</v>
      </c>
      <c r="FT131" s="239" t="s">
        <v>4</v>
      </c>
      <c r="FU131" s="239" t="s">
        <v>7</v>
      </c>
      <c r="FV131" s="239" t="s">
        <v>29393</v>
      </c>
      <c r="FW131" s="239" t="s">
        <v>4</v>
      </c>
      <c r="FX131" s="239" t="s">
        <v>13</v>
      </c>
      <c r="FY131" s="239" t="s">
        <v>29432</v>
      </c>
      <c r="FZ131" s="239" t="s">
        <v>4</v>
      </c>
      <c r="GA131" s="239" t="s">
        <v>4</v>
      </c>
      <c r="GB131" s="240" t="s">
        <v>4</v>
      </c>
      <c r="GC131" s="239" t="s">
        <v>4</v>
      </c>
      <c r="GD131" s="239" t="s">
        <v>2</v>
      </c>
      <c r="GE131" s="239" t="s">
        <v>4</v>
      </c>
      <c r="GF131" s="239" t="s">
        <v>4</v>
      </c>
      <c r="GG131" s="239" t="s">
        <v>2</v>
      </c>
      <c r="GH131" s="239" t="s">
        <v>2</v>
      </c>
      <c r="GI131" s="239" t="s">
        <v>4</v>
      </c>
      <c r="GJ131" s="239" t="s">
        <v>4</v>
      </c>
      <c r="GK131" s="239" t="s">
        <v>29433</v>
      </c>
      <c r="GL131" s="239">
        <v>0</v>
      </c>
      <c r="GM131" s="239"/>
      <c r="GN131" s="239" t="s">
        <v>4</v>
      </c>
      <c r="GO131" s="239" t="s">
        <v>4</v>
      </c>
      <c r="GP131" s="239" t="s">
        <v>4</v>
      </c>
      <c r="GQ131" s="239" t="s">
        <v>4</v>
      </c>
      <c r="GR131" s="239" t="s">
        <v>4</v>
      </c>
      <c r="GS131" s="239" t="s">
        <v>4</v>
      </c>
      <c r="GT131" s="239" t="s">
        <v>4</v>
      </c>
      <c r="GU131" s="239" t="s">
        <v>29353</v>
      </c>
      <c r="GV131" s="239" t="s">
        <v>4</v>
      </c>
      <c r="GW131" s="239" t="s">
        <v>4</v>
      </c>
      <c r="GX131" s="239" t="s">
        <v>4</v>
      </c>
      <c r="GY131" s="239" t="s">
        <v>4</v>
      </c>
      <c r="GZ131" s="239" t="s">
        <v>4</v>
      </c>
      <c r="HA131" s="239" t="s">
        <v>4</v>
      </c>
      <c r="HB131" s="239" t="s">
        <v>4</v>
      </c>
      <c r="HC131" s="239" t="s">
        <v>4</v>
      </c>
      <c r="HD131" s="239" t="s">
        <v>4</v>
      </c>
      <c r="HE131" s="239" t="s">
        <v>4</v>
      </c>
      <c r="HF131" s="239" t="s">
        <v>4</v>
      </c>
      <c r="HG131" s="239" t="s">
        <v>4</v>
      </c>
      <c r="HH131" s="239" t="s">
        <v>29354</v>
      </c>
      <c r="HI131" s="239" t="s">
        <v>4</v>
      </c>
      <c r="HJ131" s="240">
        <v>500</v>
      </c>
      <c r="HK131" s="239" t="s">
        <v>29325</v>
      </c>
      <c r="HL131" s="239" t="s">
        <v>29309</v>
      </c>
      <c r="HM131" s="239" t="s">
        <v>4</v>
      </c>
      <c r="HN131" s="239" t="s">
        <v>4</v>
      </c>
      <c r="HO131" s="239" t="s">
        <v>4</v>
      </c>
      <c r="HP131" s="239" t="s">
        <v>4</v>
      </c>
      <c r="HQ131" s="239" t="s">
        <v>4</v>
      </c>
      <c r="HR131" s="239" t="s">
        <v>4</v>
      </c>
      <c r="HS131" s="239" t="s">
        <v>4</v>
      </c>
      <c r="HT131" s="239" t="s">
        <v>4</v>
      </c>
      <c r="HU131" s="239" t="s">
        <v>2</v>
      </c>
      <c r="HV131" s="239" t="s">
        <v>4</v>
      </c>
      <c r="HW131" s="239" t="s">
        <v>4</v>
      </c>
      <c r="HX131" s="239" t="s">
        <v>4</v>
      </c>
      <c r="HY131" s="239" t="s">
        <v>4</v>
      </c>
      <c r="HZ131" s="239" t="s">
        <v>16</v>
      </c>
      <c r="IA131" s="239" t="s">
        <v>2</v>
      </c>
      <c r="IB131" s="239" t="s">
        <v>4</v>
      </c>
      <c r="IC131" s="239" t="s">
        <v>16</v>
      </c>
      <c r="ID131" s="239" t="s">
        <v>29434</v>
      </c>
      <c r="IE131" s="239" t="s">
        <v>29435</v>
      </c>
      <c r="IF131" s="239" t="s">
        <v>29436</v>
      </c>
      <c r="IG131" s="239" t="s">
        <v>29437</v>
      </c>
      <c r="IH131" s="239" t="s">
        <v>29438</v>
      </c>
    </row>
    <row r="132" spans="1:242" s="1" customFormat="1" ht="36.75" customHeight="1" x14ac:dyDescent="0.2">
      <c r="A132" s="239">
        <v>48</v>
      </c>
      <c r="B132" s="239" t="s">
        <v>26271</v>
      </c>
      <c r="C132" s="239" t="s">
        <v>29537</v>
      </c>
      <c r="D132" s="239" t="s">
        <v>29799</v>
      </c>
      <c r="E132" s="239" t="s">
        <v>7</v>
      </c>
      <c r="F132" s="239" t="s">
        <v>29861</v>
      </c>
      <c r="G132" s="239">
        <v>1683.0234379999999</v>
      </c>
      <c r="H132" s="239">
        <v>4.4673860000000003</v>
      </c>
      <c r="I132" s="239" t="s">
        <v>29288</v>
      </c>
      <c r="J132" s="239" t="s">
        <v>4</v>
      </c>
      <c r="K132" s="239" t="s">
        <v>29862</v>
      </c>
      <c r="L132" s="239">
        <v>782704339</v>
      </c>
      <c r="M132" s="239" t="s">
        <v>3</v>
      </c>
      <c r="N132" s="239" t="s">
        <v>31598</v>
      </c>
      <c r="O132" s="239" t="s">
        <v>4</v>
      </c>
      <c r="P132" s="239">
        <v>7</v>
      </c>
      <c r="Q132" s="239" t="s">
        <v>7</v>
      </c>
      <c r="R132" s="239" t="s">
        <v>31588</v>
      </c>
      <c r="S132" s="239" t="s">
        <v>4</v>
      </c>
      <c r="T132" s="239" t="s">
        <v>7</v>
      </c>
      <c r="U132" s="239" t="s">
        <v>7</v>
      </c>
      <c r="V132" s="239"/>
      <c r="W132" s="239" t="s">
        <v>7</v>
      </c>
      <c r="X132" s="239" t="s">
        <v>4</v>
      </c>
      <c r="Y132" s="239" t="s">
        <v>4</v>
      </c>
      <c r="Z132" s="241" t="str">
        <f>IF(OR(T132="yes",Y132&gt;'SDG outcome'!$C$27),"yes","no")</f>
        <v>yes</v>
      </c>
      <c r="AA132" s="243">
        <f t="shared" si="13"/>
        <v>0</v>
      </c>
      <c r="AB132" s="243" t="str">
        <f>IF(AND(Z132="no",AND(Y132&gt;='SDG outcome'!$B$16,Y132&lt;'SDG outcome'!$C$27)),Y132-'SDG outcome'!$B$16,"")</f>
        <v/>
      </c>
      <c r="AC132" s="239" t="s">
        <v>4</v>
      </c>
      <c r="AD132" s="239" t="s">
        <v>4</v>
      </c>
      <c r="AE132" s="239" t="s">
        <v>4</v>
      </c>
      <c r="AF132" s="239" t="s">
        <v>4</v>
      </c>
      <c r="AG132" s="239" t="s">
        <v>4</v>
      </c>
      <c r="AH132" s="239" t="s">
        <v>4</v>
      </c>
      <c r="AI132" s="239" t="s">
        <v>4</v>
      </c>
      <c r="AJ132" s="239" t="s">
        <v>29290</v>
      </c>
      <c r="AK132" s="239" t="s">
        <v>29291</v>
      </c>
      <c r="AL132" s="239" t="s">
        <v>4</v>
      </c>
      <c r="AM132" s="239" t="s">
        <v>4</v>
      </c>
      <c r="AN132" s="239" t="s">
        <v>31536</v>
      </c>
      <c r="AO132" s="239" t="s">
        <v>4</v>
      </c>
      <c r="AP132" s="239" t="s">
        <v>31537</v>
      </c>
      <c r="AQ132" s="239" t="s">
        <v>4</v>
      </c>
      <c r="AR132" s="239" t="s">
        <v>31538</v>
      </c>
      <c r="AS132" s="239" t="s">
        <v>4</v>
      </c>
      <c r="AT132" s="239" t="s">
        <v>7</v>
      </c>
      <c r="AU132" s="239" t="s">
        <v>4</v>
      </c>
      <c r="AV132" s="239" t="s">
        <v>4</v>
      </c>
      <c r="AW132" s="239" t="s">
        <v>31539</v>
      </c>
      <c r="AX132" s="239" t="s">
        <v>4</v>
      </c>
      <c r="AY132" s="239" t="s">
        <v>4</v>
      </c>
      <c r="AZ132" s="239" t="s">
        <v>7</v>
      </c>
      <c r="BA132" s="239" t="s">
        <v>6</v>
      </c>
      <c r="BB132" s="239" t="s">
        <v>4</v>
      </c>
      <c r="BC132" s="239" t="s">
        <v>31540</v>
      </c>
      <c r="BD132" s="239" t="s">
        <v>22</v>
      </c>
      <c r="BE132" s="239" t="s">
        <v>4</v>
      </c>
      <c r="BF132" s="239" t="s">
        <v>31564</v>
      </c>
      <c r="BG132" s="239" t="s">
        <v>4</v>
      </c>
      <c r="BH132" s="239" t="s">
        <v>31542</v>
      </c>
      <c r="BI132" s="239" t="s">
        <v>31708</v>
      </c>
      <c r="BJ132" s="239" t="s">
        <v>31632</v>
      </c>
      <c r="BK132" s="239">
        <v>2</v>
      </c>
      <c r="BL132" s="239">
        <v>480</v>
      </c>
      <c r="BM132" s="239" t="s">
        <v>7</v>
      </c>
      <c r="BN132" s="239" t="s">
        <v>6</v>
      </c>
      <c r="BO132" s="239" t="s">
        <v>4</v>
      </c>
      <c r="BP132" s="239" t="s">
        <v>31425</v>
      </c>
      <c r="BQ132" s="239">
        <v>1</v>
      </c>
      <c r="BR132" s="239">
        <v>20</v>
      </c>
      <c r="BS132" s="239" t="s">
        <v>31426</v>
      </c>
      <c r="BT132" s="239"/>
      <c r="BU132" s="239">
        <v>2</v>
      </c>
      <c r="BV132" s="239" cm="1">
        <f t="array" ref="BV132">_xlfn.IFS(BS132="Foreword vehicle",BU132*0,BS132="Human wastes",BU132*0,BS132="Jerrycans",BU132*$BV$228,BS132="Number of Basins",BU132*$BV$229,BS132="Number of Buckets",BU132*$CA$226,BS132="Number of Kgs",BU132*$CA$227,BS132="Number of spades",BU132*$CA$228,BS132="Number of wheelbarrows",BU132*$CA$229,BT132="Foreword vehicle",BU132*0,BT132="Human wastes",BU132*0,BT132="Jerrycans",BU132*$BV$228,BS132="","")</f>
        <v>46</v>
      </c>
      <c r="BW132" s="239">
        <f>IF(BV132="","",Table14[[#This Row],[Calculation: Conversion of metric to Kg manure feeding (Columns: BP, BQ, BR)]]*Table14[[#This Row],[Number of times used to feed biodigester]])</f>
        <v>46</v>
      </c>
      <c r="BX132" s="239" cm="1">
        <f t="array" ref="BX132">_xlfn.IFS(BP132="Number of times per day (1 to 3)",BW132/$BX$226,BP132="Number of times per week (1 to 6)",BW132/$BX$227,BP132="Number of times per Month (1 to 3)",BW132/$BX$228,BW132="","")</f>
        <v>46</v>
      </c>
      <c r="BY132" s="239" t="s">
        <v>22</v>
      </c>
      <c r="BZ132" s="239" t="s">
        <v>4</v>
      </c>
      <c r="CA132" s="239" t="s">
        <v>2</v>
      </c>
      <c r="CB132" s="239" t="s">
        <v>4</v>
      </c>
      <c r="CC132" s="239" t="s">
        <v>4</v>
      </c>
      <c r="CD132" s="239" t="s">
        <v>4</v>
      </c>
      <c r="CE132" s="239" t="s">
        <v>7</v>
      </c>
      <c r="CF132" s="239" t="s">
        <v>31709</v>
      </c>
      <c r="CG132" s="239" t="s">
        <v>4</v>
      </c>
      <c r="CH132" s="239" t="s">
        <v>31604</v>
      </c>
      <c r="CI132" s="239">
        <v>8</v>
      </c>
      <c r="CJ132" s="239">
        <v>0</v>
      </c>
      <c r="CK132" s="239">
        <v>0</v>
      </c>
      <c r="CL132" s="239">
        <v>0</v>
      </c>
      <c r="CM132" s="239">
        <v>0</v>
      </c>
      <c r="CN132" s="239">
        <v>0</v>
      </c>
      <c r="CO132" s="239">
        <v>0</v>
      </c>
      <c r="CP132" s="239">
        <v>0</v>
      </c>
      <c r="CQ132" s="239">
        <v>0</v>
      </c>
      <c r="CR132" s="239">
        <v>0</v>
      </c>
      <c r="CS132" s="239">
        <f>CP132/'SDG outcome'!$C$9*CQ132*CR132</f>
        <v>0</v>
      </c>
      <c r="CT132" s="239">
        <v>60</v>
      </c>
      <c r="CU132" s="239">
        <v>40</v>
      </c>
      <c r="CV132" s="239" t="s">
        <v>31710</v>
      </c>
      <c r="CW132" s="239" t="s">
        <v>4</v>
      </c>
      <c r="CX132" s="239" t="s">
        <v>4</v>
      </c>
      <c r="CY132" s="239" t="s">
        <v>4</v>
      </c>
      <c r="CZ132" s="239" t="s">
        <v>4</v>
      </c>
      <c r="DA132" s="239" t="s">
        <v>4</v>
      </c>
      <c r="DB132" s="239" t="s">
        <v>4</v>
      </c>
      <c r="DC132" s="239" t="s">
        <v>4</v>
      </c>
      <c r="DD132" s="239" t="s">
        <v>4</v>
      </c>
      <c r="DE132" s="239" t="s">
        <v>4</v>
      </c>
      <c r="DF132" s="239" t="s">
        <v>4</v>
      </c>
      <c r="DG132" s="239" t="s">
        <v>4</v>
      </c>
      <c r="DH132" s="239" t="s">
        <v>4</v>
      </c>
      <c r="DI132" s="239" t="s">
        <v>4</v>
      </c>
      <c r="DJ132" s="239" t="s">
        <v>4</v>
      </c>
      <c r="DK132" s="239" t="s">
        <v>4</v>
      </c>
      <c r="DL132" s="239" t="s">
        <v>4</v>
      </c>
      <c r="DM132" s="239" t="s">
        <v>4</v>
      </c>
      <c r="DN132" s="239" t="s">
        <v>4</v>
      </c>
      <c r="DO132" s="239">
        <v>3</v>
      </c>
      <c r="DP132" s="239" t="s">
        <v>7</v>
      </c>
      <c r="DQ132" s="239" t="s">
        <v>29375</v>
      </c>
      <c r="DR132" s="239" t="s">
        <v>4</v>
      </c>
      <c r="DS132" s="239" t="s">
        <v>4</v>
      </c>
      <c r="DT132" s="240" t="s">
        <v>4</v>
      </c>
      <c r="DU132" s="239" t="s">
        <v>29293</v>
      </c>
      <c r="DV132" s="240">
        <v>40000</v>
      </c>
      <c r="DW132" s="239" t="s">
        <v>29295</v>
      </c>
      <c r="DX132" s="239">
        <v>100</v>
      </c>
      <c r="DY132" s="239" t="s">
        <v>29296</v>
      </c>
      <c r="DZ132" s="239">
        <v>100</v>
      </c>
      <c r="EA132" s="239"/>
      <c r="EB132" s="239"/>
      <c r="EC132" s="239"/>
      <c r="ED132" s="239"/>
      <c r="EE132" s="320">
        <f>Table14[[#This Row],[% Fertilizer]]*$DX132/10000</f>
        <v>1</v>
      </c>
      <c r="EF132" s="320">
        <f>Table14[[#This Row],[% bioslurry used as Insecticide/Pesticide]]*$DX132/10000</f>
        <v>0</v>
      </c>
      <c r="EG132" s="320">
        <f>Table14[[#This Row],[% of Bioslurry used as animal feed]]*$DX132/10000</f>
        <v>0</v>
      </c>
      <c r="EH132" s="320">
        <f>Table14[[#This Row],[% of Bioslurry sold]]*$DX132/10000</f>
        <v>0</v>
      </c>
      <c r="EI132" s="320">
        <f>Table14[[#This Row],[% used other way(if used directly)]]*$DX132/10000</f>
        <v>0</v>
      </c>
      <c r="EJ132" s="239"/>
      <c r="EK132" s="239"/>
      <c r="EL132" s="239"/>
      <c r="EM132" s="239"/>
      <c r="EN132" s="239"/>
      <c r="EO132" s="239">
        <f>(Table14[[#This Row],[% Uncovered lagoon greater than 1 meter]]+Table14[[#This Row],[Uncovered lagoon (black watery mass) &lt;1 meter]]+Table14[[#This Row],[% Liquid slurry (brown porridge type)]])*Table14[[#This Row],[% Store it first]]/100</f>
        <v>0</v>
      </c>
      <c r="EP132" s="239"/>
      <c r="EQ132" s="239"/>
      <c r="ER132" s="239"/>
      <c r="ES132" s="239"/>
      <c r="ET132" s="239">
        <f>(Table14[[#This Row],[% Solid storage]]+Table14[[#This Row],[% Sun drying]]+Table14[[#This Row],[% Composting with a roof]]+Table14[[#This Row],[% Composting without a roof]])*Table14[[#This Row],[% Store it first]]/100</f>
        <v>0</v>
      </c>
      <c r="EU132" s="239"/>
      <c r="EV132" s="320">
        <f t="shared" si="8"/>
        <v>0</v>
      </c>
      <c r="EW132" s="320">
        <f t="shared" si="9"/>
        <v>0</v>
      </c>
      <c r="EX132" s="320">
        <f t="shared" si="10"/>
        <v>0</v>
      </c>
      <c r="EY132" s="320">
        <f t="shared" si="11"/>
        <v>0</v>
      </c>
      <c r="EZ132" s="320">
        <f t="shared" si="12"/>
        <v>0</v>
      </c>
      <c r="FA132" s="239"/>
      <c r="FB132" s="239"/>
      <c r="FC132" s="239"/>
      <c r="FD132" s="239">
        <f>Table14[[#This Row],[% I donâ€™t use it / discarded]]+Table14[[#This Row],[% Other (specify)(If you use bioslurry directly)]]+Table14[[#This Row],[% Store it first]]+Table14[[#This Row],[% Use directly for various purposes]]</f>
        <v>100</v>
      </c>
      <c r="FE132" s="239" t="s">
        <v>4</v>
      </c>
      <c r="FF132" s="239"/>
      <c r="FG132" s="239"/>
      <c r="FH132" s="239"/>
      <c r="FI132" s="239"/>
      <c r="FJ132" s="239"/>
      <c r="FK132" s="239" t="s">
        <v>9</v>
      </c>
      <c r="FL132" s="239" t="s">
        <v>7</v>
      </c>
      <c r="FM132" s="239">
        <v>0</v>
      </c>
      <c r="FN132" s="239"/>
      <c r="FO132" s="239" t="s">
        <v>29863</v>
      </c>
      <c r="FP132" s="239" t="s">
        <v>29298</v>
      </c>
      <c r="FQ132" s="239">
        <v>26</v>
      </c>
      <c r="FR132" s="239" t="s">
        <v>7</v>
      </c>
      <c r="FS132" s="239" t="s">
        <v>29393</v>
      </c>
      <c r="FT132" s="239" t="s">
        <v>4</v>
      </c>
      <c r="FU132" s="239" t="s">
        <v>7</v>
      </c>
      <c r="FV132" s="239" t="s">
        <v>29393</v>
      </c>
      <c r="FW132" s="239" t="s">
        <v>4</v>
      </c>
      <c r="FX132" s="239" t="s">
        <v>29477</v>
      </c>
      <c r="FY132" s="239" t="s">
        <v>4</v>
      </c>
      <c r="FZ132" s="239" t="s">
        <v>4</v>
      </c>
      <c r="GA132" s="239" t="s">
        <v>4</v>
      </c>
      <c r="GB132" s="240" t="s">
        <v>4</v>
      </c>
      <c r="GC132" s="239" t="s">
        <v>4</v>
      </c>
      <c r="GD132" s="239" t="s">
        <v>2</v>
      </c>
      <c r="GE132" s="239" t="s">
        <v>4</v>
      </c>
      <c r="GF132" s="239" t="s">
        <v>4</v>
      </c>
      <c r="GG132" s="239" t="s">
        <v>2</v>
      </c>
      <c r="GH132" s="239" t="s">
        <v>2</v>
      </c>
      <c r="GI132" s="239" t="s">
        <v>4</v>
      </c>
      <c r="GJ132" s="239" t="s">
        <v>4</v>
      </c>
      <c r="GK132" s="239" t="s">
        <v>29304</v>
      </c>
      <c r="GL132" s="239" t="s">
        <v>36269</v>
      </c>
      <c r="GM132" s="239" t="s">
        <v>29449</v>
      </c>
      <c r="GN132" s="239" t="s">
        <v>29306</v>
      </c>
      <c r="GO132" s="239" t="s">
        <v>4</v>
      </c>
      <c r="GP132" s="239" t="s">
        <v>4</v>
      </c>
      <c r="GQ132" s="239" t="s">
        <v>4</v>
      </c>
      <c r="GR132" s="239" t="s">
        <v>29451</v>
      </c>
      <c r="GS132" s="239" t="s">
        <v>4</v>
      </c>
      <c r="GT132" s="239" t="s">
        <v>4</v>
      </c>
      <c r="GU132" s="239" t="s">
        <v>4</v>
      </c>
      <c r="GV132" s="239" t="s">
        <v>4</v>
      </c>
      <c r="GW132" s="239" t="s">
        <v>4</v>
      </c>
      <c r="GX132" s="239" t="s">
        <v>4</v>
      </c>
      <c r="GY132" s="239" t="s">
        <v>4</v>
      </c>
      <c r="GZ132" s="239" t="s">
        <v>4</v>
      </c>
      <c r="HA132" s="239" t="s">
        <v>4</v>
      </c>
      <c r="HB132" s="239" t="s">
        <v>4</v>
      </c>
      <c r="HC132" s="239" t="s">
        <v>4</v>
      </c>
      <c r="HD132" s="239" t="s">
        <v>4</v>
      </c>
      <c r="HE132" s="239" t="s">
        <v>4</v>
      </c>
      <c r="HF132" s="239" t="s">
        <v>4</v>
      </c>
      <c r="HG132" s="239" t="s">
        <v>4</v>
      </c>
      <c r="HH132" s="239" t="s">
        <v>29805</v>
      </c>
      <c r="HI132" s="239" t="s">
        <v>4</v>
      </c>
      <c r="HJ132" s="240">
        <v>30</v>
      </c>
      <c r="HK132" s="239" t="s">
        <v>2</v>
      </c>
      <c r="HL132" s="239" t="s">
        <v>29309</v>
      </c>
      <c r="HM132" s="239" t="s">
        <v>4</v>
      </c>
      <c r="HN132" s="239" t="s">
        <v>4</v>
      </c>
      <c r="HO132" s="239" t="s">
        <v>4</v>
      </c>
      <c r="HP132" s="239" t="s">
        <v>4</v>
      </c>
      <c r="HQ132" s="239" t="s">
        <v>4</v>
      </c>
      <c r="HR132" s="239" t="s">
        <v>4</v>
      </c>
      <c r="HS132" s="239" t="s">
        <v>4</v>
      </c>
      <c r="HT132" s="239" t="s">
        <v>4</v>
      </c>
      <c r="HU132" s="239" t="s">
        <v>2</v>
      </c>
      <c r="HV132" s="239" t="s">
        <v>4</v>
      </c>
      <c r="HW132" s="239" t="s">
        <v>4</v>
      </c>
      <c r="HX132" s="239" t="s">
        <v>4</v>
      </c>
      <c r="HY132" s="239" t="s">
        <v>4</v>
      </c>
      <c r="HZ132" s="239" t="s">
        <v>16</v>
      </c>
      <c r="IA132" s="239" t="s">
        <v>7</v>
      </c>
      <c r="IB132" s="239" t="s">
        <v>29864</v>
      </c>
      <c r="IC132" s="239" t="s">
        <v>29865</v>
      </c>
      <c r="ID132" s="239" t="s">
        <v>29866</v>
      </c>
      <c r="IE132" s="239" t="s">
        <v>29867</v>
      </c>
      <c r="IF132" s="239" t="s">
        <v>29868</v>
      </c>
      <c r="IG132" s="239" t="s">
        <v>29869</v>
      </c>
      <c r="IH132" s="239" t="s">
        <v>29537</v>
      </c>
    </row>
    <row r="133" spans="1:242" s="1" customFormat="1" ht="36.75" customHeight="1" x14ac:dyDescent="0.2">
      <c r="A133" s="239">
        <v>163</v>
      </c>
      <c r="B133" s="239" t="s">
        <v>7199</v>
      </c>
      <c r="C133" s="239" t="s">
        <v>31030</v>
      </c>
      <c r="D133" s="239" t="s">
        <v>34</v>
      </c>
      <c r="E133" s="239" t="s">
        <v>7</v>
      </c>
      <c r="F133" s="239" t="s">
        <v>31031</v>
      </c>
      <c r="G133" s="239">
        <v>1143.5</v>
      </c>
      <c r="H133" s="239">
        <v>4.7</v>
      </c>
      <c r="I133" s="239" t="s">
        <v>29349</v>
      </c>
      <c r="J133" s="239" t="s">
        <v>4</v>
      </c>
      <c r="K133" s="239" t="s">
        <v>31032</v>
      </c>
      <c r="L133" s="239">
        <v>782338968</v>
      </c>
      <c r="M133" s="239" t="s">
        <v>3</v>
      </c>
      <c r="N133" s="239" t="s">
        <v>31598</v>
      </c>
      <c r="O133" s="239" t="s">
        <v>4</v>
      </c>
      <c r="P133" s="239">
        <v>8</v>
      </c>
      <c r="Q133" s="239" t="s">
        <v>7</v>
      </c>
      <c r="R133" s="239" t="s">
        <v>31535</v>
      </c>
      <c r="S133" s="239" t="s">
        <v>4</v>
      </c>
      <c r="T133" s="239" t="s">
        <v>7</v>
      </c>
      <c r="U133" s="239" t="s">
        <v>7</v>
      </c>
      <c r="V133" s="239"/>
      <c r="W133" s="239" t="s">
        <v>7</v>
      </c>
      <c r="X133" s="239" t="s">
        <v>4</v>
      </c>
      <c r="Y133" s="239" t="s">
        <v>4</v>
      </c>
      <c r="Z133" s="241" t="str">
        <f>IF(OR(T133="yes",Y133&gt;'SDG outcome'!$C$27),"yes","no")</f>
        <v>yes</v>
      </c>
      <c r="AA133" s="243">
        <f t="shared" si="13"/>
        <v>0</v>
      </c>
      <c r="AB133" s="243" t="str">
        <f>IF(AND(Z133="no",AND(Y133&gt;='SDG outcome'!$B$16,Y133&lt;'SDG outcome'!$C$27)),Y133-'SDG outcome'!$B$16,"")</f>
        <v/>
      </c>
      <c r="AC133" s="239" t="s">
        <v>4</v>
      </c>
      <c r="AD133" s="239" t="s">
        <v>4</v>
      </c>
      <c r="AE133" s="239" t="s">
        <v>4</v>
      </c>
      <c r="AF133" s="239" t="s">
        <v>4</v>
      </c>
      <c r="AG133" s="239" t="s">
        <v>4</v>
      </c>
      <c r="AH133" s="239" t="s">
        <v>4</v>
      </c>
      <c r="AI133" s="239" t="s">
        <v>4</v>
      </c>
      <c r="AJ133" s="239" t="s">
        <v>29290</v>
      </c>
      <c r="AK133" s="239" t="s">
        <v>29291</v>
      </c>
      <c r="AL133" s="239" t="s">
        <v>4</v>
      </c>
      <c r="AM133" s="239" t="s">
        <v>4</v>
      </c>
      <c r="AN133" s="239" t="s">
        <v>31599</v>
      </c>
      <c r="AO133" s="239" t="s">
        <v>4</v>
      </c>
      <c r="AP133" s="239" t="s">
        <v>31600</v>
      </c>
      <c r="AQ133" s="239" t="s">
        <v>4</v>
      </c>
      <c r="AR133" s="239" t="s">
        <v>31538</v>
      </c>
      <c r="AS133" s="239" t="s">
        <v>4</v>
      </c>
      <c r="AT133" s="239" t="s">
        <v>7</v>
      </c>
      <c r="AU133" s="239" t="s">
        <v>4</v>
      </c>
      <c r="AV133" s="239" t="s">
        <v>4</v>
      </c>
      <c r="AW133" s="239" t="s">
        <v>31539</v>
      </c>
      <c r="AX133" s="239" t="s">
        <v>4</v>
      </c>
      <c r="AY133" s="239" t="s">
        <v>4</v>
      </c>
      <c r="AZ133" s="239" t="s">
        <v>7</v>
      </c>
      <c r="BA133" s="239" t="s">
        <v>11</v>
      </c>
      <c r="BB133" s="239" t="s">
        <v>4</v>
      </c>
      <c r="BC133" s="239" t="s">
        <v>31557</v>
      </c>
      <c r="BD133" s="239" t="s">
        <v>4</v>
      </c>
      <c r="BE133" s="239" t="s">
        <v>4</v>
      </c>
      <c r="BF133" s="239" t="s">
        <v>4</v>
      </c>
      <c r="BG133" s="239" t="s">
        <v>4</v>
      </c>
      <c r="BH133" s="239" t="s">
        <v>4</v>
      </c>
      <c r="BI133" s="239" t="s">
        <v>4</v>
      </c>
      <c r="BJ133" s="239" t="s">
        <v>4</v>
      </c>
      <c r="BK133" s="239" t="s">
        <v>4</v>
      </c>
      <c r="BL133" s="239" t="s">
        <v>4</v>
      </c>
      <c r="BM133" s="239" t="s">
        <v>7</v>
      </c>
      <c r="BN133" s="239" t="s">
        <v>6</v>
      </c>
      <c r="BO133" s="239" t="s">
        <v>4</v>
      </c>
      <c r="BP133" s="239" t="s">
        <v>31429</v>
      </c>
      <c r="BQ133" s="239">
        <v>3</v>
      </c>
      <c r="BR133" s="239">
        <v>30</v>
      </c>
      <c r="BS133" s="239" t="s">
        <v>31435</v>
      </c>
      <c r="BT133" s="239"/>
      <c r="BU133" s="239">
        <v>2</v>
      </c>
      <c r="BV133" s="239" cm="1">
        <f t="array" ref="BV133">_xlfn.IFS(BS133="Foreword vehicle",BU133*0,BS133="Human wastes",BU133*0,BS133="Jerrycans",BU133*$BV$228,BS133="Number of Basins",BU133*$BV$229,BS133="Number of Buckets",BU133*$CA$226,BS133="Number of Kgs",BU133*$CA$227,BS133="Number of spades",BU133*$CA$228,BS133="Number of wheelbarrows",BU133*$CA$229,BT133="Foreword vehicle",BU133*0,BT133="Human wastes",BU133*0,BT133="Jerrycans",BU133*$BV$228,BS133="","")</f>
        <v>141</v>
      </c>
      <c r="BW133" s="239">
        <f>IF(BV133="","",Table14[[#This Row],[Calculation: Conversion of metric to Kg manure feeding (Columns: BP, BQ, BR)]]*Table14[[#This Row],[Number of times used to feed biodigester]])</f>
        <v>423</v>
      </c>
      <c r="BX133" s="239" cm="1">
        <f t="array" ref="BX133">_xlfn.IFS(BP133="Number of times per day (1 to 3)",BW133/$BX$226,BP133="Number of times per week (1 to 6)",BW133/$BX$227,BP133="Number of times per Month (1 to 3)",BW133/$BX$228,BW133="","")</f>
        <v>60.428571428571431</v>
      </c>
      <c r="BY133" s="239" t="s">
        <v>31902</v>
      </c>
      <c r="BZ133" s="239" t="s">
        <v>4</v>
      </c>
      <c r="CA133" s="239" t="s">
        <v>2</v>
      </c>
      <c r="CB133" s="239" t="s">
        <v>4</v>
      </c>
      <c r="CC133" s="239" t="s">
        <v>4</v>
      </c>
      <c r="CD133" s="239" t="s">
        <v>4</v>
      </c>
      <c r="CE133" s="239" t="s">
        <v>7</v>
      </c>
      <c r="CF133" s="239" t="s">
        <v>31903</v>
      </c>
      <c r="CG133" s="239" t="s">
        <v>4</v>
      </c>
      <c r="CH133" s="239" t="s">
        <v>31604</v>
      </c>
      <c r="CI133" s="239">
        <v>8</v>
      </c>
      <c r="CJ133" s="239">
        <v>0</v>
      </c>
      <c r="CK133" s="239">
        <v>0</v>
      </c>
      <c r="CL133" s="239">
        <v>0</v>
      </c>
      <c r="CM133" s="239">
        <v>0</v>
      </c>
      <c r="CN133" s="239">
        <v>0</v>
      </c>
      <c r="CO133" s="239">
        <v>0</v>
      </c>
      <c r="CP133" s="239">
        <v>0</v>
      </c>
      <c r="CQ133" s="239">
        <v>0</v>
      </c>
      <c r="CR133" s="239">
        <v>0</v>
      </c>
      <c r="CS133" s="239">
        <f>CP133/'SDG outcome'!$C$9*CQ133*CR133</f>
        <v>0</v>
      </c>
      <c r="CT133" s="239">
        <v>50</v>
      </c>
      <c r="CU133" s="239">
        <v>50</v>
      </c>
      <c r="CV133" s="239" t="s">
        <v>31904</v>
      </c>
      <c r="CW133" s="239" t="s">
        <v>4</v>
      </c>
      <c r="CX133" s="239" t="s">
        <v>4</v>
      </c>
      <c r="CY133" s="239" t="s">
        <v>4</v>
      </c>
      <c r="CZ133" s="239" t="s">
        <v>4</v>
      </c>
      <c r="DA133" s="239" t="s">
        <v>4</v>
      </c>
      <c r="DB133" s="239" t="s">
        <v>4</v>
      </c>
      <c r="DC133" s="239" t="s">
        <v>4</v>
      </c>
      <c r="DD133" s="239" t="s">
        <v>4</v>
      </c>
      <c r="DE133" s="239" t="s">
        <v>4</v>
      </c>
      <c r="DF133" s="239" t="s">
        <v>4</v>
      </c>
      <c r="DG133" s="239" t="s">
        <v>4</v>
      </c>
      <c r="DH133" s="239" t="s">
        <v>4</v>
      </c>
      <c r="DI133" s="239" t="s">
        <v>4</v>
      </c>
      <c r="DJ133" s="239" t="s">
        <v>4</v>
      </c>
      <c r="DK133" s="239" t="s">
        <v>4</v>
      </c>
      <c r="DL133" s="239" t="s">
        <v>4</v>
      </c>
      <c r="DM133" s="239" t="s">
        <v>4</v>
      </c>
      <c r="DN133" s="239" t="s">
        <v>4</v>
      </c>
      <c r="DO133" s="239">
        <v>4</v>
      </c>
      <c r="DP133" s="239" t="s">
        <v>7</v>
      </c>
      <c r="DQ133" s="239" t="s">
        <v>29292</v>
      </c>
      <c r="DR133" s="239" t="s">
        <v>4</v>
      </c>
      <c r="DS133" s="239" t="s">
        <v>29294</v>
      </c>
      <c r="DT133" s="240" t="s">
        <v>4</v>
      </c>
      <c r="DU133" s="239" t="s">
        <v>29294</v>
      </c>
      <c r="DV133" s="240" t="s">
        <v>4</v>
      </c>
      <c r="DW133" s="239" t="s">
        <v>29508</v>
      </c>
      <c r="DX133" s="239"/>
      <c r="DY133" s="239"/>
      <c r="DZ133" s="239"/>
      <c r="EA133" s="239"/>
      <c r="EB133" s="239"/>
      <c r="EC133" s="239"/>
      <c r="ED133" s="239"/>
      <c r="EE133" s="320">
        <f>Table14[[#This Row],[% Fertilizer]]*$DX133/10000</f>
        <v>0</v>
      </c>
      <c r="EF133" s="320">
        <f>Table14[[#This Row],[% bioslurry used as Insecticide/Pesticide]]*$DX133/10000</f>
        <v>0</v>
      </c>
      <c r="EG133" s="320">
        <f>Table14[[#This Row],[% of Bioslurry used as animal feed]]*$DX133/10000</f>
        <v>0</v>
      </c>
      <c r="EH133" s="320">
        <f>Table14[[#This Row],[% of Bioslurry sold]]*$DX133/10000</f>
        <v>0</v>
      </c>
      <c r="EI133" s="320">
        <f>Table14[[#This Row],[% used other way(if used directly)]]*$DX133/10000</f>
        <v>0</v>
      </c>
      <c r="EJ133" s="239">
        <v>100</v>
      </c>
      <c r="EK133" s="239" t="s">
        <v>29443</v>
      </c>
      <c r="EL133" s="239"/>
      <c r="EM133" s="239"/>
      <c r="EN133" s="239"/>
      <c r="EO133" s="239">
        <f>(Table14[[#This Row],[% Uncovered lagoon greater than 1 meter]]+Table14[[#This Row],[Uncovered lagoon (black watery mass) &lt;1 meter]]+Table14[[#This Row],[% Liquid slurry (brown porridge type)]])*Table14[[#This Row],[% Store it first]]/100</f>
        <v>0</v>
      </c>
      <c r="EP133" s="239"/>
      <c r="EQ133" s="239"/>
      <c r="ER133" s="239"/>
      <c r="ES133" s="239">
        <v>100</v>
      </c>
      <c r="ET133" s="239">
        <f>(Table14[[#This Row],[% Solid storage]]+Table14[[#This Row],[% Sun drying]]+Table14[[#This Row],[% Composting with a roof]]+Table14[[#This Row],[% Composting without a roof]])*Table14[[#This Row],[% Store it first]]/100</f>
        <v>100</v>
      </c>
      <c r="EU133" s="239">
        <v>30</v>
      </c>
      <c r="EV133" s="320">
        <f t="shared" si="8"/>
        <v>1</v>
      </c>
      <c r="EW133" s="320">
        <f t="shared" si="9"/>
        <v>0</v>
      </c>
      <c r="EX133" s="320">
        <f t="shared" si="10"/>
        <v>0</v>
      </c>
      <c r="EY133" s="320">
        <f t="shared" si="11"/>
        <v>0</v>
      </c>
      <c r="EZ133" s="320">
        <f t="shared" si="12"/>
        <v>0</v>
      </c>
      <c r="FA133" s="239"/>
      <c r="FB133" s="239"/>
      <c r="FC133" s="239"/>
      <c r="FD133" s="239">
        <f>Table14[[#This Row],[% I donâ€™t use it / discarded]]+Table14[[#This Row],[% Other (specify)(If you use bioslurry directly)]]+Table14[[#This Row],[% Store it first]]+Table14[[#This Row],[% Use directly for various purposes]]</f>
        <v>100</v>
      </c>
      <c r="FE133" s="239" t="s">
        <v>29296</v>
      </c>
      <c r="FF133" s="239">
        <v>100</v>
      </c>
      <c r="FG133" s="239"/>
      <c r="FH133" s="239"/>
      <c r="FI133" s="239"/>
      <c r="FJ133" s="239"/>
      <c r="FK133" s="239" t="s">
        <v>9</v>
      </c>
      <c r="FL133" s="239" t="s">
        <v>7</v>
      </c>
      <c r="FM133" s="239">
        <v>30</v>
      </c>
      <c r="FN133" s="239"/>
      <c r="FO133" s="239" t="s">
        <v>31033</v>
      </c>
      <c r="FP133" s="239" t="s">
        <v>29298</v>
      </c>
      <c r="FQ133" s="239">
        <v>60</v>
      </c>
      <c r="FR133" s="239" t="s">
        <v>7</v>
      </c>
      <c r="FS133" s="239" t="s">
        <v>29393</v>
      </c>
      <c r="FT133" s="239" t="s">
        <v>4</v>
      </c>
      <c r="FU133" s="239" t="s">
        <v>2</v>
      </c>
      <c r="FV133" s="239" t="s">
        <v>4</v>
      </c>
      <c r="FW133" s="239" t="s">
        <v>4</v>
      </c>
      <c r="FX133" s="239" t="s">
        <v>4</v>
      </c>
      <c r="FY133" s="239" t="s">
        <v>4</v>
      </c>
      <c r="FZ133" s="239" t="s">
        <v>4</v>
      </c>
      <c r="GA133" s="239" t="s">
        <v>4</v>
      </c>
      <c r="GB133" s="240" t="s">
        <v>4</v>
      </c>
      <c r="GC133" s="239" t="s">
        <v>4</v>
      </c>
      <c r="GD133" s="239" t="s">
        <v>2</v>
      </c>
      <c r="GE133" s="239" t="s">
        <v>4</v>
      </c>
      <c r="GF133" s="239" t="s">
        <v>4</v>
      </c>
      <c r="GG133" s="239" t="s">
        <v>7</v>
      </c>
      <c r="GH133" s="239" t="s">
        <v>7</v>
      </c>
      <c r="GI133" s="239" t="s">
        <v>29302</v>
      </c>
      <c r="GJ133" s="239" t="s">
        <v>29817</v>
      </c>
      <c r="GK133" s="239" t="s">
        <v>29304</v>
      </c>
      <c r="GL133" s="239">
        <v>3</v>
      </c>
      <c r="GM133" s="239" t="s">
        <v>29305</v>
      </c>
      <c r="GN133" s="239" t="s">
        <v>29339</v>
      </c>
      <c r="GO133" s="239" t="s">
        <v>4</v>
      </c>
      <c r="GP133" s="239" t="s">
        <v>4</v>
      </c>
      <c r="GQ133" s="239" t="s">
        <v>4</v>
      </c>
      <c r="GR133" s="239" t="s">
        <v>4</v>
      </c>
      <c r="GS133" s="239" t="s">
        <v>4</v>
      </c>
      <c r="GT133" s="239" t="s">
        <v>4</v>
      </c>
      <c r="GU133" s="239" t="s">
        <v>4</v>
      </c>
      <c r="GV133" s="239" t="s">
        <v>4</v>
      </c>
      <c r="GW133" s="239" t="s">
        <v>4</v>
      </c>
      <c r="GX133" s="239" t="s">
        <v>4</v>
      </c>
      <c r="GY133" s="239" t="s">
        <v>4</v>
      </c>
      <c r="GZ133" s="239" t="s">
        <v>4</v>
      </c>
      <c r="HA133" s="239" t="s">
        <v>4</v>
      </c>
      <c r="HB133" s="239" t="s">
        <v>4</v>
      </c>
      <c r="HC133" s="239" t="s">
        <v>4</v>
      </c>
      <c r="HD133" s="239" t="s">
        <v>4</v>
      </c>
      <c r="HE133" s="239" t="s">
        <v>4</v>
      </c>
      <c r="HF133" s="239" t="s">
        <v>4</v>
      </c>
      <c r="HG133" s="239" t="s">
        <v>4</v>
      </c>
      <c r="HH133" s="239" t="s">
        <v>29354</v>
      </c>
      <c r="HI133" s="239" t="s">
        <v>4</v>
      </c>
      <c r="HJ133" s="240">
        <v>0</v>
      </c>
      <c r="HK133" s="239" t="s">
        <v>2</v>
      </c>
      <c r="HL133" s="239" t="s">
        <v>29309</v>
      </c>
      <c r="HM133" s="239" t="s">
        <v>4</v>
      </c>
      <c r="HN133" s="239" t="s">
        <v>4</v>
      </c>
      <c r="HO133" s="239" t="s">
        <v>4</v>
      </c>
      <c r="HP133" s="239" t="s">
        <v>4</v>
      </c>
      <c r="HQ133" s="239" t="s">
        <v>4</v>
      </c>
      <c r="HR133" s="239" t="s">
        <v>4</v>
      </c>
      <c r="HS133" s="239" t="s">
        <v>4</v>
      </c>
      <c r="HT133" s="239" t="s">
        <v>4</v>
      </c>
      <c r="HU133" s="239" t="s">
        <v>2</v>
      </c>
      <c r="HV133" s="239" t="s">
        <v>4</v>
      </c>
      <c r="HW133" s="239" t="s">
        <v>4</v>
      </c>
      <c r="HX133" s="239" t="s">
        <v>4</v>
      </c>
      <c r="HY133" s="239" t="s">
        <v>4</v>
      </c>
      <c r="HZ133" s="239" t="s">
        <v>31034</v>
      </c>
      <c r="IA133" s="239" t="s">
        <v>7</v>
      </c>
      <c r="IB133" s="239" t="s">
        <v>31035</v>
      </c>
      <c r="IC133" s="239" t="s">
        <v>31036</v>
      </c>
      <c r="ID133" s="239" t="s">
        <v>31037</v>
      </c>
      <c r="IE133" s="239" t="s">
        <v>31038</v>
      </c>
      <c r="IF133" s="239" t="s">
        <v>31039</v>
      </c>
      <c r="IG133" s="239" t="s">
        <v>31040</v>
      </c>
      <c r="IH133" s="239" t="s">
        <v>31030</v>
      </c>
    </row>
    <row r="134" spans="1:242" s="1" customFormat="1" ht="36.75" customHeight="1" x14ac:dyDescent="0.2">
      <c r="A134" s="239">
        <v>14</v>
      </c>
      <c r="B134" s="239" t="s">
        <v>20939</v>
      </c>
      <c r="C134" s="239" t="s">
        <v>29486</v>
      </c>
      <c r="D134" s="239" t="s">
        <v>52</v>
      </c>
      <c r="E134" s="239" t="s">
        <v>7</v>
      </c>
      <c r="F134" s="239" t="s">
        <v>29487</v>
      </c>
      <c r="G134" s="239">
        <v>1603.8</v>
      </c>
      <c r="H134" s="239">
        <v>5</v>
      </c>
      <c r="I134" s="239" t="s">
        <v>29288</v>
      </c>
      <c r="J134" s="239" t="s">
        <v>4</v>
      </c>
      <c r="K134" s="239" t="s">
        <v>29488</v>
      </c>
      <c r="L134" s="239">
        <v>701314165</v>
      </c>
      <c r="M134" s="239" t="s">
        <v>3</v>
      </c>
      <c r="N134" s="239" t="s">
        <v>31438</v>
      </c>
      <c r="O134" s="239">
        <v>65</v>
      </c>
      <c r="P134" s="239">
        <v>4</v>
      </c>
      <c r="Q134" s="239" t="s">
        <v>7</v>
      </c>
      <c r="R134" s="239" t="s">
        <v>31535</v>
      </c>
      <c r="S134" s="239" t="s">
        <v>4</v>
      </c>
      <c r="T134" s="239" t="s">
        <v>7</v>
      </c>
      <c r="U134" s="239" t="s">
        <v>2</v>
      </c>
      <c r="V134" s="239">
        <v>60</v>
      </c>
      <c r="W134" s="239" t="s">
        <v>7</v>
      </c>
      <c r="X134" s="239" t="s">
        <v>4</v>
      </c>
      <c r="Y134" s="239" t="s">
        <v>4</v>
      </c>
      <c r="Z134" s="241" t="str">
        <f>IF(OR(T134="yes",Y134&gt;'SDG outcome'!$C$27),"yes","no")</f>
        <v>yes</v>
      </c>
      <c r="AA134" s="243">
        <f t="shared" si="13"/>
        <v>60</v>
      </c>
      <c r="AB134" s="243" t="str">
        <f>IF(AND(Z134="no",AND(Y134&gt;='SDG outcome'!$B$16,Y134&lt;'SDG outcome'!$C$27)),Y134-'SDG outcome'!$B$16,"")</f>
        <v/>
      </c>
      <c r="AC134" s="239" t="s">
        <v>4</v>
      </c>
      <c r="AD134" s="239" t="s">
        <v>4</v>
      </c>
      <c r="AE134" s="239" t="s">
        <v>4</v>
      </c>
      <c r="AF134" s="239" t="s">
        <v>4</v>
      </c>
      <c r="AG134" s="239" t="s">
        <v>4</v>
      </c>
      <c r="AH134" s="239" t="s">
        <v>4</v>
      </c>
      <c r="AI134" s="239" t="s">
        <v>4</v>
      </c>
      <c r="AJ134" s="239" t="s">
        <v>29489</v>
      </c>
      <c r="AK134" s="239" t="s">
        <v>29291</v>
      </c>
      <c r="AL134" s="239" t="s">
        <v>29490</v>
      </c>
      <c r="AM134" s="239" t="s">
        <v>4</v>
      </c>
      <c r="AN134" s="239" t="s">
        <v>31599</v>
      </c>
      <c r="AO134" s="239" t="s">
        <v>4</v>
      </c>
      <c r="AP134" s="239" t="s">
        <v>31537</v>
      </c>
      <c r="AQ134" s="239" t="s">
        <v>4</v>
      </c>
      <c r="AR134" s="239" t="s">
        <v>31538</v>
      </c>
      <c r="AS134" s="239" t="s">
        <v>4</v>
      </c>
      <c r="AT134" s="239" t="s">
        <v>2</v>
      </c>
      <c r="AU134" s="239" t="s">
        <v>31614</v>
      </c>
      <c r="AV134" s="239" t="s">
        <v>4</v>
      </c>
      <c r="AW134" s="239" t="s">
        <v>31539</v>
      </c>
      <c r="AX134" s="239" t="s">
        <v>4</v>
      </c>
      <c r="AY134" s="239" t="s">
        <v>4</v>
      </c>
      <c r="AZ134" s="239" t="s">
        <v>2</v>
      </c>
      <c r="BA134" s="239" t="s">
        <v>4</v>
      </c>
      <c r="BB134" s="239" t="s">
        <v>4</v>
      </c>
      <c r="BC134" s="239" t="s">
        <v>31619</v>
      </c>
      <c r="BD134" s="239" t="s">
        <v>4</v>
      </c>
      <c r="BE134" s="239" t="s">
        <v>4</v>
      </c>
      <c r="BF134" s="239" t="s">
        <v>4</v>
      </c>
      <c r="BG134" s="239" t="s">
        <v>4</v>
      </c>
      <c r="BH134" s="239" t="s">
        <v>4</v>
      </c>
      <c r="BI134" s="239" t="s">
        <v>4</v>
      </c>
      <c r="BJ134" s="239" t="s">
        <v>4</v>
      </c>
      <c r="BK134" s="239" t="s">
        <v>4</v>
      </c>
      <c r="BL134" s="239" t="s">
        <v>4</v>
      </c>
      <c r="BM134" s="239" t="s">
        <v>7</v>
      </c>
      <c r="BN134" s="239" t="s">
        <v>6</v>
      </c>
      <c r="BO134" s="239" t="s">
        <v>4</v>
      </c>
      <c r="BP134" s="239" t="s">
        <v>31429</v>
      </c>
      <c r="BQ134" s="239">
        <v>4</v>
      </c>
      <c r="BR134" s="239">
        <v>20</v>
      </c>
      <c r="BS134" s="239" t="s">
        <v>13</v>
      </c>
      <c r="BT134" s="239" t="s">
        <v>31431</v>
      </c>
      <c r="BU134" s="239">
        <v>2.5</v>
      </c>
      <c r="BV134" s="239" cm="1">
        <f t="array" ref="BV134">_xlfn.IFS(BS134="Foreword vehicle",BU134*0,BS134="Human wastes",BU134*0,BS134="Jerrycans",BU134*$BV$228,BS134="Number of Basins",BU134*$BV$229,BS134="Number of Buckets",BU134*$CA$226,BS134="Number of Kgs",BU134*$CA$227,BS134="Number of spades",BU134*$CA$228,BS134="Number of wheelbarrows",BU134*$CA$229,BT134="Foreword vehicle",BU134*0,BT134="Human wastes",BU134*0,BT134="Jerrycans",BU134*$BV$228,BS134="","")</f>
        <v>45</v>
      </c>
      <c r="BW134" s="239">
        <f>IF(BV134="","",Table14[[#This Row],[Calculation: Conversion of metric to Kg manure feeding (Columns: BP, BQ, BR)]]*Table14[[#This Row],[Number of times used to feed biodigester]])</f>
        <v>180</v>
      </c>
      <c r="BX134" s="239" cm="1">
        <f t="array" ref="BX134">_xlfn.IFS(BP134="Number of times per day (1 to 3)",BW134/$BX$226,BP134="Number of times per week (1 to 6)",BW134/$BX$227,BP134="Number of times per Month (1 to 3)",BW134/$BX$228,BW134="","")</f>
        <v>25.714285714285715</v>
      </c>
      <c r="BY134" s="239" t="s">
        <v>31552</v>
      </c>
      <c r="BZ134" s="239" t="s">
        <v>4</v>
      </c>
      <c r="CA134" s="239" t="s">
        <v>2</v>
      </c>
      <c r="CB134" s="239" t="s">
        <v>4</v>
      </c>
      <c r="CC134" s="239" t="s">
        <v>4</v>
      </c>
      <c r="CD134" s="239" t="s">
        <v>4</v>
      </c>
      <c r="CE134" s="239" t="s">
        <v>7</v>
      </c>
      <c r="CF134" s="239" t="s">
        <v>31620</v>
      </c>
      <c r="CG134" s="239" t="s">
        <v>4</v>
      </c>
      <c r="CH134" s="239" t="s">
        <v>31604</v>
      </c>
      <c r="CI134" s="239">
        <v>7</v>
      </c>
      <c r="CJ134" s="239">
        <v>0</v>
      </c>
      <c r="CK134" s="239">
        <v>0</v>
      </c>
      <c r="CL134" s="239">
        <v>0</v>
      </c>
      <c r="CM134" s="239">
        <v>0</v>
      </c>
      <c r="CN134" s="239">
        <v>0</v>
      </c>
      <c r="CO134" s="239">
        <v>0</v>
      </c>
      <c r="CP134" s="239">
        <v>0</v>
      </c>
      <c r="CQ134" s="239">
        <v>0</v>
      </c>
      <c r="CR134" s="239">
        <v>0</v>
      </c>
      <c r="CS134" s="239">
        <f>CP134/'SDG outcome'!$C$9*CQ134*CR134</f>
        <v>0</v>
      </c>
      <c r="CT134" s="239">
        <v>25</v>
      </c>
      <c r="CU134" s="239">
        <v>75</v>
      </c>
      <c r="CV134" s="239" t="s">
        <v>31621</v>
      </c>
      <c r="CW134" s="239" t="s">
        <v>4</v>
      </c>
      <c r="CX134" s="239" t="s">
        <v>4</v>
      </c>
      <c r="CY134" s="239" t="s">
        <v>4</v>
      </c>
      <c r="CZ134" s="239" t="s">
        <v>4</v>
      </c>
      <c r="DA134" s="239" t="s">
        <v>4</v>
      </c>
      <c r="DB134" s="239" t="s">
        <v>4</v>
      </c>
      <c r="DC134" s="239" t="s">
        <v>4</v>
      </c>
      <c r="DD134" s="239" t="s">
        <v>4</v>
      </c>
      <c r="DE134" s="239" t="s">
        <v>4</v>
      </c>
      <c r="DF134" s="239" t="s">
        <v>4</v>
      </c>
      <c r="DG134" s="239" t="s">
        <v>4</v>
      </c>
      <c r="DH134" s="239" t="s">
        <v>4</v>
      </c>
      <c r="DI134" s="239" t="s">
        <v>4</v>
      </c>
      <c r="DJ134" s="239" t="s">
        <v>4</v>
      </c>
      <c r="DK134" s="239" t="s">
        <v>4</v>
      </c>
      <c r="DL134" s="239" t="s">
        <v>4</v>
      </c>
      <c r="DM134" s="239" t="s">
        <v>4</v>
      </c>
      <c r="DN134" s="239" t="s">
        <v>4</v>
      </c>
      <c r="DO134" s="239">
        <v>3</v>
      </c>
      <c r="DP134" s="239" t="s">
        <v>7</v>
      </c>
      <c r="DQ134" s="239" t="s">
        <v>29292</v>
      </c>
      <c r="DR134" s="239" t="s">
        <v>4</v>
      </c>
      <c r="DS134" s="239" t="s">
        <v>29293</v>
      </c>
      <c r="DT134" s="240">
        <v>28000</v>
      </c>
      <c r="DU134" s="239" t="s">
        <v>29294</v>
      </c>
      <c r="DV134" s="240" t="s">
        <v>4</v>
      </c>
      <c r="DW134" s="239" t="s">
        <v>29295</v>
      </c>
      <c r="DX134" s="239">
        <v>100</v>
      </c>
      <c r="DY134" s="239" t="s">
        <v>29336</v>
      </c>
      <c r="DZ134" s="239">
        <v>90</v>
      </c>
      <c r="EA134" s="239"/>
      <c r="EB134" s="239">
        <v>10</v>
      </c>
      <c r="EC134" s="239"/>
      <c r="ED134" s="239"/>
      <c r="EE134" s="320">
        <f>Table14[[#This Row],[% Fertilizer]]*$DX134/10000</f>
        <v>0.9</v>
      </c>
      <c r="EF134" s="320">
        <f>Table14[[#This Row],[% bioslurry used as Insecticide/Pesticide]]*$DX134/10000</f>
        <v>0</v>
      </c>
      <c r="EG134" s="320">
        <f>Table14[[#This Row],[% of Bioslurry used as animal feed]]*$DX134/10000</f>
        <v>0.1</v>
      </c>
      <c r="EH134" s="320">
        <f>Table14[[#This Row],[% of Bioslurry sold]]*$DX134/10000</f>
        <v>0</v>
      </c>
      <c r="EI134" s="320">
        <f>Table14[[#This Row],[% used other way(if used directly)]]*$DX134/10000</f>
        <v>0</v>
      </c>
      <c r="EJ134" s="239"/>
      <c r="EK134" s="239"/>
      <c r="EL134" s="239"/>
      <c r="EM134" s="239"/>
      <c r="EN134" s="239"/>
      <c r="EO134" s="239">
        <f>(Table14[[#This Row],[% Uncovered lagoon greater than 1 meter]]+Table14[[#This Row],[Uncovered lagoon (black watery mass) &lt;1 meter]]+Table14[[#This Row],[% Liquid slurry (brown porridge type)]])*Table14[[#This Row],[% Store it first]]/100</f>
        <v>0</v>
      </c>
      <c r="EP134" s="239"/>
      <c r="EQ134" s="239"/>
      <c r="ER134" s="239"/>
      <c r="ES134" s="239"/>
      <c r="ET134" s="239">
        <f>(Table14[[#This Row],[% Solid storage]]+Table14[[#This Row],[% Sun drying]]+Table14[[#This Row],[% Composting with a roof]]+Table14[[#This Row],[% Composting without a roof]])*Table14[[#This Row],[% Store it first]]/100</f>
        <v>0</v>
      </c>
      <c r="EU134" s="239"/>
      <c r="EV134" s="320">
        <f t="shared" si="8"/>
        <v>0</v>
      </c>
      <c r="EW134" s="320">
        <f t="shared" si="9"/>
        <v>0</v>
      </c>
      <c r="EX134" s="320">
        <f t="shared" si="10"/>
        <v>0</v>
      </c>
      <c r="EY134" s="320">
        <f t="shared" si="11"/>
        <v>0</v>
      </c>
      <c r="EZ134" s="320">
        <f t="shared" si="12"/>
        <v>0</v>
      </c>
      <c r="FA134" s="239"/>
      <c r="FB134" s="239"/>
      <c r="FC134" s="239"/>
      <c r="FD134" s="239">
        <f>Table14[[#This Row],[% I donâ€™t use it / discarded]]+Table14[[#This Row],[% Other (specify)(If you use bioslurry directly)]]+Table14[[#This Row],[% Store it first]]+Table14[[#This Row],[% Use directly for various purposes]]</f>
        <v>100</v>
      </c>
      <c r="FE134" s="239" t="s">
        <v>4</v>
      </c>
      <c r="FF134" s="239"/>
      <c r="FG134" s="239"/>
      <c r="FH134" s="239"/>
      <c r="FI134" s="239"/>
      <c r="FJ134" s="239"/>
      <c r="FK134" s="239">
        <v>0.8</v>
      </c>
      <c r="FL134" s="239" t="s">
        <v>7</v>
      </c>
      <c r="FM134" s="239">
        <v>25</v>
      </c>
      <c r="FN134" s="239">
        <f>FK134*FM134/100</f>
        <v>0.2</v>
      </c>
      <c r="FO134" s="239" t="s">
        <v>29491</v>
      </c>
      <c r="FP134" s="239" t="s">
        <v>29298</v>
      </c>
      <c r="FQ134" s="239">
        <v>96</v>
      </c>
      <c r="FR134" s="239" t="s">
        <v>7</v>
      </c>
      <c r="FS134" s="239" t="s">
        <v>29393</v>
      </c>
      <c r="FT134" s="239" t="s">
        <v>4</v>
      </c>
      <c r="FU134" s="239" t="s">
        <v>7</v>
      </c>
      <c r="FV134" s="239" t="s">
        <v>29492</v>
      </c>
      <c r="FW134" s="239" t="s">
        <v>4</v>
      </c>
      <c r="FX134" s="239" t="s">
        <v>29493</v>
      </c>
      <c r="FY134" s="239" t="s">
        <v>29494</v>
      </c>
      <c r="FZ134" s="239" t="s">
        <v>29446</v>
      </c>
      <c r="GA134" s="239" t="s">
        <v>4</v>
      </c>
      <c r="GB134" s="240" t="s">
        <v>4</v>
      </c>
      <c r="GC134" s="239" t="s">
        <v>29495</v>
      </c>
      <c r="GD134" s="239" t="s">
        <v>7</v>
      </c>
      <c r="GE134" s="239" t="s">
        <v>29301</v>
      </c>
      <c r="GF134" s="239" t="s">
        <v>4</v>
      </c>
      <c r="GG134" s="239" t="s">
        <v>2</v>
      </c>
      <c r="GH134" s="239" t="s">
        <v>7</v>
      </c>
      <c r="GI134" s="239" t="s">
        <v>29302</v>
      </c>
      <c r="GJ134" s="239" t="s">
        <v>29496</v>
      </c>
      <c r="GK134" s="239" t="s">
        <v>29304</v>
      </c>
      <c r="GL134" s="239">
        <v>1</v>
      </c>
      <c r="GM134" s="239" t="s">
        <v>29497</v>
      </c>
      <c r="GN134" s="239" t="s">
        <v>29306</v>
      </c>
      <c r="GO134" s="239" t="s">
        <v>4</v>
      </c>
      <c r="GP134" s="239" t="s">
        <v>29498</v>
      </c>
      <c r="GQ134" s="239" t="s">
        <v>4</v>
      </c>
      <c r="GR134" s="239" t="s">
        <v>29451</v>
      </c>
      <c r="GS134" s="239" t="s">
        <v>4</v>
      </c>
      <c r="GT134" s="239" t="s">
        <v>4</v>
      </c>
      <c r="GU134" s="239" t="s">
        <v>4</v>
      </c>
      <c r="GV134" s="239" t="s">
        <v>4</v>
      </c>
      <c r="GW134" s="239" t="s">
        <v>4</v>
      </c>
      <c r="GX134" s="239" t="s">
        <v>4</v>
      </c>
      <c r="GY134" s="239" t="s">
        <v>4</v>
      </c>
      <c r="GZ134" s="239" t="s">
        <v>4</v>
      </c>
      <c r="HA134" s="239" t="s">
        <v>4</v>
      </c>
      <c r="HB134" s="239" t="s">
        <v>4</v>
      </c>
      <c r="HC134" s="239" t="s">
        <v>4</v>
      </c>
      <c r="HD134" s="239" t="s">
        <v>4</v>
      </c>
      <c r="HE134" s="239" t="s">
        <v>4</v>
      </c>
      <c r="HF134" s="239" t="s">
        <v>4</v>
      </c>
      <c r="HG134" s="239" t="s">
        <v>4</v>
      </c>
      <c r="HH134" s="239" t="s">
        <v>29354</v>
      </c>
      <c r="HI134" s="239" t="s">
        <v>4</v>
      </c>
      <c r="HJ134" s="240">
        <v>0</v>
      </c>
      <c r="HK134" s="239" t="s">
        <v>29325</v>
      </c>
      <c r="HL134" s="239" t="s">
        <v>29480</v>
      </c>
      <c r="HM134" s="239" t="s">
        <v>4</v>
      </c>
      <c r="HN134" s="239" t="s">
        <v>4</v>
      </c>
      <c r="HO134" s="239" t="s">
        <v>4</v>
      </c>
      <c r="HP134" s="239" t="s">
        <v>4</v>
      </c>
      <c r="HQ134" s="239" t="s">
        <v>4</v>
      </c>
      <c r="HR134" s="239" t="s">
        <v>4</v>
      </c>
      <c r="HS134" s="239" t="s">
        <v>4</v>
      </c>
      <c r="HT134" s="239" t="s">
        <v>4</v>
      </c>
      <c r="HU134" s="239" t="s">
        <v>2</v>
      </c>
      <c r="HV134" s="239" t="s">
        <v>4</v>
      </c>
      <c r="HW134" s="239" t="s">
        <v>4</v>
      </c>
      <c r="HX134" s="239" t="s">
        <v>4</v>
      </c>
      <c r="HY134" s="239" t="s">
        <v>4</v>
      </c>
      <c r="HZ134" s="239" t="s">
        <v>29499</v>
      </c>
      <c r="IA134" s="239" t="s">
        <v>7</v>
      </c>
      <c r="IB134" s="239" t="s">
        <v>29500</v>
      </c>
      <c r="IC134" s="239" t="s">
        <v>29501</v>
      </c>
      <c r="ID134" s="239" t="s">
        <v>29502</v>
      </c>
      <c r="IE134" s="239" t="s">
        <v>29503</v>
      </c>
      <c r="IF134" s="239" t="s">
        <v>29504</v>
      </c>
      <c r="IG134" s="239" t="s">
        <v>9</v>
      </c>
      <c r="IH134" s="239" t="s">
        <v>29486</v>
      </c>
    </row>
    <row r="135" spans="1:242" s="1" customFormat="1" ht="36.75" customHeight="1" x14ac:dyDescent="0.2">
      <c r="A135" s="239">
        <v>11</v>
      </c>
      <c r="B135" s="239" t="s">
        <v>22174</v>
      </c>
      <c r="C135" s="239" t="s">
        <v>29439</v>
      </c>
      <c r="D135" s="239" t="s">
        <v>52</v>
      </c>
      <c r="E135" s="239" t="s">
        <v>7</v>
      </c>
      <c r="F135" s="239" t="s">
        <v>29440</v>
      </c>
      <c r="G135" s="239">
        <v>1555.5</v>
      </c>
      <c r="H135" s="239">
        <v>3.9</v>
      </c>
      <c r="I135" s="239" t="s">
        <v>29319</v>
      </c>
      <c r="J135" s="239" t="s">
        <v>4</v>
      </c>
      <c r="K135" s="239" t="s">
        <v>29441</v>
      </c>
      <c r="L135" s="239">
        <v>774394909</v>
      </c>
      <c r="M135" s="239" t="s">
        <v>5</v>
      </c>
      <c r="N135" s="239" t="s">
        <v>31598</v>
      </c>
      <c r="O135" s="239" t="s">
        <v>4</v>
      </c>
      <c r="P135" s="239">
        <v>5</v>
      </c>
      <c r="Q135" s="239" t="s">
        <v>7</v>
      </c>
      <c r="R135" s="239" t="s">
        <v>31535</v>
      </c>
      <c r="S135" s="239" t="s">
        <v>4</v>
      </c>
      <c r="T135" s="239" t="s">
        <v>7</v>
      </c>
      <c r="U135" s="239" t="s">
        <v>7</v>
      </c>
      <c r="V135" s="239"/>
      <c r="W135" s="239" t="s">
        <v>7</v>
      </c>
      <c r="X135" s="239" t="s">
        <v>4</v>
      </c>
      <c r="Y135" s="239" t="s">
        <v>4</v>
      </c>
      <c r="Z135" s="241" t="str">
        <f>IF(OR(T135="yes",Y135&gt;'SDG outcome'!$C$27),"yes","no")</f>
        <v>yes</v>
      </c>
      <c r="AA135" s="243">
        <f t="shared" si="13"/>
        <v>0</v>
      </c>
      <c r="AB135" s="243" t="str">
        <f>IF(AND(Z135="no",AND(Y135&gt;='SDG outcome'!$B$16,Y135&lt;'SDG outcome'!$C$27)),Y135-'SDG outcome'!$B$16,"")</f>
        <v/>
      </c>
      <c r="AC135" s="239" t="s">
        <v>4</v>
      </c>
      <c r="AD135" s="239" t="s">
        <v>4</v>
      </c>
      <c r="AE135" s="239" t="s">
        <v>4</v>
      </c>
      <c r="AF135" s="239" t="s">
        <v>4</v>
      </c>
      <c r="AG135" s="239" t="s">
        <v>4</v>
      </c>
      <c r="AH135" s="239" t="s">
        <v>4</v>
      </c>
      <c r="AI135" s="239" t="s">
        <v>4</v>
      </c>
      <c r="AJ135" s="239" t="s">
        <v>29290</v>
      </c>
      <c r="AK135" s="239" t="s">
        <v>29291</v>
      </c>
      <c r="AL135" s="239" t="s">
        <v>4</v>
      </c>
      <c r="AM135" s="239" t="s">
        <v>4</v>
      </c>
      <c r="AN135" s="239" t="s">
        <v>31599</v>
      </c>
      <c r="AO135" s="239" t="s">
        <v>4</v>
      </c>
      <c r="AP135" s="239" t="s">
        <v>31600</v>
      </c>
      <c r="AQ135" s="239" t="s">
        <v>4</v>
      </c>
      <c r="AR135" s="239" t="s">
        <v>31601</v>
      </c>
      <c r="AS135" s="239" t="s">
        <v>4</v>
      </c>
      <c r="AT135" s="239" t="s">
        <v>2</v>
      </c>
      <c r="AU135" s="239" t="s">
        <v>31581</v>
      </c>
      <c r="AV135" s="239" t="s">
        <v>4</v>
      </c>
      <c r="AW135" s="239" t="s">
        <v>31539</v>
      </c>
      <c r="AX135" s="239" t="s">
        <v>4</v>
      </c>
      <c r="AY135" s="239" t="s">
        <v>4</v>
      </c>
      <c r="AZ135" s="239" t="s">
        <v>2</v>
      </c>
      <c r="BA135" s="239" t="s">
        <v>4</v>
      </c>
      <c r="BB135" s="239" t="s">
        <v>4</v>
      </c>
      <c r="BC135" s="239" t="s">
        <v>31563</v>
      </c>
      <c r="BD135" s="239" t="s">
        <v>22</v>
      </c>
      <c r="BE135" s="239" t="s">
        <v>4</v>
      </c>
      <c r="BF135" s="239" t="s">
        <v>14</v>
      </c>
      <c r="BG135" s="239" t="s">
        <v>4</v>
      </c>
      <c r="BH135" s="239" t="s">
        <v>31542</v>
      </c>
      <c r="BI135" s="239" t="s">
        <v>31602</v>
      </c>
      <c r="BJ135" s="239" t="s">
        <v>31544</v>
      </c>
      <c r="BK135" s="239">
        <v>3</v>
      </c>
      <c r="BL135" s="239">
        <v>180</v>
      </c>
      <c r="BM135" s="239" t="s">
        <v>7</v>
      </c>
      <c r="BN135" s="239" t="s">
        <v>6</v>
      </c>
      <c r="BO135" s="239" t="s">
        <v>4</v>
      </c>
      <c r="BP135" s="239" t="s">
        <v>31429</v>
      </c>
      <c r="BQ135" s="239">
        <v>3</v>
      </c>
      <c r="BR135" s="239">
        <v>30</v>
      </c>
      <c r="BS135" s="239" t="s">
        <v>31435</v>
      </c>
      <c r="BT135" s="239"/>
      <c r="BU135" s="239">
        <v>1</v>
      </c>
      <c r="BV135" s="239" cm="1">
        <f t="array" ref="BV135">_xlfn.IFS(BS135="Foreword vehicle",BU135*0,BS135="Human wastes",BU135*0,BS135="Jerrycans",BU135*$BV$228,BS135="Number of Basins",BU135*$BV$229,BS135="Number of Buckets",BU135*$CA$226,BS135="Number of Kgs",BU135*$CA$227,BS135="Number of spades",BU135*$CA$228,BS135="Number of wheelbarrows",BU135*$CA$229,BT135="Foreword vehicle",BU135*0,BT135="Human wastes",BU135*0,BT135="Jerrycans",BU135*$BV$228,BS135="","")</f>
        <v>70.5</v>
      </c>
      <c r="BW135" s="239">
        <f>IF(BV135="","",Table14[[#This Row],[Calculation: Conversion of metric to Kg manure feeding (Columns: BP, BQ, BR)]]*Table14[[#This Row],[Number of times used to feed biodigester]])</f>
        <v>211.5</v>
      </c>
      <c r="BX135" s="239" cm="1">
        <f t="array" ref="BX135">_xlfn.IFS(BP135="Number of times per day (1 to 3)",BW135/$BX$226,BP135="Number of times per week (1 to 6)",BW135/$BX$227,BP135="Number of times per Month (1 to 3)",BW135/$BX$228,BW135="","")</f>
        <v>30.214285714285715</v>
      </c>
      <c r="BY135" s="239" t="s">
        <v>22</v>
      </c>
      <c r="BZ135" s="239" t="s">
        <v>4</v>
      </c>
      <c r="CA135" s="239" t="s">
        <v>2</v>
      </c>
      <c r="CB135" s="239" t="s">
        <v>4</v>
      </c>
      <c r="CC135" s="239" t="s">
        <v>4</v>
      </c>
      <c r="CD135" s="239" t="s">
        <v>4</v>
      </c>
      <c r="CE135" s="239" t="s">
        <v>7</v>
      </c>
      <c r="CF135" s="239" t="s">
        <v>31603</v>
      </c>
      <c r="CG135" s="239" t="s">
        <v>4</v>
      </c>
      <c r="CH135" s="239" t="s">
        <v>31604</v>
      </c>
      <c r="CI135" s="239">
        <v>6</v>
      </c>
      <c r="CJ135" s="239">
        <v>0</v>
      </c>
      <c r="CK135" s="239">
        <v>0</v>
      </c>
      <c r="CL135" s="239">
        <v>0</v>
      </c>
      <c r="CM135" s="239">
        <v>0</v>
      </c>
      <c r="CN135" s="239">
        <v>0</v>
      </c>
      <c r="CO135" s="239">
        <v>0</v>
      </c>
      <c r="CP135" s="239">
        <v>0</v>
      </c>
      <c r="CQ135" s="239">
        <v>0</v>
      </c>
      <c r="CR135" s="239">
        <v>0</v>
      </c>
      <c r="CS135" s="239">
        <f>CP135/'SDG outcome'!$C$9*CQ135*CR135</f>
        <v>0</v>
      </c>
      <c r="CT135" s="239">
        <v>100</v>
      </c>
      <c r="CU135" s="239">
        <v>0</v>
      </c>
      <c r="CV135" s="239" t="s">
        <v>4</v>
      </c>
      <c r="CW135" s="239" t="s">
        <v>4</v>
      </c>
      <c r="CX135" s="239" t="s">
        <v>4</v>
      </c>
      <c r="CY135" s="239" t="s">
        <v>4</v>
      </c>
      <c r="CZ135" s="239" t="s">
        <v>4</v>
      </c>
      <c r="DA135" s="239" t="s">
        <v>4</v>
      </c>
      <c r="DB135" s="239" t="s">
        <v>4</v>
      </c>
      <c r="DC135" s="239" t="s">
        <v>4</v>
      </c>
      <c r="DD135" s="239" t="s">
        <v>4</v>
      </c>
      <c r="DE135" s="239" t="s">
        <v>4</v>
      </c>
      <c r="DF135" s="239" t="s">
        <v>4</v>
      </c>
      <c r="DG135" s="239" t="s">
        <v>4</v>
      </c>
      <c r="DH135" s="239" t="s">
        <v>4</v>
      </c>
      <c r="DI135" s="239" t="s">
        <v>4</v>
      </c>
      <c r="DJ135" s="239" t="s">
        <v>4</v>
      </c>
      <c r="DK135" s="239" t="s">
        <v>4</v>
      </c>
      <c r="DL135" s="239" t="s">
        <v>4</v>
      </c>
      <c r="DM135" s="239" t="s">
        <v>4</v>
      </c>
      <c r="DN135" s="239" t="s">
        <v>4</v>
      </c>
      <c r="DO135" s="239">
        <v>4</v>
      </c>
      <c r="DP135" s="239" t="s">
        <v>2</v>
      </c>
      <c r="DQ135" s="239" t="s">
        <v>29292</v>
      </c>
      <c r="DR135" s="239" t="s">
        <v>4</v>
      </c>
      <c r="DS135" s="239" t="s">
        <v>29294</v>
      </c>
      <c r="DT135" s="240" t="s">
        <v>4</v>
      </c>
      <c r="DU135" s="239" t="s">
        <v>29293</v>
      </c>
      <c r="DV135" s="240">
        <v>190000</v>
      </c>
      <c r="DW135" s="239" t="s">
        <v>29442</v>
      </c>
      <c r="DX135" s="239">
        <v>90</v>
      </c>
      <c r="DY135" s="239" t="s">
        <v>29296</v>
      </c>
      <c r="DZ135" s="239">
        <v>100</v>
      </c>
      <c r="EA135" s="239"/>
      <c r="EB135" s="239"/>
      <c r="EC135" s="239"/>
      <c r="ED135" s="239"/>
      <c r="EE135" s="320">
        <f>Table14[[#This Row],[% Fertilizer]]*$DX135/10000</f>
        <v>0.9</v>
      </c>
      <c r="EF135" s="320">
        <f>Table14[[#This Row],[% bioslurry used as Insecticide/Pesticide]]*$DX135/10000</f>
        <v>0</v>
      </c>
      <c r="EG135" s="320">
        <f>Table14[[#This Row],[% of Bioslurry used as animal feed]]*$DX135/10000</f>
        <v>0</v>
      </c>
      <c r="EH135" s="320">
        <f>Table14[[#This Row],[% of Bioslurry sold]]*$DX135/10000</f>
        <v>0</v>
      </c>
      <c r="EI135" s="320">
        <f>Table14[[#This Row],[% used other way(if used directly)]]*$DX135/10000</f>
        <v>0</v>
      </c>
      <c r="EJ135" s="239">
        <v>10</v>
      </c>
      <c r="EK135" s="239" t="s">
        <v>29443</v>
      </c>
      <c r="EL135" s="239"/>
      <c r="EM135" s="239"/>
      <c r="EN135" s="239"/>
      <c r="EO135" s="239">
        <f>(Table14[[#This Row],[% Uncovered lagoon greater than 1 meter]]+Table14[[#This Row],[Uncovered lagoon (black watery mass) &lt;1 meter]]+Table14[[#This Row],[% Liquid slurry (brown porridge type)]])*Table14[[#This Row],[% Store it first]]/100</f>
        <v>0</v>
      </c>
      <c r="EP135" s="239"/>
      <c r="EQ135" s="239"/>
      <c r="ER135" s="239"/>
      <c r="ES135" s="239">
        <v>100</v>
      </c>
      <c r="ET135" s="239">
        <f>(Table14[[#This Row],[% Solid storage]]+Table14[[#This Row],[% Sun drying]]+Table14[[#This Row],[% Composting with a roof]]+Table14[[#This Row],[% Composting without a roof]])*Table14[[#This Row],[% Store it first]]/100</f>
        <v>10</v>
      </c>
      <c r="EU135" s="239">
        <v>90</v>
      </c>
      <c r="EV135" s="320">
        <f t="shared" si="8"/>
        <v>0.1</v>
      </c>
      <c r="EW135" s="320">
        <f t="shared" si="9"/>
        <v>0</v>
      </c>
      <c r="EX135" s="320">
        <f t="shared" si="10"/>
        <v>0</v>
      </c>
      <c r="EY135" s="320">
        <f t="shared" si="11"/>
        <v>0</v>
      </c>
      <c r="EZ135" s="320">
        <f t="shared" si="12"/>
        <v>0</v>
      </c>
      <c r="FA135" s="239"/>
      <c r="FB135" s="239"/>
      <c r="FC135" s="239"/>
      <c r="FD135" s="239">
        <f>Table14[[#This Row],[% I donâ€™t use it / discarded]]+Table14[[#This Row],[% Other (specify)(If you use bioslurry directly)]]+Table14[[#This Row],[% Store it first]]+Table14[[#This Row],[% Use directly for various purposes]]</f>
        <v>100</v>
      </c>
      <c r="FE135" s="239" t="s">
        <v>29296</v>
      </c>
      <c r="FF135" s="239">
        <v>100</v>
      </c>
      <c r="FG135" s="239"/>
      <c r="FH135" s="239"/>
      <c r="FI135" s="239"/>
      <c r="FJ135" s="239"/>
      <c r="FK135" s="239">
        <v>2</v>
      </c>
      <c r="FL135" s="239" t="s">
        <v>7</v>
      </c>
      <c r="FM135" s="239">
        <v>50</v>
      </c>
      <c r="FN135" s="239">
        <f>FK135*FM135/100</f>
        <v>1</v>
      </c>
      <c r="FO135" s="239" t="s">
        <v>29444</v>
      </c>
      <c r="FP135" s="239" t="s">
        <v>29298</v>
      </c>
      <c r="FQ135" s="239">
        <v>87</v>
      </c>
      <c r="FR135" s="239" t="s">
        <v>7</v>
      </c>
      <c r="FS135" s="239" t="s">
        <v>29393</v>
      </c>
      <c r="FT135" s="239" t="s">
        <v>4</v>
      </c>
      <c r="FU135" s="239" t="s">
        <v>7</v>
      </c>
      <c r="FV135" s="239" t="s">
        <v>29445</v>
      </c>
      <c r="FW135" s="239" t="s">
        <v>4</v>
      </c>
      <c r="FX135" s="239" t="s">
        <v>29300</v>
      </c>
      <c r="FY135" s="239" t="s">
        <v>4</v>
      </c>
      <c r="FZ135" s="239" t="s">
        <v>29446</v>
      </c>
      <c r="GA135" s="239" t="s">
        <v>4</v>
      </c>
      <c r="GB135" s="240" t="s">
        <v>4</v>
      </c>
      <c r="GC135" s="239" t="s">
        <v>29447</v>
      </c>
      <c r="GD135" s="239" t="s">
        <v>7</v>
      </c>
      <c r="GE135" s="239" t="s">
        <v>29301</v>
      </c>
      <c r="GF135" s="239" t="s">
        <v>4</v>
      </c>
      <c r="GG135" s="239" t="s">
        <v>7</v>
      </c>
      <c r="GH135" s="239" t="s">
        <v>7</v>
      </c>
      <c r="GI135" s="239" t="s">
        <v>29302</v>
      </c>
      <c r="GJ135" s="239" t="s">
        <v>29448</v>
      </c>
      <c r="GK135" s="239" t="s">
        <v>4</v>
      </c>
      <c r="GL135" s="239">
        <v>0</v>
      </c>
      <c r="GM135" s="239"/>
      <c r="GN135" s="239" t="s">
        <v>4</v>
      </c>
      <c r="GO135" s="239" t="s">
        <v>4</v>
      </c>
      <c r="GP135" s="239" t="s">
        <v>4</v>
      </c>
      <c r="GQ135" s="239" t="s">
        <v>4</v>
      </c>
      <c r="GR135" s="239" t="s">
        <v>4</v>
      </c>
      <c r="GS135" s="239" t="s">
        <v>4</v>
      </c>
      <c r="GT135" s="239" t="s">
        <v>4</v>
      </c>
      <c r="GU135" s="239" t="s">
        <v>4</v>
      </c>
      <c r="GV135" s="239" t="s">
        <v>4</v>
      </c>
      <c r="GW135" s="239" t="s">
        <v>29304</v>
      </c>
      <c r="GX135" s="239" t="s">
        <v>29449</v>
      </c>
      <c r="GY135" s="239" t="s">
        <v>29450</v>
      </c>
      <c r="GZ135" s="239" t="s">
        <v>4</v>
      </c>
      <c r="HA135" s="239" t="s">
        <v>4</v>
      </c>
      <c r="HB135" s="239" t="s">
        <v>4</v>
      </c>
      <c r="HC135" s="239" t="s">
        <v>29451</v>
      </c>
      <c r="HD135" s="239" t="s">
        <v>4</v>
      </c>
      <c r="HE135" s="239" t="s">
        <v>4</v>
      </c>
      <c r="HF135" s="239" t="s">
        <v>4</v>
      </c>
      <c r="HG135" s="239" t="s">
        <v>4</v>
      </c>
      <c r="HH135" s="239" t="s">
        <v>29452</v>
      </c>
      <c r="HI135" s="239" t="s">
        <v>4</v>
      </c>
      <c r="HJ135" s="240">
        <v>0</v>
      </c>
      <c r="HK135" s="239" t="s">
        <v>7</v>
      </c>
      <c r="HL135" s="239" t="s">
        <v>29309</v>
      </c>
      <c r="HM135" s="239" t="s">
        <v>4</v>
      </c>
      <c r="HN135" s="239" t="s">
        <v>4</v>
      </c>
      <c r="HO135" s="239" t="s">
        <v>4</v>
      </c>
      <c r="HP135" s="239" t="s">
        <v>4</v>
      </c>
      <c r="HQ135" s="239" t="s">
        <v>4</v>
      </c>
      <c r="HR135" s="239" t="s">
        <v>4</v>
      </c>
      <c r="HS135" s="239" t="s">
        <v>4</v>
      </c>
      <c r="HT135" s="239" t="s">
        <v>4</v>
      </c>
      <c r="HU135" s="239" t="s">
        <v>2</v>
      </c>
      <c r="HV135" s="239" t="s">
        <v>4</v>
      </c>
      <c r="HW135" s="239" t="s">
        <v>4</v>
      </c>
      <c r="HX135" s="239" t="s">
        <v>4</v>
      </c>
      <c r="HY135" s="239" t="s">
        <v>4</v>
      </c>
      <c r="HZ135" s="239" t="s">
        <v>29453</v>
      </c>
      <c r="IA135" s="239" t="s">
        <v>7</v>
      </c>
      <c r="IB135" s="239" t="s">
        <v>29454</v>
      </c>
      <c r="IC135" s="239" t="s">
        <v>29455</v>
      </c>
      <c r="ID135" s="239" t="s">
        <v>29456</v>
      </c>
      <c r="IE135" s="239" t="s">
        <v>29457</v>
      </c>
      <c r="IF135" s="239" t="s">
        <v>29458</v>
      </c>
      <c r="IG135" s="239" t="s">
        <v>29459</v>
      </c>
      <c r="IH135" s="239" t="s">
        <v>29439</v>
      </c>
    </row>
    <row r="136" spans="1:242" s="1" customFormat="1" ht="36.75" customHeight="1" x14ac:dyDescent="0.2">
      <c r="A136" s="239">
        <v>141</v>
      </c>
      <c r="B136" s="239" t="s">
        <v>28613</v>
      </c>
      <c r="C136" s="239" t="s">
        <v>30792</v>
      </c>
      <c r="D136" s="239" t="s">
        <v>30786</v>
      </c>
      <c r="E136" s="239" t="s">
        <v>7</v>
      </c>
      <c r="F136" s="239" t="s">
        <v>30793</v>
      </c>
      <c r="G136" s="239">
        <v>1131.4000000000001</v>
      </c>
      <c r="H136" s="239">
        <v>3.6</v>
      </c>
      <c r="I136" s="239" t="s">
        <v>29288</v>
      </c>
      <c r="J136" s="239" t="s">
        <v>4</v>
      </c>
      <c r="K136" s="239" t="s">
        <v>30794</v>
      </c>
      <c r="L136" s="239">
        <v>782593967</v>
      </c>
      <c r="M136" s="239" t="s">
        <v>5</v>
      </c>
      <c r="N136" s="239" t="s">
        <v>31590</v>
      </c>
      <c r="O136" s="239" t="s">
        <v>4</v>
      </c>
      <c r="P136" s="239">
        <v>6</v>
      </c>
      <c r="Q136" s="239" t="s">
        <v>7</v>
      </c>
      <c r="R136" s="239" t="s">
        <v>31588</v>
      </c>
      <c r="S136" s="239" t="s">
        <v>4</v>
      </c>
      <c r="T136" s="239" t="s">
        <v>7</v>
      </c>
      <c r="U136" s="239" t="s">
        <v>7</v>
      </c>
      <c r="V136" s="239"/>
      <c r="W136" s="239" t="s">
        <v>7</v>
      </c>
      <c r="X136" s="239" t="s">
        <v>4</v>
      </c>
      <c r="Y136" s="239" t="s">
        <v>4</v>
      </c>
      <c r="Z136" s="241" t="str">
        <f>IF(OR(T136="yes",Y136&gt;'SDG outcome'!$C$27),"yes","no")</f>
        <v>yes</v>
      </c>
      <c r="AA136" s="243">
        <f t="shared" si="13"/>
        <v>0</v>
      </c>
      <c r="AB136" s="243" t="str">
        <f>IF(AND(Z136="no",AND(Y136&gt;='SDG outcome'!$B$16,Y136&lt;'SDG outcome'!$C$27)),Y136-'SDG outcome'!$B$16,"")</f>
        <v/>
      </c>
      <c r="AC136" s="239" t="s">
        <v>4</v>
      </c>
      <c r="AD136" s="239" t="s">
        <v>4</v>
      </c>
      <c r="AE136" s="239" t="s">
        <v>4</v>
      </c>
      <c r="AF136" s="239" t="s">
        <v>4</v>
      </c>
      <c r="AG136" s="239" t="s">
        <v>4</v>
      </c>
      <c r="AH136" s="239" t="s">
        <v>4</v>
      </c>
      <c r="AI136" s="239" t="s">
        <v>4</v>
      </c>
      <c r="AJ136" s="239" t="s">
        <v>29290</v>
      </c>
      <c r="AK136" s="239" t="s">
        <v>29291</v>
      </c>
      <c r="AL136" s="239" t="s">
        <v>4</v>
      </c>
      <c r="AM136" s="239" t="s">
        <v>4</v>
      </c>
      <c r="AN136" s="239" t="s">
        <v>31536</v>
      </c>
      <c r="AO136" s="239" t="s">
        <v>4</v>
      </c>
      <c r="AP136" s="239" t="s">
        <v>31537</v>
      </c>
      <c r="AQ136" s="239" t="s">
        <v>4</v>
      </c>
      <c r="AR136" s="239" t="s">
        <v>31538</v>
      </c>
      <c r="AS136" s="239" t="s">
        <v>4</v>
      </c>
      <c r="AT136" s="239" t="s">
        <v>7</v>
      </c>
      <c r="AU136" s="239" t="s">
        <v>4</v>
      </c>
      <c r="AV136" s="239" t="s">
        <v>4</v>
      </c>
      <c r="AW136" s="239" t="s">
        <v>31550</v>
      </c>
      <c r="AX136" s="239" t="s">
        <v>4</v>
      </c>
      <c r="AY136" s="239" t="s">
        <v>4</v>
      </c>
      <c r="AZ136" s="239" t="s">
        <v>7</v>
      </c>
      <c r="BA136" s="239" t="s">
        <v>6</v>
      </c>
      <c r="BB136" s="239" t="s">
        <v>4</v>
      </c>
      <c r="BC136" s="239" t="s">
        <v>31540</v>
      </c>
      <c r="BD136" s="239" t="s">
        <v>22</v>
      </c>
      <c r="BE136" s="239" t="s">
        <v>4</v>
      </c>
      <c r="BF136" s="239" t="s">
        <v>4</v>
      </c>
      <c r="BG136" s="239" t="s">
        <v>4</v>
      </c>
      <c r="BH136" s="239" t="s">
        <v>31542</v>
      </c>
      <c r="BI136" s="239" t="s">
        <v>31543</v>
      </c>
      <c r="BJ136" s="239" t="s">
        <v>31544</v>
      </c>
      <c r="BK136" s="239">
        <v>3</v>
      </c>
      <c r="BL136" s="239" t="s">
        <v>4</v>
      </c>
      <c r="BM136" s="239" t="s">
        <v>7</v>
      </c>
      <c r="BN136" s="239" t="s">
        <v>6</v>
      </c>
      <c r="BO136" s="239" t="s">
        <v>4</v>
      </c>
      <c r="BP136" s="239" t="s">
        <v>31425</v>
      </c>
      <c r="BQ136" s="239">
        <v>1</v>
      </c>
      <c r="BR136" s="239">
        <v>30</v>
      </c>
      <c r="BS136" s="239" t="s">
        <v>31426</v>
      </c>
      <c r="BT136" s="239"/>
      <c r="BU136" s="239">
        <v>2</v>
      </c>
      <c r="BV136" s="239" cm="1">
        <f t="array" ref="BV136">_xlfn.IFS(BS136="Foreword vehicle",BU136*0,BS136="Human wastes",BU136*0,BS136="Jerrycans",BU136*$BV$228,BS136="Number of Basins",BU136*$BV$229,BS136="Number of Buckets",BU136*$CA$226,BS136="Number of Kgs",BU136*$CA$227,BS136="Number of spades",BU136*$CA$228,BS136="Number of wheelbarrows",BU136*$CA$229,BT136="Foreword vehicle",BU136*0,BT136="Human wastes",BU136*0,BT136="Jerrycans",BU136*$BV$228,BS136="","")</f>
        <v>46</v>
      </c>
      <c r="BW136" s="239">
        <f>IF(BV136="","",Table14[[#This Row],[Calculation: Conversion of metric to Kg manure feeding (Columns: BP, BQ, BR)]]*Table14[[#This Row],[Number of times used to feed biodigester]])</f>
        <v>46</v>
      </c>
      <c r="BX136" s="239" cm="1">
        <f t="array" ref="BX136">_xlfn.IFS(BP136="Number of times per day (1 to 3)",BW136/$BX$226,BP136="Number of times per week (1 to 6)",BW136/$BX$227,BP136="Number of times per Month (1 to 3)",BW136/$BX$228,BW136="","")</f>
        <v>46</v>
      </c>
      <c r="BY136" s="239" t="s">
        <v>22</v>
      </c>
      <c r="BZ136" s="239" t="s">
        <v>4</v>
      </c>
      <c r="CA136" s="239" t="s">
        <v>2</v>
      </c>
      <c r="CB136" s="239" t="s">
        <v>4</v>
      </c>
      <c r="CC136" s="239" t="s">
        <v>4</v>
      </c>
      <c r="CD136" s="239" t="s">
        <v>4</v>
      </c>
      <c r="CE136" s="239" t="s">
        <v>7</v>
      </c>
      <c r="CF136" s="239" t="s">
        <v>31867</v>
      </c>
      <c r="CG136" s="239" t="s">
        <v>4</v>
      </c>
      <c r="CH136" s="239" t="s">
        <v>31604</v>
      </c>
      <c r="CI136" s="239">
        <v>6</v>
      </c>
      <c r="CJ136" s="239">
        <v>0</v>
      </c>
      <c r="CK136" s="239">
        <v>0</v>
      </c>
      <c r="CL136" s="239">
        <v>0</v>
      </c>
      <c r="CM136" s="239">
        <v>0</v>
      </c>
      <c r="CN136" s="239">
        <v>0</v>
      </c>
      <c r="CO136" s="239">
        <v>0</v>
      </c>
      <c r="CP136" s="239">
        <v>0</v>
      </c>
      <c r="CQ136" s="239">
        <v>0</v>
      </c>
      <c r="CR136" s="239">
        <v>0</v>
      </c>
      <c r="CS136" s="239">
        <f>CP136/'SDG outcome'!$C$9*CQ136*CR136</f>
        <v>0</v>
      </c>
      <c r="CT136" s="239">
        <v>100</v>
      </c>
      <c r="CU136" s="239">
        <v>0</v>
      </c>
      <c r="CV136" s="239" t="s">
        <v>4</v>
      </c>
      <c r="CW136" s="239" t="s">
        <v>4</v>
      </c>
      <c r="CX136" s="239" t="s">
        <v>4</v>
      </c>
      <c r="CY136" s="239" t="s">
        <v>4</v>
      </c>
      <c r="CZ136" s="239" t="s">
        <v>4</v>
      </c>
      <c r="DA136" s="239" t="s">
        <v>4</v>
      </c>
      <c r="DB136" s="239" t="s">
        <v>4</v>
      </c>
      <c r="DC136" s="239" t="s">
        <v>4</v>
      </c>
      <c r="DD136" s="239" t="s">
        <v>4</v>
      </c>
      <c r="DE136" s="239" t="s">
        <v>4</v>
      </c>
      <c r="DF136" s="239" t="s">
        <v>4</v>
      </c>
      <c r="DG136" s="239" t="s">
        <v>4</v>
      </c>
      <c r="DH136" s="239" t="s">
        <v>4</v>
      </c>
      <c r="DI136" s="239" t="s">
        <v>4</v>
      </c>
      <c r="DJ136" s="239" t="s">
        <v>4</v>
      </c>
      <c r="DK136" s="239" t="s">
        <v>4</v>
      </c>
      <c r="DL136" s="239" t="s">
        <v>4</v>
      </c>
      <c r="DM136" s="239" t="s">
        <v>4</v>
      </c>
      <c r="DN136" s="239" t="s">
        <v>4</v>
      </c>
      <c r="DO136" s="239">
        <v>3</v>
      </c>
      <c r="DP136" s="239" t="s">
        <v>2</v>
      </c>
      <c r="DQ136" s="239" t="s">
        <v>29292</v>
      </c>
      <c r="DR136" s="239" t="s">
        <v>4</v>
      </c>
      <c r="DS136" s="239" t="s">
        <v>29294</v>
      </c>
      <c r="DT136" s="240" t="s">
        <v>4</v>
      </c>
      <c r="DU136" s="239" t="s">
        <v>29293</v>
      </c>
      <c r="DV136" s="240">
        <v>30000</v>
      </c>
      <c r="DW136" s="239" t="s">
        <v>29508</v>
      </c>
      <c r="DX136" s="239"/>
      <c r="DY136" s="239"/>
      <c r="DZ136" s="239"/>
      <c r="EA136" s="239"/>
      <c r="EB136" s="239"/>
      <c r="EC136" s="239"/>
      <c r="ED136" s="239"/>
      <c r="EE136" s="320">
        <f>Table14[[#This Row],[% Fertilizer]]*$DX136/10000</f>
        <v>0</v>
      </c>
      <c r="EF136" s="320">
        <f>Table14[[#This Row],[% bioslurry used as Insecticide/Pesticide]]*$DX136/10000</f>
        <v>0</v>
      </c>
      <c r="EG136" s="320">
        <f>Table14[[#This Row],[% of Bioslurry used as animal feed]]*$DX136/10000</f>
        <v>0</v>
      </c>
      <c r="EH136" s="320">
        <f>Table14[[#This Row],[% of Bioslurry sold]]*$DX136/10000</f>
        <v>0</v>
      </c>
      <c r="EI136" s="320">
        <f>Table14[[#This Row],[% used other way(if used directly)]]*$DX136/10000</f>
        <v>0</v>
      </c>
      <c r="EJ136" s="239">
        <v>100</v>
      </c>
      <c r="EK136" s="239" t="s">
        <v>30747</v>
      </c>
      <c r="EL136" s="239"/>
      <c r="EM136" s="239">
        <v>100</v>
      </c>
      <c r="EN136" s="239"/>
      <c r="EO136" s="239">
        <f>(Table14[[#This Row],[% Uncovered lagoon greater than 1 meter]]+Table14[[#This Row],[Uncovered lagoon (black watery mass) &lt;1 meter]]+Table14[[#This Row],[% Liquid slurry (brown porridge type)]])*Table14[[#This Row],[% Store it first]]/100</f>
        <v>100</v>
      </c>
      <c r="EP136" s="239"/>
      <c r="EQ136" s="239"/>
      <c r="ER136" s="239"/>
      <c r="ES136" s="239"/>
      <c r="ET136" s="239">
        <f>(Table14[[#This Row],[% Solid storage]]+Table14[[#This Row],[% Sun drying]]+Table14[[#This Row],[% Composting with a roof]]+Table14[[#This Row],[% Composting without a roof]])*Table14[[#This Row],[% Store it first]]/100</f>
        <v>0</v>
      </c>
      <c r="EU136" s="239">
        <v>20</v>
      </c>
      <c r="EV136" s="320">
        <f t="shared" si="8"/>
        <v>1</v>
      </c>
      <c r="EW136" s="320">
        <f t="shared" si="9"/>
        <v>0</v>
      </c>
      <c r="EX136" s="320">
        <f t="shared" si="10"/>
        <v>0</v>
      </c>
      <c r="EY136" s="320">
        <f t="shared" si="11"/>
        <v>0</v>
      </c>
      <c r="EZ136" s="320">
        <f t="shared" si="12"/>
        <v>0</v>
      </c>
      <c r="FA136" s="239"/>
      <c r="FB136" s="239"/>
      <c r="FC136" s="239"/>
      <c r="FD136" s="239">
        <f>Table14[[#This Row],[% I donâ€™t use it / discarded]]+Table14[[#This Row],[% Other (specify)(If you use bioslurry directly)]]+Table14[[#This Row],[% Store it first]]+Table14[[#This Row],[% Use directly for various purposes]]</f>
        <v>100</v>
      </c>
      <c r="FE136" s="239" t="s">
        <v>29296</v>
      </c>
      <c r="FF136" s="239">
        <v>100</v>
      </c>
      <c r="FG136" s="239"/>
      <c r="FH136" s="239"/>
      <c r="FI136" s="239"/>
      <c r="FJ136" s="239"/>
      <c r="FK136" s="239">
        <v>2</v>
      </c>
      <c r="FL136" s="239" t="s">
        <v>7</v>
      </c>
      <c r="FM136" s="239">
        <v>100</v>
      </c>
      <c r="FN136" s="239">
        <f>FK136*FM136/100</f>
        <v>2</v>
      </c>
      <c r="FO136" s="239" t="s">
        <v>30795</v>
      </c>
      <c r="FP136" s="239" t="s">
        <v>29298</v>
      </c>
      <c r="FQ136" s="239">
        <v>24</v>
      </c>
      <c r="FR136" s="239" t="s">
        <v>2</v>
      </c>
      <c r="FS136" s="239" t="s">
        <v>4</v>
      </c>
      <c r="FT136" s="239" t="s">
        <v>4</v>
      </c>
      <c r="FU136" s="239" t="s">
        <v>2</v>
      </c>
      <c r="FV136" s="239" t="s">
        <v>4</v>
      </c>
      <c r="FW136" s="239" t="s">
        <v>4</v>
      </c>
      <c r="FX136" s="239" t="s">
        <v>4</v>
      </c>
      <c r="FY136" s="239" t="s">
        <v>4</v>
      </c>
      <c r="FZ136" s="239" t="s">
        <v>4</v>
      </c>
      <c r="GA136" s="239" t="s">
        <v>4</v>
      </c>
      <c r="GB136" s="240" t="s">
        <v>4</v>
      </c>
      <c r="GC136" s="239" t="s">
        <v>4</v>
      </c>
      <c r="GD136" s="239" t="s">
        <v>7</v>
      </c>
      <c r="GE136" s="239" t="s">
        <v>29301</v>
      </c>
      <c r="GF136" s="239" t="s">
        <v>4</v>
      </c>
      <c r="GG136" s="239" t="s">
        <v>7</v>
      </c>
      <c r="GH136" s="239" t="s">
        <v>7</v>
      </c>
      <c r="GI136" s="239" t="s">
        <v>29302</v>
      </c>
      <c r="GJ136" s="239" t="s">
        <v>30078</v>
      </c>
      <c r="GK136" s="239" t="s">
        <v>4</v>
      </c>
      <c r="GL136" s="239">
        <v>0</v>
      </c>
      <c r="GM136" s="239"/>
      <c r="GN136" s="239" t="s">
        <v>4</v>
      </c>
      <c r="GO136" s="239" t="s">
        <v>4</v>
      </c>
      <c r="GP136" s="239" t="s">
        <v>4</v>
      </c>
      <c r="GQ136" s="239" t="s">
        <v>4</v>
      </c>
      <c r="GR136" s="239" t="s">
        <v>4</v>
      </c>
      <c r="GS136" s="239" t="s">
        <v>4</v>
      </c>
      <c r="GT136" s="239" t="s">
        <v>4</v>
      </c>
      <c r="GU136" s="239" t="s">
        <v>4</v>
      </c>
      <c r="GV136" s="239" t="s">
        <v>4</v>
      </c>
      <c r="GW136" s="239" t="s">
        <v>29304</v>
      </c>
      <c r="GX136" s="239" t="s">
        <v>29882</v>
      </c>
      <c r="GY136" s="239" t="s">
        <v>29306</v>
      </c>
      <c r="GZ136" s="239" t="s">
        <v>30796</v>
      </c>
      <c r="HA136" s="239" t="s">
        <v>30273</v>
      </c>
      <c r="HB136" s="239" t="s">
        <v>4</v>
      </c>
      <c r="HC136" s="239" t="s">
        <v>4</v>
      </c>
      <c r="HD136" s="239" t="s">
        <v>4</v>
      </c>
      <c r="HE136" s="239" t="s">
        <v>30008</v>
      </c>
      <c r="HF136" s="239" t="s">
        <v>13</v>
      </c>
      <c r="HG136" s="239" t="s">
        <v>16</v>
      </c>
      <c r="HH136" s="239" t="s">
        <v>30516</v>
      </c>
      <c r="HI136" s="239" t="s">
        <v>4</v>
      </c>
      <c r="HJ136" s="240">
        <v>0</v>
      </c>
      <c r="HK136" s="239" t="s">
        <v>7</v>
      </c>
      <c r="HL136" s="239" t="s">
        <v>29837</v>
      </c>
      <c r="HM136" s="239" t="s">
        <v>4</v>
      </c>
      <c r="HN136" s="239" t="s">
        <v>4</v>
      </c>
      <c r="HO136" s="239" t="s">
        <v>4</v>
      </c>
      <c r="HP136" s="239" t="s">
        <v>4</v>
      </c>
      <c r="HQ136" s="239" t="s">
        <v>4</v>
      </c>
      <c r="HR136" s="239" t="s">
        <v>4</v>
      </c>
      <c r="HS136" s="239" t="s">
        <v>4</v>
      </c>
      <c r="HT136" s="239" t="s">
        <v>4</v>
      </c>
      <c r="HU136" s="239" t="s">
        <v>2</v>
      </c>
      <c r="HV136" s="239" t="s">
        <v>4</v>
      </c>
      <c r="HW136" s="239" t="s">
        <v>4</v>
      </c>
      <c r="HX136" s="239" t="s">
        <v>4</v>
      </c>
      <c r="HY136" s="239" t="s">
        <v>4</v>
      </c>
      <c r="HZ136" s="239" t="s">
        <v>16</v>
      </c>
      <c r="IA136" s="239" t="s">
        <v>2</v>
      </c>
      <c r="IB136" s="239" t="s">
        <v>4</v>
      </c>
      <c r="IC136" s="239" t="s">
        <v>16</v>
      </c>
      <c r="ID136" s="239" t="s">
        <v>30797</v>
      </c>
      <c r="IE136" s="239" t="s">
        <v>30798</v>
      </c>
      <c r="IF136" s="239" t="s">
        <v>30799</v>
      </c>
      <c r="IG136" s="239" t="s">
        <v>30800</v>
      </c>
      <c r="IH136" s="239" t="s">
        <v>30792</v>
      </c>
    </row>
    <row r="137" spans="1:242" s="1" customFormat="1" ht="36.75" customHeight="1" x14ac:dyDescent="0.2">
      <c r="A137" s="239">
        <v>187</v>
      </c>
      <c r="B137" s="239" t="s">
        <v>25284</v>
      </c>
      <c r="C137" s="239" t="s">
        <v>31254</v>
      </c>
      <c r="D137" s="239" t="s">
        <v>43</v>
      </c>
      <c r="E137" s="239" t="s">
        <v>7</v>
      </c>
      <c r="F137" s="239" t="s">
        <v>31255</v>
      </c>
      <c r="G137" s="239">
        <v>1214.5</v>
      </c>
      <c r="H137" s="239">
        <v>4.9000000000000004</v>
      </c>
      <c r="I137" s="239" t="s">
        <v>29288</v>
      </c>
      <c r="J137" s="239" t="s">
        <v>4</v>
      </c>
      <c r="K137" s="239" t="s">
        <v>31256</v>
      </c>
      <c r="L137" s="239">
        <v>755141929</v>
      </c>
      <c r="M137" s="239" t="s">
        <v>3</v>
      </c>
      <c r="N137" s="239" t="s">
        <v>31590</v>
      </c>
      <c r="O137" s="239" t="s">
        <v>4</v>
      </c>
      <c r="P137" s="239">
        <v>9</v>
      </c>
      <c r="Q137" s="239" t="s">
        <v>7</v>
      </c>
      <c r="R137" s="239" t="s">
        <v>31588</v>
      </c>
      <c r="S137" s="239" t="s">
        <v>4</v>
      </c>
      <c r="T137" s="239" t="s">
        <v>7</v>
      </c>
      <c r="U137" s="239" t="s">
        <v>7</v>
      </c>
      <c r="V137" s="239"/>
      <c r="W137" s="239" t="s">
        <v>7</v>
      </c>
      <c r="X137" s="239" t="s">
        <v>4</v>
      </c>
      <c r="Y137" s="239" t="s">
        <v>4</v>
      </c>
      <c r="Z137" s="241" t="str">
        <f>IF(OR(T137="yes",Y137&gt;'SDG outcome'!$C$27),"yes","no")</f>
        <v>yes</v>
      </c>
      <c r="AA137" s="243">
        <f t="shared" si="13"/>
        <v>0</v>
      </c>
      <c r="AB137" s="243" t="str">
        <f>IF(AND(Z137="no",AND(Y137&gt;='SDG outcome'!$B$16,Y137&lt;'SDG outcome'!$C$27)),Y137-'SDG outcome'!$B$16,"")</f>
        <v/>
      </c>
      <c r="AC137" s="239" t="s">
        <v>4</v>
      </c>
      <c r="AD137" s="239" t="s">
        <v>4</v>
      </c>
      <c r="AE137" s="239" t="s">
        <v>4</v>
      </c>
      <c r="AF137" s="239" t="s">
        <v>4</v>
      </c>
      <c r="AG137" s="239" t="s">
        <v>4</v>
      </c>
      <c r="AH137" s="239" t="s">
        <v>4</v>
      </c>
      <c r="AI137" s="239" t="s">
        <v>4</v>
      </c>
      <c r="AJ137" s="239" t="s">
        <v>29290</v>
      </c>
      <c r="AK137" s="239" t="s">
        <v>29694</v>
      </c>
      <c r="AL137" s="239" t="s">
        <v>4</v>
      </c>
      <c r="AM137" s="239" t="s">
        <v>4</v>
      </c>
      <c r="AN137" s="239" t="s">
        <v>31536</v>
      </c>
      <c r="AO137" s="239" t="s">
        <v>4</v>
      </c>
      <c r="AP137" s="239" t="s">
        <v>31600</v>
      </c>
      <c r="AQ137" s="239" t="s">
        <v>4</v>
      </c>
      <c r="AR137" s="239" t="s">
        <v>31538</v>
      </c>
      <c r="AS137" s="239" t="s">
        <v>4</v>
      </c>
      <c r="AT137" s="239" t="s">
        <v>7</v>
      </c>
      <c r="AU137" s="239" t="s">
        <v>4</v>
      </c>
      <c r="AV137" s="239" t="s">
        <v>4</v>
      </c>
      <c r="AW137" s="239" t="s">
        <v>31550</v>
      </c>
      <c r="AX137" s="239" t="s">
        <v>4</v>
      </c>
      <c r="AY137" s="239" t="s">
        <v>4</v>
      </c>
      <c r="AZ137" s="239" t="s">
        <v>7</v>
      </c>
      <c r="BA137" s="239" t="s">
        <v>28</v>
      </c>
      <c r="BB137" s="239" t="s">
        <v>4</v>
      </c>
      <c r="BC137" s="239" t="s">
        <v>4</v>
      </c>
      <c r="BD137" s="239" t="s">
        <v>4</v>
      </c>
      <c r="BE137" s="239" t="s">
        <v>4</v>
      </c>
      <c r="BF137" s="239" t="s">
        <v>4</v>
      </c>
      <c r="BG137" s="239" t="s">
        <v>4</v>
      </c>
      <c r="BH137" s="239" t="s">
        <v>4</v>
      </c>
      <c r="BI137" s="239" t="s">
        <v>4</v>
      </c>
      <c r="BJ137" s="239" t="s">
        <v>4</v>
      </c>
      <c r="BK137" s="239" t="s">
        <v>4</v>
      </c>
      <c r="BL137" s="239" t="s">
        <v>4</v>
      </c>
      <c r="BM137" s="239" t="s">
        <v>7</v>
      </c>
      <c r="BN137" s="239" t="s">
        <v>11</v>
      </c>
      <c r="BO137" s="239" t="s">
        <v>4</v>
      </c>
      <c r="BP137" s="239" t="s">
        <v>31429</v>
      </c>
      <c r="BQ137" s="239">
        <v>2</v>
      </c>
      <c r="BR137" s="239">
        <v>45</v>
      </c>
      <c r="BS137" s="239" t="s">
        <v>31435</v>
      </c>
      <c r="BT137" s="239"/>
      <c r="BU137" s="239">
        <v>3</v>
      </c>
      <c r="BV137" s="239" cm="1">
        <f t="array" ref="BV137">_xlfn.IFS(BS137="Foreword vehicle",BU137*0,BS137="Human wastes",BU137*0,BS137="Jerrycans",BU137*$BV$228,BS137="Number of Basins",BU137*$BV$229,BS137="Number of Buckets",BU137*$CA$226,BS137="Number of Kgs",BU137*$CA$227,BS137="Number of spades",BU137*$CA$228,BS137="Number of wheelbarrows",BU137*$CA$229,BT137="Foreword vehicle",BU137*0,BT137="Human wastes",BU137*0,BT137="Jerrycans",BU137*$BV$228,BS137="","")</f>
        <v>211.5</v>
      </c>
      <c r="BW137" s="239">
        <f>IF(BV137="","",Table14[[#This Row],[Calculation: Conversion of metric to Kg manure feeding (Columns: BP, BQ, BR)]]*Table14[[#This Row],[Number of times used to feed biodigester]])</f>
        <v>423</v>
      </c>
      <c r="BX137" s="239" cm="1">
        <f t="array" ref="BX137">_xlfn.IFS(BP137="Number of times per day (1 to 3)",BW137/$BX$226,BP137="Number of times per week (1 to 6)",BW137/$BX$227,BP137="Number of times per Month (1 to 3)",BW137/$BX$228,BW137="","")</f>
        <v>60.428571428571431</v>
      </c>
      <c r="BY137" s="239" t="s">
        <v>22</v>
      </c>
      <c r="BZ137" s="239" t="s">
        <v>4</v>
      </c>
      <c r="CA137" s="239" t="s">
        <v>2</v>
      </c>
      <c r="CB137" s="239" t="s">
        <v>4</v>
      </c>
      <c r="CC137" s="239" t="s">
        <v>4</v>
      </c>
      <c r="CD137" s="239" t="s">
        <v>4</v>
      </c>
      <c r="CE137" s="239" t="s">
        <v>7</v>
      </c>
      <c r="CF137" s="239" t="s">
        <v>31951</v>
      </c>
      <c r="CG137" s="239" t="s">
        <v>4</v>
      </c>
      <c r="CH137" s="239" t="s">
        <v>31952</v>
      </c>
      <c r="CI137" s="239">
        <v>6</v>
      </c>
      <c r="CJ137" s="239">
        <v>0</v>
      </c>
      <c r="CK137" s="239">
        <v>0</v>
      </c>
      <c r="CL137" s="239">
        <v>0</v>
      </c>
      <c r="CM137" s="239">
        <v>0</v>
      </c>
      <c r="CN137" s="239">
        <v>50</v>
      </c>
      <c r="CO137" s="239">
        <v>0</v>
      </c>
      <c r="CP137" s="239">
        <v>0</v>
      </c>
      <c r="CQ137" s="239">
        <v>0</v>
      </c>
      <c r="CR137" s="239">
        <v>0</v>
      </c>
      <c r="CS137" s="239">
        <f>CP137/'SDG outcome'!$C$9*CQ137*CR137</f>
        <v>0</v>
      </c>
      <c r="CT137" s="239">
        <v>100</v>
      </c>
      <c r="CU137" s="239">
        <v>0</v>
      </c>
      <c r="CV137" s="239" t="s">
        <v>4</v>
      </c>
      <c r="CW137" s="239" t="s">
        <v>4</v>
      </c>
      <c r="CX137" s="239" t="s">
        <v>4</v>
      </c>
      <c r="CY137" s="239" t="s">
        <v>4</v>
      </c>
      <c r="CZ137" s="239" t="s">
        <v>4</v>
      </c>
      <c r="DA137" s="239" t="s">
        <v>4</v>
      </c>
      <c r="DB137" s="239" t="s">
        <v>4</v>
      </c>
      <c r="DC137" s="239" t="s">
        <v>4</v>
      </c>
      <c r="DD137" s="239" t="s">
        <v>4</v>
      </c>
      <c r="DE137" s="239" t="s">
        <v>4</v>
      </c>
      <c r="DF137" s="239">
        <v>0</v>
      </c>
      <c r="DG137" s="239">
        <v>100</v>
      </c>
      <c r="DH137" s="239" t="s">
        <v>31953</v>
      </c>
      <c r="DI137" s="239" t="s">
        <v>4</v>
      </c>
      <c r="DJ137" s="239" t="s">
        <v>4</v>
      </c>
      <c r="DK137" s="239" t="s">
        <v>4</v>
      </c>
      <c r="DL137" s="239" t="s">
        <v>4</v>
      </c>
      <c r="DM137" s="239" t="s">
        <v>4</v>
      </c>
      <c r="DN137" s="239" t="s">
        <v>4</v>
      </c>
      <c r="DO137" s="239">
        <v>3</v>
      </c>
      <c r="DP137" s="239" t="s">
        <v>2</v>
      </c>
      <c r="DQ137" s="239" t="s">
        <v>29292</v>
      </c>
      <c r="DR137" s="239" t="s">
        <v>4</v>
      </c>
      <c r="DS137" s="239" t="s">
        <v>29294</v>
      </c>
      <c r="DT137" s="240" t="s">
        <v>4</v>
      </c>
      <c r="DU137" s="239" t="s">
        <v>29294</v>
      </c>
      <c r="DV137" s="240" t="s">
        <v>4</v>
      </c>
      <c r="DW137" s="239" t="s">
        <v>29295</v>
      </c>
      <c r="DX137" s="239">
        <v>100</v>
      </c>
      <c r="DY137" s="239" t="s">
        <v>29296</v>
      </c>
      <c r="DZ137" s="239">
        <v>100</v>
      </c>
      <c r="EA137" s="239"/>
      <c r="EB137" s="239"/>
      <c r="EC137" s="239"/>
      <c r="ED137" s="239"/>
      <c r="EE137" s="320">
        <f>Table14[[#This Row],[% Fertilizer]]*$DX137/10000</f>
        <v>1</v>
      </c>
      <c r="EF137" s="320">
        <f>Table14[[#This Row],[% bioslurry used as Insecticide/Pesticide]]*$DX137/10000</f>
        <v>0</v>
      </c>
      <c r="EG137" s="320">
        <f>Table14[[#This Row],[% of Bioslurry used as animal feed]]*$DX137/10000</f>
        <v>0</v>
      </c>
      <c r="EH137" s="320">
        <f>Table14[[#This Row],[% of Bioslurry sold]]*$DX137/10000</f>
        <v>0</v>
      </c>
      <c r="EI137" s="320">
        <f>Table14[[#This Row],[% used other way(if used directly)]]*$DX137/10000</f>
        <v>0</v>
      </c>
      <c r="EJ137" s="239"/>
      <c r="EK137" s="239"/>
      <c r="EL137" s="239"/>
      <c r="EM137" s="239"/>
      <c r="EN137" s="239"/>
      <c r="EO137" s="239">
        <f>(Table14[[#This Row],[% Uncovered lagoon greater than 1 meter]]+Table14[[#This Row],[Uncovered lagoon (black watery mass) &lt;1 meter]]+Table14[[#This Row],[% Liquid slurry (brown porridge type)]])*Table14[[#This Row],[% Store it first]]/100</f>
        <v>0</v>
      </c>
      <c r="EP137" s="239"/>
      <c r="EQ137" s="239"/>
      <c r="ER137" s="239"/>
      <c r="ES137" s="239"/>
      <c r="ET137" s="239">
        <f>(Table14[[#This Row],[% Solid storage]]+Table14[[#This Row],[% Sun drying]]+Table14[[#This Row],[% Composting with a roof]]+Table14[[#This Row],[% Composting without a roof]])*Table14[[#This Row],[% Store it first]]/100</f>
        <v>0</v>
      </c>
      <c r="EU137" s="239"/>
      <c r="EV137" s="320">
        <f t="shared" si="8"/>
        <v>0</v>
      </c>
      <c r="EW137" s="320">
        <f t="shared" si="9"/>
        <v>0</v>
      </c>
      <c r="EX137" s="320">
        <f t="shared" si="10"/>
        <v>0</v>
      </c>
      <c r="EY137" s="320">
        <f t="shared" si="11"/>
        <v>0</v>
      </c>
      <c r="EZ137" s="320">
        <f t="shared" si="12"/>
        <v>0</v>
      </c>
      <c r="FA137" s="239"/>
      <c r="FB137" s="239"/>
      <c r="FC137" s="239"/>
      <c r="FD137" s="239">
        <f>Table14[[#This Row],[% I donâ€™t use it / discarded]]+Table14[[#This Row],[% Other (specify)(If you use bioslurry directly)]]+Table14[[#This Row],[% Store it first]]+Table14[[#This Row],[% Use directly for various purposes]]</f>
        <v>100</v>
      </c>
      <c r="FE137" s="239" t="s">
        <v>4</v>
      </c>
      <c r="FF137" s="239"/>
      <c r="FG137" s="239"/>
      <c r="FH137" s="239"/>
      <c r="FI137" s="239"/>
      <c r="FJ137" s="239"/>
      <c r="FK137" s="239" t="s">
        <v>9</v>
      </c>
      <c r="FL137" s="239" t="s">
        <v>7</v>
      </c>
      <c r="FM137" s="239">
        <v>80</v>
      </c>
      <c r="FN137" s="239"/>
      <c r="FO137" s="239" t="s">
        <v>31257</v>
      </c>
      <c r="FP137" s="239" t="s">
        <v>29298</v>
      </c>
      <c r="FQ137" s="239">
        <v>47</v>
      </c>
      <c r="FR137" s="239" t="s">
        <v>7</v>
      </c>
      <c r="FS137" s="239" t="s">
        <v>29555</v>
      </c>
      <c r="FT137" s="239" t="s">
        <v>4</v>
      </c>
      <c r="FU137" s="239" t="s">
        <v>2</v>
      </c>
      <c r="FV137" s="239" t="s">
        <v>4</v>
      </c>
      <c r="FW137" s="239" t="s">
        <v>4</v>
      </c>
      <c r="FX137" s="239" t="s">
        <v>4</v>
      </c>
      <c r="FY137" s="239" t="s">
        <v>4</v>
      </c>
      <c r="FZ137" s="239" t="s">
        <v>4</v>
      </c>
      <c r="GA137" s="239" t="s">
        <v>4</v>
      </c>
      <c r="GB137" s="240" t="s">
        <v>4</v>
      </c>
      <c r="GC137" s="239" t="s">
        <v>4</v>
      </c>
      <c r="GD137" s="239" t="s">
        <v>2</v>
      </c>
      <c r="GE137" s="239" t="s">
        <v>4</v>
      </c>
      <c r="GF137" s="239" t="s">
        <v>4</v>
      </c>
      <c r="GG137" s="239" t="s">
        <v>7</v>
      </c>
      <c r="GH137" s="239" t="s">
        <v>7</v>
      </c>
      <c r="GI137" s="239" t="s">
        <v>29302</v>
      </c>
      <c r="GJ137" s="239" t="s">
        <v>31258</v>
      </c>
      <c r="GK137" s="239" t="s">
        <v>29304</v>
      </c>
      <c r="GL137" s="239">
        <v>1</v>
      </c>
      <c r="GM137" s="239" t="s">
        <v>29478</v>
      </c>
      <c r="GN137" s="239" t="s">
        <v>29306</v>
      </c>
      <c r="GO137" s="239" t="s">
        <v>29941</v>
      </c>
      <c r="GP137" s="239" t="s">
        <v>4</v>
      </c>
      <c r="GQ137" s="239" t="s">
        <v>4</v>
      </c>
      <c r="GR137" s="239" t="s">
        <v>4</v>
      </c>
      <c r="GS137" s="239" t="s">
        <v>4</v>
      </c>
      <c r="GT137" s="239" t="s">
        <v>4</v>
      </c>
      <c r="GU137" s="239" t="s">
        <v>4</v>
      </c>
      <c r="GV137" s="239" t="s">
        <v>4</v>
      </c>
      <c r="GW137" s="239" t="s">
        <v>4</v>
      </c>
      <c r="GX137" s="239" t="s">
        <v>4</v>
      </c>
      <c r="GY137" s="239" t="s">
        <v>4</v>
      </c>
      <c r="GZ137" s="239" t="s">
        <v>4</v>
      </c>
      <c r="HA137" s="239" t="s">
        <v>4</v>
      </c>
      <c r="HB137" s="239" t="s">
        <v>4</v>
      </c>
      <c r="HC137" s="239" t="s">
        <v>4</v>
      </c>
      <c r="HD137" s="239" t="s">
        <v>4</v>
      </c>
      <c r="HE137" s="239" t="s">
        <v>4</v>
      </c>
      <c r="HF137" s="239" t="s">
        <v>4</v>
      </c>
      <c r="HG137" s="239" t="s">
        <v>4</v>
      </c>
      <c r="HH137" s="239" t="s">
        <v>29354</v>
      </c>
      <c r="HI137" s="239" t="s">
        <v>4</v>
      </c>
      <c r="HJ137" s="240">
        <v>0</v>
      </c>
      <c r="HK137" s="239" t="s">
        <v>2</v>
      </c>
      <c r="HL137" s="239" t="s">
        <v>29309</v>
      </c>
      <c r="HM137" s="239" t="s">
        <v>4</v>
      </c>
      <c r="HN137" s="239" t="s">
        <v>4</v>
      </c>
      <c r="HO137" s="239" t="s">
        <v>4</v>
      </c>
      <c r="HP137" s="239" t="s">
        <v>4</v>
      </c>
      <c r="HQ137" s="239" t="s">
        <v>4</v>
      </c>
      <c r="HR137" s="239" t="s">
        <v>4</v>
      </c>
      <c r="HS137" s="239" t="s">
        <v>4</v>
      </c>
      <c r="HT137" s="239" t="s">
        <v>4</v>
      </c>
      <c r="HU137" s="239" t="s">
        <v>2</v>
      </c>
      <c r="HV137" s="239" t="s">
        <v>4</v>
      </c>
      <c r="HW137" s="239" t="s">
        <v>4</v>
      </c>
      <c r="HX137" s="239" t="s">
        <v>4</v>
      </c>
      <c r="HY137" s="239" t="s">
        <v>4</v>
      </c>
      <c r="HZ137" s="239" t="s">
        <v>16</v>
      </c>
      <c r="IA137" s="239" t="s">
        <v>2</v>
      </c>
      <c r="IB137" s="239" t="s">
        <v>4</v>
      </c>
      <c r="IC137" s="239" t="s">
        <v>16</v>
      </c>
      <c r="ID137" s="239" t="s">
        <v>31259</v>
      </c>
      <c r="IE137" s="239" t="s">
        <v>31260</v>
      </c>
      <c r="IF137" s="239" t="s">
        <v>31261</v>
      </c>
      <c r="IG137" s="239" t="s">
        <v>31262</v>
      </c>
      <c r="IH137" s="239" t="s">
        <v>31254</v>
      </c>
    </row>
    <row r="138" spans="1:242" s="1" customFormat="1" ht="36.75" customHeight="1" x14ac:dyDescent="0.2">
      <c r="A138" s="239">
        <v>199</v>
      </c>
      <c r="B138" s="239" t="s">
        <v>818</v>
      </c>
      <c r="C138" s="239" t="s">
        <v>31373</v>
      </c>
      <c r="D138" s="239" t="s">
        <v>31344</v>
      </c>
      <c r="E138" s="239" t="s">
        <v>7</v>
      </c>
      <c r="F138" s="239" t="s">
        <v>31374</v>
      </c>
      <c r="G138" s="239">
        <v>1152.0509999999999</v>
      </c>
      <c r="H138" s="239">
        <v>15</v>
      </c>
      <c r="I138" s="239" t="s">
        <v>29288</v>
      </c>
      <c r="J138" s="239" t="s">
        <v>4</v>
      </c>
      <c r="K138" s="239" t="s">
        <v>31375</v>
      </c>
      <c r="L138" s="239">
        <v>777912434</v>
      </c>
      <c r="M138" s="239" t="s">
        <v>3</v>
      </c>
      <c r="N138" s="239" t="s">
        <v>31438</v>
      </c>
      <c r="O138" s="239">
        <v>52</v>
      </c>
      <c r="P138" s="239">
        <v>3</v>
      </c>
      <c r="Q138" s="239" t="s">
        <v>7</v>
      </c>
      <c r="R138" s="239" t="s">
        <v>31731</v>
      </c>
      <c r="S138" s="239" t="s">
        <v>4</v>
      </c>
      <c r="T138" s="239" t="s">
        <v>7</v>
      </c>
      <c r="U138" s="239" t="s">
        <v>7</v>
      </c>
      <c r="V138" s="239"/>
      <c r="W138" s="239" t="s">
        <v>7</v>
      </c>
      <c r="X138" s="239" t="s">
        <v>4</v>
      </c>
      <c r="Y138" s="239" t="s">
        <v>4</v>
      </c>
      <c r="Z138" s="241" t="str">
        <f>IF(OR(T138="yes",Y138&gt;'SDG outcome'!$C$27),"yes","no")</f>
        <v>yes</v>
      </c>
      <c r="AA138" s="243">
        <f t="shared" si="13"/>
        <v>0</v>
      </c>
      <c r="AB138" s="243" t="str">
        <f>IF(AND(Z138="no",AND(Y138&gt;='SDG outcome'!$B$16,Y138&lt;'SDG outcome'!$C$27)),Y138-'SDG outcome'!$B$16,"")</f>
        <v/>
      </c>
      <c r="AC138" s="239" t="s">
        <v>4</v>
      </c>
      <c r="AD138" s="239" t="s">
        <v>4</v>
      </c>
      <c r="AE138" s="239" t="s">
        <v>4</v>
      </c>
      <c r="AF138" s="239" t="s">
        <v>4</v>
      </c>
      <c r="AG138" s="239" t="s">
        <v>4</v>
      </c>
      <c r="AH138" s="239" t="s">
        <v>4</v>
      </c>
      <c r="AI138" s="239" t="s">
        <v>4</v>
      </c>
      <c r="AJ138" s="239" t="s">
        <v>29290</v>
      </c>
      <c r="AK138" s="239" t="s">
        <v>29694</v>
      </c>
      <c r="AL138" s="239" t="s">
        <v>4</v>
      </c>
      <c r="AM138" s="239" t="s">
        <v>4</v>
      </c>
      <c r="AN138" s="239" t="s">
        <v>31536</v>
      </c>
      <c r="AO138" s="239" t="s">
        <v>4</v>
      </c>
      <c r="AP138" s="239" t="s">
        <v>31537</v>
      </c>
      <c r="AQ138" s="239" t="s">
        <v>4</v>
      </c>
      <c r="AR138" s="239" t="s">
        <v>31538</v>
      </c>
      <c r="AS138" s="239" t="s">
        <v>4</v>
      </c>
      <c r="AT138" s="239" t="s">
        <v>7</v>
      </c>
      <c r="AU138" s="239" t="s">
        <v>4</v>
      </c>
      <c r="AV138" s="239" t="s">
        <v>4</v>
      </c>
      <c r="AW138" s="239" t="s">
        <v>31550</v>
      </c>
      <c r="AX138" s="239" t="s">
        <v>4</v>
      </c>
      <c r="AY138" s="239" t="s">
        <v>4</v>
      </c>
      <c r="AZ138" s="239" t="s">
        <v>7</v>
      </c>
      <c r="BA138" s="239" t="s">
        <v>11</v>
      </c>
      <c r="BB138" s="239" t="s">
        <v>4</v>
      </c>
      <c r="BC138" s="239" t="s">
        <v>4</v>
      </c>
      <c r="BD138" s="239" t="s">
        <v>4</v>
      </c>
      <c r="BE138" s="239" t="s">
        <v>4</v>
      </c>
      <c r="BF138" s="239" t="s">
        <v>4</v>
      </c>
      <c r="BG138" s="239" t="s">
        <v>4</v>
      </c>
      <c r="BH138" s="239" t="s">
        <v>4</v>
      </c>
      <c r="BI138" s="239" t="s">
        <v>4</v>
      </c>
      <c r="BJ138" s="239" t="s">
        <v>4</v>
      </c>
      <c r="BK138" s="239" t="s">
        <v>4</v>
      </c>
      <c r="BL138" s="239" t="s">
        <v>4</v>
      </c>
      <c r="BM138" s="239" t="s">
        <v>7</v>
      </c>
      <c r="BN138" s="239" t="s">
        <v>28</v>
      </c>
      <c r="BO138" s="239" t="s">
        <v>4</v>
      </c>
      <c r="BP138" s="239" t="s">
        <v>31429</v>
      </c>
      <c r="BQ138" s="239">
        <v>1</v>
      </c>
      <c r="BR138" s="239">
        <v>30</v>
      </c>
      <c r="BS138" s="239" t="s">
        <v>31435</v>
      </c>
      <c r="BT138" s="239"/>
      <c r="BU138" s="239">
        <v>2</v>
      </c>
      <c r="BV138" s="239" cm="1">
        <f t="array" ref="BV138">_xlfn.IFS(BS138="Foreword vehicle",BU138*0,BS138="Human wastes",BU138*0,BS138="Jerrycans",BU138*$BV$228,BS138="Number of Basins",BU138*$BV$229,BS138="Number of Buckets",BU138*$CA$226,BS138="Number of Kgs",BU138*$CA$227,BS138="Number of spades",BU138*$CA$228,BS138="Number of wheelbarrows",BU138*$CA$229,BT138="Foreword vehicle",BU138*0,BT138="Human wastes",BU138*0,BT138="Jerrycans",BU138*$BV$228,BS138="","")</f>
        <v>141</v>
      </c>
      <c r="BW138" s="239">
        <f>IF(BV138="","",Table14[[#This Row],[Calculation: Conversion of metric to Kg manure feeding (Columns: BP, BQ, BR)]]*Table14[[#This Row],[Number of times used to feed biodigester]])</f>
        <v>141</v>
      </c>
      <c r="BX138" s="239" cm="1">
        <f t="array" ref="BX138">_xlfn.IFS(BP138="Number of times per day (1 to 3)",BW138/$BX$226,BP138="Number of times per week (1 to 6)",BW138/$BX$227,BP138="Number of times per Month (1 to 3)",BW138/$BX$228,BW138="","")</f>
        <v>20.142857142857142</v>
      </c>
      <c r="BY138" s="239" t="s">
        <v>22</v>
      </c>
      <c r="BZ138" s="239" t="s">
        <v>4</v>
      </c>
      <c r="CA138" s="239" t="s">
        <v>2</v>
      </c>
      <c r="CB138" s="239" t="s">
        <v>4</v>
      </c>
      <c r="CC138" s="239" t="s">
        <v>4</v>
      </c>
      <c r="CD138" s="239" t="s">
        <v>4</v>
      </c>
      <c r="CE138" s="239" t="s">
        <v>7</v>
      </c>
      <c r="CF138" s="239" t="s">
        <v>31732</v>
      </c>
      <c r="CG138" s="239" t="s">
        <v>4</v>
      </c>
      <c r="CH138" s="239" t="s">
        <v>31585</v>
      </c>
      <c r="CI138" s="239">
        <v>6</v>
      </c>
      <c r="CJ138" s="239">
        <v>0</v>
      </c>
      <c r="CK138" s="239">
        <v>0</v>
      </c>
      <c r="CL138" s="239">
        <v>0</v>
      </c>
      <c r="CM138" s="239">
        <v>1</v>
      </c>
      <c r="CN138" s="239">
        <v>10</v>
      </c>
      <c r="CO138" s="239">
        <v>0</v>
      </c>
      <c r="CP138" s="239">
        <v>0</v>
      </c>
      <c r="CQ138" s="239">
        <v>0</v>
      </c>
      <c r="CR138" s="239">
        <v>0</v>
      </c>
      <c r="CS138" s="239">
        <f>CP138/'SDG outcome'!$C$9*CQ138*CR138</f>
        <v>0</v>
      </c>
      <c r="CT138" s="239">
        <v>100</v>
      </c>
      <c r="CU138" s="239">
        <v>0</v>
      </c>
      <c r="CV138" s="239" t="s">
        <v>4</v>
      </c>
      <c r="CW138" s="239" t="s">
        <v>4</v>
      </c>
      <c r="CX138" s="239" t="s">
        <v>4</v>
      </c>
      <c r="CY138" s="239" t="s">
        <v>4</v>
      </c>
      <c r="CZ138" s="239" t="s">
        <v>4</v>
      </c>
      <c r="DA138" s="239" t="s">
        <v>4</v>
      </c>
      <c r="DB138" s="239" t="s">
        <v>4</v>
      </c>
      <c r="DC138" s="239" t="s">
        <v>4</v>
      </c>
      <c r="DD138" s="239" t="s">
        <v>4</v>
      </c>
      <c r="DE138" s="239" t="s">
        <v>4</v>
      </c>
      <c r="DF138" s="239">
        <v>0</v>
      </c>
      <c r="DG138" s="239">
        <v>100</v>
      </c>
      <c r="DH138" s="239" t="s">
        <v>31733</v>
      </c>
      <c r="DI138" s="239" t="s">
        <v>4</v>
      </c>
      <c r="DJ138" s="239" t="s">
        <v>4</v>
      </c>
      <c r="DK138" s="239" t="s">
        <v>4</v>
      </c>
      <c r="DL138" s="239">
        <v>0</v>
      </c>
      <c r="DM138" s="239">
        <v>100</v>
      </c>
      <c r="DN138" s="239" t="s">
        <v>31734</v>
      </c>
      <c r="DO138" s="239">
        <v>3</v>
      </c>
      <c r="DP138" s="239" t="s">
        <v>2</v>
      </c>
      <c r="DQ138" s="239" t="s">
        <v>29292</v>
      </c>
      <c r="DR138" s="239" t="s">
        <v>4</v>
      </c>
      <c r="DS138" s="239" t="s">
        <v>29293</v>
      </c>
      <c r="DT138" s="240">
        <v>120000</v>
      </c>
      <c r="DU138" s="239" t="s">
        <v>29293</v>
      </c>
      <c r="DV138" s="240">
        <v>120000</v>
      </c>
      <c r="DW138" s="239" t="s">
        <v>29295</v>
      </c>
      <c r="DX138" s="239">
        <v>100</v>
      </c>
      <c r="DY138" s="239" t="s">
        <v>29296</v>
      </c>
      <c r="DZ138" s="239">
        <v>100</v>
      </c>
      <c r="EA138" s="239"/>
      <c r="EB138" s="239"/>
      <c r="EC138" s="239"/>
      <c r="ED138" s="239"/>
      <c r="EE138" s="320">
        <f>Table14[[#This Row],[% Fertilizer]]*$DX138/10000</f>
        <v>1</v>
      </c>
      <c r="EF138" s="320">
        <f>Table14[[#This Row],[% bioslurry used as Insecticide/Pesticide]]*$DX138/10000</f>
        <v>0</v>
      </c>
      <c r="EG138" s="320">
        <f>Table14[[#This Row],[% of Bioslurry used as animal feed]]*$DX138/10000</f>
        <v>0</v>
      </c>
      <c r="EH138" s="320">
        <f>Table14[[#This Row],[% of Bioslurry sold]]*$DX138/10000</f>
        <v>0</v>
      </c>
      <c r="EI138" s="320">
        <f>Table14[[#This Row],[% used other way(if used directly)]]*$DX138/10000</f>
        <v>0</v>
      </c>
      <c r="EJ138" s="239"/>
      <c r="EK138" s="239"/>
      <c r="EL138" s="239"/>
      <c r="EM138" s="239"/>
      <c r="EN138" s="239"/>
      <c r="EO138" s="239">
        <f>(Table14[[#This Row],[% Uncovered lagoon greater than 1 meter]]+Table14[[#This Row],[Uncovered lagoon (black watery mass) &lt;1 meter]]+Table14[[#This Row],[% Liquid slurry (brown porridge type)]])*Table14[[#This Row],[% Store it first]]/100</f>
        <v>0</v>
      </c>
      <c r="EP138" s="239"/>
      <c r="EQ138" s="239"/>
      <c r="ER138" s="239"/>
      <c r="ES138" s="239"/>
      <c r="ET138" s="239">
        <f>(Table14[[#This Row],[% Solid storage]]+Table14[[#This Row],[% Sun drying]]+Table14[[#This Row],[% Composting with a roof]]+Table14[[#This Row],[% Composting without a roof]])*Table14[[#This Row],[% Store it first]]/100</f>
        <v>0</v>
      </c>
      <c r="EU138" s="239"/>
      <c r="EV138" s="320">
        <f t="shared" si="8"/>
        <v>0</v>
      </c>
      <c r="EW138" s="320">
        <f t="shared" si="9"/>
        <v>0</v>
      </c>
      <c r="EX138" s="320">
        <f t="shared" si="10"/>
        <v>0</v>
      </c>
      <c r="EY138" s="320">
        <f t="shared" si="11"/>
        <v>0</v>
      </c>
      <c r="EZ138" s="320">
        <f t="shared" si="12"/>
        <v>0</v>
      </c>
      <c r="FA138" s="239"/>
      <c r="FB138" s="239"/>
      <c r="FC138" s="239"/>
      <c r="FD138" s="239">
        <f>Table14[[#This Row],[% I donâ€™t use it / discarded]]+Table14[[#This Row],[% Other (specify)(If you use bioslurry directly)]]+Table14[[#This Row],[% Store it first]]+Table14[[#This Row],[% Use directly for various purposes]]</f>
        <v>100</v>
      </c>
      <c r="FE138" s="239" t="s">
        <v>4</v>
      </c>
      <c r="FF138" s="239"/>
      <c r="FG138" s="239"/>
      <c r="FH138" s="239"/>
      <c r="FI138" s="239"/>
      <c r="FJ138" s="239"/>
      <c r="FK138" s="239">
        <v>1.6</v>
      </c>
      <c r="FL138" s="239" t="s">
        <v>7</v>
      </c>
      <c r="FM138" s="239">
        <v>20</v>
      </c>
      <c r="FN138" s="239">
        <f t="shared" ref="FN138:FN163" si="14">FK138*FM138/100</f>
        <v>0.32</v>
      </c>
      <c r="FO138" s="239" t="s">
        <v>31376</v>
      </c>
      <c r="FP138" s="239" t="s">
        <v>29298</v>
      </c>
      <c r="FQ138" s="239">
        <v>156</v>
      </c>
      <c r="FR138" s="239" t="s">
        <v>2</v>
      </c>
      <c r="FS138" s="239" t="s">
        <v>4</v>
      </c>
      <c r="FT138" s="239" t="s">
        <v>4</v>
      </c>
      <c r="FU138" s="239" t="s">
        <v>2</v>
      </c>
      <c r="FV138" s="239" t="s">
        <v>4</v>
      </c>
      <c r="FW138" s="239" t="s">
        <v>4</v>
      </c>
      <c r="FX138" s="239" t="s">
        <v>4</v>
      </c>
      <c r="FY138" s="239" t="s">
        <v>4</v>
      </c>
      <c r="FZ138" s="239" t="s">
        <v>4</v>
      </c>
      <c r="GA138" s="239" t="s">
        <v>4</v>
      </c>
      <c r="GB138" s="240" t="s">
        <v>4</v>
      </c>
      <c r="GC138" s="239" t="s">
        <v>4</v>
      </c>
      <c r="GD138" s="239" t="s">
        <v>7</v>
      </c>
      <c r="GE138" s="239" t="s">
        <v>29301</v>
      </c>
      <c r="GF138" s="239" t="s">
        <v>4</v>
      </c>
      <c r="GG138" s="239" t="s">
        <v>7</v>
      </c>
      <c r="GH138" s="239" t="s">
        <v>2</v>
      </c>
      <c r="GI138" s="239" t="s">
        <v>4</v>
      </c>
      <c r="GJ138" s="239" t="s">
        <v>4</v>
      </c>
      <c r="GK138" s="239" t="s">
        <v>29304</v>
      </c>
      <c r="GL138" s="239">
        <v>1.5</v>
      </c>
      <c r="GM138" s="239" t="s">
        <v>29305</v>
      </c>
      <c r="GN138" s="239" t="s">
        <v>30642</v>
      </c>
      <c r="GO138" s="239" t="s">
        <v>4</v>
      </c>
      <c r="GP138" s="239" t="s">
        <v>4</v>
      </c>
      <c r="GQ138" s="239" t="s">
        <v>4</v>
      </c>
      <c r="GR138" s="239" t="s">
        <v>4</v>
      </c>
      <c r="GS138" s="239" t="s">
        <v>4</v>
      </c>
      <c r="GT138" s="239" t="s">
        <v>4</v>
      </c>
      <c r="GU138" s="239" t="s">
        <v>4</v>
      </c>
      <c r="GV138" s="239" t="s">
        <v>4</v>
      </c>
      <c r="GW138" s="239" t="s">
        <v>4</v>
      </c>
      <c r="GX138" s="239" t="s">
        <v>4</v>
      </c>
      <c r="GY138" s="239" t="s">
        <v>4</v>
      </c>
      <c r="GZ138" s="239" t="s">
        <v>4</v>
      </c>
      <c r="HA138" s="239" t="s">
        <v>4</v>
      </c>
      <c r="HB138" s="239" t="s">
        <v>4</v>
      </c>
      <c r="HC138" s="239" t="s">
        <v>4</v>
      </c>
      <c r="HD138" s="239" t="s">
        <v>4</v>
      </c>
      <c r="HE138" s="239" t="s">
        <v>4</v>
      </c>
      <c r="HF138" s="239" t="s">
        <v>4</v>
      </c>
      <c r="HG138" s="239" t="s">
        <v>4</v>
      </c>
      <c r="HH138" s="239" t="s">
        <v>29307</v>
      </c>
      <c r="HI138" s="239" t="s">
        <v>31377</v>
      </c>
      <c r="HJ138" s="240">
        <v>0</v>
      </c>
      <c r="HK138" s="239" t="s">
        <v>7</v>
      </c>
      <c r="HL138" s="239" t="s">
        <v>29837</v>
      </c>
      <c r="HM138" s="239" t="s">
        <v>4</v>
      </c>
      <c r="HN138" s="239" t="s">
        <v>4</v>
      </c>
      <c r="HO138" s="239" t="s">
        <v>4</v>
      </c>
      <c r="HP138" s="239" t="s">
        <v>4</v>
      </c>
      <c r="HQ138" s="239" t="s">
        <v>4</v>
      </c>
      <c r="HR138" s="239" t="s">
        <v>4</v>
      </c>
      <c r="HS138" s="239" t="s">
        <v>4</v>
      </c>
      <c r="HT138" s="239" t="s">
        <v>4</v>
      </c>
      <c r="HU138" s="239" t="s">
        <v>2</v>
      </c>
      <c r="HV138" s="239" t="s">
        <v>4</v>
      </c>
      <c r="HW138" s="239" t="s">
        <v>4</v>
      </c>
      <c r="HX138" s="239" t="s">
        <v>4</v>
      </c>
      <c r="HY138" s="239" t="s">
        <v>4</v>
      </c>
      <c r="HZ138" s="239" t="s">
        <v>31378</v>
      </c>
      <c r="IA138" s="239" t="s">
        <v>7</v>
      </c>
      <c r="IB138" s="239" t="s">
        <v>31379</v>
      </c>
      <c r="IC138" s="239" t="s">
        <v>30883</v>
      </c>
      <c r="ID138" s="239" t="s">
        <v>31380</v>
      </c>
      <c r="IE138" s="239" t="s">
        <v>31381</v>
      </c>
      <c r="IF138" s="239" t="s">
        <v>31382</v>
      </c>
      <c r="IG138" s="239" t="s">
        <v>31383</v>
      </c>
      <c r="IH138" s="239" t="s">
        <v>31373</v>
      </c>
    </row>
    <row r="139" spans="1:242" s="1" customFormat="1" ht="36.75" customHeight="1" x14ac:dyDescent="0.2">
      <c r="A139" s="239">
        <v>8</v>
      </c>
      <c r="B139" s="239" t="s">
        <v>17856</v>
      </c>
      <c r="C139" s="239" t="s">
        <v>29404</v>
      </c>
      <c r="D139" s="239" t="s">
        <v>29286</v>
      </c>
      <c r="E139" s="239" t="s">
        <v>7</v>
      </c>
      <c r="F139" s="239" t="s">
        <v>29405</v>
      </c>
      <c r="G139" s="239">
        <v>2021.19</v>
      </c>
      <c r="H139" s="239">
        <v>1.987169</v>
      </c>
      <c r="I139" s="239" t="s">
        <v>29319</v>
      </c>
      <c r="J139" s="239" t="s">
        <v>4</v>
      </c>
      <c r="K139" s="239" t="s">
        <v>29406</v>
      </c>
      <c r="L139" s="239">
        <v>773881000</v>
      </c>
      <c r="M139" s="239" t="s">
        <v>5</v>
      </c>
      <c r="N139" s="239" t="s">
        <v>31438</v>
      </c>
      <c r="O139" s="239">
        <v>48</v>
      </c>
      <c r="P139" s="239">
        <v>5</v>
      </c>
      <c r="Q139" s="239" t="s">
        <v>7</v>
      </c>
      <c r="R139" s="239" t="s">
        <v>31549</v>
      </c>
      <c r="S139" s="239" t="s">
        <v>4</v>
      </c>
      <c r="T139" s="239" t="s">
        <v>7</v>
      </c>
      <c r="U139" s="239" t="s">
        <v>7</v>
      </c>
      <c r="V139" s="239"/>
      <c r="W139" s="239" t="s">
        <v>7</v>
      </c>
      <c r="X139" s="239" t="s">
        <v>4</v>
      </c>
      <c r="Y139" s="239" t="s">
        <v>4</v>
      </c>
      <c r="Z139" s="241" t="str">
        <f>IF(OR(T139="yes",Y139&gt;'SDG outcome'!$C$27),"yes","no")</f>
        <v>yes</v>
      </c>
      <c r="AA139" s="243">
        <f t="shared" si="13"/>
        <v>0</v>
      </c>
      <c r="AB139" s="243" t="str">
        <f>IF(AND(Z139="no",AND(Y139&gt;='SDG outcome'!$B$16,Y139&lt;'SDG outcome'!$C$27)),Y139-'SDG outcome'!$B$16,"")</f>
        <v/>
      </c>
      <c r="AC139" s="239" t="s">
        <v>4</v>
      </c>
      <c r="AD139" s="239" t="s">
        <v>4</v>
      </c>
      <c r="AE139" s="239" t="s">
        <v>4</v>
      </c>
      <c r="AF139" s="239" t="s">
        <v>4</v>
      </c>
      <c r="AG139" s="239" t="s">
        <v>4</v>
      </c>
      <c r="AH139" s="239" t="s">
        <v>4</v>
      </c>
      <c r="AI139" s="239" t="s">
        <v>4</v>
      </c>
      <c r="AJ139" s="239" t="s">
        <v>29290</v>
      </c>
      <c r="AK139" s="239" t="s">
        <v>29291</v>
      </c>
      <c r="AL139" s="239" t="s">
        <v>4</v>
      </c>
      <c r="AM139" s="239" t="s">
        <v>4</v>
      </c>
      <c r="AN139" s="239" t="s">
        <v>31536</v>
      </c>
      <c r="AO139" s="239" t="s">
        <v>4</v>
      </c>
      <c r="AP139" s="239" t="s">
        <v>31537</v>
      </c>
      <c r="AQ139" s="239" t="s">
        <v>4</v>
      </c>
      <c r="AR139" s="239" t="s">
        <v>31538</v>
      </c>
      <c r="AS139" s="239" t="s">
        <v>4</v>
      </c>
      <c r="AT139" s="239" t="s">
        <v>2</v>
      </c>
      <c r="AU139" s="239" t="s">
        <v>31581</v>
      </c>
      <c r="AV139" s="239" t="s">
        <v>4</v>
      </c>
      <c r="AW139" s="239" t="s">
        <v>31539</v>
      </c>
      <c r="AX139" s="239" t="s">
        <v>4</v>
      </c>
      <c r="AY139" s="239" t="s">
        <v>4</v>
      </c>
      <c r="AZ139" s="239" t="s">
        <v>2</v>
      </c>
      <c r="BA139" s="239" t="s">
        <v>4</v>
      </c>
      <c r="BB139" s="239" t="s">
        <v>4</v>
      </c>
      <c r="BC139" s="239" t="s">
        <v>31540</v>
      </c>
      <c r="BD139" s="239" t="s">
        <v>31541</v>
      </c>
      <c r="BE139" s="239" t="s">
        <v>4</v>
      </c>
      <c r="BF139" s="239" t="s">
        <v>31582</v>
      </c>
      <c r="BG139" s="239" t="s">
        <v>4</v>
      </c>
      <c r="BH139" s="239" t="s">
        <v>31542</v>
      </c>
      <c r="BI139" s="239" t="s">
        <v>31583</v>
      </c>
      <c r="BJ139" s="239" t="s">
        <v>31566</v>
      </c>
      <c r="BK139" s="239">
        <v>1</v>
      </c>
      <c r="BL139" s="239">
        <v>60</v>
      </c>
      <c r="BM139" s="239" t="s">
        <v>7</v>
      </c>
      <c r="BN139" s="239" t="s">
        <v>6</v>
      </c>
      <c r="BO139" s="239" t="s">
        <v>4</v>
      </c>
      <c r="BP139" s="239" t="s">
        <v>31425</v>
      </c>
      <c r="BQ139" s="239">
        <v>1</v>
      </c>
      <c r="BR139" s="239">
        <v>20</v>
      </c>
      <c r="BS139" s="239" t="s">
        <v>31434</v>
      </c>
      <c r="BT139" s="239"/>
      <c r="BU139" s="239">
        <v>2</v>
      </c>
      <c r="BV139" s="239" cm="1">
        <f t="array" ref="BV139">_xlfn.IFS(BS139="Foreword vehicle",BU139*0,BS139="Human wastes",BU139*0,BS139="Jerrycans",BU139*$BV$228,BS139="Number of Basins",BU139*$BV$229,BS139="Number of Buckets",BU139*$CA$226,BS139="Number of Kgs",BU139*$CA$227,BS139="Number of spades",BU139*$CA$228,BS139="Number of wheelbarrows",BU139*$CA$229,BT139="Foreword vehicle",BU139*0,BT139="Human wastes",BU139*0,BT139="Jerrycans",BU139*$BV$228,BS139="","")</f>
        <v>32</v>
      </c>
      <c r="BW139" s="239">
        <f>IF(BV139="","",Table14[[#This Row],[Calculation: Conversion of metric to Kg manure feeding (Columns: BP, BQ, BR)]]*Table14[[#This Row],[Number of times used to feed biodigester]])</f>
        <v>32</v>
      </c>
      <c r="BX139" s="239" cm="1">
        <f t="array" ref="BX139">_xlfn.IFS(BP139="Number of times per day (1 to 3)",BW139/$BX$226,BP139="Number of times per week (1 to 6)",BW139/$BX$227,BP139="Number of times per Month (1 to 3)",BW139/$BX$228,BW139="","")</f>
        <v>32</v>
      </c>
      <c r="BY139" s="239" t="s">
        <v>22</v>
      </c>
      <c r="BZ139" s="239" t="s">
        <v>4</v>
      </c>
      <c r="CA139" s="239" t="s">
        <v>2</v>
      </c>
      <c r="CB139" s="239" t="s">
        <v>4</v>
      </c>
      <c r="CC139" s="239" t="s">
        <v>4</v>
      </c>
      <c r="CD139" s="239" t="s">
        <v>4</v>
      </c>
      <c r="CE139" s="239" t="s">
        <v>7</v>
      </c>
      <c r="CF139" s="239" t="s">
        <v>31584</v>
      </c>
      <c r="CG139" s="239" t="s">
        <v>4</v>
      </c>
      <c r="CH139" s="239" t="s">
        <v>31585</v>
      </c>
      <c r="CI139" s="239">
        <v>5</v>
      </c>
      <c r="CJ139" s="239">
        <v>0</v>
      </c>
      <c r="CK139" s="239">
        <v>0</v>
      </c>
      <c r="CL139" s="239">
        <v>0</v>
      </c>
      <c r="CM139" s="239">
        <v>7</v>
      </c>
      <c r="CN139" s="239">
        <v>4</v>
      </c>
      <c r="CO139" s="239">
        <v>0</v>
      </c>
      <c r="CP139" s="239">
        <v>0</v>
      </c>
      <c r="CQ139" s="239">
        <v>0</v>
      </c>
      <c r="CR139" s="239">
        <v>0</v>
      </c>
      <c r="CS139" s="239">
        <f>CP139/'SDG outcome'!$C$9*CQ139*CR139</f>
        <v>0</v>
      </c>
      <c r="CT139" s="239">
        <v>100</v>
      </c>
      <c r="CU139" s="239">
        <v>0</v>
      </c>
      <c r="CV139" s="239" t="s">
        <v>4</v>
      </c>
      <c r="CW139" s="239" t="s">
        <v>4</v>
      </c>
      <c r="CX139" s="239" t="s">
        <v>4</v>
      </c>
      <c r="CY139" s="239" t="s">
        <v>4</v>
      </c>
      <c r="CZ139" s="239" t="s">
        <v>4</v>
      </c>
      <c r="DA139" s="239" t="s">
        <v>4</v>
      </c>
      <c r="DB139" s="239" t="s">
        <v>4</v>
      </c>
      <c r="DC139" s="239" t="s">
        <v>4</v>
      </c>
      <c r="DD139" s="239" t="s">
        <v>4</v>
      </c>
      <c r="DE139" s="239" t="s">
        <v>4</v>
      </c>
      <c r="DF139" s="239">
        <v>0</v>
      </c>
      <c r="DG139" s="239">
        <v>100</v>
      </c>
      <c r="DH139" s="239" t="s">
        <v>31586</v>
      </c>
      <c r="DI139" s="239" t="s">
        <v>4</v>
      </c>
      <c r="DJ139" s="239" t="s">
        <v>4</v>
      </c>
      <c r="DK139" s="239" t="s">
        <v>4</v>
      </c>
      <c r="DL139" s="239">
        <v>0</v>
      </c>
      <c r="DM139" s="239">
        <v>100</v>
      </c>
      <c r="DN139" s="239" t="s">
        <v>31587</v>
      </c>
      <c r="DO139" s="239">
        <v>3</v>
      </c>
      <c r="DP139" s="239" t="s">
        <v>2</v>
      </c>
      <c r="DQ139" s="239" t="s">
        <v>29292</v>
      </c>
      <c r="DR139" s="239" t="s">
        <v>4</v>
      </c>
      <c r="DS139" s="239" t="s">
        <v>29294</v>
      </c>
      <c r="DT139" s="240" t="s">
        <v>4</v>
      </c>
      <c r="DU139" s="239" t="s">
        <v>29294</v>
      </c>
      <c r="DV139" s="240" t="s">
        <v>4</v>
      </c>
      <c r="DW139" s="239" t="s">
        <v>29295</v>
      </c>
      <c r="DX139" s="239">
        <v>100</v>
      </c>
      <c r="DY139" s="239" t="s">
        <v>29296</v>
      </c>
      <c r="DZ139" s="239">
        <v>100</v>
      </c>
      <c r="EA139" s="239"/>
      <c r="EB139" s="239"/>
      <c r="EC139" s="239"/>
      <c r="ED139" s="239"/>
      <c r="EE139" s="320">
        <f>Table14[[#This Row],[% Fertilizer]]*$DX139/10000</f>
        <v>1</v>
      </c>
      <c r="EF139" s="320">
        <f>Table14[[#This Row],[% bioslurry used as Insecticide/Pesticide]]*$DX139/10000</f>
        <v>0</v>
      </c>
      <c r="EG139" s="320">
        <f>Table14[[#This Row],[% of Bioslurry used as animal feed]]*$DX139/10000</f>
        <v>0</v>
      </c>
      <c r="EH139" s="320">
        <f>Table14[[#This Row],[% of Bioslurry sold]]*$DX139/10000</f>
        <v>0</v>
      </c>
      <c r="EI139" s="320">
        <f>Table14[[#This Row],[% used other way(if used directly)]]*$DX139/10000</f>
        <v>0</v>
      </c>
      <c r="EJ139" s="239"/>
      <c r="EK139" s="239"/>
      <c r="EL139" s="239"/>
      <c r="EM139" s="239"/>
      <c r="EN139" s="239"/>
      <c r="EO139" s="239">
        <f>(Table14[[#This Row],[% Uncovered lagoon greater than 1 meter]]+Table14[[#This Row],[Uncovered lagoon (black watery mass) &lt;1 meter]]+Table14[[#This Row],[% Liquid slurry (brown porridge type)]])*Table14[[#This Row],[% Store it first]]/100</f>
        <v>0</v>
      </c>
      <c r="EP139" s="239"/>
      <c r="EQ139" s="239"/>
      <c r="ER139" s="239"/>
      <c r="ES139" s="239"/>
      <c r="ET139" s="239">
        <f>(Table14[[#This Row],[% Solid storage]]+Table14[[#This Row],[% Sun drying]]+Table14[[#This Row],[% Composting with a roof]]+Table14[[#This Row],[% Composting without a roof]])*Table14[[#This Row],[% Store it first]]/100</f>
        <v>0</v>
      </c>
      <c r="EU139" s="239"/>
      <c r="EV139" s="320">
        <f t="shared" si="8"/>
        <v>0</v>
      </c>
      <c r="EW139" s="320">
        <f t="shared" si="9"/>
        <v>0</v>
      </c>
      <c r="EX139" s="320">
        <f t="shared" si="10"/>
        <v>0</v>
      </c>
      <c r="EY139" s="320">
        <f t="shared" si="11"/>
        <v>0</v>
      </c>
      <c r="EZ139" s="320">
        <f t="shared" si="12"/>
        <v>0</v>
      </c>
      <c r="FA139" s="239"/>
      <c r="FB139" s="239"/>
      <c r="FC139" s="239"/>
      <c r="FD139" s="239">
        <f>Table14[[#This Row],[% I donâ€™t use it / discarded]]+Table14[[#This Row],[% Other (specify)(If you use bioslurry directly)]]+Table14[[#This Row],[% Store it first]]+Table14[[#This Row],[% Use directly for various purposes]]</f>
        <v>100</v>
      </c>
      <c r="FE139" s="239" t="s">
        <v>4</v>
      </c>
      <c r="FF139" s="239"/>
      <c r="FG139" s="239"/>
      <c r="FH139" s="239"/>
      <c r="FI139" s="239"/>
      <c r="FJ139" s="239"/>
      <c r="FK139" s="239">
        <v>0.8</v>
      </c>
      <c r="FL139" s="239" t="s">
        <v>7</v>
      </c>
      <c r="FM139" s="239">
        <v>80</v>
      </c>
      <c r="FN139" s="239">
        <f t="shared" si="14"/>
        <v>0.64</v>
      </c>
      <c r="FO139" s="239" t="s">
        <v>29407</v>
      </c>
      <c r="FP139" s="239" t="s">
        <v>29298</v>
      </c>
      <c r="FQ139" s="239">
        <v>18</v>
      </c>
      <c r="FR139" s="239" t="s">
        <v>7</v>
      </c>
      <c r="FS139" s="239" t="s">
        <v>29299</v>
      </c>
      <c r="FT139" s="239" t="s">
        <v>4</v>
      </c>
      <c r="FU139" s="239" t="s">
        <v>2</v>
      </c>
      <c r="FV139" s="239" t="s">
        <v>4</v>
      </c>
      <c r="FW139" s="239" t="s">
        <v>4</v>
      </c>
      <c r="FX139" s="239" t="s">
        <v>4</v>
      </c>
      <c r="FY139" s="239" t="s">
        <v>4</v>
      </c>
      <c r="FZ139" s="239" t="s">
        <v>4</v>
      </c>
      <c r="GA139" s="239" t="s">
        <v>4</v>
      </c>
      <c r="GB139" s="240" t="s">
        <v>4</v>
      </c>
      <c r="GC139" s="239" t="s">
        <v>4</v>
      </c>
      <c r="GD139" s="239" t="s">
        <v>7</v>
      </c>
      <c r="GE139" s="239" t="s">
        <v>29301</v>
      </c>
      <c r="GF139" s="239" t="s">
        <v>4</v>
      </c>
      <c r="GG139" s="239" t="s">
        <v>7</v>
      </c>
      <c r="GH139" s="239" t="s">
        <v>7</v>
      </c>
      <c r="GI139" s="239" t="s">
        <v>29302</v>
      </c>
      <c r="GJ139" s="239" t="s">
        <v>29408</v>
      </c>
      <c r="GK139" s="239" t="s">
        <v>4</v>
      </c>
      <c r="GL139" s="239">
        <v>0</v>
      </c>
      <c r="GM139" s="239"/>
      <c r="GN139" s="239" t="s">
        <v>4</v>
      </c>
      <c r="GO139" s="239" t="s">
        <v>4</v>
      </c>
      <c r="GP139" s="239" t="s">
        <v>4</v>
      </c>
      <c r="GQ139" s="239" t="s">
        <v>4</v>
      </c>
      <c r="GR139" s="239" t="s">
        <v>4</v>
      </c>
      <c r="GS139" s="239" t="s">
        <v>4</v>
      </c>
      <c r="GT139" s="239" t="s">
        <v>4</v>
      </c>
      <c r="GU139" s="239" t="s">
        <v>4</v>
      </c>
      <c r="GV139" s="239" t="s">
        <v>4</v>
      </c>
      <c r="GW139" s="239" t="s">
        <v>29304</v>
      </c>
      <c r="GX139" s="239" t="s">
        <v>29305</v>
      </c>
      <c r="GY139" s="239" t="s">
        <v>29409</v>
      </c>
      <c r="GZ139" s="239" t="s">
        <v>4</v>
      </c>
      <c r="HA139" s="239" t="s">
        <v>4</v>
      </c>
      <c r="HB139" s="239" t="s">
        <v>4</v>
      </c>
      <c r="HC139" s="239" t="s">
        <v>4</v>
      </c>
      <c r="HD139" s="239" t="s">
        <v>4</v>
      </c>
      <c r="HE139" s="239" t="s">
        <v>4</v>
      </c>
      <c r="HF139" s="239" t="s">
        <v>29353</v>
      </c>
      <c r="HG139" s="239" t="s">
        <v>4</v>
      </c>
      <c r="HH139" s="239" t="s">
        <v>29410</v>
      </c>
      <c r="HI139" s="239" t="s">
        <v>4</v>
      </c>
      <c r="HJ139" s="240">
        <v>200</v>
      </c>
      <c r="HK139" s="239" t="s">
        <v>29325</v>
      </c>
      <c r="HL139" s="239" t="s">
        <v>29309</v>
      </c>
      <c r="HM139" s="239" t="s">
        <v>4</v>
      </c>
      <c r="HN139" s="239" t="s">
        <v>4</v>
      </c>
      <c r="HO139" s="239" t="s">
        <v>4</v>
      </c>
      <c r="HP139" s="239" t="s">
        <v>4</v>
      </c>
      <c r="HQ139" s="239" t="s">
        <v>4</v>
      </c>
      <c r="HR139" s="239" t="s">
        <v>4</v>
      </c>
      <c r="HS139" s="239" t="s">
        <v>4</v>
      </c>
      <c r="HT139" s="239" t="s">
        <v>4</v>
      </c>
      <c r="HU139" s="239" t="s">
        <v>2</v>
      </c>
      <c r="HV139" s="239" t="s">
        <v>4</v>
      </c>
      <c r="HW139" s="239" t="s">
        <v>4</v>
      </c>
      <c r="HX139" s="239" t="s">
        <v>4</v>
      </c>
      <c r="HY139" s="239" t="s">
        <v>4</v>
      </c>
      <c r="HZ139" s="239" t="s">
        <v>29411</v>
      </c>
      <c r="IA139" s="239" t="s">
        <v>7</v>
      </c>
      <c r="IB139" s="239" t="s">
        <v>29412</v>
      </c>
      <c r="IC139" s="239" t="s">
        <v>29413</v>
      </c>
      <c r="ID139" s="239" t="s">
        <v>29414</v>
      </c>
      <c r="IE139" s="239" t="s">
        <v>29415</v>
      </c>
      <c r="IF139" s="239" t="s">
        <v>29416</v>
      </c>
      <c r="IG139" s="239" t="s">
        <v>29417</v>
      </c>
      <c r="IH139" s="239" t="s">
        <v>29404</v>
      </c>
    </row>
    <row r="140" spans="1:242" s="1" customFormat="1" ht="36.75" customHeight="1" x14ac:dyDescent="0.2">
      <c r="A140" s="239">
        <v>19</v>
      </c>
      <c r="B140" s="239" t="s">
        <v>24603</v>
      </c>
      <c r="C140" s="239" t="s">
        <v>29551</v>
      </c>
      <c r="D140" s="239" t="s">
        <v>52</v>
      </c>
      <c r="E140" s="239" t="s">
        <v>7</v>
      </c>
      <c r="F140" s="239" t="s">
        <v>29552</v>
      </c>
      <c r="G140" s="239">
        <v>1391.3</v>
      </c>
      <c r="H140" s="239">
        <v>4.9000000000000004</v>
      </c>
      <c r="I140" s="239" t="s">
        <v>29389</v>
      </c>
      <c r="J140" s="239" t="s">
        <v>22</v>
      </c>
      <c r="K140" s="239" t="s">
        <v>29553</v>
      </c>
      <c r="L140" s="239">
        <v>783039769</v>
      </c>
      <c r="M140" s="239" t="s">
        <v>5</v>
      </c>
      <c r="N140" s="239" t="s">
        <v>31438</v>
      </c>
      <c r="O140" s="239">
        <v>22</v>
      </c>
      <c r="P140" s="239">
        <v>5</v>
      </c>
      <c r="Q140" s="239" t="s">
        <v>7</v>
      </c>
      <c r="R140" s="239" t="s">
        <v>31588</v>
      </c>
      <c r="S140" s="239" t="s">
        <v>4</v>
      </c>
      <c r="T140" s="239" t="s">
        <v>7</v>
      </c>
      <c r="U140" s="239" t="s">
        <v>7</v>
      </c>
      <c r="V140" s="239"/>
      <c r="W140" s="239" t="s">
        <v>7</v>
      </c>
      <c r="X140" s="239" t="s">
        <v>4</v>
      </c>
      <c r="Y140" s="239" t="s">
        <v>4</v>
      </c>
      <c r="Z140" s="241" t="str">
        <f>IF(OR(T140="yes",Y140&gt;'SDG outcome'!$C$27),"yes","no")</f>
        <v>yes</v>
      </c>
      <c r="AA140" s="243">
        <f t="shared" si="13"/>
        <v>0</v>
      </c>
      <c r="AB140" s="243" t="str">
        <f>IF(AND(Z140="no",AND(Y140&gt;='SDG outcome'!$B$16,Y140&lt;'SDG outcome'!$C$27)),Y140-'SDG outcome'!$B$16,"")</f>
        <v/>
      </c>
      <c r="AC140" s="239" t="s">
        <v>4</v>
      </c>
      <c r="AD140" s="239" t="s">
        <v>4</v>
      </c>
      <c r="AE140" s="239" t="s">
        <v>4</v>
      </c>
      <c r="AF140" s="239" t="s">
        <v>4</v>
      </c>
      <c r="AG140" s="239" t="s">
        <v>4</v>
      </c>
      <c r="AH140" s="239" t="s">
        <v>4</v>
      </c>
      <c r="AI140" s="239" t="s">
        <v>4</v>
      </c>
      <c r="AJ140" s="239" t="s">
        <v>29290</v>
      </c>
      <c r="AK140" s="239" t="s">
        <v>29291</v>
      </c>
      <c r="AL140" s="239" t="s">
        <v>4</v>
      </c>
      <c r="AM140" s="239" t="s">
        <v>4</v>
      </c>
      <c r="AN140" s="239" t="s">
        <v>31536</v>
      </c>
      <c r="AO140" s="239" t="s">
        <v>4</v>
      </c>
      <c r="AP140" s="239" t="s">
        <v>31537</v>
      </c>
      <c r="AQ140" s="239" t="s">
        <v>4</v>
      </c>
      <c r="AR140" s="239" t="s">
        <v>31538</v>
      </c>
      <c r="AS140" s="239" t="s">
        <v>4</v>
      </c>
      <c r="AT140" s="239" t="s">
        <v>2</v>
      </c>
      <c r="AU140" s="239" t="s">
        <v>31581</v>
      </c>
      <c r="AV140" s="239" t="s">
        <v>4</v>
      </c>
      <c r="AW140" s="239" t="s">
        <v>31539</v>
      </c>
      <c r="AX140" s="239" t="s">
        <v>4</v>
      </c>
      <c r="AY140" s="239" t="s">
        <v>4</v>
      </c>
      <c r="AZ140" s="239" t="s">
        <v>2</v>
      </c>
      <c r="BA140" s="239" t="s">
        <v>4</v>
      </c>
      <c r="BB140" s="239" t="s">
        <v>4</v>
      </c>
      <c r="BC140" s="239" t="s">
        <v>31563</v>
      </c>
      <c r="BD140" s="239" t="s">
        <v>22</v>
      </c>
      <c r="BE140" s="239" t="s">
        <v>4</v>
      </c>
      <c r="BF140" s="239" t="s">
        <v>31564</v>
      </c>
      <c r="BG140" s="239" t="s">
        <v>4</v>
      </c>
      <c r="BH140" s="239" t="s">
        <v>31640</v>
      </c>
      <c r="BI140" s="239" t="s">
        <v>31641</v>
      </c>
      <c r="BJ140" s="239" t="s">
        <v>31566</v>
      </c>
      <c r="BK140" s="239">
        <v>1</v>
      </c>
      <c r="BL140" s="239">
        <v>120</v>
      </c>
      <c r="BM140" s="239" t="s">
        <v>7</v>
      </c>
      <c r="BN140" s="239" t="s">
        <v>6</v>
      </c>
      <c r="BO140" s="239" t="s">
        <v>4</v>
      </c>
      <c r="BP140" s="239" t="s">
        <v>31425</v>
      </c>
      <c r="BQ140" s="239">
        <v>1</v>
      </c>
      <c r="BR140" s="239">
        <v>120</v>
      </c>
      <c r="BS140" s="239" t="s">
        <v>31435</v>
      </c>
      <c r="BT140" s="239"/>
      <c r="BU140" s="239">
        <v>1</v>
      </c>
      <c r="BV140" s="239" cm="1">
        <f t="array" ref="BV140">_xlfn.IFS(BS140="Foreword vehicle",BU140*0,BS140="Human wastes",BU140*0,BS140="Jerrycans",BU140*$BV$228,BS140="Number of Basins",BU140*$BV$229,BS140="Number of Buckets",BU140*$CA$226,BS140="Number of Kgs",BU140*$CA$227,BS140="Number of spades",BU140*$CA$228,BS140="Number of wheelbarrows",BU140*$CA$229,BT140="Foreword vehicle",BU140*0,BT140="Human wastes",BU140*0,BT140="Jerrycans",BU140*$BV$228,BS140="","")</f>
        <v>70.5</v>
      </c>
      <c r="BW140" s="239">
        <f>IF(BV140="","",Table14[[#This Row],[Calculation: Conversion of metric to Kg manure feeding (Columns: BP, BQ, BR)]]*Table14[[#This Row],[Number of times used to feed biodigester]])</f>
        <v>70.5</v>
      </c>
      <c r="BX140" s="239" cm="1">
        <f t="array" ref="BX140">_xlfn.IFS(BP140="Number of times per day (1 to 3)",BW140/$BX$226,BP140="Number of times per week (1 to 6)",BW140/$BX$227,BP140="Number of times per Month (1 to 3)",BW140/$BX$228,BW140="","")</f>
        <v>70.5</v>
      </c>
      <c r="BY140" s="239" t="s">
        <v>22</v>
      </c>
      <c r="BZ140" s="239" t="s">
        <v>4</v>
      </c>
      <c r="CA140" s="239" t="s">
        <v>2</v>
      </c>
      <c r="CB140" s="239" t="s">
        <v>4</v>
      </c>
      <c r="CC140" s="239" t="s">
        <v>4</v>
      </c>
      <c r="CD140" s="239" t="s">
        <v>4</v>
      </c>
      <c r="CE140" s="239" t="s">
        <v>7</v>
      </c>
      <c r="CF140" s="239" t="s">
        <v>31642</v>
      </c>
      <c r="CG140" s="239" t="s">
        <v>4</v>
      </c>
      <c r="CH140" s="239" t="s">
        <v>31608</v>
      </c>
      <c r="CI140" s="239">
        <v>5</v>
      </c>
      <c r="CJ140" s="239">
        <v>0</v>
      </c>
      <c r="CK140" s="239">
        <v>1</v>
      </c>
      <c r="CL140" s="239">
        <v>4</v>
      </c>
      <c r="CM140" s="239">
        <v>6</v>
      </c>
      <c r="CN140" s="239">
        <v>7</v>
      </c>
      <c r="CO140" s="239">
        <v>0</v>
      </c>
      <c r="CP140" s="239">
        <v>0</v>
      </c>
      <c r="CQ140" s="239">
        <v>0</v>
      </c>
      <c r="CR140" s="239">
        <v>0</v>
      </c>
      <c r="CS140" s="239">
        <f>CP140/'SDG outcome'!$C$9*CQ140*CR140</f>
        <v>0</v>
      </c>
      <c r="CT140" s="239">
        <v>60</v>
      </c>
      <c r="CU140" s="239">
        <v>40</v>
      </c>
      <c r="CV140" s="239" t="s">
        <v>31643</v>
      </c>
      <c r="CW140" s="239" t="s">
        <v>4</v>
      </c>
      <c r="CX140" s="239" t="s">
        <v>4</v>
      </c>
      <c r="CY140" s="239" t="s">
        <v>4</v>
      </c>
      <c r="CZ140" s="239" t="s">
        <v>4</v>
      </c>
      <c r="DA140" s="239" t="s">
        <v>4</v>
      </c>
      <c r="DB140" s="239" t="s">
        <v>4</v>
      </c>
      <c r="DC140" s="239">
        <v>0</v>
      </c>
      <c r="DD140" s="239">
        <v>100</v>
      </c>
      <c r="DE140" s="239" t="s">
        <v>31644</v>
      </c>
      <c r="DF140" s="239">
        <v>0</v>
      </c>
      <c r="DG140" s="239">
        <v>100</v>
      </c>
      <c r="DH140" s="239" t="s">
        <v>31645</v>
      </c>
      <c r="DI140" s="239">
        <v>0</v>
      </c>
      <c r="DJ140" s="239">
        <v>100</v>
      </c>
      <c r="DK140" s="239" t="s">
        <v>31636</v>
      </c>
      <c r="DL140" s="239">
        <v>0</v>
      </c>
      <c r="DM140" s="239">
        <v>100</v>
      </c>
      <c r="DN140" s="239" t="s">
        <v>31646</v>
      </c>
      <c r="DO140" s="239">
        <v>0.5</v>
      </c>
      <c r="DP140" s="239" t="s">
        <v>7</v>
      </c>
      <c r="DQ140" s="239" t="s">
        <v>29375</v>
      </c>
      <c r="DR140" s="239" t="s">
        <v>4</v>
      </c>
      <c r="DS140" s="239" t="s">
        <v>4</v>
      </c>
      <c r="DT140" s="240" t="s">
        <v>4</v>
      </c>
      <c r="DU140" s="239" t="s">
        <v>29294</v>
      </c>
      <c r="DV140" s="240" t="s">
        <v>4</v>
      </c>
      <c r="DW140" s="239" t="s">
        <v>29295</v>
      </c>
      <c r="DX140" s="239">
        <v>100</v>
      </c>
      <c r="DY140" s="239" t="s">
        <v>29296</v>
      </c>
      <c r="DZ140" s="239">
        <v>100</v>
      </c>
      <c r="EA140" s="239"/>
      <c r="EB140" s="239"/>
      <c r="EC140" s="239"/>
      <c r="ED140" s="239"/>
      <c r="EE140" s="320">
        <f>Table14[[#This Row],[% Fertilizer]]*$DX140/10000</f>
        <v>1</v>
      </c>
      <c r="EF140" s="320">
        <f>Table14[[#This Row],[% bioslurry used as Insecticide/Pesticide]]*$DX140/10000</f>
        <v>0</v>
      </c>
      <c r="EG140" s="320">
        <f>Table14[[#This Row],[% of Bioslurry used as animal feed]]*$DX140/10000</f>
        <v>0</v>
      </c>
      <c r="EH140" s="320">
        <f>Table14[[#This Row],[% of Bioslurry sold]]*$DX140/10000</f>
        <v>0</v>
      </c>
      <c r="EI140" s="320">
        <f>Table14[[#This Row],[% used other way(if used directly)]]*$DX140/10000</f>
        <v>0</v>
      </c>
      <c r="EJ140" s="239"/>
      <c r="EK140" s="239"/>
      <c r="EL140" s="239"/>
      <c r="EM140" s="239"/>
      <c r="EN140" s="239"/>
      <c r="EO140" s="239">
        <f>(Table14[[#This Row],[% Uncovered lagoon greater than 1 meter]]+Table14[[#This Row],[Uncovered lagoon (black watery mass) &lt;1 meter]]+Table14[[#This Row],[% Liquid slurry (brown porridge type)]])*Table14[[#This Row],[% Store it first]]/100</f>
        <v>0</v>
      </c>
      <c r="EP140" s="239"/>
      <c r="EQ140" s="239"/>
      <c r="ER140" s="239"/>
      <c r="ES140" s="239"/>
      <c r="ET140" s="239">
        <f>(Table14[[#This Row],[% Solid storage]]+Table14[[#This Row],[% Sun drying]]+Table14[[#This Row],[% Composting with a roof]]+Table14[[#This Row],[% Composting without a roof]])*Table14[[#This Row],[% Store it first]]/100</f>
        <v>0</v>
      </c>
      <c r="EU140" s="239"/>
      <c r="EV140" s="320">
        <f t="shared" si="8"/>
        <v>0</v>
      </c>
      <c r="EW140" s="320">
        <f t="shared" si="9"/>
        <v>0</v>
      </c>
      <c r="EX140" s="320">
        <f t="shared" si="10"/>
        <v>0</v>
      </c>
      <c r="EY140" s="320">
        <f t="shared" si="11"/>
        <v>0</v>
      </c>
      <c r="EZ140" s="320">
        <f t="shared" si="12"/>
        <v>0</v>
      </c>
      <c r="FA140" s="239"/>
      <c r="FB140" s="239"/>
      <c r="FC140" s="239"/>
      <c r="FD140" s="239">
        <f>Table14[[#This Row],[% I donâ€™t use it / discarded]]+Table14[[#This Row],[% Other (specify)(If you use bioslurry directly)]]+Table14[[#This Row],[% Store it first]]+Table14[[#This Row],[% Use directly for various purposes]]</f>
        <v>100</v>
      </c>
      <c r="FE140" s="239" t="s">
        <v>4</v>
      </c>
      <c r="FF140" s="239"/>
      <c r="FG140" s="239"/>
      <c r="FH140" s="239"/>
      <c r="FI140" s="239"/>
      <c r="FJ140" s="239"/>
      <c r="FK140" s="239">
        <v>2</v>
      </c>
      <c r="FL140" s="239" t="s">
        <v>7</v>
      </c>
      <c r="FM140" s="239">
        <v>80</v>
      </c>
      <c r="FN140" s="239">
        <f t="shared" si="14"/>
        <v>1.6</v>
      </c>
      <c r="FO140" s="239" t="s">
        <v>29554</v>
      </c>
      <c r="FP140" s="239" t="s">
        <v>29298</v>
      </c>
      <c r="FQ140" s="239">
        <v>48</v>
      </c>
      <c r="FR140" s="239" t="s">
        <v>7</v>
      </c>
      <c r="FS140" s="239" t="s">
        <v>29555</v>
      </c>
      <c r="FT140" s="239" t="s">
        <v>4</v>
      </c>
      <c r="FU140" s="239" t="s">
        <v>7</v>
      </c>
      <c r="FV140" s="239" t="s">
        <v>29555</v>
      </c>
      <c r="FW140" s="239" t="s">
        <v>4</v>
      </c>
      <c r="FX140" s="239" t="s">
        <v>29300</v>
      </c>
      <c r="FY140" s="239" t="s">
        <v>4</v>
      </c>
      <c r="FZ140" s="239" t="s">
        <v>4</v>
      </c>
      <c r="GA140" s="239" t="s">
        <v>4</v>
      </c>
      <c r="GB140" s="240" t="s">
        <v>4</v>
      </c>
      <c r="GC140" s="239" t="s">
        <v>4</v>
      </c>
      <c r="GD140" s="239" t="s">
        <v>2</v>
      </c>
      <c r="GE140" s="239" t="s">
        <v>4</v>
      </c>
      <c r="GF140" s="239" t="s">
        <v>4</v>
      </c>
      <c r="GG140" s="239" t="s">
        <v>2</v>
      </c>
      <c r="GH140" s="239" t="s">
        <v>2</v>
      </c>
      <c r="GI140" s="239" t="s">
        <v>4</v>
      </c>
      <c r="GJ140" s="239" t="s">
        <v>4</v>
      </c>
      <c r="GK140" s="239" t="s">
        <v>4</v>
      </c>
      <c r="GL140" s="239">
        <v>0</v>
      </c>
      <c r="GM140" s="239"/>
      <c r="GN140" s="239" t="s">
        <v>4</v>
      </c>
      <c r="GO140" s="239" t="s">
        <v>4</v>
      </c>
      <c r="GP140" s="239" t="s">
        <v>4</v>
      </c>
      <c r="GQ140" s="239" t="s">
        <v>4</v>
      </c>
      <c r="GR140" s="239" t="s">
        <v>4</v>
      </c>
      <c r="GS140" s="239" t="s">
        <v>4</v>
      </c>
      <c r="GT140" s="239" t="s">
        <v>4</v>
      </c>
      <c r="GU140" s="239" t="s">
        <v>4</v>
      </c>
      <c r="GV140" s="239" t="s">
        <v>4</v>
      </c>
      <c r="GW140" s="239" t="s">
        <v>29304</v>
      </c>
      <c r="GX140" s="239" t="s">
        <v>29478</v>
      </c>
      <c r="GY140" s="239" t="s">
        <v>29306</v>
      </c>
      <c r="GZ140" s="239" t="s">
        <v>29556</v>
      </c>
      <c r="HA140" s="239" t="s">
        <v>4</v>
      </c>
      <c r="HB140" s="239" t="s">
        <v>4</v>
      </c>
      <c r="HC140" s="239" t="s">
        <v>4</v>
      </c>
      <c r="HD140" s="239" t="s">
        <v>4</v>
      </c>
      <c r="HE140" s="239" t="s">
        <v>4</v>
      </c>
      <c r="HF140" s="239" t="s">
        <v>4</v>
      </c>
      <c r="HG140" s="239" t="s">
        <v>4</v>
      </c>
      <c r="HH140" s="239" t="s">
        <v>29354</v>
      </c>
      <c r="HI140" s="239" t="s">
        <v>4</v>
      </c>
      <c r="HJ140" s="240">
        <v>0</v>
      </c>
      <c r="HK140" s="239" t="s">
        <v>29325</v>
      </c>
      <c r="HL140" s="239" t="s">
        <v>29309</v>
      </c>
      <c r="HM140" s="239" t="s">
        <v>4</v>
      </c>
      <c r="HN140" s="239" t="s">
        <v>4</v>
      </c>
      <c r="HO140" s="239" t="s">
        <v>4</v>
      </c>
      <c r="HP140" s="239" t="s">
        <v>4</v>
      </c>
      <c r="HQ140" s="239" t="s">
        <v>4</v>
      </c>
      <c r="HR140" s="239" t="s">
        <v>4</v>
      </c>
      <c r="HS140" s="239" t="s">
        <v>4</v>
      </c>
      <c r="HT140" s="239" t="s">
        <v>4</v>
      </c>
      <c r="HU140" s="239" t="s">
        <v>2</v>
      </c>
      <c r="HV140" s="239" t="s">
        <v>4</v>
      </c>
      <c r="HW140" s="239" t="s">
        <v>4</v>
      </c>
      <c r="HX140" s="239" t="s">
        <v>4</v>
      </c>
      <c r="HY140" s="239" t="s">
        <v>4</v>
      </c>
      <c r="HZ140" s="239" t="s">
        <v>16</v>
      </c>
      <c r="IA140" s="239" t="s">
        <v>2</v>
      </c>
      <c r="IB140" s="239" t="s">
        <v>4</v>
      </c>
      <c r="IC140" s="239" t="s">
        <v>16</v>
      </c>
      <c r="ID140" s="239" t="s">
        <v>29557</v>
      </c>
      <c r="IE140" s="239" t="s">
        <v>29558</v>
      </c>
      <c r="IF140" s="239" t="s">
        <v>29559</v>
      </c>
      <c r="IG140" s="239" t="s">
        <v>29560</v>
      </c>
      <c r="IH140" s="239" t="s">
        <v>29561</v>
      </c>
    </row>
    <row r="141" spans="1:242" s="1" customFormat="1" ht="36.75" customHeight="1" x14ac:dyDescent="0.2">
      <c r="A141" s="239">
        <v>92</v>
      </c>
      <c r="B141" s="239" t="s">
        <v>9004</v>
      </c>
      <c r="C141" s="239" t="s">
        <v>30308</v>
      </c>
      <c r="D141" s="239" t="s">
        <v>30309</v>
      </c>
      <c r="E141" s="239" t="s">
        <v>7</v>
      </c>
      <c r="F141" s="239" t="s">
        <v>30310</v>
      </c>
      <c r="G141" s="239">
        <v>1174.3</v>
      </c>
      <c r="H141" s="239">
        <v>5</v>
      </c>
      <c r="I141" s="239" t="s">
        <v>29389</v>
      </c>
      <c r="J141" s="239" t="s">
        <v>30311</v>
      </c>
      <c r="K141" s="239" t="s">
        <v>30312</v>
      </c>
      <c r="L141" s="239">
        <v>775730440</v>
      </c>
      <c r="M141" s="239" t="s">
        <v>5</v>
      </c>
      <c r="N141" s="239" t="s">
        <v>31598</v>
      </c>
      <c r="O141" s="239" t="s">
        <v>4</v>
      </c>
      <c r="P141" s="239">
        <v>8</v>
      </c>
      <c r="Q141" s="239" t="s">
        <v>7</v>
      </c>
      <c r="R141" s="239" t="s">
        <v>31588</v>
      </c>
      <c r="S141" s="239" t="s">
        <v>4</v>
      </c>
      <c r="T141" s="239" t="s">
        <v>7</v>
      </c>
      <c r="U141" s="239" t="s">
        <v>7</v>
      </c>
      <c r="V141" s="239"/>
      <c r="W141" s="239" t="s">
        <v>7</v>
      </c>
      <c r="X141" s="239" t="s">
        <v>4</v>
      </c>
      <c r="Y141" s="239" t="s">
        <v>4</v>
      </c>
      <c r="Z141" s="241" t="str">
        <f>IF(OR(T141="yes",Y141&gt;'SDG outcome'!$C$27),"yes","no")</f>
        <v>yes</v>
      </c>
      <c r="AA141" s="243">
        <f t="shared" si="13"/>
        <v>0</v>
      </c>
      <c r="AB141" s="243" t="str">
        <f>IF(AND(Z141="no",AND(Y141&gt;='SDG outcome'!$B$16,Y141&lt;'SDG outcome'!$C$27)),Y141-'SDG outcome'!$B$16,"")</f>
        <v/>
      </c>
      <c r="AC141" s="239" t="s">
        <v>4</v>
      </c>
      <c r="AD141" s="239" t="s">
        <v>4</v>
      </c>
      <c r="AE141" s="239" t="s">
        <v>4</v>
      </c>
      <c r="AF141" s="239" t="s">
        <v>4</v>
      </c>
      <c r="AG141" s="239" t="s">
        <v>4</v>
      </c>
      <c r="AH141" s="239" t="s">
        <v>4</v>
      </c>
      <c r="AI141" s="239" t="s">
        <v>4</v>
      </c>
      <c r="AJ141" s="239" t="s">
        <v>29290</v>
      </c>
      <c r="AK141" s="239" t="s">
        <v>29291</v>
      </c>
      <c r="AL141" s="239" t="s">
        <v>4</v>
      </c>
      <c r="AM141" s="239" t="s">
        <v>4</v>
      </c>
      <c r="AN141" s="239" t="s">
        <v>31536</v>
      </c>
      <c r="AO141" s="239" t="s">
        <v>4</v>
      </c>
      <c r="AP141" s="239" t="s">
        <v>31537</v>
      </c>
      <c r="AQ141" s="239" t="s">
        <v>4</v>
      </c>
      <c r="AR141" s="239" t="s">
        <v>31538</v>
      </c>
      <c r="AS141" s="239" t="s">
        <v>4</v>
      </c>
      <c r="AT141" s="239" t="s">
        <v>7</v>
      </c>
      <c r="AU141" s="239" t="s">
        <v>4</v>
      </c>
      <c r="AV141" s="239" t="s">
        <v>4</v>
      </c>
      <c r="AW141" s="239" t="s">
        <v>31539</v>
      </c>
      <c r="AX141" s="239" t="s">
        <v>4</v>
      </c>
      <c r="AY141" s="239" t="s">
        <v>4</v>
      </c>
      <c r="AZ141" s="239" t="s">
        <v>7</v>
      </c>
      <c r="BA141" s="239" t="s">
        <v>28</v>
      </c>
      <c r="BB141" s="239" t="s">
        <v>4</v>
      </c>
      <c r="BC141" s="239" t="s">
        <v>31557</v>
      </c>
      <c r="BD141" s="239" t="s">
        <v>4</v>
      </c>
      <c r="BE141" s="239" t="s">
        <v>4</v>
      </c>
      <c r="BF141" s="239" t="s">
        <v>4</v>
      </c>
      <c r="BG141" s="239" t="s">
        <v>4</v>
      </c>
      <c r="BH141" s="239" t="s">
        <v>4</v>
      </c>
      <c r="BI141" s="239" t="s">
        <v>4</v>
      </c>
      <c r="BJ141" s="239" t="s">
        <v>4</v>
      </c>
      <c r="BK141" s="239" t="s">
        <v>4</v>
      </c>
      <c r="BL141" s="239" t="s">
        <v>4</v>
      </c>
      <c r="BM141" s="239" t="s">
        <v>7</v>
      </c>
      <c r="BN141" s="239" t="s">
        <v>6</v>
      </c>
      <c r="BO141" s="239" t="s">
        <v>28</v>
      </c>
      <c r="BP141" s="239" t="s">
        <v>31425</v>
      </c>
      <c r="BQ141" s="239">
        <v>1</v>
      </c>
      <c r="BR141" s="239">
        <v>30</v>
      </c>
      <c r="BS141" s="239" t="s">
        <v>31435</v>
      </c>
      <c r="BT141" s="239"/>
      <c r="BU141" s="239">
        <v>1</v>
      </c>
      <c r="BV141" s="239" cm="1">
        <f t="array" ref="BV141">_xlfn.IFS(BS141="Foreword vehicle",BU141*0,BS141="Human wastes",BU141*0,BS141="Jerrycans",BU141*$BV$228,BS141="Number of Basins",BU141*$BV$229,BS141="Number of Buckets",BU141*$CA$226,BS141="Number of Kgs",BU141*$CA$227,BS141="Number of spades",BU141*$CA$228,BS141="Number of wheelbarrows",BU141*$CA$229,BT141="Foreword vehicle",BU141*0,BT141="Human wastes",BU141*0,BT141="Jerrycans",BU141*$BV$228,BS141="","")</f>
        <v>70.5</v>
      </c>
      <c r="BW141" s="239">
        <f>IF(BV141="","",Table14[[#This Row],[Calculation: Conversion of metric to Kg manure feeding (Columns: BP, BQ, BR)]]*Table14[[#This Row],[Number of times used to feed biodigester]])</f>
        <v>70.5</v>
      </c>
      <c r="BX141" s="239" cm="1">
        <f t="array" ref="BX141">_xlfn.IFS(BP141="Number of times per day (1 to 3)",BW141/$BX$226,BP141="Number of times per week (1 to 6)",BW141/$BX$227,BP141="Number of times per Month (1 to 3)",BW141/$BX$228,BW141="","")</f>
        <v>70.5</v>
      </c>
      <c r="BY141" s="239" t="s">
        <v>22</v>
      </c>
      <c r="BZ141" s="239" t="s">
        <v>4</v>
      </c>
      <c r="CA141" s="239" t="s">
        <v>2</v>
      </c>
      <c r="CB141" s="239" t="s">
        <v>4</v>
      </c>
      <c r="CC141" s="239" t="s">
        <v>4</v>
      </c>
      <c r="CD141" s="239" t="s">
        <v>4</v>
      </c>
      <c r="CE141" s="239" t="s">
        <v>7</v>
      </c>
      <c r="CF141" s="239" t="s">
        <v>31889</v>
      </c>
      <c r="CG141" s="239" t="s">
        <v>4</v>
      </c>
      <c r="CH141" s="239" t="s">
        <v>31890</v>
      </c>
      <c r="CI141" s="239">
        <v>5</v>
      </c>
      <c r="CJ141" s="239">
        <v>0</v>
      </c>
      <c r="CK141" s="239">
        <v>5</v>
      </c>
      <c r="CL141" s="239">
        <v>0</v>
      </c>
      <c r="CM141" s="239">
        <v>0</v>
      </c>
      <c r="CN141" s="239">
        <v>0</v>
      </c>
      <c r="CO141" s="239">
        <v>5</v>
      </c>
      <c r="CP141" s="239">
        <v>60</v>
      </c>
      <c r="CQ141" s="239">
        <v>2</v>
      </c>
      <c r="CR141" s="239">
        <v>14</v>
      </c>
      <c r="CS141" s="239">
        <f>CP141/'SDG outcome'!$C$9*CQ141*CR141</f>
        <v>4.8414985590778103</v>
      </c>
      <c r="CT141" s="239">
        <v>20</v>
      </c>
      <c r="CU141" s="239">
        <v>80</v>
      </c>
      <c r="CV141" s="239" t="s">
        <v>31891</v>
      </c>
      <c r="CW141" s="239" t="s">
        <v>4</v>
      </c>
      <c r="CX141" s="239" t="s">
        <v>4</v>
      </c>
      <c r="CY141" s="239" t="s">
        <v>4</v>
      </c>
      <c r="CZ141" s="239">
        <v>70</v>
      </c>
      <c r="DA141" s="239">
        <v>30</v>
      </c>
      <c r="DB141" s="239" t="s">
        <v>31892</v>
      </c>
      <c r="DC141" s="239">
        <v>70</v>
      </c>
      <c r="DD141" s="239">
        <v>30</v>
      </c>
      <c r="DE141" s="239" t="s">
        <v>31893</v>
      </c>
      <c r="DF141" s="239" t="s">
        <v>4</v>
      </c>
      <c r="DG141" s="239" t="s">
        <v>4</v>
      </c>
      <c r="DH141" s="239" t="s">
        <v>4</v>
      </c>
      <c r="DI141" s="239" t="s">
        <v>4</v>
      </c>
      <c r="DJ141" s="239" t="s">
        <v>4</v>
      </c>
      <c r="DK141" s="239" t="s">
        <v>4</v>
      </c>
      <c r="DL141" s="239" t="s">
        <v>4</v>
      </c>
      <c r="DM141" s="239" t="s">
        <v>4</v>
      </c>
      <c r="DN141" s="239" t="s">
        <v>4</v>
      </c>
      <c r="DO141" s="239">
        <v>4</v>
      </c>
      <c r="DP141" s="239" t="s">
        <v>7</v>
      </c>
      <c r="DQ141" s="239" t="s">
        <v>29292</v>
      </c>
      <c r="DR141" s="239" t="s">
        <v>4</v>
      </c>
      <c r="DS141" s="239" t="s">
        <v>29293</v>
      </c>
      <c r="DT141" s="240">
        <v>63000</v>
      </c>
      <c r="DU141" s="239" t="s">
        <v>29293</v>
      </c>
      <c r="DV141" s="240">
        <v>100000</v>
      </c>
      <c r="DW141" s="239" t="s">
        <v>29508</v>
      </c>
      <c r="DX141" s="239"/>
      <c r="DY141" s="239"/>
      <c r="DZ141" s="239"/>
      <c r="EA141" s="239"/>
      <c r="EB141" s="239"/>
      <c r="EC141" s="239"/>
      <c r="ED141" s="239"/>
      <c r="EE141" s="320">
        <f>Table14[[#This Row],[% Fertilizer]]*$DX141/10000</f>
        <v>0</v>
      </c>
      <c r="EF141" s="320">
        <f>Table14[[#This Row],[% bioslurry used as Insecticide/Pesticide]]*$DX141/10000</f>
        <v>0</v>
      </c>
      <c r="EG141" s="320">
        <f>Table14[[#This Row],[% of Bioslurry used as animal feed]]*$DX141/10000</f>
        <v>0</v>
      </c>
      <c r="EH141" s="320">
        <f>Table14[[#This Row],[% of Bioslurry sold]]*$DX141/10000</f>
        <v>0</v>
      </c>
      <c r="EI141" s="320">
        <f>Table14[[#This Row],[% used other way(if used directly)]]*$DX141/10000</f>
        <v>0</v>
      </c>
      <c r="EJ141" s="239">
        <v>100</v>
      </c>
      <c r="EK141" s="239" t="s">
        <v>30747</v>
      </c>
      <c r="EL141" s="239"/>
      <c r="EM141" s="239">
        <v>100</v>
      </c>
      <c r="EN141" s="239"/>
      <c r="EO141" s="239">
        <f>(Table14[[#This Row],[% Uncovered lagoon greater than 1 meter]]+Table14[[#This Row],[Uncovered lagoon (black watery mass) &lt;1 meter]]+Table14[[#This Row],[% Liquid slurry (brown porridge type)]])*Table14[[#This Row],[% Store it first]]/100</f>
        <v>100</v>
      </c>
      <c r="EP141" s="239"/>
      <c r="EQ141" s="239"/>
      <c r="ER141" s="239"/>
      <c r="ES141" s="239"/>
      <c r="ET141" s="239">
        <f>(Table14[[#This Row],[% Solid storage]]+Table14[[#This Row],[% Sun drying]]+Table14[[#This Row],[% Composting with a roof]]+Table14[[#This Row],[% Composting without a roof]])*Table14[[#This Row],[% Store it first]]/100</f>
        <v>0</v>
      </c>
      <c r="EU141" s="239">
        <v>14</v>
      </c>
      <c r="EV141" s="320">
        <f t="shared" si="8"/>
        <v>1</v>
      </c>
      <c r="EW141" s="320">
        <f t="shared" si="9"/>
        <v>0</v>
      </c>
      <c r="EX141" s="320">
        <f t="shared" si="10"/>
        <v>0</v>
      </c>
      <c r="EY141" s="320">
        <f t="shared" si="11"/>
        <v>0</v>
      </c>
      <c r="EZ141" s="320">
        <f t="shared" si="12"/>
        <v>0</v>
      </c>
      <c r="FA141" s="239"/>
      <c r="FB141" s="239"/>
      <c r="FC141" s="239"/>
      <c r="FD141" s="239">
        <f>Table14[[#This Row],[% I donâ€™t use it / discarded]]+Table14[[#This Row],[% Other (specify)(If you use bioslurry directly)]]+Table14[[#This Row],[% Store it first]]+Table14[[#This Row],[% Use directly for various purposes]]</f>
        <v>100</v>
      </c>
      <c r="FE141" s="239" t="s">
        <v>29296</v>
      </c>
      <c r="FF141" s="239">
        <v>100</v>
      </c>
      <c r="FG141" s="239"/>
      <c r="FH141" s="239"/>
      <c r="FI141" s="239"/>
      <c r="FJ141" s="239"/>
      <c r="FK141" s="239">
        <v>5</v>
      </c>
      <c r="FL141" s="239" t="s">
        <v>7</v>
      </c>
      <c r="FM141" s="239">
        <v>10</v>
      </c>
      <c r="FN141" s="239">
        <f t="shared" si="14"/>
        <v>0.5</v>
      </c>
      <c r="FO141" s="239" t="s">
        <v>30313</v>
      </c>
      <c r="FP141" s="239" t="s">
        <v>29298</v>
      </c>
      <c r="FQ141" s="239">
        <v>24</v>
      </c>
      <c r="FR141" s="239" t="s">
        <v>7</v>
      </c>
      <c r="FS141" s="239" t="s">
        <v>29555</v>
      </c>
      <c r="FT141" s="239" t="s">
        <v>4</v>
      </c>
      <c r="FU141" s="239" t="s">
        <v>7</v>
      </c>
      <c r="FV141" s="239" t="s">
        <v>29555</v>
      </c>
      <c r="FW141" s="239" t="s">
        <v>4</v>
      </c>
      <c r="FX141" s="239" t="s">
        <v>29300</v>
      </c>
      <c r="FY141" s="239" t="s">
        <v>4</v>
      </c>
      <c r="FZ141" s="239" t="s">
        <v>4</v>
      </c>
      <c r="GA141" s="239" t="s">
        <v>4</v>
      </c>
      <c r="GB141" s="240" t="s">
        <v>4</v>
      </c>
      <c r="GC141" s="239" t="s">
        <v>4</v>
      </c>
      <c r="GD141" s="239" t="s">
        <v>7</v>
      </c>
      <c r="GE141" s="239" t="s">
        <v>29301</v>
      </c>
      <c r="GF141" s="239" t="s">
        <v>4</v>
      </c>
      <c r="GG141" s="239" t="s">
        <v>7</v>
      </c>
      <c r="GH141" s="239" t="s">
        <v>2</v>
      </c>
      <c r="GI141" s="239" t="s">
        <v>4</v>
      </c>
      <c r="GJ141" s="239" t="s">
        <v>4</v>
      </c>
      <c r="GK141" s="239" t="s">
        <v>4</v>
      </c>
      <c r="GL141" s="239">
        <v>0</v>
      </c>
      <c r="GM141" s="239"/>
      <c r="GN141" s="239" t="s">
        <v>4</v>
      </c>
      <c r="GO141" s="239" t="s">
        <v>4</v>
      </c>
      <c r="GP141" s="239" t="s">
        <v>4</v>
      </c>
      <c r="GQ141" s="239" t="s">
        <v>4</v>
      </c>
      <c r="GR141" s="239" t="s">
        <v>4</v>
      </c>
      <c r="GS141" s="239" t="s">
        <v>4</v>
      </c>
      <c r="GT141" s="239" t="s">
        <v>4</v>
      </c>
      <c r="GU141" s="239" t="s">
        <v>4</v>
      </c>
      <c r="GV141" s="239" t="s">
        <v>4</v>
      </c>
      <c r="GW141" s="239" t="s">
        <v>29304</v>
      </c>
      <c r="GX141" s="239" t="s">
        <v>29940</v>
      </c>
      <c r="GY141" s="239" t="s">
        <v>4</v>
      </c>
      <c r="GZ141" s="239" t="s">
        <v>30314</v>
      </c>
      <c r="HA141" s="239" t="s">
        <v>4</v>
      </c>
      <c r="HB141" s="239" t="s">
        <v>4</v>
      </c>
      <c r="HC141" s="239" t="s">
        <v>4</v>
      </c>
      <c r="HD141" s="239" t="s">
        <v>4</v>
      </c>
      <c r="HE141" s="239" t="s">
        <v>4</v>
      </c>
      <c r="HF141" s="239" t="s">
        <v>4</v>
      </c>
      <c r="HG141" s="239" t="s">
        <v>4</v>
      </c>
      <c r="HH141" s="239" t="s">
        <v>29307</v>
      </c>
      <c r="HI141" s="239" t="s">
        <v>30315</v>
      </c>
      <c r="HJ141" s="240">
        <v>0</v>
      </c>
      <c r="HK141" s="239" t="s">
        <v>29325</v>
      </c>
      <c r="HL141" s="239" t="s">
        <v>29309</v>
      </c>
      <c r="HM141" s="239" t="s">
        <v>4</v>
      </c>
      <c r="HN141" s="239" t="s">
        <v>4</v>
      </c>
      <c r="HO141" s="239" t="s">
        <v>4</v>
      </c>
      <c r="HP141" s="239" t="s">
        <v>4</v>
      </c>
      <c r="HQ141" s="239" t="s">
        <v>4</v>
      </c>
      <c r="HR141" s="239" t="s">
        <v>4</v>
      </c>
      <c r="HS141" s="239" t="s">
        <v>4</v>
      </c>
      <c r="HT141" s="239" t="s">
        <v>4</v>
      </c>
      <c r="HU141" s="239" t="s">
        <v>2</v>
      </c>
      <c r="HV141" s="239" t="s">
        <v>4</v>
      </c>
      <c r="HW141" s="239" t="s">
        <v>4</v>
      </c>
      <c r="HX141" s="239" t="s">
        <v>4</v>
      </c>
      <c r="HY141" s="239" t="s">
        <v>4</v>
      </c>
      <c r="HZ141" s="239" t="s">
        <v>30316</v>
      </c>
      <c r="IA141" s="239" t="s">
        <v>7</v>
      </c>
      <c r="IB141" s="239" t="s">
        <v>30317</v>
      </c>
      <c r="IC141" s="239" t="s">
        <v>30318</v>
      </c>
      <c r="ID141" s="239" t="s">
        <v>30319</v>
      </c>
      <c r="IE141" s="239" t="s">
        <v>30320</v>
      </c>
      <c r="IF141" s="239" t="s">
        <v>30321</v>
      </c>
      <c r="IG141" s="239" t="s">
        <v>30322</v>
      </c>
      <c r="IH141" s="239" t="s">
        <v>30308</v>
      </c>
    </row>
    <row r="142" spans="1:242" s="1" customFormat="1" ht="36.75" customHeight="1" x14ac:dyDescent="0.2">
      <c r="A142" s="239">
        <v>130</v>
      </c>
      <c r="B142" s="239" t="s">
        <v>28302</v>
      </c>
      <c r="C142" s="239" t="s">
        <v>30687</v>
      </c>
      <c r="D142" s="239" t="s">
        <v>30638</v>
      </c>
      <c r="E142" s="239" t="s">
        <v>7</v>
      </c>
      <c r="F142" s="239" t="s">
        <v>30688</v>
      </c>
      <c r="G142" s="239">
        <v>1105.739014</v>
      </c>
      <c r="H142" s="239">
        <v>4.2880000000000003</v>
      </c>
      <c r="I142" s="239" t="s">
        <v>29288</v>
      </c>
      <c r="J142" s="239" t="s">
        <v>4</v>
      </c>
      <c r="K142" s="239" t="s">
        <v>30689</v>
      </c>
      <c r="L142" s="239" t="s">
        <v>9</v>
      </c>
      <c r="M142" s="239" t="s">
        <v>3</v>
      </c>
      <c r="N142" s="239" t="s">
        <v>31844</v>
      </c>
      <c r="O142" s="239" t="s">
        <v>4</v>
      </c>
      <c r="P142" s="239">
        <v>7</v>
      </c>
      <c r="Q142" s="239" t="s">
        <v>7</v>
      </c>
      <c r="R142" s="239" t="s">
        <v>31562</v>
      </c>
      <c r="S142" s="239" t="s">
        <v>4</v>
      </c>
      <c r="T142" s="239" t="s">
        <v>7</v>
      </c>
      <c r="U142" s="239" t="s">
        <v>7</v>
      </c>
      <c r="V142" s="239"/>
      <c r="W142" s="239" t="s">
        <v>7</v>
      </c>
      <c r="X142" s="239" t="s">
        <v>4</v>
      </c>
      <c r="Y142" s="239" t="s">
        <v>4</v>
      </c>
      <c r="Z142" s="241" t="str">
        <f>IF(OR(T142="yes",Y142&gt;'SDG outcome'!$C$27),"yes","no")</f>
        <v>yes</v>
      </c>
      <c r="AA142" s="243">
        <f t="shared" si="13"/>
        <v>0</v>
      </c>
      <c r="AB142" s="243" t="str">
        <f>IF(AND(Z142="no",AND(Y142&gt;='SDG outcome'!$B$16,Y142&lt;'SDG outcome'!$C$27)),Y142-'SDG outcome'!$B$16,"")</f>
        <v/>
      </c>
      <c r="AC142" s="239" t="s">
        <v>4</v>
      </c>
      <c r="AD142" s="239" t="s">
        <v>4</v>
      </c>
      <c r="AE142" s="239" t="s">
        <v>4</v>
      </c>
      <c r="AF142" s="239" t="s">
        <v>4</v>
      </c>
      <c r="AG142" s="239" t="s">
        <v>4</v>
      </c>
      <c r="AH142" s="239" t="s">
        <v>4</v>
      </c>
      <c r="AI142" s="239" t="s">
        <v>4</v>
      </c>
      <c r="AJ142" s="239" t="s">
        <v>29290</v>
      </c>
      <c r="AK142" s="239" t="s">
        <v>29291</v>
      </c>
      <c r="AL142" s="239" t="s">
        <v>4</v>
      </c>
      <c r="AM142" s="239" t="s">
        <v>4</v>
      </c>
      <c r="AN142" s="239" t="s">
        <v>31536</v>
      </c>
      <c r="AO142" s="239" t="s">
        <v>4</v>
      </c>
      <c r="AP142" s="239" t="s">
        <v>31537</v>
      </c>
      <c r="AQ142" s="239" t="s">
        <v>4</v>
      </c>
      <c r="AR142" s="239" t="s">
        <v>31538</v>
      </c>
      <c r="AS142" s="239" t="s">
        <v>4</v>
      </c>
      <c r="AT142" s="239" t="s">
        <v>7</v>
      </c>
      <c r="AU142" s="239" t="s">
        <v>4</v>
      </c>
      <c r="AV142" s="239" t="s">
        <v>4</v>
      </c>
      <c r="AW142" s="239" t="s">
        <v>31539</v>
      </c>
      <c r="AX142" s="239" t="s">
        <v>4</v>
      </c>
      <c r="AY142" s="239" t="s">
        <v>4</v>
      </c>
      <c r="AZ142" s="239" t="s">
        <v>2</v>
      </c>
      <c r="BA142" s="239" t="s">
        <v>4</v>
      </c>
      <c r="BB142" s="239" t="s">
        <v>4</v>
      </c>
      <c r="BC142" s="239" t="s">
        <v>31563</v>
      </c>
      <c r="BD142" s="239" t="s">
        <v>14</v>
      </c>
      <c r="BE142" s="239" t="s">
        <v>4</v>
      </c>
      <c r="BF142" s="239" t="s">
        <v>31541</v>
      </c>
      <c r="BG142" s="239" t="s">
        <v>4</v>
      </c>
      <c r="BH142" s="239" t="s">
        <v>31542</v>
      </c>
      <c r="BI142" s="239" t="s">
        <v>31856</v>
      </c>
      <c r="BJ142" s="239" t="s">
        <v>31566</v>
      </c>
      <c r="BK142" s="239">
        <v>1</v>
      </c>
      <c r="BL142" s="239">
        <v>60</v>
      </c>
      <c r="BM142" s="239" t="s">
        <v>7</v>
      </c>
      <c r="BN142" s="239" t="s">
        <v>6</v>
      </c>
      <c r="BO142" s="239" t="s">
        <v>4</v>
      </c>
      <c r="BP142" s="239" t="s">
        <v>31425</v>
      </c>
      <c r="BQ142" s="239">
        <v>1</v>
      </c>
      <c r="BR142" s="239">
        <v>30</v>
      </c>
      <c r="BS142" s="239" t="s">
        <v>31434</v>
      </c>
      <c r="BT142" s="239"/>
      <c r="BU142" s="239">
        <v>2</v>
      </c>
      <c r="BV142" s="239" cm="1">
        <f t="array" ref="BV142">_xlfn.IFS(BS142="Foreword vehicle",BU142*0,BS142="Human wastes",BU142*0,BS142="Jerrycans",BU142*$BV$228,BS142="Number of Basins",BU142*$BV$229,BS142="Number of Buckets",BU142*$CA$226,BS142="Number of Kgs",BU142*$CA$227,BS142="Number of spades",BU142*$CA$228,BS142="Number of wheelbarrows",BU142*$CA$229,BT142="Foreword vehicle",BU142*0,BT142="Human wastes",BU142*0,BT142="Jerrycans",BU142*$BV$228,BS142="","")</f>
        <v>32</v>
      </c>
      <c r="BW142" s="239">
        <f>IF(BV142="","",Table14[[#This Row],[Calculation: Conversion of metric to Kg manure feeding (Columns: BP, BQ, BR)]]*Table14[[#This Row],[Number of times used to feed biodigester]])</f>
        <v>32</v>
      </c>
      <c r="BX142" s="239" cm="1">
        <f t="array" ref="BX142">_xlfn.IFS(BP142="Number of times per day (1 to 3)",BW142/$BX$226,BP142="Number of times per week (1 to 6)",BW142/$BX$227,BP142="Number of times per Month (1 to 3)",BW142/$BX$228,BW142="","")</f>
        <v>32</v>
      </c>
      <c r="BY142" s="239" t="s">
        <v>31650</v>
      </c>
      <c r="BZ142" s="239" t="s">
        <v>4</v>
      </c>
      <c r="CA142" s="239" t="s">
        <v>2</v>
      </c>
      <c r="CB142" s="239" t="s">
        <v>4</v>
      </c>
      <c r="CC142" s="239" t="s">
        <v>4</v>
      </c>
      <c r="CD142" s="239" t="s">
        <v>4</v>
      </c>
      <c r="CE142" s="239" t="s">
        <v>7</v>
      </c>
      <c r="CF142" s="239" t="s">
        <v>31857</v>
      </c>
      <c r="CG142" s="239" t="s">
        <v>4</v>
      </c>
      <c r="CH142" s="239" t="s">
        <v>31604</v>
      </c>
      <c r="CI142" s="239">
        <v>5</v>
      </c>
      <c r="CJ142" s="239">
        <v>0</v>
      </c>
      <c r="CK142" s="239">
        <v>0</v>
      </c>
      <c r="CL142" s="239">
        <v>0</v>
      </c>
      <c r="CM142" s="239">
        <v>0</v>
      </c>
      <c r="CN142" s="239">
        <v>0</v>
      </c>
      <c r="CO142" s="239">
        <v>0</v>
      </c>
      <c r="CP142" s="239">
        <v>0</v>
      </c>
      <c r="CQ142" s="239">
        <v>0</v>
      </c>
      <c r="CR142" s="239">
        <v>0</v>
      </c>
      <c r="CS142" s="239">
        <f>CP142/'SDG outcome'!$C$9*CQ142*CR142</f>
        <v>0</v>
      </c>
      <c r="CT142" s="239">
        <v>100</v>
      </c>
      <c r="CU142" s="239">
        <v>0</v>
      </c>
      <c r="CV142" s="239" t="s">
        <v>4</v>
      </c>
      <c r="CW142" s="239" t="s">
        <v>4</v>
      </c>
      <c r="CX142" s="239" t="s">
        <v>4</v>
      </c>
      <c r="CY142" s="239" t="s">
        <v>4</v>
      </c>
      <c r="CZ142" s="239" t="s">
        <v>4</v>
      </c>
      <c r="DA142" s="239" t="s">
        <v>4</v>
      </c>
      <c r="DB142" s="239" t="s">
        <v>4</v>
      </c>
      <c r="DC142" s="239" t="s">
        <v>4</v>
      </c>
      <c r="DD142" s="239" t="s">
        <v>4</v>
      </c>
      <c r="DE142" s="239" t="s">
        <v>4</v>
      </c>
      <c r="DF142" s="239" t="s">
        <v>4</v>
      </c>
      <c r="DG142" s="239" t="s">
        <v>4</v>
      </c>
      <c r="DH142" s="239" t="s">
        <v>4</v>
      </c>
      <c r="DI142" s="239" t="s">
        <v>4</v>
      </c>
      <c r="DJ142" s="239" t="s">
        <v>4</v>
      </c>
      <c r="DK142" s="239" t="s">
        <v>4</v>
      </c>
      <c r="DL142" s="239" t="s">
        <v>4</v>
      </c>
      <c r="DM142" s="239" t="s">
        <v>4</v>
      </c>
      <c r="DN142" s="239" t="s">
        <v>4</v>
      </c>
      <c r="DO142" s="239">
        <v>2</v>
      </c>
      <c r="DP142" s="239" t="s">
        <v>7</v>
      </c>
      <c r="DQ142" s="239" t="s">
        <v>29292</v>
      </c>
      <c r="DR142" s="239" t="s">
        <v>4</v>
      </c>
      <c r="DS142" s="239" t="s">
        <v>29294</v>
      </c>
      <c r="DT142" s="240" t="s">
        <v>4</v>
      </c>
      <c r="DU142" s="239" t="s">
        <v>29294</v>
      </c>
      <c r="DV142" s="240" t="s">
        <v>4</v>
      </c>
      <c r="DW142" s="239" t="s">
        <v>29295</v>
      </c>
      <c r="DX142" s="239">
        <v>100</v>
      </c>
      <c r="DY142" s="239" t="s">
        <v>30690</v>
      </c>
      <c r="DZ142" s="239">
        <v>60</v>
      </c>
      <c r="EA142" s="239"/>
      <c r="EB142" s="239"/>
      <c r="EC142" s="239"/>
      <c r="ED142" s="239">
        <v>40</v>
      </c>
      <c r="EE142" s="320">
        <f>Table14[[#This Row],[% Fertilizer]]*$DX142/10000</f>
        <v>0.6</v>
      </c>
      <c r="EF142" s="320">
        <f>Table14[[#This Row],[% bioslurry used as Insecticide/Pesticide]]*$DX142/10000</f>
        <v>0</v>
      </c>
      <c r="EG142" s="320">
        <f>Table14[[#This Row],[% of Bioslurry used as animal feed]]*$DX142/10000</f>
        <v>0</v>
      </c>
      <c r="EH142" s="320">
        <f>Table14[[#This Row],[% of Bioslurry sold]]*$DX142/10000</f>
        <v>0</v>
      </c>
      <c r="EI142" s="320">
        <f>Table14[[#This Row],[% used other way(if used directly)]]*$DX142/10000</f>
        <v>0.4</v>
      </c>
      <c r="EJ142" s="239"/>
      <c r="EK142" s="239"/>
      <c r="EL142" s="239"/>
      <c r="EM142" s="239"/>
      <c r="EN142" s="239"/>
      <c r="EO142" s="239">
        <f>(Table14[[#This Row],[% Uncovered lagoon greater than 1 meter]]+Table14[[#This Row],[Uncovered lagoon (black watery mass) &lt;1 meter]]+Table14[[#This Row],[% Liquid slurry (brown porridge type)]])*Table14[[#This Row],[% Store it first]]/100</f>
        <v>0</v>
      </c>
      <c r="EP142" s="239"/>
      <c r="EQ142" s="239"/>
      <c r="ER142" s="239"/>
      <c r="ES142" s="239"/>
      <c r="ET142" s="239">
        <f>(Table14[[#This Row],[% Solid storage]]+Table14[[#This Row],[% Sun drying]]+Table14[[#This Row],[% Composting with a roof]]+Table14[[#This Row],[% Composting without a roof]])*Table14[[#This Row],[% Store it first]]/100</f>
        <v>0</v>
      </c>
      <c r="EU142" s="239"/>
      <c r="EV142" s="320">
        <f t="shared" ref="EV142:EV173" si="15">FF142*$EJ142/10000</f>
        <v>0</v>
      </c>
      <c r="EW142" s="320">
        <f t="shared" ref="EW142:EW173" si="16">FG142*$EJ142/10000</f>
        <v>0</v>
      </c>
      <c r="EX142" s="320">
        <f t="shared" ref="EX142:EX173" si="17">FH142*$EJ142/10000</f>
        <v>0</v>
      </c>
      <c r="EY142" s="320">
        <f t="shared" ref="EY142:EY173" si="18">FI142*$EJ142/10000</f>
        <v>0</v>
      </c>
      <c r="EZ142" s="320">
        <f t="shared" ref="EZ142:EZ173" si="19">FJ142*$EJ142/10000</f>
        <v>0</v>
      </c>
      <c r="FA142" s="239"/>
      <c r="FB142" s="239">
        <v>0</v>
      </c>
      <c r="FC142" s="239"/>
      <c r="FD142" s="239">
        <f>Table14[[#This Row],[% I donâ€™t use it / discarded]]+Table14[[#This Row],[% Other (specify)(If you use bioslurry directly)]]+Table14[[#This Row],[% Store it first]]+Table14[[#This Row],[% Use directly for various purposes]]</f>
        <v>100</v>
      </c>
      <c r="FE142" s="239" t="s">
        <v>4</v>
      </c>
      <c r="FF142" s="239"/>
      <c r="FG142" s="239"/>
      <c r="FH142" s="239"/>
      <c r="FI142" s="239"/>
      <c r="FJ142" s="239"/>
      <c r="FK142" s="239">
        <v>2.5</v>
      </c>
      <c r="FL142" s="239" t="s">
        <v>30270</v>
      </c>
      <c r="FM142" s="239">
        <v>50</v>
      </c>
      <c r="FN142" s="239">
        <f t="shared" si="14"/>
        <v>1.25</v>
      </c>
      <c r="FO142" s="239" t="s">
        <v>30691</v>
      </c>
      <c r="FP142" s="239" t="s">
        <v>29298</v>
      </c>
      <c r="FQ142" s="239">
        <v>1</v>
      </c>
      <c r="FR142" s="239" t="s">
        <v>2</v>
      </c>
      <c r="FS142" s="239" t="s">
        <v>4</v>
      </c>
      <c r="FT142" s="239" t="s">
        <v>4</v>
      </c>
      <c r="FU142" s="239" t="s">
        <v>2</v>
      </c>
      <c r="FV142" s="239" t="s">
        <v>4</v>
      </c>
      <c r="FW142" s="239" t="s">
        <v>4</v>
      </c>
      <c r="FX142" s="239" t="s">
        <v>4</v>
      </c>
      <c r="FY142" s="239" t="s">
        <v>4</v>
      </c>
      <c r="FZ142" s="239" t="s">
        <v>4</v>
      </c>
      <c r="GA142" s="239" t="s">
        <v>4</v>
      </c>
      <c r="GB142" s="240" t="s">
        <v>4</v>
      </c>
      <c r="GC142" s="239" t="s">
        <v>4</v>
      </c>
      <c r="GD142" s="239" t="s">
        <v>2</v>
      </c>
      <c r="GE142" s="239" t="s">
        <v>4</v>
      </c>
      <c r="GF142" s="239" t="s">
        <v>4</v>
      </c>
      <c r="GG142" s="239" t="s">
        <v>7</v>
      </c>
      <c r="GH142" s="239" t="s">
        <v>7</v>
      </c>
      <c r="GI142" s="239" t="s">
        <v>29302</v>
      </c>
      <c r="GJ142" s="239" t="s">
        <v>30692</v>
      </c>
      <c r="GK142" s="239" t="s">
        <v>29304</v>
      </c>
      <c r="GL142" s="239">
        <v>1</v>
      </c>
      <c r="GM142" s="239" t="s">
        <v>29529</v>
      </c>
      <c r="GN142" s="239" t="s">
        <v>4</v>
      </c>
      <c r="GO142" s="239" t="s">
        <v>4</v>
      </c>
      <c r="GP142" s="239" t="s">
        <v>4</v>
      </c>
      <c r="GQ142" s="239" t="s">
        <v>4</v>
      </c>
      <c r="GR142" s="239" t="s">
        <v>29451</v>
      </c>
      <c r="GS142" s="239" t="s">
        <v>4</v>
      </c>
      <c r="GT142" s="239" t="s">
        <v>4</v>
      </c>
      <c r="GU142" s="239" t="s">
        <v>4</v>
      </c>
      <c r="GV142" s="239" t="s">
        <v>4</v>
      </c>
      <c r="GW142" s="239" t="s">
        <v>4</v>
      </c>
      <c r="GX142" s="239" t="s">
        <v>4</v>
      </c>
      <c r="GY142" s="239" t="s">
        <v>4</v>
      </c>
      <c r="GZ142" s="239" t="s">
        <v>4</v>
      </c>
      <c r="HA142" s="239" t="s">
        <v>4</v>
      </c>
      <c r="HB142" s="239" t="s">
        <v>4</v>
      </c>
      <c r="HC142" s="239" t="s">
        <v>4</v>
      </c>
      <c r="HD142" s="239" t="s">
        <v>4</v>
      </c>
      <c r="HE142" s="239" t="s">
        <v>4</v>
      </c>
      <c r="HF142" s="239" t="s">
        <v>4</v>
      </c>
      <c r="HG142" s="239" t="s">
        <v>4</v>
      </c>
      <c r="HH142" s="239" t="s">
        <v>29307</v>
      </c>
      <c r="HI142" s="239" t="s">
        <v>30693</v>
      </c>
      <c r="HJ142" s="240">
        <v>100</v>
      </c>
      <c r="HK142" s="239" t="s">
        <v>2</v>
      </c>
      <c r="HL142" s="239" t="s">
        <v>29309</v>
      </c>
      <c r="HM142" s="239" t="s">
        <v>4</v>
      </c>
      <c r="HN142" s="239" t="s">
        <v>4</v>
      </c>
      <c r="HO142" s="239" t="s">
        <v>4</v>
      </c>
      <c r="HP142" s="239" t="s">
        <v>4</v>
      </c>
      <c r="HQ142" s="239" t="s">
        <v>4</v>
      </c>
      <c r="HR142" s="239" t="s">
        <v>4</v>
      </c>
      <c r="HS142" s="239" t="s">
        <v>4</v>
      </c>
      <c r="HT142" s="239" t="s">
        <v>4</v>
      </c>
      <c r="HU142" s="239" t="s">
        <v>2</v>
      </c>
      <c r="HV142" s="239" t="s">
        <v>4</v>
      </c>
      <c r="HW142" s="239" t="s">
        <v>4</v>
      </c>
      <c r="HX142" s="239" t="s">
        <v>4</v>
      </c>
      <c r="HY142" s="239" t="s">
        <v>4</v>
      </c>
      <c r="HZ142" s="239" t="s">
        <v>16</v>
      </c>
      <c r="IA142" s="239" t="s">
        <v>2</v>
      </c>
      <c r="IB142" s="239" t="s">
        <v>4</v>
      </c>
      <c r="IC142" s="239" t="s">
        <v>16</v>
      </c>
      <c r="ID142" s="239" t="s">
        <v>30694</v>
      </c>
      <c r="IE142" s="239" t="s">
        <v>30695</v>
      </c>
      <c r="IF142" s="239" t="s">
        <v>30696</v>
      </c>
      <c r="IG142" s="239" t="s">
        <v>30697</v>
      </c>
      <c r="IH142" s="239" t="s">
        <v>30687</v>
      </c>
    </row>
    <row r="143" spans="1:242" s="1" customFormat="1" ht="36.75" customHeight="1" x14ac:dyDescent="0.2">
      <c r="A143" s="239">
        <v>136</v>
      </c>
      <c r="B143" s="239" t="s">
        <v>28375</v>
      </c>
      <c r="C143" s="239" t="s">
        <v>30744</v>
      </c>
      <c r="D143" s="239" t="s">
        <v>30699</v>
      </c>
      <c r="E143" s="239" t="s">
        <v>7</v>
      </c>
      <c r="F143" s="239" t="s">
        <v>30745</v>
      </c>
      <c r="G143" s="239">
        <v>1281.4000000000001</v>
      </c>
      <c r="H143" s="239">
        <v>5</v>
      </c>
      <c r="I143" s="239" t="s">
        <v>29288</v>
      </c>
      <c r="J143" s="239" t="s">
        <v>4</v>
      </c>
      <c r="K143" s="239" t="s">
        <v>30746</v>
      </c>
      <c r="L143" s="239">
        <v>751819999</v>
      </c>
      <c r="M143" s="239" t="s">
        <v>3</v>
      </c>
      <c r="N143" s="239" t="s">
        <v>31598</v>
      </c>
      <c r="O143" s="239" t="s">
        <v>4</v>
      </c>
      <c r="P143" s="239">
        <v>9</v>
      </c>
      <c r="Q143" s="239" t="s">
        <v>7</v>
      </c>
      <c r="R143" s="239" t="s">
        <v>31549</v>
      </c>
      <c r="S143" s="239" t="s">
        <v>4</v>
      </c>
      <c r="T143" s="239" t="s">
        <v>7</v>
      </c>
      <c r="U143" s="239" t="s">
        <v>7</v>
      </c>
      <c r="V143" s="239"/>
      <c r="W143" s="239" t="s">
        <v>7</v>
      </c>
      <c r="X143" s="239" t="s">
        <v>4</v>
      </c>
      <c r="Y143" s="239" t="s">
        <v>4</v>
      </c>
      <c r="Z143" s="241" t="str">
        <f>IF(OR(T143="yes",Y143&gt;'SDG outcome'!$C$27),"yes","no")</f>
        <v>yes</v>
      </c>
      <c r="AA143" s="243">
        <f t="shared" si="13"/>
        <v>0</v>
      </c>
      <c r="AB143" s="243" t="str">
        <f>IF(AND(Z143="no",AND(Y143&gt;='SDG outcome'!$B$16,Y143&lt;'SDG outcome'!$C$27)),Y143-'SDG outcome'!$B$16,"")</f>
        <v/>
      </c>
      <c r="AC143" s="239" t="s">
        <v>4</v>
      </c>
      <c r="AD143" s="239" t="s">
        <v>4</v>
      </c>
      <c r="AE143" s="239" t="s">
        <v>4</v>
      </c>
      <c r="AF143" s="239" t="s">
        <v>4</v>
      </c>
      <c r="AG143" s="239" t="s">
        <v>4</v>
      </c>
      <c r="AH143" s="239" t="s">
        <v>4</v>
      </c>
      <c r="AI143" s="239" t="s">
        <v>4</v>
      </c>
      <c r="AJ143" s="239" t="s">
        <v>29290</v>
      </c>
      <c r="AK143" s="239" t="s">
        <v>29291</v>
      </c>
      <c r="AL143" s="239" t="s">
        <v>4</v>
      </c>
      <c r="AM143" s="239" t="s">
        <v>4</v>
      </c>
      <c r="AN143" s="239" t="s">
        <v>31536</v>
      </c>
      <c r="AO143" s="239" t="s">
        <v>4</v>
      </c>
      <c r="AP143" s="239" t="s">
        <v>31537</v>
      </c>
      <c r="AQ143" s="239" t="s">
        <v>4</v>
      </c>
      <c r="AR143" s="239" t="s">
        <v>31538</v>
      </c>
      <c r="AS143" s="239" t="s">
        <v>4</v>
      </c>
      <c r="AT143" s="239" t="s">
        <v>7</v>
      </c>
      <c r="AU143" s="239" t="s">
        <v>4</v>
      </c>
      <c r="AV143" s="239" t="s">
        <v>4</v>
      </c>
      <c r="AW143" s="239" t="s">
        <v>31539</v>
      </c>
      <c r="AX143" s="239" t="s">
        <v>4</v>
      </c>
      <c r="AY143" s="239" t="s">
        <v>4</v>
      </c>
      <c r="AZ143" s="239" t="s">
        <v>7</v>
      </c>
      <c r="BA143" s="239" t="s">
        <v>11</v>
      </c>
      <c r="BB143" s="239" t="s">
        <v>4</v>
      </c>
      <c r="BC143" s="239" t="s">
        <v>31540</v>
      </c>
      <c r="BD143" s="239" t="s">
        <v>31541</v>
      </c>
      <c r="BE143" s="239" t="s">
        <v>4</v>
      </c>
      <c r="BF143" s="239" t="s">
        <v>31648</v>
      </c>
      <c r="BG143" s="239" t="s">
        <v>4</v>
      </c>
      <c r="BH143" s="239" t="s">
        <v>31542</v>
      </c>
      <c r="BI143" s="239" t="s">
        <v>31863</v>
      </c>
      <c r="BJ143" s="239" t="s">
        <v>31616</v>
      </c>
      <c r="BK143" s="239">
        <v>2</v>
      </c>
      <c r="BL143" s="239">
        <v>180</v>
      </c>
      <c r="BM143" s="239" t="s">
        <v>7</v>
      </c>
      <c r="BN143" s="239" t="s">
        <v>6</v>
      </c>
      <c r="BO143" s="239" t="s">
        <v>4</v>
      </c>
      <c r="BP143" s="239" t="s">
        <v>31429</v>
      </c>
      <c r="BQ143" s="239">
        <v>2</v>
      </c>
      <c r="BR143" s="239">
        <v>60</v>
      </c>
      <c r="BS143" s="239" t="s">
        <v>31434</v>
      </c>
      <c r="BT143" s="239"/>
      <c r="BU143" s="239">
        <v>6</v>
      </c>
      <c r="BV143" s="239" cm="1">
        <f t="array" ref="BV143">_xlfn.IFS(BS143="Foreword vehicle",BU143*0,BS143="Human wastes",BU143*0,BS143="Jerrycans",BU143*$BV$228,BS143="Number of Basins",BU143*$BV$229,BS143="Number of Buckets",BU143*$CA$226,BS143="Number of Kgs",BU143*$CA$227,BS143="Number of spades",BU143*$CA$228,BS143="Number of wheelbarrows",BU143*$CA$229,BT143="Foreword vehicle",BU143*0,BT143="Human wastes",BU143*0,BT143="Jerrycans",BU143*$BV$228,BS143="","")</f>
        <v>96</v>
      </c>
      <c r="BW143" s="239">
        <f>IF(BV143="","",Table14[[#This Row],[Calculation: Conversion of metric to Kg manure feeding (Columns: BP, BQ, BR)]]*Table14[[#This Row],[Number of times used to feed biodigester]])</f>
        <v>192</v>
      </c>
      <c r="BX143" s="239" cm="1">
        <f t="array" ref="BX143">_xlfn.IFS(BP143="Number of times per day (1 to 3)",BW143/$BX$226,BP143="Number of times per week (1 to 6)",BW143/$BX$227,BP143="Number of times per Month (1 to 3)",BW143/$BX$228,BW143="","")</f>
        <v>27.428571428571427</v>
      </c>
      <c r="BY143" s="239" t="s">
        <v>31650</v>
      </c>
      <c r="BZ143" s="239" t="s">
        <v>4</v>
      </c>
      <c r="CA143" s="239" t="s">
        <v>2</v>
      </c>
      <c r="CB143" s="239" t="s">
        <v>4</v>
      </c>
      <c r="CC143" s="239" t="s">
        <v>4</v>
      </c>
      <c r="CD143" s="239" t="s">
        <v>4</v>
      </c>
      <c r="CE143" s="239" t="s">
        <v>7</v>
      </c>
      <c r="CF143" s="239" t="s">
        <v>31864</v>
      </c>
      <c r="CG143" s="239" t="s">
        <v>4</v>
      </c>
      <c r="CH143" s="239" t="s">
        <v>31604</v>
      </c>
      <c r="CI143" s="239">
        <v>5</v>
      </c>
      <c r="CJ143" s="239">
        <v>0</v>
      </c>
      <c r="CK143" s="239">
        <v>0</v>
      </c>
      <c r="CL143" s="239">
        <v>0</v>
      </c>
      <c r="CM143" s="239">
        <v>0</v>
      </c>
      <c r="CN143" s="239">
        <v>0</v>
      </c>
      <c r="CO143" s="239">
        <v>0</v>
      </c>
      <c r="CP143" s="239">
        <v>0</v>
      </c>
      <c r="CQ143" s="239">
        <v>0</v>
      </c>
      <c r="CR143" s="239">
        <v>0</v>
      </c>
      <c r="CS143" s="239">
        <f>CP143/'SDG outcome'!$C$9*CQ143*CR143</f>
        <v>0</v>
      </c>
      <c r="CT143" s="239">
        <v>100</v>
      </c>
      <c r="CU143" s="239">
        <v>0</v>
      </c>
      <c r="CV143" s="239" t="s">
        <v>4</v>
      </c>
      <c r="CW143" s="239" t="s">
        <v>4</v>
      </c>
      <c r="CX143" s="239" t="s">
        <v>4</v>
      </c>
      <c r="CY143" s="239" t="s">
        <v>4</v>
      </c>
      <c r="CZ143" s="239" t="s">
        <v>4</v>
      </c>
      <c r="DA143" s="239" t="s">
        <v>4</v>
      </c>
      <c r="DB143" s="239" t="s">
        <v>4</v>
      </c>
      <c r="DC143" s="239" t="s">
        <v>4</v>
      </c>
      <c r="DD143" s="239" t="s">
        <v>4</v>
      </c>
      <c r="DE143" s="239" t="s">
        <v>4</v>
      </c>
      <c r="DF143" s="239" t="s">
        <v>4</v>
      </c>
      <c r="DG143" s="239" t="s">
        <v>4</v>
      </c>
      <c r="DH143" s="239" t="s">
        <v>4</v>
      </c>
      <c r="DI143" s="239" t="s">
        <v>4</v>
      </c>
      <c r="DJ143" s="239" t="s">
        <v>4</v>
      </c>
      <c r="DK143" s="239" t="s">
        <v>4</v>
      </c>
      <c r="DL143" s="239" t="s">
        <v>4</v>
      </c>
      <c r="DM143" s="239" t="s">
        <v>4</v>
      </c>
      <c r="DN143" s="239" t="s">
        <v>4</v>
      </c>
      <c r="DO143" s="239">
        <v>0.75</v>
      </c>
      <c r="DP143" s="239" t="s">
        <v>2</v>
      </c>
      <c r="DQ143" s="239" t="s">
        <v>29292</v>
      </c>
      <c r="DR143" s="239" t="s">
        <v>4</v>
      </c>
      <c r="DS143" s="239" t="s">
        <v>29293</v>
      </c>
      <c r="DT143" s="240">
        <v>10000</v>
      </c>
      <c r="DU143" s="239" t="s">
        <v>29293</v>
      </c>
      <c r="DV143" s="240">
        <v>0</v>
      </c>
      <c r="DW143" s="239" t="s">
        <v>29508</v>
      </c>
      <c r="DX143" s="239"/>
      <c r="DY143" s="239"/>
      <c r="DZ143" s="239"/>
      <c r="EA143" s="239"/>
      <c r="EB143" s="239"/>
      <c r="EC143" s="239"/>
      <c r="ED143" s="239"/>
      <c r="EE143" s="320">
        <f>Table14[[#This Row],[% Fertilizer]]*$DX143/10000</f>
        <v>0</v>
      </c>
      <c r="EF143" s="320">
        <f>Table14[[#This Row],[% bioslurry used as Insecticide/Pesticide]]*$DX143/10000</f>
        <v>0</v>
      </c>
      <c r="EG143" s="320">
        <f>Table14[[#This Row],[% of Bioslurry used as animal feed]]*$DX143/10000</f>
        <v>0</v>
      </c>
      <c r="EH143" s="320">
        <f>Table14[[#This Row],[% of Bioslurry sold]]*$DX143/10000</f>
        <v>0</v>
      </c>
      <c r="EI143" s="320">
        <f>Table14[[#This Row],[% used other way(if used directly)]]*$DX143/10000</f>
        <v>0</v>
      </c>
      <c r="EJ143" s="239">
        <v>100</v>
      </c>
      <c r="EK143" s="239" t="s">
        <v>30747</v>
      </c>
      <c r="EL143" s="239"/>
      <c r="EM143" s="239">
        <v>100</v>
      </c>
      <c r="EN143" s="239"/>
      <c r="EO143" s="239">
        <f>(Table14[[#This Row],[% Uncovered lagoon greater than 1 meter]]+Table14[[#This Row],[Uncovered lagoon (black watery mass) &lt;1 meter]]+Table14[[#This Row],[% Liquid slurry (brown porridge type)]])*Table14[[#This Row],[% Store it first]]/100</f>
        <v>100</v>
      </c>
      <c r="EP143" s="239"/>
      <c r="EQ143" s="239"/>
      <c r="ER143" s="239"/>
      <c r="ES143" s="239"/>
      <c r="ET143" s="239">
        <f>(Table14[[#This Row],[% Solid storage]]+Table14[[#This Row],[% Sun drying]]+Table14[[#This Row],[% Composting with a roof]]+Table14[[#This Row],[% Composting without a roof]])*Table14[[#This Row],[% Store it first]]/100</f>
        <v>0</v>
      </c>
      <c r="EU143" s="239">
        <v>21</v>
      </c>
      <c r="EV143" s="320">
        <f t="shared" si="15"/>
        <v>1</v>
      </c>
      <c r="EW143" s="320">
        <f t="shared" si="16"/>
        <v>0</v>
      </c>
      <c r="EX143" s="320">
        <f t="shared" si="17"/>
        <v>0</v>
      </c>
      <c r="EY143" s="320">
        <f t="shared" si="18"/>
        <v>0</v>
      </c>
      <c r="EZ143" s="320">
        <f t="shared" si="19"/>
        <v>0</v>
      </c>
      <c r="FA143" s="239"/>
      <c r="FB143" s="239"/>
      <c r="FC143" s="239"/>
      <c r="FD143" s="239">
        <f>Table14[[#This Row],[% I donâ€™t use it / discarded]]+Table14[[#This Row],[% Other (specify)(If you use bioslurry directly)]]+Table14[[#This Row],[% Store it first]]+Table14[[#This Row],[% Use directly for various purposes]]</f>
        <v>100</v>
      </c>
      <c r="FE143" s="239" t="s">
        <v>29296</v>
      </c>
      <c r="FF143" s="239">
        <v>100</v>
      </c>
      <c r="FG143" s="239"/>
      <c r="FH143" s="239"/>
      <c r="FI143" s="239"/>
      <c r="FJ143" s="239"/>
      <c r="FK143" s="239">
        <v>2</v>
      </c>
      <c r="FL143" s="239" t="s">
        <v>7</v>
      </c>
      <c r="FM143" s="239">
        <v>100</v>
      </c>
      <c r="FN143" s="239">
        <f t="shared" si="14"/>
        <v>2</v>
      </c>
      <c r="FO143" s="239" t="s">
        <v>30748</v>
      </c>
      <c r="FP143" s="239" t="s">
        <v>29298</v>
      </c>
      <c r="FQ143" s="239">
        <v>54</v>
      </c>
      <c r="FR143" s="239" t="s">
        <v>2</v>
      </c>
      <c r="FS143" s="239" t="s">
        <v>4</v>
      </c>
      <c r="FT143" s="239" t="s">
        <v>4</v>
      </c>
      <c r="FU143" s="239" t="s">
        <v>2</v>
      </c>
      <c r="FV143" s="239" t="s">
        <v>4</v>
      </c>
      <c r="FW143" s="239" t="s">
        <v>4</v>
      </c>
      <c r="FX143" s="239" t="s">
        <v>4</v>
      </c>
      <c r="FY143" s="239" t="s">
        <v>4</v>
      </c>
      <c r="FZ143" s="239" t="s">
        <v>4</v>
      </c>
      <c r="GA143" s="239" t="s">
        <v>4</v>
      </c>
      <c r="GB143" s="240" t="s">
        <v>4</v>
      </c>
      <c r="GC143" s="239" t="s">
        <v>4</v>
      </c>
      <c r="GD143" s="239" t="s">
        <v>7</v>
      </c>
      <c r="GE143" s="239" t="s">
        <v>29301</v>
      </c>
      <c r="GF143" s="239" t="s">
        <v>4</v>
      </c>
      <c r="GG143" s="239" t="s">
        <v>7</v>
      </c>
      <c r="GH143" s="239" t="s">
        <v>7</v>
      </c>
      <c r="GI143" s="239" t="s">
        <v>29302</v>
      </c>
      <c r="GJ143" s="239" t="s">
        <v>30678</v>
      </c>
      <c r="GK143" s="239" t="s">
        <v>29304</v>
      </c>
      <c r="GL143" s="239">
        <v>3</v>
      </c>
      <c r="GM143" s="239" t="s">
        <v>30272</v>
      </c>
      <c r="GN143" s="239" t="s">
        <v>29306</v>
      </c>
      <c r="GO143" s="239" t="s">
        <v>30210</v>
      </c>
      <c r="GP143" s="239" t="s">
        <v>29397</v>
      </c>
      <c r="GQ143" s="239" t="s">
        <v>4</v>
      </c>
      <c r="GR143" s="239" t="s">
        <v>29451</v>
      </c>
      <c r="GS143" s="239" t="s">
        <v>4</v>
      </c>
      <c r="GT143" s="239" t="s">
        <v>4</v>
      </c>
      <c r="GU143" s="239" t="s">
        <v>4</v>
      </c>
      <c r="GV143" s="239" t="s">
        <v>4</v>
      </c>
      <c r="GW143" s="239" t="s">
        <v>4</v>
      </c>
      <c r="GX143" s="239" t="s">
        <v>4</v>
      </c>
      <c r="GY143" s="239" t="s">
        <v>4</v>
      </c>
      <c r="GZ143" s="239" t="s">
        <v>4</v>
      </c>
      <c r="HA143" s="239" t="s">
        <v>4</v>
      </c>
      <c r="HB143" s="239" t="s">
        <v>4</v>
      </c>
      <c r="HC143" s="239" t="s">
        <v>4</v>
      </c>
      <c r="HD143" s="239" t="s">
        <v>4</v>
      </c>
      <c r="HE143" s="239" t="s">
        <v>4</v>
      </c>
      <c r="HF143" s="239" t="s">
        <v>4</v>
      </c>
      <c r="HG143" s="239" t="s">
        <v>4</v>
      </c>
      <c r="HH143" s="239" t="s">
        <v>30749</v>
      </c>
      <c r="HI143" s="239" t="s">
        <v>30678</v>
      </c>
      <c r="HJ143" s="240">
        <v>1000</v>
      </c>
      <c r="HK143" s="239" t="s">
        <v>2</v>
      </c>
      <c r="HL143" s="239" t="s">
        <v>29309</v>
      </c>
      <c r="HM143" s="239" t="s">
        <v>4</v>
      </c>
      <c r="HN143" s="239" t="s">
        <v>4</v>
      </c>
      <c r="HO143" s="239" t="s">
        <v>4</v>
      </c>
      <c r="HP143" s="239" t="s">
        <v>4</v>
      </c>
      <c r="HQ143" s="239" t="s">
        <v>4</v>
      </c>
      <c r="HR143" s="239" t="s">
        <v>4</v>
      </c>
      <c r="HS143" s="239" t="s">
        <v>4</v>
      </c>
      <c r="HT143" s="239" t="s">
        <v>4</v>
      </c>
      <c r="HU143" s="239" t="s">
        <v>2</v>
      </c>
      <c r="HV143" s="239" t="s">
        <v>4</v>
      </c>
      <c r="HW143" s="239" t="s">
        <v>4</v>
      </c>
      <c r="HX143" s="239" t="s">
        <v>4</v>
      </c>
      <c r="HY143" s="239" t="s">
        <v>4</v>
      </c>
      <c r="HZ143" s="239" t="s">
        <v>30750</v>
      </c>
      <c r="IA143" s="239" t="s">
        <v>7</v>
      </c>
      <c r="IB143" s="239" t="s">
        <v>30751</v>
      </c>
      <c r="IC143" s="239" t="s">
        <v>30752</v>
      </c>
      <c r="ID143" s="239" t="s">
        <v>30753</v>
      </c>
      <c r="IE143" s="239" t="s">
        <v>30754</v>
      </c>
      <c r="IF143" s="239" t="s">
        <v>30755</v>
      </c>
      <c r="IG143" s="239" t="s">
        <v>30756</v>
      </c>
      <c r="IH143" s="239" t="s">
        <v>30744</v>
      </c>
    </row>
    <row r="144" spans="1:242" s="1" customFormat="1" ht="36.75" customHeight="1" x14ac:dyDescent="0.2">
      <c r="A144" s="239">
        <v>180</v>
      </c>
      <c r="B144" s="239" t="s">
        <v>22908</v>
      </c>
      <c r="C144" s="239" t="s">
        <v>31189</v>
      </c>
      <c r="D144" s="239" t="s">
        <v>56</v>
      </c>
      <c r="E144" s="239" t="s">
        <v>7</v>
      </c>
      <c r="F144" s="239" t="s">
        <v>31190</v>
      </c>
      <c r="G144" s="239">
        <v>1390.2</v>
      </c>
      <c r="H144" s="239">
        <v>4.9000000000000004</v>
      </c>
      <c r="I144" s="239" t="s">
        <v>29389</v>
      </c>
      <c r="J144" s="239" t="s">
        <v>22</v>
      </c>
      <c r="K144" s="239" t="s">
        <v>31191</v>
      </c>
      <c r="L144" s="239">
        <v>700391197</v>
      </c>
      <c r="M144" s="239" t="s">
        <v>5</v>
      </c>
      <c r="N144" s="239" t="s">
        <v>31598</v>
      </c>
      <c r="O144" s="239" t="s">
        <v>4</v>
      </c>
      <c r="P144" s="239">
        <v>4</v>
      </c>
      <c r="Q144" s="239" t="s">
        <v>7</v>
      </c>
      <c r="R144" s="239" t="s">
        <v>31588</v>
      </c>
      <c r="S144" s="239" t="s">
        <v>4</v>
      </c>
      <c r="T144" s="239" t="s">
        <v>7</v>
      </c>
      <c r="U144" s="239" t="s">
        <v>7</v>
      </c>
      <c r="V144" s="239"/>
      <c r="W144" s="239" t="s">
        <v>7</v>
      </c>
      <c r="X144" s="239" t="s">
        <v>4</v>
      </c>
      <c r="Y144" s="239" t="s">
        <v>4</v>
      </c>
      <c r="Z144" s="241" t="str">
        <f>IF(OR(T144="yes",Y144&gt;'SDG outcome'!$C$27),"yes","no")</f>
        <v>yes</v>
      </c>
      <c r="AA144" s="243">
        <f t="shared" si="13"/>
        <v>0</v>
      </c>
      <c r="AB144" s="243" t="str">
        <f>IF(AND(Z144="no",AND(Y144&gt;='SDG outcome'!$B$16,Y144&lt;'SDG outcome'!$C$27)),Y144-'SDG outcome'!$B$16,"")</f>
        <v/>
      </c>
      <c r="AC144" s="239" t="s">
        <v>4</v>
      </c>
      <c r="AD144" s="239" t="s">
        <v>4</v>
      </c>
      <c r="AE144" s="239" t="s">
        <v>4</v>
      </c>
      <c r="AF144" s="239" t="s">
        <v>4</v>
      </c>
      <c r="AG144" s="239" t="s">
        <v>4</v>
      </c>
      <c r="AH144" s="239" t="s">
        <v>4</v>
      </c>
      <c r="AI144" s="239" t="s">
        <v>4</v>
      </c>
      <c r="AJ144" s="239" t="s">
        <v>29290</v>
      </c>
      <c r="AK144" s="239" t="s">
        <v>29694</v>
      </c>
      <c r="AL144" s="239" t="s">
        <v>4</v>
      </c>
      <c r="AM144" s="239" t="s">
        <v>4</v>
      </c>
      <c r="AN144" s="239" t="s">
        <v>31718</v>
      </c>
      <c r="AO144" s="239" t="s">
        <v>4</v>
      </c>
      <c r="AP144" s="239" t="s">
        <v>31537</v>
      </c>
      <c r="AQ144" s="239" t="s">
        <v>4</v>
      </c>
      <c r="AR144" s="239" t="s">
        <v>31538</v>
      </c>
      <c r="AS144" s="239" t="s">
        <v>4</v>
      </c>
      <c r="AT144" s="239" t="s">
        <v>7</v>
      </c>
      <c r="AU144" s="239" t="s">
        <v>4</v>
      </c>
      <c r="AV144" s="239" t="s">
        <v>4</v>
      </c>
      <c r="AW144" s="239" t="s">
        <v>31539</v>
      </c>
      <c r="AX144" s="239" t="s">
        <v>4</v>
      </c>
      <c r="AY144" s="239" t="s">
        <v>4</v>
      </c>
      <c r="AZ144" s="239" t="s">
        <v>2</v>
      </c>
      <c r="BA144" s="239" t="s">
        <v>4</v>
      </c>
      <c r="BB144" s="239" t="s">
        <v>4</v>
      </c>
      <c r="BC144" s="239" t="s">
        <v>31563</v>
      </c>
      <c r="BD144" s="239" t="s">
        <v>22</v>
      </c>
      <c r="BE144" s="239" t="s">
        <v>4</v>
      </c>
      <c r="BF144" s="239" t="s">
        <v>31564</v>
      </c>
      <c r="BG144" s="239" t="s">
        <v>4</v>
      </c>
      <c r="BH144" s="239" t="s">
        <v>31542</v>
      </c>
      <c r="BI144" s="239" t="s">
        <v>31938</v>
      </c>
      <c r="BJ144" s="239" t="s">
        <v>31544</v>
      </c>
      <c r="BK144" s="239">
        <v>3</v>
      </c>
      <c r="BL144" s="239">
        <v>120</v>
      </c>
      <c r="BM144" s="239" t="s">
        <v>7</v>
      </c>
      <c r="BN144" s="239" t="s">
        <v>6</v>
      </c>
      <c r="BO144" s="239" t="s">
        <v>4</v>
      </c>
      <c r="BP144" s="239" t="s">
        <v>31429</v>
      </c>
      <c r="BQ144" s="239">
        <v>4</v>
      </c>
      <c r="BR144" s="239">
        <v>30</v>
      </c>
      <c r="BS144" s="239" t="s">
        <v>31434</v>
      </c>
      <c r="BT144" s="239"/>
      <c r="BU144" s="239">
        <v>4</v>
      </c>
      <c r="BV144" s="239" cm="1">
        <f t="array" ref="BV144">_xlfn.IFS(BS144="Foreword vehicle",BU144*0,BS144="Human wastes",BU144*0,BS144="Jerrycans",BU144*$BV$228,BS144="Number of Basins",BU144*$BV$229,BS144="Number of Buckets",BU144*$CA$226,BS144="Number of Kgs",BU144*$CA$227,BS144="Number of spades",BU144*$CA$228,BS144="Number of wheelbarrows",BU144*$CA$229,BT144="Foreword vehicle",BU144*0,BT144="Human wastes",BU144*0,BT144="Jerrycans",BU144*$BV$228,BS144="","")</f>
        <v>64</v>
      </c>
      <c r="BW144" s="239">
        <f>IF(BV144="","",Table14[[#This Row],[Calculation: Conversion of metric to Kg manure feeding (Columns: BP, BQ, BR)]]*Table14[[#This Row],[Number of times used to feed biodigester]])</f>
        <v>256</v>
      </c>
      <c r="BX144" s="239" cm="1">
        <f t="array" ref="BX144">_xlfn.IFS(BP144="Number of times per day (1 to 3)",BW144/$BX$226,BP144="Number of times per week (1 to 6)",BW144/$BX$227,BP144="Number of times per Month (1 to 3)",BW144/$BX$228,BW144="","")</f>
        <v>36.571428571428569</v>
      </c>
      <c r="BY144" s="239" t="s">
        <v>22</v>
      </c>
      <c r="BZ144" s="239" t="s">
        <v>4</v>
      </c>
      <c r="CA144" s="239" t="s">
        <v>2</v>
      </c>
      <c r="CB144" s="239" t="s">
        <v>4</v>
      </c>
      <c r="CC144" s="239" t="s">
        <v>4</v>
      </c>
      <c r="CD144" s="239" t="s">
        <v>4</v>
      </c>
      <c r="CE144" s="239" t="s">
        <v>7</v>
      </c>
      <c r="CF144" s="239" t="s">
        <v>31639</v>
      </c>
      <c r="CG144" s="239" t="s">
        <v>4</v>
      </c>
      <c r="CH144" s="239" t="s">
        <v>31604</v>
      </c>
      <c r="CI144" s="239">
        <v>5</v>
      </c>
      <c r="CJ144" s="239">
        <v>0</v>
      </c>
      <c r="CK144" s="239">
        <v>0</v>
      </c>
      <c r="CL144" s="239">
        <v>0</v>
      </c>
      <c r="CM144" s="239">
        <v>0</v>
      </c>
      <c r="CN144" s="239">
        <v>0</v>
      </c>
      <c r="CO144" s="239">
        <v>0</v>
      </c>
      <c r="CP144" s="239">
        <v>0</v>
      </c>
      <c r="CQ144" s="239">
        <v>0</v>
      </c>
      <c r="CR144" s="239">
        <v>0</v>
      </c>
      <c r="CS144" s="239">
        <f>CP144/'SDG outcome'!$C$9*CQ144*CR144</f>
        <v>0</v>
      </c>
      <c r="CT144" s="239">
        <v>60</v>
      </c>
      <c r="CU144" s="239">
        <v>40</v>
      </c>
      <c r="CV144" s="239" t="s">
        <v>31939</v>
      </c>
      <c r="CW144" s="239" t="s">
        <v>4</v>
      </c>
      <c r="CX144" s="239" t="s">
        <v>4</v>
      </c>
      <c r="CY144" s="239" t="s">
        <v>4</v>
      </c>
      <c r="CZ144" s="239" t="s">
        <v>4</v>
      </c>
      <c r="DA144" s="239" t="s">
        <v>4</v>
      </c>
      <c r="DB144" s="239" t="s">
        <v>4</v>
      </c>
      <c r="DC144" s="239" t="s">
        <v>4</v>
      </c>
      <c r="DD144" s="239" t="s">
        <v>4</v>
      </c>
      <c r="DE144" s="239" t="s">
        <v>4</v>
      </c>
      <c r="DF144" s="239" t="s">
        <v>4</v>
      </c>
      <c r="DG144" s="239" t="s">
        <v>4</v>
      </c>
      <c r="DH144" s="239" t="s">
        <v>4</v>
      </c>
      <c r="DI144" s="239" t="s">
        <v>4</v>
      </c>
      <c r="DJ144" s="239" t="s">
        <v>4</v>
      </c>
      <c r="DK144" s="239" t="s">
        <v>4</v>
      </c>
      <c r="DL144" s="239" t="s">
        <v>4</v>
      </c>
      <c r="DM144" s="239" t="s">
        <v>4</v>
      </c>
      <c r="DN144" s="239" t="s">
        <v>4</v>
      </c>
      <c r="DO144" s="239">
        <v>1</v>
      </c>
      <c r="DP144" s="239" t="s">
        <v>2</v>
      </c>
      <c r="DQ144" s="239" t="s">
        <v>29375</v>
      </c>
      <c r="DR144" s="239" t="s">
        <v>4</v>
      </c>
      <c r="DS144" s="239" t="s">
        <v>4</v>
      </c>
      <c r="DT144" s="240" t="s">
        <v>4</v>
      </c>
      <c r="DU144" s="239" t="s">
        <v>29294</v>
      </c>
      <c r="DV144" s="240" t="s">
        <v>4</v>
      </c>
      <c r="DW144" s="239" t="s">
        <v>29508</v>
      </c>
      <c r="DX144" s="239"/>
      <c r="DY144" s="239"/>
      <c r="DZ144" s="239"/>
      <c r="EA144" s="239"/>
      <c r="EB144" s="239"/>
      <c r="EC144" s="239"/>
      <c r="ED144" s="239"/>
      <c r="EE144" s="320">
        <f>Table14[[#This Row],[% Fertilizer]]*$DX144/10000</f>
        <v>0</v>
      </c>
      <c r="EF144" s="320">
        <f>Table14[[#This Row],[% bioslurry used as Insecticide/Pesticide]]*$DX144/10000</f>
        <v>0</v>
      </c>
      <c r="EG144" s="320">
        <f>Table14[[#This Row],[% of Bioslurry used as animal feed]]*$DX144/10000</f>
        <v>0</v>
      </c>
      <c r="EH144" s="320">
        <f>Table14[[#This Row],[% of Bioslurry sold]]*$DX144/10000</f>
        <v>0</v>
      </c>
      <c r="EI144" s="320">
        <f>Table14[[#This Row],[% used other way(if used directly)]]*$DX144/10000</f>
        <v>0</v>
      </c>
      <c r="EJ144" s="239">
        <v>100</v>
      </c>
      <c r="EK144" s="239" t="s">
        <v>31012</v>
      </c>
      <c r="EL144" s="239"/>
      <c r="EM144" s="239"/>
      <c r="EN144" s="239"/>
      <c r="EO144" s="239">
        <f>(Table14[[#This Row],[% Uncovered lagoon greater than 1 meter]]+Table14[[#This Row],[Uncovered lagoon (black watery mass) &lt;1 meter]]+Table14[[#This Row],[% Liquid slurry (brown porridge type)]])*Table14[[#This Row],[% Store it first]]/100</f>
        <v>0</v>
      </c>
      <c r="EP144" s="239"/>
      <c r="EQ144" s="239"/>
      <c r="ER144" s="239">
        <v>100</v>
      </c>
      <c r="ES144" s="239"/>
      <c r="ET144" s="239">
        <f>(Table14[[#This Row],[% Solid storage]]+Table14[[#This Row],[% Sun drying]]+Table14[[#This Row],[% Composting with a roof]]+Table14[[#This Row],[% Composting without a roof]])*Table14[[#This Row],[% Store it first]]/100</f>
        <v>100</v>
      </c>
      <c r="EU144" s="239">
        <v>45</v>
      </c>
      <c r="EV144" s="320">
        <f t="shared" si="15"/>
        <v>1</v>
      </c>
      <c r="EW144" s="320">
        <f t="shared" si="16"/>
        <v>0</v>
      </c>
      <c r="EX144" s="320">
        <f t="shared" si="17"/>
        <v>0</v>
      </c>
      <c r="EY144" s="320">
        <f t="shared" si="18"/>
        <v>0</v>
      </c>
      <c r="EZ144" s="320">
        <f t="shared" si="19"/>
        <v>0</v>
      </c>
      <c r="FA144" s="239"/>
      <c r="FB144" s="239"/>
      <c r="FC144" s="239"/>
      <c r="FD144" s="239">
        <f>Table14[[#This Row],[% I donâ€™t use it / discarded]]+Table14[[#This Row],[% Other (specify)(If you use bioslurry directly)]]+Table14[[#This Row],[% Store it first]]+Table14[[#This Row],[% Use directly for various purposes]]</f>
        <v>100</v>
      </c>
      <c r="FE144" s="239" t="s">
        <v>29296</v>
      </c>
      <c r="FF144" s="239">
        <v>100</v>
      </c>
      <c r="FG144" s="239"/>
      <c r="FH144" s="239"/>
      <c r="FI144" s="239"/>
      <c r="FJ144" s="239"/>
      <c r="FK144" s="239">
        <v>1.6</v>
      </c>
      <c r="FL144" s="239" t="s">
        <v>7</v>
      </c>
      <c r="FM144" s="239">
        <v>80</v>
      </c>
      <c r="FN144" s="239">
        <f t="shared" si="14"/>
        <v>1.28</v>
      </c>
      <c r="FO144" s="239" t="s">
        <v>31192</v>
      </c>
      <c r="FP144" s="239" t="s">
        <v>29298</v>
      </c>
      <c r="FQ144" s="239">
        <v>72</v>
      </c>
      <c r="FR144" s="239" t="s">
        <v>7</v>
      </c>
      <c r="FS144" s="239" t="s">
        <v>29393</v>
      </c>
      <c r="FT144" s="239" t="s">
        <v>4</v>
      </c>
      <c r="FU144" s="239" t="s">
        <v>7</v>
      </c>
      <c r="FV144" s="239" t="s">
        <v>29393</v>
      </c>
      <c r="FW144" s="239" t="s">
        <v>4</v>
      </c>
      <c r="FX144" s="239" t="s">
        <v>30093</v>
      </c>
      <c r="FY144" s="239" t="s">
        <v>4</v>
      </c>
      <c r="FZ144" s="239" t="s">
        <v>4</v>
      </c>
      <c r="GA144" s="239" t="s">
        <v>4</v>
      </c>
      <c r="GB144" s="240" t="s">
        <v>4</v>
      </c>
      <c r="GC144" s="239" t="s">
        <v>4</v>
      </c>
      <c r="GD144" s="239" t="s">
        <v>2</v>
      </c>
      <c r="GE144" s="239" t="s">
        <v>4</v>
      </c>
      <c r="GF144" s="239" t="s">
        <v>4</v>
      </c>
      <c r="GG144" s="239" t="s">
        <v>2</v>
      </c>
      <c r="GH144" s="239" t="s">
        <v>2</v>
      </c>
      <c r="GI144" s="239" t="s">
        <v>4</v>
      </c>
      <c r="GJ144" s="239" t="s">
        <v>4</v>
      </c>
      <c r="GK144" s="239" t="s">
        <v>4</v>
      </c>
      <c r="GL144" s="239">
        <v>0</v>
      </c>
      <c r="GM144" s="239"/>
      <c r="GN144" s="239" t="s">
        <v>4</v>
      </c>
      <c r="GO144" s="239" t="s">
        <v>4</v>
      </c>
      <c r="GP144" s="239" t="s">
        <v>4</v>
      </c>
      <c r="GQ144" s="239" t="s">
        <v>4</v>
      </c>
      <c r="GR144" s="239" t="s">
        <v>4</v>
      </c>
      <c r="GS144" s="239" t="s">
        <v>4</v>
      </c>
      <c r="GT144" s="239" t="s">
        <v>4</v>
      </c>
      <c r="GU144" s="239" t="s">
        <v>4</v>
      </c>
      <c r="GV144" s="239" t="s">
        <v>4</v>
      </c>
      <c r="GW144" s="239" t="s">
        <v>29304</v>
      </c>
      <c r="GX144" s="239" t="s">
        <v>29940</v>
      </c>
      <c r="GY144" s="239" t="s">
        <v>4</v>
      </c>
      <c r="GZ144" s="239" t="s">
        <v>29466</v>
      </c>
      <c r="HA144" s="239" t="s">
        <v>4</v>
      </c>
      <c r="HB144" s="239" t="s">
        <v>4</v>
      </c>
      <c r="HC144" s="239" t="s">
        <v>4</v>
      </c>
      <c r="HD144" s="239" t="s">
        <v>4</v>
      </c>
      <c r="HE144" s="239" t="s">
        <v>4</v>
      </c>
      <c r="HF144" s="239" t="s">
        <v>4</v>
      </c>
      <c r="HG144" s="239" t="s">
        <v>4</v>
      </c>
      <c r="HH144" s="239" t="s">
        <v>29354</v>
      </c>
      <c r="HI144" s="239" t="s">
        <v>4</v>
      </c>
      <c r="HJ144" s="240">
        <v>0</v>
      </c>
      <c r="HK144" s="239" t="s">
        <v>2</v>
      </c>
      <c r="HL144" s="239" t="s">
        <v>29480</v>
      </c>
      <c r="HM144" s="239" t="s">
        <v>4</v>
      </c>
      <c r="HN144" s="239" t="s">
        <v>4</v>
      </c>
      <c r="HO144" s="239" t="s">
        <v>4</v>
      </c>
      <c r="HP144" s="239" t="s">
        <v>4</v>
      </c>
      <c r="HQ144" s="239" t="s">
        <v>4</v>
      </c>
      <c r="HR144" s="239" t="s">
        <v>4</v>
      </c>
      <c r="HS144" s="239" t="s">
        <v>4</v>
      </c>
      <c r="HT144" s="239" t="s">
        <v>4</v>
      </c>
      <c r="HU144" s="239" t="s">
        <v>2</v>
      </c>
      <c r="HV144" s="239" t="s">
        <v>4</v>
      </c>
      <c r="HW144" s="239" t="s">
        <v>4</v>
      </c>
      <c r="HX144" s="239" t="s">
        <v>4</v>
      </c>
      <c r="HY144" s="239" t="s">
        <v>4</v>
      </c>
      <c r="HZ144" s="239" t="s">
        <v>16</v>
      </c>
      <c r="IA144" s="239" t="s">
        <v>2</v>
      </c>
      <c r="IB144" s="239" t="s">
        <v>4</v>
      </c>
      <c r="IC144" s="239" t="s">
        <v>31193</v>
      </c>
      <c r="ID144" s="239" t="s">
        <v>31194</v>
      </c>
      <c r="IE144" s="239" t="s">
        <v>31195</v>
      </c>
      <c r="IF144" s="239" t="s">
        <v>31196</v>
      </c>
      <c r="IG144" s="239" t="s">
        <v>31197</v>
      </c>
      <c r="IH144" s="239" t="s">
        <v>31189</v>
      </c>
    </row>
    <row r="145" spans="1:242" s="1" customFormat="1" ht="36.75" customHeight="1" x14ac:dyDescent="0.2">
      <c r="A145" s="239">
        <v>191</v>
      </c>
      <c r="B145" s="239" t="s">
        <v>78</v>
      </c>
      <c r="C145" s="239" t="s">
        <v>31291</v>
      </c>
      <c r="D145" s="239" t="s">
        <v>43</v>
      </c>
      <c r="E145" s="239" t="s">
        <v>7</v>
      </c>
      <c r="F145" s="239" t="s">
        <v>31292</v>
      </c>
      <c r="G145" s="239">
        <v>1700.7</v>
      </c>
      <c r="H145" s="239">
        <v>4.5999999999999996</v>
      </c>
      <c r="I145" s="239" t="s">
        <v>29288</v>
      </c>
      <c r="J145" s="239" t="s">
        <v>4</v>
      </c>
      <c r="K145" s="239" t="s">
        <v>31293</v>
      </c>
      <c r="L145" s="239">
        <v>777059297</v>
      </c>
      <c r="M145" s="239" t="s">
        <v>3</v>
      </c>
      <c r="N145" s="239" t="s">
        <v>31438</v>
      </c>
      <c r="O145" s="239">
        <v>71</v>
      </c>
      <c r="P145" s="239">
        <v>5</v>
      </c>
      <c r="Q145" s="239" t="s">
        <v>7</v>
      </c>
      <c r="R145" s="239" t="s">
        <v>31588</v>
      </c>
      <c r="S145" s="239" t="s">
        <v>4</v>
      </c>
      <c r="T145" s="239" t="s">
        <v>7</v>
      </c>
      <c r="U145" s="239" t="s">
        <v>7</v>
      </c>
      <c r="V145" s="239"/>
      <c r="W145" s="239" t="s">
        <v>7</v>
      </c>
      <c r="X145" s="239" t="s">
        <v>4</v>
      </c>
      <c r="Y145" s="239" t="s">
        <v>4</v>
      </c>
      <c r="Z145" s="241" t="str">
        <f>IF(OR(T145="yes",Y145&gt;'SDG outcome'!$C$27),"yes","no")</f>
        <v>yes</v>
      </c>
      <c r="AA145" s="243">
        <f t="shared" si="13"/>
        <v>0</v>
      </c>
      <c r="AB145" s="243" t="str">
        <f>IF(AND(Z145="no",AND(Y145&gt;='SDG outcome'!$B$16,Y145&lt;'SDG outcome'!$C$27)),Y145-'SDG outcome'!$B$16,"")</f>
        <v/>
      </c>
      <c r="AC145" s="239" t="s">
        <v>4</v>
      </c>
      <c r="AD145" s="239" t="s">
        <v>4</v>
      </c>
      <c r="AE145" s="239" t="s">
        <v>4</v>
      </c>
      <c r="AF145" s="239" t="s">
        <v>4</v>
      </c>
      <c r="AG145" s="239" t="s">
        <v>4</v>
      </c>
      <c r="AH145" s="239" t="s">
        <v>4</v>
      </c>
      <c r="AI145" s="239" t="s">
        <v>4</v>
      </c>
      <c r="AJ145" s="239" t="s">
        <v>29290</v>
      </c>
      <c r="AK145" s="239" t="s">
        <v>31294</v>
      </c>
      <c r="AL145" s="239" t="s">
        <v>4</v>
      </c>
      <c r="AM145" s="239" t="s">
        <v>4</v>
      </c>
      <c r="AN145" s="239" t="s">
        <v>31536</v>
      </c>
      <c r="AO145" s="239" t="s">
        <v>4</v>
      </c>
      <c r="AP145" s="239" t="s">
        <v>31537</v>
      </c>
      <c r="AQ145" s="239" t="s">
        <v>4</v>
      </c>
      <c r="AR145" s="239" t="s">
        <v>31538</v>
      </c>
      <c r="AS145" s="239" t="s">
        <v>4</v>
      </c>
      <c r="AT145" s="239" t="s">
        <v>7</v>
      </c>
      <c r="AU145" s="239" t="s">
        <v>4</v>
      </c>
      <c r="AV145" s="239" t="s">
        <v>4</v>
      </c>
      <c r="AW145" s="239" t="s">
        <v>31539</v>
      </c>
      <c r="AX145" s="239" t="s">
        <v>4</v>
      </c>
      <c r="AY145" s="239" t="s">
        <v>4</v>
      </c>
      <c r="AZ145" s="239" t="s">
        <v>7</v>
      </c>
      <c r="BA145" s="239" t="s">
        <v>11</v>
      </c>
      <c r="BB145" s="239" t="s">
        <v>4</v>
      </c>
      <c r="BC145" s="239" t="s">
        <v>31563</v>
      </c>
      <c r="BD145" s="239" t="s">
        <v>22</v>
      </c>
      <c r="BE145" s="239" t="s">
        <v>4</v>
      </c>
      <c r="BF145" s="239" t="s">
        <v>22</v>
      </c>
      <c r="BG145" s="239" t="s">
        <v>4</v>
      </c>
      <c r="BH145" s="239" t="s">
        <v>31542</v>
      </c>
      <c r="BI145" s="239" t="s">
        <v>31961</v>
      </c>
      <c r="BJ145" s="239" t="s">
        <v>31544</v>
      </c>
      <c r="BK145" s="239">
        <v>2</v>
      </c>
      <c r="BL145" s="239">
        <v>120</v>
      </c>
      <c r="BM145" s="239" t="s">
        <v>7</v>
      </c>
      <c r="BN145" s="239" t="s">
        <v>6</v>
      </c>
      <c r="BO145" s="239" t="s">
        <v>4</v>
      </c>
      <c r="BP145" s="239" t="s">
        <v>31429</v>
      </c>
      <c r="BQ145" s="239">
        <v>2</v>
      </c>
      <c r="BR145" s="239">
        <v>60</v>
      </c>
      <c r="BS145" s="239" t="s">
        <v>31435</v>
      </c>
      <c r="BT145" s="239"/>
      <c r="BU145" s="239">
        <v>3</v>
      </c>
      <c r="BV145" s="239" cm="1">
        <f t="array" ref="BV145">_xlfn.IFS(BS145="Foreword vehicle",BU145*0,BS145="Human wastes",BU145*0,BS145="Jerrycans",BU145*$BV$228,BS145="Number of Basins",BU145*$BV$229,BS145="Number of Buckets",BU145*$CA$226,BS145="Number of Kgs",BU145*$CA$227,BS145="Number of spades",BU145*$CA$228,BS145="Number of wheelbarrows",BU145*$CA$229,BT145="Foreword vehicle",BU145*0,BT145="Human wastes",BU145*0,BT145="Jerrycans",BU145*$BV$228,BS145="","")</f>
        <v>211.5</v>
      </c>
      <c r="BW145" s="239">
        <f>IF(BV145="","",Table14[[#This Row],[Calculation: Conversion of metric to Kg manure feeding (Columns: BP, BQ, BR)]]*Table14[[#This Row],[Number of times used to feed biodigester]])</f>
        <v>423</v>
      </c>
      <c r="BX145" s="239" cm="1">
        <f t="array" ref="BX145">_xlfn.IFS(BP145="Number of times per day (1 to 3)",BW145/$BX$226,BP145="Number of times per week (1 to 6)",BW145/$BX$227,BP145="Number of times per Month (1 to 3)",BW145/$BX$228,BW145="","")</f>
        <v>60.428571428571431</v>
      </c>
      <c r="BY145" s="239" t="s">
        <v>22</v>
      </c>
      <c r="BZ145" s="239" t="s">
        <v>4</v>
      </c>
      <c r="CA145" s="239" t="s">
        <v>2</v>
      </c>
      <c r="CB145" s="239" t="s">
        <v>4</v>
      </c>
      <c r="CC145" s="239" t="s">
        <v>4</v>
      </c>
      <c r="CD145" s="239" t="s">
        <v>4</v>
      </c>
      <c r="CE145" s="239" t="s">
        <v>7</v>
      </c>
      <c r="CF145" s="239" t="s">
        <v>31962</v>
      </c>
      <c r="CG145" s="239" t="s">
        <v>4</v>
      </c>
      <c r="CH145" s="239" t="s">
        <v>31604</v>
      </c>
      <c r="CI145" s="239">
        <v>5</v>
      </c>
      <c r="CJ145" s="239">
        <v>0</v>
      </c>
      <c r="CK145" s="239">
        <v>0</v>
      </c>
      <c r="CL145" s="239">
        <v>0</v>
      </c>
      <c r="CM145" s="239">
        <v>0</v>
      </c>
      <c r="CN145" s="239">
        <v>0</v>
      </c>
      <c r="CO145" s="239">
        <v>0</v>
      </c>
      <c r="CP145" s="239">
        <v>0</v>
      </c>
      <c r="CQ145" s="239">
        <v>0</v>
      </c>
      <c r="CR145" s="239">
        <v>0</v>
      </c>
      <c r="CS145" s="239">
        <f>CP145/'SDG outcome'!$C$9*CQ145*CR145</f>
        <v>0</v>
      </c>
      <c r="CT145" s="239">
        <v>100</v>
      </c>
      <c r="CU145" s="239">
        <v>0</v>
      </c>
      <c r="CV145" s="239" t="s">
        <v>4</v>
      </c>
      <c r="CW145" s="239" t="s">
        <v>4</v>
      </c>
      <c r="CX145" s="239" t="s">
        <v>4</v>
      </c>
      <c r="CY145" s="239" t="s">
        <v>4</v>
      </c>
      <c r="CZ145" s="239" t="s">
        <v>4</v>
      </c>
      <c r="DA145" s="239" t="s">
        <v>4</v>
      </c>
      <c r="DB145" s="239" t="s">
        <v>4</v>
      </c>
      <c r="DC145" s="239" t="s">
        <v>4</v>
      </c>
      <c r="DD145" s="239" t="s">
        <v>4</v>
      </c>
      <c r="DE145" s="239" t="s">
        <v>4</v>
      </c>
      <c r="DF145" s="239" t="s">
        <v>4</v>
      </c>
      <c r="DG145" s="239" t="s">
        <v>4</v>
      </c>
      <c r="DH145" s="239" t="s">
        <v>4</v>
      </c>
      <c r="DI145" s="239" t="s">
        <v>4</v>
      </c>
      <c r="DJ145" s="239" t="s">
        <v>4</v>
      </c>
      <c r="DK145" s="239" t="s">
        <v>4</v>
      </c>
      <c r="DL145" s="239" t="s">
        <v>4</v>
      </c>
      <c r="DM145" s="239" t="s">
        <v>4</v>
      </c>
      <c r="DN145" s="239" t="s">
        <v>4</v>
      </c>
      <c r="DO145" s="239">
        <v>3</v>
      </c>
      <c r="DP145" s="239" t="s">
        <v>7</v>
      </c>
      <c r="DQ145" s="239" t="s">
        <v>29292</v>
      </c>
      <c r="DR145" s="239" t="s">
        <v>4</v>
      </c>
      <c r="DS145" s="239" t="s">
        <v>29294</v>
      </c>
      <c r="DT145" s="240" t="s">
        <v>4</v>
      </c>
      <c r="DU145" s="239" t="s">
        <v>29294</v>
      </c>
      <c r="DV145" s="240" t="s">
        <v>4</v>
      </c>
      <c r="DW145" s="239" t="s">
        <v>29295</v>
      </c>
      <c r="DX145" s="239">
        <v>100</v>
      </c>
      <c r="DY145" s="239" t="s">
        <v>29296</v>
      </c>
      <c r="DZ145" s="239">
        <v>100</v>
      </c>
      <c r="EA145" s="239"/>
      <c r="EB145" s="239"/>
      <c r="EC145" s="239"/>
      <c r="ED145" s="239"/>
      <c r="EE145" s="320">
        <f>Table14[[#This Row],[% Fertilizer]]*$DX145/10000</f>
        <v>1</v>
      </c>
      <c r="EF145" s="320">
        <f>Table14[[#This Row],[% bioslurry used as Insecticide/Pesticide]]*$DX145/10000</f>
        <v>0</v>
      </c>
      <c r="EG145" s="320">
        <f>Table14[[#This Row],[% of Bioslurry used as animal feed]]*$DX145/10000</f>
        <v>0</v>
      </c>
      <c r="EH145" s="320">
        <f>Table14[[#This Row],[% of Bioslurry sold]]*$DX145/10000</f>
        <v>0</v>
      </c>
      <c r="EI145" s="320">
        <f>Table14[[#This Row],[% used other way(if used directly)]]*$DX145/10000</f>
        <v>0</v>
      </c>
      <c r="EJ145" s="239"/>
      <c r="EK145" s="239"/>
      <c r="EL145" s="239"/>
      <c r="EM145" s="239"/>
      <c r="EN145" s="239"/>
      <c r="EO145" s="239">
        <f>(Table14[[#This Row],[% Uncovered lagoon greater than 1 meter]]+Table14[[#This Row],[Uncovered lagoon (black watery mass) &lt;1 meter]]+Table14[[#This Row],[% Liquid slurry (brown porridge type)]])*Table14[[#This Row],[% Store it first]]/100</f>
        <v>0</v>
      </c>
      <c r="EP145" s="239"/>
      <c r="EQ145" s="239"/>
      <c r="ER145" s="239"/>
      <c r="ES145" s="239"/>
      <c r="ET145" s="239">
        <f>(Table14[[#This Row],[% Solid storage]]+Table14[[#This Row],[% Sun drying]]+Table14[[#This Row],[% Composting with a roof]]+Table14[[#This Row],[% Composting without a roof]])*Table14[[#This Row],[% Store it first]]/100</f>
        <v>0</v>
      </c>
      <c r="EU145" s="239"/>
      <c r="EV145" s="320">
        <f t="shared" si="15"/>
        <v>0</v>
      </c>
      <c r="EW145" s="320">
        <f t="shared" si="16"/>
        <v>0</v>
      </c>
      <c r="EX145" s="320">
        <f t="shared" si="17"/>
        <v>0</v>
      </c>
      <c r="EY145" s="320">
        <f t="shared" si="18"/>
        <v>0</v>
      </c>
      <c r="EZ145" s="320">
        <f t="shared" si="19"/>
        <v>0</v>
      </c>
      <c r="FA145" s="239"/>
      <c r="FB145" s="239"/>
      <c r="FC145" s="239"/>
      <c r="FD145" s="239">
        <f>Table14[[#This Row],[% I donâ€™t use it / discarded]]+Table14[[#This Row],[% Other (specify)(If you use bioslurry directly)]]+Table14[[#This Row],[% Store it first]]+Table14[[#This Row],[% Use directly for various purposes]]</f>
        <v>100</v>
      </c>
      <c r="FE145" s="239" t="s">
        <v>4</v>
      </c>
      <c r="FF145" s="239"/>
      <c r="FG145" s="239"/>
      <c r="FH145" s="239"/>
      <c r="FI145" s="239"/>
      <c r="FJ145" s="239"/>
      <c r="FK145" s="239">
        <v>5</v>
      </c>
      <c r="FL145" s="239" t="s">
        <v>7</v>
      </c>
      <c r="FM145" s="239">
        <v>70</v>
      </c>
      <c r="FN145" s="239">
        <f t="shared" si="14"/>
        <v>3.5</v>
      </c>
      <c r="FO145" s="239" t="s">
        <v>29952</v>
      </c>
      <c r="FP145" s="239" t="s">
        <v>29298</v>
      </c>
      <c r="FQ145" s="239">
        <v>134</v>
      </c>
      <c r="FR145" s="239" t="s">
        <v>7</v>
      </c>
      <c r="FS145" s="239" t="s">
        <v>29393</v>
      </c>
      <c r="FT145" s="239" t="s">
        <v>4</v>
      </c>
      <c r="FU145" s="239" t="s">
        <v>2</v>
      </c>
      <c r="FV145" s="239" t="s">
        <v>4</v>
      </c>
      <c r="FW145" s="239" t="s">
        <v>4</v>
      </c>
      <c r="FX145" s="239" t="s">
        <v>4</v>
      </c>
      <c r="FY145" s="239" t="s">
        <v>4</v>
      </c>
      <c r="FZ145" s="239" t="s">
        <v>4</v>
      </c>
      <c r="GA145" s="239" t="s">
        <v>4</v>
      </c>
      <c r="GB145" s="240" t="s">
        <v>4</v>
      </c>
      <c r="GC145" s="239" t="s">
        <v>4</v>
      </c>
      <c r="GD145" s="239" t="s">
        <v>2</v>
      </c>
      <c r="GE145" s="239" t="s">
        <v>4</v>
      </c>
      <c r="GF145" s="239" t="s">
        <v>4</v>
      </c>
      <c r="GG145" s="239" t="s">
        <v>7</v>
      </c>
      <c r="GH145" s="239" t="s">
        <v>2</v>
      </c>
      <c r="GI145" s="239" t="s">
        <v>4</v>
      </c>
      <c r="GJ145" s="239" t="s">
        <v>4</v>
      </c>
      <c r="GK145" s="239" t="s">
        <v>29304</v>
      </c>
      <c r="GL145" s="239">
        <v>1</v>
      </c>
      <c r="GM145" s="239" t="s">
        <v>29465</v>
      </c>
      <c r="GN145" s="239" t="s">
        <v>4</v>
      </c>
      <c r="GO145" s="239" t="s">
        <v>31229</v>
      </c>
      <c r="GP145" s="239" t="s">
        <v>4</v>
      </c>
      <c r="GQ145" s="239" t="s">
        <v>4</v>
      </c>
      <c r="GR145" s="239" t="s">
        <v>29451</v>
      </c>
      <c r="GS145" s="239" t="s">
        <v>4</v>
      </c>
      <c r="GT145" s="239" t="s">
        <v>4</v>
      </c>
      <c r="GU145" s="239" t="s">
        <v>4</v>
      </c>
      <c r="GV145" s="239" t="s">
        <v>4</v>
      </c>
      <c r="GW145" s="239" t="s">
        <v>4</v>
      </c>
      <c r="GX145" s="239" t="s">
        <v>4</v>
      </c>
      <c r="GY145" s="239" t="s">
        <v>4</v>
      </c>
      <c r="GZ145" s="239" t="s">
        <v>4</v>
      </c>
      <c r="HA145" s="239" t="s">
        <v>4</v>
      </c>
      <c r="HB145" s="239" t="s">
        <v>4</v>
      </c>
      <c r="HC145" s="239" t="s">
        <v>4</v>
      </c>
      <c r="HD145" s="239" t="s">
        <v>4</v>
      </c>
      <c r="HE145" s="239" t="s">
        <v>4</v>
      </c>
      <c r="HF145" s="239" t="s">
        <v>4</v>
      </c>
      <c r="HG145" s="239" t="s">
        <v>4</v>
      </c>
      <c r="HH145" s="239" t="s">
        <v>29354</v>
      </c>
      <c r="HI145" s="239" t="s">
        <v>4</v>
      </c>
      <c r="HJ145" s="240">
        <v>0</v>
      </c>
      <c r="HK145" s="239" t="s">
        <v>29325</v>
      </c>
      <c r="HL145" s="239" t="s">
        <v>29309</v>
      </c>
      <c r="HM145" s="239" t="s">
        <v>4</v>
      </c>
      <c r="HN145" s="239" t="s">
        <v>4</v>
      </c>
      <c r="HO145" s="239" t="s">
        <v>4</v>
      </c>
      <c r="HP145" s="239" t="s">
        <v>4</v>
      </c>
      <c r="HQ145" s="239" t="s">
        <v>4</v>
      </c>
      <c r="HR145" s="239" t="s">
        <v>4</v>
      </c>
      <c r="HS145" s="239" t="s">
        <v>4</v>
      </c>
      <c r="HT145" s="239" t="s">
        <v>4</v>
      </c>
      <c r="HU145" s="239" t="s">
        <v>2</v>
      </c>
      <c r="HV145" s="239" t="s">
        <v>4</v>
      </c>
      <c r="HW145" s="239" t="s">
        <v>4</v>
      </c>
      <c r="HX145" s="239" t="s">
        <v>4</v>
      </c>
      <c r="HY145" s="239" t="s">
        <v>4</v>
      </c>
      <c r="HZ145" s="239" t="s">
        <v>16</v>
      </c>
      <c r="IA145" s="239" t="s">
        <v>7</v>
      </c>
      <c r="IB145" s="239" t="s">
        <v>31295</v>
      </c>
      <c r="IC145" s="239" t="s">
        <v>16</v>
      </c>
      <c r="ID145" s="239" t="s">
        <v>31296</v>
      </c>
      <c r="IE145" s="239" t="s">
        <v>31297</v>
      </c>
      <c r="IF145" s="239" t="s">
        <v>31298</v>
      </c>
      <c r="IG145" s="239" t="s">
        <v>31299</v>
      </c>
      <c r="IH145" s="239" t="s">
        <v>31300</v>
      </c>
    </row>
    <row r="146" spans="1:242" s="1" customFormat="1" ht="36.75" customHeight="1" x14ac:dyDescent="0.2">
      <c r="A146" s="239">
        <v>193</v>
      </c>
      <c r="B146" s="239" t="s">
        <v>4684</v>
      </c>
      <c r="C146" s="239" t="s">
        <v>31311</v>
      </c>
      <c r="D146" s="239" t="s">
        <v>31312</v>
      </c>
      <c r="E146" s="239" t="s">
        <v>7</v>
      </c>
      <c r="F146" s="239" t="s">
        <v>31313</v>
      </c>
      <c r="G146" s="239">
        <v>1181.0999999999999</v>
      </c>
      <c r="H146" s="239">
        <v>3.9</v>
      </c>
      <c r="I146" s="239" t="s">
        <v>29288</v>
      </c>
      <c r="J146" s="239" t="s">
        <v>4</v>
      </c>
      <c r="K146" s="239" t="s">
        <v>31314</v>
      </c>
      <c r="L146" s="239">
        <v>772987984</v>
      </c>
      <c r="M146" s="239" t="s">
        <v>3</v>
      </c>
      <c r="N146" s="239" t="s">
        <v>31438</v>
      </c>
      <c r="O146" s="239">
        <v>93</v>
      </c>
      <c r="P146" s="239">
        <v>3</v>
      </c>
      <c r="Q146" s="239" t="s">
        <v>7</v>
      </c>
      <c r="R146" s="239" t="s">
        <v>31588</v>
      </c>
      <c r="S146" s="239" t="s">
        <v>4</v>
      </c>
      <c r="T146" s="239" t="s">
        <v>7</v>
      </c>
      <c r="U146" s="239" t="s">
        <v>7</v>
      </c>
      <c r="V146" s="239"/>
      <c r="W146" s="239" t="s">
        <v>7</v>
      </c>
      <c r="X146" s="239" t="s">
        <v>4</v>
      </c>
      <c r="Y146" s="239" t="s">
        <v>4</v>
      </c>
      <c r="Z146" s="241" t="str">
        <f>IF(OR(T146="yes",Y146&gt;'SDG outcome'!$C$27),"yes","no")</f>
        <v>yes</v>
      </c>
      <c r="AA146" s="243">
        <f t="shared" si="13"/>
        <v>0</v>
      </c>
      <c r="AB146" s="243" t="str">
        <f>IF(AND(Z146="no",AND(Y146&gt;='SDG outcome'!$B$16,Y146&lt;'SDG outcome'!$C$27)),Y146-'SDG outcome'!$B$16,"")</f>
        <v/>
      </c>
      <c r="AC146" s="239" t="s">
        <v>4</v>
      </c>
      <c r="AD146" s="239" t="s">
        <v>4</v>
      </c>
      <c r="AE146" s="239" t="s">
        <v>4</v>
      </c>
      <c r="AF146" s="239" t="s">
        <v>4</v>
      </c>
      <c r="AG146" s="239" t="s">
        <v>4</v>
      </c>
      <c r="AH146" s="239" t="s">
        <v>4</v>
      </c>
      <c r="AI146" s="239" t="s">
        <v>4</v>
      </c>
      <c r="AJ146" s="239" t="s">
        <v>29290</v>
      </c>
      <c r="AK146" s="239" t="s">
        <v>29694</v>
      </c>
      <c r="AL146" s="239" t="s">
        <v>4</v>
      </c>
      <c r="AM146" s="239" t="s">
        <v>4</v>
      </c>
      <c r="AN146" s="239" t="s">
        <v>31536</v>
      </c>
      <c r="AO146" s="239" t="s">
        <v>4</v>
      </c>
      <c r="AP146" s="239" t="s">
        <v>31600</v>
      </c>
      <c r="AQ146" s="239" t="s">
        <v>4</v>
      </c>
      <c r="AR146" s="239" t="s">
        <v>31538</v>
      </c>
      <c r="AS146" s="239" t="s">
        <v>4</v>
      </c>
      <c r="AT146" s="239" t="s">
        <v>2</v>
      </c>
      <c r="AU146" s="239" t="s">
        <v>31581</v>
      </c>
      <c r="AV146" s="239" t="s">
        <v>4</v>
      </c>
      <c r="AW146" s="239" t="s">
        <v>31550</v>
      </c>
      <c r="AX146" s="239" t="s">
        <v>4</v>
      </c>
      <c r="AY146" s="239" t="s">
        <v>4</v>
      </c>
      <c r="AZ146" s="239" t="s">
        <v>2</v>
      </c>
      <c r="BA146" s="239" t="s">
        <v>4</v>
      </c>
      <c r="BB146" s="239" t="s">
        <v>4</v>
      </c>
      <c r="BC146" s="239" t="s">
        <v>4</v>
      </c>
      <c r="BD146" s="239" t="s">
        <v>4</v>
      </c>
      <c r="BE146" s="239" t="s">
        <v>4</v>
      </c>
      <c r="BF146" s="239" t="s">
        <v>4</v>
      </c>
      <c r="BG146" s="239" t="s">
        <v>4</v>
      </c>
      <c r="BH146" s="239" t="s">
        <v>4</v>
      </c>
      <c r="BI146" s="239" t="s">
        <v>4</v>
      </c>
      <c r="BJ146" s="239" t="s">
        <v>4</v>
      </c>
      <c r="BK146" s="239" t="s">
        <v>4</v>
      </c>
      <c r="BL146" s="239" t="s">
        <v>4</v>
      </c>
      <c r="BM146" s="239" t="s">
        <v>2</v>
      </c>
      <c r="BN146" s="239" t="s">
        <v>4</v>
      </c>
      <c r="BO146" s="239" t="s">
        <v>4</v>
      </c>
      <c r="BP146" s="239" t="s">
        <v>31429</v>
      </c>
      <c r="BQ146" s="239">
        <v>2</v>
      </c>
      <c r="BR146" s="239">
        <v>60</v>
      </c>
      <c r="BS146" s="239" t="s">
        <v>31434</v>
      </c>
      <c r="BT146" s="239"/>
      <c r="BU146" s="239">
        <v>3</v>
      </c>
      <c r="BV146" s="239" cm="1">
        <f t="array" ref="BV146">_xlfn.IFS(BS146="Foreword vehicle",BU146*0,BS146="Human wastes",BU146*0,BS146="Jerrycans",BU146*$BV$228,BS146="Number of Basins",BU146*$BV$229,BS146="Number of Buckets",BU146*$CA$226,BS146="Number of Kgs",BU146*$CA$227,BS146="Number of spades",BU146*$CA$228,BS146="Number of wheelbarrows",BU146*$CA$229,BT146="Foreword vehicle",BU146*0,BT146="Human wastes",BU146*0,BT146="Jerrycans",BU146*$BV$228,BS146="","")</f>
        <v>48</v>
      </c>
      <c r="BW146" s="239">
        <f>IF(BV146="","",Table14[[#This Row],[Calculation: Conversion of metric to Kg manure feeding (Columns: BP, BQ, BR)]]*Table14[[#This Row],[Number of times used to feed biodigester]])</f>
        <v>96</v>
      </c>
      <c r="BX146" s="239" cm="1">
        <f t="array" ref="BX146">_xlfn.IFS(BP146="Number of times per day (1 to 3)",BW146/$BX$226,BP146="Number of times per week (1 to 6)",BW146/$BX$227,BP146="Number of times per Month (1 to 3)",BW146/$BX$228,BW146="","")</f>
        <v>13.714285714285714</v>
      </c>
      <c r="BY146" s="239" t="s">
        <v>22</v>
      </c>
      <c r="BZ146" s="239" t="s">
        <v>4</v>
      </c>
      <c r="CA146" s="239" t="s">
        <v>2</v>
      </c>
      <c r="CB146" s="239" t="s">
        <v>4</v>
      </c>
      <c r="CC146" s="239" t="s">
        <v>4</v>
      </c>
      <c r="CD146" s="239" t="s">
        <v>4</v>
      </c>
      <c r="CE146" s="239" t="s">
        <v>7</v>
      </c>
      <c r="CF146" s="239" t="s">
        <v>31730</v>
      </c>
      <c r="CG146" s="239" t="s">
        <v>4</v>
      </c>
      <c r="CH146" s="239" t="s">
        <v>31604</v>
      </c>
      <c r="CI146" s="239">
        <v>5</v>
      </c>
      <c r="CJ146" s="239">
        <v>0</v>
      </c>
      <c r="CK146" s="239">
        <v>0</v>
      </c>
      <c r="CL146" s="239">
        <v>0</v>
      </c>
      <c r="CM146" s="239">
        <v>0</v>
      </c>
      <c r="CN146" s="239">
        <v>0</v>
      </c>
      <c r="CO146" s="239">
        <v>0</v>
      </c>
      <c r="CP146" s="239">
        <v>0</v>
      </c>
      <c r="CQ146" s="239">
        <v>0</v>
      </c>
      <c r="CR146" s="239">
        <v>0</v>
      </c>
      <c r="CS146" s="239">
        <f>CP146/'SDG outcome'!$C$9*CQ146*CR146</f>
        <v>0</v>
      </c>
      <c r="CT146" s="239">
        <v>100</v>
      </c>
      <c r="CU146" s="239">
        <v>0</v>
      </c>
      <c r="CV146" s="239" t="s">
        <v>4</v>
      </c>
      <c r="CW146" s="239" t="s">
        <v>4</v>
      </c>
      <c r="CX146" s="239" t="s">
        <v>4</v>
      </c>
      <c r="CY146" s="239" t="s">
        <v>4</v>
      </c>
      <c r="CZ146" s="239" t="s">
        <v>4</v>
      </c>
      <c r="DA146" s="239" t="s">
        <v>4</v>
      </c>
      <c r="DB146" s="239" t="s">
        <v>4</v>
      </c>
      <c r="DC146" s="239" t="s">
        <v>4</v>
      </c>
      <c r="DD146" s="239" t="s">
        <v>4</v>
      </c>
      <c r="DE146" s="239" t="s">
        <v>4</v>
      </c>
      <c r="DF146" s="239" t="s">
        <v>4</v>
      </c>
      <c r="DG146" s="239" t="s">
        <v>4</v>
      </c>
      <c r="DH146" s="239" t="s">
        <v>4</v>
      </c>
      <c r="DI146" s="239" t="s">
        <v>4</v>
      </c>
      <c r="DJ146" s="239" t="s">
        <v>4</v>
      </c>
      <c r="DK146" s="239" t="s">
        <v>4</v>
      </c>
      <c r="DL146" s="239" t="s">
        <v>4</v>
      </c>
      <c r="DM146" s="239" t="s">
        <v>4</v>
      </c>
      <c r="DN146" s="239" t="s">
        <v>4</v>
      </c>
      <c r="DO146" s="239">
        <v>2</v>
      </c>
      <c r="DP146" s="239" t="s">
        <v>2</v>
      </c>
      <c r="DQ146" s="239" t="s">
        <v>29292</v>
      </c>
      <c r="DR146" s="239" t="s">
        <v>4</v>
      </c>
      <c r="DS146" s="239" t="s">
        <v>29294</v>
      </c>
      <c r="DT146" s="240" t="s">
        <v>4</v>
      </c>
      <c r="DU146" s="239" t="s">
        <v>29294</v>
      </c>
      <c r="DV146" s="240" t="s">
        <v>4</v>
      </c>
      <c r="DW146" s="239" t="s">
        <v>29442</v>
      </c>
      <c r="DX146" s="239">
        <v>60</v>
      </c>
      <c r="DY146" s="239" t="s">
        <v>29296</v>
      </c>
      <c r="DZ146" s="239">
        <v>100</v>
      </c>
      <c r="EA146" s="239"/>
      <c r="EB146" s="239"/>
      <c r="EC146" s="239"/>
      <c r="ED146" s="239"/>
      <c r="EE146" s="320">
        <f>Table14[[#This Row],[% Fertilizer]]*$DX146/10000</f>
        <v>0.6</v>
      </c>
      <c r="EF146" s="320">
        <f>Table14[[#This Row],[% bioslurry used as Insecticide/Pesticide]]*$DX146/10000</f>
        <v>0</v>
      </c>
      <c r="EG146" s="320">
        <f>Table14[[#This Row],[% of Bioslurry used as animal feed]]*$DX146/10000</f>
        <v>0</v>
      </c>
      <c r="EH146" s="320">
        <f>Table14[[#This Row],[% of Bioslurry sold]]*$DX146/10000</f>
        <v>0</v>
      </c>
      <c r="EI146" s="320">
        <f>Table14[[#This Row],[% used other way(if used directly)]]*$DX146/10000</f>
        <v>0</v>
      </c>
      <c r="EJ146" s="239">
        <v>40</v>
      </c>
      <c r="EK146" s="239" t="s">
        <v>30747</v>
      </c>
      <c r="EL146" s="239"/>
      <c r="EM146" s="239">
        <v>100</v>
      </c>
      <c r="EN146" s="239"/>
      <c r="EO146" s="239">
        <f>(Table14[[#This Row],[% Uncovered lagoon greater than 1 meter]]+Table14[[#This Row],[Uncovered lagoon (black watery mass) &lt;1 meter]]+Table14[[#This Row],[% Liquid slurry (brown porridge type)]])*Table14[[#This Row],[% Store it first]]/100</f>
        <v>40</v>
      </c>
      <c r="EP146" s="239"/>
      <c r="EQ146" s="239"/>
      <c r="ER146" s="239"/>
      <c r="ES146" s="239"/>
      <c r="ET146" s="239">
        <f>(Table14[[#This Row],[% Solid storage]]+Table14[[#This Row],[% Sun drying]]+Table14[[#This Row],[% Composting with a roof]]+Table14[[#This Row],[% Composting without a roof]])*Table14[[#This Row],[% Store it first]]/100</f>
        <v>0</v>
      </c>
      <c r="EU146" s="239">
        <v>14</v>
      </c>
      <c r="EV146" s="320">
        <f t="shared" si="15"/>
        <v>0.4</v>
      </c>
      <c r="EW146" s="320">
        <f t="shared" si="16"/>
        <v>0</v>
      </c>
      <c r="EX146" s="320">
        <f t="shared" si="17"/>
        <v>0</v>
      </c>
      <c r="EY146" s="320">
        <f t="shared" si="18"/>
        <v>0</v>
      </c>
      <c r="EZ146" s="320">
        <f t="shared" si="19"/>
        <v>0</v>
      </c>
      <c r="FA146" s="239"/>
      <c r="FB146" s="239"/>
      <c r="FC146" s="239"/>
      <c r="FD146" s="239">
        <f>Table14[[#This Row],[% I donâ€™t use it / discarded]]+Table14[[#This Row],[% Other (specify)(If you use bioslurry directly)]]+Table14[[#This Row],[% Store it first]]+Table14[[#This Row],[% Use directly for various purposes]]</f>
        <v>100</v>
      </c>
      <c r="FE146" s="239" t="s">
        <v>29296</v>
      </c>
      <c r="FF146" s="239">
        <v>100</v>
      </c>
      <c r="FG146" s="239"/>
      <c r="FH146" s="239"/>
      <c r="FI146" s="239"/>
      <c r="FJ146" s="239"/>
      <c r="FK146" s="239">
        <v>1.6</v>
      </c>
      <c r="FL146" s="239" t="s">
        <v>7</v>
      </c>
      <c r="FM146" s="239">
        <v>50</v>
      </c>
      <c r="FN146" s="239">
        <f t="shared" si="14"/>
        <v>0.8</v>
      </c>
      <c r="FO146" s="239" t="s">
        <v>29431</v>
      </c>
      <c r="FP146" s="239" t="s">
        <v>29298</v>
      </c>
      <c r="FQ146" s="239">
        <v>144</v>
      </c>
      <c r="FR146" s="239" t="s">
        <v>2</v>
      </c>
      <c r="FS146" s="239" t="s">
        <v>4</v>
      </c>
      <c r="FT146" s="239" t="s">
        <v>4</v>
      </c>
      <c r="FU146" s="239" t="s">
        <v>2</v>
      </c>
      <c r="FV146" s="239" t="s">
        <v>4</v>
      </c>
      <c r="FW146" s="239" t="s">
        <v>4</v>
      </c>
      <c r="FX146" s="239" t="s">
        <v>4</v>
      </c>
      <c r="FY146" s="239" t="s">
        <v>4</v>
      </c>
      <c r="FZ146" s="239" t="s">
        <v>4</v>
      </c>
      <c r="GA146" s="239" t="s">
        <v>4</v>
      </c>
      <c r="GB146" s="240" t="s">
        <v>4</v>
      </c>
      <c r="GC146" s="239" t="s">
        <v>4</v>
      </c>
      <c r="GD146" s="239" t="s">
        <v>2</v>
      </c>
      <c r="GE146" s="239" t="s">
        <v>4</v>
      </c>
      <c r="GF146" s="239" t="s">
        <v>4</v>
      </c>
      <c r="GG146" s="239" t="s">
        <v>7</v>
      </c>
      <c r="GH146" s="239" t="s">
        <v>7</v>
      </c>
      <c r="GI146" s="239" t="s">
        <v>29302</v>
      </c>
      <c r="GJ146" s="239" t="s">
        <v>29817</v>
      </c>
      <c r="GK146" s="239" t="s">
        <v>29304</v>
      </c>
      <c r="GL146" s="239">
        <v>0.5</v>
      </c>
      <c r="GM146" s="239" t="s">
        <v>29305</v>
      </c>
      <c r="GN146" s="239" t="s">
        <v>29306</v>
      </c>
      <c r="GO146" s="239" t="s">
        <v>4</v>
      </c>
      <c r="GP146" s="239" t="s">
        <v>4</v>
      </c>
      <c r="GQ146" s="239" t="s">
        <v>4</v>
      </c>
      <c r="GR146" s="239" t="s">
        <v>4</v>
      </c>
      <c r="GS146" s="239" t="s">
        <v>4</v>
      </c>
      <c r="GT146" s="239" t="s">
        <v>4</v>
      </c>
      <c r="GU146" s="239" t="s">
        <v>4</v>
      </c>
      <c r="GV146" s="239" t="s">
        <v>4</v>
      </c>
      <c r="GW146" s="239" t="s">
        <v>4</v>
      </c>
      <c r="GX146" s="239" t="s">
        <v>4</v>
      </c>
      <c r="GY146" s="239" t="s">
        <v>4</v>
      </c>
      <c r="GZ146" s="239" t="s">
        <v>4</v>
      </c>
      <c r="HA146" s="239" t="s">
        <v>4</v>
      </c>
      <c r="HB146" s="239" t="s">
        <v>4</v>
      </c>
      <c r="HC146" s="239" t="s">
        <v>4</v>
      </c>
      <c r="HD146" s="239" t="s">
        <v>4</v>
      </c>
      <c r="HE146" s="239" t="s">
        <v>4</v>
      </c>
      <c r="HF146" s="239" t="s">
        <v>4</v>
      </c>
      <c r="HG146" s="239" t="s">
        <v>4</v>
      </c>
      <c r="HH146" s="239" t="s">
        <v>29452</v>
      </c>
      <c r="HI146" s="239" t="s">
        <v>4</v>
      </c>
      <c r="HJ146" s="240">
        <v>0</v>
      </c>
      <c r="HK146" s="239" t="s">
        <v>2</v>
      </c>
      <c r="HL146" s="239" t="s">
        <v>29837</v>
      </c>
      <c r="HM146" s="239" t="s">
        <v>4</v>
      </c>
      <c r="HN146" s="239" t="s">
        <v>4</v>
      </c>
      <c r="HO146" s="239" t="s">
        <v>4</v>
      </c>
      <c r="HP146" s="239" t="s">
        <v>4</v>
      </c>
      <c r="HQ146" s="239" t="s">
        <v>4</v>
      </c>
      <c r="HR146" s="239" t="s">
        <v>4</v>
      </c>
      <c r="HS146" s="239" t="s">
        <v>4</v>
      </c>
      <c r="HT146" s="239" t="s">
        <v>4</v>
      </c>
      <c r="HU146" s="239" t="s">
        <v>2</v>
      </c>
      <c r="HV146" s="239" t="s">
        <v>4</v>
      </c>
      <c r="HW146" s="239" t="s">
        <v>4</v>
      </c>
      <c r="HX146" s="239" t="s">
        <v>4</v>
      </c>
      <c r="HY146" s="239" t="s">
        <v>4</v>
      </c>
      <c r="HZ146" s="239" t="s">
        <v>31315</v>
      </c>
      <c r="IA146" s="239" t="s">
        <v>2</v>
      </c>
      <c r="IB146" s="239" t="s">
        <v>4</v>
      </c>
      <c r="IC146" s="239" t="s">
        <v>31316</v>
      </c>
      <c r="ID146" s="239" t="s">
        <v>31317</v>
      </c>
      <c r="IE146" s="239" t="s">
        <v>31318</v>
      </c>
      <c r="IF146" s="239" t="s">
        <v>31319</v>
      </c>
      <c r="IG146" s="239" t="s">
        <v>31320</v>
      </c>
      <c r="IH146" s="239" t="s">
        <v>31311</v>
      </c>
    </row>
    <row r="147" spans="1:242" s="1" customFormat="1" ht="36.75" customHeight="1" x14ac:dyDescent="0.2">
      <c r="A147" s="239">
        <v>2</v>
      </c>
      <c r="B147" s="239" t="s">
        <v>15602</v>
      </c>
      <c r="C147" s="239" t="s">
        <v>29317</v>
      </c>
      <c r="D147" s="239" t="s">
        <v>29286</v>
      </c>
      <c r="E147" s="239" t="s">
        <v>7</v>
      </c>
      <c r="F147" s="239" t="s">
        <v>29318</v>
      </c>
      <c r="G147" s="239">
        <v>0</v>
      </c>
      <c r="H147" s="239">
        <v>2700</v>
      </c>
      <c r="I147" s="239" t="s">
        <v>29319</v>
      </c>
      <c r="J147" s="239" t="s">
        <v>4</v>
      </c>
      <c r="K147" s="239" t="s">
        <v>29320</v>
      </c>
      <c r="L147" s="239">
        <v>775028184</v>
      </c>
      <c r="M147" s="239" t="s">
        <v>5</v>
      </c>
      <c r="N147" s="239" t="s">
        <v>31438</v>
      </c>
      <c r="O147" s="239">
        <v>58</v>
      </c>
      <c r="P147" s="239">
        <v>6</v>
      </c>
      <c r="Q147" s="239" t="s">
        <v>7</v>
      </c>
      <c r="R147" s="239" t="s">
        <v>31549</v>
      </c>
      <c r="S147" s="239" t="s">
        <v>4</v>
      </c>
      <c r="T147" s="239" t="s">
        <v>7</v>
      </c>
      <c r="U147" s="239" t="s">
        <v>2</v>
      </c>
      <c r="V147" s="239">
        <v>14</v>
      </c>
      <c r="W147" s="239" t="s">
        <v>7</v>
      </c>
      <c r="X147" s="239" t="s">
        <v>4</v>
      </c>
      <c r="Y147" s="239" t="s">
        <v>4</v>
      </c>
      <c r="Z147" s="241" t="str">
        <f>IF(OR(T147="yes",Y147&gt;'SDG outcome'!$C$27),"yes","no")</f>
        <v>yes</v>
      </c>
      <c r="AA147" s="243">
        <f t="shared" si="13"/>
        <v>14</v>
      </c>
      <c r="AB147" s="243" t="str">
        <f>IF(AND(Z147="no",AND(Y147&gt;='SDG outcome'!$B$16,Y147&lt;'SDG outcome'!$C$27)),Y147-'SDG outcome'!$B$16,"")</f>
        <v/>
      </c>
      <c r="AC147" s="239" t="s">
        <v>4</v>
      </c>
      <c r="AD147" s="239" t="s">
        <v>4</v>
      </c>
      <c r="AE147" s="239" t="s">
        <v>4</v>
      </c>
      <c r="AF147" s="239" t="s">
        <v>4</v>
      </c>
      <c r="AG147" s="239" t="s">
        <v>4</v>
      </c>
      <c r="AH147" s="239" t="s">
        <v>4</v>
      </c>
      <c r="AI147" s="239" t="s">
        <v>4</v>
      </c>
      <c r="AJ147" s="239" t="s">
        <v>29290</v>
      </c>
      <c r="AK147" s="239" t="s">
        <v>29291</v>
      </c>
      <c r="AL147" s="239" t="s">
        <v>4</v>
      </c>
      <c r="AM147" s="239" t="s">
        <v>4</v>
      </c>
      <c r="AN147" s="239" t="s">
        <v>31536</v>
      </c>
      <c r="AO147" s="239" t="s">
        <v>4</v>
      </c>
      <c r="AP147" s="239" t="s">
        <v>31537</v>
      </c>
      <c r="AQ147" s="239" t="s">
        <v>4</v>
      </c>
      <c r="AR147" s="239" t="s">
        <v>31538</v>
      </c>
      <c r="AS147" s="239" t="s">
        <v>4</v>
      </c>
      <c r="AT147" s="239" t="s">
        <v>7</v>
      </c>
      <c r="AU147" s="239" t="s">
        <v>4</v>
      </c>
      <c r="AV147" s="239" t="s">
        <v>4</v>
      </c>
      <c r="AW147" s="239" t="s">
        <v>31550</v>
      </c>
      <c r="AX147" s="239" t="s">
        <v>4</v>
      </c>
      <c r="AY147" s="239" t="s">
        <v>4</v>
      </c>
      <c r="AZ147" s="239" t="s">
        <v>7</v>
      </c>
      <c r="BA147" s="239" t="s">
        <v>6</v>
      </c>
      <c r="BB147" s="239" t="s">
        <v>4</v>
      </c>
      <c r="BC147" s="239" t="s">
        <v>31540</v>
      </c>
      <c r="BD147" s="239" t="s">
        <v>31541</v>
      </c>
      <c r="BE147" s="239" t="s">
        <v>4</v>
      </c>
      <c r="BF147" s="239" t="s">
        <v>4</v>
      </c>
      <c r="BG147" s="239" t="s">
        <v>4</v>
      </c>
      <c r="BH147" s="239" t="s">
        <v>31542</v>
      </c>
      <c r="BI147" s="239" t="s">
        <v>31551</v>
      </c>
      <c r="BJ147" s="239" t="s">
        <v>31544</v>
      </c>
      <c r="BK147" s="239">
        <v>1</v>
      </c>
      <c r="BL147" s="239">
        <v>30</v>
      </c>
      <c r="BM147" s="239" t="s">
        <v>7</v>
      </c>
      <c r="BN147" s="239" t="s">
        <v>11</v>
      </c>
      <c r="BO147" s="239" t="s">
        <v>4</v>
      </c>
      <c r="BP147" s="239" t="s">
        <v>31429</v>
      </c>
      <c r="BQ147" s="239">
        <v>3</v>
      </c>
      <c r="BR147" s="239">
        <v>20</v>
      </c>
      <c r="BS147" s="239" t="s">
        <v>31435</v>
      </c>
      <c r="BT147" s="239"/>
      <c r="BU147" s="239">
        <v>2</v>
      </c>
      <c r="BV147" s="239" cm="1">
        <f t="array" ref="BV147">_xlfn.IFS(BS147="Foreword vehicle",BU147*0,BS147="Human wastes",BU147*0,BS147="Jerrycans",BU147*$BV$228,BS147="Number of Basins",BU147*$BV$229,BS147="Number of Buckets",BU147*$CA$226,BS147="Number of Kgs",BU147*$CA$227,BS147="Number of spades",BU147*$CA$228,BS147="Number of wheelbarrows",BU147*$CA$229,BT147="Foreword vehicle",BU147*0,BT147="Human wastes",BU147*0,BT147="Jerrycans",BU147*$BV$228,Table14[[#This Row],[Number of metric Selected from previous question]]="NA","")</f>
        <v>141</v>
      </c>
      <c r="BW147" s="239">
        <f>IF(BV147="","",Table14[[#This Row],[Calculation: Conversion of metric to Kg manure feeding (Columns: BP, BQ, BR)]]*Table14[[#This Row],[Number of times used to feed biodigester]])</f>
        <v>423</v>
      </c>
      <c r="BX147" s="239" cm="1">
        <f t="array" ref="BX147">_xlfn.IFS(BP147="Number of times per day (1 to 3)",BW147/$BX$226,BP147="Number of times per week (1 to 6)",BW147/$BX$227,BP147="Number of times per Month (1 to 3)",BW147/$BX$228,BW147="","")</f>
        <v>60.428571428571431</v>
      </c>
      <c r="BY147" s="239" t="s">
        <v>31552</v>
      </c>
      <c r="BZ147" s="239" t="s">
        <v>4</v>
      </c>
      <c r="CA147" s="239" t="s">
        <v>2</v>
      </c>
      <c r="CB147" s="239" t="s">
        <v>4</v>
      </c>
      <c r="CC147" s="239" t="s">
        <v>4</v>
      </c>
      <c r="CD147" s="239" t="s">
        <v>4</v>
      </c>
      <c r="CE147" s="239" t="s">
        <v>7</v>
      </c>
      <c r="CF147" s="239" t="s">
        <v>31553</v>
      </c>
      <c r="CG147" s="239" t="s">
        <v>4</v>
      </c>
      <c r="CH147" s="239" t="s">
        <v>31554</v>
      </c>
      <c r="CI147" s="239">
        <v>4</v>
      </c>
      <c r="CJ147" s="239">
        <v>0</v>
      </c>
      <c r="CK147" s="239">
        <v>9</v>
      </c>
      <c r="CL147" s="239">
        <v>0</v>
      </c>
      <c r="CM147" s="239">
        <v>5</v>
      </c>
      <c r="CN147" s="239">
        <v>15</v>
      </c>
      <c r="CO147" s="239">
        <v>3</v>
      </c>
      <c r="CP147" s="239">
        <v>120</v>
      </c>
      <c r="CQ147" s="239">
        <v>4</v>
      </c>
      <c r="CR147" s="239">
        <v>15</v>
      </c>
      <c r="CS147" s="239">
        <f>CP147/'SDG outcome'!$C$9*CQ147*CR147</f>
        <v>20.749279538904901</v>
      </c>
      <c r="CT147" s="239">
        <v>100</v>
      </c>
      <c r="CU147" s="239">
        <v>0</v>
      </c>
      <c r="CV147" s="239" t="s">
        <v>4</v>
      </c>
      <c r="CW147" s="239" t="s">
        <v>4</v>
      </c>
      <c r="CX147" s="239" t="s">
        <v>4</v>
      </c>
      <c r="CY147" s="239" t="s">
        <v>4</v>
      </c>
      <c r="CZ147" s="239" t="s">
        <v>4</v>
      </c>
      <c r="DA147" s="239" t="s">
        <v>4</v>
      </c>
      <c r="DB147" s="239" t="s">
        <v>4</v>
      </c>
      <c r="DC147" s="239">
        <v>0</v>
      </c>
      <c r="DD147" s="239">
        <v>100</v>
      </c>
      <c r="DE147" s="239" t="s">
        <v>31555</v>
      </c>
      <c r="DF147" s="239">
        <v>0</v>
      </c>
      <c r="DG147" s="239">
        <v>100</v>
      </c>
      <c r="DH147" s="239" t="s">
        <v>9</v>
      </c>
      <c r="DI147" s="239" t="s">
        <v>4</v>
      </c>
      <c r="DJ147" s="239" t="s">
        <v>4</v>
      </c>
      <c r="DK147" s="239" t="s">
        <v>4</v>
      </c>
      <c r="DL147" s="239">
        <v>0</v>
      </c>
      <c r="DM147" s="239">
        <v>100</v>
      </c>
      <c r="DN147" s="239" t="s">
        <v>31556</v>
      </c>
      <c r="DO147" s="239">
        <v>4</v>
      </c>
      <c r="DP147" s="239" t="s">
        <v>7</v>
      </c>
      <c r="DQ147" s="239" t="s">
        <v>29292</v>
      </c>
      <c r="DR147" s="239" t="s">
        <v>4</v>
      </c>
      <c r="DS147" s="239" t="s">
        <v>29293</v>
      </c>
      <c r="DT147" s="240">
        <v>20000</v>
      </c>
      <c r="DU147" s="239" t="s">
        <v>29293</v>
      </c>
      <c r="DV147" s="240">
        <v>0</v>
      </c>
      <c r="DW147" s="239" t="s">
        <v>29295</v>
      </c>
      <c r="DX147" s="239">
        <v>100</v>
      </c>
      <c r="DY147" s="239" t="s">
        <v>29296</v>
      </c>
      <c r="DZ147" s="239">
        <v>100</v>
      </c>
      <c r="EA147" s="239"/>
      <c r="EB147" s="239"/>
      <c r="EC147" s="239"/>
      <c r="ED147" s="239"/>
      <c r="EE147" s="320">
        <f>Table14[[#This Row],[% Fertilizer]]*$DX147/10000</f>
        <v>1</v>
      </c>
      <c r="EF147" s="320">
        <f>Table14[[#This Row],[% bioslurry used as Insecticide/Pesticide]]*$DX147/10000</f>
        <v>0</v>
      </c>
      <c r="EG147" s="320">
        <f>Table14[[#This Row],[% of Bioslurry used as animal feed]]*$DX147/10000</f>
        <v>0</v>
      </c>
      <c r="EH147" s="320">
        <f>Table14[[#This Row],[% of Bioslurry sold]]*$DX147/10000</f>
        <v>0</v>
      </c>
      <c r="EI147" s="320">
        <f>Table14[[#This Row],[% used other way(if used directly)]]*$DX147/10000</f>
        <v>0</v>
      </c>
      <c r="EJ147" s="239"/>
      <c r="EK147" s="239"/>
      <c r="EL147" s="239"/>
      <c r="EM147" s="239"/>
      <c r="EN147" s="239"/>
      <c r="EO147" s="239">
        <f>(Table14[[#This Row],[% Uncovered lagoon greater than 1 meter]]+Table14[[#This Row],[Uncovered lagoon (black watery mass) &lt;1 meter]]+Table14[[#This Row],[% Liquid slurry (brown porridge type)]])*Table14[[#This Row],[% Store it first]]/100</f>
        <v>0</v>
      </c>
      <c r="EP147" s="239"/>
      <c r="EQ147" s="239"/>
      <c r="ER147" s="239"/>
      <c r="ES147" s="239"/>
      <c r="ET147" s="239">
        <f>(Table14[[#This Row],[% Solid storage]]+Table14[[#This Row],[% Sun drying]]+Table14[[#This Row],[% Composting with a roof]]+Table14[[#This Row],[% Composting without a roof]])*Table14[[#This Row],[% Store it first]]/100</f>
        <v>0</v>
      </c>
      <c r="EU147" s="239"/>
      <c r="EV147" s="320">
        <f t="shared" si="15"/>
        <v>0</v>
      </c>
      <c r="EW147" s="320">
        <f t="shared" si="16"/>
        <v>0</v>
      </c>
      <c r="EX147" s="320">
        <f t="shared" si="17"/>
        <v>0</v>
      </c>
      <c r="EY147" s="320">
        <f t="shared" si="18"/>
        <v>0</v>
      </c>
      <c r="EZ147" s="320">
        <f t="shared" si="19"/>
        <v>0</v>
      </c>
      <c r="FA147" s="239"/>
      <c r="FB147" s="239"/>
      <c r="FC147" s="239"/>
      <c r="FD147" s="239">
        <f>Table14[[#This Row],[% I donâ€™t use it / discarded]]+Table14[[#This Row],[% Other (specify)(If you use bioslurry directly)]]+Table14[[#This Row],[% Store it first]]+Table14[[#This Row],[% Use directly for various purposes]]</f>
        <v>100</v>
      </c>
      <c r="FE147" s="239" t="s">
        <v>4</v>
      </c>
      <c r="FF147" s="239"/>
      <c r="FG147" s="239"/>
      <c r="FH147" s="239"/>
      <c r="FI147" s="239"/>
      <c r="FJ147" s="239"/>
      <c r="FK147" s="239">
        <v>2</v>
      </c>
      <c r="FL147" s="239" t="s">
        <v>7</v>
      </c>
      <c r="FM147" s="239">
        <v>75</v>
      </c>
      <c r="FN147" s="239">
        <f t="shared" si="14"/>
        <v>1.5</v>
      </c>
      <c r="FO147" s="239" t="s">
        <v>29321</v>
      </c>
      <c r="FP147" s="239" t="s">
        <v>29298</v>
      </c>
      <c r="FQ147" s="239">
        <v>75</v>
      </c>
      <c r="FR147" s="239" t="s">
        <v>2</v>
      </c>
      <c r="FS147" s="239" t="s">
        <v>4</v>
      </c>
      <c r="FT147" s="239" t="s">
        <v>4</v>
      </c>
      <c r="FU147" s="239" t="s">
        <v>7</v>
      </c>
      <c r="FV147" s="239" t="s">
        <v>29299</v>
      </c>
      <c r="FW147" s="239" t="s">
        <v>4</v>
      </c>
      <c r="FX147" s="239" t="s">
        <v>29300</v>
      </c>
      <c r="FY147" s="239" t="s">
        <v>4</v>
      </c>
      <c r="FZ147" s="239" t="s">
        <v>4</v>
      </c>
      <c r="GA147" s="239" t="s">
        <v>4</v>
      </c>
      <c r="GB147" s="240" t="s">
        <v>4</v>
      </c>
      <c r="GC147" s="239" t="s">
        <v>4</v>
      </c>
      <c r="GD147" s="239" t="s">
        <v>7</v>
      </c>
      <c r="GE147" s="239" t="s">
        <v>29301</v>
      </c>
      <c r="GF147" s="239" t="s">
        <v>4</v>
      </c>
      <c r="GG147" s="239" t="s">
        <v>7</v>
      </c>
      <c r="GH147" s="239" t="s">
        <v>7</v>
      </c>
      <c r="GI147" s="239" t="s">
        <v>29302</v>
      </c>
      <c r="GJ147" s="239" t="s">
        <v>29322</v>
      </c>
      <c r="GK147" s="239" t="s">
        <v>4</v>
      </c>
      <c r="GL147" s="239">
        <v>0</v>
      </c>
      <c r="GM147" s="239"/>
      <c r="GN147" s="239" t="s">
        <v>4</v>
      </c>
      <c r="GO147" s="239" t="s">
        <v>4</v>
      </c>
      <c r="GP147" s="239" t="s">
        <v>4</v>
      </c>
      <c r="GQ147" s="239" t="s">
        <v>4</v>
      </c>
      <c r="GR147" s="239" t="s">
        <v>4</v>
      </c>
      <c r="GS147" s="239" t="s">
        <v>4</v>
      </c>
      <c r="GT147" s="239" t="s">
        <v>4</v>
      </c>
      <c r="GU147" s="239" t="s">
        <v>4</v>
      </c>
      <c r="GV147" s="239" t="s">
        <v>4</v>
      </c>
      <c r="GW147" s="239" t="s">
        <v>29304</v>
      </c>
      <c r="GX147" s="239" t="s">
        <v>29305</v>
      </c>
      <c r="GY147" s="239" t="s">
        <v>29323</v>
      </c>
      <c r="GZ147" s="239" t="s">
        <v>4</v>
      </c>
      <c r="HA147" s="239" t="s">
        <v>4</v>
      </c>
      <c r="HB147" s="239" t="s">
        <v>4</v>
      </c>
      <c r="HC147" s="239" t="s">
        <v>4</v>
      </c>
      <c r="HD147" s="239" t="s">
        <v>4</v>
      </c>
      <c r="HE147" s="239" t="s">
        <v>4</v>
      </c>
      <c r="HF147" s="239" t="s">
        <v>4</v>
      </c>
      <c r="HG147" s="239" t="s">
        <v>4</v>
      </c>
      <c r="HH147" s="239" t="s">
        <v>29324</v>
      </c>
      <c r="HI147" s="239" t="s">
        <v>29322</v>
      </c>
      <c r="HJ147" s="240">
        <v>0</v>
      </c>
      <c r="HK147" s="239" t="s">
        <v>29325</v>
      </c>
      <c r="HL147" s="239" t="s">
        <v>29309</v>
      </c>
      <c r="HM147" s="239" t="s">
        <v>4</v>
      </c>
      <c r="HN147" s="239" t="s">
        <v>4</v>
      </c>
      <c r="HO147" s="239" t="s">
        <v>4</v>
      </c>
      <c r="HP147" s="239" t="s">
        <v>4</v>
      </c>
      <c r="HQ147" s="239" t="s">
        <v>4</v>
      </c>
      <c r="HR147" s="239" t="s">
        <v>4</v>
      </c>
      <c r="HS147" s="239" t="s">
        <v>4</v>
      </c>
      <c r="HT147" s="239" t="s">
        <v>4</v>
      </c>
      <c r="HU147" s="239" t="s">
        <v>2</v>
      </c>
      <c r="HV147" s="239" t="s">
        <v>4</v>
      </c>
      <c r="HW147" s="239" t="s">
        <v>4</v>
      </c>
      <c r="HX147" s="239" t="s">
        <v>4</v>
      </c>
      <c r="HY147" s="239" t="s">
        <v>4</v>
      </c>
      <c r="HZ147" s="239" t="s">
        <v>29326</v>
      </c>
      <c r="IA147" s="239" t="s">
        <v>7</v>
      </c>
      <c r="IB147" s="239" t="s">
        <v>29327</v>
      </c>
      <c r="IC147" s="239" t="s">
        <v>29328</v>
      </c>
      <c r="ID147" s="239" t="s">
        <v>29329</v>
      </c>
      <c r="IE147" s="239" t="s">
        <v>29330</v>
      </c>
      <c r="IF147" s="239" t="s">
        <v>29331</v>
      </c>
      <c r="IG147" s="239" t="s">
        <v>29332</v>
      </c>
      <c r="IH147" s="239" t="s">
        <v>29317</v>
      </c>
    </row>
    <row r="148" spans="1:242" s="1" customFormat="1" ht="36.75" customHeight="1" x14ac:dyDescent="0.2">
      <c r="A148" s="239">
        <v>6</v>
      </c>
      <c r="B148" s="239" t="s">
        <v>27681</v>
      </c>
      <c r="C148" s="239" t="s">
        <v>29372</v>
      </c>
      <c r="D148" s="239" t="s">
        <v>29286</v>
      </c>
      <c r="E148" s="239" t="s">
        <v>7</v>
      </c>
      <c r="F148" s="239" t="s">
        <v>29373</v>
      </c>
      <c r="G148" s="239">
        <v>1874.3879999999999</v>
      </c>
      <c r="H148" s="239">
        <v>1.267698</v>
      </c>
      <c r="I148" s="239" t="s">
        <v>29319</v>
      </c>
      <c r="J148" s="239" t="s">
        <v>4</v>
      </c>
      <c r="K148" s="239" t="s">
        <v>29374</v>
      </c>
      <c r="L148" s="239">
        <v>772877983</v>
      </c>
      <c r="M148" s="239" t="s">
        <v>5</v>
      </c>
      <c r="N148" s="239" t="s">
        <v>31438</v>
      </c>
      <c r="O148" s="239">
        <v>57</v>
      </c>
      <c r="P148" s="239">
        <v>6</v>
      </c>
      <c r="Q148" s="239" t="s">
        <v>7</v>
      </c>
      <c r="R148" s="239" t="s">
        <v>31562</v>
      </c>
      <c r="S148" s="239" t="s">
        <v>4</v>
      </c>
      <c r="T148" s="239" t="s">
        <v>7</v>
      </c>
      <c r="U148" s="239" t="s">
        <v>7</v>
      </c>
      <c r="V148" s="239"/>
      <c r="W148" s="239" t="s">
        <v>7</v>
      </c>
      <c r="X148" s="239" t="s">
        <v>4</v>
      </c>
      <c r="Y148" s="239" t="s">
        <v>4</v>
      </c>
      <c r="Z148" s="241" t="str">
        <f>IF(OR(T148="yes",Y148&gt;'SDG outcome'!$C$27),"yes","no")</f>
        <v>yes</v>
      </c>
      <c r="AA148" s="243">
        <f t="shared" si="13"/>
        <v>0</v>
      </c>
      <c r="AB148" s="243" t="str">
        <f>IF(AND(Z148="no",AND(Y148&gt;='SDG outcome'!$B$16,Y148&lt;'SDG outcome'!$C$27)),Y148-'SDG outcome'!$B$16,"")</f>
        <v/>
      </c>
      <c r="AC148" s="239" t="s">
        <v>4</v>
      </c>
      <c r="AD148" s="239" t="s">
        <v>4</v>
      </c>
      <c r="AE148" s="239" t="s">
        <v>4</v>
      </c>
      <c r="AF148" s="239" t="s">
        <v>4</v>
      </c>
      <c r="AG148" s="239" t="s">
        <v>4</v>
      </c>
      <c r="AH148" s="239" t="s">
        <v>4</v>
      </c>
      <c r="AI148" s="239" t="s">
        <v>4</v>
      </c>
      <c r="AJ148" s="239" t="s">
        <v>29290</v>
      </c>
      <c r="AK148" s="239" t="s">
        <v>29291</v>
      </c>
      <c r="AL148" s="239" t="s">
        <v>4</v>
      </c>
      <c r="AM148" s="239" t="s">
        <v>4</v>
      </c>
      <c r="AN148" s="239" t="s">
        <v>31536</v>
      </c>
      <c r="AO148" s="239" t="s">
        <v>4</v>
      </c>
      <c r="AP148" s="239" t="s">
        <v>31537</v>
      </c>
      <c r="AQ148" s="239" t="s">
        <v>4</v>
      </c>
      <c r="AR148" s="239" t="s">
        <v>31574</v>
      </c>
      <c r="AS148" s="239" t="s">
        <v>4</v>
      </c>
      <c r="AT148" s="239" t="s">
        <v>7</v>
      </c>
      <c r="AU148" s="239" t="s">
        <v>4</v>
      </c>
      <c r="AV148" s="239" t="s">
        <v>4</v>
      </c>
      <c r="AW148" s="239" t="s">
        <v>31539</v>
      </c>
      <c r="AX148" s="239" t="s">
        <v>4</v>
      </c>
      <c r="AY148" s="239" t="s">
        <v>4</v>
      </c>
      <c r="AZ148" s="239" t="s">
        <v>7</v>
      </c>
      <c r="BA148" s="239" t="s">
        <v>11</v>
      </c>
      <c r="BB148" s="239" t="s">
        <v>4</v>
      </c>
      <c r="BC148" s="239" t="s">
        <v>31540</v>
      </c>
      <c r="BD148" s="239" t="s">
        <v>31541</v>
      </c>
      <c r="BE148" s="239" t="s">
        <v>4</v>
      </c>
      <c r="BF148" s="239" t="s">
        <v>31575</v>
      </c>
      <c r="BG148" s="239" t="s">
        <v>4</v>
      </c>
      <c r="BH148" s="239" t="s">
        <v>31542</v>
      </c>
      <c r="BI148" s="239" t="s">
        <v>31576</v>
      </c>
      <c r="BJ148" s="239" t="s">
        <v>31544</v>
      </c>
      <c r="BK148" s="239">
        <v>1</v>
      </c>
      <c r="BL148" s="239">
        <v>60</v>
      </c>
      <c r="BM148" s="239" t="s">
        <v>7</v>
      </c>
      <c r="BN148" s="239" t="s">
        <v>6</v>
      </c>
      <c r="BO148" s="239" t="s">
        <v>4</v>
      </c>
      <c r="BP148" s="239" t="s">
        <v>31425</v>
      </c>
      <c r="BQ148" s="239">
        <v>1</v>
      </c>
      <c r="BR148" s="239">
        <v>30</v>
      </c>
      <c r="BS148" s="239" t="s">
        <v>31434</v>
      </c>
      <c r="BT148" s="239"/>
      <c r="BU148" s="239">
        <v>2</v>
      </c>
      <c r="BV148" s="239" cm="1">
        <f t="array" ref="BV148">_xlfn.IFS(BS148="Foreword vehicle",BU148*0,BS148="Human wastes",BU148*0,BS148="Jerrycans",BU148*$BV$228,BS148="Number of Basins",BU148*$BV$229,BS148="Number of Buckets",BU148*$CA$226,BS148="Number of Kgs",BU148*$CA$227,BS148="Number of spades",BU148*$CA$228,BS148="Number of wheelbarrows",BU148*$CA$229,BT148="Foreword vehicle",BU148*0,BT148="Human wastes",BU148*0,BT148="Jerrycans",BU148*$BV$228,BS148="","")</f>
        <v>32</v>
      </c>
      <c r="BW148" s="239">
        <f>IF(BV148="","",Table14[[#This Row],[Calculation: Conversion of metric to Kg manure feeding (Columns: BP, BQ, BR)]]*Table14[[#This Row],[Number of times used to feed biodigester]])</f>
        <v>32</v>
      </c>
      <c r="BX148" s="239" cm="1">
        <f t="array" ref="BX148">_xlfn.IFS(BP148="Number of times per day (1 to 3)",BW148/$BX$226,BP148="Number of times per week (1 to 6)",BW148/$BX$227,BP148="Number of times per Month (1 to 3)",BW148/$BX$228,BW148="","")</f>
        <v>32</v>
      </c>
      <c r="BY148" s="239" t="s">
        <v>22</v>
      </c>
      <c r="BZ148" s="239" t="s">
        <v>4</v>
      </c>
      <c r="CA148" s="239" t="s">
        <v>2</v>
      </c>
      <c r="CB148" s="239" t="s">
        <v>4</v>
      </c>
      <c r="CC148" s="239" t="s">
        <v>4</v>
      </c>
      <c r="CD148" s="239" t="s">
        <v>4</v>
      </c>
      <c r="CE148" s="239" t="s">
        <v>2</v>
      </c>
      <c r="CF148" s="239" t="s">
        <v>4</v>
      </c>
      <c r="CG148" s="239" t="s">
        <v>31577</v>
      </c>
      <c r="CH148" s="239" t="s">
        <v>31578</v>
      </c>
      <c r="CI148" s="239">
        <v>4</v>
      </c>
      <c r="CJ148" s="239">
        <v>0</v>
      </c>
      <c r="CK148" s="239">
        <v>0</v>
      </c>
      <c r="CL148" s="239">
        <v>0</v>
      </c>
      <c r="CM148" s="239">
        <v>0</v>
      </c>
      <c r="CN148" s="239">
        <v>10</v>
      </c>
      <c r="CO148" s="239">
        <v>0</v>
      </c>
      <c r="CP148" s="239">
        <v>0</v>
      </c>
      <c r="CQ148" s="239">
        <v>0</v>
      </c>
      <c r="CR148" s="239">
        <v>0</v>
      </c>
      <c r="CS148" s="239">
        <f>CP148/'SDG outcome'!$C$9*CQ148*CR148</f>
        <v>0</v>
      </c>
      <c r="CT148" s="239">
        <v>100</v>
      </c>
      <c r="CU148" s="239">
        <v>0</v>
      </c>
      <c r="CV148" s="239" t="s">
        <v>4</v>
      </c>
      <c r="CW148" s="239" t="s">
        <v>4</v>
      </c>
      <c r="CX148" s="239" t="s">
        <v>4</v>
      </c>
      <c r="CY148" s="239" t="s">
        <v>4</v>
      </c>
      <c r="CZ148" s="239" t="s">
        <v>4</v>
      </c>
      <c r="DA148" s="239" t="s">
        <v>4</v>
      </c>
      <c r="DB148" s="239" t="s">
        <v>4</v>
      </c>
      <c r="DC148" s="239" t="s">
        <v>4</v>
      </c>
      <c r="DD148" s="239" t="s">
        <v>4</v>
      </c>
      <c r="DE148" s="239" t="s">
        <v>4</v>
      </c>
      <c r="DF148" s="239">
        <v>0</v>
      </c>
      <c r="DG148" s="239">
        <v>100</v>
      </c>
      <c r="DH148" s="239" t="s">
        <v>31579</v>
      </c>
      <c r="DI148" s="239" t="s">
        <v>4</v>
      </c>
      <c r="DJ148" s="239" t="s">
        <v>4</v>
      </c>
      <c r="DK148" s="239" t="s">
        <v>4</v>
      </c>
      <c r="DL148" s="239" t="s">
        <v>4</v>
      </c>
      <c r="DM148" s="239" t="s">
        <v>4</v>
      </c>
      <c r="DN148" s="239" t="s">
        <v>4</v>
      </c>
      <c r="DO148" s="239">
        <v>1</v>
      </c>
      <c r="DP148" s="239" t="s">
        <v>2</v>
      </c>
      <c r="DQ148" s="239" t="s">
        <v>29375</v>
      </c>
      <c r="DR148" s="239" t="s">
        <v>4</v>
      </c>
      <c r="DS148" s="239" t="s">
        <v>4</v>
      </c>
      <c r="DT148" s="240" t="s">
        <v>4</v>
      </c>
      <c r="DU148" s="239" t="s">
        <v>29293</v>
      </c>
      <c r="DV148" s="240">
        <v>100000</v>
      </c>
      <c r="DW148" s="239" t="s">
        <v>29295</v>
      </c>
      <c r="DX148" s="239">
        <v>100</v>
      </c>
      <c r="DY148" s="239" t="s">
        <v>29296</v>
      </c>
      <c r="DZ148" s="239">
        <v>100</v>
      </c>
      <c r="EA148" s="239"/>
      <c r="EB148" s="239"/>
      <c r="EC148" s="239"/>
      <c r="ED148" s="239"/>
      <c r="EE148" s="320">
        <f>Table14[[#This Row],[% Fertilizer]]*$DX148/10000</f>
        <v>1</v>
      </c>
      <c r="EF148" s="320">
        <f>Table14[[#This Row],[% bioslurry used as Insecticide/Pesticide]]*$DX148/10000</f>
        <v>0</v>
      </c>
      <c r="EG148" s="320">
        <f>Table14[[#This Row],[% of Bioslurry used as animal feed]]*$DX148/10000</f>
        <v>0</v>
      </c>
      <c r="EH148" s="320">
        <f>Table14[[#This Row],[% of Bioslurry sold]]*$DX148/10000</f>
        <v>0</v>
      </c>
      <c r="EI148" s="320">
        <f>Table14[[#This Row],[% used other way(if used directly)]]*$DX148/10000</f>
        <v>0</v>
      </c>
      <c r="EJ148" s="239"/>
      <c r="EK148" s="239"/>
      <c r="EL148" s="239"/>
      <c r="EM148" s="239"/>
      <c r="EN148" s="239"/>
      <c r="EO148" s="239">
        <f>(Table14[[#This Row],[% Uncovered lagoon greater than 1 meter]]+Table14[[#This Row],[Uncovered lagoon (black watery mass) &lt;1 meter]]+Table14[[#This Row],[% Liquid slurry (brown porridge type)]])*Table14[[#This Row],[% Store it first]]/100</f>
        <v>0</v>
      </c>
      <c r="EP148" s="239"/>
      <c r="EQ148" s="239"/>
      <c r="ER148" s="239"/>
      <c r="ES148" s="239"/>
      <c r="ET148" s="239">
        <f>(Table14[[#This Row],[% Solid storage]]+Table14[[#This Row],[% Sun drying]]+Table14[[#This Row],[% Composting with a roof]]+Table14[[#This Row],[% Composting without a roof]])*Table14[[#This Row],[% Store it first]]/100</f>
        <v>0</v>
      </c>
      <c r="EU148" s="239"/>
      <c r="EV148" s="320">
        <f t="shared" si="15"/>
        <v>0</v>
      </c>
      <c r="EW148" s="320">
        <f t="shared" si="16"/>
        <v>0</v>
      </c>
      <c r="EX148" s="320">
        <f t="shared" si="17"/>
        <v>0</v>
      </c>
      <c r="EY148" s="320">
        <f t="shared" si="18"/>
        <v>0</v>
      </c>
      <c r="EZ148" s="320">
        <f t="shared" si="19"/>
        <v>0</v>
      </c>
      <c r="FA148" s="239"/>
      <c r="FB148" s="239"/>
      <c r="FC148" s="239"/>
      <c r="FD148" s="239">
        <f>Table14[[#This Row],[% I donâ€™t use it / discarded]]+Table14[[#This Row],[% Other (specify)(If you use bioslurry directly)]]+Table14[[#This Row],[% Store it first]]+Table14[[#This Row],[% Use directly for various purposes]]</f>
        <v>100</v>
      </c>
      <c r="FE148" s="239" t="s">
        <v>4</v>
      </c>
      <c r="FF148" s="239"/>
      <c r="FG148" s="239"/>
      <c r="FH148" s="239"/>
      <c r="FI148" s="239"/>
      <c r="FJ148" s="239"/>
      <c r="FK148" s="239">
        <v>0.4</v>
      </c>
      <c r="FL148" s="239" t="s">
        <v>7</v>
      </c>
      <c r="FM148" s="239">
        <v>70</v>
      </c>
      <c r="FN148" s="239">
        <f t="shared" si="14"/>
        <v>0.28000000000000003</v>
      </c>
      <c r="FO148" s="239" t="s">
        <v>29337</v>
      </c>
      <c r="FP148" s="239" t="s">
        <v>29298</v>
      </c>
      <c r="FQ148" s="239">
        <v>144</v>
      </c>
      <c r="FR148" s="239" t="s">
        <v>2</v>
      </c>
      <c r="FS148" s="239" t="s">
        <v>4</v>
      </c>
      <c r="FT148" s="239" t="s">
        <v>4</v>
      </c>
      <c r="FU148" s="239" t="s">
        <v>7</v>
      </c>
      <c r="FV148" s="239" t="s">
        <v>29376</v>
      </c>
      <c r="FW148" s="239" t="s">
        <v>29377</v>
      </c>
      <c r="FX148" s="239" t="s">
        <v>29300</v>
      </c>
      <c r="FY148" s="239" t="s">
        <v>4</v>
      </c>
      <c r="FZ148" s="239" t="s">
        <v>4</v>
      </c>
      <c r="GA148" s="239" t="s">
        <v>4</v>
      </c>
      <c r="GB148" s="240" t="s">
        <v>4</v>
      </c>
      <c r="GC148" s="239" t="s">
        <v>4</v>
      </c>
      <c r="GD148" s="239" t="s">
        <v>2</v>
      </c>
      <c r="GE148" s="239" t="s">
        <v>4</v>
      </c>
      <c r="GF148" s="239" t="s">
        <v>4</v>
      </c>
      <c r="GG148" s="239" t="s">
        <v>2</v>
      </c>
      <c r="GH148" s="239" t="s">
        <v>2</v>
      </c>
      <c r="GI148" s="239" t="s">
        <v>4</v>
      </c>
      <c r="GJ148" s="239" t="s">
        <v>4</v>
      </c>
      <c r="GK148" s="239" t="s">
        <v>4</v>
      </c>
      <c r="GL148" s="239">
        <v>0</v>
      </c>
      <c r="GM148" s="239"/>
      <c r="GN148" s="239" t="s">
        <v>4</v>
      </c>
      <c r="GO148" s="239" t="s">
        <v>4</v>
      </c>
      <c r="GP148" s="239" t="s">
        <v>4</v>
      </c>
      <c r="GQ148" s="239" t="s">
        <v>4</v>
      </c>
      <c r="GR148" s="239" t="s">
        <v>4</v>
      </c>
      <c r="GS148" s="239" t="s">
        <v>4</v>
      </c>
      <c r="GT148" s="239" t="s">
        <v>4</v>
      </c>
      <c r="GU148" s="239" t="s">
        <v>4</v>
      </c>
      <c r="GV148" s="239" t="s">
        <v>4</v>
      </c>
      <c r="GW148" s="239" t="s">
        <v>29378</v>
      </c>
      <c r="GX148" s="239" t="s">
        <v>4</v>
      </c>
      <c r="GY148" s="239" t="s">
        <v>4</v>
      </c>
      <c r="GZ148" s="239" t="s">
        <v>4</v>
      </c>
      <c r="HA148" s="239" t="s">
        <v>4</v>
      </c>
      <c r="HB148" s="239" t="s">
        <v>4</v>
      </c>
      <c r="HC148" s="239" t="s">
        <v>4</v>
      </c>
      <c r="HD148" s="239" t="s">
        <v>4</v>
      </c>
      <c r="HE148" s="239" t="s">
        <v>4</v>
      </c>
      <c r="HF148" s="239" t="s">
        <v>29353</v>
      </c>
      <c r="HG148" s="239" t="s">
        <v>4</v>
      </c>
      <c r="HH148" s="239" t="s">
        <v>29379</v>
      </c>
      <c r="HI148" s="239" t="s">
        <v>4</v>
      </c>
      <c r="HJ148" s="240">
        <v>0</v>
      </c>
      <c r="HK148" s="239" t="s">
        <v>29325</v>
      </c>
      <c r="HL148" s="239" t="s">
        <v>29309</v>
      </c>
      <c r="HM148" s="239" t="s">
        <v>4</v>
      </c>
      <c r="HN148" s="239" t="s">
        <v>4</v>
      </c>
      <c r="HO148" s="239" t="s">
        <v>4</v>
      </c>
      <c r="HP148" s="239" t="s">
        <v>4</v>
      </c>
      <c r="HQ148" s="239" t="s">
        <v>4</v>
      </c>
      <c r="HR148" s="239" t="s">
        <v>4</v>
      </c>
      <c r="HS148" s="239" t="s">
        <v>4</v>
      </c>
      <c r="HT148" s="239" t="s">
        <v>4</v>
      </c>
      <c r="HU148" s="239" t="s">
        <v>2</v>
      </c>
      <c r="HV148" s="239" t="s">
        <v>4</v>
      </c>
      <c r="HW148" s="239" t="s">
        <v>4</v>
      </c>
      <c r="HX148" s="239" t="s">
        <v>4</v>
      </c>
      <c r="HY148" s="239" t="s">
        <v>4</v>
      </c>
      <c r="HZ148" s="239" t="s">
        <v>29380</v>
      </c>
      <c r="IA148" s="239" t="s">
        <v>7</v>
      </c>
      <c r="IB148" s="239" t="s">
        <v>29381</v>
      </c>
      <c r="IC148" s="239" t="s">
        <v>29382</v>
      </c>
      <c r="ID148" s="239" t="s">
        <v>29383</v>
      </c>
      <c r="IE148" s="239" t="s">
        <v>29384</v>
      </c>
      <c r="IF148" s="239" t="s">
        <v>29385</v>
      </c>
      <c r="IG148" s="239" t="s">
        <v>29386</v>
      </c>
      <c r="IH148" s="239" t="s">
        <v>29372</v>
      </c>
    </row>
    <row r="149" spans="1:242" s="1" customFormat="1" ht="36.75" customHeight="1" x14ac:dyDescent="0.2">
      <c r="A149" s="239">
        <v>15</v>
      </c>
      <c r="B149" s="239" t="s">
        <v>24482</v>
      </c>
      <c r="C149" s="239" t="s">
        <v>29505</v>
      </c>
      <c r="D149" s="239" t="s">
        <v>52</v>
      </c>
      <c r="E149" s="239" t="s">
        <v>7</v>
      </c>
      <c r="F149" s="239" t="s">
        <v>29506</v>
      </c>
      <c r="G149" s="239">
        <v>1586.1</v>
      </c>
      <c r="H149" s="239">
        <v>4</v>
      </c>
      <c r="I149" s="239" t="s">
        <v>29389</v>
      </c>
      <c r="J149" s="239" t="s">
        <v>22</v>
      </c>
      <c r="K149" s="239" t="s">
        <v>29507</v>
      </c>
      <c r="L149" s="239">
        <v>776547015</v>
      </c>
      <c r="M149" s="239" t="s">
        <v>3</v>
      </c>
      <c r="N149" s="239" t="s">
        <v>31590</v>
      </c>
      <c r="O149" s="239" t="s">
        <v>4</v>
      </c>
      <c r="P149" s="239">
        <v>9</v>
      </c>
      <c r="Q149" s="239" t="s">
        <v>7</v>
      </c>
      <c r="R149" s="239" t="s">
        <v>31622</v>
      </c>
      <c r="S149" s="239" t="s">
        <v>31623</v>
      </c>
      <c r="T149" s="239" t="s">
        <v>7</v>
      </c>
      <c r="U149" s="239" t="s">
        <v>7</v>
      </c>
      <c r="V149" s="239"/>
      <c r="W149" s="239" t="s">
        <v>7</v>
      </c>
      <c r="X149" s="239" t="s">
        <v>4</v>
      </c>
      <c r="Y149" s="239" t="s">
        <v>4</v>
      </c>
      <c r="Z149" s="241" t="str">
        <f>IF(OR(T149="yes",Y149&gt;'SDG outcome'!$C$27),"yes","no")</f>
        <v>yes</v>
      </c>
      <c r="AA149" s="243">
        <f t="shared" si="13"/>
        <v>0</v>
      </c>
      <c r="AB149" s="243" t="str">
        <f>IF(AND(Z149="no",AND(Y149&gt;='SDG outcome'!$B$16,Y149&lt;'SDG outcome'!$C$27)),Y149-'SDG outcome'!$B$16,"")</f>
        <v/>
      </c>
      <c r="AC149" s="239" t="s">
        <v>4</v>
      </c>
      <c r="AD149" s="239" t="s">
        <v>4</v>
      </c>
      <c r="AE149" s="239" t="s">
        <v>4</v>
      </c>
      <c r="AF149" s="239" t="s">
        <v>4</v>
      </c>
      <c r="AG149" s="239" t="s">
        <v>4</v>
      </c>
      <c r="AH149" s="239" t="s">
        <v>4</v>
      </c>
      <c r="AI149" s="239" t="s">
        <v>4</v>
      </c>
      <c r="AJ149" s="239" t="s">
        <v>29290</v>
      </c>
      <c r="AK149" s="239" t="s">
        <v>29291</v>
      </c>
      <c r="AL149" s="239" t="s">
        <v>4</v>
      </c>
      <c r="AM149" s="239" t="s">
        <v>4</v>
      </c>
      <c r="AN149" s="239" t="s">
        <v>31605</v>
      </c>
      <c r="AO149" s="239" t="s">
        <v>4</v>
      </c>
      <c r="AP149" s="239" t="s">
        <v>31600</v>
      </c>
      <c r="AQ149" s="239" t="s">
        <v>4</v>
      </c>
      <c r="AR149" s="239" t="s">
        <v>31538</v>
      </c>
      <c r="AS149" s="239" t="s">
        <v>4</v>
      </c>
      <c r="AT149" s="239" t="s">
        <v>7</v>
      </c>
      <c r="AU149" s="239" t="s">
        <v>4</v>
      </c>
      <c r="AV149" s="239" t="s">
        <v>4</v>
      </c>
      <c r="AW149" s="239" t="s">
        <v>31539</v>
      </c>
      <c r="AX149" s="239" t="s">
        <v>4</v>
      </c>
      <c r="AY149" s="239" t="s">
        <v>4</v>
      </c>
      <c r="AZ149" s="239" t="s">
        <v>2</v>
      </c>
      <c r="BA149" s="239" t="s">
        <v>4</v>
      </c>
      <c r="BB149" s="239" t="s">
        <v>4</v>
      </c>
      <c r="BC149" s="239" t="s">
        <v>31563</v>
      </c>
      <c r="BD149" s="239" t="s">
        <v>22</v>
      </c>
      <c r="BE149" s="239" t="s">
        <v>4</v>
      </c>
      <c r="BF149" s="239" t="s">
        <v>31564</v>
      </c>
      <c r="BG149" s="239" t="s">
        <v>4</v>
      </c>
      <c r="BH149" s="239" t="s">
        <v>31542</v>
      </c>
      <c r="BI149" s="239" t="s">
        <v>31624</v>
      </c>
      <c r="BJ149" s="239" t="s">
        <v>31616</v>
      </c>
      <c r="BK149" s="239">
        <v>1</v>
      </c>
      <c r="BL149" s="239">
        <v>72</v>
      </c>
      <c r="BM149" s="239" t="s">
        <v>7</v>
      </c>
      <c r="BN149" s="239" t="s">
        <v>6</v>
      </c>
      <c r="BO149" s="239" t="s">
        <v>4</v>
      </c>
      <c r="BP149" s="239" t="s">
        <v>31425</v>
      </c>
      <c r="BQ149" s="239">
        <v>1</v>
      </c>
      <c r="BR149" s="239">
        <v>60</v>
      </c>
      <c r="BS149" s="239" t="s">
        <v>31434</v>
      </c>
      <c r="BT149" s="239"/>
      <c r="BU149" s="239">
        <v>2</v>
      </c>
      <c r="BV149" s="239" cm="1">
        <f t="array" ref="BV149">_xlfn.IFS(BS149="Foreword vehicle",BU149*0,BS149="Human wastes",BU149*0,BS149="Jerrycans",BU149*$BV$228,BS149="Number of Basins",BU149*$BV$229,BS149="Number of Buckets",BU149*$CA$226,BS149="Number of Kgs",BU149*$CA$227,BS149="Number of spades",BU149*$CA$228,BS149="Number of wheelbarrows",BU149*$CA$229,BT149="Foreword vehicle",BU149*0,BT149="Human wastes",BU149*0,BT149="Jerrycans",BU149*$BV$228,BS149="","")</f>
        <v>32</v>
      </c>
      <c r="BW149" s="239">
        <f>IF(BV149="","",Table14[[#This Row],[Calculation: Conversion of metric to Kg manure feeding (Columns: BP, BQ, BR)]]*Table14[[#This Row],[Number of times used to feed biodigester]])</f>
        <v>32</v>
      </c>
      <c r="BX149" s="239" cm="1">
        <f t="array" ref="BX149">_xlfn.IFS(BP149="Number of times per day (1 to 3)",BW149/$BX$226,BP149="Number of times per week (1 to 6)",BW149/$BX$227,BP149="Number of times per Month (1 to 3)",BW149/$BX$228,BW149="","")</f>
        <v>32</v>
      </c>
      <c r="BY149" s="239" t="s">
        <v>22</v>
      </c>
      <c r="BZ149" s="239" t="s">
        <v>4</v>
      </c>
      <c r="CA149" s="239" t="s">
        <v>2</v>
      </c>
      <c r="CB149" s="239" t="s">
        <v>4</v>
      </c>
      <c r="CC149" s="239" t="s">
        <v>4</v>
      </c>
      <c r="CD149" s="239" t="s">
        <v>4</v>
      </c>
      <c r="CE149" s="239" t="s">
        <v>7</v>
      </c>
      <c r="CF149" s="239" t="s">
        <v>31625</v>
      </c>
      <c r="CG149" s="239" t="s">
        <v>4</v>
      </c>
      <c r="CH149" s="239" t="s">
        <v>31626</v>
      </c>
      <c r="CI149" s="239">
        <v>4</v>
      </c>
      <c r="CJ149" s="239">
        <v>0</v>
      </c>
      <c r="CK149" s="239">
        <v>0</v>
      </c>
      <c r="CL149" s="239">
        <v>2</v>
      </c>
      <c r="CM149" s="239">
        <v>5</v>
      </c>
      <c r="CN149" s="239">
        <v>10</v>
      </c>
      <c r="CO149" s="239">
        <v>0</v>
      </c>
      <c r="CP149" s="239">
        <v>0</v>
      </c>
      <c r="CQ149" s="239">
        <v>0</v>
      </c>
      <c r="CR149" s="239">
        <v>0</v>
      </c>
      <c r="CS149" s="239">
        <f>CP149/'SDG outcome'!$C$9*CQ149*CR149</f>
        <v>0</v>
      </c>
      <c r="CT149" s="239">
        <v>100</v>
      </c>
      <c r="CU149" s="239">
        <v>0</v>
      </c>
      <c r="CV149" s="239" t="s">
        <v>4</v>
      </c>
      <c r="CW149" s="239" t="s">
        <v>4</v>
      </c>
      <c r="CX149" s="239" t="s">
        <v>4</v>
      </c>
      <c r="CY149" s="239" t="s">
        <v>4</v>
      </c>
      <c r="CZ149" s="239" t="s">
        <v>4</v>
      </c>
      <c r="DA149" s="239" t="s">
        <v>4</v>
      </c>
      <c r="DB149" s="239" t="s">
        <v>4</v>
      </c>
      <c r="DC149" s="239" t="s">
        <v>4</v>
      </c>
      <c r="DD149" s="239" t="s">
        <v>4</v>
      </c>
      <c r="DE149" s="239" t="s">
        <v>4</v>
      </c>
      <c r="DF149" s="239">
        <v>0</v>
      </c>
      <c r="DG149" s="239">
        <v>100</v>
      </c>
      <c r="DH149" s="239" t="s">
        <v>31627</v>
      </c>
      <c r="DI149" s="239">
        <v>0</v>
      </c>
      <c r="DJ149" s="239">
        <v>100</v>
      </c>
      <c r="DK149" s="239" t="s">
        <v>31628</v>
      </c>
      <c r="DL149" s="239">
        <v>0</v>
      </c>
      <c r="DM149" s="239">
        <v>100</v>
      </c>
      <c r="DN149" s="239" t="s">
        <v>31629</v>
      </c>
      <c r="DO149" s="239">
        <v>3</v>
      </c>
      <c r="DP149" s="239" t="s">
        <v>2</v>
      </c>
      <c r="DQ149" s="239" t="s">
        <v>29292</v>
      </c>
      <c r="DR149" s="239" t="s">
        <v>4</v>
      </c>
      <c r="DS149" s="239" t="s">
        <v>29294</v>
      </c>
      <c r="DT149" s="240" t="s">
        <v>4</v>
      </c>
      <c r="DU149" s="239" t="s">
        <v>29294</v>
      </c>
      <c r="DV149" s="240" t="s">
        <v>4</v>
      </c>
      <c r="DW149" s="239" t="s">
        <v>29508</v>
      </c>
      <c r="DX149" s="239"/>
      <c r="DY149" s="239"/>
      <c r="DZ149" s="239"/>
      <c r="EA149" s="239"/>
      <c r="EB149" s="239"/>
      <c r="EC149" s="239"/>
      <c r="ED149" s="239"/>
      <c r="EE149" s="320">
        <f>Table14[[#This Row],[% Fertilizer]]*$DX149/10000</f>
        <v>0</v>
      </c>
      <c r="EF149" s="320">
        <f>Table14[[#This Row],[% bioslurry used as Insecticide/Pesticide]]*$DX149/10000</f>
        <v>0</v>
      </c>
      <c r="EG149" s="320">
        <f>Table14[[#This Row],[% of Bioslurry used as animal feed]]*$DX149/10000</f>
        <v>0</v>
      </c>
      <c r="EH149" s="320">
        <f>Table14[[#This Row],[% of Bioslurry sold]]*$DX149/10000</f>
        <v>0</v>
      </c>
      <c r="EI149" s="320">
        <f>Table14[[#This Row],[% used other way(if used directly)]]*$DX149/10000</f>
        <v>0</v>
      </c>
      <c r="EJ149" s="239">
        <v>100</v>
      </c>
      <c r="EK149" s="239" t="s">
        <v>29509</v>
      </c>
      <c r="EL149" s="239">
        <v>100</v>
      </c>
      <c r="EM149" s="239"/>
      <c r="EN149" s="239"/>
      <c r="EO149" s="239">
        <f>(Table14[[#This Row],[% Uncovered lagoon greater than 1 meter]]+Table14[[#This Row],[Uncovered lagoon (black watery mass) &lt;1 meter]]+Table14[[#This Row],[% Liquid slurry (brown porridge type)]])*Table14[[#This Row],[% Store it first]]/100</f>
        <v>100</v>
      </c>
      <c r="EP149" s="239"/>
      <c r="EQ149" s="239"/>
      <c r="ER149" s="239"/>
      <c r="ES149" s="239"/>
      <c r="ET149" s="239">
        <f>(Table14[[#This Row],[% Solid storage]]+Table14[[#This Row],[% Sun drying]]+Table14[[#This Row],[% Composting with a roof]]+Table14[[#This Row],[% Composting without a roof]])*Table14[[#This Row],[% Store it first]]/100</f>
        <v>0</v>
      </c>
      <c r="EU149" s="239">
        <v>7</v>
      </c>
      <c r="EV149" s="320">
        <f t="shared" si="15"/>
        <v>1</v>
      </c>
      <c r="EW149" s="320">
        <f t="shared" si="16"/>
        <v>0</v>
      </c>
      <c r="EX149" s="320">
        <f t="shared" si="17"/>
        <v>0</v>
      </c>
      <c r="EY149" s="320">
        <f t="shared" si="18"/>
        <v>0</v>
      </c>
      <c r="EZ149" s="320">
        <f t="shared" si="19"/>
        <v>0</v>
      </c>
      <c r="FA149" s="239"/>
      <c r="FB149" s="239"/>
      <c r="FC149" s="239"/>
      <c r="FD149" s="239">
        <f>Table14[[#This Row],[% I donâ€™t use it / discarded]]+Table14[[#This Row],[% Other (specify)(If you use bioslurry directly)]]+Table14[[#This Row],[% Store it first]]+Table14[[#This Row],[% Use directly for various purposes]]</f>
        <v>100</v>
      </c>
      <c r="FE149" s="239" t="s">
        <v>29296</v>
      </c>
      <c r="FF149" s="239">
        <v>100</v>
      </c>
      <c r="FG149" s="239"/>
      <c r="FH149" s="239"/>
      <c r="FI149" s="239"/>
      <c r="FJ149" s="239"/>
      <c r="FK149" s="239">
        <v>2</v>
      </c>
      <c r="FL149" s="239" t="s">
        <v>7</v>
      </c>
      <c r="FM149" s="239">
        <v>80</v>
      </c>
      <c r="FN149" s="239">
        <f t="shared" si="14"/>
        <v>1.6</v>
      </c>
      <c r="FO149" s="239" t="s">
        <v>29510</v>
      </c>
      <c r="FP149" s="239" t="s">
        <v>29298</v>
      </c>
      <c r="FQ149" s="239">
        <v>32</v>
      </c>
      <c r="FR149" s="239" t="s">
        <v>7</v>
      </c>
      <c r="FS149" s="239" t="s">
        <v>29393</v>
      </c>
      <c r="FT149" s="239" t="s">
        <v>4</v>
      </c>
      <c r="FU149" s="239" t="s">
        <v>7</v>
      </c>
      <c r="FV149" s="239" t="s">
        <v>29393</v>
      </c>
      <c r="FW149" s="239" t="s">
        <v>4</v>
      </c>
      <c r="FX149" s="239" t="s">
        <v>29300</v>
      </c>
      <c r="FY149" s="239" t="s">
        <v>4</v>
      </c>
      <c r="FZ149" s="239" t="s">
        <v>4</v>
      </c>
      <c r="GA149" s="239" t="s">
        <v>4</v>
      </c>
      <c r="GB149" s="240" t="s">
        <v>4</v>
      </c>
      <c r="GC149" s="239" t="s">
        <v>4</v>
      </c>
      <c r="GD149" s="239" t="s">
        <v>2</v>
      </c>
      <c r="GE149" s="239" t="s">
        <v>4</v>
      </c>
      <c r="GF149" s="239" t="s">
        <v>4</v>
      </c>
      <c r="GG149" s="239" t="s">
        <v>2</v>
      </c>
      <c r="GH149" s="239" t="s">
        <v>7</v>
      </c>
      <c r="GI149" s="239" t="s">
        <v>29302</v>
      </c>
      <c r="GJ149" s="239" t="s">
        <v>29464</v>
      </c>
      <c r="GK149" s="239" t="s">
        <v>29304</v>
      </c>
      <c r="GL149" s="239">
        <v>0.5</v>
      </c>
      <c r="GM149" s="239" t="s">
        <v>29305</v>
      </c>
      <c r="GN149" s="239" t="s">
        <v>29306</v>
      </c>
      <c r="GO149" s="239" t="s">
        <v>4</v>
      </c>
      <c r="GP149" s="239" t="s">
        <v>4</v>
      </c>
      <c r="GQ149" s="239" t="s">
        <v>4</v>
      </c>
      <c r="GR149" s="239" t="s">
        <v>4</v>
      </c>
      <c r="GS149" s="239" t="s">
        <v>4</v>
      </c>
      <c r="GT149" s="239" t="s">
        <v>4</v>
      </c>
      <c r="GU149" s="239" t="s">
        <v>4</v>
      </c>
      <c r="GV149" s="239" t="s">
        <v>4</v>
      </c>
      <c r="GW149" s="239" t="s">
        <v>4</v>
      </c>
      <c r="GX149" s="239" t="s">
        <v>4</v>
      </c>
      <c r="GY149" s="239" t="s">
        <v>4</v>
      </c>
      <c r="GZ149" s="239" t="s">
        <v>4</v>
      </c>
      <c r="HA149" s="239" t="s">
        <v>4</v>
      </c>
      <c r="HB149" s="239" t="s">
        <v>4</v>
      </c>
      <c r="HC149" s="239" t="s">
        <v>4</v>
      </c>
      <c r="HD149" s="239" t="s">
        <v>4</v>
      </c>
      <c r="HE149" s="239" t="s">
        <v>4</v>
      </c>
      <c r="HF149" s="239" t="s">
        <v>4</v>
      </c>
      <c r="HG149" s="239" t="s">
        <v>4</v>
      </c>
      <c r="HH149" s="239" t="s">
        <v>29354</v>
      </c>
      <c r="HI149" s="239" t="s">
        <v>4</v>
      </c>
      <c r="HJ149" s="240">
        <v>0</v>
      </c>
      <c r="HK149" s="239" t="s">
        <v>29325</v>
      </c>
      <c r="HL149" s="239" t="s">
        <v>29480</v>
      </c>
      <c r="HM149" s="239" t="s">
        <v>4</v>
      </c>
      <c r="HN149" s="239" t="s">
        <v>4</v>
      </c>
      <c r="HO149" s="239" t="s">
        <v>4</v>
      </c>
      <c r="HP149" s="239" t="s">
        <v>4</v>
      </c>
      <c r="HQ149" s="239" t="s">
        <v>4</v>
      </c>
      <c r="HR149" s="239" t="s">
        <v>4</v>
      </c>
      <c r="HS149" s="239" t="s">
        <v>4</v>
      </c>
      <c r="HT149" s="239" t="s">
        <v>4</v>
      </c>
      <c r="HU149" s="239" t="s">
        <v>2</v>
      </c>
      <c r="HV149" s="239" t="s">
        <v>4</v>
      </c>
      <c r="HW149" s="239" t="s">
        <v>4</v>
      </c>
      <c r="HX149" s="239" t="s">
        <v>4</v>
      </c>
      <c r="HY149" s="239" t="s">
        <v>4</v>
      </c>
      <c r="HZ149" s="239" t="s">
        <v>29511</v>
      </c>
      <c r="IA149" s="239" t="s">
        <v>2</v>
      </c>
      <c r="IB149" s="239" t="s">
        <v>4</v>
      </c>
      <c r="IC149" s="239" t="s">
        <v>16</v>
      </c>
      <c r="ID149" s="239" t="s">
        <v>29512</v>
      </c>
      <c r="IE149" s="239" t="s">
        <v>29513</v>
      </c>
      <c r="IF149" s="239" t="s">
        <v>29514</v>
      </c>
      <c r="IG149" s="239" t="s">
        <v>9</v>
      </c>
      <c r="IH149" s="239" t="s">
        <v>29505</v>
      </c>
    </row>
    <row r="150" spans="1:242" s="1" customFormat="1" ht="36.75" customHeight="1" x14ac:dyDescent="0.2">
      <c r="A150" s="239">
        <v>54</v>
      </c>
      <c r="B150" s="239" t="s">
        <v>27566</v>
      </c>
      <c r="C150" s="239" t="s">
        <v>29878</v>
      </c>
      <c r="D150" s="239" t="s">
        <v>21</v>
      </c>
      <c r="E150" s="239" t="s">
        <v>7</v>
      </c>
      <c r="F150" s="239" t="s">
        <v>29919</v>
      </c>
      <c r="G150" s="239">
        <v>1148</v>
      </c>
      <c r="H150" s="239">
        <v>3.5</v>
      </c>
      <c r="I150" s="239" t="s">
        <v>29288</v>
      </c>
      <c r="J150" s="239" t="s">
        <v>4</v>
      </c>
      <c r="K150" s="239" t="s">
        <v>29920</v>
      </c>
      <c r="L150" s="239">
        <v>752863865</v>
      </c>
      <c r="M150" s="239" t="s">
        <v>3</v>
      </c>
      <c r="N150" s="239" t="s">
        <v>31598</v>
      </c>
      <c r="O150" s="239" t="s">
        <v>4</v>
      </c>
      <c r="P150" s="239">
        <v>8</v>
      </c>
      <c r="Q150" s="239" t="s">
        <v>7</v>
      </c>
      <c r="R150" s="239" t="s">
        <v>31588</v>
      </c>
      <c r="S150" s="239" t="s">
        <v>4</v>
      </c>
      <c r="T150" s="239" t="s">
        <v>7</v>
      </c>
      <c r="U150" s="239" t="s">
        <v>7</v>
      </c>
      <c r="V150" s="239"/>
      <c r="W150" s="239" t="s">
        <v>7</v>
      </c>
      <c r="X150" s="239" t="s">
        <v>4</v>
      </c>
      <c r="Y150" s="239" t="s">
        <v>4</v>
      </c>
      <c r="Z150" s="241" t="str">
        <f>IF(OR(T150="yes",Y150&gt;'SDG outcome'!$C$27),"yes","no")</f>
        <v>yes</v>
      </c>
      <c r="AA150" s="243">
        <f t="shared" si="13"/>
        <v>0</v>
      </c>
      <c r="AB150" s="243" t="str">
        <f>IF(AND(Z150="no",AND(Y150&gt;='SDG outcome'!$B$16,Y150&lt;'SDG outcome'!$C$27)),Y150-'SDG outcome'!$B$16,"")</f>
        <v/>
      </c>
      <c r="AC150" s="239" t="s">
        <v>4</v>
      </c>
      <c r="AD150" s="239" t="s">
        <v>4</v>
      </c>
      <c r="AE150" s="239" t="s">
        <v>4</v>
      </c>
      <c r="AF150" s="239" t="s">
        <v>4</v>
      </c>
      <c r="AG150" s="239" t="s">
        <v>4</v>
      </c>
      <c r="AH150" s="239" t="s">
        <v>4</v>
      </c>
      <c r="AI150" s="239" t="s">
        <v>4</v>
      </c>
      <c r="AJ150" s="239" t="s">
        <v>29290</v>
      </c>
      <c r="AK150" s="239" t="s">
        <v>29291</v>
      </c>
      <c r="AL150" s="239" t="s">
        <v>4</v>
      </c>
      <c r="AM150" s="239" t="s">
        <v>4</v>
      </c>
      <c r="AN150" s="239" t="s">
        <v>31536</v>
      </c>
      <c r="AO150" s="239" t="s">
        <v>4</v>
      </c>
      <c r="AP150" s="239" t="s">
        <v>31537</v>
      </c>
      <c r="AQ150" s="239" t="s">
        <v>4</v>
      </c>
      <c r="AR150" s="239" t="s">
        <v>31538</v>
      </c>
      <c r="AS150" s="239" t="s">
        <v>4</v>
      </c>
      <c r="AT150" s="239" t="s">
        <v>2</v>
      </c>
      <c r="AU150" s="239" t="s">
        <v>31581</v>
      </c>
      <c r="AV150" s="239" t="s">
        <v>4</v>
      </c>
      <c r="AW150" s="239" t="s">
        <v>31539</v>
      </c>
      <c r="AX150" s="239" t="s">
        <v>4</v>
      </c>
      <c r="AY150" s="239" t="s">
        <v>4</v>
      </c>
      <c r="AZ150" s="239" t="s">
        <v>7</v>
      </c>
      <c r="BA150" s="239" t="s">
        <v>11</v>
      </c>
      <c r="BB150" s="239" t="s">
        <v>4</v>
      </c>
      <c r="BC150" s="239" t="s">
        <v>31619</v>
      </c>
      <c r="BD150" s="239" t="s">
        <v>4</v>
      </c>
      <c r="BE150" s="239" t="s">
        <v>4</v>
      </c>
      <c r="BF150" s="239" t="s">
        <v>4</v>
      </c>
      <c r="BG150" s="239" t="s">
        <v>4</v>
      </c>
      <c r="BH150" s="239" t="s">
        <v>4</v>
      </c>
      <c r="BI150" s="239" t="s">
        <v>4</v>
      </c>
      <c r="BJ150" s="239" t="s">
        <v>4</v>
      </c>
      <c r="BK150" s="239" t="s">
        <v>4</v>
      </c>
      <c r="BL150" s="239" t="s">
        <v>4</v>
      </c>
      <c r="BM150" s="239" t="s">
        <v>7</v>
      </c>
      <c r="BN150" s="239" t="s">
        <v>6</v>
      </c>
      <c r="BO150" s="239" t="s">
        <v>4</v>
      </c>
      <c r="BP150" s="239" t="s">
        <v>31429</v>
      </c>
      <c r="BQ150" s="239">
        <v>1</v>
      </c>
      <c r="BR150" s="239">
        <v>60</v>
      </c>
      <c r="BS150" s="239" t="s">
        <v>31435</v>
      </c>
      <c r="BT150" s="239"/>
      <c r="BU150" s="239">
        <v>3</v>
      </c>
      <c r="BV150" s="239" cm="1">
        <f t="array" ref="BV150">_xlfn.IFS(BS150="Foreword vehicle",BU150*0,BS150="Human wastes",BU150*0,BS150="Jerrycans",BU150*$BV$228,BS150="Number of Basins",BU150*$BV$229,BS150="Number of Buckets",BU150*$CA$226,BS150="Number of Kgs",BU150*$CA$227,BS150="Number of spades",BU150*$CA$228,BS150="Number of wheelbarrows",BU150*$CA$229,BT150="Foreword vehicle",BU150*0,BT150="Human wastes",BU150*0,BT150="Jerrycans",BU150*$BV$228,BS150="","")</f>
        <v>211.5</v>
      </c>
      <c r="BW150" s="239">
        <f>IF(BV150="","",Table14[[#This Row],[Calculation: Conversion of metric to Kg manure feeding (Columns: BP, BQ, BR)]]*Table14[[#This Row],[Number of times used to feed biodigester]])</f>
        <v>211.5</v>
      </c>
      <c r="BX150" s="239" cm="1">
        <f t="array" ref="BX150">_xlfn.IFS(BP150="Number of times per day (1 to 3)",BW150/$BX$226,BP150="Number of times per week (1 to 6)",BW150/$BX$227,BP150="Number of times per Month (1 to 3)",BW150/$BX$228,BW150="","")</f>
        <v>30.214285714285715</v>
      </c>
      <c r="BY150" s="239" t="s">
        <v>22</v>
      </c>
      <c r="BZ150" s="239" t="s">
        <v>4</v>
      </c>
      <c r="CA150" s="239" t="s">
        <v>2</v>
      </c>
      <c r="CB150" s="239" t="s">
        <v>4</v>
      </c>
      <c r="CC150" s="239" t="s">
        <v>4</v>
      </c>
      <c r="CD150" s="239" t="s">
        <v>4</v>
      </c>
      <c r="CE150" s="239" t="s">
        <v>7</v>
      </c>
      <c r="CF150" s="239" t="s">
        <v>31816</v>
      </c>
      <c r="CG150" s="239" t="s">
        <v>4</v>
      </c>
      <c r="CH150" s="239" t="s">
        <v>31747</v>
      </c>
      <c r="CI150" s="239">
        <v>4</v>
      </c>
      <c r="CJ150" s="239">
        <v>0</v>
      </c>
      <c r="CK150" s="239">
        <v>5</v>
      </c>
      <c r="CL150" s="239">
        <v>0</v>
      </c>
      <c r="CM150" s="239">
        <v>0</v>
      </c>
      <c r="CN150" s="239">
        <v>0</v>
      </c>
      <c r="CO150" s="239">
        <v>25</v>
      </c>
      <c r="CP150" s="239">
        <v>120</v>
      </c>
      <c r="CQ150" s="239">
        <v>2</v>
      </c>
      <c r="CR150" s="239">
        <v>10</v>
      </c>
      <c r="CS150" s="239">
        <f>CP150/'SDG outcome'!$C$9*CQ150*CR150</f>
        <v>6.9164265129683002</v>
      </c>
      <c r="CT150" s="239">
        <v>100</v>
      </c>
      <c r="CU150" s="239">
        <v>0</v>
      </c>
      <c r="CV150" s="239" t="s">
        <v>4</v>
      </c>
      <c r="CW150" s="239" t="s">
        <v>4</v>
      </c>
      <c r="CX150" s="239" t="s">
        <v>4</v>
      </c>
      <c r="CY150" s="239" t="s">
        <v>4</v>
      </c>
      <c r="CZ150" s="239" t="s">
        <v>4</v>
      </c>
      <c r="DA150" s="239" t="s">
        <v>4</v>
      </c>
      <c r="DB150" s="239" t="s">
        <v>4</v>
      </c>
      <c r="DC150" s="239">
        <v>0</v>
      </c>
      <c r="DD150" s="239">
        <v>100</v>
      </c>
      <c r="DE150" s="239" t="s">
        <v>31817</v>
      </c>
      <c r="DF150" s="239" t="s">
        <v>4</v>
      </c>
      <c r="DG150" s="239" t="s">
        <v>4</v>
      </c>
      <c r="DH150" s="239" t="s">
        <v>4</v>
      </c>
      <c r="DI150" s="239" t="s">
        <v>4</v>
      </c>
      <c r="DJ150" s="239" t="s">
        <v>4</v>
      </c>
      <c r="DK150" s="239" t="s">
        <v>4</v>
      </c>
      <c r="DL150" s="239" t="s">
        <v>4</v>
      </c>
      <c r="DM150" s="239" t="s">
        <v>4</v>
      </c>
      <c r="DN150" s="239" t="s">
        <v>4</v>
      </c>
      <c r="DO150" s="239">
        <v>1.5</v>
      </c>
      <c r="DP150" s="239" t="s">
        <v>2</v>
      </c>
      <c r="DQ150" s="239" t="s">
        <v>29292</v>
      </c>
      <c r="DR150" s="239" t="s">
        <v>4</v>
      </c>
      <c r="DS150" s="239" t="s">
        <v>29293</v>
      </c>
      <c r="DT150" s="240">
        <v>120000</v>
      </c>
      <c r="DU150" s="239" t="s">
        <v>29294</v>
      </c>
      <c r="DV150" s="240" t="s">
        <v>4</v>
      </c>
      <c r="DW150" s="239" t="s">
        <v>29442</v>
      </c>
      <c r="DX150" s="239">
        <v>30</v>
      </c>
      <c r="DY150" s="239" t="s">
        <v>29296</v>
      </c>
      <c r="DZ150" s="239">
        <v>100</v>
      </c>
      <c r="EA150" s="239"/>
      <c r="EB150" s="239"/>
      <c r="EC150" s="239"/>
      <c r="ED150" s="239"/>
      <c r="EE150" s="320">
        <f>Table14[[#This Row],[% Fertilizer]]*$DX150/10000</f>
        <v>0.3</v>
      </c>
      <c r="EF150" s="320">
        <f>Table14[[#This Row],[% bioslurry used as Insecticide/Pesticide]]*$DX150/10000</f>
        <v>0</v>
      </c>
      <c r="EG150" s="320">
        <f>Table14[[#This Row],[% of Bioslurry used as animal feed]]*$DX150/10000</f>
        <v>0</v>
      </c>
      <c r="EH150" s="320">
        <f>Table14[[#This Row],[% of Bioslurry sold]]*$DX150/10000</f>
        <v>0</v>
      </c>
      <c r="EI150" s="320">
        <f>Table14[[#This Row],[% used other way(if used directly)]]*$DX150/10000</f>
        <v>0</v>
      </c>
      <c r="EJ150" s="239">
        <v>70</v>
      </c>
      <c r="EK150" s="239" t="s">
        <v>30747</v>
      </c>
      <c r="EL150" s="239"/>
      <c r="EM150" s="239">
        <v>100</v>
      </c>
      <c r="EN150" s="239"/>
      <c r="EO150" s="239">
        <f>(Table14[[#This Row],[% Uncovered lagoon greater than 1 meter]]+Table14[[#This Row],[Uncovered lagoon (black watery mass) &lt;1 meter]]+Table14[[#This Row],[% Liquid slurry (brown porridge type)]])*Table14[[#This Row],[% Store it first]]/100</f>
        <v>70</v>
      </c>
      <c r="EP150" s="239"/>
      <c r="EQ150" s="239"/>
      <c r="ER150" s="239"/>
      <c r="ES150" s="239"/>
      <c r="ET150" s="239">
        <f>(Table14[[#This Row],[% Solid storage]]+Table14[[#This Row],[% Sun drying]]+Table14[[#This Row],[% Composting with a roof]]+Table14[[#This Row],[% Composting without a roof]])*Table14[[#This Row],[% Store it first]]/100</f>
        <v>0</v>
      </c>
      <c r="EU150" s="239">
        <v>5</v>
      </c>
      <c r="EV150" s="320">
        <f t="shared" si="15"/>
        <v>0.7</v>
      </c>
      <c r="EW150" s="320">
        <f t="shared" si="16"/>
        <v>0</v>
      </c>
      <c r="EX150" s="320">
        <f t="shared" si="17"/>
        <v>0</v>
      </c>
      <c r="EY150" s="320">
        <f t="shared" si="18"/>
        <v>0</v>
      </c>
      <c r="EZ150" s="320">
        <f t="shared" si="19"/>
        <v>0</v>
      </c>
      <c r="FA150" s="239"/>
      <c r="FB150" s="239"/>
      <c r="FC150" s="239"/>
      <c r="FD150" s="239">
        <f>Table14[[#This Row],[% I donâ€™t use it / discarded]]+Table14[[#This Row],[% Other (specify)(If you use bioslurry directly)]]+Table14[[#This Row],[% Store it first]]+Table14[[#This Row],[% Use directly for various purposes]]</f>
        <v>100</v>
      </c>
      <c r="FE150" s="239" t="s">
        <v>29296</v>
      </c>
      <c r="FF150" s="239">
        <v>100</v>
      </c>
      <c r="FG150" s="239"/>
      <c r="FH150" s="239"/>
      <c r="FI150" s="239"/>
      <c r="FJ150" s="239"/>
      <c r="FK150" s="239">
        <v>1.5</v>
      </c>
      <c r="FL150" s="239" t="s">
        <v>7</v>
      </c>
      <c r="FM150" s="239">
        <v>60</v>
      </c>
      <c r="FN150" s="239">
        <f t="shared" si="14"/>
        <v>0.9</v>
      </c>
      <c r="FO150" s="239" t="s">
        <v>29921</v>
      </c>
      <c r="FP150" s="239" t="s">
        <v>29298</v>
      </c>
      <c r="FQ150" s="239">
        <v>132</v>
      </c>
      <c r="FR150" s="239" t="s">
        <v>7</v>
      </c>
      <c r="FS150" s="239" t="s">
        <v>29393</v>
      </c>
      <c r="FT150" s="239" t="s">
        <v>4</v>
      </c>
      <c r="FU150" s="239" t="s">
        <v>2</v>
      </c>
      <c r="FV150" s="239" t="s">
        <v>4</v>
      </c>
      <c r="FW150" s="239" t="s">
        <v>4</v>
      </c>
      <c r="FX150" s="239" t="s">
        <v>4</v>
      </c>
      <c r="FY150" s="239" t="s">
        <v>4</v>
      </c>
      <c r="FZ150" s="239" t="s">
        <v>4</v>
      </c>
      <c r="GA150" s="239" t="s">
        <v>4</v>
      </c>
      <c r="GB150" s="240" t="s">
        <v>4</v>
      </c>
      <c r="GC150" s="239" t="s">
        <v>4</v>
      </c>
      <c r="GD150" s="239" t="s">
        <v>7</v>
      </c>
      <c r="GE150" s="239" t="s">
        <v>29301</v>
      </c>
      <c r="GF150" s="239" t="s">
        <v>4</v>
      </c>
      <c r="GG150" s="239" t="s">
        <v>7</v>
      </c>
      <c r="GH150" s="239" t="s">
        <v>7</v>
      </c>
      <c r="GI150" s="239" t="s">
        <v>29302</v>
      </c>
      <c r="GJ150" s="239" t="s">
        <v>29922</v>
      </c>
      <c r="GK150" s="239" t="s">
        <v>29304</v>
      </c>
      <c r="GL150" s="239">
        <v>1</v>
      </c>
      <c r="GM150" s="239" t="s">
        <v>29305</v>
      </c>
      <c r="GN150" s="239" t="s">
        <v>29339</v>
      </c>
      <c r="GO150" s="239" t="s">
        <v>4</v>
      </c>
      <c r="GP150" s="239" t="s">
        <v>4</v>
      </c>
      <c r="GQ150" s="239" t="s">
        <v>4</v>
      </c>
      <c r="GR150" s="239" t="s">
        <v>4</v>
      </c>
      <c r="GS150" s="239" t="s">
        <v>4</v>
      </c>
      <c r="GT150" s="239" t="s">
        <v>4</v>
      </c>
      <c r="GU150" s="239" t="s">
        <v>4</v>
      </c>
      <c r="GV150" s="239" t="s">
        <v>4</v>
      </c>
      <c r="GW150" s="239" t="s">
        <v>4</v>
      </c>
      <c r="GX150" s="239" t="s">
        <v>4</v>
      </c>
      <c r="GY150" s="239" t="s">
        <v>4</v>
      </c>
      <c r="GZ150" s="239" t="s">
        <v>4</v>
      </c>
      <c r="HA150" s="239" t="s">
        <v>4</v>
      </c>
      <c r="HB150" s="239" t="s">
        <v>4</v>
      </c>
      <c r="HC150" s="239" t="s">
        <v>4</v>
      </c>
      <c r="HD150" s="239" t="s">
        <v>4</v>
      </c>
      <c r="HE150" s="239" t="s">
        <v>4</v>
      </c>
      <c r="HF150" s="239" t="s">
        <v>4</v>
      </c>
      <c r="HG150" s="239" t="s">
        <v>4</v>
      </c>
      <c r="HH150" s="239" t="s">
        <v>29354</v>
      </c>
      <c r="HI150" s="239" t="s">
        <v>4</v>
      </c>
      <c r="HJ150" s="240">
        <v>0</v>
      </c>
      <c r="HK150" s="239" t="s">
        <v>7</v>
      </c>
      <c r="HL150" s="239" t="s">
        <v>29309</v>
      </c>
      <c r="HM150" s="239" t="s">
        <v>4</v>
      </c>
      <c r="HN150" s="239" t="s">
        <v>4</v>
      </c>
      <c r="HO150" s="239" t="s">
        <v>4</v>
      </c>
      <c r="HP150" s="239" t="s">
        <v>4</v>
      </c>
      <c r="HQ150" s="239" t="s">
        <v>4</v>
      </c>
      <c r="HR150" s="239" t="s">
        <v>4</v>
      </c>
      <c r="HS150" s="239" t="s">
        <v>4</v>
      </c>
      <c r="HT150" s="239" t="s">
        <v>4</v>
      </c>
      <c r="HU150" s="239" t="s">
        <v>2</v>
      </c>
      <c r="HV150" s="239" t="s">
        <v>4</v>
      </c>
      <c r="HW150" s="239" t="s">
        <v>4</v>
      </c>
      <c r="HX150" s="239" t="s">
        <v>4</v>
      </c>
      <c r="HY150" s="239" t="s">
        <v>4</v>
      </c>
      <c r="HZ150" s="239" t="s">
        <v>16</v>
      </c>
      <c r="IA150" s="239" t="s">
        <v>7</v>
      </c>
      <c r="IB150" s="239" t="s">
        <v>29923</v>
      </c>
      <c r="IC150" s="239" t="s">
        <v>29924</v>
      </c>
      <c r="ID150" s="239" t="s">
        <v>29925</v>
      </c>
      <c r="IE150" s="239" t="s">
        <v>29926</v>
      </c>
      <c r="IF150" s="239" t="s">
        <v>29927</v>
      </c>
      <c r="IG150" s="239" t="s">
        <v>29928</v>
      </c>
      <c r="IH150" s="239" t="s">
        <v>29878</v>
      </c>
    </row>
    <row r="151" spans="1:242" s="1" customFormat="1" ht="36.75" customHeight="1" x14ac:dyDescent="0.2">
      <c r="A151" s="239">
        <v>56</v>
      </c>
      <c r="B151" s="239" t="s">
        <v>28219</v>
      </c>
      <c r="C151" s="239" t="s">
        <v>29937</v>
      </c>
      <c r="D151" s="239" t="s">
        <v>21</v>
      </c>
      <c r="E151" s="239" t="s">
        <v>7</v>
      </c>
      <c r="F151" s="239" t="s">
        <v>29938</v>
      </c>
      <c r="G151" s="239">
        <v>1176</v>
      </c>
      <c r="H151" s="239">
        <v>3.1</v>
      </c>
      <c r="I151" s="239" t="s">
        <v>29288</v>
      </c>
      <c r="J151" s="239" t="s">
        <v>4</v>
      </c>
      <c r="K151" s="239" t="s">
        <v>2122</v>
      </c>
      <c r="L151" s="239">
        <v>772534286</v>
      </c>
      <c r="M151" s="239" t="s">
        <v>3</v>
      </c>
      <c r="N151" s="239" t="s">
        <v>31598</v>
      </c>
      <c r="O151" s="239" t="s">
        <v>4</v>
      </c>
      <c r="P151" s="239">
        <v>8</v>
      </c>
      <c r="Q151" s="239" t="s">
        <v>7</v>
      </c>
      <c r="R151" s="239" t="s">
        <v>31588</v>
      </c>
      <c r="S151" s="239" t="s">
        <v>4</v>
      </c>
      <c r="T151" s="239" t="s">
        <v>7</v>
      </c>
      <c r="U151" s="239" t="s">
        <v>7</v>
      </c>
      <c r="V151" s="239"/>
      <c r="W151" s="239" t="s">
        <v>7</v>
      </c>
      <c r="X151" s="239" t="s">
        <v>4</v>
      </c>
      <c r="Y151" s="239" t="s">
        <v>4</v>
      </c>
      <c r="Z151" s="241" t="str">
        <f>IF(OR(T151="yes",Y151&gt;'SDG outcome'!$C$27),"yes","no")</f>
        <v>yes</v>
      </c>
      <c r="AA151" s="243">
        <f t="shared" si="13"/>
        <v>0</v>
      </c>
      <c r="AB151" s="243" t="str">
        <f>IF(AND(Z151="no",AND(Y151&gt;='SDG outcome'!$B$16,Y151&lt;'SDG outcome'!$C$27)),Y151-'SDG outcome'!$B$16,"")</f>
        <v/>
      </c>
      <c r="AC151" s="239" t="s">
        <v>4</v>
      </c>
      <c r="AD151" s="239" t="s">
        <v>4</v>
      </c>
      <c r="AE151" s="239" t="s">
        <v>4</v>
      </c>
      <c r="AF151" s="239" t="s">
        <v>4</v>
      </c>
      <c r="AG151" s="239" t="s">
        <v>4</v>
      </c>
      <c r="AH151" s="239" t="s">
        <v>4</v>
      </c>
      <c r="AI151" s="239" t="s">
        <v>4</v>
      </c>
      <c r="AJ151" s="239" t="s">
        <v>29290</v>
      </c>
      <c r="AK151" s="239" t="s">
        <v>29291</v>
      </c>
      <c r="AL151" s="239" t="s">
        <v>4</v>
      </c>
      <c r="AM151" s="239" t="s">
        <v>4</v>
      </c>
      <c r="AN151" s="239" t="s">
        <v>31536</v>
      </c>
      <c r="AO151" s="239" t="s">
        <v>4</v>
      </c>
      <c r="AP151" s="239" t="s">
        <v>31600</v>
      </c>
      <c r="AQ151" s="239" t="s">
        <v>4</v>
      </c>
      <c r="AR151" s="239" t="s">
        <v>31538</v>
      </c>
      <c r="AS151" s="239" t="s">
        <v>4</v>
      </c>
      <c r="AT151" s="239" t="s">
        <v>2</v>
      </c>
      <c r="AU151" s="239" t="s">
        <v>31581</v>
      </c>
      <c r="AV151" s="239" t="s">
        <v>4</v>
      </c>
      <c r="AW151" s="239" t="s">
        <v>31550</v>
      </c>
      <c r="AX151" s="239" t="s">
        <v>4</v>
      </c>
      <c r="AY151" s="239" t="s">
        <v>4</v>
      </c>
      <c r="AZ151" s="239" t="s">
        <v>7</v>
      </c>
      <c r="BA151" s="239" t="s">
        <v>76</v>
      </c>
      <c r="BB151" s="239" t="s">
        <v>4</v>
      </c>
      <c r="BC151" s="239" t="s">
        <v>4</v>
      </c>
      <c r="BD151" s="239" t="s">
        <v>4</v>
      </c>
      <c r="BE151" s="239" t="s">
        <v>4</v>
      </c>
      <c r="BF151" s="239" t="s">
        <v>4</v>
      </c>
      <c r="BG151" s="239" t="s">
        <v>4</v>
      </c>
      <c r="BH151" s="239" t="s">
        <v>4</v>
      </c>
      <c r="BI151" s="239" t="s">
        <v>4</v>
      </c>
      <c r="BJ151" s="239" t="s">
        <v>4</v>
      </c>
      <c r="BK151" s="239" t="s">
        <v>4</v>
      </c>
      <c r="BL151" s="239" t="s">
        <v>4</v>
      </c>
      <c r="BM151" s="239" t="s">
        <v>7</v>
      </c>
      <c r="BN151" s="239" t="s">
        <v>6</v>
      </c>
      <c r="BO151" s="239" t="s">
        <v>4</v>
      </c>
      <c r="BP151" s="239" t="s">
        <v>31425</v>
      </c>
      <c r="BQ151" s="239">
        <v>1</v>
      </c>
      <c r="BR151" s="239">
        <v>30</v>
      </c>
      <c r="BS151" s="239" t="s">
        <v>31426</v>
      </c>
      <c r="BT151" s="239"/>
      <c r="BU151" s="239">
        <v>4</v>
      </c>
      <c r="BV151" s="239" cm="1">
        <f t="array" ref="BV151">_xlfn.IFS(BS151="Foreword vehicle",BU151*0,BS151="Human wastes",BU151*0,BS151="Jerrycans",BU151*$BV$228,BS151="Number of Basins",BU151*$BV$229,BS151="Number of Buckets",BU151*$CA$226,BS151="Number of Kgs",BU151*$CA$227,BS151="Number of spades",BU151*$CA$228,BS151="Number of wheelbarrows",BU151*$CA$229,BT151="Foreword vehicle",BU151*0,BT151="Human wastes",BU151*0,BT151="Jerrycans",BU151*$BV$228,BS151="","")</f>
        <v>92</v>
      </c>
      <c r="BW151" s="239">
        <f>IF(BV151="","",Table14[[#This Row],[Calculation: Conversion of metric to Kg manure feeding (Columns: BP, BQ, BR)]]*Table14[[#This Row],[Number of times used to feed biodigester]])</f>
        <v>92</v>
      </c>
      <c r="BX151" s="239" cm="1">
        <f t="array" ref="BX151">_xlfn.IFS(BP151="Number of times per day (1 to 3)",BW151/$BX$226,BP151="Number of times per week (1 to 6)",BW151/$BX$227,BP151="Number of times per Month (1 to 3)",BW151/$BX$228,BW151="","")</f>
        <v>92</v>
      </c>
      <c r="BY151" s="239" t="s">
        <v>22</v>
      </c>
      <c r="BZ151" s="239" t="s">
        <v>4</v>
      </c>
      <c r="CA151" s="239" t="s">
        <v>2</v>
      </c>
      <c r="CB151" s="239" t="s">
        <v>4</v>
      </c>
      <c r="CC151" s="239" t="s">
        <v>4</v>
      </c>
      <c r="CD151" s="239" t="s">
        <v>4</v>
      </c>
      <c r="CE151" s="239" t="s">
        <v>7</v>
      </c>
      <c r="CF151" s="239" t="s">
        <v>31820</v>
      </c>
      <c r="CG151" s="239" t="s">
        <v>4</v>
      </c>
      <c r="CH151" s="239" t="s">
        <v>31559</v>
      </c>
      <c r="CI151" s="239">
        <v>4</v>
      </c>
      <c r="CJ151" s="239">
        <v>0</v>
      </c>
      <c r="CK151" s="239">
        <v>10</v>
      </c>
      <c r="CL151" s="239">
        <v>0</v>
      </c>
      <c r="CM151" s="239">
        <v>0</v>
      </c>
      <c r="CN151" s="239">
        <v>12</v>
      </c>
      <c r="CO151" s="239">
        <v>40</v>
      </c>
      <c r="CP151" s="239">
        <v>90</v>
      </c>
      <c r="CQ151" s="239">
        <v>3</v>
      </c>
      <c r="CR151" s="239">
        <v>10</v>
      </c>
      <c r="CS151" s="239">
        <f>CP151/'SDG outcome'!$C$9*CQ151*CR151</f>
        <v>7.7809798270893369</v>
      </c>
      <c r="CT151" s="239">
        <v>100</v>
      </c>
      <c r="CU151" s="239">
        <v>0</v>
      </c>
      <c r="CV151" s="239" t="s">
        <v>4</v>
      </c>
      <c r="CW151" s="239" t="s">
        <v>4</v>
      </c>
      <c r="CX151" s="239" t="s">
        <v>4</v>
      </c>
      <c r="CY151" s="239" t="s">
        <v>4</v>
      </c>
      <c r="CZ151" s="239" t="s">
        <v>4</v>
      </c>
      <c r="DA151" s="239" t="s">
        <v>4</v>
      </c>
      <c r="DB151" s="239" t="s">
        <v>4</v>
      </c>
      <c r="DC151" s="239">
        <v>100</v>
      </c>
      <c r="DD151" s="239">
        <v>0</v>
      </c>
      <c r="DE151" s="239" t="s">
        <v>4</v>
      </c>
      <c r="DF151" s="239">
        <v>0</v>
      </c>
      <c r="DG151" s="239">
        <v>100</v>
      </c>
      <c r="DH151" s="239" t="s">
        <v>31821</v>
      </c>
      <c r="DI151" s="239" t="s">
        <v>4</v>
      </c>
      <c r="DJ151" s="239" t="s">
        <v>4</v>
      </c>
      <c r="DK151" s="239" t="s">
        <v>4</v>
      </c>
      <c r="DL151" s="239" t="s">
        <v>4</v>
      </c>
      <c r="DM151" s="239" t="s">
        <v>4</v>
      </c>
      <c r="DN151" s="239" t="s">
        <v>4</v>
      </c>
      <c r="DO151" s="239">
        <v>4</v>
      </c>
      <c r="DP151" s="239" t="s">
        <v>2</v>
      </c>
      <c r="DQ151" s="239" t="s">
        <v>29292</v>
      </c>
      <c r="DR151" s="239" t="s">
        <v>4</v>
      </c>
      <c r="DS151" s="239" t="s">
        <v>29293</v>
      </c>
      <c r="DT151" s="240">
        <v>30000</v>
      </c>
      <c r="DU151" s="239" t="s">
        <v>29294</v>
      </c>
      <c r="DV151" s="240" t="s">
        <v>4</v>
      </c>
      <c r="DW151" s="239" t="s">
        <v>29508</v>
      </c>
      <c r="DX151" s="239"/>
      <c r="DY151" s="239"/>
      <c r="DZ151" s="239"/>
      <c r="EA151" s="239"/>
      <c r="EB151" s="239"/>
      <c r="EC151" s="239"/>
      <c r="ED151" s="239"/>
      <c r="EE151" s="320">
        <f>Table14[[#This Row],[% Fertilizer]]*$DX151/10000</f>
        <v>0</v>
      </c>
      <c r="EF151" s="320">
        <f>Table14[[#This Row],[% bioslurry used as Insecticide/Pesticide]]*$DX151/10000</f>
        <v>0</v>
      </c>
      <c r="EG151" s="320">
        <f>Table14[[#This Row],[% of Bioslurry used as animal feed]]*$DX151/10000</f>
        <v>0</v>
      </c>
      <c r="EH151" s="320">
        <f>Table14[[#This Row],[% of Bioslurry sold]]*$DX151/10000</f>
        <v>0</v>
      </c>
      <c r="EI151" s="320">
        <f>Table14[[#This Row],[% used other way(if used directly)]]*$DX151/10000</f>
        <v>0</v>
      </c>
      <c r="EJ151" s="239">
        <v>100</v>
      </c>
      <c r="EK151" s="239" t="s">
        <v>29719</v>
      </c>
      <c r="EL151" s="239"/>
      <c r="EM151" s="239"/>
      <c r="EN151" s="239"/>
      <c r="EO151" s="239">
        <f>(Table14[[#This Row],[% Uncovered lagoon greater than 1 meter]]+Table14[[#This Row],[Uncovered lagoon (black watery mass) &lt;1 meter]]+Table14[[#This Row],[% Liquid slurry (brown porridge type)]])*Table14[[#This Row],[% Store it first]]/100</f>
        <v>0</v>
      </c>
      <c r="EP151" s="239"/>
      <c r="EQ151" s="239">
        <v>100</v>
      </c>
      <c r="ER151" s="239"/>
      <c r="ES151" s="239"/>
      <c r="ET151" s="239">
        <f>(Table14[[#This Row],[% Solid storage]]+Table14[[#This Row],[% Sun drying]]+Table14[[#This Row],[% Composting with a roof]]+Table14[[#This Row],[% Composting without a roof]])*Table14[[#This Row],[% Store it first]]/100</f>
        <v>100</v>
      </c>
      <c r="EU151" s="239">
        <v>7</v>
      </c>
      <c r="EV151" s="320">
        <f t="shared" si="15"/>
        <v>1</v>
      </c>
      <c r="EW151" s="320">
        <f t="shared" si="16"/>
        <v>0</v>
      </c>
      <c r="EX151" s="320">
        <f t="shared" si="17"/>
        <v>0</v>
      </c>
      <c r="EY151" s="320">
        <f t="shared" si="18"/>
        <v>0</v>
      </c>
      <c r="EZ151" s="320">
        <f t="shared" si="19"/>
        <v>0</v>
      </c>
      <c r="FA151" s="239"/>
      <c r="FB151" s="239"/>
      <c r="FC151" s="239"/>
      <c r="FD151" s="239">
        <f>Table14[[#This Row],[% I donâ€™t use it / discarded]]+Table14[[#This Row],[% Other (specify)(If you use bioslurry directly)]]+Table14[[#This Row],[% Store it first]]+Table14[[#This Row],[% Use directly for various purposes]]</f>
        <v>100</v>
      </c>
      <c r="FE151" s="239" t="s">
        <v>29296</v>
      </c>
      <c r="FF151" s="239">
        <v>100</v>
      </c>
      <c r="FG151" s="239"/>
      <c r="FH151" s="239"/>
      <c r="FI151" s="239"/>
      <c r="FJ151" s="239"/>
      <c r="FK151" s="239">
        <v>2.5</v>
      </c>
      <c r="FL151" s="239" t="s">
        <v>7</v>
      </c>
      <c r="FM151" s="239">
        <v>80</v>
      </c>
      <c r="FN151" s="239">
        <f t="shared" si="14"/>
        <v>2</v>
      </c>
      <c r="FO151" s="239" t="s">
        <v>29939</v>
      </c>
      <c r="FP151" s="239" t="s">
        <v>29298</v>
      </c>
      <c r="FQ151" s="239">
        <v>120</v>
      </c>
      <c r="FR151" s="239" t="s">
        <v>7</v>
      </c>
      <c r="FS151" s="239" t="s">
        <v>29393</v>
      </c>
      <c r="FT151" s="239" t="s">
        <v>4</v>
      </c>
      <c r="FU151" s="239" t="s">
        <v>2</v>
      </c>
      <c r="FV151" s="239" t="s">
        <v>4</v>
      </c>
      <c r="FW151" s="239" t="s">
        <v>4</v>
      </c>
      <c r="FX151" s="239" t="s">
        <v>4</v>
      </c>
      <c r="FY151" s="239" t="s">
        <v>4</v>
      </c>
      <c r="FZ151" s="239" t="s">
        <v>4</v>
      </c>
      <c r="GA151" s="239" t="s">
        <v>4</v>
      </c>
      <c r="GB151" s="240" t="s">
        <v>4</v>
      </c>
      <c r="GC151" s="239" t="s">
        <v>4</v>
      </c>
      <c r="GD151" s="239" t="s">
        <v>2</v>
      </c>
      <c r="GE151" s="239" t="s">
        <v>4</v>
      </c>
      <c r="GF151" s="239" t="s">
        <v>4</v>
      </c>
      <c r="GG151" s="239" t="s">
        <v>7</v>
      </c>
      <c r="GH151" s="239" t="s">
        <v>2</v>
      </c>
      <c r="GI151" s="239" t="s">
        <v>4</v>
      </c>
      <c r="GJ151" s="239" t="s">
        <v>4</v>
      </c>
      <c r="GK151" s="239" t="s">
        <v>29304</v>
      </c>
      <c r="GL151" s="239">
        <v>1</v>
      </c>
      <c r="GM151" s="239" t="s">
        <v>29940</v>
      </c>
      <c r="GN151" s="239" t="s">
        <v>4</v>
      </c>
      <c r="GO151" s="239" t="s">
        <v>29941</v>
      </c>
      <c r="GP151" s="239" t="s">
        <v>4</v>
      </c>
      <c r="GQ151" s="239" t="s">
        <v>4</v>
      </c>
      <c r="GR151" s="239" t="s">
        <v>4</v>
      </c>
      <c r="GS151" s="239" t="s">
        <v>4</v>
      </c>
      <c r="GT151" s="239" t="s">
        <v>4</v>
      </c>
      <c r="GU151" s="239" t="s">
        <v>4</v>
      </c>
      <c r="GV151" s="239" t="s">
        <v>4</v>
      </c>
      <c r="GW151" s="239" t="s">
        <v>4</v>
      </c>
      <c r="GX151" s="239" t="s">
        <v>4</v>
      </c>
      <c r="GY151" s="239" t="s">
        <v>4</v>
      </c>
      <c r="GZ151" s="239" t="s">
        <v>4</v>
      </c>
      <c r="HA151" s="239" t="s">
        <v>4</v>
      </c>
      <c r="HB151" s="239" t="s">
        <v>4</v>
      </c>
      <c r="HC151" s="239" t="s">
        <v>4</v>
      </c>
      <c r="HD151" s="239" t="s">
        <v>4</v>
      </c>
      <c r="HE151" s="239" t="s">
        <v>4</v>
      </c>
      <c r="HF151" s="239" t="s">
        <v>4</v>
      </c>
      <c r="HG151" s="239" t="s">
        <v>4</v>
      </c>
      <c r="HH151" s="239" t="s">
        <v>29354</v>
      </c>
      <c r="HI151" s="239" t="s">
        <v>4</v>
      </c>
      <c r="HJ151" s="240">
        <v>0</v>
      </c>
      <c r="HK151" s="239" t="s">
        <v>2</v>
      </c>
      <c r="HL151" s="239" t="s">
        <v>29309</v>
      </c>
      <c r="HM151" s="239" t="s">
        <v>4</v>
      </c>
      <c r="HN151" s="239" t="s">
        <v>4</v>
      </c>
      <c r="HO151" s="239" t="s">
        <v>4</v>
      </c>
      <c r="HP151" s="239" t="s">
        <v>4</v>
      </c>
      <c r="HQ151" s="239" t="s">
        <v>4</v>
      </c>
      <c r="HR151" s="239" t="s">
        <v>4</v>
      </c>
      <c r="HS151" s="239" t="s">
        <v>4</v>
      </c>
      <c r="HT151" s="239" t="s">
        <v>4</v>
      </c>
      <c r="HU151" s="239" t="s">
        <v>2</v>
      </c>
      <c r="HV151" s="239" t="s">
        <v>4</v>
      </c>
      <c r="HW151" s="239" t="s">
        <v>4</v>
      </c>
      <c r="HX151" s="239" t="s">
        <v>4</v>
      </c>
      <c r="HY151" s="239" t="s">
        <v>4</v>
      </c>
      <c r="HZ151" s="239" t="s">
        <v>16</v>
      </c>
      <c r="IA151" s="239" t="s">
        <v>7</v>
      </c>
      <c r="IB151" s="239" t="s">
        <v>29942</v>
      </c>
      <c r="IC151" s="239" t="s">
        <v>29943</v>
      </c>
      <c r="ID151" s="239" t="s">
        <v>29944</v>
      </c>
      <c r="IE151" s="239" t="s">
        <v>29945</v>
      </c>
      <c r="IF151" s="239" t="s">
        <v>29946</v>
      </c>
      <c r="IG151" s="239" t="s">
        <v>29947</v>
      </c>
      <c r="IH151" s="239" t="s">
        <v>29948</v>
      </c>
    </row>
    <row r="152" spans="1:242" s="1" customFormat="1" ht="36.75" customHeight="1" x14ac:dyDescent="0.2">
      <c r="A152" s="239">
        <v>58</v>
      </c>
      <c r="B152" s="239" t="s">
        <v>6638</v>
      </c>
      <c r="C152" s="239" t="s">
        <v>29620</v>
      </c>
      <c r="D152" s="239" t="s">
        <v>21</v>
      </c>
      <c r="E152" s="239" t="s">
        <v>7</v>
      </c>
      <c r="F152" s="239" t="s">
        <v>29961</v>
      </c>
      <c r="G152" s="239">
        <v>1157.9000000000001</v>
      </c>
      <c r="H152" s="239">
        <v>4</v>
      </c>
      <c r="I152" s="239" t="s">
        <v>29319</v>
      </c>
      <c r="J152" s="239" t="s">
        <v>4</v>
      </c>
      <c r="K152" s="239" t="s">
        <v>6639</v>
      </c>
      <c r="L152" s="239">
        <v>772533180</v>
      </c>
      <c r="M152" s="239" t="s">
        <v>5</v>
      </c>
      <c r="N152" s="239" t="s">
        <v>31598</v>
      </c>
      <c r="O152" s="239" t="s">
        <v>4</v>
      </c>
      <c r="P152" s="239">
        <v>6</v>
      </c>
      <c r="Q152" s="239" t="s">
        <v>7</v>
      </c>
      <c r="R152" s="239" t="s">
        <v>31588</v>
      </c>
      <c r="S152" s="239" t="s">
        <v>4</v>
      </c>
      <c r="T152" s="239" t="s">
        <v>7</v>
      </c>
      <c r="U152" s="239" t="s">
        <v>2</v>
      </c>
      <c r="V152" s="239">
        <v>7</v>
      </c>
      <c r="W152" s="239" t="s">
        <v>7</v>
      </c>
      <c r="X152" s="239" t="s">
        <v>4</v>
      </c>
      <c r="Y152" s="239" t="s">
        <v>4</v>
      </c>
      <c r="Z152" s="241" t="str">
        <f>IF(OR(T152="yes",Y152&gt;'SDG outcome'!$C$27),"yes","no")</f>
        <v>yes</v>
      </c>
      <c r="AA152" s="243">
        <f t="shared" si="13"/>
        <v>7</v>
      </c>
      <c r="AB152" s="243" t="str">
        <f>IF(AND(Z152="no",AND(Y152&gt;='SDG outcome'!$B$16,Y152&lt;'SDG outcome'!$C$27)),Y152-'SDG outcome'!$B$16,"")</f>
        <v/>
      </c>
      <c r="AC152" s="239" t="s">
        <v>4</v>
      </c>
      <c r="AD152" s="239" t="s">
        <v>4</v>
      </c>
      <c r="AE152" s="239" t="s">
        <v>4</v>
      </c>
      <c r="AF152" s="239" t="s">
        <v>4</v>
      </c>
      <c r="AG152" s="239" t="s">
        <v>4</v>
      </c>
      <c r="AH152" s="239" t="s">
        <v>4</v>
      </c>
      <c r="AI152" s="239" t="s">
        <v>4</v>
      </c>
      <c r="AJ152" s="239" t="s">
        <v>29290</v>
      </c>
      <c r="AK152" s="239" t="s">
        <v>29694</v>
      </c>
      <c r="AL152" s="239" t="s">
        <v>4</v>
      </c>
      <c r="AM152" s="239" t="s">
        <v>4</v>
      </c>
      <c r="AN152" s="239" t="s">
        <v>31536</v>
      </c>
      <c r="AO152" s="239" t="s">
        <v>4</v>
      </c>
      <c r="AP152" s="239" t="s">
        <v>31537</v>
      </c>
      <c r="AQ152" s="239" t="s">
        <v>4</v>
      </c>
      <c r="AR152" s="239" t="s">
        <v>31538</v>
      </c>
      <c r="AS152" s="239" t="s">
        <v>4</v>
      </c>
      <c r="AT152" s="239" t="s">
        <v>2</v>
      </c>
      <c r="AU152" s="239" t="s">
        <v>31581</v>
      </c>
      <c r="AV152" s="239" t="s">
        <v>4</v>
      </c>
      <c r="AW152" s="239" t="s">
        <v>31539</v>
      </c>
      <c r="AX152" s="239" t="s">
        <v>4</v>
      </c>
      <c r="AY152" s="239" t="s">
        <v>4</v>
      </c>
      <c r="AZ152" s="239" t="s">
        <v>2</v>
      </c>
      <c r="BA152" s="239" t="s">
        <v>4</v>
      </c>
      <c r="BB152" s="239" t="s">
        <v>4</v>
      </c>
      <c r="BC152" s="239" t="s">
        <v>31563</v>
      </c>
      <c r="BD152" s="239" t="s">
        <v>22</v>
      </c>
      <c r="BE152" s="239" t="s">
        <v>4</v>
      </c>
      <c r="BF152" s="239" t="s">
        <v>31564</v>
      </c>
      <c r="BG152" s="239" t="s">
        <v>4</v>
      </c>
      <c r="BH152" s="239" t="s">
        <v>31542</v>
      </c>
      <c r="BI152" s="239" t="s">
        <v>31793</v>
      </c>
      <c r="BJ152" s="239" t="s">
        <v>31566</v>
      </c>
      <c r="BK152" s="239">
        <v>1</v>
      </c>
      <c r="BL152" s="239">
        <v>30</v>
      </c>
      <c r="BM152" s="239" t="s">
        <v>7</v>
      </c>
      <c r="BN152" s="239" t="s">
        <v>6</v>
      </c>
      <c r="BO152" s="239" t="s">
        <v>4</v>
      </c>
      <c r="BP152" s="239" t="s">
        <v>31429</v>
      </c>
      <c r="BQ152" s="239">
        <v>2</v>
      </c>
      <c r="BR152" s="239">
        <v>30</v>
      </c>
      <c r="BS152" s="239" t="s">
        <v>31435</v>
      </c>
      <c r="BT152" s="239"/>
      <c r="BU152" s="239">
        <v>2</v>
      </c>
      <c r="BV152" s="239" cm="1">
        <f t="array" ref="BV152">_xlfn.IFS(BS152="Foreword vehicle",BU152*0,BS152="Human wastes",BU152*0,BS152="Jerrycans",BU152*$BV$228,BS152="Number of Basins",BU152*$BV$229,BS152="Number of Buckets",BU152*$CA$226,BS152="Number of Kgs",BU152*$CA$227,BS152="Number of spades",BU152*$CA$228,BS152="Number of wheelbarrows",BU152*$CA$229,BT152="Foreword vehicle",BU152*0,BT152="Human wastes",BU152*0,BT152="Jerrycans",BU152*$BV$228,BS152="","")</f>
        <v>141</v>
      </c>
      <c r="BW152" s="239">
        <f>IF(BV152="","",Table14[[#This Row],[Calculation: Conversion of metric to Kg manure feeding (Columns: BP, BQ, BR)]]*Table14[[#This Row],[Number of times used to feed biodigester]])</f>
        <v>282</v>
      </c>
      <c r="BX152" s="239" cm="1">
        <f t="array" ref="BX152">_xlfn.IFS(BP152="Number of times per day (1 to 3)",BW152/$BX$226,BP152="Number of times per week (1 to 6)",BW152/$BX$227,BP152="Number of times per Month (1 to 3)",BW152/$BX$228,BW152="","")</f>
        <v>40.285714285714285</v>
      </c>
      <c r="BY152" s="239" t="s">
        <v>22</v>
      </c>
      <c r="BZ152" s="239" t="s">
        <v>4</v>
      </c>
      <c r="CA152" s="239" t="s">
        <v>2</v>
      </c>
      <c r="CB152" s="239" t="s">
        <v>4</v>
      </c>
      <c r="CC152" s="239" t="s">
        <v>4</v>
      </c>
      <c r="CD152" s="239" t="s">
        <v>4</v>
      </c>
      <c r="CE152" s="239" t="s">
        <v>7</v>
      </c>
      <c r="CF152" s="239" t="s">
        <v>31794</v>
      </c>
      <c r="CG152" s="239" t="s">
        <v>4</v>
      </c>
      <c r="CH152" s="239" t="s">
        <v>31795</v>
      </c>
      <c r="CI152" s="239">
        <v>4</v>
      </c>
      <c r="CJ152" s="239">
        <v>0</v>
      </c>
      <c r="CK152" s="239">
        <v>4</v>
      </c>
      <c r="CL152" s="239">
        <v>2</v>
      </c>
      <c r="CM152" s="239">
        <v>6</v>
      </c>
      <c r="CN152" s="239">
        <v>0</v>
      </c>
      <c r="CO152" s="239">
        <v>6</v>
      </c>
      <c r="CP152" s="239">
        <v>90</v>
      </c>
      <c r="CQ152" s="239">
        <v>3</v>
      </c>
      <c r="CR152" s="239">
        <v>7</v>
      </c>
      <c r="CS152" s="239">
        <f>CP152/'SDG outcome'!$C$9*CQ152*CR152</f>
        <v>5.4466858789625361</v>
      </c>
      <c r="CT152" s="239">
        <v>100</v>
      </c>
      <c r="CU152" s="239">
        <v>0</v>
      </c>
      <c r="CV152" s="239" t="s">
        <v>4</v>
      </c>
      <c r="CW152" s="239" t="s">
        <v>4</v>
      </c>
      <c r="CX152" s="239" t="s">
        <v>4</v>
      </c>
      <c r="CY152" s="239" t="s">
        <v>4</v>
      </c>
      <c r="CZ152" s="239" t="s">
        <v>4</v>
      </c>
      <c r="DA152" s="239" t="s">
        <v>4</v>
      </c>
      <c r="DB152" s="239" t="s">
        <v>4</v>
      </c>
      <c r="DC152" s="239">
        <v>0</v>
      </c>
      <c r="DD152" s="239">
        <v>100</v>
      </c>
      <c r="DE152" s="239" t="s">
        <v>31796</v>
      </c>
      <c r="DF152" s="239" t="s">
        <v>4</v>
      </c>
      <c r="DG152" s="239" t="s">
        <v>4</v>
      </c>
      <c r="DH152" s="239" t="s">
        <v>4</v>
      </c>
      <c r="DI152" s="239">
        <v>0</v>
      </c>
      <c r="DJ152" s="239">
        <v>100</v>
      </c>
      <c r="DK152" s="239" t="s">
        <v>31797</v>
      </c>
      <c r="DL152" s="239">
        <v>0</v>
      </c>
      <c r="DM152" s="239">
        <v>100</v>
      </c>
      <c r="DN152" s="239" t="s">
        <v>31797</v>
      </c>
      <c r="DO152" s="239">
        <v>1.5</v>
      </c>
      <c r="DP152" s="239" t="s">
        <v>2</v>
      </c>
      <c r="DQ152" s="239" t="s">
        <v>29292</v>
      </c>
      <c r="DR152" s="239" t="s">
        <v>4</v>
      </c>
      <c r="DS152" s="239" t="s">
        <v>29294</v>
      </c>
      <c r="DT152" s="240" t="s">
        <v>4</v>
      </c>
      <c r="DU152" s="239" t="s">
        <v>29293</v>
      </c>
      <c r="DV152" s="240">
        <v>500000</v>
      </c>
      <c r="DW152" s="239" t="s">
        <v>29442</v>
      </c>
      <c r="DX152" s="239">
        <v>40</v>
      </c>
      <c r="DY152" s="239" t="s">
        <v>29296</v>
      </c>
      <c r="DZ152" s="239">
        <v>100</v>
      </c>
      <c r="EA152" s="239"/>
      <c r="EB152" s="239"/>
      <c r="EC152" s="239"/>
      <c r="ED152" s="239"/>
      <c r="EE152" s="320">
        <f>Table14[[#This Row],[% Fertilizer]]*$DX152/10000</f>
        <v>0.4</v>
      </c>
      <c r="EF152" s="320">
        <f>Table14[[#This Row],[% bioslurry used as Insecticide/Pesticide]]*$DX152/10000</f>
        <v>0</v>
      </c>
      <c r="EG152" s="320">
        <f>Table14[[#This Row],[% of Bioslurry used as animal feed]]*$DX152/10000</f>
        <v>0</v>
      </c>
      <c r="EH152" s="320">
        <f>Table14[[#This Row],[% of Bioslurry sold]]*$DX152/10000</f>
        <v>0</v>
      </c>
      <c r="EI152" s="320">
        <f>Table14[[#This Row],[% used other way(if used directly)]]*$DX152/10000</f>
        <v>0</v>
      </c>
      <c r="EJ152" s="239">
        <v>60</v>
      </c>
      <c r="EK152" s="239" t="s">
        <v>26</v>
      </c>
      <c r="EL152" s="239"/>
      <c r="EM152" s="239"/>
      <c r="EN152" s="239"/>
      <c r="EO152" s="239">
        <f>(Table14[[#This Row],[% Uncovered lagoon greater than 1 meter]]+Table14[[#This Row],[Uncovered lagoon (black watery mass) &lt;1 meter]]+Table14[[#This Row],[% Liquid slurry (brown porridge type)]])*Table14[[#This Row],[% Store it first]]/100</f>
        <v>0</v>
      </c>
      <c r="EP152" s="239">
        <v>100</v>
      </c>
      <c r="EQ152" s="239"/>
      <c r="ER152" s="239"/>
      <c r="ES152" s="239"/>
      <c r="ET152" s="239">
        <f>(Table14[[#This Row],[% Solid storage]]+Table14[[#This Row],[% Sun drying]]+Table14[[#This Row],[% Composting with a roof]]+Table14[[#This Row],[% Composting without a roof]])*Table14[[#This Row],[% Store it first]]/100</f>
        <v>60</v>
      </c>
      <c r="EU152" s="239">
        <v>7</v>
      </c>
      <c r="EV152" s="320">
        <f t="shared" si="15"/>
        <v>0.6</v>
      </c>
      <c r="EW152" s="320">
        <f t="shared" si="16"/>
        <v>0</v>
      </c>
      <c r="EX152" s="320">
        <f t="shared" si="17"/>
        <v>0</v>
      </c>
      <c r="EY152" s="320">
        <f t="shared" si="18"/>
        <v>0</v>
      </c>
      <c r="EZ152" s="320">
        <f t="shared" si="19"/>
        <v>0</v>
      </c>
      <c r="FA152" s="239"/>
      <c r="FB152" s="239"/>
      <c r="FC152" s="239"/>
      <c r="FD152" s="239">
        <f>Table14[[#This Row],[% I donâ€™t use it / discarded]]+Table14[[#This Row],[% Other (specify)(If you use bioslurry directly)]]+Table14[[#This Row],[% Store it first]]+Table14[[#This Row],[% Use directly for various purposes]]</f>
        <v>100</v>
      </c>
      <c r="FE152" s="239" t="s">
        <v>29296</v>
      </c>
      <c r="FF152" s="239">
        <v>100</v>
      </c>
      <c r="FG152" s="239"/>
      <c r="FH152" s="239"/>
      <c r="FI152" s="239"/>
      <c r="FJ152" s="239"/>
      <c r="FK152" s="239">
        <v>4</v>
      </c>
      <c r="FL152" s="239" t="s">
        <v>7</v>
      </c>
      <c r="FM152" s="239">
        <v>2</v>
      </c>
      <c r="FN152" s="239">
        <f t="shared" si="14"/>
        <v>0.08</v>
      </c>
      <c r="FO152" s="239" t="s">
        <v>29962</v>
      </c>
      <c r="FP152" s="239" t="s">
        <v>29298</v>
      </c>
      <c r="FQ152" s="239">
        <v>72</v>
      </c>
      <c r="FR152" s="239" t="s">
        <v>7</v>
      </c>
      <c r="FS152" s="239" t="s">
        <v>29393</v>
      </c>
      <c r="FT152" s="239" t="s">
        <v>4</v>
      </c>
      <c r="FU152" s="239" t="s">
        <v>2</v>
      </c>
      <c r="FV152" s="239" t="s">
        <v>4</v>
      </c>
      <c r="FW152" s="239" t="s">
        <v>4</v>
      </c>
      <c r="FX152" s="239" t="s">
        <v>4</v>
      </c>
      <c r="FY152" s="239" t="s">
        <v>4</v>
      </c>
      <c r="FZ152" s="239" t="s">
        <v>4</v>
      </c>
      <c r="GA152" s="239" t="s">
        <v>4</v>
      </c>
      <c r="GB152" s="240" t="s">
        <v>4</v>
      </c>
      <c r="GC152" s="239" t="s">
        <v>4</v>
      </c>
      <c r="GD152" s="239" t="s">
        <v>2</v>
      </c>
      <c r="GE152" s="239" t="s">
        <v>4</v>
      </c>
      <c r="GF152" s="239" t="s">
        <v>4</v>
      </c>
      <c r="GG152" s="239" t="s">
        <v>7</v>
      </c>
      <c r="GH152" s="239" t="s">
        <v>2</v>
      </c>
      <c r="GI152" s="239" t="s">
        <v>4</v>
      </c>
      <c r="GJ152" s="239" t="s">
        <v>4</v>
      </c>
      <c r="GK152" s="239" t="s">
        <v>4</v>
      </c>
      <c r="GL152" s="239">
        <v>0</v>
      </c>
      <c r="GM152" s="239"/>
      <c r="GN152" s="239" t="s">
        <v>4</v>
      </c>
      <c r="GO152" s="239" t="s">
        <v>4</v>
      </c>
      <c r="GP152" s="239" t="s">
        <v>4</v>
      </c>
      <c r="GQ152" s="239" t="s">
        <v>4</v>
      </c>
      <c r="GR152" s="239" t="s">
        <v>4</v>
      </c>
      <c r="GS152" s="239" t="s">
        <v>4</v>
      </c>
      <c r="GT152" s="239" t="s">
        <v>4</v>
      </c>
      <c r="GU152" s="239" t="s">
        <v>4</v>
      </c>
      <c r="GV152" s="239" t="s">
        <v>4</v>
      </c>
      <c r="GW152" s="239" t="s">
        <v>29304</v>
      </c>
      <c r="GX152" s="239" t="s">
        <v>29305</v>
      </c>
      <c r="GY152" s="239" t="s">
        <v>29306</v>
      </c>
      <c r="GZ152" s="239" t="s">
        <v>4</v>
      </c>
      <c r="HA152" s="239" t="s">
        <v>4</v>
      </c>
      <c r="HB152" s="239" t="s">
        <v>4</v>
      </c>
      <c r="HC152" s="239" t="s">
        <v>4</v>
      </c>
      <c r="HD152" s="239" t="s">
        <v>4</v>
      </c>
      <c r="HE152" s="239" t="s">
        <v>4</v>
      </c>
      <c r="HF152" s="239" t="s">
        <v>4</v>
      </c>
      <c r="HG152" s="239" t="s">
        <v>4</v>
      </c>
      <c r="HH152" s="239" t="s">
        <v>29354</v>
      </c>
      <c r="HI152" s="239" t="s">
        <v>4</v>
      </c>
      <c r="HJ152" s="240">
        <v>0</v>
      </c>
      <c r="HK152" s="239" t="s">
        <v>2</v>
      </c>
      <c r="HL152" s="239" t="s">
        <v>29309</v>
      </c>
      <c r="HM152" s="239" t="s">
        <v>4</v>
      </c>
      <c r="HN152" s="239" t="s">
        <v>4</v>
      </c>
      <c r="HO152" s="239" t="s">
        <v>4</v>
      </c>
      <c r="HP152" s="239" t="s">
        <v>4</v>
      </c>
      <c r="HQ152" s="239" t="s">
        <v>4</v>
      </c>
      <c r="HR152" s="239" t="s">
        <v>4</v>
      </c>
      <c r="HS152" s="239" t="s">
        <v>4</v>
      </c>
      <c r="HT152" s="239" t="s">
        <v>4</v>
      </c>
      <c r="HU152" s="239" t="s">
        <v>2</v>
      </c>
      <c r="HV152" s="239" t="s">
        <v>4</v>
      </c>
      <c r="HW152" s="239" t="s">
        <v>4</v>
      </c>
      <c r="HX152" s="239" t="s">
        <v>4</v>
      </c>
      <c r="HY152" s="239" t="s">
        <v>4</v>
      </c>
      <c r="HZ152" s="239" t="s">
        <v>16</v>
      </c>
      <c r="IA152" s="239" t="s">
        <v>2</v>
      </c>
      <c r="IB152" s="239" t="s">
        <v>4</v>
      </c>
      <c r="IC152" s="239" t="s">
        <v>29963</v>
      </c>
      <c r="ID152" s="239" t="s">
        <v>29964</v>
      </c>
      <c r="IE152" s="239" t="s">
        <v>29965</v>
      </c>
      <c r="IF152" s="239" t="s">
        <v>29966</v>
      </c>
      <c r="IG152" s="239" t="s">
        <v>29967</v>
      </c>
      <c r="IH152" s="239" t="s">
        <v>29610</v>
      </c>
    </row>
    <row r="153" spans="1:242" s="1" customFormat="1" ht="36.75" customHeight="1" x14ac:dyDescent="0.2">
      <c r="A153" s="239">
        <v>70</v>
      </c>
      <c r="B153" s="239" t="s">
        <v>7766</v>
      </c>
      <c r="C153" s="239" t="s">
        <v>30089</v>
      </c>
      <c r="D153" s="239" t="s">
        <v>30002</v>
      </c>
      <c r="E153" s="239" t="s">
        <v>7</v>
      </c>
      <c r="F153" s="239" t="s">
        <v>30090</v>
      </c>
      <c r="G153" s="239">
        <v>1167.3</v>
      </c>
      <c r="H153" s="239">
        <v>4.7</v>
      </c>
      <c r="I153" s="239" t="s">
        <v>29288</v>
      </c>
      <c r="J153" s="239" t="s">
        <v>4</v>
      </c>
      <c r="K153" s="239" t="s">
        <v>30091</v>
      </c>
      <c r="L153" s="239">
        <v>708525682</v>
      </c>
      <c r="M153" s="239" t="s">
        <v>3</v>
      </c>
      <c r="N153" s="239" t="s">
        <v>31438</v>
      </c>
      <c r="O153" s="239">
        <v>56</v>
      </c>
      <c r="P153" s="239">
        <v>10</v>
      </c>
      <c r="Q153" s="239" t="s">
        <v>7</v>
      </c>
      <c r="R153" s="239" t="s">
        <v>31549</v>
      </c>
      <c r="S153" s="239" t="s">
        <v>4</v>
      </c>
      <c r="T153" s="239" t="s">
        <v>7</v>
      </c>
      <c r="U153" s="239" t="s">
        <v>7</v>
      </c>
      <c r="V153" s="239"/>
      <c r="W153" s="239" t="s">
        <v>7</v>
      </c>
      <c r="X153" s="239" t="s">
        <v>4</v>
      </c>
      <c r="Y153" s="239" t="s">
        <v>4</v>
      </c>
      <c r="Z153" s="241" t="str">
        <f>IF(OR(T153="yes",Y153&gt;'SDG outcome'!$C$27),"yes","no")</f>
        <v>yes</v>
      </c>
      <c r="AA153" s="243">
        <f t="shared" si="13"/>
        <v>0</v>
      </c>
      <c r="AB153" s="243" t="str">
        <f>IF(AND(Z153="no",AND(Y153&gt;='SDG outcome'!$B$16,Y153&lt;'SDG outcome'!$C$27)),Y153-'SDG outcome'!$B$16,"")</f>
        <v/>
      </c>
      <c r="AC153" s="239" t="s">
        <v>4</v>
      </c>
      <c r="AD153" s="239" t="s">
        <v>4</v>
      </c>
      <c r="AE153" s="239" t="s">
        <v>4</v>
      </c>
      <c r="AF153" s="239" t="s">
        <v>4</v>
      </c>
      <c r="AG153" s="239" t="s">
        <v>4</v>
      </c>
      <c r="AH153" s="239" t="s">
        <v>4</v>
      </c>
      <c r="AI153" s="239" t="s">
        <v>4</v>
      </c>
      <c r="AJ153" s="239" t="s">
        <v>29290</v>
      </c>
      <c r="AK153" s="239" t="s">
        <v>29291</v>
      </c>
      <c r="AL153" s="239" t="s">
        <v>4</v>
      </c>
      <c r="AM153" s="239" t="s">
        <v>4</v>
      </c>
      <c r="AN153" s="239" t="s">
        <v>31536</v>
      </c>
      <c r="AO153" s="239" t="s">
        <v>4</v>
      </c>
      <c r="AP153" s="239" t="s">
        <v>31600</v>
      </c>
      <c r="AQ153" s="239" t="s">
        <v>4</v>
      </c>
      <c r="AR153" s="239" t="s">
        <v>31538</v>
      </c>
      <c r="AS153" s="239" t="s">
        <v>4</v>
      </c>
      <c r="AT153" s="239" t="s">
        <v>7</v>
      </c>
      <c r="AU153" s="239" t="s">
        <v>4</v>
      </c>
      <c r="AV153" s="239" t="s">
        <v>4</v>
      </c>
      <c r="AW153" s="239" t="s">
        <v>31539</v>
      </c>
      <c r="AX153" s="239" t="s">
        <v>4</v>
      </c>
      <c r="AY153" s="239" t="s">
        <v>4</v>
      </c>
      <c r="AZ153" s="239" t="s">
        <v>7</v>
      </c>
      <c r="BA153" s="239" t="s">
        <v>11</v>
      </c>
      <c r="BB153" s="239" t="s">
        <v>4</v>
      </c>
      <c r="BC153" s="239" t="s">
        <v>31563</v>
      </c>
      <c r="BD153" s="239" t="s">
        <v>31541</v>
      </c>
      <c r="BE153" s="239" t="s">
        <v>4</v>
      </c>
      <c r="BF153" s="239" t="s">
        <v>31970</v>
      </c>
      <c r="BG153" s="239" t="s">
        <v>4</v>
      </c>
      <c r="BH153" s="239" t="s">
        <v>31542</v>
      </c>
      <c r="BI153" s="239" t="s">
        <v>31971</v>
      </c>
      <c r="BJ153" s="239" t="s">
        <v>31544</v>
      </c>
      <c r="BK153" s="239">
        <v>2</v>
      </c>
      <c r="BL153" s="239">
        <v>60</v>
      </c>
      <c r="BM153" s="239" t="s">
        <v>7</v>
      </c>
      <c r="BN153" s="239" t="s">
        <v>6</v>
      </c>
      <c r="BO153" s="239" t="s">
        <v>4</v>
      </c>
      <c r="BP153" s="239" t="s">
        <v>31425</v>
      </c>
      <c r="BQ153" s="239">
        <v>1</v>
      </c>
      <c r="BR153" s="239">
        <v>45</v>
      </c>
      <c r="BS153" s="239" t="s">
        <v>31434</v>
      </c>
      <c r="BT153" s="239"/>
      <c r="BU153" s="239">
        <v>1</v>
      </c>
      <c r="BV153" s="239" cm="1">
        <f t="array" ref="BV153">_xlfn.IFS(BS153="Foreword vehicle",BU153*0,BS153="Human wastes",BU153*0,BS153="Jerrycans",BU153*$BV$228,BS153="Number of Basins",BU153*$BV$229,BS153="Number of Buckets",BU153*$CA$226,BS153="Number of Kgs",BU153*$CA$227,BS153="Number of spades",BU153*$CA$228,BS153="Number of wheelbarrows",BU153*$CA$229,BT153="Foreword vehicle",BU153*0,BT153="Human wastes",BU153*0,BT153="Jerrycans",BU153*$BV$228,BS153="","")</f>
        <v>16</v>
      </c>
      <c r="BW153" s="239">
        <f>IF(BV153="","",Table14[[#This Row],[Calculation: Conversion of metric to Kg manure feeding (Columns: BP, BQ, BR)]]*Table14[[#This Row],[Number of times used to feed biodigester]])</f>
        <v>16</v>
      </c>
      <c r="BX153" s="239" cm="1">
        <f t="array" ref="BX153">_xlfn.IFS(BP153="Number of times per day (1 to 3)",BW153/$BX$226,BP153="Number of times per week (1 to 6)",BW153/$BX$227,BP153="Number of times per Month (1 to 3)",BW153/$BX$228,BW153="","")</f>
        <v>16</v>
      </c>
      <c r="BY153" s="239" t="s">
        <v>22</v>
      </c>
      <c r="BZ153" s="239" t="s">
        <v>4</v>
      </c>
      <c r="CA153" s="239" t="s">
        <v>7</v>
      </c>
      <c r="CB153" s="239" t="s">
        <v>31721</v>
      </c>
      <c r="CC153" s="239" t="s">
        <v>4</v>
      </c>
      <c r="CD153" s="239" t="s">
        <v>31972</v>
      </c>
      <c r="CE153" s="239" t="s">
        <v>7</v>
      </c>
      <c r="CF153" s="239" t="s">
        <v>31973</v>
      </c>
      <c r="CG153" s="239" t="s">
        <v>4</v>
      </c>
      <c r="CH153" s="239" t="s">
        <v>31604</v>
      </c>
      <c r="CI153" s="239">
        <v>4</v>
      </c>
      <c r="CJ153" s="239">
        <v>0</v>
      </c>
      <c r="CK153" s="239">
        <v>0</v>
      </c>
      <c r="CL153" s="239">
        <v>0</v>
      </c>
      <c r="CM153" s="239">
        <v>0</v>
      </c>
      <c r="CN153" s="239">
        <v>0</v>
      </c>
      <c r="CO153" s="239">
        <v>0</v>
      </c>
      <c r="CP153" s="239">
        <v>0</v>
      </c>
      <c r="CQ153" s="239">
        <v>0</v>
      </c>
      <c r="CR153" s="239">
        <v>0</v>
      </c>
      <c r="CS153" s="239">
        <f>CP153/'SDG outcome'!$C$9*CQ153*CR153</f>
        <v>0</v>
      </c>
      <c r="CT153" s="239">
        <v>100</v>
      </c>
      <c r="CU153" s="239">
        <v>0</v>
      </c>
      <c r="CV153" s="239" t="s">
        <v>4</v>
      </c>
      <c r="CW153" s="239" t="s">
        <v>4</v>
      </c>
      <c r="CX153" s="239" t="s">
        <v>4</v>
      </c>
      <c r="CY153" s="239" t="s">
        <v>4</v>
      </c>
      <c r="CZ153" s="239" t="s">
        <v>4</v>
      </c>
      <c r="DA153" s="239" t="s">
        <v>4</v>
      </c>
      <c r="DB153" s="239" t="s">
        <v>4</v>
      </c>
      <c r="DC153" s="239" t="s">
        <v>4</v>
      </c>
      <c r="DD153" s="239" t="s">
        <v>4</v>
      </c>
      <c r="DE153" s="239" t="s">
        <v>4</v>
      </c>
      <c r="DF153" s="239" t="s">
        <v>4</v>
      </c>
      <c r="DG153" s="239" t="s">
        <v>4</v>
      </c>
      <c r="DH153" s="239" t="s">
        <v>4</v>
      </c>
      <c r="DI153" s="239" t="s">
        <v>4</v>
      </c>
      <c r="DJ153" s="239" t="s">
        <v>4</v>
      </c>
      <c r="DK153" s="239" t="s">
        <v>4</v>
      </c>
      <c r="DL153" s="239" t="s">
        <v>4</v>
      </c>
      <c r="DM153" s="239" t="s">
        <v>4</v>
      </c>
      <c r="DN153" s="239" t="s">
        <v>4</v>
      </c>
      <c r="DO153" s="239">
        <v>2.5</v>
      </c>
      <c r="DP153" s="239" t="s">
        <v>2</v>
      </c>
      <c r="DQ153" s="239" t="s">
        <v>29292</v>
      </c>
      <c r="DR153" s="239" t="s">
        <v>4</v>
      </c>
      <c r="DS153" s="239" t="s">
        <v>29294</v>
      </c>
      <c r="DT153" s="240" t="s">
        <v>4</v>
      </c>
      <c r="DU153" s="239" t="s">
        <v>29294</v>
      </c>
      <c r="DV153" s="240" t="s">
        <v>4</v>
      </c>
      <c r="DW153" s="239" t="s">
        <v>29295</v>
      </c>
      <c r="DX153" s="239">
        <v>100</v>
      </c>
      <c r="DY153" s="239" t="s">
        <v>29296</v>
      </c>
      <c r="DZ153" s="239">
        <v>100</v>
      </c>
      <c r="EA153" s="239"/>
      <c r="EB153" s="239"/>
      <c r="EC153" s="239"/>
      <c r="ED153" s="239"/>
      <c r="EE153" s="320">
        <f>Table14[[#This Row],[% Fertilizer]]*$DX153/10000</f>
        <v>1</v>
      </c>
      <c r="EF153" s="320">
        <f>Table14[[#This Row],[% bioslurry used as Insecticide/Pesticide]]*$DX153/10000</f>
        <v>0</v>
      </c>
      <c r="EG153" s="320">
        <f>Table14[[#This Row],[% of Bioslurry used as animal feed]]*$DX153/10000</f>
        <v>0</v>
      </c>
      <c r="EH153" s="320">
        <f>Table14[[#This Row],[% of Bioslurry sold]]*$DX153/10000</f>
        <v>0</v>
      </c>
      <c r="EI153" s="320">
        <f>Table14[[#This Row],[% used other way(if used directly)]]*$DX153/10000</f>
        <v>0</v>
      </c>
      <c r="EJ153" s="239"/>
      <c r="EK153" s="239"/>
      <c r="EL153" s="239"/>
      <c r="EM153" s="239"/>
      <c r="EN153" s="239"/>
      <c r="EO153" s="239">
        <f>(Table14[[#This Row],[% Uncovered lagoon greater than 1 meter]]+Table14[[#This Row],[Uncovered lagoon (black watery mass) &lt;1 meter]]+Table14[[#This Row],[% Liquid slurry (brown porridge type)]])*Table14[[#This Row],[% Store it first]]/100</f>
        <v>0</v>
      </c>
      <c r="EP153" s="239"/>
      <c r="EQ153" s="239"/>
      <c r="ER153" s="239"/>
      <c r="ES153" s="239"/>
      <c r="ET153" s="239">
        <f>(Table14[[#This Row],[% Solid storage]]+Table14[[#This Row],[% Sun drying]]+Table14[[#This Row],[% Composting with a roof]]+Table14[[#This Row],[% Composting without a roof]])*Table14[[#This Row],[% Store it first]]/100</f>
        <v>0</v>
      </c>
      <c r="EU153" s="239"/>
      <c r="EV153" s="320">
        <f t="shared" si="15"/>
        <v>0</v>
      </c>
      <c r="EW153" s="320">
        <f t="shared" si="16"/>
        <v>0</v>
      </c>
      <c r="EX153" s="320">
        <f t="shared" si="17"/>
        <v>0</v>
      </c>
      <c r="EY153" s="320">
        <f t="shared" si="18"/>
        <v>0</v>
      </c>
      <c r="EZ153" s="320">
        <f t="shared" si="19"/>
        <v>0</v>
      </c>
      <c r="FA153" s="239"/>
      <c r="FB153" s="239"/>
      <c r="FC153" s="239"/>
      <c r="FD153" s="239">
        <f>Table14[[#This Row],[% I donâ€™t use it / discarded]]+Table14[[#This Row],[% Other (specify)(If you use bioslurry directly)]]+Table14[[#This Row],[% Store it first]]+Table14[[#This Row],[% Use directly for various purposes]]</f>
        <v>100</v>
      </c>
      <c r="FE153" s="239" t="s">
        <v>4</v>
      </c>
      <c r="FF153" s="239"/>
      <c r="FG153" s="239"/>
      <c r="FH153" s="239"/>
      <c r="FI153" s="239"/>
      <c r="FJ153" s="239"/>
      <c r="FK153" s="239">
        <v>0.4</v>
      </c>
      <c r="FL153" s="239" t="s">
        <v>7</v>
      </c>
      <c r="FM153" s="239">
        <v>50</v>
      </c>
      <c r="FN153" s="239">
        <f t="shared" si="14"/>
        <v>0.2</v>
      </c>
      <c r="FO153" s="239" t="s">
        <v>30092</v>
      </c>
      <c r="FP153" s="239" t="s">
        <v>29298</v>
      </c>
      <c r="FQ153" s="239">
        <v>36</v>
      </c>
      <c r="FR153" s="239" t="s">
        <v>7</v>
      </c>
      <c r="FS153" s="239" t="s">
        <v>29299</v>
      </c>
      <c r="FT153" s="239" t="s">
        <v>4</v>
      </c>
      <c r="FU153" s="239" t="s">
        <v>7</v>
      </c>
      <c r="FV153" s="239" t="s">
        <v>29555</v>
      </c>
      <c r="FW153" s="239" t="s">
        <v>4</v>
      </c>
      <c r="FX153" s="239" t="s">
        <v>30093</v>
      </c>
      <c r="FY153" s="239" t="s">
        <v>4</v>
      </c>
      <c r="FZ153" s="239" t="s">
        <v>4</v>
      </c>
      <c r="GA153" s="239" t="s">
        <v>4</v>
      </c>
      <c r="GB153" s="240" t="s">
        <v>4</v>
      </c>
      <c r="GC153" s="239" t="s">
        <v>4</v>
      </c>
      <c r="GD153" s="239" t="s">
        <v>2</v>
      </c>
      <c r="GE153" s="239" t="s">
        <v>4</v>
      </c>
      <c r="GF153" s="239" t="s">
        <v>4</v>
      </c>
      <c r="GG153" s="239" t="s">
        <v>7</v>
      </c>
      <c r="GH153" s="239" t="s">
        <v>7</v>
      </c>
      <c r="GI153" s="239" t="s">
        <v>29302</v>
      </c>
      <c r="GJ153" s="239" t="s">
        <v>30094</v>
      </c>
      <c r="GK153" s="239" t="s">
        <v>29304</v>
      </c>
      <c r="GL153" s="239">
        <v>3</v>
      </c>
      <c r="GM153" s="239" t="s">
        <v>29305</v>
      </c>
      <c r="GN153" s="239" t="s">
        <v>29306</v>
      </c>
      <c r="GO153" s="239" t="s">
        <v>4</v>
      </c>
      <c r="GP153" s="239" t="s">
        <v>4</v>
      </c>
      <c r="GQ153" s="239" t="s">
        <v>4</v>
      </c>
      <c r="GR153" s="239" t="s">
        <v>4</v>
      </c>
      <c r="GS153" s="239" t="s">
        <v>4</v>
      </c>
      <c r="GT153" s="239" t="s">
        <v>4</v>
      </c>
      <c r="GU153" s="239" t="s">
        <v>4</v>
      </c>
      <c r="GV153" s="239" t="s">
        <v>4</v>
      </c>
      <c r="GW153" s="239" t="s">
        <v>4</v>
      </c>
      <c r="GX153" s="239" t="s">
        <v>4</v>
      </c>
      <c r="GY153" s="239" t="s">
        <v>4</v>
      </c>
      <c r="GZ153" s="239" t="s">
        <v>4</v>
      </c>
      <c r="HA153" s="239" t="s">
        <v>4</v>
      </c>
      <c r="HB153" s="239" t="s">
        <v>4</v>
      </c>
      <c r="HC153" s="239" t="s">
        <v>4</v>
      </c>
      <c r="HD153" s="239" t="s">
        <v>4</v>
      </c>
      <c r="HE153" s="239" t="s">
        <v>4</v>
      </c>
      <c r="HF153" s="239" t="s">
        <v>4</v>
      </c>
      <c r="HG153" s="239" t="s">
        <v>4</v>
      </c>
      <c r="HH153" s="239" t="s">
        <v>29452</v>
      </c>
      <c r="HI153" s="239" t="s">
        <v>4</v>
      </c>
      <c r="HJ153" s="240">
        <v>0</v>
      </c>
      <c r="HK153" s="239" t="s">
        <v>2</v>
      </c>
      <c r="HL153" s="239" t="s">
        <v>29837</v>
      </c>
      <c r="HM153" s="239" t="s">
        <v>4</v>
      </c>
      <c r="HN153" s="239" t="s">
        <v>4</v>
      </c>
      <c r="HO153" s="239" t="s">
        <v>4</v>
      </c>
      <c r="HP153" s="239" t="s">
        <v>4</v>
      </c>
      <c r="HQ153" s="239" t="s">
        <v>4</v>
      </c>
      <c r="HR153" s="239" t="s">
        <v>4</v>
      </c>
      <c r="HS153" s="239" t="s">
        <v>4</v>
      </c>
      <c r="HT153" s="239" t="s">
        <v>4</v>
      </c>
      <c r="HU153" s="239" t="s">
        <v>2</v>
      </c>
      <c r="HV153" s="239" t="s">
        <v>4</v>
      </c>
      <c r="HW153" s="239" t="s">
        <v>4</v>
      </c>
      <c r="HX153" s="239" t="s">
        <v>4</v>
      </c>
      <c r="HY153" s="239" t="s">
        <v>72</v>
      </c>
      <c r="HZ153" s="239" t="s">
        <v>30095</v>
      </c>
      <c r="IA153" s="239" t="s">
        <v>2</v>
      </c>
      <c r="IB153" s="239" t="s">
        <v>4</v>
      </c>
      <c r="IC153" s="239" t="s">
        <v>30096</v>
      </c>
      <c r="ID153" s="239" t="s">
        <v>30097</v>
      </c>
      <c r="IE153" s="239" t="s">
        <v>30098</v>
      </c>
      <c r="IF153" s="239" t="s">
        <v>30099</v>
      </c>
      <c r="IG153" s="239" t="s">
        <v>30100</v>
      </c>
      <c r="IH153" s="239" t="s">
        <v>30101</v>
      </c>
    </row>
    <row r="154" spans="1:242" s="1" customFormat="1" ht="36.75" customHeight="1" x14ac:dyDescent="0.2">
      <c r="A154" s="239">
        <v>3</v>
      </c>
      <c r="B154" s="239" t="s">
        <v>14432</v>
      </c>
      <c r="C154" s="239" t="s">
        <v>29333</v>
      </c>
      <c r="D154" s="239" t="s">
        <v>29286</v>
      </c>
      <c r="E154" s="239" t="s">
        <v>7</v>
      </c>
      <c r="F154" s="239" t="s">
        <v>29334</v>
      </c>
      <c r="G154" s="239">
        <v>1774.7090000000001</v>
      </c>
      <c r="H154" s="239">
        <v>1.8750549999999999</v>
      </c>
      <c r="I154" s="239" t="s">
        <v>29288</v>
      </c>
      <c r="J154" s="239" t="s">
        <v>4</v>
      </c>
      <c r="K154" s="239" t="s">
        <v>29335</v>
      </c>
      <c r="L154" s="239">
        <v>704150784</v>
      </c>
      <c r="M154" s="239" t="s">
        <v>3</v>
      </c>
      <c r="N154" s="239" t="s">
        <v>31438</v>
      </c>
      <c r="O154" s="239">
        <v>42</v>
      </c>
      <c r="P154" s="239">
        <v>7</v>
      </c>
      <c r="Q154" s="239" t="s">
        <v>7</v>
      </c>
      <c r="R154" s="239" t="s">
        <v>31549</v>
      </c>
      <c r="S154" s="239" t="s">
        <v>4</v>
      </c>
      <c r="T154" s="239" t="s">
        <v>7</v>
      </c>
      <c r="U154" s="239" t="s">
        <v>7</v>
      </c>
      <c r="V154" s="239"/>
      <c r="W154" s="239" t="s">
        <v>7</v>
      </c>
      <c r="X154" s="239" t="s">
        <v>4</v>
      </c>
      <c r="Y154" s="239" t="s">
        <v>4</v>
      </c>
      <c r="Z154" s="241" t="str">
        <f>IF(OR(T154="yes",Y154&gt;'SDG outcome'!$C$27),"yes","no")</f>
        <v>yes</v>
      </c>
      <c r="AA154" s="243">
        <f t="shared" si="13"/>
        <v>0</v>
      </c>
      <c r="AB154" s="243" t="str">
        <f>IF(AND(Z154="no",AND(Y154&gt;='SDG outcome'!$B$16,Y154&lt;'SDG outcome'!$C$27)),Y154-'SDG outcome'!$B$16,"")</f>
        <v/>
      </c>
      <c r="AC154" s="239" t="s">
        <v>4</v>
      </c>
      <c r="AD154" s="239" t="s">
        <v>4</v>
      </c>
      <c r="AE154" s="239" t="s">
        <v>4</v>
      </c>
      <c r="AF154" s="239" t="s">
        <v>4</v>
      </c>
      <c r="AG154" s="239" t="s">
        <v>4</v>
      </c>
      <c r="AH154" s="239" t="s">
        <v>4</v>
      </c>
      <c r="AI154" s="239" t="s">
        <v>4</v>
      </c>
      <c r="AJ154" s="239" t="s">
        <v>29290</v>
      </c>
      <c r="AK154" s="239" t="s">
        <v>29291</v>
      </c>
      <c r="AL154" s="239" t="s">
        <v>4</v>
      </c>
      <c r="AM154" s="239" t="s">
        <v>4</v>
      </c>
      <c r="AN154" s="239" t="s">
        <v>31536</v>
      </c>
      <c r="AO154" s="239" t="s">
        <v>4</v>
      </c>
      <c r="AP154" s="239" t="s">
        <v>31537</v>
      </c>
      <c r="AQ154" s="239" t="s">
        <v>4</v>
      </c>
      <c r="AR154" s="239" t="s">
        <v>31538</v>
      </c>
      <c r="AS154" s="239" t="s">
        <v>4</v>
      </c>
      <c r="AT154" s="239" t="s">
        <v>7</v>
      </c>
      <c r="AU154" s="239" t="s">
        <v>4</v>
      </c>
      <c r="AV154" s="239" t="s">
        <v>4</v>
      </c>
      <c r="AW154" s="239" t="s">
        <v>31539</v>
      </c>
      <c r="AX154" s="239" t="s">
        <v>4</v>
      </c>
      <c r="AY154" s="239" t="s">
        <v>4</v>
      </c>
      <c r="AZ154" s="239" t="s">
        <v>2</v>
      </c>
      <c r="BA154" s="239" t="s">
        <v>4</v>
      </c>
      <c r="BB154" s="239" t="s">
        <v>4</v>
      </c>
      <c r="BC154" s="239" t="s">
        <v>31557</v>
      </c>
      <c r="BD154" s="239" t="s">
        <v>4</v>
      </c>
      <c r="BE154" s="239" t="s">
        <v>4</v>
      </c>
      <c r="BF154" s="239" t="s">
        <v>4</v>
      </c>
      <c r="BG154" s="239" t="s">
        <v>4</v>
      </c>
      <c r="BH154" s="239" t="s">
        <v>4</v>
      </c>
      <c r="BI154" s="239" t="s">
        <v>4</v>
      </c>
      <c r="BJ154" s="239" t="s">
        <v>4</v>
      </c>
      <c r="BK154" s="239" t="s">
        <v>4</v>
      </c>
      <c r="BL154" s="239" t="s">
        <v>4</v>
      </c>
      <c r="BM154" s="239" t="s">
        <v>7</v>
      </c>
      <c r="BN154" s="239" t="s">
        <v>6</v>
      </c>
      <c r="BO154" s="239" t="s">
        <v>4</v>
      </c>
      <c r="BP154" s="239" t="s">
        <v>31425</v>
      </c>
      <c r="BQ154" s="239">
        <v>1</v>
      </c>
      <c r="BR154" s="239">
        <v>20</v>
      </c>
      <c r="BS154" s="239" t="s">
        <v>31435</v>
      </c>
      <c r="BT154" s="239"/>
      <c r="BU154" s="239">
        <v>1</v>
      </c>
      <c r="BV154" s="239" cm="1">
        <f t="array" ref="BV154">_xlfn.IFS(BS154="Foreword vehicle",BU154*0,BS154="Human wastes",BU154*0,BS154="Jerrycans",BU154*$BV$228,BS154="Number of Basins",BU154*$BV$229,BS154="Number of Buckets",BU154*$CA$226,BS154="Number of Kgs",BU154*$CA$227,BS154="Number of spades",BU154*$CA$228,BS154="Number of wheelbarrows",BU154*$CA$229,BT154="Foreword vehicle",BU154*0,BT154="Human wastes",BU154*0,BT154="Jerrycans",BU154*$BV$228,Table14[[#This Row],[Number of metric Selected from previous question]]="NA","")</f>
        <v>70.5</v>
      </c>
      <c r="BW154" s="239">
        <f>IF(BV154="","",Table14[[#This Row],[Calculation: Conversion of metric to Kg manure feeding (Columns: BP, BQ, BR)]]*Table14[[#This Row],[Number of times used to feed biodigester]])</f>
        <v>70.5</v>
      </c>
      <c r="BX154" s="239" cm="1">
        <f t="array" ref="BX154">_xlfn.IFS(BP154="Number of times per day (1 to 3)",BW154/$BX$226,BP154="Number of times per week (1 to 6)",BW154/$BX$227,BP154="Number of times per Month (1 to 3)",BW154/$BX$228,BW154="","")</f>
        <v>70.5</v>
      </c>
      <c r="BY154" s="239" t="s">
        <v>22</v>
      </c>
      <c r="BZ154" s="239" t="s">
        <v>4</v>
      </c>
      <c r="CA154" s="239" t="s">
        <v>2</v>
      </c>
      <c r="CB154" s="239" t="s">
        <v>4</v>
      </c>
      <c r="CC154" s="239" t="s">
        <v>4</v>
      </c>
      <c r="CD154" s="239" t="s">
        <v>4</v>
      </c>
      <c r="CE154" s="239" t="s">
        <v>7</v>
      </c>
      <c r="CF154" s="239" t="s">
        <v>31558</v>
      </c>
      <c r="CG154" s="239" t="s">
        <v>4</v>
      </c>
      <c r="CH154" s="239" t="s">
        <v>31559</v>
      </c>
      <c r="CI154" s="239">
        <v>3</v>
      </c>
      <c r="CJ154" s="239">
        <v>0</v>
      </c>
      <c r="CK154" s="239">
        <v>4</v>
      </c>
      <c r="CL154" s="239">
        <v>0</v>
      </c>
      <c r="CM154" s="239">
        <v>0</v>
      </c>
      <c r="CN154" s="239">
        <v>10</v>
      </c>
      <c r="CO154" s="239">
        <v>0</v>
      </c>
      <c r="CP154" s="239">
        <v>0</v>
      </c>
      <c r="CQ154" s="239">
        <v>0</v>
      </c>
      <c r="CR154" s="239">
        <v>0</v>
      </c>
      <c r="CS154" s="239">
        <f>CP154/'SDG outcome'!$C$9*CQ154*CR154</f>
        <v>0</v>
      </c>
      <c r="CT154" s="239">
        <v>100</v>
      </c>
      <c r="CU154" s="239">
        <v>0</v>
      </c>
      <c r="CV154" s="239" t="s">
        <v>4</v>
      </c>
      <c r="CW154" s="239" t="s">
        <v>4</v>
      </c>
      <c r="CX154" s="239" t="s">
        <v>4</v>
      </c>
      <c r="CY154" s="239" t="s">
        <v>4</v>
      </c>
      <c r="CZ154" s="239" t="s">
        <v>4</v>
      </c>
      <c r="DA154" s="239" t="s">
        <v>4</v>
      </c>
      <c r="DB154" s="239" t="s">
        <v>4</v>
      </c>
      <c r="DC154" s="239">
        <v>0</v>
      </c>
      <c r="DD154" s="239">
        <v>100</v>
      </c>
      <c r="DE154" s="239" t="s">
        <v>31560</v>
      </c>
      <c r="DF154" s="239">
        <v>0</v>
      </c>
      <c r="DG154" s="239">
        <v>100</v>
      </c>
      <c r="DH154" s="239" t="s">
        <v>31561</v>
      </c>
      <c r="DI154" s="239" t="s">
        <v>4</v>
      </c>
      <c r="DJ154" s="239" t="s">
        <v>4</v>
      </c>
      <c r="DK154" s="239" t="s">
        <v>4</v>
      </c>
      <c r="DL154" s="239" t="s">
        <v>4</v>
      </c>
      <c r="DM154" s="239" t="s">
        <v>4</v>
      </c>
      <c r="DN154" s="239" t="s">
        <v>4</v>
      </c>
      <c r="DO154" s="239">
        <v>2</v>
      </c>
      <c r="DP154" s="239" t="s">
        <v>2</v>
      </c>
      <c r="DQ154" s="239" t="s">
        <v>29292</v>
      </c>
      <c r="DR154" s="239" t="s">
        <v>4</v>
      </c>
      <c r="DS154" s="239" t="s">
        <v>29293</v>
      </c>
      <c r="DT154" s="240">
        <v>60000</v>
      </c>
      <c r="DU154" s="239" t="s">
        <v>29293</v>
      </c>
      <c r="DV154" s="240">
        <v>0</v>
      </c>
      <c r="DW154" s="239" t="s">
        <v>29295</v>
      </c>
      <c r="DX154" s="239">
        <v>100</v>
      </c>
      <c r="DY154" s="239" t="s">
        <v>29336</v>
      </c>
      <c r="DZ154" s="239">
        <v>80</v>
      </c>
      <c r="EA154" s="239"/>
      <c r="EB154" s="239">
        <v>20</v>
      </c>
      <c r="EC154" s="239"/>
      <c r="ED154" s="239"/>
      <c r="EE154" s="320">
        <f>Table14[[#This Row],[% Fertilizer]]*$DX154/10000</f>
        <v>0.8</v>
      </c>
      <c r="EF154" s="320">
        <f>Table14[[#This Row],[% bioslurry used as Insecticide/Pesticide]]*$DX154/10000</f>
        <v>0</v>
      </c>
      <c r="EG154" s="320">
        <f>Table14[[#This Row],[% of Bioslurry used as animal feed]]*$DX154/10000</f>
        <v>0.2</v>
      </c>
      <c r="EH154" s="320">
        <f>Table14[[#This Row],[% of Bioslurry sold]]*$DX154/10000</f>
        <v>0</v>
      </c>
      <c r="EI154" s="320">
        <f>Table14[[#This Row],[% used other way(if used directly)]]*$DX154/10000</f>
        <v>0</v>
      </c>
      <c r="EJ154" s="239"/>
      <c r="EK154" s="239"/>
      <c r="EL154" s="239"/>
      <c r="EM154" s="239"/>
      <c r="EN154" s="239"/>
      <c r="EO154" s="239">
        <f>(Table14[[#This Row],[% Uncovered lagoon greater than 1 meter]]+Table14[[#This Row],[Uncovered lagoon (black watery mass) &lt;1 meter]]+Table14[[#This Row],[% Liquid slurry (brown porridge type)]])*Table14[[#This Row],[% Store it first]]/100</f>
        <v>0</v>
      </c>
      <c r="EP154" s="239"/>
      <c r="EQ154" s="239"/>
      <c r="ER154" s="239"/>
      <c r="ES154" s="239"/>
      <c r="ET154" s="239">
        <f>(Table14[[#This Row],[% Solid storage]]+Table14[[#This Row],[% Sun drying]]+Table14[[#This Row],[% Composting with a roof]]+Table14[[#This Row],[% Composting without a roof]])*Table14[[#This Row],[% Store it first]]/100</f>
        <v>0</v>
      </c>
      <c r="EU154" s="239"/>
      <c r="EV154" s="320">
        <f t="shared" si="15"/>
        <v>0</v>
      </c>
      <c r="EW154" s="320">
        <f t="shared" si="16"/>
        <v>0</v>
      </c>
      <c r="EX154" s="320">
        <f t="shared" si="17"/>
        <v>0</v>
      </c>
      <c r="EY154" s="320">
        <f t="shared" si="18"/>
        <v>0</v>
      </c>
      <c r="EZ154" s="320">
        <f t="shared" si="19"/>
        <v>0</v>
      </c>
      <c r="FA154" s="239"/>
      <c r="FB154" s="239"/>
      <c r="FC154" s="239"/>
      <c r="FD154" s="239">
        <f>Table14[[#This Row],[% I donâ€™t use it / discarded]]+Table14[[#This Row],[% Other (specify)(If you use bioslurry directly)]]+Table14[[#This Row],[% Store it first]]+Table14[[#This Row],[% Use directly for various purposes]]</f>
        <v>100</v>
      </c>
      <c r="FE154" s="239" t="s">
        <v>4</v>
      </c>
      <c r="FF154" s="239"/>
      <c r="FG154" s="239"/>
      <c r="FH154" s="239"/>
      <c r="FI154" s="239"/>
      <c r="FJ154" s="239"/>
      <c r="FK154" s="239">
        <v>1</v>
      </c>
      <c r="FL154" s="239" t="s">
        <v>7</v>
      </c>
      <c r="FM154" s="239">
        <v>65</v>
      </c>
      <c r="FN154" s="239">
        <f t="shared" si="14"/>
        <v>0.65</v>
      </c>
      <c r="FO154" s="239" t="s">
        <v>29337</v>
      </c>
      <c r="FP154" s="239" t="s">
        <v>29298</v>
      </c>
      <c r="FQ154" s="239">
        <v>84</v>
      </c>
      <c r="FR154" s="239" t="s">
        <v>2</v>
      </c>
      <c r="FS154" s="239" t="s">
        <v>4</v>
      </c>
      <c r="FT154" s="239" t="s">
        <v>4</v>
      </c>
      <c r="FU154" s="239" t="s">
        <v>2</v>
      </c>
      <c r="FV154" s="239" t="s">
        <v>4</v>
      </c>
      <c r="FW154" s="239" t="s">
        <v>4</v>
      </c>
      <c r="FX154" s="239" t="s">
        <v>4</v>
      </c>
      <c r="FY154" s="239" t="s">
        <v>4</v>
      </c>
      <c r="FZ154" s="239" t="s">
        <v>4</v>
      </c>
      <c r="GA154" s="239" t="s">
        <v>4</v>
      </c>
      <c r="GB154" s="240" t="s">
        <v>4</v>
      </c>
      <c r="GC154" s="239" t="s">
        <v>4</v>
      </c>
      <c r="GD154" s="239" t="s">
        <v>2</v>
      </c>
      <c r="GE154" s="239" t="s">
        <v>4</v>
      </c>
      <c r="GF154" s="239" t="s">
        <v>4</v>
      </c>
      <c r="GG154" s="239" t="s">
        <v>7</v>
      </c>
      <c r="GH154" s="239" t="s">
        <v>7</v>
      </c>
      <c r="GI154" s="239" t="s">
        <v>29302</v>
      </c>
      <c r="GJ154" s="239" t="s">
        <v>29338</v>
      </c>
      <c r="GK154" s="239" t="s">
        <v>29304</v>
      </c>
      <c r="GL154" s="239">
        <v>4</v>
      </c>
      <c r="GM154" s="239" t="s">
        <v>29305</v>
      </c>
      <c r="GN154" s="239" t="s">
        <v>29339</v>
      </c>
      <c r="GO154" s="239" t="s">
        <v>4</v>
      </c>
      <c r="GP154" s="239" t="s">
        <v>4</v>
      </c>
      <c r="GQ154" s="239" t="s">
        <v>4</v>
      </c>
      <c r="GR154" s="239" t="s">
        <v>4</v>
      </c>
      <c r="GS154" s="239" t="s">
        <v>4</v>
      </c>
      <c r="GT154" s="239" t="s">
        <v>4</v>
      </c>
      <c r="GU154" s="239" t="s">
        <v>4</v>
      </c>
      <c r="GV154" s="239" t="s">
        <v>4</v>
      </c>
      <c r="GW154" s="239" t="s">
        <v>4</v>
      </c>
      <c r="GX154" s="239" t="s">
        <v>4</v>
      </c>
      <c r="GY154" s="239" t="s">
        <v>4</v>
      </c>
      <c r="GZ154" s="239" t="s">
        <v>4</v>
      </c>
      <c r="HA154" s="239" t="s">
        <v>4</v>
      </c>
      <c r="HB154" s="239" t="s">
        <v>4</v>
      </c>
      <c r="HC154" s="239" t="s">
        <v>4</v>
      </c>
      <c r="HD154" s="239" t="s">
        <v>4</v>
      </c>
      <c r="HE154" s="239" t="s">
        <v>4</v>
      </c>
      <c r="HF154" s="239" t="s">
        <v>4</v>
      </c>
      <c r="HG154" s="239" t="s">
        <v>4</v>
      </c>
      <c r="HH154" s="239" t="s">
        <v>29307</v>
      </c>
      <c r="HI154" s="239" t="s">
        <v>29340</v>
      </c>
      <c r="HJ154" s="240">
        <v>0</v>
      </c>
      <c r="HK154" s="239" t="s">
        <v>7</v>
      </c>
      <c r="HL154" s="239" t="s">
        <v>29309</v>
      </c>
      <c r="HM154" s="239" t="s">
        <v>4</v>
      </c>
      <c r="HN154" s="239" t="s">
        <v>4</v>
      </c>
      <c r="HO154" s="239" t="s">
        <v>4</v>
      </c>
      <c r="HP154" s="239" t="s">
        <v>4</v>
      </c>
      <c r="HQ154" s="239" t="s">
        <v>4</v>
      </c>
      <c r="HR154" s="239" t="s">
        <v>4</v>
      </c>
      <c r="HS154" s="239" t="s">
        <v>4</v>
      </c>
      <c r="HT154" s="239" t="s">
        <v>4</v>
      </c>
      <c r="HU154" s="239" t="s">
        <v>2</v>
      </c>
      <c r="HV154" s="239" t="s">
        <v>4</v>
      </c>
      <c r="HW154" s="239" t="s">
        <v>4</v>
      </c>
      <c r="HX154" s="239" t="s">
        <v>4</v>
      </c>
      <c r="HY154" s="239" t="s">
        <v>4</v>
      </c>
      <c r="HZ154" s="239" t="s">
        <v>29341</v>
      </c>
      <c r="IA154" s="239" t="s">
        <v>2</v>
      </c>
      <c r="IB154" s="239" t="s">
        <v>4</v>
      </c>
      <c r="IC154" s="239" t="s">
        <v>29342</v>
      </c>
      <c r="ID154" s="239" t="s">
        <v>29343</v>
      </c>
      <c r="IE154" s="239" t="s">
        <v>29344</v>
      </c>
      <c r="IF154" s="239" t="s">
        <v>29345</v>
      </c>
      <c r="IG154" s="239" t="s">
        <v>29346</v>
      </c>
      <c r="IH154" s="239" t="s">
        <v>29333</v>
      </c>
    </row>
    <row r="155" spans="1:242" s="1" customFormat="1" ht="36.75" customHeight="1" x14ac:dyDescent="0.2">
      <c r="A155" s="239">
        <v>4</v>
      </c>
      <c r="B155" s="239" t="s">
        <v>27644</v>
      </c>
      <c r="C155" s="239" t="s">
        <v>29347</v>
      </c>
      <c r="D155" s="239" t="s">
        <v>29286</v>
      </c>
      <c r="E155" s="239" t="s">
        <v>7</v>
      </c>
      <c r="F155" s="239" t="s">
        <v>29348</v>
      </c>
      <c r="G155" s="239">
        <v>1772.577</v>
      </c>
      <c r="H155" s="239">
        <v>1.5252030000000001</v>
      </c>
      <c r="I155" s="239" t="s">
        <v>29349</v>
      </c>
      <c r="J155" s="239" t="s">
        <v>4</v>
      </c>
      <c r="K155" s="239" t="s">
        <v>29350</v>
      </c>
      <c r="L155" s="239">
        <v>754048837</v>
      </c>
      <c r="M155" s="239" t="s">
        <v>5</v>
      </c>
      <c r="N155" s="239" t="s">
        <v>31438</v>
      </c>
      <c r="O155" s="239">
        <v>20</v>
      </c>
      <c r="P155" s="239">
        <v>4</v>
      </c>
      <c r="Q155" s="239" t="s">
        <v>7</v>
      </c>
      <c r="R155" s="239" t="s">
        <v>31562</v>
      </c>
      <c r="S155" s="239" t="s">
        <v>4</v>
      </c>
      <c r="T155" s="239" t="s">
        <v>7</v>
      </c>
      <c r="U155" s="239" t="s">
        <v>7</v>
      </c>
      <c r="V155" s="239"/>
      <c r="W155" s="239" t="s">
        <v>7</v>
      </c>
      <c r="X155" s="239" t="s">
        <v>4</v>
      </c>
      <c r="Y155" s="239" t="s">
        <v>4</v>
      </c>
      <c r="Z155" s="241" t="str">
        <f>IF(OR(T155="yes",Y155&gt;'SDG outcome'!$C$27),"yes","no")</f>
        <v>yes</v>
      </c>
      <c r="AA155" s="243">
        <f t="shared" si="13"/>
        <v>0</v>
      </c>
      <c r="AB155" s="243" t="str">
        <f>IF(AND(Z155="no",AND(Y155&gt;='SDG outcome'!$B$16,Y155&lt;'SDG outcome'!$C$27)),Y155-'SDG outcome'!$B$16,"")</f>
        <v/>
      </c>
      <c r="AC155" s="239" t="s">
        <v>4</v>
      </c>
      <c r="AD155" s="239" t="s">
        <v>4</v>
      </c>
      <c r="AE155" s="239" t="s">
        <v>4</v>
      </c>
      <c r="AF155" s="239" t="s">
        <v>4</v>
      </c>
      <c r="AG155" s="239" t="s">
        <v>4</v>
      </c>
      <c r="AH155" s="239" t="s">
        <v>4</v>
      </c>
      <c r="AI155" s="239" t="s">
        <v>4</v>
      </c>
      <c r="AJ155" s="239" t="s">
        <v>29290</v>
      </c>
      <c r="AK155" s="239" t="s">
        <v>29291</v>
      </c>
      <c r="AL155" s="239" t="s">
        <v>4</v>
      </c>
      <c r="AM155" s="239" t="s">
        <v>4</v>
      </c>
      <c r="AN155" s="239" t="s">
        <v>31536</v>
      </c>
      <c r="AO155" s="239" t="s">
        <v>4</v>
      </c>
      <c r="AP155" s="239" t="s">
        <v>31537</v>
      </c>
      <c r="AQ155" s="239" t="s">
        <v>4</v>
      </c>
      <c r="AR155" s="239" t="s">
        <v>31538</v>
      </c>
      <c r="AS155" s="239" t="s">
        <v>4</v>
      </c>
      <c r="AT155" s="239" t="s">
        <v>7</v>
      </c>
      <c r="AU155" s="239" t="s">
        <v>4</v>
      </c>
      <c r="AV155" s="239" t="s">
        <v>4</v>
      </c>
      <c r="AW155" s="239" t="s">
        <v>31539</v>
      </c>
      <c r="AX155" s="239" t="s">
        <v>4</v>
      </c>
      <c r="AY155" s="239" t="s">
        <v>4</v>
      </c>
      <c r="AZ155" s="239" t="s">
        <v>2</v>
      </c>
      <c r="BA155" s="239" t="s">
        <v>4</v>
      </c>
      <c r="BB155" s="239" t="s">
        <v>4</v>
      </c>
      <c r="BC155" s="239" t="s">
        <v>31563</v>
      </c>
      <c r="BD155" s="239" t="s">
        <v>31541</v>
      </c>
      <c r="BE155" s="239" t="s">
        <v>4</v>
      </c>
      <c r="BF155" s="239" t="s">
        <v>31564</v>
      </c>
      <c r="BG155" s="239" t="s">
        <v>4</v>
      </c>
      <c r="BH155" s="239" t="s">
        <v>31542</v>
      </c>
      <c r="BI155" s="239" t="s">
        <v>31565</v>
      </c>
      <c r="BJ155" s="239" t="s">
        <v>31566</v>
      </c>
      <c r="BK155" s="239">
        <v>1</v>
      </c>
      <c r="BL155" s="239">
        <v>60</v>
      </c>
      <c r="BM155" s="239" t="s">
        <v>7</v>
      </c>
      <c r="BN155" s="239" t="s">
        <v>6</v>
      </c>
      <c r="BO155" s="239" t="s">
        <v>4</v>
      </c>
      <c r="BP155" s="239" t="s">
        <v>31425</v>
      </c>
      <c r="BQ155" s="239">
        <v>1</v>
      </c>
      <c r="BR155" s="239">
        <v>20</v>
      </c>
      <c r="BS155" s="239" t="s">
        <v>31435</v>
      </c>
      <c r="BT155" s="239"/>
      <c r="BU155" s="239">
        <v>1</v>
      </c>
      <c r="BV155" s="239" cm="1">
        <f t="array" ref="BV155">_xlfn.IFS(BS155="Foreword vehicle",BU155*0,BS155="Human wastes",BU155*0,BS155="Jerrycans",BU155*$BV$228,BS155="Number of Basins",BU155*$BV$229,BS155="Number of Buckets",BU155*$CA$226,BS155="Number of Kgs",BU155*$CA$227,BS155="Number of spades",BU155*$CA$228,BS155="Number of wheelbarrows",BU155*$CA$229,BT155="Foreword vehicle",BU155*0,BT155="Human wastes",BU155*0,BT155="Jerrycans",BU155*$BV$228,Table14[[#This Row],[Number of metric Selected from previous question]]="NA","")</f>
        <v>70.5</v>
      </c>
      <c r="BW155" s="239">
        <f>IF(BV155="","",Table14[[#This Row],[Calculation: Conversion of metric to Kg manure feeding (Columns: BP, BQ, BR)]]*Table14[[#This Row],[Number of times used to feed biodigester]])</f>
        <v>70.5</v>
      </c>
      <c r="BX155" s="239" cm="1">
        <f t="array" ref="BX155">_xlfn.IFS(BP155="Number of times per day (1 to 3)",BW155/$BX$226,BP155="Number of times per week (1 to 6)",BW155/$BX$227,BP155="Number of times per Month (1 to 3)",BW155/$BX$228,BW155="","")</f>
        <v>70.5</v>
      </c>
      <c r="BY155" s="239" t="s">
        <v>22</v>
      </c>
      <c r="BZ155" s="239" t="s">
        <v>4</v>
      </c>
      <c r="CA155" s="239" t="s">
        <v>2</v>
      </c>
      <c r="CB155" s="239" t="s">
        <v>4</v>
      </c>
      <c r="CC155" s="239" t="s">
        <v>4</v>
      </c>
      <c r="CD155" s="239" t="s">
        <v>4</v>
      </c>
      <c r="CE155" s="239" t="s">
        <v>7</v>
      </c>
      <c r="CF155" s="239" t="s">
        <v>31567</v>
      </c>
      <c r="CG155" s="239" t="s">
        <v>4</v>
      </c>
      <c r="CH155" s="239" t="s">
        <v>31568</v>
      </c>
      <c r="CI155" s="239">
        <v>3</v>
      </c>
      <c r="CJ155" s="239">
        <v>0</v>
      </c>
      <c r="CK155" s="239">
        <v>0</v>
      </c>
      <c r="CL155" s="239">
        <v>3</v>
      </c>
      <c r="CM155" s="239">
        <v>4</v>
      </c>
      <c r="CN155" s="239">
        <v>8</v>
      </c>
      <c r="CO155" s="239">
        <v>0</v>
      </c>
      <c r="CP155" s="239">
        <v>0</v>
      </c>
      <c r="CQ155" s="239">
        <v>0</v>
      </c>
      <c r="CR155" s="239">
        <v>0</v>
      </c>
      <c r="CS155" s="239">
        <f>CP155/'SDG outcome'!$C$9*CQ155*CR155</f>
        <v>0</v>
      </c>
      <c r="CT155" s="239">
        <v>100</v>
      </c>
      <c r="CU155" s="239">
        <v>0</v>
      </c>
      <c r="CV155" s="239" t="s">
        <v>4</v>
      </c>
      <c r="CW155" s="239" t="s">
        <v>4</v>
      </c>
      <c r="CX155" s="239" t="s">
        <v>4</v>
      </c>
      <c r="CY155" s="239" t="s">
        <v>4</v>
      </c>
      <c r="CZ155" s="239" t="s">
        <v>4</v>
      </c>
      <c r="DA155" s="239" t="s">
        <v>4</v>
      </c>
      <c r="DB155" s="239" t="s">
        <v>4</v>
      </c>
      <c r="DC155" s="239" t="s">
        <v>4</v>
      </c>
      <c r="DD155" s="239" t="s">
        <v>4</v>
      </c>
      <c r="DE155" s="239" t="s">
        <v>4</v>
      </c>
      <c r="DF155" s="239">
        <v>0</v>
      </c>
      <c r="DG155" s="239">
        <v>100</v>
      </c>
      <c r="DH155" s="239" t="s">
        <v>31569</v>
      </c>
      <c r="DI155" s="239">
        <v>0</v>
      </c>
      <c r="DJ155" s="239">
        <v>100</v>
      </c>
      <c r="DK155" s="239" t="s">
        <v>31570</v>
      </c>
      <c r="DL155" s="239">
        <v>0</v>
      </c>
      <c r="DM155" s="239">
        <v>100</v>
      </c>
      <c r="DN155" s="239" t="s">
        <v>31571</v>
      </c>
      <c r="DO155" s="239">
        <v>2</v>
      </c>
      <c r="DP155" s="239" t="s">
        <v>2</v>
      </c>
      <c r="DQ155" s="239" t="s">
        <v>29292</v>
      </c>
      <c r="DR155" s="239" t="s">
        <v>4</v>
      </c>
      <c r="DS155" s="239" t="s">
        <v>29294</v>
      </c>
      <c r="DT155" s="240" t="s">
        <v>4</v>
      </c>
      <c r="DU155" s="239" t="s">
        <v>29294</v>
      </c>
      <c r="DV155" s="240" t="s">
        <v>4</v>
      </c>
      <c r="DW155" s="239" t="s">
        <v>29295</v>
      </c>
      <c r="DX155" s="239">
        <v>100</v>
      </c>
      <c r="DY155" s="239" t="s">
        <v>29296</v>
      </c>
      <c r="DZ155" s="239">
        <v>100</v>
      </c>
      <c r="EA155" s="239"/>
      <c r="EB155" s="239"/>
      <c r="EC155" s="239"/>
      <c r="ED155" s="239"/>
      <c r="EE155" s="320">
        <f>Table14[[#This Row],[% Fertilizer]]*$DX155/10000</f>
        <v>1</v>
      </c>
      <c r="EF155" s="320">
        <f>Table14[[#This Row],[% bioslurry used as Insecticide/Pesticide]]*$DX155/10000</f>
        <v>0</v>
      </c>
      <c r="EG155" s="320">
        <f>Table14[[#This Row],[% of Bioslurry used as animal feed]]*$DX155/10000</f>
        <v>0</v>
      </c>
      <c r="EH155" s="320">
        <f>Table14[[#This Row],[% of Bioslurry sold]]*$DX155/10000</f>
        <v>0</v>
      </c>
      <c r="EI155" s="320">
        <f>Table14[[#This Row],[% used other way(if used directly)]]*$DX155/10000</f>
        <v>0</v>
      </c>
      <c r="EJ155" s="239"/>
      <c r="EK155" s="239"/>
      <c r="EL155" s="239"/>
      <c r="EM155" s="239"/>
      <c r="EN155" s="239"/>
      <c r="EO155" s="239">
        <f>(Table14[[#This Row],[% Uncovered lagoon greater than 1 meter]]+Table14[[#This Row],[Uncovered lagoon (black watery mass) &lt;1 meter]]+Table14[[#This Row],[% Liquid slurry (brown porridge type)]])*Table14[[#This Row],[% Store it first]]/100</f>
        <v>0</v>
      </c>
      <c r="EP155" s="239"/>
      <c r="EQ155" s="239"/>
      <c r="ER155" s="239"/>
      <c r="ES155" s="239"/>
      <c r="ET155" s="239">
        <f>(Table14[[#This Row],[% Solid storage]]+Table14[[#This Row],[% Sun drying]]+Table14[[#This Row],[% Composting with a roof]]+Table14[[#This Row],[% Composting without a roof]])*Table14[[#This Row],[% Store it first]]/100</f>
        <v>0</v>
      </c>
      <c r="EU155" s="239"/>
      <c r="EV155" s="320">
        <f t="shared" si="15"/>
        <v>0</v>
      </c>
      <c r="EW155" s="320">
        <f t="shared" si="16"/>
        <v>0</v>
      </c>
      <c r="EX155" s="320">
        <f t="shared" si="17"/>
        <v>0</v>
      </c>
      <c r="EY155" s="320">
        <f t="shared" si="18"/>
        <v>0</v>
      </c>
      <c r="EZ155" s="320">
        <f t="shared" si="19"/>
        <v>0</v>
      </c>
      <c r="FA155" s="239"/>
      <c r="FB155" s="239"/>
      <c r="FC155" s="239"/>
      <c r="FD155" s="239">
        <f>Table14[[#This Row],[% I donâ€™t use it / discarded]]+Table14[[#This Row],[% Other (specify)(If you use bioslurry directly)]]+Table14[[#This Row],[% Store it first]]+Table14[[#This Row],[% Use directly for various purposes]]</f>
        <v>100</v>
      </c>
      <c r="FE155" s="239" t="s">
        <v>4</v>
      </c>
      <c r="FF155" s="239"/>
      <c r="FG155" s="239"/>
      <c r="FH155" s="239"/>
      <c r="FI155" s="239"/>
      <c r="FJ155" s="239"/>
      <c r="FK155" s="239">
        <v>4</v>
      </c>
      <c r="FL155" s="239" t="s">
        <v>7</v>
      </c>
      <c r="FM155" s="239">
        <v>60</v>
      </c>
      <c r="FN155" s="239">
        <f t="shared" si="14"/>
        <v>2.4</v>
      </c>
      <c r="FO155" s="239" t="s">
        <v>29351</v>
      </c>
      <c r="FP155" s="239" t="s">
        <v>29298</v>
      </c>
      <c r="FQ155" s="239">
        <v>56</v>
      </c>
      <c r="FR155" s="239" t="s">
        <v>2</v>
      </c>
      <c r="FS155" s="239" t="s">
        <v>4</v>
      </c>
      <c r="FT155" s="239" t="s">
        <v>4</v>
      </c>
      <c r="FU155" s="239" t="s">
        <v>7</v>
      </c>
      <c r="FV155" s="239" t="s">
        <v>29299</v>
      </c>
      <c r="FW155" s="239" t="s">
        <v>4</v>
      </c>
      <c r="FX155" s="239" t="s">
        <v>29300</v>
      </c>
      <c r="FY155" s="239" t="s">
        <v>4</v>
      </c>
      <c r="FZ155" s="239" t="s">
        <v>4</v>
      </c>
      <c r="GA155" s="239" t="s">
        <v>4</v>
      </c>
      <c r="GB155" s="240" t="s">
        <v>4</v>
      </c>
      <c r="GC155" s="239" t="s">
        <v>4</v>
      </c>
      <c r="GD155" s="239" t="s">
        <v>2</v>
      </c>
      <c r="GE155" s="239" t="s">
        <v>4</v>
      </c>
      <c r="GF155" s="239" t="s">
        <v>4</v>
      </c>
      <c r="GG155" s="239" t="s">
        <v>7</v>
      </c>
      <c r="GH155" s="239" t="s">
        <v>2</v>
      </c>
      <c r="GI155" s="239" t="s">
        <v>4</v>
      </c>
      <c r="GJ155" s="239" t="s">
        <v>4</v>
      </c>
      <c r="GK155" s="239" t="s">
        <v>4</v>
      </c>
      <c r="GL155" s="239">
        <v>0</v>
      </c>
      <c r="GM155" s="239"/>
      <c r="GN155" s="239" t="s">
        <v>4</v>
      </c>
      <c r="GO155" s="239" t="s">
        <v>4</v>
      </c>
      <c r="GP155" s="239" t="s">
        <v>4</v>
      </c>
      <c r="GQ155" s="239" t="s">
        <v>4</v>
      </c>
      <c r="GR155" s="239" t="s">
        <v>4</v>
      </c>
      <c r="GS155" s="239" t="s">
        <v>4</v>
      </c>
      <c r="GT155" s="239" t="s">
        <v>4</v>
      </c>
      <c r="GU155" s="239" t="s">
        <v>4</v>
      </c>
      <c r="GV155" s="239" t="s">
        <v>4</v>
      </c>
      <c r="GW155" s="239" t="s">
        <v>29304</v>
      </c>
      <c r="GX155" s="239" t="s">
        <v>29305</v>
      </c>
      <c r="GY155" s="239" t="s">
        <v>29323</v>
      </c>
      <c r="GZ155" s="239" t="s">
        <v>4</v>
      </c>
      <c r="HA155" s="239" t="s">
        <v>4</v>
      </c>
      <c r="HB155" s="239" t="s">
        <v>4</v>
      </c>
      <c r="HC155" s="239" t="s">
        <v>4</v>
      </c>
      <c r="HD155" s="239" t="s">
        <v>4</v>
      </c>
      <c r="HE155" s="239" t="s">
        <v>29352</v>
      </c>
      <c r="HF155" s="239" t="s">
        <v>29353</v>
      </c>
      <c r="HG155" s="239" t="s">
        <v>4</v>
      </c>
      <c r="HH155" s="239" t="s">
        <v>29354</v>
      </c>
      <c r="HI155" s="239" t="s">
        <v>4</v>
      </c>
      <c r="HJ155" s="240">
        <v>0</v>
      </c>
      <c r="HK155" s="239" t="s">
        <v>7</v>
      </c>
      <c r="HL155" s="239" t="s">
        <v>29309</v>
      </c>
      <c r="HM155" s="239" t="s">
        <v>4</v>
      </c>
      <c r="HN155" s="239" t="s">
        <v>4</v>
      </c>
      <c r="HO155" s="239" t="s">
        <v>4</v>
      </c>
      <c r="HP155" s="239" t="s">
        <v>4</v>
      </c>
      <c r="HQ155" s="239" t="s">
        <v>4</v>
      </c>
      <c r="HR155" s="239" t="s">
        <v>4</v>
      </c>
      <c r="HS155" s="239" t="s">
        <v>4</v>
      </c>
      <c r="HT155" s="239" t="s">
        <v>4</v>
      </c>
      <c r="HU155" s="239" t="s">
        <v>2</v>
      </c>
      <c r="HV155" s="239" t="s">
        <v>4</v>
      </c>
      <c r="HW155" s="239" t="s">
        <v>4</v>
      </c>
      <c r="HX155" s="239" t="s">
        <v>4</v>
      </c>
      <c r="HY155" s="239" t="s">
        <v>4</v>
      </c>
      <c r="HZ155" s="239" t="s">
        <v>29355</v>
      </c>
      <c r="IA155" s="239" t="s">
        <v>7</v>
      </c>
      <c r="IB155" s="239" t="s">
        <v>29356</v>
      </c>
      <c r="IC155" s="239" t="s">
        <v>29357</v>
      </c>
      <c r="ID155" s="239" t="s">
        <v>29358</v>
      </c>
      <c r="IE155" s="239" t="s">
        <v>29359</v>
      </c>
      <c r="IF155" s="239" t="s">
        <v>29360</v>
      </c>
      <c r="IG155" s="239" t="s">
        <v>29361</v>
      </c>
      <c r="IH155" s="239" t="s">
        <v>29347</v>
      </c>
    </row>
    <row r="156" spans="1:242" s="1" customFormat="1" ht="36.75" customHeight="1" x14ac:dyDescent="0.2">
      <c r="A156" s="239">
        <v>7</v>
      </c>
      <c r="B156" s="239" t="s">
        <v>15678</v>
      </c>
      <c r="C156" s="239" t="s">
        <v>29387</v>
      </c>
      <c r="D156" s="239" t="s">
        <v>29286</v>
      </c>
      <c r="E156" s="239" t="s">
        <v>7</v>
      </c>
      <c r="F156" s="239" t="s">
        <v>29388</v>
      </c>
      <c r="G156" s="239">
        <v>1994.933</v>
      </c>
      <c r="H156" s="239">
        <v>1.513733</v>
      </c>
      <c r="I156" s="239" t="s">
        <v>29389</v>
      </c>
      <c r="J156" s="239" t="s">
        <v>29390</v>
      </c>
      <c r="K156" s="239" t="s">
        <v>29391</v>
      </c>
      <c r="L156" s="239">
        <v>761817152</v>
      </c>
      <c r="M156" s="239" t="s">
        <v>3</v>
      </c>
      <c r="N156" s="239" t="s">
        <v>31438</v>
      </c>
      <c r="O156" s="239">
        <v>23</v>
      </c>
      <c r="P156" s="239">
        <v>8</v>
      </c>
      <c r="Q156" s="239" t="s">
        <v>7</v>
      </c>
      <c r="R156" s="239" t="s">
        <v>31562</v>
      </c>
      <c r="S156" s="239" t="s">
        <v>4</v>
      </c>
      <c r="T156" s="239" t="s">
        <v>7</v>
      </c>
      <c r="U156" s="239" t="s">
        <v>7</v>
      </c>
      <c r="V156" s="239"/>
      <c r="W156" s="239" t="s">
        <v>7</v>
      </c>
      <c r="X156" s="239" t="s">
        <v>4</v>
      </c>
      <c r="Y156" s="239" t="s">
        <v>4</v>
      </c>
      <c r="Z156" s="241" t="str">
        <f>IF(OR(T156="yes",Y156&gt;'SDG outcome'!$C$27),"yes","no")</f>
        <v>yes</v>
      </c>
      <c r="AA156" s="243">
        <f t="shared" si="13"/>
        <v>0</v>
      </c>
      <c r="AB156" s="243" t="str">
        <f>IF(AND(Z156="no",AND(Y156&gt;='SDG outcome'!$B$16,Y156&lt;'SDG outcome'!$C$27)),Y156-'SDG outcome'!$B$16,"")</f>
        <v/>
      </c>
      <c r="AC156" s="239" t="s">
        <v>4</v>
      </c>
      <c r="AD156" s="239" t="s">
        <v>4</v>
      </c>
      <c r="AE156" s="239" t="s">
        <v>4</v>
      </c>
      <c r="AF156" s="239" t="s">
        <v>4</v>
      </c>
      <c r="AG156" s="239" t="s">
        <v>4</v>
      </c>
      <c r="AH156" s="239" t="s">
        <v>4</v>
      </c>
      <c r="AI156" s="239" t="s">
        <v>4</v>
      </c>
      <c r="AJ156" s="239" t="s">
        <v>29290</v>
      </c>
      <c r="AK156" s="239" t="s">
        <v>29291</v>
      </c>
      <c r="AL156" s="239" t="s">
        <v>4</v>
      </c>
      <c r="AM156" s="239" t="s">
        <v>4</v>
      </c>
      <c r="AN156" s="239" t="s">
        <v>31536</v>
      </c>
      <c r="AO156" s="239" t="s">
        <v>4</v>
      </c>
      <c r="AP156" s="239" t="s">
        <v>31537</v>
      </c>
      <c r="AQ156" s="239" t="s">
        <v>4</v>
      </c>
      <c r="AR156" s="239" t="s">
        <v>31538</v>
      </c>
      <c r="AS156" s="239" t="s">
        <v>4</v>
      </c>
      <c r="AT156" s="239" t="s">
        <v>7</v>
      </c>
      <c r="AU156" s="239" t="s">
        <v>4</v>
      </c>
      <c r="AV156" s="239" t="s">
        <v>4</v>
      </c>
      <c r="AW156" s="239" t="s">
        <v>31550</v>
      </c>
      <c r="AX156" s="239" t="s">
        <v>4</v>
      </c>
      <c r="AY156" s="239" t="s">
        <v>4</v>
      </c>
      <c r="AZ156" s="239" t="s">
        <v>2</v>
      </c>
      <c r="BA156" s="239" t="s">
        <v>4</v>
      </c>
      <c r="BB156" s="239" t="s">
        <v>4</v>
      </c>
      <c r="BC156" s="239" t="s">
        <v>4</v>
      </c>
      <c r="BD156" s="239" t="s">
        <v>4</v>
      </c>
      <c r="BE156" s="239" t="s">
        <v>4</v>
      </c>
      <c r="BF156" s="239" t="s">
        <v>4</v>
      </c>
      <c r="BG156" s="239" t="s">
        <v>4</v>
      </c>
      <c r="BH156" s="239" t="s">
        <v>4</v>
      </c>
      <c r="BI156" s="239" t="s">
        <v>4</v>
      </c>
      <c r="BJ156" s="239" t="s">
        <v>4</v>
      </c>
      <c r="BK156" s="239" t="s">
        <v>4</v>
      </c>
      <c r="BL156" s="239" t="s">
        <v>4</v>
      </c>
      <c r="BM156" s="239" t="s">
        <v>7</v>
      </c>
      <c r="BN156" s="239" t="s">
        <v>6</v>
      </c>
      <c r="BO156" s="239" t="s">
        <v>4</v>
      </c>
      <c r="BP156" s="239" t="s">
        <v>31425</v>
      </c>
      <c r="BQ156" s="239">
        <v>1</v>
      </c>
      <c r="BR156" s="239">
        <v>20</v>
      </c>
      <c r="BS156" s="239" t="s">
        <v>31426</v>
      </c>
      <c r="BT156" s="239"/>
      <c r="BU156" s="239">
        <v>2</v>
      </c>
      <c r="BV156" s="239" cm="1">
        <f t="array" ref="BV156">_xlfn.IFS(BS156="Foreword vehicle",BU156*0,BS156="Human wastes",BU156*0,BS156="Jerrycans",BU156*$BV$228,BS156="Number of Basins",BU156*$BV$229,BS156="Number of Buckets",BU156*$CA$226,BS156="Number of Kgs",BU156*$CA$227,BS156="Number of spades",BU156*$CA$228,BS156="Number of wheelbarrows",BU156*$CA$229,BT156="Foreword vehicle",BU156*0,BT156="Human wastes",BU156*0,BT156="Jerrycans",BU156*$BV$228,BS156="","")</f>
        <v>46</v>
      </c>
      <c r="BW156" s="239">
        <f>IF(BV156="","",Table14[[#This Row],[Calculation: Conversion of metric to Kg manure feeding (Columns: BP, BQ, BR)]]*Table14[[#This Row],[Number of times used to feed biodigester]])</f>
        <v>46</v>
      </c>
      <c r="BX156" s="239" cm="1">
        <f t="array" ref="BX156">_xlfn.IFS(BP156="Number of times per day (1 to 3)",BW156/$BX$226,BP156="Number of times per week (1 to 6)",BW156/$BX$227,BP156="Number of times per Month (1 to 3)",BW156/$BX$228,BW156="","")</f>
        <v>46</v>
      </c>
      <c r="BY156" s="239" t="s">
        <v>22</v>
      </c>
      <c r="BZ156" s="239" t="s">
        <v>4</v>
      </c>
      <c r="CA156" s="239" t="s">
        <v>2</v>
      </c>
      <c r="CB156" s="239" t="s">
        <v>4</v>
      </c>
      <c r="CC156" s="239" t="s">
        <v>4</v>
      </c>
      <c r="CD156" s="239" t="s">
        <v>4</v>
      </c>
      <c r="CE156" s="239" t="s">
        <v>7</v>
      </c>
      <c r="CF156" s="239" t="s">
        <v>31567</v>
      </c>
      <c r="CG156" s="239" t="s">
        <v>4</v>
      </c>
      <c r="CH156" s="239" t="s">
        <v>31578</v>
      </c>
      <c r="CI156" s="239">
        <v>3</v>
      </c>
      <c r="CJ156" s="239">
        <v>0</v>
      </c>
      <c r="CK156" s="239">
        <v>0</v>
      </c>
      <c r="CL156" s="239">
        <v>0</v>
      </c>
      <c r="CM156" s="239">
        <v>0</v>
      </c>
      <c r="CN156" s="239">
        <v>100</v>
      </c>
      <c r="CO156" s="239">
        <v>0</v>
      </c>
      <c r="CP156" s="239">
        <v>0</v>
      </c>
      <c r="CQ156" s="239">
        <v>0</v>
      </c>
      <c r="CR156" s="239">
        <v>0</v>
      </c>
      <c r="CS156" s="239">
        <f>CP156/'SDG outcome'!$C$9*CQ156*CR156</f>
        <v>0</v>
      </c>
      <c r="CT156" s="239">
        <v>100</v>
      </c>
      <c r="CU156" s="239">
        <v>0</v>
      </c>
      <c r="CV156" s="239" t="s">
        <v>4</v>
      </c>
      <c r="CW156" s="239" t="s">
        <v>4</v>
      </c>
      <c r="CX156" s="239" t="s">
        <v>4</v>
      </c>
      <c r="CY156" s="239" t="s">
        <v>4</v>
      </c>
      <c r="CZ156" s="239" t="s">
        <v>4</v>
      </c>
      <c r="DA156" s="239" t="s">
        <v>4</v>
      </c>
      <c r="DB156" s="239" t="s">
        <v>4</v>
      </c>
      <c r="DC156" s="239" t="s">
        <v>4</v>
      </c>
      <c r="DD156" s="239" t="s">
        <v>4</v>
      </c>
      <c r="DE156" s="239" t="s">
        <v>4</v>
      </c>
      <c r="DF156" s="239">
        <v>0</v>
      </c>
      <c r="DG156" s="239">
        <v>100</v>
      </c>
      <c r="DH156" s="239" t="s">
        <v>31580</v>
      </c>
      <c r="DI156" s="239" t="s">
        <v>4</v>
      </c>
      <c r="DJ156" s="239" t="s">
        <v>4</v>
      </c>
      <c r="DK156" s="239" t="s">
        <v>4</v>
      </c>
      <c r="DL156" s="239" t="s">
        <v>4</v>
      </c>
      <c r="DM156" s="239" t="s">
        <v>4</v>
      </c>
      <c r="DN156" s="239" t="s">
        <v>4</v>
      </c>
      <c r="DO156" s="239">
        <v>3</v>
      </c>
      <c r="DP156" s="239" t="s">
        <v>2</v>
      </c>
      <c r="DQ156" s="239" t="s">
        <v>29292</v>
      </c>
      <c r="DR156" s="239" t="s">
        <v>4</v>
      </c>
      <c r="DS156" s="239" t="s">
        <v>29294</v>
      </c>
      <c r="DT156" s="240" t="s">
        <v>4</v>
      </c>
      <c r="DU156" s="239" t="s">
        <v>29294</v>
      </c>
      <c r="DV156" s="240" t="s">
        <v>4</v>
      </c>
      <c r="DW156" s="239" t="s">
        <v>29295</v>
      </c>
      <c r="DX156" s="239">
        <v>100</v>
      </c>
      <c r="DY156" s="239" t="s">
        <v>29296</v>
      </c>
      <c r="DZ156" s="239">
        <v>100</v>
      </c>
      <c r="EA156" s="239"/>
      <c r="EB156" s="239"/>
      <c r="EC156" s="239"/>
      <c r="ED156" s="239"/>
      <c r="EE156" s="320">
        <f>Table14[[#This Row],[% Fertilizer]]*$DX156/10000</f>
        <v>1</v>
      </c>
      <c r="EF156" s="320">
        <f>Table14[[#This Row],[% bioslurry used as Insecticide/Pesticide]]*$DX156/10000</f>
        <v>0</v>
      </c>
      <c r="EG156" s="320">
        <f>Table14[[#This Row],[% of Bioslurry used as animal feed]]*$DX156/10000</f>
        <v>0</v>
      </c>
      <c r="EH156" s="320">
        <f>Table14[[#This Row],[% of Bioslurry sold]]*$DX156/10000</f>
        <v>0</v>
      </c>
      <c r="EI156" s="320">
        <f>Table14[[#This Row],[% used other way(if used directly)]]*$DX156/10000</f>
        <v>0</v>
      </c>
      <c r="EJ156" s="239"/>
      <c r="EK156" s="239"/>
      <c r="EL156" s="239"/>
      <c r="EM156" s="239"/>
      <c r="EN156" s="239"/>
      <c r="EO156" s="239">
        <f>(Table14[[#This Row],[% Uncovered lagoon greater than 1 meter]]+Table14[[#This Row],[Uncovered lagoon (black watery mass) &lt;1 meter]]+Table14[[#This Row],[% Liquid slurry (brown porridge type)]])*Table14[[#This Row],[% Store it first]]/100</f>
        <v>0</v>
      </c>
      <c r="EP156" s="239"/>
      <c r="EQ156" s="239"/>
      <c r="ER156" s="239"/>
      <c r="ES156" s="239"/>
      <c r="ET156" s="239">
        <f>(Table14[[#This Row],[% Solid storage]]+Table14[[#This Row],[% Sun drying]]+Table14[[#This Row],[% Composting with a roof]]+Table14[[#This Row],[% Composting without a roof]])*Table14[[#This Row],[% Store it first]]/100</f>
        <v>0</v>
      </c>
      <c r="EU156" s="239"/>
      <c r="EV156" s="320">
        <f t="shared" si="15"/>
        <v>0</v>
      </c>
      <c r="EW156" s="320">
        <f t="shared" si="16"/>
        <v>0</v>
      </c>
      <c r="EX156" s="320">
        <f t="shared" si="17"/>
        <v>0</v>
      </c>
      <c r="EY156" s="320">
        <f t="shared" si="18"/>
        <v>0</v>
      </c>
      <c r="EZ156" s="320">
        <f t="shared" si="19"/>
        <v>0</v>
      </c>
      <c r="FA156" s="239"/>
      <c r="FB156" s="239"/>
      <c r="FC156" s="239"/>
      <c r="FD156" s="239">
        <f>Table14[[#This Row],[% I donâ€™t use it / discarded]]+Table14[[#This Row],[% Other (specify)(If you use bioslurry directly)]]+Table14[[#This Row],[% Store it first]]+Table14[[#This Row],[% Use directly for various purposes]]</f>
        <v>100</v>
      </c>
      <c r="FE156" s="239" t="s">
        <v>4</v>
      </c>
      <c r="FF156" s="239"/>
      <c r="FG156" s="239"/>
      <c r="FH156" s="239"/>
      <c r="FI156" s="239"/>
      <c r="FJ156" s="239"/>
      <c r="FK156" s="239">
        <v>0.4</v>
      </c>
      <c r="FL156" s="239" t="s">
        <v>7</v>
      </c>
      <c r="FM156" s="239">
        <v>40</v>
      </c>
      <c r="FN156" s="239">
        <f t="shared" si="14"/>
        <v>0.16</v>
      </c>
      <c r="FO156" s="239" t="s">
        <v>29392</v>
      </c>
      <c r="FP156" s="239" t="s">
        <v>29298</v>
      </c>
      <c r="FQ156" s="239">
        <v>20</v>
      </c>
      <c r="FR156" s="239" t="s">
        <v>7</v>
      </c>
      <c r="FS156" s="239" t="s">
        <v>29393</v>
      </c>
      <c r="FT156" s="239" t="s">
        <v>4</v>
      </c>
      <c r="FU156" s="239" t="s">
        <v>7</v>
      </c>
      <c r="FV156" s="239" t="s">
        <v>29376</v>
      </c>
      <c r="FW156" s="239" t="s">
        <v>29394</v>
      </c>
      <c r="FX156" s="239" t="s">
        <v>29300</v>
      </c>
      <c r="FY156" s="239" t="s">
        <v>4</v>
      </c>
      <c r="FZ156" s="239" t="s">
        <v>4</v>
      </c>
      <c r="GA156" s="239" t="s">
        <v>4</v>
      </c>
      <c r="GB156" s="240" t="s">
        <v>4</v>
      </c>
      <c r="GC156" s="239" t="s">
        <v>4</v>
      </c>
      <c r="GD156" s="239" t="s">
        <v>2</v>
      </c>
      <c r="GE156" s="239" t="s">
        <v>4</v>
      </c>
      <c r="GF156" s="239" t="s">
        <v>4</v>
      </c>
      <c r="GG156" s="239" t="s">
        <v>2</v>
      </c>
      <c r="GH156" s="239" t="s">
        <v>7</v>
      </c>
      <c r="GI156" s="239" t="s">
        <v>29302</v>
      </c>
      <c r="GJ156" s="239" t="s">
        <v>29395</v>
      </c>
      <c r="GK156" s="239" t="s">
        <v>29304</v>
      </c>
      <c r="GL156" s="239">
        <v>0.5</v>
      </c>
      <c r="GM156" s="239" t="s">
        <v>29396</v>
      </c>
      <c r="GN156" s="239" t="s">
        <v>4</v>
      </c>
      <c r="GO156" s="239" t="s">
        <v>4</v>
      </c>
      <c r="GP156" s="239" t="s">
        <v>29397</v>
      </c>
      <c r="GQ156" s="239" t="s">
        <v>4</v>
      </c>
      <c r="GR156" s="239" t="s">
        <v>4</v>
      </c>
      <c r="GS156" s="239" t="s">
        <v>4</v>
      </c>
      <c r="GT156" s="239" t="s">
        <v>4</v>
      </c>
      <c r="GU156" s="239" t="s">
        <v>4</v>
      </c>
      <c r="GV156" s="239" t="s">
        <v>4</v>
      </c>
      <c r="GW156" s="239" t="s">
        <v>4</v>
      </c>
      <c r="GX156" s="239" t="s">
        <v>4</v>
      </c>
      <c r="GY156" s="239" t="s">
        <v>4</v>
      </c>
      <c r="GZ156" s="239" t="s">
        <v>4</v>
      </c>
      <c r="HA156" s="239" t="s">
        <v>4</v>
      </c>
      <c r="HB156" s="239" t="s">
        <v>4</v>
      </c>
      <c r="HC156" s="239" t="s">
        <v>4</v>
      </c>
      <c r="HD156" s="239" t="s">
        <v>4</v>
      </c>
      <c r="HE156" s="239" t="s">
        <v>4</v>
      </c>
      <c r="HF156" s="239" t="s">
        <v>4</v>
      </c>
      <c r="HG156" s="239" t="s">
        <v>4</v>
      </c>
      <c r="HH156" s="239" t="s">
        <v>29379</v>
      </c>
      <c r="HI156" s="239" t="s">
        <v>4</v>
      </c>
      <c r="HJ156" s="240">
        <v>0</v>
      </c>
      <c r="HK156" s="239" t="s">
        <v>29325</v>
      </c>
      <c r="HL156" s="239" t="s">
        <v>29309</v>
      </c>
      <c r="HM156" s="239" t="s">
        <v>4</v>
      </c>
      <c r="HN156" s="239" t="s">
        <v>4</v>
      </c>
      <c r="HO156" s="239" t="s">
        <v>4</v>
      </c>
      <c r="HP156" s="239" t="s">
        <v>4</v>
      </c>
      <c r="HQ156" s="239" t="s">
        <v>4</v>
      </c>
      <c r="HR156" s="239" t="s">
        <v>4</v>
      </c>
      <c r="HS156" s="239" t="s">
        <v>4</v>
      </c>
      <c r="HT156" s="239" t="s">
        <v>4</v>
      </c>
      <c r="HU156" s="239" t="s">
        <v>2</v>
      </c>
      <c r="HV156" s="239" t="s">
        <v>4</v>
      </c>
      <c r="HW156" s="239" t="s">
        <v>4</v>
      </c>
      <c r="HX156" s="239" t="s">
        <v>4</v>
      </c>
      <c r="HY156" s="239" t="s">
        <v>4</v>
      </c>
      <c r="HZ156" s="239" t="s">
        <v>29398</v>
      </c>
      <c r="IA156" s="239" t="s">
        <v>2</v>
      </c>
      <c r="IB156" s="239" t="s">
        <v>4</v>
      </c>
      <c r="IC156" s="239" t="s">
        <v>29399</v>
      </c>
      <c r="ID156" s="239" t="s">
        <v>29400</v>
      </c>
      <c r="IE156" s="239" t="s">
        <v>29401</v>
      </c>
      <c r="IF156" s="239" t="s">
        <v>29402</v>
      </c>
      <c r="IG156" s="239" t="s">
        <v>29403</v>
      </c>
      <c r="IH156" s="239" t="s">
        <v>29387</v>
      </c>
    </row>
    <row r="157" spans="1:242" s="1" customFormat="1" ht="36.75" customHeight="1" x14ac:dyDescent="0.2">
      <c r="A157" s="239">
        <v>18</v>
      </c>
      <c r="B157" s="239" t="s">
        <v>27586</v>
      </c>
      <c r="C157" s="239" t="s">
        <v>29537</v>
      </c>
      <c r="D157" s="239" t="s">
        <v>52</v>
      </c>
      <c r="E157" s="239" t="s">
        <v>7</v>
      </c>
      <c r="F157" s="239" t="s">
        <v>29538</v>
      </c>
      <c r="G157" s="239">
        <v>1597.5</v>
      </c>
      <c r="H157" s="239">
        <v>4.9000000000000004</v>
      </c>
      <c r="I157" s="239" t="s">
        <v>29288</v>
      </c>
      <c r="J157" s="239" t="s">
        <v>4</v>
      </c>
      <c r="K157" s="239" t="s">
        <v>29539</v>
      </c>
      <c r="L157" s="239">
        <v>772611432</v>
      </c>
      <c r="M157" s="239" t="s">
        <v>3</v>
      </c>
      <c r="N157" s="239" t="s">
        <v>31598</v>
      </c>
      <c r="O157" s="239" t="s">
        <v>4</v>
      </c>
      <c r="P157" s="239">
        <v>12</v>
      </c>
      <c r="Q157" s="239" t="s">
        <v>7</v>
      </c>
      <c r="R157" s="239" t="s">
        <v>31622</v>
      </c>
      <c r="S157" s="239" t="s">
        <v>31637</v>
      </c>
      <c r="T157" s="239" t="s">
        <v>7</v>
      </c>
      <c r="U157" s="239" t="s">
        <v>2</v>
      </c>
      <c r="V157" s="239">
        <v>240</v>
      </c>
      <c r="W157" s="239" t="s">
        <v>7</v>
      </c>
      <c r="X157" s="239" t="s">
        <v>4</v>
      </c>
      <c r="Y157" s="239" t="s">
        <v>4</v>
      </c>
      <c r="Z157" s="241" t="str">
        <f>IF(OR(T157="yes",Y157&gt;'SDG outcome'!$C$27),"yes","no")</f>
        <v>yes</v>
      </c>
      <c r="AA157" s="243">
        <f t="shared" si="13"/>
        <v>240</v>
      </c>
      <c r="AB157" s="243" t="str">
        <f>IF(AND(Z157="no",AND(Y157&gt;='SDG outcome'!$B$16,Y157&lt;'SDG outcome'!$C$27)),Y157-'SDG outcome'!$B$16,"")</f>
        <v/>
      </c>
      <c r="AC157" s="239" t="s">
        <v>4</v>
      </c>
      <c r="AD157" s="239" t="s">
        <v>4</v>
      </c>
      <c r="AE157" s="239" t="s">
        <v>4</v>
      </c>
      <c r="AF157" s="239" t="s">
        <v>4</v>
      </c>
      <c r="AG157" s="239" t="s">
        <v>4</v>
      </c>
      <c r="AH157" s="239" t="s">
        <v>4</v>
      </c>
      <c r="AI157" s="239" t="s">
        <v>4</v>
      </c>
      <c r="AJ157" s="239" t="s">
        <v>29290</v>
      </c>
      <c r="AK157" s="239" t="s">
        <v>29540</v>
      </c>
      <c r="AL157" s="239" t="s">
        <v>4</v>
      </c>
      <c r="AM157" s="239" t="s">
        <v>4</v>
      </c>
      <c r="AN157" s="239" t="s">
        <v>31536</v>
      </c>
      <c r="AO157" s="239" t="s">
        <v>4</v>
      </c>
      <c r="AP157" s="239" t="s">
        <v>31537</v>
      </c>
      <c r="AQ157" s="239" t="s">
        <v>4</v>
      </c>
      <c r="AR157" s="239" t="s">
        <v>31601</v>
      </c>
      <c r="AS157" s="239" t="s">
        <v>4</v>
      </c>
      <c r="AT157" s="239" t="s">
        <v>7</v>
      </c>
      <c r="AU157" s="239" t="s">
        <v>4</v>
      </c>
      <c r="AV157" s="239" t="s">
        <v>4</v>
      </c>
      <c r="AW157" s="239" t="s">
        <v>31539</v>
      </c>
      <c r="AX157" s="239" t="s">
        <v>4</v>
      </c>
      <c r="AY157" s="239" t="s">
        <v>4</v>
      </c>
      <c r="AZ157" s="239" t="s">
        <v>2</v>
      </c>
      <c r="BA157" s="239" t="s">
        <v>4</v>
      </c>
      <c r="BB157" s="239" t="s">
        <v>4</v>
      </c>
      <c r="BC157" s="239" t="s">
        <v>31563</v>
      </c>
      <c r="BD157" s="239" t="s">
        <v>22</v>
      </c>
      <c r="BE157" s="239" t="s">
        <v>4</v>
      </c>
      <c r="BF157" s="239" t="s">
        <v>31564</v>
      </c>
      <c r="BG157" s="239" t="s">
        <v>4</v>
      </c>
      <c r="BH157" s="239" t="s">
        <v>31542</v>
      </c>
      <c r="BI157" s="239" t="s">
        <v>31638</v>
      </c>
      <c r="BJ157" s="239" t="s">
        <v>31616</v>
      </c>
      <c r="BK157" s="239">
        <v>2</v>
      </c>
      <c r="BL157" s="239">
        <v>120</v>
      </c>
      <c r="BM157" s="239" t="s">
        <v>7</v>
      </c>
      <c r="BN157" s="239" t="s">
        <v>6</v>
      </c>
      <c r="BO157" s="239" t="s">
        <v>4</v>
      </c>
      <c r="BP157" s="239" t="s">
        <v>31429</v>
      </c>
      <c r="BQ157" s="239">
        <v>3</v>
      </c>
      <c r="BR157" s="239">
        <v>120</v>
      </c>
      <c r="BS157" s="239" t="s">
        <v>31434</v>
      </c>
      <c r="BT157" s="239"/>
      <c r="BU157" s="239">
        <v>3</v>
      </c>
      <c r="BV157" s="239" cm="1">
        <f t="array" ref="BV157">_xlfn.IFS(BS157="Foreword vehicle",BU157*0,BS157="Human wastes",BU157*0,BS157="Jerrycans",BU157*$BV$228,BS157="Number of Basins",BU157*$BV$229,BS157="Number of Buckets",BU157*$CA$226,BS157="Number of Kgs",BU157*$CA$227,BS157="Number of spades",BU157*$CA$228,BS157="Number of wheelbarrows",BU157*$CA$229,BT157="Foreword vehicle",BU157*0,BT157="Human wastes",BU157*0,BT157="Jerrycans",BU157*$BV$228,BS157="","")</f>
        <v>48</v>
      </c>
      <c r="BW157" s="239">
        <f>IF(BV157="","",Table14[[#This Row],[Calculation: Conversion of metric to Kg manure feeding (Columns: BP, BQ, BR)]]*Table14[[#This Row],[Number of times used to feed biodigester]])</f>
        <v>144</v>
      </c>
      <c r="BX157" s="239" cm="1">
        <f t="array" ref="BX157">_xlfn.IFS(BP157="Number of times per day (1 to 3)",BW157/$BX$226,BP157="Number of times per week (1 to 6)",BW157/$BX$227,BP157="Number of times per Month (1 to 3)",BW157/$BX$228,BW157="","")</f>
        <v>20.571428571428573</v>
      </c>
      <c r="BY157" s="239" t="s">
        <v>22</v>
      </c>
      <c r="BZ157" s="239" t="s">
        <v>4</v>
      </c>
      <c r="CA157" s="239" t="s">
        <v>2</v>
      </c>
      <c r="CB157" s="239" t="s">
        <v>4</v>
      </c>
      <c r="CC157" s="239" t="s">
        <v>4</v>
      </c>
      <c r="CD157" s="239" t="s">
        <v>4</v>
      </c>
      <c r="CE157" s="239" t="s">
        <v>7</v>
      </c>
      <c r="CF157" s="239" t="s">
        <v>31639</v>
      </c>
      <c r="CG157" s="239" t="s">
        <v>4</v>
      </c>
      <c r="CH157" s="239" t="s">
        <v>31604</v>
      </c>
      <c r="CI157" s="239">
        <v>3</v>
      </c>
      <c r="CJ157" s="239">
        <v>0</v>
      </c>
      <c r="CK157" s="239">
        <v>0</v>
      </c>
      <c r="CL157" s="239">
        <v>0</v>
      </c>
      <c r="CM157" s="239">
        <v>0</v>
      </c>
      <c r="CN157" s="239">
        <v>0</v>
      </c>
      <c r="CO157" s="239">
        <v>0</v>
      </c>
      <c r="CP157" s="239">
        <v>0</v>
      </c>
      <c r="CQ157" s="239">
        <v>0</v>
      </c>
      <c r="CR157" s="239">
        <v>0</v>
      </c>
      <c r="CS157" s="239">
        <f>CP157/'SDG outcome'!$C$9*CQ157*CR157</f>
        <v>0</v>
      </c>
      <c r="CT157" s="239">
        <v>100</v>
      </c>
      <c r="CU157" s="239">
        <v>0</v>
      </c>
      <c r="CV157" s="239" t="s">
        <v>4</v>
      </c>
      <c r="CW157" s="239" t="s">
        <v>4</v>
      </c>
      <c r="CX157" s="239" t="s">
        <v>4</v>
      </c>
      <c r="CY157" s="239" t="s">
        <v>4</v>
      </c>
      <c r="CZ157" s="239" t="s">
        <v>4</v>
      </c>
      <c r="DA157" s="239" t="s">
        <v>4</v>
      </c>
      <c r="DB157" s="239" t="s">
        <v>4</v>
      </c>
      <c r="DC157" s="239" t="s">
        <v>4</v>
      </c>
      <c r="DD157" s="239" t="s">
        <v>4</v>
      </c>
      <c r="DE157" s="239" t="s">
        <v>4</v>
      </c>
      <c r="DF157" s="239" t="s">
        <v>4</v>
      </c>
      <c r="DG157" s="239" t="s">
        <v>4</v>
      </c>
      <c r="DH157" s="239" t="s">
        <v>4</v>
      </c>
      <c r="DI157" s="239" t="s">
        <v>4</v>
      </c>
      <c r="DJ157" s="239" t="s">
        <v>4</v>
      </c>
      <c r="DK157" s="239" t="s">
        <v>4</v>
      </c>
      <c r="DL157" s="239" t="s">
        <v>4</v>
      </c>
      <c r="DM157" s="239" t="s">
        <v>4</v>
      </c>
      <c r="DN157" s="239" t="s">
        <v>4</v>
      </c>
      <c r="DO157" s="239">
        <v>0.5</v>
      </c>
      <c r="DP157" s="239" t="s">
        <v>2</v>
      </c>
      <c r="DQ157" s="239" t="s">
        <v>29375</v>
      </c>
      <c r="DR157" s="239" t="s">
        <v>4</v>
      </c>
      <c r="DS157" s="239" t="s">
        <v>4</v>
      </c>
      <c r="DT157" s="240" t="s">
        <v>4</v>
      </c>
      <c r="DU157" s="239" t="s">
        <v>29293</v>
      </c>
      <c r="DV157" s="240">
        <v>30000</v>
      </c>
      <c r="DW157" s="239" t="s">
        <v>29295</v>
      </c>
      <c r="DX157" s="239">
        <v>100</v>
      </c>
      <c r="DY157" s="239" t="s">
        <v>29296</v>
      </c>
      <c r="DZ157" s="239">
        <v>100</v>
      </c>
      <c r="EA157" s="239"/>
      <c r="EB157" s="239"/>
      <c r="EC157" s="239"/>
      <c r="ED157" s="239"/>
      <c r="EE157" s="320">
        <f>Table14[[#This Row],[% Fertilizer]]*$DX157/10000</f>
        <v>1</v>
      </c>
      <c r="EF157" s="320">
        <f>Table14[[#This Row],[% bioslurry used as Insecticide/Pesticide]]*$DX157/10000</f>
        <v>0</v>
      </c>
      <c r="EG157" s="320">
        <f>Table14[[#This Row],[% of Bioslurry used as animal feed]]*$DX157/10000</f>
        <v>0</v>
      </c>
      <c r="EH157" s="320">
        <f>Table14[[#This Row],[% of Bioslurry sold]]*$DX157/10000</f>
        <v>0</v>
      </c>
      <c r="EI157" s="320">
        <f>Table14[[#This Row],[% used other way(if used directly)]]*$DX157/10000</f>
        <v>0</v>
      </c>
      <c r="EJ157" s="239"/>
      <c r="EK157" s="239"/>
      <c r="EL157" s="239"/>
      <c r="EM157" s="239"/>
      <c r="EN157" s="239"/>
      <c r="EO157" s="239">
        <f>(Table14[[#This Row],[% Uncovered lagoon greater than 1 meter]]+Table14[[#This Row],[Uncovered lagoon (black watery mass) &lt;1 meter]]+Table14[[#This Row],[% Liquid slurry (brown porridge type)]])*Table14[[#This Row],[% Store it first]]/100</f>
        <v>0</v>
      </c>
      <c r="EP157" s="239"/>
      <c r="EQ157" s="239"/>
      <c r="ER157" s="239"/>
      <c r="ES157" s="239"/>
      <c r="ET157" s="239">
        <f>(Table14[[#This Row],[% Solid storage]]+Table14[[#This Row],[% Sun drying]]+Table14[[#This Row],[% Composting with a roof]]+Table14[[#This Row],[% Composting without a roof]])*Table14[[#This Row],[% Store it first]]/100</f>
        <v>0</v>
      </c>
      <c r="EU157" s="239"/>
      <c r="EV157" s="320">
        <f t="shared" si="15"/>
        <v>0</v>
      </c>
      <c r="EW157" s="320">
        <f t="shared" si="16"/>
        <v>0</v>
      </c>
      <c r="EX157" s="320">
        <f t="shared" si="17"/>
        <v>0</v>
      </c>
      <c r="EY157" s="320">
        <f t="shared" si="18"/>
        <v>0</v>
      </c>
      <c r="EZ157" s="320">
        <f t="shared" si="19"/>
        <v>0</v>
      </c>
      <c r="FA157" s="239"/>
      <c r="FB157" s="239"/>
      <c r="FC157" s="239"/>
      <c r="FD157" s="239">
        <f>Table14[[#This Row],[% I donâ€™t use it / discarded]]+Table14[[#This Row],[% Other (specify)(If you use bioslurry directly)]]+Table14[[#This Row],[% Store it first]]+Table14[[#This Row],[% Use directly for various purposes]]</f>
        <v>100</v>
      </c>
      <c r="FE157" s="239" t="s">
        <v>4</v>
      </c>
      <c r="FF157" s="239"/>
      <c r="FG157" s="239"/>
      <c r="FH157" s="239"/>
      <c r="FI157" s="239"/>
      <c r="FJ157" s="239"/>
      <c r="FK157" s="239">
        <v>1.6</v>
      </c>
      <c r="FL157" s="239" t="s">
        <v>7</v>
      </c>
      <c r="FM157" s="239">
        <v>25</v>
      </c>
      <c r="FN157" s="239">
        <f t="shared" si="14"/>
        <v>0.4</v>
      </c>
      <c r="FO157" s="239" t="s">
        <v>29541</v>
      </c>
      <c r="FP157" s="239" t="s">
        <v>29298</v>
      </c>
      <c r="FQ157" s="239">
        <v>39</v>
      </c>
      <c r="FR157" s="239" t="s">
        <v>7</v>
      </c>
      <c r="FS157" s="239" t="s">
        <v>29393</v>
      </c>
      <c r="FT157" s="239" t="s">
        <v>4</v>
      </c>
      <c r="FU157" s="239" t="s">
        <v>7</v>
      </c>
      <c r="FV157" s="239" t="s">
        <v>29393</v>
      </c>
      <c r="FW157" s="239" t="s">
        <v>4</v>
      </c>
      <c r="FX157" s="239" t="s">
        <v>29300</v>
      </c>
      <c r="FY157" s="239" t="s">
        <v>4</v>
      </c>
      <c r="FZ157" s="239" t="s">
        <v>4</v>
      </c>
      <c r="GA157" s="239" t="s">
        <v>4</v>
      </c>
      <c r="GB157" s="240" t="s">
        <v>4</v>
      </c>
      <c r="GC157" s="239" t="s">
        <v>4</v>
      </c>
      <c r="GD157" s="239" t="s">
        <v>7</v>
      </c>
      <c r="GE157" s="239" t="s">
        <v>29526</v>
      </c>
      <c r="GF157" s="239" t="s">
        <v>29542</v>
      </c>
      <c r="GG157" s="239" t="s">
        <v>2</v>
      </c>
      <c r="GH157" s="239" t="s">
        <v>2</v>
      </c>
      <c r="GI157" s="239" t="s">
        <v>4</v>
      </c>
      <c r="GJ157" s="239" t="s">
        <v>4</v>
      </c>
      <c r="GK157" s="239" t="s">
        <v>29433</v>
      </c>
      <c r="GL157" s="239">
        <v>0</v>
      </c>
      <c r="GM157" s="239"/>
      <c r="GN157" s="239" t="s">
        <v>4</v>
      </c>
      <c r="GO157" s="239" t="s">
        <v>4</v>
      </c>
      <c r="GP157" s="239" t="s">
        <v>4</v>
      </c>
      <c r="GQ157" s="239" t="s">
        <v>4</v>
      </c>
      <c r="GR157" s="239" t="s">
        <v>4</v>
      </c>
      <c r="GS157" s="239" t="s">
        <v>4</v>
      </c>
      <c r="GT157" s="239" t="s">
        <v>4</v>
      </c>
      <c r="GU157" s="239" t="s">
        <v>13</v>
      </c>
      <c r="GV157" s="239" t="s">
        <v>29543</v>
      </c>
      <c r="GW157" s="239" t="s">
        <v>4</v>
      </c>
      <c r="GX157" s="239" t="s">
        <v>4</v>
      </c>
      <c r="GY157" s="239" t="s">
        <v>4</v>
      </c>
      <c r="GZ157" s="239" t="s">
        <v>4</v>
      </c>
      <c r="HA157" s="239" t="s">
        <v>4</v>
      </c>
      <c r="HB157" s="239" t="s">
        <v>4</v>
      </c>
      <c r="HC157" s="239" t="s">
        <v>4</v>
      </c>
      <c r="HD157" s="239" t="s">
        <v>4</v>
      </c>
      <c r="HE157" s="239" t="s">
        <v>4</v>
      </c>
      <c r="HF157" s="239" t="s">
        <v>4</v>
      </c>
      <c r="HG157" s="239" t="s">
        <v>4</v>
      </c>
      <c r="HH157" s="239" t="s">
        <v>29410</v>
      </c>
      <c r="HI157" s="239" t="s">
        <v>4</v>
      </c>
      <c r="HJ157" s="240">
        <v>0</v>
      </c>
      <c r="HK157" s="239" t="s">
        <v>2</v>
      </c>
      <c r="HL157" s="239" t="s">
        <v>29309</v>
      </c>
      <c r="HM157" s="239" t="s">
        <v>4</v>
      </c>
      <c r="HN157" s="239" t="s">
        <v>4</v>
      </c>
      <c r="HO157" s="239" t="s">
        <v>4</v>
      </c>
      <c r="HP157" s="239" t="s">
        <v>4</v>
      </c>
      <c r="HQ157" s="239" t="s">
        <v>4</v>
      </c>
      <c r="HR157" s="239" t="s">
        <v>4</v>
      </c>
      <c r="HS157" s="239" t="s">
        <v>4</v>
      </c>
      <c r="HT157" s="239" t="s">
        <v>4</v>
      </c>
      <c r="HU157" s="239" t="s">
        <v>2</v>
      </c>
      <c r="HV157" s="239" t="s">
        <v>4</v>
      </c>
      <c r="HW157" s="239" t="s">
        <v>4</v>
      </c>
      <c r="HX157" s="239" t="s">
        <v>4</v>
      </c>
      <c r="HY157" s="239" t="s">
        <v>4</v>
      </c>
      <c r="HZ157" s="239" t="s">
        <v>29544</v>
      </c>
      <c r="IA157" s="239" t="s">
        <v>7</v>
      </c>
      <c r="IB157" s="239" t="s">
        <v>29545</v>
      </c>
      <c r="IC157" s="239" t="s">
        <v>16</v>
      </c>
      <c r="ID157" s="239" t="s">
        <v>29546</v>
      </c>
      <c r="IE157" s="239" t="s">
        <v>29547</v>
      </c>
      <c r="IF157" s="239" t="s">
        <v>29548</v>
      </c>
      <c r="IG157" s="239" t="s">
        <v>29549</v>
      </c>
      <c r="IH157" s="239" t="s">
        <v>29550</v>
      </c>
    </row>
    <row r="158" spans="1:242" s="1" customFormat="1" ht="36.75" customHeight="1" x14ac:dyDescent="0.2">
      <c r="A158" s="239">
        <v>64</v>
      </c>
      <c r="B158" s="239" t="s">
        <v>27715</v>
      </c>
      <c r="C158" s="239" t="s">
        <v>30017</v>
      </c>
      <c r="D158" s="239" t="s">
        <v>30002</v>
      </c>
      <c r="E158" s="239" t="s">
        <v>7</v>
      </c>
      <c r="F158" s="239" t="s">
        <v>30018</v>
      </c>
      <c r="G158" s="239">
        <v>1189.8</v>
      </c>
      <c r="H158" s="239">
        <v>3.2</v>
      </c>
      <c r="I158" s="239" t="s">
        <v>29288</v>
      </c>
      <c r="J158" s="239" t="s">
        <v>4</v>
      </c>
      <c r="K158" s="239" t="s">
        <v>30019</v>
      </c>
      <c r="L158" s="239">
        <v>772648212</v>
      </c>
      <c r="M158" s="239" t="s">
        <v>3</v>
      </c>
      <c r="N158" s="239" t="s">
        <v>31438</v>
      </c>
      <c r="O158" s="239">
        <v>77</v>
      </c>
      <c r="P158" s="239">
        <v>3</v>
      </c>
      <c r="Q158" s="239" t="s">
        <v>7</v>
      </c>
      <c r="R158" s="239" t="s">
        <v>31549</v>
      </c>
      <c r="S158" s="239" t="s">
        <v>4</v>
      </c>
      <c r="T158" s="239" t="s">
        <v>7</v>
      </c>
      <c r="U158" s="239" t="s">
        <v>7</v>
      </c>
      <c r="V158" s="239"/>
      <c r="W158" s="239" t="s">
        <v>7</v>
      </c>
      <c r="X158" s="239" t="s">
        <v>4</v>
      </c>
      <c r="Y158" s="239" t="s">
        <v>4</v>
      </c>
      <c r="Z158" s="241" t="str">
        <f>IF(OR(T158="yes",Y158&gt;'SDG outcome'!$C$27),"yes","no")</f>
        <v>yes</v>
      </c>
      <c r="AA158" s="243">
        <f t="shared" si="13"/>
        <v>0</v>
      </c>
      <c r="AB158" s="243" t="str">
        <f>IF(AND(Z158="no",AND(Y158&gt;='SDG outcome'!$B$16,Y158&lt;'SDG outcome'!$C$27)),Y158-'SDG outcome'!$B$16,"")</f>
        <v/>
      </c>
      <c r="AC158" s="239" t="s">
        <v>4</v>
      </c>
      <c r="AD158" s="239" t="s">
        <v>4</v>
      </c>
      <c r="AE158" s="239" t="s">
        <v>4</v>
      </c>
      <c r="AF158" s="239" t="s">
        <v>4</v>
      </c>
      <c r="AG158" s="239" t="s">
        <v>4</v>
      </c>
      <c r="AH158" s="239" t="s">
        <v>4</v>
      </c>
      <c r="AI158" s="239" t="s">
        <v>4</v>
      </c>
      <c r="AJ158" s="239" t="s">
        <v>29290</v>
      </c>
      <c r="AK158" s="239" t="s">
        <v>29291</v>
      </c>
      <c r="AL158" s="239" t="s">
        <v>4</v>
      </c>
      <c r="AM158" s="239" t="s">
        <v>4</v>
      </c>
      <c r="AN158" s="239" t="s">
        <v>31718</v>
      </c>
      <c r="AO158" s="239" t="s">
        <v>4</v>
      </c>
      <c r="AP158" s="239" t="s">
        <v>31600</v>
      </c>
      <c r="AQ158" s="239" t="s">
        <v>4</v>
      </c>
      <c r="AR158" s="239" t="s">
        <v>31538</v>
      </c>
      <c r="AS158" s="239" t="s">
        <v>4</v>
      </c>
      <c r="AT158" s="239" t="s">
        <v>7</v>
      </c>
      <c r="AU158" s="239" t="s">
        <v>4</v>
      </c>
      <c r="AV158" s="239" t="s">
        <v>4</v>
      </c>
      <c r="AW158" s="239" t="s">
        <v>31550</v>
      </c>
      <c r="AX158" s="239" t="s">
        <v>4</v>
      </c>
      <c r="AY158" s="239" t="s">
        <v>4</v>
      </c>
      <c r="AZ158" s="239" t="s">
        <v>7</v>
      </c>
      <c r="BA158" s="239" t="s">
        <v>28</v>
      </c>
      <c r="BB158" s="239" t="s">
        <v>4</v>
      </c>
      <c r="BC158" s="239" t="s">
        <v>4</v>
      </c>
      <c r="BD158" s="239" t="s">
        <v>4</v>
      </c>
      <c r="BE158" s="239" t="s">
        <v>4</v>
      </c>
      <c r="BF158" s="239" t="s">
        <v>4</v>
      </c>
      <c r="BG158" s="239" t="s">
        <v>4</v>
      </c>
      <c r="BH158" s="239" t="s">
        <v>4</v>
      </c>
      <c r="BI158" s="239" t="s">
        <v>4</v>
      </c>
      <c r="BJ158" s="239" t="s">
        <v>4</v>
      </c>
      <c r="BK158" s="239" t="s">
        <v>4</v>
      </c>
      <c r="BL158" s="239" t="s">
        <v>4</v>
      </c>
      <c r="BM158" s="239" t="s">
        <v>7</v>
      </c>
      <c r="BN158" s="239" t="s">
        <v>6</v>
      </c>
      <c r="BO158" s="239" t="s">
        <v>4</v>
      </c>
      <c r="BP158" s="239" t="s">
        <v>31425</v>
      </c>
      <c r="BQ158" s="239">
        <v>1</v>
      </c>
      <c r="BR158" s="239">
        <v>40</v>
      </c>
      <c r="BS158" s="239" t="s">
        <v>31433</v>
      </c>
      <c r="BT158" s="239"/>
      <c r="BU158" s="239">
        <v>9</v>
      </c>
      <c r="BV158" s="239" cm="1">
        <f t="array" ref="BV158">_xlfn.IFS(BS158="Foreword vehicle",BU158*0,BS158="Human wastes",BU158*0,BS158="Jerrycans",BU158*$BV$228,BS158="Number of Basins",BU158*$BV$229,BS158="Number of Buckets",BU158*$CA$226,BS158="Number of Kgs",BU158*$CA$227,BS158="Number of spades",BU158*$CA$228,BS158="Number of wheelbarrows",BU158*$CA$229,BT158="Foreword vehicle",BU158*0,BT158="Human wastes",BU158*0,BT158="Jerrycans",BU158*$BV$228,BS158="","")</f>
        <v>27</v>
      </c>
      <c r="BW158" s="239">
        <f>IF(BV158="","",Table14[[#This Row],[Calculation: Conversion of metric to Kg manure feeding (Columns: BP, BQ, BR)]]*Table14[[#This Row],[Number of times used to feed biodigester]])</f>
        <v>27</v>
      </c>
      <c r="BX158" s="239" cm="1">
        <f t="array" ref="BX158">_xlfn.IFS(BP158="Number of times per day (1 to 3)",BW158/$BX$226,BP158="Number of times per week (1 to 6)",BW158/$BX$227,BP158="Number of times per Month (1 to 3)",BW158/$BX$228,BW158="","")</f>
        <v>27</v>
      </c>
      <c r="BY158" s="239" t="s">
        <v>22</v>
      </c>
      <c r="BZ158" s="239" t="s">
        <v>4</v>
      </c>
      <c r="CA158" s="239" t="s">
        <v>2</v>
      </c>
      <c r="CB158" s="239" t="s">
        <v>4</v>
      </c>
      <c r="CC158" s="239" t="s">
        <v>4</v>
      </c>
      <c r="CD158" s="239" t="s">
        <v>4</v>
      </c>
      <c r="CE158" s="239" t="s">
        <v>7</v>
      </c>
      <c r="CF158" s="239" t="s">
        <v>31719</v>
      </c>
      <c r="CG158" s="239" t="s">
        <v>4</v>
      </c>
      <c r="CH158" s="239" t="s">
        <v>31604</v>
      </c>
      <c r="CI158" s="239">
        <v>3</v>
      </c>
      <c r="CJ158" s="239">
        <v>0</v>
      </c>
      <c r="CK158" s="239">
        <v>0</v>
      </c>
      <c r="CL158" s="239">
        <v>0</v>
      </c>
      <c r="CM158" s="239">
        <v>0</v>
      </c>
      <c r="CN158" s="239">
        <v>0</v>
      </c>
      <c r="CO158" s="239">
        <v>0</v>
      </c>
      <c r="CP158" s="239">
        <v>0</v>
      </c>
      <c r="CQ158" s="239">
        <v>0</v>
      </c>
      <c r="CR158" s="239">
        <v>0</v>
      </c>
      <c r="CS158" s="239">
        <f>CP158/'SDG outcome'!$C$9*CQ158*CR158</f>
        <v>0</v>
      </c>
      <c r="CT158" s="239">
        <v>100</v>
      </c>
      <c r="CU158" s="239">
        <v>0</v>
      </c>
      <c r="CV158" s="239" t="s">
        <v>4</v>
      </c>
      <c r="CW158" s="239" t="s">
        <v>4</v>
      </c>
      <c r="CX158" s="239" t="s">
        <v>4</v>
      </c>
      <c r="CY158" s="239" t="s">
        <v>4</v>
      </c>
      <c r="CZ158" s="239" t="s">
        <v>4</v>
      </c>
      <c r="DA158" s="239" t="s">
        <v>4</v>
      </c>
      <c r="DB158" s="239" t="s">
        <v>4</v>
      </c>
      <c r="DC158" s="239" t="s">
        <v>4</v>
      </c>
      <c r="DD158" s="239" t="s">
        <v>4</v>
      </c>
      <c r="DE158" s="239" t="s">
        <v>4</v>
      </c>
      <c r="DF158" s="239" t="s">
        <v>4</v>
      </c>
      <c r="DG158" s="239" t="s">
        <v>4</v>
      </c>
      <c r="DH158" s="239" t="s">
        <v>4</v>
      </c>
      <c r="DI158" s="239" t="s">
        <v>4</v>
      </c>
      <c r="DJ158" s="239" t="s">
        <v>4</v>
      </c>
      <c r="DK158" s="239" t="s">
        <v>4</v>
      </c>
      <c r="DL158" s="239" t="s">
        <v>4</v>
      </c>
      <c r="DM158" s="239" t="s">
        <v>4</v>
      </c>
      <c r="DN158" s="239" t="s">
        <v>4</v>
      </c>
      <c r="DO158" s="239">
        <v>4</v>
      </c>
      <c r="DP158" s="239" t="s">
        <v>2</v>
      </c>
      <c r="DQ158" s="239" t="s">
        <v>29292</v>
      </c>
      <c r="DR158" s="239" t="s">
        <v>4</v>
      </c>
      <c r="DS158" s="239" t="s">
        <v>29294</v>
      </c>
      <c r="DT158" s="240" t="s">
        <v>4</v>
      </c>
      <c r="DU158" s="239" t="s">
        <v>29294</v>
      </c>
      <c r="DV158" s="240" t="s">
        <v>4</v>
      </c>
      <c r="DW158" s="239" t="s">
        <v>29295</v>
      </c>
      <c r="DX158" s="239">
        <v>100</v>
      </c>
      <c r="DY158" s="239" t="s">
        <v>29296</v>
      </c>
      <c r="DZ158" s="239">
        <v>100</v>
      </c>
      <c r="EA158" s="239"/>
      <c r="EB158" s="239"/>
      <c r="EC158" s="239"/>
      <c r="ED158" s="239"/>
      <c r="EE158" s="320">
        <f>Table14[[#This Row],[% Fertilizer]]*$DX158/10000</f>
        <v>1</v>
      </c>
      <c r="EF158" s="320">
        <f>Table14[[#This Row],[% bioslurry used as Insecticide/Pesticide]]*$DX158/10000</f>
        <v>0</v>
      </c>
      <c r="EG158" s="320">
        <f>Table14[[#This Row],[% of Bioslurry used as animal feed]]*$DX158/10000</f>
        <v>0</v>
      </c>
      <c r="EH158" s="320">
        <f>Table14[[#This Row],[% of Bioslurry sold]]*$DX158/10000</f>
        <v>0</v>
      </c>
      <c r="EI158" s="320">
        <f>Table14[[#This Row],[% used other way(if used directly)]]*$DX158/10000</f>
        <v>0</v>
      </c>
      <c r="EJ158" s="239"/>
      <c r="EK158" s="239"/>
      <c r="EL158" s="239"/>
      <c r="EM158" s="239"/>
      <c r="EN158" s="239"/>
      <c r="EO158" s="239">
        <f>(Table14[[#This Row],[% Uncovered lagoon greater than 1 meter]]+Table14[[#This Row],[Uncovered lagoon (black watery mass) &lt;1 meter]]+Table14[[#This Row],[% Liquid slurry (brown porridge type)]])*Table14[[#This Row],[% Store it first]]/100</f>
        <v>0</v>
      </c>
      <c r="EP158" s="239"/>
      <c r="EQ158" s="239"/>
      <c r="ER158" s="239"/>
      <c r="ES158" s="239"/>
      <c r="ET158" s="239">
        <f>(Table14[[#This Row],[% Solid storage]]+Table14[[#This Row],[% Sun drying]]+Table14[[#This Row],[% Composting with a roof]]+Table14[[#This Row],[% Composting without a roof]])*Table14[[#This Row],[% Store it first]]/100</f>
        <v>0</v>
      </c>
      <c r="EU158" s="239"/>
      <c r="EV158" s="320">
        <f t="shared" si="15"/>
        <v>0</v>
      </c>
      <c r="EW158" s="320">
        <f t="shared" si="16"/>
        <v>0</v>
      </c>
      <c r="EX158" s="320">
        <f t="shared" si="17"/>
        <v>0</v>
      </c>
      <c r="EY158" s="320">
        <f t="shared" si="18"/>
        <v>0</v>
      </c>
      <c r="EZ158" s="320">
        <f t="shared" si="19"/>
        <v>0</v>
      </c>
      <c r="FA158" s="239"/>
      <c r="FB158" s="239"/>
      <c r="FC158" s="239"/>
      <c r="FD158" s="239">
        <f>Table14[[#This Row],[% I donâ€™t use it / discarded]]+Table14[[#This Row],[% Other (specify)(If you use bioslurry directly)]]+Table14[[#This Row],[% Store it first]]+Table14[[#This Row],[% Use directly for various purposes]]</f>
        <v>100</v>
      </c>
      <c r="FE158" s="239" t="s">
        <v>4</v>
      </c>
      <c r="FF158" s="239"/>
      <c r="FG158" s="239"/>
      <c r="FH158" s="239"/>
      <c r="FI158" s="239"/>
      <c r="FJ158" s="239"/>
      <c r="FK158" s="239">
        <v>4</v>
      </c>
      <c r="FL158" s="239" t="s">
        <v>7</v>
      </c>
      <c r="FM158" s="239">
        <v>50</v>
      </c>
      <c r="FN158" s="239">
        <f t="shared" si="14"/>
        <v>2</v>
      </c>
      <c r="FO158" s="239" t="s">
        <v>30020</v>
      </c>
      <c r="FP158" s="239" t="s">
        <v>29298</v>
      </c>
      <c r="FQ158" s="239">
        <v>120</v>
      </c>
      <c r="FR158" s="239" t="s">
        <v>7</v>
      </c>
      <c r="FS158" s="239" t="s">
        <v>29555</v>
      </c>
      <c r="FT158" s="239" t="s">
        <v>4</v>
      </c>
      <c r="FU158" s="239" t="s">
        <v>2</v>
      </c>
      <c r="FV158" s="239" t="s">
        <v>4</v>
      </c>
      <c r="FW158" s="239" t="s">
        <v>4</v>
      </c>
      <c r="FX158" s="239" t="s">
        <v>4</v>
      </c>
      <c r="FY158" s="239" t="s">
        <v>4</v>
      </c>
      <c r="FZ158" s="239" t="s">
        <v>4</v>
      </c>
      <c r="GA158" s="239" t="s">
        <v>4</v>
      </c>
      <c r="GB158" s="240" t="s">
        <v>4</v>
      </c>
      <c r="GC158" s="239" t="s">
        <v>4</v>
      </c>
      <c r="GD158" s="239" t="s">
        <v>2</v>
      </c>
      <c r="GE158" s="239" t="s">
        <v>4</v>
      </c>
      <c r="GF158" s="239" t="s">
        <v>4</v>
      </c>
      <c r="GG158" s="239" t="s">
        <v>2</v>
      </c>
      <c r="GH158" s="239" t="s">
        <v>7</v>
      </c>
      <c r="GI158" s="239" t="s">
        <v>29302</v>
      </c>
      <c r="GJ158" s="239" t="s">
        <v>30021</v>
      </c>
      <c r="GK158" s="239" t="s">
        <v>29304</v>
      </c>
      <c r="GL158" s="239">
        <v>1</v>
      </c>
      <c r="GM158" s="239" t="s">
        <v>29305</v>
      </c>
      <c r="GN158" s="239" t="s">
        <v>29306</v>
      </c>
      <c r="GO158" s="239" t="s">
        <v>4</v>
      </c>
      <c r="GP158" s="239" t="s">
        <v>4</v>
      </c>
      <c r="GQ158" s="239" t="s">
        <v>4</v>
      </c>
      <c r="GR158" s="239" t="s">
        <v>4</v>
      </c>
      <c r="GS158" s="239" t="s">
        <v>4</v>
      </c>
      <c r="GT158" s="239" t="s">
        <v>4</v>
      </c>
      <c r="GU158" s="239" t="s">
        <v>4</v>
      </c>
      <c r="GV158" s="239" t="s">
        <v>4</v>
      </c>
      <c r="GW158" s="239" t="s">
        <v>4</v>
      </c>
      <c r="GX158" s="239" t="s">
        <v>4</v>
      </c>
      <c r="GY158" s="239" t="s">
        <v>4</v>
      </c>
      <c r="GZ158" s="239" t="s">
        <v>4</v>
      </c>
      <c r="HA158" s="239" t="s">
        <v>4</v>
      </c>
      <c r="HB158" s="239" t="s">
        <v>4</v>
      </c>
      <c r="HC158" s="239" t="s">
        <v>4</v>
      </c>
      <c r="HD158" s="239" t="s">
        <v>4</v>
      </c>
      <c r="HE158" s="239" t="s">
        <v>4</v>
      </c>
      <c r="HF158" s="239" t="s">
        <v>4</v>
      </c>
      <c r="HG158" s="239" t="s">
        <v>4</v>
      </c>
      <c r="HH158" s="239" t="s">
        <v>29452</v>
      </c>
      <c r="HI158" s="239" t="s">
        <v>4</v>
      </c>
      <c r="HJ158" s="240">
        <v>0</v>
      </c>
      <c r="HK158" s="239" t="s">
        <v>2</v>
      </c>
      <c r="HL158" s="239" t="s">
        <v>29837</v>
      </c>
      <c r="HM158" s="239" t="s">
        <v>4</v>
      </c>
      <c r="HN158" s="239" t="s">
        <v>4</v>
      </c>
      <c r="HO158" s="239" t="s">
        <v>4</v>
      </c>
      <c r="HP158" s="239" t="s">
        <v>4</v>
      </c>
      <c r="HQ158" s="239" t="s">
        <v>4</v>
      </c>
      <c r="HR158" s="239" t="s">
        <v>4</v>
      </c>
      <c r="HS158" s="239" t="s">
        <v>4</v>
      </c>
      <c r="HT158" s="239" t="s">
        <v>4</v>
      </c>
      <c r="HU158" s="239" t="s">
        <v>2</v>
      </c>
      <c r="HV158" s="239" t="s">
        <v>4</v>
      </c>
      <c r="HW158" s="239" t="s">
        <v>4</v>
      </c>
      <c r="HX158" s="239" t="s">
        <v>4</v>
      </c>
      <c r="HY158" s="239" t="s">
        <v>72</v>
      </c>
      <c r="HZ158" s="239" t="s">
        <v>16</v>
      </c>
      <c r="IA158" s="239" t="s">
        <v>2</v>
      </c>
      <c r="IB158" s="239" t="s">
        <v>4</v>
      </c>
      <c r="IC158" s="239" t="s">
        <v>30022</v>
      </c>
      <c r="ID158" s="239" t="s">
        <v>30023</v>
      </c>
      <c r="IE158" s="239" t="s">
        <v>30024</v>
      </c>
      <c r="IF158" s="239" t="s">
        <v>30025</v>
      </c>
      <c r="IG158" s="239" t="s">
        <v>30026</v>
      </c>
      <c r="IH158" s="239" t="s">
        <v>30027</v>
      </c>
    </row>
    <row r="159" spans="1:242" s="1" customFormat="1" ht="36.75" customHeight="1" x14ac:dyDescent="0.2">
      <c r="A159" s="239">
        <v>74</v>
      </c>
      <c r="B159" s="239" t="s">
        <v>13504</v>
      </c>
      <c r="C159" s="239" t="s">
        <v>30133</v>
      </c>
      <c r="D159" s="239" t="s">
        <v>70</v>
      </c>
      <c r="E159" s="239" t="s">
        <v>7</v>
      </c>
      <c r="F159" s="239" t="s">
        <v>30134</v>
      </c>
      <c r="G159" s="239">
        <v>1263.4000000000001</v>
      </c>
      <c r="H159" s="239">
        <v>4.4000000000000004</v>
      </c>
      <c r="I159" s="239" t="s">
        <v>29288</v>
      </c>
      <c r="J159" s="239" t="s">
        <v>4</v>
      </c>
      <c r="K159" s="239" t="s">
        <v>30135</v>
      </c>
      <c r="L159" s="239">
        <v>775876579</v>
      </c>
      <c r="M159" s="239" t="s">
        <v>3</v>
      </c>
      <c r="N159" s="239" t="s">
        <v>31590</v>
      </c>
      <c r="O159" s="239" t="s">
        <v>4</v>
      </c>
      <c r="P159" s="239">
        <v>10</v>
      </c>
      <c r="Q159" s="239" t="s">
        <v>7</v>
      </c>
      <c r="R159" s="239" t="s">
        <v>31549</v>
      </c>
      <c r="S159" s="239" t="s">
        <v>4</v>
      </c>
      <c r="T159" s="239" t="s">
        <v>7</v>
      </c>
      <c r="U159" s="239" t="s">
        <v>7</v>
      </c>
      <c r="V159" s="239"/>
      <c r="W159" s="239" t="s">
        <v>7</v>
      </c>
      <c r="X159" s="239" t="s">
        <v>4</v>
      </c>
      <c r="Y159" s="239" t="s">
        <v>4</v>
      </c>
      <c r="Z159" s="241" t="str">
        <f>IF(OR(T159="yes",Y159&gt;'SDG outcome'!$C$27),"yes","no")</f>
        <v>yes</v>
      </c>
      <c r="AA159" s="243">
        <f t="shared" si="13"/>
        <v>0</v>
      </c>
      <c r="AB159" s="243" t="str">
        <f>IF(AND(Z159="no",AND(Y159&gt;='SDG outcome'!$B$16,Y159&lt;'SDG outcome'!$C$27)),Y159-'SDG outcome'!$B$16,"")</f>
        <v/>
      </c>
      <c r="AC159" s="239" t="s">
        <v>4</v>
      </c>
      <c r="AD159" s="239" t="s">
        <v>4</v>
      </c>
      <c r="AE159" s="239" t="s">
        <v>4</v>
      </c>
      <c r="AF159" s="239" t="s">
        <v>4</v>
      </c>
      <c r="AG159" s="239" t="s">
        <v>4</v>
      </c>
      <c r="AH159" s="239" t="s">
        <v>4</v>
      </c>
      <c r="AI159" s="239" t="s">
        <v>4</v>
      </c>
      <c r="AJ159" s="239" t="s">
        <v>29290</v>
      </c>
      <c r="AK159" s="239" t="s">
        <v>29694</v>
      </c>
      <c r="AL159" s="239" t="s">
        <v>4</v>
      </c>
      <c r="AM159" s="239" t="s">
        <v>4</v>
      </c>
      <c r="AN159" s="239" t="s">
        <v>31536</v>
      </c>
      <c r="AO159" s="239" t="s">
        <v>4</v>
      </c>
      <c r="AP159" s="239" t="s">
        <v>31537</v>
      </c>
      <c r="AQ159" s="239" t="s">
        <v>4</v>
      </c>
      <c r="AR159" s="239" t="s">
        <v>31538</v>
      </c>
      <c r="AS159" s="239" t="s">
        <v>4</v>
      </c>
      <c r="AT159" s="239" t="s">
        <v>7</v>
      </c>
      <c r="AU159" s="239" t="s">
        <v>4</v>
      </c>
      <c r="AV159" s="239" t="s">
        <v>4</v>
      </c>
      <c r="AW159" s="239" t="s">
        <v>31539</v>
      </c>
      <c r="AX159" s="239" t="s">
        <v>4</v>
      </c>
      <c r="AY159" s="239" t="s">
        <v>4</v>
      </c>
      <c r="AZ159" s="239" t="s">
        <v>2</v>
      </c>
      <c r="BA159" s="239" t="s">
        <v>4</v>
      </c>
      <c r="BB159" s="239" t="s">
        <v>4</v>
      </c>
      <c r="BC159" s="239" t="s">
        <v>31563</v>
      </c>
      <c r="BD159" s="239" t="s">
        <v>31541</v>
      </c>
      <c r="BE159" s="239" t="s">
        <v>4</v>
      </c>
      <c r="BF159" s="239" t="s">
        <v>14</v>
      </c>
      <c r="BG159" s="239" t="s">
        <v>4</v>
      </c>
      <c r="BH159" s="239" t="s">
        <v>31542</v>
      </c>
      <c r="BI159" s="239" t="s">
        <v>31757</v>
      </c>
      <c r="BJ159" s="239" t="s">
        <v>31566</v>
      </c>
      <c r="BK159" s="239">
        <v>2</v>
      </c>
      <c r="BL159" s="239">
        <v>120</v>
      </c>
      <c r="BM159" s="239" t="s">
        <v>7</v>
      </c>
      <c r="BN159" s="239" t="s">
        <v>6</v>
      </c>
      <c r="BO159" s="239" t="s">
        <v>4</v>
      </c>
      <c r="BP159" s="239" t="s">
        <v>31429</v>
      </c>
      <c r="BQ159" s="239">
        <v>2</v>
      </c>
      <c r="BR159" s="239">
        <v>60</v>
      </c>
      <c r="BS159" s="239" t="s">
        <v>31434</v>
      </c>
      <c r="BT159" s="239"/>
      <c r="BU159" s="239">
        <v>3</v>
      </c>
      <c r="BV159" s="239" cm="1">
        <f t="array" ref="BV159">_xlfn.IFS(BS159="Foreword vehicle",BU159*0,BS159="Human wastes",BU159*0,BS159="Jerrycans",BU159*$BV$228,BS159="Number of Basins",BU159*$BV$229,BS159="Number of Buckets",BU159*$CA$226,BS159="Number of Kgs",BU159*$CA$227,BS159="Number of spades",BU159*$CA$228,BS159="Number of wheelbarrows",BU159*$CA$229,BT159="Foreword vehicle",BU159*0,BT159="Human wastes",BU159*0,BT159="Jerrycans",BU159*$BV$228,BS159="","")</f>
        <v>48</v>
      </c>
      <c r="BW159" s="239">
        <f>IF(BV159="","",Table14[[#This Row],[Calculation: Conversion of metric to Kg manure feeding (Columns: BP, BQ, BR)]]*Table14[[#This Row],[Number of times used to feed biodigester]])</f>
        <v>96</v>
      </c>
      <c r="BX159" s="239" cm="1">
        <f t="array" ref="BX159">_xlfn.IFS(BP159="Number of times per day (1 to 3)",BW159/$BX$226,BP159="Number of times per week (1 to 6)",BW159/$BX$227,BP159="Number of times per Month (1 to 3)",BW159/$BX$228,BW159="","")</f>
        <v>13.714285714285714</v>
      </c>
      <c r="BY159" s="239" t="s">
        <v>31541</v>
      </c>
      <c r="BZ159" s="239" t="s">
        <v>4</v>
      </c>
      <c r="CA159" s="239" t="s">
        <v>2</v>
      </c>
      <c r="CB159" s="239" t="s">
        <v>4</v>
      </c>
      <c r="CC159" s="239" t="s">
        <v>4</v>
      </c>
      <c r="CD159" s="239" t="s">
        <v>4</v>
      </c>
      <c r="CE159" s="239" t="s">
        <v>7</v>
      </c>
      <c r="CF159" s="239" t="s">
        <v>31639</v>
      </c>
      <c r="CG159" s="239" t="s">
        <v>4</v>
      </c>
      <c r="CH159" s="239" t="s">
        <v>31634</v>
      </c>
      <c r="CI159" s="239">
        <v>3</v>
      </c>
      <c r="CJ159" s="239">
        <v>0</v>
      </c>
      <c r="CK159" s="239">
        <v>0</v>
      </c>
      <c r="CL159" s="239">
        <v>0</v>
      </c>
      <c r="CM159" s="239">
        <v>8</v>
      </c>
      <c r="CN159" s="239">
        <v>0</v>
      </c>
      <c r="CO159" s="239">
        <v>0</v>
      </c>
      <c r="CP159" s="239">
        <v>0</v>
      </c>
      <c r="CQ159" s="239">
        <v>0</v>
      </c>
      <c r="CR159" s="239">
        <v>0</v>
      </c>
      <c r="CS159" s="239">
        <f>CP159/'SDG outcome'!$C$9*CQ159*CR159</f>
        <v>0</v>
      </c>
      <c r="CT159" s="239">
        <v>100</v>
      </c>
      <c r="CU159" s="239">
        <v>0</v>
      </c>
      <c r="CV159" s="239" t="s">
        <v>4</v>
      </c>
      <c r="CW159" s="239" t="s">
        <v>4</v>
      </c>
      <c r="CX159" s="239" t="s">
        <v>4</v>
      </c>
      <c r="CY159" s="239" t="s">
        <v>4</v>
      </c>
      <c r="CZ159" s="239" t="s">
        <v>4</v>
      </c>
      <c r="DA159" s="239" t="s">
        <v>4</v>
      </c>
      <c r="DB159" s="239" t="s">
        <v>4</v>
      </c>
      <c r="DC159" s="239" t="s">
        <v>4</v>
      </c>
      <c r="DD159" s="239" t="s">
        <v>4</v>
      </c>
      <c r="DE159" s="239" t="s">
        <v>4</v>
      </c>
      <c r="DF159" s="239" t="s">
        <v>4</v>
      </c>
      <c r="DG159" s="239" t="s">
        <v>4</v>
      </c>
      <c r="DH159" s="239" t="s">
        <v>4</v>
      </c>
      <c r="DI159" s="239" t="s">
        <v>4</v>
      </c>
      <c r="DJ159" s="239" t="s">
        <v>4</v>
      </c>
      <c r="DK159" s="239" t="s">
        <v>4</v>
      </c>
      <c r="DL159" s="239">
        <v>0</v>
      </c>
      <c r="DM159" s="239">
        <v>100</v>
      </c>
      <c r="DN159" s="239" t="s">
        <v>31758</v>
      </c>
      <c r="DO159" s="239">
        <v>1</v>
      </c>
      <c r="DP159" s="239" t="s">
        <v>2</v>
      </c>
      <c r="DQ159" s="239" t="s">
        <v>29292</v>
      </c>
      <c r="DR159" s="239" t="s">
        <v>4</v>
      </c>
      <c r="DS159" s="239" t="s">
        <v>29294</v>
      </c>
      <c r="DT159" s="240" t="s">
        <v>4</v>
      </c>
      <c r="DU159" s="239" t="s">
        <v>29294</v>
      </c>
      <c r="DV159" s="240" t="s">
        <v>4</v>
      </c>
      <c r="DW159" s="239" t="s">
        <v>29295</v>
      </c>
      <c r="DX159" s="239">
        <v>100</v>
      </c>
      <c r="DY159" s="239" t="s">
        <v>29296</v>
      </c>
      <c r="DZ159" s="239">
        <v>100</v>
      </c>
      <c r="EA159" s="239"/>
      <c r="EB159" s="239"/>
      <c r="EC159" s="239"/>
      <c r="ED159" s="239"/>
      <c r="EE159" s="320">
        <f>Table14[[#This Row],[% Fertilizer]]*$DX159/10000</f>
        <v>1</v>
      </c>
      <c r="EF159" s="320">
        <f>Table14[[#This Row],[% bioslurry used as Insecticide/Pesticide]]*$DX159/10000</f>
        <v>0</v>
      </c>
      <c r="EG159" s="320">
        <f>Table14[[#This Row],[% of Bioslurry used as animal feed]]*$DX159/10000</f>
        <v>0</v>
      </c>
      <c r="EH159" s="320">
        <f>Table14[[#This Row],[% of Bioslurry sold]]*$DX159/10000</f>
        <v>0</v>
      </c>
      <c r="EI159" s="320">
        <f>Table14[[#This Row],[% used other way(if used directly)]]*$DX159/10000</f>
        <v>0</v>
      </c>
      <c r="EJ159" s="239"/>
      <c r="EK159" s="239"/>
      <c r="EL159" s="239"/>
      <c r="EM159" s="239"/>
      <c r="EN159" s="239"/>
      <c r="EO159" s="239">
        <f>(Table14[[#This Row],[% Uncovered lagoon greater than 1 meter]]+Table14[[#This Row],[Uncovered lagoon (black watery mass) &lt;1 meter]]+Table14[[#This Row],[% Liquid slurry (brown porridge type)]])*Table14[[#This Row],[% Store it first]]/100</f>
        <v>0</v>
      </c>
      <c r="EP159" s="239"/>
      <c r="EQ159" s="239"/>
      <c r="ER159" s="239"/>
      <c r="ES159" s="239"/>
      <c r="ET159" s="239">
        <f>(Table14[[#This Row],[% Solid storage]]+Table14[[#This Row],[% Sun drying]]+Table14[[#This Row],[% Composting with a roof]]+Table14[[#This Row],[% Composting without a roof]])*Table14[[#This Row],[% Store it first]]/100</f>
        <v>0</v>
      </c>
      <c r="EU159" s="239"/>
      <c r="EV159" s="320">
        <f t="shared" si="15"/>
        <v>0</v>
      </c>
      <c r="EW159" s="320">
        <f t="shared" si="16"/>
        <v>0</v>
      </c>
      <c r="EX159" s="320">
        <f t="shared" si="17"/>
        <v>0</v>
      </c>
      <c r="EY159" s="320">
        <f t="shared" si="18"/>
        <v>0</v>
      </c>
      <c r="EZ159" s="320">
        <f t="shared" si="19"/>
        <v>0</v>
      </c>
      <c r="FA159" s="239"/>
      <c r="FB159" s="239"/>
      <c r="FC159" s="239"/>
      <c r="FD159" s="239">
        <f>Table14[[#This Row],[% I donâ€™t use it / discarded]]+Table14[[#This Row],[% Other (specify)(If you use bioslurry directly)]]+Table14[[#This Row],[% Store it first]]+Table14[[#This Row],[% Use directly for various purposes]]</f>
        <v>100</v>
      </c>
      <c r="FE159" s="239" t="s">
        <v>4</v>
      </c>
      <c r="FF159" s="239"/>
      <c r="FG159" s="239"/>
      <c r="FH159" s="239"/>
      <c r="FI159" s="239"/>
      <c r="FJ159" s="239"/>
      <c r="FK159" s="239">
        <v>1.2</v>
      </c>
      <c r="FL159" s="239" t="s">
        <v>7</v>
      </c>
      <c r="FM159" s="239">
        <v>60</v>
      </c>
      <c r="FN159" s="239">
        <f t="shared" si="14"/>
        <v>0.72</v>
      </c>
      <c r="FO159" s="239" t="s">
        <v>30136</v>
      </c>
      <c r="FP159" s="239" t="s">
        <v>29298</v>
      </c>
      <c r="FQ159" s="239">
        <v>120</v>
      </c>
      <c r="FR159" s="239" t="s">
        <v>7</v>
      </c>
      <c r="FS159" s="239" t="s">
        <v>29299</v>
      </c>
      <c r="FT159" s="239" t="s">
        <v>4</v>
      </c>
      <c r="FU159" s="239" t="s">
        <v>2</v>
      </c>
      <c r="FV159" s="239" t="s">
        <v>4</v>
      </c>
      <c r="FW159" s="239" t="s">
        <v>4</v>
      </c>
      <c r="FX159" s="239" t="s">
        <v>4</v>
      </c>
      <c r="FY159" s="239" t="s">
        <v>4</v>
      </c>
      <c r="FZ159" s="239" t="s">
        <v>4</v>
      </c>
      <c r="GA159" s="239" t="s">
        <v>4</v>
      </c>
      <c r="GB159" s="240" t="s">
        <v>4</v>
      </c>
      <c r="GC159" s="239" t="s">
        <v>4</v>
      </c>
      <c r="GD159" s="239" t="s">
        <v>2</v>
      </c>
      <c r="GE159" s="239" t="s">
        <v>4</v>
      </c>
      <c r="GF159" s="239" t="s">
        <v>4</v>
      </c>
      <c r="GG159" s="239" t="s">
        <v>7</v>
      </c>
      <c r="GH159" s="239" t="s">
        <v>2</v>
      </c>
      <c r="GI159" s="239" t="s">
        <v>4</v>
      </c>
      <c r="GJ159" s="239" t="s">
        <v>4</v>
      </c>
      <c r="GK159" s="239" t="s">
        <v>29304</v>
      </c>
      <c r="GL159" s="239">
        <v>2</v>
      </c>
      <c r="GM159" s="239" t="s">
        <v>29940</v>
      </c>
      <c r="GN159" s="239" t="s">
        <v>4</v>
      </c>
      <c r="GO159" s="239" t="s">
        <v>29556</v>
      </c>
      <c r="GP159" s="239" t="s">
        <v>4</v>
      </c>
      <c r="GQ159" s="239" t="s">
        <v>4</v>
      </c>
      <c r="GR159" s="239" t="s">
        <v>4</v>
      </c>
      <c r="GS159" s="239" t="s">
        <v>4</v>
      </c>
      <c r="GT159" s="239" t="s">
        <v>4</v>
      </c>
      <c r="GU159" s="239" t="s">
        <v>4</v>
      </c>
      <c r="GV159" s="239" t="s">
        <v>4</v>
      </c>
      <c r="GW159" s="239" t="s">
        <v>4</v>
      </c>
      <c r="GX159" s="239" t="s">
        <v>4</v>
      </c>
      <c r="GY159" s="239" t="s">
        <v>4</v>
      </c>
      <c r="GZ159" s="239" t="s">
        <v>4</v>
      </c>
      <c r="HA159" s="239" t="s">
        <v>4</v>
      </c>
      <c r="HB159" s="239" t="s">
        <v>4</v>
      </c>
      <c r="HC159" s="239" t="s">
        <v>4</v>
      </c>
      <c r="HD159" s="239" t="s">
        <v>4</v>
      </c>
      <c r="HE159" s="239" t="s">
        <v>4</v>
      </c>
      <c r="HF159" s="239" t="s">
        <v>4</v>
      </c>
      <c r="HG159" s="239" t="s">
        <v>4</v>
      </c>
      <c r="HH159" s="239" t="s">
        <v>29452</v>
      </c>
      <c r="HI159" s="239" t="s">
        <v>4</v>
      </c>
      <c r="HJ159" s="240">
        <v>100</v>
      </c>
      <c r="HK159" s="239" t="s">
        <v>7</v>
      </c>
      <c r="HL159" s="239" t="s">
        <v>29309</v>
      </c>
      <c r="HM159" s="239" t="s">
        <v>4</v>
      </c>
      <c r="HN159" s="239" t="s">
        <v>4</v>
      </c>
      <c r="HO159" s="239" t="s">
        <v>4</v>
      </c>
      <c r="HP159" s="239" t="s">
        <v>4</v>
      </c>
      <c r="HQ159" s="239" t="s">
        <v>4</v>
      </c>
      <c r="HR159" s="239" t="s">
        <v>4</v>
      </c>
      <c r="HS159" s="239" t="s">
        <v>4</v>
      </c>
      <c r="HT159" s="239" t="s">
        <v>4</v>
      </c>
      <c r="HU159" s="239" t="s">
        <v>7</v>
      </c>
      <c r="HV159" s="239" t="s">
        <v>6</v>
      </c>
      <c r="HW159" s="239" t="s">
        <v>4</v>
      </c>
      <c r="HX159" s="239" t="s">
        <v>29292</v>
      </c>
      <c r="HY159" s="239">
        <v>1</v>
      </c>
      <c r="HZ159" s="239" t="s">
        <v>30137</v>
      </c>
      <c r="IA159" s="239" t="s">
        <v>7</v>
      </c>
      <c r="IB159" s="239" t="s">
        <v>30138</v>
      </c>
      <c r="IC159" s="239" t="s">
        <v>30139</v>
      </c>
      <c r="ID159" s="239" t="s">
        <v>30140</v>
      </c>
      <c r="IE159" s="239" t="s">
        <v>30141</v>
      </c>
      <c r="IF159" s="239" t="s">
        <v>30142</v>
      </c>
      <c r="IG159" s="239" t="s">
        <v>30143</v>
      </c>
      <c r="IH159" s="239" t="s">
        <v>30133</v>
      </c>
    </row>
    <row r="160" spans="1:242" s="1" customFormat="1" ht="36.75" customHeight="1" x14ac:dyDescent="0.2">
      <c r="A160" s="239">
        <v>96</v>
      </c>
      <c r="B160" s="239" t="s">
        <v>27978</v>
      </c>
      <c r="C160" s="239" t="s">
        <v>30350</v>
      </c>
      <c r="D160" s="239" t="s">
        <v>30309</v>
      </c>
      <c r="E160" s="239" t="s">
        <v>7</v>
      </c>
      <c r="F160" s="239" t="s">
        <v>30351</v>
      </c>
      <c r="G160" s="239">
        <v>1168.3</v>
      </c>
      <c r="H160" s="239">
        <v>4.9000000000000004</v>
      </c>
      <c r="I160" s="239" t="s">
        <v>29319</v>
      </c>
      <c r="J160" s="239" t="s">
        <v>4</v>
      </c>
      <c r="K160" s="239" t="s">
        <v>3830</v>
      </c>
      <c r="L160" s="239">
        <v>753445468</v>
      </c>
      <c r="M160" s="239" t="s">
        <v>5</v>
      </c>
      <c r="N160" s="239" t="s">
        <v>31598</v>
      </c>
      <c r="O160" s="239" t="s">
        <v>4</v>
      </c>
      <c r="P160" s="239">
        <v>7</v>
      </c>
      <c r="Q160" s="239" t="s">
        <v>7</v>
      </c>
      <c r="R160" s="239" t="s">
        <v>31549</v>
      </c>
      <c r="S160" s="239" t="s">
        <v>4</v>
      </c>
      <c r="T160" s="239" t="s">
        <v>7</v>
      </c>
      <c r="U160" s="239" t="s">
        <v>2</v>
      </c>
      <c r="V160" s="239">
        <v>60</v>
      </c>
      <c r="W160" s="239" t="s">
        <v>7</v>
      </c>
      <c r="X160" s="239" t="s">
        <v>4</v>
      </c>
      <c r="Y160" s="239" t="s">
        <v>4</v>
      </c>
      <c r="Z160" s="241" t="str">
        <f>IF(OR(T160="yes",Y160&gt;'SDG outcome'!$C$27),"yes","no")</f>
        <v>yes</v>
      </c>
      <c r="AA160" s="243">
        <f t="shared" si="13"/>
        <v>60</v>
      </c>
      <c r="AB160" s="243" t="str">
        <f>IF(AND(Z160="no",AND(Y160&gt;='SDG outcome'!$B$16,Y160&lt;'SDG outcome'!$C$27)),Y160-'SDG outcome'!$B$16,"")</f>
        <v/>
      </c>
      <c r="AC160" s="239" t="s">
        <v>4</v>
      </c>
      <c r="AD160" s="239" t="s">
        <v>4</v>
      </c>
      <c r="AE160" s="239" t="s">
        <v>4</v>
      </c>
      <c r="AF160" s="239" t="s">
        <v>4</v>
      </c>
      <c r="AG160" s="239" t="s">
        <v>4</v>
      </c>
      <c r="AH160" s="239" t="s">
        <v>4</v>
      </c>
      <c r="AI160" s="239" t="s">
        <v>4</v>
      </c>
      <c r="AJ160" s="239" t="s">
        <v>29290</v>
      </c>
      <c r="AK160" s="239" t="s">
        <v>29291</v>
      </c>
      <c r="AL160" s="239" t="s">
        <v>4</v>
      </c>
      <c r="AM160" s="239" t="s">
        <v>4</v>
      </c>
      <c r="AN160" s="239" t="s">
        <v>31536</v>
      </c>
      <c r="AO160" s="239" t="s">
        <v>4</v>
      </c>
      <c r="AP160" s="239" t="s">
        <v>31537</v>
      </c>
      <c r="AQ160" s="239" t="s">
        <v>4</v>
      </c>
      <c r="AR160" s="239" t="s">
        <v>31779</v>
      </c>
      <c r="AS160" s="239" t="s">
        <v>4</v>
      </c>
      <c r="AT160" s="239" t="s">
        <v>7</v>
      </c>
      <c r="AU160" s="239" t="s">
        <v>4</v>
      </c>
      <c r="AV160" s="239" t="s">
        <v>4</v>
      </c>
      <c r="AW160" s="239" t="s">
        <v>31550</v>
      </c>
      <c r="AX160" s="239" t="s">
        <v>4</v>
      </c>
      <c r="AY160" s="239" t="s">
        <v>4</v>
      </c>
      <c r="AZ160" s="239" t="s">
        <v>7</v>
      </c>
      <c r="BA160" s="239" t="s">
        <v>6</v>
      </c>
      <c r="BB160" s="239" t="s">
        <v>4</v>
      </c>
      <c r="BC160" s="239" t="s">
        <v>31557</v>
      </c>
      <c r="BD160" s="239" t="s">
        <v>4</v>
      </c>
      <c r="BE160" s="239" t="s">
        <v>4</v>
      </c>
      <c r="BF160" s="239" t="s">
        <v>4</v>
      </c>
      <c r="BG160" s="239" t="s">
        <v>4</v>
      </c>
      <c r="BH160" s="239" t="s">
        <v>4</v>
      </c>
      <c r="BI160" s="239" t="s">
        <v>4</v>
      </c>
      <c r="BJ160" s="239" t="s">
        <v>4</v>
      </c>
      <c r="BK160" s="239" t="s">
        <v>4</v>
      </c>
      <c r="BL160" s="239" t="s">
        <v>4</v>
      </c>
      <c r="BM160" s="239" t="s">
        <v>7</v>
      </c>
      <c r="BN160" s="239" t="s">
        <v>6</v>
      </c>
      <c r="BO160" s="239" t="s">
        <v>4</v>
      </c>
      <c r="BP160" s="239" t="s">
        <v>31429</v>
      </c>
      <c r="BQ160" s="239">
        <v>4</v>
      </c>
      <c r="BR160" s="239">
        <v>45</v>
      </c>
      <c r="BS160" s="239" t="s">
        <v>31435</v>
      </c>
      <c r="BT160" s="239"/>
      <c r="BU160" s="239">
        <v>1</v>
      </c>
      <c r="BV160" s="239" cm="1">
        <f t="array" ref="BV160">_xlfn.IFS(BS160="Foreword vehicle",BU160*0,BS160="Human wastes",BU160*0,BS160="Jerrycans",BU160*$BV$228,BS160="Number of Basins",BU160*$BV$229,BS160="Number of Buckets",BU160*$CA$226,BS160="Number of Kgs",BU160*$CA$227,BS160="Number of spades",BU160*$CA$228,BS160="Number of wheelbarrows",BU160*$CA$229,BT160="Foreword vehicle",BU160*0,BT160="Human wastes",BU160*0,BT160="Jerrycans",BU160*$BV$228,BS160="","")</f>
        <v>70.5</v>
      </c>
      <c r="BW160" s="239">
        <f>IF(BV160="","",Table14[[#This Row],[Calculation: Conversion of metric to Kg manure feeding (Columns: BP, BQ, BR)]]*Table14[[#This Row],[Number of times used to feed biodigester]])</f>
        <v>282</v>
      </c>
      <c r="BX160" s="239" cm="1">
        <f t="array" ref="BX160">_xlfn.IFS(BP160="Number of times per day (1 to 3)",BW160/$BX$226,BP160="Number of times per week (1 to 6)",BW160/$BX$227,BP160="Number of times per Month (1 to 3)",BW160/$BX$228,BW160="","")</f>
        <v>40.285714285714285</v>
      </c>
      <c r="BY160" s="239" t="s">
        <v>31650</v>
      </c>
      <c r="BZ160" s="239" t="s">
        <v>4</v>
      </c>
      <c r="CA160" s="239" t="s">
        <v>2</v>
      </c>
      <c r="CB160" s="239" t="s">
        <v>4</v>
      </c>
      <c r="CC160" s="239" t="s">
        <v>4</v>
      </c>
      <c r="CD160" s="239" t="s">
        <v>4</v>
      </c>
      <c r="CE160" s="239" t="s">
        <v>7</v>
      </c>
      <c r="CF160" s="239" t="s">
        <v>31805</v>
      </c>
      <c r="CG160" s="239" t="s">
        <v>4</v>
      </c>
      <c r="CH160" s="239" t="s">
        <v>31568</v>
      </c>
      <c r="CI160" s="239">
        <v>3</v>
      </c>
      <c r="CJ160" s="239">
        <v>0</v>
      </c>
      <c r="CK160" s="239">
        <v>0</v>
      </c>
      <c r="CL160" s="239">
        <v>0</v>
      </c>
      <c r="CM160" s="239">
        <v>10</v>
      </c>
      <c r="CN160" s="239">
        <v>600</v>
      </c>
      <c r="CO160" s="239">
        <v>0</v>
      </c>
      <c r="CP160" s="239">
        <v>0</v>
      </c>
      <c r="CQ160" s="239">
        <v>0</v>
      </c>
      <c r="CR160" s="239">
        <v>0</v>
      </c>
      <c r="CS160" s="239">
        <f>CP160/'SDG outcome'!$C$9*CQ160*CR160</f>
        <v>0</v>
      </c>
      <c r="CT160" s="239">
        <v>50</v>
      </c>
      <c r="CU160" s="239">
        <v>50</v>
      </c>
      <c r="CV160" s="239" t="s">
        <v>31806</v>
      </c>
      <c r="CW160" s="239" t="s">
        <v>4</v>
      </c>
      <c r="CX160" s="239" t="s">
        <v>4</v>
      </c>
      <c r="CY160" s="239" t="s">
        <v>4</v>
      </c>
      <c r="CZ160" s="239" t="s">
        <v>4</v>
      </c>
      <c r="DA160" s="239" t="s">
        <v>4</v>
      </c>
      <c r="DB160" s="239" t="s">
        <v>4</v>
      </c>
      <c r="DC160" s="239" t="s">
        <v>4</v>
      </c>
      <c r="DD160" s="239" t="s">
        <v>4</v>
      </c>
      <c r="DE160" s="239" t="s">
        <v>4</v>
      </c>
      <c r="DF160" s="239">
        <v>0</v>
      </c>
      <c r="DG160" s="239">
        <v>100</v>
      </c>
      <c r="DH160" s="239" t="s">
        <v>31807</v>
      </c>
      <c r="DI160" s="239">
        <v>0</v>
      </c>
      <c r="DJ160" s="239">
        <v>100</v>
      </c>
      <c r="DK160" s="239" t="s">
        <v>31807</v>
      </c>
      <c r="DL160" s="239">
        <v>0</v>
      </c>
      <c r="DM160" s="239">
        <v>100</v>
      </c>
      <c r="DN160" s="239" t="s">
        <v>31807</v>
      </c>
      <c r="DO160" s="239">
        <v>3</v>
      </c>
      <c r="DP160" s="239" t="s">
        <v>2</v>
      </c>
      <c r="DQ160" s="239" t="s">
        <v>29292</v>
      </c>
      <c r="DR160" s="239" t="s">
        <v>4</v>
      </c>
      <c r="DS160" s="239" t="s">
        <v>29293</v>
      </c>
      <c r="DT160" s="240">
        <v>30000</v>
      </c>
      <c r="DU160" s="239" t="s">
        <v>29293</v>
      </c>
      <c r="DV160" s="240">
        <v>50000</v>
      </c>
      <c r="DW160" s="239" t="s">
        <v>29508</v>
      </c>
      <c r="DX160" s="239"/>
      <c r="DY160" s="239"/>
      <c r="DZ160" s="239"/>
      <c r="EA160" s="239"/>
      <c r="EB160" s="239"/>
      <c r="EC160" s="239"/>
      <c r="ED160" s="239"/>
      <c r="EE160" s="320">
        <f>Table14[[#This Row],[% Fertilizer]]*$DX160/10000</f>
        <v>0</v>
      </c>
      <c r="EF160" s="320">
        <f>Table14[[#This Row],[% bioslurry used as Insecticide/Pesticide]]*$DX160/10000</f>
        <v>0</v>
      </c>
      <c r="EG160" s="320">
        <f>Table14[[#This Row],[% of Bioslurry used as animal feed]]*$DX160/10000</f>
        <v>0</v>
      </c>
      <c r="EH160" s="320">
        <f>Table14[[#This Row],[% of Bioslurry sold]]*$DX160/10000</f>
        <v>0</v>
      </c>
      <c r="EI160" s="320">
        <f>Table14[[#This Row],[% used other way(if used directly)]]*$DX160/10000</f>
        <v>0</v>
      </c>
      <c r="EJ160" s="239">
        <v>100</v>
      </c>
      <c r="EK160" s="239" t="s">
        <v>30747</v>
      </c>
      <c r="EL160" s="239"/>
      <c r="EM160" s="239">
        <v>100</v>
      </c>
      <c r="EN160" s="239"/>
      <c r="EO160" s="239">
        <f>(Table14[[#This Row],[% Uncovered lagoon greater than 1 meter]]+Table14[[#This Row],[Uncovered lagoon (black watery mass) &lt;1 meter]]+Table14[[#This Row],[% Liquid slurry (brown porridge type)]])*Table14[[#This Row],[% Store it first]]/100</f>
        <v>100</v>
      </c>
      <c r="EP160" s="239"/>
      <c r="EQ160" s="239"/>
      <c r="ER160" s="239"/>
      <c r="ES160" s="239"/>
      <c r="ET160" s="239">
        <f>(Table14[[#This Row],[% Solid storage]]+Table14[[#This Row],[% Sun drying]]+Table14[[#This Row],[% Composting with a roof]]+Table14[[#This Row],[% Composting without a roof]])*Table14[[#This Row],[% Store it first]]/100</f>
        <v>0</v>
      </c>
      <c r="EU160" s="239">
        <v>180</v>
      </c>
      <c r="EV160" s="320">
        <f t="shared" si="15"/>
        <v>1</v>
      </c>
      <c r="EW160" s="320">
        <f t="shared" si="16"/>
        <v>0</v>
      </c>
      <c r="EX160" s="320">
        <f t="shared" si="17"/>
        <v>0</v>
      </c>
      <c r="EY160" s="320">
        <f t="shared" si="18"/>
        <v>0</v>
      </c>
      <c r="EZ160" s="320">
        <f t="shared" si="19"/>
        <v>0</v>
      </c>
      <c r="FA160" s="239"/>
      <c r="FB160" s="239"/>
      <c r="FC160" s="239"/>
      <c r="FD160" s="239">
        <f>Table14[[#This Row],[% I donâ€™t use it / discarded]]+Table14[[#This Row],[% Other (specify)(If you use bioslurry directly)]]+Table14[[#This Row],[% Store it first]]+Table14[[#This Row],[% Use directly for various purposes]]</f>
        <v>100</v>
      </c>
      <c r="FE160" s="239" t="s">
        <v>29296</v>
      </c>
      <c r="FF160" s="239">
        <v>100</v>
      </c>
      <c r="FG160" s="239"/>
      <c r="FH160" s="239"/>
      <c r="FI160" s="239"/>
      <c r="FJ160" s="239"/>
      <c r="FK160" s="239">
        <v>0.4</v>
      </c>
      <c r="FL160" s="239" t="s">
        <v>7</v>
      </c>
      <c r="FM160" s="239">
        <v>100</v>
      </c>
      <c r="FN160" s="239">
        <f t="shared" si="14"/>
        <v>0.4</v>
      </c>
      <c r="FO160" s="239" t="s">
        <v>30352</v>
      </c>
      <c r="FP160" s="239" t="s">
        <v>29298</v>
      </c>
      <c r="FQ160" s="239">
        <v>96</v>
      </c>
      <c r="FR160" s="239" t="s">
        <v>7</v>
      </c>
      <c r="FS160" s="239" t="s">
        <v>29492</v>
      </c>
      <c r="FT160" s="239" t="s">
        <v>4</v>
      </c>
      <c r="FU160" s="239" t="s">
        <v>2</v>
      </c>
      <c r="FV160" s="239" t="s">
        <v>4</v>
      </c>
      <c r="FW160" s="239" t="s">
        <v>4</v>
      </c>
      <c r="FX160" s="239" t="s">
        <v>4</v>
      </c>
      <c r="FY160" s="239" t="s">
        <v>4</v>
      </c>
      <c r="FZ160" s="239" t="s">
        <v>29292</v>
      </c>
      <c r="GA160" s="239" t="s">
        <v>29293</v>
      </c>
      <c r="GB160" s="240">
        <v>120000</v>
      </c>
      <c r="GC160" s="239" t="s">
        <v>4</v>
      </c>
      <c r="GD160" s="239" t="s">
        <v>7</v>
      </c>
      <c r="GE160" s="239" t="s">
        <v>29301</v>
      </c>
      <c r="GF160" s="239" t="s">
        <v>4</v>
      </c>
      <c r="GG160" s="239" t="s">
        <v>7</v>
      </c>
      <c r="GH160" s="239" t="s">
        <v>2</v>
      </c>
      <c r="GI160" s="239" t="s">
        <v>4</v>
      </c>
      <c r="GJ160" s="239" t="s">
        <v>4</v>
      </c>
      <c r="GK160" s="239" t="s">
        <v>4</v>
      </c>
      <c r="GL160" s="239">
        <v>0</v>
      </c>
      <c r="GM160" s="239"/>
      <c r="GN160" s="239" t="s">
        <v>4</v>
      </c>
      <c r="GO160" s="239" t="s">
        <v>4</v>
      </c>
      <c r="GP160" s="239" t="s">
        <v>4</v>
      </c>
      <c r="GQ160" s="239" t="s">
        <v>4</v>
      </c>
      <c r="GR160" s="239" t="s">
        <v>4</v>
      </c>
      <c r="GS160" s="239" t="s">
        <v>4</v>
      </c>
      <c r="GT160" s="239" t="s">
        <v>4</v>
      </c>
      <c r="GU160" s="239" t="s">
        <v>4</v>
      </c>
      <c r="GV160" s="239" t="s">
        <v>4</v>
      </c>
      <c r="GW160" s="239" t="s">
        <v>29304</v>
      </c>
      <c r="GX160" s="239" t="s">
        <v>29305</v>
      </c>
      <c r="GY160" s="239" t="s">
        <v>29306</v>
      </c>
      <c r="GZ160" s="239" t="s">
        <v>4</v>
      </c>
      <c r="HA160" s="239" t="s">
        <v>4</v>
      </c>
      <c r="HB160" s="239" t="s">
        <v>4</v>
      </c>
      <c r="HC160" s="239" t="s">
        <v>4</v>
      </c>
      <c r="HD160" s="239" t="s">
        <v>4</v>
      </c>
      <c r="HE160" s="239" t="s">
        <v>4</v>
      </c>
      <c r="HF160" s="239" t="s">
        <v>4</v>
      </c>
      <c r="HG160" s="239" t="s">
        <v>4</v>
      </c>
      <c r="HH160" s="239" t="s">
        <v>29354</v>
      </c>
      <c r="HI160" s="239" t="s">
        <v>4</v>
      </c>
      <c r="HJ160" s="240">
        <v>0</v>
      </c>
      <c r="HK160" s="239" t="s">
        <v>7</v>
      </c>
      <c r="HL160" s="239" t="s">
        <v>29309</v>
      </c>
      <c r="HM160" s="239" t="s">
        <v>4</v>
      </c>
      <c r="HN160" s="239" t="s">
        <v>4</v>
      </c>
      <c r="HO160" s="239" t="s">
        <v>4</v>
      </c>
      <c r="HP160" s="239" t="s">
        <v>4</v>
      </c>
      <c r="HQ160" s="239" t="s">
        <v>4</v>
      </c>
      <c r="HR160" s="239" t="s">
        <v>4</v>
      </c>
      <c r="HS160" s="239" t="s">
        <v>4</v>
      </c>
      <c r="HT160" s="239" t="s">
        <v>4</v>
      </c>
      <c r="HU160" s="239" t="s">
        <v>2</v>
      </c>
      <c r="HV160" s="239" t="s">
        <v>4</v>
      </c>
      <c r="HW160" s="239" t="s">
        <v>4</v>
      </c>
      <c r="HX160" s="239" t="s">
        <v>4</v>
      </c>
      <c r="HY160" s="239" t="s">
        <v>4</v>
      </c>
      <c r="HZ160" s="239" t="s">
        <v>30353</v>
      </c>
      <c r="IA160" s="239" t="s">
        <v>7</v>
      </c>
      <c r="IB160" s="239" t="s">
        <v>30354</v>
      </c>
      <c r="IC160" s="239" t="s">
        <v>30355</v>
      </c>
      <c r="ID160" s="239" t="s">
        <v>30356</v>
      </c>
      <c r="IE160" s="239" t="s">
        <v>30357</v>
      </c>
      <c r="IF160" s="239" t="s">
        <v>30358</v>
      </c>
      <c r="IG160" s="239" t="s">
        <v>30359</v>
      </c>
      <c r="IH160" s="239" t="s">
        <v>30360</v>
      </c>
    </row>
    <row r="161" spans="1:242" s="1" customFormat="1" ht="36.75" customHeight="1" x14ac:dyDescent="0.2">
      <c r="A161" s="239">
        <v>131</v>
      </c>
      <c r="B161" s="239" t="s">
        <v>14154</v>
      </c>
      <c r="C161" s="239" t="s">
        <v>30698</v>
      </c>
      <c r="D161" s="239" t="s">
        <v>30699</v>
      </c>
      <c r="E161" s="239" t="s">
        <v>7</v>
      </c>
      <c r="F161" s="239" t="s">
        <v>30700</v>
      </c>
      <c r="G161" s="239">
        <v>1262.5</v>
      </c>
      <c r="H161" s="239">
        <v>3.6</v>
      </c>
      <c r="I161" s="239" t="s">
        <v>29319</v>
      </c>
      <c r="J161" s="239" t="s">
        <v>4</v>
      </c>
      <c r="K161" s="239" t="s">
        <v>30701</v>
      </c>
      <c r="L161" s="239">
        <v>782495358</v>
      </c>
      <c r="M161" s="239" t="s">
        <v>5</v>
      </c>
      <c r="N161" s="239" t="s">
        <v>31598</v>
      </c>
      <c r="O161" s="239" t="s">
        <v>4</v>
      </c>
      <c r="P161" s="239">
        <v>6</v>
      </c>
      <c r="Q161" s="239" t="s">
        <v>7</v>
      </c>
      <c r="R161" s="239" t="s">
        <v>31549</v>
      </c>
      <c r="S161" s="239" t="s">
        <v>4</v>
      </c>
      <c r="T161" s="239" t="s">
        <v>7</v>
      </c>
      <c r="U161" s="239" t="s">
        <v>7</v>
      </c>
      <c r="V161" s="239"/>
      <c r="W161" s="239" t="s">
        <v>7</v>
      </c>
      <c r="X161" s="239" t="s">
        <v>4</v>
      </c>
      <c r="Y161" s="239" t="s">
        <v>4</v>
      </c>
      <c r="Z161" s="241" t="str">
        <f>IF(OR(T161="yes",Y161&gt;'SDG outcome'!$C$27),"yes","no")</f>
        <v>yes</v>
      </c>
      <c r="AA161" s="243">
        <f t="shared" si="13"/>
        <v>0</v>
      </c>
      <c r="AB161" s="243" t="str">
        <f>IF(AND(Z161="no",AND(Y161&gt;='SDG outcome'!$B$16,Y161&lt;'SDG outcome'!$C$27)),Y161-'SDG outcome'!$B$16,"")</f>
        <v/>
      </c>
      <c r="AC161" s="239" t="s">
        <v>4</v>
      </c>
      <c r="AD161" s="239" t="s">
        <v>4</v>
      </c>
      <c r="AE161" s="239" t="s">
        <v>4</v>
      </c>
      <c r="AF161" s="239" t="s">
        <v>4</v>
      </c>
      <c r="AG161" s="239" t="s">
        <v>4</v>
      </c>
      <c r="AH161" s="239" t="s">
        <v>4</v>
      </c>
      <c r="AI161" s="239" t="s">
        <v>4</v>
      </c>
      <c r="AJ161" s="239" t="s">
        <v>29290</v>
      </c>
      <c r="AK161" s="239" t="s">
        <v>29694</v>
      </c>
      <c r="AL161" s="239" t="s">
        <v>4</v>
      </c>
      <c r="AM161" s="239" t="s">
        <v>4</v>
      </c>
      <c r="AN161" s="239" t="s">
        <v>31536</v>
      </c>
      <c r="AO161" s="239" t="s">
        <v>4</v>
      </c>
      <c r="AP161" s="239" t="s">
        <v>31537</v>
      </c>
      <c r="AQ161" s="239" t="s">
        <v>4</v>
      </c>
      <c r="AR161" s="239" t="s">
        <v>31538</v>
      </c>
      <c r="AS161" s="239" t="s">
        <v>4</v>
      </c>
      <c r="AT161" s="239" t="s">
        <v>7</v>
      </c>
      <c r="AU161" s="239" t="s">
        <v>4</v>
      </c>
      <c r="AV161" s="239" t="s">
        <v>4</v>
      </c>
      <c r="AW161" s="239" t="s">
        <v>31539</v>
      </c>
      <c r="AX161" s="239" t="s">
        <v>4</v>
      </c>
      <c r="AY161" s="239" t="s">
        <v>4</v>
      </c>
      <c r="AZ161" s="239" t="s">
        <v>2</v>
      </c>
      <c r="BA161" s="239" t="s">
        <v>4</v>
      </c>
      <c r="BB161" s="239" t="s">
        <v>4</v>
      </c>
      <c r="BC161" s="239" t="s">
        <v>31563</v>
      </c>
      <c r="BD161" s="239" t="s">
        <v>31552</v>
      </c>
      <c r="BE161" s="239" t="s">
        <v>4</v>
      </c>
      <c r="BF161" s="239" t="s">
        <v>22</v>
      </c>
      <c r="BG161" s="239" t="s">
        <v>4</v>
      </c>
      <c r="BH161" s="239" t="s">
        <v>31542</v>
      </c>
      <c r="BI161" s="239" t="s">
        <v>31858</v>
      </c>
      <c r="BJ161" s="239" t="s">
        <v>31566</v>
      </c>
      <c r="BK161" s="239">
        <v>3</v>
      </c>
      <c r="BL161" s="239">
        <v>60</v>
      </c>
      <c r="BM161" s="239" t="s">
        <v>7</v>
      </c>
      <c r="BN161" s="239" t="s">
        <v>6</v>
      </c>
      <c r="BO161" s="239" t="s">
        <v>4</v>
      </c>
      <c r="BP161" s="239" t="s">
        <v>31429</v>
      </c>
      <c r="BQ161" s="239">
        <v>3</v>
      </c>
      <c r="BR161" s="239">
        <v>60</v>
      </c>
      <c r="BS161" s="239" t="s">
        <v>31435</v>
      </c>
      <c r="BT161" s="239"/>
      <c r="BU161" s="239">
        <v>2</v>
      </c>
      <c r="BV161" s="239" cm="1">
        <f t="array" ref="BV161">_xlfn.IFS(BS161="Foreword vehicle",BU161*0,BS161="Human wastes",BU161*0,BS161="Jerrycans",BU161*$BV$228,BS161="Number of Basins",BU161*$BV$229,BS161="Number of Buckets",BU161*$CA$226,BS161="Number of Kgs",BU161*$CA$227,BS161="Number of spades",BU161*$CA$228,BS161="Number of wheelbarrows",BU161*$CA$229,BT161="Foreword vehicle",BU161*0,BT161="Human wastes",BU161*0,BT161="Jerrycans",BU161*$BV$228,BS161="","")</f>
        <v>141</v>
      </c>
      <c r="BW161" s="239">
        <f>IF(BV161="","",Table14[[#This Row],[Calculation: Conversion of metric to Kg manure feeding (Columns: BP, BQ, BR)]]*Table14[[#This Row],[Number of times used to feed biodigester]])</f>
        <v>423</v>
      </c>
      <c r="BX161" s="239" cm="1">
        <f t="array" ref="BX161">_xlfn.IFS(BP161="Number of times per day (1 to 3)",BW161/$BX$226,BP161="Number of times per week (1 to 6)",BW161/$BX$227,BP161="Number of times per Month (1 to 3)",BW161/$BX$228,BW161="","")</f>
        <v>60.428571428571431</v>
      </c>
      <c r="BY161" s="239" t="s">
        <v>31552</v>
      </c>
      <c r="BZ161" s="239" t="s">
        <v>4</v>
      </c>
      <c r="CA161" s="239" t="s">
        <v>2</v>
      </c>
      <c r="CB161" s="239" t="s">
        <v>4</v>
      </c>
      <c r="CC161" s="239" t="s">
        <v>4</v>
      </c>
      <c r="CD161" s="239" t="s">
        <v>4</v>
      </c>
      <c r="CE161" s="239" t="s">
        <v>7</v>
      </c>
      <c r="CF161" s="239" t="s">
        <v>31859</v>
      </c>
      <c r="CG161" s="239" t="s">
        <v>4</v>
      </c>
      <c r="CH161" s="239" t="s">
        <v>31604</v>
      </c>
      <c r="CI161" s="239">
        <v>3</v>
      </c>
      <c r="CJ161" s="239">
        <v>0</v>
      </c>
      <c r="CK161" s="239">
        <v>0</v>
      </c>
      <c r="CL161" s="239">
        <v>0</v>
      </c>
      <c r="CM161" s="239">
        <v>0</v>
      </c>
      <c r="CN161" s="239">
        <v>0</v>
      </c>
      <c r="CO161" s="239">
        <v>0</v>
      </c>
      <c r="CP161" s="239">
        <v>0</v>
      </c>
      <c r="CQ161" s="239">
        <v>0</v>
      </c>
      <c r="CR161" s="239">
        <v>0</v>
      </c>
      <c r="CS161" s="239">
        <f>CP161/'SDG outcome'!$C$9*CQ161*CR161</f>
        <v>0</v>
      </c>
      <c r="CT161" s="239">
        <v>100</v>
      </c>
      <c r="CU161" s="239">
        <v>0</v>
      </c>
      <c r="CV161" s="239" t="s">
        <v>4</v>
      </c>
      <c r="CW161" s="239" t="s">
        <v>4</v>
      </c>
      <c r="CX161" s="239" t="s">
        <v>4</v>
      </c>
      <c r="CY161" s="239" t="s">
        <v>4</v>
      </c>
      <c r="CZ161" s="239" t="s">
        <v>4</v>
      </c>
      <c r="DA161" s="239" t="s">
        <v>4</v>
      </c>
      <c r="DB161" s="239" t="s">
        <v>4</v>
      </c>
      <c r="DC161" s="239" t="s">
        <v>4</v>
      </c>
      <c r="DD161" s="239" t="s">
        <v>4</v>
      </c>
      <c r="DE161" s="239" t="s">
        <v>4</v>
      </c>
      <c r="DF161" s="239" t="s">
        <v>4</v>
      </c>
      <c r="DG161" s="239" t="s">
        <v>4</v>
      </c>
      <c r="DH161" s="239" t="s">
        <v>4</v>
      </c>
      <c r="DI161" s="239" t="s">
        <v>4</v>
      </c>
      <c r="DJ161" s="239" t="s">
        <v>4</v>
      </c>
      <c r="DK161" s="239" t="s">
        <v>4</v>
      </c>
      <c r="DL161" s="239" t="s">
        <v>4</v>
      </c>
      <c r="DM161" s="239" t="s">
        <v>4</v>
      </c>
      <c r="DN161" s="239" t="s">
        <v>4</v>
      </c>
      <c r="DO161" s="239">
        <v>0.5</v>
      </c>
      <c r="DP161" s="239" t="s">
        <v>7</v>
      </c>
      <c r="DQ161" s="239" t="s">
        <v>29292</v>
      </c>
      <c r="DR161" s="239" t="s">
        <v>4</v>
      </c>
      <c r="DS161" s="239" t="s">
        <v>29294</v>
      </c>
      <c r="DT161" s="240" t="s">
        <v>4</v>
      </c>
      <c r="DU161" s="239" t="s">
        <v>29293</v>
      </c>
      <c r="DV161" s="240">
        <v>6000</v>
      </c>
      <c r="DW161" s="239" t="s">
        <v>29508</v>
      </c>
      <c r="DX161" s="239"/>
      <c r="DY161" s="239"/>
      <c r="DZ161" s="239"/>
      <c r="EA161" s="239"/>
      <c r="EB161" s="239"/>
      <c r="EC161" s="239"/>
      <c r="ED161" s="239"/>
      <c r="EE161" s="320">
        <f>Table14[[#This Row],[% Fertilizer]]*$DX161/10000</f>
        <v>0</v>
      </c>
      <c r="EF161" s="320">
        <f>Table14[[#This Row],[% bioslurry used as Insecticide/Pesticide]]*$DX161/10000</f>
        <v>0</v>
      </c>
      <c r="EG161" s="320">
        <f>Table14[[#This Row],[% of Bioslurry used as animal feed]]*$DX161/10000</f>
        <v>0</v>
      </c>
      <c r="EH161" s="320">
        <f>Table14[[#This Row],[% of Bioslurry sold]]*$DX161/10000</f>
        <v>0</v>
      </c>
      <c r="EI161" s="320">
        <f>Table14[[#This Row],[% used other way(if used directly)]]*$DX161/10000</f>
        <v>0</v>
      </c>
      <c r="EJ161" s="239">
        <v>100</v>
      </c>
      <c r="EK161" s="239" t="s">
        <v>30747</v>
      </c>
      <c r="EL161" s="239"/>
      <c r="EM161" s="239">
        <v>100</v>
      </c>
      <c r="EN161" s="239"/>
      <c r="EO161" s="239">
        <f>(Table14[[#This Row],[% Uncovered lagoon greater than 1 meter]]+Table14[[#This Row],[Uncovered lagoon (black watery mass) &lt;1 meter]]+Table14[[#This Row],[% Liquid slurry (brown porridge type)]])*Table14[[#This Row],[% Store it first]]/100</f>
        <v>100</v>
      </c>
      <c r="EP161" s="239"/>
      <c r="EQ161" s="239"/>
      <c r="ER161" s="239"/>
      <c r="ES161" s="239"/>
      <c r="ET161" s="239">
        <f>(Table14[[#This Row],[% Solid storage]]+Table14[[#This Row],[% Sun drying]]+Table14[[#This Row],[% Composting with a roof]]+Table14[[#This Row],[% Composting without a roof]])*Table14[[#This Row],[% Store it first]]/100</f>
        <v>0</v>
      </c>
      <c r="EU161" s="239">
        <v>21</v>
      </c>
      <c r="EV161" s="320">
        <f t="shared" si="15"/>
        <v>0.99</v>
      </c>
      <c r="EW161" s="320">
        <f t="shared" si="16"/>
        <v>0</v>
      </c>
      <c r="EX161" s="320">
        <f t="shared" si="17"/>
        <v>0</v>
      </c>
      <c r="EY161" s="320">
        <f t="shared" si="18"/>
        <v>0</v>
      </c>
      <c r="EZ161" s="320">
        <f t="shared" si="19"/>
        <v>0.01</v>
      </c>
      <c r="FA161" s="239"/>
      <c r="FB161" s="239"/>
      <c r="FC161" s="239"/>
      <c r="FD161" s="239">
        <f>Table14[[#This Row],[% I donâ€™t use it / discarded]]+Table14[[#This Row],[% Other (specify)(If you use bioslurry directly)]]+Table14[[#This Row],[% Store it first]]+Table14[[#This Row],[% Use directly for various purposes]]</f>
        <v>100</v>
      </c>
      <c r="FE161" s="239" t="s">
        <v>30702</v>
      </c>
      <c r="FF161" s="239">
        <v>99</v>
      </c>
      <c r="FG161" s="239"/>
      <c r="FH161" s="239"/>
      <c r="FI161" s="239"/>
      <c r="FJ161" s="239">
        <v>1</v>
      </c>
      <c r="FK161" s="239">
        <v>4</v>
      </c>
      <c r="FL161" s="239" t="s">
        <v>30270</v>
      </c>
      <c r="FM161" s="239">
        <v>20</v>
      </c>
      <c r="FN161" s="239">
        <f t="shared" si="14"/>
        <v>0.8</v>
      </c>
      <c r="FO161" s="239" t="s">
        <v>30703</v>
      </c>
      <c r="FP161" s="239" t="s">
        <v>29298</v>
      </c>
      <c r="FQ161" s="239">
        <v>108</v>
      </c>
      <c r="FR161" s="239" t="s">
        <v>7</v>
      </c>
      <c r="FS161" s="239" t="s">
        <v>29492</v>
      </c>
      <c r="FT161" s="239" t="s">
        <v>4</v>
      </c>
      <c r="FU161" s="239" t="s">
        <v>2</v>
      </c>
      <c r="FV161" s="239" t="s">
        <v>4</v>
      </c>
      <c r="FW161" s="239" t="s">
        <v>4</v>
      </c>
      <c r="FX161" s="239" t="s">
        <v>4</v>
      </c>
      <c r="FY161" s="239" t="s">
        <v>4</v>
      </c>
      <c r="FZ161" s="239" t="s">
        <v>29292</v>
      </c>
      <c r="GA161" s="239" t="s">
        <v>29293</v>
      </c>
      <c r="GB161" s="240">
        <v>17000</v>
      </c>
      <c r="GC161" s="239" t="s">
        <v>4</v>
      </c>
      <c r="GD161" s="239" t="s">
        <v>7</v>
      </c>
      <c r="GE161" s="239" t="s">
        <v>29301</v>
      </c>
      <c r="GF161" s="239" t="s">
        <v>4</v>
      </c>
      <c r="GG161" s="239" t="s">
        <v>7</v>
      </c>
      <c r="GH161" s="239" t="s">
        <v>7</v>
      </c>
      <c r="GI161" s="239" t="s">
        <v>29302</v>
      </c>
      <c r="GJ161" s="239" t="s">
        <v>30678</v>
      </c>
      <c r="GK161" s="239" t="s">
        <v>4</v>
      </c>
      <c r="GL161" s="239">
        <v>0</v>
      </c>
      <c r="GM161" s="239"/>
      <c r="GN161" s="239" t="s">
        <v>4</v>
      </c>
      <c r="GO161" s="239" t="s">
        <v>4</v>
      </c>
      <c r="GP161" s="239" t="s">
        <v>4</v>
      </c>
      <c r="GQ161" s="239" t="s">
        <v>4</v>
      </c>
      <c r="GR161" s="239" t="s">
        <v>4</v>
      </c>
      <c r="GS161" s="239" t="s">
        <v>4</v>
      </c>
      <c r="GT161" s="239" t="s">
        <v>4</v>
      </c>
      <c r="GU161" s="239" t="s">
        <v>4</v>
      </c>
      <c r="GV161" s="239" t="s">
        <v>4</v>
      </c>
      <c r="GW161" s="239" t="s">
        <v>29304</v>
      </c>
      <c r="GX161" s="239" t="s">
        <v>29478</v>
      </c>
      <c r="GY161" s="239" t="s">
        <v>29306</v>
      </c>
      <c r="GZ161" s="239" t="s">
        <v>29479</v>
      </c>
      <c r="HA161" s="239" t="s">
        <v>4</v>
      </c>
      <c r="HB161" s="239" t="s">
        <v>4</v>
      </c>
      <c r="HC161" s="239" t="s">
        <v>4</v>
      </c>
      <c r="HD161" s="239" t="s">
        <v>4</v>
      </c>
      <c r="HE161" s="239" t="s">
        <v>4</v>
      </c>
      <c r="HF161" s="239" t="s">
        <v>4</v>
      </c>
      <c r="HG161" s="239" t="s">
        <v>4</v>
      </c>
      <c r="HH161" s="239" t="s">
        <v>29307</v>
      </c>
      <c r="HI161" s="239" t="s">
        <v>30678</v>
      </c>
      <c r="HJ161" s="240">
        <v>500</v>
      </c>
      <c r="HK161" s="239" t="s">
        <v>2</v>
      </c>
      <c r="HL161" s="239" t="s">
        <v>29309</v>
      </c>
      <c r="HM161" s="239" t="s">
        <v>4</v>
      </c>
      <c r="HN161" s="239" t="s">
        <v>4</v>
      </c>
      <c r="HO161" s="239" t="s">
        <v>4</v>
      </c>
      <c r="HP161" s="239" t="s">
        <v>4</v>
      </c>
      <c r="HQ161" s="239" t="s">
        <v>4</v>
      </c>
      <c r="HR161" s="239" t="s">
        <v>4</v>
      </c>
      <c r="HS161" s="239" t="s">
        <v>4</v>
      </c>
      <c r="HT161" s="239" t="s">
        <v>4</v>
      </c>
      <c r="HU161" s="239" t="s">
        <v>2</v>
      </c>
      <c r="HV161" s="239" t="s">
        <v>4</v>
      </c>
      <c r="HW161" s="239" t="s">
        <v>4</v>
      </c>
      <c r="HX161" s="239" t="s">
        <v>4</v>
      </c>
      <c r="HY161" s="239" t="s">
        <v>4</v>
      </c>
      <c r="HZ161" s="239" t="s">
        <v>30704</v>
      </c>
      <c r="IA161" s="239" t="s">
        <v>7</v>
      </c>
      <c r="IB161" s="239" t="s">
        <v>30704</v>
      </c>
      <c r="IC161" s="239" t="s">
        <v>30705</v>
      </c>
      <c r="ID161" s="239" t="s">
        <v>30706</v>
      </c>
      <c r="IE161" s="239" t="s">
        <v>30707</v>
      </c>
      <c r="IF161" s="239" t="s">
        <v>30708</v>
      </c>
      <c r="IG161" s="239" t="s">
        <v>30709</v>
      </c>
      <c r="IH161" s="239" t="s">
        <v>30698</v>
      </c>
    </row>
    <row r="162" spans="1:242" s="1" customFormat="1" ht="36.75" customHeight="1" x14ac:dyDescent="0.2">
      <c r="A162" s="239">
        <v>142</v>
      </c>
      <c r="B162" s="239" t="s">
        <v>18148</v>
      </c>
      <c r="C162" s="239" t="s">
        <v>30801</v>
      </c>
      <c r="D162" s="239" t="s">
        <v>30786</v>
      </c>
      <c r="E162" s="239" t="s">
        <v>7</v>
      </c>
      <c r="F162" s="239" t="s">
        <v>30802</v>
      </c>
      <c r="G162" s="239">
        <v>1104.7</v>
      </c>
      <c r="H162" s="239">
        <v>4.5</v>
      </c>
      <c r="I162" s="239" t="s">
        <v>29319</v>
      </c>
      <c r="J162" s="239" t="s">
        <v>4</v>
      </c>
      <c r="K162" s="239" t="s">
        <v>30803</v>
      </c>
      <c r="L162" s="239">
        <v>782860532</v>
      </c>
      <c r="M162" s="239" t="s">
        <v>5</v>
      </c>
      <c r="N162" s="239" t="s">
        <v>31590</v>
      </c>
      <c r="O162" s="239" t="s">
        <v>4</v>
      </c>
      <c r="P162" s="239">
        <v>6</v>
      </c>
      <c r="Q162" s="239" t="s">
        <v>7</v>
      </c>
      <c r="R162" s="239" t="s">
        <v>31588</v>
      </c>
      <c r="S162" s="239" t="s">
        <v>4</v>
      </c>
      <c r="T162" s="239" t="s">
        <v>7</v>
      </c>
      <c r="U162" s="239" t="s">
        <v>7</v>
      </c>
      <c r="V162" s="239"/>
      <c r="W162" s="239" t="s">
        <v>7</v>
      </c>
      <c r="X162" s="239" t="s">
        <v>4</v>
      </c>
      <c r="Y162" s="239" t="s">
        <v>4</v>
      </c>
      <c r="Z162" s="241" t="str">
        <f>IF(OR(T162="yes",Y162&gt;'SDG outcome'!$C$27),"yes","no")</f>
        <v>yes</v>
      </c>
      <c r="AA162" s="243">
        <f t="shared" si="13"/>
        <v>0</v>
      </c>
      <c r="AB162" s="243" t="str">
        <f>IF(AND(Z162="no",AND(Y162&gt;='SDG outcome'!$B$16,Y162&lt;'SDG outcome'!$C$27)),Y162-'SDG outcome'!$B$16,"")</f>
        <v/>
      </c>
      <c r="AC162" s="239" t="s">
        <v>4</v>
      </c>
      <c r="AD162" s="239" t="s">
        <v>4</v>
      </c>
      <c r="AE162" s="239" t="s">
        <v>4</v>
      </c>
      <c r="AF162" s="239" t="s">
        <v>4</v>
      </c>
      <c r="AG162" s="239" t="s">
        <v>4</v>
      </c>
      <c r="AH162" s="239" t="s">
        <v>4</v>
      </c>
      <c r="AI162" s="239" t="s">
        <v>4</v>
      </c>
      <c r="AJ162" s="239" t="s">
        <v>29290</v>
      </c>
      <c r="AK162" s="239" t="s">
        <v>29291</v>
      </c>
      <c r="AL162" s="239" t="s">
        <v>4</v>
      </c>
      <c r="AM162" s="239" t="s">
        <v>4</v>
      </c>
      <c r="AN162" s="239" t="s">
        <v>31605</v>
      </c>
      <c r="AO162" s="239" t="s">
        <v>4</v>
      </c>
      <c r="AP162" s="239" t="s">
        <v>31743</v>
      </c>
      <c r="AQ162" s="239" t="s">
        <v>4</v>
      </c>
      <c r="AR162" s="239" t="s">
        <v>31538</v>
      </c>
      <c r="AS162" s="239" t="s">
        <v>4</v>
      </c>
      <c r="AT162" s="239" t="s">
        <v>7</v>
      </c>
      <c r="AU162" s="239" t="s">
        <v>4</v>
      </c>
      <c r="AV162" s="239" t="s">
        <v>4</v>
      </c>
      <c r="AW162" s="239" t="s">
        <v>31550</v>
      </c>
      <c r="AX162" s="239" t="s">
        <v>4</v>
      </c>
      <c r="AY162" s="239" t="s">
        <v>4</v>
      </c>
      <c r="AZ162" s="239" t="s">
        <v>7</v>
      </c>
      <c r="BA162" s="239" t="s">
        <v>76</v>
      </c>
      <c r="BB162" s="239" t="s">
        <v>4</v>
      </c>
      <c r="BC162" s="239" t="s">
        <v>4</v>
      </c>
      <c r="BD162" s="239" t="s">
        <v>4</v>
      </c>
      <c r="BE162" s="239" t="s">
        <v>4</v>
      </c>
      <c r="BF162" s="239" t="s">
        <v>4</v>
      </c>
      <c r="BG162" s="239" t="s">
        <v>4</v>
      </c>
      <c r="BH162" s="239" t="s">
        <v>4</v>
      </c>
      <c r="BI162" s="239" t="s">
        <v>4</v>
      </c>
      <c r="BJ162" s="239" t="s">
        <v>4</v>
      </c>
      <c r="BK162" s="239" t="s">
        <v>4</v>
      </c>
      <c r="BL162" s="239" t="s">
        <v>4</v>
      </c>
      <c r="BM162" s="239" t="s">
        <v>7</v>
      </c>
      <c r="BN162" s="239" t="s">
        <v>6</v>
      </c>
      <c r="BO162" s="239" t="s">
        <v>4</v>
      </c>
      <c r="BP162" s="239" t="s">
        <v>31425</v>
      </c>
      <c r="BQ162" s="239">
        <v>1</v>
      </c>
      <c r="BR162" s="239">
        <v>30</v>
      </c>
      <c r="BS162" s="239" t="s">
        <v>31426</v>
      </c>
      <c r="BT162" s="239"/>
      <c r="BU162" s="239">
        <v>2</v>
      </c>
      <c r="BV162" s="239" cm="1">
        <f t="array" ref="BV162">_xlfn.IFS(BS162="Foreword vehicle",BU162*0,BS162="Human wastes",BU162*0,BS162="Jerrycans",BU162*$BV$228,BS162="Number of Basins",BU162*$BV$229,BS162="Number of Buckets",BU162*$CA$226,BS162="Number of Kgs",BU162*$CA$227,BS162="Number of spades",BU162*$CA$228,BS162="Number of wheelbarrows",BU162*$CA$229,BT162="Foreword vehicle",BU162*0,BT162="Human wastes",BU162*0,BT162="Jerrycans",BU162*$BV$228,BS162="","")</f>
        <v>46</v>
      </c>
      <c r="BW162" s="239">
        <f>IF(BV162="","",Table14[[#This Row],[Calculation: Conversion of metric to Kg manure feeding (Columns: BP, BQ, BR)]]*Table14[[#This Row],[Number of times used to feed biodigester]])</f>
        <v>46</v>
      </c>
      <c r="BX162" s="239" cm="1">
        <f t="array" ref="BX162">_xlfn.IFS(BP162="Number of times per day (1 to 3)",BW162/$BX$226,BP162="Number of times per week (1 to 6)",BW162/$BX$227,BP162="Number of times per Month (1 to 3)",BW162/$BX$228,BW162="","")</f>
        <v>46</v>
      </c>
      <c r="BY162" s="239" t="s">
        <v>22</v>
      </c>
      <c r="BZ162" s="239" t="s">
        <v>4</v>
      </c>
      <c r="CA162" s="239" t="s">
        <v>2</v>
      </c>
      <c r="CB162" s="239" t="s">
        <v>4</v>
      </c>
      <c r="CC162" s="239" t="s">
        <v>4</v>
      </c>
      <c r="CD162" s="239" t="s">
        <v>4</v>
      </c>
      <c r="CE162" s="239" t="s">
        <v>7</v>
      </c>
      <c r="CF162" s="239" t="s">
        <v>31868</v>
      </c>
      <c r="CG162" s="239" t="s">
        <v>4</v>
      </c>
      <c r="CH162" s="239" t="s">
        <v>31604</v>
      </c>
      <c r="CI162" s="239">
        <v>3</v>
      </c>
      <c r="CJ162" s="239">
        <v>0</v>
      </c>
      <c r="CK162" s="239">
        <v>0</v>
      </c>
      <c r="CL162" s="239">
        <v>0</v>
      </c>
      <c r="CM162" s="239">
        <v>0</v>
      </c>
      <c r="CN162" s="239">
        <v>0</v>
      </c>
      <c r="CO162" s="239">
        <v>0</v>
      </c>
      <c r="CP162" s="239">
        <v>0</v>
      </c>
      <c r="CQ162" s="239">
        <v>0</v>
      </c>
      <c r="CR162" s="239">
        <v>0</v>
      </c>
      <c r="CS162" s="239">
        <f>CP162/'SDG outcome'!$C$9*CQ162*CR162</f>
        <v>0</v>
      </c>
      <c r="CT162" s="239">
        <v>100</v>
      </c>
      <c r="CU162" s="239">
        <v>0</v>
      </c>
      <c r="CV162" s="239" t="s">
        <v>4</v>
      </c>
      <c r="CW162" s="239" t="s">
        <v>4</v>
      </c>
      <c r="CX162" s="239" t="s">
        <v>4</v>
      </c>
      <c r="CY162" s="239" t="s">
        <v>4</v>
      </c>
      <c r="CZ162" s="239" t="s">
        <v>4</v>
      </c>
      <c r="DA162" s="239" t="s">
        <v>4</v>
      </c>
      <c r="DB162" s="239" t="s">
        <v>4</v>
      </c>
      <c r="DC162" s="239" t="s">
        <v>4</v>
      </c>
      <c r="DD162" s="239" t="s">
        <v>4</v>
      </c>
      <c r="DE162" s="239" t="s">
        <v>4</v>
      </c>
      <c r="DF162" s="239" t="s">
        <v>4</v>
      </c>
      <c r="DG162" s="239" t="s">
        <v>4</v>
      </c>
      <c r="DH162" s="239" t="s">
        <v>4</v>
      </c>
      <c r="DI162" s="239" t="s">
        <v>4</v>
      </c>
      <c r="DJ162" s="239" t="s">
        <v>4</v>
      </c>
      <c r="DK162" s="239" t="s">
        <v>4</v>
      </c>
      <c r="DL162" s="239" t="s">
        <v>4</v>
      </c>
      <c r="DM162" s="239" t="s">
        <v>4</v>
      </c>
      <c r="DN162" s="239" t="s">
        <v>4</v>
      </c>
      <c r="DO162" s="239">
        <v>3</v>
      </c>
      <c r="DP162" s="239" t="s">
        <v>2</v>
      </c>
      <c r="DQ162" s="239" t="s">
        <v>29292</v>
      </c>
      <c r="DR162" s="239" t="s">
        <v>4</v>
      </c>
      <c r="DS162" s="239" t="s">
        <v>29293</v>
      </c>
      <c r="DT162" s="240">
        <v>150000</v>
      </c>
      <c r="DU162" s="239" t="s">
        <v>29293</v>
      </c>
      <c r="DV162" s="240">
        <v>60000</v>
      </c>
      <c r="DW162" s="239" t="s">
        <v>29508</v>
      </c>
      <c r="DX162" s="239"/>
      <c r="DY162" s="239"/>
      <c r="DZ162" s="239"/>
      <c r="EA162" s="239"/>
      <c r="EB162" s="239"/>
      <c r="EC162" s="239"/>
      <c r="ED162" s="239"/>
      <c r="EE162" s="320">
        <f>Table14[[#This Row],[% Fertilizer]]*$DX162/10000</f>
        <v>0</v>
      </c>
      <c r="EF162" s="320">
        <f>Table14[[#This Row],[% bioslurry used as Insecticide/Pesticide]]*$DX162/10000</f>
        <v>0</v>
      </c>
      <c r="EG162" s="320">
        <f>Table14[[#This Row],[% of Bioslurry used as animal feed]]*$DX162/10000</f>
        <v>0</v>
      </c>
      <c r="EH162" s="320">
        <f>Table14[[#This Row],[% of Bioslurry sold]]*$DX162/10000</f>
        <v>0</v>
      </c>
      <c r="EI162" s="320">
        <f>Table14[[#This Row],[% used other way(if used directly)]]*$DX162/10000</f>
        <v>0</v>
      </c>
      <c r="EJ162" s="239">
        <v>100</v>
      </c>
      <c r="EK162" s="239" t="s">
        <v>29509</v>
      </c>
      <c r="EL162" s="239">
        <v>100</v>
      </c>
      <c r="EM162" s="239"/>
      <c r="EN162" s="239"/>
      <c r="EO162" s="239">
        <f>(Table14[[#This Row],[% Uncovered lagoon greater than 1 meter]]+Table14[[#This Row],[Uncovered lagoon (black watery mass) &lt;1 meter]]+Table14[[#This Row],[% Liquid slurry (brown porridge type)]])*Table14[[#This Row],[% Store it first]]/100</f>
        <v>100</v>
      </c>
      <c r="EP162" s="239"/>
      <c r="EQ162" s="239"/>
      <c r="ER162" s="239"/>
      <c r="ES162" s="239"/>
      <c r="ET162" s="239">
        <f>(Table14[[#This Row],[% Solid storage]]+Table14[[#This Row],[% Sun drying]]+Table14[[#This Row],[% Composting with a roof]]+Table14[[#This Row],[% Composting without a roof]])*Table14[[#This Row],[% Store it first]]/100</f>
        <v>0</v>
      </c>
      <c r="EU162" s="239">
        <v>60</v>
      </c>
      <c r="EV162" s="320">
        <f t="shared" si="15"/>
        <v>1</v>
      </c>
      <c r="EW162" s="320">
        <f t="shared" si="16"/>
        <v>0</v>
      </c>
      <c r="EX162" s="320">
        <f t="shared" si="17"/>
        <v>0</v>
      </c>
      <c r="EY162" s="320">
        <f t="shared" si="18"/>
        <v>0</v>
      </c>
      <c r="EZ162" s="320">
        <f t="shared" si="19"/>
        <v>0</v>
      </c>
      <c r="FA162" s="239"/>
      <c r="FB162" s="239"/>
      <c r="FC162" s="239"/>
      <c r="FD162" s="239">
        <f>Table14[[#This Row],[% I donâ€™t use it / discarded]]+Table14[[#This Row],[% Other (specify)(If you use bioslurry directly)]]+Table14[[#This Row],[% Store it first]]+Table14[[#This Row],[% Use directly for various purposes]]</f>
        <v>100</v>
      </c>
      <c r="FE162" s="239" t="s">
        <v>29296</v>
      </c>
      <c r="FF162" s="239">
        <v>100</v>
      </c>
      <c r="FG162" s="239"/>
      <c r="FH162" s="239"/>
      <c r="FI162" s="239"/>
      <c r="FJ162" s="239"/>
      <c r="FK162" s="239">
        <v>2.8</v>
      </c>
      <c r="FL162" s="239" t="s">
        <v>7</v>
      </c>
      <c r="FM162" s="239">
        <v>95</v>
      </c>
      <c r="FN162" s="239">
        <f t="shared" si="14"/>
        <v>2.66</v>
      </c>
      <c r="FO162" s="239" t="s">
        <v>30804</v>
      </c>
      <c r="FP162" s="239" t="s">
        <v>29298</v>
      </c>
      <c r="FQ162" s="239">
        <v>12</v>
      </c>
      <c r="FR162" s="239" t="s">
        <v>7</v>
      </c>
      <c r="FS162" s="239" t="s">
        <v>29492</v>
      </c>
      <c r="FT162" s="239" t="s">
        <v>4</v>
      </c>
      <c r="FU162" s="239" t="s">
        <v>2</v>
      </c>
      <c r="FV162" s="239" t="s">
        <v>4</v>
      </c>
      <c r="FW162" s="239" t="s">
        <v>4</v>
      </c>
      <c r="FX162" s="239" t="s">
        <v>4</v>
      </c>
      <c r="FY162" s="239" t="s">
        <v>4</v>
      </c>
      <c r="FZ162" s="239" t="s">
        <v>29292</v>
      </c>
      <c r="GA162" s="239" t="s">
        <v>29294</v>
      </c>
      <c r="GB162" s="240" t="s">
        <v>4</v>
      </c>
      <c r="GC162" s="239" t="s">
        <v>4</v>
      </c>
      <c r="GD162" s="239" t="s">
        <v>7</v>
      </c>
      <c r="GE162" s="239" t="s">
        <v>29301</v>
      </c>
      <c r="GF162" s="239" t="s">
        <v>4</v>
      </c>
      <c r="GG162" s="239" t="s">
        <v>7</v>
      </c>
      <c r="GH162" s="239" t="s">
        <v>7</v>
      </c>
      <c r="GI162" s="239" t="s">
        <v>29302</v>
      </c>
      <c r="GJ162" s="239" t="s">
        <v>16</v>
      </c>
      <c r="GK162" s="239" t="s">
        <v>4</v>
      </c>
      <c r="GL162" s="239">
        <v>0</v>
      </c>
      <c r="GM162" s="239"/>
      <c r="GN162" s="239" t="s">
        <v>4</v>
      </c>
      <c r="GO162" s="239" t="s">
        <v>4</v>
      </c>
      <c r="GP162" s="239" t="s">
        <v>4</v>
      </c>
      <c r="GQ162" s="239" t="s">
        <v>4</v>
      </c>
      <c r="GR162" s="239" t="s">
        <v>4</v>
      </c>
      <c r="GS162" s="239" t="s">
        <v>4</v>
      </c>
      <c r="GT162" s="239" t="s">
        <v>4</v>
      </c>
      <c r="GU162" s="239" t="s">
        <v>4</v>
      </c>
      <c r="GV162" s="239" t="s">
        <v>4</v>
      </c>
      <c r="GW162" s="239" t="s">
        <v>29304</v>
      </c>
      <c r="GX162" s="239" t="s">
        <v>30805</v>
      </c>
      <c r="GY162" s="239" t="s">
        <v>29306</v>
      </c>
      <c r="GZ162" s="239" t="s">
        <v>30796</v>
      </c>
      <c r="HA162" s="239" t="s">
        <v>30806</v>
      </c>
      <c r="HB162" s="239" t="s">
        <v>30273</v>
      </c>
      <c r="HC162" s="239" t="s">
        <v>29451</v>
      </c>
      <c r="HD162" s="239" t="s">
        <v>4</v>
      </c>
      <c r="HE162" s="239" t="s">
        <v>4</v>
      </c>
      <c r="HF162" s="239" t="s">
        <v>4</v>
      </c>
      <c r="HG162" s="239" t="s">
        <v>4</v>
      </c>
      <c r="HH162" s="239" t="s">
        <v>30807</v>
      </c>
      <c r="HI162" s="239" t="s">
        <v>4</v>
      </c>
      <c r="HJ162" s="240">
        <v>0</v>
      </c>
      <c r="HK162" s="239" t="s">
        <v>7</v>
      </c>
      <c r="HL162" s="239" t="s">
        <v>29837</v>
      </c>
      <c r="HM162" s="239" t="s">
        <v>4</v>
      </c>
      <c r="HN162" s="239" t="s">
        <v>4</v>
      </c>
      <c r="HO162" s="239" t="s">
        <v>4</v>
      </c>
      <c r="HP162" s="239" t="s">
        <v>4</v>
      </c>
      <c r="HQ162" s="239" t="s">
        <v>4</v>
      </c>
      <c r="HR162" s="239" t="s">
        <v>4</v>
      </c>
      <c r="HS162" s="239" t="s">
        <v>4</v>
      </c>
      <c r="HT162" s="239" t="s">
        <v>4</v>
      </c>
      <c r="HU162" s="239" t="s">
        <v>2</v>
      </c>
      <c r="HV162" s="239" t="s">
        <v>4</v>
      </c>
      <c r="HW162" s="239" t="s">
        <v>4</v>
      </c>
      <c r="HX162" s="239" t="s">
        <v>4</v>
      </c>
      <c r="HY162" s="239" t="s">
        <v>4</v>
      </c>
      <c r="HZ162" s="239" t="s">
        <v>30808</v>
      </c>
      <c r="IA162" s="239" t="s">
        <v>7</v>
      </c>
      <c r="IB162" s="239" t="s">
        <v>30809</v>
      </c>
      <c r="IC162" s="239" t="s">
        <v>30810</v>
      </c>
      <c r="ID162" s="239" t="s">
        <v>30811</v>
      </c>
      <c r="IE162" s="239" t="s">
        <v>30812</v>
      </c>
      <c r="IF162" s="239" t="s">
        <v>30813</v>
      </c>
      <c r="IG162" s="239" t="s">
        <v>30814</v>
      </c>
      <c r="IH162" s="239" t="s">
        <v>30801</v>
      </c>
    </row>
    <row r="163" spans="1:242" s="1" customFormat="1" ht="36.75" customHeight="1" x14ac:dyDescent="0.2">
      <c r="A163" s="239">
        <v>153</v>
      </c>
      <c r="B163" s="239" t="s">
        <v>25449</v>
      </c>
      <c r="C163" s="239" t="s">
        <v>30926</v>
      </c>
      <c r="D163" s="239" t="s">
        <v>30866</v>
      </c>
      <c r="E163" s="239" t="s">
        <v>7</v>
      </c>
      <c r="F163" s="239" t="s">
        <v>30927</v>
      </c>
      <c r="G163" s="239">
        <v>0</v>
      </c>
      <c r="H163" s="239">
        <v>4099.9989999999998</v>
      </c>
      <c r="I163" s="239" t="s">
        <v>29319</v>
      </c>
      <c r="J163" s="239" t="s">
        <v>4</v>
      </c>
      <c r="K163" s="239" t="s">
        <v>30928</v>
      </c>
      <c r="L163" s="239">
        <v>783857322</v>
      </c>
      <c r="M163" s="239" t="s">
        <v>5</v>
      </c>
      <c r="N163" s="239" t="s">
        <v>31598</v>
      </c>
      <c r="O163" s="239" t="s">
        <v>4</v>
      </c>
      <c r="P163" s="239">
        <v>8</v>
      </c>
      <c r="Q163" s="239" t="s">
        <v>7</v>
      </c>
      <c r="R163" s="239" t="s">
        <v>31549</v>
      </c>
      <c r="S163" s="239" t="s">
        <v>4</v>
      </c>
      <c r="T163" s="239" t="s">
        <v>7</v>
      </c>
      <c r="U163" s="239" t="s">
        <v>7</v>
      </c>
      <c r="V163" s="239"/>
      <c r="W163" s="239" t="s">
        <v>7</v>
      </c>
      <c r="X163" s="239" t="s">
        <v>4</v>
      </c>
      <c r="Y163" s="239" t="s">
        <v>4</v>
      </c>
      <c r="Z163" s="241" t="str">
        <f>IF(OR(T163="yes",Y163&gt;'SDG outcome'!$C$27),"yes","no")</f>
        <v>yes</v>
      </c>
      <c r="AA163" s="243">
        <f t="shared" si="13"/>
        <v>0</v>
      </c>
      <c r="AB163" s="243" t="str">
        <f>IF(AND(Z163="no",AND(Y163&gt;='SDG outcome'!$B$16,Y163&lt;'SDG outcome'!$C$27)),Y163-'SDG outcome'!$B$16,"")</f>
        <v/>
      </c>
      <c r="AC163" s="239" t="s">
        <v>4</v>
      </c>
      <c r="AD163" s="239" t="s">
        <v>4</v>
      </c>
      <c r="AE163" s="239" t="s">
        <v>4</v>
      </c>
      <c r="AF163" s="239" t="s">
        <v>4</v>
      </c>
      <c r="AG163" s="239" t="s">
        <v>4</v>
      </c>
      <c r="AH163" s="239" t="s">
        <v>4</v>
      </c>
      <c r="AI163" s="239" t="s">
        <v>4</v>
      </c>
      <c r="AJ163" s="239" t="s">
        <v>29290</v>
      </c>
      <c r="AK163" s="239" t="s">
        <v>29694</v>
      </c>
      <c r="AL163" s="239" t="s">
        <v>4</v>
      </c>
      <c r="AM163" s="239" t="s">
        <v>4</v>
      </c>
      <c r="AN163" s="239" t="s">
        <v>31718</v>
      </c>
      <c r="AO163" s="239" t="s">
        <v>4</v>
      </c>
      <c r="AP163" s="239" t="s">
        <v>31600</v>
      </c>
      <c r="AQ163" s="239" t="s">
        <v>4</v>
      </c>
      <c r="AR163" s="239" t="s">
        <v>31538</v>
      </c>
      <c r="AS163" s="239" t="s">
        <v>4</v>
      </c>
      <c r="AT163" s="239" t="s">
        <v>7</v>
      </c>
      <c r="AU163" s="239" t="s">
        <v>4</v>
      </c>
      <c r="AV163" s="239" t="s">
        <v>4</v>
      </c>
      <c r="AW163" s="239" t="s">
        <v>31539</v>
      </c>
      <c r="AX163" s="239" t="s">
        <v>4</v>
      </c>
      <c r="AY163" s="239" t="s">
        <v>4</v>
      </c>
      <c r="AZ163" s="239" t="s">
        <v>7</v>
      </c>
      <c r="BA163" s="239" t="s">
        <v>6</v>
      </c>
      <c r="BB163" s="239" t="s">
        <v>4</v>
      </c>
      <c r="BC163" s="239" t="s">
        <v>31619</v>
      </c>
      <c r="BD163" s="239" t="s">
        <v>4</v>
      </c>
      <c r="BE163" s="239" t="s">
        <v>4</v>
      </c>
      <c r="BF163" s="239" t="s">
        <v>4</v>
      </c>
      <c r="BG163" s="239" t="s">
        <v>4</v>
      </c>
      <c r="BH163" s="239" t="s">
        <v>4</v>
      </c>
      <c r="BI163" s="239" t="s">
        <v>4</v>
      </c>
      <c r="BJ163" s="239" t="s">
        <v>4</v>
      </c>
      <c r="BK163" s="239" t="s">
        <v>4</v>
      </c>
      <c r="BL163" s="239" t="s">
        <v>4</v>
      </c>
      <c r="BM163" s="239" t="s">
        <v>7</v>
      </c>
      <c r="BN163" s="239" t="s">
        <v>6</v>
      </c>
      <c r="BO163" s="239" t="s">
        <v>4</v>
      </c>
      <c r="BP163" s="239" t="s">
        <v>31425</v>
      </c>
      <c r="BQ163" s="239">
        <v>1</v>
      </c>
      <c r="BR163" s="239">
        <v>50</v>
      </c>
      <c r="BS163" s="239" t="s">
        <v>31434</v>
      </c>
      <c r="BT163" s="239"/>
      <c r="BU163" s="239">
        <v>2</v>
      </c>
      <c r="BV163" s="239" cm="1">
        <f t="array" ref="BV163">_xlfn.IFS(BS163="Foreword vehicle",BU163*0,BS163="Human wastes",BU163*0,BS163="Jerrycans",BU163*$BV$228,BS163="Number of Basins",BU163*$BV$229,BS163="Number of Buckets",BU163*$CA$226,BS163="Number of Kgs",BU163*$CA$227,BS163="Number of spades",BU163*$CA$228,BS163="Number of wheelbarrows",BU163*$CA$229,BT163="Foreword vehicle",BU163*0,BT163="Human wastes",BU163*0,BT163="Jerrycans",BU163*$BV$228,BS163="","")</f>
        <v>32</v>
      </c>
      <c r="BW163" s="239">
        <f>IF(BV163="","",Table14[[#This Row],[Calculation: Conversion of metric to Kg manure feeding (Columns: BP, BQ, BR)]]*Table14[[#This Row],[Number of times used to feed biodigester]])</f>
        <v>32</v>
      </c>
      <c r="BX163" s="239" cm="1">
        <f t="array" ref="BX163">_xlfn.IFS(BP163="Number of times per day (1 to 3)",BW163/$BX$226,BP163="Number of times per week (1 to 6)",BW163/$BX$227,BP163="Number of times per Month (1 to 3)",BW163/$BX$228,BW163="","")</f>
        <v>32</v>
      </c>
      <c r="BY163" s="239" t="s">
        <v>22</v>
      </c>
      <c r="BZ163" s="239" t="s">
        <v>4</v>
      </c>
      <c r="CA163" s="239" t="s">
        <v>2</v>
      </c>
      <c r="CB163" s="239" t="s">
        <v>4</v>
      </c>
      <c r="CC163" s="239" t="s">
        <v>4</v>
      </c>
      <c r="CD163" s="239" t="s">
        <v>4</v>
      </c>
      <c r="CE163" s="239" t="s">
        <v>7</v>
      </c>
      <c r="CF163" s="239" t="s">
        <v>31886</v>
      </c>
      <c r="CG163" s="239" t="s">
        <v>4</v>
      </c>
      <c r="CH163" s="239" t="s">
        <v>31578</v>
      </c>
      <c r="CI163" s="239">
        <v>3</v>
      </c>
      <c r="CJ163" s="239">
        <v>0</v>
      </c>
      <c r="CK163" s="239">
        <v>0</v>
      </c>
      <c r="CL163" s="239">
        <v>0</v>
      </c>
      <c r="CM163" s="239">
        <v>0</v>
      </c>
      <c r="CN163" s="239">
        <v>5</v>
      </c>
      <c r="CO163" s="239">
        <v>0</v>
      </c>
      <c r="CP163" s="239">
        <v>0</v>
      </c>
      <c r="CQ163" s="239">
        <v>0</v>
      </c>
      <c r="CR163" s="239">
        <v>0</v>
      </c>
      <c r="CS163" s="239">
        <f>CP163/'SDG outcome'!$C$9*CQ163*CR163</f>
        <v>0</v>
      </c>
      <c r="CT163" s="239">
        <v>100</v>
      </c>
      <c r="CU163" s="239">
        <v>0</v>
      </c>
      <c r="CV163" s="239" t="s">
        <v>4</v>
      </c>
      <c r="CW163" s="239" t="s">
        <v>4</v>
      </c>
      <c r="CX163" s="239" t="s">
        <v>4</v>
      </c>
      <c r="CY163" s="239" t="s">
        <v>4</v>
      </c>
      <c r="CZ163" s="239" t="s">
        <v>4</v>
      </c>
      <c r="DA163" s="239" t="s">
        <v>4</v>
      </c>
      <c r="DB163" s="239" t="s">
        <v>4</v>
      </c>
      <c r="DC163" s="239" t="s">
        <v>4</v>
      </c>
      <c r="DD163" s="239" t="s">
        <v>4</v>
      </c>
      <c r="DE163" s="239" t="s">
        <v>4</v>
      </c>
      <c r="DF163" s="239">
        <v>0</v>
      </c>
      <c r="DG163" s="239">
        <v>100</v>
      </c>
      <c r="DH163" s="239" t="s">
        <v>31887</v>
      </c>
      <c r="DI163" s="239" t="s">
        <v>4</v>
      </c>
      <c r="DJ163" s="239" t="s">
        <v>4</v>
      </c>
      <c r="DK163" s="239" t="s">
        <v>4</v>
      </c>
      <c r="DL163" s="239" t="s">
        <v>4</v>
      </c>
      <c r="DM163" s="239" t="s">
        <v>4</v>
      </c>
      <c r="DN163" s="239" t="s">
        <v>4</v>
      </c>
      <c r="DO163" s="239">
        <v>2</v>
      </c>
      <c r="DP163" s="239" t="s">
        <v>2</v>
      </c>
      <c r="DQ163" s="239" t="s">
        <v>29292</v>
      </c>
      <c r="DR163" s="239" t="s">
        <v>4</v>
      </c>
      <c r="DS163" s="239" t="s">
        <v>29293</v>
      </c>
      <c r="DT163" s="240">
        <v>40000</v>
      </c>
      <c r="DU163" s="239" t="s">
        <v>29293</v>
      </c>
      <c r="DV163" s="240">
        <v>200000</v>
      </c>
      <c r="DW163" s="239" t="s">
        <v>29295</v>
      </c>
      <c r="DX163" s="239">
        <v>100</v>
      </c>
      <c r="DY163" s="239" t="s">
        <v>29296</v>
      </c>
      <c r="DZ163" s="239">
        <v>100</v>
      </c>
      <c r="EA163" s="239"/>
      <c r="EB163" s="239"/>
      <c r="EC163" s="239"/>
      <c r="ED163" s="239"/>
      <c r="EE163" s="320">
        <f>Table14[[#This Row],[% Fertilizer]]*$DX163/10000</f>
        <v>1</v>
      </c>
      <c r="EF163" s="320">
        <f>Table14[[#This Row],[% bioslurry used as Insecticide/Pesticide]]*$DX163/10000</f>
        <v>0</v>
      </c>
      <c r="EG163" s="320">
        <f>Table14[[#This Row],[% of Bioslurry used as animal feed]]*$DX163/10000</f>
        <v>0</v>
      </c>
      <c r="EH163" s="320">
        <f>Table14[[#This Row],[% of Bioslurry sold]]*$DX163/10000</f>
        <v>0</v>
      </c>
      <c r="EI163" s="320">
        <f>Table14[[#This Row],[% used other way(if used directly)]]*$DX163/10000</f>
        <v>0</v>
      </c>
      <c r="EJ163" s="239"/>
      <c r="EK163" s="239"/>
      <c r="EL163" s="239"/>
      <c r="EM163" s="239"/>
      <c r="EN163" s="239"/>
      <c r="EO163" s="239">
        <f>(Table14[[#This Row],[% Uncovered lagoon greater than 1 meter]]+Table14[[#This Row],[Uncovered lagoon (black watery mass) &lt;1 meter]]+Table14[[#This Row],[% Liquid slurry (brown porridge type)]])*Table14[[#This Row],[% Store it first]]/100</f>
        <v>0</v>
      </c>
      <c r="EP163" s="239"/>
      <c r="EQ163" s="239"/>
      <c r="ER163" s="239"/>
      <c r="ES163" s="239"/>
      <c r="ET163" s="239">
        <f>(Table14[[#This Row],[% Solid storage]]+Table14[[#This Row],[% Sun drying]]+Table14[[#This Row],[% Composting with a roof]]+Table14[[#This Row],[% Composting without a roof]])*Table14[[#This Row],[% Store it first]]/100</f>
        <v>0</v>
      </c>
      <c r="EU163" s="239"/>
      <c r="EV163" s="320">
        <f t="shared" si="15"/>
        <v>0</v>
      </c>
      <c r="EW163" s="320">
        <f t="shared" si="16"/>
        <v>0</v>
      </c>
      <c r="EX163" s="320">
        <f t="shared" si="17"/>
        <v>0</v>
      </c>
      <c r="EY163" s="320">
        <f t="shared" si="18"/>
        <v>0</v>
      </c>
      <c r="EZ163" s="320">
        <f t="shared" si="19"/>
        <v>0</v>
      </c>
      <c r="FA163" s="239"/>
      <c r="FB163" s="239"/>
      <c r="FC163" s="239"/>
      <c r="FD163" s="239">
        <f>Table14[[#This Row],[% I donâ€™t use it / discarded]]+Table14[[#This Row],[% Other (specify)(If you use bioslurry directly)]]+Table14[[#This Row],[% Store it first]]+Table14[[#This Row],[% Use directly for various purposes]]</f>
        <v>100</v>
      </c>
      <c r="FE163" s="239" t="s">
        <v>4</v>
      </c>
      <c r="FF163" s="239"/>
      <c r="FG163" s="239"/>
      <c r="FH163" s="239"/>
      <c r="FI163" s="239"/>
      <c r="FJ163" s="239"/>
      <c r="FK163" s="239">
        <v>0.2</v>
      </c>
      <c r="FL163" s="239" t="s">
        <v>7</v>
      </c>
      <c r="FM163" s="239">
        <v>40</v>
      </c>
      <c r="FN163" s="239">
        <f t="shared" si="14"/>
        <v>0.08</v>
      </c>
      <c r="FO163" s="239" t="s">
        <v>29952</v>
      </c>
      <c r="FP163" s="239" t="s">
        <v>29298</v>
      </c>
      <c r="FQ163" s="239">
        <v>5</v>
      </c>
      <c r="FR163" s="239" t="s">
        <v>2</v>
      </c>
      <c r="FS163" s="239" t="s">
        <v>4</v>
      </c>
      <c r="FT163" s="239" t="s">
        <v>4</v>
      </c>
      <c r="FU163" s="239" t="s">
        <v>2</v>
      </c>
      <c r="FV163" s="239" t="s">
        <v>4</v>
      </c>
      <c r="FW163" s="239" t="s">
        <v>4</v>
      </c>
      <c r="FX163" s="239" t="s">
        <v>4</v>
      </c>
      <c r="FY163" s="239" t="s">
        <v>4</v>
      </c>
      <c r="FZ163" s="239" t="s">
        <v>4</v>
      </c>
      <c r="GA163" s="239" t="s">
        <v>4</v>
      </c>
      <c r="GB163" s="240" t="s">
        <v>4</v>
      </c>
      <c r="GC163" s="239" t="s">
        <v>4</v>
      </c>
      <c r="GD163" s="239" t="s">
        <v>7</v>
      </c>
      <c r="GE163" s="239" t="s">
        <v>29526</v>
      </c>
      <c r="GF163" s="239" t="s">
        <v>30929</v>
      </c>
      <c r="GG163" s="239" t="s">
        <v>2</v>
      </c>
      <c r="GH163" s="239" t="s">
        <v>2</v>
      </c>
      <c r="GI163" s="239" t="s">
        <v>4</v>
      </c>
      <c r="GJ163" s="239" t="s">
        <v>4</v>
      </c>
      <c r="GK163" s="239" t="s">
        <v>4</v>
      </c>
      <c r="GL163" s="239">
        <v>0</v>
      </c>
      <c r="GM163" s="239"/>
      <c r="GN163" s="239" t="s">
        <v>4</v>
      </c>
      <c r="GO163" s="239" t="s">
        <v>4</v>
      </c>
      <c r="GP163" s="239" t="s">
        <v>4</v>
      </c>
      <c r="GQ163" s="239" t="s">
        <v>4</v>
      </c>
      <c r="GR163" s="239" t="s">
        <v>4</v>
      </c>
      <c r="GS163" s="239" t="s">
        <v>4</v>
      </c>
      <c r="GT163" s="239" t="s">
        <v>4</v>
      </c>
      <c r="GU163" s="239" t="s">
        <v>4</v>
      </c>
      <c r="GV163" s="239" t="s">
        <v>4</v>
      </c>
      <c r="GW163" s="239" t="s">
        <v>29304</v>
      </c>
      <c r="GX163" s="239" t="s">
        <v>29305</v>
      </c>
      <c r="GY163" s="239" t="s">
        <v>29306</v>
      </c>
      <c r="GZ163" s="239" t="s">
        <v>4</v>
      </c>
      <c r="HA163" s="239" t="s">
        <v>4</v>
      </c>
      <c r="HB163" s="239" t="s">
        <v>4</v>
      </c>
      <c r="HC163" s="239" t="s">
        <v>4</v>
      </c>
      <c r="HD163" s="239" t="s">
        <v>4</v>
      </c>
      <c r="HE163" s="239" t="s">
        <v>30930</v>
      </c>
      <c r="HF163" s="239" t="s">
        <v>13</v>
      </c>
      <c r="HG163" s="239" t="s">
        <v>30931</v>
      </c>
      <c r="HH163" s="239" t="s">
        <v>29354</v>
      </c>
      <c r="HI163" s="239" t="s">
        <v>4</v>
      </c>
      <c r="HJ163" s="240">
        <v>0</v>
      </c>
      <c r="HK163" s="239" t="s">
        <v>2</v>
      </c>
      <c r="HL163" s="239" t="s">
        <v>29309</v>
      </c>
      <c r="HM163" s="239" t="s">
        <v>4</v>
      </c>
      <c r="HN163" s="239" t="s">
        <v>4</v>
      </c>
      <c r="HO163" s="239" t="s">
        <v>4</v>
      </c>
      <c r="HP163" s="239" t="s">
        <v>4</v>
      </c>
      <c r="HQ163" s="239" t="s">
        <v>4</v>
      </c>
      <c r="HR163" s="239" t="s">
        <v>4</v>
      </c>
      <c r="HS163" s="239" t="s">
        <v>4</v>
      </c>
      <c r="HT163" s="239" t="s">
        <v>4</v>
      </c>
      <c r="HU163" s="239" t="s">
        <v>2</v>
      </c>
      <c r="HV163" s="239" t="s">
        <v>4</v>
      </c>
      <c r="HW163" s="239" t="s">
        <v>4</v>
      </c>
      <c r="HX163" s="239" t="s">
        <v>4</v>
      </c>
      <c r="HY163" s="239" t="s">
        <v>4</v>
      </c>
      <c r="HZ163" s="239" t="s">
        <v>30932</v>
      </c>
      <c r="IA163" s="239" t="s">
        <v>7</v>
      </c>
      <c r="IB163" s="239" t="s">
        <v>30933</v>
      </c>
      <c r="IC163" s="239" t="s">
        <v>30883</v>
      </c>
      <c r="ID163" s="239" t="s">
        <v>30934</v>
      </c>
      <c r="IE163" s="239" t="s">
        <v>30935</v>
      </c>
      <c r="IF163" s="239" t="s">
        <v>30936</v>
      </c>
      <c r="IG163" s="239" t="s">
        <v>30937</v>
      </c>
      <c r="IH163" s="239" t="s">
        <v>30938</v>
      </c>
    </row>
    <row r="164" spans="1:242" s="1" customFormat="1" ht="36.75" customHeight="1" x14ac:dyDescent="0.2">
      <c r="A164" s="239">
        <v>50</v>
      </c>
      <c r="B164" s="239" t="s">
        <v>21048</v>
      </c>
      <c r="C164" s="239" t="s">
        <v>29878</v>
      </c>
      <c r="D164" s="239" t="s">
        <v>29799</v>
      </c>
      <c r="E164" s="239" t="s">
        <v>7</v>
      </c>
      <c r="F164" s="239" t="s">
        <v>29879</v>
      </c>
      <c r="G164" s="239">
        <v>1631.9365230000001</v>
      </c>
      <c r="H164" s="239">
        <v>4.9132179999999996</v>
      </c>
      <c r="I164" s="239" t="s">
        <v>29288</v>
      </c>
      <c r="J164" s="239" t="s">
        <v>4</v>
      </c>
      <c r="K164" s="239" t="s">
        <v>29880</v>
      </c>
      <c r="L164" s="239">
        <v>782501266</v>
      </c>
      <c r="M164" s="239" t="s">
        <v>3</v>
      </c>
      <c r="N164" s="239" t="s">
        <v>31590</v>
      </c>
      <c r="O164" s="239" t="s">
        <v>4</v>
      </c>
      <c r="P164" s="239">
        <v>11</v>
      </c>
      <c r="Q164" s="239" t="s">
        <v>7</v>
      </c>
      <c r="R164" s="239" t="s">
        <v>31588</v>
      </c>
      <c r="S164" s="239" t="s">
        <v>4</v>
      </c>
      <c r="T164" s="239" t="s">
        <v>7</v>
      </c>
      <c r="U164" s="239" t="s">
        <v>7</v>
      </c>
      <c r="V164" s="239"/>
      <c r="W164" s="239" t="s">
        <v>7</v>
      </c>
      <c r="X164" s="239" t="s">
        <v>4</v>
      </c>
      <c r="Y164" s="239" t="s">
        <v>4</v>
      </c>
      <c r="Z164" s="241" t="str">
        <f>IF(OR(T164="yes",Y164&gt;'SDG outcome'!$C$27),"yes","no")</f>
        <v>yes</v>
      </c>
      <c r="AA164" s="243">
        <f t="shared" si="13"/>
        <v>0</v>
      </c>
      <c r="AB164" s="243" t="str">
        <f>IF(AND(Z164="no",AND(Y164&gt;='SDG outcome'!$B$16,Y164&lt;'SDG outcome'!$C$27)),Y164-'SDG outcome'!$B$16,"")</f>
        <v/>
      </c>
      <c r="AC164" s="239" t="s">
        <v>4</v>
      </c>
      <c r="AD164" s="239" t="s">
        <v>4</v>
      </c>
      <c r="AE164" s="239" t="s">
        <v>4</v>
      </c>
      <c r="AF164" s="239" t="s">
        <v>4</v>
      </c>
      <c r="AG164" s="239" t="s">
        <v>4</v>
      </c>
      <c r="AH164" s="239" t="s">
        <v>4</v>
      </c>
      <c r="AI164" s="239" t="s">
        <v>4</v>
      </c>
      <c r="AJ164" s="239" t="s">
        <v>29290</v>
      </c>
      <c r="AK164" s="239" t="s">
        <v>29291</v>
      </c>
      <c r="AL164" s="239" t="s">
        <v>4</v>
      </c>
      <c r="AM164" s="239" t="s">
        <v>4</v>
      </c>
      <c r="AN164" s="239" t="s">
        <v>31536</v>
      </c>
      <c r="AO164" s="239" t="s">
        <v>4</v>
      </c>
      <c r="AP164" s="239" t="s">
        <v>31537</v>
      </c>
      <c r="AQ164" s="239" t="s">
        <v>4</v>
      </c>
      <c r="AR164" s="239" t="s">
        <v>31538</v>
      </c>
      <c r="AS164" s="239" t="s">
        <v>4</v>
      </c>
      <c r="AT164" s="239" t="s">
        <v>7</v>
      </c>
      <c r="AU164" s="239" t="s">
        <v>4</v>
      </c>
      <c r="AV164" s="239" t="s">
        <v>4</v>
      </c>
      <c r="AW164" s="239" t="s">
        <v>31539</v>
      </c>
      <c r="AX164" s="239" t="s">
        <v>4</v>
      </c>
      <c r="AY164" s="239" t="s">
        <v>4</v>
      </c>
      <c r="AZ164" s="239" t="s">
        <v>7</v>
      </c>
      <c r="BA164" s="239" t="s">
        <v>6</v>
      </c>
      <c r="BB164" s="239" t="s">
        <v>4</v>
      </c>
      <c r="BC164" s="239" t="s">
        <v>31563</v>
      </c>
      <c r="BD164" s="239" t="s">
        <v>22</v>
      </c>
      <c r="BE164" s="239" t="s">
        <v>4</v>
      </c>
      <c r="BF164" s="239" t="s">
        <v>31712</v>
      </c>
      <c r="BG164" s="239" t="s">
        <v>4</v>
      </c>
      <c r="BH164" s="239" t="s">
        <v>31542</v>
      </c>
      <c r="BI164" s="239" t="s">
        <v>31713</v>
      </c>
      <c r="BJ164" s="239" t="s">
        <v>31616</v>
      </c>
      <c r="BK164" s="239">
        <v>2</v>
      </c>
      <c r="BL164" s="239">
        <v>600</v>
      </c>
      <c r="BM164" s="239" t="s">
        <v>7</v>
      </c>
      <c r="BN164" s="239" t="s">
        <v>6</v>
      </c>
      <c r="BO164" s="239" t="s">
        <v>4</v>
      </c>
      <c r="BP164" s="239" t="s">
        <v>31425</v>
      </c>
      <c r="BQ164" s="239">
        <v>1</v>
      </c>
      <c r="BR164" s="239">
        <v>30</v>
      </c>
      <c r="BS164" s="239" t="s">
        <v>31434</v>
      </c>
      <c r="BT164" s="239"/>
      <c r="BU164" s="239">
        <v>1</v>
      </c>
      <c r="BV164" s="239" cm="1">
        <f t="array" ref="BV164">_xlfn.IFS(BS164="Foreword vehicle",BU164*0,BS164="Human wastes",BU164*0,BS164="Jerrycans",BU164*$BV$228,BS164="Number of Basins",BU164*$BV$229,BS164="Number of Buckets",BU164*$CA$226,BS164="Number of Kgs",BU164*$CA$227,BS164="Number of spades",BU164*$CA$228,BS164="Number of wheelbarrows",BU164*$CA$229,BT164="Foreword vehicle",BU164*0,BT164="Human wastes",BU164*0,BT164="Jerrycans",BU164*$BV$228,BS164="","")</f>
        <v>16</v>
      </c>
      <c r="BW164" s="239">
        <f>IF(BV164="","",Table14[[#This Row],[Calculation: Conversion of metric to Kg manure feeding (Columns: BP, BQ, BR)]]*Table14[[#This Row],[Number of times used to feed biodigester]])</f>
        <v>16</v>
      </c>
      <c r="BX164" s="239" cm="1">
        <f t="array" ref="BX164">_xlfn.IFS(BP164="Number of times per day (1 to 3)",BW164/$BX$226,BP164="Number of times per week (1 to 6)",BW164/$BX$227,BP164="Number of times per Month (1 to 3)",BW164/$BX$228,BW164="","")</f>
        <v>16</v>
      </c>
      <c r="BY164" s="239" t="s">
        <v>31541</v>
      </c>
      <c r="BZ164" s="239" t="s">
        <v>4</v>
      </c>
      <c r="CA164" s="239" t="s">
        <v>2</v>
      </c>
      <c r="CB164" s="239" t="s">
        <v>4</v>
      </c>
      <c r="CC164" s="239" t="s">
        <v>4</v>
      </c>
      <c r="CD164" s="239" t="s">
        <v>4</v>
      </c>
      <c r="CE164" s="239" t="s">
        <v>7</v>
      </c>
      <c r="CF164" s="239" t="s">
        <v>31714</v>
      </c>
      <c r="CG164" s="239" t="s">
        <v>4</v>
      </c>
      <c r="CH164" s="239" t="s">
        <v>31604</v>
      </c>
      <c r="CI164" s="239">
        <v>2</v>
      </c>
      <c r="CJ164" s="239">
        <v>0</v>
      </c>
      <c r="CK164" s="239">
        <v>0</v>
      </c>
      <c r="CL164" s="239">
        <v>0</v>
      </c>
      <c r="CM164" s="239">
        <v>0</v>
      </c>
      <c r="CN164" s="239">
        <v>0</v>
      </c>
      <c r="CO164" s="239">
        <v>0</v>
      </c>
      <c r="CP164" s="239">
        <v>0</v>
      </c>
      <c r="CQ164" s="239">
        <v>0</v>
      </c>
      <c r="CR164" s="239">
        <v>0</v>
      </c>
      <c r="CS164" s="239">
        <f>CP164/'SDG outcome'!$C$9*CQ164*CR164</f>
        <v>0</v>
      </c>
      <c r="CT164" s="239">
        <v>100</v>
      </c>
      <c r="CU164" s="239">
        <v>0</v>
      </c>
      <c r="CV164" s="239" t="s">
        <v>4</v>
      </c>
      <c r="CW164" s="239" t="s">
        <v>4</v>
      </c>
      <c r="CX164" s="239" t="s">
        <v>4</v>
      </c>
      <c r="CY164" s="239" t="s">
        <v>4</v>
      </c>
      <c r="CZ164" s="239" t="s">
        <v>4</v>
      </c>
      <c r="DA164" s="239" t="s">
        <v>4</v>
      </c>
      <c r="DB164" s="239" t="s">
        <v>4</v>
      </c>
      <c r="DC164" s="239" t="s">
        <v>4</v>
      </c>
      <c r="DD164" s="239" t="s">
        <v>4</v>
      </c>
      <c r="DE164" s="239" t="s">
        <v>4</v>
      </c>
      <c r="DF164" s="239" t="s">
        <v>4</v>
      </c>
      <c r="DG164" s="239" t="s">
        <v>4</v>
      </c>
      <c r="DH164" s="239" t="s">
        <v>4</v>
      </c>
      <c r="DI164" s="239" t="s">
        <v>4</v>
      </c>
      <c r="DJ164" s="239" t="s">
        <v>4</v>
      </c>
      <c r="DK164" s="239" t="s">
        <v>4</v>
      </c>
      <c r="DL164" s="239" t="s">
        <v>4</v>
      </c>
      <c r="DM164" s="239" t="s">
        <v>4</v>
      </c>
      <c r="DN164" s="239" t="s">
        <v>4</v>
      </c>
      <c r="DO164" s="239">
        <v>2</v>
      </c>
      <c r="DP164" s="239" t="s">
        <v>7</v>
      </c>
      <c r="DQ164" s="239" t="s">
        <v>29292</v>
      </c>
      <c r="DR164" s="239" t="s">
        <v>4</v>
      </c>
      <c r="DS164" s="239" t="s">
        <v>29294</v>
      </c>
      <c r="DT164" s="240" t="s">
        <v>4</v>
      </c>
      <c r="DU164" s="239" t="s">
        <v>29294</v>
      </c>
      <c r="DV164" s="240" t="s">
        <v>4</v>
      </c>
      <c r="DW164" s="239" t="s">
        <v>29295</v>
      </c>
      <c r="DX164" s="239">
        <v>100</v>
      </c>
      <c r="DY164" s="239" t="s">
        <v>29296</v>
      </c>
      <c r="DZ164" s="239">
        <v>100</v>
      </c>
      <c r="EA164" s="239"/>
      <c r="EB164" s="239"/>
      <c r="EC164" s="239"/>
      <c r="ED164" s="239"/>
      <c r="EE164" s="320">
        <f>Table14[[#This Row],[% Fertilizer]]*$DX164/10000</f>
        <v>1</v>
      </c>
      <c r="EF164" s="320">
        <f>Table14[[#This Row],[% bioslurry used as Insecticide/Pesticide]]*$DX164/10000</f>
        <v>0</v>
      </c>
      <c r="EG164" s="320">
        <f>Table14[[#This Row],[% of Bioslurry used as animal feed]]*$DX164/10000</f>
        <v>0</v>
      </c>
      <c r="EH164" s="320">
        <f>Table14[[#This Row],[% of Bioslurry sold]]*$DX164/10000</f>
        <v>0</v>
      </c>
      <c r="EI164" s="320">
        <f>Table14[[#This Row],[% used other way(if used directly)]]*$DX164/10000</f>
        <v>0</v>
      </c>
      <c r="EJ164" s="239"/>
      <c r="EK164" s="239"/>
      <c r="EL164" s="239"/>
      <c r="EM164" s="239"/>
      <c r="EN164" s="239"/>
      <c r="EO164" s="239">
        <f>(Table14[[#This Row],[% Uncovered lagoon greater than 1 meter]]+Table14[[#This Row],[Uncovered lagoon (black watery mass) &lt;1 meter]]+Table14[[#This Row],[% Liquid slurry (brown porridge type)]])*Table14[[#This Row],[% Store it first]]/100</f>
        <v>0</v>
      </c>
      <c r="EP164" s="239"/>
      <c r="EQ164" s="239"/>
      <c r="ER164" s="239"/>
      <c r="ES164" s="239"/>
      <c r="ET164" s="239">
        <f>(Table14[[#This Row],[% Solid storage]]+Table14[[#This Row],[% Sun drying]]+Table14[[#This Row],[% Composting with a roof]]+Table14[[#This Row],[% Composting without a roof]])*Table14[[#This Row],[% Store it first]]/100</f>
        <v>0</v>
      </c>
      <c r="EU164" s="239"/>
      <c r="EV164" s="320">
        <f t="shared" si="15"/>
        <v>0</v>
      </c>
      <c r="EW164" s="320">
        <f t="shared" si="16"/>
        <v>0</v>
      </c>
      <c r="EX164" s="320">
        <f t="shared" si="17"/>
        <v>0</v>
      </c>
      <c r="EY164" s="320">
        <f t="shared" si="18"/>
        <v>0</v>
      </c>
      <c r="EZ164" s="320">
        <f t="shared" si="19"/>
        <v>0</v>
      </c>
      <c r="FA164" s="239"/>
      <c r="FB164" s="239"/>
      <c r="FC164" s="239"/>
      <c r="FD164" s="239">
        <f>Table14[[#This Row],[% I donâ€™t use it / discarded]]+Table14[[#This Row],[% Other (specify)(If you use bioslurry directly)]]+Table14[[#This Row],[% Store it first]]+Table14[[#This Row],[% Use directly for various purposes]]</f>
        <v>100</v>
      </c>
      <c r="FE164" s="239" t="s">
        <v>4</v>
      </c>
      <c r="FF164" s="239"/>
      <c r="FG164" s="239"/>
      <c r="FH164" s="239"/>
      <c r="FI164" s="239"/>
      <c r="FJ164" s="239"/>
      <c r="FK164" s="239" t="s">
        <v>9</v>
      </c>
      <c r="FL164" s="239" t="s">
        <v>7</v>
      </c>
      <c r="FM164" s="239" t="s">
        <v>9</v>
      </c>
      <c r="FN164" s="239"/>
      <c r="FO164" s="239" t="s">
        <v>29431</v>
      </c>
      <c r="FP164" s="239" t="s">
        <v>29298</v>
      </c>
      <c r="FQ164" s="239">
        <v>121</v>
      </c>
      <c r="FR164" s="239" t="s">
        <v>7</v>
      </c>
      <c r="FS164" s="239" t="s">
        <v>29555</v>
      </c>
      <c r="FT164" s="239" t="s">
        <v>4</v>
      </c>
      <c r="FU164" s="239" t="s">
        <v>2</v>
      </c>
      <c r="FV164" s="239" t="s">
        <v>4</v>
      </c>
      <c r="FW164" s="239" t="s">
        <v>4</v>
      </c>
      <c r="FX164" s="239" t="s">
        <v>4</v>
      </c>
      <c r="FY164" s="239" t="s">
        <v>4</v>
      </c>
      <c r="FZ164" s="239" t="s">
        <v>4</v>
      </c>
      <c r="GA164" s="239" t="s">
        <v>4</v>
      </c>
      <c r="GB164" s="240" t="s">
        <v>4</v>
      </c>
      <c r="GC164" s="239" t="s">
        <v>4</v>
      </c>
      <c r="GD164" s="239" t="s">
        <v>2</v>
      </c>
      <c r="GE164" s="239" t="s">
        <v>4</v>
      </c>
      <c r="GF164" s="239" t="s">
        <v>4</v>
      </c>
      <c r="GG164" s="239" t="s">
        <v>7</v>
      </c>
      <c r="GH164" s="239" t="s">
        <v>7</v>
      </c>
      <c r="GI164" s="239" t="s">
        <v>29302</v>
      </c>
      <c r="GJ164" s="239" t="s">
        <v>29881</v>
      </c>
      <c r="GK164" s="239" t="s">
        <v>29304</v>
      </c>
      <c r="GL164" s="239">
        <v>0</v>
      </c>
      <c r="GM164" s="239" t="s">
        <v>29882</v>
      </c>
      <c r="GN164" s="239" t="s">
        <v>29306</v>
      </c>
      <c r="GO164" s="239" t="s">
        <v>29883</v>
      </c>
      <c r="GP164" s="239" t="s">
        <v>29397</v>
      </c>
      <c r="GQ164" s="239" t="s">
        <v>4</v>
      </c>
      <c r="GR164" s="239" t="s">
        <v>4</v>
      </c>
      <c r="GS164" s="239" t="s">
        <v>4</v>
      </c>
      <c r="GT164" s="239" t="s">
        <v>4</v>
      </c>
      <c r="GU164" s="239" t="s">
        <v>4</v>
      </c>
      <c r="GV164" s="239" t="s">
        <v>4</v>
      </c>
      <c r="GW164" s="239" t="s">
        <v>4</v>
      </c>
      <c r="GX164" s="239" t="s">
        <v>4</v>
      </c>
      <c r="GY164" s="239" t="s">
        <v>4</v>
      </c>
      <c r="GZ164" s="239" t="s">
        <v>4</v>
      </c>
      <c r="HA164" s="239" t="s">
        <v>4</v>
      </c>
      <c r="HB164" s="239" t="s">
        <v>4</v>
      </c>
      <c r="HC164" s="239" t="s">
        <v>4</v>
      </c>
      <c r="HD164" s="239" t="s">
        <v>4</v>
      </c>
      <c r="HE164" s="239" t="s">
        <v>4</v>
      </c>
      <c r="HF164" s="239" t="s">
        <v>4</v>
      </c>
      <c r="HG164" s="239" t="s">
        <v>4</v>
      </c>
      <c r="HH164" s="239" t="s">
        <v>29354</v>
      </c>
      <c r="HI164" s="239" t="s">
        <v>4</v>
      </c>
      <c r="HJ164" s="240">
        <v>0</v>
      </c>
      <c r="HK164" s="239" t="s">
        <v>2</v>
      </c>
      <c r="HL164" s="239" t="s">
        <v>29309</v>
      </c>
      <c r="HM164" s="239" t="s">
        <v>4</v>
      </c>
      <c r="HN164" s="239" t="s">
        <v>4</v>
      </c>
      <c r="HO164" s="239" t="s">
        <v>4</v>
      </c>
      <c r="HP164" s="239" t="s">
        <v>4</v>
      </c>
      <c r="HQ164" s="239" t="s">
        <v>4</v>
      </c>
      <c r="HR164" s="239" t="s">
        <v>4</v>
      </c>
      <c r="HS164" s="239" t="s">
        <v>4</v>
      </c>
      <c r="HT164" s="239" t="s">
        <v>4</v>
      </c>
      <c r="HU164" s="239" t="s">
        <v>2</v>
      </c>
      <c r="HV164" s="239" t="s">
        <v>4</v>
      </c>
      <c r="HW164" s="239" t="s">
        <v>4</v>
      </c>
      <c r="HX164" s="239" t="s">
        <v>4</v>
      </c>
      <c r="HY164" s="239" t="s">
        <v>4</v>
      </c>
      <c r="HZ164" s="239" t="s">
        <v>29884</v>
      </c>
      <c r="IA164" s="239" t="s">
        <v>2</v>
      </c>
      <c r="IB164" s="239" t="s">
        <v>4</v>
      </c>
      <c r="IC164" s="239" t="s">
        <v>29885</v>
      </c>
      <c r="ID164" s="239" t="s">
        <v>29886</v>
      </c>
      <c r="IE164" s="239" t="s">
        <v>29887</v>
      </c>
      <c r="IF164" s="239" t="s">
        <v>29888</v>
      </c>
      <c r="IG164" s="239" t="s">
        <v>29889</v>
      </c>
      <c r="IH164" s="239" t="s">
        <v>29890</v>
      </c>
    </row>
    <row r="165" spans="1:242" s="1" customFormat="1" ht="36.75" customHeight="1" x14ac:dyDescent="0.2">
      <c r="A165" s="239">
        <v>60</v>
      </c>
      <c r="B165" s="239" t="s">
        <v>326</v>
      </c>
      <c r="C165" s="239" t="s">
        <v>29968</v>
      </c>
      <c r="D165" s="239" t="s">
        <v>21</v>
      </c>
      <c r="E165" s="239" t="s">
        <v>7</v>
      </c>
      <c r="F165" s="239" t="s">
        <v>29969</v>
      </c>
      <c r="G165" s="239">
        <v>1121.5999999999999</v>
      </c>
      <c r="H165" s="239">
        <v>4.4000000000000004</v>
      </c>
      <c r="I165" s="239" t="s">
        <v>29288</v>
      </c>
      <c r="J165" s="239" t="s">
        <v>4</v>
      </c>
      <c r="K165" s="239" t="s">
        <v>29970</v>
      </c>
      <c r="L165" s="239">
        <v>772411357</v>
      </c>
      <c r="M165" s="239" t="s">
        <v>3</v>
      </c>
      <c r="N165" s="239" t="s">
        <v>31598</v>
      </c>
      <c r="O165" s="239" t="s">
        <v>4</v>
      </c>
      <c r="P165" s="239">
        <v>10</v>
      </c>
      <c r="Q165" s="239" t="s">
        <v>7</v>
      </c>
      <c r="R165" s="239" t="s">
        <v>31588</v>
      </c>
      <c r="S165" s="239" t="s">
        <v>4</v>
      </c>
      <c r="T165" s="239" t="s">
        <v>7</v>
      </c>
      <c r="U165" s="239" t="s">
        <v>7</v>
      </c>
      <c r="V165" s="239"/>
      <c r="W165" s="239" t="s">
        <v>7</v>
      </c>
      <c r="X165" s="239" t="s">
        <v>4</v>
      </c>
      <c r="Y165" s="239" t="s">
        <v>4</v>
      </c>
      <c r="Z165" s="241" t="str">
        <f>IF(OR(T165="yes",Y165&gt;'SDG outcome'!$C$27),"yes","no")</f>
        <v>yes</v>
      </c>
      <c r="AA165" s="243">
        <f t="shared" si="13"/>
        <v>0</v>
      </c>
      <c r="AB165" s="243" t="str">
        <f>IF(AND(Z165="no",AND(Y165&gt;='SDG outcome'!$B$16,Y165&lt;'SDG outcome'!$C$27)),Y165-'SDG outcome'!$B$16,"")</f>
        <v/>
      </c>
      <c r="AC165" s="239" t="s">
        <v>4</v>
      </c>
      <c r="AD165" s="239" t="s">
        <v>4</v>
      </c>
      <c r="AE165" s="239" t="s">
        <v>4</v>
      </c>
      <c r="AF165" s="239" t="s">
        <v>4</v>
      </c>
      <c r="AG165" s="239" t="s">
        <v>4</v>
      </c>
      <c r="AH165" s="239" t="s">
        <v>4</v>
      </c>
      <c r="AI165" s="239" t="s">
        <v>4</v>
      </c>
      <c r="AJ165" s="239" t="s">
        <v>29290</v>
      </c>
      <c r="AK165" s="239" t="s">
        <v>29462</v>
      </c>
      <c r="AL165" s="239" t="s">
        <v>4</v>
      </c>
      <c r="AM165" s="239" t="s">
        <v>4</v>
      </c>
      <c r="AN165" s="239" t="s">
        <v>31536</v>
      </c>
      <c r="AO165" s="239" t="s">
        <v>4</v>
      </c>
      <c r="AP165" s="239" t="s">
        <v>31537</v>
      </c>
      <c r="AQ165" s="239" t="s">
        <v>4</v>
      </c>
      <c r="AR165" s="239" t="s">
        <v>31538</v>
      </c>
      <c r="AS165" s="239" t="s">
        <v>4</v>
      </c>
      <c r="AT165" s="239" t="s">
        <v>2</v>
      </c>
      <c r="AU165" s="239" t="s">
        <v>31581</v>
      </c>
      <c r="AV165" s="239" t="s">
        <v>4</v>
      </c>
      <c r="AW165" s="239" t="s">
        <v>31539</v>
      </c>
      <c r="AX165" s="239" t="s">
        <v>4</v>
      </c>
      <c r="AY165" s="239" t="s">
        <v>4</v>
      </c>
      <c r="AZ165" s="239" t="s">
        <v>7</v>
      </c>
      <c r="BA165" s="239" t="s">
        <v>11</v>
      </c>
      <c r="BB165" s="239" t="s">
        <v>4</v>
      </c>
      <c r="BC165" s="239" t="s">
        <v>31557</v>
      </c>
      <c r="BD165" s="239" t="s">
        <v>4</v>
      </c>
      <c r="BE165" s="239" t="s">
        <v>4</v>
      </c>
      <c r="BF165" s="239" t="s">
        <v>4</v>
      </c>
      <c r="BG165" s="239" t="s">
        <v>4</v>
      </c>
      <c r="BH165" s="239" t="s">
        <v>4</v>
      </c>
      <c r="BI165" s="239" t="s">
        <v>4</v>
      </c>
      <c r="BJ165" s="239" t="s">
        <v>4</v>
      </c>
      <c r="BK165" s="239" t="s">
        <v>4</v>
      </c>
      <c r="BL165" s="239" t="s">
        <v>4</v>
      </c>
      <c r="BM165" s="239" t="s">
        <v>7</v>
      </c>
      <c r="BN165" s="239" t="s">
        <v>6</v>
      </c>
      <c r="BO165" s="239" t="s">
        <v>4</v>
      </c>
      <c r="BP165" s="239" t="s">
        <v>31425</v>
      </c>
      <c r="BQ165" s="239">
        <v>1</v>
      </c>
      <c r="BR165" s="239">
        <v>45</v>
      </c>
      <c r="BS165" s="239" t="s">
        <v>31434</v>
      </c>
      <c r="BT165" s="239"/>
      <c r="BU165" s="239">
        <v>2</v>
      </c>
      <c r="BV165" s="239" cm="1">
        <f t="array" ref="BV165">_xlfn.IFS(BS165="Foreword vehicle",BU165*0,BS165="Human wastes",BU165*0,BS165="Jerrycans",BU165*$BV$228,BS165="Number of Basins",BU165*$BV$229,BS165="Number of Buckets",BU165*$CA$226,BS165="Number of Kgs",BU165*$CA$227,BS165="Number of spades",BU165*$CA$228,BS165="Number of wheelbarrows",BU165*$CA$229,BT165="Foreword vehicle",BU165*0,BT165="Human wastes",BU165*0,BT165="Jerrycans",BU165*$BV$228,BS165="","")</f>
        <v>32</v>
      </c>
      <c r="BW165" s="239">
        <f>IF(BV165="","",Table14[[#This Row],[Calculation: Conversion of metric to Kg manure feeding (Columns: BP, BQ, BR)]]*Table14[[#This Row],[Number of times used to feed biodigester]])</f>
        <v>32</v>
      </c>
      <c r="BX165" s="239" cm="1">
        <f t="array" ref="BX165">_xlfn.IFS(BP165="Number of times per day (1 to 3)",BW165/$BX$226,BP165="Number of times per week (1 to 6)",BW165/$BX$227,BP165="Number of times per Month (1 to 3)",BW165/$BX$228,BW165="","")</f>
        <v>32</v>
      </c>
      <c r="BY165" s="239" t="s">
        <v>31650</v>
      </c>
      <c r="BZ165" s="239" t="s">
        <v>4</v>
      </c>
      <c r="CA165" s="239" t="s">
        <v>2</v>
      </c>
      <c r="CB165" s="239" t="s">
        <v>4</v>
      </c>
      <c r="CC165" s="239" t="s">
        <v>4</v>
      </c>
      <c r="CD165" s="239" t="s">
        <v>4</v>
      </c>
      <c r="CE165" s="239" t="s">
        <v>7</v>
      </c>
      <c r="CF165" s="239" t="s">
        <v>31966</v>
      </c>
      <c r="CG165" s="239" t="s">
        <v>4</v>
      </c>
      <c r="CH165" s="239" t="s">
        <v>31559</v>
      </c>
      <c r="CI165" s="239">
        <v>2</v>
      </c>
      <c r="CJ165" s="239">
        <v>0</v>
      </c>
      <c r="CK165" s="239">
        <v>6</v>
      </c>
      <c r="CL165" s="239">
        <v>0</v>
      </c>
      <c r="CM165" s="239">
        <v>0</v>
      </c>
      <c r="CN165" s="239">
        <v>22</v>
      </c>
      <c r="CO165" s="239">
        <v>9</v>
      </c>
      <c r="CP165" s="239">
        <v>120</v>
      </c>
      <c r="CQ165" s="239">
        <v>2</v>
      </c>
      <c r="CR165" s="239">
        <v>6</v>
      </c>
      <c r="CS165" s="239">
        <f>CP165/'SDG outcome'!$C$9*CQ165*CR165</f>
        <v>4.1498559077809798</v>
      </c>
      <c r="CT165" s="239">
        <v>60</v>
      </c>
      <c r="CU165" s="239">
        <v>40</v>
      </c>
      <c r="CV165" s="239" t="s">
        <v>31967</v>
      </c>
      <c r="CW165" s="239" t="s">
        <v>4</v>
      </c>
      <c r="CX165" s="239" t="s">
        <v>4</v>
      </c>
      <c r="CY165" s="239" t="s">
        <v>4</v>
      </c>
      <c r="CZ165" s="239" t="s">
        <v>4</v>
      </c>
      <c r="DA165" s="239" t="s">
        <v>4</v>
      </c>
      <c r="DB165" s="239" t="s">
        <v>4</v>
      </c>
      <c r="DC165" s="239">
        <v>0</v>
      </c>
      <c r="DD165" s="239">
        <v>100</v>
      </c>
      <c r="DE165" s="239" t="s">
        <v>31968</v>
      </c>
      <c r="DF165" s="239">
        <v>0</v>
      </c>
      <c r="DG165" s="239">
        <v>100</v>
      </c>
      <c r="DH165" s="239" t="s">
        <v>31797</v>
      </c>
      <c r="DI165" s="239" t="s">
        <v>4</v>
      </c>
      <c r="DJ165" s="239" t="s">
        <v>4</v>
      </c>
      <c r="DK165" s="239" t="s">
        <v>4</v>
      </c>
      <c r="DL165" s="239" t="s">
        <v>4</v>
      </c>
      <c r="DM165" s="239" t="s">
        <v>4</v>
      </c>
      <c r="DN165" s="239" t="s">
        <v>4</v>
      </c>
      <c r="DO165" s="239">
        <v>0.75</v>
      </c>
      <c r="DP165" s="239" t="s">
        <v>2</v>
      </c>
      <c r="DQ165" s="239" t="s">
        <v>29292</v>
      </c>
      <c r="DR165" s="239" t="s">
        <v>4</v>
      </c>
      <c r="DS165" s="239" t="s">
        <v>29293</v>
      </c>
      <c r="DT165" s="240">
        <v>60000</v>
      </c>
      <c r="DU165" s="239" t="s">
        <v>29294</v>
      </c>
      <c r="DV165" s="240" t="s">
        <v>4</v>
      </c>
      <c r="DW165" s="239" t="s">
        <v>29442</v>
      </c>
      <c r="DX165" s="239">
        <v>90</v>
      </c>
      <c r="DY165" s="239" t="s">
        <v>29296</v>
      </c>
      <c r="DZ165" s="239">
        <v>100</v>
      </c>
      <c r="EA165" s="239"/>
      <c r="EB165" s="239"/>
      <c r="EC165" s="239"/>
      <c r="ED165" s="239"/>
      <c r="EE165" s="320">
        <f>Table14[[#This Row],[% Fertilizer]]*$DX165/10000</f>
        <v>0.9</v>
      </c>
      <c r="EF165" s="320">
        <f>Table14[[#This Row],[% bioslurry used as Insecticide/Pesticide]]*$DX165/10000</f>
        <v>0</v>
      </c>
      <c r="EG165" s="320">
        <f>Table14[[#This Row],[% of Bioslurry used as animal feed]]*$DX165/10000</f>
        <v>0</v>
      </c>
      <c r="EH165" s="320">
        <f>Table14[[#This Row],[% of Bioslurry sold]]*$DX165/10000</f>
        <v>0</v>
      </c>
      <c r="EI165" s="320">
        <f>Table14[[#This Row],[% used other way(if used directly)]]*$DX165/10000</f>
        <v>0</v>
      </c>
      <c r="EJ165" s="239">
        <v>10</v>
      </c>
      <c r="EK165" s="239" t="s">
        <v>29719</v>
      </c>
      <c r="EL165" s="239"/>
      <c r="EM165" s="239"/>
      <c r="EN165" s="239"/>
      <c r="EO165" s="239">
        <f>(Table14[[#This Row],[% Uncovered lagoon greater than 1 meter]]+Table14[[#This Row],[Uncovered lagoon (black watery mass) &lt;1 meter]]+Table14[[#This Row],[% Liquid slurry (brown porridge type)]])*Table14[[#This Row],[% Store it first]]/100</f>
        <v>0</v>
      </c>
      <c r="EP165" s="239"/>
      <c r="EQ165" s="239">
        <v>100</v>
      </c>
      <c r="ER165" s="239"/>
      <c r="ES165" s="239"/>
      <c r="ET165" s="239">
        <f>(Table14[[#This Row],[% Solid storage]]+Table14[[#This Row],[% Sun drying]]+Table14[[#This Row],[% Composting with a roof]]+Table14[[#This Row],[% Composting without a roof]])*Table14[[#This Row],[% Store it first]]/100</f>
        <v>10</v>
      </c>
      <c r="EU165" s="239">
        <v>7</v>
      </c>
      <c r="EV165" s="320">
        <f t="shared" si="15"/>
        <v>0</v>
      </c>
      <c r="EW165" s="320">
        <f t="shared" si="16"/>
        <v>0</v>
      </c>
      <c r="EX165" s="320">
        <f t="shared" si="17"/>
        <v>0</v>
      </c>
      <c r="EY165" s="320">
        <f t="shared" si="18"/>
        <v>0</v>
      </c>
      <c r="EZ165" s="320">
        <f t="shared" si="19"/>
        <v>0.1</v>
      </c>
      <c r="FA165" s="239"/>
      <c r="FB165" s="239"/>
      <c r="FC165" s="239"/>
      <c r="FD165" s="239">
        <f>Table14[[#This Row],[% I donâ€™t use it / discarded]]+Table14[[#This Row],[% Other (specify)(If you use bioslurry directly)]]+Table14[[#This Row],[% Store it first]]+Table14[[#This Row],[% Use directly for various purposes]]</f>
        <v>100</v>
      </c>
      <c r="FE165" s="239" t="s">
        <v>13</v>
      </c>
      <c r="FF165" s="239"/>
      <c r="FG165" s="239"/>
      <c r="FH165" s="239"/>
      <c r="FI165" s="239"/>
      <c r="FJ165" s="239">
        <v>100</v>
      </c>
      <c r="FK165" s="239" t="s">
        <v>9</v>
      </c>
      <c r="FL165" s="239" t="s">
        <v>7</v>
      </c>
      <c r="FM165" s="239">
        <v>50</v>
      </c>
      <c r="FN165" s="239"/>
      <c r="FO165" s="239" t="s">
        <v>29971</v>
      </c>
      <c r="FP165" s="239" t="s">
        <v>29298</v>
      </c>
      <c r="FQ165" s="239">
        <v>239</v>
      </c>
      <c r="FR165" s="239" t="s">
        <v>7</v>
      </c>
      <c r="FS165" s="239" t="s">
        <v>29393</v>
      </c>
      <c r="FT165" s="239" t="s">
        <v>4</v>
      </c>
      <c r="FU165" s="239" t="s">
        <v>7</v>
      </c>
      <c r="FV165" s="239" t="s">
        <v>29393</v>
      </c>
      <c r="FW165" s="239" t="s">
        <v>4</v>
      </c>
      <c r="FX165" s="239" t="s">
        <v>13</v>
      </c>
      <c r="FY165" s="239" t="s">
        <v>29972</v>
      </c>
      <c r="FZ165" s="239" t="s">
        <v>4</v>
      </c>
      <c r="GA165" s="239" t="s">
        <v>4</v>
      </c>
      <c r="GB165" s="240" t="s">
        <v>4</v>
      </c>
      <c r="GC165" s="239" t="s">
        <v>4</v>
      </c>
      <c r="GD165" s="239" t="s">
        <v>2</v>
      </c>
      <c r="GE165" s="239" t="s">
        <v>4</v>
      </c>
      <c r="GF165" s="239" t="s">
        <v>4</v>
      </c>
      <c r="GG165" s="239" t="s">
        <v>7</v>
      </c>
      <c r="GH165" s="239" t="s">
        <v>7</v>
      </c>
      <c r="GI165" s="239" t="s">
        <v>29302</v>
      </c>
      <c r="GJ165" s="239" t="s">
        <v>29579</v>
      </c>
      <c r="GK165" s="239" t="s">
        <v>29304</v>
      </c>
      <c r="GL165" s="239">
        <v>1.5</v>
      </c>
      <c r="GM165" s="239" t="s">
        <v>29478</v>
      </c>
      <c r="GN165" s="239" t="s">
        <v>29339</v>
      </c>
      <c r="GO165" s="239" t="s">
        <v>29941</v>
      </c>
      <c r="GP165" s="239" t="s">
        <v>4</v>
      </c>
      <c r="GQ165" s="239" t="s">
        <v>4</v>
      </c>
      <c r="GR165" s="239" t="s">
        <v>4</v>
      </c>
      <c r="GS165" s="239" t="s">
        <v>4</v>
      </c>
      <c r="GT165" s="239" t="s">
        <v>4</v>
      </c>
      <c r="GU165" s="239" t="s">
        <v>4</v>
      </c>
      <c r="GV165" s="239" t="s">
        <v>4</v>
      </c>
      <c r="GW165" s="239" t="s">
        <v>4</v>
      </c>
      <c r="GX165" s="239" t="s">
        <v>4</v>
      </c>
      <c r="GY165" s="239" t="s">
        <v>4</v>
      </c>
      <c r="GZ165" s="239" t="s">
        <v>4</v>
      </c>
      <c r="HA165" s="239" t="s">
        <v>4</v>
      </c>
      <c r="HB165" s="239" t="s">
        <v>4</v>
      </c>
      <c r="HC165" s="239" t="s">
        <v>4</v>
      </c>
      <c r="HD165" s="239" t="s">
        <v>4</v>
      </c>
      <c r="HE165" s="239" t="s">
        <v>4</v>
      </c>
      <c r="HF165" s="239" t="s">
        <v>4</v>
      </c>
      <c r="HG165" s="239" t="s">
        <v>4</v>
      </c>
      <c r="HH165" s="239" t="s">
        <v>29452</v>
      </c>
      <c r="HI165" s="239" t="s">
        <v>4</v>
      </c>
      <c r="HJ165" s="240">
        <v>0</v>
      </c>
      <c r="HK165" s="239" t="s">
        <v>2</v>
      </c>
      <c r="HL165" s="239" t="s">
        <v>29309</v>
      </c>
      <c r="HM165" s="239" t="s">
        <v>4</v>
      </c>
      <c r="HN165" s="239" t="s">
        <v>4</v>
      </c>
      <c r="HO165" s="239" t="s">
        <v>4</v>
      </c>
      <c r="HP165" s="239" t="s">
        <v>4</v>
      </c>
      <c r="HQ165" s="239" t="s">
        <v>4</v>
      </c>
      <c r="HR165" s="239" t="s">
        <v>4</v>
      </c>
      <c r="HS165" s="239" t="s">
        <v>4</v>
      </c>
      <c r="HT165" s="239" t="s">
        <v>4</v>
      </c>
      <c r="HU165" s="239" t="s">
        <v>2</v>
      </c>
      <c r="HV165" s="239" t="s">
        <v>4</v>
      </c>
      <c r="HW165" s="239" t="s">
        <v>4</v>
      </c>
      <c r="HX165" s="239" t="s">
        <v>4</v>
      </c>
      <c r="HY165" s="239" t="s">
        <v>4</v>
      </c>
      <c r="HZ165" s="239" t="s">
        <v>29973</v>
      </c>
      <c r="IA165" s="239" t="s">
        <v>7</v>
      </c>
      <c r="IB165" s="239" t="s">
        <v>29974</v>
      </c>
      <c r="IC165" s="239" t="s">
        <v>29975</v>
      </c>
      <c r="ID165" s="239" t="s">
        <v>29976</v>
      </c>
      <c r="IE165" s="239" t="s">
        <v>29977</v>
      </c>
      <c r="IF165" s="239" t="s">
        <v>29978</v>
      </c>
      <c r="IG165" s="239" t="s">
        <v>29979</v>
      </c>
      <c r="IH165" s="239" t="s">
        <v>29980</v>
      </c>
    </row>
    <row r="166" spans="1:242" s="1" customFormat="1" ht="36.75" customHeight="1" x14ac:dyDescent="0.2">
      <c r="A166" s="239">
        <v>67</v>
      </c>
      <c r="B166" s="239" t="s">
        <v>28076</v>
      </c>
      <c r="C166" s="239" t="s">
        <v>30047</v>
      </c>
      <c r="D166" s="239" t="s">
        <v>30002</v>
      </c>
      <c r="E166" s="239" t="s">
        <v>7</v>
      </c>
      <c r="F166" s="239" t="s">
        <v>30048</v>
      </c>
      <c r="G166" s="239">
        <v>1191.5</v>
      </c>
      <c r="H166" s="239">
        <v>5</v>
      </c>
      <c r="I166" s="239" t="s">
        <v>29288</v>
      </c>
      <c r="J166" s="239" t="s">
        <v>4</v>
      </c>
      <c r="K166" s="239" t="s">
        <v>30049</v>
      </c>
      <c r="L166" s="239">
        <v>774056066</v>
      </c>
      <c r="M166" s="239" t="s">
        <v>3</v>
      </c>
      <c r="N166" s="239" t="s">
        <v>31438</v>
      </c>
      <c r="O166" s="239">
        <v>61</v>
      </c>
      <c r="P166" s="239">
        <v>7</v>
      </c>
      <c r="Q166" s="239" t="s">
        <v>7</v>
      </c>
      <c r="R166" s="239" t="s">
        <v>31549</v>
      </c>
      <c r="S166" s="239" t="s">
        <v>4</v>
      </c>
      <c r="T166" s="239" t="s">
        <v>7</v>
      </c>
      <c r="U166" s="239" t="s">
        <v>7</v>
      </c>
      <c r="V166" s="239"/>
      <c r="W166" s="239" t="s">
        <v>7</v>
      </c>
      <c r="X166" s="239" t="s">
        <v>4</v>
      </c>
      <c r="Y166" s="239" t="s">
        <v>4</v>
      </c>
      <c r="Z166" s="241" t="str">
        <f>IF(OR(T166="yes",Y166&gt;'SDG outcome'!$C$27),"yes","no")</f>
        <v>yes</v>
      </c>
      <c r="AA166" s="243">
        <f t="shared" si="13"/>
        <v>0</v>
      </c>
      <c r="AB166" s="243" t="str">
        <f>IF(AND(Z166="no",AND(Y166&gt;='SDG outcome'!$B$16,Y166&lt;'SDG outcome'!$C$27)),Y166-'SDG outcome'!$B$16,"")</f>
        <v/>
      </c>
      <c r="AC166" s="239" t="s">
        <v>4</v>
      </c>
      <c r="AD166" s="239" t="s">
        <v>4</v>
      </c>
      <c r="AE166" s="239" t="s">
        <v>4</v>
      </c>
      <c r="AF166" s="239" t="s">
        <v>4</v>
      </c>
      <c r="AG166" s="239" t="s">
        <v>4</v>
      </c>
      <c r="AH166" s="239" t="s">
        <v>4</v>
      </c>
      <c r="AI166" s="239" t="s">
        <v>4</v>
      </c>
      <c r="AJ166" s="239" t="s">
        <v>29290</v>
      </c>
      <c r="AK166" s="239" t="s">
        <v>29291</v>
      </c>
      <c r="AL166" s="239" t="s">
        <v>4</v>
      </c>
      <c r="AM166" s="239" t="s">
        <v>4</v>
      </c>
      <c r="AN166" s="239" t="s">
        <v>31536</v>
      </c>
      <c r="AO166" s="239" t="s">
        <v>4</v>
      </c>
      <c r="AP166" s="239" t="s">
        <v>31537</v>
      </c>
      <c r="AQ166" s="239" t="s">
        <v>4</v>
      </c>
      <c r="AR166" s="239" t="s">
        <v>31538</v>
      </c>
      <c r="AS166" s="239" t="s">
        <v>4</v>
      </c>
      <c r="AT166" s="239" t="s">
        <v>2</v>
      </c>
      <c r="AU166" s="239" t="s">
        <v>31581</v>
      </c>
      <c r="AV166" s="239" t="s">
        <v>4</v>
      </c>
      <c r="AW166" s="239" t="s">
        <v>31539</v>
      </c>
      <c r="AX166" s="239" t="s">
        <v>4</v>
      </c>
      <c r="AY166" s="239" t="s">
        <v>4</v>
      </c>
      <c r="AZ166" s="239" t="s">
        <v>2</v>
      </c>
      <c r="BA166" s="239" t="s">
        <v>4</v>
      </c>
      <c r="BB166" s="239" t="s">
        <v>4</v>
      </c>
      <c r="BC166" s="239" t="s">
        <v>31540</v>
      </c>
      <c r="BD166" s="239" t="s">
        <v>31552</v>
      </c>
      <c r="BE166" s="239" t="s">
        <v>4</v>
      </c>
      <c r="BF166" s="239" t="s">
        <v>22</v>
      </c>
      <c r="BG166" s="239" t="s">
        <v>4</v>
      </c>
      <c r="BH166" s="239" t="s">
        <v>31542</v>
      </c>
      <c r="BI166" s="239" t="s">
        <v>31798</v>
      </c>
      <c r="BJ166" s="239" t="s">
        <v>31544</v>
      </c>
      <c r="BK166" s="239">
        <v>2</v>
      </c>
      <c r="BL166" s="239">
        <v>60</v>
      </c>
      <c r="BM166" s="239" t="s">
        <v>7</v>
      </c>
      <c r="BN166" s="239" t="s">
        <v>6</v>
      </c>
      <c r="BO166" s="239" t="s">
        <v>4</v>
      </c>
      <c r="BP166" s="239" t="s">
        <v>31429</v>
      </c>
      <c r="BQ166" s="239">
        <v>1</v>
      </c>
      <c r="BR166" s="239">
        <v>45</v>
      </c>
      <c r="BS166" s="239" t="s">
        <v>31435</v>
      </c>
      <c r="BT166" s="239"/>
      <c r="BU166" s="239">
        <v>3</v>
      </c>
      <c r="BV166" s="239" cm="1">
        <f t="array" ref="BV166">_xlfn.IFS(BS166="Foreword vehicle",BU166*0,BS166="Human wastes",BU166*0,BS166="Jerrycans",BU166*$BV$228,BS166="Number of Basins",BU166*$BV$229,BS166="Number of Buckets",BU166*$CA$226,BS166="Number of Kgs",BU166*$CA$227,BS166="Number of spades",BU166*$CA$228,BS166="Number of wheelbarrows",BU166*$CA$229,BT166="Foreword vehicle",BU166*0,BT166="Human wastes",BU166*0,BT166="Jerrycans",BU166*$BV$228,BS166="","")</f>
        <v>211.5</v>
      </c>
      <c r="BW166" s="239">
        <f>IF(BV166="","",Table14[[#This Row],[Calculation: Conversion of metric to Kg manure feeding (Columns: BP, BQ, BR)]]*Table14[[#This Row],[Number of times used to feed biodigester]])</f>
        <v>211.5</v>
      </c>
      <c r="BX166" s="239" cm="1">
        <f t="array" ref="BX166">_xlfn.IFS(BP166="Number of times per day (1 to 3)",BW166/$BX$226,BP166="Number of times per week (1 to 6)",BW166/$BX$227,BP166="Number of times per Month (1 to 3)",BW166/$BX$228,BW166="","")</f>
        <v>30.214285714285715</v>
      </c>
      <c r="BY166" s="239" t="s">
        <v>31541</v>
      </c>
      <c r="BZ166" s="239" t="s">
        <v>4</v>
      </c>
      <c r="CA166" s="239" t="s">
        <v>2</v>
      </c>
      <c r="CB166" s="239" t="s">
        <v>4</v>
      </c>
      <c r="CC166" s="239" t="s">
        <v>4</v>
      </c>
      <c r="CD166" s="239" t="s">
        <v>4</v>
      </c>
      <c r="CE166" s="239" t="s">
        <v>7</v>
      </c>
      <c r="CF166" s="239" t="s">
        <v>31799</v>
      </c>
      <c r="CG166" s="239" t="s">
        <v>4</v>
      </c>
      <c r="CH166" s="239" t="s">
        <v>31578</v>
      </c>
      <c r="CI166" s="239">
        <v>2</v>
      </c>
      <c r="CJ166" s="239">
        <v>0</v>
      </c>
      <c r="CK166" s="239">
        <v>0</v>
      </c>
      <c r="CL166" s="239">
        <v>0</v>
      </c>
      <c r="CM166" s="239">
        <v>0</v>
      </c>
      <c r="CN166" s="239">
        <v>10</v>
      </c>
      <c r="CO166" s="239">
        <v>0</v>
      </c>
      <c r="CP166" s="239">
        <v>0</v>
      </c>
      <c r="CQ166" s="239">
        <v>0</v>
      </c>
      <c r="CR166" s="239">
        <v>0</v>
      </c>
      <c r="CS166" s="239">
        <f>CP166/'SDG outcome'!$C$9*CQ166*CR166</f>
        <v>0</v>
      </c>
      <c r="CT166" s="239">
        <v>100</v>
      </c>
      <c r="CU166" s="239">
        <v>0</v>
      </c>
      <c r="CV166" s="239" t="s">
        <v>4</v>
      </c>
      <c r="CW166" s="239" t="s">
        <v>4</v>
      </c>
      <c r="CX166" s="239" t="s">
        <v>4</v>
      </c>
      <c r="CY166" s="239" t="s">
        <v>4</v>
      </c>
      <c r="CZ166" s="239" t="s">
        <v>4</v>
      </c>
      <c r="DA166" s="239" t="s">
        <v>4</v>
      </c>
      <c r="DB166" s="239" t="s">
        <v>4</v>
      </c>
      <c r="DC166" s="239" t="s">
        <v>4</v>
      </c>
      <c r="DD166" s="239" t="s">
        <v>4</v>
      </c>
      <c r="DE166" s="239" t="s">
        <v>4</v>
      </c>
      <c r="DF166" s="239">
        <v>0</v>
      </c>
      <c r="DG166" s="239">
        <v>100</v>
      </c>
      <c r="DH166" s="239" t="s">
        <v>31800</v>
      </c>
      <c r="DI166" s="239" t="s">
        <v>4</v>
      </c>
      <c r="DJ166" s="239" t="s">
        <v>4</v>
      </c>
      <c r="DK166" s="239" t="s">
        <v>4</v>
      </c>
      <c r="DL166" s="239" t="s">
        <v>4</v>
      </c>
      <c r="DM166" s="239" t="s">
        <v>4</v>
      </c>
      <c r="DN166" s="239" t="s">
        <v>4</v>
      </c>
      <c r="DO166" s="239">
        <v>1.5</v>
      </c>
      <c r="DP166" s="239" t="s">
        <v>2</v>
      </c>
      <c r="DQ166" s="239" t="s">
        <v>29292</v>
      </c>
      <c r="DR166" s="239" t="s">
        <v>4</v>
      </c>
      <c r="DS166" s="239" t="s">
        <v>29294</v>
      </c>
      <c r="DT166" s="240" t="s">
        <v>4</v>
      </c>
      <c r="DU166" s="239" t="s">
        <v>29294</v>
      </c>
      <c r="DV166" s="240" t="s">
        <v>4</v>
      </c>
      <c r="DW166" s="239" t="s">
        <v>29295</v>
      </c>
      <c r="DX166" s="239">
        <v>100</v>
      </c>
      <c r="DY166" s="239" t="s">
        <v>29336</v>
      </c>
      <c r="DZ166" s="239">
        <v>70</v>
      </c>
      <c r="EA166" s="239"/>
      <c r="EB166" s="239">
        <v>30</v>
      </c>
      <c r="EC166" s="239"/>
      <c r="ED166" s="239"/>
      <c r="EE166" s="320">
        <f>Table14[[#This Row],[% Fertilizer]]*$DX166/10000</f>
        <v>0.7</v>
      </c>
      <c r="EF166" s="320">
        <f>Table14[[#This Row],[% bioslurry used as Insecticide/Pesticide]]*$DX166/10000</f>
        <v>0</v>
      </c>
      <c r="EG166" s="320">
        <f>Table14[[#This Row],[% of Bioslurry used as animal feed]]*$DX166/10000</f>
        <v>0.3</v>
      </c>
      <c r="EH166" s="320">
        <f>Table14[[#This Row],[% of Bioslurry sold]]*$DX166/10000</f>
        <v>0</v>
      </c>
      <c r="EI166" s="320">
        <f>Table14[[#This Row],[% used other way(if used directly)]]*$DX166/10000</f>
        <v>0</v>
      </c>
      <c r="EJ166" s="239"/>
      <c r="EK166" s="239"/>
      <c r="EL166" s="239"/>
      <c r="EM166" s="239"/>
      <c r="EN166" s="239"/>
      <c r="EO166" s="239">
        <f>(Table14[[#This Row],[% Uncovered lagoon greater than 1 meter]]+Table14[[#This Row],[Uncovered lagoon (black watery mass) &lt;1 meter]]+Table14[[#This Row],[% Liquid slurry (brown porridge type)]])*Table14[[#This Row],[% Store it first]]/100</f>
        <v>0</v>
      </c>
      <c r="EP166" s="239"/>
      <c r="EQ166" s="239"/>
      <c r="ER166" s="239"/>
      <c r="ES166" s="239"/>
      <c r="ET166" s="239">
        <f>(Table14[[#This Row],[% Solid storage]]+Table14[[#This Row],[% Sun drying]]+Table14[[#This Row],[% Composting with a roof]]+Table14[[#This Row],[% Composting without a roof]])*Table14[[#This Row],[% Store it first]]/100</f>
        <v>0</v>
      </c>
      <c r="EU166" s="239"/>
      <c r="EV166" s="320">
        <f t="shared" si="15"/>
        <v>0</v>
      </c>
      <c r="EW166" s="320">
        <f t="shared" si="16"/>
        <v>0</v>
      </c>
      <c r="EX166" s="320">
        <f t="shared" si="17"/>
        <v>0</v>
      </c>
      <c r="EY166" s="320">
        <f t="shared" si="18"/>
        <v>0</v>
      </c>
      <c r="EZ166" s="320">
        <f t="shared" si="19"/>
        <v>0</v>
      </c>
      <c r="FA166" s="239"/>
      <c r="FB166" s="239"/>
      <c r="FC166" s="239"/>
      <c r="FD166" s="239">
        <f>Table14[[#This Row],[% I donâ€™t use it / discarded]]+Table14[[#This Row],[% Other (specify)(If you use bioslurry directly)]]+Table14[[#This Row],[% Store it first]]+Table14[[#This Row],[% Use directly for various purposes]]</f>
        <v>100</v>
      </c>
      <c r="FE166" s="239" t="s">
        <v>4</v>
      </c>
      <c r="FF166" s="239"/>
      <c r="FG166" s="239"/>
      <c r="FH166" s="239"/>
      <c r="FI166" s="239"/>
      <c r="FJ166" s="239"/>
      <c r="FK166" s="239">
        <v>0.4</v>
      </c>
      <c r="FL166" s="239" t="s">
        <v>7</v>
      </c>
      <c r="FM166" s="239">
        <v>70</v>
      </c>
      <c r="FN166" s="239">
        <f>FK166*FM166/100</f>
        <v>0.28000000000000003</v>
      </c>
      <c r="FO166" s="239" t="s">
        <v>30050</v>
      </c>
      <c r="FP166" s="239" t="s">
        <v>29298</v>
      </c>
      <c r="FQ166" s="239">
        <v>120</v>
      </c>
      <c r="FR166" s="239" t="s">
        <v>7</v>
      </c>
      <c r="FS166" s="239" t="s">
        <v>29555</v>
      </c>
      <c r="FT166" s="239" t="s">
        <v>4</v>
      </c>
      <c r="FU166" s="239" t="s">
        <v>7</v>
      </c>
      <c r="FV166" s="239" t="s">
        <v>29299</v>
      </c>
      <c r="FW166" s="239" t="s">
        <v>4</v>
      </c>
      <c r="FX166" s="239" t="s">
        <v>29300</v>
      </c>
      <c r="FY166" s="239" t="s">
        <v>4</v>
      </c>
      <c r="FZ166" s="239" t="s">
        <v>4</v>
      </c>
      <c r="GA166" s="239" t="s">
        <v>4</v>
      </c>
      <c r="GB166" s="240" t="s">
        <v>4</v>
      </c>
      <c r="GC166" s="239" t="s">
        <v>4</v>
      </c>
      <c r="GD166" s="239" t="s">
        <v>7</v>
      </c>
      <c r="GE166" s="239" t="s">
        <v>29301</v>
      </c>
      <c r="GF166" s="239" t="s">
        <v>4</v>
      </c>
      <c r="GG166" s="239" t="s">
        <v>7</v>
      </c>
      <c r="GH166" s="239" t="s">
        <v>7</v>
      </c>
      <c r="GI166" s="239" t="s">
        <v>29302</v>
      </c>
      <c r="GJ166" s="239" t="s">
        <v>30051</v>
      </c>
      <c r="GK166" s="239" t="s">
        <v>29304</v>
      </c>
      <c r="GL166" s="239">
        <v>2</v>
      </c>
      <c r="GM166" s="239" t="s">
        <v>30052</v>
      </c>
      <c r="GN166" s="239" t="s">
        <v>29306</v>
      </c>
      <c r="GO166" s="239" t="s">
        <v>4</v>
      </c>
      <c r="GP166" s="239" t="s">
        <v>29397</v>
      </c>
      <c r="GQ166" s="239" t="s">
        <v>4</v>
      </c>
      <c r="GR166" s="239" t="s">
        <v>4</v>
      </c>
      <c r="GS166" s="239" t="s">
        <v>4</v>
      </c>
      <c r="GT166" s="239" t="s">
        <v>4</v>
      </c>
      <c r="GU166" s="239" t="s">
        <v>4</v>
      </c>
      <c r="GV166" s="239" t="s">
        <v>4</v>
      </c>
      <c r="GW166" s="239" t="s">
        <v>4</v>
      </c>
      <c r="GX166" s="239" t="s">
        <v>4</v>
      </c>
      <c r="GY166" s="239" t="s">
        <v>4</v>
      </c>
      <c r="GZ166" s="239" t="s">
        <v>4</v>
      </c>
      <c r="HA166" s="239" t="s">
        <v>4</v>
      </c>
      <c r="HB166" s="239" t="s">
        <v>4</v>
      </c>
      <c r="HC166" s="239" t="s">
        <v>4</v>
      </c>
      <c r="HD166" s="239" t="s">
        <v>4</v>
      </c>
      <c r="HE166" s="239" t="s">
        <v>4</v>
      </c>
      <c r="HF166" s="239" t="s">
        <v>4</v>
      </c>
      <c r="HG166" s="239" t="s">
        <v>4</v>
      </c>
      <c r="HH166" s="239" t="s">
        <v>30053</v>
      </c>
      <c r="HI166" s="239" t="s">
        <v>4</v>
      </c>
      <c r="HJ166" s="240">
        <v>0</v>
      </c>
      <c r="HK166" s="239" t="s">
        <v>7</v>
      </c>
      <c r="HL166" s="239" t="s">
        <v>29309</v>
      </c>
      <c r="HM166" s="239" t="s">
        <v>4</v>
      </c>
      <c r="HN166" s="239" t="s">
        <v>4</v>
      </c>
      <c r="HO166" s="239" t="s">
        <v>4</v>
      </c>
      <c r="HP166" s="239" t="s">
        <v>4</v>
      </c>
      <c r="HQ166" s="239" t="s">
        <v>4</v>
      </c>
      <c r="HR166" s="239" t="s">
        <v>4</v>
      </c>
      <c r="HS166" s="239" t="s">
        <v>4</v>
      </c>
      <c r="HT166" s="239" t="s">
        <v>4</v>
      </c>
      <c r="HU166" s="239" t="s">
        <v>2</v>
      </c>
      <c r="HV166" s="239" t="s">
        <v>4</v>
      </c>
      <c r="HW166" s="239" t="s">
        <v>4</v>
      </c>
      <c r="HX166" s="239" t="s">
        <v>4</v>
      </c>
      <c r="HY166" s="239" t="s">
        <v>4</v>
      </c>
      <c r="HZ166" s="239" t="s">
        <v>30054</v>
      </c>
      <c r="IA166" s="239" t="s">
        <v>7</v>
      </c>
      <c r="IB166" s="239" t="s">
        <v>30055</v>
      </c>
      <c r="IC166" s="239" t="s">
        <v>16</v>
      </c>
      <c r="ID166" s="239" t="s">
        <v>30056</v>
      </c>
      <c r="IE166" s="239" t="s">
        <v>30057</v>
      </c>
      <c r="IF166" s="239" t="s">
        <v>30058</v>
      </c>
      <c r="IG166" s="239" t="s">
        <v>30059</v>
      </c>
      <c r="IH166" s="239" t="s">
        <v>30060</v>
      </c>
    </row>
    <row r="167" spans="1:242" s="1" customFormat="1" ht="36.75" customHeight="1" x14ac:dyDescent="0.2">
      <c r="A167" s="239">
        <v>78</v>
      </c>
      <c r="B167" s="239" t="s">
        <v>13189</v>
      </c>
      <c r="C167" s="239" t="s">
        <v>30170</v>
      </c>
      <c r="D167" s="239" t="s">
        <v>70</v>
      </c>
      <c r="E167" s="239" t="s">
        <v>7</v>
      </c>
      <c r="F167" s="239" t="s">
        <v>30171</v>
      </c>
      <c r="G167" s="239">
        <v>1254.4000000000001</v>
      </c>
      <c r="H167" s="239">
        <v>1.9</v>
      </c>
      <c r="I167" s="239" t="s">
        <v>29288</v>
      </c>
      <c r="J167" s="239" t="s">
        <v>4</v>
      </c>
      <c r="K167" s="239" t="s">
        <v>30172</v>
      </c>
      <c r="L167" s="239">
        <v>771191100</v>
      </c>
      <c r="M167" s="239" t="s">
        <v>3</v>
      </c>
      <c r="N167" s="239" t="s">
        <v>31438</v>
      </c>
      <c r="O167" s="239">
        <v>54</v>
      </c>
      <c r="P167" s="239">
        <v>6</v>
      </c>
      <c r="Q167" s="239" t="s">
        <v>7</v>
      </c>
      <c r="R167" s="239" t="s">
        <v>31549</v>
      </c>
      <c r="S167" s="239" t="s">
        <v>4</v>
      </c>
      <c r="T167" s="239" t="s">
        <v>7</v>
      </c>
      <c r="U167" s="239" t="s">
        <v>7</v>
      </c>
      <c r="V167" s="239"/>
      <c r="W167" s="239" t="s">
        <v>7</v>
      </c>
      <c r="X167" s="239" t="s">
        <v>4</v>
      </c>
      <c r="Y167" s="239" t="s">
        <v>4</v>
      </c>
      <c r="Z167" s="241" t="str">
        <f>IF(OR(T167="yes",Y167&gt;'SDG outcome'!$C$27),"yes","no")</f>
        <v>yes</v>
      </c>
      <c r="AA167" s="243">
        <f t="shared" si="13"/>
        <v>0</v>
      </c>
      <c r="AB167" s="243" t="str">
        <f>IF(AND(Z167="no",AND(Y167&gt;='SDG outcome'!$B$16,Y167&lt;'SDG outcome'!$C$27)),Y167-'SDG outcome'!$B$16,"")</f>
        <v/>
      </c>
      <c r="AC167" s="239" t="s">
        <v>4</v>
      </c>
      <c r="AD167" s="239" t="s">
        <v>4</v>
      </c>
      <c r="AE167" s="239" t="s">
        <v>4</v>
      </c>
      <c r="AF167" s="239" t="s">
        <v>4</v>
      </c>
      <c r="AG167" s="239" t="s">
        <v>4</v>
      </c>
      <c r="AH167" s="239" t="s">
        <v>4</v>
      </c>
      <c r="AI167" s="239" t="s">
        <v>4</v>
      </c>
      <c r="AJ167" s="239" t="s">
        <v>29290</v>
      </c>
      <c r="AK167" s="239" t="s">
        <v>29291</v>
      </c>
      <c r="AL167" s="239" t="s">
        <v>4</v>
      </c>
      <c r="AM167" s="239" t="s">
        <v>4</v>
      </c>
      <c r="AN167" s="239" t="s">
        <v>31718</v>
      </c>
      <c r="AO167" s="239" t="s">
        <v>4</v>
      </c>
      <c r="AP167" s="239" t="s">
        <v>31537</v>
      </c>
      <c r="AQ167" s="239" t="s">
        <v>4</v>
      </c>
      <c r="AR167" s="239" t="s">
        <v>31538</v>
      </c>
      <c r="AS167" s="239" t="s">
        <v>4</v>
      </c>
      <c r="AT167" s="239" t="s">
        <v>7</v>
      </c>
      <c r="AU167" s="239" t="s">
        <v>4</v>
      </c>
      <c r="AV167" s="239" t="s">
        <v>4</v>
      </c>
      <c r="AW167" s="239" t="s">
        <v>31539</v>
      </c>
      <c r="AX167" s="239" t="s">
        <v>4</v>
      </c>
      <c r="AY167" s="239" t="s">
        <v>4</v>
      </c>
      <c r="AZ167" s="239" t="s">
        <v>2</v>
      </c>
      <c r="BA167" s="239" t="s">
        <v>4</v>
      </c>
      <c r="BB167" s="239" t="s">
        <v>4</v>
      </c>
      <c r="BC167" s="239" t="s">
        <v>31563</v>
      </c>
      <c r="BD167" s="239" t="s">
        <v>22</v>
      </c>
      <c r="BE167" s="239" t="s">
        <v>4</v>
      </c>
      <c r="BF167" s="239" t="s">
        <v>31762</v>
      </c>
      <c r="BG167" s="239" t="s">
        <v>4</v>
      </c>
      <c r="BH167" s="239" t="s">
        <v>31542</v>
      </c>
      <c r="BI167" s="239" t="s">
        <v>31763</v>
      </c>
      <c r="BJ167" s="239" t="s">
        <v>31544</v>
      </c>
      <c r="BK167" s="239">
        <v>1</v>
      </c>
      <c r="BL167" s="239">
        <v>120</v>
      </c>
      <c r="BM167" s="239" t="s">
        <v>7</v>
      </c>
      <c r="BN167" s="239" t="s">
        <v>6</v>
      </c>
      <c r="BO167" s="239" t="s">
        <v>4</v>
      </c>
      <c r="BP167" s="239" t="s">
        <v>31429</v>
      </c>
      <c r="BQ167" s="239">
        <v>2</v>
      </c>
      <c r="BR167" s="239">
        <v>20</v>
      </c>
      <c r="BS167" s="239" t="s">
        <v>31434</v>
      </c>
      <c r="BT167" s="239"/>
      <c r="BU167" s="239">
        <v>4</v>
      </c>
      <c r="BV167" s="239" cm="1">
        <f t="array" ref="BV167">_xlfn.IFS(BS167="Foreword vehicle",BU167*0,BS167="Human wastes",BU167*0,BS167="Jerrycans",BU167*$BV$228,BS167="Number of Basins",BU167*$BV$229,BS167="Number of Buckets",BU167*$CA$226,BS167="Number of Kgs",BU167*$CA$227,BS167="Number of spades",BU167*$CA$228,BS167="Number of wheelbarrows",BU167*$CA$229,BT167="Foreword vehicle",BU167*0,BT167="Human wastes",BU167*0,BT167="Jerrycans",BU167*$BV$228,BS167="","")</f>
        <v>64</v>
      </c>
      <c r="BW167" s="239">
        <f>IF(BV167="","",Table14[[#This Row],[Calculation: Conversion of metric to Kg manure feeding (Columns: BP, BQ, BR)]]*Table14[[#This Row],[Number of times used to feed biodigester]])</f>
        <v>128</v>
      </c>
      <c r="BX167" s="239" cm="1">
        <f t="array" ref="BX167">_xlfn.IFS(BP167="Number of times per day (1 to 3)",BW167/$BX$226,BP167="Number of times per week (1 to 6)",BW167/$BX$227,BP167="Number of times per Month (1 to 3)",BW167/$BX$228,BW167="","")</f>
        <v>18.285714285714285</v>
      </c>
      <c r="BY167" s="239" t="s">
        <v>22</v>
      </c>
      <c r="BZ167" s="239" t="s">
        <v>4</v>
      </c>
      <c r="CA167" s="239" t="s">
        <v>2</v>
      </c>
      <c r="CB167" s="239" t="s">
        <v>4</v>
      </c>
      <c r="CC167" s="239" t="s">
        <v>4</v>
      </c>
      <c r="CD167" s="239" t="s">
        <v>4</v>
      </c>
      <c r="CE167" s="239" t="s">
        <v>7</v>
      </c>
      <c r="CF167" s="239" t="s">
        <v>31639</v>
      </c>
      <c r="CG167" s="239" t="s">
        <v>4</v>
      </c>
      <c r="CH167" s="239" t="s">
        <v>31604</v>
      </c>
      <c r="CI167" s="239">
        <v>2</v>
      </c>
      <c r="CJ167" s="239">
        <v>0</v>
      </c>
      <c r="CK167" s="239">
        <v>0</v>
      </c>
      <c r="CL167" s="239">
        <v>0</v>
      </c>
      <c r="CM167" s="239">
        <v>0</v>
      </c>
      <c r="CN167" s="239">
        <v>0</v>
      </c>
      <c r="CO167" s="239">
        <v>0</v>
      </c>
      <c r="CP167" s="239">
        <v>0</v>
      </c>
      <c r="CQ167" s="239">
        <v>0</v>
      </c>
      <c r="CR167" s="239">
        <v>0</v>
      </c>
      <c r="CS167" s="239">
        <f>CP167/'SDG outcome'!$C$9*CQ167*CR167</f>
        <v>0</v>
      </c>
      <c r="CT167" s="239">
        <v>100</v>
      </c>
      <c r="CU167" s="239">
        <v>0</v>
      </c>
      <c r="CV167" s="239" t="s">
        <v>4</v>
      </c>
      <c r="CW167" s="239" t="s">
        <v>4</v>
      </c>
      <c r="CX167" s="239" t="s">
        <v>4</v>
      </c>
      <c r="CY167" s="239" t="s">
        <v>4</v>
      </c>
      <c r="CZ167" s="239" t="s">
        <v>4</v>
      </c>
      <c r="DA167" s="239" t="s">
        <v>4</v>
      </c>
      <c r="DB167" s="239" t="s">
        <v>4</v>
      </c>
      <c r="DC167" s="239" t="s">
        <v>4</v>
      </c>
      <c r="DD167" s="239" t="s">
        <v>4</v>
      </c>
      <c r="DE167" s="239" t="s">
        <v>4</v>
      </c>
      <c r="DF167" s="239" t="s">
        <v>4</v>
      </c>
      <c r="DG167" s="239" t="s">
        <v>4</v>
      </c>
      <c r="DH167" s="239" t="s">
        <v>4</v>
      </c>
      <c r="DI167" s="239" t="s">
        <v>4</v>
      </c>
      <c r="DJ167" s="239" t="s">
        <v>4</v>
      </c>
      <c r="DK167" s="239" t="s">
        <v>4</v>
      </c>
      <c r="DL167" s="239" t="s">
        <v>4</v>
      </c>
      <c r="DM167" s="239" t="s">
        <v>4</v>
      </c>
      <c r="DN167" s="239" t="s">
        <v>4</v>
      </c>
      <c r="DO167" s="239">
        <v>1</v>
      </c>
      <c r="DP167" s="239" t="s">
        <v>7</v>
      </c>
      <c r="DQ167" s="239" t="s">
        <v>29292</v>
      </c>
      <c r="DR167" s="239" t="s">
        <v>4</v>
      </c>
      <c r="DS167" s="239" t="s">
        <v>29294</v>
      </c>
      <c r="DT167" s="240" t="s">
        <v>4</v>
      </c>
      <c r="DU167" s="239" t="s">
        <v>29294</v>
      </c>
      <c r="DV167" s="240" t="s">
        <v>4</v>
      </c>
      <c r="DW167" s="239" t="s">
        <v>29295</v>
      </c>
      <c r="DX167" s="239">
        <v>100</v>
      </c>
      <c r="DY167" s="239" t="s">
        <v>29296</v>
      </c>
      <c r="DZ167" s="239">
        <v>100</v>
      </c>
      <c r="EA167" s="239"/>
      <c r="EB167" s="239"/>
      <c r="EC167" s="239"/>
      <c r="ED167" s="239"/>
      <c r="EE167" s="320">
        <f>Table14[[#This Row],[% Fertilizer]]*$DX167/10000</f>
        <v>1</v>
      </c>
      <c r="EF167" s="320">
        <f>Table14[[#This Row],[% bioslurry used as Insecticide/Pesticide]]*$DX167/10000</f>
        <v>0</v>
      </c>
      <c r="EG167" s="320">
        <f>Table14[[#This Row],[% of Bioslurry used as animal feed]]*$DX167/10000</f>
        <v>0</v>
      </c>
      <c r="EH167" s="320">
        <f>Table14[[#This Row],[% of Bioslurry sold]]*$DX167/10000</f>
        <v>0</v>
      </c>
      <c r="EI167" s="320">
        <f>Table14[[#This Row],[% used other way(if used directly)]]*$DX167/10000</f>
        <v>0</v>
      </c>
      <c r="EJ167" s="239"/>
      <c r="EK167" s="239"/>
      <c r="EL167" s="239"/>
      <c r="EM167" s="239"/>
      <c r="EN167" s="239"/>
      <c r="EO167" s="239">
        <f>(Table14[[#This Row],[% Uncovered lagoon greater than 1 meter]]+Table14[[#This Row],[Uncovered lagoon (black watery mass) &lt;1 meter]]+Table14[[#This Row],[% Liquid slurry (brown porridge type)]])*Table14[[#This Row],[% Store it first]]/100</f>
        <v>0</v>
      </c>
      <c r="EP167" s="239"/>
      <c r="EQ167" s="239"/>
      <c r="ER167" s="239"/>
      <c r="ES167" s="239"/>
      <c r="ET167" s="239">
        <f>(Table14[[#This Row],[% Solid storage]]+Table14[[#This Row],[% Sun drying]]+Table14[[#This Row],[% Composting with a roof]]+Table14[[#This Row],[% Composting without a roof]])*Table14[[#This Row],[% Store it first]]/100</f>
        <v>0</v>
      </c>
      <c r="EU167" s="239"/>
      <c r="EV167" s="320">
        <f t="shared" si="15"/>
        <v>0</v>
      </c>
      <c r="EW167" s="320">
        <f t="shared" si="16"/>
        <v>0</v>
      </c>
      <c r="EX167" s="320">
        <f t="shared" si="17"/>
        <v>0</v>
      </c>
      <c r="EY167" s="320">
        <f t="shared" si="18"/>
        <v>0</v>
      </c>
      <c r="EZ167" s="320">
        <f t="shared" si="19"/>
        <v>0</v>
      </c>
      <c r="FA167" s="239"/>
      <c r="FB167" s="239"/>
      <c r="FC167" s="239"/>
      <c r="FD167" s="239">
        <f>Table14[[#This Row],[% I donâ€™t use it / discarded]]+Table14[[#This Row],[% Other (specify)(If you use bioslurry directly)]]+Table14[[#This Row],[% Store it first]]+Table14[[#This Row],[% Use directly for various purposes]]</f>
        <v>100</v>
      </c>
      <c r="FE167" s="239" t="s">
        <v>4</v>
      </c>
      <c r="FF167" s="239"/>
      <c r="FG167" s="239"/>
      <c r="FH167" s="239"/>
      <c r="FI167" s="239"/>
      <c r="FJ167" s="239"/>
      <c r="FK167" s="239">
        <v>1.6</v>
      </c>
      <c r="FL167" s="239" t="s">
        <v>7</v>
      </c>
      <c r="FM167" s="239">
        <v>90</v>
      </c>
      <c r="FN167" s="239">
        <f>FK167*FM167/100</f>
        <v>1.44</v>
      </c>
      <c r="FO167" s="239" t="s">
        <v>30173</v>
      </c>
      <c r="FP167" s="239" t="s">
        <v>29298</v>
      </c>
      <c r="FQ167" s="239">
        <v>84</v>
      </c>
      <c r="FR167" s="239" t="s">
        <v>2</v>
      </c>
      <c r="FS167" s="239" t="s">
        <v>4</v>
      </c>
      <c r="FT167" s="239" t="s">
        <v>4</v>
      </c>
      <c r="FU167" s="239" t="s">
        <v>2</v>
      </c>
      <c r="FV167" s="239" t="s">
        <v>4</v>
      </c>
      <c r="FW167" s="239" t="s">
        <v>4</v>
      </c>
      <c r="FX167" s="239" t="s">
        <v>4</v>
      </c>
      <c r="FY167" s="239" t="s">
        <v>4</v>
      </c>
      <c r="FZ167" s="239" t="s">
        <v>4</v>
      </c>
      <c r="GA167" s="239" t="s">
        <v>4</v>
      </c>
      <c r="GB167" s="240" t="s">
        <v>4</v>
      </c>
      <c r="GC167" s="239" t="s">
        <v>4</v>
      </c>
      <c r="GD167" s="239" t="s">
        <v>7</v>
      </c>
      <c r="GE167" s="239" t="s">
        <v>29301</v>
      </c>
      <c r="GF167" s="239" t="s">
        <v>4</v>
      </c>
      <c r="GG167" s="239" t="s">
        <v>7</v>
      </c>
      <c r="GH167" s="239" t="s">
        <v>7</v>
      </c>
      <c r="GI167" s="239" t="s">
        <v>29302</v>
      </c>
      <c r="GJ167" s="239" t="s">
        <v>30174</v>
      </c>
      <c r="GK167" s="239" t="s">
        <v>29304</v>
      </c>
      <c r="GL167" s="239">
        <v>1</v>
      </c>
      <c r="GM167" s="239" t="s">
        <v>30052</v>
      </c>
      <c r="GN167" s="239" t="s">
        <v>29306</v>
      </c>
      <c r="GO167" s="239" t="s">
        <v>4</v>
      </c>
      <c r="GP167" s="239" t="s">
        <v>29397</v>
      </c>
      <c r="GQ167" s="239" t="s">
        <v>4</v>
      </c>
      <c r="GR167" s="239" t="s">
        <v>4</v>
      </c>
      <c r="GS167" s="239" t="s">
        <v>4</v>
      </c>
      <c r="GT167" s="239" t="s">
        <v>4</v>
      </c>
      <c r="GU167" s="239" t="s">
        <v>4</v>
      </c>
      <c r="GV167" s="239" t="s">
        <v>4</v>
      </c>
      <c r="GW167" s="239" t="s">
        <v>4</v>
      </c>
      <c r="GX167" s="239" t="s">
        <v>4</v>
      </c>
      <c r="GY167" s="239" t="s">
        <v>4</v>
      </c>
      <c r="GZ167" s="239" t="s">
        <v>4</v>
      </c>
      <c r="HA167" s="239" t="s">
        <v>4</v>
      </c>
      <c r="HB167" s="239" t="s">
        <v>4</v>
      </c>
      <c r="HC167" s="239" t="s">
        <v>4</v>
      </c>
      <c r="HD167" s="239" t="s">
        <v>4</v>
      </c>
      <c r="HE167" s="239" t="s">
        <v>4</v>
      </c>
      <c r="HF167" s="239" t="s">
        <v>4</v>
      </c>
      <c r="HG167" s="239" t="s">
        <v>4</v>
      </c>
      <c r="HH167" s="239" t="s">
        <v>29847</v>
      </c>
      <c r="HI167" s="239" t="s">
        <v>4</v>
      </c>
      <c r="HJ167" s="240">
        <v>30</v>
      </c>
      <c r="HK167" s="239" t="s">
        <v>2</v>
      </c>
      <c r="HL167" s="239" t="s">
        <v>29309</v>
      </c>
      <c r="HM167" s="239" t="s">
        <v>4</v>
      </c>
      <c r="HN167" s="239" t="s">
        <v>4</v>
      </c>
      <c r="HO167" s="239" t="s">
        <v>4</v>
      </c>
      <c r="HP167" s="239" t="s">
        <v>4</v>
      </c>
      <c r="HQ167" s="239" t="s">
        <v>4</v>
      </c>
      <c r="HR167" s="239" t="s">
        <v>4</v>
      </c>
      <c r="HS167" s="239" t="s">
        <v>4</v>
      </c>
      <c r="HT167" s="239" t="s">
        <v>4</v>
      </c>
      <c r="HU167" s="239" t="s">
        <v>7</v>
      </c>
      <c r="HV167" s="239" t="s">
        <v>6</v>
      </c>
      <c r="HW167" s="239" t="s">
        <v>4</v>
      </c>
      <c r="HX167" s="239" t="s">
        <v>29292</v>
      </c>
      <c r="HY167" s="239">
        <v>1</v>
      </c>
      <c r="HZ167" s="239" t="s">
        <v>16</v>
      </c>
      <c r="IA167" s="239" t="s">
        <v>2</v>
      </c>
      <c r="IB167" s="239" t="s">
        <v>4</v>
      </c>
      <c r="IC167" s="239" t="s">
        <v>16</v>
      </c>
      <c r="ID167" s="239" t="s">
        <v>30175</v>
      </c>
      <c r="IE167" s="239" t="s">
        <v>30176</v>
      </c>
      <c r="IF167" s="239" t="s">
        <v>30177</v>
      </c>
      <c r="IG167" s="239" t="s">
        <v>30178</v>
      </c>
      <c r="IH167" s="239" t="s">
        <v>30170</v>
      </c>
    </row>
    <row r="168" spans="1:242" s="1" customFormat="1" ht="36.75" customHeight="1" x14ac:dyDescent="0.2">
      <c r="A168" s="239">
        <v>79</v>
      </c>
      <c r="B168" s="239" t="s">
        <v>15619</v>
      </c>
      <c r="C168" s="239" t="s">
        <v>30179</v>
      </c>
      <c r="D168" s="239" t="s">
        <v>70</v>
      </c>
      <c r="E168" s="239" t="s">
        <v>7</v>
      </c>
      <c r="F168" s="239" t="s">
        <v>30180</v>
      </c>
      <c r="G168" s="239">
        <v>1254</v>
      </c>
      <c r="H168" s="239">
        <v>4.5</v>
      </c>
      <c r="I168" s="239" t="s">
        <v>29288</v>
      </c>
      <c r="J168" s="239" t="s">
        <v>4</v>
      </c>
      <c r="K168" s="239" t="s">
        <v>30181</v>
      </c>
      <c r="L168" s="239">
        <v>7759824654</v>
      </c>
      <c r="M168" s="239" t="s">
        <v>3</v>
      </c>
      <c r="N168" s="239" t="s">
        <v>31438</v>
      </c>
      <c r="O168" s="239">
        <v>60</v>
      </c>
      <c r="P168" s="239">
        <v>10</v>
      </c>
      <c r="Q168" s="239" t="s">
        <v>7</v>
      </c>
      <c r="R168" s="239" t="s">
        <v>31549</v>
      </c>
      <c r="S168" s="239" t="s">
        <v>4</v>
      </c>
      <c r="T168" s="239" t="s">
        <v>7</v>
      </c>
      <c r="U168" s="239" t="s">
        <v>7</v>
      </c>
      <c r="V168" s="239"/>
      <c r="W168" s="239" t="s">
        <v>7</v>
      </c>
      <c r="X168" s="239" t="s">
        <v>4</v>
      </c>
      <c r="Y168" s="239" t="s">
        <v>4</v>
      </c>
      <c r="Z168" s="241" t="str">
        <f>IF(OR(T168="yes",Y168&gt;'SDG outcome'!$C$27),"yes","no")</f>
        <v>yes</v>
      </c>
      <c r="AA168" s="243">
        <f t="shared" si="13"/>
        <v>0</v>
      </c>
      <c r="AB168" s="243" t="str">
        <f>IF(AND(Z168="no",AND(Y168&gt;='SDG outcome'!$B$16,Y168&lt;'SDG outcome'!$C$27)),Y168-'SDG outcome'!$B$16,"")</f>
        <v/>
      </c>
      <c r="AC168" s="239" t="s">
        <v>4</v>
      </c>
      <c r="AD168" s="239" t="s">
        <v>4</v>
      </c>
      <c r="AE168" s="239" t="s">
        <v>4</v>
      </c>
      <c r="AF168" s="239" t="s">
        <v>4</v>
      </c>
      <c r="AG168" s="239" t="s">
        <v>4</v>
      </c>
      <c r="AH168" s="239" t="s">
        <v>4</v>
      </c>
      <c r="AI168" s="239" t="s">
        <v>4</v>
      </c>
      <c r="AJ168" s="239" t="s">
        <v>29290</v>
      </c>
      <c r="AK168" s="239" t="s">
        <v>29694</v>
      </c>
      <c r="AL168" s="239" t="s">
        <v>4</v>
      </c>
      <c r="AM168" s="239" t="s">
        <v>4</v>
      </c>
      <c r="AN168" s="239" t="s">
        <v>31718</v>
      </c>
      <c r="AO168" s="239" t="s">
        <v>4</v>
      </c>
      <c r="AP168" s="239" t="s">
        <v>31537</v>
      </c>
      <c r="AQ168" s="239" t="s">
        <v>4</v>
      </c>
      <c r="AR168" s="239" t="s">
        <v>31538</v>
      </c>
      <c r="AS168" s="239" t="s">
        <v>4</v>
      </c>
      <c r="AT168" s="239" t="s">
        <v>7</v>
      </c>
      <c r="AU168" s="239" t="s">
        <v>4</v>
      </c>
      <c r="AV168" s="239" t="s">
        <v>4</v>
      </c>
      <c r="AW168" s="239" t="s">
        <v>31539</v>
      </c>
      <c r="AX168" s="239" t="s">
        <v>4</v>
      </c>
      <c r="AY168" s="239" t="s">
        <v>4</v>
      </c>
      <c r="AZ168" s="239" t="s">
        <v>2</v>
      </c>
      <c r="BA168" s="239" t="s">
        <v>4</v>
      </c>
      <c r="BB168" s="239" t="s">
        <v>4</v>
      </c>
      <c r="BC168" s="239" t="s">
        <v>31563</v>
      </c>
      <c r="BD168" s="239" t="s">
        <v>22</v>
      </c>
      <c r="BE168" s="239" t="s">
        <v>4</v>
      </c>
      <c r="BF168" s="239" t="s">
        <v>14</v>
      </c>
      <c r="BG168" s="239" t="s">
        <v>4</v>
      </c>
      <c r="BH168" s="239" t="s">
        <v>31542</v>
      </c>
      <c r="BI168" s="239" t="s">
        <v>31764</v>
      </c>
      <c r="BJ168" s="239" t="s">
        <v>31544</v>
      </c>
      <c r="BK168" s="239">
        <v>1</v>
      </c>
      <c r="BL168" s="239">
        <v>360</v>
      </c>
      <c r="BM168" s="239" t="s">
        <v>7</v>
      </c>
      <c r="BN168" s="239" t="s">
        <v>6</v>
      </c>
      <c r="BO168" s="239" t="s">
        <v>4</v>
      </c>
      <c r="BP168" s="239" t="s">
        <v>31429</v>
      </c>
      <c r="BQ168" s="239">
        <v>2</v>
      </c>
      <c r="BR168" s="239">
        <v>60</v>
      </c>
      <c r="BS168" s="239" t="s">
        <v>31426</v>
      </c>
      <c r="BT168" s="239"/>
      <c r="BU168" s="239">
        <v>4</v>
      </c>
      <c r="BV168" s="239" cm="1">
        <f t="array" ref="BV168">_xlfn.IFS(BS168="Foreword vehicle",BU168*0,BS168="Human wastes",BU168*0,BS168="Jerrycans",BU168*$BV$228,BS168="Number of Basins",BU168*$BV$229,BS168="Number of Buckets",BU168*$CA$226,BS168="Number of Kgs",BU168*$CA$227,BS168="Number of spades",BU168*$CA$228,BS168="Number of wheelbarrows",BU168*$CA$229,BT168="Foreword vehicle",BU168*0,BT168="Human wastes",BU168*0,BT168="Jerrycans",BU168*$BV$228,BS168="","")</f>
        <v>92</v>
      </c>
      <c r="BW168" s="239">
        <f>IF(BV168="","",Table14[[#This Row],[Calculation: Conversion of metric to Kg manure feeding (Columns: BP, BQ, BR)]]*Table14[[#This Row],[Number of times used to feed biodigester]])</f>
        <v>184</v>
      </c>
      <c r="BX168" s="239" cm="1">
        <f t="array" ref="BX168">_xlfn.IFS(BP168="Number of times per day (1 to 3)",BW168/$BX$226,BP168="Number of times per week (1 to 6)",BW168/$BX$227,BP168="Number of times per Month (1 to 3)",BW168/$BX$228,BW168="","")</f>
        <v>26.285714285714285</v>
      </c>
      <c r="BY168" s="239" t="s">
        <v>22</v>
      </c>
      <c r="BZ168" s="239" t="s">
        <v>4</v>
      </c>
      <c r="CA168" s="239" t="s">
        <v>7</v>
      </c>
      <c r="CB168" s="239" t="s">
        <v>31721</v>
      </c>
      <c r="CC168" s="239" t="s">
        <v>4</v>
      </c>
      <c r="CD168" s="239" t="s">
        <v>31652</v>
      </c>
      <c r="CE168" s="239" t="s">
        <v>7</v>
      </c>
      <c r="CF168" s="239" t="s">
        <v>31639</v>
      </c>
      <c r="CG168" s="239" t="s">
        <v>4</v>
      </c>
      <c r="CH168" s="239" t="s">
        <v>31604</v>
      </c>
      <c r="CI168" s="239">
        <v>2</v>
      </c>
      <c r="CJ168" s="239">
        <v>0</v>
      </c>
      <c r="CK168" s="239">
        <v>0</v>
      </c>
      <c r="CL168" s="239">
        <v>0</v>
      </c>
      <c r="CM168" s="239">
        <v>0</v>
      </c>
      <c r="CN168" s="239">
        <v>0</v>
      </c>
      <c r="CO168" s="239">
        <v>0</v>
      </c>
      <c r="CP168" s="239">
        <v>0</v>
      </c>
      <c r="CQ168" s="239">
        <v>0</v>
      </c>
      <c r="CR168" s="239">
        <v>0</v>
      </c>
      <c r="CS168" s="239">
        <f>CP168/'SDG outcome'!$C$9*CQ168*CR168</f>
        <v>0</v>
      </c>
      <c r="CT168" s="239">
        <v>100</v>
      </c>
      <c r="CU168" s="239">
        <v>0</v>
      </c>
      <c r="CV168" s="239" t="s">
        <v>4</v>
      </c>
      <c r="CW168" s="239" t="s">
        <v>4</v>
      </c>
      <c r="CX168" s="239" t="s">
        <v>4</v>
      </c>
      <c r="CY168" s="239" t="s">
        <v>4</v>
      </c>
      <c r="CZ168" s="239" t="s">
        <v>4</v>
      </c>
      <c r="DA168" s="239" t="s">
        <v>4</v>
      </c>
      <c r="DB168" s="239" t="s">
        <v>4</v>
      </c>
      <c r="DC168" s="239" t="s">
        <v>4</v>
      </c>
      <c r="DD168" s="239" t="s">
        <v>4</v>
      </c>
      <c r="DE168" s="239" t="s">
        <v>4</v>
      </c>
      <c r="DF168" s="239" t="s">
        <v>4</v>
      </c>
      <c r="DG168" s="239" t="s">
        <v>4</v>
      </c>
      <c r="DH168" s="239" t="s">
        <v>4</v>
      </c>
      <c r="DI168" s="239" t="s">
        <v>4</v>
      </c>
      <c r="DJ168" s="239" t="s">
        <v>4</v>
      </c>
      <c r="DK168" s="239" t="s">
        <v>4</v>
      </c>
      <c r="DL168" s="239" t="s">
        <v>4</v>
      </c>
      <c r="DM168" s="239" t="s">
        <v>4</v>
      </c>
      <c r="DN168" s="239" t="s">
        <v>4</v>
      </c>
      <c r="DO168" s="239">
        <v>1</v>
      </c>
      <c r="DP168" s="239" t="s">
        <v>2</v>
      </c>
      <c r="DQ168" s="239" t="s">
        <v>29292</v>
      </c>
      <c r="DR168" s="239" t="s">
        <v>4</v>
      </c>
      <c r="DS168" s="239" t="s">
        <v>29294</v>
      </c>
      <c r="DT168" s="240" t="s">
        <v>4</v>
      </c>
      <c r="DU168" s="239" t="s">
        <v>29294</v>
      </c>
      <c r="DV168" s="240" t="s">
        <v>4</v>
      </c>
      <c r="DW168" s="239" t="s">
        <v>29508</v>
      </c>
      <c r="DX168" s="239"/>
      <c r="DY168" s="239"/>
      <c r="DZ168" s="239"/>
      <c r="EA168" s="239"/>
      <c r="EB168" s="239"/>
      <c r="EC168" s="239"/>
      <c r="ED168" s="239"/>
      <c r="EE168" s="320">
        <f>Table14[[#This Row],[% Fertilizer]]*$DX168/10000</f>
        <v>0</v>
      </c>
      <c r="EF168" s="320">
        <f>Table14[[#This Row],[% bioslurry used as Insecticide/Pesticide]]*$DX168/10000</f>
        <v>0</v>
      </c>
      <c r="EG168" s="320">
        <f>Table14[[#This Row],[% of Bioslurry used as animal feed]]*$DX168/10000</f>
        <v>0</v>
      </c>
      <c r="EH168" s="320">
        <f>Table14[[#This Row],[% of Bioslurry sold]]*$DX168/10000</f>
        <v>0</v>
      </c>
      <c r="EI168" s="320">
        <f>Table14[[#This Row],[% used other way(if used directly)]]*$DX168/10000</f>
        <v>0</v>
      </c>
      <c r="EJ168" s="239">
        <v>100</v>
      </c>
      <c r="EK168" s="239" t="s">
        <v>29509</v>
      </c>
      <c r="EL168" s="239">
        <v>100</v>
      </c>
      <c r="EM168" s="239"/>
      <c r="EN168" s="239"/>
      <c r="EO168" s="239">
        <f>(Table14[[#This Row],[% Uncovered lagoon greater than 1 meter]]+Table14[[#This Row],[Uncovered lagoon (black watery mass) &lt;1 meter]]+Table14[[#This Row],[% Liquid slurry (brown porridge type)]])*Table14[[#This Row],[% Store it first]]/100</f>
        <v>100</v>
      </c>
      <c r="EP168" s="239"/>
      <c r="EQ168" s="239"/>
      <c r="ER168" s="239"/>
      <c r="ES168" s="239"/>
      <c r="ET168" s="239">
        <f>(Table14[[#This Row],[% Solid storage]]+Table14[[#This Row],[% Sun drying]]+Table14[[#This Row],[% Composting with a roof]]+Table14[[#This Row],[% Composting without a roof]])*Table14[[#This Row],[% Store it first]]/100</f>
        <v>0</v>
      </c>
      <c r="EU168" s="239">
        <v>20</v>
      </c>
      <c r="EV168" s="320">
        <f t="shared" si="15"/>
        <v>1</v>
      </c>
      <c r="EW168" s="320">
        <f t="shared" si="16"/>
        <v>0</v>
      </c>
      <c r="EX168" s="320">
        <f t="shared" si="17"/>
        <v>0</v>
      </c>
      <c r="EY168" s="320">
        <f t="shared" si="18"/>
        <v>0</v>
      </c>
      <c r="EZ168" s="320">
        <f t="shared" si="19"/>
        <v>0</v>
      </c>
      <c r="FA168" s="239"/>
      <c r="FB168" s="239"/>
      <c r="FC168" s="239"/>
      <c r="FD168" s="239">
        <f>Table14[[#This Row],[% I donâ€™t use it / discarded]]+Table14[[#This Row],[% Other (specify)(If you use bioslurry directly)]]+Table14[[#This Row],[% Store it first]]+Table14[[#This Row],[% Use directly for various purposes]]</f>
        <v>100</v>
      </c>
      <c r="FE168" s="239" t="s">
        <v>29296</v>
      </c>
      <c r="FF168" s="239">
        <v>100</v>
      </c>
      <c r="FG168" s="239"/>
      <c r="FH168" s="239"/>
      <c r="FI168" s="239"/>
      <c r="FJ168" s="239"/>
      <c r="FK168" s="239">
        <v>0.8</v>
      </c>
      <c r="FL168" s="239" t="s">
        <v>7</v>
      </c>
      <c r="FM168" s="239">
        <v>50</v>
      </c>
      <c r="FN168" s="239">
        <f>FK168*FM168/100</f>
        <v>0.4</v>
      </c>
      <c r="FO168" s="239" t="s">
        <v>30182</v>
      </c>
      <c r="FP168" s="239" t="s">
        <v>29298</v>
      </c>
      <c r="FQ168" s="239">
        <v>24</v>
      </c>
      <c r="FR168" s="239" t="s">
        <v>7</v>
      </c>
      <c r="FS168" s="239" t="s">
        <v>29393</v>
      </c>
      <c r="FT168" s="239" t="s">
        <v>4</v>
      </c>
      <c r="FU168" s="239" t="s">
        <v>2</v>
      </c>
      <c r="FV168" s="239" t="s">
        <v>4</v>
      </c>
      <c r="FW168" s="239" t="s">
        <v>4</v>
      </c>
      <c r="FX168" s="239" t="s">
        <v>4</v>
      </c>
      <c r="FY168" s="239" t="s">
        <v>4</v>
      </c>
      <c r="FZ168" s="239" t="s">
        <v>4</v>
      </c>
      <c r="GA168" s="239" t="s">
        <v>4</v>
      </c>
      <c r="GB168" s="240" t="s">
        <v>4</v>
      </c>
      <c r="GC168" s="239" t="s">
        <v>4</v>
      </c>
      <c r="GD168" s="239" t="s">
        <v>7</v>
      </c>
      <c r="GE168" s="239" t="s">
        <v>29301</v>
      </c>
      <c r="GF168" s="239" t="s">
        <v>4</v>
      </c>
      <c r="GG168" s="239" t="s">
        <v>7</v>
      </c>
      <c r="GH168" s="239" t="s">
        <v>2</v>
      </c>
      <c r="GI168" s="239" t="s">
        <v>4</v>
      </c>
      <c r="GJ168" s="239" t="s">
        <v>4</v>
      </c>
      <c r="GK168" s="239" t="s">
        <v>29304</v>
      </c>
      <c r="GL168" s="239">
        <v>2</v>
      </c>
      <c r="GM168" s="239" t="s">
        <v>29529</v>
      </c>
      <c r="GN168" s="239" t="s">
        <v>4</v>
      </c>
      <c r="GO168" s="239" t="s">
        <v>4</v>
      </c>
      <c r="GP168" s="239" t="s">
        <v>4</v>
      </c>
      <c r="GQ168" s="239" t="s">
        <v>4</v>
      </c>
      <c r="GR168" s="239" t="s">
        <v>29451</v>
      </c>
      <c r="GS168" s="239" t="s">
        <v>4</v>
      </c>
      <c r="GT168" s="239" t="s">
        <v>4</v>
      </c>
      <c r="GU168" s="239" t="s">
        <v>4</v>
      </c>
      <c r="GV168" s="239" t="s">
        <v>4</v>
      </c>
      <c r="GW168" s="239" t="s">
        <v>4</v>
      </c>
      <c r="GX168" s="239" t="s">
        <v>4</v>
      </c>
      <c r="GY168" s="239" t="s">
        <v>4</v>
      </c>
      <c r="GZ168" s="239" t="s">
        <v>4</v>
      </c>
      <c r="HA168" s="239" t="s">
        <v>4</v>
      </c>
      <c r="HB168" s="239" t="s">
        <v>4</v>
      </c>
      <c r="HC168" s="239" t="s">
        <v>4</v>
      </c>
      <c r="HD168" s="239" t="s">
        <v>4</v>
      </c>
      <c r="HE168" s="239" t="s">
        <v>4</v>
      </c>
      <c r="HF168" s="239" t="s">
        <v>4</v>
      </c>
      <c r="HG168" s="239" t="s">
        <v>4</v>
      </c>
      <c r="HH168" s="239" t="s">
        <v>29452</v>
      </c>
      <c r="HI168" s="239" t="s">
        <v>4</v>
      </c>
      <c r="HJ168" s="240">
        <v>100</v>
      </c>
      <c r="HK168" s="239" t="s">
        <v>7</v>
      </c>
      <c r="HL168" s="239" t="s">
        <v>29309</v>
      </c>
      <c r="HM168" s="239" t="s">
        <v>4</v>
      </c>
      <c r="HN168" s="239" t="s">
        <v>4</v>
      </c>
      <c r="HO168" s="239" t="s">
        <v>4</v>
      </c>
      <c r="HP168" s="239" t="s">
        <v>4</v>
      </c>
      <c r="HQ168" s="239" t="s">
        <v>4</v>
      </c>
      <c r="HR168" s="239" t="s">
        <v>4</v>
      </c>
      <c r="HS168" s="239" t="s">
        <v>4</v>
      </c>
      <c r="HT168" s="239" t="s">
        <v>4</v>
      </c>
      <c r="HU168" s="239" t="s">
        <v>7</v>
      </c>
      <c r="HV168" s="239" t="s">
        <v>6</v>
      </c>
      <c r="HW168" s="239" t="s">
        <v>4</v>
      </c>
      <c r="HX168" s="239" t="s">
        <v>29292</v>
      </c>
      <c r="HY168" s="239">
        <v>1</v>
      </c>
      <c r="HZ168" s="239" t="s">
        <v>30183</v>
      </c>
      <c r="IA168" s="239" t="s">
        <v>2</v>
      </c>
      <c r="IB168" s="239" t="s">
        <v>4</v>
      </c>
      <c r="IC168" s="239" t="s">
        <v>16</v>
      </c>
      <c r="ID168" s="239" t="s">
        <v>30184</v>
      </c>
      <c r="IE168" s="239" t="s">
        <v>30185</v>
      </c>
      <c r="IF168" s="239" t="s">
        <v>30186</v>
      </c>
      <c r="IG168" s="239" t="s">
        <v>30187</v>
      </c>
      <c r="IH168" s="239" t="s">
        <v>30179</v>
      </c>
    </row>
    <row r="169" spans="1:242" s="1" customFormat="1" ht="36.75" customHeight="1" x14ac:dyDescent="0.2">
      <c r="A169" s="239">
        <v>80</v>
      </c>
      <c r="B169" s="239" t="s">
        <v>10116</v>
      </c>
      <c r="C169" s="239" t="s">
        <v>30188</v>
      </c>
      <c r="D169" s="239" t="s">
        <v>70</v>
      </c>
      <c r="E169" s="239" t="s">
        <v>7</v>
      </c>
      <c r="F169" s="239" t="s">
        <v>30189</v>
      </c>
      <c r="G169" s="239">
        <v>1196.5</v>
      </c>
      <c r="H169" s="239">
        <v>4.5999999999999996</v>
      </c>
      <c r="I169" s="239" t="s">
        <v>29319</v>
      </c>
      <c r="J169" s="239" t="s">
        <v>4</v>
      </c>
      <c r="K169" s="239" t="s">
        <v>30190</v>
      </c>
      <c r="L169" s="239">
        <v>772953710</v>
      </c>
      <c r="M169" s="239" t="s">
        <v>5</v>
      </c>
      <c r="N169" s="239" t="s">
        <v>31438</v>
      </c>
      <c r="O169" s="239">
        <v>73</v>
      </c>
      <c r="P169" s="239">
        <v>5</v>
      </c>
      <c r="Q169" s="239" t="s">
        <v>7</v>
      </c>
      <c r="R169" s="239" t="s">
        <v>31549</v>
      </c>
      <c r="S169" s="239" t="s">
        <v>4</v>
      </c>
      <c r="T169" s="239" t="s">
        <v>7</v>
      </c>
      <c r="U169" s="239" t="s">
        <v>7</v>
      </c>
      <c r="V169" s="239"/>
      <c r="W169" s="239" t="s">
        <v>7</v>
      </c>
      <c r="X169" s="239" t="s">
        <v>4</v>
      </c>
      <c r="Y169" s="239" t="s">
        <v>4</v>
      </c>
      <c r="Z169" s="241" t="str">
        <f>IF(OR(T169="yes",Y169&gt;'SDG outcome'!$C$27),"yes","no")</f>
        <v>yes</v>
      </c>
      <c r="AA169" s="243">
        <f t="shared" si="13"/>
        <v>0</v>
      </c>
      <c r="AB169" s="243" t="str">
        <f>IF(AND(Z169="no",AND(Y169&gt;='SDG outcome'!$B$16,Y169&lt;'SDG outcome'!$C$27)),Y169-'SDG outcome'!$B$16,"")</f>
        <v/>
      </c>
      <c r="AC169" s="239" t="s">
        <v>4</v>
      </c>
      <c r="AD169" s="239" t="s">
        <v>4</v>
      </c>
      <c r="AE169" s="239" t="s">
        <v>4</v>
      </c>
      <c r="AF169" s="239" t="s">
        <v>4</v>
      </c>
      <c r="AG169" s="239" t="s">
        <v>4</v>
      </c>
      <c r="AH169" s="239" t="s">
        <v>4</v>
      </c>
      <c r="AI169" s="239" t="s">
        <v>4</v>
      </c>
      <c r="AJ169" s="239" t="s">
        <v>29290</v>
      </c>
      <c r="AK169" s="239" t="s">
        <v>29694</v>
      </c>
      <c r="AL169" s="239" t="s">
        <v>4</v>
      </c>
      <c r="AM169" s="239" t="s">
        <v>4</v>
      </c>
      <c r="AN169" s="239" t="s">
        <v>31718</v>
      </c>
      <c r="AO169" s="239" t="s">
        <v>4</v>
      </c>
      <c r="AP169" s="239" t="s">
        <v>31537</v>
      </c>
      <c r="AQ169" s="239" t="s">
        <v>4</v>
      </c>
      <c r="AR169" s="239" t="s">
        <v>13</v>
      </c>
      <c r="AS169" s="239" t="s">
        <v>31765</v>
      </c>
      <c r="AT169" s="239" t="s">
        <v>7</v>
      </c>
      <c r="AU169" s="239" t="s">
        <v>4</v>
      </c>
      <c r="AV169" s="239" t="s">
        <v>4</v>
      </c>
      <c r="AW169" s="239" t="s">
        <v>31539</v>
      </c>
      <c r="AX169" s="239" t="s">
        <v>4</v>
      </c>
      <c r="AY169" s="239" t="s">
        <v>4</v>
      </c>
      <c r="AZ169" s="239" t="s">
        <v>2</v>
      </c>
      <c r="BA169" s="239" t="s">
        <v>4</v>
      </c>
      <c r="BB169" s="239" t="s">
        <v>4</v>
      </c>
      <c r="BC169" s="239" t="s">
        <v>31563</v>
      </c>
      <c r="BD169" s="239" t="s">
        <v>22</v>
      </c>
      <c r="BE169" s="239" t="s">
        <v>4</v>
      </c>
      <c r="BF169" s="239" t="s">
        <v>14</v>
      </c>
      <c r="BG169" s="239" t="s">
        <v>4</v>
      </c>
      <c r="BH169" s="239" t="s">
        <v>31542</v>
      </c>
      <c r="BI169" s="239" t="s">
        <v>31766</v>
      </c>
      <c r="BJ169" s="239" t="s">
        <v>31544</v>
      </c>
      <c r="BK169" s="239">
        <v>2</v>
      </c>
      <c r="BL169" s="239">
        <v>180</v>
      </c>
      <c r="BM169" s="239" t="s">
        <v>7</v>
      </c>
      <c r="BN169" s="239" t="s">
        <v>6</v>
      </c>
      <c r="BO169" s="239" t="s">
        <v>4</v>
      </c>
      <c r="BP169" s="239" t="s">
        <v>31429</v>
      </c>
      <c r="BQ169" s="239">
        <v>2</v>
      </c>
      <c r="BR169" s="239">
        <v>30</v>
      </c>
      <c r="BS169" s="239" t="s">
        <v>31434</v>
      </c>
      <c r="BT169" s="239"/>
      <c r="BU169" s="239">
        <v>3</v>
      </c>
      <c r="BV169" s="239" cm="1">
        <f t="array" ref="BV169">_xlfn.IFS(BS169="Foreword vehicle",BU169*0,BS169="Human wastes",BU169*0,BS169="Jerrycans",BU169*$BV$228,BS169="Number of Basins",BU169*$BV$229,BS169="Number of Buckets",BU169*$CA$226,BS169="Number of Kgs",BU169*$CA$227,BS169="Number of spades",BU169*$CA$228,BS169="Number of wheelbarrows",BU169*$CA$229,BT169="Foreword vehicle",BU169*0,BT169="Human wastes",BU169*0,BT169="Jerrycans",BU169*$BV$228,BS169="","")</f>
        <v>48</v>
      </c>
      <c r="BW169" s="239">
        <f>IF(BV169="","",Table14[[#This Row],[Calculation: Conversion of metric to Kg manure feeding (Columns: BP, BQ, BR)]]*Table14[[#This Row],[Number of times used to feed biodigester]])</f>
        <v>96</v>
      </c>
      <c r="BX169" s="239" cm="1">
        <f t="array" ref="BX169">_xlfn.IFS(BP169="Number of times per day (1 to 3)",BW169/$BX$226,BP169="Number of times per week (1 to 6)",BW169/$BX$227,BP169="Number of times per Month (1 to 3)",BW169/$BX$228,BW169="","")</f>
        <v>13.714285714285714</v>
      </c>
      <c r="BY169" s="239" t="s">
        <v>22</v>
      </c>
      <c r="BZ169" s="239" t="s">
        <v>4</v>
      </c>
      <c r="CA169" s="239" t="s">
        <v>2</v>
      </c>
      <c r="CB169" s="239" t="s">
        <v>4</v>
      </c>
      <c r="CC169" s="239" t="s">
        <v>4</v>
      </c>
      <c r="CD169" s="239" t="s">
        <v>4</v>
      </c>
      <c r="CE169" s="239" t="s">
        <v>7</v>
      </c>
      <c r="CF169" s="239" t="s">
        <v>31639</v>
      </c>
      <c r="CG169" s="239" t="s">
        <v>4</v>
      </c>
      <c r="CH169" s="239" t="s">
        <v>31604</v>
      </c>
      <c r="CI169" s="239">
        <v>2</v>
      </c>
      <c r="CJ169" s="239">
        <v>0</v>
      </c>
      <c r="CK169" s="239">
        <v>0</v>
      </c>
      <c r="CL169" s="239">
        <v>0</v>
      </c>
      <c r="CM169" s="239">
        <v>0</v>
      </c>
      <c r="CN169" s="239">
        <v>0</v>
      </c>
      <c r="CO169" s="239">
        <v>0</v>
      </c>
      <c r="CP169" s="239">
        <v>0</v>
      </c>
      <c r="CQ169" s="239">
        <v>0</v>
      </c>
      <c r="CR169" s="239">
        <v>0</v>
      </c>
      <c r="CS169" s="239">
        <f>CP169/'SDG outcome'!$C$9*CQ169*CR169</f>
        <v>0</v>
      </c>
      <c r="CT169" s="239">
        <v>100</v>
      </c>
      <c r="CU169" s="239">
        <v>0</v>
      </c>
      <c r="CV169" s="239" t="s">
        <v>4</v>
      </c>
      <c r="CW169" s="239" t="s">
        <v>4</v>
      </c>
      <c r="CX169" s="239" t="s">
        <v>4</v>
      </c>
      <c r="CY169" s="239" t="s">
        <v>4</v>
      </c>
      <c r="CZ169" s="239" t="s">
        <v>4</v>
      </c>
      <c r="DA169" s="239" t="s">
        <v>4</v>
      </c>
      <c r="DB169" s="239" t="s">
        <v>4</v>
      </c>
      <c r="DC169" s="239" t="s">
        <v>4</v>
      </c>
      <c r="DD169" s="239" t="s">
        <v>4</v>
      </c>
      <c r="DE169" s="239" t="s">
        <v>4</v>
      </c>
      <c r="DF169" s="239" t="s">
        <v>4</v>
      </c>
      <c r="DG169" s="239" t="s">
        <v>4</v>
      </c>
      <c r="DH169" s="239" t="s">
        <v>4</v>
      </c>
      <c r="DI169" s="239" t="s">
        <v>4</v>
      </c>
      <c r="DJ169" s="239" t="s">
        <v>4</v>
      </c>
      <c r="DK169" s="239" t="s">
        <v>4</v>
      </c>
      <c r="DL169" s="239" t="s">
        <v>4</v>
      </c>
      <c r="DM169" s="239" t="s">
        <v>4</v>
      </c>
      <c r="DN169" s="239" t="s">
        <v>4</v>
      </c>
      <c r="DO169" s="239">
        <v>1</v>
      </c>
      <c r="DP169" s="239" t="s">
        <v>7</v>
      </c>
      <c r="DQ169" s="239" t="s">
        <v>29292</v>
      </c>
      <c r="DR169" s="239" t="s">
        <v>4</v>
      </c>
      <c r="DS169" s="239" t="s">
        <v>29294</v>
      </c>
      <c r="DT169" s="240" t="s">
        <v>4</v>
      </c>
      <c r="DU169" s="239" t="s">
        <v>29294</v>
      </c>
      <c r="DV169" s="240" t="s">
        <v>4</v>
      </c>
      <c r="DW169" s="239" t="s">
        <v>29295</v>
      </c>
      <c r="DX169" s="239">
        <v>100</v>
      </c>
      <c r="DY169" s="239" t="s">
        <v>29296</v>
      </c>
      <c r="DZ169" s="239">
        <v>100</v>
      </c>
      <c r="EA169" s="239"/>
      <c r="EB169" s="239"/>
      <c r="EC169" s="239"/>
      <c r="ED169" s="239"/>
      <c r="EE169" s="320">
        <f>Table14[[#This Row],[% Fertilizer]]*$DX169/10000</f>
        <v>1</v>
      </c>
      <c r="EF169" s="320">
        <f>Table14[[#This Row],[% bioslurry used as Insecticide/Pesticide]]*$DX169/10000</f>
        <v>0</v>
      </c>
      <c r="EG169" s="320">
        <f>Table14[[#This Row],[% of Bioslurry used as animal feed]]*$DX169/10000</f>
        <v>0</v>
      </c>
      <c r="EH169" s="320">
        <f>Table14[[#This Row],[% of Bioslurry sold]]*$DX169/10000</f>
        <v>0</v>
      </c>
      <c r="EI169" s="320">
        <f>Table14[[#This Row],[% used other way(if used directly)]]*$DX169/10000</f>
        <v>0</v>
      </c>
      <c r="EJ169" s="239"/>
      <c r="EK169" s="239"/>
      <c r="EL169" s="239"/>
      <c r="EM169" s="239"/>
      <c r="EN169" s="239"/>
      <c r="EO169" s="239">
        <f>(Table14[[#This Row],[% Uncovered lagoon greater than 1 meter]]+Table14[[#This Row],[Uncovered lagoon (black watery mass) &lt;1 meter]]+Table14[[#This Row],[% Liquid slurry (brown porridge type)]])*Table14[[#This Row],[% Store it first]]/100</f>
        <v>0</v>
      </c>
      <c r="EP169" s="239"/>
      <c r="EQ169" s="239"/>
      <c r="ER169" s="239"/>
      <c r="ES169" s="239"/>
      <c r="ET169" s="239">
        <f>(Table14[[#This Row],[% Solid storage]]+Table14[[#This Row],[% Sun drying]]+Table14[[#This Row],[% Composting with a roof]]+Table14[[#This Row],[% Composting without a roof]])*Table14[[#This Row],[% Store it first]]/100</f>
        <v>0</v>
      </c>
      <c r="EU169" s="239"/>
      <c r="EV169" s="320">
        <f t="shared" si="15"/>
        <v>0</v>
      </c>
      <c r="EW169" s="320">
        <f t="shared" si="16"/>
        <v>0</v>
      </c>
      <c r="EX169" s="320">
        <f t="shared" si="17"/>
        <v>0</v>
      </c>
      <c r="EY169" s="320">
        <f t="shared" si="18"/>
        <v>0</v>
      </c>
      <c r="EZ169" s="320">
        <f t="shared" si="19"/>
        <v>0</v>
      </c>
      <c r="FA169" s="239"/>
      <c r="FB169" s="239"/>
      <c r="FC169" s="239"/>
      <c r="FD169" s="239">
        <f>Table14[[#This Row],[% I donâ€™t use it / discarded]]+Table14[[#This Row],[% Other (specify)(If you use bioslurry directly)]]+Table14[[#This Row],[% Store it first]]+Table14[[#This Row],[% Use directly for various purposes]]</f>
        <v>100</v>
      </c>
      <c r="FE169" s="239" t="s">
        <v>4</v>
      </c>
      <c r="FF169" s="239"/>
      <c r="FG169" s="239"/>
      <c r="FH169" s="239"/>
      <c r="FI169" s="239"/>
      <c r="FJ169" s="239"/>
      <c r="FK169" s="239">
        <v>1.2</v>
      </c>
      <c r="FL169" s="239" t="s">
        <v>7</v>
      </c>
      <c r="FM169" s="239">
        <v>60</v>
      </c>
      <c r="FN169" s="239">
        <f>FK169*FM169/100</f>
        <v>0.72</v>
      </c>
      <c r="FO169" s="239" t="s">
        <v>30191</v>
      </c>
      <c r="FP169" s="239" t="s">
        <v>29298</v>
      </c>
      <c r="FQ169" s="239">
        <v>84</v>
      </c>
      <c r="FR169" s="239" t="s">
        <v>7</v>
      </c>
      <c r="FS169" s="239" t="s">
        <v>29299</v>
      </c>
      <c r="FT169" s="239" t="s">
        <v>4</v>
      </c>
      <c r="FU169" s="239" t="s">
        <v>2</v>
      </c>
      <c r="FV169" s="239" t="s">
        <v>4</v>
      </c>
      <c r="FW169" s="239" t="s">
        <v>4</v>
      </c>
      <c r="FX169" s="239" t="s">
        <v>4</v>
      </c>
      <c r="FY169" s="239" t="s">
        <v>4</v>
      </c>
      <c r="FZ169" s="239" t="s">
        <v>4</v>
      </c>
      <c r="GA169" s="239" t="s">
        <v>4</v>
      </c>
      <c r="GB169" s="240" t="s">
        <v>4</v>
      </c>
      <c r="GC169" s="239" t="s">
        <v>4</v>
      </c>
      <c r="GD169" s="239" t="s">
        <v>7</v>
      </c>
      <c r="GE169" s="239" t="s">
        <v>29301</v>
      </c>
      <c r="GF169" s="239" t="s">
        <v>4</v>
      </c>
      <c r="GG169" s="239" t="s">
        <v>7</v>
      </c>
      <c r="GH169" s="239" t="s">
        <v>7</v>
      </c>
      <c r="GI169" s="239" t="s">
        <v>29302</v>
      </c>
      <c r="GJ169" s="239" t="s">
        <v>30192</v>
      </c>
      <c r="GK169" s="239" t="s">
        <v>4</v>
      </c>
      <c r="GL169" s="239">
        <v>0</v>
      </c>
      <c r="GM169" s="239"/>
      <c r="GN169" s="239" t="s">
        <v>4</v>
      </c>
      <c r="GO169" s="239" t="s">
        <v>4</v>
      </c>
      <c r="GP169" s="239" t="s">
        <v>4</v>
      </c>
      <c r="GQ169" s="239" t="s">
        <v>4</v>
      </c>
      <c r="GR169" s="239" t="s">
        <v>4</v>
      </c>
      <c r="GS169" s="239" t="s">
        <v>4</v>
      </c>
      <c r="GT169" s="239" t="s">
        <v>4</v>
      </c>
      <c r="GU169" s="239" t="s">
        <v>4</v>
      </c>
      <c r="GV169" s="239" t="s">
        <v>4</v>
      </c>
      <c r="GW169" s="239" t="s">
        <v>29304</v>
      </c>
      <c r="GX169" s="239" t="s">
        <v>29940</v>
      </c>
      <c r="GY169" s="239" t="s">
        <v>4</v>
      </c>
      <c r="GZ169" s="239" t="s">
        <v>29941</v>
      </c>
      <c r="HA169" s="239" t="s">
        <v>4</v>
      </c>
      <c r="HB169" s="239" t="s">
        <v>4</v>
      </c>
      <c r="HC169" s="239" t="s">
        <v>4</v>
      </c>
      <c r="HD169" s="239" t="s">
        <v>4</v>
      </c>
      <c r="HE169" s="239" t="s">
        <v>4</v>
      </c>
      <c r="HF169" s="239" t="s">
        <v>4</v>
      </c>
      <c r="HG169" s="239" t="s">
        <v>4</v>
      </c>
      <c r="HH169" s="239" t="s">
        <v>29847</v>
      </c>
      <c r="HI169" s="239" t="s">
        <v>4</v>
      </c>
      <c r="HJ169" s="240">
        <v>2</v>
      </c>
      <c r="HK169" s="239" t="s">
        <v>7</v>
      </c>
      <c r="HL169" s="239" t="s">
        <v>29309</v>
      </c>
      <c r="HM169" s="239" t="s">
        <v>4</v>
      </c>
      <c r="HN169" s="239" t="s">
        <v>4</v>
      </c>
      <c r="HO169" s="239" t="s">
        <v>4</v>
      </c>
      <c r="HP169" s="239" t="s">
        <v>4</v>
      </c>
      <c r="HQ169" s="239" t="s">
        <v>4</v>
      </c>
      <c r="HR169" s="239" t="s">
        <v>4</v>
      </c>
      <c r="HS169" s="239" t="s">
        <v>4</v>
      </c>
      <c r="HT169" s="239" t="s">
        <v>4</v>
      </c>
      <c r="HU169" s="239" t="s">
        <v>7</v>
      </c>
      <c r="HV169" s="239" t="s">
        <v>6</v>
      </c>
      <c r="HW169" s="239" t="s">
        <v>4</v>
      </c>
      <c r="HX169" s="239" t="s">
        <v>29292</v>
      </c>
      <c r="HY169" s="239">
        <v>1</v>
      </c>
      <c r="HZ169" s="239" t="s">
        <v>30193</v>
      </c>
      <c r="IA169" s="239" t="s">
        <v>7</v>
      </c>
      <c r="IB169" s="239" t="s">
        <v>30193</v>
      </c>
      <c r="IC169" s="239" t="s">
        <v>30193</v>
      </c>
      <c r="ID169" s="239" t="s">
        <v>30194</v>
      </c>
      <c r="IE169" s="239" t="s">
        <v>30195</v>
      </c>
      <c r="IF169" s="239" t="s">
        <v>30196</v>
      </c>
      <c r="IG169" s="239" t="s">
        <v>30197</v>
      </c>
      <c r="IH169" s="239" t="s">
        <v>30188</v>
      </c>
    </row>
    <row r="170" spans="1:242" s="1" customFormat="1" ht="36.75" customHeight="1" x14ac:dyDescent="0.2">
      <c r="A170" s="239">
        <v>94</v>
      </c>
      <c r="B170" s="239" t="s">
        <v>27908</v>
      </c>
      <c r="C170" s="239" t="s">
        <v>29537</v>
      </c>
      <c r="D170" s="239" t="s">
        <v>30309</v>
      </c>
      <c r="E170" s="239" t="s">
        <v>7</v>
      </c>
      <c r="F170" s="239" t="s">
        <v>30333</v>
      </c>
      <c r="G170" s="239">
        <v>1174.4000000000001</v>
      </c>
      <c r="H170" s="239">
        <v>5</v>
      </c>
      <c r="I170" s="239" t="s">
        <v>29288</v>
      </c>
      <c r="J170" s="239" t="s">
        <v>4</v>
      </c>
      <c r="K170" s="239" t="s">
        <v>30334</v>
      </c>
      <c r="L170" s="239">
        <v>782157333</v>
      </c>
      <c r="M170" s="239" t="s">
        <v>3</v>
      </c>
      <c r="N170" s="239" t="s">
        <v>31598</v>
      </c>
      <c r="O170" s="239" t="s">
        <v>4</v>
      </c>
      <c r="P170" s="239">
        <v>5</v>
      </c>
      <c r="Q170" s="239" t="s">
        <v>7</v>
      </c>
      <c r="R170" s="239" t="s">
        <v>31588</v>
      </c>
      <c r="S170" s="239" t="s">
        <v>4</v>
      </c>
      <c r="T170" s="239" t="s">
        <v>7</v>
      </c>
      <c r="U170" s="239" t="s">
        <v>7</v>
      </c>
      <c r="V170" s="239"/>
      <c r="W170" s="239" t="s">
        <v>7</v>
      </c>
      <c r="X170" s="239" t="s">
        <v>4</v>
      </c>
      <c r="Y170" s="239" t="s">
        <v>4</v>
      </c>
      <c r="Z170" s="241" t="str">
        <f>IF(OR(T170="yes",Y170&gt;'SDG outcome'!$C$27),"yes","no")</f>
        <v>yes</v>
      </c>
      <c r="AA170" s="243">
        <f t="shared" si="13"/>
        <v>0</v>
      </c>
      <c r="AB170" s="243" t="str">
        <f>IF(AND(Z170="no",AND(Y170&gt;='SDG outcome'!$B$16,Y170&lt;'SDG outcome'!$C$27)),Y170-'SDG outcome'!$B$16,"")</f>
        <v/>
      </c>
      <c r="AC170" s="239" t="s">
        <v>4</v>
      </c>
      <c r="AD170" s="239" t="s">
        <v>4</v>
      </c>
      <c r="AE170" s="239" t="s">
        <v>4</v>
      </c>
      <c r="AF170" s="239" t="s">
        <v>4</v>
      </c>
      <c r="AG170" s="239" t="s">
        <v>4</v>
      </c>
      <c r="AH170" s="239" t="s">
        <v>4</v>
      </c>
      <c r="AI170" s="239" t="s">
        <v>4</v>
      </c>
      <c r="AJ170" s="239" t="s">
        <v>29290</v>
      </c>
      <c r="AK170" s="239" t="s">
        <v>29694</v>
      </c>
      <c r="AL170" s="239" t="s">
        <v>4</v>
      </c>
      <c r="AM170" s="239" t="s">
        <v>4</v>
      </c>
      <c r="AN170" s="239" t="s">
        <v>31536</v>
      </c>
      <c r="AO170" s="239" t="s">
        <v>4</v>
      </c>
      <c r="AP170" s="239" t="s">
        <v>31537</v>
      </c>
      <c r="AQ170" s="239" t="s">
        <v>4</v>
      </c>
      <c r="AR170" s="239" t="s">
        <v>31538</v>
      </c>
      <c r="AS170" s="239" t="s">
        <v>4</v>
      </c>
      <c r="AT170" s="239" t="s">
        <v>2</v>
      </c>
      <c r="AU170" s="239" t="s">
        <v>31581</v>
      </c>
      <c r="AV170" s="239" t="s">
        <v>4</v>
      </c>
      <c r="AW170" s="239" t="s">
        <v>31539</v>
      </c>
      <c r="AX170" s="239" t="s">
        <v>4</v>
      </c>
      <c r="AY170" s="239" t="s">
        <v>4</v>
      </c>
      <c r="AZ170" s="239" t="s">
        <v>2</v>
      </c>
      <c r="BA170" s="239" t="s">
        <v>4</v>
      </c>
      <c r="BB170" s="239" t="s">
        <v>4</v>
      </c>
      <c r="BC170" s="239" t="s">
        <v>31540</v>
      </c>
      <c r="BD170" s="239" t="s">
        <v>22</v>
      </c>
      <c r="BE170" s="239" t="s">
        <v>4</v>
      </c>
      <c r="BF170" s="239" t="s">
        <v>31564</v>
      </c>
      <c r="BG170" s="239" t="s">
        <v>4</v>
      </c>
      <c r="BH170" s="239" t="s">
        <v>31542</v>
      </c>
      <c r="BI170" s="239" t="s">
        <v>31745</v>
      </c>
      <c r="BJ170" s="239" t="s">
        <v>31616</v>
      </c>
      <c r="BK170" s="239">
        <v>1</v>
      </c>
      <c r="BL170" s="239">
        <v>120</v>
      </c>
      <c r="BM170" s="239" t="s">
        <v>7</v>
      </c>
      <c r="BN170" s="239" t="s">
        <v>6</v>
      </c>
      <c r="BO170" s="239" t="s">
        <v>4</v>
      </c>
      <c r="BP170" s="239" t="s">
        <v>31429</v>
      </c>
      <c r="BQ170" s="239">
        <v>3</v>
      </c>
      <c r="BR170" s="239">
        <v>60</v>
      </c>
      <c r="BS170" s="239" t="s">
        <v>31434</v>
      </c>
      <c r="BT170" s="239"/>
      <c r="BU170" s="239">
        <v>2</v>
      </c>
      <c r="BV170" s="239" cm="1">
        <f t="array" ref="BV170">_xlfn.IFS(BS170="Foreword vehicle",BU170*0,BS170="Human wastes",BU170*0,BS170="Jerrycans",BU170*$BV$228,BS170="Number of Basins",BU170*$BV$229,BS170="Number of Buckets",BU170*$CA$226,BS170="Number of Kgs",BU170*$CA$227,BS170="Number of spades",BU170*$CA$228,BS170="Number of wheelbarrows",BU170*$CA$229,BT170="Foreword vehicle",BU170*0,BT170="Human wastes",BU170*0,BT170="Jerrycans",BU170*$BV$228,BS170="","")</f>
        <v>32</v>
      </c>
      <c r="BW170" s="239">
        <f>IF(BV170="","",Table14[[#This Row],[Calculation: Conversion of metric to Kg manure feeding (Columns: BP, BQ, BR)]]*Table14[[#This Row],[Number of times used to feed biodigester]])</f>
        <v>96</v>
      </c>
      <c r="BX170" s="239" cm="1">
        <f t="array" ref="BX170">_xlfn.IFS(BP170="Number of times per day (1 to 3)",BW170/$BX$226,BP170="Number of times per week (1 to 6)",BW170/$BX$227,BP170="Number of times per Month (1 to 3)",BW170/$BX$228,BW170="","")</f>
        <v>13.714285714285714</v>
      </c>
      <c r="BY170" s="239" t="s">
        <v>22</v>
      </c>
      <c r="BZ170" s="239" t="s">
        <v>4</v>
      </c>
      <c r="CA170" s="239" t="s">
        <v>2</v>
      </c>
      <c r="CB170" s="239" t="s">
        <v>4</v>
      </c>
      <c r="CC170" s="239" t="s">
        <v>4</v>
      </c>
      <c r="CD170" s="239" t="s">
        <v>4</v>
      </c>
      <c r="CE170" s="239" t="s">
        <v>7</v>
      </c>
      <c r="CF170" s="239" t="s">
        <v>31746</v>
      </c>
      <c r="CG170" s="239" t="s">
        <v>4</v>
      </c>
      <c r="CH170" s="239" t="s">
        <v>31747</v>
      </c>
      <c r="CI170" s="239">
        <v>2</v>
      </c>
      <c r="CJ170" s="239">
        <v>0</v>
      </c>
      <c r="CK170" s="239">
        <v>7</v>
      </c>
      <c r="CL170" s="239">
        <v>0</v>
      </c>
      <c r="CM170" s="239">
        <v>0</v>
      </c>
      <c r="CN170" s="239">
        <v>0</v>
      </c>
      <c r="CO170" s="239">
        <v>0</v>
      </c>
      <c r="CP170" s="239">
        <v>0</v>
      </c>
      <c r="CQ170" s="239">
        <v>0</v>
      </c>
      <c r="CR170" s="239">
        <v>0</v>
      </c>
      <c r="CS170" s="239">
        <f>CP170/'SDG outcome'!$C$9*CQ170*CR170</f>
        <v>0</v>
      </c>
      <c r="CT170" s="239">
        <v>100</v>
      </c>
      <c r="CU170" s="239">
        <v>0</v>
      </c>
      <c r="CV170" s="239" t="s">
        <v>4</v>
      </c>
      <c r="CW170" s="239" t="s">
        <v>4</v>
      </c>
      <c r="CX170" s="239" t="s">
        <v>4</v>
      </c>
      <c r="CY170" s="239" t="s">
        <v>4</v>
      </c>
      <c r="CZ170" s="239" t="s">
        <v>4</v>
      </c>
      <c r="DA170" s="239" t="s">
        <v>4</v>
      </c>
      <c r="DB170" s="239" t="s">
        <v>4</v>
      </c>
      <c r="DC170" s="239">
        <v>100</v>
      </c>
      <c r="DD170" s="239">
        <v>0</v>
      </c>
      <c r="DE170" s="239" t="s">
        <v>4</v>
      </c>
      <c r="DF170" s="239" t="s">
        <v>4</v>
      </c>
      <c r="DG170" s="239" t="s">
        <v>4</v>
      </c>
      <c r="DH170" s="239" t="s">
        <v>4</v>
      </c>
      <c r="DI170" s="239" t="s">
        <v>4</v>
      </c>
      <c r="DJ170" s="239" t="s">
        <v>4</v>
      </c>
      <c r="DK170" s="239" t="s">
        <v>4</v>
      </c>
      <c r="DL170" s="239" t="s">
        <v>4</v>
      </c>
      <c r="DM170" s="239" t="s">
        <v>4</v>
      </c>
      <c r="DN170" s="239" t="s">
        <v>4</v>
      </c>
      <c r="DO170" s="239">
        <v>6</v>
      </c>
      <c r="DP170" s="239" t="s">
        <v>2</v>
      </c>
      <c r="DQ170" s="239" t="s">
        <v>29292</v>
      </c>
      <c r="DR170" s="239" t="s">
        <v>4</v>
      </c>
      <c r="DS170" s="239" t="s">
        <v>29294</v>
      </c>
      <c r="DT170" s="240" t="s">
        <v>4</v>
      </c>
      <c r="DU170" s="239" t="s">
        <v>29293</v>
      </c>
      <c r="DV170" s="240">
        <v>600000</v>
      </c>
      <c r="DW170" s="239" t="s">
        <v>29295</v>
      </c>
      <c r="DX170" s="239">
        <v>100</v>
      </c>
      <c r="DY170" s="239" t="s">
        <v>29296</v>
      </c>
      <c r="DZ170" s="239">
        <v>100</v>
      </c>
      <c r="EA170" s="239"/>
      <c r="EB170" s="239"/>
      <c r="EC170" s="239"/>
      <c r="ED170" s="239"/>
      <c r="EE170" s="320">
        <f>Table14[[#This Row],[% Fertilizer]]*$DX170/10000</f>
        <v>1</v>
      </c>
      <c r="EF170" s="320">
        <f>Table14[[#This Row],[% bioslurry used as Insecticide/Pesticide]]*$DX170/10000</f>
        <v>0</v>
      </c>
      <c r="EG170" s="320">
        <f>Table14[[#This Row],[% of Bioslurry used as animal feed]]*$DX170/10000</f>
        <v>0</v>
      </c>
      <c r="EH170" s="320">
        <f>Table14[[#This Row],[% of Bioslurry sold]]*$DX170/10000</f>
        <v>0</v>
      </c>
      <c r="EI170" s="320">
        <f>Table14[[#This Row],[% used other way(if used directly)]]*$DX170/10000</f>
        <v>0</v>
      </c>
      <c r="EJ170" s="239"/>
      <c r="EK170" s="239"/>
      <c r="EL170" s="239"/>
      <c r="EM170" s="239"/>
      <c r="EN170" s="239"/>
      <c r="EO170" s="239">
        <f>(Table14[[#This Row],[% Uncovered lagoon greater than 1 meter]]+Table14[[#This Row],[Uncovered lagoon (black watery mass) &lt;1 meter]]+Table14[[#This Row],[% Liquid slurry (brown porridge type)]])*Table14[[#This Row],[% Store it first]]/100</f>
        <v>0</v>
      </c>
      <c r="EP170" s="239"/>
      <c r="EQ170" s="239"/>
      <c r="ER170" s="239"/>
      <c r="ES170" s="239"/>
      <c r="ET170" s="239">
        <f>(Table14[[#This Row],[% Solid storage]]+Table14[[#This Row],[% Sun drying]]+Table14[[#This Row],[% Composting with a roof]]+Table14[[#This Row],[% Composting without a roof]])*Table14[[#This Row],[% Store it first]]/100</f>
        <v>0</v>
      </c>
      <c r="EU170" s="239"/>
      <c r="EV170" s="320">
        <f t="shared" si="15"/>
        <v>0</v>
      </c>
      <c r="EW170" s="320">
        <f t="shared" si="16"/>
        <v>0</v>
      </c>
      <c r="EX170" s="320">
        <f t="shared" si="17"/>
        <v>0</v>
      </c>
      <c r="EY170" s="320">
        <f t="shared" si="18"/>
        <v>0</v>
      </c>
      <c r="EZ170" s="320">
        <f t="shared" si="19"/>
        <v>0</v>
      </c>
      <c r="FA170" s="239"/>
      <c r="FB170" s="239"/>
      <c r="FC170" s="239"/>
      <c r="FD170" s="239">
        <f>Table14[[#This Row],[% I donâ€™t use it / discarded]]+Table14[[#This Row],[% Other (specify)(If you use bioslurry directly)]]+Table14[[#This Row],[% Store it first]]+Table14[[#This Row],[% Use directly for various purposes]]</f>
        <v>100</v>
      </c>
      <c r="FE170" s="239" t="s">
        <v>4</v>
      </c>
      <c r="FF170" s="239"/>
      <c r="FG170" s="239"/>
      <c r="FH170" s="239"/>
      <c r="FI170" s="239"/>
      <c r="FJ170" s="239"/>
      <c r="FK170" s="239">
        <v>0.4</v>
      </c>
      <c r="FL170" s="239" t="s">
        <v>7</v>
      </c>
      <c r="FM170" s="239">
        <v>50</v>
      </c>
      <c r="FN170" s="239">
        <f>FK170*FM170/100</f>
        <v>0.2</v>
      </c>
      <c r="FO170" s="239" t="s">
        <v>30335</v>
      </c>
      <c r="FP170" s="239" t="s">
        <v>29298</v>
      </c>
      <c r="FQ170" s="239">
        <v>120</v>
      </c>
      <c r="FR170" s="239" t="s">
        <v>7</v>
      </c>
      <c r="FS170" s="239" t="s">
        <v>29299</v>
      </c>
      <c r="FT170" s="239" t="s">
        <v>4</v>
      </c>
      <c r="FU170" s="239" t="s">
        <v>2</v>
      </c>
      <c r="FV170" s="239" t="s">
        <v>4</v>
      </c>
      <c r="FW170" s="239" t="s">
        <v>4</v>
      </c>
      <c r="FX170" s="239" t="s">
        <v>4</v>
      </c>
      <c r="FY170" s="239" t="s">
        <v>4</v>
      </c>
      <c r="FZ170" s="239" t="s">
        <v>4</v>
      </c>
      <c r="GA170" s="239" t="s">
        <v>4</v>
      </c>
      <c r="GB170" s="240" t="s">
        <v>4</v>
      </c>
      <c r="GC170" s="239" t="s">
        <v>4</v>
      </c>
      <c r="GD170" s="239" t="s">
        <v>7</v>
      </c>
      <c r="GE170" s="239" t="s">
        <v>29301</v>
      </c>
      <c r="GF170" s="239" t="s">
        <v>4</v>
      </c>
      <c r="GG170" s="239" t="s">
        <v>7</v>
      </c>
      <c r="GH170" s="239" t="s">
        <v>7</v>
      </c>
      <c r="GI170" s="239" t="s">
        <v>29302</v>
      </c>
      <c r="GJ170" s="239" t="s">
        <v>30336</v>
      </c>
      <c r="GK170" s="239" t="s">
        <v>29304</v>
      </c>
      <c r="GL170" s="239">
        <v>3</v>
      </c>
      <c r="GM170" s="239" t="s">
        <v>30272</v>
      </c>
      <c r="GN170" s="239" t="s">
        <v>29306</v>
      </c>
      <c r="GO170" s="239" t="s">
        <v>30337</v>
      </c>
      <c r="GP170" s="239" t="s">
        <v>30338</v>
      </c>
      <c r="GQ170" s="239" t="s">
        <v>4</v>
      </c>
      <c r="GR170" s="239" t="s">
        <v>29451</v>
      </c>
      <c r="GS170" s="239" t="s">
        <v>4</v>
      </c>
      <c r="GT170" s="239" t="s">
        <v>4</v>
      </c>
      <c r="GU170" s="239" t="s">
        <v>4</v>
      </c>
      <c r="GV170" s="239" t="s">
        <v>4</v>
      </c>
      <c r="GW170" s="239" t="s">
        <v>4</v>
      </c>
      <c r="GX170" s="239" t="s">
        <v>4</v>
      </c>
      <c r="GY170" s="239" t="s">
        <v>4</v>
      </c>
      <c r="GZ170" s="239" t="s">
        <v>4</v>
      </c>
      <c r="HA170" s="239" t="s">
        <v>4</v>
      </c>
      <c r="HB170" s="239" t="s">
        <v>4</v>
      </c>
      <c r="HC170" s="239" t="s">
        <v>4</v>
      </c>
      <c r="HD170" s="239" t="s">
        <v>4</v>
      </c>
      <c r="HE170" s="239" t="s">
        <v>4</v>
      </c>
      <c r="HF170" s="239" t="s">
        <v>4</v>
      </c>
      <c r="HG170" s="239" t="s">
        <v>4</v>
      </c>
      <c r="HH170" s="239" t="s">
        <v>29698</v>
      </c>
      <c r="HI170" s="239" t="s">
        <v>4</v>
      </c>
      <c r="HJ170" s="240">
        <v>0</v>
      </c>
      <c r="HK170" s="239" t="s">
        <v>7</v>
      </c>
      <c r="HL170" s="239" t="s">
        <v>29480</v>
      </c>
      <c r="HM170" s="239" t="s">
        <v>4</v>
      </c>
      <c r="HN170" s="239" t="s">
        <v>4</v>
      </c>
      <c r="HO170" s="239" t="s">
        <v>4</v>
      </c>
      <c r="HP170" s="239" t="s">
        <v>4</v>
      </c>
      <c r="HQ170" s="239" t="s">
        <v>4</v>
      </c>
      <c r="HR170" s="239" t="s">
        <v>4</v>
      </c>
      <c r="HS170" s="239" t="s">
        <v>4</v>
      </c>
      <c r="HT170" s="239" t="s">
        <v>4</v>
      </c>
      <c r="HU170" s="239" t="s">
        <v>2</v>
      </c>
      <c r="HV170" s="239" t="s">
        <v>4</v>
      </c>
      <c r="HW170" s="239" t="s">
        <v>4</v>
      </c>
      <c r="HX170" s="239" t="s">
        <v>4</v>
      </c>
      <c r="HY170" s="239" t="s">
        <v>4</v>
      </c>
      <c r="HZ170" s="239" t="s">
        <v>16</v>
      </c>
      <c r="IA170" s="239" t="s">
        <v>7</v>
      </c>
      <c r="IB170" s="239" t="s">
        <v>30339</v>
      </c>
      <c r="IC170" s="239" t="s">
        <v>30340</v>
      </c>
      <c r="ID170" s="239" t="s">
        <v>30341</v>
      </c>
      <c r="IE170" s="239" t="s">
        <v>30342</v>
      </c>
      <c r="IF170" s="239" t="s">
        <v>30343</v>
      </c>
      <c r="IG170" s="239" t="s">
        <v>9</v>
      </c>
      <c r="IH170" s="239" t="s">
        <v>29537</v>
      </c>
    </row>
    <row r="171" spans="1:242" s="1" customFormat="1" ht="36.75" customHeight="1" x14ac:dyDescent="0.2">
      <c r="A171" s="239">
        <v>107</v>
      </c>
      <c r="B171" s="239" t="s">
        <v>6663</v>
      </c>
      <c r="C171" s="239" t="s">
        <v>30469</v>
      </c>
      <c r="D171" s="239" t="s">
        <v>30392</v>
      </c>
      <c r="E171" s="239" t="s">
        <v>7</v>
      </c>
      <c r="F171" s="239" t="s">
        <v>30470</v>
      </c>
      <c r="G171" s="239">
        <v>1107.251</v>
      </c>
      <c r="H171" s="239">
        <v>1.0488</v>
      </c>
      <c r="I171" s="239" t="s">
        <v>29349</v>
      </c>
      <c r="J171" s="239" t="s">
        <v>4</v>
      </c>
      <c r="K171" s="239" t="s">
        <v>30471</v>
      </c>
      <c r="L171" s="239">
        <v>771386800</v>
      </c>
      <c r="M171" s="239" t="s">
        <v>5</v>
      </c>
      <c r="N171" s="239" t="s">
        <v>31590</v>
      </c>
      <c r="O171" s="239" t="s">
        <v>4</v>
      </c>
      <c r="P171" s="239">
        <v>5</v>
      </c>
      <c r="Q171" s="239" t="s">
        <v>7</v>
      </c>
      <c r="R171" s="239" t="s">
        <v>31535</v>
      </c>
      <c r="S171" s="239" t="s">
        <v>4</v>
      </c>
      <c r="T171" s="239" t="s">
        <v>7</v>
      </c>
      <c r="U171" s="239" t="s">
        <v>7</v>
      </c>
      <c r="V171" s="239"/>
      <c r="W171" s="239" t="s">
        <v>7</v>
      </c>
      <c r="X171" s="239" t="s">
        <v>4</v>
      </c>
      <c r="Y171" s="239" t="s">
        <v>4</v>
      </c>
      <c r="Z171" s="241" t="str">
        <f>IF(OR(T171="yes",Y171&gt;'SDG outcome'!$C$27),"yes","no")</f>
        <v>yes</v>
      </c>
      <c r="AA171" s="243">
        <f t="shared" si="13"/>
        <v>0</v>
      </c>
      <c r="AB171" s="243" t="str">
        <f>IF(AND(Z171="no",AND(Y171&gt;='SDG outcome'!$B$16,Y171&lt;'SDG outcome'!$C$27)),Y171-'SDG outcome'!$B$16,"")</f>
        <v/>
      </c>
      <c r="AC171" s="239" t="s">
        <v>4</v>
      </c>
      <c r="AD171" s="239" t="s">
        <v>4</v>
      </c>
      <c r="AE171" s="239" t="s">
        <v>4</v>
      </c>
      <c r="AF171" s="239" t="s">
        <v>4</v>
      </c>
      <c r="AG171" s="239" t="s">
        <v>4</v>
      </c>
      <c r="AH171" s="239" t="s">
        <v>4</v>
      </c>
      <c r="AI171" s="239" t="s">
        <v>4</v>
      </c>
      <c r="AJ171" s="239" t="s">
        <v>29290</v>
      </c>
      <c r="AK171" s="239" t="s">
        <v>29694</v>
      </c>
      <c r="AL171" s="239" t="s">
        <v>4</v>
      </c>
      <c r="AM171" s="239" t="s">
        <v>4</v>
      </c>
      <c r="AN171" s="239" t="s">
        <v>31536</v>
      </c>
      <c r="AO171" s="239" t="s">
        <v>4</v>
      </c>
      <c r="AP171" s="239" t="s">
        <v>31537</v>
      </c>
      <c r="AQ171" s="239" t="s">
        <v>4</v>
      </c>
      <c r="AR171" s="239" t="s">
        <v>31538</v>
      </c>
      <c r="AS171" s="239" t="s">
        <v>4</v>
      </c>
      <c r="AT171" s="239" t="s">
        <v>7</v>
      </c>
      <c r="AU171" s="239" t="s">
        <v>4</v>
      </c>
      <c r="AV171" s="239" t="s">
        <v>4</v>
      </c>
      <c r="AW171" s="239" t="s">
        <v>31539</v>
      </c>
      <c r="AX171" s="239" t="s">
        <v>4</v>
      </c>
      <c r="AY171" s="239" t="s">
        <v>4</v>
      </c>
      <c r="AZ171" s="239" t="s">
        <v>2</v>
      </c>
      <c r="BA171" s="239" t="s">
        <v>4</v>
      </c>
      <c r="BB171" s="239" t="s">
        <v>4</v>
      </c>
      <c r="BC171" s="239" t="s">
        <v>31563</v>
      </c>
      <c r="BD171" s="239" t="s">
        <v>14</v>
      </c>
      <c r="BE171" s="239" t="s">
        <v>4</v>
      </c>
      <c r="BF171" s="239" t="s">
        <v>31564</v>
      </c>
      <c r="BG171" s="239" t="s">
        <v>4</v>
      </c>
      <c r="BH171" s="239" t="s">
        <v>31542</v>
      </c>
      <c r="BI171" s="239" t="s">
        <v>31748</v>
      </c>
      <c r="BJ171" s="239" t="s">
        <v>31566</v>
      </c>
      <c r="BK171" s="239">
        <v>1</v>
      </c>
      <c r="BL171" s="239">
        <v>60</v>
      </c>
      <c r="BM171" s="239" t="s">
        <v>7</v>
      </c>
      <c r="BN171" s="239" t="s">
        <v>6</v>
      </c>
      <c r="BO171" s="239" t="s">
        <v>4</v>
      </c>
      <c r="BP171" s="239" t="s">
        <v>31429</v>
      </c>
      <c r="BQ171" s="239">
        <v>3</v>
      </c>
      <c r="BR171" s="239">
        <v>10</v>
      </c>
      <c r="BS171" s="239" t="s">
        <v>31433</v>
      </c>
      <c r="BT171" s="239"/>
      <c r="BU171" s="239">
        <v>10</v>
      </c>
      <c r="BV171" s="239" cm="1">
        <f t="array" ref="BV171">_xlfn.IFS(BS171="Foreword vehicle",BU171*0,BS171="Human wastes",BU171*0,BS171="Jerrycans",BU171*$BV$228,BS171="Number of Basins",BU171*$BV$229,BS171="Number of Buckets",BU171*$CA$226,BS171="Number of Kgs",BU171*$CA$227,BS171="Number of spades",BU171*$CA$228,BS171="Number of wheelbarrows",BU171*$CA$229,BT171="Foreword vehicle",BU171*0,BT171="Human wastes",BU171*0,BT171="Jerrycans",BU171*$BV$228,BS171="","")</f>
        <v>30</v>
      </c>
      <c r="BW171" s="239">
        <f>IF(BV171="","",Table14[[#This Row],[Calculation: Conversion of metric to Kg manure feeding (Columns: BP, BQ, BR)]]*Table14[[#This Row],[Number of times used to feed biodigester]])</f>
        <v>90</v>
      </c>
      <c r="BX171" s="239" cm="1">
        <f t="array" ref="BX171">_xlfn.IFS(BP171="Number of times per day (1 to 3)",BW171/$BX$226,BP171="Number of times per week (1 to 6)",BW171/$BX$227,BP171="Number of times per Month (1 to 3)",BW171/$BX$228,BW171="","")</f>
        <v>12.857142857142858</v>
      </c>
      <c r="BY171" s="239" t="s">
        <v>31650</v>
      </c>
      <c r="BZ171" s="239" t="s">
        <v>4</v>
      </c>
      <c r="CA171" s="239" t="s">
        <v>2</v>
      </c>
      <c r="CB171" s="239" t="s">
        <v>4</v>
      </c>
      <c r="CC171" s="239" t="s">
        <v>4</v>
      </c>
      <c r="CD171" s="239" t="s">
        <v>4</v>
      </c>
      <c r="CE171" s="239" t="s">
        <v>7</v>
      </c>
      <c r="CF171" s="239" t="s">
        <v>31749</v>
      </c>
      <c r="CG171" s="239" t="s">
        <v>4</v>
      </c>
      <c r="CH171" s="239" t="s">
        <v>31604</v>
      </c>
      <c r="CI171" s="239">
        <v>2</v>
      </c>
      <c r="CJ171" s="239">
        <v>0</v>
      </c>
      <c r="CK171" s="239">
        <v>0</v>
      </c>
      <c r="CL171" s="239">
        <v>0</v>
      </c>
      <c r="CM171" s="239">
        <v>0</v>
      </c>
      <c r="CN171" s="239">
        <v>0</v>
      </c>
      <c r="CO171" s="239">
        <v>0</v>
      </c>
      <c r="CP171" s="239">
        <v>0</v>
      </c>
      <c r="CQ171" s="239">
        <v>0</v>
      </c>
      <c r="CR171" s="239">
        <v>0</v>
      </c>
      <c r="CS171" s="239">
        <f>CP171/'SDG outcome'!$C$9*CQ171*CR171</f>
        <v>0</v>
      </c>
      <c r="CT171" s="239">
        <v>100</v>
      </c>
      <c r="CU171" s="239">
        <v>0</v>
      </c>
      <c r="CV171" s="239" t="s">
        <v>4</v>
      </c>
      <c r="CW171" s="239" t="s">
        <v>4</v>
      </c>
      <c r="CX171" s="239" t="s">
        <v>4</v>
      </c>
      <c r="CY171" s="239" t="s">
        <v>4</v>
      </c>
      <c r="CZ171" s="239" t="s">
        <v>4</v>
      </c>
      <c r="DA171" s="239" t="s">
        <v>4</v>
      </c>
      <c r="DB171" s="239" t="s">
        <v>4</v>
      </c>
      <c r="DC171" s="239" t="s">
        <v>4</v>
      </c>
      <c r="DD171" s="239" t="s">
        <v>4</v>
      </c>
      <c r="DE171" s="239" t="s">
        <v>4</v>
      </c>
      <c r="DF171" s="239" t="s">
        <v>4</v>
      </c>
      <c r="DG171" s="239" t="s">
        <v>4</v>
      </c>
      <c r="DH171" s="239" t="s">
        <v>4</v>
      </c>
      <c r="DI171" s="239" t="s">
        <v>4</v>
      </c>
      <c r="DJ171" s="239" t="s">
        <v>4</v>
      </c>
      <c r="DK171" s="239" t="s">
        <v>4</v>
      </c>
      <c r="DL171" s="239" t="s">
        <v>4</v>
      </c>
      <c r="DM171" s="239" t="s">
        <v>4</v>
      </c>
      <c r="DN171" s="239" t="s">
        <v>4</v>
      </c>
      <c r="DO171" s="239">
        <v>2</v>
      </c>
      <c r="DP171" s="239" t="s">
        <v>2</v>
      </c>
      <c r="DQ171" s="239" t="s">
        <v>29375</v>
      </c>
      <c r="DR171" s="239" t="s">
        <v>4</v>
      </c>
      <c r="DS171" s="239" t="s">
        <v>4</v>
      </c>
      <c r="DT171" s="240" t="s">
        <v>4</v>
      </c>
      <c r="DU171" s="239" t="s">
        <v>29293</v>
      </c>
      <c r="DV171" s="240">
        <v>150000</v>
      </c>
      <c r="DW171" s="239" t="s">
        <v>29295</v>
      </c>
      <c r="DX171" s="239">
        <v>100</v>
      </c>
      <c r="DY171" s="239" t="s">
        <v>29296</v>
      </c>
      <c r="DZ171" s="239">
        <v>100</v>
      </c>
      <c r="EA171" s="239"/>
      <c r="EB171" s="239"/>
      <c r="EC171" s="239"/>
      <c r="ED171" s="239"/>
      <c r="EE171" s="320">
        <f>Table14[[#This Row],[% Fertilizer]]*$DX171/10000</f>
        <v>1</v>
      </c>
      <c r="EF171" s="320">
        <f>Table14[[#This Row],[% bioslurry used as Insecticide/Pesticide]]*$DX171/10000</f>
        <v>0</v>
      </c>
      <c r="EG171" s="320">
        <f>Table14[[#This Row],[% of Bioslurry used as animal feed]]*$DX171/10000</f>
        <v>0</v>
      </c>
      <c r="EH171" s="320">
        <f>Table14[[#This Row],[% of Bioslurry sold]]*$DX171/10000</f>
        <v>0</v>
      </c>
      <c r="EI171" s="320">
        <f>Table14[[#This Row],[% used other way(if used directly)]]*$DX171/10000</f>
        <v>0</v>
      </c>
      <c r="EJ171" s="239"/>
      <c r="EK171" s="239"/>
      <c r="EL171" s="239"/>
      <c r="EM171" s="239"/>
      <c r="EN171" s="239"/>
      <c r="EO171" s="239">
        <f>(Table14[[#This Row],[% Uncovered lagoon greater than 1 meter]]+Table14[[#This Row],[Uncovered lagoon (black watery mass) &lt;1 meter]]+Table14[[#This Row],[% Liquid slurry (brown porridge type)]])*Table14[[#This Row],[% Store it first]]/100</f>
        <v>0</v>
      </c>
      <c r="EP171" s="239"/>
      <c r="EQ171" s="239"/>
      <c r="ER171" s="239"/>
      <c r="ES171" s="239"/>
      <c r="ET171" s="239">
        <f>(Table14[[#This Row],[% Solid storage]]+Table14[[#This Row],[% Sun drying]]+Table14[[#This Row],[% Composting with a roof]]+Table14[[#This Row],[% Composting without a roof]])*Table14[[#This Row],[% Store it first]]/100</f>
        <v>0</v>
      </c>
      <c r="EU171" s="239"/>
      <c r="EV171" s="320">
        <f t="shared" si="15"/>
        <v>0</v>
      </c>
      <c r="EW171" s="320">
        <f t="shared" si="16"/>
        <v>0</v>
      </c>
      <c r="EX171" s="320">
        <f t="shared" si="17"/>
        <v>0</v>
      </c>
      <c r="EY171" s="320">
        <f t="shared" si="18"/>
        <v>0</v>
      </c>
      <c r="EZ171" s="320">
        <f t="shared" si="19"/>
        <v>0</v>
      </c>
      <c r="FA171" s="239"/>
      <c r="FB171" s="239"/>
      <c r="FC171" s="239"/>
      <c r="FD171" s="239">
        <f>Table14[[#This Row],[% I donâ€™t use it / discarded]]+Table14[[#This Row],[% Other (specify)(If you use bioslurry directly)]]+Table14[[#This Row],[% Store it first]]+Table14[[#This Row],[% Use directly for various purposes]]</f>
        <v>100</v>
      </c>
      <c r="FE171" s="239" t="s">
        <v>4</v>
      </c>
      <c r="FF171" s="239"/>
      <c r="FG171" s="239"/>
      <c r="FH171" s="239"/>
      <c r="FI171" s="239"/>
      <c r="FJ171" s="239"/>
      <c r="FK171" s="239" t="s">
        <v>4</v>
      </c>
      <c r="FL171" s="239" t="s">
        <v>7</v>
      </c>
      <c r="FM171" s="239">
        <v>100</v>
      </c>
      <c r="FN171" s="239"/>
      <c r="FO171" s="239" t="s">
        <v>30472</v>
      </c>
      <c r="FP171" s="239" t="s">
        <v>29298</v>
      </c>
      <c r="FQ171" s="239">
        <v>52</v>
      </c>
      <c r="FR171" s="239" t="s">
        <v>2</v>
      </c>
      <c r="FS171" s="239" t="s">
        <v>4</v>
      </c>
      <c r="FT171" s="239" t="s">
        <v>4</v>
      </c>
      <c r="FU171" s="239" t="s">
        <v>2</v>
      </c>
      <c r="FV171" s="239" t="s">
        <v>4</v>
      </c>
      <c r="FW171" s="239" t="s">
        <v>4</v>
      </c>
      <c r="FX171" s="239" t="s">
        <v>4</v>
      </c>
      <c r="FY171" s="239" t="s">
        <v>4</v>
      </c>
      <c r="FZ171" s="239" t="s">
        <v>4</v>
      </c>
      <c r="GA171" s="239" t="s">
        <v>4</v>
      </c>
      <c r="GB171" s="240" t="s">
        <v>4</v>
      </c>
      <c r="GC171" s="239" t="s">
        <v>4</v>
      </c>
      <c r="GD171" s="239" t="s">
        <v>7</v>
      </c>
      <c r="GE171" s="239" t="s">
        <v>29301</v>
      </c>
      <c r="GF171" s="239" t="s">
        <v>4</v>
      </c>
      <c r="GG171" s="239" t="s">
        <v>7</v>
      </c>
      <c r="GH171" s="239" t="s">
        <v>7</v>
      </c>
      <c r="GI171" s="239" t="s">
        <v>29302</v>
      </c>
      <c r="GJ171" s="239" t="s">
        <v>29817</v>
      </c>
      <c r="GK171" s="239" t="s">
        <v>4</v>
      </c>
      <c r="GL171" s="239">
        <v>0</v>
      </c>
      <c r="GM171" s="239"/>
      <c r="GN171" s="239" t="s">
        <v>4</v>
      </c>
      <c r="GO171" s="239" t="s">
        <v>4</v>
      </c>
      <c r="GP171" s="239" t="s">
        <v>4</v>
      </c>
      <c r="GQ171" s="239" t="s">
        <v>4</v>
      </c>
      <c r="GR171" s="239" t="s">
        <v>4</v>
      </c>
      <c r="GS171" s="239" t="s">
        <v>4</v>
      </c>
      <c r="GT171" s="239" t="s">
        <v>4</v>
      </c>
      <c r="GU171" s="239" t="s">
        <v>4</v>
      </c>
      <c r="GV171" s="239" t="s">
        <v>4</v>
      </c>
      <c r="GW171" s="239" t="s">
        <v>29433</v>
      </c>
      <c r="GX171" s="239" t="s">
        <v>4</v>
      </c>
      <c r="GY171" s="239" t="s">
        <v>4</v>
      </c>
      <c r="GZ171" s="239" t="s">
        <v>4</v>
      </c>
      <c r="HA171" s="239" t="s">
        <v>4</v>
      </c>
      <c r="HB171" s="239" t="s">
        <v>4</v>
      </c>
      <c r="HC171" s="239" t="s">
        <v>4</v>
      </c>
      <c r="HD171" s="239" t="s">
        <v>4</v>
      </c>
      <c r="HE171" s="239" t="s">
        <v>4</v>
      </c>
      <c r="HF171" s="239" t="s">
        <v>29353</v>
      </c>
      <c r="HG171" s="239" t="s">
        <v>4</v>
      </c>
      <c r="HH171" s="239" t="s">
        <v>29354</v>
      </c>
      <c r="HI171" s="239" t="s">
        <v>4</v>
      </c>
      <c r="HJ171" s="240">
        <v>200</v>
      </c>
      <c r="HK171" s="239" t="s">
        <v>2</v>
      </c>
      <c r="HL171" s="239" t="s">
        <v>29309</v>
      </c>
      <c r="HM171" s="239" t="s">
        <v>4</v>
      </c>
      <c r="HN171" s="239" t="s">
        <v>4</v>
      </c>
      <c r="HO171" s="239" t="s">
        <v>4</v>
      </c>
      <c r="HP171" s="239" t="s">
        <v>4</v>
      </c>
      <c r="HQ171" s="239" t="s">
        <v>4</v>
      </c>
      <c r="HR171" s="239" t="s">
        <v>4</v>
      </c>
      <c r="HS171" s="239" t="s">
        <v>4</v>
      </c>
      <c r="HT171" s="239" t="s">
        <v>4</v>
      </c>
      <c r="HU171" s="239" t="s">
        <v>2</v>
      </c>
      <c r="HV171" s="239" t="s">
        <v>4</v>
      </c>
      <c r="HW171" s="239" t="s">
        <v>4</v>
      </c>
      <c r="HX171" s="239" t="s">
        <v>4</v>
      </c>
      <c r="HY171" s="239" t="s">
        <v>4</v>
      </c>
      <c r="HZ171" s="239" t="s">
        <v>30473</v>
      </c>
      <c r="IA171" s="239" t="s">
        <v>7</v>
      </c>
      <c r="IB171" s="239" t="s">
        <v>30474</v>
      </c>
      <c r="IC171" s="239" t="s">
        <v>30475</v>
      </c>
      <c r="ID171" s="239" t="s">
        <v>30476</v>
      </c>
      <c r="IE171" s="239" t="s">
        <v>30477</v>
      </c>
      <c r="IF171" s="239" t="s">
        <v>30478</v>
      </c>
      <c r="IG171" s="239" t="s">
        <v>30479</v>
      </c>
      <c r="IH171" s="239" t="s">
        <v>30469</v>
      </c>
    </row>
    <row r="172" spans="1:242" s="1" customFormat="1" ht="36.75" customHeight="1" x14ac:dyDescent="0.2">
      <c r="A172" s="239">
        <v>110</v>
      </c>
      <c r="B172" s="239" t="s">
        <v>6695</v>
      </c>
      <c r="C172" s="239" t="s">
        <v>30500</v>
      </c>
      <c r="D172" s="239" t="s">
        <v>83</v>
      </c>
      <c r="E172" s="239" t="s">
        <v>7</v>
      </c>
      <c r="F172" s="239" t="s">
        <v>30501</v>
      </c>
      <c r="G172" s="239">
        <v>1176.238525</v>
      </c>
      <c r="H172" s="239">
        <v>4.2880000000000003</v>
      </c>
      <c r="I172" s="239" t="s">
        <v>29288</v>
      </c>
      <c r="J172" s="239" t="s">
        <v>4</v>
      </c>
      <c r="K172" s="239" t="s">
        <v>30502</v>
      </c>
      <c r="L172" s="239">
        <v>752973326</v>
      </c>
      <c r="M172" s="239" t="s">
        <v>3</v>
      </c>
      <c r="N172" s="239" t="s">
        <v>31598</v>
      </c>
      <c r="O172" s="239" t="s">
        <v>4</v>
      </c>
      <c r="P172" s="239">
        <v>8</v>
      </c>
      <c r="Q172" s="239" t="s">
        <v>7</v>
      </c>
      <c r="R172" s="239" t="s">
        <v>31535</v>
      </c>
      <c r="S172" s="239" t="s">
        <v>4</v>
      </c>
      <c r="T172" s="239" t="s">
        <v>7</v>
      </c>
      <c r="U172" s="239" t="s">
        <v>7</v>
      </c>
      <c r="V172" s="239"/>
      <c r="W172" s="239" t="s">
        <v>7</v>
      </c>
      <c r="X172" s="239" t="s">
        <v>4</v>
      </c>
      <c r="Y172" s="239" t="s">
        <v>4</v>
      </c>
      <c r="Z172" s="241" t="str">
        <f>IF(OR(T172="yes",Y172&gt;'SDG outcome'!$C$27),"yes","no")</f>
        <v>yes</v>
      </c>
      <c r="AA172" s="243">
        <f t="shared" si="13"/>
        <v>0</v>
      </c>
      <c r="AB172" s="243" t="str">
        <f>IF(AND(Z172="no",AND(Y172&gt;='SDG outcome'!$B$16,Y172&lt;'SDG outcome'!$C$27)),Y172-'SDG outcome'!$B$16,"")</f>
        <v/>
      </c>
      <c r="AC172" s="239" t="s">
        <v>4</v>
      </c>
      <c r="AD172" s="239" t="s">
        <v>4</v>
      </c>
      <c r="AE172" s="239" t="s">
        <v>4</v>
      </c>
      <c r="AF172" s="239" t="s">
        <v>4</v>
      </c>
      <c r="AG172" s="239" t="s">
        <v>4</v>
      </c>
      <c r="AH172" s="239" t="s">
        <v>4</v>
      </c>
      <c r="AI172" s="239" t="s">
        <v>4</v>
      </c>
      <c r="AJ172" s="239" t="s">
        <v>29290</v>
      </c>
      <c r="AK172" s="239" t="s">
        <v>29694</v>
      </c>
      <c r="AL172" s="239" t="s">
        <v>4</v>
      </c>
      <c r="AM172" s="239" t="s">
        <v>4</v>
      </c>
      <c r="AN172" s="239" t="s">
        <v>31718</v>
      </c>
      <c r="AO172" s="239" t="s">
        <v>4</v>
      </c>
      <c r="AP172" s="239" t="s">
        <v>31600</v>
      </c>
      <c r="AQ172" s="239" t="s">
        <v>4</v>
      </c>
      <c r="AR172" s="239" t="s">
        <v>31538</v>
      </c>
      <c r="AS172" s="239" t="s">
        <v>4</v>
      </c>
      <c r="AT172" s="239" t="s">
        <v>7</v>
      </c>
      <c r="AU172" s="239" t="s">
        <v>4</v>
      </c>
      <c r="AV172" s="239" t="s">
        <v>4</v>
      </c>
      <c r="AW172" s="239" t="s">
        <v>31539</v>
      </c>
      <c r="AX172" s="239" t="s">
        <v>4</v>
      </c>
      <c r="AY172" s="239" t="s">
        <v>4</v>
      </c>
      <c r="AZ172" s="239" t="s">
        <v>2</v>
      </c>
      <c r="BA172" s="239" t="s">
        <v>4</v>
      </c>
      <c r="BB172" s="239" t="s">
        <v>4</v>
      </c>
      <c r="BC172" s="239" t="s">
        <v>31563</v>
      </c>
      <c r="BD172" s="239" t="s">
        <v>22</v>
      </c>
      <c r="BE172" s="239" t="s">
        <v>4</v>
      </c>
      <c r="BF172" s="239" t="s">
        <v>31564</v>
      </c>
      <c r="BG172" s="239" t="s">
        <v>4</v>
      </c>
      <c r="BH172" s="239" t="s">
        <v>31542</v>
      </c>
      <c r="BI172" s="239" t="s">
        <v>31898</v>
      </c>
      <c r="BJ172" s="239" t="s">
        <v>31632</v>
      </c>
      <c r="BK172" s="239">
        <v>4</v>
      </c>
      <c r="BL172" s="239">
        <v>20</v>
      </c>
      <c r="BM172" s="239" t="s">
        <v>7</v>
      </c>
      <c r="BN172" s="239" t="s">
        <v>6</v>
      </c>
      <c r="BO172" s="239" t="s">
        <v>4</v>
      </c>
      <c r="BP172" s="239" t="s">
        <v>31425</v>
      </c>
      <c r="BQ172" s="239">
        <v>1</v>
      </c>
      <c r="BR172" s="239">
        <v>10</v>
      </c>
      <c r="BS172" s="239" t="s">
        <v>13</v>
      </c>
      <c r="BT172" s="239" t="s">
        <v>31899</v>
      </c>
      <c r="BU172" s="239"/>
      <c r="BV172" s="239"/>
      <c r="BW172" s="239"/>
      <c r="BX172" s="239"/>
      <c r="BY172" s="239" t="s">
        <v>22</v>
      </c>
      <c r="BZ172" s="239" t="s">
        <v>4</v>
      </c>
      <c r="CA172" s="239" t="s">
        <v>2</v>
      </c>
      <c r="CB172" s="239" t="s">
        <v>4</v>
      </c>
      <c r="CC172" s="239" t="s">
        <v>4</v>
      </c>
      <c r="CD172" s="239" t="s">
        <v>4</v>
      </c>
      <c r="CE172" s="239" t="s">
        <v>7</v>
      </c>
      <c r="CF172" s="239" t="s">
        <v>31900</v>
      </c>
      <c r="CG172" s="239" t="s">
        <v>4</v>
      </c>
      <c r="CH172" s="239" t="s">
        <v>31604</v>
      </c>
      <c r="CI172" s="239">
        <v>2</v>
      </c>
      <c r="CJ172" s="239">
        <v>0</v>
      </c>
      <c r="CK172" s="239">
        <v>0</v>
      </c>
      <c r="CL172" s="239">
        <v>0</v>
      </c>
      <c r="CM172" s="239">
        <v>0</v>
      </c>
      <c r="CN172" s="239">
        <v>0</v>
      </c>
      <c r="CO172" s="239">
        <v>0</v>
      </c>
      <c r="CP172" s="239">
        <v>0</v>
      </c>
      <c r="CQ172" s="239">
        <v>0</v>
      </c>
      <c r="CR172" s="239">
        <v>0</v>
      </c>
      <c r="CS172" s="239">
        <f>CP172/'SDG outcome'!$C$9*CQ172*CR172</f>
        <v>0</v>
      </c>
      <c r="CT172" s="239">
        <v>100</v>
      </c>
      <c r="CU172" s="239">
        <v>0</v>
      </c>
      <c r="CV172" s="239" t="s">
        <v>4</v>
      </c>
      <c r="CW172" s="239" t="s">
        <v>4</v>
      </c>
      <c r="CX172" s="239" t="s">
        <v>4</v>
      </c>
      <c r="CY172" s="239" t="s">
        <v>4</v>
      </c>
      <c r="CZ172" s="239" t="s">
        <v>4</v>
      </c>
      <c r="DA172" s="239" t="s">
        <v>4</v>
      </c>
      <c r="DB172" s="239" t="s">
        <v>4</v>
      </c>
      <c r="DC172" s="239" t="s">
        <v>4</v>
      </c>
      <c r="DD172" s="239" t="s">
        <v>4</v>
      </c>
      <c r="DE172" s="239" t="s">
        <v>4</v>
      </c>
      <c r="DF172" s="239" t="s">
        <v>4</v>
      </c>
      <c r="DG172" s="239" t="s">
        <v>4</v>
      </c>
      <c r="DH172" s="239" t="s">
        <v>4</v>
      </c>
      <c r="DI172" s="239" t="s">
        <v>4</v>
      </c>
      <c r="DJ172" s="239" t="s">
        <v>4</v>
      </c>
      <c r="DK172" s="239" t="s">
        <v>4</v>
      </c>
      <c r="DL172" s="239" t="s">
        <v>4</v>
      </c>
      <c r="DM172" s="239" t="s">
        <v>4</v>
      </c>
      <c r="DN172" s="239" t="s">
        <v>4</v>
      </c>
      <c r="DO172" s="239">
        <v>1</v>
      </c>
      <c r="DP172" s="239" t="s">
        <v>7</v>
      </c>
      <c r="DQ172" s="239" t="s">
        <v>29375</v>
      </c>
      <c r="DR172" s="239" t="s">
        <v>4</v>
      </c>
      <c r="DS172" s="239" t="s">
        <v>4</v>
      </c>
      <c r="DT172" s="240" t="s">
        <v>4</v>
      </c>
      <c r="DU172" s="239" t="s">
        <v>29294</v>
      </c>
      <c r="DV172" s="240" t="s">
        <v>4</v>
      </c>
      <c r="DW172" s="239" t="s">
        <v>29295</v>
      </c>
      <c r="DX172" s="239">
        <v>100</v>
      </c>
      <c r="DY172" s="239" t="s">
        <v>29296</v>
      </c>
      <c r="DZ172" s="239">
        <v>100</v>
      </c>
      <c r="EA172" s="239"/>
      <c r="EB172" s="239"/>
      <c r="EC172" s="239"/>
      <c r="ED172" s="239"/>
      <c r="EE172" s="320">
        <f>Table14[[#This Row],[% Fertilizer]]*$DX172/10000</f>
        <v>1</v>
      </c>
      <c r="EF172" s="320">
        <f>Table14[[#This Row],[% bioslurry used as Insecticide/Pesticide]]*$DX172/10000</f>
        <v>0</v>
      </c>
      <c r="EG172" s="320">
        <f>Table14[[#This Row],[% of Bioslurry used as animal feed]]*$DX172/10000</f>
        <v>0</v>
      </c>
      <c r="EH172" s="320">
        <f>Table14[[#This Row],[% of Bioslurry sold]]*$DX172/10000</f>
        <v>0</v>
      </c>
      <c r="EI172" s="320">
        <f>Table14[[#This Row],[% used other way(if used directly)]]*$DX172/10000</f>
        <v>0</v>
      </c>
      <c r="EJ172" s="239"/>
      <c r="EK172" s="239"/>
      <c r="EL172" s="239"/>
      <c r="EM172" s="239"/>
      <c r="EN172" s="239"/>
      <c r="EO172" s="239">
        <f>(Table14[[#This Row],[% Uncovered lagoon greater than 1 meter]]+Table14[[#This Row],[Uncovered lagoon (black watery mass) &lt;1 meter]]+Table14[[#This Row],[% Liquid slurry (brown porridge type)]])*Table14[[#This Row],[% Store it first]]/100</f>
        <v>0</v>
      </c>
      <c r="EP172" s="239"/>
      <c r="EQ172" s="239"/>
      <c r="ER172" s="239"/>
      <c r="ES172" s="239"/>
      <c r="ET172" s="239">
        <f>(Table14[[#This Row],[% Solid storage]]+Table14[[#This Row],[% Sun drying]]+Table14[[#This Row],[% Composting with a roof]]+Table14[[#This Row],[% Composting without a roof]])*Table14[[#This Row],[% Store it first]]/100</f>
        <v>0</v>
      </c>
      <c r="EU172" s="239"/>
      <c r="EV172" s="320">
        <f t="shared" si="15"/>
        <v>0</v>
      </c>
      <c r="EW172" s="320">
        <f t="shared" si="16"/>
        <v>0</v>
      </c>
      <c r="EX172" s="320">
        <f t="shared" si="17"/>
        <v>0</v>
      </c>
      <c r="EY172" s="320">
        <f t="shared" si="18"/>
        <v>0</v>
      </c>
      <c r="EZ172" s="320">
        <f t="shared" si="19"/>
        <v>0</v>
      </c>
      <c r="FA172" s="239"/>
      <c r="FB172" s="239"/>
      <c r="FC172" s="239"/>
      <c r="FD172" s="239">
        <f>Table14[[#This Row],[% I donâ€™t use it / discarded]]+Table14[[#This Row],[% Other (specify)(If you use bioslurry directly)]]+Table14[[#This Row],[% Store it first]]+Table14[[#This Row],[% Use directly for various purposes]]</f>
        <v>100</v>
      </c>
      <c r="FE172" s="239" t="s">
        <v>4</v>
      </c>
      <c r="FF172" s="239"/>
      <c r="FG172" s="239"/>
      <c r="FH172" s="239"/>
      <c r="FI172" s="239"/>
      <c r="FJ172" s="239"/>
      <c r="FK172" s="239">
        <v>6</v>
      </c>
      <c r="FL172" s="239" t="s">
        <v>7</v>
      </c>
      <c r="FM172" s="239">
        <v>40</v>
      </c>
      <c r="FN172" s="239">
        <f>FK172*FM172/100</f>
        <v>2.4</v>
      </c>
      <c r="FO172" s="239" t="s">
        <v>30503</v>
      </c>
      <c r="FP172" s="239" t="s">
        <v>29298</v>
      </c>
      <c r="FQ172" s="239">
        <v>6</v>
      </c>
      <c r="FR172" s="239" t="s">
        <v>7</v>
      </c>
      <c r="FS172" s="239" t="s">
        <v>29299</v>
      </c>
      <c r="FT172" s="239" t="s">
        <v>4</v>
      </c>
      <c r="FU172" s="239" t="s">
        <v>2</v>
      </c>
      <c r="FV172" s="239" t="s">
        <v>4</v>
      </c>
      <c r="FW172" s="239" t="s">
        <v>4</v>
      </c>
      <c r="FX172" s="239" t="s">
        <v>4</v>
      </c>
      <c r="FY172" s="239" t="s">
        <v>4</v>
      </c>
      <c r="FZ172" s="239" t="s">
        <v>4</v>
      </c>
      <c r="GA172" s="239" t="s">
        <v>4</v>
      </c>
      <c r="GB172" s="240" t="s">
        <v>4</v>
      </c>
      <c r="GC172" s="239" t="s">
        <v>4</v>
      </c>
      <c r="GD172" s="239" t="s">
        <v>2</v>
      </c>
      <c r="GE172" s="239" t="s">
        <v>4</v>
      </c>
      <c r="GF172" s="239" t="s">
        <v>4</v>
      </c>
      <c r="GG172" s="239" t="s">
        <v>7</v>
      </c>
      <c r="GH172" s="239" t="s">
        <v>7</v>
      </c>
      <c r="GI172" s="239" t="s">
        <v>29302</v>
      </c>
      <c r="GJ172" s="239" t="s">
        <v>30504</v>
      </c>
      <c r="GK172" s="239" t="s">
        <v>29304</v>
      </c>
      <c r="GL172" s="239">
        <v>5</v>
      </c>
      <c r="GM172" s="239" t="s">
        <v>29305</v>
      </c>
      <c r="GN172" s="239" t="s">
        <v>29339</v>
      </c>
      <c r="GO172" s="239" t="s">
        <v>4</v>
      </c>
      <c r="GP172" s="239" t="s">
        <v>4</v>
      </c>
      <c r="GQ172" s="239" t="s">
        <v>4</v>
      </c>
      <c r="GR172" s="239" t="s">
        <v>4</v>
      </c>
      <c r="GS172" s="239" t="s">
        <v>4</v>
      </c>
      <c r="GT172" s="239" t="s">
        <v>4</v>
      </c>
      <c r="GU172" s="239" t="s">
        <v>4</v>
      </c>
      <c r="GV172" s="239" t="s">
        <v>4</v>
      </c>
      <c r="GW172" s="239" t="s">
        <v>4</v>
      </c>
      <c r="GX172" s="239" t="s">
        <v>4</v>
      </c>
      <c r="GY172" s="239" t="s">
        <v>4</v>
      </c>
      <c r="GZ172" s="239" t="s">
        <v>4</v>
      </c>
      <c r="HA172" s="239" t="s">
        <v>4</v>
      </c>
      <c r="HB172" s="239" t="s">
        <v>4</v>
      </c>
      <c r="HC172" s="239" t="s">
        <v>4</v>
      </c>
      <c r="HD172" s="239" t="s">
        <v>4</v>
      </c>
      <c r="HE172" s="239" t="s">
        <v>4</v>
      </c>
      <c r="HF172" s="239" t="s">
        <v>4</v>
      </c>
      <c r="HG172" s="239" t="s">
        <v>4</v>
      </c>
      <c r="HH172" s="239" t="s">
        <v>29847</v>
      </c>
      <c r="HI172" s="239" t="s">
        <v>4</v>
      </c>
      <c r="HJ172" s="240">
        <v>0</v>
      </c>
      <c r="HK172" s="239" t="s">
        <v>2</v>
      </c>
      <c r="HL172" s="239" t="s">
        <v>29309</v>
      </c>
      <c r="HM172" s="239" t="s">
        <v>4</v>
      </c>
      <c r="HN172" s="239" t="s">
        <v>4</v>
      </c>
      <c r="HO172" s="239" t="s">
        <v>4</v>
      </c>
      <c r="HP172" s="239" t="s">
        <v>4</v>
      </c>
      <c r="HQ172" s="239" t="s">
        <v>4</v>
      </c>
      <c r="HR172" s="239" t="s">
        <v>4</v>
      </c>
      <c r="HS172" s="239" t="s">
        <v>4</v>
      </c>
      <c r="HT172" s="239" t="s">
        <v>4</v>
      </c>
      <c r="HU172" s="239" t="s">
        <v>2</v>
      </c>
      <c r="HV172" s="239" t="s">
        <v>4</v>
      </c>
      <c r="HW172" s="239" t="s">
        <v>4</v>
      </c>
      <c r="HX172" s="239" t="s">
        <v>4</v>
      </c>
      <c r="HY172" s="239" t="s">
        <v>4</v>
      </c>
      <c r="HZ172" s="239" t="s">
        <v>16</v>
      </c>
      <c r="IA172" s="239" t="s">
        <v>2</v>
      </c>
      <c r="IB172" s="239" t="s">
        <v>4</v>
      </c>
      <c r="IC172" s="239" t="s">
        <v>16</v>
      </c>
      <c r="ID172" s="239" t="s">
        <v>30505</v>
      </c>
      <c r="IE172" s="239" t="s">
        <v>30506</v>
      </c>
      <c r="IF172" s="239" t="s">
        <v>30507</v>
      </c>
      <c r="IG172" s="239" t="s">
        <v>30508</v>
      </c>
      <c r="IH172" s="239" t="s">
        <v>30509</v>
      </c>
    </row>
    <row r="173" spans="1:242" s="1" customFormat="1" ht="36.75" customHeight="1" x14ac:dyDescent="0.2">
      <c r="A173" s="239">
        <v>111</v>
      </c>
      <c r="B173" s="239" t="s">
        <v>28133</v>
      </c>
      <c r="C173" s="239" t="s">
        <v>30510</v>
      </c>
      <c r="D173" s="239" t="s">
        <v>30511</v>
      </c>
      <c r="E173" s="239" t="s">
        <v>7</v>
      </c>
      <c r="F173" s="239" t="s">
        <v>30512</v>
      </c>
      <c r="G173" s="239">
        <v>1660.5889999999999</v>
      </c>
      <c r="H173" s="239">
        <v>1.6042130000000001</v>
      </c>
      <c r="I173" s="239" t="s">
        <v>29349</v>
      </c>
      <c r="J173" s="239" t="s">
        <v>4</v>
      </c>
      <c r="K173" s="239" t="s">
        <v>30513</v>
      </c>
      <c r="L173" s="239">
        <v>751977027</v>
      </c>
      <c r="M173" s="239" t="s">
        <v>3</v>
      </c>
      <c r="N173" s="239" t="s">
        <v>31590</v>
      </c>
      <c r="O173" s="239" t="s">
        <v>4</v>
      </c>
      <c r="P173" s="239">
        <v>3</v>
      </c>
      <c r="Q173" s="239" t="s">
        <v>7</v>
      </c>
      <c r="R173" s="239" t="s">
        <v>31588</v>
      </c>
      <c r="S173" s="239" t="s">
        <v>4</v>
      </c>
      <c r="T173" s="239" t="s">
        <v>7</v>
      </c>
      <c r="U173" s="239" t="s">
        <v>7</v>
      </c>
      <c r="V173" s="239"/>
      <c r="W173" s="239" t="s">
        <v>7</v>
      </c>
      <c r="X173" s="239" t="s">
        <v>4</v>
      </c>
      <c r="Y173" s="239" t="s">
        <v>4</v>
      </c>
      <c r="Z173" s="241" t="str">
        <f>IF(OR(T173="yes",Y173&gt;'SDG outcome'!$C$27),"yes","no")</f>
        <v>yes</v>
      </c>
      <c r="AA173" s="243">
        <f t="shared" si="13"/>
        <v>0</v>
      </c>
      <c r="AB173" s="243" t="str">
        <f>IF(AND(Z173="no",AND(Y173&gt;='SDG outcome'!$B$16,Y173&lt;'SDG outcome'!$C$27)),Y173-'SDG outcome'!$B$16,"")</f>
        <v/>
      </c>
      <c r="AC173" s="239" t="s">
        <v>4</v>
      </c>
      <c r="AD173" s="239" t="s">
        <v>4</v>
      </c>
      <c r="AE173" s="239" t="s">
        <v>4</v>
      </c>
      <c r="AF173" s="239" t="s">
        <v>4</v>
      </c>
      <c r="AG173" s="239" t="s">
        <v>4</v>
      </c>
      <c r="AH173" s="239" t="s">
        <v>4</v>
      </c>
      <c r="AI173" s="239" t="s">
        <v>4</v>
      </c>
      <c r="AJ173" s="239" t="s">
        <v>29290</v>
      </c>
      <c r="AK173" s="239" t="s">
        <v>29694</v>
      </c>
      <c r="AL173" s="239" t="s">
        <v>4</v>
      </c>
      <c r="AM173" s="239" t="s">
        <v>4</v>
      </c>
      <c r="AN173" s="239" t="s">
        <v>31718</v>
      </c>
      <c r="AO173" s="239" t="s">
        <v>4</v>
      </c>
      <c r="AP173" s="239" t="s">
        <v>31537</v>
      </c>
      <c r="AQ173" s="239" t="s">
        <v>4</v>
      </c>
      <c r="AR173" s="239" t="s">
        <v>31538</v>
      </c>
      <c r="AS173" s="239" t="s">
        <v>4</v>
      </c>
      <c r="AT173" s="239" t="s">
        <v>7</v>
      </c>
      <c r="AU173" s="239" t="s">
        <v>4</v>
      </c>
      <c r="AV173" s="239" t="s">
        <v>4</v>
      </c>
      <c r="AW173" s="239" t="s">
        <v>31539</v>
      </c>
      <c r="AX173" s="239" t="s">
        <v>4</v>
      </c>
      <c r="AY173" s="239" t="s">
        <v>4</v>
      </c>
      <c r="AZ173" s="239" t="s">
        <v>2</v>
      </c>
      <c r="BA173" s="239" t="s">
        <v>4</v>
      </c>
      <c r="BB173" s="239" t="s">
        <v>4</v>
      </c>
      <c r="BC173" s="239" t="s">
        <v>31563</v>
      </c>
      <c r="BD173" s="239" t="s">
        <v>14</v>
      </c>
      <c r="BE173" s="239" t="s">
        <v>4</v>
      </c>
      <c r="BF173" s="239" t="s">
        <v>14</v>
      </c>
      <c r="BG173" s="239" t="s">
        <v>4</v>
      </c>
      <c r="BH173" s="239" t="s">
        <v>31542</v>
      </c>
      <c r="BI173" s="239" t="s">
        <v>31822</v>
      </c>
      <c r="BJ173" s="239" t="s">
        <v>31566</v>
      </c>
      <c r="BK173" s="239">
        <v>1</v>
      </c>
      <c r="BL173" s="239">
        <v>45</v>
      </c>
      <c r="BM173" s="239" t="s">
        <v>7</v>
      </c>
      <c r="BN173" s="239" t="s">
        <v>6</v>
      </c>
      <c r="BO173" s="239" t="s">
        <v>4</v>
      </c>
      <c r="BP173" s="239" t="s">
        <v>31429</v>
      </c>
      <c r="BQ173" s="239">
        <v>3</v>
      </c>
      <c r="BR173" s="239">
        <v>40</v>
      </c>
      <c r="BS173" s="239" t="s">
        <v>31435</v>
      </c>
      <c r="BT173" s="239"/>
      <c r="BU173" s="239">
        <v>1</v>
      </c>
      <c r="BV173" s="239" cm="1">
        <f t="array" ref="BV173">_xlfn.IFS(BS173="Foreword vehicle",BU173*0,BS173="Human wastes",BU173*0,BS173="Jerrycans",BU173*$BV$228,BS173="Number of Basins",BU173*$BV$229,BS173="Number of Buckets",BU173*$CA$226,BS173="Number of Kgs",BU173*$CA$227,BS173="Number of spades",BU173*$CA$228,BS173="Number of wheelbarrows",BU173*$CA$229,BT173="Foreword vehicle",BU173*0,BT173="Human wastes",BU173*0,BT173="Jerrycans",BU173*$BV$228,BS173="","")</f>
        <v>70.5</v>
      </c>
      <c r="BW173" s="239">
        <f>IF(BV173="","",Table14[[#This Row],[Calculation: Conversion of metric to Kg manure feeding (Columns: BP, BQ, BR)]]*Table14[[#This Row],[Number of times used to feed biodigester]])</f>
        <v>211.5</v>
      </c>
      <c r="BX173" s="239" cm="1">
        <f t="array" ref="BX173">_xlfn.IFS(BP173="Number of times per day (1 to 3)",BW173/$BX$226,BP173="Number of times per week (1 to 6)",BW173/$BX$227,BP173="Number of times per Month (1 to 3)",BW173/$BX$228,BW173="","")</f>
        <v>30.214285714285715</v>
      </c>
      <c r="BY173" s="239" t="s">
        <v>31552</v>
      </c>
      <c r="BZ173" s="239" t="s">
        <v>4</v>
      </c>
      <c r="CA173" s="239" t="s">
        <v>2</v>
      </c>
      <c r="CB173" s="239" t="s">
        <v>4</v>
      </c>
      <c r="CC173" s="239" t="s">
        <v>4</v>
      </c>
      <c r="CD173" s="239" t="s">
        <v>4</v>
      </c>
      <c r="CE173" s="239" t="s">
        <v>7</v>
      </c>
      <c r="CF173" s="239" t="s">
        <v>31823</v>
      </c>
      <c r="CG173" s="239" t="s">
        <v>4</v>
      </c>
      <c r="CH173" s="239" t="s">
        <v>31604</v>
      </c>
      <c r="CI173" s="239">
        <v>2</v>
      </c>
      <c r="CJ173" s="239">
        <v>0</v>
      </c>
      <c r="CK173" s="239">
        <v>0</v>
      </c>
      <c r="CL173" s="239">
        <v>0</v>
      </c>
      <c r="CM173" s="239">
        <v>0</v>
      </c>
      <c r="CN173" s="239">
        <v>0</v>
      </c>
      <c r="CO173" s="239">
        <v>0</v>
      </c>
      <c r="CP173" s="239">
        <v>0</v>
      </c>
      <c r="CQ173" s="239">
        <v>0</v>
      </c>
      <c r="CR173" s="239">
        <v>0</v>
      </c>
      <c r="CS173" s="239">
        <f>CP173/'SDG outcome'!$C$9*CQ173*CR173</f>
        <v>0</v>
      </c>
      <c r="CT173" s="239">
        <v>90</v>
      </c>
      <c r="CU173" s="239">
        <v>10</v>
      </c>
      <c r="CV173" s="239" t="s">
        <v>31824</v>
      </c>
      <c r="CW173" s="239" t="s">
        <v>4</v>
      </c>
      <c r="CX173" s="239" t="s">
        <v>4</v>
      </c>
      <c r="CY173" s="239" t="s">
        <v>4</v>
      </c>
      <c r="CZ173" s="239" t="s">
        <v>4</v>
      </c>
      <c r="DA173" s="239" t="s">
        <v>4</v>
      </c>
      <c r="DB173" s="239" t="s">
        <v>4</v>
      </c>
      <c r="DC173" s="239" t="s">
        <v>4</v>
      </c>
      <c r="DD173" s="239" t="s">
        <v>4</v>
      </c>
      <c r="DE173" s="239" t="s">
        <v>4</v>
      </c>
      <c r="DF173" s="239" t="s">
        <v>4</v>
      </c>
      <c r="DG173" s="239" t="s">
        <v>4</v>
      </c>
      <c r="DH173" s="239" t="s">
        <v>4</v>
      </c>
      <c r="DI173" s="239" t="s">
        <v>4</v>
      </c>
      <c r="DJ173" s="239" t="s">
        <v>4</v>
      </c>
      <c r="DK173" s="239" t="s">
        <v>4</v>
      </c>
      <c r="DL173" s="239" t="s">
        <v>4</v>
      </c>
      <c r="DM173" s="239" t="s">
        <v>4</v>
      </c>
      <c r="DN173" s="239" t="s">
        <v>4</v>
      </c>
      <c r="DO173" s="239">
        <v>3</v>
      </c>
      <c r="DP173" s="239" t="s">
        <v>7</v>
      </c>
      <c r="DQ173" s="239" t="s">
        <v>29292</v>
      </c>
      <c r="DR173" s="239" t="s">
        <v>4</v>
      </c>
      <c r="DS173" s="239" t="s">
        <v>29294</v>
      </c>
      <c r="DT173" s="240" t="s">
        <v>4</v>
      </c>
      <c r="DU173" s="239" t="s">
        <v>29294</v>
      </c>
      <c r="DV173" s="240" t="s">
        <v>4</v>
      </c>
      <c r="DW173" s="239" t="s">
        <v>29508</v>
      </c>
      <c r="DX173" s="239"/>
      <c r="DY173" s="239"/>
      <c r="DZ173" s="239"/>
      <c r="EA173" s="239"/>
      <c r="EB173" s="239"/>
      <c r="EC173" s="239"/>
      <c r="ED173" s="239"/>
      <c r="EE173" s="320">
        <f>Table14[[#This Row],[% Fertilizer]]*$DX173/10000</f>
        <v>0</v>
      </c>
      <c r="EF173" s="320">
        <f>Table14[[#This Row],[% bioslurry used as Insecticide/Pesticide]]*$DX173/10000</f>
        <v>0</v>
      </c>
      <c r="EG173" s="320">
        <f>Table14[[#This Row],[% of Bioslurry used as animal feed]]*$DX173/10000</f>
        <v>0</v>
      </c>
      <c r="EH173" s="320">
        <f>Table14[[#This Row],[% of Bioslurry sold]]*$DX173/10000</f>
        <v>0</v>
      </c>
      <c r="EI173" s="320">
        <f>Table14[[#This Row],[% used other way(if used directly)]]*$DX173/10000</f>
        <v>0</v>
      </c>
      <c r="EJ173" s="239">
        <v>100</v>
      </c>
      <c r="EK173" s="239" t="s">
        <v>30747</v>
      </c>
      <c r="EL173" s="239"/>
      <c r="EM173" s="239">
        <v>100</v>
      </c>
      <c r="EN173" s="239"/>
      <c r="EO173" s="239">
        <f>(Table14[[#This Row],[% Uncovered lagoon greater than 1 meter]]+Table14[[#This Row],[Uncovered lagoon (black watery mass) &lt;1 meter]]+Table14[[#This Row],[% Liquid slurry (brown porridge type)]])*Table14[[#This Row],[% Store it first]]/100</f>
        <v>100</v>
      </c>
      <c r="EP173" s="239"/>
      <c r="EQ173" s="239"/>
      <c r="ER173" s="239"/>
      <c r="ES173" s="239"/>
      <c r="ET173" s="239">
        <f>(Table14[[#This Row],[% Solid storage]]+Table14[[#This Row],[% Sun drying]]+Table14[[#This Row],[% Composting with a roof]]+Table14[[#This Row],[% Composting without a roof]])*Table14[[#This Row],[% Store it first]]/100</f>
        <v>0</v>
      </c>
      <c r="EU173" s="239">
        <v>30</v>
      </c>
      <c r="EV173" s="320">
        <f t="shared" si="15"/>
        <v>1</v>
      </c>
      <c r="EW173" s="320">
        <f t="shared" si="16"/>
        <v>0</v>
      </c>
      <c r="EX173" s="320">
        <f t="shared" si="17"/>
        <v>0</v>
      </c>
      <c r="EY173" s="320">
        <f t="shared" si="18"/>
        <v>0</v>
      </c>
      <c r="EZ173" s="320">
        <f t="shared" si="19"/>
        <v>0</v>
      </c>
      <c r="FA173" s="239"/>
      <c r="FB173" s="239"/>
      <c r="FC173" s="239"/>
      <c r="FD173" s="239">
        <f>Table14[[#This Row],[% I donâ€™t use it / discarded]]+Table14[[#This Row],[% Other (specify)(If you use bioslurry directly)]]+Table14[[#This Row],[% Store it first]]+Table14[[#This Row],[% Use directly for various purposes]]</f>
        <v>100</v>
      </c>
      <c r="FE173" s="239" t="s">
        <v>29296</v>
      </c>
      <c r="FF173" s="239">
        <v>100</v>
      </c>
      <c r="FG173" s="239"/>
      <c r="FH173" s="239"/>
      <c r="FI173" s="239"/>
      <c r="FJ173" s="239"/>
      <c r="FK173" s="239" t="s">
        <v>9</v>
      </c>
      <c r="FL173" s="239" t="s">
        <v>7</v>
      </c>
      <c r="FM173" s="239">
        <v>80</v>
      </c>
      <c r="FN173" s="239"/>
      <c r="FO173" s="239" t="s">
        <v>30136</v>
      </c>
      <c r="FP173" s="239" t="s">
        <v>29298</v>
      </c>
      <c r="FQ173" s="239">
        <v>120</v>
      </c>
      <c r="FR173" s="239" t="s">
        <v>2</v>
      </c>
      <c r="FS173" s="239" t="s">
        <v>4</v>
      </c>
      <c r="FT173" s="239" t="s">
        <v>4</v>
      </c>
      <c r="FU173" s="239" t="s">
        <v>2</v>
      </c>
      <c r="FV173" s="239" t="s">
        <v>4</v>
      </c>
      <c r="FW173" s="239" t="s">
        <v>4</v>
      </c>
      <c r="FX173" s="239" t="s">
        <v>4</v>
      </c>
      <c r="FY173" s="239" t="s">
        <v>4</v>
      </c>
      <c r="FZ173" s="239" t="s">
        <v>4</v>
      </c>
      <c r="GA173" s="239" t="s">
        <v>4</v>
      </c>
      <c r="GB173" s="240" t="s">
        <v>4</v>
      </c>
      <c r="GC173" s="239" t="s">
        <v>4</v>
      </c>
      <c r="GD173" s="239" t="s">
        <v>2</v>
      </c>
      <c r="GE173" s="239" t="s">
        <v>4</v>
      </c>
      <c r="GF173" s="239" t="s">
        <v>4</v>
      </c>
      <c r="GG173" s="239" t="s">
        <v>2</v>
      </c>
      <c r="GH173" s="239" t="s">
        <v>7</v>
      </c>
      <c r="GI173" s="239" t="s">
        <v>29302</v>
      </c>
      <c r="GJ173" s="239" t="s">
        <v>30514</v>
      </c>
      <c r="GK173" s="239" t="s">
        <v>29433</v>
      </c>
      <c r="GL173" s="239">
        <v>0</v>
      </c>
      <c r="GM173" s="239"/>
      <c r="GN173" s="239" t="s">
        <v>4</v>
      </c>
      <c r="GO173" s="239" t="s">
        <v>4</v>
      </c>
      <c r="GP173" s="239" t="s">
        <v>4</v>
      </c>
      <c r="GQ173" s="239" t="s">
        <v>4</v>
      </c>
      <c r="GR173" s="239" t="s">
        <v>4</v>
      </c>
      <c r="GS173" s="239" t="s">
        <v>4</v>
      </c>
      <c r="GT173" s="239" t="s">
        <v>4</v>
      </c>
      <c r="GU173" s="239" t="s">
        <v>13</v>
      </c>
      <c r="GV173" s="239" t="s">
        <v>30515</v>
      </c>
      <c r="GW173" s="239" t="s">
        <v>4</v>
      </c>
      <c r="GX173" s="239" t="s">
        <v>4</v>
      </c>
      <c r="GY173" s="239" t="s">
        <v>4</v>
      </c>
      <c r="GZ173" s="239" t="s">
        <v>4</v>
      </c>
      <c r="HA173" s="239" t="s">
        <v>4</v>
      </c>
      <c r="HB173" s="239" t="s">
        <v>4</v>
      </c>
      <c r="HC173" s="239" t="s">
        <v>4</v>
      </c>
      <c r="HD173" s="239" t="s">
        <v>4</v>
      </c>
      <c r="HE173" s="239" t="s">
        <v>4</v>
      </c>
      <c r="HF173" s="239" t="s">
        <v>4</v>
      </c>
      <c r="HG173" s="239" t="s">
        <v>4</v>
      </c>
      <c r="HH173" s="239" t="s">
        <v>30516</v>
      </c>
      <c r="HI173" s="239" t="s">
        <v>4</v>
      </c>
      <c r="HJ173" s="240">
        <v>0</v>
      </c>
      <c r="HK173" s="239" t="s">
        <v>2</v>
      </c>
      <c r="HL173" s="239" t="s">
        <v>29837</v>
      </c>
      <c r="HM173" s="239" t="s">
        <v>4</v>
      </c>
      <c r="HN173" s="239" t="s">
        <v>4</v>
      </c>
      <c r="HO173" s="239" t="s">
        <v>4</v>
      </c>
      <c r="HP173" s="239" t="s">
        <v>4</v>
      </c>
      <c r="HQ173" s="239" t="s">
        <v>4</v>
      </c>
      <c r="HR173" s="239" t="s">
        <v>4</v>
      </c>
      <c r="HS173" s="239" t="s">
        <v>4</v>
      </c>
      <c r="HT173" s="239" t="s">
        <v>4</v>
      </c>
      <c r="HU173" s="239" t="s">
        <v>2</v>
      </c>
      <c r="HV173" s="239" t="s">
        <v>4</v>
      </c>
      <c r="HW173" s="239" t="s">
        <v>4</v>
      </c>
      <c r="HX173" s="239" t="s">
        <v>4</v>
      </c>
      <c r="HY173" s="239" t="s">
        <v>4</v>
      </c>
      <c r="HZ173" s="239" t="s">
        <v>30517</v>
      </c>
      <c r="IA173" s="239" t="s">
        <v>2</v>
      </c>
      <c r="IB173" s="239" t="s">
        <v>4</v>
      </c>
      <c r="IC173" s="239" t="s">
        <v>16</v>
      </c>
      <c r="ID173" s="239" t="s">
        <v>30518</v>
      </c>
      <c r="IE173" s="239" t="s">
        <v>30519</v>
      </c>
      <c r="IF173" s="239" t="s">
        <v>30520</v>
      </c>
      <c r="IG173" s="239" t="s">
        <v>30521</v>
      </c>
      <c r="IH173" s="239" t="s">
        <v>29551</v>
      </c>
    </row>
    <row r="174" spans="1:242" s="1" customFormat="1" ht="36.75" customHeight="1" x14ac:dyDescent="0.2">
      <c r="A174" s="239">
        <v>133</v>
      </c>
      <c r="B174" s="239" t="s">
        <v>14619</v>
      </c>
      <c r="C174" s="239" t="s">
        <v>30714</v>
      </c>
      <c r="D174" s="239" t="s">
        <v>30699</v>
      </c>
      <c r="E174" s="239" t="s">
        <v>7</v>
      </c>
      <c r="F174" s="239" t="s">
        <v>30715</v>
      </c>
      <c r="G174" s="239">
        <v>1183.9000000000001</v>
      </c>
      <c r="H174" s="239">
        <v>5.5</v>
      </c>
      <c r="I174" s="239" t="s">
        <v>29288</v>
      </c>
      <c r="J174" s="239" t="s">
        <v>4</v>
      </c>
      <c r="K174" s="239" t="s">
        <v>30716</v>
      </c>
      <c r="L174" s="239">
        <v>752303635</v>
      </c>
      <c r="M174" s="239" t="s">
        <v>3</v>
      </c>
      <c r="N174" s="239" t="s">
        <v>31598</v>
      </c>
      <c r="O174" s="239" t="s">
        <v>4</v>
      </c>
      <c r="P174" s="239">
        <v>7</v>
      </c>
      <c r="Q174" s="239" t="s">
        <v>7</v>
      </c>
      <c r="R174" s="239" t="s">
        <v>31655</v>
      </c>
      <c r="S174" s="239" t="s">
        <v>4</v>
      </c>
      <c r="T174" s="239" t="s">
        <v>7</v>
      </c>
      <c r="U174" s="239" t="s">
        <v>7</v>
      </c>
      <c r="V174" s="239"/>
      <c r="W174" s="239" t="s">
        <v>7</v>
      </c>
      <c r="X174" s="239" t="s">
        <v>4</v>
      </c>
      <c r="Y174" s="239" t="s">
        <v>4</v>
      </c>
      <c r="Z174" s="241" t="str">
        <f>IF(OR(T174="yes",Y174&gt;'SDG outcome'!$C$27),"yes","no")</f>
        <v>yes</v>
      </c>
      <c r="AA174" s="243">
        <f t="shared" si="13"/>
        <v>0</v>
      </c>
      <c r="AB174" s="243" t="str">
        <f>IF(AND(Z174="no",AND(Y174&gt;='SDG outcome'!$B$16,Y174&lt;'SDG outcome'!$C$27)),Y174-'SDG outcome'!$B$16,"")</f>
        <v/>
      </c>
      <c r="AC174" s="239" t="s">
        <v>4</v>
      </c>
      <c r="AD174" s="239" t="s">
        <v>4</v>
      </c>
      <c r="AE174" s="239" t="s">
        <v>4</v>
      </c>
      <c r="AF174" s="239" t="s">
        <v>4</v>
      </c>
      <c r="AG174" s="239" t="s">
        <v>4</v>
      </c>
      <c r="AH174" s="239" t="s">
        <v>4</v>
      </c>
      <c r="AI174" s="239" t="s">
        <v>4</v>
      </c>
      <c r="AJ174" s="239" t="s">
        <v>29290</v>
      </c>
      <c r="AK174" s="239" t="s">
        <v>29694</v>
      </c>
      <c r="AL174" s="239" t="s">
        <v>4</v>
      </c>
      <c r="AM174" s="239" t="s">
        <v>4</v>
      </c>
      <c r="AN174" s="239" t="s">
        <v>31536</v>
      </c>
      <c r="AO174" s="239" t="s">
        <v>4</v>
      </c>
      <c r="AP174" s="239" t="s">
        <v>31537</v>
      </c>
      <c r="AQ174" s="239" t="s">
        <v>4</v>
      </c>
      <c r="AR174" s="239" t="s">
        <v>31860</v>
      </c>
      <c r="AS174" s="239" t="s">
        <v>4</v>
      </c>
      <c r="AT174" s="239" t="s">
        <v>7</v>
      </c>
      <c r="AU174" s="239" t="s">
        <v>4</v>
      </c>
      <c r="AV174" s="239" t="s">
        <v>4</v>
      </c>
      <c r="AW174" s="239" t="s">
        <v>31539</v>
      </c>
      <c r="AX174" s="239" t="s">
        <v>4</v>
      </c>
      <c r="AY174" s="239" t="s">
        <v>4</v>
      </c>
      <c r="AZ174" s="239" t="s">
        <v>2</v>
      </c>
      <c r="BA174" s="239" t="s">
        <v>4</v>
      </c>
      <c r="BB174" s="239" t="s">
        <v>4</v>
      </c>
      <c r="BC174" s="239" t="s">
        <v>31557</v>
      </c>
      <c r="BD174" s="239" t="s">
        <v>4</v>
      </c>
      <c r="BE174" s="239" t="s">
        <v>4</v>
      </c>
      <c r="BF174" s="239" t="s">
        <v>4</v>
      </c>
      <c r="BG174" s="239" t="s">
        <v>4</v>
      </c>
      <c r="BH174" s="239" t="s">
        <v>4</v>
      </c>
      <c r="BI174" s="239" t="s">
        <v>4</v>
      </c>
      <c r="BJ174" s="239" t="s">
        <v>4</v>
      </c>
      <c r="BK174" s="239" t="s">
        <v>4</v>
      </c>
      <c r="BL174" s="239" t="s">
        <v>4</v>
      </c>
      <c r="BM174" s="239" t="s">
        <v>7</v>
      </c>
      <c r="BN174" s="239" t="s">
        <v>6</v>
      </c>
      <c r="BO174" s="239" t="s">
        <v>4</v>
      </c>
      <c r="BP174" s="239" t="s">
        <v>31429</v>
      </c>
      <c r="BQ174" s="239">
        <v>2</v>
      </c>
      <c r="BR174" s="239">
        <v>60</v>
      </c>
      <c r="BS174" s="239" t="s">
        <v>31434</v>
      </c>
      <c r="BT174" s="239"/>
      <c r="BU174" s="239">
        <v>3</v>
      </c>
      <c r="BV174" s="239" cm="1">
        <f t="array" ref="BV174">_xlfn.IFS(BS174="Foreword vehicle",BU174*0,BS174="Human wastes",BU174*0,BS174="Jerrycans",BU174*$BV$228,BS174="Number of Basins",BU174*$BV$229,BS174="Number of Buckets",BU174*$CA$226,BS174="Number of Kgs",BU174*$CA$227,BS174="Number of spades",BU174*$CA$228,BS174="Number of wheelbarrows",BU174*$CA$229,BT174="Foreword vehicle",BU174*0,BT174="Human wastes",BU174*0,BT174="Jerrycans",BU174*$BV$228,BS174="","")</f>
        <v>48</v>
      </c>
      <c r="BW174" s="239">
        <f>IF(BV174="","",Table14[[#This Row],[Calculation: Conversion of metric to Kg manure feeding (Columns: BP, BQ, BR)]]*Table14[[#This Row],[Number of times used to feed biodigester]])</f>
        <v>96</v>
      </c>
      <c r="BX174" s="239" cm="1">
        <f t="array" ref="BX174">_xlfn.IFS(BP174="Number of times per day (1 to 3)",BW174/$BX$226,BP174="Number of times per week (1 to 6)",BW174/$BX$227,BP174="Number of times per Month (1 to 3)",BW174/$BX$228,BW174="","")</f>
        <v>13.714285714285714</v>
      </c>
      <c r="BY174" s="239" t="s">
        <v>31541</v>
      </c>
      <c r="BZ174" s="239" t="s">
        <v>4</v>
      </c>
      <c r="CA174" s="239" t="s">
        <v>2</v>
      </c>
      <c r="CB174" s="239" t="s">
        <v>4</v>
      </c>
      <c r="CC174" s="239" t="s">
        <v>4</v>
      </c>
      <c r="CD174" s="239" t="s">
        <v>4</v>
      </c>
      <c r="CE174" s="239" t="s">
        <v>7</v>
      </c>
      <c r="CF174" s="239" t="s">
        <v>31861</v>
      </c>
      <c r="CG174" s="239" t="s">
        <v>4</v>
      </c>
      <c r="CH174" s="239" t="s">
        <v>31604</v>
      </c>
      <c r="CI174" s="239">
        <v>2</v>
      </c>
      <c r="CJ174" s="239">
        <v>0</v>
      </c>
      <c r="CK174" s="239">
        <v>0</v>
      </c>
      <c r="CL174" s="239">
        <v>0</v>
      </c>
      <c r="CM174" s="239">
        <v>0</v>
      </c>
      <c r="CN174" s="239">
        <v>0</v>
      </c>
      <c r="CO174" s="239">
        <v>0</v>
      </c>
      <c r="CP174" s="239">
        <v>0</v>
      </c>
      <c r="CQ174" s="239">
        <v>0</v>
      </c>
      <c r="CR174" s="239">
        <v>0</v>
      </c>
      <c r="CS174" s="239">
        <f>CP174/'SDG outcome'!$C$9*CQ174*CR174</f>
        <v>0</v>
      </c>
      <c r="CT174" s="239">
        <v>100</v>
      </c>
      <c r="CU174" s="239">
        <v>0</v>
      </c>
      <c r="CV174" s="239" t="s">
        <v>4</v>
      </c>
      <c r="CW174" s="239" t="s">
        <v>4</v>
      </c>
      <c r="CX174" s="239" t="s">
        <v>4</v>
      </c>
      <c r="CY174" s="239" t="s">
        <v>4</v>
      </c>
      <c r="CZ174" s="239" t="s">
        <v>4</v>
      </c>
      <c r="DA174" s="239" t="s">
        <v>4</v>
      </c>
      <c r="DB174" s="239" t="s">
        <v>4</v>
      </c>
      <c r="DC174" s="239" t="s">
        <v>4</v>
      </c>
      <c r="DD174" s="239" t="s">
        <v>4</v>
      </c>
      <c r="DE174" s="239" t="s">
        <v>4</v>
      </c>
      <c r="DF174" s="239" t="s">
        <v>4</v>
      </c>
      <c r="DG174" s="239" t="s">
        <v>4</v>
      </c>
      <c r="DH174" s="239" t="s">
        <v>4</v>
      </c>
      <c r="DI174" s="239" t="s">
        <v>4</v>
      </c>
      <c r="DJ174" s="239" t="s">
        <v>4</v>
      </c>
      <c r="DK174" s="239" t="s">
        <v>4</v>
      </c>
      <c r="DL174" s="239" t="s">
        <v>4</v>
      </c>
      <c r="DM174" s="239" t="s">
        <v>4</v>
      </c>
      <c r="DN174" s="239" t="s">
        <v>4</v>
      </c>
      <c r="DO174" s="239">
        <v>0.5</v>
      </c>
      <c r="DP174" s="239" t="s">
        <v>2</v>
      </c>
      <c r="DQ174" s="239" t="s">
        <v>29292</v>
      </c>
      <c r="DR174" s="239" t="s">
        <v>4</v>
      </c>
      <c r="DS174" s="239" t="s">
        <v>29293</v>
      </c>
      <c r="DT174" s="240">
        <v>60000</v>
      </c>
      <c r="DU174" s="239" t="s">
        <v>29293</v>
      </c>
      <c r="DV174" s="240">
        <v>0</v>
      </c>
      <c r="DW174" s="239" t="s">
        <v>29508</v>
      </c>
      <c r="DX174" s="239"/>
      <c r="DY174" s="239"/>
      <c r="DZ174" s="239"/>
      <c r="EA174" s="239"/>
      <c r="EB174" s="239"/>
      <c r="EC174" s="239"/>
      <c r="ED174" s="239"/>
      <c r="EE174" s="320">
        <f>Table14[[#This Row],[% Fertilizer]]*$DX174/10000</f>
        <v>0</v>
      </c>
      <c r="EF174" s="320">
        <f>Table14[[#This Row],[% bioslurry used as Insecticide/Pesticide]]*$DX174/10000</f>
        <v>0</v>
      </c>
      <c r="EG174" s="320">
        <f>Table14[[#This Row],[% of Bioslurry used as animal feed]]*$DX174/10000</f>
        <v>0</v>
      </c>
      <c r="EH174" s="320">
        <f>Table14[[#This Row],[% of Bioslurry sold]]*$DX174/10000</f>
        <v>0</v>
      </c>
      <c r="EI174" s="320">
        <f>Table14[[#This Row],[% used other way(if used directly)]]*$DX174/10000</f>
        <v>0</v>
      </c>
      <c r="EJ174" s="239">
        <v>100</v>
      </c>
      <c r="EK174" s="239" t="s">
        <v>30747</v>
      </c>
      <c r="EL174" s="239"/>
      <c r="EM174" s="239">
        <v>100</v>
      </c>
      <c r="EN174" s="239"/>
      <c r="EO174" s="239">
        <f>(Table14[[#This Row],[% Uncovered lagoon greater than 1 meter]]+Table14[[#This Row],[Uncovered lagoon (black watery mass) &lt;1 meter]]+Table14[[#This Row],[% Liquid slurry (brown porridge type)]])*Table14[[#This Row],[% Store it first]]/100</f>
        <v>100</v>
      </c>
      <c r="EP174" s="239"/>
      <c r="EQ174" s="239"/>
      <c r="ER174" s="239"/>
      <c r="ES174" s="239"/>
      <c r="ET174" s="239">
        <f>(Table14[[#This Row],[% Solid storage]]+Table14[[#This Row],[% Sun drying]]+Table14[[#This Row],[% Composting with a roof]]+Table14[[#This Row],[% Composting without a roof]])*Table14[[#This Row],[% Store it first]]/100</f>
        <v>0</v>
      </c>
      <c r="EU174" s="239">
        <v>21</v>
      </c>
      <c r="EV174" s="320">
        <f t="shared" ref="EV174:EV187" si="20">FF174*$EJ174/10000</f>
        <v>1</v>
      </c>
      <c r="EW174" s="320">
        <f t="shared" ref="EW174:EW187" si="21">FG174*$EJ174/10000</f>
        <v>0</v>
      </c>
      <c r="EX174" s="320">
        <f t="shared" ref="EX174:EX187" si="22">FH174*$EJ174/10000</f>
        <v>0</v>
      </c>
      <c r="EY174" s="320">
        <f t="shared" ref="EY174:EY187" si="23">FI174*$EJ174/10000</f>
        <v>0</v>
      </c>
      <c r="EZ174" s="320">
        <f t="shared" ref="EZ174:EZ187" si="24">FJ174*$EJ174/10000</f>
        <v>0</v>
      </c>
      <c r="FA174" s="239"/>
      <c r="FB174" s="239"/>
      <c r="FC174" s="239"/>
      <c r="FD174" s="239">
        <f>Table14[[#This Row],[% I donâ€™t use it / discarded]]+Table14[[#This Row],[% Other (specify)(If you use bioslurry directly)]]+Table14[[#This Row],[% Store it first]]+Table14[[#This Row],[% Use directly for various purposes]]</f>
        <v>100</v>
      </c>
      <c r="FE174" s="239" t="s">
        <v>29296</v>
      </c>
      <c r="FF174" s="239">
        <v>100</v>
      </c>
      <c r="FG174" s="239"/>
      <c r="FH174" s="239"/>
      <c r="FI174" s="239"/>
      <c r="FJ174" s="239"/>
      <c r="FK174" s="239">
        <v>0.1</v>
      </c>
      <c r="FL174" s="239" t="s">
        <v>7</v>
      </c>
      <c r="FM174" s="239">
        <v>100</v>
      </c>
      <c r="FN174" s="239">
        <f>FK174*FM174/100</f>
        <v>0.1</v>
      </c>
      <c r="FO174" s="239" t="s">
        <v>30717</v>
      </c>
      <c r="FP174" s="239" t="s">
        <v>29298</v>
      </c>
      <c r="FQ174" s="239">
        <v>96</v>
      </c>
      <c r="FR174" s="239" t="s">
        <v>2</v>
      </c>
      <c r="FS174" s="239" t="s">
        <v>4</v>
      </c>
      <c r="FT174" s="239" t="s">
        <v>4</v>
      </c>
      <c r="FU174" s="239" t="s">
        <v>2</v>
      </c>
      <c r="FV174" s="239" t="s">
        <v>4</v>
      </c>
      <c r="FW174" s="239" t="s">
        <v>4</v>
      </c>
      <c r="FX174" s="239" t="s">
        <v>4</v>
      </c>
      <c r="FY174" s="239" t="s">
        <v>4</v>
      </c>
      <c r="FZ174" s="239" t="s">
        <v>4</v>
      </c>
      <c r="GA174" s="239" t="s">
        <v>4</v>
      </c>
      <c r="GB174" s="240" t="s">
        <v>4</v>
      </c>
      <c r="GC174" s="239" t="s">
        <v>4</v>
      </c>
      <c r="GD174" s="239" t="s">
        <v>7</v>
      </c>
      <c r="GE174" s="239" t="s">
        <v>29301</v>
      </c>
      <c r="GF174" s="239" t="s">
        <v>4</v>
      </c>
      <c r="GG174" s="239" t="s">
        <v>7</v>
      </c>
      <c r="GH174" s="239" t="s">
        <v>2</v>
      </c>
      <c r="GI174" s="239" t="s">
        <v>4</v>
      </c>
      <c r="GJ174" s="239" t="s">
        <v>4</v>
      </c>
      <c r="GK174" s="239" t="s">
        <v>29304</v>
      </c>
      <c r="GL174" s="239">
        <v>2</v>
      </c>
      <c r="GM174" s="239" t="s">
        <v>29882</v>
      </c>
      <c r="GN174" s="239" t="s">
        <v>29306</v>
      </c>
      <c r="GO174" s="239" t="s">
        <v>29479</v>
      </c>
      <c r="GP174" s="239" t="s">
        <v>29397</v>
      </c>
      <c r="GQ174" s="239" t="s">
        <v>4</v>
      </c>
      <c r="GR174" s="239" t="s">
        <v>4</v>
      </c>
      <c r="GS174" s="239" t="s">
        <v>4</v>
      </c>
      <c r="GT174" s="239" t="s">
        <v>4</v>
      </c>
      <c r="GU174" s="239" t="s">
        <v>4</v>
      </c>
      <c r="GV174" s="239" t="s">
        <v>4</v>
      </c>
      <c r="GW174" s="239" t="s">
        <v>4</v>
      </c>
      <c r="GX174" s="239" t="s">
        <v>4</v>
      </c>
      <c r="GY174" s="239" t="s">
        <v>4</v>
      </c>
      <c r="GZ174" s="239" t="s">
        <v>4</v>
      </c>
      <c r="HA174" s="239" t="s">
        <v>4</v>
      </c>
      <c r="HB174" s="239" t="s">
        <v>4</v>
      </c>
      <c r="HC174" s="239" t="s">
        <v>4</v>
      </c>
      <c r="HD174" s="239" t="s">
        <v>4</v>
      </c>
      <c r="HE174" s="239" t="s">
        <v>4</v>
      </c>
      <c r="HF174" s="239" t="s">
        <v>4</v>
      </c>
      <c r="HG174" s="239" t="s">
        <v>4</v>
      </c>
      <c r="HH174" s="239" t="s">
        <v>29307</v>
      </c>
      <c r="HI174" s="239" t="s">
        <v>30678</v>
      </c>
      <c r="HJ174" s="240">
        <v>500</v>
      </c>
      <c r="HK174" s="239" t="s">
        <v>2</v>
      </c>
      <c r="HL174" s="239" t="s">
        <v>29309</v>
      </c>
      <c r="HM174" s="239" t="s">
        <v>4</v>
      </c>
      <c r="HN174" s="239" t="s">
        <v>4</v>
      </c>
      <c r="HO174" s="239" t="s">
        <v>4</v>
      </c>
      <c r="HP174" s="239" t="s">
        <v>4</v>
      </c>
      <c r="HQ174" s="239" t="s">
        <v>4</v>
      </c>
      <c r="HR174" s="239" t="s">
        <v>4</v>
      </c>
      <c r="HS174" s="239" t="s">
        <v>4</v>
      </c>
      <c r="HT174" s="239" t="s">
        <v>4</v>
      </c>
      <c r="HU174" s="239" t="s">
        <v>2</v>
      </c>
      <c r="HV174" s="239" t="s">
        <v>4</v>
      </c>
      <c r="HW174" s="239" t="s">
        <v>4</v>
      </c>
      <c r="HX174" s="239" t="s">
        <v>4</v>
      </c>
      <c r="HY174" s="239" t="s">
        <v>4</v>
      </c>
      <c r="HZ174" s="239" t="s">
        <v>30718</v>
      </c>
      <c r="IA174" s="239" t="s">
        <v>7</v>
      </c>
      <c r="IB174" s="239" t="s">
        <v>30719</v>
      </c>
      <c r="IC174" s="239" t="s">
        <v>30720</v>
      </c>
      <c r="ID174" s="239" t="s">
        <v>30721</v>
      </c>
      <c r="IE174" s="239" t="s">
        <v>30722</v>
      </c>
      <c r="IF174" s="239" t="s">
        <v>30723</v>
      </c>
      <c r="IG174" s="239" t="s">
        <v>30724</v>
      </c>
      <c r="IH174" s="239" t="s">
        <v>30714</v>
      </c>
    </row>
    <row r="175" spans="1:242" s="1" customFormat="1" ht="36.75" customHeight="1" x14ac:dyDescent="0.2">
      <c r="A175" s="239">
        <v>147</v>
      </c>
      <c r="B175" s="239" t="s">
        <v>17217</v>
      </c>
      <c r="C175" s="239" t="s">
        <v>30857</v>
      </c>
      <c r="D175" s="239" t="s">
        <v>30786</v>
      </c>
      <c r="E175" s="239" t="s">
        <v>7</v>
      </c>
      <c r="F175" s="239" t="s">
        <v>30858</v>
      </c>
      <c r="G175" s="239">
        <v>1444.1</v>
      </c>
      <c r="H175" s="239">
        <v>4.3</v>
      </c>
      <c r="I175" s="239" t="s">
        <v>29319</v>
      </c>
      <c r="J175" s="239" t="s">
        <v>4</v>
      </c>
      <c r="K175" s="239" t="s">
        <v>30859</v>
      </c>
      <c r="L175" s="239">
        <v>772939684</v>
      </c>
      <c r="M175" s="239" t="s">
        <v>5</v>
      </c>
      <c r="N175" s="239" t="s">
        <v>31590</v>
      </c>
      <c r="O175" s="239" t="s">
        <v>4</v>
      </c>
      <c r="P175" s="239">
        <v>4</v>
      </c>
      <c r="Q175" s="239" t="s">
        <v>7</v>
      </c>
      <c r="R175" s="239" t="s">
        <v>31562</v>
      </c>
      <c r="S175" s="239" t="s">
        <v>4</v>
      </c>
      <c r="T175" s="239" t="s">
        <v>7</v>
      </c>
      <c r="U175" s="239" t="s">
        <v>7</v>
      </c>
      <c r="V175" s="239"/>
      <c r="W175" s="239" t="s">
        <v>7</v>
      </c>
      <c r="X175" s="239" t="s">
        <v>4</v>
      </c>
      <c r="Y175" s="239" t="s">
        <v>4</v>
      </c>
      <c r="Z175" s="241" t="str">
        <f>IF(OR(T175="yes",Y175&gt;'SDG outcome'!$C$27),"yes","no")</f>
        <v>yes</v>
      </c>
      <c r="AA175" s="243">
        <f t="shared" si="13"/>
        <v>0</v>
      </c>
      <c r="AB175" s="243" t="str">
        <f>IF(AND(Z175="no",AND(Y175&gt;='SDG outcome'!$B$16,Y175&lt;'SDG outcome'!$C$27)),Y175-'SDG outcome'!$B$16,"")</f>
        <v/>
      </c>
      <c r="AC175" s="239" t="s">
        <v>4</v>
      </c>
      <c r="AD175" s="239" t="s">
        <v>4</v>
      </c>
      <c r="AE175" s="239" t="s">
        <v>4</v>
      </c>
      <c r="AF175" s="239" t="s">
        <v>4</v>
      </c>
      <c r="AG175" s="239" t="s">
        <v>4</v>
      </c>
      <c r="AH175" s="239" t="s">
        <v>4</v>
      </c>
      <c r="AI175" s="239" t="s">
        <v>4</v>
      </c>
      <c r="AJ175" s="239" t="s">
        <v>29290</v>
      </c>
      <c r="AK175" s="239" t="s">
        <v>29291</v>
      </c>
      <c r="AL175" s="239" t="s">
        <v>4</v>
      </c>
      <c r="AM175" s="239" t="s">
        <v>4</v>
      </c>
      <c r="AN175" s="239" t="s">
        <v>31536</v>
      </c>
      <c r="AO175" s="239" t="s">
        <v>4</v>
      </c>
      <c r="AP175" s="239" t="s">
        <v>31537</v>
      </c>
      <c r="AQ175" s="239" t="s">
        <v>4</v>
      </c>
      <c r="AR175" s="239" t="s">
        <v>31538</v>
      </c>
      <c r="AS175" s="239" t="s">
        <v>4</v>
      </c>
      <c r="AT175" s="239" t="s">
        <v>7</v>
      </c>
      <c r="AU175" s="239" t="s">
        <v>4</v>
      </c>
      <c r="AV175" s="239" t="s">
        <v>4</v>
      </c>
      <c r="AW175" s="239" t="s">
        <v>31539</v>
      </c>
      <c r="AX175" s="239" t="s">
        <v>4</v>
      </c>
      <c r="AY175" s="239" t="s">
        <v>4</v>
      </c>
      <c r="AZ175" s="239" t="s">
        <v>2</v>
      </c>
      <c r="BA175" s="239" t="s">
        <v>4</v>
      </c>
      <c r="BB175" s="239" t="s">
        <v>4</v>
      </c>
      <c r="BC175" s="239" t="s">
        <v>31563</v>
      </c>
      <c r="BD175" s="239" t="s">
        <v>22</v>
      </c>
      <c r="BE175" s="239" t="s">
        <v>4</v>
      </c>
      <c r="BF175" s="239" t="s">
        <v>22</v>
      </c>
      <c r="BG175" s="239" t="s">
        <v>4</v>
      </c>
      <c r="BH175" s="239" t="s">
        <v>31542</v>
      </c>
      <c r="BI175" s="239" t="s">
        <v>31873</v>
      </c>
      <c r="BJ175" s="239" t="s">
        <v>31544</v>
      </c>
      <c r="BK175" s="239">
        <v>2</v>
      </c>
      <c r="BL175" s="239">
        <v>120</v>
      </c>
      <c r="BM175" s="239" t="s">
        <v>7</v>
      </c>
      <c r="BN175" s="239" t="s">
        <v>6</v>
      </c>
      <c r="BO175" s="239" t="s">
        <v>4</v>
      </c>
      <c r="BP175" s="239" t="s">
        <v>31429</v>
      </c>
      <c r="BQ175" s="239">
        <v>2</v>
      </c>
      <c r="BR175" s="239">
        <v>30</v>
      </c>
      <c r="BS175" s="239" t="s">
        <v>31426</v>
      </c>
      <c r="BT175" s="239"/>
      <c r="BU175" s="239">
        <v>2</v>
      </c>
      <c r="BV175" s="239" cm="1">
        <f t="array" ref="BV175">_xlfn.IFS(BS175="Foreword vehicle",BU175*0,BS175="Human wastes",BU175*0,BS175="Jerrycans",BU175*$BV$228,BS175="Number of Basins",BU175*$BV$229,BS175="Number of Buckets",BU175*$CA$226,BS175="Number of Kgs",BU175*$CA$227,BS175="Number of spades",BU175*$CA$228,BS175="Number of wheelbarrows",BU175*$CA$229,BT175="Foreword vehicle",BU175*0,BT175="Human wastes",BU175*0,BT175="Jerrycans",BU175*$BV$228,BS175="","")</f>
        <v>46</v>
      </c>
      <c r="BW175" s="239">
        <f>IF(BV175="","",Table14[[#This Row],[Calculation: Conversion of metric to Kg manure feeding (Columns: BP, BQ, BR)]]*Table14[[#This Row],[Number of times used to feed biodigester]])</f>
        <v>92</v>
      </c>
      <c r="BX175" s="239" cm="1">
        <f t="array" ref="BX175">_xlfn.IFS(BP175="Number of times per day (1 to 3)",BW175/$BX$226,BP175="Number of times per week (1 to 6)",BW175/$BX$227,BP175="Number of times per Month (1 to 3)",BW175/$BX$228,BW175="","")</f>
        <v>13.142857142857142</v>
      </c>
      <c r="BY175" s="239" t="s">
        <v>22</v>
      </c>
      <c r="BZ175" s="239" t="s">
        <v>4</v>
      </c>
      <c r="CA175" s="239" t="s">
        <v>2</v>
      </c>
      <c r="CB175" s="239" t="s">
        <v>4</v>
      </c>
      <c r="CC175" s="239" t="s">
        <v>4</v>
      </c>
      <c r="CD175" s="239" t="s">
        <v>4</v>
      </c>
      <c r="CE175" s="239" t="s">
        <v>7</v>
      </c>
      <c r="CF175" s="239" t="s">
        <v>31874</v>
      </c>
      <c r="CG175" s="239" t="s">
        <v>4</v>
      </c>
      <c r="CH175" s="239" t="s">
        <v>31604</v>
      </c>
      <c r="CI175" s="239">
        <v>2</v>
      </c>
      <c r="CJ175" s="239">
        <v>0</v>
      </c>
      <c r="CK175" s="239">
        <v>0</v>
      </c>
      <c r="CL175" s="239">
        <v>0</v>
      </c>
      <c r="CM175" s="239">
        <v>0</v>
      </c>
      <c r="CN175" s="239">
        <v>0</v>
      </c>
      <c r="CO175" s="239">
        <v>0</v>
      </c>
      <c r="CP175" s="239">
        <v>0</v>
      </c>
      <c r="CQ175" s="239">
        <v>0</v>
      </c>
      <c r="CR175" s="239">
        <v>0</v>
      </c>
      <c r="CS175" s="239">
        <f>CP175/'SDG outcome'!$C$9*CQ175*CR175</f>
        <v>0</v>
      </c>
      <c r="CT175" s="239">
        <v>100</v>
      </c>
      <c r="CU175" s="239">
        <v>0</v>
      </c>
      <c r="CV175" s="239" t="s">
        <v>4</v>
      </c>
      <c r="CW175" s="239" t="s">
        <v>4</v>
      </c>
      <c r="CX175" s="239" t="s">
        <v>4</v>
      </c>
      <c r="CY175" s="239" t="s">
        <v>4</v>
      </c>
      <c r="CZ175" s="239" t="s">
        <v>4</v>
      </c>
      <c r="DA175" s="239" t="s">
        <v>4</v>
      </c>
      <c r="DB175" s="239" t="s">
        <v>4</v>
      </c>
      <c r="DC175" s="239" t="s">
        <v>4</v>
      </c>
      <c r="DD175" s="239" t="s">
        <v>4</v>
      </c>
      <c r="DE175" s="239" t="s">
        <v>4</v>
      </c>
      <c r="DF175" s="239" t="s">
        <v>4</v>
      </c>
      <c r="DG175" s="239" t="s">
        <v>4</v>
      </c>
      <c r="DH175" s="239" t="s">
        <v>4</v>
      </c>
      <c r="DI175" s="239" t="s">
        <v>4</v>
      </c>
      <c r="DJ175" s="239" t="s">
        <v>4</v>
      </c>
      <c r="DK175" s="239" t="s">
        <v>4</v>
      </c>
      <c r="DL175" s="239" t="s">
        <v>4</v>
      </c>
      <c r="DM175" s="239" t="s">
        <v>4</v>
      </c>
      <c r="DN175" s="239" t="s">
        <v>4</v>
      </c>
      <c r="DO175" s="239">
        <v>3</v>
      </c>
      <c r="DP175" s="239" t="s">
        <v>2</v>
      </c>
      <c r="DQ175" s="239" t="s">
        <v>29292</v>
      </c>
      <c r="DR175" s="239" t="s">
        <v>4</v>
      </c>
      <c r="DS175" s="239" t="s">
        <v>29294</v>
      </c>
      <c r="DT175" s="240" t="s">
        <v>4</v>
      </c>
      <c r="DU175" s="239" t="s">
        <v>29294</v>
      </c>
      <c r="DV175" s="240" t="s">
        <v>4</v>
      </c>
      <c r="DW175" s="239" t="s">
        <v>29508</v>
      </c>
      <c r="DX175" s="239"/>
      <c r="DY175" s="239"/>
      <c r="DZ175" s="239"/>
      <c r="EA175" s="239"/>
      <c r="EB175" s="239"/>
      <c r="EC175" s="239"/>
      <c r="ED175" s="239"/>
      <c r="EE175" s="320">
        <f>Table14[[#This Row],[% Fertilizer]]*$DX175/10000</f>
        <v>0</v>
      </c>
      <c r="EF175" s="320">
        <f>Table14[[#This Row],[% bioslurry used as Insecticide/Pesticide]]*$DX175/10000</f>
        <v>0</v>
      </c>
      <c r="EG175" s="320">
        <f>Table14[[#This Row],[% of Bioslurry used as animal feed]]*$DX175/10000</f>
        <v>0</v>
      </c>
      <c r="EH175" s="320">
        <f>Table14[[#This Row],[% of Bioslurry sold]]*$DX175/10000</f>
        <v>0</v>
      </c>
      <c r="EI175" s="320">
        <f>Table14[[#This Row],[% used other way(if used directly)]]*$DX175/10000</f>
        <v>0</v>
      </c>
      <c r="EJ175" s="239">
        <v>100</v>
      </c>
      <c r="EK175" s="239" t="s">
        <v>30747</v>
      </c>
      <c r="EL175" s="239"/>
      <c r="EM175" s="239">
        <v>100</v>
      </c>
      <c r="EN175" s="239"/>
      <c r="EO175" s="239">
        <f>(Table14[[#This Row],[% Uncovered lagoon greater than 1 meter]]+Table14[[#This Row],[Uncovered lagoon (black watery mass) &lt;1 meter]]+Table14[[#This Row],[% Liquid slurry (brown porridge type)]])*Table14[[#This Row],[% Store it first]]/100</f>
        <v>100</v>
      </c>
      <c r="EP175" s="239"/>
      <c r="EQ175" s="239"/>
      <c r="ER175" s="239"/>
      <c r="ES175" s="239"/>
      <c r="ET175" s="239">
        <f>(Table14[[#This Row],[% Solid storage]]+Table14[[#This Row],[% Sun drying]]+Table14[[#This Row],[% Composting with a roof]]+Table14[[#This Row],[% Composting without a roof]])*Table14[[#This Row],[% Store it first]]/100</f>
        <v>0</v>
      </c>
      <c r="EU175" s="239">
        <v>30</v>
      </c>
      <c r="EV175" s="320">
        <f t="shared" si="20"/>
        <v>1</v>
      </c>
      <c r="EW175" s="320">
        <f t="shared" si="21"/>
        <v>0</v>
      </c>
      <c r="EX175" s="320">
        <f t="shared" si="22"/>
        <v>0</v>
      </c>
      <c r="EY175" s="320">
        <f t="shared" si="23"/>
        <v>0</v>
      </c>
      <c r="EZ175" s="320">
        <f t="shared" si="24"/>
        <v>0</v>
      </c>
      <c r="FA175" s="239"/>
      <c r="FB175" s="239"/>
      <c r="FC175" s="239"/>
      <c r="FD175" s="239">
        <f>Table14[[#This Row],[% I donâ€™t use it / discarded]]+Table14[[#This Row],[% Other (specify)(If you use bioslurry directly)]]+Table14[[#This Row],[% Store it first]]+Table14[[#This Row],[% Use directly for various purposes]]</f>
        <v>100</v>
      </c>
      <c r="FE175" s="239" t="s">
        <v>29296</v>
      </c>
      <c r="FF175" s="239">
        <v>100</v>
      </c>
      <c r="FG175" s="239"/>
      <c r="FH175" s="239"/>
      <c r="FI175" s="239"/>
      <c r="FJ175" s="239"/>
      <c r="FK175" s="239">
        <v>2.8</v>
      </c>
      <c r="FL175" s="239" t="s">
        <v>7</v>
      </c>
      <c r="FM175" s="239">
        <v>100</v>
      </c>
      <c r="FN175" s="239">
        <f>FK175*FM175/100</f>
        <v>2.8</v>
      </c>
      <c r="FO175" s="239" t="s">
        <v>30860</v>
      </c>
      <c r="FP175" s="239" t="s">
        <v>29298</v>
      </c>
      <c r="FQ175" s="239">
        <v>20</v>
      </c>
      <c r="FR175" s="239" t="s">
        <v>7</v>
      </c>
      <c r="FS175" s="239" t="s">
        <v>29492</v>
      </c>
      <c r="FT175" s="239" t="s">
        <v>4</v>
      </c>
      <c r="FU175" s="239" t="s">
        <v>2</v>
      </c>
      <c r="FV175" s="239" t="s">
        <v>4</v>
      </c>
      <c r="FW175" s="239" t="s">
        <v>4</v>
      </c>
      <c r="FX175" s="239" t="s">
        <v>4</v>
      </c>
      <c r="FY175" s="239" t="s">
        <v>4</v>
      </c>
      <c r="FZ175" s="239" t="s">
        <v>29292</v>
      </c>
      <c r="GA175" s="239" t="s">
        <v>29294</v>
      </c>
      <c r="GB175" s="240" t="s">
        <v>4</v>
      </c>
      <c r="GC175" s="239" t="s">
        <v>4</v>
      </c>
      <c r="GD175" s="239" t="s">
        <v>7</v>
      </c>
      <c r="GE175" s="239" t="s">
        <v>29301</v>
      </c>
      <c r="GF175" s="239" t="s">
        <v>4</v>
      </c>
      <c r="GG175" s="239" t="s">
        <v>7</v>
      </c>
      <c r="GH175" s="239" t="s">
        <v>2</v>
      </c>
      <c r="GI175" s="239" t="s">
        <v>4</v>
      </c>
      <c r="GJ175" s="239" t="s">
        <v>4</v>
      </c>
      <c r="GK175" s="239" t="s">
        <v>4</v>
      </c>
      <c r="GL175" s="239">
        <v>0</v>
      </c>
      <c r="GM175" s="239"/>
      <c r="GN175" s="239" t="s">
        <v>4</v>
      </c>
      <c r="GO175" s="239" t="s">
        <v>4</v>
      </c>
      <c r="GP175" s="239" t="s">
        <v>4</v>
      </c>
      <c r="GQ175" s="239" t="s">
        <v>4</v>
      </c>
      <c r="GR175" s="239" t="s">
        <v>4</v>
      </c>
      <c r="GS175" s="239" t="s">
        <v>4</v>
      </c>
      <c r="GT175" s="239" t="s">
        <v>4</v>
      </c>
      <c r="GU175" s="239" t="s">
        <v>4</v>
      </c>
      <c r="GV175" s="239" t="s">
        <v>4</v>
      </c>
      <c r="GW175" s="239" t="s">
        <v>29304</v>
      </c>
      <c r="GX175" s="239" t="s">
        <v>30272</v>
      </c>
      <c r="GY175" s="239" t="s">
        <v>29306</v>
      </c>
      <c r="GZ175" s="239" t="s">
        <v>30314</v>
      </c>
      <c r="HA175" s="239" t="s">
        <v>30273</v>
      </c>
      <c r="HB175" s="239" t="s">
        <v>4</v>
      </c>
      <c r="HC175" s="239" t="s">
        <v>29451</v>
      </c>
      <c r="HD175" s="239" t="s">
        <v>4</v>
      </c>
      <c r="HE175" s="239" t="s">
        <v>30861</v>
      </c>
      <c r="HF175" s="239" t="s">
        <v>13</v>
      </c>
      <c r="HG175" s="239" t="s">
        <v>16</v>
      </c>
      <c r="HH175" s="239" t="s">
        <v>30833</v>
      </c>
      <c r="HI175" s="239" t="s">
        <v>4</v>
      </c>
      <c r="HJ175" s="240">
        <v>0</v>
      </c>
      <c r="HK175" s="239" t="s">
        <v>7</v>
      </c>
      <c r="HL175" s="239" t="s">
        <v>29837</v>
      </c>
      <c r="HM175" s="239" t="s">
        <v>4</v>
      </c>
      <c r="HN175" s="239" t="s">
        <v>4</v>
      </c>
      <c r="HO175" s="239" t="s">
        <v>4</v>
      </c>
      <c r="HP175" s="239" t="s">
        <v>4</v>
      </c>
      <c r="HQ175" s="239" t="s">
        <v>4</v>
      </c>
      <c r="HR175" s="239" t="s">
        <v>4</v>
      </c>
      <c r="HS175" s="239" t="s">
        <v>4</v>
      </c>
      <c r="HT175" s="239" t="s">
        <v>4</v>
      </c>
      <c r="HU175" s="239" t="s">
        <v>2</v>
      </c>
      <c r="HV175" s="239" t="s">
        <v>4</v>
      </c>
      <c r="HW175" s="239" t="s">
        <v>4</v>
      </c>
      <c r="HX175" s="239" t="s">
        <v>4</v>
      </c>
      <c r="HY175" s="239" t="s">
        <v>4</v>
      </c>
      <c r="HZ175" s="239" t="s">
        <v>16</v>
      </c>
      <c r="IA175" s="239" t="s">
        <v>2</v>
      </c>
      <c r="IB175" s="239" t="s">
        <v>4</v>
      </c>
      <c r="IC175" s="239" t="s">
        <v>16</v>
      </c>
      <c r="ID175" s="239" t="s">
        <v>30862</v>
      </c>
      <c r="IE175" s="239" t="s">
        <v>30863</v>
      </c>
      <c r="IF175" s="239" t="s">
        <v>30864</v>
      </c>
      <c r="IG175" s="239" t="s">
        <v>30865</v>
      </c>
      <c r="IH175" s="239" t="s">
        <v>30857</v>
      </c>
    </row>
    <row r="176" spans="1:242" s="1" customFormat="1" ht="36.75" customHeight="1" x14ac:dyDescent="0.2">
      <c r="A176" s="239">
        <v>152</v>
      </c>
      <c r="B176" s="239" t="s">
        <v>25296</v>
      </c>
      <c r="C176" s="239" t="s">
        <v>30913</v>
      </c>
      <c r="D176" s="239" t="s">
        <v>30866</v>
      </c>
      <c r="E176" s="239" t="s">
        <v>7</v>
      </c>
      <c r="F176" s="239" t="s">
        <v>30914</v>
      </c>
      <c r="G176" s="239">
        <v>0</v>
      </c>
      <c r="H176" s="239">
        <v>2599.9989999999998</v>
      </c>
      <c r="I176" s="239" t="s">
        <v>29349</v>
      </c>
      <c r="J176" s="239" t="s">
        <v>4</v>
      </c>
      <c r="K176" s="239" t="s">
        <v>30915</v>
      </c>
      <c r="L176" s="239">
        <v>788909690</v>
      </c>
      <c r="M176" s="239" t="s">
        <v>5</v>
      </c>
      <c r="N176" s="239" t="s">
        <v>31598</v>
      </c>
      <c r="O176" s="239" t="s">
        <v>4</v>
      </c>
      <c r="P176" s="239">
        <v>6</v>
      </c>
      <c r="Q176" s="239" t="s">
        <v>7</v>
      </c>
      <c r="R176" s="239" t="s">
        <v>31549</v>
      </c>
      <c r="S176" s="239" t="s">
        <v>4</v>
      </c>
      <c r="T176" s="239" t="s">
        <v>7</v>
      </c>
      <c r="U176" s="239" t="s">
        <v>7</v>
      </c>
      <c r="V176" s="239"/>
      <c r="W176" s="239" t="s">
        <v>7</v>
      </c>
      <c r="X176" s="239" t="s">
        <v>4</v>
      </c>
      <c r="Y176" s="239" t="s">
        <v>4</v>
      </c>
      <c r="Z176" s="241" t="str">
        <f>IF(OR(T176="yes",Y176&gt;'SDG outcome'!$C$27),"yes","no")</f>
        <v>yes</v>
      </c>
      <c r="AA176" s="243">
        <f t="shared" si="13"/>
        <v>0</v>
      </c>
      <c r="AB176" s="243" t="str">
        <f>IF(AND(Z176="no",AND(Y176&gt;='SDG outcome'!$B$16,Y176&lt;'SDG outcome'!$C$27)),Y176-'SDG outcome'!$B$16,"")</f>
        <v/>
      </c>
      <c r="AC176" s="239" t="s">
        <v>4</v>
      </c>
      <c r="AD176" s="239" t="s">
        <v>4</v>
      </c>
      <c r="AE176" s="239" t="s">
        <v>4</v>
      </c>
      <c r="AF176" s="239" t="s">
        <v>4</v>
      </c>
      <c r="AG176" s="239" t="s">
        <v>4</v>
      </c>
      <c r="AH176" s="239" t="s">
        <v>4</v>
      </c>
      <c r="AI176" s="239" t="s">
        <v>4</v>
      </c>
      <c r="AJ176" s="239" t="s">
        <v>29290</v>
      </c>
      <c r="AK176" s="239" t="s">
        <v>29694</v>
      </c>
      <c r="AL176" s="239" t="s">
        <v>4</v>
      </c>
      <c r="AM176" s="239" t="s">
        <v>4</v>
      </c>
      <c r="AN176" s="239" t="s">
        <v>31718</v>
      </c>
      <c r="AO176" s="239" t="s">
        <v>4</v>
      </c>
      <c r="AP176" s="239" t="s">
        <v>31600</v>
      </c>
      <c r="AQ176" s="239" t="s">
        <v>4</v>
      </c>
      <c r="AR176" s="239" t="s">
        <v>31538</v>
      </c>
      <c r="AS176" s="239" t="s">
        <v>4</v>
      </c>
      <c r="AT176" s="239" t="s">
        <v>7</v>
      </c>
      <c r="AU176" s="239" t="s">
        <v>4</v>
      </c>
      <c r="AV176" s="239" t="s">
        <v>4</v>
      </c>
      <c r="AW176" s="239" t="s">
        <v>31539</v>
      </c>
      <c r="AX176" s="239" t="s">
        <v>4</v>
      </c>
      <c r="AY176" s="239" t="s">
        <v>4</v>
      </c>
      <c r="AZ176" s="239" t="s">
        <v>7</v>
      </c>
      <c r="BA176" s="239" t="s">
        <v>11</v>
      </c>
      <c r="BB176" s="239" t="s">
        <v>4</v>
      </c>
      <c r="BC176" s="239" t="s">
        <v>31557</v>
      </c>
      <c r="BD176" s="239" t="s">
        <v>4</v>
      </c>
      <c r="BE176" s="239" t="s">
        <v>4</v>
      </c>
      <c r="BF176" s="239" t="s">
        <v>4</v>
      </c>
      <c r="BG176" s="239" t="s">
        <v>4</v>
      </c>
      <c r="BH176" s="239" t="s">
        <v>4</v>
      </c>
      <c r="BI176" s="239" t="s">
        <v>4</v>
      </c>
      <c r="BJ176" s="239" t="s">
        <v>4</v>
      </c>
      <c r="BK176" s="239" t="s">
        <v>4</v>
      </c>
      <c r="BL176" s="239" t="s">
        <v>4</v>
      </c>
      <c r="BM176" s="239" t="s">
        <v>7</v>
      </c>
      <c r="BN176" s="239" t="s">
        <v>6</v>
      </c>
      <c r="BO176" s="239" t="s">
        <v>4</v>
      </c>
      <c r="BP176" s="239" t="s">
        <v>31429</v>
      </c>
      <c r="BQ176" s="239">
        <v>1</v>
      </c>
      <c r="BR176" s="239">
        <v>50</v>
      </c>
      <c r="BS176" s="239" t="s">
        <v>31434</v>
      </c>
      <c r="BT176" s="239"/>
      <c r="BU176" s="239">
        <v>7</v>
      </c>
      <c r="BV176" s="239" cm="1">
        <f t="array" ref="BV176">_xlfn.IFS(BS176="Foreword vehicle",BU176*0,BS176="Human wastes",BU176*0,BS176="Jerrycans",BU176*$BV$228,BS176="Number of Basins",BU176*$BV$229,BS176="Number of Buckets",BU176*$CA$226,BS176="Number of Kgs",BU176*$CA$227,BS176="Number of spades",BU176*$CA$228,BS176="Number of wheelbarrows",BU176*$CA$229,BT176="Foreword vehicle",BU176*0,BT176="Human wastes",BU176*0,BT176="Jerrycans",BU176*$BV$228,BS176="","")</f>
        <v>112</v>
      </c>
      <c r="BW176" s="239">
        <f>IF(BV176="","",Table14[[#This Row],[Calculation: Conversion of metric to Kg manure feeding (Columns: BP, BQ, BR)]]*Table14[[#This Row],[Number of times used to feed biodigester]])</f>
        <v>112</v>
      </c>
      <c r="BX176" s="239" cm="1">
        <f t="array" ref="BX176">_xlfn.IFS(BP176="Number of times per day (1 to 3)",BW176/$BX$226,BP176="Number of times per week (1 to 6)",BW176/$BX$227,BP176="Number of times per Month (1 to 3)",BW176/$BX$228,BW176="","")</f>
        <v>16</v>
      </c>
      <c r="BY176" s="239" t="s">
        <v>22</v>
      </c>
      <c r="BZ176" s="239" t="s">
        <v>4</v>
      </c>
      <c r="CA176" s="239" t="s">
        <v>2</v>
      </c>
      <c r="CB176" s="239" t="s">
        <v>4</v>
      </c>
      <c r="CC176" s="239" t="s">
        <v>4</v>
      </c>
      <c r="CD176" s="239" t="s">
        <v>4</v>
      </c>
      <c r="CE176" s="239" t="s">
        <v>7</v>
      </c>
      <c r="CF176" s="239" t="s">
        <v>31883</v>
      </c>
      <c r="CG176" s="239" t="s">
        <v>4</v>
      </c>
      <c r="CH176" s="239" t="s">
        <v>31585</v>
      </c>
      <c r="CI176" s="239">
        <v>2</v>
      </c>
      <c r="CJ176" s="239">
        <v>0</v>
      </c>
      <c r="CK176" s="239">
        <v>0</v>
      </c>
      <c r="CL176" s="239">
        <v>0</v>
      </c>
      <c r="CM176" s="239">
        <v>6</v>
      </c>
      <c r="CN176" s="239">
        <v>20</v>
      </c>
      <c r="CO176" s="239">
        <v>0</v>
      </c>
      <c r="CP176" s="239">
        <v>0</v>
      </c>
      <c r="CQ176" s="239">
        <v>0</v>
      </c>
      <c r="CR176" s="239">
        <v>0</v>
      </c>
      <c r="CS176" s="239">
        <f>CP176/'SDG outcome'!$C$9*CQ176*CR176</f>
        <v>0</v>
      </c>
      <c r="CT176" s="239">
        <v>100</v>
      </c>
      <c r="CU176" s="239">
        <v>0</v>
      </c>
      <c r="CV176" s="239" t="s">
        <v>4</v>
      </c>
      <c r="CW176" s="239" t="s">
        <v>4</v>
      </c>
      <c r="CX176" s="239" t="s">
        <v>4</v>
      </c>
      <c r="CY176" s="239" t="s">
        <v>4</v>
      </c>
      <c r="CZ176" s="239" t="s">
        <v>4</v>
      </c>
      <c r="DA176" s="239" t="s">
        <v>4</v>
      </c>
      <c r="DB176" s="239" t="s">
        <v>4</v>
      </c>
      <c r="DC176" s="239" t="s">
        <v>4</v>
      </c>
      <c r="DD176" s="239" t="s">
        <v>4</v>
      </c>
      <c r="DE176" s="239" t="s">
        <v>4</v>
      </c>
      <c r="DF176" s="239">
        <v>0</v>
      </c>
      <c r="DG176" s="239">
        <v>100</v>
      </c>
      <c r="DH176" s="239" t="s">
        <v>31884</v>
      </c>
      <c r="DI176" s="239" t="s">
        <v>4</v>
      </c>
      <c r="DJ176" s="239" t="s">
        <v>4</v>
      </c>
      <c r="DK176" s="239" t="s">
        <v>4</v>
      </c>
      <c r="DL176" s="239">
        <v>0</v>
      </c>
      <c r="DM176" s="239">
        <v>100</v>
      </c>
      <c r="DN176" s="239" t="s">
        <v>31885</v>
      </c>
      <c r="DO176" s="239">
        <v>2</v>
      </c>
      <c r="DP176" s="239" t="s">
        <v>7</v>
      </c>
      <c r="DQ176" s="239" t="s">
        <v>29292</v>
      </c>
      <c r="DR176" s="239" t="s">
        <v>4</v>
      </c>
      <c r="DS176" s="239" t="s">
        <v>29293</v>
      </c>
      <c r="DT176" s="240">
        <v>30000</v>
      </c>
      <c r="DU176" s="239" t="s">
        <v>29293</v>
      </c>
      <c r="DV176" s="240">
        <v>0</v>
      </c>
      <c r="DW176" s="239" t="s">
        <v>29295</v>
      </c>
      <c r="DX176" s="239">
        <v>100</v>
      </c>
      <c r="DY176" s="239" t="s">
        <v>29296</v>
      </c>
      <c r="DZ176" s="239">
        <v>100</v>
      </c>
      <c r="EA176" s="239"/>
      <c r="EB176" s="239"/>
      <c r="EC176" s="239"/>
      <c r="ED176" s="239"/>
      <c r="EE176" s="320">
        <f>Table14[[#This Row],[% Fertilizer]]*$DX176/10000</f>
        <v>1</v>
      </c>
      <c r="EF176" s="320">
        <f>Table14[[#This Row],[% bioslurry used as Insecticide/Pesticide]]*$DX176/10000</f>
        <v>0</v>
      </c>
      <c r="EG176" s="320">
        <f>Table14[[#This Row],[% of Bioslurry used as animal feed]]*$DX176/10000</f>
        <v>0</v>
      </c>
      <c r="EH176" s="320">
        <f>Table14[[#This Row],[% of Bioslurry sold]]*$DX176/10000</f>
        <v>0</v>
      </c>
      <c r="EI176" s="320">
        <f>Table14[[#This Row],[% used other way(if used directly)]]*$DX176/10000</f>
        <v>0</v>
      </c>
      <c r="EJ176" s="239"/>
      <c r="EK176" s="239"/>
      <c r="EL176" s="239"/>
      <c r="EM176" s="239"/>
      <c r="EN176" s="239"/>
      <c r="EO176" s="239">
        <f>(Table14[[#This Row],[% Uncovered lagoon greater than 1 meter]]+Table14[[#This Row],[Uncovered lagoon (black watery mass) &lt;1 meter]]+Table14[[#This Row],[% Liquid slurry (brown porridge type)]])*Table14[[#This Row],[% Store it first]]/100</f>
        <v>0</v>
      </c>
      <c r="EP176" s="239"/>
      <c r="EQ176" s="239"/>
      <c r="ER176" s="239"/>
      <c r="ES176" s="239"/>
      <c r="ET176" s="239">
        <f>(Table14[[#This Row],[% Solid storage]]+Table14[[#This Row],[% Sun drying]]+Table14[[#This Row],[% Composting with a roof]]+Table14[[#This Row],[% Composting without a roof]])*Table14[[#This Row],[% Store it first]]/100</f>
        <v>0</v>
      </c>
      <c r="EU176" s="239"/>
      <c r="EV176" s="320">
        <f t="shared" si="20"/>
        <v>0</v>
      </c>
      <c r="EW176" s="320">
        <f t="shared" si="21"/>
        <v>0</v>
      </c>
      <c r="EX176" s="320">
        <f t="shared" si="22"/>
        <v>0</v>
      </c>
      <c r="EY176" s="320">
        <f t="shared" si="23"/>
        <v>0</v>
      </c>
      <c r="EZ176" s="320">
        <f t="shared" si="24"/>
        <v>0</v>
      </c>
      <c r="FA176" s="239"/>
      <c r="FB176" s="239"/>
      <c r="FC176" s="239"/>
      <c r="FD176" s="239">
        <f>Table14[[#This Row],[% I donâ€™t use it / discarded]]+Table14[[#This Row],[% Other (specify)(If you use bioslurry directly)]]+Table14[[#This Row],[% Store it first]]+Table14[[#This Row],[% Use directly for various purposes]]</f>
        <v>100</v>
      </c>
      <c r="FE176" s="239" t="s">
        <v>4</v>
      </c>
      <c r="FF176" s="239"/>
      <c r="FG176" s="239"/>
      <c r="FH176" s="239"/>
      <c r="FI176" s="239"/>
      <c r="FJ176" s="239"/>
      <c r="FK176" s="239">
        <v>1.5</v>
      </c>
      <c r="FL176" s="239" t="s">
        <v>7</v>
      </c>
      <c r="FM176" s="239">
        <v>50</v>
      </c>
      <c r="FN176" s="239">
        <f>FK176*FM176/100</f>
        <v>0.75</v>
      </c>
      <c r="FO176" s="239" t="s">
        <v>29952</v>
      </c>
      <c r="FP176" s="239" t="s">
        <v>29298</v>
      </c>
      <c r="FQ176" s="239">
        <v>60</v>
      </c>
      <c r="FR176" s="239" t="s">
        <v>2</v>
      </c>
      <c r="FS176" s="239" t="s">
        <v>4</v>
      </c>
      <c r="FT176" s="239" t="s">
        <v>4</v>
      </c>
      <c r="FU176" s="239" t="s">
        <v>2</v>
      </c>
      <c r="FV176" s="239" t="s">
        <v>4</v>
      </c>
      <c r="FW176" s="239" t="s">
        <v>4</v>
      </c>
      <c r="FX176" s="239" t="s">
        <v>4</v>
      </c>
      <c r="FY176" s="239" t="s">
        <v>4</v>
      </c>
      <c r="FZ176" s="239" t="s">
        <v>4</v>
      </c>
      <c r="GA176" s="239" t="s">
        <v>4</v>
      </c>
      <c r="GB176" s="240" t="s">
        <v>4</v>
      </c>
      <c r="GC176" s="239" t="s">
        <v>4</v>
      </c>
      <c r="GD176" s="239" t="s">
        <v>7</v>
      </c>
      <c r="GE176" s="239" t="s">
        <v>29301</v>
      </c>
      <c r="GF176" s="239" t="s">
        <v>4</v>
      </c>
      <c r="GG176" s="239" t="s">
        <v>7</v>
      </c>
      <c r="GH176" s="239" t="s">
        <v>2</v>
      </c>
      <c r="GI176" s="239" t="s">
        <v>4</v>
      </c>
      <c r="GJ176" s="239" t="s">
        <v>4</v>
      </c>
      <c r="GK176" s="239" t="s">
        <v>4</v>
      </c>
      <c r="GL176" s="239">
        <v>0</v>
      </c>
      <c r="GM176" s="239"/>
      <c r="GN176" s="239" t="s">
        <v>4</v>
      </c>
      <c r="GO176" s="239" t="s">
        <v>4</v>
      </c>
      <c r="GP176" s="239" t="s">
        <v>4</v>
      </c>
      <c r="GQ176" s="239" t="s">
        <v>4</v>
      </c>
      <c r="GR176" s="239" t="s">
        <v>4</v>
      </c>
      <c r="GS176" s="239" t="s">
        <v>4</v>
      </c>
      <c r="GT176" s="239" t="s">
        <v>4</v>
      </c>
      <c r="GU176" s="239" t="s">
        <v>4</v>
      </c>
      <c r="GV176" s="239" t="s">
        <v>4</v>
      </c>
      <c r="GW176" s="239" t="s">
        <v>29304</v>
      </c>
      <c r="GX176" s="239" t="s">
        <v>29305</v>
      </c>
      <c r="GY176" s="239" t="s">
        <v>29339</v>
      </c>
      <c r="GZ176" s="239" t="s">
        <v>4</v>
      </c>
      <c r="HA176" s="239" t="s">
        <v>4</v>
      </c>
      <c r="HB176" s="239" t="s">
        <v>4</v>
      </c>
      <c r="HC176" s="239" t="s">
        <v>4</v>
      </c>
      <c r="HD176" s="239" t="s">
        <v>4</v>
      </c>
      <c r="HE176" s="239" t="s">
        <v>30916</v>
      </c>
      <c r="HF176" s="239" t="s">
        <v>29353</v>
      </c>
      <c r="HG176" s="239" t="s">
        <v>4</v>
      </c>
      <c r="HH176" s="239" t="s">
        <v>30917</v>
      </c>
      <c r="HI176" s="239" t="s">
        <v>30918</v>
      </c>
      <c r="HJ176" s="240">
        <v>0</v>
      </c>
      <c r="HK176" s="239" t="s">
        <v>2</v>
      </c>
      <c r="HL176" s="239" t="s">
        <v>29309</v>
      </c>
      <c r="HM176" s="239" t="s">
        <v>4</v>
      </c>
      <c r="HN176" s="239" t="s">
        <v>4</v>
      </c>
      <c r="HO176" s="239" t="s">
        <v>4</v>
      </c>
      <c r="HP176" s="239" t="s">
        <v>4</v>
      </c>
      <c r="HQ176" s="239" t="s">
        <v>4</v>
      </c>
      <c r="HR176" s="239" t="s">
        <v>4</v>
      </c>
      <c r="HS176" s="239" t="s">
        <v>4</v>
      </c>
      <c r="HT176" s="239" t="s">
        <v>4</v>
      </c>
      <c r="HU176" s="239" t="s">
        <v>2</v>
      </c>
      <c r="HV176" s="239" t="s">
        <v>4</v>
      </c>
      <c r="HW176" s="239" t="s">
        <v>4</v>
      </c>
      <c r="HX176" s="239" t="s">
        <v>4</v>
      </c>
      <c r="HY176" s="239" t="s">
        <v>4</v>
      </c>
      <c r="HZ176" s="239" t="s">
        <v>30919</v>
      </c>
      <c r="IA176" s="239" t="s">
        <v>2</v>
      </c>
      <c r="IB176" s="239" t="s">
        <v>4</v>
      </c>
      <c r="IC176" s="239" t="s">
        <v>30920</v>
      </c>
      <c r="ID176" s="239" t="s">
        <v>30921</v>
      </c>
      <c r="IE176" s="239" t="s">
        <v>30922</v>
      </c>
      <c r="IF176" s="239" t="s">
        <v>30923</v>
      </c>
      <c r="IG176" s="239" t="s">
        <v>30924</v>
      </c>
      <c r="IH176" s="239" t="s">
        <v>30925</v>
      </c>
    </row>
    <row r="177" spans="1:242" s="1" customFormat="1" ht="36.75" customHeight="1" x14ac:dyDescent="0.2">
      <c r="A177" s="239">
        <v>37</v>
      </c>
      <c r="B177" s="239" t="s">
        <v>15412</v>
      </c>
      <c r="C177" s="239" t="s">
        <v>29750</v>
      </c>
      <c r="D177" s="239" t="s">
        <v>29691</v>
      </c>
      <c r="E177" s="239" t="s">
        <v>7</v>
      </c>
      <c r="F177" s="239" t="s">
        <v>29751</v>
      </c>
      <c r="G177" s="239">
        <v>1121.9000000000001</v>
      </c>
      <c r="H177" s="239">
        <v>3.8</v>
      </c>
      <c r="I177" s="239" t="s">
        <v>29319</v>
      </c>
      <c r="J177" s="239" t="s">
        <v>4</v>
      </c>
      <c r="K177" s="239" t="s">
        <v>15413</v>
      </c>
      <c r="L177" s="239">
        <v>785831406</v>
      </c>
      <c r="M177" s="239" t="s">
        <v>5</v>
      </c>
      <c r="N177" s="239" t="s">
        <v>31438</v>
      </c>
      <c r="O177" s="239">
        <v>59</v>
      </c>
      <c r="P177" s="239">
        <v>7</v>
      </c>
      <c r="Q177" s="239" t="s">
        <v>7</v>
      </c>
      <c r="R177" s="239" t="s">
        <v>31535</v>
      </c>
      <c r="S177" s="239" t="s">
        <v>4</v>
      </c>
      <c r="T177" s="239" t="s">
        <v>7</v>
      </c>
      <c r="U177" s="239" t="s">
        <v>7</v>
      </c>
      <c r="V177" s="239"/>
      <c r="W177" s="239" t="s">
        <v>7</v>
      </c>
      <c r="X177" s="239" t="s">
        <v>4</v>
      </c>
      <c r="Y177" s="239" t="s">
        <v>4</v>
      </c>
      <c r="Z177" s="241" t="str">
        <f>IF(OR(T177="yes",Y177&gt;'SDG outcome'!$C$27),"yes","no")</f>
        <v>yes</v>
      </c>
      <c r="AA177" s="243">
        <f t="shared" si="13"/>
        <v>0</v>
      </c>
      <c r="AB177" s="243" t="str">
        <f>IF(AND(Z177="no",AND(Y177&gt;='SDG outcome'!$B$16,Y177&lt;'SDG outcome'!$C$27)),Y177-'SDG outcome'!$B$16,"")</f>
        <v/>
      </c>
      <c r="AC177" s="239" t="s">
        <v>4</v>
      </c>
      <c r="AD177" s="239" t="s">
        <v>4</v>
      </c>
      <c r="AE177" s="239" t="s">
        <v>4</v>
      </c>
      <c r="AF177" s="239" t="s">
        <v>4</v>
      </c>
      <c r="AG177" s="239" t="s">
        <v>4</v>
      </c>
      <c r="AH177" s="239" t="s">
        <v>4</v>
      </c>
      <c r="AI177" s="239" t="s">
        <v>4</v>
      </c>
      <c r="AJ177" s="239" t="s">
        <v>29290</v>
      </c>
      <c r="AK177" s="239" t="s">
        <v>29540</v>
      </c>
      <c r="AL177" s="239" t="s">
        <v>4</v>
      </c>
      <c r="AM177" s="239" t="s">
        <v>4</v>
      </c>
      <c r="AN177" s="239" t="s">
        <v>31536</v>
      </c>
      <c r="AO177" s="239" t="s">
        <v>4</v>
      </c>
      <c r="AP177" s="239" t="s">
        <v>31537</v>
      </c>
      <c r="AQ177" s="239" t="s">
        <v>4</v>
      </c>
      <c r="AR177" s="239" t="s">
        <v>13</v>
      </c>
      <c r="AS177" s="239" t="s">
        <v>31686</v>
      </c>
      <c r="AT177" s="239" t="s">
        <v>7</v>
      </c>
      <c r="AU177" s="239" t="s">
        <v>4</v>
      </c>
      <c r="AV177" s="239" t="s">
        <v>4</v>
      </c>
      <c r="AW177" s="239" t="s">
        <v>31539</v>
      </c>
      <c r="AX177" s="239" t="s">
        <v>4</v>
      </c>
      <c r="AY177" s="239" t="s">
        <v>4</v>
      </c>
      <c r="AZ177" s="239" t="s">
        <v>2</v>
      </c>
      <c r="BA177" s="239" t="s">
        <v>4</v>
      </c>
      <c r="BB177" s="239" t="s">
        <v>4</v>
      </c>
      <c r="BC177" s="239" t="s">
        <v>31540</v>
      </c>
      <c r="BD177" s="239" t="s">
        <v>31541</v>
      </c>
      <c r="BE177" s="239" t="s">
        <v>4</v>
      </c>
      <c r="BF177" s="239" t="s">
        <v>31564</v>
      </c>
      <c r="BG177" s="239" t="s">
        <v>4</v>
      </c>
      <c r="BH177" s="239" t="s">
        <v>31542</v>
      </c>
      <c r="BI177" s="239" t="s">
        <v>31687</v>
      </c>
      <c r="BJ177" s="239" t="s">
        <v>31566</v>
      </c>
      <c r="BK177" s="239">
        <v>1</v>
      </c>
      <c r="BL177" s="239">
        <v>60</v>
      </c>
      <c r="BM177" s="239" t="s">
        <v>7</v>
      </c>
      <c r="BN177" s="239" t="s">
        <v>6</v>
      </c>
      <c r="BO177" s="239" t="s">
        <v>4</v>
      </c>
      <c r="BP177" s="239" t="s">
        <v>31429</v>
      </c>
      <c r="BQ177" s="239">
        <v>3</v>
      </c>
      <c r="BR177" s="239">
        <v>60</v>
      </c>
      <c r="BS177" s="264" t="s">
        <v>31433</v>
      </c>
      <c r="BT177" s="239"/>
      <c r="BU177" s="239">
        <v>5</v>
      </c>
      <c r="BV177" s="239" cm="1">
        <f t="array" ref="BV177">_xlfn.IFS(BS177="Foreword vehicle",BU177*0,BS177="Human wastes",BU177*0,BS177="Jerrycans",BU177*$BV$228,BS177="Number of Basins",BU177*$BV$229,BS177="Number of Buckets",BU177*$CA$226,BS177="Number of Kgs",BU177*$CA$227,BS177="Number of spades",BU177*$CA$228,BS177="Number of wheelbarrows",BU177*$CA$229,BT177="Foreword vehicle",BU177*0,BT177="Human wastes",BU177*0,BT177="Jerrycans",BU177*$BV$228,BS177="","")</f>
        <v>15</v>
      </c>
      <c r="BW177" s="239">
        <f>IF(BV177="","",Table14[[#This Row],[Calculation: Conversion of metric to Kg manure feeding (Columns: BP, BQ, BR)]]*Table14[[#This Row],[Number of times used to feed biodigester]])</f>
        <v>45</v>
      </c>
      <c r="BX177" s="239" cm="1">
        <f t="array" ref="BX177">_xlfn.IFS(BP177="Number of times per day (1 to 3)",BW177/$BX$226,BP177="Number of times per week (1 to 6)",BW177/$BX$227,BP177="Number of times per Month (1 to 3)",BW177/$BX$228,BW177="","")</f>
        <v>6.4285714285714288</v>
      </c>
      <c r="BY177" s="239" t="s">
        <v>31541</v>
      </c>
      <c r="BZ177" s="239" t="s">
        <v>4</v>
      </c>
      <c r="CA177" s="239" t="s">
        <v>2</v>
      </c>
      <c r="CB177" s="239" t="s">
        <v>4</v>
      </c>
      <c r="CC177" s="239" t="s">
        <v>4</v>
      </c>
      <c r="CD177" s="239" t="s">
        <v>4</v>
      </c>
      <c r="CE177" s="239" t="s">
        <v>7</v>
      </c>
      <c r="CF177" s="239" t="s">
        <v>31688</v>
      </c>
      <c r="CG177" s="239" t="s">
        <v>4</v>
      </c>
      <c r="CH177" s="239" t="s">
        <v>31604</v>
      </c>
      <c r="CI177" s="239">
        <v>1</v>
      </c>
      <c r="CJ177" s="239">
        <v>0</v>
      </c>
      <c r="CK177" s="239">
        <v>0</v>
      </c>
      <c r="CL177" s="239">
        <v>0</v>
      </c>
      <c r="CM177" s="239">
        <v>0</v>
      </c>
      <c r="CN177" s="239">
        <v>0</v>
      </c>
      <c r="CO177" s="239">
        <v>0</v>
      </c>
      <c r="CP177" s="239">
        <v>0</v>
      </c>
      <c r="CQ177" s="239">
        <v>0</v>
      </c>
      <c r="CR177" s="239">
        <v>0</v>
      </c>
      <c r="CS177" s="239">
        <f>CP177/'SDG outcome'!$C$9*CQ177*CR177</f>
        <v>0</v>
      </c>
      <c r="CT177" s="239">
        <v>100</v>
      </c>
      <c r="CU177" s="239">
        <v>0</v>
      </c>
      <c r="CV177" s="239" t="s">
        <v>4</v>
      </c>
      <c r="CW177" s="239" t="s">
        <v>4</v>
      </c>
      <c r="CX177" s="239" t="s">
        <v>4</v>
      </c>
      <c r="CY177" s="239" t="s">
        <v>4</v>
      </c>
      <c r="CZ177" s="239" t="s">
        <v>4</v>
      </c>
      <c r="DA177" s="239" t="s">
        <v>4</v>
      </c>
      <c r="DB177" s="239" t="s">
        <v>4</v>
      </c>
      <c r="DC177" s="239" t="s">
        <v>4</v>
      </c>
      <c r="DD177" s="239" t="s">
        <v>4</v>
      </c>
      <c r="DE177" s="239" t="s">
        <v>4</v>
      </c>
      <c r="DF177" s="239" t="s">
        <v>4</v>
      </c>
      <c r="DG177" s="239" t="s">
        <v>4</v>
      </c>
      <c r="DH177" s="239" t="s">
        <v>4</v>
      </c>
      <c r="DI177" s="239" t="s">
        <v>4</v>
      </c>
      <c r="DJ177" s="239" t="s">
        <v>4</v>
      </c>
      <c r="DK177" s="239" t="s">
        <v>4</v>
      </c>
      <c r="DL177" s="239" t="s">
        <v>4</v>
      </c>
      <c r="DM177" s="239" t="s">
        <v>4</v>
      </c>
      <c r="DN177" s="239" t="s">
        <v>4</v>
      </c>
      <c r="DO177" s="239">
        <v>1</v>
      </c>
      <c r="DP177" s="239" t="s">
        <v>2</v>
      </c>
      <c r="DQ177" s="239" t="s">
        <v>29375</v>
      </c>
      <c r="DR177" s="239" t="s">
        <v>4</v>
      </c>
      <c r="DS177" s="239" t="s">
        <v>4</v>
      </c>
      <c r="DT177" s="240" t="s">
        <v>4</v>
      </c>
      <c r="DU177" s="239" t="s">
        <v>29294</v>
      </c>
      <c r="DV177" s="240" t="s">
        <v>4</v>
      </c>
      <c r="DW177" s="239" t="s">
        <v>29295</v>
      </c>
      <c r="DX177" s="239">
        <v>100</v>
      </c>
      <c r="DY177" s="239" t="s">
        <v>29296</v>
      </c>
      <c r="DZ177" s="239">
        <v>100</v>
      </c>
      <c r="EA177" s="239"/>
      <c r="EB177" s="239"/>
      <c r="EC177" s="239"/>
      <c r="ED177" s="239"/>
      <c r="EE177" s="320">
        <f>Table14[[#This Row],[% Fertilizer]]*$DX177/10000</f>
        <v>1</v>
      </c>
      <c r="EF177" s="320">
        <f>Table14[[#This Row],[% bioslurry used as Insecticide/Pesticide]]*$DX177/10000</f>
        <v>0</v>
      </c>
      <c r="EG177" s="320">
        <f>Table14[[#This Row],[% of Bioslurry used as animal feed]]*$DX177/10000</f>
        <v>0</v>
      </c>
      <c r="EH177" s="320">
        <f>Table14[[#This Row],[% of Bioslurry sold]]*$DX177/10000</f>
        <v>0</v>
      </c>
      <c r="EI177" s="320">
        <f>Table14[[#This Row],[% used other way(if used directly)]]*$DX177/10000</f>
        <v>0</v>
      </c>
      <c r="EJ177" s="239"/>
      <c r="EK177" s="239"/>
      <c r="EL177" s="239"/>
      <c r="EM177" s="239"/>
      <c r="EN177" s="239"/>
      <c r="EO177" s="239">
        <f>(Table14[[#This Row],[% Uncovered lagoon greater than 1 meter]]+Table14[[#This Row],[Uncovered lagoon (black watery mass) &lt;1 meter]]+Table14[[#This Row],[% Liquid slurry (brown porridge type)]])*Table14[[#This Row],[% Store it first]]/100</f>
        <v>0</v>
      </c>
      <c r="EP177" s="239"/>
      <c r="EQ177" s="239"/>
      <c r="ER177" s="239"/>
      <c r="ES177" s="239"/>
      <c r="ET177" s="239">
        <f>(Table14[[#This Row],[% Solid storage]]+Table14[[#This Row],[% Sun drying]]+Table14[[#This Row],[% Composting with a roof]]+Table14[[#This Row],[% Composting without a roof]])*Table14[[#This Row],[% Store it first]]/100</f>
        <v>0</v>
      </c>
      <c r="EU177" s="239"/>
      <c r="EV177" s="320">
        <f t="shared" si="20"/>
        <v>0</v>
      </c>
      <c r="EW177" s="320">
        <f t="shared" si="21"/>
        <v>0</v>
      </c>
      <c r="EX177" s="320">
        <f t="shared" si="22"/>
        <v>0</v>
      </c>
      <c r="EY177" s="320">
        <f t="shared" si="23"/>
        <v>0</v>
      </c>
      <c r="EZ177" s="320">
        <f t="shared" si="24"/>
        <v>0</v>
      </c>
      <c r="FA177" s="239"/>
      <c r="FB177" s="239"/>
      <c r="FC177" s="239"/>
      <c r="FD177" s="239">
        <f>Table14[[#This Row],[% I donâ€™t use it / discarded]]+Table14[[#This Row],[% Other (specify)(If you use bioslurry directly)]]+Table14[[#This Row],[% Store it first]]+Table14[[#This Row],[% Use directly for various purposes]]</f>
        <v>100</v>
      </c>
      <c r="FE177" s="239" t="s">
        <v>4</v>
      </c>
      <c r="FF177" s="239"/>
      <c r="FG177" s="239"/>
      <c r="FH177" s="239"/>
      <c r="FI177" s="239"/>
      <c r="FJ177" s="239"/>
      <c r="FK177" s="239">
        <v>1</v>
      </c>
      <c r="FL177" s="239" t="s">
        <v>7</v>
      </c>
      <c r="FM177" s="239">
        <v>50</v>
      </c>
      <c r="FN177" s="239">
        <f>FK177*FM177/100</f>
        <v>0.5</v>
      </c>
      <c r="FO177" s="239" t="s">
        <v>29752</v>
      </c>
      <c r="FP177" s="239" t="s">
        <v>29298</v>
      </c>
      <c r="FQ177" s="239">
        <v>72</v>
      </c>
      <c r="FR177" s="239" t="s">
        <v>7</v>
      </c>
      <c r="FS177" s="239" t="s">
        <v>29492</v>
      </c>
      <c r="FT177" s="239" t="s">
        <v>4</v>
      </c>
      <c r="FU177" s="239" t="s">
        <v>2</v>
      </c>
      <c r="FV177" s="239" t="s">
        <v>4</v>
      </c>
      <c r="FW177" s="239" t="s">
        <v>4</v>
      </c>
      <c r="FX177" s="239" t="s">
        <v>4</v>
      </c>
      <c r="FY177" s="239" t="s">
        <v>4</v>
      </c>
      <c r="FZ177" s="239" t="s">
        <v>29292</v>
      </c>
      <c r="GA177" s="239" t="s">
        <v>29293</v>
      </c>
      <c r="GB177" s="240">
        <v>120000</v>
      </c>
      <c r="GC177" s="239" t="s">
        <v>4</v>
      </c>
      <c r="GD177" s="239" t="s">
        <v>7</v>
      </c>
      <c r="GE177" s="239" t="s">
        <v>29301</v>
      </c>
      <c r="GF177" s="239" t="s">
        <v>4</v>
      </c>
      <c r="GG177" s="239" t="s">
        <v>7</v>
      </c>
      <c r="GH177" s="239" t="s">
        <v>2</v>
      </c>
      <c r="GI177" s="239" t="s">
        <v>4</v>
      </c>
      <c r="GJ177" s="239" t="s">
        <v>4</v>
      </c>
      <c r="GK177" s="239" t="s">
        <v>4</v>
      </c>
      <c r="GL177" s="239">
        <v>0</v>
      </c>
      <c r="GM177" s="239"/>
      <c r="GN177" s="239" t="s">
        <v>4</v>
      </c>
      <c r="GO177" s="239" t="s">
        <v>4</v>
      </c>
      <c r="GP177" s="239" t="s">
        <v>4</v>
      </c>
      <c r="GQ177" s="239" t="s">
        <v>4</v>
      </c>
      <c r="GR177" s="239" t="s">
        <v>4</v>
      </c>
      <c r="GS177" s="239" t="s">
        <v>4</v>
      </c>
      <c r="GT177" s="239" t="s">
        <v>4</v>
      </c>
      <c r="GU177" s="239" t="s">
        <v>4</v>
      </c>
      <c r="GV177" s="239" t="s">
        <v>4</v>
      </c>
      <c r="GW177" s="239" t="s">
        <v>29304</v>
      </c>
      <c r="GX177" s="239" t="s">
        <v>29305</v>
      </c>
      <c r="GY177" s="239" t="s">
        <v>29306</v>
      </c>
      <c r="GZ177" s="239" t="s">
        <v>4</v>
      </c>
      <c r="HA177" s="239" t="s">
        <v>4</v>
      </c>
      <c r="HB177" s="239" t="s">
        <v>4</v>
      </c>
      <c r="HC177" s="239" t="s">
        <v>4</v>
      </c>
      <c r="HD177" s="239" t="s">
        <v>4</v>
      </c>
      <c r="HE177" s="239" t="s">
        <v>29753</v>
      </c>
      <c r="HF177" s="239" t="s">
        <v>13</v>
      </c>
      <c r="HG177" s="239" t="s">
        <v>72</v>
      </c>
      <c r="HH177" s="239" t="s">
        <v>29354</v>
      </c>
      <c r="HI177" s="239" t="s">
        <v>4</v>
      </c>
      <c r="HJ177" s="240">
        <v>20</v>
      </c>
      <c r="HK177" s="239" t="s">
        <v>2</v>
      </c>
      <c r="HL177" s="239" t="s">
        <v>29309</v>
      </c>
      <c r="HM177" s="239" t="s">
        <v>4</v>
      </c>
      <c r="HN177" s="239" t="s">
        <v>4</v>
      </c>
      <c r="HO177" s="239" t="s">
        <v>4</v>
      </c>
      <c r="HP177" s="239" t="s">
        <v>4</v>
      </c>
      <c r="HQ177" s="239" t="s">
        <v>4</v>
      </c>
      <c r="HR177" s="239" t="s">
        <v>4</v>
      </c>
      <c r="HS177" s="239" t="s">
        <v>4</v>
      </c>
      <c r="HT177" s="239" t="s">
        <v>4</v>
      </c>
      <c r="HU177" s="239" t="s">
        <v>2</v>
      </c>
      <c r="HV177" s="239" t="s">
        <v>4</v>
      </c>
      <c r="HW177" s="239" t="s">
        <v>4</v>
      </c>
      <c r="HX177" s="239" t="s">
        <v>4</v>
      </c>
      <c r="HY177" s="239" t="s">
        <v>4</v>
      </c>
      <c r="HZ177" s="239" t="s">
        <v>29754</v>
      </c>
      <c r="IA177" s="239" t="s">
        <v>7</v>
      </c>
      <c r="IB177" s="239" t="s">
        <v>29755</v>
      </c>
      <c r="IC177" s="239" t="s">
        <v>29756</v>
      </c>
      <c r="ID177" s="239" t="s">
        <v>29757</v>
      </c>
      <c r="IE177" s="239" t="s">
        <v>29758</v>
      </c>
      <c r="IF177" s="239" t="s">
        <v>29759</v>
      </c>
      <c r="IG177" s="239" t="s">
        <v>29760</v>
      </c>
      <c r="IH177" s="239" t="s">
        <v>29750</v>
      </c>
    </row>
    <row r="178" spans="1:242" s="1" customFormat="1" ht="36.75" customHeight="1" x14ac:dyDescent="0.2">
      <c r="A178" s="239">
        <v>143</v>
      </c>
      <c r="B178" s="239" t="s">
        <v>17528</v>
      </c>
      <c r="C178" s="239" t="s">
        <v>30815</v>
      </c>
      <c r="D178" s="239" t="s">
        <v>30786</v>
      </c>
      <c r="E178" s="239" t="s">
        <v>7</v>
      </c>
      <c r="F178" s="239" t="s">
        <v>30816</v>
      </c>
      <c r="G178" s="239">
        <v>1117.8</v>
      </c>
      <c r="H178" s="239">
        <v>4.9000000000000004</v>
      </c>
      <c r="I178" s="239" t="s">
        <v>29349</v>
      </c>
      <c r="J178" s="239" t="s">
        <v>4</v>
      </c>
      <c r="K178" s="239" t="s">
        <v>30817</v>
      </c>
      <c r="L178" s="239">
        <v>772424109</v>
      </c>
      <c r="M178" s="239" t="s">
        <v>5</v>
      </c>
      <c r="N178" s="239" t="s">
        <v>31598</v>
      </c>
      <c r="O178" s="239" t="s">
        <v>4</v>
      </c>
      <c r="P178" s="239">
        <v>5</v>
      </c>
      <c r="Q178" s="239" t="s">
        <v>7</v>
      </c>
      <c r="R178" s="239" t="s">
        <v>31562</v>
      </c>
      <c r="S178" s="239" t="s">
        <v>4</v>
      </c>
      <c r="T178" s="239" t="s">
        <v>7</v>
      </c>
      <c r="U178" s="239" t="s">
        <v>7</v>
      </c>
      <c r="V178" s="239"/>
      <c r="W178" s="239" t="s">
        <v>7</v>
      </c>
      <c r="X178" s="239" t="s">
        <v>4</v>
      </c>
      <c r="Y178" s="239" t="s">
        <v>4</v>
      </c>
      <c r="Z178" s="241" t="str">
        <f>IF(OR(T178="yes",Y178&gt;'SDG outcome'!$C$27),"yes","no")</f>
        <v>yes</v>
      </c>
      <c r="AA178" s="243">
        <f t="shared" si="13"/>
        <v>0</v>
      </c>
      <c r="AB178" s="243" t="str">
        <f>IF(AND(Z178="no",AND(Y178&gt;='SDG outcome'!$B$16,Y178&lt;'SDG outcome'!$C$27)),Y178-'SDG outcome'!$B$16,"")</f>
        <v/>
      </c>
      <c r="AC178" s="239" t="s">
        <v>4</v>
      </c>
      <c r="AD178" s="239" t="s">
        <v>4</v>
      </c>
      <c r="AE178" s="239" t="s">
        <v>4</v>
      </c>
      <c r="AF178" s="239" t="s">
        <v>4</v>
      </c>
      <c r="AG178" s="239" t="s">
        <v>4</v>
      </c>
      <c r="AH178" s="239" t="s">
        <v>4</v>
      </c>
      <c r="AI178" s="239" t="s">
        <v>4</v>
      </c>
      <c r="AJ178" s="239" t="s">
        <v>29290</v>
      </c>
      <c r="AK178" s="239" t="s">
        <v>29694</v>
      </c>
      <c r="AL178" s="239" t="s">
        <v>4</v>
      </c>
      <c r="AM178" s="239" t="s">
        <v>4</v>
      </c>
      <c r="AN178" s="239" t="s">
        <v>31605</v>
      </c>
      <c r="AO178" s="239" t="s">
        <v>4</v>
      </c>
      <c r="AP178" s="239" t="s">
        <v>31600</v>
      </c>
      <c r="AQ178" s="239" t="s">
        <v>4</v>
      </c>
      <c r="AR178" s="239" t="s">
        <v>31538</v>
      </c>
      <c r="AS178" s="239" t="s">
        <v>4</v>
      </c>
      <c r="AT178" s="239" t="s">
        <v>7</v>
      </c>
      <c r="AU178" s="239" t="s">
        <v>4</v>
      </c>
      <c r="AV178" s="239" t="s">
        <v>4</v>
      </c>
      <c r="AW178" s="239" t="s">
        <v>31539</v>
      </c>
      <c r="AX178" s="239" t="s">
        <v>4</v>
      </c>
      <c r="AY178" s="239" t="s">
        <v>4</v>
      </c>
      <c r="AZ178" s="239" t="s">
        <v>7</v>
      </c>
      <c r="BA178" s="239" t="s">
        <v>6</v>
      </c>
      <c r="BB178" s="239" t="s">
        <v>4</v>
      </c>
      <c r="BC178" s="239" t="s">
        <v>31540</v>
      </c>
      <c r="BD178" s="239" t="s">
        <v>22</v>
      </c>
      <c r="BE178" s="239" t="s">
        <v>4</v>
      </c>
      <c r="BF178" s="239" t="s">
        <v>22</v>
      </c>
      <c r="BG178" s="239" t="s">
        <v>4</v>
      </c>
      <c r="BH178" s="239" t="s">
        <v>31542</v>
      </c>
      <c r="BI178" s="239" t="s">
        <v>31869</v>
      </c>
      <c r="BJ178" s="239" t="s">
        <v>31616</v>
      </c>
      <c r="BK178" s="239">
        <v>2</v>
      </c>
      <c r="BL178" s="239">
        <v>120</v>
      </c>
      <c r="BM178" s="239" t="s">
        <v>7</v>
      </c>
      <c r="BN178" s="239" t="s">
        <v>6</v>
      </c>
      <c r="BO178" s="239" t="s">
        <v>4</v>
      </c>
      <c r="BP178" s="239" t="s">
        <v>31425</v>
      </c>
      <c r="BQ178" s="239">
        <v>1</v>
      </c>
      <c r="BR178" s="239">
        <v>30</v>
      </c>
      <c r="BS178" s="239" t="s">
        <v>31433</v>
      </c>
      <c r="BT178" s="239"/>
      <c r="BU178" s="239">
        <v>15</v>
      </c>
      <c r="BV178" s="239" cm="1">
        <f t="array" ref="BV178">_xlfn.IFS(BS178="Foreword vehicle",BU178*0,BS178="Human wastes",BU178*0,BS178="Jerrycans",BU178*$BV$228,BS178="Number of Basins",BU178*$BV$229,BS178="Number of Buckets",BU178*$CA$226,BS178="Number of Kgs",BU178*$CA$227,BS178="Number of spades",BU178*$CA$228,BS178="Number of wheelbarrows",BU178*$CA$229,BT178="Foreword vehicle",BU178*0,BT178="Human wastes",BU178*0,BT178="Jerrycans",BU178*$BV$228,BS178="","")</f>
        <v>45</v>
      </c>
      <c r="BW178" s="239">
        <f>IF(BV178="","",Table14[[#This Row],[Calculation: Conversion of metric to Kg manure feeding (Columns: BP, BQ, BR)]]*Table14[[#This Row],[Number of times used to feed biodigester]])</f>
        <v>45</v>
      </c>
      <c r="BX178" s="239" cm="1">
        <f t="array" ref="BX178">_xlfn.IFS(BP178="Number of times per day (1 to 3)",BW178/$BX$226,BP178="Number of times per week (1 to 6)",BW178/$BX$227,BP178="Number of times per Month (1 to 3)",BW178/$BX$228,BW178="","")</f>
        <v>45</v>
      </c>
      <c r="BY178" s="239" t="s">
        <v>22</v>
      </c>
      <c r="BZ178" s="239" t="s">
        <v>4</v>
      </c>
      <c r="CA178" s="239" t="s">
        <v>2</v>
      </c>
      <c r="CB178" s="239" t="s">
        <v>4</v>
      </c>
      <c r="CC178" s="239" t="s">
        <v>4</v>
      </c>
      <c r="CD178" s="239" t="s">
        <v>4</v>
      </c>
      <c r="CE178" s="239" t="s">
        <v>7</v>
      </c>
      <c r="CF178" s="239" t="s">
        <v>31870</v>
      </c>
      <c r="CG178" s="239" t="s">
        <v>4</v>
      </c>
      <c r="CH178" s="239" t="s">
        <v>31604</v>
      </c>
      <c r="CI178" s="239">
        <v>1</v>
      </c>
      <c r="CJ178" s="239">
        <v>0</v>
      </c>
      <c r="CK178" s="239">
        <v>0</v>
      </c>
      <c r="CL178" s="239">
        <v>0</v>
      </c>
      <c r="CM178" s="239">
        <v>0</v>
      </c>
      <c r="CN178" s="239">
        <v>0</v>
      </c>
      <c r="CO178" s="239">
        <v>0</v>
      </c>
      <c r="CP178" s="239">
        <v>0</v>
      </c>
      <c r="CQ178" s="239">
        <v>0</v>
      </c>
      <c r="CR178" s="239">
        <v>0</v>
      </c>
      <c r="CS178" s="239">
        <f>CP178/'SDG outcome'!$C$9*CQ178*CR178</f>
        <v>0</v>
      </c>
      <c r="CT178" s="239">
        <v>100</v>
      </c>
      <c r="CU178" s="239">
        <v>0</v>
      </c>
      <c r="CV178" s="239" t="s">
        <v>4</v>
      </c>
      <c r="CW178" s="239" t="s">
        <v>4</v>
      </c>
      <c r="CX178" s="239" t="s">
        <v>4</v>
      </c>
      <c r="CY178" s="239" t="s">
        <v>4</v>
      </c>
      <c r="CZ178" s="239" t="s">
        <v>4</v>
      </c>
      <c r="DA178" s="239" t="s">
        <v>4</v>
      </c>
      <c r="DB178" s="239" t="s">
        <v>4</v>
      </c>
      <c r="DC178" s="239" t="s">
        <v>4</v>
      </c>
      <c r="DD178" s="239" t="s">
        <v>4</v>
      </c>
      <c r="DE178" s="239" t="s">
        <v>4</v>
      </c>
      <c r="DF178" s="239" t="s">
        <v>4</v>
      </c>
      <c r="DG178" s="239" t="s">
        <v>4</v>
      </c>
      <c r="DH178" s="239" t="s">
        <v>4</v>
      </c>
      <c r="DI178" s="239" t="s">
        <v>4</v>
      </c>
      <c r="DJ178" s="239" t="s">
        <v>4</v>
      </c>
      <c r="DK178" s="239" t="s">
        <v>4</v>
      </c>
      <c r="DL178" s="239" t="s">
        <v>4</v>
      </c>
      <c r="DM178" s="239" t="s">
        <v>4</v>
      </c>
      <c r="DN178" s="239" t="s">
        <v>4</v>
      </c>
      <c r="DO178" s="239">
        <v>3</v>
      </c>
      <c r="DP178" s="239" t="s">
        <v>2</v>
      </c>
      <c r="DQ178" s="239" t="s">
        <v>29292</v>
      </c>
      <c r="DR178" s="239" t="s">
        <v>4</v>
      </c>
      <c r="DS178" s="239" t="s">
        <v>29293</v>
      </c>
      <c r="DT178" s="240">
        <v>60000</v>
      </c>
      <c r="DU178" s="239" t="s">
        <v>29294</v>
      </c>
      <c r="DV178" s="240" t="s">
        <v>4</v>
      </c>
      <c r="DW178" s="239" t="s">
        <v>29508</v>
      </c>
      <c r="DX178" s="239"/>
      <c r="DY178" s="239"/>
      <c r="DZ178" s="239"/>
      <c r="EA178" s="239"/>
      <c r="EB178" s="239"/>
      <c r="EC178" s="239"/>
      <c r="ED178" s="239"/>
      <c r="EE178" s="320">
        <f>Table14[[#This Row],[% Fertilizer]]*$DX178/10000</f>
        <v>0</v>
      </c>
      <c r="EF178" s="320">
        <f>Table14[[#This Row],[% bioslurry used as Insecticide/Pesticide]]*$DX178/10000</f>
        <v>0</v>
      </c>
      <c r="EG178" s="320">
        <f>Table14[[#This Row],[% of Bioslurry used as animal feed]]*$DX178/10000</f>
        <v>0</v>
      </c>
      <c r="EH178" s="320">
        <f>Table14[[#This Row],[% of Bioslurry sold]]*$DX178/10000</f>
        <v>0</v>
      </c>
      <c r="EI178" s="320">
        <f>Table14[[#This Row],[% used other way(if used directly)]]*$DX178/10000</f>
        <v>0</v>
      </c>
      <c r="EJ178" s="239">
        <v>100</v>
      </c>
      <c r="EK178" s="239" t="s">
        <v>29509</v>
      </c>
      <c r="EL178" s="239">
        <v>100</v>
      </c>
      <c r="EM178" s="239"/>
      <c r="EN178" s="239"/>
      <c r="EO178" s="239">
        <f>(Table14[[#This Row],[% Uncovered lagoon greater than 1 meter]]+Table14[[#This Row],[Uncovered lagoon (black watery mass) &lt;1 meter]]+Table14[[#This Row],[% Liquid slurry (brown porridge type)]])*Table14[[#This Row],[% Store it first]]/100</f>
        <v>100</v>
      </c>
      <c r="EP178" s="239"/>
      <c r="EQ178" s="239"/>
      <c r="ER178" s="239"/>
      <c r="ES178" s="239"/>
      <c r="ET178" s="239">
        <f>(Table14[[#This Row],[% Solid storage]]+Table14[[#This Row],[% Sun drying]]+Table14[[#This Row],[% Composting with a roof]]+Table14[[#This Row],[% Composting without a roof]])*Table14[[#This Row],[% Store it first]]/100</f>
        <v>0</v>
      </c>
      <c r="EU178" s="239">
        <v>60</v>
      </c>
      <c r="EV178" s="320">
        <f t="shared" si="20"/>
        <v>1</v>
      </c>
      <c r="EW178" s="320">
        <f t="shared" si="21"/>
        <v>0</v>
      </c>
      <c r="EX178" s="320">
        <f t="shared" si="22"/>
        <v>0</v>
      </c>
      <c r="EY178" s="320">
        <f t="shared" si="23"/>
        <v>0</v>
      </c>
      <c r="EZ178" s="320">
        <f t="shared" si="24"/>
        <v>0</v>
      </c>
      <c r="FA178" s="239"/>
      <c r="FB178" s="239"/>
      <c r="FC178" s="239"/>
      <c r="FD178" s="239">
        <f>Table14[[#This Row],[% I donâ€™t use it / discarded]]+Table14[[#This Row],[% Other (specify)(If you use bioslurry directly)]]+Table14[[#This Row],[% Store it first]]+Table14[[#This Row],[% Use directly for various purposes]]</f>
        <v>100</v>
      </c>
      <c r="FE178" s="239" t="s">
        <v>29296</v>
      </c>
      <c r="FF178" s="239">
        <v>100</v>
      </c>
      <c r="FG178" s="239"/>
      <c r="FH178" s="239"/>
      <c r="FI178" s="239"/>
      <c r="FJ178" s="239"/>
      <c r="FK178" s="239" t="s">
        <v>9</v>
      </c>
      <c r="FL178" s="239" t="s">
        <v>7</v>
      </c>
      <c r="FM178" s="239">
        <v>100</v>
      </c>
      <c r="FN178" s="239"/>
      <c r="FO178" s="239" t="s">
        <v>30818</v>
      </c>
      <c r="FP178" s="239" t="s">
        <v>29298</v>
      </c>
      <c r="FQ178" s="239">
        <v>24</v>
      </c>
      <c r="FR178" s="239" t="s">
        <v>7</v>
      </c>
      <c r="FS178" s="239" t="s">
        <v>30819</v>
      </c>
      <c r="FT178" s="239" t="s">
        <v>4</v>
      </c>
      <c r="FU178" s="239" t="s">
        <v>2</v>
      </c>
      <c r="FV178" s="239" t="s">
        <v>4</v>
      </c>
      <c r="FW178" s="239" t="s">
        <v>4</v>
      </c>
      <c r="FX178" s="239" t="s">
        <v>4</v>
      </c>
      <c r="FY178" s="239" t="s">
        <v>4</v>
      </c>
      <c r="FZ178" s="239" t="s">
        <v>29292</v>
      </c>
      <c r="GA178" s="239" t="s">
        <v>29294</v>
      </c>
      <c r="GB178" s="240" t="s">
        <v>4</v>
      </c>
      <c r="GC178" s="239" t="s">
        <v>4</v>
      </c>
      <c r="GD178" s="239" t="s">
        <v>7</v>
      </c>
      <c r="GE178" s="239" t="s">
        <v>29301</v>
      </c>
      <c r="GF178" s="239" t="s">
        <v>4</v>
      </c>
      <c r="GG178" s="239" t="s">
        <v>7</v>
      </c>
      <c r="GH178" s="239" t="s">
        <v>2</v>
      </c>
      <c r="GI178" s="239" t="s">
        <v>4</v>
      </c>
      <c r="GJ178" s="239" t="s">
        <v>4</v>
      </c>
      <c r="GK178" s="239" t="s">
        <v>4</v>
      </c>
      <c r="GL178" s="239">
        <v>0</v>
      </c>
      <c r="GM178" s="239"/>
      <c r="GN178" s="239" t="s">
        <v>4</v>
      </c>
      <c r="GO178" s="239" t="s">
        <v>4</v>
      </c>
      <c r="GP178" s="239" t="s">
        <v>4</v>
      </c>
      <c r="GQ178" s="239" t="s">
        <v>4</v>
      </c>
      <c r="GR178" s="239" t="s">
        <v>4</v>
      </c>
      <c r="GS178" s="239" t="s">
        <v>4</v>
      </c>
      <c r="GT178" s="239" t="s">
        <v>4</v>
      </c>
      <c r="GU178" s="239" t="s">
        <v>4</v>
      </c>
      <c r="GV178" s="239" t="s">
        <v>4</v>
      </c>
      <c r="GW178" s="239" t="s">
        <v>29304</v>
      </c>
      <c r="GX178" s="239" t="s">
        <v>29882</v>
      </c>
      <c r="GY178" s="239" t="s">
        <v>29306</v>
      </c>
      <c r="GZ178" s="239" t="s">
        <v>30820</v>
      </c>
      <c r="HA178" s="239" t="s">
        <v>30821</v>
      </c>
      <c r="HB178" s="239" t="s">
        <v>4</v>
      </c>
      <c r="HC178" s="239" t="s">
        <v>4</v>
      </c>
      <c r="HD178" s="239" t="s">
        <v>4</v>
      </c>
      <c r="HE178" s="239" t="s">
        <v>4</v>
      </c>
      <c r="HF178" s="239" t="s">
        <v>4</v>
      </c>
      <c r="HG178" s="239" t="s">
        <v>4</v>
      </c>
      <c r="HH178" s="239" t="s">
        <v>30822</v>
      </c>
      <c r="HI178" s="239" t="s">
        <v>4</v>
      </c>
      <c r="HJ178" s="240">
        <v>0</v>
      </c>
      <c r="HK178" s="239" t="s">
        <v>29325</v>
      </c>
      <c r="HL178" s="239" t="s">
        <v>29837</v>
      </c>
      <c r="HM178" s="239" t="s">
        <v>4</v>
      </c>
      <c r="HN178" s="239" t="s">
        <v>4</v>
      </c>
      <c r="HO178" s="239" t="s">
        <v>4</v>
      </c>
      <c r="HP178" s="239" t="s">
        <v>4</v>
      </c>
      <c r="HQ178" s="239" t="s">
        <v>4</v>
      </c>
      <c r="HR178" s="239" t="s">
        <v>4</v>
      </c>
      <c r="HS178" s="239" t="s">
        <v>4</v>
      </c>
      <c r="HT178" s="239" t="s">
        <v>4</v>
      </c>
      <c r="HU178" s="239" t="s">
        <v>2</v>
      </c>
      <c r="HV178" s="239" t="s">
        <v>4</v>
      </c>
      <c r="HW178" s="239" t="s">
        <v>4</v>
      </c>
      <c r="HX178" s="239" t="s">
        <v>4</v>
      </c>
      <c r="HY178" s="239" t="s">
        <v>4</v>
      </c>
      <c r="HZ178" s="239" t="s">
        <v>16</v>
      </c>
      <c r="IA178" s="239" t="s">
        <v>2</v>
      </c>
      <c r="IB178" s="239" t="s">
        <v>4</v>
      </c>
      <c r="IC178" s="239" t="s">
        <v>16</v>
      </c>
      <c r="ID178" s="239" t="s">
        <v>30823</v>
      </c>
      <c r="IE178" s="239" t="s">
        <v>30824</v>
      </c>
      <c r="IF178" s="239" t="s">
        <v>30825</v>
      </c>
      <c r="IG178" s="239" t="s">
        <v>30826</v>
      </c>
      <c r="IH178" s="239" t="s">
        <v>30815</v>
      </c>
    </row>
    <row r="179" spans="1:242" s="1" customFormat="1" ht="36.75" customHeight="1" x14ac:dyDescent="0.2">
      <c r="A179" s="239">
        <v>189</v>
      </c>
      <c r="B179" s="239" t="s">
        <v>28665</v>
      </c>
      <c r="C179" s="239" t="s">
        <v>31272</v>
      </c>
      <c r="D179" s="239" t="s">
        <v>43</v>
      </c>
      <c r="E179" s="239" t="s">
        <v>7</v>
      </c>
      <c r="F179" s="239" t="s">
        <v>31273</v>
      </c>
      <c r="G179" s="239">
        <v>1431.7</v>
      </c>
      <c r="H179" s="239">
        <v>5</v>
      </c>
      <c r="I179" s="239" t="s">
        <v>29319</v>
      </c>
      <c r="J179" s="239" t="s">
        <v>4</v>
      </c>
      <c r="K179" s="239" t="s">
        <v>31274</v>
      </c>
      <c r="L179" s="239">
        <v>776617080</v>
      </c>
      <c r="M179" s="239" t="s">
        <v>5</v>
      </c>
      <c r="N179" s="239" t="s">
        <v>31590</v>
      </c>
      <c r="O179" s="239" t="s">
        <v>4</v>
      </c>
      <c r="P179" s="239">
        <v>2</v>
      </c>
      <c r="Q179" s="239" t="s">
        <v>7</v>
      </c>
      <c r="R179" s="239" t="s">
        <v>31588</v>
      </c>
      <c r="S179" s="239" t="s">
        <v>4</v>
      </c>
      <c r="T179" s="239" t="s">
        <v>7</v>
      </c>
      <c r="U179" s="239" t="s">
        <v>7</v>
      </c>
      <c r="V179" s="239"/>
      <c r="W179" s="239" t="s">
        <v>7</v>
      </c>
      <c r="X179" s="239" t="s">
        <v>4</v>
      </c>
      <c r="Y179" s="239" t="s">
        <v>4</v>
      </c>
      <c r="Z179" s="241" t="str">
        <f>IF(OR(T179="yes",Y179&gt;'SDG outcome'!$C$27),"yes","no")</f>
        <v>yes</v>
      </c>
      <c r="AA179" s="243">
        <f t="shared" si="13"/>
        <v>0</v>
      </c>
      <c r="AB179" s="243" t="str">
        <f>IF(AND(Z179="no",AND(Y179&gt;='SDG outcome'!$B$16,Y179&lt;'SDG outcome'!$C$27)),Y179-'SDG outcome'!$B$16,"")</f>
        <v/>
      </c>
      <c r="AC179" s="239" t="s">
        <v>4</v>
      </c>
      <c r="AD179" s="239" t="s">
        <v>4</v>
      </c>
      <c r="AE179" s="239" t="s">
        <v>4</v>
      </c>
      <c r="AF179" s="239" t="s">
        <v>4</v>
      </c>
      <c r="AG179" s="239" t="s">
        <v>4</v>
      </c>
      <c r="AH179" s="239" t="s">
        <v>4</v>
      </c>
      <c r="AI179" s="239" t="s">
        <v>4</v>
      </c>
      <c r="AJ179" s="239" t="s">
        <v>29290</v>
      </c>
      <c r="AK179" s="239" t="s">
        <v>29694</v>
      </c>
      <c r="AL179" s="239" t="s">
        <v>4</v>
      </c>
      <c r="AM179" s="239" t="s">
        <v>4</v>
      </c>
      <c r="AN179" s="239" t="s">
        <v>31536</v>
      </c>
      <c r="AO179" s="239" t="s">
        <v>4</v>
      </c>
      <c r="AP179" s="239" t="s">
        <v>31537</v>
      </c>
      <c r="AQ179" s="239" t="s">
        <v>4</v>
      </c>
      <c r="AR179" s="239" t="s">
        <v>31538</v>
      </c>
      <c r="AS179" s="239" t="s">
        <v>4</v>
      </c>
      <c r="AT179" s="239" t="s">
        <v>7</v>
      </c>
      <c r="AU179" s="239" t="s">
        <v>4</v>
      </c>
      <c r="AV179" s="239" t="s">
        <v>4</v>
      </c>
      <c r="AW179" s="239" t="s">
        <v>31539</v>
      </c>
      <c r="AX179" s="239" t="s">
        <v>4</v>
      </c>
      <c r="AY179" s="239" t="s">
        <v>4</v>
      </c>
      <c r="AZ179" s="239" t="s">
        <v>7</v>
      </c>
      <c r="BA179" s="239" t="s">
        <v>28</v>
      </c>
      <c r="BB179" s="239" t="s">
        <v>4</v>
      </c>
      <c r="BC179" s="239" t="s">
        <v>31563</v>
      </c>
      <c r="BD179" s="239" t="s">
        <v>22</v>
      </c>
      <c r="BE179" s="239" t="s">
        <v>4</v>
      </c>
      <c r="BF179" s="239" t="s">
        <v>31564</v>
      </c>
      <c r="BG179" s="239" t="s">
        <v>4</v>
      </c>
      <c r="BH179" s="239" t="s">
        <v>31542</v>
      </c>
      <c r="BI179" s="239" t="s">
        <v>31956</v>
      </c>
      <c r="BJ179" s="239" t="s">
        <v>31544</v>
      </c>
      <c r="BK179" s="239">
        <v>3</v>
      </c>
      <c r="BL179" s="239">
        <v>60</v>
      </c>
      <c r="BM179" s="239" t="s">
        <v>7</v>
      </c>
      <c r="BN179" s="239" t="s">
        <v>28</v>
      </c>
      <c r="BO179" s="239" t="s">
        <v>4</v>
      </c>
      <c r="BP179" s="239" t="s">
        <v>31429</v>
      </c>
      <c r="BQ179" s="239">
        <v>2</v>
      </c>
      <c r="BR179" s="239">
        <v>30</v>
      </c>
      <c r="BS179" s="239" t="s">
        <v>31435</v>
      </c>
      <c r="BT179" s="239"/>
      <c r="BU179" s="239">
        <v>3</v>
      </c>
      <c r="BV179" s="239" cm="1">
        <f t="array" ref="BV179">_xlfn.IFS(BS179="Foreword vehicle",BU179*0,BS179="Human wastes",BU179*0,BS179="Jerrycans",BU179*$BV$228,BS179="Number of Basins",BU179*$BV$229,BS179="Number of Buckets",BU179*$CA$226,BS179="Number of Kgs",BU179*$CA$227,BS179="Number of spades",BU179*$CA$228,BS179="Number of wheelbarrows",BU179*$CA$229,BT179="Foreword vehicle",BU179*0,BT179="Human wastes",BU179*0,BT179="Jerrycans",BU179*$BV$228,BS179="","")</f>
        <v>211.5</v>
      </c>
      <c r="BW179" s="239">
        <f>IF(BV179="","",Table14[[#This Row],[Calculation: Conversion of metric to Kg manure feeding (Columns: BP, BQ, BR)]]*Table14[[#This Row],[Number of times used to feed biodigester]])</f>
        <v>423</v>
      </c>
      <c r="BX179" s="239" cm="1">
        <f t="array" ref="BX179">_xlfn.IFS(BP179="Number of times per day (1 to 3)",BW179/$BX$226,BP179="Number of times per week (1 to 6)",BW179/$BX$227,BP179="Number of times per Month (1 to 3)",BW179/$BX$228,BW179="","")</f>
        <v>60.428571428571431</v>
      </c>
      <c r="BY179" s="239" t="s">
        <v>22</v>
      </c>
      <c r="BZ179" s="239" t="s">
        <v>4</v>
      </c>
      <c r="CA179" s="239" t="s">
        <v>2</v>
      </c>
      <c r="CB179" s="239" t="s">
        <v>4</v>
      </c>
      <c r="CC179" s="239" t="s">
        <v>4</v>
      </c>
      <c r="CD179" s="239" t="s">
        <v>4</v>
      </c>
      <c r="CE179" s="239" t="s">
        <v>7</v>
      </c>
      <c r="CF179" s="239" t="s">
        <v>31957</v>
      </c>
      <c r="CG179" s="239" t="s">
        <v>4</v>
      </c>
      <c r="CH179" s="239" t="s">
        <v>31958</v>
      </c>
      <c r="CI179" s="239">
        <v>1</v>
      </c>
      <c r="CJ179" s="239">
        <v>0</v>
      </c>
      <c r="CK179" s="239">
        <v>0</v>
      </c>
      <c r="CL179" s="239">
        <v>0</v>
      </c>
      <c r="CM179" s="239">
        <v>0</v>
      </c>
      <c r="CN179" s="239">
        <v>0</v>
      </c>
      <c r="CO179" s="239">
        <v>0</v>
      </c>
      <c r="CP179" s="239">
        <v>0</v>
      </c>
      <c r="CQ179" s="239">
        <v>0</v>
      </c>
      <c r="CR179" s="239">
        <v>0</v>
      </c>
      <c r="CS179" s="239">
        <f>CP179/'SDG outcome'!$C$9*CQ179*CR179</f>
        <v>0</v>
      </c>
      <c r="CT179" s="239">
        <v>100</v>
      </c>
      <c r="CU179" s="239">
        <v>0</v>
      </c>
      <c r="CV179" s="239" t="s">
        <v>4</v>
      </c>
      <c r="CW179" s="239" t="s">
        <v>4</v>
      </c>
      <c r="CX179" s="239" t="s">
        <v>4</v>
      </c>
      <c r="CY179" s="239" t="s">
        <v>4</v>
      </c>
      <c r="CZ179" s="239" t="s">
        <v>4</v>
      </c>
      <c r="DA179" s="239" t="s">
        <v>4</v>
      </c>
      <c r="DB179" s="239" t="s">
        <v>4</v>
      </c>
      <c r="DC179" s="239" t="s">
        <v>4</v>
      </c>
      <c r="DD179" s="239" t="s">
        <v>4</v>
      </c>
      <c r="DE179" s="239" t="s">
        <v>4</v>
      </c>
      <c r="DF179" s="239" t="s">
        <v>4</v>
      </c>
      <c r="DG179" s="239" t="s">
        <v>4</v>
      </c>
      <c r="DH179" s="239" t="s">
        <v>4</v>
      </c>
      <c r="DI179" s="239" t="s">
        <v>4</v>
      </c>
      <c r="DJ179" s="239" t="s">
        <v>4</v>
      </c>
      <c r="DK179" s="239" t="s">
        <v>4</v>
      </c>
      <c r="DL179" s="239" t="s">
        <v>4</v>
      </c>
      <c r="DM179" s="239" t="s">
        <v>4</v>
      </c>
      <c r="DN179" s="239" t="s">
        <v>4</v>
      </c>
      <c r="DO179" s="239">
        <v>1</v>
      </c>
      <c r="DP179" s="239" t="s">
        <v>7</v>
      </c>
      <c r="DQ179" s="239" t="s">
        <v>29292</v>
      </c>
      <c r="DR179" s="239" t="s">
        <v>4</v>
      </c>
      <c r="DS179" s="239" t="s">
        <v>29294</v>
      </c>
      <c r="DT179" s="240" t="s">
        <v>4</v>
      </c>
      <c r="DU179" s="239" t="s">
        <v>29294</v>
      </c>
      <c r="DV179" s="240" t="s">
        <v>4</v>
      </c>
      <c r="DW179" s="239" t="s">
        <v>29295</v>
      </c>
      <c r="DX179" s="239">
        <v>100</v>
      </c>
      <c r="DY179" s="239" t="s">
        <v>29296</v>
      </c>
      <c r="DZ179" s="239">
        <v>100</v>
      </c>
      <c r="EA179" s="239"/>
      <c r="EB179" s="239"/>
      <c r="EC179" s="239"/>
      <c r="ED179" s="239"/>
      <c r="EE179" s="320">
        <f>Table14[[#This Row],[% Fertilizer]]*$DX179/10000</f>
        <v>1</v>
      </c>
      <c r="EF179" s="320">
        <f>Table14[[#This Row],[% bioslurry used as Insecticide/Pesticide]]*$DX179/10000</f>
        <v>0</v>
      </c>
      <c r="EG179" s="320">
        <f>Table14[[#This Row],[% of Bioslurry used as animal feed]]*$DX179/10000</f>
        <v>0</v>
      </c>
      <c r="EH179" s="320">
        <f>Table14[[#This Row],[% of Bioslurry sold]]*$DX179/10000</f>
        <v>0</v>
      </c>
      <c r="EI179" s="320">
        <f>Table14[[#This Row],[% used other way(if used directly)]]*$DX179/10000</f>
        <v>0</v>
      </c>
      <c r="EJ179" s="239"/>
      <c r="EK179" s="239"/>
      <c r="EL179" s="239"/>
      <c r="EM179" s="239"/>
      <c r="EN179" s="239"/>
      <c r="EO179" s="239">
        <f>(Table14[[#This Row],[% Uncovered lagoon greater than 1 meter]]+Table14[[#This Row],[Uncovered lagoon (black watery mass) &lt;1 meter]]+Table14[[#This Row],[% Liquid slurry (brown porridge type)]])*Table14[[#This Row],[% Store it first]]/100</f>
        <v>0</v>
      </c>
      <c r="EP179" s="239"/>
      <c r="EQ179" s="239"/>
      <c r="ER179" s="239"/>
      <c r="ES179" s="239"/>
      <c r="ET179" s="239">
        <f>(Table14[[#This Row],[% Solid storage]]+Table14[[#This Row],[% Sun drying]]+Table14[[#This Row],[% Composting with a roof]]+Table14[[#This Row],[% Composting without a roof]])*Table14[[#This Row],[% Store it first]]/100</f>
        <v>0</v>
      </c>
      <c r="EU179" s="239"/>
      <c r="EV179" s="320">
        <f t="shared" si="20"/>
        <v>0</v>
      </c>
      <c r="EW179" s="320">
        <f t="shared" si="21"/>
        <v>0</v>
      </c>
      <c r="EX179" s="320">
        <f t="shared" si="22"/>
        <v>0</v>
      </c>
      <c r="EY179" s="320">
        <f t="shared" si="23"/>
        <v>0</v>
      </c>
      <c r="EZ179" s="320">
        <f t="shared" si="24"/>
        <v>0</v>
      </c>
      <c r="FA179" s="239"/>
      <c r="FB179" s="239"/>
      <c r="FC179" s="239"/>
      <c r="FD179" s="239">
        <f>Table14[[#This Row],[% I donâ€™t use it / discarded]]+Table14[[#This Row],[% Other (specify)(If you use bioslurry directly)]]+Table14[[#This Row],[% Store it first]]+Table14[[#This Row],[% Use directly for various purposes]]</f>
        <v>100</v>
      </c>
      <c r="FE179" s="239" t="s">
        <v>4</v>
      </c>
      <c r="FF179" s="239"/>
      <c r="FG179" s="239"/>
      <c r="FH179" s="239"/>
      <c r="FI179" s="239"/>
      <c r="FJ179" s="239"/>
      <c r="FK179" s="239" t="s">
        <v>9</v>
      </c>
      <c r="FL179" s="239" t="s">
        <v>7</v>
      </c>
      <c r="FM179" s="239">
        <v>70</v>
      </c>
      <c r="FN179" s="239"/>
      <c r="FO179" s="239" t="s">
        <v>31275</v>
      </c>
      <c r="FP179" s="239" t="s">
        <v>29298</v>
      </c>
      <c r="FQ179" s="239">
        <v>120</v>
      </c>
      <c r="FR179" s="239" t="s">
        <v>7</v>
      </c>
      <c r="FS179" s="239" t="s">
        <v>29393</v>
      </c>
      <c r="FT179" s="239" t="s">
        <v>4</v>
      </c>
      <c r="FU179" s="239" t="s">
        <v>2</v>
      </c>
      <c r="FV179" s="239" t="s">
        <v>4</v>
      </c>
      <c r="FW179" s="239" t="s">
        <v>4</v>
      </c>
      <c r="FX179" s="239" t="s">
        <v>4</v>
      </c>
      <c r="FY179" s="239" t="s">
        <v>4</v>
      </c>
      <c r="FZ179" s="239" t="s">
        <v>4</v>
      </c>
      <c r="GA179" s="239" t="s">
        <v>4</v>
      </c>
      <c r="GB179" s="240" t="s">
        <v>4</v>
      </c>
      <c r="GC179" s="239" t="s">
        <v>4</v>
      </c>
      <c r="GD179" s="239" t="s">
        <v>2</v>
      </c>
      <c r="GE179" s="239" t="s">
        <v>4</v>
      </c>
      <c r="GF179" s="239" t="s">
        <v>4</v>
      </c>
      <c r="GG179" s="239" t="s">
        <v>7</v>
      </c>
      <c r="GH179" s="239" t="s">
        <v>2</v>
      </c>
      <c r="GI179" s="239" t="s">
        <v>4</v>
      </c>
      <c r="GJ179" s="239" t="s">
        <v>4</v>
      </c>
      <c r="GK179" s="239" t="s">
        <v>4</v>
      </c>
      <c r="GL179" s="239">
        <v>0</v>
      </c>
      <c r="GM179" s="239"/>
      <c r="GN179" s="239" t="s">
        <v>4</v>
      </c>
      <c r="GO179" s="239" t="s">
        <v>4</v>
      </c>
      <c r="GP179" s="239" t="s">
        <v>4</v>
      </c>
      <c r="GQ179" s="239" t="s">
        <v>4</v>
      </c>
      <c r="GR179" s="239" t="s">
        <v>4</v>
      </c>
      <c r="GS179" s="239" t="s">
        <v>4</v>
      </c>
      <c r="GT179" s="239" t="s">
        <v>4</v>
      </c>
      <c r="GU179" s="239" t="s">
        <v>4</v>
      </c>
      <c r="GV179" s="239" t="s">
        <v>4</v>
      </c>
      <c r="GW179" s="239" t="s">
        <v>29304</v>
      </c>
      <c r="GX179" s="239" t="s">
        <v>29478</v>
      </c>
      <c r="GY179" s="239" t="s">
        <v>29306</v>
      </c>
      <c r="GZ179" s="239" t="s">
        <v>29941</v>
      </c>
      <c r="HA179" s="239" t="s">
        <v>4</v>
      </c>
      <c r="HB179" s="239" t="s">
        <v>4</v>
      </c>
      <c r="HC179" s="239" t="s">
        <v>4</v>
      </c>
      <c r="HD179" s="239" t="s">
        <v>4</v>
      </c>
      <c r="HE179" s="239" t="s">
        <v>31276</v>
      </c>
      <c r="HF179" s="239" t="s">
        <v>13</v>
      </c>
      <c r="HG179" s="239" t="s">
        <v>4</v>
      </c>
      <c r="HH179" s="239" t="s">
        <v>29354</v>
      </c>
      <c r="HI179" s="239" t="s">
        <v>4</v>
      </c>
      <c r="HJ179" s="240">
        <v>0</v>
      </c>
      <c r="HK179" s="239" t="s">
        <v>2</v>
      </c>
      <c r="HL179" s="239" t="s">
        <v>29837</v>
      </c>
      <c r="HM179" s="239" t="s">
        <v>4</v>
      </c>
      <c r="HN179" s="239" t="s">
        <v>4</v>
      </c>
      <c r="HO179" s="239" t="s">
        <v>4</v>
      </c>
      <c r="HP179" s="239" t="s">
        <v>4</v>
      </c>
      <c r="HQ179" s="239" t="s">
        <v>4</v>
      </c>
      <c r="HR179" s="239" t="s">
        <v>4</v>
      </c>
      <c r="HS179" s="239" t="s">
        <v>4</v>
      </c>
      <c r="HT179" s="239" t="s">
        <v>4</v>
      </c>
      <c r="HU179" s="239" t="s">
        <v>2</v>
      </c>
      <c r="HV179" s="239" t="s">
        <v>4</v>
      </c>
      <c r="HW179" s="239" t="s">
        <v>4</v>
      </c>
      <c r="HX179" s="239" t="s">
        <v>4</v>
      </c>
      <c r="HY179" s="239" t="s">
        <v>4</v>
      </c>
      <c r="HZ179" s="239" t="s">
        <v>16</v>
      </c>
      <c r="IA179" s="239" t="s">
        <v>2</v>
      </c>
      <c r="IB179" s="239" t="s">
        <v>4</v>
      </c>
      <c r="IC179" s="239" t="s">
        <v>31277</v>
      </c>
      <c r="ID179" s="239" t="s">
        <v>31278</v>
      </c>
      <c r="IE179" s="239" t="s">
        <v>31279</v>
      </c>
      <c r="IF179" s="239" t="s">
        <v>31280</v>
      </c>
      <c r="IG179" s="239" t="s">
        <v>31281</v>
      </c>
      <c r="IH179" s="239" t="s">
        <v>31272</v>
      </c>
    </row>
    <row r="180" spans="1:242" s="1" customFormat="1" ht="36.75" customHeight="1" x14ac:dyDescent="0.2">
      <c r="A180" s="239">
        <v>43</v>
      </c>
      <c r="B180" s="239" t="s">
        <v>23946</v>
      </c>
      <c r="C180" s="239" t="s">
        <v>29769</v>
      </c>
      <c r="D180" s="239" t="s">
        <v>29799</v>
      </c>
      <c r="E180" s="239" t="s">
        <v>7</v>
      </c>
      <c r="F180" s="239" t="s">
        <v>29813</v>
      </c>
      <c r="G180" s="239">
        <v>1248.400879</v>
      </c>
      <c r="H180" s="239">
        <v>3.790092</v>
      </c>
      <c r="I180" s="239" t="s">
        <v>29319</v>
      </c>
      <c r="J180" s="239" t="s">
        <v>4</v>
      </c>
      <c r="K180" s="239" t="s">
        <v>29814</v>
      </c>
      <c r="L180" s="239">
        <v>772584479</v>
      </c>
      <c r="M180" s="239" t="s">
        <v>5</v>
      </c>
      <c r="N180" s="239" t="s">
        <v>31590</v>
      </c>
      <c r="O180" s="239" t="s">
        <v>4</v>
      </c>
      <c r="P180" s="239">
        <v>4</v>
      </c>
      <c r="Q180" s="239" t="s">
        <v>7</v>
      </c>
      <c r="R180" s="239" t="s">
        <v>31622</v>
      </c>
      <c r="S180" s="239">
        <v>1827</v>
      </c>
      <c r="T180" s="239" t="s">
        <v>7</v>
      </c>
      <c r="U180" s="239" t="s">
        <v>7</v>
      </c>
      <c r="V180" s="239"/>
      <c r="W180" s="239" t="s">
        <v>7</v>
      </c>
      <c r="X180" s="239" t="s">
        <v>4</v>
      </c>
      <c r="Y180" s="239" t="s">
        <v>4</v>
      </c>
      <c r="Z180" s="241" t="str">
        <f>IF(OR(T180="yes",Y180&gt;'SDG outcome'!$C$27),"yes","no")</f>
        <v>yes</v>
      </c>
      <c r="AA180" s="243">
        <f t="shared" si="13"/>
        <v>0</v>
      </c>
      <c r="AB180" s="243" t="str">
        <f>IF(AND(Z180="no",AND(Y180&gt;='SDG outcome'!$B$16,Y180&lt;'SDG outcome'!$C$27)),Y180-'SDG outcome'!$B$16,"")</f>
        <v/>
      </c>
      <c r="AC180" s="239" t="s">
        <v>4</v>
      </c>
      <c r="AD180" s="239" t="s">
        <v>4</v>
      </c>
      <c r="AE180" s="239" t="s">
        <v>4</v>
      </c>
      <c r="AF180" s="239" t="s">
        <v>4</v>
      </c>
      <c r="AG180" s="239" t="s">
        <v>4</v>
      </c>
      <c r="AH180" s="239" t="s">
        <v>4</v>
      </c>
      <c r="AI180" s="239" t="s">
        <v>4</v>
      </c>
      <c r="AJ180" s="239" t="s">
        <v>29290</v>
      </c>
      <c r="AK180" s="239" t="s">
        <v>29291</v>
      </c>
      <c r="AL180" s="239" t="s">
        <v>4</v>
      </c>
      <c r="AM180" s="239" t="s">
        <v>4</v>
      </c>
      <c r="AN180" s="239" t="s">
        <v>31536</v>
      </c>
      <c r="AO180" s="239" t="s">
        <v>4</v>
      </c>
      <c r="AP180" s="239" t="s">
        <v>31537</v>
      </c>
      <c r="AQ180" s="239" t="s">
        <v>4</v>
      </c>
      <c r="AR180" s="239" t="s">
        <v>31538</v>
      </c>
      <c r="AS180" s="239" t="s">
        <v>4</v>
      </c>
      <c r="AT180" s="239" t="s">
        <v>7</v>
      </c>
      <c r="AU180" s="239" t="s">
        <v>4</v>
      </c>
      <c r="AV180" s="239" t="s">
        <v>4</v>
      </c>
      <c r="AW180" s="239" t="s">
        <v>31539</v>
      </c>
      <c r="AX180" s="239" t="s">
        <v>4</v>
      </c>
      <c r="AY180" s="239" t="s">
        <v>4</v>
      </c>
      <c r="AZ180" s="239" t="s">
        <v>7</v>
      </c>
      <c r="BA180" s="239" t="s">
        <v>6</v>
      </c>
      <c r="BB180" s="239" t="s">
        <v>4</v>
      </c>
      <c r="BC180" s="239" t="s">
        <v>31540</v>
      </c>
      <c r="BD180" s="239" t="s">
        <v>22</v>
      </c>
      <c r="BE180" s="239" t="s">
        <v>4</v>
      </c>
      <c r="BF180" s="239" t="s">
        <v>31695</v>
      </c>
      <c r="BG180" s="239" t="s">
        <v>4</v>
      </c>
      <c r="BH180" s="239" t="s">
        <v>31542</v>
      </c>
      <c r="BI180" s="239" t="s">
        <v>31696</v>
      </c>
      <c r="BJ180" s="239" t="s">
        <v>31616</v>
      </c>
      <c r="BK180" s="239">
        <v>1</v>
      </c>
      <c r="BL180" s="239">
        <v>60</v>
      </c>
      <c r="BM180" s="239" t="s">
        <v>7</v>
      </c>
      <c r="BN180" s="239" t="s">
        <v>6</v>
      </c>
      <c r="BO180" s="239" t="s">
        <v>4</v>
      </c>
      <c r="BP180" s="239" t="s">
        <v>31425</v>
      </c>
      <c r="BQ180" s="239">
        <v>1</v>
      </c>
      <c r="BR180" s="239">
        <v>30</v>
      </c>
      <c r="BS180" s="239" t="s">
        <v>31434</v>
      </c>
      <c r="BT180" s="239"/>
      <c r="BU180" s="239">
        <v>1</v>
      </c>
      <c r="BV180" s="239" cm="1">
        <f t="array" ref="BV180">_xlfn.IFS(BS180="Foreword vehicle",BU180*0,BS180="Human wastes",BU180*0,BS180="Jerrycans",BU180*$BV$228,BS180="Number of Basins",BU180*$BV$229,BS180="Number of Buckets",BU180*$CA$226,BS180="Number of Kgs",BU180*$CA$227,BS180="Number of spades",BU180*$CA$228,BS180="Number of wheelbarrows",BU180*$CA$229,BT180="Foreword vehicle",BU180*0,BT180="Human wastes",BU180*0,BT180="Jerrycans",BU180*$BV$228,BS180="","")</f>
        <v>16</v>
      </c>
      <c r="BW180" s="239">
        <f>IF(BV180="","",Table14[[#This Row],[Calculation: Conversion of metric to Kg manure feeding (Columns: BP, BQ, BR)]]*Table14[[#This Row],[Number of times used to feed biodigester]])</f>
        <v>16</v>
      </c>
      <c r="BX180" s="239" cm="1">
        <f t="array" ref="BX180">_xlfn.IFS(BP180="Number of times per day (1 to 3)",BW180/$BX$226,BP180="Number of times per week (1 to 6)",BW180/$BX$227,BP180="Number of times per Month (1 to 3)",BW180/$BX$228,BW180="","")</f>
        <v>16</v>
      </c>
      <c r="BY180" s="239" t="s">
        <v>22</v>
      </c>
      <c r="BZ180" s="239" t="s">
        <v>4</v>
      </c>
      <c r="CA180" s="239" t="s">
        <v>2</v>
      </c>
      <c r="CB180" s="239" t="s">
        <v>4</v>
      </c>
      <c r="CC180" s="239" t="s">
        <v>4</v>
      </c>
      <c r="CD180" s="239" t="s">
        <v>4</v>
      </c>
      <c r="CE180" s="239" t="s">
        <v>7</v>
      </c>
      <c r="CF180" s="239" t="s">
        <v>31697</v>
      </c>
      <c r="CG180" s="239" t="s">
        <v>4</v>
      </c>
      <c r="CH180" s="239" t="s">
        <v>31698</v>
      </c>
      <c r="CI180" s="239">
        <v>0</v>
      </c>
      <c r="CJ180" s="239">
        <v>0</v>
      </c>
      <c r="CK180" s="239">
        <v>0</v>
      </c>
      <c r="CL180" s="239">
        <v>0</v>
      </c>
      <c r="CM180" s="239">
        <v>0</v>
      </c>
      <c r="CN180" s="239">
        <v>0</v>
      </c>
      <c r="CO180" s="239">
        <v>0</v>
      </c>
      <c r="CP180" s="239">
        <v>0</v>
      </c>
      <c r="CQ180" s="239">
        <v>0</v>
      </c>
      <c r="CR180" s="239">
        <v>0</v>
      </c>
      <c r="CS180" s="239">
        <f>CP180/'SDG outcome'!$C$9*CQ180*CR180</f>
        <v>0</v>
      </c>
      <c r="CT180" s="239" t="s">
        <v>4</v>
      </c>
      <c r="CU180" s="239" t="s">
        <v>4</v>
      </c>
      <c r="CV180" s="239" t="s">
        <v>4</v>
      </c>
      <c r="CW180" s="239" t="s">
        <v>4</v>
      </c>
      <c r="CX180" s="239" t="s">
        <v>4</v>
      </c>
      <c r="CY180" s="239" t="s">
        <v>4</v>
      </c>
      <c r="CZ180" s="239" t="s">
        <v>4</v>
      </c>
      <c r="DA180" s="239" t="s">
        <v>4</v>
      </c>
      <c r="DB180" s="239" t="s">
        <v>4</v>
      </c>
      <c r="DC180" s="239" t="s">
        <v>4</v>
      </c>
      <c r="DD180" s="239" t="s">
        <v>4</v>
      </c>
      <c r="DE180" s="239" t="s">
        <v>4</v>
      </c>
      <c r="DF180" s="239" t="s">
        <v>4</v>
      </c>
      <c r="DG180" s="239" t="s">
        <v>4</v>
      </c>
      <c r="DH180" s="239" t="s">
        <v>4</v>
      </c>
      <c r="DI180" s="239" t="s">
        <v>4</v>
      </c>
      <c r="DJ180" s="239" t="s">
        <v>4</v>
      </c>
      <c r="DK180" s="239" t="s">
        <v>4</v>
      </c>
      <c r="DL180" s="239" t="s">
        <v>4</v>
      </c>
      <c r="DM180" s="239" t="s">
        <v>4</v>
      </c>
      <c r="DN180" s="239" t="s">
        <v>4</v>
      </c>
      <c r="DO180" s="239">
        <v>0.3</v>
      </c>
      <c r="DP180" s="239" t="s">
        <v>7</v>
      </c>
      <c r="DQ180" s="239" t="s">
        <v>29375</v>
      </c>
      <c r="DR180" s="239" t="s">
        <v>4</v>
      </c>
      <c r="DS180" s="239" t="s">
        <v>4</v>
      </c>
      <c r="DT180" s="240" t="s">
        <v>4</v>
      </c>
      <c r="DU180" s="239" t="s">
        <v>29294</v>
      </c>
      <c r="DV180" s="240" t="s">
        <v>4</v>
      </c>
      <c r="DW180" s="239" t="s">
        <v>29295</v>
      </c>
      <c r="DX180" s="239">
        <v>100</v>
      </c>
      <c r="DY180" s="239" t="s">
        <v>29296</v>
      </c>
      <c r="DZ180" s="239">
        <v>100</v>
      </c>
      <c r="EA180" s="239"/>
      <c r="EB180" s="239"/>
      <c r="EC180" s="239"/>
      <c r="ED180" s="239"/>
      <c r="EE180" s="320">
        <f>Table14[[#This Row],[% Fertilizer]]*$DX180/10000</f>
        <v>1</v>
      </c>
      <c r="EF180" s="320">
        <f>Table14[[#This Row],[% bioslurry used as Insecticide/Pesticide]]*$DX180/10000</f>
        <v>0</v>
      </c>
      <c r="EG180" s="320">
        <f>Table14[[#This Row],[% of Bioslurry used as animal feed]]*$DX180/10000</f>
        <v>0</v>
      </c>
      <c r="EH180" s="320">
        <f>Table14[[#This Row],[% of Bioslurry sold]]*$DX180/10000</f>
        <v>0</v>
      </c>
      <c r="EI180" s="320">
        <f>Table14[[#This Row],[% used other way(if used directly)]]*$DX180/10000</f>
        <v>0</v>
      </c>
      <c r="EJ180" s="239"/>
      <c r="EK180" s="239"/>
      <c r="EL180" s="239"/>
      <c r="EM180" s="239"/>
      <c r="EN180" s="239"/>
      <c r="EO180" s="239">
        <f>(Table14[[#This Row],[% Uncovered lagoon greater than 1 meter]]+Table14[[#This Row],[Uncovered lagoon (black watery mass) &lt;1 meter]]+Table14[[#This Row],[% Liquid slurry (brown porridge type)]])*Table14[[#This Row],[% Store it first]]/100</f>
        <v>0</v>
      </c>
      <c r="EP180" s="239"/>
      <c r="EQ180" s="239"/>
      <c r="ER180" s="239"/>
      <c r="ES180" s="239"/>
      <c r="ET180" s="239">
        <f>(Table14[[#This Row],[% Solid storage]]+Table14[[#This Row],[% Sun drying]]+Table14[[#This Row],[% Composting with a roof]]+Table14[[#This Row],[% Composting without a roof]])*Table14[[#This Row],[% Store it first]]/100</f>
        <v>0</v>
      </c>
      <c r="EU180" s="239"/>
      <c r="EV180" s="320">
        <f t="shared" si="20"/>
        <v>0</v>
      </c>
      <c r="EW180" s="320">
        <f t="shared" si="21"/>
        <v>0</v>
      </c>
      <c r="EX180" s="320">
        <f t="shared" si="22"/>
        <v>0</v>
      </c>
      <c r="EY180" s="320">
        <f t="shared" si="23"/>
        <v>0</v>
      </c>
      <c r="EZ180" s="320">
        <f t="shared" si="24"/>
        <v>0</v>
      </c>
      <c r="FA180" s="239"/>
      <c r="FB180" s="239"/>
      <c r="FC180" s="239"/>
      <c r="FD180" s="239">
        <f>Table14[[#This Row],[% I donâ€™t use it / discarded]]+Table14[[#This Row],[% Other (specify)(If you use bioslurry directly)]]+Table14[[#This Row],[% Store it first]]+Table14[[#This Row],[% Use directly for various purposes]]</f>
        <v>100</v>
      </c>
      <c r="FE180" s="239" t="s">
        <v>4</v>
      </c>
      <c r="FF180" s="239"/>
      <c r="FG180" s="239"/>
      <c r="FH180" s="239"/>
      <c r="FI180" s="239"/>
      <c r="FJ180" s="239"/>
      <c r="FK180" s="239" t="s">
        <v>9</v>
      </c>
      <c r="FL180" s="239" t="s">
        <v>7</v>
      </c>
      <c r="FM180" s="239" t="s">
        <v>9</v>
      </c>
      <c r="FN180" s="239"/>
      <c r="FO180" s="239" t="s">
        <v>29815</v>
      </c>
      <c r="FP180" s="239" t="s">
        <v>29298</v>
      </c>
      <c r="FQ180" s="239">
        <v>67</v>
      </c>
      <c r="FR180" s="239" t="s">
        <v>2</v>
      </c>
      <c r="FS180" s="239" t="s">
        <v>4</v>
      </c>
      <c r="FT180" s="239" t="s">
        <v>4</v>
      </c>
      <c r="FU180" s="239" t="s">
        <v>2</v>
      </c>
      <c r="FV180" s="239" t="s">
        <v>4</v>
      </c>
      <c r="FW180" s="239" t="s">
        <v>4</v>
      </c>
      <c r="FX180" s="239" t="s">
        <v>4</v>
      </c>
      <c r="FY180" s="239" t="s">
        <v>4</v>
      </c>
      <c r="FZ180" s="239" t="s">
        <v>4</v>
      </c>
      <c r="GA180" s="239" t="s">
        <v>4</v>
      </c>
      <c r="GB180" s="240" t="s">
        <v>4</v>
      </c>
      <c r="GC180" s="239" t="s">
        <v>4</v>
      </c>
      <c r="GD180" s="239" t="s">
        <v>2</v>
      </c>
      <c r="GE180" s="239" t="s">
        <v>4</v>
      </c>
      <c r="GF180" s="239" t="s">
        <v>4</v>
      </c>
      <c r="GG180" s="239" t="s">
        <v>7</v>
      </c>
      <c r="GH180" s="239" t="s">
        <v>7</v>
      </c>
      <c r="GI180" s="239" t="s">
        <v>29816</v>
      </c>
      <c r="GJ180" s="239" t="s">
        <v>29817</v>
      </c>
      <c r="GK180" s="239" t="s">
        <v>4</v>
      </c>
      <c r="GL180" s="239">
        <v>0</v>
      </c>
      <c r="GM180" s="239"/>
      <c r="GN180" s="239" t="s">
        <v>4</v>
      </c>
      <c r="GO180" s="239" t="s">
        <v>4</v>
      </c>
      <c r="GP180" s="239" t="s">
        <v>4</v>
      </c>
      <c r="GQ180" s="239" t="s">
        <v>4</v>
      </c>
      <c r="GR180" s="239" t="s">
        <v>4</v>
      </c>
      <c r="GS180" s="239" t="s">
        <v>4</v>
      </c>
      <c r="GT180" s="239" t="s">
        <v>4</v>
      </c>
      <c r="GU180" s="239" t="s">
        <v>4</v>
      </c>
      <c r="GV180" s="239" t="s">
        <v>4</v>
      </c>
      <c r="GW180" s="239" t="s">
        <v>29304</v>
      </c>
      <c r="GX180" s="239" t="s">
        <v>29529</v>
      </c>
      <c r="GY180" s="239" t="s">
        <v>4</v>
      </c>
      <c r="GZ180" s="239" t="s">
        <v>4</v>
      </c>
      <c r="HA180" s="239" t="s">
        <v>4</v>
      </c>
      <c r="HB180" s="239" t="s">
        <v>4</v>
      </c>
      <c r="HC180" s="239" t="s">
        <v>29451</v>
      </c>
      <c r="HD180" s="239" t="s">
        <v>4</v>
      </c>
      <c r="HE180" s="239" t="s">
        <v>4</v>
      </c>
      <c r="HF180" s="239" t="s">
        <v>4</v>
      </c>
      <c r="HG180" s="239" t="s">
        <v>4</v>
      </c>
      <c r="HH180" s="239" t="s">
        <v>29452</v>
      </c>
      <c r="HI180" s="239" t="s">
        <v>4</v>
      </c>
      <c r="HJ180" s="240">
        <v>0</v>
      </c>
      <c r="HK180" s="239" t="s">
        <v>2</v>
      </c>
      <c r="HL180" s="239" t="s">
        <v>29309</v>
      </c>
      <c r="HM180" s="239" t="s">
        <v>4</v>
      </c>
      <c r="HN180" s="239" t="s">
        <v>4</v>
      </c>
      <c r="HO180" s="239" t="s">
        <v>4</v>
      </c>
      <c r="HP180" s="239" t="s">
        <v>4</v>
      </c>
      <c r="HQ180" s="239" t="s">
        <v>4</v>
      </c>
      <c r="HR180" s="239" t="s">
        <v>4</v>
      </c>
      <c r="HS180" s="239" t="s">
        <v>4</v>
      </c>
      <c r="HT180" s="239" t="s">
        <v>4</v>
      </c>
      <c r="HU180" s="239" t="s">
        <v>2</v>
      </c>
      <c r="HV180" s="239" t="s">
        <v>4</v>
      </c>
      <c r="HW180" s="239" t="s">
        <v>4</v>
      </c>
      <c r="HX180" s="239" t="s">
        <v>4</v>
      </c>
      <c r="HY180" s="239" t="s">
        <v>4</v>
      </c>
      <c r="HZ180" s="239" t="s">
        <v>16</v>
      </c>
      <c r="IA180" s="239" t="s">
        <v>2</v>
      </c>
      <c r="IB180" s="239" t="s">
        <v>4</v>
      </c>
      <c r="IC180" s="239" t="s">
        <v>29818</v>
      </c>
      <c r="ID180" s="239" t="s">
        <v>29819</v>
      </c>
      <c r="IE180" s="239" t="s">
        <v>29820</v>
      </c>
      <c r="IF180" s="239" t="s">
        <v>29821</v>
      </c>
      <c r="IG180" s="239" t="s">
        <v>29822</v>
      </c>
      <c r="IH180" s="239" t="s">
        <v>29769</v>
      </c>
    </row>
    <row r="181" spans="1:242" s="1" customFormat="1" ht="36.75" customHeight="1" x14ac:dyDescent="0.2">
      <c r="A181" s="239">
        <v>45</v>
      </c>
      <c r="B181" s="239" t="s">
        <v>23509</v>
      </c>
      <c r="C181" s="239" t="s">
        <v>29832</v>
      </c>
      <c r="D181" s="239" t="s">
        <v>29799</v>
      </c>
      <c r="E181" s="239" t="s">
        <v>7</v>
      </c>
      <c r="F181" s="239" t="s">
        <v>29833</v>
      </c>
      <c r="G181" s="239">
        <v>1138.049683</v>
      </c>
      <c r="H181" s="239">
        <v>4.696898</v>
      </c>
      <c r="I181" s="239" t="s">
        <v>29319</v>
      </c>
      <c r="J181" s="239" t="s">
        <v>4</v>
      </c>
      <c r="K181" s="239" t="s">
        <v>23510</v>
      </c>
      <c r="L181" s="239">
        <v>782410659</v>
      </c>
      <c r="M181" s="239" t="s">
        <v>5</v>
      </c>
      <c r="N181" s="239" t="s">
        <v>31590</v>
      </c>
      <c r="O181" s="239" t="s">
        <v>4</v>
      </c>
      <c r="P181" s="239">
        <v>5</v>
      </c>
      <c r="Q181" s="239" t="s">
        <v>7</v>
      </c>
      <c r="R181" s="239" t="s">
        <v>31535</v>
      </c>
      <c r="S181" s="239" t="s">
        <v>4</v>
      </c>
      <c r="T181" s="239" t="s">
        <v>7</v>
      </c>
      <c r="U181" s="239" t="s">
        <v>7</v>
      </c>
      <c r="V181" s="239"/>
      <c r="W181" s="239" t="s">
        <v>7</v>
      </c>
      <c r="X181" s="239" t="s">
        <v>4</v>
      </c>
      <c r="Y181" s="239" t="s">
        <v>4</v>
      </c>
      <c r="Z181" s="241" t="str">
        <f>IF(OR(T181="yes",Y181&gt;'SDG outcome'!$C$27),"yes","no")</f>
        <v>yes</v>
      </c>
      <c r="AA181" s="243">
        <f t="shared" si="13"/>
        <v>0</v>
      </c>
      <c r="AB181" s="243" t="str">
        <f>IF(AND(Z181="no",AND(Y181&gt;='SDG outcome'!$B$16,Y181&lt;'SDG outcome'!$C$27)),Y181-'SDG outcome'!$B$16,"")</f>
        <v/>
      </c>
      <c r="AC181" s="239" t="s">
        <v>4</v>
      </c>
      <c r="AD181" s="239" t="s">
        <v>4</v>
      </c>
      <c r="AE181" s="239" t="s">
        <v>4</v>
      </c>
      <c r="AF181" s="239" t="s">
        <v>4</v>
      </c>
      <c r="AG181" s="239" t="s">
        <v>4</v>
      </c>
      <c r="AH181" s="239" t="s">
        <v>4</v>
      </c>
      <c r="AI181" s="239" t="s">
        <v>4</v>
      </c>
      <c r="AJ181" s="239" t="s">
        <v>29290</v>
      </c>
      <c r="AK181" s="239" t="s">
        <v>29291</v>
      </c>
      <c r="AL181" s="239" t="s">
        <v>4</v>
      </c>
      <c r="AM181" s="239" t="s">
        <v>4</v>
      </c>
      <c r="AN181" s="239" t="s">
        <v>31536</v>
      </c>
      <c r="AO181" s="239" t="s">
        <v>4</v>
      </c>
      <c r="AP181" s="239" t="s">
        <v>31537</v>
      </c>
      <c r="AQ181" s="239" t="s">
        <v>4</v>
      </c>
      <c r="AR181" s="239" t="s">
        <v>31538</v>
      </c>
      <c r="AS181" s="239" t="s">
        <v>4</v>
      </c>
      <c r="AT181" s="239" t="s">
        <v>7</v>
      </c>
      <c r="AU181" s="239" t="s">
        <v>4</v>
      </c>
      <c r="AV181" s="239" t="s">
        <v>4</v>
      </c>
      <c r="AW181" s="239" t="s">
        <v>31539</v>
      </c>
      <c r="AX181" s="239" t="s">
        <v>4</v>
      </c>
      <c r="AY181" s="239" t="s">
        <v>4</v>
      </c>
      <c r="AZ181" s="239" t="s">
        <v>7</v>
      </c>
      <c r="BA181" s="239" t="s">
        <v>6</v>
      </c>
      <c r="BB181" s="239" t="s">
        <v>4</v>
      </c>
      <c r="BC181" s="239" t="s">
        <v>31563</v>
      </c>
      <c r="BD181" s="239" t="s">
        <v>31552</v>
      </c>
      <c r="BE181" s="239" t="s">
        <v>4</v>
      </c>
      <c r="BF181" s="239" t="s">
        <v>31648</v>
      </c>
      <c r="BG181" s="239" t="s">
        <v>4</v>
      </c>
      <c r="BH181" s="239" t="s">
        <v>31542</v>
      </c>
      <c r="BI181" s="239" t="s">
        <v>31700</v>
      </c>
      <c r="BJ181" s="239" t="s">
        <v>31566</v>
      </c>
      <c r="BK181" s="239">
        <v>1</v>
      </c>
      <c r="BL181" s="239">
        <v>720</v>
      </c>
      <c r="BM181" s="239" t="s">
        <v>7</v>
      </c>
      <c r="BN181" s="239" t="s">
        <v>6</v>
      </c>
      <c r="BO181" s="239" t="s">
        <v>4</v>
      </c>
      <c r="BP181" s="239" t="s">
        <v>31425</v>
      </c>
      <c r="BQ181" s="239">
        <v>1</v>
      </c>
      <c r="BR181" s="239">
        <v>0</v>
      </c>
      <c r="BS181" s="239" t="s">
        <v>13</v>
      </c>
      <c r="BT181" s="239" t="s">
        <v>31428</v>
      </c>
      <c r="BU181" s="239"/>
      <c r="BV181" s="239" cm="1">
        <f t="array" ref="BV181">_xlfn.IFS(BS181="Foreword vehicle",BU181*0,BS181="Human wastes",BU181*0,BS181="Jerrycans",BU181*$BV$228,BS181="Number of Basins",BU181*$BV$229,BS181="Number of Buckets",BU181*$CA$226,BS181="Number of Kgs",BU181*$CA$227,BS181="Number of spades",BU181*$CA$228,BS181="Number of wheelbarrows",BU181*$CA$229,BT181="Foreword vehicle",BU181*0,BT181="Human wastes",BU181*0,BT181="Jerrycans",BU181*$BV$228,BS181="","")</f>
        <v>0</v>
      </c>
      <c r="BW181" s="239">
        <f>IF(BV181="","",Table14[[#This Row],[Calculation: Conversion of metric to Kg manure feeding (Columns: BP, BQ, BR)]]*Table14[[#This Row],[Number of times used to feed biodigester]])</f>
        <v>0</v>
      </c>
      <c r="BX181" s="239" cm="1">
        <f t="array" ref="BX181">_xlfn.IFS(BP181="Number of times per day (1 to 3)",BW181/$BX$226,BP181="Number of times per week (1 to 6)",BW181/$BX$227,BP181="Number of times per Month (1 to 3)",BW181/$BX$228,BW181="","")</f>
        <v>0</v>
      </c>
      <c r="BY181" s="239" t="s">
        <v>31552</v>
      </c>
      <c r="BZ181" s="239" t="s">
        <v>4</v>
      </c>
      <c r="CA181" s="239" t="s">
        <v>2</v>
      </c>
      <c r="CB181" s="239" t="s">
        <v>4</v>
      </c>
      <c r="CC181" s="239" t="s">
        <v>4</v>
      </c>
      <c r="CD181" s="239" t="s">
        <v>4</v>
      </c>
      <c r="CE181" s="239" t="s">
        <v>7</v>
      </c>
      <c r="CF181" s="239" t="s">
        <v>31701</v>
      </c>
      <c r="CG181" s="239" t="s">
        <v>4</v>
      </c>
      <c r="CH181" s="239" t="s">
        <v>31698</v>
      </c>
      <c r="CI181" s="239">
        <v>0</v>
      </c>
      <c r="CJ181" s="239">
        <v>0</v>
      </c>
      <c r="CK181" s="239">
        <v>0</v>
      </c>
      <c r="CL181" s="239">
        <v>0</v>
      </c>
      <c r="CM181" s="239">
        <v>0</v>
      </c>
      <c r="CN181" s="239">
        <v>0</v>
      </c>
      <c r="CO181" s="239">
        <v>0</v>
      </c>
      <c r="CP181" s="239">
        <v>0</v>
      </c>
      <c r="CQ181" s="239">
        <v>0</v>
      </c>
      <c r="CR181" s="239">
        <v>0</v>
      </c>
      <c r="CS181" s="239">
        <f>CP181/'SDG outcome'!$C$9*CQ181*CR181</f>
        <v>0</v>
      </c>
      <c r="CT181" s="239" t="s">
        <v>4</v>
      </c>
      <c r="CU181" s="239" t="s">
        <v>4</v>
      </c>
      <c r="CV181" s="239" t="s">
        <v>4</v>
      </c>
      <c r="CW181" s="239" t="s">
        <v>4</v>
      </c>
      <c r="CX181" s="239" t="s">
        <v>4</v>
      </c>
      <c r="CY181" s="239" t="s">
        <v>4</v>
      </c>
      <c r="CZ181" s="239" t="s">
        <v>4</v>
      </c>
      <c r="DA181" s="239" t="s">
        <v>4</v>
      </c>
      <c r="DB181" s="239" t="s">
        <v>4</v>
      </c>
      <c r="DC181" s="239" t="s">
        <v>4</v>
      </c>
      <c r="DD181" s="239" t="s">
        <v>4</v>
      </c>
      <c r="DE181" s="239" t="s">
        <v>4</v>
      </c>
      <c r="DF181" s="239" t="s">
        <v>4</v>
      </c>
      <c r="DG181" s="239" t="s">
        <v>4</v>
      </c>
      <c r="DH181" s="239" t="s">
        <v>4</v>
      </c>
      <c r="DI181" s="239" t="s">
        <v>4</v>
      </c>
      <c r="DJ181" s="239" t="s">
        <v>4</v>
      </c>
      <c r="DK181" s="239" t="s">
        <v>4</v>
      </c>
      <c r="DL181" s="239" t="s">
        <v>4</v>
      </c>
      <c r="DM181" s="239" t="s">
        <v>4</v>
      </c>
      <c r="DN181" s="239" t="s">
        <v>4</v>
      </c>
      <c r="DO181" s="239">
        <v>0.5</v>
      </c>
      <c r="DP181" s="239" t="s">
        <v>7</v>
      </c>
      <c r="DQ181" s="239" t="s">
        <v>29292</v>
      </c>
      <c r="DR181" s="239" t="s">
        <v>4</v>
      </c>
      <c r="DS181" s="239" t="s">
        <v>29294</v>
      </c>
      <c r="DT181" s="240" t="s">
        <v>4</v>
      </c>
      <c r="DU181" s="239" t="s">
        <v>29294</v>
      </c>
      <c r="DV181" s="240" t="s">
        <v>4</v>
      </c>
      <c r="DW181" s="239" t="s">
        <v>29295</v>
      </c>
      <c r="DX181" s="239">
        <v>100</v>
      </c>
      <c r="DY181" s="239" t="s">
        <v>29296</v>
      </c>
      <c r="DZ181" s="239">
        <v>100</v>
      </c>
      <c r="EA181" s="239"/>
      <c r="EB181" s="239"/>
      <c r="EC181" s="239"/>
      <c r="ED181" s="239"/>
      <c r="EE181" s="320">
        <f>Table14[[#This Row],[% Fertilizer]]*$DX181/10000</f>
        <v>1</v>
      </c>
      <c r="EF181" s="320">
        <f>Table14[[#This Row],[% bioslurry used as Insecticide/Pesticide]]*$DX181/10000</f>
        <v>0</v>
      </c>
      <c r="EG181" s="320">
        <f>Table14[[#This Row],[% of Bioslurry used as animal feed]]*$DX181/10000</f>
        <v>0</v>
      </c>
      <c r="EH181" s="320">
        <f>Table14[[#This Row],[% of Bioslurry sold]]*$DX181/10000</f>
        <v>0</v>
      </c>
      <c r="EI181" s="320">
        <f>Table14[[#This Row],[% used other way(if used directly)]]*$DX181/10000</f>
        <v>0</v>
      </c>
      <c r="EJ181" s="239"/>
      <c r="EK181" s="239"/>
      <c r="EL181" s="239"/>
      <c r="EM181" s="239"/>
      <c r="EN181" s="239"/>
      <c r="EO181" s="239">
        <f>(Table14[[#This Row],[% Uncovered lagoon greater than 1 meter]]+Table14[[#This Row],[Uncovered lagoon (black watery mass) &lt;1 meter]]+Table14[[#This Row],[% Liquid slurry (brown porridge type)]])*Table14[[#This Row],[% Store it first]]/100</f>
        <v>0</v>
      </c>
      <c r="EP181" s="239"/>
      <c r="EQ181" s="239"/>
      <c r="ER181" s="239"/>
      <c r="ES181" s="239"/>
      <c r="ET181" s="239">
        <f>(Table14[[#This Row],[% Solid storage]]+Table14[[#This Row],[% Sun drying]]+Table14[[#This Row],[% Composting with a roof]]+Table14[[#This Row],[% Composting without a roof]])*Table14[[#This Row],[% Store it first]]/100</f>
        <v>0</v>
      </c>
      <c r="EU181" s="239"/>
      <c r="EV181" s="320">
        <f t="shared" si="20"/>
        <v>0</v>
      </c>
      <c r="EW181" s="320">
        <f t="shared" si="21"/>
        <v>0</v>
      </c>
      <c r="EX181" s="320">
        <f t="shared" si="22"/>
        <v>0</v>
      </c>
      <c r="EY181" s="320">
        <f t="shared" si="23"/>
        <v>0</v>
      </c>
      <c r="EZ181" s="320">
        <f t="shared" si="24"/>
        <v>0</v>
      </c>
      <c r="FA181" s="239"/>
      <c r="FB181" s="239"/>
      <c r="FC181" s="239"/>
      <c r="FD181" s="239">
        <f>Table14[[#This Row],[% I donâ€™t use it / discarded]]+Table14[[#This Row],[% Other (specify)(If you use bioslurry directly)]]+Table14[[#This Row],[% Store it first]]+Table14[[#This Row],[% Use directly for various purposes]]</f>
        <v>100</v>
      </c>
      <c r="FE181" s="239" t="s">
        <v>4</v>
      </c>
      <c r="FF181" s="239"/>
      <c r="FG181" s="239"/>
      <c r="FH181" s="239"/>
      <c r="FI181" s="239"/>
      <c r="FJ181" s="239"/>
      <c r="FK181" s="239" t="s">
        <v>9</v>
      </c>
      <c r="FL181" s="239" t="s">
        <v>7</v>
      </c>
      <c r="FM181" s="239" t="s">
        <v>9</v>
      </c>
      <c r="FN181" s="239"/>
      <c r="FO181" s="239" t="s">
        <v>29834</v>
      </c>
      <c r="FP181" s="239" t="s">
        <v>29298</v>
      </c>
      <c r="FQ181" s="239">
        <v>83</v>
      </c>
      <c r="FR181" s="239" t="s">
        <v>7</v>
      </c>
      <c r="FS181" s="239" t="s">
        <v>29393</v>
      </c>
      <c r="FT181" s="239" t="s">
        <v>4</v>
      </c>
      <c r="FU181" s="239" t="s">
        <v>2</v>
      </c>
      <c r="FV181" s="239" t="s">
        <v>4</v>
      </c>
      <c r="FW181" s="239" t="s">
        <v>4</v>
      </c>
      <c r="FX181" s="239" t="s">
        <v>4</v>
      </c>
      <c r="FY181" s="239" t="s">
        <v>4</v>
      </c>
      <c r="FZ181" s="239" t="s">
        <v>4</v>
      </c>
      <c r="GA181" s="239" t="s">
        <v>4</v>
      </c>
      <c r="GB181" s="240" t="s">
        <v>4</v>
      </c>
      <c r="GC181" s="239" t="s">
        <v>4</v>
      </c>
      <c r="GD181" s="239" t="s">
        <v>2</v>
      </c>
      <c r="GE181" s="239" t="s">
        <v>4</v>
      </c>
      <c r="GF181" s="239" t="s">
        <v>4</v>
      </c>
      <c r="GG181" s="239" t="s">
        <v>7</v>
      </c>
      <c r="GH181" s="239" t="s">
        <v>7</v>
      </c>
      <c r="GI181" s="239" t="s">
        <v>29302</v>
      </c>
      <c r="GJ181" s="239" t="s">
        <v>29835</v>
      </c>
      <c r="GK181" s="239" t="s">
        <v>4</v>
      </c>
      <c r="GL181" s="239">
        <v>0</v>
      </c>
      <c r="GM181" s="239"/>
      <c r="GN181" s="239" t="s">
        <v>4</v>
      </c>
      <c r="GO181" s="239" t="s">
        <v>4</v>
      </c>
      <c r="GP181" s="239" t="s">
        <v>4</v>
      </c>
      <c r="GQ181" s="239" t="s">
        <v>4</v>
      </c>
      <c r="GR181" s="239" t="s">
        <v>4</v>
      </c>
      <c r="GS181" s="239" t="s">
        <v>4</v>
      </c>
      <c r="GT181" s="239" t="s">
        <v>4</v>
      </c>
      <c r="GU181" s="239" t="s">
        <v>4</v>
      </c>
      <c r="GV181" s="239" t="s">
        <v>4</v>
      </c>
      <c r="GW181" s="239" t="s">
        <v>29304</v>
      </c>
      <c r="GX181" s="239" t="s">
        <v>29478</v>
      </c>
      <c r="GY181" s="239" t="s">
        <v>29306</v>
      </c>
      <c r="GZ181" s="239" t="s">
        <v>29466</v>
      </c>
      <c r="HA181" s="239" t="s">
        <v>4</v>
      </c>
      <c r="HB181" s="239" t="s">
        <v>4</v>
      </c>
      <c r="HC181" s="239" t="s">
        <v>4</v>
      </c>
      <c r="HD181" s="239" t="s">
        <v>4</v>
      </c>
      <c r="HE181" s="239" t="s">
        <v>29836</v>
      </c>
      <c r="HF181" s="239" t="s">
        <v>4</v>
      </c>
      <c r="HG181" s="239" t="s">
        <v>4</v>
      </c>
      <c r="HH181" s="239" t="s">
        <v>29452</v>
      </c>
      <c r="HI181" s="239" t="s">
        <v>4</v>
      </c>
      <c r="HJ181" s="240">
        <v>0</v>
      </c>
      <c r="HK181" s="239" t="s">
        <v>2</v>
      </c>
      <c r="HL181" s="239" t="s">
        <v>29837</v>
      </c>
      <c r="HM181" s="239" t="s">
        <v>4</v>
      </c>
      <c r="HN181" s="239" t="s">
        <v>4</v>
      </c>
      <c r="HO181" s="239" t="s">
        <v>4</v>
      </c>
      <c r="HP181" s="239" t="s">
        <v>4</v>
      </c>
      <c r="HQ181" s="239" t="s">
        <v>4</v>
      </c>
      <c r="HR181" s="239" t="s">
        <v>4</v>
      </c>
      <c r="HS181" s="239" t="s">
        <v>4</v>
      </c>
      <c r="HT181" s="239" t="s">
        <v>4</v>
      </c>
      <c r="HU181" s="239" t="s">
        <v>2</v>
      </c>
      <c r="HV181" s="239" t="s">
        <v>4</v>
      </c>
      <c r="HW181" s="239" t="s">
        <v>4</v>
      </c>
      <c r="HX181" s="239" t="s">
        <v>4</v>
      </c>
      <c r="HY181" s="239" t="s">
        <v>4</v>
      </c>
      <c r="HZ181" s="239" t="s">
        <v>29838</v>
      </c>
      <c r="IA181" s="239" t="s">
        <v>2</v>
      </c>
      <c r="IB181" s="239" t="s">
        <v>4</v>
      </c>
      <c r="IC181" s="239" t="s">
        <v>29839</v>
      </c>
      <c r="ID181" s="239" t="s">
        <v>29840</v>
      </c>
      <c r="IE181" s="239" t="s">
        <v>29841</v>
      </c>
      <c r="IF181" s="239" t="s">
        <v>29842</v>
      </c>
      <c r="IG181" s="239" t="s">
        <v>29843</v>
      </c>
      <c r="IH181" s="239" t="s">
        <v>29832</v>
      </c>
    </row>
    <row r="182" spans="1:242" s="1" customFormat="1" ht="36.75" customHeight="1" x14ac:dyDescent="0.2">
      <c r="A182" s="239">
        <v>63</v>
      </c>
      <c r="B182" s="239" t="s">
        <v>62</v>
      </c>
      <c r="C182" s="239" t="s">
        <v>30001</v>
      </c>
      <c r="D182" s="239" t="s">
        <v>30002</v>
      </c>
      <c r="E182" s="239" t="s">
        <v>7</v>
      </c>
      <c r="F182" s="239" t="s">
        <v>30003</v>
      </c>
      <c r="G182" s="239">
        <v>1159.5</v>
      </c>
      <c r="H182" s="239">
        <v>4.7</v>
      </c>
      <c r="I182" s="239" t="s">
        <v>29319</v>
      </c>
      <c r="J182" s="239" t="s">
        <v>4</v>
      </c>
      <c r="K182" s="239" t="s">
        <v>30004</v>
      </c>
      <c r="L182" s="239">
        <v>752622644</v>
      </c>
      <c r="M182" s="239" t="s">
        <v>5</v>
      </c>
      <c r="N182" s="239" t="s">
        <v>31438</v>
      </c>
      <c r="O182" s="239">
        <v>68</v>
      </c>
      <c r="P182" s="239">
        <v>5</v>
      </c>
      <c r="Q182" s="239" t="s">
        <v>7</v>
      </c>
      <c r="R182" s="239" t="s">
        <v>31562</v>
      </c>
      <c r="S182" s="239" t="s">
        <v>4</v>
      </c>
      <c r="T182" s="239" t="s">
        <v>7</v>
      </c>
      <c r="U182" s="239" t="s">
        <v>7</v>
      </c>
      <c r="V182" s="239"/>
      <c r="W182" s="239" t="s">
        <v>7</v>
      </c>
      <c r="X182" s="239" t="s">
        <v>4</v>
      </c>
      <c r="Y182" s="239" t="s">
        <v>4</v>
      </c>
      <c r="Z182" s="241" t="str">
        <f>IF(OR(T182="yes",Y182&gt;'SDG outcome'!$C$27),"yes","no")</f>
        <v>yes</v>
      </c>
      <c r="AA182" s="243">
        <f t="shared" si="13"/>
        <v>0</v>
      </c>
      <c r="AB182" s="243" t="str">
        <f>IF(AND(Z182="no",AND(Y182&gt;='SDG outcome'!$B$16,Y182&lt;'SDG outcome'!$C$27)),Y182-'SDG outcome'!$B$16,"")</f>
        <v/>
      </c>
      <c r="AC182" s="239" t="s">
        <v>4</v>
      </c>
      <c r="AD182" s="239" t="s">
        <v>4</v>
      </c>
      <c r="AE182" s="239" t="s">
        <v>4</v>
      </c>
      <c r="AF182" s="239" t="s">
        <v>4</v>
      </c>
      <c r="AG182" s="239" t="s">
        <v>4</v>
      </c>
      <c r="AH182" s="239" t="s">
        <v>4</v>
      </c>
      <c r="AI182" s="239" t="s">
        <v>4</v>
      </c>
      <c r="AJ182" s="239" t="s">
        <v>29290</v>
      </c>
      <c r="AK182" s="239" t="s">
        <v>29291</v>
      </c>
      <c r="AL182" s="239" t="s">
        <v>4</v>
      </c>
      <c r="AM182" s="239" t="s">
        <v>4</v>
      </c>
      <c r="AN182" s="239" t="s">
        <v>31605</v>
      </c>
      <c r="AO182" s="239" t="s">
        <v>4</v>
      </c>
      <c r="AP182" s="239" t="s">
        <v>31743</v>
      </c>
      <c r="AQ182" s="239" t="s">
        <v>4</v>
      </c>
      <c r="AR182" s="239" t="s">
        <v>31538</v>
      </c>
      <c r="AS182" s="239" t="s">
        <v>4</v>
      </c>
      <c r="AT182" s="239" t="s">
        <v>7</v>
      </c>
      <c r="AU182" s="239" t="s">
        <v>4</v>
      </c>
      <c r="AV182" s="239" t="s">
        <v>4</v>
      </c>
      <c r="AW182" s="239" t="s">
        <v>31550</v>
      </c>
      <c r="AX182" s="239" t="s">
        <v>4</v>
      </c>
      <c r="AY182" s="239" t="s">
        <v>4</v>
      </c>
      <c r="AZ182" s="239" t="s">
        <v>7</v>
      </c>
      <c r="BA182" s="239" t="s">
        <v>11</v>
      </c>
      <c r="BB182" s="239" t="s">
        <v>4</v>
      </c>
      <c r="BC182" s="239" t="s">
        <v>4</v>
      </c>
      <c r="BD182" s="239" t="s">
        <v>4</v>
      </c>
      <c r="BE182" s="239" t="s">
        <v>4</v>
      </c>
      <c r="BF182" s="239" t="s">
        <v>4</v>
      </c>
      <c r="BG182" s="239" t="s">
        <v>4</v>
      </c>
      <c r="BH182" s="239" t="s">
        <v>4</v>
      </c>
      <c r="BI182" s="239" t="s">
        <v>4</v>
      </c>
      <c r="BJ182" s="239" t="s">
        <v>4</v>
      </c>
      <c r="BK182" s="239" t="s">
        <v>4</v>
      </c>
      <c r="BL182" s="239" t="s">
        <v>4</v>
      </c>
      <c r="BM182" s="239" t="s">
        <v>7</v>
      </c>
      <c r="BN182" s="239" t="s">
        <v>6</v>
      </c>
      <c r="BO182" s="239" t="s">
        <v>4</v>
      </c>
      <c r="BP182" s="239" t="s">
        <v>31429</v>
      </c>
      <c r="BQ182" s="239">
        <v>2</v>
      </c>
      <c r="BR182" s="239">
        <v>60</v>
      </c>
      <c r="BS182" s="239" t="s">
        <v>31434</v>
      </c>
      <c r="BT182" s="239"/>
      <c r="BU182" s="239">
        <v>15</v>
      </c>
      <c r="BV182" s="239" cm="1">
        <f t="array" ref="BV182">_xlfn.IFS(BS182="Foreword vehicle",BU182*0,BS182="Human wastes",BU182*0,BS182="Jerrycans",BU182*$BV$228,BS182="Number of Basins",BU182*$BV$229,BS182="Number of Buckets",BU182*$CA$226,BS182="Number of Kgs",BU182*$CA$227,BS182="Number of spades",BU182*$CA$228,BS182="Number of wheelbarrows",BU182*$CA$229,BT182="Foreword vehicle",BU182*0,BT182="Human wastes",BU182*0,BT182="Jerrycans",BU182*$BV$228,BS182="","")</f>
        <v>240</v>
      </c>
      <c r="BW182" s="239">
        <f>IF(BV182="","",Table14[[#This Row],[Calculation: Conversion of metric to Kg manure feeding (Columns: BP, BQ, BR)]]*Table14[[#This Row],[Number of times used to feed biodigester]])</f>
        <v>480</v>
      </c>
      <c r="BX182" s="239" cm="1">
        <f t="array" ref="BX182">_xlfn.IFS(BP182="Number of times per day (1 to 3)",BW182/$BX$226,BP182="Number of times per week (1 to 6)",BW182/$BX$227,BP182="Number of times per Month (1 to 3)",BW182/$BX$228,BW182="","")</f>
        <v>68.571428571428569</v>
      </c>
      <c r="BY182" s="239" t="s">
        <v>22</v>
      </c>
      <c r="BZ182" s="239" t="s">
        <v>4</v>
      </c>
      <c r="CA182" s="239" t="s">
        <v>2</v>
      </c>
      <c r="CB182" s="239" t="s">
        <v>4</v>
      </c>
      <c r="CC182" s="239" t="s">
        <v>4</v>
      </c>
      <c r="CD182" s="239" t="s">
        <v>4</v>
      </c>
      <c r="CE182" s="239" t="s">
        <v>7</v>
      </c>
      <c r="CF182" s="239" t="s">
        <v>31744</v>
      </c>
      <c r="CG182" s="239" t="s">
        <v>4</v>
      </c>
      <c r="CH182" s="239" t="s">
        <v>59</v>
      </c>
      <c r="CI182" s="239">
        <v>0</v>
      </c>
      <c r="CJ182" s="239">
        <v>0</v>
      </c>
      <c r="CK182" s="239">
        <v>0</v>
      </c>
      <c r="CL182" s="239">
        <v>0</v>
      </c>
      <c r="CM182" s="239">
        <v>0</v>
      </c>
      <c r="CN182" s="239">
        <v>1000</v>
      </c>
      <c r="CO182" s="239">
        <v>0</v>
      </c>
      <c r="CP182" s="239">
        <v>0</v>
      </c>
      <c r="CQ182" s="239">
        <v>0</v>
      </c>
      <c r="CR182" s="239">
        <v>0</v>
      </c>
      <c r="CS182" s="239">
        <f>CP182/'SDG outcome'!$C$9*CQ182*CR182</f>
        <v>0</v>
      </c>
      <c r="CT182" s="239" t="s">
        <v>4</v>
      </c>
      <c r="CU182" s="239" t="s">
        <v>4</v>
      </c>
      <c r="CV182" s="239" t="s">
        <v>4</v>
      </c>
      <c r="CW182" s="239" t="s">
        <v>4</v>
      </c>
      <c r="CX182" s="239" t="s">
        <v>4</v>
      </c>
      <c r="CY182" s="239" t="s">
        <v>4</v>
      </c>
      <c r="CZ182" s="239" t="s">
        <v>4</v>
      </c>
      <c r="DA182" s="239" t="s">
        <v>4</v>
      </c>
      <c r="DB182" s="239" t="s">
        <v>4</v>
      </c>
      <c r="DC182" s="239" t="s">
        <v>4</v>
      </c>
      <c r="DD182" s="239" t="s">
        <v>4</v>
      </c>
      <c r="DE182" s="239" t="s">
        <v>4</v>
      </c>
      <c r="DF182" s="239">
        <v>100</v>
      </c>
      <c r="DG182" s="239">
        <v>0</v>
      </c>
      <c r="DH182" s="239" t="s">
        <v>4</v>
      </c>
      <c r="DI182" s="239" t="s">
        <v>4</v>
      </c>
      <c r="DJ182" s="239" t="s">
        <v>4</v>
      </c>
      <c r="DK182" s="239" t="s">
        <v>4</v>
      </c>
      <c r="DL182" s="239" t="s">
        <v>4</v>
      </c>
      <c r="DM182" s="239" t="s">
        <v>4</v>
      </c>
      <c r="DN182" s="239" t="s">
        <v>4</v>
      </c>
      <c r="DO182" s="239">
        <v>5</v>
      </c>
      <c r="DP182" s="239" t="s">
        <v>2</v>
      </c>
      <c r="DQ182" s="239" t="s">
        <v>29292</v>
      </c>
      <c r="DR182" s="239" t="s">
        <v>4</v>
      </c>
      <c r="DS182" s="239" t="s">
        <v>29294</v>
      </c>
      <c r="DT182" s="240" t="s">
        <v>4</v>
      </c>
      <c r="DU182" s="239" t="s">
        <v>29294</v>
      </c>
      <c r="DV182" s="240" t="s">
        <v>4</v>
      </c>
      <c r="DW182" s="239" t="s">
        <v>29295</v>
      </c>
      <c r="DX182" s="239">
        <v>100</v>
      </c>
      <c r="DY182" s="239" t="s">
        <v>29296</v>
      </c>
      <c r="DZ182" s="239">
        <v>100</v>
      </c>
      <c r="EA182" s="239"/>
      <c r="EB182" s="239"/>
      <c r="EC182" s="239"/>
      <c r="ED182" s="239"/>
      <c r="EE182" s="320">
        <f>Table14[[#This Row],[% Fertilizer]]*$DX182/10000</f>
        <v>1</v>
      </c>
      <c r="EF182" s="320">
        <f>Table14[[#This Row],[% bioslurry used as Insecticide/Pesticide]]*$DX182/10000</f>
        <v>0</v>
      </c>
      <c r="EG182" s="320">
        <f>Table14[[#This Row],[% of Bioslurry used as animal feed]]*$DX182/10000</f>
        <v>0</v>
      </c>
      <c r="EH182" s="320">
        <f>Table14[[#This Row],[% of Bioslurry sold]]*$DX182/10000</f>
        <v>0</v>
      </c>
      <c r="EI182" s="320">
        <f>Table14[[#This Row],[% used other way(if used directly)]]*$DX182/10000</f>
        <v>0</v>
      </c>
      <c r="EJ182" s="239"/>
      <c r="EK182" s="239"/>
      <c r="EL182" s="239"/>
      <c r="EM182" s="239"/>
      <c r="EN182" s="239"/>
      <c r="EO182" s="239">
        <f>(Table14[[#This Row],[% Uncovered lagoon greater than 1 meter]]+Table14[[#This Row],[Uncovered lagoon (black watery mass) &lt;1 meter]]+Table14[[#This Row],[% Liquid slurry (brown porridge type)]])*Table14[[#This Row],[% Store it first]]/100</f>
        <v>0</v>
      </c>
      <c r="EP182" s="239"/>
      <c r="EQ182" s="239"/>
      <c r="ER182" s="239"/>
      <c r="ES182" s="239"/>
      <c r="ET182" s="239">
        <f>(Table14[[#This Row],[% Solid storage]]+Table14[[#This Row],[% Sun drying]]+Table14[[#This Row],[% Composting with a roof]]+Table14[[#This Row],[% Composting without a roof]])*Table14[[#This Row],[% Store it first]]/100</f>
        <v>0</v>
      </c>
      <c r="EU182" s="239"/>
      <c r="EV182" s="320">
        <f t="shared" si="20"/>
        <v>0</v>
      </c>
      <c r="EW182" s="320">
        <f t="shared" si="21"/>
        <v>0</v>
      </c>
      <c r="EX182" s="320">
        <f t="shared" si="22"/>
        <v>0</v>
      </c>
      <c r="EY182" s="320">
        <f t="shared" si="23"/>
        <v>0</v>
      </c>
      <c r="EZ182" s="320">
        <f t="shared" si="24"/>
        <v>0</v>
      </c>
      <c r="FA182" s="239"/>
      <c r="FB182" s="239"/>
      <c r="FC182" s="239"/>
      <c r="FD182" s="239">
        <f>Table14[[#This Row],[% I donâ€™t use it / discarded]]+Table14[[#This Row],[% Other (specify)(If you use bioslurry directly)]]+Table14[[#This Row],[% Store it first]]+Table14[[#This Row],[% Use directly for various purposes]]</f>
        <v>100</v>
      </c>
      <c r="FE182" s="239" t="s">
        <v>4</v>
      </c>
      <c r="FF182" s="239"/>
      <c r="FG182" s="239"/>
      <c r="FH182" s="239"/>
      <c r="FI182" s="239"/>
      <c r="FJ182" s="239"/>
      <c r="FK182" s="239">
        <v>0.5</v>
      </c>
      <c r="FL182" s="239" t="s">
        <v>7</v>
      </c>
      <c r="FM182" s="239">
        <v>40</v>
      </c>
      <c r="FN182" s="239">
        <f>FK182*FM182/100</f>
        <v>0.2</v>
      </c>
      <c r="FO182" s="239" t="s">
        <v>30005</v>
      </c>
      <c r="FP182" s="239" t="s">
        <v>29298</v>
      </c>
      <c r="FQ182" s="239">
        <v>10</v>
      </c>
      <c r="FR182" s="239" t="s">
        <v>7</v>
      </c>
      <c r="FS182" s="239" t="s">
        <v>29555</v>
      </c>
      <c r="FT182" s="239" t="s">
        <v>4</v>
      </c>
      <c r="FU182" s="239" t="s">
        <v>2</v>
      </c>
      <c r="FV182" s="239" t="s">
        <v>4</v>
      </c>
      <c r="FW182" s="239" t="s">
        <v>4</v>
      </c>
      <c r="FX182" s="239" t="s">
        <v>4</v>
      </c>
      <c r="FY182" s="239" t="s">
        <v>4</v>
      </c>
      <c r="FZ182" s="239" t="s">
        <v>4</v>
      </c>
      <c r="GA182" s="239" t="s">
        <v>4</v>
      </c>
      <c r="GB182" s="240" t="s">
        <v>4</v>
      </c>
      <c r="GC182" s="239" t="s">
        <v>4</v>
      </c>
      <c r="GD182" s="239" t="s">
        <v>2</v>
      </c>
      <c r="GE182" s="239" t="s">
        <v>4</v>
      </c>
      <c r="GF182" s="239" t="s">
        <v>4</v>
      </c>
      <c r="GG182" s="239" t="s">
        <v>7</v>
      </c>
      <c r="GH182" s="239" t="s">
        <v>7</v>
      </c>
      <c r="GI182" s="239" t="s">
        <v>29302</v>
      </c>
      <c r="GJ182" s="239" t="s">
        <v>30006</v>
      </c>
      <c r="GK182" s="239" t="s">
        <v>4</v>
      </c>
      <c r="GL182" s="239">
        <v>0</v>
      </c>
      <c r="GM182" s="239"/>
      <c r="GN182" s="239" t="s">
        <v>4</v>
      </c>
      <c r="GO182" s="239" t="s">
        <v>4</v>
      </c>
      <c r="GP182" s="239" t="s">
        <v>4</v>
      </c>
      <c r="GQ182" s="239" t="s">
        <v>4</v>
      </c>
      <c r="GR182" s="239" t="s">
        <v>4</v>
      </c>
      <c r="GS182" s="239" t="s">
        <v>4</v>
      </c>
      <c r="GT182" s="239" t="s">
        <v>4</v>
      </c>
      <c r="GU182" s="239" t="s">
        <v>4</v>
      </c>
      <c r="GV182" s="239" t="s">
        <v>4</v>
      </c>
      <c r="GW182" s="239" t="s">
        <v>29304</v>
      </c>
      <c r="GX182" s="239" t="s">
        <v>29305</v>
      </c>
      <c r="GY182" s="239" t="s">
        <v>29306</v>
      </c>
      <c r="GZ182" s="239" t="s">
        <v>4</v>
      </c>
      <c r="HA182" s="239" t="s">
        <v>4</v>
      </c>
      <c r="HB182" s="239" t="s">
        <v>4</v>
      </c>
      <c r="HC182" s="239" t="s">
        <v>4</v>
      </c>
      <c r="HD182" s="239" t="s">
        <v>4</v>
      </c>
      <c r="HE182" s="239" t="s">
        <v>30007</v>
      </c>
      <c r="HF182" s="239" t="s">
        <v>13</v>
      </c>
      <c r="HG182" s="239" t="s">
        <v>30008</v>
      </c>
      <c r="HH182" s="239" t="s">
        <v>30009</v>
      </c>
      <c r="HI182" s="239" t="s">
        <v>4</v>
      </c>
      <c r="HJ182" s="240">
        <v>0</v>
      </c>
      <c r="HK182" s="239" t="s">
        <v>7</v>
      </c>
      <c r="HL182" s="239" t="s">
        <v>29837</v>
      </c>
      <c r="HM182" s="239" t="s">
        <v>4</v>
      </c>
      <c r="HN182" s="239" t="s">
        <v>4</v>
      </c>
      <c r="HO182" s="239" t="s">
        <v>4</v>
      </c>
      <c r="HP182" s="239" t="s">
        <v>4</v>
      </c>
      <c r="HQ182" s="239" t="s">
        <v>4</v>
      </c>
      <c r="HR182" s="239" t="s">
        <v>4</v>
      </c>
      <c r="HS182" s="239" t="s">
        <v>4</v>
      </c>
      <c r="HT182" s="239" t="s">
        <v>4</v>
      </c>
      <c r="HU182" s="239" t="s">
        <v>2</v>
      </c>
      <c r="HV182" s="239" t="s">
        <v>4</v>
      </c>
      <c r="HW182" s="239" t="s">
        <v>4</v>
      </c>
      <c r="HX182" s="239" t="s">
        <v>4</v>
      </c>
      <c r="HY182" s="239" t="s">
        <v>72</v>
      </c>
      <c r="HZ182" s="239" t="s">
        <v>30010</v>
      </c>
      <c r="IA182" s="239" t="s">
        <v>2</v>
      </c>
      <c r="IB182" s="239" t="s">
        <v>4</v>
      </c>
      <c r="IC182" s="239" t="s">
        <v>30011</v>
      </c>
      <c r="ID182" s="239" t="s">
        <v>30012</v>
      </c>
      <c r="IE182" s="239" t="s">
        <v>30013</v>
      </c>
      <c r="IF182" s="239" t="s">
        <v>30014</v>
      </c>
      <c r="IG182" s="239" t="s">
        <v>30015</v>
      </c>
      <c r="IH182" s="239" t="s">
        <v>30016</v>
      </c>
    </row>
    <row r="183" spans="1:242" s="1" customFormat="1" ht="36.75" customHeight="1" x14ac:dyDescent="0.2">
      <c r="A183" s="239">
        <v>93</v>
      </c>
      <c r="B183" s="239" t="s">
        <v>3332</v>
      </c>
      <c r="C183" s="239" t="s">
        <v>30323</v>
      </c>
      <c r="D183" s="239" t="s">
        <v>30309</v>
      </c>
      <c r="E183" s="239" t="s">
        <v>7</v>
      </c>
      <c r="F183" s="239" t="s">
        <v>30324</v>
      </c>
      <c r="G183" s="239">
        <v>1164.5</v>
      </c>
      <c r="H183" s="239">
        <v>5</v>
      </c>
      <c r="I183" s="239" t="s">
        <v>29319</v>
      </c>
      <c r="J183" s="239" t="s">
        <v>4</v>
      </c>
      <c r="K183" s="239" t="s">
        <v>30325</v>
      </c>
      <c r="L183" s="239">
        <v>702837855</v>
      </c>
      <c r="M183" s="239" t="s">
        <v>5</v>
      </c>
      <c r="N183" s="239" t="s">
        <v>31598</v>
      </c>
      <c r="O183" s="239" t="s">
        <v>4</v>
      </c>
      <c r="P183" s="239">
        <v>4</v>
      </c>
      <c r="Q183" s="239" t="s">
        <v>7</v>
      </c>
      <c r="R183" s="239" t="s">
        <v>31549</v>
      </c>
      <c r="S183" s="239" t="s">
        <v>4</v>
      </c>
      <c r="T183" s="239" t="s">
        <v>7</v>
      </c>
      <c r="U183" s="239" t="s">
        <v>7</v>
      </c>
      <c r="V183" s="239"/>
      <c r="W183" s="239" t="s">
        <v>7</v>
      </c>
      <c r="X183" s="239" t="s">
        <v>4</v>
      </c>
      <c r="Y183" s="239" t="s">
        <v>4</v>
      </c>
      <c r="Z183" s="241" t="str">
        <f>IF(OR(T183="yes",Y183&gt;'SDG outcome'!$C$27),"yes","no")</f>
        <v>yes</v>
      </c>
      <c r="AA183" s="243">
        <f t="shared" si="13"/>
        <v>0</v>
      </c>
      <c r="AB183" s="243" t="str">
        <f>IF(AND(Z183="no",AND(Y183&gt;='SDG outcome'!$B$16,Y183&lt;'SDG outcome'!$C$27)),Y183-'SDG outcome'!$B$16,"")</f>
        <v/>
      </c>
      <c r="AC183" s="239" t="s">
        <v>4</v>
      </c>
      <c r="AD183" s="239" t="s">
        <v>4</v>
      </c>
      <c r="AE183" s="239" t="s">
        <v>4</v>
      </c>
      <c r="AF183" s="239" t="s">
        <v>4</v>
      </c>
      <c r="AG183" s="239" t="s">
        <v>4</v>
      </c>
      <c r="AH183" s="239" t="s">
        <v>4</v>
      </c>
      <c r="AI183" s="239" t="s">
        <v>4</v>
      </c>
      <c r="AJ183" s="239" t="s">
        <v>29290</v>
      </c>
      <c r="AK183" s="239" t="s">
        <v>29291</v>
      </c>
      <c r="AL183" s="239" t="s">
        <v>4</v>
      </c>
      <c r="AM183" s="239" t="s">
        <v>4</v>
      </c>
      <c r="AN183" s="239" t="s">
        <v>31536</v>
      </c>
      <c r="AO183" s="239" t="s">
        <v>4</v>
      </c>
      <c r="AP183" s="239" t="s">
        <v>31537</v>
      </c>
      <c r="AQ183" s="239" t="s">
        <v>4</v>
      </c>
      <c r="AR183" s="239" t="s">
        <v>31538</v>
      </c>
      <c r="AS183" s="239" t="s">
        <v>4</v>
      </c>
      <c r="AT183" s="239" t="s">
        <v>7</v>
      </c>
      <c r="AU183" s="239" t="s">
        <v>4</v>
      </c>
      <c r="AV183" s="239" t="s">
        <v>4</v>
      </c>
      <c r="AW183" s="239" t="s">
        <v>31539</v>
      </c>
      <c r="AX183" s="239" t="s">
        <v>4</v>
      </c>
      <c r="AY183" s="239" t="s">
        <v>4</v>
      </c>
      <c r="AZ183" s="239" t="s">
        <v>2</v>
      </c>
      <c r="BA183" s="239" t="s">
        <v>4</v>
      </c>
      <c r="BB183" s="239" t="s">
        <v>4</v>
      </c>
      <c r="BC183" s="239" t="s">
        <v>31563</v>
      </c>
      <c r="BD183" s="239" t="s">
        <v>14</v>
      </c>
      <c r="BE183" s="239" t="s">
        <v>4</v>
      </c>
      <c r="BF183" s="239" t="s">
        <v>31541</v>
      </c>
      <c r="BG183" s="239" t="s">
        <v>4</v>
      </c>
      <c r="BH183" s="239" t="s">
        <v>31542</v>
      </c>
      <c r="BI183" s="239" t="s">
        <v>31737</v>
      </c>
      <c r="BJ183" s="239" t="s">
        <v>31566</v>
      </c>
      <c r="BK183" s="239">
        <v>1</v>
      </c>
      <c r="BL183" s="239">
        <v>30</v>
      </c>
      <c r="BM183" s="239" t="s">
        <v>7</v>
      </c>
      <c r="BN183" s="239" t="s">
        <v>6</v>
      </c>
      <c r="BO183" s="239" t="s">
        <v>4</v>
      </c>
      <c r="BP183" s="239" t="s">
        <v>31429</v>
      </c>
      <c r="BQ183" s="239">
        <v>2</v>
      </c>
      <c r="BR183" s="239">
        <v>30</v>
      </c>
      <c r="BS183" s="239" t="s">
        <v>31434</v>
      </c>
      <c r="BT183" s="239"/>
      <c r="BU183" s="239">
        <v>2</v>
      </c>
      <c r="BV183" s="239" cm="1">
        <f t="array" ref="BV183">_xlfn.IFS(BS183="Foreword vehicle",BU183*0,BS183="Human wastes",BU183*0,BS183="Jerrycans",BU183*$BV$228,BS183="Number of Basins",BU183*$BV$229,BS183="Number of Buckets",BU183*$CA$226,BS183="Number of Kgs",BU183*$CA$227,BS183="Number of spades",BU183*$CA$228,BS183="Number of wheelbarrows",BU183*$CA$229,BT183="Foreword vehicle",BU183*0,BT183="Human wastes",BU183*0,BT183="Jerrycans",BU183*$BV$228,BS183="","")</f>
        <v>32</v>
      </c>
      <c r="BW183" s="239">
        <f>IF(BV183="","",Table14[[#This Row],[Calculation: Conversion of metric to Kg manure feeding (Columns: BP, BQ, BR)]]*Table14[[#This Row],[Number of times used to feed biodigester]])</f>
        <v>64</v>
      </c>
      <c r="BX183" s="239" cm="1">
        <f t="array" ref="BX183">_xlfn.IFS(BP183="Number of times per day (1 to 3)",BW183/$BX$226,BP183="Number of times per week (1 to 6)",BW183/$BX$227,BP183="Number of times per Month (1 to 3)",BW183/$BX$228,BW183="","")</f>
        <v>9.1428571428571423</v>
      </c>
      <c r="BY183" s="239" t="s">
        <v>31552</v>
      </c>
      <c r="BZ183" s="239" t="s">
        <v>4</v>
      </c>
      <c r="CA183" s="239" t="s">
        <v>2</v>
      </c>
      <c r="CB183" s="239" t="s">
        <v>4</v>
      </c>
      <c r="CC183" s="239" t="s">
        <v>4</v>
      </c>
      <c r="CD183" s="239" t="s">
        <v>4</v>
      </c>
      <c r="CE183" s="239" t="s">
        <v>7</v>
      </c>
      <c r="CF183" s="239" t="s">
        <v>31738</v>
      </c>
      <c r="CG183" s="239" t="s">
        <v>4</v>
      </c>
      <c r="CH183" s="239" t="s">
        <v>144</v>
      </c>
      <c r="CI183" s="239">
        <v>0</v>
      </c>
      <c r="CJ183" s="239">
        <v>0</v>
      </c>
      <c r="CK183" s="239">
        <v>10</v>
      </c>
      <c r="CL183" s="239">
        <v>0</v>
      </c>
      <c r="CM183" s="239">
        <v>0</v>
      </c>
      <c r="CN183" s="239">
        <v>0</v>
      </c>
      <c r="CO183" s="239">
        <v>10</v>
      </c>
      <c r="CP183" s="239">
        <v>150</v>
      </c>
      <c r="CQ183" s="239">
        <v>2</v>
      </c>
      <c r="CR183" s="239">
        <v>8</v>
      </c>
      <c r="CS183" s="239">
        <f>CP183/'SDG outcome'!$C$9*CQ183*CR183</f>
        <v>6.9164265129682994</v>
      </c>
      <c r="CT183" s="239" t="s">
        <v>4</v>
      </c>
      <c r="CU183" s="239" t="s">
        <v>4</v>
      </c>
      <c r="CV183" s="239" t="s">
        <v>4</v>
      </c>
      <c r="CW183" s="239" t="s">
        <v>4</v>
      </c>
      <c r="CX183" s="239" t="s">
        <v>4</v>
      </c>
      <c r="CY183" s="239" t="s">
        <v>4</v>
      </c>
      <c r="CZ183" s="239" t="s">
        <v>4</v>
      </c>
      <c r="DA183" s="239" t="s">
        <v>4</v>
      </c>
      <c r="DB183" s="239" t="s">
        <v>4</v>
      </c>
      <c r="DC183" s="239">
        <v>100</v>
      </c>
      <c r="DD183" s="239">
        <v>0</v>
      </c>
      <c r="DE183" s="239" t="s">
        <v>4</v>
      </c>
      <c r="DF183" s="239" t="s">
        <v>4</v>
      </c>
      <c r="DG183" s="239" t="s">
        <v>4</v>
      </c>
      <c r="DH183" s="239" t="s">
        <v>4</v>
      </c>
      <c r="DI183" s="239" t="s">
        <v>4</v>
      </c>
      <c r="DJ183" s="239" t="s">
        <v>4</v>
      </c>
      <c r="DK183" s="239" t="s">
        <v>4</v>
      </c>
      <c r="DL183" s="239" t="s">
        <v>4</v>
      </c>
      <c r="DM183" s="239" t="s">
        <v>4</v>
      </c>
      <c r="DN183" s="239" t="s">
        <v>4</v>
      </c>
      <c r="DO183" s="239">
        <v>3</v>
      </c>
      <c r="DP183" s="239" t="s">
        <v>2</v>
      </c>
      <c r="DQ183" s="239" t="s">
        <v>29292</v>
      </c>
      <c r="DR183" s="239" t="s">
        <v>4</v>
      </c>
      <c r="DS183" s="239" t="s">
        <v>29294</v>
      </c>
      <c r="DT183" s="240" t="s">
        <v>4</v>
      </c>
      <c r="DU183" s="239" t="s">
        <v>29293</v>
      </c>
      <c r="DV183" s="240">
        <v>0</v>
      </c>
      <c r="DW183" s="239" t="s">
        <v>29295</v>
      </c>
      <c r="DX183" s="239">
        <v>100</v>
      </c>
      <c r="DY183" s="239" t="s">
        <v>29296</v>
      </c>
      <c r="DZ183" s="239">
        <v>100</v>
      </c>
      <c r="EA183" s="239"/>
      <c r="EB183" s="239"/>
      <c r="EC183" s="239"/>
      <c r="ED183" s="239"/>
      <c r="EE183" s="320">
        <f>Table14[[#This Row],[% Fertilizer]]*$DX183/10000</f>
        <v>1</v>
      </c>
      <c r="EF183" s="320">
        <f>Table14[[#This Row],[% bioslurry used as Insecticide/Pesticide]]*$DX183/10000</f>
        <v>0</v>
      </c>
      <c r="EG183" s="320">
        <f>Table14[[#This Row],[% of Bioslurry used as animal feed]]*$DX183/10000</f>
        <v>0</v>
      </c>
      <c r="EH183" s="320">
        <f>Table14[[#This Row],[% of Bioslurry sold]]*$DX183/10000</f>
        <v>0</v>
      </c>
      <c r="EI183" s="320">
        <f>Table14[[#This Row],[% used other way(if used directly)]]*$DX183/10000</f>
        <v>0</v>
      </c>
      <c r="EJ183" s="239"/>
      <c r="EK183" s="239"/>
      <c r="EL183" s="239"/>
      <c r="EM183" s="239"/>
      <c r="EN183" s="239"/>
      <c r="EO183" s="239">
        <f>(Table14[[#This Row],[% Uncovered lagoon greater than 1 meter]]+Table14[[#This Row],[Uncovered lagoon (black watery mass) &lt;1 meter]]+Table14[[#This Row],[% Liquid slurry (brown porridge type)]])*Table14[[#This Row],[% Store it first]]/100</f>
        <v>0</v>
      </c>
      <c r="EP183" s="239"/>
      <c r="EQ183" s="239"/>
      <c r="ER183" s="239"/>
      <c r="ES183" s="239"/>
      <c r="ET183" s="239">
        <f>(Table14[[#This Row],[% Solid storage]]+Table14[[#This Row],[% Sun drying]]+Table14[[#This Row],[% Composting with a roof]]+Table14[[#This Row],[% Composting without a roof]])*Table14[[#This Row],[% Store it first]]/100</f>
        <v>0</v>
      </c>
      <c r="EU183" s="239"/>
      <c r="EV183" s="320">
        <f t="shared" si="20"/>
        <v>0</v>
      </c>
      <c r="EW183" s="320">
        <f t="shared" si="21"/>
        <v>0</v>
      </c>
      <c r="EX183" s="320">
        <f t="shared" si="22"/>
        <v>0</v>
      </c>
      <c r="EY183" s="320">
        <f t="shared" si="23"/>
        <v>0</v>
      </c>
      <c r="EZ183" s="320">
        <f t="shared" si="24"/>
        <v>0</v>
      </c>
      <c r="FA183" s="239"/>
      <c r="FB183" s="239"/>
      <c r="FC183" s="239"/>
      <c r="FD183" s="239">
        <f>Table14[[#This Row],[% I donâ€™t use it / discarded]]+Table14[[#This Row],[% Other (specify)(If you use bioslurry directly)]]+Table14[[#This Row],[% Store it first]]+Table14[[#This Row],[% Use directly for various purposes]]</f>
        <v>100</v>
      </c>
      <c r="FE183" s="239" t="s">
        <v>4</v>
      </c>
      <c r="FF183" s="239"/>
      <c r="FG183" s="239"/>
      <c r="FH183" s="239"/>
      <c r="FI183" s="239"/>
      <c r="FJ183" s="239"/>
      <c r="FK183" s="239">
        <v>1.5</v>
      </c>
      <c r="FL183" s="239" t="s">
        <v>7</v>
      </c>
      <c r="FM183" s="239">
        <v>25</v>
      </c>
      <c r="FN183" s="239">
        <f>FK183*FM183/100</f>
        <v>0.375</v>
      </c>
      <c r="FO183" s="239" t="s">
        <v>30326</v>
      </c>
      <c r="FP183" s="239" t="s">
        <v>29298</v>
      </c>
      <c r="FQ183" s="239">
        <v>120</v>
      </c>
      <c r="FR183" s="239" t="s">
        <v>7</v>
      </c>
      <c r="FS183" s="239" t="s">
        <v>29393</v>
      </c>
      <c r="FT183" s="239" t="s">
        <v>4</v>
      </c>
      <c r="FU183" s="239" t="s">
        <v>2</v>
      </c>
      <c r="FV183" s="239" t="s">
        <v>4</v>
      </c>
      <c r="FW183" s="239" t="s">
        <v>4</v>
      </c>
      <c r="FX183" s="239" t="s">
        <v>4</v>
      </c>
      <c r="FY183" s="239" t="s">
        <v>4</v>
      </c>
      <c r="FZ183" s="239" t="s">
        <v>4</v>
      </c>
      <c r="GA183" s="239" t="s">
        <v>4</v>
      </c>
      <c r="GB183" s="240" t="s">
        <v>4</v>
      </c>
      <c r="GC183" s="239" t="s">
        <v>4</v>
      </c>
      <c r="GD183" s="239" t="s">
        <v>7</v>
      </c>
      <c r="GE183" s="239" t="s">
        <v>29301</v>
      </c>
      <c r="GF183" s="239" t="s">
        <v>4</v>
      </c>
      <c r="GG183" s="239" t="s">
        <v>7</v>
      </c>
      <c r="GH183" s="239" t="s">
        <v>2</v>
      </c>
      <c r="GI183" s="239" t="s">
        <v>4</v>
      </c>
      <c r="GJ183" s="239" t="s">
        <v>4</v>
      </c>
      <c r="GK183" s="239" t="s">
        <v>4</v>
      </c>
      <c r="GL183" s="239">
        <v>0</v>
      </c>
      <c r="GM183" s="239"/>
      <c r="GN183" s="239" t="s">
        <v>4</v>
      </c>
      <c r="GO183" s="239" t="s">
        <v>4</v>
      </c>
      <c r="GP183" s="239" t="s">
        <v>4</v>
      </c>
      <c r="GQ183" s="239" t="s">
        <v>4</v>
      </c>
      <c r="GR183" s="239" t="s">
        <v>4</v>
      </c>
      <c r="GS183" s="239" t="s">
        <v>4</v>
      </c>
      <c r="GT183" s="239" t="s">
        <v>4</v>
      </c>
      <c r="GU183" s="239" t="s">
        <v>4</v>
      </c>
      <c r="GV183" s="239" t="s">
        <v>4</v>
      </c>
      <c r="GW183" s="239" t="s">
        <v>29304</v>
      </c>
      <c r="GX183" s="239" t="s">
        <v>29305</v>
      </c>
      <c r="GY183" s="239" t="s">
        <v>29306</v>
      </c>
      <c r="GZ183" s="239" t="s">
        <v>4</v>
      </c>
      <c r="HA183" s="239" t="s">
        <v>4</v>
      </c>
      <c r="HB183" s="239" t="s">
        <v>4</v>
      </c>
      <c r="HC183" s="239" t="s">
        <v>4</v>
      </c>
      <c r="HD183" s="239" t="s">
        <v>4</v>
      </c>
      <c r="HE183" s="239" t="s">
        <v>4</v>
      </c>
      <c r="HF183" s="239" t="s">
        <v>4</v>
      </c>
      <c r="HG183" s="239" t="s">
        <v>4</v>
      </c>
      <c r="HH183" s="239" t="s">
        <v>29354</v>
      </c>
      <c r="HI183" s="239" t="s">
        <v>4</v>
      </c>
      <c r="HJ183" s="240">
        <v>0</v>
      </c>
      <c r="HK183" s="239" t="s">
        <v>7</v>
      </c>
      <c r="HL183" s="239" t="s">
        <v>29309</v>
      </c>
      <c r="HM183" s="239" t="s">
        <v>4</v>
      </c>
      <c r="HN183" s="239" t="s">
        <v>4</v>
      </c>
      <c r="HO183" s="239" t="s">
        <v>4</v>
      </c>
      <c r="HP183" s="239" t="s">
        <v>4</v>
      </c>
      <c r="HQ183" s="239" t="s">
        <v>4</v>
      </c>
      <c r="HR183" s="239" t="s">
        <v>4</v>
      </c>
      <c r="HS183" s="239" t="s">
        <v>4</v>
      </c>
      <c r="HT183" s="239" t="s">
        <v>4</v>
      </c>
      <c r="HU183" s="239" t="s">
        <v>2</v>
      </c>
      <c r="HV183" s="239" t="s">
        <v>4</v>
      </c>
      <c r="HW183" s="239" t="s">
        <v>4</v>
      </c>
      <c r="HX183" s="239" t="s">
        <v>4</v>
      </c>
      <c r="HY183" s="239" t="s">
        <v>4</v>
      </c>
      <c r="HZ183" s="239" t="s">
        <v>30327</v>
      </c>
      <c r="IA183" s="239" t="s">
        <v>7</v>
      </c>
      <c r="IB183" s="239" t="s">
        <v>30328</v>
      </c>
      <c r="IC183" s="239" t="s">
        <v>30329</v>
      </c>
      <c r="ID183" s="239" t="s">
        <v>30330</v>
      </c>
      <c r="IE183" s="239" t="s">
        <v>30331</v>
      </c>
      <c r="IF183" s="239" t="s">
        <v>30332</v>
      </c>
      <c r="IG183" s="239" t="s">
        <v>9</v>
      </c>
      <c r="IH183" s="239" t="s">
        <v>30323</v>
      </c>
    </row>
    <row r="184" spans="1:242" s="1" customFormat="1" ht="36.75" customHeight="1" x14ac:dyDescent="0.2">
      <c r="A184" s="239">
        <v>97</v>
      </c>
      <c r="B184" s="239" t="s">
        <v>5398</v>
      </c>
      <c r="C184" s="239" t="s">
        <v>30361</v>
      </c>
      <c r="D184" s="239" t="s">
        <v>30309</v>
      </c>
      <c r="E184" s="239" t="s">
        <v>7</v>
      </c>
      <c r="F184" s="239" t="s">
        <v>30362</v>
      </c>
      <c r="G184" s="239">
        <v>1165.2</v>
      </c>
      <c r="H184" s="239">
        <v>4.9000000000000004</v>
      </c>
      <c r="I184" s="239" t="s">
        <v>29288</v>
      </c>
      <c r="J184" s="239" t="s">
        <v>4</v>
      </c>
      <c r="K184" s="239" t="s">
        <v>30363</v>
      </c>
      <c r="L184" s="239">
        <v>706395722</v>
      </c>
      <c r="M184" s="239" t="s">
        <v>3</v>
      </c>
      <c r="N184" s="239" t="s">
        <v>31598</v>
      </c>
      <c r="O184" s="239" t="s">
        <v>4</v>
      </c>
      <c r="P184" s="239">
        <v>9</v>
      </c>
      <c r="Q184" s="239" t="s">
        <v>7</v>
      </c>
      <c r="R184" s="239" t="s">
        <v>31549</v>
      </c>
      <c r="S184" s="239" t="s">
        <v>4</v>
      </c>
      <c r="T184" s="239" t="s">
        <v>7</v>
      </c>
      <c r="U184" s="239" t="s">
        <v>2</v>
      </c>
      <c r="V184" s="239">
        <v>14</v>
      </c>
      <c r="W184" s="239" t="s">
        <v>7</v>
      </c>
      <c r="X184" s="239" t="s">
        <v>4</v>
      </c>
      <c r="Y184" s="239" t="s">
        <v>4</v>
      </c>
      <c r="Z184" s="241" t="str">
        <f>IF(OR(T184="yes",Y184&gt;'SDG outcome'!$C$27),"yes","no")</f>
        <v>yes</v>
      </c>
      <c r="AA184" s="243">
        <f t="shared" si="13"/>
        <v>14</v>
      </c>
      <c r="AB184" s="243" t="str">
        <f>IF(AND(Z184="no",AND(Y184&gt;='SDG outcome'!$B$16,Y184&lt;'SDG outcome'!$C$27)),Y184-'SDG outcome'!$B$16,"")</f>
        <v/>
      </c>
      <c r="AC184" s="239" t="s">
        <v>4</v>
      </c>
      <c r="AD184" s="239" t="s">
        <v>4</v>
      </c>
      <c r="AE184" s="239" t="s">
        <v>4</v>
      </c>
      <c r="AF184" s="239" t="s">
        <v>4</v>
      </c>
      <c r="AG184" s="239" t="s">
        <v>4</v>
      </c>
      <c r="AH184" s="239" t="s">
        <v>4</v>
      </c>
      <c r="AI184" s="239" t="s">
        <v>4</v>
      </c>
      <c r="AJ184" s="239" t="s">
        <v>29290</v>
      </c>
      <c r="AK184" s="239" t="s">
        <v>29291</v>
      </c>
      <c r="AL184" s="239" t="s">
        <v>4</v>
      </c>
      <c r="AM184" s="239" t="s">
        <v>4</v>
      </c>
      <c r="AN184" s="239" t="s">
        <v>31536</v>
      </c>
      <c r="AO184" s="239" t="s">
        <v>4</v>
      </c>
      <c r="AP184" s="239" t="s">
        <v>31537</v>
      </c>
      <c r="AQ184" s="239" t="s">
        <v>4</v>
      </c>
      <c r="AR184" s="239" t="s">
        <v>31538</v>
      </c>
      <c r="AS184" s="239" t="s">
        <v>4</v>
      </c>
      <c r="AT184" s="239" t="s">
        <v>7</v>
      </c>
      <c r="AU184" s="239" t="s">
        <v>4</v>
      </c>
      <c r="AV184" s="239" t="s">
        <v>4</v>
      </c>
      <c r="AW184" s="239" t="s">
        <v>31550</v>
      </c>
      <c r="AX184" s="239" t="s">
        <v>4</v>
      </c>
      <c r="AY184" s="239" t="s">
        <v>4</v>
      </c>
      <c r="AZ184" s="239" t="s">
        <v>2</v>
      </c>
      <c r="BA184" s="239" t="s">
        <v>4</v>
      </c>
      <c r="BB184" s="239" t="s">
        <v>4</v>
      </c>
      <c r="BC184" s="239" t="s">
        <v>4</v>
      </c>
      <c r="BD184" s="239" t="s">
        <v>4</v>
      </c>
      <c r="BE184" s="239" t="s">
        <v>4</v>
      </c>
      <c r="BF184" s="239" t="s">
        <v>4</v>
      </c>
      <c r="BG184" s="239" t="s">
        <v>4</v>
      </c>
      <c r="BH184" s="239" t="s">
        <v>4</v>
      </c>
      <c r="BI184" s="239" t="s">
        <v>4</v>
      </c>
      <c r="BJ184" s="239" t="s">
        <v>4</v>
      </c>
      <c r="BK184" s="239" t="s">
        <v>4</v>
      </c>
      <c r="BL184" s="239" t="s">
        <v>4</v>
      </c>
      <c r="BM184" s="239" t="s">
        <v>7</v>
      </c>
      <c r="BN184" s="239" t="s">
        <v>6</v>
      </c>
      <c r="BO184" s="239" t="s">
        <v>4</v>
      </c>
      <c r="BP184" s="239" t="s">
        <v>31425</v>
      </c>
      <c r="BQ184" s="239">
        <v>1</v>
      </c>
      <c r="BR184" s="239">
        <v>30</v>
      </c>
      <c r="BS184" s="239" t="s">
        <v>31434</v>
      </c>
      <c r="BT184" s="239"/>
      <c r="BU184" s="239">
        <v>1</v>
      </c>
      <c r="BV184" s="239" cm="1">
        <f t="array" ref="BV184">_xlfn.IFS(BS184="Foreword vehicle",BU184*0,BS184="Human wastes",BU184*0,BS184="Jerrycans",BU184*$BV$228,BS184="Number of Basins",BU184*$BV$229,BS184="Number of Buckets",BU184*$CA$226,BS184="Number of Kgs",BU184*$CA$227,BS184="Number of spades",BU184*$CA$228,BS184="Number of wheelbarrows",BU184*$CA$229,BT184="Foreword vehicle",BU184*0,BT184="Human wastes",BU184*0,BT184="Jerrycans",BU184*$BV$228,BS184="","")</f>
        <v>16</v>
      </c>
      <c r="BW184" s="239">
        <f>IF(BV184="","",Table14[[#This Row],[Calculation: Conversion of metric to Kg manure feeding (Columns: BP, BQ, BR)]]*Table14[[#This Row],[Number of times used to feed biodigester]])</f>
        <v>16</v>
      </c>
      <c r="BX184" s="239" cm="1">
        <f t="array" ref="BX184">_xlfn.IFS(BP184="Number of times per day (1 to 3)",BW184/$BX$226,BP184="Number of times per week (1 to 6)",BW184/$BX$227,BP184="Number of times per Month (1 to 3)",BW184/$BX$228,BW184="","")</f>
        <v>16</v>
      </c>
      <c r="BY184" s="239" t="s">
        <v>31650</v>
      </c>
      <c r="BZ184" s="239" t="s">
        <v>4</v>
      </c>
      <c r="CA184" s="239" t="s">
        <v>2</v>
      </c>
      <c r="CB184" s="239" t="s">
        <v>4</v>
      </c>
      <c r="CC184" s="239" t="s">
        <v>4</v>
      </c>
      <c r="CD184" s="239" t="s">
        <v>4</v>
      </c>
      <c r="CE184" s="239" t="s">
        <v>7</v>
      </c>
      <c r="CF184" s="239" t="s">
        <v>31639</v>
      </c>
      <c r="CG184" s="239" t="s">
        <v>4</v>
      </c>
      <c r="CH184" s="239" t="s">
        <v>31698</v>
      </c>
      <c r="CI184" s="239">
        <v>0</v>
      </c>
      <c r="CJ184" s="239">
        <v>0</v>
      </c>
      <c r="CK184" s="239">
        <v>0</v>
      </c>
      <c r="CL184" s="239">
        <v>2</v>
      </c>
      <c r="CM184" s="239">
        <v>0</v>
      </c>
      <c r="CN184" s="239">
        <v>0</v>
      </c>
      <c r="CO184" s="239">
        <v>0</v>
      </c>
      <c r="CP184" s="239">
        <v>0</v>
      </c>
      <c r="CQ184" s="239">
        <v>0</v>
      </c>
      <c r="CR184" s="239">
        <v>0</v>
      </c>
      <c r="CS184" s="239">
        <f>CP184/'SDG outcome'!$C$9*CQ184*CR184</f>
        <v>0</v>
      </c>
      <c r="CT184" s="239" t="s">
        <v>4</v>
      </c>
      <c r="CU184" s="239" t="s">
        <v>4</v>
      </c>
      <c r="CV184" s="239" t="s">
        <v>4</v>
      </c>
      <c r="CW184" s="239" t="s">
        <v>4</v>
      </c>
      <c r="CX184" s="239" t="s">
        <v>4</v>
      </c>
      <c r="CY184" s="239" t="s">
        <v>4</v>
      </c>
      <c r="CZ184" s="239" t="s">
        <v>4</v>
      </c>
      <c r="DA184" s="239" t="s">
        <v>4</v>
      </c>
      <c r="DB184" s="239" t="s">
        <v>4</v>
      </c>
      <c r="DC184" s="239" t="s">
        <v>4</v>
      </c>
      <c r="DD184" s="239" t="s">
        <v>4</v>
      </c>
      <c r="DE184" s="239" t="s">
        <v>4</v>
      </c>
      <c r="DF184" s="239" t="s">
        <v>4</v>
      </c>
      <c r="DG184" s="239" t="s">
        <v>4</v>
      </c>
      <c r="DH184" s="239" t="s">
        <v>4</v>
      </c>
      <c r="DI184" s="239" t="s">
        <v>4</v>
      </c>
      <c r="DJ184" s="239" t="s">
        <v>4</v>
      </c>
      <c r="DK184" s="239" t="s">
        <v>4</v>
      </c>
      <c r="DL184" s="239" t="s">
        <v>4</v>
      </c>
      <c r="DM184" s="239" t="s">
        <v>4</v>
      </c>
      <c r="DN184" s="239" t="s">
        <v>4</v>
      </c>
      <c r="DO184" s="239">
        <v>6.5</v>
      </c>
      <c r="DP184" s="239" t="s">
        <v>2</v>
      </c>
      <c r="DQ184" s="239" t="s">
        <v>29292</v>
      </c>
      <c r="DR184" s="239" t="s">
        <v>4</v>
      </c>
      <c r="DS184" s="239" t="s">
        <v>29293</v>
      </c>
      <c r="DT184" s="240">
        <v>50000</v>
      </c>
      <c r="DU184" s="239" t="s">
        <v>29294</v>
      </c>
      <c r="DV184" s="240" t="s">
        <v>4</v>
      </c>
      <c r="DW184" s="239" t="s">
        <v>29295</v>
      </c>
      <c r="DX184" s="239">
        <v>100</v>
      </c>
      <c r="DY184" s="239" t="s">
        <v>29296</v>
      </c>
      <c r="DZ184" s="239">
        <v>100</v>
      </c>
      <c r="EA184" s="239"/>
      <c r="EB184" s="239"/>
      <c r="EC184" s="239"/>
      <c r="ED184" s="239"/>
      <c r="EE184" s="320">
        <f>Table14[[#This Row],[% Fertilizer]]*$DX184/10000</f>
        <v>1</v>
      </c>
      <c r="EF184" s="320">
        <f>Table14[[#This Row],[% bioslurry used as Insecticide/Pesticide]]*$DX184/10000</f>
        <v>0</v>
      </c>
      <c r="EG184" s="320">
        <f>Table14[[#This Row],[% of Bioslurry used as animal feed]]*$DX184/10000</f>
        <v>0</v>
      </c>
      <c r="EH184" s="320">
        <f>Table14[[#This Row],[% of Bioslurry sold]]*$DX184/10000</f>
        <v>0</v>
      </c>
      <c r="EI184" s="320">
        <f>Table14[[#This Row],[% used other way(if used directly)]]*$DX184/10000</f>
        <v>0</v>
      </c>
      <c r="EJ184" s="239"/>
      <c r="EK184" s="239"/>
      <c r="EL184" s="239"/>
      <c r="EM184" s="239"/>
      <c r="EN184" s="239"/>
      <c r="EO184" s="239">
        <f>(Table14[[#This Row],[% Uncovered lagoon greater than 1 meter]]+Table14[[#This Row],[Uncovered lagoon (black watery mass) &lt;1 meter]]+Table14[[#This Row],[% Liquid slurry (brown porridge type)]])*Table14[[#This Row],[% Store it first]]/100</f>
        <v>0</v>
      </c>
      <c r="EP184" s="239"/>
      <c r="EQ184" s="239"/>
      <c r="ER184" s="239"/>
      <c r="ES184" s="239"/>
      <c r="ET184" s="239">
        <f>(Table14[[#This Row],[% Solid storage]]+Table14[[#This Row],[% Sun drying]]+Table14[[#This Row],[% Composting with a roof]]+Table14[[#This Row],[% Composting without a roof]])*Table14[[#This Row],[% Store it first]]/100</f>
        <v>0</v>
      </c>
      <c r="EU184" s="239"/>
      <c r="EV184" s="320">
        <f t="shared" si="20"/>
        <v>0</v>
      </c>
      <c r="EW184" s="320">
        <f t="shared" si="21"/>
        <v>0</v>
      </c>
      <c r="EX184" s="320">
        <f t="shared" si="22"/>
        <v>0</v>
      </c>
      <c r="EY184" s="320">
        <f t="shared" si="23"/>
        <v>0</v>
      </c>
      <c r="EZ184" s="320">
        <f t="shared" si="24"/>
        <v>0</v>
      </c>
      <c r="FA184" s="239"/>
      <c r="FB184" s="239"/>
      <c r="FC184" s="239"/>
      <c r="FD184" s="239">
        <f>Table14[[#This Row],[% I donâ€™t use it / discarded]]+Table14[[#This Row],[% Other (specify)(If you use bioslurry directly)]]+Table14[[#This Row],[% Store it first]]+Table14[[#This Row],[% Use directly for various purposes]]</f>
        <v>100</v>
      </c>
      <c r="FE184" s="239" t="s">
        <v>4</v>
      </c>
      <c r="FF184" s="239"/>
      <c r="FG184" s="239"/>
      <c r="FH184" s="239"/>
      <c r="FI184" s="239"/>
      <c r="FJ184" s="239"/>
      <c r="FK184" s="239">
        <v>2.5</v>
      </c>
      <c r="FL184" s="239" t="s">
        <v>7</v>
      </c>
      <c r="FM184" s="239">
        <v>100</v>
      </c>
      <c r="FN184" s="239">
        <f>FK184*FM184/100</f>
        <v>2.5</v>
      </c>
      <c r="FO184" s="239" t="s">
        <v>30364</v>
      </c>
      <c r="FP184" s="239" t="s">
        <v>29298</v>
      </c>
      <c r="FQ184" s="239">
        <v>98</v>
      </c>
      <c r="FR184" s="239" t="s">
        <v>7</v>
      </c>
      <c r="FS184" s="239" t="s">
        <v>29492</v>
      </c>
      <c r="FT184" s="239" t="s">
        <v>4</v>
      </c>
      <c r="FU184" s="239" t="s">
        <v>2</v>
      </c>
      <c r="FV184" s="239" t="s">
        <v>4</v>
      </c>
      <c r="FW184" s="239" t="s">
        <v>4</v>
      </c>
      <c r="FX184" s="239" t="s">
        <v>4</v>
      </c>
      <c r="FY184" s="239" t="s">
        <v>4</v>
      </c>
      <c r="FZ184" s="239" t="s">
        <v>29292</v>
      </c>
      <c r="GA184" s="239" t="s">
        <v>29294</v>
      </c>
      <c r="GB184" s="240" t="s">
        <v>4</v>
      </c>
      <c r="GC184" s="239" t="s">
        <v>4</v>
      </c>
      <c r="GD184" s="239" t="s">
        <v>2</v>
      </c>
      <c r="GE184" s="239" t="s">
        <v>4</v>
      </c>
      <c r="GF184" s="239" t="s">
        <v>4</v>
      </c>
      <c r="GG184" s="239" t="s">
        <v>7</v>
      </c>
      <c r="GH184" s="239" t="s">
        <v>2</v>
      </c>
      <c r="GI184" s="239" t="s">
        <v>4</v>
      </c>
      <c r="GJ184" s="239" t="s">
        <v>4</v>
      </c>
      <c r="GK184" s="239" t="s">
        <v>29304</v>
      </c>
      <c r="GL184" s="239">
        <v>3</v>
      </c>
      <c r="GM184" s="239" t="s">
        <v>30052</v>
      </c>
      <c r="GN184" s="239" t="s">
        <v>29306</v>
      </c>
      <c r="GO184" s="239" t="s">
        <v>4</v>
      </c>
      <c r="GP184" s="239" t="s">
        <v>29397</v>
      </c>
      <c r="GQ184" s="239" t="s">
        <v>4</v>
      </c>
      <c r="GR184" s="239" t="s">
        <v>4</v>
      </c>
      <c r="GS184" s="239" t="s">
        <v>4</v>
      </c>
      <c r="GT184" s="239" t="s">
        <v>4</v>
      </c>
      <c r="GU184" s="239" t="s">
        <v>4</v>
      </c>
      <c r="GV184" s="239" t="s">
        <v>4</v>
      </c>
      <c r="GW184" s="239" t="s">
        <v>4</v>
      </c>
      <c r="GX184" s="239" t="s">
        <v>4</v>
      </c>
      <c r="GY184" s="239" t="s">
        <v>4</v>
      </c>
      <c r="GZ184" s="239" t="s">
        <v>4</v>
      </c>
      <c r="HA184" s="239" t="s">
        <v>4</v>
      </c>
      <c r="HB184" s="239" t="s">
        <v>4</v>
      </c>
      <c r="HC184" s="239" t="s">
        <v>4</v>
      </c>
      <c r="HD184" s="239" t="s">
        <v>4</v>
      </c>
      <c r="HE184" s="239" t="s">
        <v>4</v>
      </c>
      <c r="HF184" s="239" t="s">
        <v>4</v>
      </c>
      <c r="HG184" s="239" t="s">
        <v>4</v>
      </c>
      <c r="HH184" s="239" t="s">
        <v>29354</v>
      </c>
      <c r="HI184" s="239" t="s">
        <v>4</v>
      </c>
      <c r="HJ184" s="240">
        <v>0</v>
      </c>
      <c r="HK184" s="239" t="s">
        <v>7</v>
      </c>
      <c r="HL184" s="239" t="s">
        <v>29837</v>
      </c>
      <c r="HM184" s="239" t="s">
        <v>4</v>
      </c>
      <c r="HN184" s="239" t="s">
        <v>4</v>
      </c>
      <c r="HO184" s="239" t="s">
        <v>4</v>
      </c>
      <c r="HP184" s="239" t="s">
        <v>4</v>
      </c>
      <c r="HQ184" s="239" t="s">
        <v>4</v>
      </c>
      <c r="HR184" s="239" t="s">
        <v>4</v>
      </c>
      <c r="HS184" s="239" t="s">
        <v>4</v>
      </c>
      <c r="HT184" s="239" t="s">
        <v>4</v>
      </c>
      <c r="HU184" s="239" t="s">
        <v>2</v>
      </c>
      <c r="HV184" s="239" t="s">
        <v>4</v>
      </c>
      <c r="HW184" s="239" t="s">
        <v>4</v>
      </c>
      <c r="HX184" s="239" t="s">
        <v>4</v>
      </c>
      <c r="HY184" s="239" t="s">
        <v>4</v>
      </c>
      <c r="HZ184" s="239" t="s">
        <v>30365</v>
      </c>
      <c r="IA184" s="239" t="s">
        <v>2</v>
      </c>
      <c r="IB184" s="239" t="s">
        <v>4</v>
      </c>
      <c r="IC184" s="239" t="s">
        <v>30366</v>
      </c>
      <c r="ID184" s="239" t="s">
        <v>30367</v>
      </c>
      <c r="IE184" s="239" t="s">
        <v>30368</v>
      </c>
      <c r="IF184" s="239" t="s">
        <v>30369</v>
      </c>
      <c r="IG184" s="239" t="s">
        <v>30370</v>
      </c>
      <c r="IH184" s="239" t="s">
        <v>30361</v>
      </c>
    </row>
    <row r="185" spans="1:242" s="1" customFormat="1" ht="36.75" customHeight="1" x14ac:dyDescent="0.2">
      <c r="A185" s="239">
        <v>164</v>
      </c>
      <c r="B185" s="239" t="s">
        <v>779</v>
      </c>
      <c r="C185" s="239" t="s">
        <v>31041</v>
      </c>
      <c r="D185" s="239" t="s">
        <v>34</v>
      </c>
      <c r="E185" s="239" t="s">
        <v>7</v>
      </c>
      <c r="F185" s="239" t="s">
        <v>31042</v>
      </c>
      <c r="G185" s="239">
        <v>1175.3</v>
      </c>
      <c r="H185" s="239">
        <v>4.3</v>
      </c>
      <c r="I185" s="239" t="s">
        <v>29319</v>
      </c>
      <c r="J185" s="239" t="s">
        <v>4</v>
      </c>
      <c r="K185" s="239" t="s">
        <v>31043</v>
      </c>
      <c r="L185" s="239">
        <v>702404274</v>
      </c>
      <c r="M185" s="239" t="s">
        <v>5</v>
      </c>
      <c r="N185" s="239" t="s">
        <v>31438</v>
      </c>
      <c r="O185" s="239">
        <v>53</v>
      </c>
      <c r="P185" s="239">
        <v>3</v>
      </c>
      <c r="Q185" s="239" t="s">
        <v>7</v>
      </c>
      <c r="R185" s="239" t="s">
        <v>31549</v>
      </c>
      <c r="S185" s="239" t="s">
        <v>4</v>
      </c>
      <c r="T185" s="239" t="s">
        <v>7</v>
      </c>
      <c r="U185" s="239" t="s">
        <v>2</v>
      </c>
      <c r="V185" s="239">
        <v>7</v>
      </c>
      <c r="W185" s="239" t="s">
        <v>7</v>
      </c>
      <c r="X185" s="239" t="s">
        <v>4</v>
      </c>
      <c r="Y185" s="239" t="s">
        <v>4</v>
      </c>
      <c r="Z185" s="241" t="str">
        <f>IF(OR(T185="yes",Y185&gt;'SDG outcome'!$C$27),"yes","no")</f>
        <v>yes</v>
      </c>
      <c r="AA185" s="243">
        <f t="shared" si="13"/>
        <v>7</v>
      </c>
      <c r="AB185" s="243" t="str">
        <f>IF(AND(Z185="no",AND(Y185&gt;='SDG outcome'!$B$16,Y185&lt;'SDG outcome'!$C$27)),Y185-'SDG outcome'!$B$16,"")</f>
        <v/>
      </c>
      <c r="AC185" s="239" t="s">
        <v>4</v>
      </c>
      <c r="AD185" s="239" t="s">
        <v>4</v>
      </c>
      <c r="AE185" s="239" t="s">
        <v>4</v>
      </c>
      <c r="AF185" s="239" t="s">
        <v>4</v>
      </c>
      <c r="AG185" s="239" t="s">
        <v>4</v>
      </c>
      <c r="AH185" s="239" t="s">
        <v>4</v>
      </c>
      <c r="AI185" s="239" t="s">
        <v>4</v>
      </c>
      <c r="AJ185" s="239" t="s">
        <v>29290</v>
      </c>
      <c r="AK185" s="239" t="s">
        <v>29694</v>
      </c>
      <c r="AL185" s="239" t="s">
        <v>4</v>
      </c>
      <c r="AM185" s="239" t="s">
        <v>4</v>
      </c>
      <c r="AN185" s="239" t="s">
        <v>31599</v>
      </c>
      <c r="AO185" s="239" t="s">
        <v>4</v>
      </c>
      <c r="AP185" s="239" t="s">
        <v>31537</v>
      </c>
      <c r="AQ185" s="239" t="s">
        <v>4</v>
      </c>
      <c r="AR185" s="239" t="s">
        <v>31538</v>
      </c>
      <c r="AS185" s="239" t="s">
        <v>4</v>
      </c>
      <c r="AT185" s="239" t="s">
        <v>7</v>
      </c>
      <c r="AU185" s="239" t="s">
        <v>4</v>
      </c>
      <c r="AV185" s="239" t="s">
        <v>4</v>
      </c>
      <c r="AW185" s="239" t="s">
        <v>31550</v>
      </c>
      <c r="AX185" s="239" t="s">
        <v>4</v>
      </c>
      <c r="AY185" s="239" t="s">
        <v>4</v>
      </c>
      <c r="AZ185" s="239" t="s">
        <v>7</v>
      </c>
      <c r="BA185" s="239" t="s">
        <v>76</v>
      </c>
      <c r="BB185" s="239" t="s">
        <v>4</v>
      </c>
      <c r="BC185" s="239" t="s">
        <v>4</v>
      </c>
      <c r="BD185" s="239" t="s">
        <v>4</v>
      </c>
      <c r="BE185" s="239" t="s">
        <v>4</v>
      </c>
      <c r="BF185" s="239" t="s">
        <v>4</v>
      </c>
      <c r="BG185" s="239" t="s">
        <v>4</v>
      </c>
      <c r="BH185" s="239" t="s">
        <v>4</v>
      </c>
      <c r="BI185" s="239" t="s">
        <v>4</v>
      </c>
      <c r="BJ185" s="239" t="s">
        <v>4</v>
      </c>
      <c r="BK185" s="239" t="s">
        <v>4</v>
      </c>
      <c r="BL185" s="239" t="s">
        <v>4</v>
      </c>
      <c r="BM185" s="239" t="s">
        <v>7</v>
      </c>
      <c r="BN185" s="239" t="s">
        <v>76</v>
      </c>
      <c r="BO185" s="239" t="s">
        <v>4</v>
      </c>
      <c r="BP185" s="239" t="s">
        <v>31429</v>
      </c>
      <c r="BQ185" s="239">
        <v>2</v>
      </c>
      <c r="BR185" s="239">
        <v>30</v>
      </c>
      <c r="BS185" s="239" t="s">
        <v>31435</v>
      </c>
      <c r="BT185" s="239"/>
      <c r="BU185" s="239">
        <v>3</v>
      </c>
      <c r="BV185" s="239" cm="1">
        <f t="array" ref="BV185">_xlfn.IFS(BS185="Foreword vehicle",BU185*0,BS185="Human wastes",BU185*0,BS185="Jerrycans",BU185*$BV$228,BS185="Number of Basins",BU185*$BV$229,BS185="Number of Buckets",BU185*$CA$226,BS185="Number of Kgs",BU185*$CA$227,BS185="Number of spades",BU185*$CA$228,BS185="Number of wheelbarrows",BU185*$CA$229,BT185="Foreword vehicle",BU185*0,BT185="Human wastes",BU185*0,BT185="Jerrycans",BU185*$BV$228,BS185="","")</f>
        <v>211.5</v>
      </c>
      <c r="BW185" s="239">
        <f>IF(BV185="","",Table14[[#This Row],[Calculation: Conversion of metric to Kg manure feeding (Columns: BP, BQ, BR)]]*Table14[[#This Row],[Number of times used to feed biodigester]])</f>
        <v>423</v>
      </c>
      <c r="BX185" s="239" cm="1">
        <f t="array" ref="BX185">_xlfn.IFS(BP185="Number of times per day (1 to 3)",BW185/$BX$226,BP185="Number of times per week (1 to 6)",BW185/$BX$227,BP185="Number of times per Month (1 to 3)",BW185/$BX$228,BW185="","")</f>
        <v>60.428571428571431</v>
      </c>
      <c r="BY185" s="239" t="s">
        <v>22</v>
      </c>
      <c r="BZ185" s="239" t="s">
        <v>4</v>
      </c>
      <c r="CA185" s="239" t="s">
        <v>2</v>
      </c>
      <c r="CB185" s="239" t="s">
        <v>4</v>
      </c>
      <c r="CC185" s="239" t="s">
        <v>4</v>
      </c>
      <c r="CD185" s="239" t="s">
        <v>4</v>
      </c>
      <c r="CE185" s="239" t="s">
        <v>7</v>
      </c>
      <c r="CF185" s="239" t="s">
        <v>31639</v>
      </c>
      <c r="CG185" s="239" t="s">
        <v>4</v>
      </c>
      <c r="CH185" s="239" t="s">
        <v>31698</v>
      </c>
      <c r="CI185" s="239">
        <v>0</v>
      </c>
      <c r="CJ185" s="239">
        <v>0</v>
      </c>
      <c r="CK185" s="239">
        <v>0</v>
      </c>
      <c r="CL185" s="239">
        <v>0</v>
      </c>
      <c r="CM185" s="239">
        <v>0</v>
      </c>
      <c r="CN185" s="239">
        <v>0</v>
      </c>
      <c r="CO185" s="239">
        <v>0</v>
      </c>
      <c r="CP185" s="239">
        <v>0</v>
      </c>
      <c r="CQ185" s="239">
        <v>0</v>
      </c>
      <c r="CR185" s="239">
        <v>0</v>
      </c>
      <c r="CS185" s="239">
        <f>CP185/'SDG outcome'!$C$9*CQ185*CR185</f>
        <v>0</v>
      </c>
      <c r="CT185" s="239" t="s">
        <v>4</v>
      </c>
      <c r="CU185" s="239" t="s">
        <v>4</v>
      </c>
      <c r="CV185" s="239" t="s">
        <v>4</v>
      </c>
      <c r="CW185" s="239" t="s">
        <v>4</v>
      </c>
      <c r="CX185" s="239" t="s">
        <v>4</v>
      </c>
      <c r="CY185" s="239" t="s">
        <v>4</v>
      </c>
      <c r="CZ185" s="239" t="s">
        <v>4</v>
      </c>
      <c r="DA185" s="239" t="s">
        <v>4</v>
      </c>
      <c r="DB185" s="239" t="s">
        <v>4</v>
      </c>
      <c r="DC185" s="239" t="s">
        <v>4</v>
      </c>
      <c r="DD185" s="239" t="s">
        <v>4</v>
      </c>
      <c r="DE185" s="239" t="s">
        <v>4</v>
      </c>
      <c r="DF185" s="239" t="s">
        <v>4</v>
      </c>
      <c r="DG185" s="239" t="s">
        <v>4</v>
      </c>
      <c r="DH185" s="239" t="s">
        <v>4</v>
      </c>
      <c r="DI185" s="239" t="s">
        <v>4</v>
      </c>
      <c r="DJ185" s="239" t="s">
        <v>4</v>
      </c>
      <c r="DK185" s="239" t="s">
        <v>4</v>
      </c>
      <c r="DL185" s="239" t="s">
        <v>4</v>
      </c>
      <c r="DM185" s="239" t="s">
        <v>4</v>
      </c>
      <c r="DN185" s="239" t="s">
        <v>4</v>
      </c>
      <c r="DO185" s="239">
        <v>2</v>
      </c>
      <c r="DP185" s="239" t="s">
        <v>2</v>
      </c>
      <c r="DQ185" s="239" t="s">
        <v>29292</v>
      </c>
      <c r="DR185" s="239" t="s">
        <v>4</v>
      </c>
      <c r="DS185" s="239" t="s">
        <v>29294</v>
      </c>
      <c r="DT185" s="240" t="s">
        <v>4</v>
      </c>
      <c r="DU185" s="239" t="s">
        <v>29294</v>
      </c>
      <c r="DV185" s="240" t="s">
        <v>4</v>
      </c>
      <c r="DW185" s="239" t="s">
        <v>29508</v>
      </c>
      <c r="DX185" s="239"/>
      <c r="DY185" s="239"/>
      <c r="DZ185" s="239"/>
      <c r="EA185" s="239"/>
      <c r="EB185" s="239"/>
      <c r="EC185" s="239"/>
      <c r="ED185" s="239"/>
      <c r="EE185" s="320">
        <f>Table14[[#This Row],[% Fertilizer]]*$DX185/10000</f>
        <v>0</v>
      </c>
      <c r="EF185" s="320">
        <f>Table14[[#This Row],[% bioslurry used as Insecticide/Pesticide]]*$DX185/10000</f>
        <v>0</v>
      </c>
      <c r="EG185" s="320">
        <f>Table14[[#This Row],[% of Bioslurry used as animal feed]]*$DX185/10000</f>
        <v>0</v>
      </c>
      <c r="EH185" s="320">
        <f>Table14[[#This Row],[% of Bioslurry sold]]*$DX185/10000</f>
        <v>0</v>
      </c>
      <c r="EI185" s="320">
        <f>Table14[[#This Row],[% used other way(if used directly)]]*$DX185/10000</f>
        <v>0</v>
      </c>
      <c r="EJ185" s="239">
        <v>100</v>
      </c>
      <c r="EK185" s="239" t="s">
        <v>29443</v>
      </c>
      <c r="EL185" s="239"/>
      <c r="EM185" s="239"/>
      <c r="EN185" s="239"/>
      <c r="EO185" s="239">
        <f>(Table14[[#This Row],[% Uncovered lagoon greater than 1 meter]]+Table14[[#This Row],[Uncovered lagoon (black watery mass) &lt;1 meter]]+Table14[[#This Row],[% Liquid slurry (brown porridge type)]])*Table14[[#This Row],[% Store it first]]/100</f>
        <v>0</v>
      </c>
      <c r="EP185" s="239"/>
      <c r="EQ185" s="239"/>
      <c r="ER185" s="239"/>
      <c r="ES185" s="239">
        <v>100</v>
      </c>
      <c r="ET185" s="239">
        <f>(Table14[[#This Row],[% Solid storage]]+Table14[[#This Row],[% Sun drying]]+Table14[[#This Row],[% Composting with a roof]]+Table14[[#This Row],[% Composting without a roof]])*Table14[[#This Row],[% Store it first]]/100</f>
        <v>100</v>
      </c>
      <c r="EU185" s="239">
        <v>60</v>
      </c>
      <c r="EV185" s="320">
        <f t="shared" si="20"/>
        <v>1</v>
      </c>
      <c r="EW185" s="320">
        <f t="shared" si="21"/>
        <v>0</v>
      </c>
      <c r="EX185" s="320">
        <f t="shared" si="22"/>
        <v>0</v>
      </c>
      <c r="EY185" s="320">
        <f t="shared" si="23"/>
        <v>0</v>
      </c>
      <c r="EZ185" s="320">
        <f t="shared" si="24"/>
        <v>0</v>
      </c>
      <c r="FA185" s="239"/>
      <c r="FB185" s="239"/>
      <c r="FC185" s="239"/>
      <c r="FD185" s="239">
        <f>Table14[[#This Row],[% I donâ€™t use it / discarded]]+Table14[[#This Row],[% Other (specify)(If you use bioslurry directly)]]+Table14[[#This Row],[% Store it first]]+Table14[[#This Row],[% Use directly for various purposes]]</f>
        <v>100</v>
      </c>
      <c r="FE185" s="239" t="s">
        <v>29296</v>
      </c>
      <c r="FF185" s="239">
        <v>100</v>
      </c>
      <c r="FG185" s="239"/>
      <c r="FH185" s="239"/>
      <c r="FI185" s="239"/>
      <c r="FJ185" s="239"/>
      <c r="FK185" s="239" t="s">
        <v>9</v>
      </c>
      <c r="FL185" s="239" t="s">
        <v>7</v>
      </c>
      <c r="FM185" s="239">
        <v>10</v>
      </c>
      <c r="FN185" s="239"/>
      <c r="FO185" s="239" t="s">
        <v>31044</v>
      </c>
      <c r="FP185" s="239" t="s">
        <v>29298</v>
      </c>
      <c r="FQ185" s="239">
        <v>84</v>
      </c>
      <c r="FR185" s="239" t="s">
        <v>7</v>
      </c>
      <c r="FS185" s="239" t="s">
        <v>29393</v>
      </c>
      <c r="FT185" s="239" t="s">
        <v>4</v>
      </c>
      <c r="FU185" s="239" t="s">
        <v>2</v>
      </c>
      <c r="FV185" s="239" t="s">
        <v>4</v>
      </c>
      <c r="FW185" s="239" t="s">
        <v>4</v>
      </c>
      <c r="FX185" s="239" t="s">
        <v>4</v>
      </c>
      <c r="FY185" s="239" t="s">
        <v>4</v>
      </c>
      <c r="FZ185" s="239" t="s">
        <v>4</v>
      </c>
      <c r="GA185" s="239" t="s">
        <v>4</v>
      </c>
      <c r="GB185" s="240" t="s">
        <v>4</v>
      </c>
      <c r="GC185" s="239" t="s">
        <v>4</v>
      </c>
      <c r="GD185" s="239" t="s">
        <v>2</v>
      </c>
      <c r="GE185" s="239" t="s">
        <v>4</v>
      </c>
      <c r="GF185" s="239" t="s">
        <v>4</v>
      </c>
      <c r="GG185" s="239" t="s">
        <v>7</v>
      </c>
      <c r="GH185" s="239" t="s">
        <v>7</v>
      </c>
      <c r="GI185" s="239" t="s">
        <v>29302</v>
      </c>
      <c r="GJ185" s="239" t="s">
        <v>31045</v>
      </c>
      <c r="GK185" s="239" t="s">
        <v>4</v>
      </c>
      <c r="GL185" s="239">
        <v>0</v>
      </c>
      <c r="GM185" s="239"/>
      <c r="GN185" s="239" t="s">
        <v>4</v>
      </c>
      <c r="GO185" s="239" t="s">
        <v>4</v>
      </c>
      <c r="GP185" s="239" t="s">
        <v>4</v>
      </c>
      <c r="GQ185" s="239" t="s">
        <v>4</v>
      </c>
      <c r="GR185" s="239" t="s">
        <v>4</v>
      </c>
      <c r="GS185" s="239" t="s">
        <v>4</v>
      </c>
      <c r="GT185" s="239" t="s">
        <v>4</v>
      </c>
      <c r="GU185" s="239" t="s">
        <v>4</v>
      </c>
      <c r="GV185" s="239" t="s">
        <v>4</v>
      </c>
      <c r="GW185" s="239" t="s">
        <v>29304</v>
      </c>
      <c r="GX185" s="239" t="s">
        <v>29305</v>
      </c>
      <c r="GY185" s="239" t="s">
        <v>29339</v>
      </c>
      <c r="GZ185" s="239" t="s">
        <v>4</v>
      </c>
      <c r="HA185" s="239" t="s">
        <v>4</v>
      </c>
      <c r="HB185" s="239" t="s">
        <v>4</v>
      </c>
      <c r="HC185" s="239" t="s">
        <v>4</v>
      </c>
      <c r="HD185" s="239" t="s">
        <v>4</v>
      </c>
      <c r="HE185" s="239" t="s">
        <v>31046</v>
      </c>
      <c r="HF185" s="239" t="s">
        <v>13</v>
      </c>
      <c r="HG185" s="239" t="s">
        <v>4</v>
      </c>
      <c r="HH185" s="239" t="s">
        <v>29452</v>
      </c>
      <c r="HI185" s="239" t="s">
        <v>4</v>
      </c>
      <c r="HJ185" s="240">
        <v>0</v>
      </c>
      <c r="HK185" s="239" t="s">
        <v>2</v>
      </c>
      <c r="HL185" s="239" t="s">
        <v>29309</v>
      </c>
      <c r="HM185" s="239" t="s">
        <v>4</v>
      </c>
      <c r="HN185" s="239" t="s">
        <v>4</v>
      </c>
      <c r="HO185" s="239" t="s">
        <v>4</v>
      </c>
      <c r="HP185" s="239" t="s">
        <v>4</v>
      </c>
      <c r="HQ185" s="239" t="s">
        <v>4</v>
      </c>
      <c r="HR185" s="239" t="s">
        <v>4</v>
      </c>
      <c r="HS185" s="239" t="s">
        <v>4</v>
      </c>
      <c r="HT185" s="239" t="s">
        <v>4</v>
      </c>
      <c r="HU185" s="239" t="s">
        <v>2</v>
      </c>
      <c r="HV185" s="239" t="s">
        <v>4</v>
      </c>
      <c r="HW185" s="239" t="s">
        <v>4</v>
      </c>
      <c r="HX185" s="239" t="s">
        <v>4</v>
      </c>
      <c r="HY185" s="239" t="s">
        <v>4</v>
      </c>
      <c r="HZ185" s="239" t="s">
        <v>31047</v>
      </c>
      <c r="IA185" s="239" t="s">
        <v>2</v>
      </c>
      <c r="IB185" s="239" t="s">
        <v>4</v>
      </c>
      <c r="IC185" s="239" t="s">
        <v>31048</v>
      </c>
      <c r="ID185" s="239" t="s">
        <v>31049</v>
      </c>
      <c r="IE185" s="239" t="s">
        <v>31050</v>
      </c>
      <c r="IF185" s="239" t="s">
        <v>31051</v>
      </c>
      <c r="IG185" s="239" t="s">
        <v>31052</v>
      </c>
      <c r="IH185" s="239" t="s">
        <v>31041</v>
      </c>
    </row>
    <row r="186" spans="1:242" s="1" customFormat="1" ht="36.75" customHeight="1" x14ac:dyDescent="0.2">
      <c r="A186" s="239">
        <v>196</v>
      </c>
      <c r="B186" s="239" t="s">
        <v>9427</v>
      </c>
      <c r="C186" s="239" t="s">
        <v>31343</v>
      </c>
      <c r="D186" s="239" t="s">
        <v>31344</v>
      </c>
      <c r="E186" s="239" t="s">
        <v>7</v>
      </c>
      <c r="F186" s="239" t="s">
        <v>31345</v>
      </c>
      <c r="G186" s="239">
        <v>1216.338</v>
      </c>
      <c r="H186" s="239">
        <v>6.4925189999999997</v>
      </c>
      <c r="I186" s="239" t="s">
        <v>29389</v>
      </c>
      <c r="J186" s="239" t="s">
        <v>30482</v>
      </c>
      <c r="K186" s="239" t="s">
        <v>31346</v>
      </c>
      <c r="L186" s="239">
        <v>788809383</v>
      </c>
      <c r="M186" s="239" t="s">
        <v>5</v>
      </c>
      <c r="N186" s="239" t="s">
        <v>31598</v>
      </c>
      <c r="O186" s="239" t="s">
        <v>4</v>
      </c>
      <c r="P186" s="239">
        <v>13</v>
      </c>
      <c r="Q186" s="239" t="s">
        <v>7</v>
      </c>
      <c r="R186" s="239" t="s">
        <v>31731</v>
      </c>
      <c r="S186" s="239" t="s">
        <v>4</v>
      </c>
      <c r="T186" s="239" t="s">
        <v>7</v>
      </c>
      <c r="U186" s="239" t="s">
        <v>7</v>
      </c>
      <c r="V186" s="239"/>
      <c r="W186" s="239" t="s">
        <v>7</v>
      </c>
      <c r="X186" s="239" t="s">
        <v>4</v>
      </c>
      <c r="Y186" s="239" t="s">
        <v>4</v>
      </c>
      <c r="Z186" s="241" t="str">
        <f>IF(OR(T186="yes",Y186&gt;'SDG outcome'!$C$27),"yes","no")</f>
        <v>yes</v>
      </c>
      <c r="AA186" s="243">
        <f t="shared" si="13"/>
        <v>0</v>
      </c>
      <c r="AB186" s="243" t="str">
        <f>IF(AND(Z186="no",AND(Y186&gt;='SDG outcome'!$B$16,Y186&lt;'SDG outcome'!$C$27)),Y186-'SDG outcome'!$B$16,"")</f>
        <v/>
      </c>
      <c r="AC186" s="239" t="s">
        <v>4</v>
      </c>
      <c r="AD186" s="239" t="s">
        <v>4</v>
      </c>
      <c r="AE186" s="239" t="s">
        <v>4</v>
      </c>
      <c r="AF186" s="239" t="s">
        <v>4</v>
      </c>
      <c r="AG186" s="239" t="s">
        <v>4</v>
      </c>
      <c r="AH186" s="239" t="s">
        <v>4</v>
      </c>
      <c r="AI186" s="239" t="s">
        <v>4</v>
      </c>
      <c r="AJ186" s="239" t="s">
        <v>29290</v>
      </c>
      <c r="AK186" s="239" t="s">
        <v>29694</v>
      </c>
      <c r="AL186" s="239" t="s">
        <v>4</v>
      </c>
      <c r="AM186" s="239" t="s">
        <v>4</v>
      </c>
      <c r="AN186" s="239" t="s">
        <v>31536</v>
      </c>
      <c r="AO186" s="239" t="s">
        <v>4</v>
      </c>
      <c r="AP186" s="239" t="s">
        <v>31537</v>
      </c>
      <c r="AQ186" s="239" t="s">
        <v>4</v>
      </c>
      <c r="AR186" s="239" t="s">
        <v>31538</v>
      </c>
      <c r="AS186" s="239" t="s">
        <v>4</v>
      </c>
      <c r="AT186" s="239" t="s">
        <v>7</v>
      </c>
      <c r="AU186" s="239" t="s">
        <v>4</v>
      </c>
      <c r="AV186" s="239" t="s">
        <v>4</v>
      </c>
      <c r="AW186" s="239" t="s">
        <v>31550</v>
      </c>
      <c r="AX186" s="239" t="s">
        <v>4</v>
      </c>
      <c r="AY186" s="239" t="s">
        <v>4</v>
      </c>
      <c r="AZ186" s="239" t="s">
        <v>7</v>
      </c>
      <c r="BA186" s="239" t="s">
        <v>6</v>
      </c>
      <c r="BB186" s="239" t="s">
        <v>4</v>
      </c>
      <c r="BC186" s="239" t="s">
        <v>31983</v>
      </c>
      <c r="BD186" s="239" t="s">
        <v>22</v>
      </c>
      <c r="BE186" s="239" t="s">
        <v>4</v>
      </c>
      <c r="BF186" s="239" t="s">
        <v>4</v>
      </c>
      <c r="BG186" s="239" t="s">
        <v>4</v>
      </c>
      <c r="BH186" s="239" t="s">
        <v>31542</v>
      </c>
      <c r="BI186" s="239" t="s">
        <v>31984</v>
      </c>
      <c r="BJ186" s="239" t="s">
        <v>31544</v>
      </c>
      <c r="BK186" s="239">
        <v>3</v>
      </c>
      <c r="BL186" s="239">
        <v>120</v>
      </c>
      <c r="BM186" s="239" t="s">
        <v>7</v>
      </c>
      <c r="BN186" s="239" t="s">
        <v>6</v>
      </c>
      <c r="BO186" s="239" t="s">
        <v>4</v>
      </c>
      <c r="BP186" s="239" t="s">
        <v>31425</v>
      </c>
      <c r="BQ186" s="239">
        <v>1</v>
      </c>
      <c r="BR186" s="239">
        <v>20</v>
      </c>
      <c r="BS186" s="239" t="s">
        <v>31435</v>
      </c>
      <c r="BT186" s="239"/>
      <c r="BU186" s="239">
        <v>1</v>
      </c>
      <c r="BV186" s="239" cm="1">
        <f t="array" ref="BV186">_xlfn.IFS(BS186="Foreword vehicle",BU186*0,BS186="Human wastes",BU186*0,BS186="Jerrycans",BU186*$BV$228,BS186="Number of Basins",BU186*$BV$229,BS186="Number of Buckets",BU186*$CA$226,BS186="Number of Kgs",BU186*$CA$227,BS186="Number of spades",BU186*$CA$228,BS186="Number of wheelbarrows",BU186*$CA$229,BT186="Foreword vehicle",BU186*0,BT186="Human wastes",BU186*0,BT186="Jerrycans",BU186*$BV$228,BS186="","")</f>
        <v>70.5</v>
      </c>
      <c r="BW186" s="239">
        <f>IF(BV186="","",Table14[[#This Row],[Calculation: Conversion of metric to Kg manure feeding (Columns: BP, BQ, BR)]]*Table14[[#This Row],[Number of times used to feed biodigester]])</f>
        <v>70.5</v>
      </c>
      <c r="BX186" s="239" cm="1">
        <f t="array" ref="BX186">_xlfn.IFS(BP186="Number of times per day (1 to 3)",BW186/$BX$226,BP186="Number of times per week (1 to 6)",BW186/$BX$227,BP186="Number of times per Month (1 to 3)",BW186/$BX$228,BW186="","")</f>
        <v>70.5</v>
      </c>
      <c r="BY186" s="239" t="s">
        <v>22</v>
      </c>
      <c r="BZ186" s="239" t="s">
        <v>4</v>
      </c>
      <c r="CA186" s="239" t="s">
        <v>2</v>
      </c>
      <c r="CB186" s="239" t="s">
        <v>4</v>
      </c>
      <c r="CC186" s="239" t="s">
        <v>4</v>
      </c>
      <c r="CD186" s="239" t="s">
        <v>4</v>
      </c>
      <c r="CE186" s="239" t="s">
        <v>7</v>
      </c>
      <c r="CF186" s="239" t="s">
        <v>31975</v>
      </c>
      <c r="CG186" s="239" t="s">
        <v>4</v>
      </c>
      <c r="CH186" s="239" t="s">
        <v>144</v>
      </c>
      <c r="CI186" s="239">
        <v>0</v>
      </c>
      <c r="CJ186" s="239">
        <v>0</v>
      </c>
      <c r="CK186" s="239">
        <v>15</v>
      </c>
      <c r="CL186" s="239">
        <v>0</v>
      </c>
      <c r="CM186" s="239">
        <v>0</v>
      </c>
      <c r="CN186" s="239">
        <v>0</v>
      </c>
      <c r="CO186" s="239">
        <v>35</v>
      </c>
      <c r="CP186" s="239">
        <v>150</v>
      </c>
      <c r="CQ186" s="239">
        <v>2</v>
      </c>
      <c r="CR186" s="239">
        <v>10</v>
      </c>
      <c r="CS186" s="239">
        <f>CP186/'SDG outcome'!$C$9*CQ186*CR186</f>
        <v>8.6455331412103735</v>
      </c>
      <c r="CT186" s="239" t="s">
        <v>4</v>
      </c>
      <c r="CU186" s="239" t="s">
        <v>4</v>
      </c>
      <c r="CV186" s="239" t="s">
        <v>4</v>
      </c>
      <c r="CW186" s="239" t="s">
        <v>4</v>
      </c>
      <c r="CX186" s="239" t="s">
        <v>4</v>
      </c>
      <c r="CY186" s="239" t="s">
        <v>4</v>
      </c>
      <c r="CZ186" s="239" t="s">
        <v>4</v>
      </c>
      <c r="DA186" s="239" t="s">
        <v>4</v>
      </c>
      <c r="DB186" s="239" t="s">
        <v>4</v>
      </c>
      <c r="DC186" s="239">
        <v>100</v>
      </c>
      <c r="DD186" s="239">
        <v>0</v>
      </c>
      <c r="DE186" s="239" t="s">
        <v>4</v>
      </c>
      <c r="DF186" s="239" t="s">
        <v>4</v>
      </c>
      <c r="DG186" s="239" t="s">
        <v>4</v>
      </c>
      <c r="DH186" s="239" t="s">
        <v>4</v>
      </c>
      <c r="DI186" s="239" t="s">
        <v>4</v>
      </c>
      <c r="DJ186" s="239" t="s">
        <v>4</v>
      </c>
      <c r="DK186" s="239" t="s">
        <v>4</v>
      </c>
      <c r="DL186" s="239" t="s">
        <v>4</v>
      </c>
      <c r="DM186" s="239" t="s">
        <v>4</v>
      </c>
      <c r="DN186" s="239" t="s">
        <v>4</v>
      </c>
      <c r="DO186" s="239">
        <v>7</v>
      </c>
      <c r="DP186" s="239" t="s">
        <v>2</v>
      </c>
      <c r="DQ186" s="239" t="s">
        <v>29292</v>
      </c>
      <c r="DR186" s="239" t="s">
        <v>4</v>
      </c>
      <c r="DS186" s="239" t="s">
        <v>29293</v>
      </c>
      <c r="DT186" s="240" t="s">
        <v>31347</v>
      </c>
      <c r="DU186" s="239" t="s">
        <v>29294</v>
      </c>
      <c r="DV186" s="240" t="s">
        <v>4</v>
      </c>
      <c r="DW186" s="239" t="s">
        <v>29295</v>
      </c>
      <c r="DX186" s="239">
        <v>100</v>
      </c>
      <c r="DY186" s="239" t="s">
        <v>29296</v>
      </c>
      <c r="DZ186" s="239">
        <v>100</v>
      </c>
      <c r="EA186" s="239"/>
      <c r="EB186" s="239"/>
      <c r="EC186" s="239"/>
      <c r="ED186" s="239"/>
      <c r="EE186" s="320">
        <f>Table14[[#This Row],[% Fertilizer]]*$DX186/10000</f>
        <v>1</v>
      </c>
      <c r="EF186" s="320">
        <f>Table14[[#This Row],[% bioslurry used as Insecticide/Pesticide]]*$DX186/10000</f>
        <v>0</v>
      </c>
      <c r="EG186" s="320">
        <f>Table14[[#This Row],[% of Bioslurry used as animal feed]]*$DX186/10000</f>
        <v>0</v>
      </c>
      <c r="EH186" s="320">
        <f>Table14[[#This Row],[% of Bioslurry sold]]*$DX186/10000</f>
        <v>0</v>
      </c>
      <c r="EI186" s="320">
        <f>Table14[[#This Row],[% used other way(if used directly)]]*$DX186/10000</f>
        <v>0</v>
      </c>
      <c r="EJ186" s="239"/>
      <c r="EK186" s="239"/>
      <c r="EL186" s="239"/>
      <c r="EM186" s="239"/>
      <c r="EN186" s="239"/>
      <c r="EO186" s="239">
        <f>(Table14[[#This Row],[% Uncovered lagoon greater than 1 meter]]+Table14[[#This Row],[Uncovered lagoon (black watery mass) &lt;1 meter]]+Table14[[#This Row],[% Liquid slurry (brown porridge type)]])*Table14[[#This Row],[% Store it first]]/100</f>
        <v>0</v>
      </c>
      <c r="EP186" s="239"/>
      <c r="EQ186" s="239"/>
      <c r="ER186" s="239"/>
      <c r="ES186" s="239"/>
      <c r="ET186" s="239">
        <f>(Table14[[#This Row],[% Solid storage]]+Table14[[#This Row],[% Sun drying]]+Table14[[#This Row],[% Composting with a roof]]+Table14[[#This Row],[% Composting without a roof]])*Table14[[#This Row],[% Store it first]]/100</f>
        <v>0</v>
      </c>
      <c r="EU186" s="239"/>
      <c r="EV186" s="320">
        <f t="shared" si="20"/>
        <v>0</v>
      </c>
      <c r="EW186" s="320">
        <f t="shared" si="21"/>
        <v>0</v>
      </c>
      <c r="EX186" s="320">
        <f t="shared" si="22"/>
        <v>0</v>
      </c>
      <c r="EY186" s="320">
        <f t="shared" si="23"/>
        <v>0</v>
      </c>
      <c r="EZ186" s="320">
        <f t="shared" si="24"/>
        <v>0</v>
      </c>
      <c r="FA186" s="239"/>
      <c r="FB186" s="239"/>
      <c r="FC186" s="239"/>
      <c r="FD186" s="239">
        <f>Table14[[#This Row],[% I donâ€™t use it / discarded]]+Table14[[#This Row],[% Other (specify)(If you use bioslurry directly)]]+Table14[[#This Row],[% Store it first]]+Table14[[#This Row],[% Use directly for various purposes]]</f>
        <v>100</v>
      </c>
      <c r="FE186" s="239" t="s">
        <v>4</v>
      </c>
      <c r="FF186" s="239"/>
      <c r="FG186" s="239"/>
      <c r="FH186" s="239"/>
      <c r="FI186" s="239"/>
      <c r="FJ186" s="239"/>
      <c r="FK186" s="239">
        <v>0.5</v>
      </c>
      <c r="FL186" s="239" t="s">
        <v>7</v>
      </c>
      <c r="FM186" s="239">
        <v>100</v>
      </c>
      <c r="FN186" s="239">
        <f>FK186*FM186/100</f>
        <v>0.5</v>
      </c>
      <c r="FO186" s="239" t="s">
        <v>30364</v>
      </c>
      <c r="FP186" s="239" t="s">
        <v>29298</v>
      </c>
      <c r="FQ186" s="239">
        <v>12</v>
      </c>
      <c r="FR186" s="239" t="s">
        <v>2</v>
      </c>
      <c r="FS186" s="239" t="s">
        <v>4</v>
      </c>
      <c r="FT186" s="239" t="s">
        <v>4</v>
      </c>
      <c r="FU186" s="239" t="s">
        <v>2</v>
      </c>
      <c r="FV186" s="239" t="s">
        <v>4</v>
      </c>
      <c r="FW186" s="239" t="s">
        <v>4</v>
      </c>
      <c r="FX186" s="239" t="s">
        <v>4</v>
      </c>
      <c r="FY186" s="239" t="s">
        <v>4</v>
      </c>
      <c r="FZ186" s="239" t="s">
        <v>4</v>
      </c>
      <c r="GA186" s="239" t="s">
        <v>4</v>
      </c>
      <c r="GB186" s="240" t="s">
        <v>4</v>
      </c>
      <c r="GC186" s="239" t="s">
        <v>4</v>
      </c>
      <c r="GD186" s="239" t="s">
        <v>7</v>
      </c>
      <c r="GE186" s="239" t="s">
        <v>29301</v>
      </c>
      <c r="GF186" s="239" t="s">
        <v>4</v>
      </c>
      <c r="GG186" s="239" t="s">
        <v>7</v>
      </c>
      <c r="GH186" s="239" t="s">
        <v>2</v>
      </c>
      <c r="GI186" s="239" t="s">
        <v>4</v>
      </c>
      <c r="GJ186" s="239" t="s">
        <v>4</v>
      </c>
      <c r="GK186" s="239" t="s">
        <v>4</v>
      </c>
      <c r="GL186" s="239">
        <v>0</v>
      </c>
      <c r="GM186" s="239"/>
      <c r="GN186" s="239" t="s">
        <v>4</v>
      </c>
      <c r="GO186" s="239" t="s">
        <v>4</v>
      </c>
      <c r="GP186" s="239" t="s">
        <v>4</v>
      </c>
      <c r="GQ186" s="239" t="s">
        <v>4</v>
      </c>
      <c r="GR186" s="239" t="s">
        <v>4</v>
      </c>
      <c r="GS186" s="239" t="s">
        <v>4</v>
      </c>
      <c r="GT186" s="239" t="s">
        <v>4</v>
      </c>
      <c r="GU186" s="239" t="s">
        <v>4</v>
      </c>
      <c r="GV186" s="239" t="s">
        <v>4</v>
      </c>
      <c r="GW186" s="239" t="s">
        <v>29433</v>
      </c>
      <c r="GX186" s="239" t="s">
        <v>4</v>
      </c>
      <c r="GY186" s="239" t="s">
        <v>4</v>
      </c>
      <c r="GZ186" s="239" t="s">
        <v>4</v>
      </c>
      <c r="HA186" s="239" t="s">
        <v>4</v>
      </c>
      <c r="HB186" s="239" t="s">
        <v>4</v>
      </c>
      <c r="HC186" s="239" t="s">
        <v>4</v>
      </c>
      <c r="HD186" s="239" t="s">
        <v>4</v>
      </c>
      <c r="HE186" s="239" t="s">
        <v>4</v>
      </c>
      <c r="HF186" s="239" t="s">
        <v>13</v>
      </c>
      <c r="HG186" s="239" t="s">
        <v>31348</v>
      </c>
      <c r="HH186" s="239" t="s">
        <v>29452</v>
      </c>
      <c r="HI186" s="239" t="s">
        <v>4</v>
      </c>
      <c r="HJ186" s="240">
        <v>0</v>
      </c>
      <c r="HK186" s="239" t="s">
        <v>2</v>
      </c>
      <c r="HL186" s="239" t="s">
        <v>29837</v>
      </c>
      <c r="HM186" s="239" t="s">
        <v>4</v>
      </c>
      <c r="HN186" s="239" t="s">
        <v>4</v>
      </c>
      <c r="HO186" s="239" t="s">
        <v>4</v>
      </c>
      <c r="HP186" s="239" t="s">
        <v>4</v>
      </c>
      <c r="HQ186" s="239" t="s">
        <v>4</v>
      </c>
      <c r="HR186" s="239" t="s">
        <v>4</v>
      </c>
      <c r="HS186" s="239" t="s">
        <v>4</v>
      </c>
      <c r="HT186" s="239" t="s">
        <v>4</v>
      </c>
      <c r="HU186" s="239" t="s">
        <v>2</v>
      </c>
      <c r="HV186" s="239" t="s">
        <v>4</v>
      </c>
      <c r="HW186" s="239" t="s">
        <v>4</v>
      </c>
      <c r="HX186" s="239" t="s">
        <v>4</v>
      </c>
      <c r="HY186" s="239" t="s">
        <v>4</v>
      </c>
      <c r="HZ186" s="239" t="s">
        <v>31349</v>
      </c>
      <c r="IA186" s="239" t="s">
        <v>7</v>
      </c>
      <c r="IB186" s="239" t="s">
        <v>31350</v>
      </c>
      <c r="IC186" s="239" t="s">
        <v>31351</v>
      </c>
      <c r="ID186" s="239" t="s">
        <v>31352</v>
      </c>
      <c r="IE186" s="239" t="s">
        <v>31353</v>
      </c>
      <c r="IF186" s="239" t="s">
        <v>31354</v>
      </c>
      <c r="IG186" s="239" t="s">
        <v>31355</v>
      </c>
      <c r="IH186" s="239" t="s">
        <v>31343</v>
      </c>
    </row>
    <row r="187" spans="1:242" s="1" customFormat="1" ht="36.75" customHeight="1" x14ac:dyDescent="0.2">
      <c r="A187" s="239">
        <v>200</v>
      </c>
      <c r="B187" s="239" t="s">
        <v>8213</v>
      </c>
      <c r="C187" s="239" t="s">
        <v>31384</v>
      </c>
      <c r="D187" s="239" t="s">
        <v>31344</v>
      </c>
      <c r="E187" s="239" t="s">
        <v>7</v>
      </c>
      <c r="F187" s="239" t="s">
        <v>31385</v>
      </c>
      <c r="G187" s="239">
        <v>1197.9179999999999</v>
      </c>
      <c r="H187" s="239">
        <v>15</v>
      </c>
      <c r="I187" s="239" t="s">
        <v>29288</v>
      </c>
      <c r="J187" s="239" t="s">
        <v>4</v>
      </c>
      <c r="K187" s="239" t="s">
        <v>31386</v>
      </c>
      <c r="L187" s="239">
        <v>776228837</v>
      </c>
      <c r="M187" s="239" t="s">
        <v>3</v>
      </c>
      <c r="N187" s="239" t="s">
        <v>31598</v>
      </c>
      <c r="O187" s="239" t="s">
        <v>4</v>
      </c>
      <c r="P187" s="239">
        <v>10</v>
      </c>
      <c r="Q187" s="239" t="s">
        <v>7</v>
      </c>
      <c r="R187" s="239" t="s">
        <v>31731</v>
      </c>
      <c r="S187" s="239" t="s">
        <v>4</v>
      </c>
      <c r="T187" s="239" t="s">
        <v>7</v>
      </c>
      <c r="U187" s="239" t="s">
        <v>7</v>
      </c>
      <c r="V187" s="239"/>
      <c r="W187" s="239" t="s">
        <v>7</v>
      </c>
      <c r="X187" s="239" t="s">
        <v>4</v>
      </c>
      <c r="Y187" s="239" t="s">
        <v>4</v>
      </c>
      <c r="Z187" s="241" t="str">
        <f>IF(OR(T187="yes",Y187&gt;'SDG outcome'!$C$27),"yes","no")</f>
        <v>yes</v>
      </c>
      <c r="AA187" s="243">
        <f t="shared" si="13"/>
        <v>0</v>
      </c>
      <c r="AB187" s="243" t="str">
        <f>IF(AND(Z187="no",AND(Y187&gt;='SDG outcome'!$B$16,Y187&lt;'SDG outcome'!$C$27)),Y187-'SDG outcome'!$B$16,"")</f>
        <v/>
      </c>
      <c r="AC187" s="239" t="s">
        <v>4</v>
      </c>
      <c r="AD187" s="239" t="s">
        <v>4</v>
      </c>
      <c r="AE187" s="239" t="s">
        <v>4</v>
      </c>
      <c r="AF187" s="239" t="s">
        <v>4</v>
      </c>
      <c r="AG187" s="239" t="s">
        <v>4</v>
      </c>
      <c r="AH187" s="239" t="s">
        <v>4</v>
      </c>
      <c r="AI187" s="239" t="s">
        <v>4</v>
      </c>
      <c r="AJ187" s="239" t="s">
        <v>29290</v>
      </c>
      <c r="AK187" s="239" t="s">
        <v>29694</v>
      </c>
      <c r="AL187" s="239" t="s">
        <v>4</v>
      </c>
      <c r="AM187" s="239" t="s">
        <v>4</v>
      </c>
      <c r="AN187" s="239" t="s">
        <v>31536</v>
      </c>
      <c r="AO187" s="239" t="s">
        <v>4</v>
      </c>
      <c r="AP187" s="239" t="s">
        <v>31537</v>
      </c>
      <c r="AQ187" s="239" t="s">
        <v>4</v>
      </c>
      <c r="AR187" s="239" t="s">
        <v>31538</v>
      </c>
      <c r="AS187" s="239" t="s">
        <v>4</v>
      </c>
      <c r="AT187" s="239" t="s">
        <v>2</v>
      </c>
      <c r="AU187" s="239" t="s">
        <v>31581</v>
      </c>
      <c r="AV187" s="239" t="s">
        <v>4</v>
      </c>
      <c r="AW187" s="239" t="s">
        <v>31550</v>
      </c>
      <c r="AX187" s="239" t="s">
        <v>4</v>
      </c>
      <c r="AY187" s="239" t="s">
        <v>4</v>
      </c>
      <c r="AZ187" s="239" t="s">
        <v>2</v>
      </c>
      <c r="BA187" s="239" t="s">
        <v>4</v>
      </c>
      <c r="BB187" s="239" t="s">
        <v>4</v>
      </c>
      <c r="BC187" s="239" t="s">
        <v>4</v>
      </c>
      <c r="BD187" s="239" t="s">
        <v>4</v>
      </c>
      <c r="BE187" s="239" t="s">
        <v>4</v>
      </c>
      <c r="BF187" s="239" t="s">
        <v>4</v>
      </c>
      <c r="BG187" s="239" t="s">
        <v>4</v>
      </c>
      <c r="BH187" s="239" t="s">
        <v>4</v>
      </c>
      <c r="BI187" s="239" t="s">
        <v>4</v>
      </c>
      <c r="BJ187" s="239" t="s">
        <v>4</v>
      </c>
      <c r="BK187" s="239" t="s">
        <v>4</v>
      </c>
      <c r="BL187" s="239" t="s">
        <v>4</v>
      </c>
      <c r="BM187" s="239" t="s">
        <v>7</v>
      </c>
      <c r="BN187" s="239" t="s">
        <v>76</v>
      </c>
      <c r="BO187" s="239" t="s">
        <v>4</v>
      </c>
      <c r="BP187" s="239" t="s">
        <v>31429</v>
      </c>
      <c r="BQ187" s="239">
        <v>2</v>
      </c>
      <c r="BR187" s="239">
        <v>60</v>
      </c>
      <c r="BS187" s="239" t="s">
        <v>31426</v>
      </c>
      <c r="BT187" s="239"/>
      <c r="BU187" s="239">
        <v>3</v>
      </c>
      <c r="BV187" s="239" cm="1">
        <f t="array" ref="BV187">_xlfn.IFS(BS187="Foreword vehicle",BU187*0,BS187="Human wastes",BU187*0,BS187="Jerrycans",BU187*$BV$228,BS187="Number of Basins",BU187*$BV$229,BS187="Number of Buckets",BU187*$CA$226,BS187="Number of Kgs",BU187*$CA$227,BS187="Number of spades",BU187*$CA$228,BS187="Number of wheelbarrows",BU187*$CA$229,BT187="Foreword vehicle",BU187*0,BT187="Human wastes",BU187*0,BT187="Jerrycans",BU187*$BV$228,BS187="","")</f>
        <v>69</v>
      </c>
      <c r="BW187" s="239">
        <f>IF(BV187="","",Table14[[#This Row],[Calculation: Conversion of metric to Kg manure feeding (Columns: BP, BQ, BR)]]*Table14[[#This Row],[Number of times used to feed biodigester]])</f>
        <v>138</v>
      </c>
      <c r="BX187" s="239" cm="1">
        <f t="array" ref="BX187">_xlfn.IFS(BP187="Number of times per day (1 to 3)",BW187/$BX$226,BP187="Number of times per week (1 to 6)",BW187/$BX$227,BP187="Number of times per Month (1 to 3)",BW187/$BX$228,BW187="","")</f>
        <v>19.714285714285715</v>
      </c>
      <c r="BY187" s="239" t="s">
        <v>31541</v>
      </c>
      <c r="BZ187" s="239" t="s">
        <v>4</v>
      </c>
      <c r="CA187" s="239" t="s">
        <v>2</v>
      </c>
      <c r="CB187" s="239" t="s">
        <v>4</v>
      </c>
      <c r="CC187" s="239" t="s">
        <v>4</v>
      </c>
      <c r="CD187" s="239" t="s">
        <v>4</v>
      </c>
      <c r="CE187" s="239" t="s">
        <v>7</v>
      </c>
      <c r="CF187" s="239" t="s">
        <v>31975</v>
      </c>
      <c r="CG187" s="239" t="s">
        <v>4</v>
      </c>
      <c r="CH187" s="239" t="s">
        <v>59</v>
      </c>
      <c r="CI187" s="239">
        <v>0</v>
      </c>
      <c r="CJ187" s="239">
        <v>0</v>
      </c>
      <c r="CK187" s="239">
        <v>0</v>
      </c>
      <c r="CL187" s="239">
        <v>0</v>
      </c>
      <c r="CM187" s="239">
        <v>0</v>
      </c>
      <c r="CN187" s="239">
        <v>600</v>
      </c>
      <c r="CO187" s="239">
        <v>0</v>
      </c>
      <c r="CP187" s="239">
        <v>0</v>
      </c>
      <c r="CQ187" s="239">
        <v>0</v>
      </c>
      <c r="CR187" s="239">
        <v>0</v>
      </c>
      <c r="CS187" s="239">
        <f>CP187/'SDG outcome'!$C$9*CQ187*CR187</f>
        <v>0</v>
      </c>
      <c r="CT187" s="239" t="s">
        <v>4</v>
      </c>
      <c r="CU187" s="239" t="s">
        <v>4</v>
      </c>
      <c r="CV187" s="239" t="s">
        <v>4</v>
      </c>
      <c r="CW187" s="239" t="s">
        <v>4</v>
      </c>
      <c r="CX187" s="239" t="s">
        <v>4</v>
      </c>
      <c r="CY187" s="239" t="s">
        <v>4</v>
      </c>
      <c r="CZ187" s="239" t="s">
        <v>4</v>
      </c>
      <c r="DA187" s="239" t="s">
        <v>4</v>
      </c>
      <c r="DB187" s="239" t="s">
        <v>4</v>
      </c>
      <c r="DC187" s="239" t="s">
        <v>4</v>
      </c>
      <c r="DD187" s="239" t="s">
        <v>4</v>
      </c>
      <c r="DE187" s="239" t="s">
        <v>4</v>
      </c>
      <c r="DF187" s="239">
        <v>100</v>
      </c>
      <c r="DG187" s="239">
        <v>0</v>
      </c>
      <c r="DH187" s="239" t="s">
        <v>4</v>
      </c>
      <c r="DI187" s="239" t="s">
        <v>4</v>
      </c>
      <c r="DJ187" s="239" t="s">
        <v>4</v>
      </c>
      <c r="DK187" s="239" t="s">
        <v>4</v>
      </c>
      <c r="DL187" s="239" t="s">
        <v>4</v>
      </c>
      <c r="DM187" s="239" t="s">
        <v>4</v>
      </c>
      <c r="DN187" s="239" t="s">
        <v>4</v>
      </c>
      <c r="DO187" s="239">
        <v>4</v>
      </c>
      <c r="DP187" s="239" t="s">
        <v>7</v>
      </c>
      <c r="DQ187" s="239" t="s">
        <v>29292</v>
      </c>
      <c r="DR187" s="239" t="s">
        <v>4</v>
      </c>
      <c r="DS187" s="239" t="s">
        <v>29293</v>
      </c>
      <c r="DT187" s="240">
        <v>200000</v>
      </c>
      <c r="DU187" s="239" t="s">
        <v>29293</v>
      </c>
      <c r="DV187" s="240">
        <v>0</v>
      </c>
      <c r="DW187" s="239" t="s">
        <v>30459</v>
      </c>
      <c r="DX187" s="239">
        <v>80</v>
      </c>
      <c r="DY187" s="239" t="s">
        <v>29296</v>
      </c>
      <c r="DZ187" s="239">
        <v>100</v>
      </c>
      <c r="EA187" s="239"/>
      <c r="EB187" s="239"/>
      <c r="EC187" s="239"/>
      <c r="ED187" s="239"/>
      <c r="EE187" s="320">
        <f>Table14[[#This Row],[% Fertilizer]]*$DX187/10000</f>
        <v>0.8</v>
      </c>
      <c r="EF187" s="320">
        <f>Table14[[#This Row],[% bioslurry used as Insecticide/Pesticide]]*$DX187/10000</f>
        <v>0</v>
      </c>
      <c r="EG187" s="320">
        <f>Table14[[#This Row],[% of Bioslurry used as animal feed]]*$DX187/10000</f>
        <v>0</v>
      </c>
      <c r="EH187" s="320">
        <f>Table14[[#This Row],[% of Bioslurry sold]]*$DX187/10000</f>
        <v>0</v>
      </c>
      <c r="EI187" s="320">
        <f>Table14[[#This Row],[% used other way(if used directly)]]*$DX187/10000</f>
        <v>0</v>
      </c>
      <c r="EJ187" s="239">
        <v>0</v>
      </c>
      <c r="EK187" s="239"/>
      <c r="EL187" s="239"/>
      <c r="EM187" s="239"/>
      <c r="EN187" s="239"/>
      <c r="EO187" s="239">
        <f>(Table14[[#This Row],[% Uncovered lagoon greater than 1 meter]]+Table14[[#This Row],[Uncovered lagoon (black watery mass) &lt;1 meter]]+Table14[[#This Row],[% Liquid slurry (brown porridge type)]])*Table14[[#This Row],[% Store it first]]/100</f>
        <v>0</v>
      </c>
      <c r="EP187" s="239"/>
      <c r="EQ187" s="239"/>
      <c r="ER187" s="239"/>
      <c r="ES187" s="239"/>
      <c r="ET187" s="239">
        <f>(Table14[[#This Row],[% Solid storage]]+Table14[[#This Row],[% Sun drying]]+Table14[[#This Row],[% Composting with a roof]]+Table14[[#This Row],[% Composting without a roof]])*Table14[[#This Row],[% Store it first]]/100</f>
        <v>0</v>
      </c>
      <c r="EU187" s="239"/>
      <c r="EV187" s="320">
        <f t="shared" si="20"/>
        <v>0</v>
      </c>
      <c r="EW187" s="320">
        <f t="shared" si="21"/>
        <v>0</v>
      </c>
      <c r="EX187" s="320">
        <f t="shared" si="22"/>
        <v>0</v>
      </c>
      <c r="EY187" s="320">
        <f t="shared" si="23"/>
        <v>0</v>
      </c>
      <c r="EZ187" s="320">
        <f t="shared" si="24"/>
        <v>0</v>
      </c>
      <c r="FA187" s="239">
        <v>0</v>
      </c>
      <c r="FB187" s="239">
        <v>20</v>
      </c>
      <c r="FC187" s="239" t="s">
        <v>32026</v>
      </c>
      <c r="FD187" s="239">
        <f>Table14[[#This Row],[% I donâ€™t use it / discarded]]+Table14[[#This Row],[% Other use of bioslurry(What do you do with the slurry from your biodigester )]]+Table14[[#This Row],[% Store it first]]+Table14[[#This Row],[% Use directly for various purposes]]</f>
        <v>100</v>
      </c>
      <c r="FE187" s="239" t="s">
        <v>4</v>
      </c>
      <c r="FF187" s="239"/>
      <c r="FG187" s="239"/>
      <c r="FH187" s="239"/>
      <c r="FI187" s="239"/>
      <c r="FJ187" s="239"/>
      <c r="FK187" s="239">
        <v>0.2</v>
      </c>
      <c r="FL187" s="239" t="s">
        <v>7</v>
      </c>
      <c r="FM187" s="239">
        <v>80</v>
      </c>
      <c r="FN187" s="239">
        <f>FK187*FM187/100</f>
        <v>0.16</v>
      </c>
      <c r="FO187" s="239" t="s">
        <v>31387</v>
      </c>
      <c r="FP187" s="239" t="s">
        <v>29298</v>
      </c>
      <c r="FQ187" s="239">
        <v>36</v>
      </c>
      <c r="FR187" s="239" t="s">
        <v>2</v>
      </c>
      <c r="FS187" s="239" t="s">
        <v>4</v>
      </c>
      <c r="FT187" s="239" t="s">
        <v>4</v>
      </c>
      <c r="FU187" s="239" t="s">
        <v>2</v>
      </c>
      <c r="FV187" s="239" t="s">
        <v>4</v>
      </c>
      <c r="FW187" s="239" t="s">
        <v>4</v>
      </c>
      <c r="FX187" s="239" t="s">
        <v>4</v>
      </c>
      <c r="FY187" s="239" t="s">
        <v>4</v>
      </c>
      <c r="FZ187" s="239" t="s">
        <v>4</v>
      </c>
      <c r="GA187" s="239" t="s">
        <v>4</v>
      </c>
      <c r="GB187" s="240" t="s">
        <v>4</v>
      </c>
      <c r="GC187" s="239" t="s">
        <v>4</v>
      </c>
      <c r="GD187" s="239" t="s">
        <v>2</v>
      </c>
      <c r="GE187" s="239" t="s">
        <v>4</v>
      </c>
      <c r="GF187" s="239" t="s">
        <v>4</v>
      </c>
      <c r="GG187" s="239" t="s">
        <v>7</v>
      </c>
      <c r="GH187" s="239" t="s">
        <v>2</v>
      </c>
      <c r="GI187" s="239" t="s">
        <v>4</v>
      </c>
      <c r="GJ187" s="239" t="s">
        <v>4</v>
      </c>
      <c r="GK187" s="239" t="s">
        <v>29304</v>
      </c>
      <c r="GL187" s="239" t="s">
        <v>36269</v>
      </c>
      <c r="GM187" s="239" t="s">
        <v>29940</v>
      </c>
      <c r="GN187" s="239" t="s">
        <v>4</v>
      </c>
      <c r="GO187" s="239" t="s">
        <v>29941</v>
      </c>
      <c r="GP187" s="239" t="s">
        <v>4</v>
      </c>
      <c r="GQ187" s="239" t="s">
        <v>4</v>
      </c>
      <c r="GR187" s="239" t="s">
        <v>4</v>
      </c>
      <c r="GS187" s="239" t="s">
        <v>4</v>
      </c>
      <c r="GT187" s="239" t="s">
        <v>4</v>
      </c>
      <c r="GU187" s="239" t="s">
        <v>4</v>
      </c>
      <c r="GV187" s="239" t="s">
        <v>4</v>
      </c>
      <c r="GW187" s="239" t="s">
        <v>4</v>
      </c>
      <c r="GX187" s="239" t="s">
        <v>4</v>
      </c>
      <c r="GY187" s="239" t="s">
        <v>4</v>
      </c>
      <c r="GZ187" s="239" t="s">
        <v>4</v>
      </c>
      <c r="HA187" s="239" t="s">
        <v>4</v>
      </c>
      <c r="HB187" s="239" t="s">
        <v>4</v>
      </c>
      <c r="HC187" s="239" t="s">
        <v>4</v>
      </c>
      <c r="HD187" s="239" t="s">
        <v>4</v>
      </c>
      <c r="HE187" s="239" t="s">
        <v>4</v>
      </c>
      <c r="HF187" s="239" t="s">
        <v>4</v>
      </c>
      <c r="HG187" s="239" t="s">
        <v>4</v>
      </c>
      <c r="HH187" s="239" t="s">
        <v>31388</v>
      </c>
      <c r="HI187" s="239" t="s">
        <v>4</v>
      </c>
      <c r="HJ187" s="240">
        <v>0</v>
      </c>
      <c r="HK187" s="239" t="s">
        <v>2</v>
      </c>
      <c r="HL187" s="239" t="s">
        <v>29837</v>
      </c>
      <c r="HM187" s="239" t="s">
        <v>4</v>
      </c>
      <c r="HN187" s="239" t="s">
        <v>4</v>
      </c>
      <c r="HO187" s="239" t="s">
        <v>4</v>
      </c>
      <c r="HP187" s="239" t="s">
        <v>4</v>
      </c>
      <c r="HQ187" s="239" t="s">
        <v>4</v>
      </c>
      <c r="HR187" s="239" t="s">
        <v>4</v>
      </c>
      <c r="HS187" s="239" t="s">
        <v>4</v>
      </c>
      <c r="HT187" s="239" t="s">
        <v>4</v>
      </c>
      <c r="HU187" s="239" t="s">
        <v>2</v>
      </c>
      <c r="HV187" s="239" t="s">
        <v>4</v>
      </c>
      <c r="HW187" s="239" t="s">
        <v>4</v>
      </c>
      <c r="HX187" s="239" t="s">
        <v>4</v>
      </c>
      <c r="HY187" s="239" t="s">
        <v>4</v>
      </c>
      <c r="HZ187" s="239" t="s">
        <v>31389</v>
      </c>
      <c r="IA187" s="239" t="s">
        <v>7</v>
      </c>
      <c r="IB187" s="239" t="s">
        <v>31390</v>
      </c>
      <c r="IC187" s="239" t="s">
        <v>30705</v>
      </c>
      <c r="ID187" s="239" t="s">
        <v>31391</v>
      </c>
      <c r="IE187" s="239" t="s">
        <v>31392</v>
      </c>
      <c r="IF187" s="239" t="s">
        <v>31393</v>
      </c>
      <c r="IG187" s="239" t="s">
        <v>31394</v>
      </c>
      <c r="IH187" s="239" t="s">
        <v>31384</v>
      </c>
    </row>
    <row r="188" spans="1:242" s="1" customFormat="1" ht="36.75" customHeight="1" x14ac:dyDescent="0.2">
      <c r="A188" s="556">
        <v>44</v>
      </c>
      <c r="B188" s="556" t="s">
        <v>20897</v>
      </c>
      <c r="C188" s="556" t="s">
        <v>29823</v>
      </c>
      <c r="D188" s="556" t="s">
        <v>29799</v>
      </c>
      <c r="E188" s="556" t="s">
        <v>7</v>
      </c>
      <c r="F188" s="556" t="s">
        <v>29824</v>
      </c>
      <c r="G188" s="556">
        <v>1611.0424800000001</v>
      </c>
      <c r="H188" s="556">
        <v>3.790092</v>
      </c>
      <c r="I188" s="556" t="s">
        <v>29288</v>
      </c>
      <c r="J188" s="556" t="s">
        <v>4</v>
      </c>
      <c r="K188" s="556" t="s">
        <v>29825</v>
      </c>
      <c r="L188" s="556">
        <v>772497344</v>
      </c>
      <c r="M188" s="556" t="s">
        <v>3</v>
      </c>
      <c r="N188" s="556" t="s">
        <v>31590</v>
      </c>
      <c r="O188" s="556" t="s">
        <v>4</v>
      </c>
      <c r="P188" s="556">
        <v>4</v>
      </c>
      <c r="Q188" s="556" t="s">
        <v>7</v>
      </c>
      <c r="R188" s="556" t="s">
        <v>31588</v>
      </c>
      <c r="S188" s="556" t="s">
        <v>4</v>
      </c>
      <c r="T188" s="556" t="s">
        <v>2</v>
      </c>
      <c r="U188" s="556" t="s">
        <v>4</v>
      </c>
      <c r="V188" s="556"/>
      <c r="W188" s="556" t="s">
        <v>4</v>
      </c>
      <c r="X188" s="556" t="s">
        <v>4</v>
      </c>
      <c r="Y188" s="557">
        <v>44995</v>
      </c>
      <c r="Z188" s="557" t="str">
        <f>IF(OR(T188="yes",Y188&gt;'SDG outcome'!$C$27),"yes","no")</f>
        <v>no</v>
      </c>
      <c r="AA188" s="558" t="str">
        <f t="shared" si="13"/>
        <v/>
      </c>
      <c r="AB188" s="558">
        <f>IF(AND(Z188="no",AND(Y188&gt;='SDG outcome'!$B$16,Y188&lt;'SDG outcome'!$C$27)),Y188-'SDG outcome'!$B$16,"")</f>
        <v>325</v>
      </c>
      <c r="AC188" s="556" t="s">
        <v>31699</v>
      </c>
      <c r="AD188" s="556" t="s">
        <v>4</v>
      </c>
      <c r="AE188" s="556" t="s">
        <v>4</v>
      </c>
      <c r="AF188" s="556" t="s">
        <v>4</v>
      </c>
      <c r="AG188" s="556" t="s">
        <v>4</v>
      </c>
      <c r="AH188" s="556" t="s">
        <v>9</v>
      </c>
      <c r="AI188" s="557" t="s">
        <v>9</v>
      </c>
      <c r="AJ188" s="556" t="s">
        <v>4</v>
      </c>
      <c r="AK188" s="556"/>
      <c r="AL188" s="556"/>
      <c r="AM188" s="556"/>
      <c r="AN188" s="556"/>
      <c r="AO188" s="556"/>
      <c r="AP188" s="556"/>
      <c r="AQ188" s="556"/>
      <c r="AR188" s="556"/>
      <c r="AS188" s="556"/>
      <c r="AT188" s="556"/>
      <c r="AU188" s="556"/>
      <c r="AV188" s="556"/>
      <c r="AW188" s="556"/>
      <c r="AX188" s="556"/>
      <c r="AY188" s="556"/>
      <c r="AZ188" s="556"/>
      <c r="BA188" s="556"/>
      <c r="BB188" s="556"/>
      <c r="BC188" s="556"/>
      <c r="BD188" s="556"/>
      <c r="BE188" s="556"/>
      <c r="BF188" s="556"/>
      <c r="BG188" s="556"/>
      <c r="BH188" s="556"/>
      <c r="BI188" s="556"/>
      <c r="BJ188" s="556"/>
      <c r="BK188" s="556"/>
      <c r="BL188" s="556"/>
      <c r="BM188" s="556"/>
      <c r="BN188" s="556"/>
      <c r="BO188" s="556"/>
      <c r="BP188" s="556"/>
      <c r="BQ188" s="556"/>
      <c r="BR188" s="556"/>
      <c r="BS188" s="556"/>
      <c r="BT188" s="556"/>
      <c r="BU188" s="556"/>
      <c r="BV188" s="556"/>
      <c r="BW188" s="556"/>
      <c r="BX188" s="556"/>
      <c r="BY188" s="556"/>
      <c r="BZ188" s="556"/>
      <c r="CA188" s="556"/>
      <c r="CB188" s="556"/>
      <c r="CC188" s="556"/>
      <c r="CD188" s="556"/>
      <c r="CE188" s="556"/>
      <c r="CF188" s="556"/>
      <c r="CG188" s="556"/>
      <c r="CH188" s="556"/>
      <c r="CI188" s="556"/>
      <c r="CJ188" s="556"/>
      <c r="CK188" s="556"/>
      <c r="CL188" s="556"/>
      <c r="CM188" s="556"/>
      <c r="CN188" s="556"/>
      <c r="CO188" s="556"/>
      <c r="CP188" s="556"/>
      <c r="CQ188" s="556"/>
      <c r="CR188" s="556"/>
      <c r="CS188" s="556"/>
      <c r="CT188" s="556"/>
      <c r="CU188" s="556"/>
      <c r="CV188" s="556"/>
      <c r="CW188" s="556"/>
      <c r="CX188" s="556"/>
      <c r="CY188" s="556"/>
      <c r="CZ188" s="556"/>
      <c r="DA188" s="556"/>
      <c r="DB188" s="556"/>
      <c r="DC188" s="556"/>
      <c r="DD188" s="556"/>
      <c r="DE188" s="556"/>
      <c r="DF188" s="556"/>
      <c r="DG188" s="556"/>
      <c r="DH188" s="556"/>
      <c r="DI188" s="556"/>
      <c r="DJ188" s="556"/>
      <c r="DK188" s="556"/>
      <c r="DL188" s="556"/>
      <c r="DM188" s="556"/>
      <c r="DN188" s="556"/>
      <c r="DO188" s="556"/>
      <c r="DP188" s="556"/>
      <c r="DQ188" s="556"/>
      <c r="DR188" s="556"/>
      <c r="DS188" s="556"/>
      <c r="DT188" s="559"/>
      <c r="DU188" s="556"/>
      <c r="DV188" s="559"/>
      <c r="DW188" s="556"/>
      <c r="DX188" s="556"/>
      <c r="DY188" s="556"/>
      <c r="DZ188" s="556"/>
      <c r="EA188" s="556"/>
      <c r="EB188" s="556"/>
      <c r="EC188" s="556"/>
      <c r="ED188" s="556"/>
      <c r="EE188" s="560"/>
      <c r="EF188" s="560"/>
      <c r="EG188" s="560"/>
      <c r="EH188" s="560"/>
      <c r="EI188" s="560"/>
      <c r="EJ188" s="556"/>
      <c r="EK188" s="556"/>
      <c r="EL188" s="556"/>
      <c r="EM188" s="556"/>
      <c r="EN188" s="556"/>
      <c r="EO188" s="556"/>
      <c r="EP188" s="556"/>
      <c r="EQ188" s="556"/>
      <c r="ER188" s="556"/>
      <c r="ES188" s="556"/>
      <c r="ET188" s="556"/>
      <c r="EU188" s="556"/>
      <c r="EV188" s="560"/>
      <c r="EW188" s="560"/>
      <c r="EX188" s="560"/>
      <c r="EY188" s="560"/>
      <c r="EZ188" s="560"/>
      <c r="FA188" s="556"/>
      <c r="FB188" s="556"/>
      <c r="FC188" s="556"/>
      <c r="FD188" s="556"/>
      <c r="FE188" s="556"/>
      <c r="FF188" s="556"/>
      <c r="FG188" s="556"/>
      <c r="FH188" s="556"/>
      <c r="FI188" s="556"/>
      <c r="FJ188" s="556"/>
      <c r="FK188" s="556"/>
      <c r="FL188" s="556"/>
      <c r="FM188" s="556"/>
      <c r="FN188" s="556"/>
      <c r="FO188" s="556"/>
      <c r="FP188" s="556"/>
      <c r="FQ188" s="556"/>
      <c r="FR188" s="556"/>
      <c r="FS188" s="556"/>
      <c r="FT188" s="556"/>
      <c r="FU188" s="556"/>
      <c r="FV188" s="556"/>
      <c r="FW188" s="556"/>
      <c r="FX188" s="556"/>
      <c r="FY188" s="556"/>
      <c r="FZ188" s="556"/>
      <c r="GA188" s="556"/>
      <c r="GB188" s="559"/>
      <c r="GC188" s="556"/>
      <c r="GD188" s="556"/>
      <c r="GE188" s="556"/>
      <c r="GF188" s="556"/>
      <c r="GG188" s="556"/>
      <c r="GH188" s="556"/>
      <c r="GI188" s="556"/>
      <c r="GJ188" s="556"/>
      <c r="GK188" s="556"/>
      <c r="GL188" s="556"/>
      <c r="GM188" s="556"/>
      <c r="GN188" s="556"/>
      <c r="GO188" s="556"/>
      <c r="GP188" s="556"/>
      <c r="GQ188" s="556"/>
      <c r="GR188" s="556"/>
      <c r="GS188" s="556"/>
      <c r="GT188" s="556"/>
      <c r="GU188" s="556"/>
      <c r="GV188" s="556"/>
      <c r="GW188" s="556"/>
      <c r="GX188" s="556"/>
      <c r="GY188" s="556"/>
      <c r="GZ188" s="556"/>
      <c r="HA188" s="556"/>
      <c r="HB188" s="556"/>
      <c r="HC188" s="556"/>
      <c r="HD188" s="556"/>
      <c r="HE188" s="556"/>
      <c r="HF188" s="556"/>
      <c r="HG188" s="556"/>
      <c r="HH188" s="556"/>
      <c r="HI188" s="556"/>
      <c r="HJ188" s="559"/>
      <c r="HK188" s="556"/>
      <c r="HL188" s="556"/>
      <c r="HM188" s="556"/>
      <c r="HN188" s="556"/>
      <c r="HO188" s="556"/>
      <c r="HP188" s="556"/>
      <c r="HQ188" s="556"/>
      <c r="HR188" s="556"/>
      <c r="HS188" s="556"/>
      <c r="HT188" s="556"/>
      <c r="HU188" s="556"/>
      <c r="HV188" s="556"/>
      <c r="HW188" s="556"/>
      <c r="HX188" s="556"/>
      <c r="HY188" s="556"/>
      <c r="HZ188" s="556" t="s">
        <v>29826</v>
      </c>
      <c r="IA188" s="556" t="s">
        <v>2</v>
      </c>
      <c r="IB188" s="556" t="s">
        <v>4</v>
      </c>
      <c r="IC188" s="556" t="s">
        <v>29827</v>
      </c>
      <c r="ID188" s="556" t="s">
        <v>29828</v>
      </c>
      <c r="IE188" s="556" t="s">
        <v>29829</v>
      </c>
      <c r="IF188" s="556" t="s">
        <v>29830</v>
      </c>
      <c r="IG188" s="556" t="s">
        <v>29831</v>
      </c>
      <c r="IH188" s="556" t="s">
        <v>29823</v>
      </c>
    </row>
    <row r="189" spans="1:242" s="1" customFormat="1" ht="36.75" customHeight="1" x14ac:dyDescent="0.2">
      <c r="A189" s="556">
        <v>22</v>
      </c>
      <c r="B189" s="556" t="s">
        <v>16957</v>
      </c>
      <c r="C189" s="556" t="s">
        <v>29587</v>
      </c>
      <c r="D189" s="556" t="s">
        <v>29563</v>
      </c>
      <c r="E189" s="556" t="s">
        <v>7</v>
      </c>
      <c r="F189" s="556" t="s">
        <v>29588</v>
      </c>
      <c r="G189" s="556">
        <v>1086.5999999999999</v>
      </c>
      <c r="H189" s="556">
        <v>4.9000000000000004</v>
      </c>
      <c r="I189" s="556" t="s">
        <v>29389</v>
      </c>
      <c r="J189" s="556" t="s">
        <v>29589</v>
      </c>
      <c r="K189" s="556" t="s">
        <v>29590</v>
      </c>
      <c r="L189" s="556" t="s">
        <v>29591</v>
      </c>
      <c r="M189" s="556" t="s">
        <v>5</v>
      </c>
      <c r="N189" s="556" t="s">
        <v>31438</v>
      </c>
      <c r="O189" s="556">
        <v>43</v>
      </c>
      <c r="P189" s="556">
        <v>20</v>
      </c>
      <c r="Q189" s="556" t="s">
        <v>7</v>
      </c>
      <c r="R189" s="556" t="s">
        <v>31588</v>
      </c>
      <c r="S189" s="556" t="s">
        <v>4</v>
      </c>
      <c r="T189" s="556" t="s">
        <v>2</v>
      </c>
      <c r="U189" s="556" t="s">
        <v>4</v>
      </c>
      <c r="V189" s="556"/>
      <c r="W189" s="556" t="s">
        <v>4</v>
      </c>
      <c r="X189" s="556" t="s">
        <v>4</v>
      </c>
      <c r="Y189" s="557">
        <v>44992</v>
      </c>
      <c r="Z189" s="557" t="str">
        <f>IF(OR(T189="yes",Y189&gt;'SDG outcome'!$C$27),"yes","no")</f>
        <v>no</v>
      </c>
      <c r="AA189" s="558" t="str">
        <f t="shared" si="13"/>
        <v/>
      </c>
      <c r="AB189" s="558">
        <f>IF(AND(Z189="no",AND(Y189&gt;='SDG outcome'!$B$16,Y189&lt;'SDG outcome'!$C$27)),Y189-'SDG outcome'!$B$16,"")</f>
        <v>322</v>
      </c>
      <c r="AC189" s="556" t="s">
        <v>31572</v>
      </c>
      <c r="AD189" s="556" t="s">
        <v>4</v>
      </c>
      <c r="AE189" s="556" t="s">
        <v>2</v>
      </c>
      <c r="AF189" s="556" t="s">
        <v>4</v>
      </c>
      <c r="AG189" s="556" t="s">
        <v>31660</v>
      </c>
      <c r="AH189" s="556" t="s">
        <v>7</v>
      </c>
      <c r="AI189" s="557" t="s">
        <v>9</v>
      </c>
      <c r="AJ189" s="556" t="s">
        <v>4</v>
      </c>
      <c r="AK189" s="556"/>
      <c r="AL189" s="556"/>
      <c r="AM189" s="556"/>
      <c r="AN189" s="556"/>
      <c r="AO189" s="556"/>
      <c r="AP189" s="556"/>
      <c r="AQ189" s="556"/>
      <c r="AR189" s="556"/>
      <c r="AS189" s="556"/>
      <c r="AT189" s="556"/>
      <c r="AU189" s="556"/>
      <c r="AV189" s="556"/>
      <c r="AW189" s="556"/>
      <c r="AX189" s="556"/>
      <c r="AY189" s="556"/>
      <c r="AZ189" s="556"/>
      <c r="BA189" s="556"/>
      <c r="BB189" s="556"/>
      <c r="BC189" s="556"/>
      <c r="BD189" s="556"/>
      <c r="BE189" s="556"/>
      <c r="BF189" s="556"/>
      <c r="BG189" s="556"/>
      <c r="BH189" s="556"/>
      <c r="BI189" s="556"/>
      <c r="BJ189" s="556"/>
      <c r="BK189" s="556"/>
      <c r="BL189" s="556"/>
      <c r="BM189" s="556"/>
      <c r="BN189" s="556"/>
      <c r="BO189" s="556"/>
      <c r="BP189" s="556"/>
      <c r="BQ189" s="556"/>
      <c r="BR189" s="556"/>
      <c r="BS189" s="556"/>
      <c r="BT189" s="556"/>
      <c r="BU189" s="556"/>
      <c r="BV189" s="556"/>
      <c r="BW189" s="556"/>
      <c r="BX189" s="556"/>
      <c r="BY189" s="556"/>
      <c r="BZ189" s="556"/>
      <c r="CA189" s="556"/>
      <c r="CB189" s="556"/>
      <c r="CC189" s="556"/>
      <c r="CD189" s="556"/>
      <c r="CE189" s="556"/>
      <c r="CF189" s="556"/>
      <c r="CG189" s="556"/>
      <c r="CH189" s="556"/>
      <c r="CI189" s="556"/>
      <c r="CJ189" s="556"/>
      <c r="CK189" s="556"/>
      <c r="CL189" s="556"/>
      <c r="CM189" s="556"/>
      <c r="CN189" s="556"/>
      <c r="CO189" s="556"/>
      <c r="CP189" s="556"/>
      <c r="CQ189" s="556"/>
      <c r="CR189" s="556"/>
      <c r="CS189" s="556"/>
      <c r="CT189" s="556"/>
      <c r="CU189" s="556"/>
      <c r="CV189" s="556"/>
      <c r="CW189" s="556"/>
      <c r="CX189" s="556"/>
      <c r="CY189" s="556"/>
      <c r="CZ189" s="556"/>
      <c r="DA189" s="556"/>
      <c r="DB189" s="556"/>
      <c r="DC189" s="556"/>
      <c r="DD189" s="556"/>
      <c r="DE189" s="556"/>
      <c r="DF189" s="556"/>
      <c r="DG189" s="556"/>
      <c r="DH189" s="556"/>
      <c r="DI189" s="556"/>
      <c r="DJ189" s="556"/>
      <c r="DK189" s="556"/>
      <c r="DL189" s="556"/>
      <c r="DM189" s="556"/>
      <c r="DN189" s="556"/>
      <c r="DO189" s="556"/>
      <c r="DP189" s="556"/>
      <c r="DQ189" s="556"/>
      <c r="DR189" s="556"/>
      <c r="DS189" s="556"/>
      <c r="DT189" s="559"/>
      <c r="DU189" s="556"/>
      <c r="DV189" s="559"/>
      <c r="DW189" s="556"/>
      <c r="DX189" s="556"/>
      <c r="DY189" s="556"/>
      <c r="DZ189" s="556"/>
      <c r="EA189" s="556"/>
      <c r="EB189" s="556"/>
      <c r="EC189" s="556"/>
      <c r="ED189" s="556"/>
      <c r="EE189" s="560"/>
      <c r="EF189" s="560"/>
      <c r="EG189" s="560"/>
      <c r="EH189" s="560"/>
      <c r="EI189" s="560"/>
      <c r="EJ189" s="556"/>
      <c r="EK189" s="556"/>
      <c r="EL189" s="556"/>
      <c r="EM189" s="556"/>
      <c r="EN189" s="556"/>
      <c r="EO189" s="556"/>
      <c r="EP189" s="556"/>
      <c r="EQ189" s="556"/>
      <c r="ER189" s="556"/>
      <c r="ES189" s="556"/>
      <c r="ET189" s="556"/>
      <c r="EU189" s="556"/>
      <c r="EV189" s="560"/>
      <c r="EW189" s="560"/>
      <c r="EX189" s="560"/>
      <c r="EY189" s="560"/>
      <c r="EZ189" s="560"/>
      <c r="FA189" s="556"/>
      <c r="FB189" s="556"/>
      <c r="FC189" s="556"/>
      <c r="FD189" s="556"/>
      <c r="FE189" s="556"/>
      <c r="FF189" s="556"/>
      <c r="FG189" s="556"/>
      <c r="FH189" s="556"/>
      <c r="FI189" s="556"/>
      <c r="FJ189" s="556"/>
      <c r="FK189" s="556"/>
      <c r="FL189" s="556"/>
      <c r="FM189" s="556"/>
      <c r="FN189" s="556"/>
      <c r="FO189" s="556"/>
      <c r="FP189" s="556"/>
      <c r="FQ189" s="556"/>
      <c r="FR189" s="556"/>
      <c r="FS189" s="556"/>
      <c r="FT189" s="556"/>
      <c r="FU189" s="556"/>
      <c r="FV189" s="556"/>
      <c r="FW189" s="556"/>
      <c r="FX189" s="556"/>
      <c r="FY189" s="556"/>
      <c r="FZ189" s="556"/>
      <c r="GA189" s="556"/>
      <c r="GB189" s="559"/>
      <c r="GC189" s="556"/>
      <c r="GD189" s="556"/>
      <c r="GE189" s="556"/>
      <c r="GF189" s="556"/>
      <c r="GG189" s="556"/>
      <c r="GH189" s="556"/>
      <c r="GI189" s="556"/>
      <c r="GJ189" s="556"/>
      <c r="GK189" s="556"/>
      <c r="GL189" s="556"/>
      <c r="GM189" s="556"/>
      <c r="GN189" s="556"/>
      <c r="GO189" s="556"/>
      <c r="GP189" s="556"/>
      <c r="GQ189" s="556"/>
      <c r="GR189" s="556"/>
      <c r="GS189" s="556"/>
      <c r="GT189" s="556"/>
      <c r="GU189" s="556"/>
      <c r="GV189" s="556"/>
      <c r="GW189" s="556"/>
      <c r="GX189" s="556"/>
      <c r="GY189" s="556"/>
      <c r="GZ189" s="556"/>
      <c r="HA189" s="556"/>
      <c r="HB189" s="556"/>
      <c r="HC189" s="556"/>
      <c r="HD189" s="556"/>
      <c r="HE189" s="556"/>
      <c r="HF189" s="556"/>
      <c r="HG189" s="556"/>
      <c r="HH189" s="556"/>
      <c r="HI189" s="556"/>
      <c r="HJ189" s="559"/>
      <c r="HK189" s="556"/>
      <c r="HL189" s="556"/>
      <c r="HM189" s="556"/>
      <c r="HN189" s="556"/>
      <c r="HO189" s="556"/>
      <c r="HP189" s="556"/>
      <c r="HQ189" s="556"/>
      <c r="HR189" s="556"/>
      <c r="HS189" s="556"/>
      <c r="HT189" s="556"/>
      <c r="HU189" s="556"/>
      <c r="HV189" s="556"/>
      <c r="HW189" s="556"/>
      <c r="HX189" s="556"/>
      <c r="HY189" s="556"/>
      <c r="HZ189" s="556" t="s">
        <v>29592</v>
      </c>
      <c r="IA189" s="556" t="s">
        <v>7</v>
      </c>
      <c r="IB189" s="556" t="s">
        <v>29593</v>
      </c>
      <c r="IC189" s="556" t="s">
        <v>29594</v>
      </c>
      <c r="ID189" s="556" t="s">
        <v>29595</v>
      </c>
      <c r="IE189" s="556" t="s">
        <v>29596</v>
      </c>
      <c r="IF189" s="556" t="s">
        <v>29597</v>
      </c>
      <c r="IG189" s="556" t="s">
        <v>29598</v>
      </c>
      <c r="IH189" s="556" t="s">
        <v>29599</v>
      </c>
    </row>
    <row r="190" spans="1:242" s="1" customFormat="1" ht="36.75" customHeight="1" x14ac:dyDescent="0.2">
      <c r="A190" s="556">
        <v>31</v>
      </c>
      <c r="B190" s="556" t="s">
        <v>11153</v>
      </c>
      <c r="C190" s="556" t="s">
        <v>29681</v>
      </c>
      <c r="D190" s="556" t="s">
        <v>29563</v>
      </c>
      <c r="E190" s="556" t="s">
        <v>7</v>
      </c>
      <c r="F190" s="556" t="s">
        <v>29682</v>
      </c>
      <c r="G190" s="556">
        <v>1051.3</v>
      </c>
      <c r="H190" s="556">
        <v>5</v>
      </c>
      <c r="I190" s="556" t="s">
        <v>29319</v>
      </c>
      <c r="J190" s="556" t="s">
        <v>4</v>
      </c>
      <c r="K190" s="556" t="s">
        <v>29683</v>
      </c>
      <c r="L190" s="556">
        <v>78243921</v>
      </c>
      <c r="M190" s="556" t="s">
        <v>5</v>
      </c>
      <c r="N190" s="556" t="s">
        <v>31590</v>
      </c>
      <c r="O190" s="556" t="s">
        <v>4</v>
      </c>
      <c r="P190" s="556">
        <v>9</v>
      </c>
      <c r="Q190" s="556" t="s">
        <v>7</v>
      </c>
      <c r="R190" s="556" t="s">
        <v>31655</v>
      </c>
      <c r="S190" s="556" t="s">
        <v>4</v>
      </c>
      <c r="T190" s="556" t="s">
        <v>2</v>
      </c>
      <c r="U190" s="556" t="s">
        <v>4</v>
      </c>
      <c r="V190" s="556"/>
      <c r="W190" s="556" t="s">
        <v>4</v>
      </c>
      <c r="X190" s="556" t="s">
        <v>4</v>
      </c>
      <c r="Y190" s="557">
        <v>44945</v>
      </c>
      <c r="Z190" s="557" t="str">
        <f>IF(OR(T190="yes",Y190&gt;'SDG outcome'!$C$27),"yes","no")</f>
        <v>no</v>
      </c>
      <c r="AA190" s="558" t="str">
        <f t="shared" si="13"/>
        <v/>
      </c>
      <c r="AB190" s="558">
        <f>IF(AND(Z190="no",AND(Y190&gt;='SDG outcome'!$B$16,Y190&lt;'SDG outcome'!$C$27)),Y190-'SDG outcome'!$B$16,"")</f>
        <v>275</v>
      </c>
      <c r="AC190" s="556" t="s">
        <v>8</v>
      </c>
      <c r="AD190" s="556" t="s">
        <v>31675</v>
      </c>
      <c r="AE190" s="556" t="s">
        <v>4</v>
      </c>
      <c r="AF190" s="556" t="s">
        <v>4</v>
      </c>
      <c r="AG190" s="556" t="s">
        <v>4</v>
      </c>
      <c r="AH190" s="556" t="s">
        <v>4</v>
      </c>
      <c r="AI190" s="557" t="s">
        <v>4</v>
      </c>
      <c r="AJ190" s="556" t="s">
        <v>4</v>
      </c>
      <c r="AK190" s="556"/>
      <c r="AL190" s="556"/>
      <c r="AM190" s="556"/>
      <c r="AN190" s="556"/>
      <c r="AO190" s="556"/>
      <c r="AP190" s="556"/>
      <c r="AQ190" s="556"/>
      <c r="AR190" s="556"/>
      <c r="AS190" s="556"/>
      <c r="AT190" s="556"/>
      <c r="AU190" s="556"/>
      <c r="AV190" s="556"/>
      <c r="AW190" s="556"/>
      <c r="AX190" s="556"/>
      <c r="AY190" s="556"/>
      <c r="AZ190" s="556"/>
      <c r="BA190" s="556"/>
      <c r="BB190" s="556"/>
      <c r="BC190" s="556"/>
      <c r="BD190" s="556"/>
      <c r="BE190" s="556"/>
      <c r="BF190" s="556"/>
      <c r="BG190" s="556"/>
      <c r="BH190" s="556"/>
      <c r="BI190" s="556"/>
      <c r="BJ190" s="556"/>
      <c r="BK190" s="556"/>
      <c r="BL190" s="556"/>
      <c r="BM190" s="556"/>
      <c r="BN190" s="556"/>
      <c r="BO190" s="556"/>
      <c r="BP190" s="556"/>
      <c r="BQ190" s="556"/>
      <c r="BR190" s="556"/>
      <c r="BS190" s="556"/>
      <c r="BT190" s="556"/>
      <c r="BU190" s="556"/>
      <c r="BV190" s="556"/>
      <c r="BW190" s="556"/>
      <c r="BX190" s="556"/>
      <c r="BY190" s="556"/>
      <c r="BZ190" s="556"/>
      <c r="CA190" s="556"/>
      <c r="CB190" s="556"/>
      <c r="CC190" s="556"/>
      <c r="CD190" s="556"/>
      <c r="CE190" s="556"/>
      <c r="CF190" s="556"/>
      <c r="CG190" s="556"/>
      <c r="CH190" s="556"/>
      <c r="CI190" s="556"/>
      <c r="CJ190" s="556"/>
      <c r="CK190" s="556"/>
      <c r="CL190" s="556"/>
      <c r="CM190" s="556"/>
      <c r="CN190" s="556"/>
      <c r="CO190" s="556"/>
      <c r="CP190" s="556"/>
      <c r="CQ190" s="556"/>
      <c r="CR190" s="556"/>
      <c r="CS190" s="556"/>
      <c r="CT190" s="556"/>
      <c r="CU190" s="556"/>
      <c r="CV190" s="556"/>
      <c r="CW190" s="556"/>
      <c r="CX190" s="556"/>
      <c r="CY190" s="556"/>
      <c r="CZ190" s="556"/>
      <c r="DA190" s="556"/>
      <c r="DB190" s="556"/>
      <c r="DC190" s="556"/>
      <c r="DD190" s="556"/>
      <c r="DE190" s="556"/>
      <c r="DF190" s="556"/>
      <c r="DG190" s="556"/>
      <c r="DH190" s="556"/>
      <c r="DI190" s="556"/>
      <c r="DJ190" s="556"/>
      <c r="DK190" s="556"/>
      <c r="DL190" s="556"/>
      <c r="DM190" s="556"/>
      <c r="DN190" s="556"/>
      <c r="DO190" s="556"/>
      <c r="DP190" s="556"/>
      <c r="DQ190" s="556"/>
      <c r="DR190" s="556"/>
      <c r="DS190" s="556"/>
      <c r="DT190" s="559"/>
      <c r="DU190" s="556"/>
      <c r="DV190" s="559"/>
      <c r="DW190" s="556"/>
      <c r="DX190" s="556"/>
      <c r="DY190" s="556"/>
      <c r="DZ190" s="556"/>
      <c r="EA190" s="556"/>
      <c r="EB190" s="556"/>
      <c r="EC190" s="556"/>
      <c r="ED190" s="556"/>
      <c r="EE190" s="560"/>
      <c r="EF190" s="560"/>
      <c r="EG190" s="560"/>
      <c r="EH190" s="560"/>
      <c r="EI190" s="560"/>
      <c r="EJ190" s="556"/>
      <c r="EK190" s="556"/>
      <c r="EL190" s="556"/>
      <c r="EM190" s="556"/>
      <c r="EN190" s="556"/>
      <c r="EO190" s="556"/>
      <c r="EP190" s="556"/>
      <c r="EQ190" s="556"/>
      <c r="ER190" s="556"/>
      <c r="ES190" s="556"/>
      <c r="ET190" s="556"/>
      <c r="EU190" s="556"/>
      <c r="EV190" s="560"/>
      <c r="EW190" s="560"/>
      <c r="EX190" s="560"/>
      <c r="EY190" s="560"/>
      <c r="EZ190" s="560"/>
      <c r="FA190" s="556"/>
      <c r="FB190" s="556"/>
      <c r="FC190" s="556"/>
      <c r="FD190" s="556"/>
      <c r="FE190" s="556"/>
      <c r="FF190" s="556"/>
      <c r="FG190" s="556"/>
      <c r="FH190" s="556"/>
      <c r="FI190" s="556"/>
      <c r="FJ190" s="556"/>
      <c r="FK190" s="556"/>
      <c r="FL190" s="556"/>
      <c r="FM190" s="556"/>
      <c r="FN190" s="556"/>
      <c r="FO190" s="556"/>
      <c r="FP190" s="556"/>
      <c r="FQ190" s="556"/>
      <c r="FR190" s="556"/>
      <c r="FS190" s="556"/>
      <c r="FT190" s="556"/>
      <c r="FU190" s="556"/>
      <c r="FV190" s="556"/>
      <c r="FW190" s="556"/>
      <c r="FX190" s="556"/>
      <c r="FY190" s="556"/>
      <c r="FZ190" s="556"/>
      <c r="GA190" s="556"/>
      <c r="GB190" s="559"/>
      <c r="GC190" s="556"/>
      <c r="GD190" s="556"/>
      <c r="GE190" s="556"/>
      <c r="GF190" s="556"/>
      <c r="GG190" s="556"/>
      <c r="GH190" s="556"/>
      <c r="GI190" s="556"/>
      <c r="GJ190" s="556"/>
      <c r="GK190" s="556"/>
      <c r="GL190" s="556"/>
      <c r="GM190" s="556"/>
      <c r="GN190" s="556"/>
      <c r="GO190" s="556"/>
      <c r="GP190" s="556"/>
      <c r="GQ190" s="556"/>
      <c r="GR190" s="556"/>
      <c r="GS190" s="556"/>
      <c r="GT190" s="556"/>
      <c r="GU190" s="556"/>
      <c r="GV190" s="556"/>
      <c r="GW190" s="556"/>
      <c r="GX190" s="556"/>
      <c r="GY190" s="556"/>
      <c r="GZ190" s="556"/>
      <c r="HA190" s="556"/>
      <c r="HB190" s="556"/>
      <c r="HC190" s="556"/>
      <c r="HD190" s="556"/>
      <c r="HE190" s="556"/>
      <c r="HF190" s="556"/>
      <c r="HG190" s="556"/>
      <c r="HH190" s="556"/>
      <c r="HI190" s="556"/>
      <c r="HJ190" s="559"/>
      <c r="HK190" s="556"/>
      <c r="HL190" s="556"/>
      <c r="HM190" s="556"/>
      <c r="HN190" s="556"/>
      <c r="HO190" s="556"/>
      <c r="HP190" s="556"/>
      <c r="HQ190" s="556"/>
      <c r="HR190" s="556"/>
      <c r="HS190" s="556"/>
      <c r="HT190" s="556"/>
      <c r="HU190" s="556"/>
      <c r="HV190" s="556"/>
      <c r="HW190" s="556"/>
      <c r="HX190" s="556"/>
      <c r="HY190" s="556"/>
      <c r="HZ190" s="556" t="s">
        <v>16</v>
      </c>
      <c r="IA190" s="556" t="s">
        <v>2</v>
      </c>
      <c r="IB190" s="556" t="s">
        <v>4</v>
      </c>
      <c r="IC190" s="556" t="s">
        <v>29684</v>
      </c>
      <c r="ID190" s="556" t="s">
        <v>29685</v>
      </c>
      <c r="IE190" s="556" t="s">
        <v>29686</v>
      </c>
      <c r="IF190" s="556" t="s">
        <v>29687</v>
      </c>
      <c r="IG190" s="556" t="s">
        <v>29688</v>
      </c>
      <c r="IH190" s="556" t="s">
        <v>29689</v>
      </c>
    </row>
    <row r="191" spans="1:242" s="1" customFormat="1" ht="36.75" customHeight="1" x14ac:dyDescent="0.2">
      <c r="A191" s="556">
        <v>127</v>
      </c>
      <c r="B191" s="556" t="s">
        <v>15658</v>
      </c>
      <c r="C191" s="556" t="s">
        <v>30661</v>
      </c>
      <c r="D191" s="556" t="s">
        <v>30638</v>
      </c>
      <c r="E191" s="556" t="s">
        <v>7</v>
      </c>
      <c r="F191" s="556" t="s">
        <v>30662</v>
      </c>
      <c r="G191" s="556">
        <v>1182.002197</v>
      </c>
      <c r="H191" s="556">
        <v>3.2160000000000002</v>
      </c>
      <c r="I191" s="556" t="s">
        <v>29319</v>
      </c>
      <c r="J191" s="556" t="s">
        <v>4</v>
      </c>
      <c r="K191" s="556" t="s">
        <v>30663</v>
      </c>
      <c r="L191" s="556">
        <v>78263669</v>
      </c>
      <c r="M191" s="556" t="s">
        <v>5</v>
      </c>
      <c r="N191" s="556" t="s">
        <v>31844</v>
      </c>
      <c r="O191" s="556" t="s">
        <v>4</v>
      </c>
      <c r="P191" s="556">
        <v>15</v>
      </c>
      <c r="Q191" s="556" t="s">
        <v>7</v>
      </c>
      <c r="R191" s="556" t="s">
        <v>31562</v>
      </c>
      <c r="S191" s="556" t="s">
        <v>4</v>
      </c>
      <c r="T191" s="556" t="s">
        <v>2</v>
      </c>
      <c r="U191" s="556" t="s">
        <v>4</v>
      </c>
      <c r="V191" s="556"/>
      <c r="W191" s="556" t="s">
        <v>4</v>
      </c>
      <c r="X191" s="556" t="s">
        <v>4</v>
      </c>
      <c r="Y191" s="557">
        <v>44936</v>
      </c>
      <c r="Z191" s="557" t="str">
        <f>IF(OR(T191="yes",Y191&gt;'SDG outcome'!$C$27),"yes","no")</f>
        <v>no</v>
      </c>
      <c r="AA191" s="558" t="str">
        <f t="shared" si="13"/>
        <v/>
      </c>
      <c r="AB191" s="558">
        <f>IF(AND(Z191="no",AND(Y191&gt;='SDG outcome'!$B$16,Y191&lt;'SDG outcome'!$C$27)),Y191-'SDG outcome'!$B$16,"")</f>
        <v>266</v>
      </c>
      <c r="AC191" s="556" t="s">
        <v>31699</v>
      </c>
      <c r="AD191" s="556" t="s">
        <v>4</v>
      </c>
      <c r="AE191" s="556" t="s">
        <v>4</v>
      </c>
      <c r="AF191" s="556" t="s">
        <v>4</v>
      </c>
      <c r="AG191" s="556" t="s">
        <v>4</v>
      </c>
      <c r="AH191" s="556" t="s">
        <v>2</v>
      </c>
      <c r="AI191" s="557" t="s">
        <v>4</v>
      </c>
      <c r="AJ191" s="557" t="s">
        <v>4</v>
      </c>
      <c r="AK191" s="557"/>
      <c r="AL191" s="557"/>
      <c r="AM191" s="557"/>
      <c r="AN191" s="557"/>
      <c r="AO191" s="557"/>
      <c r="AP191" s="557"/>
      <c r="AQ191" s="557"/>
      <c r="AR191" s="557"/>
      <c r="AS191" s="557"/>
      <c r="AT191" s="557"/>
      <c r="AU191" s="557"/>
      <c r="AV191" s="557"/>
      <c r="AW191" s="557"/>
      <c r="AX191" s="557"/>
      <c r="AY191" s="557"/>
      <c r="AZ191" s="557"/>
      <c r="BA191" s="557"/>
      <c r="BB191" s="557"/>
      <c r="BC191" s="557"/>
      <c r="BD191" s="557"/>
      <c r="BE191" s="557"/>
      <c r="BF191" s="557"/>
      <c r="BG191" s="557"/>
      <c r="BH191" s="557"/>
      <c r="BI191" s="557"/>
      <c r="BJ191" s="557"/>
      <c r="BK191" s="557"/>
      <c r="BL191" s="557"/>
      <c r="BM191" s="557"/>
      <c r="BN191" s="557"/>
      <c r="BO191" s="557"/>
      <c r="BP191" s="557"/>
      <c r="BQ191" s="557"/>
      <c r="BR191" s="557"/>
      <c r="BS191" s="557"/>
      <c r="BT191" s="557"/>
      <c r="BU191" s="557"/>
      <c r="BV191" s="556"/>
      <c r="BW191" s="556"/>
      <c r="BX191" s="556"/>
      <c r="BY191" s="557"/>
      <c r="BZ191" s="557"/>
      <c r="CA191" s="557"/>
      <c r="CB191" s="557"/>
      <c r="CC191" s="557"/>
      <c r="CD191" s="557"/>
      <c r="CE191" s="557"/>
      <c r="CF191" s="557"/>
      <c r="CG191" s="557"/>
      <c r="CH191" s="557"/>
      <c r="CI191" s="558"/>
      <c r="CJ191" s="558"/>
      <c r="CK191" s="558"/>
      <c r="CL191" s="556"/>
      <c r="CM191" s="558"/>
      <c r="CN191" s="558"/>
      <c r="CO191" s="558"/>
      <c r="CP191" s="558"/>
      <c r="CQ191" s="558"/>
      <c r="CR191" s="558"/>
      <c r="CS191" s="556"/>
      <c r="CT191" s="557"/>
      <c r="CU191" s="557"/>
      <c r="CV191" s="557"/>
      <c r="CW191" s="557"/>
      <c r="CX191" s="557"/>
      <c r="CY191" s="557"/>
      <c r="CZ191" s="557"/>
      <c r="DA191" s="557"/>
      <c r="DB191" s="557"/>
      <c r="DC191" s="557"/>
      <c r="DD191" s="557"/>
      <c r="DE191" s="557"/>
      <c r="DF191" s="557"/>
      <c r="DG191" s="557"/>
      <c r="DH191" s="557"/>
      <c r="DI191" s="557"/>
      <c r="DJ191" s="557"/>
      <c r="DK191" s="557"/>
      <c r="DL191" s="557"/>
      <c r="DM191" s="557"/>
      <c r="DN191" s="557"/>
      <c r="DO191" s="557"/>
      <c r="DP191" s="557"/>
      <c r="DQ191" s="557"/>
      <c r="DR191" s="557"/>
      <c r="DS191" s="557"/>
      <c r="DT191" s="559"/>
      <c r="DU191" s="557"/>
      <c r="DV191" s="559"/>
      <c r="DW191" s="557"/>
      <c r="DX191" s="557"/>
      <c r="DY191" s="557"/>
      <c r="DZ191" s="557"/>
      <c r="EA191" s="557"/>
      <c r="EB191" s="557"/>
      <c r="EC191" s="557"/>
      <c r="ED191" s="557"/>
      <c r="EE191" s="560"/>
      <c r="EF191" s="560"/>
      <c r="EG191" s="560"/>
      <c r="EH191" s="560"/>
      <c r="EI191" s="560"/>
      <c r="EJ191" s="557"/>
      <c r="EK191" s="557"/>
      <c r="EL191" s="557"/>
      <c r="EM191" s="557"/>
      <c r="EN191" s="557"/>
      <c r="EO191" s="556"/>
      <c r="EP191" s="557"/>
      <c r="EQ191" s="557"/>
      <c r="ER191" s="557"/>
      <c r="ES191" s="557"/>
      <c r="ET191" s="556"/>
      <c r="EU191" s="557"/>
      <c r="EV191" s="560"/>
      <c r="EW191" s="560"/>
      <c r="EX191" s="560"/>
      <c r="EY191" s="560"/>
      <c r="EZ191" s="560"/>
      <c r="FA191" s="557"/>
      <c r="FB191" s="557"/>
      <c r="FC191" s="557"/>
      <c r="FD191" s="556"/>
      <c r="FE191" s="557"/>
      <c r="FF191" s="557"/>
      <c r="FG191" s="557"/>
      <c r="FH191" s="557"/>
      <c r="FI191" s="557"/>
      <c r="FJ191" s="557"/>
      <c r="FK191" s="557"/>
      <c r="FL191" s="557"/>
      <c r="FM191" s="557"/>
      <c r="FN191" s="556"/>
      <c r="FO191" s="557"/>
      <c r="FP191" s="557"/>
      <c r="FQ191" s="557"/>
      <c r="FR191" s="557"/>
      <c r="FS191" s="557"/>
      <c r="FT191" s="557"/>
      <c r="FU191" s="557"/>
      <c r="FV191" s="557"/>
      <c r="FW191" s="557"/>
      <c r="FX191" s="557"/>
      <c r="FY191" s="557"/>
      <c r="FZ191" s="557"/>
      <c r="GA191" s="557"/>
      <c r="GB191" s="559"/>
      <c r="GC191" s="557"/>
      <c r="GD191" s="557"/>
      <c r="GE191" s="557"/>
      <c r="GF191" s="557"/>
      <c r="GG191" s="557"/>
      <c r="GH191" s="557"/>
      <c r="GI191" s="557"/>
      <c r="GJ191" s="557"/>
      <c r="GK191" s="557"/>
      <c r="GL191" s="557"/>
      <c r="GM191" s="557"/>
      <c r="GN191" s="557"/>
      <c r="GO191" s="557"/>
      <c r="GP191" s="557"/>
      <c r="GQ191" s="557"/>
      <c r="GR191" s="557"/>
      <c r="GS191" s="557"/>
      <c r="GT191" s="557"/>
      <c r="GU191" s="557"/>
      <c r="GV191" s="557"/>
      <c r="GW191" s="557"/>
      <c r="GX191" s="557"/>
      <c r="GY191" s="557"/>
      <c r="GZ191" s="557"/>
      <c r="HA191" s="557"/>
      <c r="HB191" s="557"/>
      <c r="HC191" s="557"/>
      <c r="HD191" s="557"/>
      <c r="HE191" s="557"/>
      <c r="HF191" s="557"/>
      <c r="HG191" s="557"/>
      <c r="HH191" s="557"/>
      <c r="HI191" s="557"/>
      <c r="HJ191" s="559"/>
      <c r="HK191" s="557"/>
      <c r="HL191" s="557"/>
      <c r="HM191" s="557"/>
      <c r="HN191" s="557"/>
      <c r="HO191" s="557"/>
      <c r="HP191" s="557"/>
      <c r="HQ191" s="557"/>
      <c r="HR191" s="557"/>
      <c r="HS191" s="557"/>
      <c r="HT191" s="557"/>
      <c r="HU191" s="557"/>
      <c r="HV191" s="557"/>
      <c r="HW191" s="557"/>
      <c r="HX191" s="557"/>
      <c r="HY191" s="557"/>
      <c r="HZ191" s="556" t="s">
        <v>16</v>
      </c>
      <c r="IA191" s="556" t="s">
        <v>2</v>
      </c>
      <c r="IB191" s="556" t="s">
        <v>4</v>
      </c>
      <c r="IC191" s="556" t="s">
        <v>16</v>
      </c>
      <c r="ID191" s="556" t="s">
        <v>9</v>
      </c>
      <c r="IE191" s="556" t="s">
        <v>9</v>
      </c>
      <c r="IF191" s="556" t="s">
        <v>9</v>
      </c>
      <c r="IG191" s="556" t="s">
        <v>9</v>
      </c>
      <c r="IH191" s="556" t="s">
        <v>30661</v>
      </c>
    </row>
    <row r="192" spans="1:242" s="1" customFormat="1" ht="36.75" customHeight="1" x14ac:dyDescent="0.2">
      <c r="A192" s="556">
        <v>117</v>
      </c>
      <c r="B192" s="556" t="s">
        <v>18316</v>
      </c>
      <c r="C192" s="556" t="s">
        <v>30579</v>
      </c>
      <c r="D192" s="556" t="s">
        <v>30534</v>
      </c>
      <c r="E192" s="556" t="s">
        <v>7</v>
      </c>
      <c r="F192" s="556" t="s">
        <v>30580</v>
      </c>
      <c r="G192" s="556">
        <v>1074.8</v>
      </c>
      <c r="H192" s="556">
        <v>7.8</v>
      </c>
      <c r="I192" s="556" t="s">
        <v>29288</v>
      </c>
      <c r="J192" s="556" t="s">
        <v>4</v>
      </c>
      <c r="K192" s="556" t="s">
        <v>30581</v>
      </c>
      <c r="L192" s="556">
        <v>777507912</v>
      </c>
      <c r="M192" s="556" t="s">
        <v>3</v>
      </c>
      <c r="N192" s="556" t="s">
        <v>31438</v>
      </c>
      <c r="O192" s="556">
        <v>74</v>
      </c>
      <c r="P192" s="556">
        <v>5</v>
      </c>
      <c r="Q192" s="556" t="s">
        <v>7</v>
      </c>
      <c r="R192" s="556" t="s">
        <v>31549</v>
      </c>
      <c r="S192" s="556" t="s">
        <v>4</v>
      </c>
      <c r="T192" s="556" t="s">
        <v>2</v>
      </c>
      <c r="U192" s="556" t="s">
        <v>4</v>
      </c>
      <c r="V192" s="556"/>
      <c r="W192" s="556" t="s">
        <v>4</v>
      </c>
      <c r="X192" s="556" t="s">
        <v>4</v>
      </c>
      <c r="Y192" s="557">
        <v>44935</v>
      </c>
      <c r="Z192" s="557" t="str">
        <f>IF(OR(T192="yes",Y192&gt;'SDG outcome'!$C$27),"yes","no")</f>
        <v>no</v>
      </c>
      <c r="AA192" s="558" t="str">
        <f t="shared" si="13"/>
        <v/>
      </c>
      <c r="AB192" s="558">
        <f>IF(AND(Z192="no",AND(Y192&gt;='SDG outcome'!$B$16,Y192&lt;'SDG outcome'!$C$27)),Y192-'SDG outcome'!$B$16,"")</f>
        <v>265</v>
      </c>
      <c r="AC192" s="556" t="s">
        <v>8</v>
      </c>
      <c r="AD192" s="556" t="s">
        <v>31837</v>
      </c>
      <c r="AE192" s="556" t="s">
        <v>4</v>
      </c>
      <c r="AF192" s="556" t="s">
        <v>4</v>
      </c>
      <c r="AG192" s="556" t="s">
        <v>4</v>
      </c>
      <c r="AH192" s="556" t="s">
        <v>7</v>
      </c>
      <c r="AI192" s="557">
        <v>45209</v>
      </c>
      <c r="AJ192" s="556" t="s">
        <v>4</v>
      </c>
      <c r="AK192" s="556"/>
      <c r="AL192" s="556"/>
      <c r="AM192" s="556"/>
      <c r="AN192" s="556"/>
      <c r="AO192" s="556"/>
      <c r="AP192" s="556"/>
      <c r="AQ192" s="556"/>
      <c r="AR192" s="556"/>
      <c r="AS192" s="556"/>
      <c r="AT192" s="556"/>
      <c r="AU192" s="556"/>
      <c r="AV192" s="556"/>
      <c r="AW192" s="556"/>
      <c r="AX192" s="556"/>
      <c r="AY192" s="556"/>
      <c r="AZ192" s="556"/>
      <c r="BA192" s="556"/>
      <c r="BB192" s="556"/>
      <c r="BC192" s="556"/>
      <c r="BD192" s="556"/>
      <c r="BE192" s="556"/>
      <c r="BF192" s="556"/>
      <c r="BG192" s="556"/>
      <c r="BH192" s="556"/>
      <c r="BI192" s="556"/>
      <c r="BJ192" s="556"/>
      <c r="BK192" s="556"/>
      <c r="BL192" s="556"/>
      <c r="BM192" s="556"/>
      <c r="BN192" s="556"/>
      <c r="BO192" s="556"/>
      <c r="BP192" s="556"/>
      <c r="BQ192" s="556"/>
      <c r="BR192" s="556"/>
      <c r="BS192" s="556"/>
      <c r="BT192" s="556"/>
      <c r="BU192" s="556"/>
      <c r="BV192" s="556"/>
      <c r="BW192" s="556"/>
      <c r="BX192" s="556"/>
      <c r="BY192" s="556"/>
      <c r="BZ192" s="556"/>
      <c r="CA192" s="556"/>
      <c r="CB192" s="556"/>
      <c r="CC192" s="556"/>
      <c r="CD192" s="556"/>
      <c r="CE192" s="556"/>
      <c r="CF192" s="556"/>
      <c r="CG192" s="556"/>
      <c r="CH192" s="556"/>
      <c r="CI192" s="556"/>
      <c r="CJ192" s="556"/>
      <c r="CK192" s="556"/>
      <c r="CL192" s="556"/>
      <c r="CM192" s="556"/>
      <c r="CN192" s="556"/>
      <c r="CO192" s="556"/>
      <c r="CP192" s="556"/>
      <c r="CQ192" s="556"/>
      <c r="CR192" s="556"/>
      <c r="CS192" s="556"/>
      <c r="CT192" s="556"/>
      <c r="CU192" s="556"/>
      <c r="CV192" s="556"/>
      <c r="CW192" s="556"/>
      <c r="CX192" s="556"/>
      <c r="CY192" s="556"/>
      <c r="CZ192" s="556"/>
      <c r="DA192" s="556"/>
      <c r="DB192" s="556"/>
      <c r="DC192" s="556"/>
      <c r="DD192" s="556"/>
      <c r="DE192" s="556"/>
      <c r="DF192" s="556"/>
      <c r="DG192" s="556"/>
      <c r="DH192" s="556"/>
      <c r="DI192" s="556"/>
      <c r="DJ192" s="556"/>
      <c r="DK192" s="556"/>
      <c r="DL192" s="556"/>
      <c r="DM192" s="556"/>
      <c r="DN192" s="556"/>
      <c r="DO192" s="556"/>
      <c r="DP192" s="556"/>
      <c r="DQ192" s="556"/>
      <c r="DR192" s="556"/>
      <c r="DS192" s="556"/>
      <c r="DT192" s="559"/>
      <c r="DU192" s="556"/>
      <c r="DV192" s="559"/>
      <c r="DW192" s="556"/>
      <c r="DX192" s="556"/>
      <c r="DY192" s="556"/>
      <c r="DZ192" s="556"/>
      <c r="EA192" s="556"/>
      <c r="EB192" s="556"/>
      <c r="EC192" s="556"/>
      <c r="ED192" s="556"/>
      <c r="EE192" s="560"/>
      <c r="EF192" s="560"/>
      <c r="EG192" s="560"/>
      <c r="EH192" s="560"/>
      <c r="EI192" s="560"/>
      <c r="EJ192" s="556"/>
      <c r="EK192" s="556"/>
      <c r="EL192" s="556"/>
      <c r="EM192" s="556"/>
      <c r="EN192" s="556"/>
      <c r="EO192" s="556"/>
      <c r="EP192" s="556"/>
      <c r="EQ192" s="556"/>
      <c r="ER192" s="556"/>
      <c r="ES192" s="556"/>
      <c r="ET192" s="556"/>
      <c r="EU192" s="556"/>
      <c r="EV192" s="560"/>
      <c r="EW192" s="560"/>
      <c r="EX192" s="560"/>
      <c r="EY192" s="560"/>
      <c r="EZ192" s="560"/>
      <c r="FA192" s="556"/>
      <c r="FB192" s="556"/>
      <c r="FC192" s="556"/>
      <c r="FD192" s="556"/>
      <c r="FE192" s="556"/>
      <c r="FF192" s="556"/>
      <c r="FG192" s="556"/>
      <c r="FH192" s="556"/>
      <c r="FI192" s="556"/>
      <c r="FJ192" s="556"/>
      <c r="FK192" s="556"/>
      <c r="FL192" s="556"/>
      <c r="FM192" s="556"/>
      <c r="FN192" s="556"/>
      <c r="FO192" s="556"/>
      <c r="FP192" s="556"/>
      <c r="FQ192" s="556"/>
      <c r="FR192" s="556"/>
      <c r="FS192" s="556"/>
      <c r="FT192" s="556"/>
      <c r="FU192" s="556"/>
      <c r="FV192" s="556"/>
      <c r="FW192" s="556"/>
      <c r="FX192" s="556"/>
      <c r="FY192" s="556"/>
      <c r="FZ192" s="556"/>
      <c r="GA192" s="556"/>
      <c r="GB192" s="559"/>
      <c r="GC192" s="556"/>
      <c r="GD192" s="556"/>
      <c r="GE192" s="556"/>
      <c r="GF192" s="556"/>
      <c r="GG192" s="556"/>
      <c r="GH192" s="556"/>
      <c r="GI192" s="556"/>
      <c r="GJ192" s="556"/>
      <c r="GK192" s="556"/>
      <c r="GL192" s="556"/>
      <c r="GM192" s="556"/>
      <c r="GN192" s="556"/>
      <c r="GO192" s="556"/>
      <c r="GP192" s="556"/>
      <c r="GQ192" s="556"/>
      <c r="GR192" s="556"/>
      <c r="GS192" s="556"/>
      <c r="GT192" s="556"/>
      <c r="GU192" s="556"/>
      <c r="GV192" s="556"/>
      <c r="GW192" s="556"/>
      <c r="GX192" s="556"/>
      <c r="GY192" s="556"/>
      <c r="GZ192" s="556"/>
      <c r="HA192" s="556"/>
      <c r="HB192" s="556"/>
      <c r="HC192" s="556"/>
      <c r="HD192" s="556"/>
      <c r="HE192" s="556"/>
      <c r="HF192" s="556"/>
      <c r="HG192" s="556"/>
      <c r="HH192" s="556"/>
      <c r="HI192" s="556"/>
      <c r="HJ192" s="559"/>
      <c r="HK192" s="556"/>
      <c r="HL192" s="556"/>
      <c r="HM192" s="556"/>
      <c r="HN192" s="556"/>
      <c r="HO192" s="556"/>
      <c r="HP192" s="556"/>
      <c r="HQ192" s="556"/>
      <c r="HR192" s="556"/>
      <c r="HS192" s="556"/>
      <c r="HT192" s="556"/>
      <c r="HU192" s="556"/>
      <c r="HV192" s="556"/>
      <c r="HW192" s="556"/>
      <c r="HX192" s="556"/>
      <c r="HY192" s="556"/>
      <c r="HZ192" s="556" t="s">
        <v>30582</v>
      </c>
      <c r="IA192" s="556" t="s">
        <v>7</v>
      </c>
      <c r="IB192" s="556" t="s">
        <v>30583</v>
      </c>
      <c r="IC192" s="556" t="s">
        <v>30584</v>
      </c>
      <c r="ID192" s="556" t="s">
        <v>30585</v>
      </c>
      <c r="IE192" s="556" t="s">
        <v>30586</v>
      </c>
      <c r="IF192" s="556" t="s">
        <v>30587</v>
      </c>
      <c r="IG192" s="556" t="s">
        <v>30588</v>
      </c>
      <c r="IH192" s="556" t="s">
        <v>30579</v>
      </c>
    </row>
    <row r="193" spans="1:242" s="1" customFormat="1" ht="36.75" customHeight="1" x14ac:dyDescent="0.2">
      <c r="A193" s="556">
        <v>76</v>
      </c>
      <c r="B193" s="556" t="s">
        <v>28417</v>
      </c>
      <c r="C193" s="556" t="s">
        <v>30153</v>
      </c>
      <c r="D193" s="556" t="s">
        <v>70</v>
      </c>
      <c r="E193" s="556" t="s">
        <v>7</v>
      </c>
      <c r="F193" s="556" t="s">
        <v>30154</v>
      </c>
      <c r="G193" s="556">
        <v>1217.5999999999999</v>
      </c>
      <c r="H193" s="556">
        <v>2.9</v>
      </c>
      <c r="I193" s="556" t="s">
        <v>29319</v>
      </c>
      <c r="J193" s="556" t="s">
        <v>4</v>
      </c>
      <c r="K193" s="556" t="s">
        <v>30155</v>
      </c>
      <c r="L193" s="556">
        <v>782202403</v>
      </c>
      <c r="M193" s="556" t="s">
        <v>5</v>
      </c>
      <c r="N193" s="556" t="s">
        <v>31438</v>
      </c>
      <c r="O193" s="556">
        <v>50</v>
      </c>
      <c r="P193" s="556">
        <v>2</v>
      </c>
      <c r="Q193" s="556" t="s">
        <v>7</v>
      </c>
      <c r="R193" s="556" t="s">
        <v>31549</v>
      </c>
      <c r="S193" s="556" t="s">
        <v>4</v>
      </c>
      <c r="T193" s="556" t="s">
        <v>2</v>
      </c>
      <c r="U193" s="556" t="s">
        <v>4</v>
      </c>
      <c r="V193" s="556"/>
      <c r="W193" s="556" t="s">
        <v>4</v>
      </c>
      <c r="X193" s="556" t="s">
        <v>4</v>
      </c>
      <c r="Y193" s="557">
        <v>44934</v>
      </c>
      <c r="Z193" s="557" t="str">
        <f>IF(OR(T193="yes",Y193&gt;'SDG outcome'!$C$27),"yes","no")</f>
        <v>no</v>
      </c>
      <c r="AA193" s="558" t="str">
        <f t="shared" si="13"/>
        <v/>
      </c>
      <c r="AB193" s="558">
        <f>IF(AND(Z193="no",AND(Y193&gt;='SDG outcome'!$B$16,Y193&lt;'SDG outcome'!$C$27)),Y193-'SDG outcome'!$B$16,"")</f>
        <v>264</v>
      </c>
      <c r="AC193" s="556" t="s">
        <v>8</v>
      </c>
      <c r="AD193" s="556" t="s">
        <v>31760</v>
      </c>
      <c r="AE193" s="556" t="s">
        <v>4</v>
      </c>
      <c r="AF193" s="556" t="s">
        <v>4</v>
      </c>
      <c r="AG193" s="556" t="s">
        <v>4</v>
      </c>
      <c r="AH193" s="556" t="s">
        <v>7</v>
      </c>
      <c r="AI193" s="557">
        <v>45290</v>
      </c>
      <c r="AJ193" s="556" t="s">
        <v>4</v>
      </c>
      <c r="AK193" s="556"/>
      <c r="AL193" s="556"/>
      <c r="AM193" s="556"/>
      <c r="AN193" s="556"/>
      <c r="AO193" s="556"/>
      <c r="AP193" s="556"/>
      <c r="AQ193" s="556"/>
      <c r="AR193" s="556"/>
      <c r="AS193" s="556"/>
      <c r="AT193" s="556"/>
      <c r="AU193" s="556"/>
      <c r="AV193" s="556"/>
      <c r="AW193" s="556"/>
      <c r="AX193" s="556"/>
      <c r="AY193" s="556"/>
      <c r="AZ193" s="556"/>
      <c r="BA193" s="556"/>
      <c r="BB193" s="556"/>
      <c r="BC193" s="556"/>
      <c r="BD193" s="556"/>
      <c r="BE193" s="556"/>
      <c r="BF193" s="556"/>
      <c r="BG193" s="556"/>
      <c r="BH193" s="556"/>
      <c r="BI193" s="556"/>
      <c r="BJ193" s="556"/>
      <c r="BK193" s="556"/>
      <c r="BL193" s="556"/>
      <c r="BM193" s="556"/>
      <c r="BN193" s="556"/>
      <c r="BO193" s="556"/>
      <c r="BP193" s="556"/>
      <c r="BQ193" s="556"/>
      <c r="BR193" s="556"/>
      <c r="BS193" s="556"/>
      <c r="BT193" s="556"/>
      <c r="BU193" s="556"/>
      <c r="BV193" s="556"/>
      <c r="BW193" s="556"/>
      <c r="BX193" s="556"/>
      <c r="BY193" s="556"/>
      <c r="BZ193" s="556"/>
      <c r="CA193" s="556"/>
      <c r="CB193" s="556"/>
      <c r="CC193" s="556"/>
      <c r="CD193" s="556"/>
      <c r="CE193" s="556"/>
      <c r="CF193" s="556"/>
      <c r="CG193" s="556"/>
      <c r="CH193" s="556"/>
      <c r="CI193" s="556"/>
      <c r="CJ193" s="556"/>
      <c r="CK193" s="556"/>
      <c r="CL193" s="556"/>
      <c r="CM193" s="556"/>
      <c r="CN193" s="556"/>
      <c r="CO193" s="556"/>
      <c r="CP193" s="556"/>
      <c r="CQ193" s="556"/>
      <c r="CR193" s="556"/>
      <c r="CS193" s="556"/>
      <c r="CT193" s="556"/>
      <c r="CU193" s="556"/>
      <c r="CV193" s="556"/>
      <c r="CW193" s="556"/>
      <c r="CX193" s="556"/>
      <c r="CY193" s="556"/>
      <c r="CZ193" s="556"/>
      <c r="DA193" s="556"/>
      <c r="DB193" s="556"/>
      <c r="DC193" s="556"/>
      <c r="DD193" s="556"/>
      <c r="DE193" s="556"/>
      <c r="DF193" s="556"/>
      <c r="DG193" s="556"/>
      <c r="DH193" s="556"/>
      <c r="DI193" s="556"/>
      <c r="DJ193" s="556"/>
      <c r="DK193" s="556"/>
      <c r="DL193" s="556"/>
      <c r="DM193" s="556"/>
      <c r="DN193" s="556"/>
      <c r="DO193" s="556"/>
      <c r="DP193" s="556"/>
      <c r="DQ193" s="556"/>
      <c r="DR193" s="556"/>
      <c r="DS193" s="556"/>
      <c r="DT193" s="559"/>
      <c r="DU193" s="556"/>
      <c r="DV193" s="559"/>
      <c r="DW193" s="556"/>
      <c r="DX193" s="556"/>
      <c r="DY193" s="556"/>
      <c r="DZ193" s="556"/>
      <c r="EA193" s="556"/>
      <c r="EB193" s="556"/>
      <c r="EC193" s="556"/>
      <c r="ED193" s="556"/>
      <c r="EE193" s="560"/>
      <c r="EF193" s="560"/>
      <c r="EG193" s="560"/>
      <c r="EH193" s="560"/>
      <c r="EI193" s="560"/>
      <c r="EJ193" s="556"/>
      <c r="EK193" s="556"/>
      <c r="EL193" s="556"/>
      <c r="EM193" s="556"/>
      <c r="EN193" s="556"/>
      <c r="EO193" s="556"/>
      <c r="EP193" s="556"/>
      <c r="EQ193" s="556"/>
      <c r="ER193" s="556"/>
      <c r="ES193" s="556"/>
      <c r="ET193" s="556"/>
      <c r="EU193" s="556"/>
      <c r="EV193" s="560"/>
      <c r="EW193" s="560"/>
      <c r="EX193" s="560"/>
      <c r="EY193" s="560"/>
      <c r="EZ193" s="560"/>
      <c r="FA193" s="556"/>
      <c r="FB193" s="556"/>
      <c r="FC193" s="556"/>
      <c r="FD193" s="556"/>
      <c r="FE193" s="556"/>
      <c r="FF193" s="556"/>
      <c r="FG193" s="556"/>
      <c r="FH193" s="556"/>
      <c r="FI193" s="556"/>
      <c r="FJ193" s="556"/>
      <c r="FK193" s="556"/>
      <c r="FL193" s="556"/>
      <c r="FM193" s="556"/>
      <c r="FN193" s="556"/>
      <c r="FO193" s="556"/>
      <c r="FP193" s="556"/>
      <c r="FQ193" s="556"/>
      <c r="FR193" s="556"/>
      <c r="FS193" s="556"/>
      <c r="FT193" s="556"/>
      <c r="FU193" s="556"/>
      <c r="FV193" s="556"/>
      <c r="FW193" s="556"/>
      <c r="FX193" s="556"/>
      <c r="FY193" s="556"/>
      <c r="FZ193" s="556"/>
      <c r="GA193" s="556"/>
      <c r="GB193" s="559"/>
      <c r="GC193" s="556"/>
      <c r="GD193" s="556"/>
      <c r="GE193" s="556"/>
      <c r="GF193" s="556"/>
      <c r="GG193" s="556"/>
      <c r="GH193" s="556"/>
      <c r="GI193" s="556"/>
      <c r="GJ193" s="556"/>
      <c r="GK193" s="556"/>
      <c r="GL193" s="556"/>
      <c r="GM193" s="556"/>
      <c r="GN193" s="556"/>
      <c r="GO193" s="556"/>
      <c r="GP193" s="556"/>
      <c r="GQ193" s="556"/>
      <c r="GR193" s="556"/>
      <c r="GS193" s="556"/>
      <c r="GT193" s="556"/>
      <c r="GU193" s="556"/>
      <c r="GV193" s="556"/>
      <c r="GW193" s="556"/>
      <c r="GX193" s="556"/>
      <c r="GY193" s="556"/>
      <c r="GZ193" s="556"/>
      <c r="HA193" s="556"/>
      <c r="HB193" s="556"/>
      <c r="HC193" s="556"/>
      <c r="HD193" s="556"/>
      <c r="HE193" s="556"/>
      <c r="HF193" s="556"/>
      <c r="HG193" s="556"/>
      <c r="HH193" s="556"/>
      <c r="HI193" s="556"/>
      <c r="HJ193" s="559"/>
      <c r="HK193" s="556"/>
      <c r="HL193" s="556"/>
      <c r="HM193" s="556"/>
      <c r="HN193" s="556"/>
      <c r="HO193" s="556"/>
      <c r="HP193" s="556"/>
      <c r="HQ193" s="556"/>
      <c r="HR193" s="556"/>
      <c r="HS193" s="556"/>
      <c r="HT193" s="556"/>
      <c r="HU193" s="556"/>
      <c r="HV193" s="556"/>
      <c r="HW193" s="556"/>
      <c r="HX193" s="556"/>
      <c r="HY193" s="556"/>
      <c r="HZ193" s="556" t="s">
        <v>16</v>
      </c>
      <c r="IA193" s="556" t="s">
        <v>2</v>
      </c>
      <c r="IB193" s="556" t="s">
        <v>4</v>
      </c>
      <c r="IC193" s="556" t="s">
        <v>30156</v>
      </c>
      <c r="ID193" s="556" t="s">
        <v>30157</v>
      </c>
      <c r="IE193" s="556" t="s">
        <v>30158</v>
      </c>
      <c r="IF193" s="556" t="s">
        <v>30159</v>
      </c>
      <c r="IG193" s="556" t="s">
        <v>30160</v>
      </c>
      <c r="IH193" s="556" t="s">
        <v>30153</v>
      </c>
    </row>
    <row r="194" spans="1:242" s="1" customFormat="1" ht="36.75" customHeight="1" x14ac:dyDescent="0.2">
      <c r="A194" s="556">
        <v>73</v>
      </c>
      <c r="B194" s="556" t="s">
        <v>9196</v>
      </c>
      <c r="C194" s="556" t="s">
        <v>30122</v>
      </c>
      <c r="D194" s="556" t="s">
        <v>30002</v>
      </c>
      <c r="E194" s="556" t="s">
        <v>7</v>
      </c>
      <c r="F194" s="556" t="s">
        <v>30123</v>
      </c>
      <c r="G194" s="556">
        <v>1186</v>
      </c>
      <c r="H194" s="556">
        <v>4.9000000000000004</v>
      </c>
      <c r="I194" s="556" t="s">
        <v>29288</v>
      </c>
      <c r="J194" s="556" t="s">
        <v>4</v>
      </c>
      <c r="K194" s="556" t="s">
        <v>30124</v>
      </c>
      <c r="L194" s="556">
        <v>772497824</v>
      </c>
      <c r="M194" s="556" t="s">
        <v>3</v>
      </c>
      <c r="N194" s="556" t="s">
        <v>31590</v>
      </c>
      <c r="O194" s="556" t="s">
        <v>4</v>
      </c>
      <c r="P194" s="556">
        <v>4</v>
      </c>
      <c r="Q194" s="556" t="s">
        <v>7</v>
      </c>
      <c r="R194" s="556" t="s">
        <v>31622</v>
      </c>
      <c r="S194" s="556" t="s">
        <v>31756</v>
      </c>
      <c r="T194" s="556" t="s">
        <v>2</v>
      </c>
      <c r="U194" s="556" t="s">
        <v>4</v>
      </c>
      <c r="V194" s="556"/>
      <c r="W194" s="556" t="s">
        <v>4</v>
      </c>
      <c r="X194" s="556" t="s">
        <v>4</v>
      </c>
      <c r="Y194" s="557">
        <v>44927</v>
      </c>
      <c r="Z194" s="557" t="str">
        <f>IF(OR(T194="yes",Y194&gt;'SDG outcome'!$C$27),"yes","no")</f>
        <v>no</v>
      </c>
      <c r="AA194" s="558" t="str">
        <f t="shared" ref="AA194:AA202" si="25">IF(Z194="no","",V194)</f>
        <v/>
      </c>
      <c r="AB194" s="558">
        <f>IF(AND(Z194="no",AND(Y194&gt;='SDG outcome'!$B$16,Y194&lt;'SDG outcome'!$C$27)),Y194-'SDG outcome'!$B$16,"")</f>
        <v>257</v>
      </c>
      <c r="AC194" s="556" t="s">
        <v>31699</v>
      </c>
      <c r="AD194" s="556" t="s">
        <v>4</v>
      </c>
      <c r="AE194" s="556" t="s">
        <v>4</v>
      </c>
      <c r="AF194" s="556" t="s">
        <v>4</v>
      </c>
      <c r="AG194" s="556" t="s">
        <v>4</v>
      </c>
      <c r="AH194" s="556" t="s">
        <v>4</v>
      </c>
      <c r="AI194" s="557" t="s">
        <v>4</v>
      </c>
      <c r="AJ194" s="556" t="s">
        <v>4</v>
      </c>
      <c r="AK194" s="556"/>
      <c r="AL194" s="556"/>
      <c r="AM194" s="556"/>
      <c r="AN194" s="556"/>
      <c r="AO194" s="556"/>
      <c r="AP194" s="556"/>
      <c r="AQ194" s="556"/>
      <c r="AR194" s="556"/>
      <c r="AS194" s="556"/>
      <c r="AT194" s="556"/>
      <c r="AU194" s="556"/>
      <c r="AV194" s="556"/>
      <c r="AW194" s="556"/>
      <c r="AX194" s="556"/>
      <c r="AY194" s="556"/>
      <c r="AZ194" s="556"/>
      <c r="BA194" s="556"/>
      <c r="BB194" s="556"/>
      <c r="BC194" s="556"/>
      <c r="BD194" s="556"/>
      <c r="BE194" s="556"/>
      <c r="BF194" s="556"/>
      <c r="BG194" s="556"/>
      <c r="BH194" s="556"/>
      <c r="BI194" s="556"/>
      <c r="BJ194" s="556"/>
      <c r="BK194" s="556"/>
      <c r="BL194" s="556"/>
      <c r="BM194" s="556"/>
      <c r="BN194" s="556"/>
      <c r="BO194" s="556"/>
      <c r="BP194" s="556"/>
      <c r="BQ194" s="556"/>
      <c r="BR194" s="556"/>
      <c r="BS194" s="556"/>
      <c r="BT194" s="556"/>
      <c r="BU194" s="556"/>
      <c r="BV194" s="556"/>
      <c r="BW194" s="556"/>
      <c r="BX194" s="556"/>
      <c r="BY194" s="556"/>
      <c r="BZ194" s="556"/>
      <c r="CA194" s="556"/>
      <c r="CB194" s="556"/>
      <c r="CC194" s="556"/>
      <c r="CD194" s="556"/>
      <c r="CE194" s="556"/>
      <c r="CF194" s="556"/>
      <c r="CG194" s="556"/>
      <c r="CH194" s="556"/>
      <c r="CI194" s="556"/>
      <c r="CJ194" s="556"/>
      <c r="CK194" s="556"/>
      <c r="CL194" s="556"/>
      <c r="CM194" s="556"/>
      <c r="CN194" s="556"/>
      <c r="CO194" s="556"/>
      <c r="CP194" s="556"/>
      <c r="CQ194" s="556"/>
      <c r="CR194" s="556"/>
      <c r="CS194" s="556"/>
      <c r="CT194" s="556"/>
      <c r="CU194" s="556"/>
      <c r="CV194" s="556"/>
      <c r="CW194" s="556"/>
      <c r="CX194" s="556"/>
      <c r="CY194" s="556"/>
      <c r="CZ194" s="556"/>
      <c r="DA194" s="556"/>
      <c r="DB194" s="556"/>
      <c r="DC194" s="556"/>
      <c r="DD194" s="556"/>
      <c r="DE194" s="556"/>
      <c r="DF194" s="556"/>
      <c r="DG194" s="556"/>
      <c r="DH194" s="556"/>
      <c r="DI194" s="556"/>
      <c r="DJ194" s="556"/>
      <c r="DK194" s="556"/>
      <c r="DL194" s="556"/>
      <c r="DM194" s="556"/>
      <c r="DN194" s="556"/>
      <c r="DO194" s="556"/>
      <c r="DP194" s="556"/>
      <c r="DQ194" s="556"/>
      <c r="DR194" s="556"/>
      <c r="DS194" s="556"/>
      <c r="DT194" s="559"/>
      <c r="DU194" s="556"/>
      <c r="DV194" s="559"/>
      <c r="DW194" s="556"/>
      <c r="DX194" s="556"/>
      <c r="DY194" s="556"/>
      <c r="DZ194" s="556"/>
      <c r="EA194" s="556"/>
      <c r="EB194" s="556"/>
      <c r="EC194" s="556"/>
      <c r="ED194" s="556"/>
      <c r="EE194" s="560"/>
      <c r="EF194" s="560"/>
      <c r="EG194" s="560"/>
      <c r="EH194" s="560"/>
      <c r="EI194" s="560"/>
      <c r="EJ194" s="556"/>
      <c r="EK194" s="556"/>
      <c r="EL194" s="556"/>
      <c r="EM194" s="556"/>
      <c r="EN194" s="556"/>
      <c r="EO194" s="556"/>
      <c r="EP194" s="556"/>
      <c r="EQ194" s="556"/>
      <c r="ER194" s="556"/>
      <c r="ES194" s="556"/>
      <c r="ET194" s="556"/>
      <c r="EU194" s="556"/>
      <c r="EV194" s="560"/>
      <c r="EW194" s="560"/>
      <c r="EX194" s="560"/>
      <c r="EY194" s="560"/>
      <c r="EZ194" s="560"/>
      <c r="FA194" s="556"/>
      <c r="FB194" s="556"/>
      <c r="FC194" s="556"/>
      <c r="FD194" s="556"/>
      <c r="FE194" s="556"/>
      <c r="FF194" s="556"/>
      <c r="FG194" s="556"/>
      <c r="FH194" s="556"/>
      <c r="FI194" s="556"/>
      <c r="FJ194" s="556"/>
      <c r="FK194" s="556"/>
      <c r="FL194" s="556"/>
      <c r="FM194" s="556"/>
      <c r="FN194" s="556"/>
      <c r="FO194" s="556"/>
      <c r="FP194" s="556"/>
      <c r="FQ194" s="556"/>
      <c r="FR194" s="556"/>
      <c r="FS194" s="556"/>
      <c r="FT194" s="556"/>
      <c r="FU194" s="556"/>
      <c r="FV194" s="556"/>
      <c r="FW194" s="556"/>
      <c r="FX194" s="556"/>
      <c r="FY194" s="556"/>
      <c r="FZ194" s="556"/>
      <c r="GA194" s="556"/>
      <c r="GB194" s="559"/>
      <c r="GC194" s="556"/>
      <c r="GD194" s="556"/>
      <c r="GE194" s="556"/>
      <c r="GF194" s="556"/>
      <c r="GG194" s="556"/>
      <c r="GH194" s="556"/>
      <c r="GI194" s="556"/>
      <c r="GJ194" s="556"/>
      <c r="GK194" s="556"/>
      <c r="GL194" s="556"/>
      <c r="GM194" s="556"/>
      <c r="GN194" s="556"/>
      <c r="GO194" s="556"/>
      <c r="GP194" s="556"/>
      <c r="GQ194" s="556"/>
      <c r="GR194" s="556"/>
      <c r="GS194" s="556"/>
      <c r="GT194" s="556"/>
      <c r="GU194" s="556"/>
      <c r="GV194" s="556"/>
      <c r="GW194" s="556"/>
      <c r="GX194" s="556"/>
      <c r="GY194" s="556"/>
      <c r="GZ194" s="556"/>
      <c r="HA194" s="556"/>
      <c r="HB194" s="556"/>
      <c r="HC194" s="556"/>
      <c r="HD194" s="556"/>
      <c r="HE194" s="556"/>
      <c r="HF194" s="556"/>
      <c r="HG194" s="556"/>
      <c r="HH194" s="556"/>
      <c r="HI194" s="556"/>
      <c r="HJ194" s="559"/>
      <c r="HK194" s="556"/>
      <c r="HL194" s="556"/>
      <c r="HM194" s="556"/>
      <c r="HN194" s="556"/>
      <c r="HO194" s="556"/>
      <c r="HP194" s="556"/>
      <c r="HQ194" s="556"/>
      <c r="HR194" s="556"/>
      <c r="HS194" s="556"/>
      <c r="HT194" s="556"/>
      <c r="HU194" s="556"/>
      <c r="HV194" s="556"/>
      <c r="HW194" s="556"/>
      <c r="HX194" s="556"/>
      <c r="HY194" s="556"/>
      <c r="HZ194" s="556" t="s">
        <v>30125</v>
      </c>
      <c r="IA194" s="556" t="s">
        <v>7</v>
      </c>
      <c r="IB194" s="556" t="s">
        <v>30126</v>
      </c>
      <c r="IC194" s="556" t="s">
        <v>30127</v>
      </c>
      <c r="ID194" s="556" t="s">
        <v>30128</v>
      </c>
      <c r="IE194" s="556" t="s">
        <v>30129</v>
      </c>
      <c r="IF194" s="556" t="s">
        <v>30130</v>
      </c>
      <c r="IG194" s="556" t="s">
        <v>30131</v>
      </c>
      <c r="IH194" s="556" t="s">
        <v>30132</v>
      </c>
    </row>
    <row r="195" spans="1:242" s="1" customFormat="1" ht="36.75" customHeight="1" x14ac:dyDescent="0.2">
      <c r="A195" s="556">
        <v>162</v>
      </c>
      <c r="B195" s="556" t="s">
        <v>28617</v>
      </c>
      <c r="C195" s="556" t="s">
        <v>31021</v>
      </c>
      <c r="D195" s="556" t="s">
        <v>34</v>
      </c>
      <c r="E195" s="556" t="s">
        <v>7</v>
      </c>
      <c r="F195" s="556" t="s">
        <v>31022</v>
      </c>
      <c r="G195" s="556">
        <v>1163.2</v>
      </c>
      <c r="H195" s="556">
        <v>3.8</v>
      </c>
      <c r="I195" s="556" t="s">
        <v>29288</v>
      </c>
      <c r="J195" s="556" t="s">
        <v>4</v>
      </c>
      <c r="K195" s="556" t="s">
        <v>31023</v>
      </c>
      <c r="L195" s="556">
        <v>783523197</v>
      </c>
      <c r="M195" s="556" t="s">
        <v>3</v>
      </c>
      <c r="N195" s="556" t="s">
        <v>31438</v>
      </c>
      <c r="O195" s="556">
        <v>38</v>
      </c>
      <c r="P195" s="556">
        <v>3</v>
      </c>
      <c r="Q195" s="556" t="s">
        <v>7</v>
      </c>
      <c r="R195" s="556" t="s">
        <v>31549</v>
      </c>
      <c r="S195" s="556" t="s">
        <v>4</v>
      </c>
      <c r="T195" s="556" t="s">
        <v>2</v>
      </c>
      <c r="U195" s="556" t="s">
        <v>4</v>
      </c>
      <c r="V195" s="556"/>
      <c r="W195" s="556" t="s">
        <v>4</v>
      </c>
      <c r="X195" s="556" t="s">
        <v>4</v>
      </c>
      <c r="Y195" s="557">
        <v>44904</v>
      </c>
      <c r="Z195" s="557" t="str">
        <f>IF(OR(T195="yes",Y195&gt;'SDG outcome'!$C$27),"yes","no")</f>
        <v>no</v>
      </c>
      <c r="AA195" s="558" t="str">
        <f t="shared" si="25"/>
        <v/>
      </c>
      <c r="AB195" s="558">
        <f>IF(AND(Z195="no",AND(Y195&gt;='SDG outcome'!$B$16,Y195&lt;'SDG outcome'!$C$27)),Y195-'SDG outcome'!$B$16,"")</f>
        <v>234</v>
      </c>
      <c r="AC195" s="556" t="s">
        <v>31685</v>
      </c>
      <c r="AD195" s="556" t="s">
        <v>4</v>
      </c>
      <c r="AE195" s="556" t="s">
        <v>4</v>
      </c>
      <c r="AF195" s="556" t="s">
        <v>4</v>
      </c>
      <c r="AG195" s="556" t="s">
        <v>4</v>
      </c>
      <c r="AH195" s="556" t="s">
        <v>4</v>
      </c>
      <c r="AI195" s="557" t="s">
        <v>4</v>
      </c>
      <c r="AJ195" s="556" t="s">
        <v>4</v>
      </c>
      <c r="AK195" s="556"/>
      <c r="AL195" s="556"/>
      <c r="AM195" s="556"/>
      <c r="AN195" s="556"/>
      <c r="AO195" s="556"/>
      <c r="AP195" s="556"/>
      <c r="AQ195" s="556"/>
      <c r="AR195" s="556"/>
      <c r="AS195" s="556"/>
      <c r="AT195" s="556"/>
      <c r="AU195" s="556"/>
      <c r="AV195" s="556"/>
      <c r="AW195" s="556"/>
      <c r="AX195" s="556"/>
      <c r="AY195" s="556"/>
      <c r="AZ195" s="556"/>
      <c r="BA195" s="556"/>
      <c r="BB195" s="556"/>
      <c r="BC195" s="556"/>
      <c r="BD195" s="556"/>
      <c r="BE195" s="556"/>
      <c r="BF195" s="556"/>
      <c r="BG195" s="556"/>
      <c r="BH195" s="556"/>
      <c r="BI195" s="556"/>
      <c r="BJ195" s="556"/>
      <c r="BK195" s="556"/>
      <c r="BL195" s="556"/>
      <c r="BM195" s="556"/>
      <c r="BN195" s="556"/>
      <c r="BO195" s="556"/>
      <c r="BP195" s="556"/>
      <c r="BQ195" s="556"/>
      <c r="BR195" s="556"/>
      <c r="BS195" s="556"/>
      <c r="BT195" s="556"/>
      <c r="BU195" s="556"/>
      <c r="BV195" s="556"/>
      <c r="BW195" s="556"/>
      <c r="BX195" s="556"/>
      <c r="BY195" s="556"/>
      <c r="BZ195" s="556"/>
      <c r="CA195" s="556"/>
      <c r="CB195" s="556"/>
      <c r="CC195" s="556"/>
      <c r="CD195" s="556"/>
      <c r="CE195" s="556"/>
      <c r="CF195" s="556"/>
      <c r="CG195" s="556"/>
      <c r="CH195" s="556"/>
      <c r="CI195" s="556"/>
      <c r="CJ195" s="556"/>
      <c r="CK195" s="556"/>
      <c r="CL195" s="556"/>
      <c r="CM195" s="556"/>
      <c r="CN195" s="556"/>
      <c r="CO195" s="556"/>
      <c r="CP195" s="556"/>
      <c r="CQ195" s="556"/>
      <c r="CR195" s="556"/>
      <c r="CS195" s="556"/>
      <c r="CT195" s="556"/>
      <c r="CU195" s="556"/>
      <c r="CV195" s="556"/>
      <c r="CW195" s="556"/>
      <c r="CX195" s="556"/>
      <c r="CY195" s="556"/>
      <c r="CZ195" s="556"/>
      <c r="DA195" s="556"/>
      <c r="DB195" s="556"/>
      <c r="DC195" s="556"/>
      <c r="DD195" s="556"/>
      <c r="DE195" s="556"/>
      <c r="DF195" s="556"/>
      <c r="DG195" s="556"/>
      <c r="DH195" s="556"/>
      <c r="DI195" s="556"/>
      <c r="DJ195" s="556"/>
      <c r="DK195" s="556"/>
      <c r="DL195" s="556"/>
      <c r="DM195" s="556"/>
      <c r="DN195" s="556"/>
      <c r="DO195" s="556"/>
      <c r="DP195" s="556"/>
      <c r="DQ195" s="556"/>
      <c r="DR195" s="556"/>
      <c r="DS195" s="556"/>
      <c r="DT195" s="559"/>
      <c r="DU195" s="556"/>
      <c r="DV195" s="559"/>
      <c r="DW195" s="556"/>
      <c r="DX195" s="556"/>
      <c r="DY195" s="556"/>
      <c r="DZ195" s="556"/>
      <c r="EA195" s="556"/>
      <c r="EB195" s="556"/>
      <c r="EC195" s="556"/>
      <c r="ED195" s="556"/>
      <c r="EE195" s="560"/>
      <c r="EF195" s="560"/>
      <c r="EG195" s="560"/>
      <c r="EH195" s="560"/>
      <c r="EI195" s="560"/>
      <c r="EJ195" s="556"/>
      <c r="EK195" s="556"/>
      <c r="EL195" s="556"/>
      <c r="EM195" s="556"/>
      <c r="EN195" s="556"/>
      <c r="EO195" s="556"/>
      <c r="EP195" s="556"/>
      <c r="EQ195" s="556"/>
      <c r="ER195" s="556"/>
      <c r="ES195" s="556"/>
      <c r="ET195" s="556"/>
      <c r="EU195" s="556"/>
      <c r="EV195" s="560"/>
      <c r="EW195" s="560"/>
      <c r="EX195" s="560"/>
      <c r="EY195" s="560"/>
      <c r="EZ195" s="560"/>
      <c r="FA195" s="556"/>
      <c r="FB195" s="556"/>
      <c r="FC195" s="556"/>
      <c r="FD195" s="556"/>
      <c r="FE195" s="556"/>
      <c r="FF195" s="556"/>
      <c r="FG195" s="556"/>
      <c r="FH195" s="556"/>
      <c r="FI195" s="556"/>
      <c r="FJ195" s="556"/>
      <c r="FK195" s="556"/>
      <c r="FL195" s="556"/>
      <c r="FM195" s="556"/>
      <c r="FN195" s="556"/>
      <c r="FO195" s="556"/>
      <c r="FP195" s="556"/>
      <c r="FQ195" s="556"/>
      <c r="FR195" s="556"/>
      <c r="FS195" s="556"/>
      <c r="FT195" s="556"/>
      <c r="FU195" s="556"/>
      <c r="FV195" s="556"/>
      <c r="FW195" s="556"/>
      <c r="FX195" s="556"/>
      <c r="FY195" s="556"/>
      <c r="FZ195" s="556"/>
      <c r="GA195" s="556"/>
      <c r="GB195" s="559"/>
      <c r="GC195" s="556"/>
      <c r="GD195" s="556"/>
      <c r="GE195" s="556"/>
      <c r="GF195" s="556"/>
      <c r="GG195" s="556"/>
      <c r="GH195" s="556"/>
      <c r="GI195" s="556"/>
      <c r="GJ195" s="556"/>
      <c r="GK195" s="556"/>
      <c r="GL195" s="556"/>
      <c r="GM195" s="556"/>
      <c r="GN195" s="556"/>
      <c r="GO195" s="556"/>
      <c r="GP195" s="556"/>
      <c r="GQ195" s="556"/>
      <c r="GR195" s="556"/>
      <c r="GS195" s="556"/>
      <c r="GT195" s="556"/>
      <c r="GU195" s="556"/>
      <c r="GV195" s="556"/>
      <c r="GW195" s="556"/>
      <c r="GX195" s="556"/>
      <c r="GY195" s="556"/>
      <c r="GZ195" s="556"/>
      <c r="HA195" s="556"/>
      <c r="HB195" s="556"/>
      <c r="HC195" s="556"/>
      <c r="HD195" s="556"/>
      <c r="HE195" s="556"/>
      <c r="HF195" s="556"/>
      <c r="HG195" s="556"/>
      <c r="HH195" s="556"/>
      <c r="HI195" s="556"/>
      <c r="HJ195" s="559"/>
      <c r="HK195" s="556"/>
      <c r="HL195" s="556"/>
      <c r="HM195" s="556"/>
      <c r="HN195" s="556"/>
      <c r="HO195" s="556"/>
      <c r="HP195" s="556"/>
      <c r="HQ195" s="556"/>
      <c r="HR195" s="556"/>
      <c r="HS195" s="556"/>
      <c r="HT195" s="556"/>
      <c r="HU195" s="556"/>
      <c r="HV195" s="556"/>
      <c r="HW195" s="556"/>
      <c r="HX195" s="556"/>
      <c r="HY195" s="556"/>
      <c r="HZ195" s="556" t="s">
        <v>31024</v>
      </c>
      <c r="IA195" s="556" t="s">
        <v>2</v>
      </c>
      <c r="IB195" s="556" t="s">
        <v>4</v>
      </c>
      <c r="IC195" s="556" t="s">
        <v>31025</v>
      </c>
      <c r="ID195" s="556" t="s">
        <v>31026</v>
      </c>
      <c r="IE195" s="556" t="s">
        <v>31027</v>
      </c>
      <c r="IF195" s="556" t="s">
        <v>31028</v>
      </c>
      <c r="IG195" s="556" t="s">
        <v>31029</v>
      </c>
      <c r="IH195" s="556" t="s">
        <v>31021</v>
      </c>
    </row>
    <row r="196" spans="1:242" s="1" customFormat="1" ht="36.75" customHeight="1" x14ac:dyDescent="0.2">
      <c r="A196" s="556">
        <v>135</v>
      </c>
      <c r="B196" s="556" t="s">
        <v>15319</v>
      </c>
      <c r="C196" s="556" t="s">
        <v>30734</v>
      </c>
      <c r="D196" s="556" t="s">
        <v>30699</v>
      </c>
      <c r="E196" s="556" t="s">
        <v>7</v>
      </c>
      <c r="F196" s="556" t="s">
        <v>30735</v>
      </c>
      <c r="G196" s="556">
        <v>1199.8</v>
      </c>
      <c r="H196" s="556">
        <v>5</v>
      </c>
      <c r="I196" s="556" t="s">
        <v>29319</v>
      </c>
      <c r="J196" s="556" t="s">
        <v>4</v>
      </c>
      <c r="K196" s="556" t="s">
        <v>30736</v>
      </c>
      <c r="L196" s="556">
        <v>779580896</v>
      </c>
      <c r="M196" s="556" t="s">
        <v>5</v>
      </c>
      <c r="N196" s="556" t="s">
        <v>31598</v>
      </c>
      <c r="O196" s="556" t="s">
        <v>4</v>
      </c>
      <c r="P196" s="556">
        <v>8</v>
      </c>
      <c r="Q196" s="556" t="s">
        <v>7</v>
      </c>
      <c r="R196" s="556" t="s">
        <v>31535</v>
      </c>
      <c r="S196" s="556" t="s">
        <v>4</v>
      </c>
      <c r="T196" s="556" t="s">
        <v>2</v>
      </c>
      <c r="U196" s="556" t="s">
        <v>4</v>
      </c>
      <c r="V196" s="556"/>
      <c r="W196" s="556" t="s">
        <v>4</v>
      </c>
      <c r="X196" s="556" t="s">
        <v>4</v>
      </c>
      <c r="Y196" s="557">
        <v>44876</v>
      </c>
      <c r="Z196" s="557" t="str">
        <f>IF(OR(T196="yes",Y196&gt;'SDG outcome'!$C$27),"yes","no")</f>
        <v>no</v>
      </c>
      <c r="AA196" s="558" t="str">
        <f t="shared" si="25"/>
        <v/>
      </c>
      <c r="AB196" s="558">
        <f>IF(AND(Z196="no",AND(Y196&gt;='SDG outcome'!$B$16,Y196&lt;'SDG outcome'!$C$27)),Y196-'SDG outcome'!$B$16,"")</f>
        <v>206</v>
      </c>
      <c r="AC196" s="556" t="s">
        <v>31572</v>
      </c>
      <c r="AD196" s="556" t="s">
        <v>4</v>
      </c>
      <c r="AE196" s="556" t="s">
        <v>7</v>
      </c>
      <c r="AF196" s="556" t="s">
        <v>31862</v>
      </c>
      <c r="AG196" s="556" t="s">
        <v>4</v>
      </c>
      <c r="AH196" s="556" t="s">
        <v>7</v>
      </c>
      <c r="AI196" s="557">
        <v>45566</v>
      </c>
      <c r="AJ196" s="556" t="s">
        <v>4</v>
      </c>
      <c r="AK196" s="556"/>
      <c r="AL196" s="556"/>
      <c r="AM196" s="556"/>
      <c r="AN196" s="556"/>
      <c r="AO196" s="556"/>
      <c r="AP196" s="556"/>
      <c r="AQ196" s="556"/>
      <c r="AR196" s="556"/>
      <c r="AS196" s="556"/>
      <c r="AT196" s="556"/>
      <c r="AU196" s="556"/>
      <c r="AV196" s="556"/>
      <c r="AW196" s="556"/>
      <c r="AX196" s="556"/>
      <c r="AY196" s="556"/>
      <c r="AZ196" s="556"/>
      <c r="BA196" s="556"/>
      <c r="BB196" s="556"/>
      <c r="BC196" s="556"/>
      <c r="BD196" s="556"/>
      <c r="BE196" s="556"/>
      <c r="BF196" s="556"/>
      <c r="BG196" s="556"/>
      <c r="BH196" s="556"/>
      <c r="BI196" s="556"/>
      <c r="BJ196" s="556"/>
      <c r="BK196" s="556"/>
      <c r="BL196" s="556"/>
      <c r="BM196" s="556"/>
      <c r="BN196" s="556"/>
      <c r="BO196" s="556"/>
      <c r="BP196" s="556"/>
      <c r="BQ196" s="556"/>
      <c r="BR196" s="556"/>
      <c r="BS196" s="556"/>
      <c r="BT196" s="556"/>
      <c r="BU196" s="556"/>
      <c r="BV196" s="556"/>
      <c r="BW196" s="556"/>
      <c r="BX196" s="556"/>
      <c r="BY196" s="556"/>
      <c r="BZ196" s="556"/>
      <c r="CA196" s="556"/>
      <c r="CB196" s="556"/>
      <c r="CC196" s="556"/>
      <c r="CD196" s="556"/>
      <c r="CE196" s="556"/>
      <c r="CF196" s="556"/>
      <c r="CG196" s="556"/>
      <c r="CH196" s="556"/>
      <c r="CI196" s="556"/>
      <c r="CJ196" s="556"/>
      <c r="CK196" s="556"/>
      <c r="CL196" s="556"/>
      <c r="CM196" s="556"/>
      <c r="CN196" s="556"/>
      <c r="CO196" s="556"/>
      <c r="CP196" s="556"/>
      <c r="CQ196" s="556"/>
      <c r="CR196" s="556"/>
      <c r="CS196" s="556"/>
      <c r="CT196" s="556"/>
      <c r="CU196" s="556"/>
      <c r="CV196" s="556"/>
      <c r="CW196" s="556"/>
      <c r="CX196" s="556"/>
      <c r="CY196" s="556"/>
      <c r="CZ196" s="556"/>
      <c r="DA196" s="556"/>
      <c r="DB196" s="556"/>
      <c r="DC196" s="556"/>
      <c r="DD196" s="556"/>
      <c r="DE196" s="556"/>
      <c r="DF196" s="556"/>
      <c r="DG196" s="556"/>
      <c r="DH196" s="556"/>
      <c r="DI196" s="556"/>
      <c r="DJ196" s="556"/>
      <c r="DK196" s="556"/>
      <c r="DL196" s="556"/>
      <c r="DM196" s="556"/>
      <c r="DN196" s="556"/>
      <c r="DO196" s="556"/>
      <c r="DP196" s="556"/>
      <c r="DQ196" s="556"/>
      <c r="DR196" s="556"/>
      <c r="DS196" s="556"/>
      <c r="DT196" s="559"/>
      <c r="DU196" s="556"/>
      <c r="DV196" s="559"/>
      <c r="DW196" s="556"/>
      <c r="DX196" s="556"/>
      <c r="DY196" s="556"/>
      <c r="DZ196" s="556"/>
      <c r="EA196" s="556"/>
      <c r="EB196" s="556"/>
      <c r="EC196" s="556"/>
      <c r="ED196" s="556"/>
      <c r="EE196" s="560"/>
      <c r="EF196" s="560"/>
      <c r="EG196" s="560"/>
      <c r="EH196" s="560"/>
      <c r="EI196" s="560"/>
      <c r="EJ196" s="556"/>
      <c r="EK196" s="556"/>
      <c r="EL196" s="556"/>
      <c r="EM196" s="556"/>
      <c r="EN196" s="556"/>
      <c r="EO196" s="556"/>
      <c r="EP196" s="556"/>
      <c r="EQ196" s="556"/>
      <c r="ER196" s="556"/>
      <c r="ES196" s="556"/>
      <c r="ET196" s="556"/>
      <c r="EU196" s="556"/>
      <c r="EV196" s="560"/>
      <c r="EW196" s="560"/>
      <c r="EX196" s="560"/>
      <c r="EY196" s="560"/>
      <c r="EZ196" s="560"/>
      <c r="FA196" s="556"/>
      <c r="FB196" s="556"/>
      <c r="FC196" s="556"/>
      <c r="FD196" s="556"/>
      <c r="FE196" s="556"/>
      <c r="FF196" s="556"/>
      <c r="FG196" s="556"/>
      <c r="FH196" s="556"/>
      <c r="FI196" s="556"/>
      <c r="FJ196" s="556"/>
      <c r="FK196" s="556"/>
      <c r="FL196" s="556"/>
      <c r="FM196" s="556"/>
      <c r="FN196" s="556"/>
      <c r="FO196" s="556"/>
      <c r="FP196" s="556"/>
      <c r="FQ196" s="556"/>
      <c r="FR196" s="556"/>
      <c r="FS196" s="556"/>
      <c r="FT196" s="556"/>
      <c r="FU196" s="556"/>
      <c r="FV196" s="556"/>
      <c r="FW196" s="556"/>
      <c r="FX196" s="556"/>
      <c r="FY196" s="556"/>
      <c r="FZ196" s="556"/>
      <c r="GA196" s="556"/>
      <c r="GB196" s="559"/>
      <c r="GC196" s="556"/>
      <c r="GD196" s="556"/>
      <c r="GE196" s="556"/>
      <c r="GF196" s="556"/>
      <c r="GG196" s="556"/>
      <c r="GH196" s="556"/>
      <c r="GI196" s="556"/>
      <c r="GJ196" s="556"/>
      <c r="GK196" s="556"/>
      <c r="GL196" s="556"/>
      <c r="GM196" s="556"/>
      <c r="GN196" s="556"/>
      <c r="GO196" s="556"/>
      <c r="GP196" s="556"/>
      <c r="GQ196" s="556"/>
      <c r="GR196" s="556"/>
      <c r="GS196" s="556"/>
      <c r="GT196" s="556"/>
      <c r="GU196" s="556"/>
      <c r="GV196" s="556"/>
      <c r="GW196" s="556"/>
      <c r="GX196" s="556"/>
      <c r="GY196" s="556"/>
      <c r="GZ196" s="556"/>
      <c r="HA196" s="556"/>
      <c r="HB196" s="556"/>
      <c r="HC196" s="556"/>
      <c r="HD196" s="556"/>
      <c r="HE196" s="556"/>
      <c r="HF196" s="556"/>
      <c r="HG196" s="556"/>
      <c r="HH196" s="556"/>
      <c r="HI196" s="556"/>
      <c r="HJ196" s="559"/>
      <c r="HK196" s="556"/>
      <c r="HL196" s="556"/>
      <c r="HM196" s="556"/>
      <c r="HN196" s="556"/>
      <c r="HO196" s="556"/>
      <c r="HP196" s="556"/>
      <c r="HQ196" s="556"/>
      <c r="HR196" s="556"/>
      <c r="HS196" s="556"/>
      <c r="HT196" s="556"/>
      <c r="HU196" s="556"/>
      <c r="HV196" s="556"/>
      <c r="HW196" s="556"/>
      <c r="HX196" s="556"/>
      <c r="HY196" s="556"/>
      <c r="HZ196" s="556" t="s">
        <v>30737</v>
      </c>
      <c r="IA196" s="556" t="s">
        <v>7</v>
      </c>
      <c r="IB196" s="556" t="s">
        <v>30738</v>
      </c>
      <c r="IC196" s="556" t="s">
        <v>30739</v>
      </c>
      <c r="ID196" s="556" t="s">
        <v>30740</v>
      </c>
      <c r="IE196" s="556" t="s">
        <v>30741</v>
      </c>
      <c r="IF196" s="556" t="s">
        <v>30742</v>
      </c>
      <c r="IG196" s="556" t="s">
        <v>30743</v>
      </c>
      <c r="IH196" s="556" t="s">
        <v>30734</v>
      </c>
    </row>
    <row r="197" spans="1:242" s="1" customFormat="1" ht="36.75" customHeight="1" x14ac:dyDescent="0.2">
      <c r="A197" s="556">
        <v>47</v>
      </c>
      <c r="B197" s="556" t="s">
        <v>20949</v>
      </c>
      <c r="C197" s="556" t="s">
        <v>29852</v>
      </c>
      <c r="D197" s="556" t="s">
        <v>29799</v>
      </c>
      <c r="E197" s="556" t="s">
        <v>7</v>
      </c>
      <c r="F197" s="556" t="s">
        <v>29853</v>
      </c>
      <c r="G197" s="556">
        <v>1243.106323</v>
      </c>
      <c r="H197" s="556">
        <v>4.3529559999999998</v>
      </c>
      <c r="I197" s="556" t="s">
        <v>29288</v>
      </c>
      <c r="J197" s="556" t="s">
        <v>4</v>
      </c>
      <c r="K197" s="556" t="s">
        <v>29854</v>
      </c>
      <c r="L197" s="556">
        <v>784555822</v>
      </c>
      <c r="M197" s="556" t="s">
        <v>3</v>
      </c>
      <c r="N197" s="556" t="s">
        <v>31590</v>
      </c>
      <c r="O197" s="556" t="s">
        <v>4</v>
      </c>
      <c r="P197" s="556">
        <v>3</v>
      </c>
      <c r="Q197" s="556" t="s">
        <v>7</v>
      </c>
      <c r="R197" s="556" t="s">
        <v>31588</v>
      </c>
      <c r="S197" s="556" t="s">
        <v>4</v>
      </c>
      <c r="T197" s="556" t="s">
        <v>2</v>
      </c>
      <c r="U197" s="556" t="s">
        <v>4</v>
      </c>
      <c r="V197" s="556"/>
      <c r="W197" s="556" t="s">
        <v>4</v>
      </c>
      <c r="X197" s="556" t="s">
        <v>4</v>
      </c>
      <c r="Y197" s="557">
        <v>44815</v>
      </c>
      <c r="Z197" s="557" t="str">
        <f>IF(OR(T197="yes",Y197&gt;'SDG outcome'!$C$27),"yes","no")</f>
        <v>no</v>
      </c>
      <c r="AA197" s="558" t="str">
        <f t="shared" si="25"/>
        <v/>
      </c>
      <c r="AB197" s="558">
        <f>IF(AND(Z197="no",AND(Y197&gt;='SDG outcome'!$B$16,Y197&lt;'SDG outcome'!$C$27)),Y197-'SDG outcome'!$B$16,"")</f>
        <v>145</v>
      </c>
      <c r="AC197" s="556" t="s">
        <v>8</v>
      </c>
      <c r="AD197" s="556" t="s">
        <v>31707</v>
      </c>
      <c r="AE197" s="556" t="s">
        <v>4</v>
      </c>
      <c r="AF197" s="556" t="s">
        <v>4</v>
      </c>
      <c r="AG197" s="556" t="s">
        <v>4</v>
      </c>
      <c r="AH197" s="556" t="s">
        <v>9</v>
      </c>
      <c r="AI197" s="557" t="s">
        <v>9</v>
      </c>
      <c r="AJ197" s="556" t="s">
        <v>4</v>
      </c>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6"/>
      <c r="BM197" s="556"/>
      <c r="BN197" s="556"/>
      <c r="BO197" s="556"/>
      <c r="BP197" s="556"/>
      <c r="BQ197" s="556"/>
      <c r="BR197" s="556"/>
      <c r="BS197" s="556"/>
      <c r="BT197" s="556"/>
      <c r="BU197" s="556"/>
      <c r="BV197" s="556"/>
      <c r="BW197" s="556"/>
      <c r="BX197" s="556"/>
      <c r="BY197" s="556"/>
      <c r="BZ197" s="556"/>
      <c r="CA197" s="556"/>
      <c r="CB197" s="556"/>
      <c r="CC197" s="556"/>
      <c r="CD197" s="556"/>
      <c r="CE197" s="556"/>
      <c r="CF197" s="556"/>
      <c r="CG197" s="556"/>
      <c r="CH197" s="556"/>
      <c r="CI197" s="556"/>
      <c r="CJ197" s="556"/>
      <c r="CK197" s="556"/>
      <c r="CL197" s="556"/>
      <c r="CM197" s="556"/>
      <c r="CN197" s="556"/>
      <c r="CO197" s="556"/>
      <c r="CP197" s="556"/>
      <c r="CQ197" s="556"/>
      <c r="CR197" s="556"/>
      <c r="CS197" s="556"/>
      <c r="CT197" s="556"/>
      <c r="CU197" s="556"/>
      <c r="CV197" s="556"/>
      <c r="CW197" s="556"/>
      <c r="CX197" s="556"/>
      <c r="CY197" s="556"/>
      <c r="CZ197" s="556"/>
      <c r="DA197" s="556"/>
      <c r="DB197" s="556"/>
      <c r="DC197" s="556"/>
      <c r="DD197" s="556"/>
      <c r="DE197" s="556"/>
      <c r="DF197" s="556"/>
      <c r="DG197" s="556"/>
      <c r="DH197" s="556"/>
      <c r="DI197" s="556"/>
      <c r="DJ197" s="556"/>
      <c r="DK197" s="556"/>
      <c r="DL197" s="556"/>
      <c r="DM197" s="556"/>
      <c r="DN197" s="556"/>
      <c r="DO197" s="556"/>
      <c r="DP197" s="556"/>
      <c r="DQ197" s="556"/>
      <c r="DR197" s="556"/>
      <c r="DS197" s="556"/>
      <c r="DT197" s="559"/>
      <c r="DU197" s="556"/>
      <c r="DV197" s="559"/>
      <c r="DW197" s="556"/>
      <c r="DX197" s="556"/>
      <c r="DY197" s="556"/>
      <c r="DZ197" s="556"/>
      <c r="EA197" s="556"/>
      <c r="EB197" s="556"/>
      <c r="EC197" s="556"/>
      <c r="ED197" s="556"/>
      <c r="EE197" s="560"/>
      <c r="EF197" s="560"/>
      <c r="EG197" s="560"/>
      <c r="EH197" s="560"/>
      <c r="EI197" s="560"/>
      <c r="EJ197" s="556"/>
      <c r="EK197" s="556"/>
      <c r="EL197" s="556"/>
      <c r="EM197" s="556"/>
      <c r="EN197" s="556"/>
      <c r="EO197" s="556"/>
      <c r="EP197" s="556"/>
      <c r="EQ197" s="556"/>
      <c r="ER197" s="556"/>
      <c r="ES197" s="556"/>
      <c r="ET197" s="556"/>
      <c r="EU197" s="556"/>
      <c r="EV197" s="560"/>
      <c r="EW197" s="560"/>
      <c r="EX197" s="560"/>
      <c r="EY197" s="560"/>
      <c r="EZ197" s="560"/>
      <c r="FA197" s="556"/>
      <c r="FB197" s="556"/>
      <c r="FC197" s="556"/>
      <c r="FD197" s="556"/>
      <c r="FE197" s="556"/>
      <c r="FF197" s="556"/>
      <c r="FG197" s="556"/>
      <c r="FH197" s="556"/>
      <c r="FI197" s="556"/>
      <c r="FJ197" s="556"/>
      <c r="FK197" s="556"/>
      <c r="FL197" s="556"/>
      <c r="FM197" s="556"/>
      <c r="FN197" s="556"/>
      <c r="FO197" s="556"/>
      <c r="FP197" s="556"/>
      <c r="FQ197" s="556"/>
      <c r="FR197" s="556"/>
      <c r="FS197" s="556"/>
      <c r="FT197" s="556"/>
      <c r="FU197" s="556"/>
      <c r="FV197" s="556"/>
      <c r="FW197" s="556"/>
      <c r="FX197" s="556"/>
      <c r="FY197" s="556"/>
      <c r="FZ197" s="556"/>
      <c r="GA197" s="556"/>
      <c r="GB197" s="559"/>
      <c r="GC197" s="556"/>
      <c r="GD197" s="556"/>
      <c r="GE197" s="556"/>
      <c r="GF197" s="556"/>
      <c r="GG197" s="556"/>
      <c r="GH197" s="556"/>
      <c r="GI197" s="556"/>
      <c r="GJ197" s="556"/>
      <c r="GK197" s="556"/>
      <c r="GL197" s="556"/>
      <c r="GM197" s="556"/>
      <c r="GN197" s="556"/>
      <c r="GO197" s="556"/>
      <c r="GP197" s="556"/>
      <c r="GQ197" s="556"/>
      <c r="GR197" s="556"/>
      <c r="GS197" s="556"/>
      <c r="GT197" s="556"/>
      <c r="GU197" s="556"/>
      <c r="GV197" s="556"/>
      <c r="GW197" s="556"/>
      <c r="GX197" s="556"/>
      <c r="GY197" s="556"/>
      <c r="GZ197" s="556"/>
      <c r="HA197" s="556"/>
      <c r="HB197" s="556"/>
      <c r="HC197" s="556"/>
      <c r="HD197" s="556"/>
      <c r="HE197" s="556"/>
      <c r="HF197" s="556"/>
      <c r="HG197" s="556"/>
      <c r="HH197" s="556"/>
      <c r="HI197" s="556"/>
      <c r="HJ197" s="559"/>
      <c r="HK197" s="556"/>
      <c r="HL197" s="556"/>
      <c r="HM197" s="556"/>
      <c r="HN197" s="556"/>
      <c r="HO197" s="556"/>
      <c r="HP197" s="556"/>
      <c r="HQ197" s="556"/>
      <c r="HR197" s="556"/>
      <c r="HS197" s="556"/>
      <c r="HT197" s="556"/>
      <c r="HU197" s="556"/>
      <c r="HV197" s="556"/>
      <c r="HW197" s="556"/>
      <c r="HX197" s="556"/>
      <c r="HY197" s="556"/>
      <c r="HZ197" s="556" t="s">
        <v>29855</v>
      </c>
      <c r="IA197" s="556" t="s">
        <v>7</v>
      </c>
      <c r="IB197" s="556" t="s">
        <v>29856</v>
      </c>
      <c r="IC197" s="556" t="s">
        <v>72</v>
      </c>
      <c r="ID197" s="556" t="s">
        <v>29857</v>
      </c>
      <c r="IE197" s="556" t="s">
        <v>29858</v>
      </c>
      <c r="IF197" s="556" t="s">
        <v>29859</v>
      </c>
      <c r="IG197" s="556" t="s">
        <v>29860</v>
      </c>
      <c r="IH197" s="556" t="s">
        <v>29852</v>
      </c>
    </row>
    <row r="198" spans="1:242" s="1" customFormat="1" ht="36.75" customHeight="1" x14ac:dyDescent="0.2">
      <c r="A198" s="556">
        <v>51</v>
      </c>
      <c r="B198" s="556" t="s">
        <v>23946</v>
      </c>
      <c r="C198" s="556" t="s">
        <v>29891</v>
      </c>
      <c r="D198" s="556" t="s">
        <v>29799</v>
      </c>
      <c r="E198" s="556" t="s">
        <v>7</v>
      </c>
      <c r="F198" s="556" t="s">
        <v>29892</v>
      </c>
      <c r="G198" s="556">
        <v>1539.8079829999999</v>
      </c>
      <c r="H198" s="556">
        <v>4.82714</v>
      </c>
      <c r="I198" s="556" t="s">
        <v>29319</v>
      </c>
      <c r="J198" s="556" t="s">
        <v>4</v>
      </c>
      <c r="K198" s="556" t="s">
        <v>23947</v>
      </c>
      <c r="L198" s="556">
        <v>782552181</v>
      </c>
      <c r="M198" s="556" t="s">
        <v>5</v>
      </c>
      <c r="N198" s="556" t="s">
        <v>31590</v>
      </c>
      <c r="O198" s="556" t="s">
        <v>4</v>
      </c>
      <c r="P198" s="556">
        <v>4</v>
      </c>
      <c r="Q198" s="556" t="s">
        <v>7</v>
      </c>
      <c r="R198" s="556" t="s">
        <v>31549</v>
      </c>
      <c r="S198" s="556" t="s">
        <v>4</v>
      </c>
      <c r="T198" s="556" t="s">
        <v>2</v>
      </c>
      <c r="U198" s="556" t="s">
        <v>4</v>
      </c>
      <c r="V198" s="556"/>
      <c r="W198" s="556" t="s">
        <v>4</v>
      </c>
      <c r="X198" s="556" t="s">
        <v>4</v>
      </c>
      <c r="Y198" s="557">
        <v>44752</v>
      </c>
      <c r="Z198" s="557" t="str">
        <f>IF(OR(T198="yes",Y198&gt;'SDG outcome'!$C$27),"yes","no")</f>
        <v>no</v>
      </c>
      <c r="AA198" s="558" t="str">
        <f t="shared" si="25"/>
        <v/>
      </c>
      <c r="AB198" s="558">
        <f>IF(AND(Z198="no",AND(Y198&gt;='SDG outcome'!$B$16,Y198&lt;'SDG outcome'!$C$27)),Y198-'SDG outcome'!$B$16,"")</f>
        <v>82</v>
      </c>
      <c r="AC198" s="556" t="s">
        <v>31572</v>
      </c>
      <c r="AD198" s="556" t="s">
        <v>4</v>
      </c>
      <c r="AE198" s="556" t="s">
        <v>7</v>
      </c>
      <c r="AF198" s="556" t="s">
        <v>31715</v>
      </c>
      <c r="AG198" s="556" t="s">
        <v>4</v>
      </c>
      <c r="AH198" s="556" t="s">
        <v>7</v>
      </c>
      <c r="AI198" s="557">
        <v>45117</v>
      </c>
      <c r="AJ198" s="556" t="s">
        <v>4</v>
      </c>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6"/>
      <c r="BM198" s="556"/>
      <c r="BN198" s="556"/>
      <c r="BO198" s="556"/>
      <c r="BP198" s="556"/>
      <c r="BQ198" s="556"/>
      <c r="BR198" s="556"/>
      <c r="BS198" s="556"/>
      <c r="BT198" s="556"/>
      <c r="BU198" s="556"/>
      <c r="BV198" s="556"/>
      <c r="BW198" s="556"/>
      <c r="BX198" s="556"/>
      <c r="BY198" s="556"/>
      <c r="BZ198" s="556"/>
      <c r="CA198" s="556"/>
      <c r="CB198" s="556"/>
      <c r="CC198" s="556"/>
      <c r="CD198" s="556"/>
      <c r="CE198" s="556"/>
      <c r="CF198" s="556"/>
      <c r="CG198" s="556"/>
      <c r="CH198" s="556"/>
      <c r="CI198" s="556"/>
      <c r="CJ198" s="556"/>
      <c r="CK198" s="556"/>
      <c r="CL198" s="556"/>
      <c r="CM198" s="556"/>
      <c r="CN198" s="556"/>
      <c r="CO198" s="556"/>
      <c r="CP198" s="556"/>
      <c r="CQ198" s="556"/>
      <c r="CR198" s="556"/>
      <c r="CS198" s="556"/>
      <c r="CT198" s="556"/>
      <c r="CU198" s="556"/>
      <c r="CV198" s="556"/>
      <c r="CW198" s="556"/>
      <c r="CX198" s="556"/>
      <c r="CY198" s="556"/>
      <c r="CZ198" s="556"/>
      <c r="DA198" s="556"/>
      <c r="DB198" s="556"/>
      <c r="DC198" s="556"/>
      <c r="DD198" s="556"/>
      <c r="DE198" s="556"/>
      <c r="DF198" s="556"/>
      <c r="DG198" s="556"/>
      <c r="DH198" s="556"/>
      <c r="DI198" s="556"/>
      <c r="DJ198" s="556"/>
      <c r="DK198" s="556"/>
      <c r="DL198" s="556"/>
      <c r="DM198" s="556"/>
      <c r="DN198" s="556"/>
      <c r="DO198" s="556"/>
      <c r="DP198" s="556"/>
      <c r="DQ198" s="556"/>
      <c r="DR198" s="556"/>
      <c r="DS198" s="556"/>
      <c r="DT198" s="559"/>
      <c r="DU198" s="556"/>
      <c r="DV198" s="559"/>
      <c r="DW198" s="556"/>
      <c r="DX198" s="556"/>
      <c r="DY198" s="556"/>
      <c r="DZ198" s="556"/>
      <c r="EA198" s="556"/>
      <c r="EB198" s="556"/>
      <c r="EC198" s="556"/>
      <c r="ED198" s="556"/>
      <c r="EE198" s="560"/>
      <c r="EF198" s="560"/>
      <c r="EG198" s="560"/>
      <c r="EH198" s="560"/>
      <c r="EI198" s="560"/>
      <c r="EJ198" s="556"/>
      <c r="EK198" s="556"/>
      <c r="EL198" s="556"/>
      <c r="EM198" s="556"/>
      <c r="EN198" s="556"/>
      <c r="EO198" s="556"/>
      <c r="EP198" s="556"/>
      <c r="EQ198" s="556"/>
      <c r="ER198" s="556"/>
      <c r="ES198" s="556"/>
      <c r="ET198" s="556"/>
      <c r="EU198" s="556"/>
      <c r="EV198" s="560"/>
      <c r="EW198" s="560"/>
      <c r="EX198" s="560"/>
      <c r="EY198" s="560"/>
      <c r="EZ198" s="560"/>
      <c r="FA198" s="556"/>
      <c r="FB198" s="556"/>
      <c r="FC198" s="556"/>
      <c r="FD198" s="556"/>
      <c r="FE198" s="556"/>
      <c r="FF198" s="556"/>
      <c r="FG198" s="556"/>
      <c r="FH198" s="556"/>
      <c r="FI198" s="556"/>
      <c r="FJ198" s="556"/>
      <c r="FK198" s="556"/>
      <c r="FL198" s="556"/>
      <c r="FM198" s="556"/>
      <c r="FN198" s="556"/>
      <c r="FO198" s="556"/>
      <c r="FP198" s="556"/>
      <c r="FQ198" s="556"/>
      <c r="FR198" s="556"/>
      <c r="FS198" s="556"/>
      <c r="FT198" s="556"/>
      <c r="FU198" s="556"/>
      <c r="FV198" s="556"/>
      <c r="FW198" s="556"/>
      <c r="FX198" s="556"/>
      <c r="FY198" s="556"/>
      <c r="FZ198" s="556"/>
      <c r="GA198" s="556"/>
      <c r="GB198" s="559"/>
      <c r="GC198" s="556"/>
      <c r="GD198" s="556"/>
      <c r="GE198" s="556"/>
      <c r="GF198" s="556"/>
      <c r="GG198" s="556"/>
      <c r="GH198" s="556"/>
      <c r="GI198" s="556"/>
      <c r="GJ198" s="556"/>
      <c r="GK198" s="556"/>
      <c r="GL198" s="556"/>
      <c r="GM198" s="556"/>
      <c r="GN198" s="556"/>
      <c r="GO198" s="556"/>
      <c r="GP198" s="556"/>
      <c r="GQ198" s="556"/>
      <c r="GR198" s="556"/>
      <c r="GS198" s="556"/>
      <c r="GT198" s="556"/>
      <c r="GU198" s="556"/>
      <c r="GV198" s="556"/>
      <c r="GW198" s="556"/>
      <c r="GX198" s="556"/>
      <c r="GY198" s="556"/>
      <c r="GZ198" s="556"/>
      <c r="HA198" s="556"/>
      <c r="HB198" s="556"/>
      <c r="HC198" s="556"/>
      <c r="HD198" s="556"/>
      <c r="HE198" s="556"/>
      <c r="HF198" s="556"/>
      <c r="HG198" s="556"/>
      <c r="HH198" s="556"/>
      <c r="HI198" s="556"/>
      <c r="HJ198" s="559"/>
      <c r="HK198" s="556"/>
      <c r="HL198" s="556"/>
      <c r="HM198" s="556"/>
      <c r="HN198" s="556"/>
      <c r="HO198" s="556"/>
      <c r="HP198" s="556"/>
      <c r="HQ198" s="556"/>
      <c r="HR198" s="556"/>
      <c r="HS198" s="556"/>
      <c r="HT198" s="556"/>
      <c r="HU198" s="556"/>
      <c r="HV198" s="556"/>
      <c r="HW198" s="556"/>
      <c r="HX198" s="556"/>
      <c r="HY198" s="556"/>
      <c r="HZ198" s="556" t="s">
        <v>29893</v>
      </c>
      <c r="IA198" s="556" t="s">
        <v>7</v>
      </c>
      <c r="IB198" s="556" t="s">
        <v>29894</v>
      </c>
      <c r="IC198" s="556" t="s">
        <v>29895</v>
      </c>
      <c r="ID198" s="556" t="s">
        <v>29896</v>
      </c>
      <c r="IE198" s="556" t="s">
        <v>9</v>
      </c>
      <c r="IF198" s="556" t="s">
        <v>29897</v>
      </c>
      <c r="IG198" s="556" t="s">
        <v>29898</v>
      </c>
      <c r="IH198" s="556" t="s">
        <v>29891</v>
      </c>
    </row>
    <row r="199" spans="1:242" s="1" customFormat="1" ht="36.75" customHeight="1" x14ac:dyDescent="0.2">
      <c r="A199" s="556">
        <v>90</v>
      </c>
      <c r="B199" s="556" t="s">
        <v>10990</v>
      </c>
      <c r="C199" s="556" t="s">
        <v>30291</v>
      </c>
      <c r="D199" s="556" t="s">
        <v>30207</v>
      </c>
      <c r="E199" s="556" t="s">
        <v>7</v>
      </c>
      <c r="F199" s="556" t="s">
        <v>30292</v>
      </c>
      <c r="G199" s="556">
        <v>1189.9000000000001</v>
      </c>
      <c r="H199" s="556">
        <v>4</v>
      </c>
      <c r="I199" s="556" t="s">
        <v>29319</v>
      </c>
      <c r="J199" s="556" t="s">
        <v>4</v>
      </c>
      <c r="K199" s="556" t="s">
        <v>30293</v>
      </c>
      <c r="L199" s="556">
        <v>777771589</v>
      </c>
      <c r="M199" s="556" t="s">
        <v>5</v>
      </c>
      <c r="N199" s="556" t="s">
        <v>31598</v>
      </c>
      <c r="O199" s="556" t="s">
        <v>4</v>
      </c>
      <c r="P199" s="556">
        <v>4</v>
      </c>
      <c r="Q199" s="556" t="s">
        <v>7</v>
      </c>
      <c r="R199" s="556" t="s">
        <v>31549</v>
      </c>
      <c r="S199" s="556" t="s">
        <v>4</v>
      </c>
      <c r="T199" s="556" t="s">
        <v>2</v>
      </c>
      <c r="U199" s="556" t="s">
        <v>4</v>
      </c>
      <c r="V199" s="556"/>
      <c r="W199" s="556" t="s">
        <v>4</v>
      </c>
      <c r="X199" s="556" t="s">
        <v>4</v>
      </c>
      <c r="Y199" s="557">
        <v>44752</v>
      </c>
      <c r="Z199" s="557" t="str">
        <f>IF(OR(T199="yes",Y199&gt;'SDG outcome'!$C$27),"yes","no")</f>
        <v>no</v>
      </c>
      <c r="AA199" s="558" t="str">
        <f t="shared" si="25"/>
        <v/>
      </c>
      <c r="AB199" s="558">
        <f>IF(AND(Z199="no",AND(Y199&gt;='SDG outcome'!$B$16,Y199&lt;'SDG outcome'!$C$27)),Y199-'SDG outcome'!$B$16,"")</f>
        <v>82</v>
      </c>
      <c r="AC199" s="556" t="s">
        <v>8</v>
      </c>
      <c r="AD199" s="556" t="s">
        <v>31786</v>
      </c>
      <c r="AE199" s="556" t="s">
        <v>4</v>
      </c>
      <c r="AF199" s="556" t="s">
        <v>4</v>
      </c>
      <c r="AG199" s="556" t="s">
        <v>4</v>
      </c>
      <c r="AH199" s="556" t="s">
        <v>4</v>
      </c>
      <c r="AI199" s="557" t="s">
        <v>4</v>
      </c>
      <c r="AJ199" s="556" t="s">
        <v>4</v>
      </c>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6"/>
      <c r="BM199" s="556"/>
      <c r="BN199" s="556"/>
      <c r="BO199" s="556"/>
      <c r="BP199" s="556"/>
      <c r="BQ199" s="556"/>
      <c r="BR199" s="556"/>
      <c r="BS199" s="556"/>
      <c r="BT199" s="556"/>
      <c r="BU199" s="556"/>
      <c r="BV199" s="556"/>
      <c r="BW199" s="556"/>
      <c r="BX199" s="556"/>
      <c r="BY199" s="556"/>
      <c r="BZ199" s="556"/>
      <c r="CA199" s="556"/>
      <c r="CB199" s="556"/>
      <c r="CC199" s="556"/>
      <c r="CD199" s="556"/>
      <c r="CE199" s="556"/>
      <c r="CF199" s="556"/>
      <c r="CG199" s="556"/>
      <c r="CH199" s="556"/>
      <c r="CI199" s="556"/>
      <c r="CJ199" s="556"/>
      <c r="CK199" s="556"/>
      <c r="CL199" s="556"/>
      <c r="CM199" s="556"/>
      <c r="CN199" s="556"/>
      <c r="CO199" s="556"/>
      <c r="CP199" s="556"/>
      <c r="CQ199" s="556"/>
      <c r="CR199" s="556"/>
      <c r="CS199" s="556"/>
      <c r="CT199" s="556"/>
      <c r="CU199" s="556"/>
      <c r="CV199" s="556"/>
      <c r="CW199" s="556"/>
      <c r="CX199" s="556"/>
      <c r="CY199" s="556"/>
      <c r="CZ199" s="556"/>
      <c r="DA199" s="556"/>
      <c r="DB199" s="556"/>
      <c r="DC199" s="556"/>
      <c r="DD199" s="556"/>
      <c r="DE199" s="556"/>
      <c r="DF199" s="556"/>
      <c r="DG199" s="556"/>
      <c r="DH199" s="556"/>
      <c r="DI199" s="556"/>
      <c r="DJ199" s="556"/>
      <c r="DK199" s="556"/>
      <c r="DL199" s="556"/>
      <c r="DM199" s="556"/>
      <c r="DN199" s="556"/>
      <c r="DO199" s="556"/>
      <c r="DP199" s="556"/>
      <c r="DQ199" s="556"/>
      <c r="DR199" s="556"/>
      <c r="DS199" s="556"/>
      <c r="DT199" s="559"/>
      <c r="DU199" s="556"/>
      <c r="DV199" s="559"/>
      <c r="DW199" s="556"/>
      <c r="DX199" s="556"/>
      <c r="DY199" s="556"/>
      <c r="DZ199" s="556"/>
      <c r="EA199" s="556"/>
      <c r="EB199" s="556"/>
      <c r="EC199" s="556"/>
      <c r="ED199" s="556"/>
      <c r="EE199" s="560"/>
      <c r="EF199" s="560"/>
      <c r="EG199" s="560"/>
      <c r="EH199" s="560"/>
      <c r="EI199" s="560"/>
      <c r="EJ199" s="556"/>
      <c r="EK199" s="556"/>
      <c r="EL199" s="556"/>
      <c r="EM199" s="556"/>
      <c r="EN199" s="556"/>
      <c r="EO199" s="556"/>
      <c r="EP199" s="556"/>
      <c r="EQ199" s="556"/>
      <c r="ER199" s="556"/>
      <c r="ES199" s="556"/>
      <c r="ET199" s="556"/>
      <c r="EU199" s="556"/>
      <c r="EV199" s="560"/>
      <c r="EW199" s="560"/>
      <c r="EX199" s="560"/>
      <c r="EY199" s="560"/>
      <c r="EZ199" s="560"/>
      <c r="FA199" s="556"/>
      <c r="FB199" s="556"/>
      <c r="FC199" s="556"/>
      <c r="FD199" s="556"/>
      <c r="FE199" s="556"/>
      <c r="FF199" s="556"/>
      <c r="FG199" s="556"/>
      <c r="FH199" s="556"/>
      <c r="FI199" s="556"/>
      <c r="FJ199" s="556"/>
      <c r="FK199" s="556"/>
      <c r="FL199" s="556"/>
      <c r="FM199" s="556"/>
      <c r="FN199" s="556"/>
      <c r="FO199" s="556"/>
      <c r="FP199" s="556"/>
      <c r="FQ199" s="556"/>
      <c r="FR199" s="556"/>
      <c r="FS199" s="556"/>
      <c r="FT199" s="556"/>
      <c r="FU199" s="556"/>
      <c r="FV199" s="556"/>
      <c r="FW199" s="556"/>
      <c r="FX199" s="556"/>
      <c r="FY199" s="556"/>
      <c r="FZ199" s="556"/>
      <c r="GA199" s="556"/>
      <c r="GB199" s="559"/>
      <c r="GC199" s="556"/>
      <c r="GD199" s="556"/>
      <c r="GE199" s="556"/>
      <c r="GF199" s="556"/>
      <c r="GG199" s="556"/>
      <c r="GH199" s="556"/>
      <c r="GI199" s="556"/>
      <c r="GJ199" s="556"/>
      <c r="GK199" s="556"/>
      <c r="GL199" s="556"/>
      <c r="GM199" s="556"/>
      <c r="GN199" s="556"/>
      <c r="GO199" s="556"/>
      <c r="GP199" s="556"/>
      <c r="GQ199" s="556"/>
      <c r="GR199" s="556"/>
      <c r="GS199" s="556"/>
      <c r="GT199" s="556"/>
      <c r="GU199" s="556"/>
      <c r="GV199" s="556"/>
      <c r="GW199" s="556"/>
      <c r="GX199" s="556"/>
      <c r="GY199" s="556"/>
      <c r="GZ199" s="556"/>
      <c r="HA199" s="556"/>
      <c r="HB199" s="556"/>
      <c r="HC199" s="556"/>
      <c r="HD199" s="556"/>
      <c r="HE199" s="556"/>
      <c r="HF199" s="556"/>
      <c r="HG199" s="556"/>
      <c r="HH199" s="556"/>
      <c r="HI199" s="556"/>
      <c r="HJ199" s="559"/>
      <c r="HK199" s="556"/>
      <c r="HL199" s="556"/>
      <c r="HM199" s="556"/>
      <c r="HN199" s="556"/>
      <c r="HO199" s="556"/>
      <c r="HP199" s="556"/>
      <c r="HQ199" s="556"/>
      <c r="HR199" s="556"/>
      <c r="HS199" s="556"/>
      <c r="HT199" s="556"/>
      <c r="HU199" s="556"/>
      <c r="HV199" s="556"/>
      <c r="HW199" s="556"/>
      <c r="HX199" s="556"/>
      <c r="HY199" s="556"/>
      <c r="HZ199" s="556" t="s">
        <v>30294</v>
      </c>
      <c r="IA199" s="556" t="s">
        <v>7</v>
      </c>
      <c r="IB199" s="556" t="s">
        <v>30295</v>
      </c>
      <c r="IC199" s="556" t="s">
        <v>16</v>
      </c>
      <c r="ID199" s="556" t="s">
        <v>30296</v>
      </c>
      <c r="IE199" s="556" t="s">
        <v>9</v>
      </c>
      <c r="IF199" s="556" t="s">
        <v>30297</v>
      </c>
      <c r="IG199" s="556" t="s">
        <v>30298</v>
      </c>
      <c r="IH199" s="556" t="s">
        <v>30299</v>
      </c>
    </row>
    <row r="200" spans="1:242" s="1" customFormat="1" ht="36.75" customHeight="1" x14ac:dyDescent="0.2">
      <c r="A200" s="556">
        <v>120</v>
      </c>
      <c r="B200" s="556" t="s">
        <v>18750</v>
      </c>
      <c r="C200" s="556" t="s">
        <v>30608</v>
      </c>
      <c r="D200" s="556" t="s">
        <v>30534</v>
      </c>
      <c r="E200" s="556" t="s">
        <v>7</v>
      </c>
      <c r="F200" s="556" t="s">
        <v>30609</v>
      </c>
      <c r="G200" s="556">
        <v>1106</v>
      </c>
      <c r="H200" s="556">
        <v>6.5</v>
      </c>
      <c r="I200" s="556" t="s">
        <v>29288</v>
      </c>
      <c r="J200" s="556" t="s">
        <v>4</v>
      </c>
      <c r="K200" s="556" t="s">
        <v>30610</v>
      </c>
      <c r="L200" s="556">
        <v>771392745</v>
      </c>
      <c r="M200" s="556" t="s">
        <v>3</v>
      </c>
      <c r="N200" s="556" t="s">
        <v>31438</v>
      </c>
      <c r="O200" s="556">
        <v>59</v>
      </c>
      <c r="P200" s="556">
        <v>6</v>
      </c>
      <c r="Q200" s="556" t="s">
        <v>7</v>
      </c>
      <c r="R200" s="556" t="s">
        <v>31549</v>
      </c>
      <c r="S200" s="556" t="s">
        <v>4</v>
      </c>
      <c r="T200" s="556" t="s">
        <v>2</v>
      </c>
      <c r="U200" s="556" t="s">
        <v>4</v>
      </c>
      <c r="V200" s="556"/>
      <c r="W200" s="556" t="s">
        <v>4</v>
      </c>
      <c r="X200" s="556" t="s">
        <v>4</v>
      </c>
      <c r="Y200" s="557">
        <v>44751</v>
      </c>
      <c r="Z200" s="557" t="str">
        <f>IF(OR(T200="yes",Y200&gt;'SDG outcome'!$C$27),"yes","no")</f>
        <v>no</v>
      </c>
      <c r="AA200" s="558" t="str">
        <f t="shared" si="25"/>
        <v/>
      </c>
      <c r="AB200" s="558">
        <f>IF(AND(Z200="no",AND(Y200&gt;='SDG outcome'!$B$16,Y200&lt;'SDG outcome'!$C$27)),Y200-'SDG outcome'!$B$16,"")</f>
        <v>81</v>
      </c>
      <c r="AC200" s="556" t="s">
        <v>31572</v>
      </c>
      <c r="AD200" s="556" t="s">
        <v>4</v>
      </c>
      <c r="AE200" s="556" t="s">
        <v>2</v>
      </c>
      <c r="AF200" s="556" t="s">
        <v>4</v>
      </c>
      <c r="AG200" s="556" t="s">
        <v>31840</v>
      </c>
      <c r="AH200" s="556" t="s">
        <v>7</v>
      </c>
      <c r="AI200" s="557">
        <v>45208</v>
      </c>
      <c r="AJ200" s="556" t="s">
        <v>4</v>
      </c>
      <c r="AK200" s="556"/>
      <c r="AL200" s="556"/>
      <c r="AM200" s="556"/>
      <c r="AN200" s="556"/>
      <c r="AO200" s="556"/>
      <c r="AP200" s="556"/>
      <c r="AQ200" s="556"/>
      <c r="AR200" s="556"/>
      <c r="AS200" s="556"/>
      <c r="AT200" s="556"/>
      <c r="AU200" s="556"/>
      <c r="AV200" s="556"/>
      <c r="AW200" s="556"/>
      <c r="AX200" s="556"/>
      <c r="AY200" s="556"/>
      <c r="AZ200" s="556"/>
      <c r="BA200" s="556"/>
      <c r="BB200" s="556"/>
      <c r="BC200" s="556"/>
      <c r="BD200" s="556"/>
      <c r="BE200" s="556"/>
      <c r="BF200" s="556"/>
      <c r="BG200" s="556"/>
      <c r="BH200" s="556"/>
      <c r="BI200" s="556"/>
      <c r="BJ200" s="556"/>
      <c r="BK200" s="556"/>
      <c r="BL200" s="556"/>
      <c r="BM200" s="556"/>
      <c r="BN200" s="556"/>
      <c r="BO200" s="556"/>
      <c r="BP200" s="556"/>
      <c r="BQ200" s="556"/>
      <c r="BR200" s="556"/>
      <c r="BS200" s="556"/>
      <c r="BT200" s="556"/>
      <c r="BU200" s="556"/>
      <c r="BV200" s="556"/>
      <c r="BW200" s="556"/>
      <c r="BX200" s="556"/>
      <c r="BY200" s="556"/>
      <c r="BZ200" s="556"/>
      <c r="CA200" s="556"/>
      <c r="CB200" s="556"/>
      <c r="CC200" s="556"/>
      <c r="CD200" s="556"/>
      <c r="CE200" s="556"/>
      <c r="CF200" s="556"/>
      <c r="CG200" s="556"/>
      <c r="CH200" s="556"/>
      <c r="CI200" s="556"/>
      <c r="CJ200" s="556"/>
      <c r="CK200" s="556"/>
      <c r="CL200" s="556"/>
      <c r="CM200" s="556"/>
      <c r="CN200" s="556"/>
      <c r="CO200" s="556"/>
      <c r="CP200" s="556"/>
      <c r="CQ200" s="556"/>
      <c r="CR200" s="556"/>
      <c r="CS200" s="556"/>
      <c r="CT200" s="556"/>
      <c r="CU200" s="556"/>
      <c r="CV200" s="556"/>
      <c r="CW200" s="556"/>
      <c r="CX200" s="556"/>
      <c r="CY200" s="556"/>
      <c r="CZ200" s="556"/>
      <c r="DA200" s="556"/>
      <c r="DB200" s="556"/>
      <c r="DC200" s="556"/>
      <c r="DD200" s="556"/>
      <c r="DE200" s="556"/>
      <c r="DF200" s="556"/>
      <c r="DG200" s="556"/>
      <c r="DH200" s="556"/>
      <c r="DI200" s="556"/>
      <c r="DJ200" s="556"/>
      <c r="DK200" s="556"/>
      <c r="DL200" s="556"/>
      <c r="DM200" s="556"/>
      <c r="DN200" s="556"/>
      <c r="DO200" s="556"/>
      <c r="DP200" s="556"/>
      <c r="DQ200" s="556"/>
      <c r="DR200" s="556"/>
      <c r="DS200" s="556"/>
      <c r="DT200" s="559"/>
      <c r="DU200" s="556"/>
      <c r="DV200" s="559"/>
      <c r="DW200" s="556"/>
      <c r="DX200" s="556"/>
      <c r="DY200" s="556"/>
      <c r="DZ200" s="556"/>
      <c r="EA200" s="556"/>
      <c r="EB200" s="556"/>
      <c r="EC200" s="556"/>
      <c r="ED200" s="556"/>
      <c r="EE200" s="560"/>
      <c r="EF200" s="560"/>
      <c r="EG200" s="560"/>
      <c r="EH200" s="560"/>
      <c r="EI200" s="560"/>
      <c r="EJ200" s="556"/>
      <c r="EK200" s="556"/>
      <c r="EL200" s="556"/>
      <c r="EM200" s="556"/>
      <c r="EN200" s="556"/>
      <c r="EO200" s="556"/>
      <c r="EP200" s="556"/>
      <c r="EQ200" s="556"/>
      <c r="ER200" s="556"/>
      <c r="ES200" s="556"/>
      <c r="ET200" s="556"/>
      <c r="EU200" s="556"/>
      <c r="EV200" s="560"/>
      <c r="EW200" s="560"/>
      <c r="EX200" s="560"/>
      <c r="EY200" s="560"/>
      <c r="EZ200" s="560"/>
      <c r="FA200" s="556"/>
      <c r="FB200" s="556"/>
      <c r="FC200" s="556"/>
      <c r="FD200" s="556"/>
      <c r="FE200" s="556"/>
      <c r="FF200" s="556"/>
      <c r="FG200" s="556"/>
      <c r="FH200" s="556"/>
      <c r="FI200" s="556"/>
      <c r="FJ200" s="556"/>
      <c r="FK200" s="556"/>
      <c r="FL200" s="556"/>
      <c r="FM200" s="556"/>
      <c r="FN200" s="556"/>
      <c r="FO200" s="556"/>
      <c r="FP200" s="556"/>
      <c r="FQ200" s="556"/>
      <c r="FR200" s="556"/>
      <c r="FS200" s="556"/>
      <c r="FT200" s="556"/>
      <c r="FU200" s="556"/>
      <c r="FV200" s="556"/>
      <c r="FW200" s="556"/>
      <c r="FX200" s="556"/>
      <c r="FY200" s="556"/>
      <c r="FZ200" s="556"/>
      <c r="GA200" s="556"/>
      <c r="GB200" s="559"/>
      <c r="GC200" s="556"/>
      <c r="GD200" s="556"/>
      <c r="GE200" s="556"/>
      <c r="GF200" s="556"/>
      <c r="GG200" s="556"/>
      <c r="GH200" s="556"/>
      <c r="GI200" s="556"/>
      <c r="GJ200" s="556"/>
      <c r="GK200" s="556"/>
      <c r="GL200" s="556"/>
      <c r="GM200" s="556"/>
      <c r="GN200" s="556"/>
      <c r="GO200" s="556"/>
      <c r="GP200" s="556"/>
      <c r="GQ200" s="556"/>
      <c r="GR200" s="556"/>
      <c r="GS200" s="556"/>
      <c r="GT200" s="556"/>
      <c r="GU200" s="556"/>
      <c r="GV200" s="556"/>
      <c r="GW200" s="556"/>
      <c r="GX200" s="556"/>
      <c r="GY200" s="556"/>
      <c r="GZ200" s="556"/>
      <c r="HA200" s="556"/>
      <c r="HB200" s="556"/>
      <c r="HC200" s="556"/>
      <c r="HD200" s="556"/>
      <c r="HE200" s="556"/>
      <c r="HF200" s="556"/>
      <c r="HG200" s="556"/>
      <c r="HH200" s="556"/>
      <c r="HI200" s="556"/>
      <c r="HJ200" s="559"/>
      <c r="HK200" s="556"/>
      <c r="HL200" s="556"/>
      <c r="HM200" s="556"/>
      <c r="HN200" s="556"/>
      <c r="HO200" s="556"/>
      <c r="HP200" s="556"/>
      <c r="HQ200" s="556"/>
      <c r="HR200" s="556"/>
      <c r="HS200" s="556"/>
      <c r="HT200" s="556"/>
      <c r="HU200" s="556"/>
      <c r="HV200" s="556"/>
      <c r="HW200" s="556"/>
      <c r="HX200" s="556"/>
      <c r="HY200" s="556"/>
      <c r="HZ200" s="556" t="s">
        <v>30611</v>
      </c>
      <c r="IA200" s="556" t="s">
        <v>7</v>
      </c>
      <c r="IB200" s="556" t="s">
        <v>30612</v>
      </c>
      <c r="IC200" s="556" t="s">
        <v>30613</v>
      </c>
      <c r="ID200" s="556" t="s">
        <v>30614</v>
      </c>
      <c r="IE200" s="556" t="s">
        <v>30615</v>
      </c>
      <c r="IF200" s="556" t="s">
        <v>30616</v>
      </c>
      <c r="IG200" s="556" t="s">
        <v>30617</v>
      </c>
      <c r="IH200" s="556" t="s">
        <v>30608</v>
      </c>
    </row>
    <row r="201" spans="1:242" s="1" customFormat="1" ht="36.75" customHeight="1" x14ac:dyDescent="0.2">
      <c r="A201" s="556">
        <v>172</v>
      </c>
      <c r="B201" s="556" t="s">
        <v>24354</v>
      </c>
      <c r="C201" s="556" t="s">
        <v>31120</v>
      </c>
      <c r="D201" s="556" t="s">
        <v>31090</v>
      </c>
      <c r="E201" s="556" t="s">
        <v>7</v>
      </c>
      <c r="F201" s="556" t="s">
        <v>31121</v>
      </c>
      <c r="G201" s="556">
        <v>1242.307429</v>
      </c>
      <c r="H201" s="556">
        <v>6</v>
      </c>
      <c r="I201" s="556" t="s">
        <v>29319</v>
      </c>
      <c r="J201" s="556" t="s">
        <v>4</v>
      </c>
      <c r="K201" s="556" t="s">
        <v>24355</v>
      </c>
      <c r="L201" s="556">
        <v>772512888</v>
      </c>
      <c r="M201" s="556" t="s">
        <v>5</v>
      </c>
      <c r="N201" s="556" t="s">
        <v>31438</v>
      </c>
      <c r="O201" s="556">
        <v>63</v>
      </c>
      <c r="P201" s="556">
        <v>7</v>
      </c>
      <c r="Q201" s="556" t="s">
        <v>7</v>
      </c>
      <c r="R201" s="556" t="s">
        <v>31655</v>
      </c>
      <c r="S201" s="556" t="s">
        <v>4</v>
      </c>
      <c r="T201" s="556" t="s">
        <v>2</v>
      </c>
      <c r="U201" s="556" t="s">
        <v>4</v>
      </c>
      <c r="V201" s="556"/>
      <c r="W201" s="556" t="s">
        <v>4</v>
      </c>
      <c r="X201" s="556" t="s">
        <v>4</v>
      </c>
      <c r="Y201" s="557">
        <v>44745</v>
      </c>
      <c r="Z201" s="557" t="str">
        <f>IF(OR(T201="yes",Y201&gt;'SDG outcome'!$C$27),"yes","no")</f>
        <v>no</v>
      </c>
      <c r="AA201" s="558" t="str">
        <f t="shared" si="25"/>
        <v/>
      </c>
      <c r="AB201" s="558">
        <f>IF(AND(Z201="no",AND(Y201&gt;='SDG outcome'!$B$16,Y201&lt;'SDG outcome'!$C$27)),Y201-'SDG outcome'!$B$16,"")</f>
        <v>75</v>
      </c>
      <c r="AC201" s="556" t="s">
        <v>31572</v>
      </c>
      <c r="AD201" s="556" t="s">
        <v>4</v>
      </c>
      <c r="AE201" s="556" t="s">
        <v>7</v>
      </c>
      <c r="AF201" s="556" t="s">
        <v>31916</v>
      </c>
      <c r="AG201" s="556" t="s">
        <v>4</v>
      </c>
      <c r="AH201" s="556" t="s">
        <v>7</v>
      </c>
      <c r="AI201" s="557">
        <v>45148</v>
      </c>
      <c r="AJ201" s="556" t="s">
        <v>4</v>
      </c>
      <c r="AK201" s="556"/>
      <c r="AL201" s="556"/>
      <c r="AM201" s="556"/>
      <c r="AN201" s="556"/>
      <c r="AO201" s="556"/>
      <c r="AP201" s="556"/>
      <c r="AQ201" s="556"/>
      <c r="AR201" s="556"/>
      <c r="AS201" s="556"/>
      <c r="AT201" s="556"/>
      <c r="AU201" s="556"/>
      <c r="AV201" s="556"/>
      <c r="AW201" s="556"/>
      <c r="AX201" s="556"/>
      <c r="AY201" s="556"/>
      <c r="AZ201" s="556"/>
      <c r="BA201" s="556"/>
      <c r="BB201" s="556"/>
      <c r="BC201" s="556"/>
      <c r="BD201" s="556"/>
      <c r="BE201" s="556"/>
      <c r="BF201" s="556"/>
      <c r="BG201" s="556"/>
      <c r="BH201" s="556"/>
      <c r="BI201" s="556"/>
      <c r="BJ201" s="556"/>
      <c r="BK201" s="556"/>
      <c r="BL201" s="556"/>
      <c r="BM201" s="556"/>
      <c r="BN201" s="556"/>
      <c r="BO201" s="556"/>
      <c r="BP201" s="556"/>
      <c r="BQ201" s="556"/>
      <c r="BR201" s="556"/>
      <c r="BS201" s="556"/>
      <c r="BT201" s="556"/>
      <c r="BU201" s="556"/>
      <c r="BV201" s="556"/>
      <c r="BW201" s="556"/>
      <c r="BX201" s="556"/>
      <c r="BY201" s="556"/>
      <c r="BZ201" s="556"/>
      <c r="CA201" s="556"/>
      <c r="CB201" s="556"/>
      <c r="CC201" s="556"/>
      <c r="CD201" s="556"/>
      <c r="CE201" s="556"/>
      <c r="CF201" s="556"/>
      <c r="CG201" s="556"/>
      <c r="CH201" s="556"/>
      <c r="CI201" s="556"/>
      <c r="CJ201" s="556"/>
      <c r="CK201" s="556"/>
      <c r="CL201" s="556"/>
      <c r="CM201" s="556"/>
      <c r="CN201" s="556"/>
      <c r="CO201" s="556"/>
      <c r="CP201" s="556"/>
      <c r="CQ201" s="556"/>
      <c r="CR201" s="556"/>
      <c r="CS201" s="556"/>
      <c r="CT201" s="556"/>
      <c r="CU201" s="556"/>
      <c r="CV201" s="556"/>
      <c r="CW201" s="556"/>
      <c r="CX201" s="556"/>
      <c r="CY201" s="556"/>
      <c r="CZ201" s="556"/>
      <c r="DA201" s="556"/>
      <c r="DB201" s="556"/>
      <c r="DC201" s="556"/>
      <c r="DD201" s="556"/>
      <c r="DE201" s="556"/>
      <c r="DF201" s="556"/>
      <c r="DG201" s="556"/>
      <c r="DH201" s="556"/>
      <c r="DI201" s="556"/>
      <c r="DJ201" s="556"/>
      <c r="DK201" s="556"/>
      <c r="DL201" s="556"/>
      <c r="DM201" s="556"/>
      <c r="DN201" s="556"/>
      <c r="DO201" s="556"/>
      <c r="DP201" s="556"/>
      <c r="DQ201" s="556"/>
      <c r="DR201" s="556"/>
      <c r="DS201" s="556"/>
      <c r="DT201" s="559"/>
      <c r="DU201" s="556"/>
      <c r="DV201" s="559"/>
      <c r="DW201" s="556"/>
      <c r="DX201" s="556"/>
      <c r="DY201" s="556"/>
      <c r="DZ201" s="556"/>
      <c r="EA201" s="556"/>
      <c r="EB201" s="556"/>
      <c r="EC201" s="556"/>
      <c r="ED201" s="556"/>
      <c r="EE201" s="560"/>
      <c r="EF201" s="560"/>
      <c r="EG201" s="560"/>
      <c r="EH201" s="560"/>
      <c r="EI201" s="560"/>
      <c r="EJ201" s="556"/>
      <c r="EK201" s="556"/>
      <c r="EL201" s="556"/>
      <c r="EM201" s="556"/>
      <c r="EN201" s="556"/>
      <c r="EO201" s="556"/>
      <c r="EP201" s="556"/>
      <c r="EQ201" s="556"/>
      <c r="ER201" s="556"/>
      <c r="ES201" s="556"/>
      <c r="ET201" s="556"/>
      <c r="EU201" s="556"/>
      <c r="EV201" s="560"/>
      <c r="EW201" s="560"/>
      <c r="EX201" s="560"/>
      <c r="EY201" s="560"/>
      <c r="EZ201" s="560"/>
      <c r="FA201" s="556"/>
      <c r="FB201" s="556"/>
      <c r="FC201" s="556"/>
      <c r="FD201" s="556"/>
      <c r="FE201" s="556"/>
      <c r="FF201" s="556"/>
      <c r="FG201" s="556"/>
      <c r="FH201" s="556"/>
      <c r="FI201" s="556"/>
      <c r="FJ201" s="556"/>
      <c r="FK201" s="556"/>
      <c r="FL201" s="556"/>
      <c r="FM201" s="556"/>
      <c r="FN201" s="556"/>
      <c r="FO201" s="556"/>
      <c r="FP201" s="556"/>
      <c r="FQ201" s="556"/>
      <c r="FR201" s="556"/>
      <c r="FS201" s="556"/>
      <c r="FT201" s="556"/>
      <c r="FU201" s="556"/>
      <c r="FV201" s="556"/>
      <c r="FW201" s="556"/>
      <c r="FX201" s="556"/>
      <c r="FY201" s="556"/>
      <c r="FZ201" s="556"/>
      <c r="GA201" s="556"/>
      <c r="GB201" s="559"/>
      <c r="GC201" s="556"/>
      <c r="GD201" s="556"/>
      <c r="GE201" s="556"/>
      <c r="GF201" s="556"/>
      <c r="GG201" s="556"/>
      <c r="GH201" s="556"/>
      <c r="GI201" s="556"/>
      <c r="GJ201" s="556"/>
      <c r="GK201" s="556"/>
      <c r="GL201" s="556"/>
      <c r="GM201" s="556"/>
      <c r="GN201" s="556"/>
      <c r="GO201" s="556"/>
      <c r="GP201" s="556"/>
      <c r="GQ201" s="556"/>
      <c r="GR201" s="556"/>
      <c r="GS201" s="556"/>
      <c r="GT201" s="556"/>
      <c r="GU201" s="556"/>
      <c r="GV201" s="556"/>
      <c r="GW201" s="556"/>
      <c r="GX201" s="556"/>
      <c r="GY201" s="556"/>
      <c r="GZ201" s="556"/>
      <c r="HA201" s="556"/>
      <c r="HB201" s="556"/>
      <c r="HC201" s="556"/>
      <c r="HD201" s="556"/>
      <c r="HE201" s="556"/>
      <c r="HF201" s="556"/>
      <c r="HG201" s="556"/>
      <c r="HH201" s="556"/>
      <c r="HI201" s="556"/>
      <c r="HJ201" s="559"/>
      <c r="HK201" s="556"/>
      <c r="HL201" s="556"/>
      <c r="HM201" s="556"/>
      <c r="HN201" s="556"/>
      <c r="HO201" s="556"/>
      <c r="HP201" s="556"/>
      <c r="HQ201" s="556"/>
      <c r="HR201" s="556"/>
      <c r="HS201" s="556"/>
      <c r="HT201" s="556"/>
      <c r="HU201" s="556"/>
      <c r="HV201" s="556"/>
      <c r="HW201" s="556"/>
      <c r="HX201" s="556"/>
      <c r="HY201" s="556"/>
      <c r="HZ201" s="556" t="s">
        <v>31122</v>
      </c>
      <c r="IA201" s="556" t="s">
        <v>7</v>
      </c>
      <c r="IB201" s="556" t="s">
        <v>31123</v>
      </c>
      <c r="IC201" s="556" t="s">
        <v>16</v>
      </c>
      <c r="ID201" s="556" t="s">
        <v>31124</v>
      </c>
      <c r="IE201" s="556" t="s">
        <v>9</v>
      </c>
      <c r="IF201" s="556" t="s">
        <v>31125</v>
      </c>
      <c r="IG201" s="556" t="s">
        <v>31126</v>
      </c>
      <c r="IH201" s="556" t="s">
        <v>31127</v>
      </c>
    </row>
    <row r="202" spans="1:242" s="1" customFormat="1" ht="36.75" customHeight="1" x14ac:dyDescent="0.2">
      <c r="A202" s="556">
        <v>41</v>
      </c>
      <c r="B202" s="556" t="s">
        <v>14538</v>
      </c>
      <c r="C202" s="556" t="s">
        <v>29790</v>
      </c>
      <c r="D202" s="556" t="s">
        <v>29691</v>
      </c>
      <c r="E202" s="556" t="s">
        <v>7</v>
      </c>
      <c r="F202" s="556" t="s">
        <v>29791</v>
      </c>
      <c r="G202" s="556">
        <v>1186.5999999999999</v>
      </c>
      <c r="H202" s="556">
        <v>4.8</v>
      </c>
      <c r="I202" s="556" t="s">
        <v>29319</v>
      </c>
      <c r="J202" s="556" t="s">
        <v>4</v>
      </c>
      <c r="K202" s="556" t="s">
        <v>14539</v>
      </c>
      <c r="L202" s="556">
        <v>788457153</v>
      </c>
      <c r="M202" s="556" t="s">
        <v>5</v>
      </c>
      <c r="N202" s="556" t="s">
        <v>31598</v>
      </c>
      <c r="O202" s="556" t="s">
        <v>4</v>
      </c>
      <c r="P202" s="556">
        <v>8</v>
      </c>
      <c r="Q202" s="556" t="s">
        <v>7</v>
      </c>
      <c r="R202" s="556" t="s">
        <v>31535</v>
      </c>
      <c r="S202" s="556" t="s">
        <v>4</v>
      </c>
      <c r="T202" s="556" t="s">
        <v>2</v>
      </c>
      <c r="U202" s="556" t="s">
        <v>4</v>
      </c>
      <c r="V202" s="556"/>
      <c r="W202" s="556" t="s">
        <v>4</v>
      </c>
      <c r="X202" s="556" t="s">
        <v>4</v>
      </c>
      <c r="Y202" s="557">
        <v>44743</v>
      </c>
      <c r="Z202" s="557" t="str">
        <f>IF(OR(T202="yes",Y202&gt;'SDG outcome'!$C$27),"yes","no")</f>
        <v>no</v>
      </c>
      <c r="AA202" s="558" t="str">
        <f t="shared" si="25"/>
        <v/>
      </c>
      <c r="AB202" s="558">
        <f>IF(AND(Z202="no",AND(Y202&gt;='SDG outcome'!$B$16,Y202&lt;'SDG outcome'!$C$27)),Y202-'SDG outcome'!$B$16,"")</f>
        <v>73</v>
      </c>
      <c r="AC202" s="556" t="s">
        <v>31685</v>
      </c>
      <c r="AD202" s="556" t="s">
        <v>4</v>
      </c>
      <c r="AE202" s="556" t="s">
        <v>4</v>
      </c>
      <c r="AF202" s="556" t="s">
        <v>4</v>
      </c>
      <c r="AG202" s="556" t="s">
        <v>4</v>
      </c>
      <c r="AH202" s="556" t="s">
        <v>9</v>
      </c>
      <c r="AI202" s="557" t="s">
        <v>9</v>
      </c>
      <c r="AJ202" s="556" t="s">
        <v>4</v>
      </c>
      <c r="AK202" s="556"/>
      <c r="AL202" s="556"/>
      <c r="AM202" s="556"/>
      <c r="AN202" s="556"/>
      <c r="AO202" s="556"/>
      <c r="AP202" s="556"/>
      <c r="AQ202" s="556"/>
      <c r="AR202" s="556"/>
      <c r="AS202" s="556"/>
      <c r="AT202" s="556"/>
      <c r="AU202" s="556"/>
      <c r="AV202" s="556"/>
      <c r="AW202" s="556"/>
      <c r="AX202" s="556"/>
      <c r="AY202" s="556"/>
      <c r="AZ202" s="556"/>
      <c r="BA202" s="556"/>
      <c r="BB202" s="556"/>
      <c r="BC202" s="556"/>
      <c r="BD202" s="556"/>
      <c r="BE202" s="556"/>
      <c r="BF202" s="556"/>
      <c r="BG202" s="556"/>
      <c r="BH202" s="556"/>
      <c r="BI202" s="556"/>
      <c r="BJ202" s="556"/>
      <c r="BK202" s="556"/>
      <c r="BL202" s="556"/>
      <c r="BM202" s="556"/>
      <c r="BN202" s="556"/>
      <c r="BO202" s="556"/>
      <c r="BP202" s="556"/>
      <c r="BQ202" s="556"/>
      <c r="BR202" s="556"/>
      <c r="BS202" s="556"/>
      <c r="BT202" s="556"/>
      <c r="BU202" s="556"/>
      <c r="BV202" s="556"/>
      <c r="BW202" s="556"/>
      <c r="BX202" s="556"/>
      <c r="BY202" s="556"/>
      <c r="BZ202" s="556"/>
      <c r="CA202" s="556"/>
      <c r="CB202" s="556"/>
      <c r="CC202" s="556"/>
      <c r="CD202" s="556"/>
      <c r="CE202" s="556"/>
      <c r="CF202" s="556"/>
      <c r="CG202" s="556"/>
      <c r="CH202" s="556"/>
      <c r="CI202" s="556"/>
      <c r="CJ202" s="556"/>
      <c r="CK202" s="556"/>
      <c r="CL202" s="556"/>
      <c r="CM202" s="556"/>
      <c r="CN202" s="556"/>
      <c r="CO202" s="556"/>
      <c r="CP202" s="556"/>
      <c r="CQ202" s="556"/>
      <c r="CR202" s="556"/>
      <c r="CS202" s="556"/>
      <c r="CT202" s="556"/>
      <c r="CU202" s="556"/>
      <c r="CV202" s="556"/>
      <c r="CW202" s="556"/>
      <c r="CX202" s="556"/>
      <c r="CY202" s="556"/>
      <c r="CZ202" s="556"/>
      <c r="DA202" s="556"/>
      <c r="DB202" s="556"/>
      <c r="DC202" s="556"/>
      <c r="DD202" s="556"/>
      <c r="DE202" s="556"/>
      <c r="DF202" s="556"/>
      <c r="DG202" s="556"/>
      <c r="DH202" s="556"/>
      <c r="DI202" s="556"/>
      <c r="DJ202" s="556"/>
      <c r="DK202" s="556"/>
      <c r="DL202" s="556"/>
      <c r="DM202" s="556"/>
      <c r="DN202" s="556"/>
      <c r="DO202" s="556"/>
      <c r="DP202" s="556"/>
      <c r="DQ202" s="556"/>
      <c r="DR202" s="556"/>
      <c r="DS202" s="556"/>
      <c r="DT202" s="559"/>
      <c r="DU202" s="556"/>
      <c r="DV202" s="559"/>
      <c r="DW202" s="556"/>
      <c r="DX202" s="556"/>
      <c r="DY202" s="556"/>
      <c r="DZ202" s="556"/>
      <c r="EA202" s="556"/>
      <c r="EB202" s="556"/>
      <c r="EC202" s="556"/>
      <c r="ED202" s="556"/>
      <c r="EE202" s="560"/>
      <c r="EF202" s="560"/>
      <c r="EG202" s="560"/>
      <c r="EH202" s="560"/>
      <c r="EI202" s="560"/>
      <c r="EJ202" s="556"/>
      <c r="EK202" s="556"/>
      <c r="EL202" s="556"/>
      <c r="EM202" s="556"/>
      <c r="EN202" s="556"/>
      <c r="EO202" s="556"/>
      <c r="EP202" s="556"/>
      <c r="EQ202" s="556"/>
      <c r="ER202" s="556"/>
      <c r="ES202" s="556"/>
      <c r="ET202" s="556"/>
      <c r="EU202" s="556"/>
      <c r="EV202" s="560"/>
      <c r="EW202" s="560"/>
      <c r="EX202" s="560"/>
      <c r="EY202" s="560"/>
      <c r="EZ202" s="560"/>
      <c r="FA202" s="556"/>
      <c r="FB202" s="556"/>
      <c r="FC202" s="556"/>
      <c r="FD202" s="556"/>
      <c r="FE202" s="556"/>
      <c r="FF202" s="556"/>
      <c r="FG202" s="556"/>
      <c r="FH202" s="556"/>
      <c r="FI202" s="556"/>
      <c r="FJ202" s="556"/>
      <c r="FK202" s="556"/>
      <c r="FL202" s="556"/>
      <c r="FM202" s="556"/>
      <c r="FN202" s="556"/>
      <c r="FO202" s="556"/>
      <c r="FP202" s="556"/>
      <c r="FQ202" s="556"/>
      <c r="FR202" s="556"/>
      <c r="FS202" s="556"/>
      <c r="FT202" s="556"/>
      <c r="FU202" s="556"/>
      <c r="FV202" s="556"/>
      <c r="FW202" s="556"/>
      <c r="FX202" s="556"/>
      <c r="FY202" s="556"/>
      <c r="FZ202" s="556"/>
      <c r="GA202" s="556"/>
      <c r="GB202" s="559"/>
      <c r="GC202" s="556"/>
      <c r="GD202" s="556"/>
      <c r="GE202" s="556"/>
      <c r="GF202" s="556"/>
      <c r="GG202" s="556"/>
      <c r="GH202" s="556"/>
      <c r="GI202" s="556"/>
      <c r="GJ202" s="556"/>
      <c r="GK202" s="556"/>
      <c r="GL202" s="556"/>
      <c r="GM202" s="556"/>
      <c r="GN202" s="556"/>
      <c r="GO202" s="556"/>
      <c r="GP202" s="556"/>
      <c r="GQ202" s="556"/>
      <c r="GR202" s="556"/>
      <c r="GS202" s="556"/>
      <c r="GT202" s="556"/>
      <c r="GU202" s="556"/>
      <c r="GV202" s="556"/>
      <c r="GW202" s="556"/>
      <c r="GX202" s="556"/>
      <c r="GY202" s="556"/>
      <c r="GZ202" s="556"/>
      <c r="HA202" s="556"/>
      <c r="HB202" s="556"/>
      <c r="HC202" s="556"/>
      <c r="HD202" s="556"/>
      <c r="HE202" s="556"/>
      <c r="HF202" s="556"/>
      <c r="HG202" s="556"/>
      <c r="HH202" s="556"/>
      <c r="HI202" s="556"/>
      <c r="HJ202" s="559"/>
      <c r="HK202" s="556"/>
      <c r="HL202" s="556"/>
      <c r="HM202" s="556"/>
      <c r="HN202" s="556"/>
      <c r="HO202" s="556"/>
      <c r="HP202" s="556"/>
      <c r="HQ202" s="556"/>
      <c r="HR202" s="556"/>
      <c r="HS202" s="556"/>
      <c r="HT202" s="556"/>
      <c r="HU202" s="556"/>
      <c r="HV202" s="556"/>
      <c r="HW202" s="556"/>
      <c r="HX202" s="556"/>
      <c r="HY202" s="556"/>
      <c r="HZ202" s="556" t="s">
        <v>29792</v>
      </c>
      <c r="IA202" s="556" t="s">
        <v>7</v>
      </c>
      <c r="IB202" s="556" t="s">
        <v>29793</v>
      </c>
      <c r="IC202" s="556" t="s">
        <v>29794</v>
      </c>
      <c r="ID202" s="556" t="s">
        <v>29795</v>
      </c>
      <c r="IE202" s="556" t="s">
        <v>29796</v>
      </c>
      <c r="IF202" s="556" t="s">
        <v>29797</v>
      </c>
      <c r="IG202" s="556" t="s">
        <v>29798</v>
      </c>
      <c r="IH202" s="556" t="s">
        <v>29790</v>
      </c>
    </row>
    <row r="203" spans="1:242" x14ac:dyDescent="0.25">
      <c r="CL203" s="239">
        <v>0</v>
      </c>
    </row>
    <row r="207" spans="1:242" x14ac:dyDescent="0.25">
      <c r="CP207">
        <f>AVERAGEIF(CP2:CP202,"&gt;0")</f>
        <v>118</v>
      </c>
    </row>
    <row r="225" spans="1:167" s="1" customFormat="1" ht="28.5" x14ac:dyDescent="0.25">
      <c r="AA225" s="360"/>
      <c r="AB225" s="360"/>
      <c r="BT225" s="230"/>
      <c r="BU225" s="231" t="s">
        <v>31420</v>
      </c>
      <c r="BV225" s="231" t="s">
        <v>31421</v>
      </c>
      <c r="BW225" s="231"/>
      <c r="BX225" s="231" t="s">
        <v>123</v>
      </c>
      <c r="BY225" s="231"/>
      <c r="BZ225" s="231" t="s">
        <v>31420</v>
      </c>
      <c r="CA225" s="231" t="s">
        <v>31421</v>
      </c>
      <c r="FK225"/>
    </row>
    <row r="226" spans="1:167" s="85" customFormat="1" ht="18.75" customHeight="1" x14ac:dyDescent="0.25">
      <c r="A226" s="232" t="s">
        <v>31422</v>
      </c>
      <c r="B226" s="233" t="s">
        <v>31423</v>
      </c>
      <c r="D226" s="230"/>
      <c r="AA226" s="361"/>
      <c r="AB226" s="361"/>
      <c r="BT226" s="234" t="s">
        <v>31424</v>
      </c>
      <c r="BU226" s="230"/>
      <c r="BV226" s="230"/>
      <c r="BW226" s="235" t="s">
        <v>31425</v>
      </c>
      <c r="BX226" s="230">
        <v>1</v>
      </c>
      <c r="BY226" s="234" t="s">
        <v>31426</v>
      </c>
      <c r="BZ226" s="230">
        <v>23.5</v>
      </c>
      <c r="CA226" s="230">
        <v>23</v>
      </c>
      <c r="FK226" s="236"/>
    </row>
    <row r="227" spans="1:167" s="85" customFormat="1" ht="18.75" customHeight="1" x14ac:dyDescent="0.25">
      <c r="A227" s="232"/>
      <c r="B227" s="233" t="s">
        <v>31427</v>
      </c>
      <c r="AA227" s="361"/>
      <c r="AB227" s="361"/>
      <c r="BT227" s="234" t="s">
        <v>31428</v>
      </c>
      <c r="BU227" s="230"/>
      <c r="BV227" s="230"/>
      <c r="BW227" s="235" t="s">
        <v>31429</v>
      </c>
      <c r="BX227" s="230">
        <v>7</v>
      </c>
      <c r="BY227" s="234" t="s">
        <v>31430</v>
      </c>
      <c r="BZ227" s="230">
        <v>1</v>
      </c>
      <c r="CA227" s="230">
        <v>1</v>
      </c>
      <c r="FK227" s="236"/>
    </row>
    <row r="228" spans="1:167" s="85" customFormat="1" ht="18.75" customHeight="1" x14ac:dyDescent="0.25">
      <c r="A228" s="232"/>
      <c r="B228" s="233"/>
      <c r="AA228" s="361"/>
      <c r="AB228" s="361"/>
      <c r="BT228" s="234" t="s">
        <v>31431</v>
      </c>
      <c r="BU228" s="230">
        <v>23</v>
      </c>
      <c r="BV228" s="230">
        <v>18</v>
      </c>
      <c r="BW228" s="235" t="s">
        <v>31432</v>
      </c>
      <c r="BX228" s="230">
        <v>30</v>
      </c>
      <c r="BY228" s="234" t="s">
        <v>31433</v>
      </c>
      <c r="BZ228" s="230">
        <v>4.5</v>
      </c>
      <c r="CA228" s="230">
        <v>3</v>
      </c>
      <c r="CK228" s="230"/>
      <c r="CL228" s="230"/>
      <c r="CO228" s="230"/>
      <c r="FK228" s="236"/>
    </row>
    <row r="229" spans="1:167" s="1" customFormat="1" x14ac:dyDescent="0.25">
      <c r="A229" s="232"/>
      <c r="B229" s="237"/>
      <c r="AA229" s="360"/>
      <c r="AB229" s="360"/>
      <c r="BT229" s="234" t="s">
        <v>31434</v>
      </c>
      <c r="BU229" s="230">
        <v>21</v>
      </c>
      <c r="BV229" s="230">
        <v>16</v>
      </c>
      <c r="BW229" s="230"/>
      <c r="BX229" s="230"/>
      <c r="BY229" s="234" t="s">
        <v>31435</v>
      </c>
      <c r="BZ229" s="230">
        <v>82.5</v>
      </c>
      <c r="CA229" s="230">
        <v>70.5</v>
      </c>
      <c r="FK229"/>
    </row>
  </sheetData>
  <phoneticPr fontId="30" type="noConversion"/>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244F-1702-4F7E-BEAE-9436BED3B899}">
  <sheetPr>
    <tabColor theme="5"/>
  </sheetPr>
  <dimension ref="A1:HV300"/>
  <sheetViews>
    <sheetView topLeftCell="CJ1" zoomScale="85" zoomScaleNormal="85" workbookViewId="0">
      <pane ySplit="12" topLeftCell="A287" activePane="bottomLeft" state="frozen"/>
      <selection pane="bottomLeft" activeCell="CO300" sqref="CO300"/>
    </sheetView>
  </sheetViews>
  <sheetFormatPr defaultColWidth="31.140625" defaultRowHeight="15.75" x14ac:dyDescent="0.25"/>
  <cols>
    <col min="1" max="1" width="7" style="504" customWidth="1"/>
    <col min="2" max="2" width="8" style="504" customWidth="1"/>
    <col min="3" max="3" width="19.7109375" style="504" bestFit="1" customWidth="1"/>
    <col min="4" max="4" width="24.28515625" style="504" bestFit="1" customWidth="1"/>
    <col min="5" max="5" width="27.7109375" style="504" bestFit="1" customWidth="1"/>
    <col min="6" max="6" width="15.28515625" style="504" customWidth="1"/>
    <col min="7" max="7" width="20.28515625" style="504" customWidth="1"/>
    <col min="8" max="8" width="15.5703125" style="504" customWidth="1"/>
    <col min="9" max="9" width="10.28515625" style="504" customWidth="1"/>
    <col min="10" max="10" width="15.85546875" style="504" customWidth="1"/>
    <col min="11" max="11" width="18.28515625" style="504" customWidth="1"/>
    <col min="12" max="12" width="14.85546875" style="504" customWidth="1"/>
    <col min="13" max="13" width="11.7109375" style="504" customWidth="1"/>
    <col min="14" max="14" width="16.42578125" style="504" customWidth="1"/>
    <col min="15" max="15" width="14.140625" style="504" customWidth="1"/>
    <col min="16" max="16" width="12.140625" style="504" customWidth="1"/>
    <col min="17" max="17" width="13.140625" style="504" customWidth="1"/>
    <col min="18" max="18" width="13" style="504" customWidth="1"/>
    <col min="19" max="19" width="39.5703125" style="504" customWidth="1"/>
    <col min="20" max="20" width="21.42578125" style="504" customWidth="1"/>
    <col min="21" max="21" width="11.28515625" style="504" customWidth="1"/>
    <col min="22" max="24" width="15.5703125" style="504" customWidth="1"/>
    <col min="25" max="25" width="23.7109375" style="504" customWidth="1"/>
    <col min="26" max="28" width="20.140625" style="504" customWidth="1"/>
    <col min="29" max="29" width="20.140625" style="523" customWidth="1"/>
    <col min="30" max="30" width="58.7109375" style="504" customWidth="1"/>
    <col min="31" max="31" width="37.85546875" style="504" customWidth="1"/>
    <col min="32" max="32" width="21.7109375" style="504" customWidth="1"/>
    <col min="33" max="33" width="37.5703125" style="504" customWidth="1"/>
    <col min="34" max="34" width="27.28515625" style="504" customWidth="1"/>
    <col min="35" max="35" width="14" style="504" customWidth="1"/>
    <col min="36" max="36" width="17.7109375" style="504" customWidth="1"/>
    <col min="37" max="44" width="21" style="504" customWidth="1"/>
    <col min="45" max="46" width="31.140625" style="504"/>
    <col min="47" max="47" width="15.42578125" style="504" customWidth="1"/>
    <col min="48" max="48" width="19.140625" style="504" customWidth="1"/>
    <col min="49" max="49" width="20.28515625" style="504" customWidth="1"/>
    <col min="50" max="50" width="18.140625" style="504" customWidth="1"/>
    <col min="51" max="51" width="17.5703125" style="504" customWidth="1"/>
    <col min="52" max="52" width="19.7109375" style="504" customWidth="1"/>
    <col min="53" max="53" width="22" style="504" customWidth="1"/>
    <col min="54" max="54" width="17" style="504" customWidth="1"/>
    <col min="55" max="55" width="16.5703125" style="504" customWidth="1"/>
    <col min="56" max="56" width="19.5703125" style="504" customWidth="1"/>
    <col min="57" max="57" width="18.28515625" style="504" customWidth="1"/>
    <col min="58" max="58" width="23.7109375" style="504" customWidth="1"/>
    <col min="59" max="59" width="28.140625" style="504" customWidth="1"/>
    <col min="60" max="60" width="17.85546875" style="504" customWidth="1"/>
    <col min="61" max="61" width="15.85546875" style="504" customWidth="1"/>
    <col min="62" max="62" width="21.7109375" style="504" customWidth="1"/>
    <col min="63" max="63" width="18.140625" style="504" customWidth="1"/>
    <col min="64" max="64" width="17.28515625" style="504" customWidth="1"/>
    <col min="65" max="65" width="18.7109375" style="504" customWidth="1"/>
    <col min="66" max="66" width="13.85546875" style="504" customWidth="1"/>
    <col min="67" max="67" width="14" style="504" customWidth="1"/>
    <col min="68" max="68" width="18.85546875" style="504" customWidth="1"/>
    <col min="69" max="69" width="18" style="504" customWidth="1"/>
    <col min="70" max="70" width="21.5703125" style="504" customWidth="1"/>
    <col min="71" max="71" width="12.42578125" style="504" customWidth="1"/>
    <col min="72" max="72" width="10.42578125" style="504" customWidth="1"/>
    <col min="73" max="73" width="14.85546875" style="504" customWidth="1"/>
    <col min="74" max="74" width="17.28515625" style="504" customWidth="1"/>
    <col min="75" max="75" width="14.85546875" style="504" customWidth="1"/>
    <col min="76" max="76" width="14.7109375" style="504" customWidth="1"/>
    <col min="77" max="77" width="12.7109375" style="504" customWidth="1"/>
    <col min="78" max="78" width="12" style="504" customWidth="1"/>
    <col min="79" max="79" width="18.85546875" style="504" customWidth="1"/>
    <col min="80" max="80" width="15.85546875" style="504" customWidth="1"/>
    <col min="81" max="81" width="17.5703125" style="504" customWidth="1"/>
    <col min="82" max="82" width="19.85546875" style="504" customWidth="1"/>
    <col min="83" max="83" width="31.140625" style="504"/>
    <col min="84" max="84" width="16.28515625" style="504" customWidth="1"/>
    <col min="85" max="85" width="26.85546875" style="504" customWidth="1"/>
    <col min="86" max="92" width="14.7109375" style="504" customWidth="1"/>
    <col min="93" max="96" width="17.85546875" style="504" customWidth="1"/>
    <col min="97" max="97" width="10.28515625" style="504" customWidth="1"/>
    <col min="98" max="98" width="11.140625" style="504" customWidth="1"/>
    <col min="99" max="99" width="29.5703125" style="504" customWidth="1"/>
    <col min="100" max="100" width="12" style="504" customWidth="1"/>
    <col min="101" max="101" width="12.42578125" style="504" customWidth="1"/>
    <col min="102" max="102" width="30.42578125" style="504" customWidth="1"/>
    <col min="103" max="104" width="13.7109375" style="504" customWidth="1"/>
    <col min="105" max="105" width="28.7109375" style="504" customWidth="1"/>
    <col min="106" max="107" width="16" style="504" customWidth="1"/>
    <col min="108" max="108" width="31.5703125" style="504" customWidth="1"/>
    <col min="109" max="110" width="13.5703125" style="504" customWidth="1"/>
    <col min="111" max="111" width="30.140625" style="504" customWidth="1"/>
    <col min="112" max="113" width="11.7109375" style="504" customWidth="1"/>
    <col min="114" max="114" width="27.140625" style="504" customWidth="1"/>
    <col min="115" max="116" width="12.140625" style="504" customWidth="1"/>
    <col min="117" max="117" width="28.42578125" style="504" customWidth="1"/>
    <col min="118" max="119" width="17.85546875" style="504" customWidth="1"/>
    <col min="120" max="120" width="20.85546875" style="504" customWidth="1"/>
    <col min="121" max="121" width="15.7109375" style="504" customWidth="1"/>
    <col min="122" max="122" width="23.7109375" style="504" customWidth="1"/>
    <col min="123" max="123" width="22.7109375" style="504" customWidth="1"/>
    <col min="124" max="124" width="25.7109375" style="504" customWidth="1"/>
    <col min="125" max="125" width="21.85546875" style="504" customWidth="1"/>
    <col min="126" max="126" width="25.42578125" style="504" customWidth="1"/>
    <col min="127" max="127" width="13.5703125" style="504" customWidth="1"/>
    <col min="128" max="128" width="15.5703125" style="504" customWidth="1"/>
    <col min="129" max="134" width="12.5703125" style="504" customWidth="1"/>
    <col min="135" max="135" width="26.7109375" style="504" customWidth="1"/>
    <col min="136" max="141" width="12.28515625" style="504" customWidth="1"/>
    <col min="142" max="142" width="12.7109375" style="504" customWidth="1"/>
    <col min="143" max="143" width="13.5703125" style="504" customWidth="1"/>
    <col min="144" max="146" width="16" style="504" customWidth="1"/>
    <col min="147" max="147" width="18" style="504" customWidth="1"/>
    <col min="148" max="152" width="14.140625" style="504" customWidth="1"/>
    <col min="153" max="153" width="19.7109375" style="504" customWidth="1"/>
    <col min="154" max="154" width="17.42578125" style="504" customWidth="1"/>
    <col min="155" max="156" width="18.7109375" style="504" customWidth="1"/>
    <col min="157" max="157" width="20.140625" style="504" customWidth="1"/>
    <col min="158" max="158" width="23.5703125" style="504" customWidth="1"/>
    <col min="159" max="160" width="17.85546875" style="504" customWidth="1"/>
    <col min="161" max="161" width="19.140625" style="504" customWidth="1"/>
    <col min="162" max="162" width="17.85546875" style="504" customWidth="1"/>
    <col min="163" max="163" width="19.140625" style="504" customWidth="1"/>
    <col min="164" max="164" width="18.28515625" style="504" customWidth="1"/>
    <col min="165" max="165" width="16" style="504" customWidth="1"/>
    <col min="166" max="166" width="17" style="504" customWidth="1"/>
    <col min="167" max="167" width="15.140625" style="504" customWidth="1"/>
    <col min="168" max="168" width="22.42578125" style="504" customWidth="1"/>
    <col min="169" max="169" width="23.85546875" style="504" customWidth="1"/>
    <col min="170" max="171" width="20.28515625" style="504" customWidth="1"/>
    <col min="172" max="172" width="16.5703125" style="504" customWidth="1"/>
    <col min="173" max="173" width="23.140625" style="504" customWidth="1"/>
    <col min="174" max="174" width="19.85546875" style="504" customWidth="1"/>
    <col min="175" max="175" width="24.140625" style="504" customWidth="1"/>
    <col min="176" max="176" width="13.85546875" style="504" customWidth="1"/>
    <col min="177" max="177" width="31.140625" style="504"/>
    <col min="178" max="178" width="21" style="504" customWidth="1"/>
    <col min="179" max="179" width="26.7109375" style="504" customWidth="1"/>
    <col min="180" max="180" width="26" style="504" customWidth="1"/>
    <col min="181" max="181" width="25.7109375" style="504" customWidth="1"/>
    <col min="182" max="190" width="21" style="504" customWidth="1"/>
    <col min="191" max="191" width="21.7109375" style="504" customWidth="1"/>
    <col min="192" max="192" width="26.5703125" style="504" customWidth="1"/>
    <col min="193" max="201" width="20.85546875" style="504" customWidth="1"/>
    <col min="202" max="202" width="19.5703125" style="504" customWidth="1"/>
    <col min="203" max="203" width="19" style="504" customWidth="1"/>
    <col min="204" max="204" width="19.7109375" style="504" customWidth="1"/>
    <col min="205" max="205" width="24.140625" style="504" customWidth="1"/>
    <col min="206" max="206" width="24.42578125" style="504" customWidth="1"/>
    <col min="207" max="207" width="21.7109375" style="504" customWidth="1"/>
    <col min="208" max="208" width="22.5703125" style="504" customWidth="1"/>
    <col min="209" max="214" width="18.28515625" style="504" customWidth="1"/>
    <col min="215" max="215" width="17" style="504" customWidth="1"/>
    <col min="216" max="218" width="16.5703125" style="504" customWidth="1"/>
    <col min="219" max="219" width="21.5703125" style="504" customWidth="1"/>
    <col min="220" max="220" width="31.140625" style="504"/>
    <col min="221" max="221" width="15.42578125" style="504" customWidth="1"/>
    <col min="222" max="16384" width="31.140625" style="504"/>
  </cols>
  <sheetData>
    <row r="1" spans="1:228" ht="16.5" x14ac:dyDescent="0.25">
      <c r="A1" s="505"/>
      <c r="B1" s="874" t="s">
        <v>31423</v>
      </c>
      <c r="C1" s="874"/>
      <c r="BS1" s="505" t="s">
        <v>31420</v>
      </c>
      <c r="BT1" s="505" t="s">
        <v>31421</v>
      </c>
    </row>
    <row r="2" spans="1:228" s="507" customFormat="1" ht="16.5" x14ac:dyDescent="0.25">
      <c r="A2" s="506"/>
      <c r="B2" s="754"/>
      <c r="C2" s="506"/>
      <c r="AC2" s="524"/>
      <c r="BR2" s="508" t="s">
        <v>31424</v>
      </c>
      <c r="BS2" s="509"/>
      <c r="BT2" s="509"/>
      <c r="BU2" s="505"/>
      <c r="BW2" s="505" t="s">
        <v>123</v>
      </c>
    </row>
    <row r="3" spans="1:228" s="507" customFormat="1" ht="16.5" x14ac:dyDescent="0.25">
      <c r="A3" s="506"/>
      <c r="B3" s="754"/>
      <c r="C3" s="506"/>
      <c r="AC3" s="524"/>
      <c r="BR3" s="508" t="s">
        <v>31428</v>
      </c>
      <c r="BS3" s="509"/>
      <c r="BT3" s="509"/>
      <c r="BU3" s="875" t="s">
        <v>31425</v>
      </c>
      <c r="BV3" s="875"/>
      <c r="BW3" s="509">
        <v>1</v>
      </c>
    </row>
    <row r="4" spans="1:228" s="507" customFormat="1" ht="16.5" x14ac:dyDescent="0.25">
      <c r="A4" s="506"/>
      <c r="B4" s="754"/>
      <c r="C4" s="506"/>
      <c r="AC4" s="524"/>
      <c r="BR4" s="508" t="s">
        <v>31431</v>
      </c>
      <c r="BS4" s="509">
        <v>23</v>
      </c>
      <c r="BT4" s="509">
        <v>18</v>
      </c>
      <c r="BU4" s="875" t="s">
        <v>31429</v>
      </c>
      <c r="BV4" s="875"/>
      <c r="BW4" s="509">
        <v>7</v>
      </c>
    </row>
    <row r="5" spans="1:228" s="507" customFormat="1" ht="16.5" x14ac:dyDescent="0.25">
      <c r="A5" s="506"/>
      <c r="B5" s="754"/>
      <c r="C5" s="506"/>
      <c r="AC5" s="524"/>
      <c r="BR5" s="508" t="s">
        <v>31434</v>
      </c>
      <c r="BS5" s="509">
        <v>21</v>
      </c>
      <c r="BT5" s="509">
        <v>16</v>
      </c>
      <c r="BU5" s="875" t="s">
        <v>31432</v>
      </c>
      <c r="BV5" s="875"/>
      <c r="BW5" s="509">
        <v>30</v>
      </c>
    </row>
    <row r="6" spans="1:228" s="507" customFormat="1" ht="16.5" x14ac:dyDescent="0.25">
      <c r="A6" s="506"/>
      <c r="B6" s="754"/>
      <c r="C6" s="506"/>
      <c r="AC6" s="524"/>
      <c r="BR6" s="508" t="s">
        <v>31426</v>
      </c>
      <c r="BS6" s="509">
        <v>23.5</v>
      </c>
      <c r="BT6" s="509">
        <v>23</v>
      </c>
      <c r="BU6" s="509"/>
      <c r="BV6" s="509"/>
      <c r="BW6" s="509"/>
    </row>
    <row r="7" spans="1:228" s="507" customFormat="1" ht="16.5" x14ac:dyDescent="0.25">
      <c r="A7" s="506"/>
      <c r="B7" s="754"/>
      <c r="C7" s="506"/>
      <c r="AC7" s="524"/>
      <c r="BR7" s="508" t="s">
        <v>31430</v>
      </c>
      <c r="BS7" s="509">
        <v>1</v>
      </c>
      <c r="BT7" s="509">
        <v>1</v>
      </c>
      <c r="BU7" s="509"/>
      <c r="BV7" s="509"/>
      <c r="BW7" s="509"/>
    </row>
    <row r="8" spans="1:228" s="507" customFormat="1" ht="16.5" x14ac:dyDescent="0.25">
      <c r="A8" s="506"/>
      <c r="B8" s="754"/>
      <c r="C8" s="506"/>
      <c r="AC8" s="524"/>
      <c r="BR8" s="508" t="s">
        <v>31433</v>
      </c>
      <c r="BS8" s="509">
        <v>4.5</v>
      </c>
      <c r="BT8" s="509">
        <v>3</v>
      </c>
      <c r="BV8" s="509"/>
      <c r="BW8" s="509"/>
    </row>
    <row r="9" spans="1:228" s="507" customFormat="1" ht="15" customHeight="1" x14ac:dyDescent="0.25">
      <c r="A9" s="757"/>
      <c r="B9" s="755"/>
      <c r="C9" s="506"/>
      <c r="AC9" s="524"/>
      <c r="BR9" s="508" t="s">
        <v>31435</v>
      </c>
      <c r="BS9" s="509">
        <v>82.5</v>
      </c>
      <c r="BT9" s="509">
        <v>70.5</v>
      </c>
      <c r="BV9" s="510" t="s">
        <v>36242</v>
      </c>
      <c r="BW9" s="510">
        <f>AVERAGE(Table15[Calculation: Total Kg manure feeding/Day])</f>
        <v>72.926321709786279</v>
      </c>
    </row>
    <row r="10" spans="1:228" s="507" customFormat="1" ht="16.5" x14ac:dyDescent="0.25">
      <c r="A10" s="757"/>
      <c r="B10" s="755"/>
      <c r="C10" s="506"/>
      <c r="AC10" s="524"/>
      <c r="BR10" s="508" t="s">
        <v>33634</v>
      </c>
      <c r="BS10" s="509"/>
      <c r="BT10" s="509"/>
      <c r="BV10" s="509"/>
      <c r="BW10" s="509"/>
    </row>
    <row r="11" spans="1:228" s="507" customFormat="1" ht="16.5" x14ac:dyDescent="0.25">
      <c r="A11" s="757"/>
      <c r="B11" s="755"/>
      <c r="C11" s="506"/>
      <c r="AC11" s="524"/>
      <c r="BR11" s="511" t="s">
        <v>36241</v>
      </c>
      <c r="BU11" s="873" t="s">
        <v>36241</v>
      </c>
      <c r="BV11" s="873"/>
      <c r="BW11" s="873"/>
    </row>
    <row r="12" spans="1:228" s="516" customFormat="1" ht="81" x14ac:dyDescent="0.25">
      <c r="A12" s="758"/>
      <c r="B12" s="512" t="s">
        <v>31436</v>
      </c>
      <c r="C12" s="513" t="s">
        <v>29161</v>
      </c>
      <c r="D12" s="513" t="s">
        <v>29162</v>
      </c>
      <c r="E12" s="513" t="s">
        <v>29163</v>
      </c>
      <c r="F12" s="513" t="s">
        <v>29164</v>
      </c>
      <c r="G12" s="513" t="s">
        <v>29165</v>
      </c>
      <c r="H12" s="513" t="s">
        <v>29166</v>
      </c>
      <c r="I12" s="513" t="s">
        <v>29167</v>
      </c>
      <c r="J12" s="513" t="s">
        <v>29168</v>
      </c>
      <c r="K12" s="513" t="s">
        <v>29169</v>
      </c>
      <c r="L12" s="513" t="s">
        <v>29170</v>
      </c>
      <c r="M12" s="513" t="s">
        <v>29171</v>
      </c>
      <c r="N12" s="513" t="s">
        <v>29172</v>
      </c>
      <c r="O12" s="513" t="s">
        <v>31437</v>
      </c>
      <c r="P12" s="513" t="s">
        <v>31438</v>
      </c>
      <c r="Q12" s="513" t="s">
        <v>31439</v>
      </c>
      <c r="R12" s="513" t="s">
        <v>29173</v>
      </c>
      <c r="S12" s="513" t="s">
        <v>31440</v>
      </c>
      <c r="T12" s="513" t="s">
        <v>31441</v>
      </c>
      <c r="U12" s="513" t="s">
        <v>29174</v>
      </c>
      <c r="V12" s="513" t="s">
        <v>36243</v>
      </c>
      <c r="W12" s="513" t="s">
        <v>31443</v>
      </c>
      <c r="X12" s="513" t="s">
        <v>31444</v>
      </c>
      <c r="Y12" s="513" t="s">
        <v>31445</v>
      </c>
      <c r="Z12" s="513" t="s">
        <v>31446</v>
      </c>
      <c r="AA12" s="244" t="s">
        <v>32061</v>
      </c>
      <c r="AB12" s="359" t="s">
        <v>32065</v>
      </c>
      <c r="AC12" s="525" t="s">
        <v>32066</v>
      </c>
      <c r="AD12" s="513" t="s">
        <v>31447</v>
      </c>
      <c r="AE12" s="513" t="s">
        <v>31448</v>
      </c>
      <c r="AF12" s="513" t="s">
        <v>36244</v>
      </c>
      <c r="AG12" s="513" t="s">
        <v>31450</v>
      </c>
      <c r="AH12" s="513" t="s">
        <v>31451</v>
      </c>
      <c r="AI12" s="513" t="s">
        <v>31452</v>
      </c>
      <c r="AJ12" s="513" t="s">
        <v>31453</v>
      </c>
      <c r="AK12" s="513" t="s">
        <v>29175</v>
      </c>
      <c r="AL12" s="513" t="s">
        <v>29176</v>
      </c>
      <c r="AM12" s="513" t="s">
        <v>29177</v>
      </c>
      <c r="AN12" s="513" t="s">
        <v>29178</v>
      </c>
      <c r="AO12" s="513" t="s">
        <v>31454</v>
      </c>
      <c r="AP12" s="513" t="s">
        <v>31455</v>
      </c>
      <c r="AQ12" s="513" t="s">
        <v>31456</v>
      </c>
      <c r="AR12" s="513" t="s">
        <v>31457</v>
      </c>
      <c r="AS12" s="513" t="s">
        <v>31458</v>
      </c>
      <c r="AT12" s="513" t="s">
        <v>31459</v>
      </c>
      <c r="AU12" s="513" t="s">
        <v>31460</v>
      </c>
      <c r="AV12" s="513" t="s">
        <v>31461</v>
      </c>
      <c r="AW12" s="513" t="s">
        <v>31462</v>
      </c>
      <c r="AX12" s="513" t="s">
        <v>31466</v>
      </c>
      <c r="AY12" s="513" t="s">
        <v>31467</v>
      </c>
      <c r="AZ12" s="513" t="s">
        <v>31468</v>
      </c>
      <c r="BA12" s="513" t="s">
        <v>31469</v>
      </c>
      <c r="BB12" s="513" t="s">
        <v>31470</v>
      </c>
      <c r="BC12" s="513" t="s">
        <v>31471</v>
      </c>
      <c r="BD12" s="513" t="s">
        <v>31472</v>
      </c>
      <c r="BE12" s="513" t="s">
        <v>31473</v>
      </c>
      <c r="BF12" s="513" t="s">
        <v>31474</v>
      </c>
      <c r="BG12" s="513" t="s">
        <v>31475</v>
      </c>
      <c r="BH12" s="513" t="s">
        <v>31476</v>
      </c>
      <c r="BI12" s="513" t="s">
        <v>31477</v>
      </c>
      <c r="BJ12" s="513" t="s">
        <v>31478</v>
      </c>
      <c r="BK12" s="513" t="s">
        <v>31479</v>
      </c>
      <c r="BL12" s="513" t="s">
        <v>31480</v>
      </c>
      <c r="BM12" s="513" t="s">
        <v>31481</v>
      </c>
      <c r="BN12" s="513" t="s">
        <v>31482</v>
      </c>
      <c r="BO12" s="513" t="s">
        <v>31483</v>
      </c>
      <c r="BP12" s="513" t="s">
        <v>31484</v>
      </c>
      <c r="BQ12" s="513" t="s">
        <v>31485</v>
      </c>
      <c r="BR12" s="514" t="s">
        <v>36245</v>
      </c>
      <c r="BS12" s="513" t="s">
        <v>31486</v>
      </c>
      <c r="BT12" s="513" t="s">
        <v>31487</v>
      </c>
      <c r="BU12" s="514" t="s">
        <v>31488</v>
      </c>
      <c r="BV12" s="514" t="s">
        <v>31489</v>
      </c>
      <c r="BW12" s="515" t="s">
        <v>31490</v>
      </c>
      <c r="BX12" s="513" t="s">
        <v>31491</v>
      </c>
      <c r="BY12" s="513" t="s">
        <v>31492</v>
      </c>
      <c r="BZ12" s="513" t="s">
        <v>31493</v>
      </c>
      <c r="CA12" s="513" t="s">
        <v>31494</v>
      </c>
      <c r="CB12" s="513" t="s">
        <v>31495</v>
      </c>
      <c r="CC12" s="513" t="s">
        <v>31496</v>
      </c>
      <c r="CD12" s="513" t="s">
        <v>31497</v>
      </c>
      <c r="CE12" s="513" t="s">
        <v>31498</v>
      </c>
      <c r="CF12" s="513" t="s">
        <v>31499</v>
      </c>
      <c r="CG12" s="513" t="s">
        <v>31500</v>
      </c>
      <c r="CH12" s="513" t="s">
        <v>36246</v>
      </c>
      <c r="CI12" s="513" t="s">
        <v>36247</v>
      </c>
      <c r="CJ12" s="513" t="s">
        <v>36248</v>
      </c>
      <c r="CK12" s="513" t="s">
        <v>36249</v>
      </c>
      <c r="CL12" s="513" t="s">
        <v>36250</v>
      </c>
      <c r="CM12" s="513" t="s">
        <v>36251</v>
      </c>
      <c r="CN12" s="513" t="s">
        <v>36252</v>
      </c>
      <c r="CO12" s="513" t="s">
        <v>36253</v>
      </c>
      <c r="CP12" s="513" t="s">
        <v>36254</v>
      </c>
      <c r="CQ12" s="513" t="s">
        <v>36255</v>
      </c>
      <c r="CR12" s="244" t="s">
        <v>31985</v>
      </c>
      <c r="CS12" s="513" t="s">
        <v>31510</v>
      </c>
      <c r="CT12" s="513" t="s">
        <v>31511</v>
      </c>
      <c r="CU12" s="513" t="s">
        <v>31512</v>
      </c>
      <c r="CV12" s="513" t="s">
        <v>31513</v>
      </c>
      <c r="CW12" s="513" t="s">
        <v>31514</v>
      </c>
      <c r="CX12" s="513" t="s">
        <v>31515</v>
      </c>
      <c r="CY12" s="513" t="s">
        <v>31516</v>
      </c>
      <c r="CZ12" s="513" t="s">
        <v>31517</v>
      </c>
      <c r="DA12" s="513" t="s">
        <v>31518</v>
      </c>
      <c r="DB12" s="513" t="s">
        <v>31519</v>
      </c>
      <c r="DC12" s="513" t="s">
        <v>31520</v>
      </c>
      <c r="DD12" s="513" t="s">
        <v>31521</v>
      </c>
      <c r="DE12" s="513" t="s">
        <v>31522</v>
      </c>
      <c r="DF12" s="513" t="s">
        <v>31523</v>
      </c>
      <c r="DG12" s="513" t="s">
        <v>31524</v>
      </c>
      <c r="DH12" s="513" t="s">
        <v>31525</v>
      </c>
      <c r="DI12" s="513" t="s">
        <v>31526</v>
      </c>
      <c r="DJ12" s="513" t="s">
        <v>31527</v>
      </c>
      <c r="DK12" s="513" t="s">
        <v>31528</v>
      </c>
      <c r="DL12" s="513" t="s">
        <v>31529</v>
      </c>
      <c r="DM12" s="513" t="s">
        <v>31530</v>
      </c>
      <c r="DN12" s="513" t="s">
        <v>31531</v>
      </c>
      <c r="DO12" s="513" t="s">
        <v>31532</v>
      </c>
      <c r="DP12" s="513" t="s">
        <v>29179</v>
      </c>
      <c r="DQ12" s="513" t="s">
        <v>29180</v>
      </c>
      <c r="DR12" s="513" t="s">
        <v>29181</v>
      </c>
      <c r="DS12" s="513" t="s">
        <v>29182</v>
      </c>
      <c r="DT12" s="513" t="s">
        <v>36256</v>
      </c>
      <c r="DU12" s="513" t="s">
        <v>36257</v>
      </c>
      <c r="DV12" s="513" t="s">
        <v>29183</v>
      </c>
      <c r="DW12" s="513" t="s">
        <v>29184</v>
      </c>
      <c r="DX12" s="513" t="s">
        <v>29185</v>
      </c>
      <c r="DY12" s="513" t="s">
        <v>29186</v>
      </c>
      <c r="DZ12" s="513" t="s">
        <v>29187</v>
      </c>
      <c r="EA12" s="513" t="s">
        <v>29188</v>
      </c>
      <c r="EB12" s="513" t="s">
        <v>29189</v>
      </c>
      <c r="EC12" s="513" t="s">
        <v>29190</v>
      </c>
      <c r="ED12" s="513" t="s">
        <v>29191</v>
      </c>
      <c r="EE12" s="513" t="s">
        <v>29192</v>
      </c>
      <c r="EF12" s="513" t="s">
        <v>29193</v>
      </c>
      <c r="EG12" s="513" t="s">
        <v>29194</v>
      </c>
      <c r="EH12" s="513" t="s">
        <v>29195</v>
      </c>
      <c r="EI12" s="513" t="s">
        <v>29196</v>
      </c>
      <c r="EJ12" s="513" t="s">
        <v>29197</v>
      </c>
      <c r="EK12" s="513" t="s">
        <v>29198</v>
      </c>
      <c r="EL12" s="513" t="s">
        <v>29199</v>
      </c>
      <c r="EM12" s="513" t="s">
        <v>29200</v>
      </c>
      <c r="EN12" s="513" t="s">
        <v>29201</v>
      </c>
      <c r="EO12" s="513" t="s">
        <v>29202</v>
      </c>
      <c r="EP12" s="513" t="s">
        <v>29203</v>
      </c>
      <c r="EQ12" s="513" t="s">
        <v>29204</v>
      </c>
      <c r="ER12" s="513" t="s">
        <v>29205</v>
      </c>
      <c r="ES12" s="513" t="s">
        <v>29206</v>
      </c>
      <c r="ET12" s="513" t="s">
        <v>29207</v>
      </c>
      <c r="EU12" s="513" t="s">
        <v>29208</v>
      </c>
      <c r="EV12" s="513" t="s">
        <v>29209</v>
      </c>
      <c r="EW12" s="513" t="s">
        <v>29210</v>
      </c>
      <c r="EX12" s="513" t="s">
        <v>29211</v>
      </c>
      <c r="EY12" s="513" t="s">
        <v>29212</v>
      </c>
      <c r="EZ12" s="513" t="s">
        <v>36502</v>
      </c>
      <c r="FA12" s="513" t="s">
        <v>29213</v>
      </c>
      <c r="FB12" s="513" t="s">
        <v>29214</v>
      </c>
      <c r="FC12" s="513" t="s">
        <v>29215</v>
      </c>
      <c r="FD12" s="513" t="s">
        <v>29216</v>
      </c>
      <c r="FE12" s="513" t="s">
        <v>29217</v>
      </c>
      <c r="FF12" s="513" t="s">
        <v>29218</v>
      </c>
      <c r="FG12" s="513" t="s">
        <v>29219</v>
      </c>
      <c r="FH12" s="513" t="s">
        <v>29220</v>
      </c>
      <c r="FI12" s="513" t="s">
        <v>29221</v>
      </c>
      <c r="FJ12" s="513" t="s">
        <v>29222</v>
      </c>
      <c r="FK12" s="513" t="s">
        <v>29223</v>
      </c>
      <c r="FL12" s="513" t="s">
        <v>29224</v>
      </c>
      <c r="FM12" s="513" t="s">
        <v>29225</v>
      </c>
      <c r="FN12" s="513" t="s">
        <v>29226</v>
      </c>
      <c r="FO12" s="513" t="s">
        <v>29227</v>
      </c>
      <c r="FP12" s="513" t="s">
        <v>29228</v>
      </c>
      <c r="FQ12" s="513" t="s">
        <v>29229</v>
      </c>
      <c r="FR12" s="513" t="s">
        <v>29230</v>
      </c>
      <c r="FS12" s="513" t="s">
        <v>29231</v>
      </c>
      <c r="FT12" s="513" t="s">
        <v>29232</v>
      </c>
      <c r="FU12" s="513" t="s">
        <v>29233</v>
      </c>
      <c r="FV12" s="513" t="s">
        <v>29234</v>
      </c>
      <c r="FW12" s="513" t="s">
        <v>29235</v>
      </c>
      <c r="FX12" s="513" t="s">
        <v>29236</v>
      </c>
      <c r="FY12" s="513" t="s">
        <v>29237</v>
      </c>
      <c r="FZ12" s="513" t="s">
        <v>29238</v>
      </c>
      <c r="GA12" s="513" t="s">
        <v>29239</v>
      </c>
      <c r="GB12" s="513" t="s">
        <v>29240</v>
      </c>
      <c r="GC12" s="513" t="s">
        <v>29241</v>
      </c>
      <c r="GD12" s="513" t="s">
        <v>29242</v>
      </c>
      <c r="GE12" s="513" t="s">
        <v>29243</v>
      </c>
      <c r="GF12" s="513" t="s">
        <v>29244</v>
      </c>
      <c r="GG12" s="513" t="s">
        <v>29245</v>
      </c>
      <c r="GH12" s="513" t="s">
        <v>29246</v>
      </c>
      <c r="GI12" s="513" t="s">
        <v>29247</v>
      </c>
      <c r="GJ12" s="513" t="s">
        <v>29248</v>
      </c>
      <c r="GK12" s="513" t="s">
        <v>29249</v>
      </c>
      <c r="GL12" s="513" t="s">
        <v>29250</v>
      </c>
      <c r="GM12" s="513" t="s">
        <v>29251</v>
      </c>
      <c r="GN12" s="513" t="s">
        <v>29252</v>
      </c>
      <c r="GO12" s="513" t="s">
        <v>29253</v>
      </c>
      <c r="GP12" s="513" t="s">
        <v>29254</v>
      </c>
      <c r="GQ12" s="513" t="s">
        <v>29255</v>
      </c>
      <c r="GR12" s="513" t="s">
        <v>29256</v>
      </c>
      <c r="GS12" s="513" t="s">
        <v>29257</v>
      </c>
      <c r="GT12" s="513" t="s">
        <v>29258</v>
      </c>
      <c r="GU12" s="513" t="s">
        <v>29259</v>
      </c>
      <c r="GV12" s="513" t="s">
        <v>29260</v>
      </c>
      <c r="GW12" s="513" t="s">
        <v>29261</v>
      </c>
      <c r="GX12" s="513" t="s">
        <v>29262</v>
      </c>
      <c r="GY12" s="513" t="s">
        <v>29263</v>
      </c>
      <c r="GZ12" s="513" t="s">
        <v>29264</v>
      </c>
      <c r="HA12" s="513" t="s">
        <v>29265</v>
      </c>
      <c r="HB12" s="513" t="s">
        <v>29266</v>
      </c>
      <c r="HC12" s="513" t="s">
        <v>29267</v>
      </c>
      <c r="HD12" s="513" t="s">
        <v>29268</v>
      </c>
      <c r="HE12" s="513" t="s">
        <v>29269</v>
      </c>
      <c r="HF12" s="513" t="s">
        <v>29270</v>
      </c>
      <c r="HG12" s="513" t="s">
        <v>29271</v>
      </c>
      <c r="HH12" s="513" t="s">
        <v>29272</v>
      </c>
      <c r="HI12" s="513" t="s">
        <v>29273</v>
      </c>
      <c r="HJ12" s="513" t="s">
        <v>29274</v>
      </c>
      <c r="HK12" s="513" t="s">
        <v>29275</v>
      </c>
      <c r="HL12" s="513" t="s">
        <v>29276</v>
      </c>
      <c r="HM12" s="513" t="s">
        <v>29277</v>
      </c>
      <c r="HN12" s="513" t="s">
        <v>29278</v>
      </c>
      <c r="HO12" s="513" t="s">
        <v>29279</v>
      </c>
      <c r="HP12" s="513" t="s">
        <v>29280</v>
      </c>
      <c r="HQ12" s="513" t="s">
        <v>29281</v>
      </c>
      <c r="HR12" s="513" t="s">
        <v>29282</v>
      </c>
      <c r="HS12" s="513" t="s">
        <v>29283</v>
      </c>
      <c r="HT12" s="513" t="s">
        <v>29284</v>
      </c>
    </row>
    <row r="13" spans="1:228" s="570" customFormat="1" ht="30.2" customHeight="1" x14ac:dyDescent="0.25">
      <c r="A13" s="759"/>
      <c r="B13" s="496">
        <v>206</v>
      </c>
      <c r="C13" s="496" t="s">
        <v>32446</v>
      </c>
      <c r="D13" s="497" t="s">
        <v>35670</v>
      </c>
      <c r="E13" s="497" t="s">
        <v>30786</v>
      </c>
      <c r="F13" s="497" t="s">
        <v>7</v>
      </c>
      <c r="G13" s="497" t="s">
        <v>35671</v>
      </c>
      <c r="H13" s="497">
        <v>1130.0999999999999</v>
      </c>
      <c r="I13" s="497">
        <v>4.8</v>
      </c>
      <c r="J13" s="497" t="s">
        <v>29389</v>
      </c>
      <c r="K13" s="497" t="s">
        <v>22</v>
      </c>
      <c r="L13" s="497" t="s">
        <v>35672</v>
      </c>
      <c r="M13" s="497">
        <v>759268629</v>
      </c>
      <c r="N13" s="497" t="s">
        <v>5</v>
      </c>
      <c r="O13" s="497" t="s">
        <v>31590</v>
      </c>
      <c r="P13" s="497" t="s">
        <v>4</v>
      </c>
      <c r="Q13" s="497">
        <v>2</v>
      </c>
      <c r="R13" s="497" t="s">
        <v>7</v>
      </c>
      <c r="S13" s="497" t="s">
        <v>31535</v>
      </c>
      <c r="T13" s="497" t="s">
        <v>4</v>
      </c>
      <c r="U13" s="497" t="s">
        <v>7</v>
      </c>
      <c r="V13" s="497" t="s">
        <v>7</v>
      </c>
      <c r="W13" s="497" t="s">
        <v>4</v>
      </c>
      <c r="X13" s="497" t="s">
        <v>7</v>
      </c>
      <c r="Y13" s="497" t="s">
        <v>4</v>
      </c>
      <c r="Z13" s="497" t="s">
        <v>4</v>
      </c>
      <c r="AA13" s="241" t="str">
        <f>IF(OR(U13="yes",Z13&gt;'SDG outcome'!$C$39),"yes","no")</f>
        <v>yes</v>
      </c>
      <c r="AB13" s="521" t="str">
        <f t="shared" ref="AB13:AB76" si="0">IF(AA13="no","",W13)</f>
        <v>NA</v>
      </c>
      <c r="AC13" s="527" t="str">
        <f>IF(AND('SMS p2'!AA218="no",AND(Z13&gt;='SDG outcome'!$B$28,Z13&lt;'SDG outcome'!$C$39)),Z13-'SDG outcome'!$B$28,"")</f>
        <v/>
      </c>
      <c r="AD13" s="497" t="s">
        <v>4</v>
      </c>
      <c r="AE13" s="497" t="s">
        <v>4</v>
      </c>
      <c r="AF13" s="497" t="s">
        <v>4</v>
      </c>
      <c r="AG13" s="497" t="s">
        <v>4</v>
      </c>
      <c r="AH13" s="497" t="s">
        <v>4</v>
      </c>
      <c r="AI13" s="497" t="s">
        <v>4</v>
      </c>
      <c r="AJ13" s="497" t="s">
        <v>4</v>
      </c>
      <c r="AK13" s="497" t="s">
        <v>29290</v>
      </c>
      <c r="AL13" s="497" t="s">
        <v>29694</v>
      </c>
      <c r="AM13" s="497" t="s">
        <v>4</v>
      </c>
      <c r="AN13" s="497" t="s">
        <v>4</v>
      </c>
      <c r="AO13" s="497" t="s">
        <v>31536</v>
      </c>
      <c r="AP13" s="497" t="s">
        <v>4</v>
      </c>
      <c r="AQ13" s="497" t="s">
        <v>31600</v>
      </c>
      <c r="AR13" s="497" t="s">
        <v>4</v>
      </c>
      <c r="AS13" s="497" t="s">
        <v>31601</v>
      </c>
      <c r="AT13" s="497" t="s">
        <v>4</v>
      </c>
      <c r="AU13" s="497" t="s">
        <v>7</v>
      </c>
      <c r="AV13" s="497" t="s">
        <v>4</v>
      </c>
      <c r="AW13" s="497" t="s">
        <v>4</v>
      </c>
      <c r="AX13" s="497" t="s">
        <v>7</v>
      </c>
      <c r="AY13" s="497" t="s">
        <v>11</v>
      </c>
      <c r="AZ13" s="497" t="s">
        <v>4</v>
      </c>
      <c r="BA13" s="497" t="s">
        <v>31563</v>
      </c>
      <c r="BB13" s="497" t="s">
        <v>22</v>
      </c>
      <c r="BC13" s="497" t="s">
        <v>4</v>
      </c>
      <c r="BD13" s="497" t="s">
        <v>22</v>
      </c>
      <c r="BE13" s="497" t="s">
        <v>4</v>
      </c>
      <c r="BF13" s="497" t="s">
        <v>31542</v>
      </c>
      <c r="BG13" s="497" t="s">
        <v>35673</v>
      </c>
      <c r="BH13" s="497" t="s">
        <v>31632</v>
      </c>
      <c r="BI13" s="497">
        <v>2</v>
      </c>
      <c r="BJ13" s="497">
        <v>50</v>
      </c>
      <c r="BK13" s="497" t="s">
        <v>7</v>
      </c>
      <c r="BL13" s="497" t="s">
        <v>6</v>
      </c>
      <c r="BM13" s="497" t="s">
        <v>4</v>
      </c>
      <c r="BN13" s="497" t="s">
        <v>31425</v>
      </c>
      <c r="BO13" s="497">
        <v>2</v>
      </c>
      <c r="BP13" s="497">
        <v>60</v>
      </c>
      <c r="BQ13" s="497" t="s">
        <v>31435</v>
      </c>
      <c r="BR13" s="499" t="s">
        <v>33361</v>
      </c>
      <c r="BS13" s="497" t="s">
        <v>4</v>
      </c>
      <c r="BT13" s="497">
        <v>2</v>
      </c>
      <c r="BU13" s="494" cm="1">
        <f t="array" ref="BU13">_xlfn.IFS(BQ13="Foreword vehicle",BT13*0,BQ13="Human wastes",BT13*0,BS13="Jerrycans",BT13*$BT$4,BQ13="Number of Basins",BT13*$BT$5,BQ13="Number of Buckets",BT13*$BT$6,BQ13="Number of Kgs",BT13*$BT$7,BQ13="Number of spades",BT13*$BT$8,BQ13="Number of wheelbarrows",BT13*$BS$9,BS13="Septic Tank",BT13*0)</f>
        <v>165</v>
      </c>
      <c r="BV13" s="494">
        <f>Table15[[#This Row],[Calculation: Conversion of metric to Kg manure feeding (Columns: BP, BQ, BR)]]*Table15[[#This Row],[Number of times used to feed biodigester]]</f>
        <v>330</v>
      </c>
      <c r="BW13" s="495" cm="1">
        <f t="array" ref="BW13">_xlfn.IFS(BN13="Number of times per day (1 to 3)",BV13/$BW$3,BN13="Number of times per week (1 to 6)",BV13/$BW$4,BN13="Number of times per Month (1 to 3)",BV13/$BW$5)</f>
        <v>330</v>
      </c>
      <c r="BX13" s="497" t="s">
        <v>22</v>
      </c>
      <c r="BY13" s="497" t="s">
        <v>4</v>
      </c>
      <c r="BZ13" s="497" t="s">
        <v>2</v>
      </c>
      <c r="CA13" s="497" t="s">
        <v>4</v>
      </c>
      <c r="CB13" s="497" t="s">
        <v>4</v>
      </c>
      <c r="CC13" s="497" t="s">
        <v>4</v>
      </c>
      <c r="CD13" s="497" t="s">
        <v>7</v>
      </c>
      <c r="CE13" s="497" t="s">
        <v>35674</v>
      </c>
      <c r="CF13" s="497" t="s">
        <v>4</v>
      </c>
      <c r="CG13" s="497" t="s">
        <v>31604</v>
      </c>
      <c r="CH13" s="497">
        <v>50</v>
      </c>
      <c r="CI13" s="497">
        <v>0</v>
      </c>
      <c r="CJ13" s="497">
        <v>0</v>
      </c>
      <c r="CK13" s="497">
        <v>0</v>
      </c>
      <c r="CL13" s="497">
        <v>0</v>
      </c>
      <c r="CM13" s="497">
        <v>0</v>
      </c>
      <c r="CN13" s="497">
        <v>0</v>
      </c>
      <c r="CO13" s="497">
        <v>0</v>
      </c>
      <c r="CP13" s="497">
        <v>0</v>
      </c>
      <c r="CQ13" s="497">
        <v>0</v>
      </c>
      <c r="CR13" s="497">
        <f>IF(Table15[[#This Row],[Is your biodigester working?]]="yes",CO13/'SDG outcome'!$C$9*CP13*CQ13,"")</f>
        <v>0</v>
      </c>
      <c r="CS13" s="497">
        <v>100</v>
      </c>
      <c r="CT13" s="500">
        <v>0</v>
      </c>
      <c r="CU13" s="496" t="s">
        <v>4</v>
      </c>
      <c r="CV13" s="497" t="s">
        <v>4</v>
      </c>
      <c r="CW13" s="500" t="s">
        <v>4</v>
      </c>
      <c r="CX13" s="496" t="s">
        <v>4</v>
      </c>
      <c r="CY13" s="497" t="s">
        <v>4</v>
      </c>
      <c r="CZ13" s="500" t="s">
        <v>4</v>
      </c>
      <c r="DA13" s="496" t="s">
        <v>4</v>
      </c>
      <c r="DB13" s="497" t="s">
        <v>4</v>
      </c>
      <c r="DC13" s="497" t="s">
        <v>4</v>
      </c>
      <c r="DD13" s="497" t="s">
        <v>4</v>
      </c>
      <c r="DE13" s="497" t="s">
        <v>4</v>
      </c>
      <c r="DF13" s="497" t="s">
        <v>4</v>
      </c>
      <c r="DG13" s="497" t="s">
        <v>4</v>
      </c>
      <c r="DH13" s="497" t="s">
        <v>4</v>
      </c>
      <c r="DI13" s="497" t="s">
        <v>4</v>
      </c>
      <c r="DJ13" s="497" t="s">
        <v>4</v>
      </c>
      <c r="DK13" s="497" t="s">
        <v>4</v>
      </c>
      <c r="DL13" s="497" t="s">
        <v>4</v>
      </c>
      <c r="DM13" s="497" t="s">
        <v>4</v>
      </c>
      <c r="DN13" s="497">
        <v>3</v>
      </c>
      <c r="DO13" s="497" t="s">
        <v>2</v>
      </c>
      <c r="DP13" s="497" t="s">
        <v>29292</v>
      </c>
      <c r="DQ13" s="497" t="s">
        <v>4</v>
      </c>
      <c r="DR13" s="497" t="s">
        <v>29294</v>
      </c>
      <c r="DS13" s="494" t="s">
        <v>4</v>
      </c>
      <c r="DT13" s="497" t="s">
        <v>29294</v>
      </c>
      <c r="DU13" s="494" t="s">
        <v>4</v>
      </c>
      <c r="DV13" s="500" t="s">
        <v>29295</v>
      </c>
      <c r="DW13" s="496">
        <v>100</v>
      </c>
      <c r="DX13" s="497" t="s">
        <v>29296</v>
      </c>
      <c r="DY13" s="497">
        <v>100</v>
      </c>
      <c r="DZ13" s="497" t="s">
        <v>4</v>
      </c>
      <c r="EA13" s="497" t="s">
        <v>4</v>
      </c>
      <c r="EB13" s="497" t="s">
        <v>4</v>
      </c>
      <c r="EC13" s="497" t="s">
        <v>4</v>
      </c>
      <c r="ED13" s="497" t="s">
        <v>4</v>
      </c>
      <c r="EE13" s="497" t="s">
        <v>4</v>
      </c>
      <c r="EF13" s="497" t="s">
        <v>4</v>
      </c>
      <c r="EG13" s="497" t="s">
        <v>4</v>
      </c>
      <c r="EH13" s="497" t="s">
        <v>4</v>
      </c>
      <c r="EI13" s="497" t="s">
        <v>4</v>
      </c>
      <c r="EJ13" s="497" t="s">
        <v>4</v>
      </c>
      <c r="EK13" s="497" t="s">
        <v>4</v>
      </c>
      <c r="EL13" s="497" t="s">
        <v>4</v>
      </c>
      <c r="EM13" s="497" t="s">
        <v>4</v>
      </c>
      <c r="EN13" s="497" t="s">
        <v>4</v>
      </c>
      <c r="EO13" s="497" t="s">
        <v>4</v>
      </c>
      <c r="EP13" s="497" t="s">
        <v>4</v>
      </c>
      <c r="EQ13" s="497" t="s">
        <v>4</v>
      </c>
      <c r="ER13" s="497" t="s">
        <v>4</v>
      </c>
      <c r="ES13" s="497" t="s">
        <v>4</v>
      </c>
      <c r="ET13" s="497" t="s">
        <v>4</v>
      </c>
      <c r="EU13" s="497" t="s">
        <v>4</v>
      </c>
      <c r="EV13" s="497" t="s">
        <v>4</v>
      </c>
      <c r="EW13" s="497">
        <v>30</v>
      </c>
      <c r="EX13" s="497" t="s">
        <v>7</v>
      </c>
      <c r="EY13" s="497">
        <v>100</v>
      </c>
      <c r="EZ13" s="239"/>
      <c r="FA13" s="497" t="s">
        <v>35675</v>
      </c>
      <c r="FB13" s="497" t="s">
        <v>29298</v>
      </c>
      <c r="FC13" s="497">
        <v>34</v>
      </c>
      <c r="FD13" s="497" t="s">
        <v>7</v>
      </c>
      <c r="FE13" s="497" t="s">
        <v>29393</v>
      </c>
      <c r="FF13" s="497" t="s">
        <v>4</v>
      </c>
      <c r="FG13" s="497" t="s">
        <v>2</v>
      </c>
      <c r="FH13" s="497" t="s">
        <v>4</v>
      </c>
      <c r="FI13" s="497" t="s">
        <v>4</v>
      </c>
      <c r="FJ13" s="497" t="s">
        <v>4</v>
      </c>
      <c r="FK13" s="497" t="s">
        <v>4</v>
      </c>
      <c r="FL13" s="497" t="s">
        <v>4</v>
      </c>
      <c r="FM13" s="497" t="s">
        <v>4</v>
      </c>
      <c r="FN13" s="494" t="s">
        <v>4</v>
      </c>
      <c r="FO13" s="497" t="s">
        <v>4</v>
      </c>
      <c r="FP13" s="497" t="s">
        <v>2</v>
      </c>
      <c r="FQ13" s="497" t="s">
        <v>4</v>
      </c>
      <c r="FR13" s="497" t="s">
        <v>4</v>
      </c>
      <c r="FS13" s="497" t="s">
        <v>7</v>
      </c>
      <c r="FT13" s="497" t="s">
        <v>2</v>
      </c>
      <c r="FU13" s="497" t="s">
        <v>4</v>
      </c>
      <c r="FV13" s="497" t="s">
        <v>4</v>
      </c>
      <c r="FW13" s="497" t="s">
        <v>4</v>
      </c>
      <c r="FX13" s="497">
        <v>0</v>
      </c>
      <c r="FY13" s="497" t="s">
        <v>4</v>
      </c>
      <c r="FZ13" s="497" t="s">
        <v>4</v>
      </c>
      <c r="GA13" s="497" t="s">
        <v>4</v>
      </c>
      <c r="GB13" s="497" t="s">
        <v>4</v>
      </c>
      <c r="GC13" s="497" t="s">
        <v>4</v>
      </c>
      <c r="GD13" s="497" t="s">
        <v>4</v>
      </c>
      <c r="GE13" s="497" t="s">
        <v>4</v>
      </c>
      <c r="GF13" s="497" t="s">
        <v>4</v>
      </c>
      <c r="GG13" s="497" t="s">
        <v>4</v>
      </c>
      <c r="GH13" s="497" t="s">
        <v>4</v>
      </c>
      <c r="GI13" s="497" t="s">
        <v>29304</v>
      </c>
      <c r="GJ13" s="497" t="s">
        <v>30272</v>
      </c>
      <c r="GK13" s="497" t="s">
        <v>29450</v>
      </c>
      <c r="GL13" s="497" t="s">
        <v>30210</v>
      </c>
      <c r="GM13" s="497" t="s">
        <v>35676</v>
      </c>
      <c r="GN13" s="497" t="s">
        <v>4</v>
      </c>
      <c r="GO13" s="497" t="s">
        <v>29451</v>
      </c>
      <c r="GP13" s="497" t="s">
        <v>4</v>
      </c>
      <c r="GQ13" s="497" t="s">
        <v>4</v>
      </c>
      <c r="GR13" s="497" t="s">
        <v>4</v>
      </c>
      <c r="GS13" s="497" t="s">
        <v>4</v>
      </c>
      <c r="GT13" s="497" t="s">
        <v>30822</v>
      </c>
      <c r="GU13" s="497" t="s">
        <v>4</v>
      </c>
      <c r="GV13" s="494">
        <v>5</v>
      </c>
      <c r="GW13" s="497" t="s">
        <v>29325</v>
      </c>
      <c r="GX13" s="497" t="s">
        <v>29837</v>
      </c>
      <c r="GY13" s="497" t="s">
        <v>4</v>
      </c>
      <c r="GZ13" s="497" t="s">
        <v>4</v>
      </c>
      <c r="HA13" s="497" t="s">
        <v>4</v>
      </c>
      <c r="HB13" s="497" t="s">
        <v>4</v>
      </c>
      <c r="HC13" s="497" t="s">
        <v>4</v>
      </c>
      <c r="HD13" s="497" t="s">
        <v>4</v>
      </c>
      <c r="HE13" s="497" t="s">
        <v>4</v>
      </c>
      <c r="HF13" s="497" t="s">
        <v>4</v>
      </c>
      <c r="HG13" s="497" t="s">
        <v>2</v>
      </c>
      <c r="HH13" s="497" t="s">
        <v>4</v>
      </c>
      <c r="HI13" s="497" t="s">
        <v>4</v>
      </c>
      <c r="HJ13" s="497" t="s">
        <v>4</v>
      </c>
      <c r="HK13" s="494" t="s">
        <v>4</v>
      </c>
      <c r="HL13" s="497" t="s">
        <v>33474</v>
      </c>
      <c r="HM13" s="497" t="s">
        <v>2</v>
      </c>
      <c r="HN13" s="497" t="s">
        <v>4</v>
      </c>
      <c r="HO13" s="497" t="s">
        <v>16</v>
      </c>
      <c r="HP13" s="497" t="s">
        <v>35677</v>
      </c>
      <c r="HQ13" s="497" t="s">
        <v>35678</v>
      </c>
      <c r="HR13" s="497" t="s">
        <v>35679</v>
      </c>
      <c r="HS13" s="497" t="s">
        <v>35680</v>
      </c>
      <c r="HT13" s="500" t="s">
        <v>35670</v>
      </c>
    </row>
    <row r="14" spans="1:228" s="570" customFormat="1" ht="30.2" customHeight="1" x14ac:dyDescent="0.25">
      <c r="A14" s="759"/>
      <c r="B14" s="496">
        <v>134</v>
      </c>
      <c r="C14" s="496" t="s">
        <v>8274</v>
      </c>
      <c r="D14" s="497" t="s">
        <v>34863</v>
      </c>
      <c r="E14" s="497" t="s">
        <v>30392</v>
      </c>
      <c r="F14" s="497" t="s">
        <v>7</v>
      </c>
      <c r="G14" s="497" t="s">
        <v>34864</v>
      </c>
      <c r="H14" s="497">
        <v>1078.5999999999999</v>
      </c>
      <c r="I14" s="497">
        <v>14.8</v>
      </c>
      <c r="J14" s="497" t="s">
        <v>29389</v>
      </c>
      <c r="K14" s="497" t="s">
        <v>34865</v>
      </c>
      <c r="L14" s="497" t="s">
        <v>34866</v>
      </c>
      <c r="M14" s="497">
        <v>776078792</v>
      </c>
      <c r="N14" s="497" t="s">
        <v>5</v>
      </c>
      <c r="O14" s="497" t="s">
        <v>31438</v>
      </c>
      <c r="P14" s="497">
        <v>26</v>
      </c>
      <c r="Q14" s="497">
        <v>20</v>
      </c>
      <c r="R14" s="497" t="s">
        <v>7</v>
      </c>
      <c r="S14" s="497" t="s">
        <v>31588</v>
      </c>
      <c r="T14" s="497" t="s">
        <v>4</v>
      </c>
      <c r="U14" s="497" t="s">
        <v>7</v>
      </c>
      <c r="V14" s="497" t="s">
        <v>7</v>
      </c>
      <c r="W14" s="497" t="s">
        <v>4</v>
      </c>
      <c r="X14" s="497" t="s">
        <v>7</v>
      </c>
      <c r="Y14" s="497" t="s">
        <v>4</v>
      </c>
      <c r="Z14" s="497" t="s">
        <v>4</v>
      </c>
      <c r="AA14" s="241" t="str">
        <f>IF(OR(U14="yes",Z14&gt;'SDG outcome'!$C$39),"yes","no")</f>
        <v>yes</v>
      </c>
      <c r="AB14" s="521" t="str">
        <f t="shared" si="0"/>
        <v>NA</v>
      </c>
      <c r="AC14" s="527" t="str">
        <f>IF(AND('SMS p2'!AA146="no",AND(Z14&gt;='SDG outcome'!$B$28,Z14&lt;'SDG outcome'!$C$39)),Z14-'SDG outcome'!$B$28,"")</f>
        <v/>
      </c>
      <c r="AD14" s="497" t="s">
        <v>4</v>
      </c>
      <c r="AE14" s="497" t="s">
        <v>4</v>
      </c>
      <c r="AF14" s="497" t="s">
        <v>4</v>
      </c>
      <c r="AG14" s="497" t="s">
        <v>4</v>
      </c>
      <c r="AH14" s="497" t="s">
        <v>4</v>
      </c>
      <c r="AI14" s="497" t="s">
        <v>4</v>
      </c>
      <c r="AJ14" s="497" t="s">
        <v>4</v>
      </c>
      <c r="AK14" s="497" t="s">
        <v>29290</v>
      </c>
      <c r="AL14" s="497" t="s">
        <v>29694</v>
      </c>
      <c r="AM14" s="497" t="s">
        <v>4</v>
      </c>
      <c r="AN14" s="497" t="s">
        <v>4</v>
      </c>
      <c r="AO14" s="497" t="s">
        <v>31536</v>
      </c>
      <c r="AP14" s="497" t="s">
        <v>4</v>
      </c>
      <c r="AQ14" s="497" t="s">
        <v>31600</v>
      </c>
      <c r="AR14" s="497" t="s">
        <v>4</v>
      </c>
      <c r="AS14" s="497" t="s">
        <v>31538</v>
      </c>
      <c r="AT14" s="497" t="s">
        <v>4</v>
      </c>
      <c r="AU14" s="497" t="s">
        <v>7</v>
      </c>
      <c r="AV14" s="497" t="s">
        <v>4</v>
      </c>
      <c r="AW14" s="497" t="s">
        <v>4</v>
      </c>
      <c r="AX14" s="497" t="s">
        <v>2</v>
      </c>
      <c r="AY14" s="497" t="s">
        <v>4</v>
      </c>
      <c r="AZ14" s="497" t="s">
        <v>4</v>
      </c>
      <c r="BA14" s="497" t="s">
        <v>31563</v>
      </c>
      <c r="BB14" s="497" t="s">
        <v>22</v>
      </c>
      <c r="BC14" s="497" t="s">
        <v>4</v>
      </c>
      <c r="BD14" s="497" t="s">
        <v>31564</v>
      </c>
      <c r="BE14" s="497" t="s">
        <v>4</v>
      </c>
      <c r="BF14" s="497" t="s">
        <v>31542</v>
      </c>
      <c r="BG14" s="497" t="s">
        <v>34867</v>
      </c>
      <c r="BH14" s="497" t="s">
        <v>31544</v>
      </c>
      <c r="BI14" s="497">
        <v>1</v>
      </c>
      <c r="BJ14" s="497">
        <v>200</v>
      </c>
      <c r="BK14" s="497" t="s">
        <v>7</v>
      </c>
      <c r="BL14" s="497" t="s">
        <v>6</v>
      </c>
      <c r="BM14" s="497" t="s">
        <v>4</v>
      </c>
      <c r="BN14" s="497" t="s">
        <v>31425</v>
      </c>
      <c r="BO14" s="497">
        <v>1</v>
      </c>
      <c r="BP14" s="497">
        <v>160</v>
      </c>
      <c r="BQ14" s="497" t="s">
        <v>13</v>
      </c>
      <c r="BR14" s="499" t="s">
        <v>33332</v>
      </c>
      <c r="BS14" s="497" t="s">
        <v>31431</v>
      </c>
      <c r="BT14" s="497">
        <v>10</v>
      </c>
      <c r="BU14" s="494" cm="1">
        <f t="array" ref="BU14">_xlfn.IFS(BQ14="Foreword vehicle",BT14*0,BQ14="Human wastes",BT14*0,BS14="Jerrycans",BT14*$BT$4,BQ14="Number of Basins",BT14*$BT$5,BQ14="Number of Buckets",BT14*$BT$6,BQ14="Number of Kgs",BT14*$BT$7,BQ14="Number of spades",BT14*$BT$8,BQ14="Number of wheelbarrows",BT14*$BT$9,BS14="Septic Tank",BT14*0)</f>
        <v>180</v>
      </c>
      <c r="BV14" s="494">
        <f>Table15[[#This Row],[Calculation: Conversion of metric to Kg manure feeding (Columns: BP, BQ, BR)]]*Table15[[#This Row],[Number of times used to feed biodigester]]</f>
        <v>180</v>
      </c>
      <c r="BW14" s="495" cm="1">
        <f t="array" ref="BW14">_xlfn.IFS(BN14="Number of times per day (1 to 3)",BV14/$BW$3,BN14="Number of times per week (1 to 6)",BV14/$BW$4,BN14="Number of times per Month (1 to 3)",BV14/$BW$5)</f>
        <v>180</v>
      </c>
      <c r="BX14" s="497" t="s">
        <v>22</v>
      </c>
      <c r="BY14" s="497" t="s">
        <v>4</v>
      </c>
      <c r="BZ14" s="497" t="s">
        <v>2</v>
      </c>
      <c r="CA14" s="497" t="s">
        <v>4</v>
      </c>
      <c r="CB14" s="497" t="s">
        <v>4</v>
      </c>
      <c r="CC14" s="497" t="s">
        <v>4</v>
      </c>
      <c r="CD14" s="497" t="s">
        <v>7</v>
      </c>
      <c r="CE14" s="497" t="s">
        <v>34868</v>
      </c>
      <c r="CF14" s="497" t="s">
        <v>4</v>
      </c>
      <c r="CG14" s="497" t="s">
        <v>34869</v>
      </c>
      <c r="CH14" s="497">
        <v>0</v>
      </c>
      <c r="CI14" s="497">
        <v>13</v>
      </c>
      <c r="CJ14" s="497">
        <v>0</v>
      </c>
      <c r="CK14" s="497">
        <v>0</v>
      </c>
      <c r="CL14" s="497">
        <v>0</v>
      </c>
      <c r="CM14" s="497">
        <v>0</v>
      </c>
      <c r="CN14" s="497">
        <v>0</v>
      </c>
      <c r="CO14" s="497">
        <v>0</v>
      </c>
      <c r="CP14" s="497">
        <v>0</v>
      </c>
      <c r="CQ14" s="497">
        <v>0</v>
      </c>
      <c r="CR14" s="497">
        <f>IF(Table15[[#This Row],[Is your biodigester working?]]="yes",CO14/'SDG outcome'!$C$9*CP14*CQ14,"")</f>
        <v>0</v>
      </c>
      <c r="CS14" s="497" t="s">
        <v>4</v>
      </c>
      <c r="CT14" s="500" t="s">
        <v>4</v>
      </c>
      <c r="CU14" s="496" t="s">
        <v>4</v>
      </c>
      <c r="CV14" s="497">
        <v>100</v>
      </c>
      <c r="CW14" s="500">
        <v>0</v>
      </c>
      <c r="CX14" s="496" t="s">
        <v>4</v>
      </c>
      <c r="CY14" s="497" t="s">
        <v>4</v>
      </c>
      <c r="CZ14" s="500" t="s">
        <v>4</v>
      </c>
      <c r="DA14" s="496" t="s">
        <v>4</v>
      </c>
      <c r="DB14" s="497" t="s">
        <v>4</v>
      </c>
      <c r="DC14" s="497" t="s">
        <v>4</v>
      </c>
      <c r="DD14" s="497" t="s">
        <v>4</v>
      </c>
      <c r="DE14" s="497" t="s">
        <v>4</v>
      </c>
      <c r="DF14" s="497" t="s">
        <v>4</v>
      </c>
      <c r="DG14" s="497" t="s">
        <v>4</v>
      </c>
      <c r="DH14" s="497" t="s">
        <v>4</v>
      </c>
      <c r="DI14" s="497" t="s">
        <v>4</v>
      </c>
      <c r="DJ14" s="497" t="s">
        <v>4</v>
      </c>
      <c r="DK14" s="497" t="s">
        <v>4</v>
      </c>
      <c r="DL14" s="497" t="s">
        <v>4</v>
      </c>
      <c r="DM14" s="497" t="s">
        <v>4</v>
      </c>
      <c r="DN14" s="497">
        <v>3</v>
      </c>
      <c r="DO14" s="497" t="s">
        <v>7</v>
      </c>
      <c r="DP14" s="497" t="s">
        <v>29292</v>
      </c>
      <c r="DQ14" s="497" t="s">
        <v>4</v>
      </c>
      <c r="DR14" s="497" t="s">
        <v>29294</v>
      </c>
      <c r="DS14" s="494" t="s">
        <v>4</v>
      </c>
      <c r="DT14" s="497" t="s">
        <v>29294</v>
      </c>
      <c r="DU14" s="494" t="s">
        <v>4</v>
      </c>
      <c r="DV14" s="500" t="s">
        <v>29295</v>
      </c>
      <c r="DW14" s="496">
        <v>100</v>
      </c>
      <c r="DX14" s="497" t="s">
        <v>30460</v>
      </c>
      <c r="DY14" s="497">
        <v>50</v>
      </c>
      <c r="DZ14" s="497">
        <v>50</v>
      </c>
      <c r="EA14" s="497" t="s">
        <v>4</v>
      </c>
      <c r="EB14" s="497" t="s">
        <v>4</v>
      </c>
      <c r="EC14" s="497" t="s">
        <v>4</v>
      </c>
      <c r="ED14" s="497" t="s">
        <v>4</v>
      </c>
      <c r="EE14" s="497" t="s">
        <v>4</v>
      </c>
      <c r="EF14" s="497" t="s">
        <v>4</v>
      </c>
      <c r="EG14" s="497" t="s">
        <v>4</v>
      </c>
      <c r="EH14" s="497" t="s">
        <v>4</v>
      </c>
      <c r="EI14" s="497" t="s">
        <v>4</v>
      </c>
      <c r="EJ14" s="497" t="s">
        <v>4</v>
      </c>
      <c r="EK14" s="497" t="s">
        <v>4</v>
      </c>
      <c r="EL14" s="497" t="s">
        <v>4</v>
      </c>
      <c r="EM14" s="497" t="s">
        <v>4</v>
      </c>
      <c r="EN14" s="497" t="s">
        <v>4</v>
      </c>
      <c r="EO14" s="497" t="s">
        <v>4</v>
      </c>
      <c r="EP14" s="497" t="s">
        <v>4</v>
      </c>
      <c r="EQ14" s="497" t="s">
        <v>4</v>
      </c>
      <c r="ER14" s="497" t="s">
        <v>4</v>
      </c>
      <c r="ES14" s="497" t="s">
        <v>4</v>
      </c>
      <c r="ET14" s="497" t="s">
        <v>4</v>
      </c>
      <c r="EU14" s="497" t="s">
        <v>4</v>
      </c>
      <c r="EV14" s="497" t="s">
        <v>4</v>
      </c>
      <c r="EW14" s="497">
        <v>141.64305949008497</v>
      </c>
      <c r="EX14" s="497" t="s">
        <v>7</v>
      </c>
      <c r="EY14" s="497">
        <v>20</v>
      </c>
      <c r="EZ14" s="239"/>
      <c r="FA14" s="497" t="s">
        <v>34870</v>
      </c>
      <c r="FB14" s="497" t="s">
        <v>29298</v>
      </c>
      <c r="FC14" s="497" t="s">
        <v>29464</v>
      </c>
      <c r="FD14" s="497" t="s">
        <v>7</v>
      </c>
      <c r="FE14" s="497" t="s">
        <v>29393</v>
      </c>
      <c r="FF14" s="497" t="s">
        <v>4</v>
      </c>
      <c r="FG14" s="497" t="s">
        <v>7</v>
      </c>
      <c r="FH14" s="497" t="s">
        <v>29393</v>
      </c>
      <c r="FI14" s="497" t="s">
        <v>4</v>
      </c>
      <c r="FJ14" s="497" t="s">
        <v>29300</v>
      </c>
      <c r="FK14" s="497" t="s">
        <v>4</v>
      </c>
      <c r="FL14" s="497" t="s">
        <v>4</v>
      </c>
      <c r="FM14" s="497" t="s">
        <v>4</v>
      </c>
      <c r="FN14" s="494" t="s">
        <v>4</v>
      </c>
      <c r="FO14" s="497" t="s">
        <v>4</v>
      </c>
      <c r="FP14" s="497" t="s">
        <v>2</v>
      </c>
      <c r="FQ14" s="497" t="s">
        <v>4</v>
      </c>
      <c r="FR14" s="497" t="s">
        <v>4</v>
      </c>
      <c r="FS14" s="497" t="s">
        <v>2</v>
      </c>
      <c r="FT14" s="497" t="s">
        <v>7</v>
      </c>
      <c r="FU14" s="497" t="s">
        <v>29302</v>
      </c>
      <c r="FV14" s="497" t="s">
        <v>34871</v>
      </c>
      <c r="FW14" s="497" t="s">
        <v>4</v>
      </c>
      <c r="FX14" s="497">
        <v>0</v>
      </c>
      <c r="FY14" s="497" t="s">
        <v>4</v>
      </c>
      <c r="FZ14" s="497" t="s">
        <v>4</v>
      </c>
      <c r="GA14" s="497" t="s">
        <v>4</v>
      </c>
      <c r="GB14" s="497" t="s">
        <v>4</v>
      </c>
      <c r="GC14" s="497" t="s">
        <v>4</v>
      </c>
      <c r="GD14" s="497" t="s">
        <v>4</v>
      </c>
      <c r="GE14" s="497" t="s">
        <v>4</v>
      </c>
      <c r="GF14" s="497" t="s">
        <v>4</v>
      </c>
      <c r="GG14" s="497" t="s">
        <v>4</v>
      </c>
      <c r="GH14" s="497" t="s">
        <v>4</v>
      </c>
      <c r="GI14" s="497" t="s">
        <v>29304</v>
      </c>
      <c r="GJ14" s="497" t="s">
        <v>29305</v>
      </c>
      <c r="GK14" s="497" t="s">
        <v>29306</v>
      </c>
      <c r="GL14" s="497" t="s">
        <v>4</v>
      </c>
      <c r="GM14" s="497" t="s">
        <v>4</v>
      </c>
      <c r="GN14" s="497" t="s">
        <v>4</v>
      </c>
      <c r="GO14" s="497" t="s">
        <v>4</v>
      </c>
      <c r="GP14" s="497" t="s">
        <v>4</v>
      </c>
      <c r="GQ14" s="497" t="s">
        <v>4</v>
      </c>
      <c r="GR14" s="497" t="s">
        <v>4</v>
      </c>
      <c r="GS14" s="497" t="s">
        <v>4</v>
      </c>
      <c r="GT14" s="497" t="s">
        <v>29354</v>
      </c>
      <c r="GU14" s="497" t="s">
        <v>4</v>
      </c>
      <c r="GV14" s="494">
        <v>3</v>
      </c>
      <c r="GW14" s="497" t="s">
        <v>29325</v>
      </c>
      <c r="GX14" s="497" t="s">
        <v>29309</v>
      </c>
      <c r="GY14" s="497" t="s">
        <v>4</v>
      </c>
      <c r="GZ14" s="497" t="s">
        <v>4</v>
      </c>
      <c r="HA14" s="497" t="s">
        <v>4</v>
      </c>
      <c r="HB14" s="497" t="s">
        <v>4</v>
      </c>
      <c r="HC14" s="497" t="s">
        <v>4</v>
      </c>
      <c r="HD14" s="497" t="s">
        <v>4</v>
      </c>
      <c r="HE14" s="497" t="s">
        <v>4</v>
      </c>
      <c r="HF14" s="497" t="s">
        <v>4</v>
      </c>
      <c r="HG14" s="497" t="s">
        <v>2</v>
      </c>
      <c r="HH14" s="497" t="s">
        <v>4</v>
      </c>
      <c r="HI14" s="497" t="s">
        <v>4</v>
      </c>
      <c r="HJ14" s="497" t="s">
        <v>4</v>
      </c>
      <c r="HK14" s="494" t="s">
        <v>4</v>
      </c>
      <c r="HL14" s="497" t="s">
        <v>34872</v>
      </c>
      <c r="HM14" s="497" t="s">
        <v>2</v>
      </c>
      <c r="HN14" s="497" t="s">
        <v>4</v>
      </c>
      <c r="HO14" s="497" t="s">
        <v>34873</v>
      </c>
      <c r="HP14" s="497" t="s">
        <v>34874</v>
      </c>
      <c r="HQ14" s="497" t="s">
        <v>34875</v>
      </c>
      <c r="HR14" s="497" t="s">
        <v>34876</v>
      </c>
      <c r="HS14" s="497" t="s">
        <v>16</v>
      </c>
      <c r="HT14" s="500" t="s">
        <v>34863</v>
      </c>
    </row>
    <row r="15" spans="1:228" s="570" customFormat="1" ht="30.2" customHeight="1" x14ac:dyDescent="0.25">
      <c r="A15" s="759"/>
      <c r="B15" s="496">
        <v>209</v>
      </c>
      <c r="C15" s="496" t="s">
        <v>8391</v>
      </c>
      <c r="D15" s="497" t="s">
        <v>33879</v>
      </c>
      <c r="E15" s="497" t="s">
        <v>30786</v>
      </c>
      <c r="F15" s="497" t="s">
        <v>7</v>
      </c>
      <c r="G15" s="497" t="s">
        <v>35701</v>
      </c>
      <c r="H15" s="497">
        <v>1321.3</v>
      </c>
      <c r="I15" s="497">
        <v>5</v>
      </c>
      <c r="J15" s="497" t="s">
        <v>29319</v>
      </c>
      <c r="K15" s="497" t="s">
        <v>4</v>
      </c>
      <c r="L15" s="497" t="s">
        <v>35702</v>
      </c>
      <c r="M15" s="497">
        <v>782863252</v>
      </c>
      <c r="N15" s="497" t="s">
        <v>5</v>
      </c>
      <c r="O15" s="497" t="s">
        <v>31590</v>
      </c>
      <c r="P15" s="497" t="s">
        <v>4</v>
      </c>
      <c r="Q15" s="497">
        <v>6</v>
      </c>
      <c r="R15" s="497" t="s">
        <v>7</v>
      </c>
      <c r="S15" s="497" t="s">
        <v>31535</v>
      </c>
      <c r="T15" s="497" t="s">
        <v>4</v>
      </c>
      <c r="U15" s="497" t="s">
        <v>7</v>
      </c>
      <c r="V15" s="497" t="s">
        <v>7</v>
      </c>
      <c r="W15" s="497" t="s">
        <v>4</v>
      </c>
      <c r="X15" s="497" t="s">
        <v>7</v>
      </c>
      <c r="Y15" s="497" t="s">
        <v>4</v>
      </c>
      <c r="Z15" s="497" t="s">
        <v>4</v>
      </c>
      <c r="AA15" s="241" t="str">
        <f>IF(OR(U15="yes",Z15&gt;'SDG outcome'!$C$39),"yes","no")</f>
        <v>yes</v>
      </c>
      <c r="AB15" s="521" t="str">
        <f t="shared" si="0"/>
        <v>NA</v>
      </c>
      <c r="AC15" s="527" t="str">
        <f>IF(AND('SMS p2'!AA221="no",AND(Z15&gt;='SDG outcome'!$B$28,Z15&lt;'SDG outcome'!$C$39)),Z15-'SDG outcome'!$B$28,"")</f>
        <v/>
      </c>
      <c r="AD15" s="497" t="s">
        <v>4</v>
      </c>
      <c r="AE15" s="497" t="s">
        <v>4</v>
      </c>
      <c r="AF15" s="497" t="s">
        <v>4</v>
      </c>
      <c r="AG15" s="497" t="s">
        <v>4</v>
      </c>
      <c r="AH15" s="497" t="s">
        <v>4</v>
      </c>
      <c r="AI15" s="497" t="s">
        <v>4</v>
      </c>
      <c r="AJ15" s="497" t="s">
        <v>4</v>
      </c>
      <c r="AK15" s="497" t="s">
        <v>29290</v>
      </c>
      <c r="AL15" s="497" t="s">
        <v>29694</v>
      </c>
      <c r="AM15" s="497" t="s">
        <v>4</v>
      </c>
      <c r="AN15" s="497" t="s">
        <v>4</v>
      </c>
      <c r="AO15" s="497" t="s">
        <v>31718</v>
      </c>
      <c r="AP15" s="497" t="s">
        <v>4</v>
      </c>
      <c r="AQ15" s="497" t="s">
        <v>31600</v>
      </c>
      <c r="AR15" s="497" t="s">
        <v>4</v>
      </c>
      <c r="AS15" s="497" t="s">
        <v>31538</v>
      </c>
      <c r="AT15" s="497" t="s">
        <v>4</v>
      </c>
      <c r="AU15" s="497" t="s">
        <v>7</v>
      </c>
      <c r="AV15" s="497" t="s">
        <v>4</v>
      </c>
      <c r="AW15" s="497" t="s">
        <v>4</v>
      </c>
      <c r="AX15" s="497" t="s">
        <v>7</v>
      </c>
      <c r="AY15" s="497" t="s">
        <v>28</v>
      </c>
      <c r="AZ15" s="497" t="s">
        <v>4</v>
      </c>
      <c r="BA15" s="497" t="s">
        <v>31619</v>
      </c>
      <c r="BB15" s="497" t="s">
        <v>22</v>
      </c>
      <c r="BC15" s="497" t="s">
        <v>4</v>
      </c>
      <c r="BD15" s="501" t="s">
        <v>22</v>
      </c>
      <c r="BE15" s="497" t="s">
        <v>4</v>
      </c>
      <c r="BF15" s="497" t="s">
        <v>31542</v>
      </c>
      <c r="BG15" s="497" t="s">
        <v>35703</v>
      </c>
      <c r="BH15" s="497" t="s">
        <v>31616</v>
      </c>
      <c r="BI15" s="497">
        <v>1</v>
      </c>
      <c r="BJ15" s="497">
        <v>120</v>
      </c>
      <c r="BK15" s="497" t="s">
        <v>7</v>
      </c>
      <c r="BL15" s="497" t="s">
        <v>6</v>
      </c>
      <c r="BM15" s="497" t="s">
        <v>4</v>
      </c>
      <c r="BN15" s="497" t="s">
        <v>31429</v>
      </c>
      <c r="BO15" s="497">
        <v>1</v>
      </c>
      <c r="BP15" s="497">
        <v>60</v>
      </c>
      <c r="BQ15" s="497" t="s">
        <v>31435</v>
      </c>
      <c r="BR15" s="499" t="s">
        <v>33332</v>
      </c>
      <c r="BS15" s="497" t="s">
        <v>4</v>
      </c>
      <c r="BT15" s="497">
        <v>2</v>
      </c>
      <c r="BU15" s="494" cm="1">
        <f t="array" ref="BU15">_xlfn.IFS(BQ15="Foreword vehicle",BT15*0,BQ15="Human wastes",BT15*0,BS15="Jerrycans",BT15*$BT$4,BQ15="Number of Basins",BT15*$BT$5,BQ15="Number of Buckets",BT15*$BT$6,BQ15="Number of Kgs",BT15*$BT$7,BQ15="Number of spades",BT15*$BT$8,BQ15="Number of wheelbarrows",BT15*$BT$9,BS15="Septic Tank",BT15*0)</f>
        <v>141</v>
      </c>
      <c r="BV15" s="494">
        <f>Table15[[#This Row],[Calculation: Conversion of metric to Kg manure feeding (Columns: BP, BQ, BR)]]*Table15[[#This Row],[Number of times used to feed biodigester]]</f>
        <v>141</v>
      </c>
      <c r="BW15" s="495" cm="1">
        <f t="array" ref="BW15">_xlfn.IFS(BN15="Number of times per day (1 to 3)",BV15/$BW$3,BN15="Number of times per week (1 to 6)",BV15/$BW$4,BN15="Number of times per Month (1 to 3)",BV15/$BW$5)</f>
        <v>20.142857142857142</v>
      </c>
      <c r="BX15" s="497" t="s">
        <v>22</v>
      </c>
      <c r="BY15" s="497" t="s">
        <v>4</v>
      </c>
      <c r="BZ15" s="497" t="s">
        <v>2</v>
      </c>
      <c r="CA15" s="497" t="s">
        <v>4</v>
      </c>
      <c r="CB15" s="497" t="s">
        <v>4</v>
      </c>
      <c r="CC15" s="497" t="s">
        <v>4</v>
      </c>
      <c r="CD15" s="497" t="s">
        <v>7</v>
      </c>
      <c r="CE15" s="497" t="s">
        <v>35704</v>
      </c>
      <c r="CF15" s="497" t="s">
        <v>4</v>
      </c>
      <c r="CG15" s="497" t="s">
        <v>31604</v>
      </c>
      <c r="CH15" s="497">
        <v>2</v>
      </c>
      <c r="CI15" s="497">
        <v>0</v>
      </c>
      <c r="CJ15" s="497">
        <v>0</v>
      </c>
      <c r="CK15" s="497">
        <v>0</v>
      </c>
      <c r="CL15" s="497">
        <v>0</v>
      </c>
      <c r="CM15" s="497">
        <v>0</v>
      </c>
      <c r="CN15" s="497">
        <v>0</v>
      </c>
      <c r="CO15" s="497">
        <v>0</v>
      </c>
      <c r="CP15" s="497">
        <v>0</v>
      </c>
      <c r="CQ15" s="497">
        <v>0</v>
      </c>
      <c r="CR15" s="497">
        <f>IF(Table15[[#This Row],[Is your biodigester working?]]="yes",CO15/'SDG outcome'!$C$9*CP15*CQ15,"")</f>
        <v>0</v>
      </c>
      <c r="CS15" s="497">
        <v>100</v>
      </c>
      <c r="CT15" s="500">
        <v>0</v>
      </c>
      <c r="CU15" s="496" t="s">
        <v>4</v>
      </c>
      <c r="CV15" s="497" t="s">
        <v>4</v>
      </c>
      <c r="CW15" s="500" t="s">
        <v>4</v>
      </c>
      <c r="CX15" s="496" t="s">
        <v>4</v>
      </c>
      <c r="CY15" s="496" t="s">
        <v>4</v>
      </c>
      <c r="CZ15" s="496" t="s">
        <v>4</v>
      </c>
      <c r="DA15" s="496" t="s">
        <v>4</v>
      </c>
      <c r="DB15" s="496" t="s">
        <v>4</v>
      </c>
      <c r="DC15" s="496" t="s">
        <v>4</v>
      </c>
      <c r="DD15" s="496" t="s">
        <v>4</v>
      </c>
      <c r="DE15" s="496" t="s">
        <v>4</v>
      </c>
      <c r="DF15" s="496" t="s">
        <v>4</v>
      </c>
      <c r="DG15" s="497" t="s">
        <v>4</v>
      </c>
      <c r="DH15" s="497" t="s">
        <v>4</v>
      </c>
      <c r="DI15" s="497" t="s">
        <v>4</v>
      </c>
      <c r="DJ15" s="497" t="s">
        <v>4</v>
      </c>
      <c r="DK15" s="497" t="s">
        <v>4</v>
      </c>
      <c r="DL15" s="497" t="s">
        <v>4</v>
      </c>
      <c r="DM15" s="497" t="s">
        <v>4</v>
      </c>
      <c r="DN15" s="497">
        <v>4</v>
      </c>
      <c r="DO15" s="497" t="s">
        <v>7</v>
      </c>
      <c r="DP15" s="497" t="s">
        <v>29292</v>
      </c>
      <c r="DQ15" s="497" t="s">
        <v>4</v>
      </c>
      <c r="DR15" s="497" t="s">
        <v>29294</v>
      </c>
      <c r="DS15" s="494" t="s">
        <v>4</v>
      </c>
      <c r="DT15" s="497" t="s">
        <v>29294</v>
      </c>
      <c r="DU15" s="494" t="s">
        <v>4</v>
      </c>
      <c r="DV15" s="500" t="s">
        <v>29295</v>
      </c>
      <c r="DW15" s="496">
        <v>100</v>
      </c>
      <c r="DX15" s="497" t="s">
        <v>29296</v>
      </c>
      <c r="DY15" s="497">
        <v>100</v>
      </c>
      <c r="DZ15" s="497" t="s">
        <v>4</v>
      </c>
      <c r="EA15" s="497" t="s">
        <v>4</v>
      </c>
      <c r="EB15" s="497" t="s">
        <v>4</v>
      </c>
      <c r="EC15" s="497" t="s">
        <v>4</v>
      </c>
      <c r="ED15" s="496" t="s">
        <v>4</v>
      </c>
      <c r="EE15" s="496" t="s">
        <v>4</v>
      </c>
      <c r="EF15" s="496" t="s">
        <v>4</v>
      </c>
      <c r="EG15" s="496" t="s">
        <v>4</v>
      </c>
      <c r="EH15" s="496" t="s">
        <v>4</v>
      </c>
      <c r="EI15" s="496" t="s">
        <v>4</v>
      </c>
      <c r="EJ15" s="496" t="s">
        <v>4</v>
      </c>
      <c r="EK15" s="496" t="s">
        <v>4</v>
      </c>
      <c r="EL15" s="496" t="s">
        <v>4</v>
      </c>
      <c r="EM15" s="496" t="s">
        <v>4</v>
      </c>
      <c r="EN15" s="496" t="s">
        <v>4</v>
      </c>
      <c r="EO15" s="496" t="s">
        <v>4</v>
      </c>
      <c r="EP15" s="496" t="s">
        <v>4</v>
      </c>
      <c r="EQ15" s="496" t="s">
        <v>4</v>
      </c>
      <c r="ER15" s="496" t="s">
        <v>4</v>
      </c>
      <c r="ES15" s="496" t="s">
        <v>4</v>
      </c>
      <c r="ET15" s="496" t="s">
        <v>4</v>
      </c>
      <c r="EU15" s="496" t="s">
        <v>4</v>
      </c>
      <c r="EV15" s="496" t="s">
        <v>4</v>
      </c>
      <c r="EW15" s="497">
        <v>20</v>
      </c>
      <c r="EX15" s="497" t="s">
        <v>7</v>
      </c>
      <c r="EY15" s="497">
        <v>100</v>
      </c>
      <c r="EZ15" s="239"/>
      <c r="FA15" s="497" t="s">
        <v>35705</v>
      </c>
      <c r="FB15" s="497" t="s">
        <v>29298</v>
      </c>
      <c r="FC15" s="497">
        <v>20</v>
      </c>
      <c r="FD15" s="497" t="s">
        <v>7</v>
      </c>
      <c r="FE15" s="497" t="s">
        <v>29393</v>
      </c>
      <c r="FF15" s="497" t="s">
        <v>4</v>
      </c>
      <c r="FG15" s="497" t="s">
        <v>2</v>
      </c>
      <c r="FH15" s="497" t="s">
        <v>4</v>
      </c>
      <c r="FI15" s="497" t="s">
        <v>4</v>
      </c>
      <c r="FJ15" s="497" t="s">
        <v>4</v>
      </c>
      <c r="FK15" s="497" t="s">
        <v>4</v>
      </c>
      <c r="FL15" s="497" t="s">
        <v>4</v>
      </c>
      <c r="FM15" s="497" t="s">
        <v>4</v>
      </c>
      <c r="FN15" s="494" t="s">
        <v>4</v>
      </c>
      <c r="FO15" s="497" t="s">
        <v>4</v>
      </c>
      <c r="FP15" s="497" t="s">
        <v>2</v>
      </c>
      <c r="FQ15" s="497" t="s">
        <v>4</v>
      </c>
      <c r="FR15" s="497" t="s">
        <v>4</v>
      </c>
      <c r="FS15" s="497" t="s">
        <v>7</v>
      </c>
      <c r="FT15" s="497" t="s">
        <v>2</v>
      </c>
      <c r="FU15" s="497" t="s">
        <v>4</v>
      </c>
      <c r="FV15" s="497" t="s">
        <v>4</v>
      </c>
      <c r="FW15" s="497" t="s">
        <v>4</v>
      </c>
      <c r="FX15" s="497">
        <v>0</v>
      </c>
      <c r="FY15" s="497" t="s">
        <v>4</v>
      </c>
      <c r="FZ15" s="497" t="s">
        <v>4</v>
      </c>
      <c r="GA15" s="497" t="s">
        <v>4</v>
      </c>
      <c r="GB15" s="497" t="s">
        <v>4</v>
      </c>
      <c r="GC15" s="497" t="s">
        <v>4</v>
      </c>
      <c r="GD15" s="497" t="s">
        <v>4</v>
      </c>
      <c r="GE15" s="497" t="s">
        <v>4</v>
      </c>
      <c r="GF15" s="497" t="s">
        <v>4</v>
      </c>
      <c r="GG15" s="497" t="s">
        <v>4</v>
      </c>
      <c r="GH15" s="497" t="s">
        <v>4</v>
      </c>
      <c r="GI15" s="497" t="s">
        <v>29304</v>
      </c>
      <c r="GJ15" s="497" t="s">
        <v>30272</v>
      </c>
      <c r="GK15" s="497" t="s">
        <v>29323</v>
      </c>
      <c r="GL15" s="497" t="s">
        <v>30314</v>
      </c>
      <c r="GM15" s="497" t="s">
        <v>35706</v>
      </c>
      <c r="GN15" s="497" t="s">
        <v>4</v>
      </c>
      <c r="GO15" s="497" t="s">
        <v>29451</v>
      </c>
      <c r="GP15" s="497" t="s">
        <v>4</v>
      </c>
      <c r="GQ15" s="497" t="s">
        <v>4</v>
      </c>
      <c r="GR15" s="497" t="s">
        <v>4</v>
      </c>
      <c r="GS15" s="497" t="s">
        <v>4</v>
      </c>
      <c r="GT15" s="497" t="s">
        <v>30516</v>
      </c>
      <c r="GU15" s="497" t="s">
        <v>4</v>
      </c>
      <c r="GV15" s="494">
        <v>20</v>
      </c>
      <c r="GW15" s="497" t="s">
        <v>7</v>
      </c>
      <c r="GX15" s="497" t="s">
        <v>29837</v>
      </c>
      <c r="GY15" s="497" t="s">
        <v>4</v>
      </c>
      <c r="GZ15" s="497" t="s">
        <v>4</v>
      </c>
      <c r="HA15" s="497" t="s">
        <v>4</v>
      </c>
      <c r="HB15" s="497" t="s">
        <v>4</v>
      </c>
      <c r="HC15" s="497" t="s">
        <v>4</v>
      </c>
      <c r="HD15" s="497" t="s">
        <v>4</v>
      </c>
      <c r="HE15" s="497" t="s">
        <v>4</v>
      </c>
      <c r="HF15" s="497" t="s">
        <v>4</v>
      </c>
      <c r="HG15" s="497" t="s">
        <v>2</v>
      </c>
      <c r="HH15" s="497" t="s">
        <v>4</v>
      </c>
      <c r="HI15" s="497" t="s">
        <v>4</v>
      </c>
      <c r="HJ15" s="497" t="s">
        <v>4</v>
      </c>
      <c r="HK15" s="494" t="s">
        <v>4</v>
      </c>
      <c r="HL15" s="497" t="s">
        <v>33474</v>
      </c>
      <c r="HM15" s="497" t="s">
        <v>2</v>
      </c>
      <c r="HN15" s="497" t="s">
        <v>4</v>
      </c>
      <c r="HO15" s="497" t="s">
        <v>16</v>
      </c>
      <c r="HP15" s="497" t="s">
        <v>35707</v>
      </c>
      <c r="HQ15" s="497" t="s">
        <v>35708</v>
      </c>
      <c r="HR15" s="497" t="s">
        <v>35709</v>
      </c>
      <c r="HS15" s="497" t="s">
        <v>35710</v>
      </c>
      <c r="HT15" s="500" t="s">
        <v>33879</v>
      </c>
    </row>
    <row r="16" spans="1:228" s="570" customFormat="1" ht="30.2" customHeight="1" x14ac:dyDescent="0.25">
      <c r="A16" s="759"/>
      <c r="B16" s="496">
        <v>224</v>
      </c>
      <c r="C16" s="496" t="s">
        <v>27833</v>
      </c>
      <c r="D16" s="497" t="s">
        <v>35827</v>
      </c>
      <c r="E16" s="497" t="s">
        <v>30786</v>
      </c>
      <c r="F16" s="497" t="s">
        <v>7</v>
      </c>
      <c r="G16" s="497" t="s">
        <v>35828</v>
      </c>
      <c r="H16" s="497">
        <v>1019.3</v>
      </c>
      <c r="I16" s="497">
        <v>4.9000000000000004</v>
      </c>
      <c r="J16" s="497" t="s">
        <v>29319</v>
      </c>
      <c r="K16" s="497" t="s">
        <v>4</v>
      </c>
      <c r="L16" s="497" t="s">
        <v>34104</v>
      </c>
      <c r="M16" s="497">
        <v>772572827</v>
      </c>
      <c r="N16" s="497" t="s">
        <v>5</v>
      </c>
      <c r="O16" s="497" t="s">
        <v>31590</v>
      </c>
      <c r="P16" s="497" t="s">
        <v>4</v>
      </c>
      <c r="Q16" s="497">
        <v>5</v>
      </c>
      <c r="R16" s="497" t="s">
        <v>7</v>
      </c>
      <c r="S16" s="497" t="s">
        <v>31549</v>
      </c>
      <c r="T16" s="497" t="s">
        <v>4</v>
      </c>
      <c r="U16" s="497" t="s">
        <v>7</v>
      </c>
      <c r="V16" s="497" t="s">
        <v>7</v>
      </c>
      <c r="W16" s="497" t="s">
        <v>4</v>
      </c>
      <c r="X16" s="497" t="s">
        <v>7</v>
      </c>
      <c r="Y16" s="497" t="s">
        <v>4</v>
      </c>
      <c r="Z16" s="497" t="s">
        <v>4</v>
      </c>
      <c r="AA16" s="241" t="str">
        <f>IF(OR(U16="yes",Z16&gt;'SDG outcome'!$C$39),"yes","no")</f>
        <v>yes</v>
      </c>
      <c r="AB16" s="521" t="str">
        <f t="shared" si="0"/>
        <v>NA</v>
      </c>
      <c r="AC16" s="527" t="str">
        <f>IF(AND('SMS p2'!AA235="no",AND(Z16&gt;='SDG outcome'!$B$28,Z16&lt;'SDG outcome'!$C$39)),Z16-'SDG outcome'!$B$28,"")</f>
        <v/>
      </c>
      <c r="AD16" s="497" t="s">
        <v>4</v>
      </c>
      <c r="AE16" s="497" t="s">
        <v>4</v>
      </c>
      <c r="AF16" s="497" t="s">
        <v>4</v>
      </c>
      <c r="AG16" s="497" t="s">
        <v>4</v>
      </c>
      <c r="AH16" s="497" t="s">
        <v>4</v>
      </c>
      <c r="AI16" s="497" t="s">
        <v>4</v>
      </c>
      <c r="AJ16" s="497" t="s">
        <v>4</v>
      </c>
      <c r="AK16" s="497" t="s">
        <v>29290</v>
      </c>
      <c r="AL16" s="497" t="s">
        <v>29694</v>
      </c>
      <c r="AM16" s="497" t="s">
        <v>4</v>
      </c>
      <c r="AN16" s="497" t="s">
        <v>4</v>
      </c>
      <c r="AO16" s="497" t="s">
        <v>31599</v>
      </c>
      <c r="AP16" s="497" t="s">
        <v>4</v>
      </c>
      <c r="AQ16" s="497" t="s">
        <v>31537</v>
      </c>
      <c r="AR16" s="497" t="s">
        <v>4</v>
      </c>
      <c r="AS16" s="497" t="s">
        <v>31538</v>
      </c>
      <c r="AT16" s="497" t="s">
        <v>4</v>
      </c>
      <c r="AU16" s="497" t="s">
        <v>7</v>
      </c>
      <c r="AV16" s="497" t="s">
        <v>4</v>
      </c>
      <c r="AW16" s="497" t="s">
        <v>4</v>
      </c>
      <c r="AX16" s="497" t="s">
        <v>7</v>
      </c>
      <c r="AY16" s="497" t="s">
        <v>11</v>
      </c>
      <c r="AZ16" s="497" t="s">
        <v>4</v>
      </c>
      <c r="BA16" s="497" t="s">
        <v>31557</v>
      </c>
      <c r="BB16" s="497" t="s">
        <v>22</v>
      </c>
      <c r="BC16" s="497" t="s">
        <v>4</v>
      </c>
      <c r="BD16" s="501" t="s">
        <v>22</v>
      </c>
      <c r="BE16" s="497" t="s">
        <v>4</v>
      </c>
      <c r="BF16" s="497" t="s">
        <v>31542</v>
      </c>
      <c r="BG16" s="497" t="s">
        <v>35829</v>
      </c>
      <c r="BH16" s="497" t="s">
        <v>31544</v>
      </c>
      <c r="BI16" s="497">
        <v>3</v>
      </c>
      <c r="BJ16" s="497">
        <v>30</v>
      </c>
      <c r="BK16" s="497" t="s">
        <v>7</v>
      </c>
      <c r="BL16" s="497" t="s">
        <v>6</v>
      </c>
      <c r="BM16" s="494" t="s">
        <v>4</v>
      </c>
      <c r="BN16" s="497" t="s">
        <v>31429</v>
      </c>
      <c r="BO16" s="497">
        <v>7</v>
      </c>
      <c r="BP16" s="497">
        <v>30</v>
      </c>
      <c r="BQ16" s="497" t="s">
        <v>31426</v>
      </c>
      <c r="BR16" s="499" t="s">
        <v>33361</v>
      </c>
      <c r="BS16" s="497" t="s">
        <v>4</v>
      </c>
      <c r="BT16" s="497">
        <v>3</v>
      </c>
      <c r="BU16" s="494" cm="1">
        <f t="array" ref="BU16">_xlfn.IFS(BQ16="Foreword vehicle",BT16*0,BQ16="Human wastes",BT16*0,BS16="Jerrycans",BT16*$BT$4,BQ16="Number of Basins",BT16*$BT$5,BQ16="Number of Buckets",BT16*$BS$6,BQ16="Number of Kgs",BT16*$BT$7,BQ16="Number of spades",BT16*$BT$8,BQ16="Number of wheelbarrows",BT16*$BT$9,BS16="Septic Tank",BT16*0)</f>
        <v>70.5</v>
      </c>
      <c r="BV16" s="494">
        <f>Table15[[#This Row],[Calculation: Conversion of metric to Kg manure feeding (Columns: BP, BQ, BR)]]*Table15[[#This Row],[Number of times used to feed biodigester]]</f>
        <v>493.5</v>
      </c>
      <c r="BW16" s="495" cm="1">
        <f t="array" ref="BW16">_xlfn.IFS(BN16="Number of times per day (1 to 3)",BV16/$BW$3,BN16="Number of times per week (1 to 6)",BV16/$BW$4,BN16="Number of times per Month (1 to 3)",BV16/$BW$5)</f>
        <v>70.5</v>
      </c>
      <c r="BX16" s="497" t="s">
        <v>22</v>
      </c>
      <c r="BY16" s="497" t="s">
        <v>4</v>
      </c>
      <c r="BZ16" s="497" t="s">
        <v>2</v>
      </c>
      <c r="CA16" s="497" t="s">
        <v>4</v>
      </c>
      <c r="CB16" s="497" t="s">
        <v>4</v>
      </c>
      <c r="CC16" s="497" t="s">
        <v>4</v>
      </c>
      <c r="CD16" s="497" t="s">
        <v>7</v>
      </c>
      <c r="CE16" s="497" t="s">
        <v>35780</v>
      </c>
      <c r="CF16" s="497" t="s">
        <v>4</v>
      </c>
      <c r="CG16" s="497" t="s">
        <v>31604</v>
      </c>
      <c r="CH16" s="497">
        <v>6</v>
      </c>
      <c r="CI16" s="497">
        <v>0</v>
      </c>
      <c r="CJ16" s="497">
        <v>0</v>
      </c>
      <c r="CK16" s="497">
        <v>0</v>
      </c>
      <c r="CL16" s="497">
        <v>0</v>
      </c>
      <c r="CM16" s="497">
        <v>0</v>
      </c>
      <c r="CN16" s="497">
        <v>0</v>
      </c>
      <c r="CO16" s="497">
        <v>0</v>
      </c>
      <c r="CP16" s="497">
        <v>0</v>
      </c>
      <c r="CQ16" s="497">
        <v>0</v>
      </c>
      <c r="CR16" s="497">
        <f>IF(Table15[[#This Row],[Is your biodigester working?]]="yes",CO16/'SDG outcome'!$C$9*CP16*CQ16,"")</f>
        <v>0</v>
      </c>
      <c r="CS16" s="497">
        <v>100</v>
      </c>
      <c r="CT16" s="500">
        <v>0</v>
      </c>
      <c r="CU16" s="496" t="s">
        <v>4</v>
      </c>
      <c r="CV16" s="497" t="s">
        <v>4</v>
      </c>
      <c r="CW16" s="500" t="s">
        <v>4</v>
      </c>
      <c r="CX16" s="496" t="s">
        <v>4</v>
      </c>
      <c r="CY16" s="496" t="s">
        <v>4</v>
      </c>
      <c r="CZ16" s="496" t="s">
        <v>4</v>
      </c>
      <c r="DA16" s="496" t="s">
        <v>4</v>
      </c>
      <c r="DB16" s="496" t="s">
        <v>4</v>
      </c>
      <c r="DC16" s="496" t="s">
        <v>4</v>
      </c>
      <c r="DD16" s="496" t="s">
        <v>4</v>
      </c>
      <c r="DE16" s="496" t="s">
        <v>4</v>
      </c>
      <c r="DF16" s="496" t="s">
        <v>4</v>
      </c>
      <c r="DG16" s="497" t="s">
        <v>4</v>
      </c>
      <c r="DH16" s="497" t="s">
        <v>4</v>
      </c>
      <c r="DI16" s="497" t="s">
        <v>4</v>
      </c>
      <c r="DJ16" s="497" t="s">
        <v>4</v>
      </c>
      <c r="DK16" s="497" t="s">
        <v>4</v>
      </c>
      <c r="DL16" s="497" t="s">
        <v>4</v>
      </c>
      <c r="DM16" s="497" t="s">
        <v>4</v>
      </c>
      <c r="DN16" s="497">
        <v>4</v>
      </c>
      <c r="DO16" s="497" t="s">
        <v>7</v>
      </c>
      <c r="DP16" s="497" t="s">
        <v>29292</v>
      </c>
      <c r="DQ16" s="497" t="s">
        <v>4</v>
      </c>
      <c r="DR16" s="497" t="s">
        <v>29294</v>
      </c>
      <c r="DS16" s="494" t="s">
        <v>4</v>
      </c>
      <c r="DT16" s="497" t="s">
        <v>29294</v>
      </c>
      <c r="DU16" s="494" t="s">
        <v>4</v>
      </c>
      <c r="DV16" s="500" t="s">
        <v>29442</v>
      </c>
      <c r="DW16" s="496">
        <v>50</v>
      </c>
      <c r="DX16" s="497" t="s">
        <v>29296</v>
      </c>
      <c r="DY16" s="497">
        <v>100</v>
      </c>
      <c r="DZ16" s="497" t="s">
        <v>4</v>
      </c>
      <c r="EA16" s="497" t="s">
        <v>4</v>
      </c>
      <c r="EB16" s="497" t="s">
        <v>4</v>
      </c>
      <c r="EC16" s="497" t="s">
        <v>4</v>
      </c>
      <c r="ED16" s="496">
        <v>50</v>
      </c>
      <c r="EE16" s="496" t="s">
        <v>26</v>
      </c>
      <c r="EF16" s="496" t="s">
        <v>4</v>
      </c>
      <c r="EG16" s="496" t="s">
        <v>4</v>
      </c>
      <c r="EH16" s="496" t="s">
        <v>4</v>
      </c>
      <c r="EI16" s="496">
        <v>100</v>
      </c>
      <c r="EJ16" s="496" t="s">
        <v>4</v>
      </c>
      <c r="EK16" s="496" t="s">
        <v>4</v>
      </c>
      <c r="EL16" s="496" t="s">
        <v>4</v>
      </c>
      <c r="EM16" s="496">
        <v>20</v>
      </c>
      <c r="EN16" s="496" t="s">
        <v>4</v>
      </c>
      <c r="EO16" s="496" t="s">
        <v>4</v>
      </c>
      <c r="EP16" s="496" t="s">
        <v>4</v>
      </c>
      <c r="EQ16" s="496" t="s">
        <v>29296</v>
      </c>
      <c r="ER16" s="496">
        <v>100</v>
      </c>
      <c r="ES16" s="496" t="s">
        <v>4</v>
      </c>
      <c r="ET16" s="496" t="s">
        <v>4</v>
      </c>
      <c r="EU16" s="496" t="s">
        <v>4</v>
      </c>
      <c r="EV16" s="496" t="s">
        <v>4</v>
      </c>
      <c r="EW16" s="497">
        <v>13</v>
      </c>
      <c r="EX16" s="497" t="s">
        <v>7</v>
      </c>
      <c r="EY16" s="497">
        <v>100</v>
      </c>
      <c r="EZ16" s="239">
        <f t="shared" ref="EZ16:EZ47" si="1">IF(OR(EW16="NA","DNA"),"",EW16*EY16)/100</f>
        <v>13</v>
      </c>
      <c r="FA16" s="497" t="s">
        <v>35830</v>
      </c>
      <c r="FB16" s="497" t="s">
        <v>29298</v>
      </c>
      <c r="FC16" s="497">
        <v>34</v>
      </c>
      <c r="FD16" s="497" t="s">
        <v>7</v>
      </c>
      <c r="FE16" s="497" t="s">
        <v>29393</v>
      </c>
      <c r="FF16" s="497" t="s">
        <v>4</v>
      </c>
      <c r="FG16" s="497" t="s">
        <v>7</v>
      </c>
      <c r="FH16" s="497" t="s">
        <v>29393</v>
      </c>
      <c r="FI16" s="497" t="s">
        <v>4</v>
      </c>
      <c r="FJ16" s="497" t="s">
        <v>29477</v>
      </c>
      <c r="FK16" s="497" t="s">
        <v>4</v>
      </c>
      <c r="FL16" s="497" t="s">
        <v>4</v>
      </c>
      <c r="FM16" s="497" t="s">
        <v>4</v>
      </c>
      <c r="FN16" s="494" t="s">
        <v>4</v>
      </c>
      <c r="FO16" s="497" t="s">
        <v>4</v>
      </c>
      <c r="FP16" s="497" t="s">
        <v>2</v>
      </c>
      <c r="FQ16" s="497" t="s">
        <v>4</v>
      </c>
      <c r="FR16" s="497" t="s">
        <v>4</v>
      </c>
      <c r="FS16" s="497" t="s">
        <v>2</v>
      </c>
      <c r="FT16" s="497" t="s">
        <v>2</v>
      </c>
      <c r="FU16" s="497" t="s">
        <v>4</v>
      </c>
      <c r="FV16" s="497" t="s">
        <v>4</v>
      </c>
      <c r="FW16" s="497" t="s">
        <v>4</v>
      </c>
      <c r="FX16" s="497">
        <v>0</v>
      </c>
      <c r="FY16" s="497" t="s">
        <v>4</v>
      </c>
      <c r="FZ16" s="497" t="s">
        <v>4</v>
      </c>
      <c r="GA16" s="497" t="s">
        <v>4</v>
      </c>
      <c r="GB16" s="497" t="s">
        <v>4</v>
      </c>
      <c r="GC16" s="497" t="s">
        <v>4</v>
      </c>
      <c r="GD16" s="497" t="s">
        <v>4</v>
      </c>
      <c r="GE16" s="497" t="s">
        <v>4</v>
      </c>
      <c r="GF16" s="497" t="s">
        <v>4</v>
      </c>
      <c r="GG16" s="497" t="s">
        <v>4</v>
      </c>
      <c r="GH16" s="497" t="s">
        <v>4</v>
      </c>
      <c r="GI16" s="497" t="s">
        <v>29304</v>
      </c>
      <c r="GJ16" s="497" t="s">
        <v>29882</v>
      </c>
      <c r="GK16" s="497" t="s">
        <v>29306</v>
      </c>
      <c r="GL16" s="497" t="s">
        <v>30337</v>
      </c>
      <c r="GM16" s="497" t="s">
        <v>35831</v>
      </c>
      <c r="GN16" s="497" t="s">
        <v>4</v>
      </c>
      <c r="GO16" s="497" t="s">
        <v>4</v>
      </c>
      <c r="GP16" s="497" t="s">
        <v>4</v>
      </c>
      <c r="GQ16" s="497" t="s">
        <v>4</v>
      </c>
      <c r="GR16" s="497" t="s">
        <v>4</v>
      </c>
      <c r="GS16" s="497" t="s">
        <v>4</v>
      </c>
      <c r="GT16" s="497" t="s">
        <v>30516</v>
      </c>
      <c r="GU16" s="497" t="s">
        <v>4</v>
      </c>
      <c r="GV16" s="494">
        <v>5</v>
      </c>
      <c r="GW16" s="497" t="s">
        <v>7</v>
      </c>
      <c r="GX16" s="497" t="s">
        <v>29837</v>
      </c>
      <c r="GY16" s="497" t="s">
        <v>4</v>
      </c>
      <c r="GZ16" s="497" t="s">
        <v>4</v>
      </c>
      <c r="HA16" s="497" t="s">
        <v>4</v>
      </c>
      <c r="HB16" s="497" t="s">
        <v>4</v>
      </c>
      <c r="HC16" s="497" t="s">
        <v>4</v>
      </c>
      <c r="HD16" s="497" t="s">
        <v>4</v>
      </c>
      <c r="HE16" s="497" t="s">
        <v>4</v>
      </c>
      <c r="HF16" s="497" t="s">
        <v>4</v>
      </c>
      <c r="HG16" s="497" t="s">
        <v>2</v>
      </c>
      <c r="HH16" s="497" t="s">
        <v>4</v>
      </c>
      <c r="HI16" s="497" t="s">
        <v>4</v>
      </c>
      <c r="HJ16" s="497" t="s">
        <v>4</v>
      </c>
      <c r="HK16" s="494" t="s">
        <v>4</v>
      </c>
      <c r="HL16" s="497" t="s">
        <v>33474</v>
      </c>
      <c r="HM16" s="497" t="s">
        <v>2</v>
      </c>
      <c r="HN16" s="497" t="s">
        <v>4</v>
      </c>
      <c r="HO16" s="497" t="s">
        <v>16</v>
      </c>
      <c r="HP16" s="497" t="s">
        <v>35832</v>
      </c>
      <c r="HQ16" s="497" t="s">
        <v>35833</v>
      </c>
      <c r="HR16" s="497" t="s">
        <v>35834</v>
      </c>
      <c r="HS16" s="497" t="s">
        <v>35835</v>
      </c>
      <c r="HT16" s="500" t="s">
        <v>35827</v>
      </c>
    </row>
    <row r="17" spans="1:228" s="570" customFormat="1" ht="30.2" customHeight="1" x14ac:dyDescent="0.25">
      <c r="A17" s="759"/>
      <c r="B17" s="496">
        <v>130</v>
      </c>
      <c r="C17" s="496" t="s">
        <v>3413</v>
      </c>
      <c r="D17" s="497" t="s">
        <v>34817</v>
      </c>
      <c r="E17" s="497" t="s">
        <v>30392</v>
      </c>
      <c r="F17" s="497" t="s">
        <v>7</v>
      </c>
      <c r="G17" s="497" t="s">
        <v>34818</v>
      </c>
      <c r="H17" s="497">
        <v>1097</v>
      </c>
      <c r="I17" s="497">
        <v>2.9</v>
      </c>
      <c r="J17" s="497" t="s">
        <v>29319</v>
      </c>
      <c r="K17" s="497" t="s">
        <v>4</v>
      </c>
      <c r="L17" s="497" t="s">
        <v>34819</v>
      </c>
      <c r="M17" s="497">
        <v>772492322</v>
      </c>
      <c r="N17" s="497" t="s">
        <v>5</v>
      </c>
      <c r="O17" s="497" t="s">
        <v>31598</v>
      </c>
      <c r="P17" s="497" t="s">
        <v>4</v>
      </c>
      <c r="Q17" s="497">
        <v>6</v>
      </c>
      <c r="R17" s="497" t="s">
        <v>7</v>
      </c>
      <c r="S17" s="497" t="s">
        <v>31535</v>
      </c>
      <c r="T17" s="497" t="s">
        <v>4</v>
      </c>
      <c r="U17" s="497" t="s">
        <v>7</v>
      </c>
      <c r="V17" s="497" t="s">
        <v>7</v>
      </c>
      <c r="W17" s="497" t="s">
        <v>4</v>
      </c>
      <c r="X17" s="497" t="s">
        <v>7</v>
      </c>
      <c r="Y17" s="497" t="s">
        <v>4</v>
      </c>
      <c r="Z17" s="497" t="s">
        <v>4</v>
      </c>
      <c r="AA17" s="241" t="str">
        <f>IF(OR(U17="yes",Z17&gt;'SDG outcome'!$C$39),"yes","no")</f>
        <v>yes</v>
      </c>
      <c r="AB17" s="521" t="str">
        <f t="shared" si="0"/>
        <v>NA</v>
      </c>
      <c r="AC17" s="527" t="str">
        <f>IF(AND('SMS p2'!AA142="no",AND(Z17&gt;='SDG outcome'!$B$28,Z17&lt;'SDG outcome'!$C$39)),Z17-'SDG outcome'!$B$28,"")</f>
        <v/>
      </c>
      <c r="AD17" s="497" t="s">
        <v>4</v>
      </c>
      <c r="AE17" s="497" t="s">
        <v>4</v>
      </c>
      <c r="AF17" s="497" t="s">
        <v>4</v>
      </c>
      <c r="AG17" s="497" t="s">
        <v>4</v>
      </c>
      <c r="AH17" s="497" t="s">
        <v>4</v>
      </c>
      <c r="AI17" s="497" t="s">
        <v>4</v>
      </c>
      <c r="AJ17" s="497" t="s">
        <v>4</v>
      </c>
      <c r="AK17" s="497" t="s">
        <v>29290</v>
      </c>
      <c r="AL17" s="497" t="s">
        <v>31294</v>
      </c>
      <c r="AM17" s="497" t="s">
        <v>4</v>
      </c>
      <c r="AN17" s="497" t="s">
        <v>4</v>
      </c>
      <c r="AO17" s="497" t="s">
        <v>31605</v>
      </c>
      <c r="AP17" s="497" t="s">
        <v>4</v>
      </c>
      <c r="AQ17" s="497" t="s">
        <v>31537</v>
      </c>
      <c r="AR17" s="497" t="s">
        <v>4</v>
      </c>
      <c r="AS17" s="497" t="s">
        <v>31538</v>
      </c>
      <c r="AT17" s="497" t="s">
        <v>4</v>
      </c>
      <c r="AU17" s="497" t="s">
        <v>7</v>
      </c>
      <c r="AV17" s="497" t="s">
        <v>4</v>
      </c>
      <c r="AW17" s="497" t="s">
        <v>4</v>
      </c>
      <c r="AX17" s="497" t="s">
        <v>2</v>
      </c>
      <c r="AY17" s="497" t="s">
        <v>4</v>
      </c>
      <c r="AZ17" s="497" t="s">
        <v>4</v>
      </c>
      <c r="BA17" s="497" t="s">
        <v>31563</v>
      </c>
      <c r="BB17" s="497" t="s">
        <v>22</v>
      </c>
      <c r="BC17" s="497" t="s">
        <v>4</v>
      </c>
      <c r="BD17" s="497" t="s">
        <v>31564</v>
      </c>
      <c r="BE17" s="497" t="s">
        <v>4</v>
      </c>
      <c r="BF17" s="497" t="s">
        <v>31542</v>
      </c>
      <c r="BG17" s="497" t="s">
        <v>34820</v>
      </c>
      <c r="BH17" s="497" t="s">
        <v>31544</v>
      </c>
      <c r="BI17" s="497">
        <v>5</v>
      </c>
      <c r="BJ17" s="497">
        <v>180</v>
      </c>
      <c r="BK17" s="497" t="s">
        <v>7</v>
      </c>
      <c r="BL17" s="497" t="s">
        <v>6</v>
      </c>
      <c r="BM17" s="497" t="s">
        <v>4</v>
      </c>
      <c r="BN17" s="497" t="s">
        <v>31429</v>
      </c>
      <c r="BO17" s="497">
        <v>2</v>
      </c>
      <c r="BP17" s="497">
        <v>60</v>
      </c>
      <c r="BQ17" s="497" t="s">
        <v>31434</v>
      </c>
      <c r="BR17" s="499" t="s">
        <v>33361</v>
      </c>
      <c r="BS17" s="497" t="s">
        <v>4</v>
      </c>
      <c r="BT17" s="497">
        <v>2</v>
      </c>
      <c r="BU17" s="494" cm="1">
        <f t="array" ref="BU17">_xlfn.IFS(BQ17="Foreword vehicle",BT17*0,BQ17="Human wastes",BT17*0,BS17="Jerrycans",BT17*$BT$4,BQ17="Number of Basins",BT17*$BS$5,BQ17="Number of Buckets",BT17*$BT$6,BQ17="Number of Kgs",BT17*$BT$7,BQ17="Number of spades",BT17*$BT$8,BQ17="Number of wheelbarrows",BT17*$BT$9,BS17="Septic Tank",BT17*0)</f>
        <v>42</v>
      </c>
      <c r="BV17" s="494">
        <f>Table15[[#This Row],[Calculation: Conversion of metric to Kg manure feeding (Columns: BP, BQ, BR)]]*Table15[[#This Row],[Number of times used to feed biodigester]]</f>
        <v>84</v>
      </c>
      <c r="BW17" s="495" cm="1">
        <f t="array" ref="BW17">_xlfn.IFS(BN17="Number of times per day (1 to 3)",BV17/$BW$3,BN17="Number of times per week (1 to 6)",BV17/$BW$4,BN17="Number of times per Month (1 to 3)",BV17/$BW$5)</f>
        <v>12</v>
      </c>
      <c r="BX17" s="497" t="s">
        <v>22</v>
      </c>
      <c r="BY17" s="497" t="s">
        <v>4</v>
      </c>
      <c r="BZ17" s="497" t="s">
        <v>2</v>
      </c>
      <c r="CA17" s="497" t="s">
        <v>4</v>
      </c>
      <c r="CB17" s="497" t="s">
        <v>4</v>
      </c>
      <c r="CC17" s="497" t="s">
        <v>4</v>
      </c>
      <c r="CD17" s="497" t="s">
        <v>7</v>
      </c>
      <c r="CE17" s="497" t="s">
        <v>34821</v>
      </c>
      <c r="CF17" s="497" t="s">
        <v>4</v>
      </c>
      <c r="CG17" s="497" t="s">
        <v>31604</v>
      </c>
      <c r="CH17" s="497">
        <v>4</v>
      </c>
      <c r="CI17" s="497">
        <v>0</v>
      </c>
      <c r="CJ17" s="497">
        <v>0</v>
      </c>
      <c r="CK17" s="497">
        <v>0</v>
      </c>
      <c r="CL17" s="497">
        <v>0</v>
      </c>
      <c r="CM17" s="497">
        <v>0</v>
      </c>
      <c r="CN17" s="497">
        <v>0</v>
      </c>
      <c r="CO17" s="497">
        <v>0</v>
      </c>
      <c r="CP17" s="497">
        <v>0</v>
      </c>
      <c r="CQ17" s="497">
        <v>0</v>
      </c>
      <c r="CR17" s="497">
        <f>IF(Table15[[#This Row],[Is your biodigester working?]]="yes",CO17/'SDG outcome'!$C$9*CP17*CQ17,"")</f>
        <v>0</v>
      </c>
      <c r="CS17" s="497">
        <v>100</v>
      </c>
      <c r="CT17" s="500">
        <v>0</v>
      </c>
      <c r="CU17" s="496" t="s">
        <v>4</v>
      </c>
      <c r="CV17" s="497" t="s">
        <v>4</v>
      </c>
      <c r="CW17" s="500" t="s">
        <v>4</v>
      </c>
      <c r="CX17" s="496" t="s">
        <v>4</v>
      </c>
      <c r="CY17" s="496" t="s">
        <v>4</v>
      </c>
      <c r="CZ17" s="496" t="s">
        <v>4</v>
      </c>
      <c r="DA17" s="496" t="s">
        <v>4</v>
      </c>
      <c r="DB17" s="496" t="s">
        <v>4</v>
      </c>
      <c r="DC17" s="496" t="s">
        <v>4</v>
      </c>
      <c r="DD17" s="496" t="s">
        <v>4</v>
      </c>
      <c r="DE17" s="496" t="s">
        <v>4</v>
      </c>
      <c r="DF17" s="496" t="s">
        <v>4</v>
      </c>
      <c r="DG17" s="497" t="s">
        <v>4</v>
      </c>
      <c r="DH17" s="497" t="s">
        <v>4</v>
      </c>
      <c r="DI17" s="497" t="s">
        <v>4</v>
      </c>
      <c r="DJ17" s="497" t="s">
        <v>4</v>
      </c>
      <c r="DK17" s="497" t="s">
        <v>4</v>
      </c>
      <c r="DL17" s="497" t="s">
        <v>4</v>
      </c>
      <c r="DM17" s="497" t="s">
        <v>4</v>
      </c>
      <c r="DN17" s="497">
        <v>4</v>
      </c>
      <c r="DO17" s="497" t="s">
        <v>7</v>
      </c>
      <c r="DP17" s="497" t="s">
        <v>29375</v>
      </c>
      <c r="DQ17" s="497" t="s">
        <v>4</v>
      </c>
      <c r="DR17" s="497" t="s">
        <v>4</v>
      </c>
      <c r="DS17" s="494" t="s">
        <v>4</v>
      </c>
      <c r="DT17" s="497" t="s">
        <v>29293</v>
      </c>
      <c r="DU17" s="494">
        <v>0</v>
      </c>
      <c r="DV17" s="500" t="s">
        <v>29295</v>
      </c>
      <c r="DW17" s="496">
        <v>100</v>
      </c>
      <c r="DX17" s="497" t="s">
        <v>29296</v>
      </c>
      <c r="DY17" s="497">
        <v>100</v>
      </c>
      <c r="DZ17" s="497" t="s">
        <v>4</v>
      </c>
      <c r="EA17" s="497" t="s">
        <v>4</v>
      </c>
      <c r="EB17" s="497" t="s">
        <v>4</v>
      </c>
      <c r="EC17" s="497" t="s">
        <v>4</v>
      </c>
      <c r="ED17" s="496" t="s">
        <v>4</v>
      </c>
      <c r="EE17" s="496" t="s">
        <v>4</v>
      </c>
      <c r="EF17" s="496" t="s">
        <v>4</v>
      </c>
      <c r="EG17" s="496" t="s">
        <v>4</v>
      </c>
      <c r="EH17" s="496" t="s">
        <v>4</v>
      </c>
      <c r="EI17" s="496" t="s">
        <v>4</v>
      </c>
      <c r="EJ17" s="496" t="s">
        <v>4</v>
      </c>
      <c r="EK17" s="496" t="s">
        <v>4</v>
      </c>
      <c r="EL17" s="496" t="s">
        <v>4</v>
      </c>
      <c r="EM17" s="496" t="s">
        <v>4</v>
      </c>
      <c r="EN17" s="496" t="s">
        <v>4</v>
      </c>
      <c r="EO17" s="496" t="s">
        <v>4</v>
      </c>
      <c r="EP17" s="496" t="s">
        <v>4</v>
      </c>
      <c r="EQ17" s="496" t="s">
        <v>4</v>
      </c>
      <c r="ER17" s="496" t="s">
        <v>4</v>
      </c>
      <c r="ES17" s="496" t="s">
        <v>4</v>
      </c>
      <c r="ET17" s="496" t="s">
        <v>4</v>
      </c>
      <c r="EU17" s="496" t="s">
        <v>4</v>
      </c>
      <c r="EV17" s="496" t="s">
        <v>4</v>
      </c>
      <c r="EW17" s="497">
        <v>12.140833670578711</v>
      </c>
      <c r="EX17" s="497" t="s">
        <v>7</v>
      </c>
      <c r="EY17" s="497">
        <v>100</v>
      </c>
      <c r="EZ17" s="239">
        <f t="shared" si="1"/>
        <v>12.140833670578711</v>
      </c>
      <c r="FA17" s="497" t="s">
        <v>34822</v>
      </c>
      <c r="FB17" s="497" t="s">
        <v>29298</v>
      </c>
      <c r="FC17" s="497" t="s">
        <v>29464</v>
      </c>
      <c r="FD17" s="497" t="s">
        <v>7</v>
      </c>
      <c r="FE17" s="497" t="s">
        <v>29492</v>
      </c>
      <c r="FF17" s="497" t="s">
        <v>4</v>
      </c>
      <c r="FG17" s="497" t="s">
        <v>7</v>
      </c>
      <c r="FH17" s="497" t="s">
        <v>29492</v>
      </c>
      <c r="FI17" s="497" t="s">
        <v>4</v>
      </c>
      <c r="FJ17" s="497" t="s">
        <v>29300</v>
      </c>
      <c r="FK17" s="497" t="s">
        <v>4</v>
      </c>
      <c r="FL17" s="497" t="s">
        <v>29292</v>
      </c>
      <c r="FM17" s="497" t="s">
        <v>29294</v>
      </c>
      <c r="FN17" s="494" t="s">
        <v>4</v>
      </c>
      <c r="FO17" s="497" t="s">
        <v>4</v>
      </c>
      <c r="FP17" s="497" t="s">
        <v>2</v>
      </c>
      <c r="FQ17" s="497" t="s">
        <v>4</v>
      </c>
      <c r="FR17" s="497" t="s">
        <v>4</v>
      </c>
      <c r="FS17" s="497" t="s">
        <v>2</v>
      </c>
      <c r="FT17" s="497" t="s">
        <v>7</v>
      </c>
      <c r="FU17" s="497" t="s">
        <v>29302</v>
      </c>
      <c r="FV17" s="497" t="s">
        <v>33473</v>
      </c>
      <c r="FW17" s="497" t="s">
        <v>4</v>
      </c>
      <c r="FX17" s="497">
        <v>0</v>
      </c>
      <c r="FY17" s="497" t="s">
        <v>4</v>
      </c>
      <c r="FZ17" s="497" t="s">
        <v>4</v>
      </c>
      <c r="GA17" s="497" t="s">
        <v>4</v>
      </c>
      <c r="GB17" s="497" t="s">
        <v>4</v>
      </c>
      <c r="GC17" s="497" t="s">
        <v>4</v>
      </c>
      <c r="GD17" s="497" t="s">
        <v>4</v>
      </c>
      <c r="GE17" s="497" t="s">
        <v>4</v>
      </c>
      <c r="GF17" s="497" t="s">
        <v>4</v>
      </c>
      <c r="GG17" s="497" t="s">
        <v>4</v>
      </c>
      <c r="GH17" s="497" t="s">
        <v>4</v>
      </c>
      <c r="GI17" s="497" t="s">
        <v>29433</v>
      </c>
      <c r="GJ17" s="497" t="s">
        <v>4</v>
      </c>
      <c r="GK17" s="497" t="s">
        <v>4</v>
      </c>
      <c r="GL17" s="497" t="s">
        <v>4</v>
      </c>
      <c r="GM17" s="497" t="s">
        <v>4</v>
      </c>
      <c r="GN17" s="497" t="s">
        <v>4</v>
      </c>
      <c r="GO17" s="497" t="s">
        <v>4</v>
      </c>
      <c r="GP17" s="497" t="s">
        <v>4</v>
      </c>
      <c r="GQ17" s="497" t="s">
        <v>4</v>
      </c>
      <c r="GR17" s="497" t="s">
        <v>13</v>
      </c>
      <c r="GS17" s="497" t="s">
        <v>34823</v>
      </c>
      <c r="GT17" s="497" t="s">
        <v>30053</v>
      </c>
      <c r="GU17" s="497" t="s">
        <v>4</v>
      </c>
      <c r="GV17" s="494">
        <v>5</v>
      </c>
      <c r="GW17" s="497" t="s">
        <v>29325</v>
      </c>
      <c r="GX17" s="497" t="s">
        <v>29309</v>
      </c>
      <c r="GY17" s="497" t="s">
        <v>4</v>
      </c>
      <c r="GZ17" s="497" t="s">
        <v>4</v>
      </c>
      <c r="HA17" s="497" t="s">
        <v>4</v>
      </c>
      <c r="HB17" s="497" t="s">
        <v>4</v>
      </c>
      <c r="HC17" s="497" t="s">
        <v>4</v>
      </c>
      <c r="HD17" s="497" t="s">
        <v>4</v>
      </c>
      <c r="HE17" s="497" t="s">
        <v>4</v>
      </c>
      <c r="HF17" s="497" t="s">
        <v>4</v>
      </c>
      <c r="HG17" s="497" t="s">
        <v>2</v>
      </c>
      <c r="HH17" s="497" t="s">
        <v>4</v>
      </c>
      <c r="HI17" s="497" t="s">
        <v>4</v>
      </c>
      <c r="HJ17" s="497" t="s">
        <v>4</v>
      </c>
      <c r="HK17" s="494" t="s">
        <v>4</v>
      </c>
      <c r="HL17" s="497" t="s">
        <v>34824</v>
      </c>
      <c r="HM17" s="497" t="s">
        <v>7</v>
      </c>
      <c r="HN17" s="497" t="s">
        <v>34825</v>
      </c>
      <c r="HO17" s="497" t="s">
        <v>34826</v>
      </c>
      <c r="HP17" s="497" t="s">
        <v>34827</v>
      </c>
      <c r="HQ17" s="497" t="s">
        <v>34828</v>
      </c>
      <c r="HR17" s="497" t="s">
        <v>34829</v>
      </c>
      <c r="HS17" s="497" t="s">
        <v>16</v>
      </c>
      <c r="HT17" s="500" t="s">
        <v>34817</v>
      </c>
    </row>
    <row r="18" spans="1:228" s="570" customFormat="1" ht="30.2" customHeight="1" x14ac:dyDescent="0.25">
      <c r="A18" s="759"/>
      <c r="B18" s="496">
        <v>103</v>
      </c>
      <c r="C18" s="496" t="s">
        <v>11225</v>
      </c>
      <c r="D18" s="497" t="s">
        <v>34509</v>
      </c>
      <c r="E18" s="497" t="s">
        <v>34457</v>
      </c>
      <c r="F18" s="497" t="s">
        <v>7</v>
      </c>
      <c r="G18" s="497" t="s">
        <v>34510</v>
      </c>
      <c r="H18" s="497">
        <v>1199.3</v>
      </c>
      <c r="I18" s="497">
        <v>3</v>
      </c>
      <c r="J18" s="497" t="s">
        <v>29349</v>
      </c>
      <c r="K18" s="497" t="s">
        <v>4</v>
      </c>
      <c r="L18" s="497" t="s">
        <v>34511</v>
      </c>
      <c r="M18" s="497">
        <v>702581550</v>
      </c>
      <c r="N18" s="497" t="s">
        <v>3</v>
      </c>
      <c r="O18" s="497" t="s">
        <v>31590</v>
      </c>
      <c r="P18" s="497" t="s">
        <v>4</v>
      </c>
      <c r="Q18" s="497">
        <v>20</v>
      </c>
      <c r="R18" s="497" t="s">
        <v>7</v>
      </c>
      <c r="S18" s="497" t="s">
        <v>31588</v>
      </c>
      <c r="T18" s="497" t="s">
        <v>4</v>
      </c>
      <c r="U18" s="497" t="s">
        <v>7</v>
      </c>
      <c r="V18" s="497" t="s">
        <v>7</v>
      </c>
      <c r="W18" s="497" t="s">
        <v>4</v>
      </c>
      <c r="X18" s="497" t="s">
        <v>7</v>
      </c>
      <c r="Y18" s="497" t="s">
        <v>4</v>
      </c>
      <c r="Z18" s="497" t="s">
        <v>4</v>
      </c>
      <c r="AA18" s="241" t="str">
        <f>IF(OR(U18="yes",Z18&gt;'SDG outcome'!$C$39),"yes","no")</f>
        <v>yes</v>
      </c>
      <c r="AB18" s="521" t="str">
        <f t="shared" si="0"/>
        <v>NA</v>
      </c>
      <c r="AC18" s="527" t="str">
        <f>IF(AND('SMS p2'!AA115="no",AND(Z18&gt;='SDG outcome'!$B$28,Z18&lt;'SDG outcome'!$C$39)),Z18-'SDG outcome'!$B$28,"")</f>
        <v/>
      </c>
      <c r="AD18" s="497" t="s">
        <v>4</v>
      </c>
      <c r="AE18" s="497" t="s">
        <v>4</v>
      </c>
      <c r="AF18" s="497" t="s">
        <v>4</v>
      </c>
      <c r="AG18" s="497" t="s">
        <v>4</v>
      </c>
      <c r="AH18" s="497" t="s">
        <v>4</v>
      </c>
      <c r="AI18" s="497" t="s">
        <v>4</v>
      </c>
      <c r="AJ18" s="497" t="s">
        <v>4</v>
      </c>
      <c r="AK18" s="497" t="s">
        <v>29290</v>
      </c>
      <c r="AL18" s="497" t="s">
        <v>31294</v>
      </c>
      <c r="AM18" s="497" t="s">
        <v>4</v>
      </c>
      <c r="AN18" s="497" t="s">
        <v>4</v>
      </c>
      <c r="AO18" s="497" t="s">
        <v>31536</v>
      </c>
      <c r="AP18" s="497" t="s">
        <v>4</v>
      </c>
      <c r="AQ18" s="497" t="s">
        <v>31537</v>
      </c>
      <c r="AR18" s="497" t="s">
        <v>4</v>
      </c>
      <c r="AS18" s="497" t="s">
        <v>31538</v>
      </c>
      <c r="AT18" s="497" t="s">
        <v>4</v>
      </c>
      <c r="AU18" s="497" t="s">
        <v>7</v>
      </c>
      <c r="AV18" s="497" t="s">
        <v>4</v>
      </c>
      <c r="AW18" s="497" t="s">
        <v>4</v>
      </c>
      <c r="AX18" s="497" t="s">
        <v>7</v>
      </c>
      <c r="AY18" s="497" t="s">
        <v>11</v>
      </c>
      <c r="AZ18" s="497" t="s">
        <v>4</v>
      </c>
      <c r="BA18" s="497" t="s">
        <v>31540</v>
      </c>
      <c r="BB18" s="497" t="s">
        <v>22</v>
      </c>
      <c r="BC18" s="497" t="s">
        <v>4</v>
      </c>
      <c r="BD18" s="501" t="s">
        <v>14</v>
      </c>
      <c r="BE18" s="497" t="s">
        <v>4</v>
      </c>
      <c r="BF18" s="497" t="s">
        <v>31542</v>
      </c>
      <c r="BG18" s="497" t="s">
        <v>34512</v>
      </c>
      <c r="BH18" s="497" t="s">
        <v>31566</v>
      </c>
      <c r="BI18" s="497">
        <v>1</v>
      </c>
      <c r="BJ18" s="497">
        <v>180</v>
      </c>
      <c r="BK18" s="497" t="s">
        <v>7</v>
      </c>
      <c r="BL18" s="497" t="s">
        <v>34513</v>
      </c>
      <c r="BM18" s="497" t="s">
        <v>4</v>
      </c>
      <c r="BN18" s="497" t="s">
        <v>31425</v>
      </c>
      <c r="BO18" s="497">
        <v>1</v>
      </c>
      <c r="BP18" s="497">
        <v>30</v>
      </c>
      <c r="BQ18" s="497" t="s">
        <v>31435</v>
      </c>
      <c r="BR18" s="499" t="s">
        <v>33361</v>
      </c>
      <c r="BS18" s="497" t="s">
        <v>4</v>
      </c>
      <c r="BT18" s="497">
        <v>2</v>
      </c>
      <c r="BU18" s="494" cm="1">
        <f t="array" ref="BU18">_xlfn.IFS(BQ18="Foreword vehicle",BT18*0,BQ18="Human wastes",BT18*0,BS18="Jerrycans",BT18*$BT$4,BQ18="Number of Basins",BT18*$BT$5,BQ18="Number of Buckets",BT18*$BT$6,BQ18="Number of Kgs",BT18*$BT$7,BQ18="Number of spades",BT18*$BT$8,BQ18="Number of wheelbarrows",BT18*$BS$9,BS18="Septic Tank",BT18*0)</f>
        <v>165</v>
      </c>
      <c r="BV18" s="494">
        <f>Table15[[#This Row],[Calculation: Conversion of metric to Kg manure feeding (Columns: BP, BQ, BR)]]*Table15[[#This Row],[Number of times used to feed biodigester]]</f>
        <v>165</v>
      </c>
      <c r="BW18" s="495" cm="1">
        <f t="array" ref="BW18">_xlfn.IFS(BN18="Number of times per day (1 to 3)",BV18/$BW$3,BN18="Number of times per week (1 to 6)",BV18/$BW$4,BN18="Number of times per Month (1 to 3)",BV18/$BW$5)</f>
        <v>165</v>
      </c>
      <c r="BX18" s="497" t="s">
        <v>22</v>
      </c>
      <c r="BY18" s="497" t="s">
        <v>4</v>
      </c>
      <c r="BZ18" s="497" t="s">
        <v>2</v>
      </c>
      <c r="CA18" s="497" t="s">
        <v>4</v>
      </c>
      <c r="CB18" s="497" t="s">
        <v>4</v>
      </c>
      <c r="CC18" s="497" t="s">
        <v>4</v>
      </c>
      <c r="CD18" s="497" t="s">
        <v>7</v>
      </c>
      <c r="CE18" s="497" t="s">
        <v>34514</v>
      </c>
      <c r="CF18" s="497" t="s">
        <v>4</v>
      </c>
      <c r="CG18" s="497" t="s">
        <v>31585</v>
      </c>
      <c r="CH18" s="497">
        <v>45</v>
      </c>
      <c r="CI18" s="497">
        <v>0</v>
      </c>
      <c r="CJ18" s="497">
        <v>0</v>
      </c>
      <c r="CK18" s="497">
        <v>0</v>
      </c>
      <c r="CL18" s="497">
        <v>20</v>
      </c>
      <c r="CM18" s="497">
        <v>320</v>
      </c>
      <c r="CN18" s="497">
        <v>0</v>
      </c>
      <c r="CO18" s="497">
        <v>0</v>
      </c>
      <c r="CP18" s="497">
        <v>0</v>
      </c>
      <c r="CQ18" s="497">
        <v>0</v>
      </c>
      <c r="CR18" s="497">
        <f>IF(Table15[[#This Row],[Is your biodigester working?]]="yes",CO18/'SDG outcome'!$C$9*CP18*CQ18,"")</f>
        <v>0</v>
      </c>
      <c r="CS18" s="497">
        <v>100</v>
      </c>
      <c r="CT18" s="500">
        <v>0</v>
      </c>
      <c r="CU18" s="496" t="s">
        <v>4</v>
      </c>
      <c r="CV18" s="497" t="s">
        <v>4</v>
      </c>
      <c r="CW18" s="500" t="s">
        <v>4</v>
      </c>
      <c r="CX18" s="496" t="s">
        <v>4</v>
      </c>
      <c r="CY18" s="496" t="s">
        <v>4</v>
      </c>
      <c r="CZ18" s="496" t="s">
        <v>4</v>
      </c>
      <c r="DA18" s="496" t="s">
        <v>4</v>
      </c>
      <c r="DB18" s="496" t="s">
        <v>4</v>
      </c>
      <c r="DC18" s="496" t="s">
        <v>4</v>
      </c>
      <c r="DD18" s="496" t="s">
        <v>4</v>
      </c>
      <c r="DE18" s="496">
        <v>0</v>
      </c>
      <c r="DF18" s="496">
        <v>100</v>
      </c>
      <c r="DG18" s="497" t="s">
        <v>34515</v>
      </c>
      <c r="DH18" s="497" t="s">
        <v>4</v>
      </c>
      <c r="DI18" s="497" t="s">
        <v>4</v>
      </c>
      <c r="DJ18" s="497" t="s">
        <v>4</v>
      </c>
      <c r="DK18" s="497">
        <v>0</v>
      </c>
      <c r="DL18" s="497">
        <v>100</v>
      </c>
      <c r="DM18" s="497" t="s">
        <v>34515</v>
      </c>
      <c r="DN18" s="497">
        <v>6</v>
      </c>
      <c r="DO18" s="497" t="s">
        <v>7</v>
      </c>
      <c r="DP18" s="497" t="s">
        <v>29292</v>
      </c>
      <c r="DQ18" s="497" t="s">
        <v>4</v>
      </c>
      <c r="DR18" s="497" t="s">
        <v>29293</v>
      </c>
      <c r="DS18" s="494">
        <v>20000</v>
      </c>
      <c r="DT18" s="497" t="s">
        <v>29293</v>
      </c>
      <c r="DU18" s="494">
        <v>100000</v>
      </c>
      <c r="DV18" s="500" t="s">
        <v>34516</v>
      </c>
      <c r="DW18" s="496">
        <v>30</v>
      </c>
      <c r="DX18" s="497" t="s">
        <v>34517</v>
      </c>
      <c r="DY18" s="497">
        <v>35</v>
      </c>
      <c r="DZ18" s="497">
        <v>35</v>
      </c>
      <c r="EA18" s="497" t="s">
        <v>4</v>
      </c>
      <c r="EB18" s="497" t="s">
        <v>4</v>
      </c>
      <c r="EC18" s="497">
        <v>30</v>
      </c>
      <c r="ED18" s="496">
        <v>40</v>
      </c>
      <c r="EE18" s="496" t="s">
        <v>34518</v>
      </c>
      <c r="EF18" s="496" t="s">
        <v>4</v>
      </c>
      <c r="EG18" s="496" t="s">
        <v>4</v>
      </c>
      <c r="EH18" s="496" t="s">
        <v>4</v>
      </c>
      <c r="EI18" s="496">
        <v>30</v>
      </c>
      <c r="EJ18" s="496" t="s">
        <v>4</v>
      </c>
      <c r="EK18" s="496">
        <v>70</v>
      </c>
      <c r="EL18" s="496" t="s">
        <v>4</v>
      </c>
      <c r="EM18" s="496">
        <v>60</v>
      </c>
      <c r="EN18" s="496" t="s">
        <v>4</v>
      </c>
      <c r="EO18" s="496">
        <v>30</v>
      </c>
      <c r="EP18" s="496" t="s">
        <v>34519</v>
      </c>
      <c r="EQ18" s="496" t="s">
        <v>29296</v>
      </c>
      <c r="ER18" s="496">
        <v>100</v>
      </c>
      <c r="ES18" s="496" t="s">
        <v>4</v>
      </c>
      <c r="ET18" s="496" t="s">
        <v>4</v>
      </c>
      <c r="EU18" s="496" t="s">
        <v>4</v>
      </c>
      <c r="EV18" s="496" t="s">
        <v>4</v>
      </c>
      <c r="EW18" s="497">
        <v>100</v>
      </c>
      <c r="EX18" s="497" t="s">
        <v>7</v>
      </c>
      <c r="EY18" s="497">
        <v>10</v>
      </c>
      <c r="EZ18" s="239">
        <f t="shared" si="1"/>
        <v>10</v>
      </c>
      <c r="FA18" s="497" t="s">
        <v>34520</v>
      </c>
      <c r="FB18" s="497" t="s">
        <v>29298</v>
      </c>
      <c r="FC18" s="497">
        <v>12</v>
      </c>
      <c r="FD18" s="497" t="s">
        <v>7</v>
      </c>
      <c r="FE18" s="497" t="s">
        <v>29393</v>
      </c>
      <c r="FF18" s="497" t="s">
        <v>4</v>
      </c>
      <c r="FG18" s="497" t="s">
        <v>7</v>
      </c>
      <c r="FH18" s="497" t="s">
        <v>29393</v>
      </c>
      <c r="FI18" s="497" t="s">
        <v>4</v>
      </c>
      <c r="FJ18" s="497" t="s">
        <v>34521</v>
      </c>
      <c r="FK18" s="497" t="s">
        <v>4</v>
      </c>
      <c r="FL18" s="497" t="s">
        <v>4</v>
      </c>
      <c r="FM18" s="497" t="s">
        <v>4</v>
      </c>
      <c r="FN18" s="494" t="s">
        <v>4</v>
      </c>
      <c r="FO18" s="497" t="s">
        <v>4</v>
      </c>
      <c r="FP18" s="497" t="s">
        <v>7</v>
      </c>
      <c r="FQ18" s="497" t="s">
        <v>29301</v>
      </c>
      <c r="FR18" s="497" t="s">
        <v>4</v>
      </c>
      <c r="FS18" s="497" t="s">
        <v>7</v>
      </c>
      <c r="FT18" s="497" t="s">
        <v>7</v>
      </c>
      <c r="FU18" s="497" t="s">
        <v>29302</v>
      </c>
      <c r="FV18" s="497" t="s">
        <v>33825</v>
      </c>
      <c r="FW18" s="497" t="s">
        <v>29304</v>
      </c>
      <c r="FX18" s="497">
        <v>2</v>
      </c>
      <c r="FY18" s="497" t="s">
        <v>34522</v>
      </c>
      <c r="FZ18" s="497" t="s">
        <v>29323</v>
      </c>
      <c r="GA18" s="497" t="s">
        <v>4</v>
      </c>
      <c r="GB18" s="497" t="s">
        <v>4</v>
      </c>
      <c r="GC18" s="291" t="s">
        <v>32006</v>
      </c>
      <c r="GD18" s="497" t="s">
        <v>4</v>
      </c>
      <c r="GE18" s="497" t="s">
        <v>4</v>
      </c>
      <c r="GF18" s="497" t="s">
        <v>4</v>
      </c>
      <c r="GG18" s="497" t="s">
        <v>4</v>
      </c>
      <c r="GH18" s="497" t="s">
        <v>4</v>
      </c>
      <c r="GI18" s="497" t="s">
        <v>4</v>
      </c>
      <c r="GJ18" s="497" t="s">
        <v>4</v>
      </c>
      <c r="GK18" s="497" t="s">
        <v>4</v>
      </c>
      <c r="GL18" s="497" t="s">
        <v>4</v>
      </c>
      <c r="GM18" s="497" t="s">
        <v>4</v>
      </c>
      <c r="GN18" s="497" t="s">
        <v>4</v>
      </c>
      <c r="GO18" s="497" t="s">
        <v>4</v>
      </c>
      <c r="GP18" s="497" t="s">
        <v>4</v>
      </c>
      <c r="GQ18" s="497" t="s">
        <v>4</v>
      </c>
      <c r="GR18" s="497" t="s">
        <v>4</v>
      </c>
      <c r="GS18" s="497" t="s">
        <v>4</v>
      </c>
      <c r="GT18" s="497" t="s">
        <v>29698</v>
      </c>
      <c r="GU18" s="497" t="s">
        <v>4</v>
      </c>
      <c r="GV18" s="494">
        <v>0</v>
      </c>
      <c r="GW18" s="497" t="s">
        <v>29325</v>
      </c>
      <c r="GX18" s="497" t="s">
        <v>29480</v>
      </c>
      <c r="GY18" s="497" t="s">
        <v>4</v>
      </c>
      <c r="GZ18" s="497" t="s">
        <v>4</v>
      </c>
      <c r="HA18" s="497" t="s">
        <v>4</v>
      </c>
      <c r="HB18" s="497" t="s">
        <v>4</v>
      </c>
      <c r="HC18" s="497" t="s">
        <v>4</v>
      </c>
      <c r="HD18" s="497" t="s">
        <v>4</v>
      </c>
      <c r="HE18" s="497" t="s">
        <v>4</v>
      </c>
      <c r="HF18" s="497" t="s">
        <v>4</v>
      </c>
      <c r="HG18" s="497" t="s">
        <v>2</v>
      </c>
      <c r="HH18" s="497" t="s">
        <v>4</v>
      </c>
      <c r="HI18" s="497" t="s">
        <v>4</v>
      </c>
      <c r="HJ18" s="497" t="s">
        <v>4</v>
      </c>
      <c r="HK18" s="494" t="s">
        <v>4</v>
      </c>
      <c r="HL18" s="497" t="s">
        <v>34523</v>
      </c>
      <c r="HM18" s="497" t="s">
        <v>2</v>
      </c>
      <c r="HN18" s="497" t="s">
        <v>4</v>
      </c>
      <c r="HO18" s="497" t="s">
        <v>34524</v>
      </c>
      <c r="HP18" s="497" t="s">
        <v>34525</v>
      </c>
      <c r="HQ18" s="497" t="s">
        <v>34526</v>
      </c>
      <c r="HR18" s="497" t="s">
        <v>34527</v>
      </c>
      <c r="HS18" s="497" t="s">
        <v>34528</v>
      </c>
      <c r="HT18" s="500" t="s">
        <v>34509</v>
      </c>
    </row>
    <row r="19" spans="1:228" s="570" customFormat="1" ht="30.2" customHeight="1" x14ac:dyDescent="0.25">
      <c r="A19" s="759"/>
      <c r="B19" s="496">
        <v>207</v>
      </c>
      <c r="C19" s="496" t="s">
        <v>32103</v>
      </c>
      <c r="D19" s="497" t="s">
        <v>35681</v>
      </c>
      <c r="E19" s="497" t="s">
        <v>30786</v>
      </c>
      <c r="F19" s="497" t="s">
        <v>7</v>
      </c>
      <c r="G19" s="497" t="s">
        <v>35682</v>
      </c>
      <c r="H19" s="497">
        <v>1190.2</v>
      </c>
      <c r="I19" s="497">
        <v>5</v>
      </c>
      <c r="J19" s="497" t="s">
        <v>29319</v>
      </c>
      <c r="K19" s="497" t="s">
        <v>4</v>
      </c>
      <c r="L19" s="497" t="s">
        <v>35683</v>
      </c>
      <c r="M19" s="497">
        <v>752176352</v>
      </c>
      <c r="N19" s="497" t="s">
        <v>5</v>
      </c>
      <c r="O19" s="497" t="s">
        <v>31598</v>
      </c>
      <c r="P19" s="497" t="s">
        <v>4</v>
      </c>
      <c r="Q19" s="497">
        <v>10</v>
      </c>
      <c r="R19" s="497" t="s">
        <v>7</v>
      </c>
      <c r="S19" s="497" t="s">
        <v>31535</v>
      </c>
      <c r="T19" s="497" t="s">
        <v>4</v>
      </c>
      <c r="U19" s="497" t="s">
        <v>7</v>
      </c>
      <c r="V19" s="497" t="s">
        <v>7</v>
      </c>
      <c r="W19" s="497" t="s">
        <v>4</v>
      </c>
      <c r="X19" s="497" t="s">
        <v>7</v>
      </c>
      <c r="Y19" s="497" t="s">
        <v>4</v>
      </c>
      <c r="Z19" s="497" t="s">
        <v>4</v>
      </c>
      <c r="AA19" s="241" t="str">
        <f>IF(OR(U19="yes",Z19&gt;'SDG outcome'!$C$39),"yes","no")</f>
        <v>yes</v>
      </c>
      <c r="AB19" s="521" t="str">
        <f t="shared" si="0"/>
        <v>NA</v>
      </c>
      <c r="AC19" s="527" t="str">
        <f>IF(AND('SMS p2'!AA219="no",AND(Z19&gt;='SDG outcome'!$B$28,Z19&lt;'SDG outcome'!$C$39)),Z19-'SDG outcome'!$B$28,"")</f>
        <v/>
      </c>
      <c r="AD19" s="497" t="s">
        <v>4</v>
      </c>
      <c r="AE19" s="497" t="s">
        <v>4</v>
      </c>
      <c r="AF19" s="497" t="s">
        <v>4</v>
      </c>
      <c r="AG19" s="497" t="s">
        <v>4</v>
      </c>
      <c r="AH19" s="497" t="s">
        <v>4</v>
      </c>
      <c r="AI19" s="497" t="s">
        <v>4</v>
      </c>
      <c r="AJ19" s="497" t="s">
        <v>4</v>
      </c>
      <c r="AK19" s="497" t="s">
        <v>29489</v>
      </c>
      <c r="AL19" s="497" t="s">
        <v>29694</v>
      </c>
      <c r="AM19" s="497" t="s">
        <v>35684</v>
      </c>
      <c r="AN19" s="497" t="s">
        <v>4</v>
      </c>
      <c r="AO19" s="497" t="s">
        <v>31536</v>
      </c>
      <c r="AP19" s="497" t="s">
        <v>4</v>
      </c>
      <c r="AQ19" s="497" t="s">
        <v>31600</v>
      </c>
      <c r="AR19" s="497" t="s">
        <v>4</v>
      </c>
      <c r="AS19" s="497" t="s">
        <v>31538</v>
      </c>
      <c r="AT19" s="497" t="s">
        <v>4</v>
      </c>
      <c r="AU19" s="497" t="s">
        <v>7</v>
      </c>
      <c r="AV19" s="497" t="s">
        <v>4</v>
      </c>
      <c r="AW19" s="497" t="s">
        <v>4</v>
      </c>
      <c r="AX19" s="497" t="s">
        <v>2</v>
      </c>
      <c r="AY19" s="497" t="s">
        <v>4</v>
      </c>
      <c r="AZ19" s="497" t="s">
        <v>4</v>
      </c>
      <c r="BA19" s="497" t="s">
        <v>31557</v>
      </c>
      <c r="BB19" s="497" t="s">
        <v>4</v>
      </c>
      <c r="BC19" s="497" t="s">
        <v>4</v>
      </c>
      <c r="BD19" s="497" t="s">
        <v>4</v>
      </c>
      <c r="BE19" s="497" t="s">
        <v>4</v>
      </c>
      <c r="BF19" s="497" t="s">
        <v>4</v>
      </c>
      <c r="BG19" s="497" t="s">
        <v>4</v>
      </c>
      <c r="BH19" s="497" t="s">
        <v>4</v>
      </c>
      <c r="BI19" s="497" t="s">
        <v>4</v>
      </c>
      <c r="BJ19" s="497" t="s">
        <v>4</v>
      </c>
      <c r="BK19" s="497" t="s">
        <v>7</v>
      </c>
      <c r="BL19" s="497" t="s">
        <v>6</v>
      </c>
      <c r="BM19" s="497" t="s">
        <v>4</v>
      </c>
      <c r="BN19" s="497" t="s">
        <v>31429</v>
      </c>
      <c r="BO19" s="497">
        <v>3</v>
      </c>
      <c r="BP19" s="497">
        <v>60</v>
      </c>
      <c r="BQ19" s="497" t="s">
        <v>31435</v>
      </c>
      <c r="BR19" s="499" t="s">
        <v>33361</v>
      </c>
      <c r="BS19" s="497" t="s">
        <v>4</v>
      </c>
      <c r="BT19" s="497">
        <v>15</v>
      </c>
      <c r="BU19" s="494" cm="1">
        <f t="array" ref="BU19">_xlfn.IFS(BQ19="Foreword vehicle",BT19*0,BQ19="Human wastes",BT19*0,BS19="Jerrycans",BT19*$BT$4,BQ19="Number of Basins",BT19*$BT$5,BQ19="Number of Buckets",BT19*$BT$6,BQ19="Number of Kgs",BT19*$BT$7,BQ19="Number of spades",BT19*$BT$8,BQ19="Number of wheelbarrows",BT19*$BS$9,BS19="Septic Tank",BT19*0)</f>
        <v>1237.5</v>
      </c>
      <c r="BV19" s="494">
        <f>Table15[[#This Row],[Calculation: Conversion of metric to Kg manure feeding (Columns: BP, BQ, BR)]]*Table15[[#This Row],[Number of times used to feed biodigester]]</f>
        <v>3712.5</v>
      </c>
      <c r="BW19" s="495" cm="1">
        <f t="array" ref="BW19">_xlfn.IFS(BN19="Number of times per day (1 to 3)",BV19/$BW$3,BN19="Number of times per week (1 to 6)",BV19/$BW$4,BN19="Number of times per Month (1 to 3)",BV19/$BW$5)</f>
        <v>530.35714285714289</v>
      </c>
      <c r="BX19" s="497" t="s">
        <v>22</v>
      </c>
      <c r="BY19" s="497" t="s">
        <v>4</v>
      </c>
      <c r="BZ19" s="497" t="s">
        <v>2</v>
      </c>
      <c r="CA19" s="497" t="s">
        <v>4</v>
      </c>
      <c r="CB19" s="497" t="s">
        <v>4</v>
      </c>
      <c r="CC19" s="497" t="s">
        <v>4</v>
      </c>
      <c r="CD19" s="497" t="s">
        <v>7</v>
      </c>
      <c r="CE19" s="497" t="s">
        <v>31975</v>
      </c>
      <c r="CF19" s="497" t="s">
        <v>4</v>
      </c>
      <c r="CG19" s="497" t="s">
        <v>31698</v>
      </c>
      <c r="CH19" s="497">
        <v>0</v>
      </c>
      <c r="CI19" s="497">
        <v>0</v>
      </c>
      <c r="CJ19" s="497">
        <v>0</v>
      </c>
      <c r="CK19" s="497">
        <v>0</v>
      </c>
      <c r="CL19" s="497">
        <v>0</v>
      </c>
      <c r="CM19" s="497">
        <v>0</v>
      </c>
      <c r="CN19" s="497">
        <v>0</v>
      </c>
      <c r="CO19" s="497">
        <v>0</v>
      </c>
      <c r="CP19" s="497">
        <v>0</v>
      </c>
      <c r="CQ19" s="497">
        <v>0</v>
      </c>
      <c r="CR19" s="497">
        <f>IF(Table15[[#This Row],[Is your biodigester working?]]="yes",CO19/'SDG outcome'!$C$9*CP19*CQ19,"")</f>
        <v>0</v>
      </c>
      <c r="CS19" s="497" t="s">
        <v>4</v>
      </c>
      <c r="CT19" s="500" t="s">
        <v>4</v>
      </c>
      <c r="CU19" s="496" t="s">
        <v>4</v>
      </c>
      <c r="CV19" s="497" t="s">
        <v>4</v>
      </c>
      <c r="CW19" s="500" t="s">
        <v>4</v>
      </c>
      <c r="CX19" s="496" t="s">
        <v>4</v>
      </c>
      <c r="CY19" s="496" t="s">
        <v>4</v>
      </c>
      <c r="CZ19" s="496" t="s">
        <v>4</v>
      </c>
      <c r="DA19" s="496" t="s">
        <v>4</v>
      </c>
      <c r="DB19" s="496" t="s">
        <v>4</v>
      </c>
      <c r="DC19" s="496" t="s">
        <v>4</v>
      </c>
      <c r="DD19" s="496" t="s">
        <v>4</v>
      </c>
      <c r="DE19" s="496" t="s">
        <v>4</v>
      </c>
      <c r="DF19" s="496" t="s">
        <v>4</v>
      </c>
      <c r="DG19" s="497" t="s">
        <v>4</v>
      </c>
      <c r="DH19" s="497" t="s">
        <v>4</v>
      </c>
      <c r="DI19" s="497" t="s">
        <v>4</v>
      </c>
      <c r="DJ19" s="497" t="s">
        <v>4</v>
      </c>
      <c r="DK19" s="497" t="s">
        <v>4</v>
      </c>
      <c r="DL19" s="497" t="s">
        <v>4</v>
      </c>
      <c r="DM19" s="497" t="s">
        <v>4</v>
      </c>
      <c r="DN19" s="497">
        <v>5</v>
      </c>
      <c r="DO19" s="497" t="s">
        <v>7</v>
      </c>
      <c r="DP19" s="497" t="s">
        <v>29292</v>
      </c>
      <c r="DQ19" s="497" t="s">
        <v>4</v>
      </c>
      <c r="DR19" s="497" t="s">
        <v>29294</v>
      </c>
      <c r="DS19" s="494" t="s">
        <v>4</v>
      </c>
      <c r="DT19" s="497" t="s">
        <v>29294</v>
      </c>
      <c r="DU19" s="494" t="s">
        <v>4</v>
      </c>
      <c r="DV19" s="500" t="s">
        <v>29295</v>
      </c>
      <c r="DW19" s="496">
        <v>100</v>
      </c>
      <c r="DX19" s="497" t="s">
        <v>29296</v>
      </c>
      <c r="DY19" s="497">
        <v>100</v>
      </c>
      <c r="DZ19" s="497" t="s">
        <v>4</v>
      </c>
      <c r="EA19" s="497" t="s">
        <v>4</v>
      </c>
      <c r="EB19" s="497" t="s">
        <v>4</v>
      </c>
      <c r="EC19" s="497" t="s">
        <v>4</v>
      </c>
      <c r="ED19" s="496" t="s">
        <v>4</v>
      </c>
      <c r="EE19" s="496" t="s">
        <v>4</v>
      </c>
      <c r="EF19" s="496" t="s">
        <v>4</v>
      </c>
      <c r="EG19" s="496" t="s">
        <v>4</v>
      </c>
      <c r="EH19" s="496" t="s">
        <v>4</v>
      </c>
      <c r="EI19" s="496" t="s">
        <v>4</v>
      </c>
      <c r="EJ19" s="496" t="s">
        <v>4</v>
      </c>
      <c r="EK19" s="496" t="s">
        <v>4</v>
      </c>
      <c r="EL19" s="496" t="s">
        <v>4</v>
      </c>
      <c r="EM19" s="496" t="s">
        <v>4</v>
      </c>
      <c r="EN19" s="496" t="s">
        <v>4</v>
      </c>
      <c r="EO19" s="496" t="s">
        <v>4</v>
      </c>
      <c r="EP19" s="496" t="s">
        <v>4</v>
      </c>
      <c r="EQ19" s="496" t="s">
        <v>4</v>
      </c>
      <c r="ER19" s="496" t="s">
        <v>4</v>
      </c>
      <c r="ES19" s="496" t="s">
        <v>4</v>
      </c>
      <c r="ET19" s="496" t="s">
        <v>4</v>
      </c>
      <c r="EU19" s="496" t="s">
        <v>4</v>
      </c>
      <c r="EV19" s="496" t="s">
        <v>4</v>
      </c>
      <c r="EW19" s="497">
        <v>10</v>
      </c>
      <c r="EX19" s="497" t="s">
        <v>7</v>
      </c>
      <c r="EY19" s="497">
        <v>100</v>
      </c>
      <c r="EZ19" s="239">
        <f t="shared" si="1"/>
        <v>10</v>
      </c>
      <c r="FA19" s="497" t="s">
        <v>35685</v>
      </c>
      <c r="FB19" s="497" t="s">
        <v>29298</v>
      </c>
      <c r="FC19" s="497">
        <v>26</v>
      </c>
      <c r="FD19" s="497" t="s">
        <v>2</v>
      </c>
      <c r="FE19" s="497" t="s">
        <v>4</v>
      </c>
      <c r="FF19" s="497" t="s">
        <v>4</v>
      </c>
      <c r="FG19" s="497" t="s">
        <v>2</v>
      </c>
      <c r="FH19" s="497" t="s">
        <v>4</v>
      </c>
      <c r="FI19" s="497" t="s">
        <v>4</v>
      </c>
      <c r="FJ19" s="497" t="s">
        <v>4</v>
      </c>
      <c r="FK19" s="497" t="s">
        <v>4</v>
      </c>
      <c r="FL19" s="497" t="s">
        <v>4</v>
      </c>
      <c r="FM19" s="497" t="s">
        <v>4</v>
      </c>
      <c r="FN19" s="494" t="s">
        <v>4</v>
      </c>
      <c r="FO19" s="497" t="s">
        <v>4</v>
      </c>
      <c r="FP19" s="497" t="s">
        <v>2</v>
      </c>
      <c r="FQ19" s="497" t="s">
        <v>4</v>
      </c>
      <c r="FR19" s="497" t="s">
        <v>4</v>
      </c>
      <c r="FS19" s="497" t="s">
        <v>2</v>
      </c>
      <c r="FT19" s="497" t="s">
        <v>7</v>
      </c>
      <c r="FU19" s="497" t="s">
        <v>29302</v>
      </c>
      <c r="FV19" s="497" t="s">
        <v>35686</v>
      </c>
      <c r="FW19" s="497" t="s">
        <v>4</v>
      </c>
      <c r="FX19" s="497">
        <v>0</v>
      </c>
      <c r="FY19" s="497" t="s">
        <v>4</v>
      </c>
      <c r="FZ19" s="497" t="s">
        <v>4</v>
      </c>
      <c r="GA19" s="497" t="s">
        <v>4</v>
      </c>
      <c r="GB19" s="497" t="s">
        <v>4</v>
      </c>
      <c r="GC19" s="497" t="s">
        <v>4</v>
      </c>
      <c r="GD19" s="497" t="s">
        <v>4</v>
      </c>
      <c r="GE19" s="497" t="s">
        <v>4</v>
      </c>
      <c r="GF19" s="497" t="s">
        <v>4</v>
      </c>
      <c r="GG19" s="497" t="s">
        <v>4</v>
      </c>
      <c r="GH19" s="497" t="s">
        <v>4</v>
      </c>
      <c r="GI19" s="497" t="s">
        <v>29304</v>
      </c>
      <c r="GJ19" s="497" t="s">
        <v>35687</v>
      </c>
      <c r="GK19" s="497" t="s">
        <v>35688</v>
      </c>
      <c r="GL19" s="497" t="s">
        <v>30314</v>
      </c>
      <c r="GM19" s="497" t="s">
        <v>4</v>
      </c>
      <c r="GN19" s="497" t="s">
        <v>35689</v>
      </c>
      <c r="GO19" s="497" t="s">
        <v>4</v>
      </c>
      <c r="GP19" s="497" t="s">
        <v>4</v>
      </c>
      <c r="GQ19" s="497" t="s">
        <v>4</v>
      </c>
      <c r="GR19" s="497" t="s">
        <v>4</v>
      </c>
      <c r="GS19" s="497" t="s">
        <v>4</v>
      </c>
      <c r="GT19" s="497" t="s">
        <v>30644</v>
      </c>
      <c r="GU19" s="497" t="s">
        <v>4</v>
      </c>
      <c r="GV19" s="494">
        <v>10</v>
      </c>
      <c r="GW19" s="497" t="s">
        <v>7</v>
      </c>
      <c r="GX19" s="497" t="s">
        <v>29837</v>
      </c>
      <c r="GY19" s="497" t="s">
        <v>4</v>
      </c>
      <c r="GZ19" s="497" t="s">
        <v>4</v>
      </c>
      <c r="HA19" s="497" t="s">
        <v>4</v>
      </c>
      <c r="HB19" s="497" t="s">
        <v>4</v>
      </c>
      <c r="HC19" s="497" t="s">
        <v>4</v>
      </c>
      <c r="HD19" s="497" t="s">
        <v>4</v>
      </c>
      <c r="HE19" s="497" t="s">
        <v>4</v>
      </c>
      <c r="HF19" s="497" t="s">
        <v>4</v>
      </c>
      <c r="HG19" s="497" t="s">
        <v>2</v>
      </c>
      <c r="HH19" s="497" t="s">
        <v>4</v>
      </c>
      <c r="HI19" s="497" t="s">
        <v>4</v>
      </c>
      <c r="HJ19" s="497" t="s">
        <v>4</v>
      </c>
      <c r="HK19" s="494" t="s">
        <v>4</v>
      </c>
      <c r="HL19" s="497" t="s">
        <v>33474</v>
      </c>
      <c r="HM19" s="497" t="s">
        <v>2</v>
      </c>
      <c r="HN19" s="497" t="s">
        <v>4</v>
      </c>
      <c r="HO19" s="497" t="s">
        <v>16</v>
      </c>
      <c r="HP19" s="497" t="s">
        <v>35690</v>
      </c>
      <c r="HQ19" s="497" t="s">
        <v>35691</v>
      </c>
      <c r="HR19" s="497" t="s">
        <v>35692</v>
      </c>
      <c r="HS19" s="497" t="s">
        <v>35693</v>
      </c>
      <c r="HT19" s="500" t="s">
        <v>35681</v>
      </c>
    </row>
    <row r="20" spans="1:228" s="570" customFormat="1" ht="30.2" customHeight="1" x14ac:dyDescent="0.25">
      <c r="A20" s="759"/>
      <c r="B20" s="496">
        <v>263</v>
      </c>
      <c r="C20" s="496" t="s">
        <v>8325</v>
      </c>
      <c r="D20" s="497" t="s">
        <v>36231</v>
      </c>
      <c r="E20" s="497" t="s">
        <v>30786</v>
      </c>
      <c r="F20" s="497" t="s">
        <v>7</v>
      </c>
      <c r="G20" s="497" t="s">
        <v>36232</v>
      </c>
      <c r="H20" s="497">
        <v>1180.7</v>
      </c>
      <c r="I20" s="497">
        <v>4.8</v>
      </c>
      <c r="J20" s="497" t="s">
        <v>29319</v>
      </c>
      <c r="K20" s="497" t="s">
        <v>4</v>
      </c>
      <c r="L20" s="497" t="s">
        <v>36233</v>
      </c>
      <c r="M20" s="497">
        <v>753190560</v>
      </c>
      <c r="N20" s="497" t="s">
        <v>5</v>
      </c>
      <c r="O20" s="497" t="s">
        <v>31590</v>
      </c>
      <c r="P20" s="497" t="s">
        <v>4</v>
      </c>
      <c r="Q20" s="497">
        <v>6</v>
      </c>
      <c r="R20" s="497" t="s">
        <v>7</v>
      </c>
      <c r="S20" s="497" t="s">
        <v>31588</v>
      </c>
      <c r="T20" s="497" t="s">
        <v>4</v>
      </c>
      <c r="U20" s="497" t="s">
        <v>7</v>
      </c>
      <c r="V20" s="497" t="s">
        <v>7</v>
      </c>
      <c r="W20" s="497" t="s">
        <v>4</v>
      </c>
      <c r="X20" s="497" t="s">
        <v>7</v>
      </c>
      <c r="Y20" s="497" t="s">
        <v>4</v>
      </c>
      <c r="Z20" s="497" t="s">
        <v>4</v>
      </c>
      <c r="AA20" s="241" t="str">
        <f>IF(OR(U20="yes",Z20&gt;'SDG outcome'!$C$39),"yes","no")</f>
        <v>yes</v>
      </c>
      <c r="AB20" s="521" t="str">
        <f t="shared" si="0"/>
        <v>NA</v>
      </c>
      <c r="AC20" s="527" t="str">
        <f>IF(AND('SMS p2'!AA273="no",AND(Z20&gt;='SDG outcome'!$B$28,Z20&lt;'SDG outcome'!$C$39)),Z20-'SDG outcome'!$B$28,"")</f>
        <v/>
      </c>
      <c r="AD20" s="497" t="s">
        <v>4</v>
      </c>
      <c r="AE20" s="497" t="s">
        <v>4</v>
      </c>
      <c r="AF20" s="497" t="s">
        <v>4</v>
      </c>
      <c r="AG20" s="497" t="s">
        <v>4</v>
      </c>
      <c r="AH20" s="497" t="s">
        <v>4</v>
      </c>
      <c r="AI20" s="497" t="s">
        <v>4</v>
      </c>
      <c r="AJ20" s="498" t="s">
        <v>4</v>
      </c>
      <c r="AK20" s="497" t="s">
        <v>29290</v>
      </c>
      <c r="AL20" s="497" t="s">
        <v>29694</v>
      </c>
      <c r="AM20" s="498" t="s">
        <v>4</v>
      </c>
      <c r="AN20" s="498" t="s">
        <v>4</v>
      </c>
      <c r="AO20" s="497" t="s">
        <v>31599</v>
      </c>
      <c r="AP20" s="498" t="s">
        <v>4</v>
      </c>
      <c r="AQ20" s="497" t="s">
        <v>31600</v>
      </c>
      <c r="AR20" s="498" t="s">
        <v>4</v>
      </c>
      <c r="AS20" s="497" t="s">
        <v>31538</v>
      </c>
      <c r="AT20" s="498" t="s">
        <v>4</v>
      </c>
      <c r="AU20" s="497" t="s">
        <v>7</v>
      </c>
      <c r="AV20" s="498" t="s">
        <v>4</v>
      </c>
      <c r="AW20" s="498" t="s">
        <v>4</v>
      </c>
      <c r="AX20" s="497" t="s">
        <v>7</v>
      </c>
      <c r="AY20" s="497" t="s">
        <v>6</v>
      </c>
      <c r="AZ20" s="498" t="s">
        <v>4</v>
      </c>
      <c r="BA20" s="497" t="s">
        <v>31540</v>
      </c>
      <c r="BB20" s="497" t="s">
        <v>22</v>
      </c>
      <c r="BC20" s="498" t="s">
        <v>4</v>
      </c>
      <c r="BD20" s="497" t="s">
        <v>22</v>
      </c>
      <c r="BE20" s="498" t="s">
        <v>4</v>
      </c>
      <c r="BF20" s="497" t="s">
        <v>31542</v>
      </c>
      <c r="BG20" s="497" t="s">
        <v>36234</v>
      </c>
      <c r="BH20" s="497" t="s">
        <v>31616</v>
      </c>
      <c r="BI20" s="497">
        <v>4</v>
      </c>
      <c r="BJ20" s="497">
        <v>120</v>
      </c>
      <c r="BK20" s="497" t="s">
        <v>7</v>
      </c>
      <c r="BL20" s="497" t="s">
        <v>6</v>
      </c>
      <c r="BM20" s="497" t="s">
        <v>4</v>
      </c>
      <c r="BN20" s="497" t="s">
        <v>31429</v>
      </c>
      <c r="BO20" s="497">
        <v>1</v>
      </c>
      <c r="BP20" s="497">
        <v>40</v>
      </c>
      <c r="BQ20" s="497" t="s">
        <v>31434</v>
      </c>
      <c r="BR20" s="499" t="s">
        <v>33361</v>
      </c>
      <c r="BS20" s="497" t="s">
        <v>4</v>
      </c>
      <c r="BT20" s="497">
        <v>2</v>
      </c>
      <c r="BU20" s="494" cm="1">
        <f t="array" ref="BU20">_xlfn.IFS(BQ20="Foreword vehicle",BT20*0,BQ20="Human wastes",BT20*0,BS20="Jerrycans",BT20*$BT$4,BQ20="Number of Basins",BT20*$BS$5,BQ20="Number of Buckets",BT20*$BT$6,BQ20="Number of Kgs",BT20*$BT$7,BQ20="Number of spades",BT20*$BT$8,BQ20="Number of wheelbarrows",BT20*$BT$9,BS20="Septic Tank",BT20*0)</f>
        <v>42</v>
      </c>
      <c r="BV20" s="497">
        <f>Table15[[#This Row],[Calculation: Conversion of metric to Kg manure feeding (Columns: BP, BQ, BR)]]*Table15[[#This Row],[Number of times used to feed biodigester]]</f>
        <v>42</v>
      </c>
      <c r="BW20" s="495" cm="1">
        <f t="array" ref="BW20">_xlfn.IFS(BN20="Number of times per day (1 to 3)",BV20/$BW$3,BN20="Number of times per week (1 to 6)",BV20/$BW$4,BN20="Number of times per Month (1 to 3)",BV20/$BW$5)</f>
        <v>6</v>
      </c>
      <c r="BX20" s="497" t="s">
        <v>22</v>
      </c>
      <c r="BY20" s="497" t="s">
        <v>4</v>
      </c>
      <c r="BZ20" s="497" t="s">
        <v>2</v>
      </c>
      <c r="CA20" s="497" t="s">
        <v>4</v>
      </c>
      <c r="CB20" s="497" t="s">
        <v>4</v>
      </c>
      <c r="CC20" s="497" t="s">
        <v>4</v>
      </c>
      <c r="CD20" s="497" t="s">
        <v>7</v>
      </c>
      <c r="CE20" s="497" t="s">
        <v>36234</v>
      </c>
      <c r="CF20" s="497" t="s">
        <v>4</v>
      </c>
      <c r="CG20" s="497" t="s">
        <v>31604</v>
      </c>
      <c r="CH20" s="497">
        <v>5</v>
      </c>
      <c r="CI20" s="497">
        <v>0</v>
      </c>
      <c r="CJ20" s="497">
        <v>0</v>
      </c>
      <c r="CK20" s="497">
        <v>0</v>
      </c>
      <c r="CL20" s="497">
        <v>0</v>
      </c>
      <c r="CM20" s="497">
        <v>0</v>
      </c>
      <c r="CN20" s="497">
        <v>0</v>
      </c>
      <c r="CO20" s="497">
        <v>0</v>
      </c>
      <c r="CP20" s="497">
        <v>0</v>
      </c>
      <c r="CQ20" s="497">
        <v>0</v>
      </c>
      <c r="CR20" s="497">
        <f>IF(Table15[[#This Row],[Is your biodigester working?]]="yes",CO20/'SDG outcome'!$C$9*CP20*CQ20,"")</f>
        <v>0</v>
      </c>
      <c r="CS20" s="497">
        <v>100</v>
      </c>
      <c r="CT20" s="500" t="s">
        <v>4</v>
      </c>
      <c r="CU20" s="496" t="s">
        <v>4</v>
      </c>
      <c r="CV20" s="497" t="s">
        <v>4</v>
      </c>
      <c r="CW20" s="500" t="s">
        <v>4</v>
      </c>
      <c r="CX20" s="496" t="s">
        <v>4</v>
      </c>
      <c r="CY20" s="496" t="s">
        <v>4</v>
      </c>
      <c r="CZ20" s="496" t="s">
        <v>4</v>
      </c>
      <c r="DA20" s="496" t="s">
        <v>4</v>
      </c>
      <c r="DB20" s="496" t="s">
        <v>4</v>
      </c>
      <c r="DC20" s="496" t="s">
        <v>4</v>
      </c>
      <c r="DD20" s="496" t="s">
        <v>4</v>
      </c>
      <c r="DE20" s="496" t="s">
        <v>4</v>
      </c>
      <c r="DF20" s="496" t="s">
        <v>4</v>
      </c>
      <c r="DG20" s="497" t="s">
        <v>4</v>
      </c>
      <c r="DH20" s="497" t="s">
        <v>4</v>
      </c>
      <c r="DI20" s="497" t="s">
        <v>4</v>
      </c>
      <c r="DJ20" s="497" t="s">
        <v>4</v>
      </c>
      <c r="DK20" s="497" t="s">
        <v>4</v>
      </c>
      <c r="DL20" s="497" t="s">
        <v>4</v>
      </c>
      <c r="DM20" s="497" t="s">
        <v>4</v>
      </c>
      <c r="DN20" s="497">
        <v>5</v>
      </c>
      <c r="DO20" s="497" t="s">
        <v>2</v>
      </c>
      <c r="DP20" s="497" t="s">
        <v>29292</v>
      </c>
      <c r="DQ20" s="497" t="s">
        <v>4</v>
      </c>
      <c r="DR20" s="497" t="s">
        <v>29294</v>
      </c>
      <c r="DS20" s="497" t="s">
        <v>4</v>
      </c>
      <c r="DT20" s="497" t="s">
        <v>29294</v>
      </c>
      <c r="DU20" s="497" t="s">
        <v>4</v>
      </c>
      <c r="DV20" s="500" t="s">
        <v>29508</v>
      </c>
      <c r="DW20" s="496" t="s">
        <v>4</v>
      </c>
      <c r="DX20" s="497" t="s">
        <v>4</v>
      </c>
      <c r="DY20" s="497" t="s">
        <v>4</v>
      </c>
      <c r="DZ20" s="497" t="s">
        <v>4</v>
      </c>
      <c r="EA20" s="497" t="s">
        <v>4</v>
      </c>
      <c r="EB20" s="497" t="s">
        <v>4</v>
      </c>
      <c r="EC20" s="497" t="s">
        <v>4</v>
      </c>
      <c r="ED20" s="496">
        <v>100</v>
      </c>
      <c r="EE20" s="496" t="s">
        <v>30667</v>
      </c>
      <c r="EF20" s="496" t="s">
        <v>4</v>
      </c>
      <c r="EG20" s="496" t="s">
        <v>4</v>
      </c>
      <c r="EH20" s="496">
        <v>100</v>
      </c>
      <c r="EI20" s="496" t="s">
        <v>4</v>
      </c>
      <c r="EJ20" s="496" t="s">
        <v>4</v>
      </c>
      <c r="EK20" s="496" t="s">
        <v>4</v>
      </c>
      <c r="EL20" s="496" t="s">
        <v>4</v>
      </c>
      <c r="EM20" s="496">
        <v>25</v>
      </c>
      <c r="EN20" s="496" t="s">
        <v>4</v>
      </c>
      <c r="EO20" s="496" t="s">
        <v>4</v>
      </c>
      <c r="EP20" s="496" t="s">
        <v>4</v>
      </c>
      <c r="EQ20" s="496" t="s">
        <v>29296</v>
      </c>
      <c r="ER20" s="496">
        <v>100</v>
      </c>
      <c r="ES20" s="496" t="s">
        <v>4</v>
      </c>
      <c r="ET20" s="496" t="s">
        <v>4</v>
      </c>
      <c r="EU20" s="496" t="s">
        <v>4</v>
      </c>
      <c r="EV20" s="496" t="s">
        <v>4</v>
      </c>
      <c r="EW20" s="497">
        <v>10</v>
      </c>
      <c r="EX20" s="497" t="s">
        <v>7</v>
      </c>
      <c r="EY20" s="497">
        <v>100</v>
      </c>
      <c r="EZ20" s="239">
        <f t="shared" si="1"/>
        <v>10</v>
      </c>
      <c r="FA20" s="497" t="s">
        <v>36235</v>
      </c>
      <c r="FB20" s="497" t="s">
        <v>29298</v>
      </c>
      <c r="FC20" s="497">
        <v>38</v>
      </c>
      <c r="FD20" s="497" t="s">
        <v>2</v>
      </c>
      <c r="FE20" s="497" t="s">
        <v>4</v>
      </c>
      <c r="FF20" s="497" t="s">
        <v>4</v>
      </c>
      <c r="FG20" s="497" t="s">
        <v>2</v>
      </c>
      <c r="FH20" s="497" t="s">
        <v>4</v>
      </c>
      <c r="FI20" s="497" t="s">
        <v>4</v>
      </c>
      <c r="FJ20" s="497" t="s">
        <v>4</v>
      </c>
      <c r="FK20" s="497" t="s">
        <v>4</v>
      </c>
      <c r="FL20" s="497" t="s">
        <v>4</v>
      </c>
      <c r="FM20" s="497" t="s">
        <v>4</v>
      </c>
      <c r="FN20" s="497" t="s">
        <v>4</v>
      </c>
      <c r="FO20" s="497" t="s">
        <v>4</v>
      </c>
      <c r="FP20" s="497" t="s">
        <v>2</v>
      </c>
      <c r="FQ20" s="497" t="s">
        <v>4</v>
      </c>
      <c r="FR20" s="497" t="s">
        <v>4</v>
      </c>
      <c r="FS20" s="497" t="s">
        <v>2</v>
      </c>
      <c r="FT20" s="497" t="s">
        <v>7</v>
      </c>
      <c r="FU20" s="497" t="s">
        <v>29302</v>
      </c>
      <c r="FV20" s="497" t="s">
        <v>35848</v>
      </c>
      <c r="FW20" s="497" t="s">
        <v>4</v>
      </c>
      <c r="FX20" s="497">
        <v>0</v>
      </c>
      <c r="FY20" s="497" t="s">
        <v>4</v>
      </c>
      <c r="FZ20" s="497" t="s">
        <v>4</v>
      </c>
      <c r="GA20" s="497" t="s">
        <v>4</v>
      </c>
      <c r="GB20" s="497" t="s">
        <v>4</v>
      </c>
      <c r="GC20" s="497" t="s">
        <v>4</v>
      </c>
      <c r="GD20" s="497" t="s">
        <v>4</v>
      </c>
      <c r="GE20" s="497" t="s">
        <v>4</v>
      </c>
      <c r="GF20" s="497" t="s">
        <v>4</v>
      </c>
      <c r="GG20" s="497" t="s">
        <v>4</v>
      </c>
      <c r="GH20" s="497" t="s">
        <v>4</v>
      </c>
      <c r="GI20" s="497" t="s">
        <v>29304</v>
      </c>
      <c r="GJ20" s="497" t="s">
        <v>29478</v>
      </c>
      <c r="GK20" s="497" t="s">
        <v>29450</v>
      </c>
      <c r="GL20" s="497" t="s">
        <v>30796</v>
      </c>
      <c r="GM20" s="497" t="s">
        <v>4</v>
      </c>
      <c r="GN20" s="497" t="s">
        <v>4</v>
      </c>
      <c r="GO20" s="497" t="s">
        <v>4</v>
      </c>
      <c r="GP20" s="497" t="s">
        <v>4</v>
      </c>
      <c r="GQ20" s="497" t="s">
        <v>4</v>
      </c>
      <c r="GR20" s="497" t="s">
        <v>4</v>
      </c>
      <c r="GS20" s="497" t="s">
        <v>4</v>
      </c>
      <c r="GT20" s="497" t="s">
        <v>29410</v>
      </c>
      <c r="GU20" s="497" t="s">
        <v>4</v>
      </c>
      <c r="GV20" s="494">
        <v>3</v>
      </c>
      <c r="GW20" s="497" t="s">
        <v>7</v>
      </c>
      <c r="GX20" s="497" t="s">
        <v>29837</v>
      </c>
      <c r="GY20" s="497" t="s">
        <v>4</v>
      </c>
      <c r="GZ20" s="497" t="s">
        <v>4</v>
      </c>
      <c r="HA20" s="497" t="s">
        <v>4</v>
      </c>
      <c r="HB20" s="497" t="s">
        <v>4</v>
      </c>
      <c r="HC20" s="497" t="s">
        <v>4</v>
      </c>
      <c r="HD20" s="497" t="s">
        <v>4</v>
      </c>
      <c r="HE20" s="497" t="s">
        <v>4</v>
      </c>
      <c r="HF20" s="497" t="s">
        <v>4</v>
      </c>
      <c r="HG20" s="497" t="s">
        <v>2</v>
      </c>
      <c r="HH20" s="497" t="s">
        <v>4</v>
      </c>
      <c r="HI20" s="497" t="s">
        <v>4</v>
      </c>
      <c r="HJ20" s="497" t="s">
        <v>4</v>
      </c>
      <c r="HK20" s="494" t="s">
        <v>4</v>
      </c>
      <c r="HL20" s="497" t="s">
        <v>16</v>
      </c>
      <c r="HM20" s="497" t="s">
        <v>2</v>
      </c>
      <c r="HN20" s="497" t="s">
        <v>4</v>
      </c>
      <c r="HO20" s="497" t="s">
        <v>36236</v>
      </c>
      <c r="HP20" s="497" t="s">
        <v>36237</v>
      </c>
      <c r="HQ20" s="497" t="s">
        <v>36238</v>
      </c>
      <c r="HR20" s="497" t="s">
        <v>36239</v>
      </c>
      <c r="HS20" s="497" t="s">
        <v>36240</v>
      </c>
      <c r="HT20" s="500" t="s">
        <v>36231</v>
      </c>
    </row>
    <row r="21" spans="1:228" s="570" customFormat="1" ht="30.2" customHeight="1" x14ac:dyDescent="0.25">
      <c r="A21" s="759"/>
      <c r="B21" s="496">
        <v>216</v>
      </c>
      <c r="C21" s="496" t="s">
        <v>32701</v>
      </c>
      <c r="D21" s="497" t="s">
        <v>35766</v>
      </c>
      <c r="E21" s="497" t="s">
        <v>30786</v>
      </c>
      <c r="F21" s="497" t="s">
        <v>7</v>
      </c>
      <c r="G21" s="497" t="s">
        <v>35767</v>
      </c>
      <c r="H21" s="497">
        <v>1253.9000000000001</v>
      </c>
      <c r="I21" s="497">
        <v>5</v>
      </c>
      <c r="J21" s="497" t="s">
        <v>29349</v>
      </c>
      <c r="K21" s="497" t="s">
        <v>4</v>
      </c>
      <c r="L21" s="497" t="s">
        <v>35768</v>
      </c>
      <c r="M21" s="497">
        <v>752943929</v>
      </c>
      <c r="N21" s="497" t="s">
        <v>3</v>
      </c>
      <c r="O21" s="497" t="s">
        <v>31590</v>
      </c>
      <c r="P21" s="497" t="s">
        <v>4</v>
      </c>
      <c r="Q21" s="497">
        <v>9</v>
      </c>
      <c r="R21" s="497" t="s">
        <v>7</v>
      </c>
      <c r="S21" s="497" t="s">
        <v>31562</v>
      </c>
      <c r="T21" s="497" t="s">
        <v>4</v>
      </c>
      <c r="U21" s="497" t="s">
        <v>7</v>
      </c>
      <c r="V21" s="497" t="s">
        <v>7</v>
      </c>
      <c r="W21" s="497" t="s">
        <v>4</v>
      </c>
      <c r="X21" s="497" t="s">
        <v>7</v>
      </c>
      <c r="Y21" s="497" t="s">
        <v>4</v>
      </c>
      <c r="Z21" s="497" t="s">
        <v>4</v>
      </c>
      <c r="AA21" s="241" t="str">
        <f>IF(OR(U21="yes",Z21&gt;'SDG outcome'!$C$39),"yes","no")</f>
        <v>yes</v>
      </c>
      <c r="AB21" s="521" t="str">
        <f t="shared" si="0"/>
        <v>NA</v>
      </c>
      <c r="AC21" s="527" t="str">
        <f>IF(AND('SMS p2'!AA228="no",AND(Z21&gt;='SDG outcome'!$B$28,Z21&lt;'SDG outcome'!$C$39)),Z21-'SDG outcome'!$B$28,"")</f>
        <v/>
      </c>
      <c r="AD21" s="497" t="s">
        <v>4</v>
      </c>
      <c r="AE21" s="497" t="s">
        <v>4</v>
      </c>
      <c r="AF21" s="497" t="s">
        <v>4</v>
      </c>
      <c r="AG21" s="497" t="s">
        <v>4</v>
      </c>
      <c r="AH21" s="497" t="s">
        <v>4</v>
      </c>
      <c r="AI21" s="497" t="s">
        <v>4</v>
      </c>
      <c r="AJ21" s="497" t="s">
        <v>4</v>
      </c>
      <c r="AK21" s="497" t="s">
        <v>29290</v>
      </c>
      <c r="AL21" s="497" t="s">
        <v>29694</v>
      </c>
      <c r="AM21" s="497" t="s">
        <v>4</v>
      </c>
      <c r="AN21" s="497" t="s">
        <v>4</v>
      </c>
      <c r="AO21" s="497" t="s">
        <v>31599</v>
      </c>
      <c r="AP21" s="497" t="s">
        <v>4</v>
      </c>
      <c r="AQ21" s="497" t="s">
        <v>31600</v>
      </c>
      <c r="AR21" s="497" t="s">
        <v>4</v>
      </c>
      <c r="AS21" s="497" t="s">
        <v>31538</v>
      </c>
      <c r="AT21" s="497" t="s">
        <v>4</v>
      </c>
      <c r="AU21" s="497" t="s">
        <v>7</v>
      </c>
      <c r="AV21" s="497" t="s">
        <v>4</v>
      </c>
      <c r="AW21" s="497" t="s">
        <v>4</v>
      </c>
      <c r="AX21" s="497" t="s">
        <v>2</v>
      </c>
      <c r="AY21" s="497" t="s">
        <v>4</v>
      </c>
      <c r="AZ21" s="497" t="s">
        <v>4</v>
      </c>
      <c r="BA21" s="497" t="s">
        <v>31619</v>
      </c>
      <c r="BB21" s="497" t="s">
        <v>31552</v>
      </c>
      <c r="BC21" s="497" t="s">
        <v>4</v>
      </c>
      <c r="BD21" s="497" t="s">
        <v>31552</v>
      </c>
      <c r="BE21" s="497" t="s">
        <v>4</v>
      </c>
      <c r="BF21" s="497" t="s">
        <v>31542</v>
      </c>
      <c r="BG21" s="497" t="s">
        <v>35769</v>
      </c>
      <c r="BH21" s="497" t="s">
        <v>31616</v>
      </c>
      <c r="BI21" s="497">
        <v>1</v>
      </c>
      <c r="BJ21" s="497">
        <v>180</v>
      </c>
      <c r="BK21" s="497" t="s">
        <v>2</v>
      </c>
      <c r="BL21" s="497" t="s">
        <v>4</v>
      </c>
      <c r="BM21" s="497" t="s">
        <v>4</v>
      </c>
      <c r="BN21" s="497" t="s">
        <v>31429</v>
      </c>
      <c r="BO21" s="497">
        <v>1</v>
      </c>
      <c r="BP21" s="497">
        <v>40</v>
      </c>
      <c r="BQ21" s="497" t="s">
        <v>31434</v>
      </c>
      <c r="BR21" s="499" t="s">
        <v>33332</v>
      </c>
      <c r="BS21" s="497" t="s">
        <v>4</v>
      </c>
      <c r="BT21" s="497">
        <v>4</v>
      </c>
      <c r="BU21" s="494" cm="1">
        <f t="array" ref="BU21">_xlfn.IFS(BQ21="Foreword vehicle",BT21*0,BQ21="Human wastes",BT21*0,BS21="Jerrycans",BT21*$BT$4,BQ21="Number of Basins",BT21*$BT$5,BQ21="Number of Buckets",BT21*$BT$6,BQ21="Number of Kgs",BT21*$BT$7,BQ21="Number of spades",BT21*$BT$8,BQ21="Number of wheelbarrows",BT21*$BT$9,BS21="Septic Tank",BT21*0)</f>
        <v>64</v>
      </c>
      <c r="BV21" s="494">
        <f>Table15[[#This Row],[Calculation: Conversion of metric to Kg manure feeding (Columns: BP, BQ, BR)]]*Table15[[#This Row],[Number of times used to feed biodigester]]</f>
        <v>64</v>
      </c>
      <c r="BW21" s="495" cm="1">
        <f t="array" ref="BW21">_xlfn.IFS(BN21="Number of times per day (1 to 3)",BV21/$BW$3,BN21="Number of times per week (1 to 6)",BV21/$BW$4,BN21="Number of times per Month (1 to 3)",BV21/$BW$5)</f>
        <v>9.1428571428571423</v>
      </c>
      <c r="BX21" s="497" t="s">
        <v>31902</v>
      </c>
      <c r="BY21" s="497" t="s">
        <v>4</v>
      </c>
      <c r="BZ21" s="497" t="s">
        <v>2</v>
      </c>
      <c r="CA21" s="497" t="s">
        <v>4</v>
      </c>
      <c r="CB21" s="497" t="s">
        <v>4</v>
      </c>
      <c r="CC21" s="497" t="s">
        <v>4</v>
      </c>
      <c r="CD21" s="497" t="s">
        <v>7</v>
      </c>
      <c r="CE21" s="497" t="s">
        <v>35770</v>
      </c>
      <c r="CF21" s="497" t="s">
        <v>4</v>
      </c>
      <c r="CG21" s="497" t="s">
        <v>31705</v>
      </c>
      <c r="CH21" s="497">
        <v>0</v>
      </c>
      <c r="CI21" s="497">
        <v>3</v>
      </c>
      <c r="CJ21" s="497">
        <v>0</v>
      </c>
      <c r="CK21" s="497">
        <v>0</v>
      </c>
      <c r="CL21" s="497">
        <v>0</v>
      </c>
      <c r="CM21" s="497">
        <v>0</v>
      </c>
      <c r="CN21" s="497">
        <v>0</v>
      </c>
      <c r="CO21" s="497">
        <v>0</v>
      </c>
      <c r="CP21" s="497">
        <v>0</v>
      </c>
      <c r="CQ21" s="497">
        <v>0</v>
      </c>
      <c r="CR21" s="497">
        <f>IF(Table15[[#This Row],[Is your biodigester working?]]="yes",CO21/'SDG outcome'!$C$9*CP21*CQ21,"")</f>
        <v>0</v>
      </c>
      <c r="CS21" s="497" t="s">
        <v>4</v>
      </c>
      <c r="CT21" s="500" t="s">
        <v>4</v>
      </c>
      <c r="CU21" s="496" t="s">
        <v>4</v>
      </c>
      <c r="CV21" s="497">
        <v>100</v>
      </c>
      <c r="CW21" s="500">
        <v>0</v>
      </c>
      <c r="CX21" s="496" t="s">
        <v>4</v>
      </c>
      <c r="CY21" s="496" t="s">
        <v>4</v>
      </c>
      <c r="CZ21" s="496" t="s">
        <v>4</v>
      </c>
      <c r="DA21" s="496" t="s">
        <v>4</v>
      </c>
      <c r="DB21" s="496" t="s">
        <v>4</v>
      </c>
      <c r="DC21" s="496" t="s">
        <v>4</v>
      </c>
      <c r="DD21" s="496" t="s">
        <v>4</v>
      </c>
      <c r="DE21" s="497" t="s">
        <v>4</v>
      </c>
      <c r="DF21" s="497" t="s">
        <v>4</v>
      </c>
      <c r="DG21" s="497" t="s">
        <v>4</v>
      </c>
      <c r="DH21" s="497" t="s">
        <v>4</v>
      </c>
      <c r="DI21" s="497" t="s">
        <v>4</v>
      </c>
      <c r="DJ21" s="497" t="s">
        <v>4</v>
      </c>
      <c r="DK21" s="497" t="s">
        <v>4</v>
      </c>
      <c r="DL21" s="497" t="s">
        <v>4</v>
      </c>
      <c r="DM21" s="497" t="s">
        <v>4</v>
      </c>
      <c r="DN21" s="497">
        <v>4</v>
      </c>
      <c r="DO21" s="497" t="s">
        <v>7</v>
      </c>
      <c r="DP21" s="497" t="s">
        <v>29292</v>
      </c>
      <c r="DQ21" s="497" t="s">
        <v>4</v>
      </c>
      <c r="DR21" s="497" t="s">
        <v>29294</v>
      </c>
      <c r="DS21" s="494" t="s">
        <v>4</v>
      </c>
      <c r="DT21" s="497" t="s">
        <v>29294</v>
      </c>
      <c r="DU21" s="494" t="s">
        <v>4</v>
      </c>
      <c r="DV21" s="500" t="s">
        <v>29295</v>
      </c>
      <c r="DW21" s="496">
        <v>100</v>
      </c>
      <c r="DX21" s="497" t="s">
        <v>29296</v>
      </c>
      <c r="DY21" s="497">
        <v>100</v>
      </c>
      <c r="DZ21" s="497" t="s">
        <v>4</v>
      </c>
      <c r="EA21" s="497" t="s">
        <v>4</v>
      </c>
      <c r="EB21" s="497" t="s">
        <v>4</v>
      </c>
      <c r="EC21" s="497" t="s">
        <v>4</v>
      </c>
      <c r="ED21" s="497" t="s">
        <v>4</v>
      </c>
      <c r="EE21" s="497" t="s">
        <v>4</v>
      </c>
      <c r="EF21" s="496" t="s">
        <v>4</v>
      </c>
      <c r="EG21" s="496" t="s">
        <v>4</v>
      </c>
      <c r="EH21" s="496" t="s">
        <v>4</v>
      </c>
      <c r="EI21" s="496" t="s">
        <v>4</v>
      </c>
      <c r="EJ21" s="496" t="s">
        <v>4</v>
      </c>
      <c r="EK21" s="497" t="s">
        <v>4</v>
      </c>
      <c r="EL21" s="496" t="s">
        <v>4</v>
      </c>
      <c r="EM21" s="497" t="s">
        <v>4</v>
      </c>
      <c r="EN21" s="496" t="s">
        <v>4</v>
      </c>
      <c r="EO21" s="496" t="s">
        <v>4</v>
      </c>
      <c r="EP21" s="496" t="s">
        <v>4</v>
      </c>
      <c r="EQ21" s="497" t="s">
        <v>4</v>
      </c>
      <c r="ER21" s="497" t="s">
        <v>4</v>
      </c>
      <c r="ES21" s="496" t="s">
        <v>4</v>
      </c>
      <c r="ET21" s="496" t="s">
        <v>4</v>
      </c>
      <c r="EU21" s="496" t="s">
        <v>4</v>
      </c>
      <c r="EV21" s="496" t="s">
        <v>4</v>
      </c>
      <c r="EW21" s="497">
        <v>8</v>
      </c>
      <c r="EX21" s="497" t="s">
        <v>7</v>
      </c>
      <c r="EY21" s="497">
        <v>100</v>
      </c>
      <c r="EZ21" s="239">
        <f t="shared" si="1"/>
        <v>8</v>
      </c>
      <c r="FA21" s="497" t="s">
        <v>35771</v>
      </c>
      <c r="FB21" s="497" t="s">
        <v>29298</v>
      </c>
      <c r="FC21" s="497">
        <v>30</v>
      </c>
      <c r="FD21" s="497" t="s">
        <v>7</v>
      </c>
      <c r="FE21" s="497" t="s">
        <v>29393</v>
      </c>
      <c r="FF21" s="497" t="s">
        <v>4</v>
      </c>
      <c r="FG21" s="497" t="s">
        <v>2</v>
      </c>
      <c r="FH21" s="497" t="s">
        <v>4</v>
      </c>
      <c r="FI21" s="497" t="s">
        <v>4</v>
      </c>
      <c r="FJ21" s="497" t="s">
        <v>4</v>
      </c>
      <c r="FK21" s="497" t="s">
        <v>4</v>
      </c>
      <c r="FL21" s="497" t="s">
        <v>4</v>
      </c>
      <c r="FM21" s="497" t="s">
        <v>4</v>
      </c>
      <c r="FN21" s="494" t="s">
        <v>4</v>
      </c>
      <c r="FO21" s="497" t="s">
        <v>4</v>
      </c>
      <c r="FP21" s="497" t="s">
        <v>2</v>
      </c>
      <c r="FQ21" s="497" t="s">
        <v>4</v>
      </c>
      <c r="FR21" s="497" t="s">
        <v>4</v>
      </c>
      <c r="FS21" s="497" t="s">
        <v>2</v>
      </c>
      <c r="FT21" s="497" t="s">
        <v>2</v>
      </c>
      <c r="FU21" s="497" t="s">
        <v>4</v>
      </c>
      <c r="FV21" s="497" t="s">
        <v>4</v>
      </c>
      <c r="FW21" s="497" t="s">
        <v>29304</v>
      </c>
      <c r="FX21" s="497">
        <v>1</v>
      </c>
      <c r="FY21" s="497" t="s">
        <v>29882</v>
      </c>
      <c r="FZ21" s="497" t="s">
        <v>29323</v>
      </c>
      <c r="GA21" s="497" t="s">
        <v>30337</v>
      </c>
      <c r="GB21" s="497" t="s">
        <v>29397</v>
      </c>
      <c r="GC21" s="497" t="s">
        <v>4</v>
      </c>
      <c r="GD21" s="497" t="s">
        <v>4</v>
      </c>
      <c r="GE21" s="497" t="s">
        <v>4</v>
      </c>
      <c r="GF21" s="497" t="s">
        <v>4</v>
      </c>
      <c r="GG21" s="497" t="s">
        <v>4</v>
      </c>
      <c r="GH21" s="497" t="s">
        <v>4</v>
      </c>
      <c r="GI21" s="497" t="s">
        <v>4</v>
      </c>
      <c r="GJ21" s="497" t="s">
        <v>4</v>
      </c>
      <c r="GK21" s="497" t="s">
        <v>4</v>
      </c>
      <c r="GL21" s="497" t="s">
        <v>4</v>
      </c>
      <c r="GM21" s="497" t="s">
        <v>4</v>
      </c>
      <c r="GN21" s="497" t="s">
        <v>4</v>
      </c>
      <c r="GO21" s="497" t="s">
        <v>4</v>
      </c>
      <c r="GP21" s="497" t="s">
        <v>4</v>
      </c>
      <c r="GQ21" s="497" t="s">
        <v>4</v>
      </c>
      <c r="GR21" s="497" t="s">
        <v>4</v>
      </c>
      <c r="GS21" s="497" t="s">
        <v>4</v>
      </c>
      <c r="GT21" s="497" t="s">
        <v>35609</v>
      </c>
      <c r="GU21" s="497" t="s">
        <v>4</v>
      </c>
      <c r="GV21" s="494">
        <v>5</v>
      </c>
      <c r="GW21" s="497" t="s">
        <v>7</v>
      </c>
      <c r="GX21" s="497" t="s">
        <v>29837</v>
      </c>
      <c r="GY21" s="497" t="s">
        <v>4</v>
      </c>
      <c r="GZ21" s="497" t="s">
        <v>4</v>
      </c>
      <c r="HA21" s="497" t="s">
        <v>4</v>
      </c>
      <c r="HB21" s="497" t="s">
        <v>4</v>
      </c>
      <c r="HC21" s="497" t="s">
        <v>4</v>
      </c>
      <c r="HD21" s="497" t="s">
        <v>4</v>
      </c>
      <c r="HE21" s="497" t="s">
        <v>4</v>
      </c>
      <c r="HF21" s="497" t="s">
        <v>4</v>
      </c>
      <c r="HG21" s="497" t="s">
        <v>2</v>
      </c>
      <c r="HH21" s="497" t="s">
        <v>4</v>
      </c>
      <c r="HI21" s="497" t="s">
        <v>4</v>
      </c>
      <c r="HJ21" s="497" t="s">
        <v>4</v>
      </c>
      <c r="HK21" s="494" t="s">
        <v>4</v>
      </c>
      <c r="HL21" s="497" t="s">
        <v>33474</v>
      </c>
      <c r="HM21" s="497" t="s">
        <v>2</v>
      </c>
      <c r="HN21" s="497" t="s">
        <v>4</v>
      </c>
      <c r="HO21" s="497" t="s">
        <v>16</v>
      </c>
      <c r="HP21" s="497" t="s">
        <v>35772</v>
      </c>
      <c r="HQ21" s="497" t="s">
        <v>35773</v>
      </c>
      <c r="HR21" s="497" t="s">
        <v>35774</v>
      </c>
      <c r="HS21" s="497" t="s">
        <v>35775</v>
      </c>
      <c r="HT21" s="500" t="s">
        <v>35766</v>
      </c>
    </row>
    <row r="22" spans="1:228" s="570" customFormat="1" ht="30.2" customHeight="1" x14ac:dyDescent="0.25">
      <c r="A22" s="759"/>
      <c r="B22" s="496">
        <v>219</v>
      </c>
      <c r="C22" s="496" t="s">
        <v>3668</v>
      </c>
      <c r="D22" s="497" t="s">
        <v>33520</v>
      </c>
      <c r="E22" s="497" t="s">
        <v>30786</v>
      </c>
      <c r="F22" s="497" t="s">
        <v>7</v>
      </c>
      <c r="G22" s="497" t="s">
        <v>35788</v>
      </c>
      <c r="H22" s="497">
        <v>1189.5</v>
      </c>
      <c r="I22" s="497">
        <v>5</v>
      </c>
      <c r="J22" s="497" t="s">
        <v>29288</v>
      </c>
      <c r="K22" s="497" t="s">
        <v>4</v>
      </c>
      <c r="L22" s="497" t="s">
        <v>35789</v>
      </c>
      <c r="M22" s="497">
        <v>758521848</v>
      </c>
      <c r="N22" s="497" t="s">
        <v>3</v>
      </c>
      <c r="O22" s="497" t="s">
        <v>31590</v>
      </c>
      <c r="P22" s="497" t="s">
        <v>4</v>
      </c>
      <c r="Q22" s="497">
        <v>7</v>
      </c>
      <c r="R22" s="497" t="s">
        <v>7</v>
      </c>
      <c r="S22" s="497" t="s">
        <v>31549</v>
      </c>
      <c r="T22" s="497" t="s">
        <v>4</v>
      </c>
      <c r="U22" s="497" t="s">
        <v>7</v>
      </c>
      <c r="V22" s="497" t="s">
        <v>7</v>
      </c>
      <c r="W22" s="497" t="s">
        <v>4</v>
      </c>
      <c r="X22" s="497" t="s">
        <v>7</v>
      </c>
      <c r="Y22" s="497" t="s">
        <v>4</v>
      </c>
      <c r="Z22" s="497" t="s">
        <v>4</v>
      </c>
      <c r="AA22" s="241" t="str">
        <f>IF(OR(U22="yes",Z22&gt;'SDG outcome'!$C$39),"yes","no")</f>
        <v>yes</v>
      </c>
      <c r="AB22" s="521" t="str">
        <f t="shared" si="0"/>
        <v>NA</v>
      </c>
      <c r="AC22" s="527" t="str">
        <f>IF(AND('SMS p2'!AA230="no",AND(Z22&gt;='SDG outcome'!$B$28,Z22&lt;'SDG outcome'!$C$39)),Z22-'SDG outcome'!$B$28,"")</f>
        <v/>
      </c>
      <c r="AD22" s="497" t="s">
        <v>4</v>
      </c>
      <c r="AE22" s="497" t="s">
        <v>4</v>
      </c>
      <c r="AF22" s="497" t="s">
        <v>4</v>
      </c>
      <c r="AG22" s="497" t="s">
        <v>4</v>
      </c>
      <c r="AH22" s="497" t="s">
        <v>4</v>
      </c>
      <c r="AI22" s="497" t="s">
        <v>4</v>
      </c>
      <c r="AJ22" s="497" t="s">
        <v>4</v>
      </c>
      <c r="AK22" s="497" t="s">
        <v>29290</v>
      </c>
      <c r="AL22" s="497" t="s">
        <v>29694</v>
      </c>
      <c r="AM22" s="497" t="s">
        <v>4</v>
      </c>
      <c r="AN22" s="497" t="s">
        <v>4</v>
      </c>
      <c r="AO22" s="497" t="s">
        <v>31599</v>
      </c>
      <c r="AP22" s="497" t="s">
        <v>4</v>
      </c>
      <c r="AQ22" s="497" t="s">
        <v>31537</v>
      </c>
      <c r="AR22" s="497" t="s">
        <v>4</v>
      </c>
      <c r="AS22" s="497" t="s">
        <v>31538</v>
      </c>
      <c r="AT22" s="497" t="s">
        <v>4</v>
      </c>
      <c r="AU22" s="497" t="s">
        <v>7</v>
      </c>
      <c r="AV22" s="497" t="s">
        <v>4</v>
      </c>
      <c r="AW22" s="497" t="s">
        <v>4</v>
      </c>
      <c r="AX22" s="497" t="s">
        <v>2</v>
      </c>
      <c r="AY22" s="497" t="s">
        <v>4</v>
      </c>
      <c r="AZ22" s="497" t="s">
        <v>4</v>
      </c>
      <c r="BA22" s="497" t="s">
        <v>31540</v>
      </c>
      <c r="BB22" s="497" t="s">
        <v>14</v>
      </c>
      <c r="BC22" s="497" t="s">
        <v>4</v>
      </c>
      <c r="BD22" s="497" t="s">
        <v>31564</v>
      </c>
      <c r="BE22" s="497" t="s">
        <v>4</v>
      </c>
      <c r="BF22" s="497" t="s">
        <v>31542</v>
      </c>
      <c r="BG22" s="497" t="s">
        <v>30931</v>
      </c>
      <c r="BH22" s="497" t="s">
        <v>31544</v>
      </c>
      <c r="BI22" s="497">
        <v>2</v>
      </c>
      <c r="BJ22" s="497">
        <v>60</v>
      </c>
      <c r="BK22" s="497" t="s">
        <v>7</v>
      </c>
      <c r="BL22" s="497" t="s">
        <v>6</v>
      </c>
      <c r="BM22" s="497" t="s">
        <v>4</v>
      </c>
      <c r="BN22" s="497" t="s">
        <v>31429</v>
      </c>
      <c r="BO22" s="497">
        <v>6</v>
      </c>
      <c r="BP22" s="497">
        <v>60</v>
      </c>
      <c r="BQ22" s="497" t="s">
        <v>31426</v>
      </c>
      <c r="BR22" s="499" t="s">
        <v>33332</v>
      </c>
      <c r="BS22" s="497" t="s">
        <v>4</v>
      </c>
      <c r="BT22" s="497">
        <v>3</v>
      </c>
      <c r="BU22" s="494" cm="1">
        <f t="array" ref="BU22">_xlfn.IFS(BQ22="Foreword vehicle",BT22*0,BQ22="Human wastes",BT22*0,BS22="Jerrycans",BT22*$BT$4,BQ22="Number of Basins",BT22*$BT$5,BQ22="Number of Buckets",BT22*$BT$6,BQ22="Number of Kgs",BT22*$BT$7,BQ22="Number of spades",BT22*$BT$8,BQ22="Number of wheelbarrows",BT22*$BT$9,BS22="Septic Tank",BT22*0)</f>
        <v>69</v>
      </c>
      <c r="BV22" s="494">
        <f>Table15[[#This Row],[Calculation: Conversion of metric to Kg manure feeding (Columns: BP, BQ, BR)]]*Table15[[#This Row],[Number of times used to feed biodigester]]</f>
        <v>414</v>
      </c>
      <c r="BW22" s="495" cm="1">
        <f t="array" ref="BW22">_xlfn.IFS(BN22="Number of times per day (1 to 3)",BV22/$BW$3,BN22="Number of times per week (1 to 6)",BV22/$BW$4,BN22="Number of times per Month (1 to 3)",BV22/$BW$5)</f>
        <v>59.142857142857146</v>
      </c>
      <c r="BX22" s="497" t="s">
        <v>31541</v>
      </c>
      <c r="BY22" s="497" t="s">
        <v>4</v>
      </c>
      <c r="BZ22" s="497" t="s">
        <v>2</v>
      </c>
      <c r="CA22" s="497" t="s">
        <v>4</v>
      </c>
      <c r="CB22" s="497" t="s">
        <v>4</v>
      </c>
      <c r="CC22" s="497" t="s">
        <v>4</v>
      </c>
      <c r="CD22" s="497" t="s">
        <v>7</v>
      </c>
      <c r="CE22" s="497" t="s">
        <v>35757</v>
      </c>
      <c r="CF22" s="497" t="s">
        <v>4</v>
      </c>
      <c r="CG22" s="497" t="s">
        <v>31604</v>
      </c>
      <c r="CH22" s="497">
        <v>2</v>
      </c>
      <c r="CI22" s="497">
        <v>0</v>
      </c>
      <c r="CJ22" s="497">
        <v>0</v>
      </c>
      <c r="CK22" s="497">
        <v>0</v>
      </c>
      <c r="CL22" s="497">
        <v>0</v>
      </c>
      <c r="CM22" s="497">
        <v>0</v>
      </c>
      <c r="CN22" s="497">
        <v>0</v>
      </c>
      <c r="CO22" s="497">
        <v>0</v>
      </c>
      <c r="CP22" s="497">
        <v>0</v>
      </c>
      <c r="CQ22" s="497">
        <v>0</v>
      </c>
      <c r="CR22" s="497">
        <f>IF(Table15[[#This Row],[Is your biodigester working?]]="yes",CO22/'SDG outcome'!$C$9*CP22*CQ22,"")</f>
        <v>0</v>
      </c>
      <c r="CS22" s="497">
        <v>100</v>
      </c>
      <c r="CT22" s="500">
        <v>0</v>
      </c>
      <c r="CU22" s="496" t="s">
        <v>4</v>
      </c>
      <c r="CV22" s="497" t="s">
        <v>4</v>
      </c>
      <c r="CW22" s="500" t="s">
        <v>4</v>
      </c>
      <c r="CX22" s="496" t="s">
        <v>4</v>
      </c>
      <c r="CY22" s="496" t="s">
        <v>4</v>
      </c>
      <c r="CZ22" s="496" t="s">
        <v>4</v>
      </c>
      <c r="DA22" s="496" t="s">
        <v>4</v>
      </c>
      <c r="DB22" s="496" t="s">
        <v>4</v>
      </c>
      <c r="DC22" s="496" t="s">
        <v>4</v>
      </c>
      <c r="DD22" s="496" t="s">
        <v>4</v>
      </c>
      <c r="DE22" s="496" t="s">
        <v>4</v>
      </c>
      <c r="DF22" s="496" t="s">
        <v>4</v>
      </c>
      <c r="DG22" s="497" t="s">
        <v>4</v>
      </c>
      <c r="DH22" s="497" t="s">
        <v>4</v>
      </c>
      <c r="DI22" s="497" t="s">
        <v>4</v>
      </c>
      <c r="DJ22" s="497" t="s">
        <v>4</v>
      </c>
      <c r="DK22" s="497" t="s">
        <v>4</v>
      </c>
      <c r="DL22" s="497" t="s">
        <v>4</v>
      </c>
      <c r="DM22" s="497" t="s">
        <v>4</v>
      </c>
      <c r="DN22" s="497">
        <v>4</v>
      </c>
      <c r="DO22" s="497" t="s">
        <v>2</v>
      </c>
      <c r="DP22" s="497" t="s">
        <v>29292</v>
      </c>
      <c r="DQ22" s="497" t="s">
        <v>4</v>
      </c>
      <c r="DR22" s="497" t="s">
        <v>29294</v>
      </c>
      <c r="DS22" s="494" t="s">
        <v>4</v>
      </c>
      <c r="DT22" s="497" t="s">
        <v>29294</v>
      </c>
      <c r="DU22" s="494" t="s">
        <v>4</v>
      </c>
      <c r="DV22" s="500" t="s">
        <v>29295</v>
      </c>
      <c r="DW22" s="496">
        <v>100</v>
      </c>
      <c r="DX22" s="497" t="s">
        <v>29296</v>
      </c>
      <c r="DY22" s="497">
        <v>100</v>
      </c>
      <c r="DZ22" s="497" t="s">
        <v>4</v>
      </c>
      <c r="EA22" s="497" t="s">
        <v>4</v>
      </c>
      <c r="EB22" s="497" t="s">
        <v>4</v>
      </c>
      <c r="EC22" s="497" t="s">
        <v>4</v>
      </c>
      <c r="ED22" s="496" t="s">
        <v>4</v>
      </c>
      <c r="EE22" s="496" t="s">
        <v>4</v>
      </c>
      <c r="EF22" s="496" t="s">
        <v>4</v>
      </c>
      <c r="EG22" s="496" t="s">
        <v>4</v>
      </c>
      <c r="EH22" s="496" t="s">
        <v>4</v>
      </c>
      <c r="EI22" s="496" t="s">
        <v>4</v>
      </c>
      <c r="EJ22" s="496" t="s">
        <v>4</v>
      </c>
      <c r="EK22" s="496" t="s">
        <v>4</v>
      </c>
      <c r="EL22" s="496" t="s">
        <v>4</v>
      </c>
      <c r="EM22" s="496" t="s">
        <v>4</v>
      </c>
      <c r="EN22" s="496" t="s">
        <v>4</v>
      </c>
      <c r="EO22" s="496" t="s">
        <v>4</v>
      </c>
      <c r="EP22" s="496" t="s">
        <v>4</v>
      </c>
      <c r="EQ22" s="496" t="s">
        <v>4</v>
      </c>
      <c r="ER22" s="496" t="s">
        <v>4</v>
      </c>
      <c r="ES22" s="496" t="s">
        <v>4</v>
      </c>
      <c r="ET22" s="496" t="s">
        <v>4</v>
      </c>
      <c r="EU22" s="496" t="s">
        <v>4</v>
      </c>
      <c r="EV22" s="496" t="s">
        <v>4</v>
      </c>
      <c r="EW22" s="497">
        <v>8</v>
      </c>
      <c r="EX22" s="497" t="s">
        <v>7</v>
      </c>
      <c r="EY22" s="497">
        <v>100</v>
      </c>
      <c r="EZ22" s="239">
        <f t="shared" si="1"/>
        <v>8</v>
      </c>
      <c r="FA22" s="497" t="s">
        <v>35790</v>
      </c>
      <c r="FB22" s="497" t="s">
        <v>29298</v>
      </c>
      <c r="FC22" s="497">
        <v>42</v>
      </c>
      <c r="FD22" s="497" t="s">
        <v>7</v>
      </c>
      <c r="FE22" s="497" t="s">
        <v>29555</v>
      </c>
      <c r="FF22" s="497" t="s">
        <v>4</v>
      </c>
      <c r="FG22" s="497" t="s">
        <v>2</v>
      </c>
      <c r="FH22" s="497" t="s">
        <v>4</v>
      </c>
      <c r="FI22" s="497" t="s">
        <v>4</v>
      </c>
      <c r="FJ22" s="497" t="s">
        <v>4</v>
      </c>
      <c r="FK22" s="497" t="s">
        <v>4</v>
      </c>
      <c r="FL22" s="497" t="s">
        <v>4</v>
      </c>
      <c r="FM22" s="497" t="s">
        <v>4</v>
      </c>
      <c r="FN22" s="494" t="s">
        <v>4</v>
      </c>
      <c r="FO22" s="497" t="s">
        <v>4</v>
      </c>
      <c r="FP22" s="497" t="s">
        <v>2</v>
      </c>
      <c r="FQ22" s="497" t="s">
        <v>4</v>
      </c>
      <c r="FR22" s="497" t="s">
        <v>4</v>
      </c>
      <c r="FS22" s="497" t="s">
        <v>2</v>
      </c>
      <c r="FT22" s="497" t="s">
        <v>7</v>
      </c>
      <c r="FU22" s="497" t="s">
        <v>29302</v>
      </c>
      <c r="FV22" s="497" t="s">
        <v>35791</v>
      </c>
      <c r="FW22" s="497" t="s">
        <v>29304</v>
      </c>
      <c r="FX22" s="497">
        <v>1</v>
      </c>
      <c r="FY22" s="497" t="s">
        <v>29882</v>
      </c>
      <c r="FZ22" s="497" t="s">
        <v>29306</v>
      </c>
      <c r="GA22" s="497" t="s">
        <v>30337</v>
      </c>
      <c r="GB22" s="497" t="s">
        <v>29397</v>
      </c>
      <c r="GC22" s="497" t="s">
        <v>4</v>
      </c>
      <c r="GD22" s="497" t="s">
        <v>4</v>
      </c>
      <c r="GE22" s="497" t="s">
        <v>4</v>
      </c>
      <c r="GF22" s="497" t="s">
        <v>4</v>
      </c>
      <c r="GG22" s="497" t="s">
        <v>4</v>
      </c>
      <c r="GH22" s="497" t="s">
        <v>4</v>
      </c>
      <c r="GI22" s="497" t="s">
        <v>4</v>
      </c>
      <c r="GJ22" s="497" t="s">
        <v>4</v>
      </c>
      <c r="GK22" s="497" t="s">
        <v>4</v>
      </c>
      <c r="GL22" s="497" t="s">
        <v>4</v>
      </c>
      <c r="GM22" s="497" t="s">
        <v>4</v>
      </c>
      <c r="GN22" s="497" t="s">
        <v>4</v>
      </c>
      <c r="GO22" s="497" t="s">
        <v>4</v>
      </c>
      <c r="GP22" s="497" t="s">
        <v>4</v>
      </c>
      <c r="GQ22" s="497" t="s">
        <v>4</v>
      </c>
      <c r="GR22" s="497" t="s">
        <v>4</v>
      </c>
      <c r="GS22" s="497" t="s">
        <v>4</v>
      </c>
      <c r="GT22" s="497" t="s">
        <v>35792</v>
      </c>
      <c r="GU22" s="497" t="s">
        <v>4</v>
      </c>
      <c r="GV22" s="494">
        <v>10</v>
      </c>
      <c r="GW22" s="497" t="s">
        <v>29325</v>
      </c>
      <c r="GX22" s="497" t="s">
        <v>29837</v>
      </c>
      <c r="GY22" s="497" t="s">
        <v>4</v>
      </c>
      <c r="GZ22" s="497" t="s">
        <v>4</v>
      </c>
      <c r="HA22" s="497" t="s">
        <v>4</v>
      </c>
      <c r="HB22" s="497" t="s">
        <v>4</v>
      </c>
      <c r="HC22" s="497" t="s">
        <v>4</v>
      </c>
      <c r="HD22" s="497" t="s">
        <v>4</v>
      </c>
      <c r="HE22" s="497" t="s">
        <v>4</v>
      </c>
      <c r="HF22" s="497" t="s">
        <v>4</v>
      </c>
      <c r="HG22" s="497" t="s">
        <v>2</v>
      </c>
      <c r="HH22" s="497" t="s">
        <v>4</v>
      </c>
      <c r="HI22" s="497" t="s">
        <v>4</v>
      </c>
      <c r="HJ22" s="497" t="s">
        <v>4</v>
      </c>
      <c r="HK22" s="494" t="s">
        <v>4</v>
      </c>
      <c r="HL22" s="497" t="s">
        <v>33474</v>
      </c>
      <c r="HM22" s="497" t="s">
        <v>2</v>
      </c>
      <c r="HN22" s="497" t="s">
        <v>4</v>
      </c>
      <c r="HO22" s="497" t="s">
        <v>16</v>
      </c>
      <c r="HP22" s="497" t="s">
        <v>35793</v>
      </c>
      <c r="HQ22" s="497" t="s">
        <v>35794</v>
      </c>
      <c r="HR22" s="497" t="s">
        <v>35795</v>
      </c>
      <c r="HS22" s="497" t="s">
        <v>35796</v>
      </c>
      <c r="HT22" s="500" t="s">
        <v>33520</v>
      </c>
    </row>
    <row r="23" spans="1:228" s="570" customFormat="1" ht="30.2" customHeight="1" x14ac:dyDescent="0.25">
      <c r="A23" s="759"/>
      <c r="B23" s="496">
        <v>217</v>
      </c>
      <c r="C23" s="496" t="s">
        <v>7600</v>
      </c>
      <c r="D23" s="497" t="s">
        <v>35776</v>
      </c>
      <c r="E23" s="497" t="s">
        <v>30786</v>
      </c>
      <c r="F23" s="497" t="s">
        <v>7</v>
      </c>
      <c r="G23" s="497" t="s">
        <v>35777</v>
      </c>
      <c r="H23" s="497">
        <v>1159.5999999999999</v>
      </c>
      <c r="I23" s="497">
        <v>4.8</v>
      </c>
      <c r="J23" s="497" t="s">
        <v>29319</v>
      </c>
      <c r="K23" s="497" t="s">
        <v>4</v>
      </c>
      <c r="L23" s="497" t="s">
        <v>35778</v>
      </c>
      <c r="M23" s="497">
        <v>752612395</v>
      </c>
      <c r="N23" s="497" t="s">
        <v>5</v>
      </c>
      <c r="O23" s="497" t="s">
        <v>31590</v>
      </c>
      <c r="P23" s="497" t="s">
        <v>4</v>
      </c>
      <c r="Q23" s="497">
        <v>6</v>
      </c>
      <c r="R23" s="497" t="s">
        <v>7</v>
      </c>
      <c r="S23" s="497" t="s">
        <v>31562</v>
      </c>
      <c r="T23" s="497" t="s">
        <v>4</v>
      </c>
      <c r="U23" s="497" t="s">
        <v>7</v>
      </c>
      <c r="V23" s="497" t="s">
        <v>7</v>
      </c>
      <c r="W23" s="497" t="s">
        <v>4</v>
      </c>
      <c r="X23" s="497" t="s">
        <v>7</v>
      </c>
      <c r="Y23" s="497" t="s">
        <v>4</v>
      </c>
      <c r="Z23" s="497" t="s">
        <v>4</v>
      </c>
      <c r="AA23" s="241" t="str">
        <f>IF(OR(U23="yes",Z23&gt;'SDG outcome'!$C$39),"yes","no")</f>
        <v>yes</v>
      </c>
      <c r="AB23" s="521" t="str">
        <f t="shared" si="0"/>
        <v>NA</v>
      </c>
      <c r="AC23" s="527" t="str">
        <f>IF(AND('SMS p2'!AA229="no",AND(Z23&gt;='SDG outcome'!$B$28,Z23&lt;'SDG outcome'!$C$39)),Z23-'SDG outcome'!$B$28,"")</f>
        <v/>
      </c>
      <c r="AD23" s="497" t="s">
        <v>4</v>
      </c>
      <c r="AE23" s="497" t="s">
        <v>4</v>
      </c>
      <c r="AF23" s="497" t="s">
        <v>4</v>
      </c>
      <c r="AG23" s="497" t="s">
        <v>4</v>
      </c>
      <c r="AH23" s="497" t="s">
        <v>4</v>
      </c>
      <c r="AI23" s="497" t="s">
        <v>4</v>
      </c>
      <c r="AJ23" s="497" t="s">
        <v>4</v>
      </c>
      <c r="AK23" s="497" t="s">
        <v>29290</v>
      </c>
      <c r="AL23" s="497" t="s">
        <v>29694</v>
      </c>
      <c r="AM23" s="497" t="s">
        <v>4</v>
      </c>
      <c r="AN23" s="497" t="s">
        <v>4</v>
      </c>
      <c r="AO23" s="497" t="s">
        <v>31599</v>
      </c>
      <c r="AP23" s="497" t="s">
        <v>4</v>
      </c>
      <c r="AQ23" s="497" t="s">
        <v>31600</v>
      </c>
      <c r="AR23" s="497" t="s">
        <v>4</v>
      </c>
      <c r="AS23" s="497" t="s">
        <v>31601</v>
      </c>
      <c r="AT23" s="497" t="s">
        <v>4</v>
      </c>
      <c r="AU23" s="497" t="s">
        <v>7</v>
      </c>
      <c r="AV23" s="497" t="s">
        <v>4</v>
      </c>
      <c r="AW23" s="497" t="s">
        <v>4</v>
      </c>
      <c r="AX23" s="497" t="s">
        <v>2</v>
      </c>
      <c r="AY23" s="497" t="s">
        <v>4</v>
      </c>
      <c r="AZ23" s="497" t="s">
        <v>4</v>
      </c>
      <c r="BA23" s="497" t="s">
        <v>31540</v>
      </c>
      <c r="BB23" s="497" t="s">
        <v>14</v>
      </c>
      <c r="BC23" s="497" t="s">
        <v>4</v>
      </c>
      <c r="BD23" s="501" t="s">
        <v>31564</v>
      </c>
      <c r="BE23" s="497" t="s">
        <v>4</v>
      </c>
      <c r="BF23" s="497" t="s">
        <v>31542</v>
      </c>
      <c r="BG23" s="497" t="s">
        <v>35779</v>
      </c>
      <c r="BH23" s="497" t="s">
        <v>31544</v>
      </c>
      <c r="BI23" s="497">
        <v>3</v>
      </c>
      <c r="BJ23" s="497">
        <v>120</v>
      </c>
      <c r="BK23" s="497" t="s">
        <v>7</v>
      </c>
      <c r="BL23" s="497" t="s">
        <v>6</v>
      </c>
      <c r="BM23" s="494" t="s">
        <v>4</v>
      </c>
      <c r="BN23" s="497" t="s">
        <v>31429</v>
      </c>
      <c r="BO23" s="497">
        <v>1</v>
      </c>
      <c r="BP23" s="497">
        <v>45</v>
      </c>
      <c r="BQ23" s="497" t="s">
        <v>31434</v>
      </c>
      <c r="BR23" s="499" t="s">
        <v>33361</v>
      </c>
      <c r="BS23" s="497" t="s">
        <v>4</v>
      </c>
      <c r="BT23" s="497">
        <v>3</v>
      </c>
      <c r="BU23" s="494" cm="1">
        <f t="array" ref="BU23">_xlfn.IFS(BQ23="Foreword vehicle",BT23*0,BQ23="Human wastes",BT23*0,BS23="Jerrycans",BT23*$BT$4,BQ23="Number of Basins",BT23*$BS$5,BQ23="Number of Buckets",BT23*$BT$6,BQ23="Number of Kgs",BT23*$BT$7,BQ23="Number of spades",BT23*$BT$8,BQ23="Number of wheelbarrows",BT23*$BT$9,BS23="Septic Tank",BT23*0)</f>
        <v>63</v>
      </c>
      <c r="BV23" s="494">
        <f>Table15[[#This Row],[Calculation: Conversion of metric to Kg manure feeding (Columns: BP, BQ, BR)]]*Table15[[#This Row],[Number of times used to feed biodigester]]</f>
        <v>63</v>
      </c>
      <c r="BW23" s="495" cm="1">
        <f t="array" ref="BW23">_xlfn.IFS(BN23="Number of times per day (1 to 3)",BV23/$BW$3,BN23="Number of times per week (1 to 6)",BV23/$BW$4,BN23="Number of times per Month (1 to 3)",BV23/$BW$5)</f>
        <v>9</v>
      </c>
      <c r="BX23" s="497" t="s">
        <v>31541</v>
      </c>
      <c r="BY23" s="497" t="s">
        <v>4</v>
      </c>
      <c r="BZ23" s="497" t="s">
        <v>2</v>
      </c>
      <c r="CA23" s="497" t="s">
        <v>4</v>
      </c>
      <c r="CB23" s="497" t="s">
        <v>4</v>
      </c>
      <c r="CC23" s="497" t="s">
        <v>4</v>
      </c>
      <c r="CD23" s="497" t="s">
        <v>7</v>
      </c>
      <c r="CE23" s="497" t="s">
        <v>35780</v>
      </c>
      <c r="CF23" s="497" t="s">
        <v>4</v>
      </c>
      <c r="CG23" s="497" t="s">
        <v>31683</v>
      </c>
      <c r="CH23" s="497">
        <v>1</v>
      </c>
      <c r="CI23" s="497">
        <v>5</v>
      </c>
      <c r="CJ23" s="497">
        <v>0</v>
      </c>
      <c r="CK23" s="497">
        <v>0</v>
      </c>
      <c r="CL23" s="497">
        <v>0</v>
      </c>
      <c r="CM23" s="497">
        <v>0</v>
      </c>
      <c r="CN23" s="497">
        <v>0</v>
      </c>
      <c r="CO23" s="497">
        <v>0</v>
      </c>
      <c r="CP23" s="497">
        <v>0</v>
      </c>
      <c r="CQ23" s="497">
        <v>0</v>
      </c>
      <c r="CR23" s="497">
        <f>IF(Table15[[#This Row],[Is your biodigester working?]]="yes",CO23/'SDG outcome'!$C$9*CP23*CQ23,"")</f>
        <v>0</v>
      </c>
      <c r="CS23" s="497">
        <v>100</v>
      </c>
      <c r="CT23" s="500">
        <v>0</v>
      </c>
      <c r="CU23" s="496" t="s">
        <v>4</v>
      </c>
      <c r="CV23" s="497">
        <v>70</v>
      </c>
      <c r="CW23" s="500">
        <v>30</v>
      </c>
      <c r="CX23" s="496" t="s">
        <v>35781</v>
      </c>
      <c r="CY23" s="496" t="s">
        <v>4</v>
      </c>
      <c r="CZ23" s="496" t="s">
        <v>4</v>
      </c>
      <c r="DA23" s="496" t="s">
        <v>4</v>
      </c>
      <c r="DB23" s="496" t="s">
        <v>4</v>
      </c>
      <c r="DC23" s="496" t="s">
        <v>4</v>
      </c>
      <c r="DD23" s="496" t="s">
        <v>4</v>
      </c>
      <c r="DE23" s="496" t="s">
        <v>4</v>
      </c>
      <c r="DF23" s="496" t="s">
        <v>4</v>
      </c>
      <c r="DG23" s="497" t="s">
        <v>4</v>
      </c>
      <c r="DH23" s="497" t="s">
        <v>4</v>
      </c>
      <c r="DI23" s="497" t="s">
        <v>4</v>
      </c>
      <c r="DJ23" s="497" t="s">
        <v>4</v>
      </c>
      <c r="DK23" s="497" t="s">
        <v>4</v>
      </c>
      <c r="DL23" s="497" t="s">
        <v>4</v>
      </c>
      <c r="DM23" s="497" t="s">
        <v>4</v>
      </c>
      <c r="DN23" s="497">
        <v>5</v>
      </c>
      <c r="DO23" s="497" t="s">
        <v>2</v>
      </c>
      <c r="DP23" s="497" t="s">
        <v>29292</v>
      </c>
      <c r="DQ23" s="497" t="s">
        <v>4</v>
      </c>
      <c r="DR23" s="497" t="s">
        <v>29294</v>
      </c>
      <c r="DS23" s="494" t="s">
        <v>4</v>
      </c>
      <c r="DT23" s="497" t="s">
        <v>29294</v>
      </c>
      <c r="DU23" s="494" t="s">
        <v>4</v>
      </c>
      <c r="DV23" s="500" t="s">
        <v>29508</v>
      </c>
      <c r="DW23" s="496" t="s">
        <v>4</v>
      </c>
      <c r="DX23" s="497" t="s">
        <v>4</v>
      </c>
      <c r="DY23" s="497" t="s">
        <v>4</v>
      </c>
      <c r="DZ23" s="497" t="s">
        <v>4</v>
      </c>
      <c r="EA23" s="497" t="s">
        <v>4</v>
      </c>
      <c r="EB23" s="497" t="s">
        <v>4</v>
      </c>
      <c r="EC23" s="497" t="s">
        <v>4</v>
      </c>
      <c r="ED23" s="497">
        <v>100</v>
      </c>
      <c r="EE23" s="497" t="s">
        <v>30667</v>
      </c>
      <c r="EF23" s="496" t="s">
        <v>4</v>
      </c>
      <c r="EG23" s="496" t="s">
        <v>4</v>
      </c>
      <c r="EH23" s="497">
        <v>100</v>
      </c>
      <c r="EI23" s="496" t="s">
        <v>4</v>
      </c>
      <c r="EJ23" s="496" t="s">
        <v>4</v>
      </c>
      <c r="EK23" s="496" t="s">
        <v>4</v>
      </c>
      <c r="EL23" s="496" t="s">
        <v>4</v>
      </c>
      <c r="EM23" s="497">
        <v>10</v>
      </c>
      <c r="EN23" s="496" t="s">
        <v>4</v>
      </c>
      <c r="EO23" s="496" t="s">
        <v>4</v>
      </c>
      <c r="EP23" s="496" t="s">
        <v>4</v>
      </c>
      <c r="EQ23" s="497" t="s">
        <v>29296</v>
      </c>
      <c r="ER23" s="497">
        <v>100</v>
      </c>
      <c r="ES23" s="496" t="s">
        <v>4</v>
      </c>
      <c r="ET23" s="496" t="s">
        <v>4</v>
      </c>
      <c r="EU23" s="496" t="s">
        <v>4</v>
      </c>
      <c r="EV23" s="496" t="s">
        <v>4</v>
      </c>
      <c r="EW23" s="497">
        <v>7</v>
      </c>
      <c r="EX23" s="497" t="s">
        <v>7</v>
      </c>
      <c r="EY23" s="497">
        <v>100</v>
      </c>
      <c r="EZ23" s="239">
        <f t="shared" si="1"/>
        <v>7</v>
      </c>
      <c r="FA23" s="497" t="s">
        <v>35782</v>
      </c>
      <c r="FB23" s="497" t="s">
        <v>29298</v>
      </c>
      <c r="FC23" s="497">
        <v>20</v>
      </c>
      <c r="FD23" s="497" t="s">
        <v>7</v>
      </c>
      <c r="FE23" s="497" t="s">
        <v>33995</v>
      </c>
      <c r="FF23" s="497" t="s">
        <v>4</v>
      </c>
      <c r="FG23" s="497" t="s">
        <v>7</v>
      </c>
      <c r="FH23" s="497" t="s">
        <v>29492</v>
      </c>
      <c r="FI23" s="497" t="s">
        <v>4</v>
      </c>
      <c r="FJ23" s="497" t="s">
        <v>29477</v>
      </c>
      <c r="FK23" s="497" t="s">
        <v>4</v>
      </c>
      <c r="FL23" s="497" t="s">
        <v>29292</v>
      </c>
      <c r="FM23" s="497" t="s">
        <v>29294</v>
      </c>
      <c r="FN23" s="494" t="s">
        <v>4</v>
      </c>
      <c r="FO23" s="497" t="s">
        <v>4</v>
      </c>
      <c r="FP23" s="497" t="s">
        <v>2</v>
      </c>
      <c r="FQ23" s="497" t="s">
        <v>4</v>
      </c>
      <c r="FR23" s="497" t="s">
        <v>4</v>
      </c>
      <c r="FS23" s="497" t="s">
        <v>2</v>
      </c>
      <c r="FT23" s="497" t="s">
        <v>7</v>
      </c>
      <c r="FU23" s="497" t="s">
        <v>29302</v>
      </c>
      <c r="FV23" s="497" t="s">
        <v>33825</v>
      </c>
      <c r="FW23" s="497" t="s">
        <v>4</v>
      </c>
      <c r="FX23" s="497">
        <v>0</v>
      </c>
      <c r="FY23" s="497" t="s">
        <v>4</v>
      </c>
      <c r="FZ23" s="497" t="s">
        <v>4</v>
      </c>
      <c r="GA23" s="497" t="s">
        <v>4</v>
      </c>
      <c r="GB23" s="497" t="s">
        <v>4</v>
      </c>
      <c r="GC23" s="497" t="s">
        <v>4</v>
      </c>
      <c r="GD23" s="497" t="s">
        <v>4</v>
      </c>
      <c r="GE23" s="497" t="s">
        <v>4</v>
      </c>
      <c r="GF23" s="497" t="s">
        <v>4</v>
      </c>
      <c r="GG23" s="497" t="s">
        <v>4</v>
      </c>
      <c r="GH23" s="497" t="s">
        <v>4</v>
      </c>
      <c r="GI23" s="497" t="s">
        <v>29304</v>
      </c>
      <c r="GJ23" s="497" t="s">
        <v>29882</v>
      </c>
      <c r="GK23" s="497" t="s">
        <v>29306</v>
      </c>
      <c r="GL23" s="497" t="s">
        <v>35783</v>
      </c>
      <c r="GM23" s="497" t="s">
        <v>30821</v>
      </c>
      <c r="GN23" s="497" t="s">
        <v>4</v>
      </c>
      <c r="GO23" s="497" t="s">
        <v>4</v>
      </c>
      <c r="GP23" s="497" t="s">
        <v>4</v>
      </c>
      <c r="GQ23" s="497" t="s">
        <v>4</v>
      </c>
      <c r="GR23" s="497" t="s">
        <v>4</v>
      </c>
      <c r="GS23" s="497" t="s">
        <v>4</v>
      </c>
      <c r="GT23" s="497" t="s">
        <v>29410</v>
      </c>
      <c r="GU23" s="497" t="s">
        <v>4</v>
      </c>
      <c r="GV23" s="494">
        <v>2</v>
      </c>
      <c r="GW23" s="497" t="s">
        <v>7</v>
      </c>
      <c r="GX23" s="497" t="s">
        <v>29837</v>
      </c>
      <c r="GY23" s="497" t="s">
        <v>4</v>
      </c>
      <c r="GZ23" s="497" t="s">
        <v>4</v>
      </c>
      <c r="HA23" s="497" t="s">
        <v>4</v>
      </c>
      <c r="HB23" s="497" t="s">
        <v>4</v>
      </c>
      <c r="HC23" s="497" t="s">
        <v>4</v>
      </c>
      <c r="HD23" s="497" t="s">
        <v>4</v>
      </c>
      <c r="HE23" s="497" t="s">
        <v>4</v>
      </c>
      <c r="HF23" s="497" t="s">
        <v>4</v>
      </c>
      <c r="HG23" s="497" t="s">
        <v>2</v>
      </c>
      <c r="HH23" s="497" t="s">
        <v>4</v>
      </c>
      <c r="HI23" s="497" t="s">
        <v>4</v>
      </c>
      <c r="HJ23" s="497" t="s">
        <v>4</v>
      </c>
      <c r="HK23" s="494" t="s">
        <v>4</v>
      </c>
      <c r="HL23" s="497" t="s">
        <v>33474</v>
      </c>
      <c r="HM23" s="497" t="s">
        <v>2</v>
      </c>
      <c r="HN23" s="497" t="s">
        <v>4</v>
      </c>
      <c r="HO23" s="497" t="s">
        <v>16</v>
      </c>
      <c r="HP23" s="497" t="s">
        <v>35784</v>
      </c>
      <c r="HQ23" s="497" t="s">
        <v>35785</v>
      </c>
      <c r="HR23" s="497" t="s">
        <v>35786</v>
      </c>
      <c r="HS23" s="497" t="s">
        <v>35787</v>
      </c>
      <c r="HT23" s="500" t="s">
        <v>35776</v>
      </c>
    </row>
    <row r="24" spans="1:228" s="570" customFormat="1" ht="30.2" customHeight="1" x14ac:dyDescent="0.25">
      <c r="A24" s="759"/>
      <c r="B24" s="496">
        <v>226</v>
      </c>
      <c r="C24" s="496" t="s">
        <v>27833</v>
      </c>
      <c r="D24" s="497" t="s">
        <v>35842</v>
      </c>
      <c r="E24" s="497" t="s">
        <v>30786</v>
      </c>
      <c r="F24" s="497" t="s">
        <v>7</v>
      </c>
      <c r="G24" s="497" t="s">
        <v>35843</v>
      </c>
      <c r="H24" s="497">
        <v>1258.7</v>
      </c>
      <c r="I24" s="497">
        <v>5</v>
      </c>
      <c r="J24" s="497" t="s">
        <v>29319</v>
      </c>
      <c r="K24" s="497" t="s">
        <v>4</v>
      </c>
      <c r="L24" s="497" t="s">
        <v>35844</v>
      </c>
      <c r="M24" s="497">
        <v>772669351</v>
      </c>
      <c r="N24" s="497" t="s">
        <v>5</v>
      </c>
      <c r="O24" s="497" t="s">
        <v>31590</v>
      </c>
      <c r="P24" s="497" t="s">
        <v>4</v>
      </c>
      <c r="Q24" s="497">
        <v>4</v>
      </c>
      <c r="R24" s="497" t="s">
        <v>7</v>
      </c>
      <c r="S24" s="497" t="s">
        <v>31549</v>
      </c>
      <c r="T24" s="497" t="s">
        <v>4</v>
      </c>
      <c r="U24" s="497" t="s">
        <v>7</v>
      </c>
      <c r="V24" s="497" t="s">
        <v>7</v>
      </c>
      <c r="W24" s="497" t="s">
        <v>4</v>
      </c>
      <c r="X24" s="497" t="s">
        <v>7</v>
      </c>
      <c r="Y24" s="497" t="s">
        <v>4</v>
      </c>
      <c r="Z24" s="497" t="s">
        <v>4</v>
      </c>
      <c r="AA24" s="241" t="str">
        <f>IF(OR(U24="yes",Z24&gt;'SDG outcome'!$C$39),"yes","no")</f>
        <v>yes</v>
      </c>
      <c r="AB24" s="521" t="str">
        <f t="shared" si="0"/>
        <v>NA</v>
      </c>
      <c r="AC24" s="527" t="str">
        <f>IF(AND('SMS p2'!AA237="no",AND(Z24&gt;='SDG outcome'!$B$28,Z24&lt;'SDG outcome'!$C$39)),Z24-'SDG outcome'!$B$28,"")</f>
        <v/>
      </c>
      <c r="AD24" s="497" t="s">
        <v>4</v>
      </c>
      <c r="AE24" s="497" t="s">
        <v>4</v>
      </c>
      <c r="AF24" s="497" t="s">
        <v>4</v>
      </c>
      <c r="AG24" s="497" t="s">
        <v>4</v>
      </c>
      <c r="AH24" s="497" t="s">
        <v>4</v>
      </c>
      <c r="AI24" s="497" t="s">
        <v>4</v>
      </c>
      <c r="AJ24" s="497" t="s">
        <v>4</v>
      </c>
      <c r="AK24" s="497" t="s">
        <v>29290</v>
      </c>
      <c r="AL24" s="497" t="s">
        <v>29694</v>
      </c>
      <c r="AM24" s="497" t="s">
        <v>4</v>
      </c>
      <c r="AN24" s="497" t="s">
        <v>4</v>
      </c>
      <c r="AO24" s="497" t="s">
        <v>31599</v>
      </c>
      <c r="AP24" s="497" t="s">
        <v>4</v>
      </c>
      <c r="AQ24" s="497" t="s">
        <v>31537</v>
      </c>
      <c r="AR24" s="497" t="s">
        <v>4</v>
      </c>
      <c r="AS24" s="497" t="s">
        <v>31538</v>
      </c>
      <c r="AT24" s="497" t="s">
        <v>4</v>
      </c>
      <c r="AU24" s="497" t="s">
        <v>7</v>
      </c>
      <c r="AV24" s="497" t="s">
        <v>4</v>
      </c>
      <c r="AW24" s="497" t="s">
        <v>4</v>
      </c>
      <c r="AX24" s="497" t="s">
        <v>2</v>
      </c>
      <c r="AY24" s="497" t="s">
        <v>4</v>
      </c>
      <c r="AZ24" s="497" t="s">
        <v>4</v>
      </c>
      <c r="BA24" s="497" t="s">
        <v>31540</v>
      </c>
      <c r="BB24" s="497" t="s">
        <v>22</v>
      </c>
      <c r="BC24" s="497" t="s">
        <v>4</v>
      </c>
      <c r="BD24" s="497" t="s">
        <v>22</v>
      </c>
      <c r="BE24" s="497" t="s">
        <v>4</v>
      </c>
      <c r="BF24" s="497" t="s">
        <v>31542</v>
      </c>
      <c r="BG24" s="497" t="s">
        <v>35845</v>
      </c>
      <c r="BH24" s="497" t="s">
        <v>31616</v>
      </c>
      <c r="BI24" s="497">
        <v>2</v>
      </c>
      <c r="BJ24" s="497">
        <v>60</v>
      </c>
      <c r="BK24" s="497" t="s">
        <v>7</v>
      </c>
      <c r="BL24" s="497" t="s">
        <v>6</v>
      </c>
      <c r="BM24" s="494" t="s">
        <v>4</v>
      </c>
      <c r="BN24" s="497" t="s">
        <v>31429</v>
      </c>
      <c r="BO24" s="497">
        <v>3</v>
      </c>
      <c r="BP24" s="497">
        <v>40</v>
      </c>
      <c r="BQ24" s="497" t="s">
        <v>31435</v>
      </c>
      <c r="BR24" s="499" t="s">
        <v>33361</v>
      </c>
      <c r="BS24" s="497" t="s">
        <v>4</v>
      </c>
      <c r="BT24" s="497">
        <v>1</v>
      </c>
      <c r="BU24" s="494" cm="1">
        <f t="array" ref="BU24">_xlfn.IFS(BQ24="Foreword vehicle",BT24*0,BQ24="Human wastes",BT24*0,BS24="Jerrycans",BT24*$BT$4,BQ24="Number of Basins",BT24*$BT$5,BQ24="Number of Buckets",BT24*$BT$6,BQ24="Number of Kgs",BT24*$BT$7,BQ24="Number of spades",BT24*$BT$8,BQ24="Number of wheelbarrows",BT24*$BS$9,BS24="Septic Tank",BT24*0)</f>
        <v>82.5</v>
      </c>
      <c r="BV24" s="494">
        <f>Table15[[#This Row],[Calculation: Conversion of metric to Kg manure feeding (Columns: BP, BQ, BR)]]*Table15[[#This Row],[Number of times used to feed biodigester]]</f>
        <v>247.5</v>
      </c>
      <c r="BW24" s="495" cm="1">
        <f t="array" ref="BW24">_xlfn.IFS(BN24="Number of times per day (1 to 3)",BV24/$BW$3,BN24="Number of times per week (1 to 6)",BV24/$BW$4,BN24="Number of times per Month (1 to 3)",BV24/$BW$5)</f>
        <v>35.357142857142854</v>
      </c>
      <c r="BX24" s="497" t="s">
        <v>22</v>
      </c>
      <c r="BY24" s="497" t="s">
        <v>4</v>
      </c>
      <c r="BZ24" s="497" t="s">
        <v>2</v>
      </c>
      <c r="CA24" s="497" t="s">
        <v>4</v>
      </c>
      <c r="CB24" s="497" t="s">
        <v>4</v>
      </c>
      <c r="CC24" s="497" t="s">
        <v>4</v>
      </c>
      <c r="CD24" s="497" t="s">
        <v>7</v>
      </c>
      <c r="CE24" s="497" t="s">
        <v>35846</v>
      </c>
      <c r="CF24" s="497" t="s">
        <v>4</v>
      </c>
      <c r="CG24" s="497" t="s">
        <v>31604</v>
      </c>
      <c r="CH24" s="497">
        <v>4</v>
      </c>
      <c r="CI24" s="497">
        <v>0</v>
      </c>
      <c r="CJ24" s="497">
        <v>0</v>
      </c>
      <c r="CK24" s="497">
        <v>0</v>
      </c>
      <c r="CL24" s="497">
        <v>0</v>
      </c>
      <c r="CM24" s="497">
        <v>0</v>
      </c>
      <c r="CN24" s="497">
        <v>0</v>
      </c>
      <c r="CO24" s="497">
        <v>0</v>
      </c>
      <c r="CP24" s="497">
        <v>0</v>
      </c>
      <c r="CQ24" s="497">
        <v>0</v>
      </c>
      <c r="CR24" s="497">
        <f>IF(Table15[[#This Row],[Is your biodigester working?]]="yes",CO24/'SDG outcome'!$C$9*CP24*CQ24,"")</f>
        <v>0</v>
      </c>
      <c r="CS24" s="497">
        <v>100</v>
      </c>
      <c r="CT24" s="500">
        <v>0</v>
      </c>
      <c r="CU24" s="496" t="s">
        <v>4</v>
      </c>
      <c r="CV24" s="497" t="s">
        <v>4</v>
      </c>
      <c r="CW24" s="500" t="s">
        <v>4</v>
      </c>
      <c r="CX24" s="496" t="s">
        <v>4</v>
      </c>
      <c r="CY24" s="497" t="s">
        <v>4</v>
      </c>
      <c r="CZ24" s="500" t="s">
        <v>4</v>
      </c>
      <c r="DA24" s="496" t="s">
        <v>4</v>
      </c>
      <c r="DB24" s="497" t="s">
        <v>4</v>
      </c>
      <c r="DC24" s="497" t="s">
        <v>4</v>
      </c>
      <c r="DD24" s="497" t="s">
        <v>4</v>
      </c>
      <c r="DE24" s="497" t="s">
        <v>4</v>
      </c>
      <c r="DF24" s="497" t="s">
        <v>4</v>
      </c>
      <c r="DG24" s="497" t="s">
        <v>4</v>
      </c>
      <c r="DH24" s="497" t="s">
        <v>4</v>
      </c>
      <c r="DI24" s="497" t="s">
        <v>4</v>
      </c>
      <c r="DJ24" s="497" t="s">
        <v>4</v>
      </c>
      <c r="DK24" s="497" t="s">
        <v>4</v>
      </c>
      <c r="DL24" s="497" t="s">
        <v>4</v>
      </c>
      <c r="DM24" s="497" t="s">
        <v>4</v>
      </c>
      <c r="DN24" s="497">
        <v>4</v>
      </c>
      <c r="DO24" s="497" t="s">
        <v>2</v>
      </c>
      <c r="DP24" s="497" t="s">
        <v>29292</v>
      </c>
      <c r="DQ24" s="497" t="s">
        <v>4</v>
      </c>
      <c r="DR24" s="497" t="s">
        <v>29294</v>
      </c>
      <c r="DS24" s="494" t="s">
        <v>4</v>
      </c>
      <c r="DT24" s="497" t="s">
        <v>29294</v>
      </c>
      <c r="DU24" s="494" t="s">
        <v>4</v>
      </c>
      <c r="DV24" s="500" t="s">
        <v>29508</v>
      </c>
      <c r="DW24" s="496" t="s">
        <v>4</v>
      </c>
      <c r="DX24" s="497" t="s">
        <v>4</v>
      </c>
      <c r="DY24" s="497" t="s">
        <v>4</v>
      </c>
      <c r="DZ24" s="497" t="s">
        <v>4</v>
      </c>
      <c r="EA24" s="497" t="s">
        <v>4</v>
      </c>
      <c r="EB24" s="497" t="s">
        <v>4</v>
      </c>
      <c r="EC24" s="497" t="s">
        <v>4</v>
      </c>
      <c r="ED24" s="497">
        <v>100</v>
      </c>
      <c r="EE24" s="497" t="s">
        <v>26</v>
      </c>
      <c r="EF24" s="497" t="s">
        <v>4</v>
      </c>
      <c r="EG24" s="497" t="s">
        <v>4</v>
      </c>
      <c r="EH24" s="497" t="s">
        <v>4</v>
      </c>
      <c r="EI24" s="497">
        <v>100</v>
      </c>
      <c r="EJ24" s="497" t="s">
        <v>4</v>
      </c>
      <c r="EK24" s="497" t="s">
        <v>4</v>
      </c>
      <c r="EL24" s="497" t="s">
        <v>4</v>
      </c>
      <c r="EM24" s="497">
        <v>5</v>
      </c>
      <c r="EN24" s="497" t="s">
        <v>4</v>
      </c>
      <c r="EO24" s="497" t="s">
        <v>4</v>
      </c>
      <c r="EP24" s="497" t="s">
        <v>4</v>
      </c>
      <c r="EQ24" s="497" t="s">
        <v>29296</v>
      </c>
      <c r="ER24" s="497">
        <v>100</v>
      </c>
      <c r="ES24" s="497" t="s">
        <v>4</v>
      </c>
      <c r="ET24" s="497" t="s">
        <v>4</v>
      </c>
      <c r="EU24" s="497" t="s">
        <v>4</v>
      </c>
      <c r="EV24" s="497" t="s">
        <v>4</v>
      </c>
      <c r="EW24" s="497">
        <v>7</v>
      </c>
      <c r="EX24" s="497" t="s">
        <v>7</v>
      </c>
      <c r="EY24" s="497">
        <v>100</v>
      </c>
      <c r="EZ24" s="239">
        <f t="shared" si="1"/>
        <v>7</v>
      </c>
      <c r="FA24" s="497" t="s">
        <v>35847</v>
      </c>
      <c r="FB24" s="497" t="s">
        <v>29298</v>
      </c>
      <c r="FC24" s="497">
        <v>36</v>
      </c>
      <c r="FD24" s="497" t="s">
        <v>7</v>
      </c>
      <c r="FE24" s="497" t="s">
        <v>29393</v>
      </c>
      <c r="FF24" s="497" t="s">
        <v>4</v>
      </c>
      <c r="FG24" s="497" t="s">
        <v>2</v>
      </c>
      <c r="FH24" s="497" t="s">
        <v>4</v>
      </c>
      <c r="FI24" s="497" t="s">
        <v>4</v>
      </c>
      <c r="FJ24" s="497" t="s">
        <v>4</v>
      </c>
      <c r="FK24" s="497" t="s">
        <v>4</v>
      </c>
      <c r="FL24" s="497" t="s">
        <v>4</v>
      </c>
      <c r="FM24" s="497" t="s">
        <v>4</v>
      </c>
      <c r="FN24" s="494" t="s">
        <v>4</v>
      </c>
      <c r="FO24" s="497" t="s">
        <v>4</v>
      </c>
      <c r="FP24" s="497" t="s">
        <v>2</v>
      </c>
      <c r="FQ24" s="497" t="s">
        <v>4</v>
      </c>
      <c r="FR24" s="497" t="s">
        <v>4</v>
      </c>
      <c r="FS24" s="497" t="s">
        <v>2</v>
      </c>
      <c r="FT24" s="497" t="s">
        <v>7</v>
      </c>
      <c r="FU24" s="497" t="s">
        <v>29302</v>
      </c>
      <c r="FV24" s="497" t="s">
        <v>35848</v>
      </c>
      <c r="FW24" s="497" t="s">
        <v>4</v>
      </c>
      <c r="FX24" s="497">
        <v>0</v>
      </c>
      <c r="FY24" s="497" t="s">
        <v>4</v>
      </c>
      <c r="FZ24" s="497" t="s">
        <v>4</v>
      </c>
      <c r="GA24" s="497" t="s">
        <v>4</v>
      </c>
      <c r="GB24" s="497" t="s">
        <v>4</v>
      </c>
      <c r="GC24" s="497" t="s">
        <v>4</v>
      </c>
      <c r="GD24" s="497" t="s">
        <v>4</v>
      </c>
      <c r="GE24" s="497" t="s">
        <v>4</v>
      </c>
      <c r="GF24" s="497" t="s">
        <v>4</v>
      </c>
      <c r="GG24" s="497" t="s">
        <v>4</v>
      </c>
      <c r="GH24" s="497" t="s">
        <v>4</v>
      </c>
      <c r="GI24" s="497" t="s">
        <v>29304</v>
      </c>
      <c r="GJ24" s="497" t="s">
        <v>29478</v>
      </c>
      <c r="GK24" s="497" t="s">
        <v>29306</v>
      </c>
      <c r="GL24" s="497" t="s">
        <v>30337</v>
      </c>
      <c r="GM24" s="497" t="s">
        <v>4</v>
      </c>
      <c r="GN24" s="497" t="s">
        <v>4</v>
      </c>
      <c r="GO24" s="497" t="s">
        <v>4</v>
      </c>
      <c r="GP24" s="497" t="s">
        <v>4</v>
      </c>
      <c r="GQ24" s="497" t="s">
        <v>4</v>
      </c>
      <c r="GR24" s="497" t="s">
        <v>4</v>
      </c>
      <c r="GS24" s="497" t="s">
        <v>4</v>
      </c>
      <c r="GT24" s="497" t="s">
        <v>30516</v>
      </c>
      <c r="GU24" s="497" t="s">
        <v>4</v>
      </c>
      <c r="GV24" s="494">
        <v>3</v>
      </c>
      <c r="GW24" s="497" t="s">
        <v>7</v>
      </c>
      <c r="GX24" s="497" t="s">
        <v>29837</v>
      </c>
      <c r="GY24" s="497" t="s">
        <v>4</v>
      </c>
      <c r="GZ24" s="497" t="s">
        <v>4</v>
      </c>
      <c r="HA24" s="497" t="s">
        <v>4</v>
      </c>
      <c r="HB24" s="497" t="s">
        <v>4</v>
      </c>
      <c r="HC24" s="497" t="s">
        <v>4</v>
      </c>
      <c r="HD24" s="497" t="s">
        <v>4</v>
      </c>
      <c r="HE24" s="497" t="s">
        <v>4</v>
      </c>
      <c r="HF24" s="497" t="s">
        <v>4</v>
      </c>
      <c r="HG24" s="497" t="s">
        <v>2</v>
      </c>
      <c r="HH24" s="497" t="s">
        <v>4</v>
      </c>
      <c r="HI24" s="497" t="s">
        <v>4</v>
      </c>
      <c r="HJ24" s="497" t="s">
        <v>4</v>
      </c>
      <c r="HK24" s="494" t="s">
        <v>4</v>
      </c>
      <c r="HL24" s="497" t="s">
        <v>33474</v>
      </c>
      <c r="HM24" s="497" t="s">
        <v>2</v>
      </c>
      <c r="HN24" s="497" t="s">
        <v>4</v>
      </c>
      <c r="HO24" s="497" t="s">
        <v>16</v>
      </c>
      <c r="HP24" s="497" t="s">
        <v>35849</v>
      </c>
      <c r="HQ24" s="497" t="s">
        <v>35850</v>
      </c>
      <c r="HR24" s="497" t="s">
        <v>35851</v>
      </c>
      <c r="HS24" s="497" t="s">
        <v>35852</v>
      </c>
      <c r="HT24" s="500" t="s">
        <v>35842</v>
      </c>
    </row>
    <row r="25" spans="1:228" s="570" customFormat="1" ht="30.2" customHeight="1" x14ac:dyDescent="0.25">
      <c r="A25" s="759"/>
      <c r="B25" s="496">
        <v>56</v>
      </c>
      <c r="C25" s="496" t="s">
        <v>19453</v>
      </c>
      <c r="D25" s="497" t="s">
        <v>33981</v>
      </c>
      <c r="E25" s="497" t="s">
        <v>33859</v>
      </c>
      <c r="F25" s="497" t="s">
        <v>7</v>
      </c>
      <c r="G25" s="497" t="s">
        <v>33982</v>
      </c>
      <c r="H25" s="497">
        <v>1183.9736330000001</v>
      </c>
      <c r="I25" s="497">
        <v>4.3756279999999999</v>
      </c>
      <c r="J25" s="497" t="s">
        <v>29319</v>
      </c>
      <c r="K25" s="497" t="s">
        <v>4</v>
      </c>
      <c r="L25" s="497" t="s">
        <v>33983</v>
      </c>
      <c r="M25" s="497">
        <v>782106423</v>
      </c>
      <c r="N25" s="497" t="s">
        <v>5</v>
      </c>
      <c r="O25" s="497" t="s">
        <v>31438</v>
      </c>
      <c r="P25" s="497">
        <v>40</v>
      </c>
      <c r="Q25" s="497">
        <v>24</v>
      </c>
      <c r="R25" s="497" t="s">
        <v>7</v>
      </c>
      <c r="S25" s="497" t="s">
        <v>31588</v>
      </c>
      <c r="T25" s="497" t="s">
        <v>4</v>
      </c>
      <c r="U25" s="497" t="s">
        <v>7</v>
      </c>
      <c r="V25" s="497" t="s">
        <v>7</v>
      </c>
      <c r="W25" s="497" t="s">
        <v>4</v>
      </c>
      <c r="X25" s="497" t="s">
        <v>7</v>
      </c>
      <c r="Y25" s="497" t="s">
        <v>4</v>
      </c>
      <c r="Z25" s="497" t="s">
        <v>4</v>
      </c>
      <c r="AA25" s="241" t="str">
        <f>IF(OR(U25="yes",Z25&gt;'SDG outcome'!$C$39),"yes","no")</f>
        <v>yes</v>
      </c>
      <c r="AB25" s="521" t="str">
        <f t="shared" si="0"/>
        <v>NA</v>
      </c>
      <c r="AC25" s="527" t="str">
        <f>IF(AND('SMS p2'!AA68="no",AND(Z25&gt;='SDG outcome'!$B$28,Z25&lt;'SDG outcome'!$C$39)),Z25-'SDG outcome'!$B$28,"")</f>
        <v/>
      </c>
      <c r="AD25" s="497" t="s">
        <v>4</v>
      </c>
      <c r="AE25" s="497" t="s">
        <v>4</v>
      </c>
      <c r="AF25" s="497" t="s">
        <v>4</v>
      </c>
      <c r="AG25" s="497" t="s">
        <v>4</v>
      </c>
      <c r="AH25" s="497" t="s">
        <v>4</v>
      </c>
      <c r="AI25" s="497" t="s">
        <v>4</v>
      </c>
      <c r="AJ25" s="497" t="s">
        <v>4</v>
      </c>
      <c r="AK25" s="497" t="s">
        <v>29489</v>
      </c>
      <c r="AL25" s="497" t="s">
        <v>29291</v>
      </c>
      <c r="AM25" s="497" t="s">
        <v>29490</v>
      </c>
      <c r="AN25" s="497" t="s">
        <v>4</v>
      </c>
      <c r="AO25" s="497" t="s">
        <v>31536</v>
      </c>
      <c r="AP25" s="497" t="s">
        <v>4</v>
      </c>
      <c r="AQ25" s="497" t="s">
        <v>31537</v>
      </c>
      <c r="AR25" s="497" t="s">
        <v>4</v>
      </c>
      <c r="AS25" s="497" t="s">
        <v>31538</v>
      </c>
      <c r="AT25" s="497" t="s">
        <v>4</v>
      </c>
      <c r="AU25" s="497" t="s">
        <v>7</v>
      </c>
      <c r="AV25" s="497" t="s">
        <v>4</v>
      </c>
      <c r="AW25" s="497" t="s">
        <v>4</v>
      </c>
      <c r="AX25" s="497" t="s">
        <v>2</v>
      </c>
      <c r="AY25" s="497" t="s">
        <v>4</v>
      </c>
      <c r="AZ25" s="497" t="s">
        <v>4</v>
      </c>
      <c r="BA25" s="497" t="s">
        <v>31563</v>
      </c>
      <c r="BB25" s="497" t="s">
        <v>22</v>
      </c>
      <c r="BC25" s="497" t="s">
        <v>4</v>
      </c>
      <c r="BD25" s="497" t="s">
        <v>13</v>
      </c>
      <c r="BE25" s="497" t="s">
        <v>33984</v>
      </c>
      <c r="BF25" s="497" t="s">
        <v>31542</v>
      </c>
      <c r="BG25" s="497" t="s">
        <v>33985</v>
      </c>
      <c r="BH25" s="497" t="s">
        <v>31566</v>
      </c>
      <c r="BI25" s="497">
        <v>1</v>
      </c>
      <c r="BJ25" s="497">
        <v>240</v>
      </c>
      <c r="BK25" s="497" t="s">
        <v>7</v>
      </c>
      <c r="BL25" s="497" t="s">
        <v>6</v>
      </c>
      <c r="BM25" s="497" t="s">
        <v>4</v>
      </c>
      <c r="BN25" s="497" t="s">
        <v>31425</v>
      </c>
      <c r="BO25" s="497">
        <v>1</v>
      </c>
      <c r="BP25" s="497">
        <v>30</v>
      </c>
      <c r="BQ25" s="497" t="s">
        <v>31426</v>
      </c>
      <c r="BR25" s="499" t="s">
        <v>33332</v>
      </c>
      <c r="BS25" s="497" t="s">
        <v>4</v>
      </c>
      <c r="BT25" s="497">
        <v>4</v>
      </c>
      <c r="BU25" s="494" cm="1">
        <f t="array" ref="BU25">_xlfn.IFS(BQ25="Foreword vehicle",BT25*0,BQ25="Human wastes",BT25*0,BS25="Jerrycans",BT25*$BT$4,BQ25="Number of Basins",BT25*$BT$5,BQ25="Number of Buckets",BT25*$BT$6,BQ25="Number of Kgs",BT25*$BT$7,BQ25="Number of spades",BT25*$BT$8,BQ25="Number of wheelbarrows",BT25*$BT$9,BS25="Septic Tank",BT25*0)</f>
        <v>92</v>
      </c>
      <c r="BV25" s="494">
        <f>Table15[[#This Row],[Calculation: Conversion of metric to Kg manure feeding (Columns: BP, BQ, BR)]]*Table15[[#This Row],[Number of times used to feed biodigester]]</f>
        <v>92</v>
      </c>
      <c r="BW25" s="495" cm="1">
        <f t="array" ref="BW25">_xlfn.IFS(BN25="Number of times per day (1 to 3)",BV25/$BW$3,BN25="Number of times per week (1 to 6)",BV25/$BW$4,BN25="Number of times per Month (1 to 3)",BV25/$BW$5)</f>
        <v>92</v>
      </c>
      <c r="BX25" s="497" t="s">
        <v>13</v>
      </c>
      <c r="BY25" s="497" t="s">
        <v>33986</v>
      </c>
      <c r="BZ25" s="497" t="s">
        <v>2</v>
      </c>
      <c r="CA25" s="497" t="s">
        <v>4</v>
      </c>
      <c r="CB25" s="497" t="s">
        <v>4</v>
      </c>
      <c r="CC25" s="497" t="s">
        <v>4</v>
      </c>
      <c r="CD25" s="497" t="s">
        <v>7</v>
      </c>
      <c r="CE25" s="497" t="s">
        <v>33987</v>
      </c>
      <c r="CF25" s="497" t="s">
        <v>4</v>
      </c>
      <c r="CG25" s="497" t="s">
        <v>33988</v>
      </c>
      <c r="CH25" s="497">
        <v>7</v>
      </c>
      <c r="CI25" s="497">
        <v>0</v>
      </c>
      <c r="CJ25" s="497">
        <v>20</v>
      </c>
      <c r="CK25" s="497">
        <v>0</v>
      </c>
      <c r="CL25" s="497">
        <v>22</v>
      </c>
      <c r="CM25" s="497">
        <v>60</v>
      </c>
      <c r="CN25" s="497">
        <v>0</v>
      </c>
      <c r="CO25" s="497">
        <v>0</v>
      </c>
      <c r="CP25" s="497">
        <v>0</v>
      </c>
      <c r="CQ25" s="497">
        <v>0</v>
      </c>
      <c r="CR25" s="497">
        <f>IF(Table15[[#This Row],[Is your biodigester working?]]="yes",CO25/'SDG outcome'!$C$9*CP25*CQ25,"")</f>
        <v>0</v>
      </c>
      <c r="CS25" s="497">
        <v>50</v>
      </c>
      <c r="CT25" s="500">
        <v>50</v>
      </c>
      <c r="CU25" s="496" t="s">
        <v>33989</v>
      </c>
      <c r="CV25" s="497" t="s">
        <v>4</v>
      </c>
      <c r="CW25" s="500" t="s">
        <v>4</v>
      </c>
      <c r="CX25" s="496" t="s">
        <v>4</v>
      </c>
      <c r="CY25" s="497" t="s">
        <v>4</v>
      </c>
      <c r="CZ25" s="500" t="s">
        <v>4</v>
      </c>
      <c r="DA25" s="496" t="s">
        <v>4</v>
      </c>
      <c r="DB25" s="497">
        <v>0</v>
      </c>
      <c r="DC25" s="497">
        <v>100</v>
      </c>
      <c r="DD25" s="497" t="s">
        <v>33990</v>
      </c>
      <c r="DE25" s="497">
        <v>0</v>
      </c>
      <c r="DF25" s="497">
        <v>100</v>
      </c>
      <c r="DG25" s="497" t="s">
        <v>33991</v>
      </c>
      <c r="DH25" s="497" t="s">
        <v>4</v>
      </c>
      <c r="DI25" s="497" t="s">
        <v>4</v>
      </c>
      <c r="DJ25" s="497" t="s">
        <v>4</v>
      </c>
      <c r="DK25" s="497">
        <v>0</v>
      </c>
      <c r="DL25" s="497">
        <v>100</v>
      </c>
      <c r="DM25" s="497" t="s">
        <v>33992</v>
      </c>
      <c r="DN25" s="497">
        <v>1.5</v>
      </c>
      <c r="DO25" s="497" t="s">
        <v>7</v>
      </c>
      <c r="DP25" s="497" t="s">
        <v>29292</v>
      </c>
      <c r="DQ25" s="497" t="s">
        <v>4</v>
      </c>
      <c r="DR25" s="497" t="s">
        <v>29293</v>
      </c>
      <c r="DS25" s="494">
        <v>100000</v>
      </c>
      <c r="DT25" s="497" t="s">
        <v>29293</v>
      </c>
      <c r="DU25" s="494">
        <v>0</v>
      </c>
      <c r="DV25" s="500" t="s">
        <v>29295</v>
      </c>
      <c r="DW25" s="496">
        <v>100</v>
      </c>
      <c r="DX25" s="497" t="s">
        <v>33993</v>
      </c>
      <c r="DY25" s="497">
        <v>80</v>
      </c>
      <c r="DZ25" s="497">
        <v>10</v>
      </c>
      <c r="EA25" s="497">
        <v>10</v>
      </c>
      <c r="EB25" s="497" t="s">
        <v>4</v>
      </c>
      <c r="EC25" s="497" t="s">
        <v>4</v>
      </c>
      <c r="ED25" s="497" t="s">
        <v>4</v>
      </c>
      <c r="EE25" s="497" t="s">
        <v>4</v>
      </c>
      <c r="EF25" s="497" t="s">
        <v>4</v>
      </c>
      <c r="EG25" s="497" t="s">
        <v>4</v>
      </c>
      <c r="EH25" s="497" t="s">
        <v>4</v>
      </c>
      <c r="EI25" s="497" t="s">
        <v>4</v>
      </c>
      <c r="EJ25" s="497" t="s">
        <v>4</v>
      </c>
      <c r="EK25" s="497" t="s">
        <v>4</v>
      </c>
      <c r="EL25" s="497" t="s">
        <v>4</v>
      </c>
      <c r="EM25" s="497" t="s">
        <v>4</v>
      </c>
      <c r="EN25" s="497" t="s">
        <v>4</v>
      </c>
      <c r="EO25" s="497" t="s">
        <v>4</v>
      </c>
      <c r="EP25" s="497" t="s">
        <v>4</v>
      </c>
      <c r="EQ25" s="497" t="s">
        <v>4</v>
      </c>
      <c r="ER25" s="497" t="s">
        <v>4</v>
      </c>
      <c r="ES25" s="497" t="s">
        <v>4</v>
      </c>
      <c r="ET25" s="497" t="s">
        <v>4</v>
      </c>
      <c r="EU25" s="497" t="s">
        <v>4</v>
      </c>
      <c r="EV25" s="497" t="s">
        <v>4</v>
      </c>
      <c r="EW25" s="497">
        <v>8.5</v>
      </c>
      <c r="EX25" s="497" t="s">
        <v>7</v>
      </c>
      <c r="EY25" s="497">
        <v>76</v>
      </c>
      <c r="EZ25" s="239">
        <f t="shared" si="1"/>
        <v>6.46</v>
      </c>
      <c r="FA25" s="497" t="s">
        <v>33994</v>
      </c>
      <c r="FB25" s="497" t="s">
        <v>29298</v>
      </c>
      <c r="FC25" s="497">
        <v>36</v>
      </c>
      <c r="FD25" s="497" t="s">
        <v>7</v>
      </c>
      <c r="FE25" s="497" t="s">
        <v>29492</v>
      </c>
      <c r="FF25" s="497" t="s">
        <v>4</v>
      </c>
      <c r="FG25" s="497" t="s">
        <v>7</v>
      </c>
      <c r="FH25" s="497" t="s">
        <v>33995</v>
      </c>
      <c r="FI25" s="497" t="s">
        <v>4</v>
      </c>
      <c r="FJ25" s="497" t="s">
        <v>33996</v>
      </c>
      <c r="FK25" s="497" t="s">
        <v>4</v>
      </c>
      <c r="FL25" s="497" t="s">
        <v>29292</v>
      </c>
      <c r="FM25" s="497" t="s">
        <v>29293</v>
      </c>
      <c r="FN25" s="494">
        <v>167000</v>
      </c>
      <c r="FO25" s="497" t="s">
        <v>4</v>
      </c>
      <c r="FP25" s="497" t="s">
        <v>2</v>
      </c>
      <c r="FQ25" s="497" t="s">
        <v>4</v>
      </c>
      <c r="FR25" s="497" t="s">
        <v>4</v>
      </c>
      <c r="FS25" s="497" t="s">
        <v>7</v>
      </c>
      <c r="FT25" s="497" t="s">
        <v>7</v>
      </c>
      <c r="FU25" s="497" t="s">
        <v>29302</v>
      </c>
      <c r="FV25" s="497" t="s">
        <v>33997</v>
      </c>
      <c r="FW25" s="497" t="s">
        <v>4</v>
      </c>
      <c r="FX25" s="497">
        <v>0</v>
      </c>
      <c r="FY25" s="497" t="s">
        <v>4</v>
      </c>
      <c r="FZ25" s="497" t="s">
        <v>4</v>
      </c>
      <c r="GA25" s="497" t="s">
        <v>4</v>
      </c>
      <c r="GB25" s="497" t="s">
        <v>4</v>
      </c>
      <c r="GC25" s="497" t="s">
        <v>4</v>
      </c>
      <c r="GD25" s="497" t="s">
        <v>4</v>
      </c>
      <c r="GE25" s="497" t="s">
        <v>4</v>
      </c>
      <c r="GF25" s="497" t="s">
        <v>4</v>
      </c>
      <c r="GG25" s="497" t="s">
        <v>4</v>
      </c>
      <c r="GH25" s="497" t="s">
        <v>4</v>
      </c>
      <c r="GI25" s="497" t="s">
        <v>29304</v>
      </c>
      <c r="GJ25" s="497" t="s">
        <v>33998</v>
      </c>
      <c r="GK25" s="497" t="s">
        <v>4</v>
      </c>
      <c r="GL25" s="497" t="s">
        <v>4</v>
      </c>
      <c r="GM25" s="497" t="s">
        <v>4</v>
      </c>
      <c r="GN25" s="497" t="s">
        <v>33384</v>
      </c>
      <c r="GO25" s="497" t="s">
        <v>4</v>
      </c>
      <c r="GP25" s="497" t="s">
        <v>4</v>
      </c>
      <c r="GQ25" s="497" t="s">
        <v>4</v>
      </c>
      <c r="GR25" s="497" t="s">
        <v>4</v>
      </c>
      <c r="GS25" s="497" t="s">
        <v>4</v>
      </c>
      <c r="GT25" s="497" t="s">
        <v>29354</v>
      </c>
      <c r="GU25" s="497" t="s">
        <v>4</v>
      </c>
      <c r="GV25" s="494">
        <v>3</v>
      </c>
      <c r="GW25" s="497" t="s">
        <v>2</v>
      </c>
      <c r="GX25" s="497" t="s">
        <v>29309</v>
      </c>
      <c r="GY25" s="497" t="s">
        <v>4</v>
      </c>
      <c r="GZ25" s="497" t="s">
        <v>4</v>
      </c>
      <c r="HA25" s="497" t="s">
        <v>4</v>
      </c>
      <c r="HB25" s="497" t="s">
        <v>4</v>
      </c>
      <c r="HC25" s="497" t="s">
        <v>4</v>
      </c>
      <c r="HD25" s="497" t="s">
        <v>4</v>
      </c>
      <c r="HE25" s="497" t="s">
        <v>4</v>
      </c>
      <c r="HF25" s="497" t="s">
        <v>4</v>
      </c>
      <c r="HG25" s="497" t="s">
        <v>2</v>
      </c>
      <c r="HH25" s="497" t="s">
        <v>4</v>
      </c>
      <c r="HI25" s="497" t="s">
        <v>4</v>
      </c>
      <c r="HJ25" s="497" t="s">
        <v>4</v>
      </c>
      <c r="HK25" s="494" t="s">
        <v>4</v>
      </c>
      <c r="HL25" s="497" t="s">
        <v>33999</v>
      </c>
      <c r="HM25" s="497" t="s">
        <v>7</v>
      </c>
      <c r="HN25" s="497" t="s">
        <v>34000</v>
      </c>
      <c r="HO25" s="497" t="s">
        <v>34001</v>
      </c>
      <c r="HP25" s="497" t="s">
        <v>34002</v>
      </c>
      <c r="HQ25" s="497" t="s">
        <v>34003</v>
      </c>
      <c r="HR25" s="497" t="s">
        <v>34004</v>
      </c>
      <c r="HS25" s="497" t="s">
        <v>34005</v>
      </c>
      <c r="HT25" s="500" t="s">
        <v>33981</v>
      </c>
    </row>
    <row r="26" spans="1:228" s="570" customFormat="1" ht="30.2" customHeight="1" x14ac:dyDescent="0.25">
      <c r="A26" s="759"/>
      <c r="B26" s="496">
        <v>122</v>
      </c>
      <c r="C26" s="496" t="s">
        <v>26267</v>
      </c>
      <c r="D26" s="497" t="s">
        <v>34729</v>
      </c>
      <c r="E26" s="497" t="s">
        <v>34639</v>
      </c>
      <c r="F26" s="497" t="s">
        <v>7</v>
      </c>
      <c r="G26" s="497" t="s">
        <v>34730</v>
      </c>
      <c r="H26" s="497">
        <v>1605.1</v>
      </c>
      <c r="I26" s="497">
        <v>4.7</v>
      </c>
      <c r="J26" s="497" t="s">
        <v>29319</v>
      </c>
      <c r="K26" s="497" t="s">
        <v>4</v>
      </c>
      <c r="L26" s="497" t="s">
        <v>34731</v>
      </c>
      <c r="M26" s="497">
        <v>775579530</v>
      </c>
      <c r="N26" s="497" t="s">
        <v>3</v>
      </c>
      <c r="O26" s="497" t="s">
        <v>31438</v>
      </c>
      <c r="P26" s="497">
        <v>77</v>
      </c>
      <c r="Q26" s="497">
        <v>7</v>
      </c>
      <c r="R26" s="497" t="s">
        <v>7</v>
      </c>
      <c r="S26" s="497" t="s">
        <v>31549</v>
      </c>
      <c r="T26" s="497" t="s">
        <v>4</v>
      </c>
      <c r="U26" s="497" t="s">
        <v>7</v>
      </c>
      <c r="V26" s="497" t="s">
        <v>7</v>
      </c>
      <c r="W26" s="497" t="s">
        <v>4</v>
      </c>
      <c r="X26" s="497" t="s">
        <v>7</v>
      </c>
      <c r="Y26" s="497" t="s">
        <v>4</v>
      </c>
      <c r="Z26" s="497" t="s">
        <v>4</v>
      </c>
      <c r="AA26" s="241" t="str">
        <f>IF(OR(U26="yes",Z26&gt;'SDG outcome'!$C$39),"yes","no")</f>
        <v>yes</v>
      </c>
      <c r="AB26" s="521" t="str">
        <f t="shared" si="0"/>
        <v>NA</v>
      </c>
      <c r="AC26" s="527" t="str">
        <f>IF(AND('SMS p2'!AA134="no",AND(Z26&gt;='SDG outcome'!$B$28,Z26&lt;'SDG outcome'!$C$39)),Z26-'SDG outcome'!$B$28,"")</f>
        <v/>
      </c>
      <c r="AD26" s="497" t="s">
        <v>4</v>
      </c>
      <c r="AE26" s="497" t="s">
        <v>4</v>
      </c>
      <c r="AF26" s="497" t="s">
        <v>4</v>
      </c>
      <c r="AG26" s="497" t="s">
        <v>4</v>
      </c>
      <c r="AH26" s="497" t="s">
        <v>4</v>
      </c>
      <c r="AI26" s="497" t="s">
        <v>4</v>
      </c>
      <c r="AJ26" s="497" t="s">
        <v>4</v>
      </c>
      <c r="AK26" s="497" t="s">
        <v>29290</v>
      </c>
      <c r="AL26" s="497" t="s">
        <v>29694</v>
      </c>
      <c r="AM26" s="497" t="s">
        <v>4</v>
      </c>
      <c r="AN26" s="497" t="s">
        <v>4</v>
      </c>
      <c r="AO26" s="497" t="s">
        <v>31718</v>
      </c>
      <c r="AP26" s="497" t="s">
        <v>4</v>
      </c>
      <c r="AQ26" s="497" t="s">
        <v>31600</v>
      </c>
      <c r="AR26" s="497" t="s">
        <v>4</v>
      </c>
      <c r="AS26" s="497" t="s">
        <v>31538</v>
      </c>
      <c r="AT26" s="497" t="s">
        <v>4</v>
      </c>
      <c r="AU26" s="497" t="s">
        <v>7</v>
      </c>
      <c r="AV26" s="497" t="s">
        <v>4</v>
      </c>
      <c r="AW26" s="497" t="s">
        <v>4</v>
      </c>
      <c r="AX26" s="497" t="s">
        <v>7</v>
      </c>
      <c r="AY26" s="497" t="s">
        <v>6</v>
      </c>
      <c r="AZ26" s="497" t="s">
        <v>4</v>
      </c>
      <c r="BA26" s="497" t="s">
        <v>31563</v>
      </c>
      <c r="BB26" s="497" t="s">
        <v>22</v>
      </c>
      <c r="BC26" s="497" t="s">
        <v>4</v>
      </c>
      <c r="BD26" s="497" t="s">
        <v>31564</v>
      </c>
      <c r="BE26" s="497" t="s">
        <v>4</v>
      </c>
      <c r="BF26" s="497" t="s">
        <v>31542</v>
      </c>
      <c r="BG26" s="497" t="s">
        <v>34732</v>
      </c>
      <c r="BH26" s="497" t="s">
        <v>31616</v>
      </c>
      <c r="BI26" s="497">
        <v>1</v>
      </c>
      <c r="BJ26" s="497">
        <v>60</v>
      </c>
      <c r="BK26" s="497" t="s">
        <v>7</v>
      </c>
      <c r="BL26" s="497" t="s">
        <v>6</v>
      </c>
      <c r="BM26" s="497" t="s">
        <v>4</v>
      </c>
      <c r="BN26" s="497" t="s">
        <v>31429</v>
      </c>
      <c r="BO26" s="497">
        <v>6</v>
      </c>
      <c r="BP26" s="497">
        <v>35</v>
      </c>
      <c r="BQ26" s="497" t="s">
        <v>31435</v>
      </c>
      <c r="BR26" s="499" t="s">
        <v>33332</v>
      </c>
      <c r="BS26" s="497" t="s">
        <v>4</v>
      </c>
      <c r="BT26" s="497">
        <v>1</v>
      </c>
      <c r="BU26" s="494" cm="1">
        <f t="array" ref="BU26">_xlfn.IFS(BQ26="Foreword vehicle",BT26*0,BQ26="Human wastes",BT26*0,BS26="Jerrycans",BT26*$BT$4,BQ26="Number of Basins",BT26*$BT$5,BQ26="Number of Buckets",BT26*$BT$6,BQ26="Number of Kgs",BT26*$BT$7,BQ26="Number of spades",BT26*$BT$8,BQ26="Number of wheelbarrows",BT26*$BT$9,BS26="Septic Tank",BT26*0)</f>
        <v>70.5</v>
      </c>
      <c r="BV26" s="494">
        <f>Table15[[#This Row],[Calculation: Conversion of metric to Kg manure feeding (Columns: BP, BQ, BR)]]*Table15[[#This Row],[Number of times used to feed biodigester]]</f>
        <v>423</v>
      </c>
      <c r="BW26" s="495" cm="1">
        <f t="array" ref="BW26">_xlfn.IFS(BN26="Number of times per day (1 to 3)",BV26/$BW$3,BN26="Number of times per week (1 to 6)",BV26/$BW$4,BN26="Number of times per Month (1 to 3)",BV26/$BW$5)</f>
        <v>60.428571428571431</v>
      </c>
      <c r="BX26" s="497" t="s">
        <v>22</v>
      </c>
      <c r="BY26" s="497" t="s">
        <v>4</v>
      </c>
      <c r="BZ26" s="497" t="s">
        <v>2</v>
      </c>
      <c r="CA26" s="497" t="s">
        <v>4</v>
      </c>
      <c r="CB26" s="497" t="s">
        <v>4</v>
      </c>
      <c r="CC26" s="497" t="s">
        <v>4</v>
      </c>
      <c r="CD26" s="497" t="s">
        <v>7</v>
      </c>
      <c r="CE26" s="497" t="s">
        <v>34733</v>
      </c>
      <c r="CF26" s="497" t="s">
        <v>4</v>
      </c>
      <c r="CG26" s="497" t="s">
        <v>31705</v>
      </c>
      <c r="CH26" s="497">
        <v>0</v>
      </c>
      <c r="CI26" s="497">
        <v>8</v>
      </c>
      <c r="CJ26" s="497">
        <v>0</v>
      </c>
      <c r="CK26" s="497">
        <v>0</v>
      </c>
      <c r="CL26" s="497">
        <v>0</v>
      </c>
      <c r="CM26" s="497">
        <v>0</v>
      </c>
      <c r="CN26" s="497">
        <v>0</v>
      </c>
      <c r="CO26" s="497">
        <v>0</v>
      </c>
      <c r="CP26" s="497">
        <v>0</v>
      </c>
      <c r="CQ26" s="497">
        <v>0</v>
      </c>
      <c r="CR26" s="497">
        <f>IF(Table15[[#This Row],[Is your biodigester working?]]="yes",CO26/'SDG outcome'!$C$9*CP26*CQ26,"")</f>
        <v>0</v>
      </c>
      <c r="CS26" s="497" t="s">
        <v>4</v>
      </c>
      <c r="CT26" s="500" t="s">
        <v>4</v>
      </c>
      <c r="CU26" s="496" t="s">
        <v>4</v>
      </c>
      <c r="CV26" s="497">
        <v>100</v>
      </c>
      <c r="CW26" s="500">
        <v>0</v>
      </c>
      <c r="CX26" s="496" t="s">
        <v>4</v>
      </c>
      <c r="CY26" s="497" t="s">
        <v>4</v>
      </c>
      <c r="CZ26" s="500" t="s">
        <v>4</v>
      </c>
      <c r="DA26" s="496" t="s">
        <v>4</v>
      </c>
      <c r="DB26" s="497" t="s">
        <v>4</v>
      </c>
      <c r="DC26" s="497" t="s">
        <v>4</v>
      </c>
      <c r="DD26" s="497" t="s">
        <v>4</v>
      </c>
      <c r="DE26" s="497" t="s">
        <v>4</v>
      </c>
      <c r="DF26" s="497" t="s">
        <v>4</v>
      </c>
      <c r="DG26" s="497" t="s">
        <v>4</v>
      </c>
      <c r="DH26" s="497" t="s">
        <v>4</v>
      </c>
      <c r="DI26" s="497" t="s">
        <v>4</v>
      </c>
      <c r="DJ26" s="497" t="s">
        <v>4</v>
      </c>
      <c r="DK26" s="497" t="s">
        <v>4</v>
      </c>
      <c r="DL26" s="497" t="s">
        <v>4</v>
      </c>
      <c r="DM26" s="497" t="s">
        <v>4</v>
      </c>
      <c r="DN26" s="497">
        <v>1</v>
      </c>
      <c r="DO26" s="497" t="s">
        <v>7</v>
      </c>
      <c r="DP26" s="497" t="s">
        <v>29292</v>
      </c>
      <c r="DQ26" s="497" t="s">
        <v>4</v>
      </c>
      <c r="DR26" s="497" t="s">
        <v>29294</v>
      </c>
      <c r="DS26" s="494" t="s">
        <v>4</v>
      </c>
      <c r="DT26" s="497" t="s">
        <v>29294</v>
      </c>
      <c r="DU26" s="494" t="s">
        <v>4</v>
      </c>
      <c r="DV26" s="500" t="s">
        <v>29295</v>
      </c>
      <c r="DW26" s="496">
        <v>100</v>
      </c>
      <c r="DX26" s="497" t="s">
        <v>29296</v>
      </c>
      <c r="DY26" s="497">
        <v>100</v>
      </c>
      <c r="DZ26" s="497" t="s">
        <v>4</v>
      </c>
      <c r="EA26" s="497" t="s">
        <v>4</v>
      </c>
      <c r="EB26" s="497" t="s">
        <v>4</v>
      </c>
      <c r="EC26" s="497" t="s">
        <v>4</v>
      </c>
      <c r="ED26" s="497" t="s">
        <v>4</v>
      </c>
      <c r="EE26" s="497" t="s">
        <v>4</v>
      </c>
      <c r="EF26" s="497" t="s">
        <v>4</v>
      </c>
      <c r="EG26" s="497" t="s">
        <v>4</v>
      </c>
      <c r="EH26" s="497" t="s">
        <v>4</v>
      </c>
      <c r="EI26" s="497" t="s">
        <v>4</v>
      </c>
      <c r="EJ26" s="497" t="s">
        <v>4</v>
      </c>
      <c r="EK26" s="497" t="s">
        <v>4</v>
      </c>
      <c r="EL26" s="497" t="s">
        <v>4</v>
      </c>
      <c r="EM26" s="497" t="s">
        <v>4</v>
      </c>
      <c r="EN26" s="497" t="s">
        <v>4</v>
      </c>
      <c r="EO26" s="497" t="s">
        <v>4</v>
      </c>
      <c r="EP26" s="497" t="s">
        <v>4</v>
      </c>
      <c r="EQ26" s="497" t="s">
        <v>4</v>
      </c>
      <c r="ER26" s="497" t="s">
        <v>4</v>
      </c>
      <c r="ES26" s="497" t="s">
        <v>4</v>
      </c>
      <c r="ET26" s="497" t="s">
        <v>4</v>
      </c>
      <c r="EU26" s="497" t="s">
        <v>4</v>
      </c>
      <c r="EV26" s="497" t="s">
        <v>4</v>
      </c>
      <c r="EW26" s="497">
        <v>25</v>
      </c>
      <c r="EX26" s="497" t="s">
        <v>7</v>
      </c>
      <c r="EY26" s="497">
        <v>24</v>
      </c>
      <c r="EZ26" s="239">
        <f t="shared" si="1"/>
        <v>6</v>
      </c>
      <c r="FA26" s="497" t="s">
        <v>34734</v>
      </c>
      <c r="FB26" s="497" t="s">
        <v>29298</v>
      </c>
      <c r="FC26" s="497">
        <v>48</v>
      </c>
      <c r="FD26" s="497" t="s">
        <v>2</v>
      </c>
      <c r="FE26" s="497" t="s">
        <v>4</v>
      </c>
      <c r="FF26" s="497" t="s">
        <v>4</v>
      </c>
      <c r="FG26" s="497" t="s">
        <v>2</v>
      </c>
      <c r="FH26" s="497" t="s">
        <v>4</v>
      </c>
      <c r="FI26" s="497" t="s">
        <v>4</v>
      </c>
      <c r="FJ26" s="497" t="s">
        <v>4</v>
      </c>
      <c r="FK26" s="497" t="s">
        <v>4</v>
      </c>
      <c r="FL26" s="497" t="s">
        <v>4</v>
      </c>
      <c r="FM26" s="497" t="s">
        <v>4</v>
      </c>
      <c r="FN26" s="494" t="s">
        <v>4</v>
      </c>
      <c r="FO26" s="497" t="s">
        <v>4</v>
      </c>
      <c r="FP26" s="497" t="s">
        <v>2</v>
      </c>
      <c r="FQ26" s="497" t="s">
        <v>4</v>
      </c>
      <c r="FR26" s="497" t="s">
        <v>4</v>
      </c>
      <c r="FS26" s="497" t="s">
        <v>7</v>
      </c>
      <c r="FT26" s="497" t="s">
        <v>7</v>
      </c>
      <c r="FU26" s="497" t="s">
        <v>29302</v>
      </c>
      <c r="FV26" s="497" t="s">
        <v>33473</v>
      </c>
      <c r="FW26" s="497" t="s">
        <v>29304</v>
      </c>
      <c r="FX26" s="497">
        <v>1</v>
      </c>
      <c r="FY26" s="497" t="s">
        <v>29396</v>
      </c>
      <c r="FZ26" s="497" t="s">
        <v>4</v>
      </c>
      <c r="GA26" s="497" t="s">
        <v>4</v>
      </c>
      <c r="GB26" s="497" t="s">
        <v>29397</v>
      </c>
      <c r="GC26" s="497" t="s">
        <v>4</v>
      </c>
      <c r="GD26" s="497" t="s">
        <v>4</v>
      </c>
      <c r="GE26" s="497" t="s">
        <v>4</v>
      </c>
      <c r="GF26" s="497" t="s">
        <v>4</v>
      </c>
      <c r="GG26" s="497" t="s">
        <v>4</v>
      </c>
      <c r="GH26" s="497" t="s">
        <v>4</v>
      </c>
      <c r="GI26" s="497" t="s">
        <v>4</v>
      </c>
      <c r="GJ26" s="497" t="s">
        <v>4</v>
      </c>
      <c r="GK26" s="497" t="s">
        <v>4</v>
      </c>
      <c r="GL26" s="497" t="s">
        <v>4</v>
      </c>
      <c r="GM26" s="497" t="s">
        <v>4</v>
      </c>
      <c r="GN26" s="497" t="s">
        <v>4</v>
      </c>
      <c r="GO26" s="497" t="s">
        <v>4</v>
      </c>
      <c r="GP26" s="497" t="s">
        <v>4</v>
      </c>
      <c r="GQ26" s="497" t="s">
        <v>4</v>
      </c>
      <c r="GR26" s="497" t="s">
        <v>4</v>
      </c>
      <c r="GS26" s="497" t="s">
        <v>4</v>
      </c>
      <c r="GT26" s="497" t="s">
        <v>29354</v>
      </c>
      <c r="GU26" s="497" t="s">
        <v>4</v>
      </c>
      <c r="GV26" s="494">
        <v>10</v>
      </c>
      <c r="GW26" s="497" t="s">
        <v>2</v>
      </c>
      <c r="GX26" s="497" t="s">
        <v>29837</v>
      </c>
      <c r="GY26" s="497" t="s">
        <v>4</v>
      </c>
      <c r="GZ26" s="497" t="s">
        <v>4</v>
      </c>
      <c r="HA26" s="497" t="s">
        <v>4</v>
      </c>
      <c r="HB26" s="497" t="s">
        <v>4</v>
      </c>
      <c r="HC26" s="497" t="s">
        <v>4</v>
      </c>
      <c r="HD26" s="497" t="s">
        <v>4</v>
      </c>
      <c r="HE26" s="497" t="s">
        <v>4</v>
      </c>
      <c r="HF26" s="497" t="s">
        <v>4</v>
      </c>
      <c r="HG26" s="497" t="s">
        <v>2</v>
      </c>
      <c r="HH26" s="497" t="s">
        <v>4</v>
      </c>
      <c r="HI26" s="497" t="s">
        <v>4</v>
      </c>
      <c r="HJ26" s="497" t="s">
        <v>4</v>
      </c>
      <c r="HK26" s="494" t="s">
        <v>4</v>
      </c>
      <c r="HL26" s="497" t="s">
        <v>34735</v>
      </c>
      <c r="HM26" s="497" t="s">
        <v>2</v>
      </c>
      <c r="HN26" s="497" t="s">
        <v>4</v>
      </c>
      <c r="HO26" s="497" t="s">
        <v>34736</v>
      </c>
      <c r="HP26" s="497" t="s">
        <v>34737</v>
      </c>
      <c r="HQ26" s="497" t="s">
        <v>34738</v>
      </c>
      <c r="HR26" s="497" t="s">
        <v>34739</v>
      </c>
      <c r="HS26" s="497" t="s">
        <v>34740</v>
      </c>
      <c r="HT26" s="500" t="s">
        <v>34729</v>
      </c>
    </row>
    <row r="27" spans="1:228" s="570" customFormat="1" ht="30.2" customHeight="1" x14ac:dyDescent="0.25">
      <c r="A27" s="759"/>
      <c r="B27" s="496">
        <v>82</v>
      </c>
      <c r="C27" s="496" t="s">
        <v>8036</v>
      </c>
      <c r="D27" s="497" t="s">
        <v>34303</v>
      </c>
      <c r="E27" s="497" t="s">
        <v>30002</v>
      </c>
      <c r="F27" s="497" t="s">
        <v>7</v>
      </c>
      <c r="G27" s="497" t="s">
        <v>34304</v>
      </c>
      <c r="H27" s="497">
        <v>1147</v>
      </c>
      <c r="I27" s="497">
        <v>4.0999999999999996</v>
      </c>
      <c r="J27" s="497" t="s">
        <v>29319</v>
      </c>
      <c r="K27" s="497" t="s">
        <v>4</v>
      </c>
      <c r="L27" s="497" t="s">
        <v>34305</v>
      </c>
      <c r="M27" s="497">
        <v>782752148</v>
      </c>
      <c r="N27" s="497" t="s">
        <v>5</v>
      </c>
      <c r="O27" s="497" t="s">
        <v>31590</v>
      </c>
      <c r="P27" s="497" t="s">
        <v>4</v>
      </c>
      <c r="Q27" s="497">
        <v>2</v>
      </c>
      <c r="R27" s="497" t="s">
        <v>7</v>
      </c>
      <c r="S27" s="497" t="s">
        <v>31588</v>
      </c>
      <c r="T27" s="497" t="s">
        <v>4</v>
      </c>
      <c r="U27" s="497" t="s">
        <v>7</v>
      </c>
      <c r="V27" s="497" t="s">
        <v>7</v>
      </c>
      <c r="W27" s="497" t="s">
        <v>4</v>
      </c>
      <c r="X27" s="497" t="s">
        <v>7</v>
      </c>
      <c r="Y27" s="497" t="s">
        <v>4</v>
      </c>
      <c r="Z27" s="497" t="s">
        <v>4</v>
      </c>
      <c r="AA27" s="241" t="str">
        <f>IF(OR(U27="yes",Z27&gt;'SDG outcome'!$C$39),"yes","no")</f>
        <v>yes</v>
      </c>
      <c r="AB27" s="521" t="str">
        <f t="shared" si="0"/>
        <v>NA</v>
      </c>
      <c r="AC27" s="527" t="str">
        <f>IF(AND('SMS p2'!AA94="no",AND(Z27&gt;='SDG outcome'!$B$28,Z27&lt;'SDG outcome'!$C$39)),Z27-'SDG outcome'!$B$28,"")</f>
        <v/>
      </c>
      <c r="AD27" s="497" t="s">
        <v>4</v>
      </c>
      <c r="AE27" s="497" t="s">
        <v>4</v>
      </c>
      <c r="AF27" s="497" t="s">
        <v>4</v>
      </c>
      <c r="AG27" s="497" t="s">
        <v>4</v>
      </c>
      <c r="AH27" s="497" t="s">
        <v>4</v>
      </c>
      <c r="AI27" s="497" t="s">
        <v>4</v>
      </c>
      <c r="AJ27" s="497" t="s">
        <v>4</v>
      </c>
      <c r="AK27" s="497" t="s">
        <v>29290</v>
      </c>
      <c r="AL27" s="497" t="s">
        <v>29694</v>
      </c>
      <c r="AM27" s="497" t="s">
        <v>4</v>
      </c>
      <c r="AN27" s="497" t="s">
        <v>4</v>
      </c>
      <c r="AO27" s="497" t="s">
        <v>31718</v>
      </c>
      <c r="AP27" s="497" t="s">
        <v>4</v>
      </c>
      <c r="AQ27" s="497" t="s">
        <v>31600</v>
      </c>
      <c r="AR27" s="497" t="s">
        <v>4</v>
      </c>
      <c r="AS27" s="497" t="s">
        <v>31538</v>
      </c>
      <c r="AT27" s="497" t="s">
        <v>4</v>
      </c>
      <c r="AU27" s="497" t="s">
        <v>7</v>
      </c>
      <c r="AV27" s="497" t="s">
        <v>4</v>
      </c>
      <c r="AW27" s="497" t="s">
        <v>4</v>
      </c>
      <c r="AX27" s="497" t="s">
        <v>2</v>
      </c>
      <c r="AY27" s="497" t="s">
        <v>4</v>
      </c>
      <c r="AZ27" s="497" t="s">
        <v>4</v>
      </c>
      <c r="BA27" s="497" t="s">
        <v>31563</v>
      </c>
      <c r="BB27" s="497" t="s">
        <v>22</v>
      </c>
      <c r="BC27" s="497" t="s">
        <v>4</v>
      </c>
      <c r="BD27" s="497" t="s">
        <v>31552</v>
      </c>
      <c r="BE27" s="497" t="s">
        <v>4</v>
      </c>
      <c r="BF27" s="497" t="s">
        <v>31542</v>
      </c>
      <c r="BG27" s="497" t="s">
        <v>34306</v>
      </c>
      <c r="BH27" s="497" t="s">
        <v>31566</v>
      </c>
      <c r="BI27" s="497">
        <v>1</v>
      </c>
      <c r="BJ27" s="497">
        <v>180</v>
      </c>
      <c r="BK27" s="497" t="s">
        <v>7</v>
      </c>
      <c r="BL27" s="497" t="s">
        <v>6</v>
      </c>
      <c r="BM27" s="497" t="s">
        <v>4</v>
      </c>
      <c r="BN27" s="497" t="s">
        <v>31425</v>
      </c>
      <c r="BO27" s="497">
        <v>1</v>
      </c>
      <c r="BP27" s="497">
        <v>45</v>
      </c>
      <c r="BQ27" s="497" t="s">
        <v>31426</v>
      </c>
      <c r="BR27" s="499" t="s">
        <v>33361</v>
      </c>
      <c r="BS27" s="497" t="s">
        <v>4</v>
      </c>
      <c r="BT27" s="497">
        <v>3</v>
      </c>
      <c r="BU27" s="494" cm="1">
        <f t="array" ref="BU27">_xlfn.IFS(BQ27="Foreword vehicle",BT27*0,BQ27="Human wastes",BT27*0,BS27="Jerrycans",BT27*$BT$4,BQ27="Number of Basins",BT27*$BT$5,BQ27="Number of Buckets",BT27*$BS$6,BQ27="Number of Kgs",BT27*$BT$7,BQ27="Number of spades",BT27*$BT$8,BQ27="Number of wheelbarrows",BT27*$BT$9,BS27="Septic Tank",BT27*0)</f>
        <v>70.5</v>
      </c>
      <c r="BV27" s="494">
        <f>Table15[[#This Row],[Calculation: Conversion of metric to Kg manure feeding (Columns: BP, BQ, BR)]]*Table15[[#This Row],[Number of times used to feed biodigester]]</f>
        <v>70.5</v>
      </c>
      <c r="BW27" s="495" cm="1">
        <f t="array" ref="BW27">_xlfn.IFS(BN27="Number of times per day (1 to 3)",BV27/$BW$3,BN27="Number of times per week (1 to 6)",BV27/$BW$4,BN27="Number of times per Month (1 to 3)",BV27/$BW$5)</f>
        <v>70.5</v>
      </c>
      <c r="BX27" s="497" t="s">
        <v>22</v>
      </c>
      <c r="BY27" s="497" t="s">
        <v>4</v>
      </c>
      <c r="BZ27" s="497" t="s">
        <v>2</v>
      </c>
      <c r="CA27" s="497" t="s">
        <v>4</v>
      </c>
      <c r="CB27" s="497" t="s">
        <v>4</v>
      </c>
      <c r="CC27" s="497" t="s">
        <v>4</v>
      </c>
      <c r="CD27" s="497" t="s">
        <v>7</v>
      </c>
      <c r="CE27" s="497" t="s">
        <v>34307</v>
      </c>
      <c r="CF27" s="497" t="s">
        <v>4</v>
      </c>
      <c r="CG27" s="497" t="s">
        <v>31604</v>
      </c>
      <c r="CH27" s="497">
        <v>7</v>
      </c>
      <c r="CI27" s="497">
        <v>0</v>
      </c>
      <c r="CJ27" s="497">
        <v>0</v>
      </c>
      <c r="CK27" s="497">
        <v>0</v>
      </c>
      <c r="CL27" s="497">
        <v>0</v>
      </c>
      <c r="CM27" s="497">
        <v>0</v>
      </c>
      <c r="CN27" s="497">
        <v>0</v>
      </c>
      <c r="CO27" s="497">
        <v>0</v>
      </c>
      <c r="CP27" s="497">
        <v>0</v>
      </c>
      <c r="CQ27" s="497">
        <v>0</v>
      </c>
      <c r="CR27" s="497">
        <f>IF(Table15[[#This Row],[Is your biodigester working?]]="yes",CO27/'SDG outcome'!$C$9*CP27*CQ27,"")</f>
        <v>0</v>
      </c>
      <c r="CS27" s="497">
        <v>20</v>
      </c>
      <c r="CT27" s="500">
        <v>80</v>
      </c>
      <c r="CU27" s="496" t="s">
        <v>33850</v>
      </c>
      <c r="CV27" s="497" t="s">
        <v>4</v>
      </c>
      <c r="CW27" s="500" t="s">
        <v>4</v>
      </c>
      <c r="CX27" s="496" t="s">
        <v>4</v>
      </c>
      <c r="CY27" s="497" t="s">
        <v>4</v>
      </c>
      <c r="CZ27" s="500" t="s">
        <v>4</v>
      </c>
      <c r="DA27" s="496" t="s">
        <v>4</v>
      </c>
      <c r="DB27" s="497" t="s">
        <v>4</v>
      </c>
      <c r="DC27" s="497" t="s">
        <v>4</v>
      </c>
      <c r="DD27" s="497" t="s">
        <v>4</v>
      </c>
      <c r="DE27" s="497" t="s">
        <v>4</v>
      </c>
      <c r="DF27" s="497" t="s">
        <v>4</v>
      </c>
      <c r="DG27" s="497" t="s">
        <v>4</v>
      </c>
      <c r="DH27" s="497" t="s">
        <v>4</v>
      </c>
      <c r="DI27" s="497" t="s">
        <v>4</v>
      </c>
      <c r="DJ27" s="497" t="s">
        <v>4</v>
      </c>
      <c r="DK27" s="497" t="s">
        <v>4</v>
      </c>
      <c r="DL27" s="497" t="s">
        <v>4</v>
      </c>
      <c r="DM27" s="497" t="s">
        <v>4</v>
      </c>
      <c r="DN27" s="497">
        <v>3</v>
      </c>
      <c r="DO27" s="497" t="s">
        <v>2</v>
      </c>
      <c r="DP27" s="497" t="s">
        <v>29292</v>
      </c>
      <c r="DQ27" s="497" t="s">
        <v>4</v>
      </c>
      <c r="DR27" s="497" t="s">
        <v>29293</v>
      </c>
      <c r="DS27" s="494">
        <v>4167</v>
      </c>
      <c r="DT27" s="497" t="s">
        <v>29293</v>
      </c>
      <c r="DU27" s="494">
        <v>0</v>
      </c>
      <c r="DV27" s="500" t="s">
        <v>29442</v>
      </c>
      <c r="DW27" s="496">
        <v>20</v>
      </c>
      <c r="DX27" s="497" t="s">
        <v>29296</v>
      </c>
      <c r="DY27" s="497">
        <v>100</v>
      </c>
      <c r="DZ27" s="497" t="s">
        <v>4</v>
      </c>
      <c r="EA27" s="497" t="s">
        <v>4</v>
      </c>
      <c r="EB27" s="497" t="s">
        <v>4</v>
      </c>
      <c r="EC27" s="497" t="s">
        <v>4</v>
      </c>
      <c r="ED27" s="497">
        <v>80</v>
      </c>
      <c r="EE27" s="497" t="s">
        <v>34308</v>
      </c>
      <c r="EF27" s="497" t="s">
        <v>4</v>
      </c>
      <c r="EG27" s="497" t="s">
        <v>4</v>
      </c>
      <c r="EH27" s="497">
        <v>30</v>
      </c>
      <c r="EI27" s="497">
        <v>70</v>
      </c>
      <c r="EJ27" s="497" t="s">
        <v>4</v>
      </c>
      <c r="EK27" s="497" t="s">
        <v>4</v>
      </c>
      <c r="EL27" s="497" t="s">
        <v>4</v>
      </c>
      <c r="EM27" s="497">
        <v>90</v>
      </c>
      <c r="EN27" s="497" t="s">
        <v>4</v>
      </c>
      <c r="EO27" s="497" t="s">
        <v>4</v>
      </c>
      <c r="EP27" s="497" t="s">
        <v>4</v>
      </c>
      <c r="EQ27" s="497" t="s">
        <v>29296</v>
      </c>
      <c r="ER27" s="497">
        <v>100</v>
      </c>
      <c r="ES27" s="497" t="s">
        <v>4</v>
      </c>
      <c r="ET27" s="497" t="s">
        <v>4</v>
      </c>
      <c r="EU27" s="497" t="s">
        <v>4</v>
      </c>
      <c r="EV27" s="497" t="s">
        <v>4</v>
      </c>
      <c r="EW27" s="497">
        <v>10</v>
      </c>
      <c r="EX27" s="497" t="s">
        <v>7</v>
      </c>
      <c r="EY27" s="497">
        <v>50</v>
      </c>
      <c r="EZ27" s="239">
        <f t="shared" si="1"/>
        <v>5</v>
      </c>
      <c r="FA27" s="497" t="s">
        <v>34309</v>
      </c>
      <c r="FB27" s="497" t="s">
        <v>29298</v>
      </c>
      <c r="FC27" s="497">
        <v>36</v>
      </c>
      <c r="FD27" s="497" t="s">
        <v>7</v>
      </c>
      <c r="FE27" s="497" t="s">
        <v>29492</v>
      </c>
      <c r="FF27" s="497" t="s">
        <v>4</v>
      </c>
      <c r="FG27" s="497" t="s">
        <v>2</v>
      </c>
      <c r="FH27" s="497" t="s">
        <v>4</v>
      </c>
      <c r="FI27" s="497" t="s">
        <v>4</v>
      </c>
      <c r="FJ27" s="497" t="s">
        <v>4</v>
      </c>
      <c r="FK27" s="497" t="s">
        <v>4</v>
      </c>
      <c r="FL27" s="497" t="s">
        <v>29292</v>
      </c>
      <c r="FM27" s="497" t="s">
        <v>29293</v>
      </c>
      <c r="FN27" s="494">
        <v>70000</v>
      </c>
      <c r="FO27" s="497" t="s">
        <v>4</v>
      </c>
      <c r="FP27" s="497" t="s">
        <v>2</v>
      </c>
      <c r="FQ27" s="497" t="s">
        <v>4</v>
      </c>
      <c r="FR27" s="497" t="s">
        <v>4</v>
      </c>
      <c r="FS27" s="497" t="s">
        <v>7</v>
      </c>
      <c r="FT27" s="497" t="s">
        <v>7</v>
      </c>
      <c r="FU27" s="497" t="s">
        <v>29302</v>
      </c>
      <c r="FV27" s="497" t="s">
        <v>33553</v>
      </c>
      <c r="FW27" s="497" t="s">
        <v>4</v>
      </c>
      <c r="FX27" s="497">
        <v>0</v>
      </c>
      <c r="FY27" s="497" t="s">
        <v>4</v>
      </c>
      <c r="FZ27" s="497" t="s">
        <v>4</v>
      </c>
      <c r="GA27" s="497" t="s">
        <v>4</v>
      </c>
      <c r="GB27" s="497" t="s">
        <v>4</v>
      </c>
      <c r="GC27" s="497" t="s">
        <v>4</v>
      </c>
      <c r="GD27" s="497" t="s">
        <v>4</v>
      </c>
      <c r="GE27" s="497" t="s">
        <v>4</v>
      </c>
      <c r="GF27" s="497" t="s">
        <v>4</v>
      </c>
      <c r="GG27" s="497" t="s">
        <v>4</v>
      </c>
      <c r="GH27" s="497" t="s">
        <v>4</v>
      </c>
      <c r="GI27" s="497" t="s">
        <v>29304</v>
      </c>
      <c r="GJ27" s="497" t="s">
        <v>29478</v>
      </c>
      <c r="GK27" s="497" t="s">
        <v>29306</v>
      </c>
      <c r="GL27" s="497" t="s">
        <v>29941</v>
      </c>
      <c r="GM27" s="497" t="s">
        <v>4</v>
      </c>
      <c r="GN27" s="497" t="s">
        <v>4</v>
      </c>
      <c r="GO27" s="497" t="s">
        <v>4</v>
      </c>
      <c r="GP27" s="497" t="s">
        <v>4</v>
      </c>
      <c r="GQ27" s="497" t="s">
        <v>4</v>
      </c>
      <c r="GR27" s="497" t="s">
        <v>4</v>
      </c>
      <c r="GS27" s="497" t="s">
        <v>4</v>
      </c>
      <c r="GT27" s="497" t="s">
        <v>30448</v>
      </c>
      <c r="GU27" s="497" t="s">
        <v>4</v>
      </c>
      <c r="GV27" s="494">
        <v>5</v>
      </c>
      <c r="GW27" s="497" t="s">
        <v>7</v>
      </c>
      <c r="GX27" s="497" t="s">
        <v>29309</v>
      </c>
      <c r="GY27" s="497" t="s">
        <v>4</v>
      </c>
      <c r="GZ27" s="497" t="s">
        <v>4</v>
      </c>
      <c r="HA27" s="497" t="s">
        <v>4</v>
      </c>
      <c r="HB27" s="497" t="s">
        <v>4</v>
      </c>
      <c r="HC27" s="497" t="s">
        <v>4</v>
      </c>
      <c r="HD27" s="497" t="s">
        <v>4</v>
      </c>
      <c r="HE27" s="497" t="s">
        <v>4</v>
      </c>
      <c r="HF27" s="497" t="s">
        <v>4</v>
      </c>
      <c r="HG27" s="497" t="s">
        <v>2</v>
      </c>
      <c r="HH27" s="497" t="s">
        <v>4</v>
      </c>
      <c r="HI27" s="497" t="s">
        <v>4</v>
      </c>
      <c r="HJ27" s="497" t="s">
        <v>4</v>
      </c>
      <c r="HK27" s="494" t="s">
        <v>4</v>
      </c>
      <c r="HL27" s="497" t="s">
        <v>34310</v>
      </c>
      <c r="HM27" s="497" t="s">
        <v>7</v>
      </c>
      <c r="HN27" s="497" t="s">
        <v>34311</v>
      </c>
      <c r="HO27" s="497" t="s">
        <v>16</v>
      </c>
      <c r="HP27" s="497" t="s">
        <v>34312</v>
      </c>
      <c r="HQ27" s="497" t="s">
        <v>34313</v>
      </c>
      <c r="HR27" s="497" t="s">
        <v>34314</v>
      </c>
      <c r="HS27" s="497" t="s">
        <v>34315</v>
      </c>
      <c r="HT27" s="500" t="s">
        <v>34303</v>
      </c>
    </row>
    <row r="28" spans="1:228" s="570" customFormat="1" ht="30.2" customHeight="1" x14ac:dyDescent="0.25">
      <c r="A28" s="759"/>
      <c r="B28" s="496">
        <v>190</v>
      </c>
      <c r="C28" s="496" t="s">
        <v>18027</v>
      </c>
      <c r="D28" s="497" t="s">
        <v>35471</v>
      </c>
      <c r="E28" s="497" t="s">
        <v>30638</v>
      </c>
      <c r="F28" s="497" t="s">
        <v>7</v>
      </c>
      <c r="G28" s="497" t="s">
        <v>35472</v>
      </c>
      <c r="H28" s="497">
        <v>1392.7797849999999</v>
      </c>
      <c r="I28" s="497">
        <v>4.2880000000000003</v>
      </c>
      <c r="J28" s="497" t="s">
        <v>29319</v>
      </c>
      <c r="K28" s="497" t="s">
        <v>4</v>
      </c>
      <c r="L28" s="497" t="s">
        <v>35473</v>
      </c>
      <c r="M28" s="497">
        <v>776130007</v>
      </c>
      <c r="N28" s="497" t="s">
        <v>5</v>
      </c>
      <c r="O28" s="497" t="s">
        <v>31438</v>
      </c>
      <c r="P28" s="497">
        <v>46</v>
      </c>
      <c r="Q28" s="497">
        <v>7</v>
      </c>
      <c r="R28" s="497" t="s">
        <v>7</v>
      </c>
      <c r="S28" s="497" t="s">
        <v>31549</v>
      </c>
      <c r="T28" s="497" t="s">
        <v>4</v>
      </c>
      <c r="U28" s="497" t="s">
        <v>7</v>
      </c>
      <c r="V28" s="497" t="s">
        <v>7</v>
      </c>
      <c r="W28" s="497" t="s">
        <v>4</v>
      </c>
      <c r="X28" s="497" t="s">
        <v>7</v>
      </c>
      <c r="Y28" s="497" t="s">
        <v>4</v>
      </c>
      <c r="Z28" s="497" t="s">
        <v>4</v>
      </c>
      <c r="AA28" s="241" t="str">
        <f>IF(OR(U28="yes",Z28&gt;'SDG outcome'!$C$39),"yes","no")</f>
        <v>yes</v>
      </c>
      <c r="AB28" s="521" t="str">
        <f t="shared" si="0"/>
        <v>NA</v>
      </c>
      <c r="AC28" s="527" t="str">
        <f>IF(AND('SMS p2'!AA202="no",AND(Z28&gt;='SDG outcome'!$B$28,Z28&lt;'SDG outcome'!$C$39)),Z28-'SDG outcome'!$B$28,"")</f>
        <v/>
      </c>
      <c r="AD28" s="497" t="s">
        <v>4</v>
      </c>
      <c r="AE28" s="497" t="s">
        <v>4</v>
      </c>
      <c r="AF28" s="497" t="s">
        <v>4</v>
      </c>
      <c r="AG28" s="497" t="s">
        <v>4</v>
      </c>
      <c r="AH28" s="497" t="s">
        <v>4</v>
      </c>
      <c r="AI28" s="497" t="s">
        <v>4</v>
      </c>
      <c r="AJ28" s="497" t="s">
        <v>4</v>
      </c>
      <c r="AK28" s="497" t="s">
        <v>29290</v>
      </c>
      <c r="AL28" s="497" t="s">
        <v>29694</v>
      </c>
      <c r="AM28" s="497" t="s">
        <v>4</v>
      </c>
      <c r="AN28" s="497" t="s">
        <v>4</v>
      </c>
      <c r="AO28" s="497" t="s">
        <v>31536</v>
      </c>
      <c r="AP28" s="497" t="s">
        <v>4</v>
      </c>
      <c r="AQ28" s="497" t="s">
        <v>31537</v>
      </c>
      <c r="AR28" s="497" t="s">
        <v>4</v>
      </c>
      <c r="AS28" s="497" t="s">
        <v>31538</v>
      </c>
      <c r="AT28" s="497" t="s">
        <v>4</v>
      </c>
      <c r="AU28" s="497" t="s">
        <v>7</v>
      </c>
      <c r="AV28" s="497" t="s">
        <v>4</v>
      </c>
      <c r="AW28" s="497" t="s">
        <v>4</v>
      </c>
      <c r="AX28" s="497" t="s">
        <v>2</v>
      </c>
      <c r="AY28" s="497" t="s">
        <v>4</v>
      </c>
      <c r="AZ28" s="497" t="s">
        <v>4</v>
      </c>
      <c r="BA28" s="497" t="s">
        <v>31557</v>
      </c>
      <c r="BB28" s="497" t="s">
        <v>4</v>
      </c>
      <c r="BC28" s="497" t="s">
        <v>4</v>
      </c>
      <c r="BD28" s="501" t="s">
        <v>4</v>
      </c>
      <c r="BE28" s="497" t="s">
        <v>4</v>
      </c>
      <c r="BF28" s="497" t="s">
        <v>4</v>
      </c>
      <c r="BG28" s="497" t="s">
        <v>4</v>
      </c>
      <c r="BH28" s="497" t="s">
        <v>4</v>
      </c>
      <c r="BI28" s="497" t="s">
        <v>4</v>
      </c>
      <c r="BJ28" s="497" t="s">
        <v>4</v>
      </c>
      <c r="BK28" s="497" t="s">
        <v>7</v>
      </c>
      <c r="BL28" s="497" t="s">
        <v>6</v>
      </c>
      <c r="BM28" s="497" t="s">
        <v>4</v>
      </c>
      <c r="BN28" s="497" t="s">
        <v>31425</v>
      </c>
      <c r="BO28" s="497">
        <v>1</v>
      </c>
      <c r="BP28" s="497">
        <v>30</v>
      </c>
      <c r="BQ28" s="497" t="s">
        <v>31434</v>
      </c>
      <c r="BR28" s="499" t="s">
        <v>33332</v>
      </c>
      <c r="BS28" s="497" t="s">
        <v>4</v>
      </c>
      <c r="BT28" s="497">
        <v>2</v>
      </c>
      <c r="BU28" s="494" cm="1">
        <f t="array" ref="BU28">_xlfn.IFS(BQ28="Foreword vehicle",BT28*0,BQ28="Human wastes",BT28*0,BS28="Jerrycans",BT28*$BT$4,BQ28="Number of Basins",BT28*$BT$5,BQ28="Number of Buckets",BT28*$BT$6,BQ28="Number of Kgs",BT28*$BT$7,BQ28="Number of spades",BT28*$BT$8,BQ28="Number of wheelbarrows",BT28*$BT$9,BS28="Septic Tank",BT28*0)</f>
        <v>32</v>
      </c>
      <c r="BV28" s="494">
        <f>Table15[[#This Row],[Calculation: Conversion of metric to Kg manure feeding (Columns: BP, BQ, BR)]]*Table15[[#This Row],[Number of times used to feed biodigester]]</f>
        <v>32</v>
      </c>
      <c r="BW28" s="495" cm="1">
        <f t="array" ref="BW28">_xlfn.IFS(BN28="Number of times per day (1 to 3)",BV28/$BW$3,BN28="Number of times per week (1 to 6)",BV28/$BW$4,BN28="Number of times per Month (1 to 3)",BV28/$BW$5)</f>
        <v>32</v>
      </c>
      <c r="BX28" s="497" t="s">
        <v>31552</v>
      </c>
      <c r="BY28" s="497" t="s">
        <v>4</v>
      </c>
      <c r="BZ28" s="497" t="s">
        <v>2</v>
      </c>
      <c r="CA28" s="497" t="s">
        <v>4</v>
      </c>
      <c r="CB28" s="497" t="s">
        <v>4</v>
      </c>
      <c r="CC28" s="497" t="s">
        <v>4</v>
      </c>
      <c r="CD28" s="497" t="s">
        <v>7</v>
      </c>
      <c r="CE28" s="497" t="s">
        <v>35474</v>
      </c>
      <c r="CF28" s="497" t="s">
        <v>4</v>
      </c>
      <c r="CG28" s="497" t="s">
        <v>31604</v>
      </c>
      <c r="CH28" s="497">
        <v>2</v>
      </c>
      <c r="CI28" s="497">
        <v>0</v>
      </c>
      <c r="CJ28" s="497">
        <v>0</v>
      </c>
      <c r="CK28" s="497">
        <v>0</v>
      </c>
      <c r="CL28" s="497">
        <v>0</v>
      </c>
      <c r="CM28" s="497">
        <v>0</v>
      </c>
      <c r="CN28" s="497">
        <v>0</v>
      </c>
      <c r="CO28" s="497">
        <v>0</v>
      </c>
      <c r="CP28" s="497">
        <v>0</v>
      </c>
      <c r="CQ28" s="497">
        <v>0</v>
      </c>
      <c r="CR28" s="497">
        <f>IF(Table15[[#This Row],[Is your biodigester working?]]="yes",CO28/'SDG outcome'!$C$9*CP28*CQ28,"")</f>
        <v>0</v>
      </c>
      <c r="CS28" s="497">
        <v>50</v>
      </c>
      <c r="CT28" s="500">
        <v>50</v>
      </c>
      <c r="CU28" s="496" t="s">
        <v>35475</v>
      </c>
      <c r="CV28" s="497" t="s">
        <v>4</v>
      </c>
      <c r="CW28" s="500" t="s">
        <v>4</v>
      </c>
      <c r="CX28" s="496" t="s">
        <v>4</v>
      </c>
      <c r="CY28" s="497" t="s">
        <v>4</v>
      </c>
      <c r="CZ28" s="500" t="s">
        <v>4</v>
      </c>
      <c r="DA28" s="496" t="s">
        <v>4</v>
      </c>
      <c r="DB28" s="497" t="s">
        <v>4</v>
      </c>
      <c r="DC28" s="497" t="s">
        <v>4</v>
      </c>
      <c r="DD28" s="497" t="s">
        <v>4</v>
      </c>
      <c r="DE28" s="497" t="s">
        <v>4</v>
      </c>
      <c r="DF28" s="497" t="s">
        <v>4</v>
      </c>
      <c r="DG28" s="497" t="s">
        <v>4</v>
      </c>
      <c r="DH28" s="497" t="s">
        <v>4</v>
      </c>
      <c r="DI28" s="497" t="s">
        <v>4</v>
      </c>
      <c r="DJ28" s="497" t="s">
        <v>4</v>
      </c>
      <c r="DK28" s="497" t="s">
        <v>4</v>
      </c>
      <c r="DL28" s="497" t="s">
        <v>4</v>
      </c>
      <c r="DM28" s="497" t="s">
        <v>4</v>
      </c>
      <c r="DN28" s="497">
        <v>10</v>
      </c>
      <c r="DO28" s="497" t="s">
        <v>2</v>
      </c>
      <c r="DP28" s="497" t="s">
        <v>29292</v>
      </c>
      <c r="DQ28" s="497" t="s">
        <v>4</v>
      </c>
      <c r="DR28" s="497" t="s">
        <v>29294</v>
      </c>
      <c r="DS28" s="494" t="s">
        <v>4</v>
      </c>
      <c r="DT28" s="497" t="s">
        <v>29294</v>
      </c>
      <c r="DU28" s="494" t="s">
        <v>4</v>
      </c>
      <c r="DV28" s="500" t="s">
        <v>29442</v>
      </c>
      <c r="DW28" s="496">
        <v>50</v>
      </c>
      <c r="DX28" s="497" t="s">
        <v>29296</v>
      </c>
      <c r="DY28" s="497">
        <v>100</v>
      </c>
      <c r="DZ28" s="497" t="s">
        <v>4</v>
      </c>
      <c r="EA28" s="497" t="s">
        <v>4</v>
      </c>
      <c r="EB28" s="497" t="s">
        <v>4</v>
      </c>
      <c r="EC28" s="497" t="s">
        <v>4</v>
      </c>
      <c r="ED28" s="497">
        <v>50</v>
      </c>
      <c r="EE28" s="497" t="s">
        <v>30667</v>
      </c>
      <c r="EF28" s="497" t="s">
        <v>4</v>
      </c>
      <c r="EG28" s="497" t="s">
        <v>4</v>
      </c>
      <c r="EH28" s="497">
        <v>100</v>
      </c>
      <c r="EI28" s="497" t="s">
        <v>4</v>
      </c>
      <c r="EJ28" s="497" t="s">
        <v>4</v>
      </c>
      <c r="EK28" s="497" t="s">
        <v>4</v>
      </c>
      <c r="EL28" s="497" t="s">
        <v>4</v>
      </c>
      <c r="EM28" s="497">
        <v>7</v>
      </c>
      <c r="EN28" s="497" t="s">
        <v>4</v>
      </c>
      <c r="EO28" s="497" t="s">
        <v>4</v>
      </c>
      <c r="EP28" s="497" t="s">
        <v>4</v>
      </c>
      <c r="EQ28" s="497" t="s">
        <v>29296</v>
      </c>
      <c r="ER28" s="497">
        <v>100</v>
      </c>
      <c r="ES28" s="497" t="s">
        <v>4</v>
      </c>
      <c r="ET28" s="497" t="s">
        <v>4</v>
      </c>
      <c r="EU28" s="497" t="s">
        <v>4</v>
      </c>
      <c r="EV28" s="497" t="s">
        <v>4</v>
      </c>
      <c r="EW28" s="497">
        <v>5</v>
      </c>
      <c r="EX28" s="497" t="s">
        <v>7</v>
      </c>
      <c r="EY28" s="497">
        <v>100</v>
      </c>
      <c r="EZ28" s="239">
        <f t="shared" si="1"/>
        <v>5</v>
      </c>
      <c r="FA28" s="497" t="s">
        <v>29463</v>
      </c>
      <c r="FB28" s="497" t="s">
        <v>29298</v>
      </c>
      <c r="FC28" s="497">
        <v>36</v>
      </c>
      <c r="FD28" s="497" t="s">
        <v>2</v>
      </c>
      <c r="FE28" s="497" t="s">
        <v>4</v>
      </c>
      <c r="FF28" s="497" t="s">
        <v>4</v>
      </c>
      <c r="FG28" s="497" t="s">
        <v>2</v>
      </c>
      <c r="FH28" s="497" t="s">
        <v>4</v>
      </c>
      <c r="FI28" s="497" t="s">
        <v>4</v>
      </c>
      <c r="FJ28" s="497" t="s">
        <v>4</v>
      </c>
      <c r="FK28" s="497" t="s">
        <v>4</v>
      </c>
      <c r="FL28" s="497" t="s">
        <v>4</v>
      </c>
      <c r="FM28" s="497" t="s">
        <v>4</v>
      </c>
      <c r="FN28" s="494" t="s">
        <v>4</v>
      </c>
      <c r="FO28" s="497" t="s">
        <v>4</v>
      </c>
      <c r="FP28" s="497" t="s">
        <v>7</v>
      </c>
      <c r="FQ28" s="497" t="s">
        <v>29301</v>
      </c>
      <c r="FR28" s="497" t="s">
        <v>4</v>
      </c>
      <c r="FS28" s="497" t="s">
        <v>7</v>
      </c>
      <c r="FT28" s="497" t="s">
        <v>7</v>
      </c>
      <c r="FU28" s="497" t="s">
        <v>29302</v>
      </c>
      <c r="FV28" s="497" t="s">
        <v>35365</v>
      </c>
      <c r="FW28" s="497" t="s">
        <v>4</v>
      </c>
      <c r="FX28" s="497">
        <v>0</v>
      </c>
      <c r="FY28" s="497" t="s">
        <v>4</v>
      </c>
      <c r="FZ28" s="497" t="s">
        <v>4</v>
      </c>
      <c r="GA28" s="497" t="s">
        <v>4</v>
      </c>
      <c r="GB28" s="497" t="s">
        <v>4</v>
      </c>
      <c r="GC28" s="497" t="s">
        <v>4</v>
      </c>
      <c r="GD28" s="497" t="s">
        <v>4</v>
      </c>
      <c r="GE28" s="497" t="s">
        <v>4</v>
      </c>
      <c r="GF28" s="497" t="s">
        <v>4</v>
      </c>
      <c r="GG28" s="497" t="s">
        <v>4</v>
      </c>
      <c r="GH28" s="497" t="s">
        <v>4</v>
      </c>
      <c r="GI28" s="497" t="s">
        <v>29304</v>
      </c>
      <c r="GJ28" s="497" t="s">
        <v>29529</v>
      </c>
      <c r="GK28" s="497" t="s">
        <v>4</v>
      </c>
      <c r="GL28" s="497" t="s">
        <v>4</v>
      </c>
      <c r="GM28" s="497" t="s">
        <v>4</v>
      </c>
      <c r="GN28" s="497" t="s">
        <v>4</v>
      </c>
      <c r="GO28" s="497" t="s">
        <v>29451</v>
      </c>
      <c r="GP28" s="497" t="s">
        <v>4</v>
      </c>
      <c r="GQ28" s="497" t="s">
        <v>4</v>
      </c>
      <c r="GR28" s="497" t="s">
        <v>4</v>
      </c>
      <c r="GS28" s="497" t="s">
        <v>4</v>
      </c>
      <c r="GT28" s="497" t="s">
        <v>29698</v>
      </c>
      <c r="GU28" s="497" t="s">
        <v>4</v>
      </c>
      <c r="GV28" s="494">
        <v>20</v>
      </c>
      <c r="GW28" s="497" t="s">
        <v>7</v>
      </c>
      <c r="GX28" s="497" t="s">
        <v>29309</v>
      </c>
      <c r="GY28" s="497" t="s">
        <v>4</v>
      </c>
      <c r="GZ28" s="497" t="s">
        <v>4</v>
      </c>
      <c r="HA28" s="497" t="s">
        <v>4</v>
      </c>
      <c r="HB28" s="497" t="s">
        <v>4</v>
      </c>
      <c r="HC28" s="497" t="s">
        <v>4</v>
      </c>
      <c r="HD28" s="497" t="s">
        <v>4</v>
      </c>
      <c r="HE28" s="497" t="s">
        <v>4</v>
      </c>
      <c r="HF28" s="497" t="s">
        <v>4</v>
      </c>
      <c r="HG28" s="497" t="s">
        <v>2</v>
      </c>
      <c r="HH28" s="497" t="s">
        <v>4</v>
      </c>
      <c r="HI28" s="497" t="s">
        <v>4</v>
      </c>
      <c r="HJ28" s="497" t="s">
        <v>4</v>
      </c>
      <c r="HK28" s="494" t="s">
        <v>4</v>
      </c>
      <c r="HL28" s="497" t="s">
        <v>35476</v>
      </c>
      <c r="HM28" s="497" t="s">
        <v>2</v>
      </c>
      <c r="HN28" s="497" t="s">
        <v>4</v>
      </c>
      <c r="HO28" s="497" t="s">
        <v>16</v>
      </c>
      <c r="HP28" s="497" t="s">
        <v>35477</v>
      </c>
      <c r="HQ28" s="497" t="s">
        <v>35478</v>
      </c>
      <c r="HR28" s="497" t="s">
        <v>35479</v>
      </c>
      <c r="HS28" s="497" t="s">
        <v>35480</v>
      </c>
      <c r="HT28" s="500" t="s">
        <v>35471</v>
      </c>
    </row>
    <row r="29" spans="1:228" s="570" customFormat="1" ht="30.2" customHeight="1" x14ac:dyDescent="0.25">
      <c r="A29" s="759"/>
      <c r="B29" s="496">
        <v>210</v>
      </c>
      <c r="C29" s="496" t="s">
        <v>32328</v>
      </c>
      <c r="D29" s="497" t="s">
        <v>35711</v>
      </c>
      <c r="E29" s="497" t="s">
        <v>30786</v>
      </c>
      <c r="F29" s="497" t="s">
        <v>7</v>
      </c>
      <c r="G29" s="497" t="s">
        <v>35712</v>
      </c>
      <c r="H29" s="497">
        <v>1292.9000000000001</v>
      </c>
      <c r="I29" s="497">
        <v>5</v>
      </c>
      <c r="J29" s="497" t="s">
        <v>29288</v>
      </c>
      <c r="K29" s="497" t="s">
        <v>4</v>
      </c>
      <c r="L29" s="497" t="s">
        <v>35713</v>
      </c>
      <c r="M29" s="497">
        <v>706936679</v>
      </c>
      <c r="N29" s="497" t="s">
        <v>3</v>
      </c>
      <c r="O29" s="497" t="s">
        <v>31590</v>
      </c>
      <c r="P29" s="497" t="s">
        <v>4</v>
      </c>
      <c r="Q29" s="497">
        <v>6</v>
      </c>
      <c r="R29" s="497" t="s">
        <v>7</v>
      </c>
      <c r="S29" s="497" t="s">
        <v>31535</v>
      </c>
      <c r="T29" s="497" t="s">
        <v>4</v>
      </c>
      <c r="U29" s="497" t="s">
        <v>7</v>
      </c>
      <c r="V29" s="497" t="s">
        <v>7</v>
      </c>
      <c r="W29" s="497" t="s">
        <v>4</v>
      </c>
      <c r="X29" s="497" t="s">
        <v>7</v>
      </c>
      <c r="Y29" s="497" t="s">
        <v>4</v>
      </c>
      <c r="Z29" s="497" t="s">
        <v>4</v>
      </c>
      <c r="AA29" s="241" t="str">
        <f>IF(OR(U29="yes",Z29&gt;'SDG outcome'!$C$39),"yes","no")</f>
        <v>yes</v>
      </c>
      <c r="AB29" s="521" t="str">
        <f t="shared" si="0"/>
        <v>NA</v>
      </c>
      <c r="AC29" s="527" t="str">
        <f>IF(AND('SMS p2'!AA222="no",AND(Z29&gt;='SDG outcome'!$B$28,Z29&lt;'SDG outcome'!$C$39)),Z29-'SDG outcome'!$B$28,"")</f>
        <v/>
      </c>
      <c r="AD29" s="497" t="s">
        <v>4</v>
      </c>
      <c r="AE29" s="497" t="s">
        <v>4</v>
      </c>
      <c r="AF29" s="497" t="s">
        <v>4</v>
      </c>
      <c r="AG29" s="497" t="s">
        <v>4</v>
      </c>
      <c r="AH29" s="497" t="s">
        <v>4</v>
      </c>
      <c r="AI29" s="497" t="s">
        <v>4</v>
      </c>
      <c r="AJ29" s="501" t="s">
        <v>4</v>
      </c>
      <c r="AK29" s="497" t="s">
        <v>29290</v>
      </c>
      <c r="AL29" s="497" t="s">
        <v>29694</v>
      </c>
      <c r="AM29" s="497" t="s">
        <v>4</v>
      </c>
      <c r="AN29" s="497" t="s">
        <v>4</v>
      </c>
      <c r="AO29" s="497" t="s">
        <v>31599</v>
      </c>
      <c r="AP29" s="497" t="s">
        <v>4</v>
      </c>
      <c r="AQ29" s="497" t="s">
        <v>31600</v>
      </c>
      <c r="AR29" s="497" t="s">
        <v>4</v>
      </c>
      <c r="AS29" s="497" t="s">
        <v>31538</v>
      </c>
      <c r="AT29" s="497" t="s">
        <v>4</v>
      </c>
      <c r="AU29" s="497" t="s">
        <v>7</v>
      </c>
      <c r="AV29" s="497" t="s">
        <v>4</v>
      </c>
      <c r="AW29" s="497" t="s">
        <v>4</v>
      </c>
      <c r="AX29" s="497" t="s">
        <v>7</v>
      </c>
      <c r="AY29" s="497" t="s">
        <v>11</v>
      </c>
      <c r="AZ29" s="497" t="s">
        <v>4</v>
      </c>
      <c r="BA29" s="497" t="s">
        <v>31557</v>
      </c>
      <c r="BB29" s="497" t="s">
        <v>22</v>
      </c>
      <c r="BC29" s="497" t="s">
        <v>4</v>
      </c>
      <c r="BD29" s="497" t="s">
        <v>22</v>
      </c>
      <c r="BE29" s="497" t="s">
        <v>4</v>
      </c>
      <c r="BF29" s="497" t="s">
        <v>31542</v>
      </c>
      <c r="BG29" s="497" t="s">
        <v>35714</v>
      </c>
      <c r="BH29" s="497" t="s">
        <v>31544</v>
      </c>
      <c r="BI29" s="497">
        <v>2</v>
      </c>
      <c r="BJ29" s="497">
        <v>30</v>
      </c>
      <c r="BK29" s="497" t="s">
        <v>7</v>
      </c>
      <c r="BL29" s="497" t="s">
        <v>6</v>
      </c>
      <c r="BM29" s="497" t="s">
        <v>4</v>
      </c>
      <c r="BN29" s="497" t="s">
        <v>31425</v>
      </c>
      <c r="BO29" s="497">
        <v>1</v>
      </c>
      <c r="BP29" s="497">
        <v>60</v>
      </c>
      <c r="BQ29" s="497" t="s">
        <v>31435</v>
      </c>
      <c r="BR29" s="499" t="s">
        <v>33332</v>
      </c>
      <c r="BS29" s="497" t="s">
        <v>4</v>
      </c>
      <c r="BT29" s="497">
        <v>1</v>
      </c>
      <c r="BU29" s="494" cm="1">
        <f t="array" ref="BU29">_xlfn.IFS(BQ29="Foreword vehicle",BT29*0,BQ29="Human wastes",BT29*0,BS29="Jerrycans",BT29*$BT$4,BQ29="Number of Basins",BT29*$BT$5,BQ29="Number of Buckets",BT29*$BT$6,BQ29="Number of Kgs",BT29*$BT$7,BQ29="Number of spades",BT29*$BT$8,BQ29="Number of wheelbarrows",BT29*$BT$9,BS29="Septic Tank",BT29*0)</f>
        <v>70.5</v>
      </c>
      <c r="BV29" s="494">
        <f>Table15[[#This Row],[Calculation: Conversion of metric to Kg manure feeding (Columns: BP, BQ, BR)]]*Table15[[#This Row],[Number of times used to feed biodigester]]</f>
        <v>70.5</v>
      </c>
      <c r="BW29" s="495" cm="1">
        <f t="array" ref="BW29">_xlfn.IFS(BN29="Number of times per day (1 to 3)",BV29/$BW$3,BN29="Number of times per week (1 to 6)",BV29/$BW$4,BN29="Number of times per Month (1 to 3)",BV29/$BW$5)</f>
        <v>70.5</v>
      </c>
      <c r="BX29" s="497" t="s">
        <v>22</v>
      </c>
      <c r="BY29" s="497" t="s">
        <v>4</v>
      </c>
      <c r="BZ29" s="497" t="s">
        <v>2</v>
      </c>
      <c r="CA29" s="497" t="s">
        <v>4</v>
      </c>
      <c r="CB29" s="497" t="s">
        <v>4</v>
      </c>
      <c r="CC29" s="497" t="s">
        <v>4</v>
      </c>
      <c r="CD29" s="497" t="s">
        <v>7</v>
      </c>
      <c r="CE29" s="497" t="s">
        <v>35715</v>
      </c>
      <c r="CF29" s="497" t="s">
        <v>4</v>
      </c>
      <c r="CG29" s="497" t="s">
        <v>31604</v>
      </c>
      <c r="CH29" s="497">
        <v>3</v>
      </c>
      <c r="CI29" s="497">
        <v>0</v>
      </c>
      <c r="CJ29" s="497">
        <v>0</v>
      </c>
      <c r="CK29" s="497">
        <v>0</v>
      </c>
      <c r="CL29" s="497">
        <v>0</v>
      </c>
      <c r="CM29" s="497">
        <v>0</v>
      </c>
      <c r="CN29" s="497">
        <v>0</v>
      </c>
      <c r="CO29" s="497">
        <v>0</v>
      </c>
      <c r="CP29" s="497">
        <v>0</v>
      </c>
      <c r="CQ29" s="497">
        <v>0</v>
      </c>
      <c r="CR29" s="497">
        <f>IF(Table15[[#This Row],[Is your biodigester working?]]="yes",CO29/'SDG outcome'!$C$9*CP29*CQ29,"")</f>
        <v>0</v>
      </c>
      <c r="CS29" s="497">
        <v>100</v>
      </c>
      <c r="CT29" s="500">
        <v>0</v>
      </c>
      <c r="CU29" s="496" t="s">
        <v>4</v>
      </c>
      <c r="CV29" s="497" t="s">
        <v>4</v>
      </c>
      <c r="CW29" s="500" t="s">
        <v>4</v>
      </c>
      <c r="CX29" s="496" t="s">
        <v>4</v>
      </c>
      <c r="CY29" s="497" t="s">
        <v>4</v>
      </c>
      <c r="CZ29" s="500" t="s">
        <v>4</v>
      </c>
      <c r="DA29" s="496" t="s">
        <v>4</v>
      </c>
      <c r="DB29" s="497" t="s">
        <v>4</v>
      </c>
      <c r="DC29" s="497" t="s">
        <v>4</v>
      </c>
      <c r="DD29" s="497" t="s">
        <v>4</v>
      </c>
      <c r="DE29" s="497" t="s">
        <v>4</v>
      </c>
      <c r="DF29" s="497" t="s">
        <v>4</v>
      </c>
      <c r="DG29" s="497" t="s">
        <v>4</v>
      </c>
      <c r="DH29" s="497" t="s">
        <v>4</v>
      </c>
      <c r="DI29" s="497" t="s">
        <v>4</v>
      </c>
      <c r="DJ29" s="497" t="s">
        <v>4</v>
      </c>
      <c r="DK29" s="497" t="s">
        <v>4</v>
      </c>
      <c r="DL29" s="497" t="s">
        <v>4</v>
      </c>
      <c r="DM29" s="497" t="s">
        <v>4</v>
      </c>
      <c r="DN29" s="497">
        <v>4</v>
      </c>
      <c r="DO29" s="497" t="s">
        <v>7</v>
      </c>
      <c r="DP29" s="497" t="s">
        <v>29292</v>
      </c>
      <c r="DQ29" s="497" t="s">
        <v>4</v>
      </c>
      <c r="DR29" s="497" t="s">
        <v>29294</v>
      </c>
      <c r="DS29" s="494" t="s">
        <v>4</v>
      </c>
      <c r="DT29" s="497" t="s">
        <v>29294</v>
      </c>
      <c r="DU29" s="494" t="s">
        <v>4</v>
      </c>
      <c r="DV29" s="500" t="s">
        <v>29295</v>
      </c>
      <c r="DW29" s="496">
        <v>100</v>
      </c>
      <c r="DX29" s="497" t="s">
        <v>30460</v>
      </c>
      <c r="DY29" s="497">
        <v>50</v>
      </c>
      <c r="DZ29" s="497">
        <v>50</v>
      </c>
      <c r="EA29" s="497" t="s">
        <v>4</v>
      </c>
      <c r="EB29" s="497" t="s">
        <v>4</v>
      </c>
      <c r="EC29" s="497" t="s">
        <v>4</v>
      </c>
      <c r="ED29" s="497" t="s">
        <v>4</v>
      </c>
      <c r="EE29" s="497" t="s">
        <v>4</v>
      </c>
      <c r="EF29" s="497" t="s">
        <v>4</v>
      </c>
      <c r="EG29" s="497" t="s">
        <v>4</v>
      </c>
      <c r="EH29" s="497" t="s">
        <v>4</v>
      </c>
      <c r="EI29" s="497" t="s">
        <v>4</v>
      </c>
      <c r="EJ29" s="497" t="s">
        <v>4</v>
      </c>
      <c r="EK29" s="497" t="s">
        <v>4</v>
      </c>
      <c r="EL29" s="497" t="s">
        <v>4</v>
      </c>
      <c r="EM29" s="497" t="s">
        <v>4</v>
      </c>
      <c r="EN29" s="497" t="s">
        <v>4</v>
      </c>
      <c r="EO29" s="497" t="s">
        <v>4</v>
      </c>
      <c r="EP29" s="497" t="s">
        <v>4</v>
      </c>
      <c r="EQ29" s="497" t="s">
        <v>4</v>
      </c>
      <c r="ER29" s="497" t="s">
        <v>4</v>
      </c>
      <c r="ES29" s="497" t="s">
        <v>4</v>
      </c>
      <c r="ET29" s="497" t="s">
        <v>4</v>
      </c>
      <c r="EU29" s="497" t="s">
        <v>4</v>
      </c>
      <c r="EV29" s="497" t="s">
        <v>4</v>
      </c>
      <c r="EW29" s="497">
        <v>5</v>
      </c>
      <c r="EX29" s="497" t="s">
        <v>7</v>
      </c>
      <c r="EY29" s="497">
        <v>100</v>
      </c>
      <c r="EZ29" s="239">
        <f t="shared" si="1"/>
        <v>5</v>
      </c>
      <c r="FA29" s="497" t="s">
        <v>35716</v>
      </c>
      <c r="FB29" s="497" t="s">
        <v>29298</v>
      </c>
      <c r="FC29" s="497">
        <v>26</v>
      </c>
      <c r="FD29" s="497" t="s">
        <v>2</v>
      </c>
      <c r="FE29" s="497" t="s">
        <v>4</v>
      </c>
      <c r="FF29" s="497" t="s">
        <v>4</v>
      </c>
      <c r="FG29" s="497" t="s">
        <v>2</v>
      </c>
      <c r="FH29" s="497" t="s">
        <v>4</v>
      </c>
      <c r="FI29" s="497" t="s">
        <v>4</v>
      </c>
      <c r="FJ29" s="497" t="s">
        <v>4</v>
      </c>
      <c r="FK29" s="497" t="s">
        <v>4</v>
      </c>
      <c r="FL29" s="497" t="s">
        <v>4</v>
      </c>
      <c r="FM29" s="497" t="s">
        <v>4</v>
      </c>
      <c r="FN29" s="494" t="s">
        <v>4</v>
      </c>
      <c r="FO29" s="497" t="s">
        <v>4</v>
      </c>
      <c r="FP29" s="497" t="s">
        <v>2</v>
      </c>
      <c r="FQ29" s="497" t="s">
        <v>4</v>
      </c>
      <c r="FR29" s="497" t="s">
        <v>4</v>
      </c>
      <c r="FS29" s="497" t="s">
        <v>2</v>
      </c>
      <c r="FT29" s="497" t="s">
        <v>7</v>
      </c>
      <c r="FU29" s="497" t="s">
        <v>29302</v>
      </c>
      <c r="FV29" s="497" t="s">
        <v>33825</v>
      </c>
      <c r="FW29" s="497" t="s">
        <v>29304</v>
      </c>
      <c r="FX29" s="497">
        <v>3</v>
      </c>
      <c r="FY29" s="497" t="s">
        <v>30272</v>
      </c>
      <c r="FZ29" s="497" t="s">
        <v>29306</v>
      </c>
      <c r="GA29" s="497" t="s">
        <v>30820</v>
      </c>
      <c r="GB29" s="497" t="s">
        <v>30338</v>
      </c>
      <c r="GC29" s="497" t="s">
        <v>4</v>
      </c>
      <c r="GD29" s="497" t="s">
        <v>29451</v>
      </c>
      <c r="GE29" s="497" t="s">
        <v>4</v>
      </c>
      <c r="GF29" s="497" t="s">
        <v>4</v>
      </c>
      <c r="GG29" s="497" t="s">
        <v>4</v>
      </c>
      <c r="GH29" s="497" t="s">
        <v>4</v>
      </c>
      <c r="GI29" s="497" t="s">
        <v>4</v>
      </c>
      <c r="GJ29" s="497" t="s">
        <v>4</v>
      </c>
      <c r="GK29" s="497" t="s">
        <v>4</v>
      </c>
      <c r="GL29" s="497" t="s">
        <v>4</v>
      </c>
      <c r="GM29" s="497" t="s">
        <v>4</v>
      </c>
      <c r="GN29" s="497" t="s">
        <v>4</v>
      </c>
      <c r="GO29" s="497" t="s">
        <v>4</v>
      </c>
      <c r="GP29" s="497" t="s">
        <v>4</v>
      </c>
      <c r="GQ29" s="497" t="s">
        <v>4</v>
      </c>
      <c r="GR29" s="497" t="s">
        <v>4</v>
      </c>
      <c r="GS29" s="497" t="s">
        <v>4</v>
      </c>
      <c r="GT29" s="497" t="s">
        <v>30516</v>
      </c>
      <c r="GU29" s="497" t="s">
        <v>4</v>
      </c>
      <c r="GV29" s="494">
        <v>15</v>
      </c>
      <c r="GW29" s="497" t="s">
        <v>7</v>
      </c>
      <c r="GX29" s="497" t="s">
        <v>29837</v>
      </c>
      <c r="GY29" s="497" t="s">
        <v>4</v>
      </c>
      <c r="GZ29" s="497" t="s">
        <v>4</v>
      </c>
      <c r="HA29" s="497" t="s">
        <v>4</v>
      </c>
      <c r="HB29" s="497" t="s">
        <v>4</v>
      </c>
      <c r="HC29" s="497" t="s">
        <v>4</v>
      </c>
      <c r="HD29" s="497" t="s">
        <v>4</v>
      </c>
      <c r="HE29" s="497" t="s">
        <v>4</v>
      </c>
      <c r="HF29" s="497" t="s">
        <v>4</v>
      </c>
      <c r="HG29" s="497" t="s">
        <v>2</v>
      </c>
      <c r="HH29" s="497" t="s">
        <v>4</v>
      </c>
      <c r="HI29" s="497" t="s">
        <v>4</v>
      </c>
      <c r="HJ29" s="497" t="s">
        <v>4</v>
      </c>
      <c r="HK29" s="494" t="s">
        <v>4</v>
      </c>
      <c r="HL29" s="497" t="s">
        <v>33474</v>
      </c>
      <c r="HM29" s="497" t="s">
        <v>2</v>
      </c>
      <c r="HN29" s="497" t="s">
        <v>4</v>
      </c>
      <c r="HO29" s="497" t="s">
        <v>16</v>
      </c>
      <c r="HP29" s="497" t="s">
        <v>35717</v>
      </c>
      <c r="HQ29" s="497" t="s">
        <v>35718</v>
      </c>
      <c r="HR29" s="497" t="s">
        <v>35719</v>
      </c>
      <c r="HS29" s="497" t="s">
        <v>35720</v>
      </c>
      <c r="HT29" s="500" t="s">
        <v>35711</v>
      </c>
    </row>
    <row r="30" spans="1:228" s="570" customFormat="1" ht="30.2" customHeight="1" x14ac:dyDescent="0.25">
      <c r="A30" s="759"/>
      <c r="B30" s="496">
        <v>215</v>
      </c>
      <c r="C30" s="496" t="s">
        <v>2719</v>
      </c>
      <c r="D30" s="497" t="s">
        <v>35753</v>
      </c>
      <c r="E30" s="497" t="s">
        <v>30786</v>
      </c>
      <c r="F30" s="497" t="s">
        <v>7</v>
      </c>
      <c r="G30" s="497" t="s">
        <v>35754</v>
      </c>
      <c r="H30" s="497">
        <v>1290.7</v>
      </c>
      <c r="I30" s="497">
        <v>5.0999999999999996</v>
      </c>
      <c r="J30" s="497" t="s">
        <v>29288</v>
      </c>
      <c r="K30" s="497" t="s">
        <v>4</v>
      </c>
      <c r="L30" s="497" t="s">
        <v>35755</v>
      </c>
      <c r="M30" s="497">
        <v>757645322</v>
      </c>
      <c r="N30" s="497" t="s">
        <v>5</v>
      </c>
      <c r="O30" s="497" t="s">
        <v>31590</v>
      </c>
      <c r="P30" s="497" t="s">
        <v>4</v>
      </c>
      <c r="Q30" s="497">
        <v>6</v>
      </c>
      <c r="R30" s="497" t="s">
        <v>7</v>
      </c>
      <c r="S30" s="497" t="s">
        <v>31549</v>
      </c>
      <c r="T30" s="497" t="s">
        <v>4</v>
      </c>
      <c r="U30" s="497" t="s">
        <v>7</v>
      </c>
      <c r="V30" s="497" t="s">
        <v>7</v>
      </c>
      <c r="W30" s="497" t="s">
        <v>4</v>
      </c>
      <c r="X30" s="497" t="s">
        <v>7</v>
      </c>
      <c r="Y30" s="497" t="s">
        <v>4</v>
      </c>
      <c r="Z30" s="497" t="s">
        <v>4</v>
      </c>
      <c r="AA30" s="241" t="str">
        <f>IF(OR(U30="yes",Z30&gt;'SDG outcome'!$C$39),"yes","no")</f>
        <v>yes</v>
      </c>
      <c r="AB30" s="521" t="str">
        <f t="shared" si="0"/>
        <v>NA</v>
      </c>
      <c r="AC30" s="527" t="str">
        <f>IF(AND('SMS p2'!AA227="no",AND(Z30&gt;='SDG outcome'!$B$28,Z30&lt;'SDG outcome'!$C$39)),Z30-'SDG outcome'!$B$28,"")</f>
        <v/>
      </c>
      <c r="AD30" s="497" t="s">
        <v>4</v>
      </c>
      <c r="AE30" s="497" t="s">
        <v>4</v>
      </c>
      <c r="AF30" s="497" t="s">
        <v>4</v>
      </c>
      <c r="AG30" s="497" t="s">
        <v>4</v>
      </c>
      <c r="AH30" s="497" t="s">
        <v>4</v>
      </c>
      <c r="AI30" s="497" t="s">
        <v>4</v>
      </c>
      <c r="AJ30" s="497" t="s">
        <v>4</v>
      </c>
      <c r="AK30" s="497" t="s">
        <v>29290</v>
      </c>
      <c r="AL30" s="497" t="s">
        <v>29694</v>
      </c>
      <c r="AM30" s="497" t="s">
        <v>4</v>
      </c>
      <c r="AN30" s="497" t="s">
        <v>4</v>
      </c>
      <c r="AO30" s="497" t="s">
        <v>31599</v>
      </c>
      <c r="AP30" s="497" t="s">
        <v>4</v>
      </c>
      <c r="AQ30" s="497" t="s">
        <v>31537</v>
      </c>
      <c r="AR30" s="497" t="s">
        <v>4</v>
      </c>
      <c r="AS30" s="497" t="s">
        <v>31538</v>
      </c>
      <c r="AT30" s="497" t="s">
        <v>4</v>
      </c>
      <c r="AU30" s="497" t="s">
        <v>7</v>
      </c>
      <c r="AV30" s="497" t="s">
        <v>4</v>
      </c>
      <c r="AW30" s="497" t="s">
        <v>4</v>
      </c>
      <c r="AX30" s="497" t="s">
        <v>7</v>
      </c>
      <c r="AY30" s="497" t="s">
        <v>6</v>
      </c>
      <c r="AZ30" s="497" t="s">
        <v>4</v>
      </c>
      <c r="BA30" s="497" t="s">
        <v>31540</v>
      </c>
      <c r="BB30" s="497" t="s">
        <v>14</v>
      </c>
      <c r="BC30" s="497" t="s">
        <v>4</v>
      </c>
      <c r="BD30" s="501" t="s">
        <v>14</v>
      </c>
      <c r="BE30" s="497" t="s">
        <v>4</v>
      </c>
      <c r="BF30" s="497" t="s">
        <v>31542</v>
      </c>
      <c r="BG30" s="497" t="s">
        <v>35756</v>
      </c>
      <c r="BH30" s="497" t="s">
        <v>31544</v>
      </c>
      <c r="BI30" s="497">
        <v>2</v>
      </c>
      <c r="BJ30" s="497">
        <v>160</v>
      </c>
      <c r="BK30" s="497" t="s">
        <v>7</v>
      </c>
      <c r="BL30" s="497" t="s">
        <v>6</v>
      </c>
      <c r="BM30" s="497" t="s">
        <v>4</v>
      </c>
      <c r="BN30" s="497" t="s">
        <v>31429</v>
      </c>
      <c r="BO30" s="497">
        <v>2</v>
      </c>
      <c r="BP30" s="497">
        <v>60</v>
      </c>
      <c r="BQ30" s="497" t="s">
        <v>31426</v>
      </c>
      <c r="BR30" s="499" t="s">
        <v>33361</v>
      </c>
      <c r="BS30" s="497" t="s">
        <v>4</v>
      </c>
      <c r="BT30" s="497">
        <v>4</v>
      </c>
      <c r="BU30" s="494" cm="1">
        <f t="array" ref="BU30">_xlfn.IFS(BQ30="Foreword vehicle",BT30*0,BQ30="Human wastes",BT30*0,BS30="Jerrycans",BT30*$BT$4,BQ30="Number of Basins",BT30*$BT$5,BQ30="Number of Buckets",BT30*$BS$6,BQ30="Number of Kgs",BT30*$BT$7,BQ30="Number of spades",BT30*$BT$8,BQ30="Number of wheelbarrows",BT30*$BT$9,BS30="Septic Tank",BT30*0)</f>
        <v>94</v>
      </c>
      <c r="BV30" s="494">
        <f>Table15[[#This Row],[Calculation: Conversion of metric to Kg manure feeding (Columns: BP, BQ, BR)]]*Table15[[#This Row],[Number of times used to feed biodigester]]</f>
        <v>188</v>
      </c>
      <c r="BW30" s="495" cm="1">
        <f t="array" ref="BW30">_xlfn.IFS(BN30="Number of times per day (1 to 3)",BV30/$BW$3,BN30="Number of times per week (1 to 6)",BV30/$BW$4,BN30="Number of times per Month (1 to 3)",BV30/$BW$5)</f>
        <v>26.857142857142858</v>
      </c>
      <c r="BX30" s="497" t="s">
        <v>31552</v>
      </c>
      <c r="BY30" s="497" t="s">
        <v>4</v>
      </c>
      <c r="BZ30" s="497" t="s">
        <v>2</v>
      </c>
      <c r="CA30" s="497" t="s">
        <v>4</v>
      </c>
      <c r="CB30" s="497" t="s">
        <v>4</v>
      </c>
      <c r="CC30" s="497" t="s">
        <v>4</v>
      </c>
      <c r="CD30" s="497" t="s">
        <v>7</v>
      </c>
      <c r="CE30" s="497" t="s">
        <v>35757</v>
      </c>
      <c r="CF30" s="497" t="s">
        <v>4</v>
      </c>
      <c r="CG30" s="497" t="s">
        <v>31604</v>
      </c>
      <c r="CH30" s="497">
        <v>1</v>
      </c>
      <c r="CI30" s="497">
        <v>0</v>
      </c>
      <c r="CJ30" s="497">
        <v>0</v>
      </c>
      <c r="CK30" s="497">
        <v>0</v>
      </c>
      <c r="CL30" s="497">
        <v>0</v>
      </c>
      <c r="CM30" s="497">
        <v>0</v>
      </c>
      <c r="CN30" s="497">
        <v>0</v>
      </c>
      <c r="CO30" s="497">
        <v>0</v>
      </c>
      <c r="CP30" s="497">
        <v>0</v>
      </c>
      <c r="CQ30" s="497">
        <v>0</v>
      </c>
      <c r="CR30" s="497">
        <f>IF(Table15[[#This Row],[Is your biodigester working?]]="yes",CO30/'SDG outcome'!$C$9*CP30*CQ30,"")</f>
        <v>0</v>
      </c>
      <c r="CS30" s="497">
        <v>100</v>
      </c>
      <c r="CT30" s="500">
        <v>0</v>
      </c>
      <c r="CU30" s="496" t="s">
        <v>4</v>
      </c>
      <c r="CV30" s="497" t="s">
        <v>4</v>
      </c>
      <c r="CW30" s="500" t="s">
        <v>4</v>
      </c>
      <c r="CX30" s="496" t="s">
        <v>4</v>
      </c>
      <c r="CY30" s="497" t="s">
        <v>4</v>
      </c>
      <c r="CZ30" s="500" t="s">
        <v>4</v>
      </c>
      <c r="DA30" s="496" t="s">
        <v>4</v>
      </c>
      <c r="DB30" s="497" t="s">
        <v>4</v>
      </c>
      <c r="DC30" s="497" t="s">
        <v>4</v>
      </c>
      <c r="DD30" s="497" t="s">
        <v>4</v>
      </c>
      <c r="DE30" s="497" t="s">
        <v>4</v>
      </c>
      <c r="DF30" s="497" t="s">
        <v>4</v>
      </c>
      <c r="DG30" s="497" t="s">
        <v>4</v>
      </c>
      <c r="DH30" s="497" t="s">
        <v>4</v>
      </c>
      <c r="DI30" s="497" t="s">
        <v>4</v>
      </c>
      <c r="DJ30" s="497" t="s">
        <v>4</v>
      </c>
      <c r="DK30" s="497" t="s">
        <v>4</v>
      </c>
      <c r="DL30" s="497" t="s">
        <v>4</v>
      </c>
      <c r="DM30" s="497" t="s">
        <v>4</v>
      </c>
      <c r="DN30" s="497">
        <v>3</v>
      </c>
      <c r="DO30" s="497" t="s">
        <v>7</v>
      </c>
      <c r="DP30" s="497" t="s">
        <v>29292</v>
      </c>
      <c r="DQ30" s="497" t="s">
        <v>4</v>
      </c>
      <c r="DR30" s="497" t="s">
        <v>29294</v>
      </c>
      <c r="DS30" s="494" t="s">
        <v>4</v>
      </c>
      <c r="DT30" s="497" t="s">
        <v>29294</v>
      </c>
      <c r="DU30" s="494" t="s">
        <v>4</v>
      </c>
      <c r="DV30" s="500" t="s">
        <v>29295</v>
      </c>
      <c r="DW30" s="496">
        <v>100</v>
      </c>
      <c r="DX30" s="497" t="s">
        <v>29296</v>
      </c>
      <c r="DY30" s="497">
        <v>100</v>
      </c>
      <c r="DZ30" s="497" t="s">
        <v>4</v>
      </c>
      <c r="EA30" s="497" t="s">
        <v>4</v>
      </c>
      <c r="EB30" s="497" t="s">
        <v>4</v>
      </c>
      <c r="EC30" s="497" t="s">
        <v>4</v>
      </c>
      <c r="ED30" s="497" t="s">
        <v>4</v>
      </c>
      <c r="EE30" s="497" t="s">
        <v>4</v>
      </c>
      <c r="EF30" s="497" t="s">
        <v>4</v>
      </c>
      <c r="EG30" s="497" t="s">
        <v>4</v>
      </c>
      <c r="EH30" s="497" t="s">
        <v>4</v>
      </c>
      <c r="EI30" s="497" t="s">
        <v>4</v>
      </c>
      <c r="EJ30" s="497" t="s">
        <v>4</v>
      </c>
      <c r="EK30" s="497" t="s">
        <v>4</v>
      </c>
      <c r="EL30" s="497" t="s">
        <v>4</v>
      </c>
      <c r="EM30" s="497" t="s">
        <v>4</v>
      </c>
      <c r="EN30" s="497" t="s">
        <v>4</v>
      </c>
      <c r="EO30" s="497" t="s">
        <v>4</v>
      </c>
      <c r="EP30" s="497" t="s">
        <v>4</v>
      </c>
      <c r="EQ30" s="497" t="s">
        <v>4</v>
      </c>
      <c r="ER30" s="497" t="s">
        <v>4</v>
      </c>
      <c r="ES30" s="497" t="s">
        <v>4</v>
      </c>
      <c r="ET30" s="497" t="s">
        <v>4</v>
      </c>
      <c r="EU30" s="497" t="s">
        <v>4</v>
      </c>
      <c r="EV30" s="497" t="s">
        <v>4</v>
      </c>
      <c r="EW30" s="497">
        <v>5</v>
      </c>
      <c r="EX30" s="497" t="s">
        <v>7</v>
      </c>
      <c r="EY30" s="497">
        <v>100</v>
      </c>
      <c r="EZ30" s="239">
        <f t="shared" si="1"/>
        <v>5</v>
      </c>
      <c r="FA30" s="497" t="s">
        <v>35758</v>
      </c>
      <c r="FB30" s="497" t="s">
        <v>29298</v>
      </c>
      <c r="FC30" s="497">
        <v>36</v>
      </c>
      <c r="FD30" s="497" t="s">
        <v>7</v>
      </c>
      <c r="FE30" s="497" t="s">
        <v>29393</v>
      </c>
      <c r="FF30" s="497" t="s">
        <v>4</v>
      </c>
      <c r="FG30" s="497" t="s">
        <v>2</v>
      </c>
      <c r="FH30" s="497" t="s">
        <v>4</v>
      </c>
      <c r="FI30" s="497" t="s">
        <v>4</v>
      </c>
      <c r="FJ30" s="497" t="s">
        <v>4</v>
      </c>
      <c r="FK30" s="497" t="s">
        <v>4</v>
      </c>
      <c r="FL30" s="497" t="s">
        <v>4</v>
      </c>
      <c r="FM30" s="497" t="s">
        <v>4</v>
      </c>
      <c r="FN30" s="494" t="s">
        <v>4</v>
      </c>
      <c r="FO30" s="497" t="s">
        <v>4</v>
      </c>
      <c r="FP30" s="497" t="s">
        <v>2</v>
      </c>
      <c r="FQ30" s="497" t="s">
        <v>4</v>
      </c>
      <c r="FR30" s="497" t="s">
        <v>4</v>
      </c>
      <c r="FS30" s="497" t="s">
        <v>2</v>
      </c>
      <c r="FT30" s="497" t="s">
        <v>2</v>
      </c>
      <c r="FU30" s="497" t="s">
        <v>4</v>
      </c>
      <c r="FV30" s="497" t="s">
        <v>4</v>
      </c>
      <c r="FW30" s="497" t="s">
        <v>4</v>
      </c>
      <c r="FX30" s="497">
        <v>0</v>
      </c>
      <c r="FY30" s="497" t="s">
        <v>4</v>
      </c>
      <c r="FZ30" s="497" t="s">
        <v>4</v>
      </c>
      <c r="GA30" s="497" t="s">
        <v>4</v>
      </c>
      <c r="GB30" s="497" t="s">
        <v>4</v>
      </c>
      <c r="GC30" s="497" t="s">
        <v>4</v>
      </c>
      <c r="GD30" s="497" t="s">
        <v>4</v>
      </c>
      <c r="GE30" s="497" t="s">
        <v>4</v>
      </c>
      <c r="GF30" s="497" t="s">
        <v>4</v>
      </c>
      <c r="GG30" s="497" t="s">
        <v>4</v>
      </c>
      <c r="GH30" s="497" t="s">
        <v>4</v>
      </c>
      <c r="GI30" s="497" t="s">
        <v>29304</v>
      </c>
      <c r="GJ30" s="497" t="s">
        <v>29882</v>
      </c>
      <c r="GK30" s="497" t="s">
        <v>29306</v>
      </c>
      <c r="GL30" s="497" t="s">
        <v>30337</v>
      </c>
      <c r="GM30" s="497" t="s">
        <v>35706</v>
      </c>
      <c r="GN30" s="497" t="s">
        <v>4</v>
      </c>
      <c r="GO30" s="497" t="s">
        <v>4</v>
      </c>
      <c r="GP30" s="497" t="s">
        <v>4</v>
      </c>
      <c r="GQ30" s="497" t="s">
        <v>4</v>
      </c>
      <c r="GR30" s="497" t="s">
        <v>4</v>
      </c>
      <c r="GS30" s="497" t="s">
        <v>4</v>
      </c>
      <c r="GT30" s="497" t="s">
        <v>35759</v>
      </c>
      <c r="GU30" s="497" t="s">
        <v>4</v>
      </c>
      <c r="GV30" s="494">
        <v>5</v>
      </c>
      <c r="GW30" s="497" t="s">
        <v>7</v>
      </c>
      <c r="GX30" s="497" t="s">
        <v>29837</v>
      </c>
      <c r="GY30" s="497" t="s">
        <v>4</v>
      </c>
      <c r="GZ30" s="497" t="s">
        <v>4</v>
      </c>
      <c r="HA30" s="497" t="s">
        <v>4</v>
      </c>
      <c r="HB30" s="497" t="s">
        <v>4</v>
      </c>
      <c r="HC30" s="497" t="s">
        <v>4</v>
      </c>
      <c r="HD30" s="497" t="s">
        <v>4</v>
      </c>
      <c r="HE30" s="497" t="s">
        <v>4</v>
      </c>
      <c r="HF30" s="497" t="s">
        <v>4</v>
      </c>
      <c r="HG30" s="497" t="s">
        <v>2</v>
      </c>
      <c r="HH30" s="497" t="s">
        <v>4</v>
      </c>
      <c r="HI30" s="497" t="s">
        <v>4</v>
      </c>
      <c r="HJ30" s="497" t="s">
        <v>4</v>
      </c>
      <c r="HK30" s="494" t="s">
        <v>4</v>
      </c>
      <c r="HL30" s="497" t="s">
        <v>35760</v>
      </c>
      <c r="HM30" s="497" t="s">
        <v>7</v>
      </c>
      <c r="HN30" s="497" t="s">
        <v>35761</v>
      </c>
      <c r="HO30" s="497" t="s">
        <v>16</v>
      </c>
      <c r="HP30" s="497" t="s">
        <v>35762</v>
      </c>
      <c r="HQ30" s="497" t="s">
        <v>35763</v>
      </c>
      <c r="HR30" s="497" t="s">
        <v>35764</v>
      </c>
      <c r="HS30" s="497" t="s">
        <v>35765</v>
      </c>
      <c r="HT30" s="500" t="s">
        <v>35753</v>
      </c>
    </row>
    <row r="31" spans="1:228" s="570" customFormat="1" ht="30.2" customHeight="1" x14ac:dyDescent="0.25">
      <c r="A31" s="759"/>
      <c r="B31" s="496">
        <v>255</v>
      </c>
      <c r="C31" s="496" t="s">
        <v>7820</v>
      </c>
      <c r="D31" s="497" t="s">
        <v>36162</v>
      </c>
      <c r="E31" s="497" t="s">
        <v>30786</v>
      </c>
      <c r="F31" s="497" t="s">
        <v>7</v>
      </c>
      <c r="G31" s="497" t="s">
        <v>36163</v>
      </c>
      <c r="H31" s="497">
        <v>1180.5</v>
      </c>
      <c r="I31" s="497">
        <v>5</v>
      </c>
      <c r="J31" s="497" t="s">
        <v>29319</v>
      </c>
      <c r="K31" s="497" t="s">
        <v>4</v>
      </c>
      <c r="L31" s="497" t="s">
        <v>36164</v>
      </c>
      <c r="M31" s="497">
        <v>774329280</v>
      </c>
      <c r="N31" s="497" t="s">
        <v>5</v>
      </c>
      <c r="O31" s="497" t="s">
        <v>31590</v>
      </c>
      <c r="P31" s="497" t="s">
        <v>4</v>
      </c>
      <c r="Q31" s="497">
        <v>10</v>
      </c>
      <c r="R31" s="497" t="s">
        <v>7</v>
      </c>
      <c r="S31" s="497" t="s">
        <v>31588</v>
      </c>
      <c r="T31" s="497" t="s">
        <v>4</v>
      </c>
      <c r="U31" s="497" t="s">
        <v>7</v>
      </c>
      <c r="V31" s="497" t="s">
        <v>7</v>
      </c>
      <c r="W31" s="497" t="s">
        <v>4</v>
      </c>
      <c r="X31" s="497" t="s">
        <v>7</v>
      </c>
      <c r="Y31" s="497" t="s">
        <v>4</v>
      </c>
      <c r="Z31" s="497" t="s">
        <v>4</v>
      </c>
      <c r="AA31" s="241" t="str">
        <f>IF(OR(U31="yes",Z31&gt;'SDG outcome'!$C$39),"yes","no")</f>
        <v>yes</v>
      </c>
      <c r="AB31" s="521" t="str">
        <f t="shared" si="0"/>
        <v>NA</v>
      </c>
      <c r="AC31" s="527" t="str">
        <f>IF(AND('SMS p2'!AA266="no",AND(Z31&gt;='SDG outcome'!$B$28,Z31&lt;'SDG outcome'!$C$39)),Z31-'SDG outcome'!$B$28,"")</f>
        <v/>
      </c>
      <c r="AD31" s="497" t="s">
        <v>4</v>
      </c>
      <c r="AE31" s="497" t="s">
        <v>4</v>
      </c>
      <c r="AF31" s="497" t="s">
        <v>4</v>
      </c>
      <c r="AG31" s="497" t="s">
        <v>4</v>
      </c>
      <c r="AH31" s="497" t="s">
        <v>4</v>
      </c>
      <c r="AI31" s="497" t="s">
        <v>4</v>
      </c>
      <c r="AJ31" s="498" t="s">
        <v>4</v>
      </c>
      <c r="AK31" s="497" t="s">
        <v>29290</v>
      </c>
      <c r="AL31" s="497" t="s">
        <v>29694</v>
      </c>
      <c r="AM31" s="498" t="s">
        <v>4</v>
      </c>
      <c r="AN31" s="498" t="s">
        <v>4</v>
      </c>
      <c r="AO31" s="497" t="s">
        <v>31599</v>
      </c>
      <c r="AP31" s="498" t="s">
        <v>4</v>
      </c>
      <c r="AQ31" s="497" t="s">
        <v>31537</v>
      </c>
      <c r="AR31" s="498" t="s">
        <v>4</v>
      </c>
      <c r="AS31" s="497" t="s">
        <v>31538</v>
      </c>
      <c r="AT31" s="498" t="s">
        <v>4</v>
      </c>
      <c r="AU31" s="497" t="s">
        <v>7</v>
      </c>
      <c r="AV31" s="498" t="s">
        <v>4</v>
      </c>
      <c r="AW31" s="498" t="s">
        <v>4</v>
      </c>
      <c r="AX31" s="497" t="s">
        <v>7</v>
      </c>
      <c r="AY31" s="497" t="s">
        <v>6</v>
      </c>
      <c r="AZ31" s="498" t="s">
        <v>4</v>
      </c>
      <c r="BA31" s="497" t="s">
        <v>31540</v>
      </c>
      <c r="BB31" s="497" t="s">
        <v>22</v>
      </c>
      <c r="BC31" s="498" t="s">
        <v>4</v>
      </c>
      <c r="BD31" s="497" t="s">
        <v>22</v>
      </c>
      <c r="BE31" s="498" t="s">
        <v>4</v>
      </c>
      <c r="BF31" s="497" t="s">
        <v>31542</v>
      </c>
      <c r="BG31" s="497" t="s">
        <v>36165</v>
      </c>
      <c r="BH31" s="497" t="s">
        <v>31544</v>
      </c>
      <c r="BI31" s="497">
        <v>3</v>
      </c>
      <c r="BJ31" s="497">
        <v>60</v>
      </c>
      <c r="BK31" s="497" t="s">
        <v>7</v>
      </c>
      <c r="BL31" s="497" t="s">
        <v>6</v>
      </c>
      <c r="BM31" s="497" t="s">
        <v>4</v>
      </c>
      <c r="BN31" s="497" t="s">
        <v>31429</v>
      </c>
      <c r="BO31" s="497">
        <v>1</v>
      </c>
      <c r="BP31" s="497">
        <v>30</v>
      </c>
      <c r="BQ31" s="497" t="s">
        <v>31426</v>
      </c>
      <c r="BR31" s="499" t="s">
        <v>33361</v>
      </c>
      <c r="BS31" s="497" t="s">
        <v>4</v>
      </c>
      <c r="BT31" s="497">
        <v>2</v>
      </c>
      <c r="BU31" s="494" cm="1">
        <f t="array" ref="BU31">_xlfn.IFS(BQ31="Foreword vehicle",BT31*0,BQ31="Human wastes",BT31*0,BS31="Jerrycans",BT31*$BT$4,BQ31="Number of Basins",BT31*$BT$5,BQ31="Number of Buckets",BT31*$BS$6,BQ31="Number of Kgs",BT31*$BT$7,BQ31="Number of spades",BT31*$BT$8,BQ31="Number of wheelbarrows",BT31*$BT$9,BS31="Septic Tank",BT31*0)</f>
        <v>47</v>
      </c>
      <c r="BV31" s="497">
        <f>Table15[[#This Row],[Calculation: Conversion of metric to Kg manure feeding (Columns: BP, BQ, BR)]]*Table15[[#This Row],[Number of times used to feed biodigester]]</f>
        <v>47</v>
      </c>
      <c r="BW31" s="495" cm="1">
        <f t="array" ref="BW31">_xlfn.IFS(BN31="Number of times per day (1 to 3)",BV31/$BW$3,BN31="Number of times per week (1 to 6)",BV31/$BW$4,BN31="Number of times per Month (1 to 3)",BV31/$BW$5)</f>
        <v>6.7142857142857144</v>
      </c>
      <c r="BX31" s="497" t="s">
        <v>22</v>
      </c>
      <c r="BY31" s="497" t="s">
        <v>4</v>
      </c>
      <c r="BZ31" s="497" t="s">
        <v>2</v>
      </c>
      <c r="CA31" s="497" t="s">
        <v>4</v>
      </c>
      <c r="CB31" s="497" t="s">
        <v>4</v>
      </c>
      <c r="CC31" s="497" t="s">
        <v>4</v>
      </c>
      <c r="CD31" s="497" t="s">
        <v>7</v>
      </c>
      <c r="CE31" s="497" t="s">
        <v>36166</v>
      </c>
      <c r="CF31" s="497" t="s">
        <v>4</v>
      </c>
      <c r="CG31" s="497" t="s">
        <v>31604</v>
      </c>
      <c r="CH31" s="497">
        <v>3</v>
      </c>
      <c r="CI31" s="497">
        <v>0</v>
      </c>
      <c r="CJ31" s="497">
        <v>0</v>
      </c>
      <c r="CK31" s="497">
        <v>0</v>
      </c>
      <c r="CL31" s="497">
        <v>0</v>
      </c>
      <c r="CM31" s="497">
        <v>0</v>
      </c>
      <c r="CN31" s="497">
        <v>0</v>
      </c>
      <c r="CO31" s="497">
        <v>0</v>
      </c>
      <c r="CP31" s="497">
        <v>0</v>
      </c>
      <c r="CQ31" s="497">
        <v>0</v>
      </c>
      <c r="CR31" s="497">
        <f>IF(Table15[[#This Row],[Is your biodigester working?]]="yes",CO31/'SDG outcome'!$C$9*CP31*CQ31,"")</f>
        <v>0</v>
      </c>
      <c r="CS31" s="497">
        <v>100</v>
      </c>
      <c r="CT31" s="500" t="s">
        <v>4</v>
      </c>
      <c r="CU31" s="496" t="s">
        <v>4</v>
      </c>
      <c r="CV31" s="497" t="s">
        <v>4</v>
      </c>
      <c r="CW31" s="500" t="s">
        <v>4</v>
      </c>
      <c r="CX31" s="496" t="s">
        <v>4</v>
      </c>
      <c r="CY31" s="497" t="s">
        <v>4</v>
      </c>
      <c r="CZ31" s="500" t="s">
        <v>4</v>
      </c>
      <c r="DA31" s="496" t="s">
        <v>4</v>
      </c>
      <c r="DB31" s="497" t="s">
        <v>4</v>
      </c>
      <c r="DC31" s="497" t="s">
        <v>4</v>
      </c>
      <c r="DD31" s="497" t="s">
        <v>4</v>
      </c>
      <c r="DE31" s="497" t="s">
        <v>4</v>
      </c>
      <c r="DF31" s="497" t="s">
        <v>4</v>
      </c>
      <c r="DG31" s="497" t="s">
        <v>4</v>
      </c>
      <c r="DH31" s="497" t="s">
        <v>4</v>
      </c>
      <c r="DI31" s="497" t="s">
        <v>4</v>
      </c>
      <c r="DJ31" s="497" t="s">
        <v>4</v>
      </c>
      <c r="DK31" s="497" t="s">
        <v>4</v>
      </c>
      <c r="DL31" s="497" t="s">
        <v>4</v>
      </c>
      <c r="DM31" s="497" t="s">
        <v>4</v>
      </c>
      <c r="DN31" s="497">
        <v>4</v>
      </c>
      <c r="DO31" s="497" t="s">
        <v>7</v>
      </c>
      <c r="DP31" s="497" t="s">
        <v>29292</v>
      </c>
      <c r="DQ31" s="497" t="s">
        <v>4</v>
      </c>
      <c r="DR31" s="497" t="s">
        <v>29294</v>
      </c>
      <c r="DS31" s="497" t="s">
        <v>4</v>
      </c>
      <c r="DT31" s="497" t="s">
        <v>29294</v>
      </c>
      <c r="DU31" s="497" t="s">
        <v>4</v>
      </c>
      <c r="DV31" s="500" t="s">
        <v>29508</v>
      </c>
      <c r="DW31" s="496" t="s">
        <v>4</v>
      </c>
      <c r="DX31" s="497" t="s">
        <v>4</v>
      </c>
      <c r="DY31" s="497" t="s">
        <v>4</v>
      </c>
      <c r="DZ31" s="497" t="s">
        <v>4</v>
      </c>
      <c r="EA31" s="497" t="s">
        <v>4</v>
      </c>
      <c r="EB31" s="497" t="s">
        <v>4</v>
      </c>
      <c r="EC31" s="497" t="s">
        <v>4</v>
      </c>
      <c r="ED31" s="497">
        <v>100</v>
      </c>
      <c r="EE31" s="497" t="s">
        <v>30667</v>
      </c>
      <c r="EF31" s="497" t="s">
        <v>4</v>
      </c>
      <c r="EG31" s="497" t="s">
        <v>4</v>
      </c>
      <c r="EH31" s="497">
        <v>100</v>
      </c>
      <c r="EI31" s="497" t="s">
        <v>4</v>
      </c>
      <c r="EJ31" s="497" t="s">
        <v>4</v>
      </c>
      <c r="EK31" s="497" t="s">
        <v>4</v>
      </c>
      <c r="EL31" s="497" t="s">
        <v>4</v>
      </c>
      <c r="EM31" s="497">
        <v>10</v>
      </c>
      <c r="EN31" s="497" t="s">
        <v>4</v>
      </c>
      <c r="EO31" s="497" t="s">
        <v>4</v>
      </c>
      <c r="EP31" s="497" t="s">
        <v>4</v>
      </c>
      <c r="EQ31" s="497" t="s">
        <v>29296</v>
      </c>
      <c r="ER31" s="497">
        <v>100</v>
      </c>
      <c r="ES31" s="497" t="s">
        <v>4</v>
      </c>
      <c r="ET31" s="497" t="s">
        <v>4</v>
      </c>
      <c r="EU31" s="497" t="s">
        <v>4</v>
      </c>
      <c r="EV31" s="497" t="s">
        <v>4</v>
      </c>
      <c r="EW31" s="497">
        <v>5</v>
      </c>
      <c r="EX31" s="497" t="s">
        <v>7</v>
      </c>
      <c r="EY31" s="497">
        <v>100</v>
      </c>
      <c r="EZ31" s="239">
        <f t="shared" si="1"/>
        <v>5</v>
      </c>
      <c r="FA31" s="497" t="s">
        <v>35675</v>
      </c>
      <c r="FB31" s="497" t="s">
        <v>29298</v>
      </c>
      <c r="FC31" s="497">
        <v>36</v>
      </c>
      <c r="FD31" s="497" t="s">
        <v>2</v>
      </c>
      <c r="FE31" s="497" t="s">
        <v>4</v>
      </c>
      <c r="FF31" s="497" t="s">
        <v>4</v>
      </c>
      <c r="FG31" s="497" t="s">
        <v>2</v>
      </c>
      <c r="FH31" s="497" t="s">
        <v>4</v>
      </c>
      <c r="FI31" s="497" t="s">
        <v>4</v>
      </c>
      <c r="FJ31" s="497" t="s">
        <v>4</v>
      </c>
      <c r="FK31" s="497" t="s">
        <v>4</v>
      </c>
      <c r="FL31" s="497" t="s">
        <v>4</v>
      </c>
      <c r="FM31" s="497" t="s">
        <v>4</v>
      </c>
      <c r="FN31" s="497" t="s">
        <v>4</v>
      </c>
      <c r="FO31" s="497" t="s">
        <v>4</v>
      </c>
      <c r="FP31" s="497" t="s">
        <v>2</v>
      </c>
      <c r="FQ31" s="497" t="s">
        <v>4</v>
      </c>
      <c r="FR31" s="497" t="s">
        <v>4</v>
      </c>
      <c r="FS31" s="497" t="s">
        <v>2</v>
      </c>
      <c r="FT31" s="497" t="s">
        <v>7</v>
      </c>
      <c r="FU31" s="497" t="s">
        <v>29302</v>
      </c>
      <c r="FV31" s="497" t="s">
        <v>35848</v>
      </c>
      <c r="FW31" s="497" t="s">
        <v>4</v>
      </c>
      <c r="FX31" s="497">
        <v>0</v>
      </c>
      <c r="FY31" s="497" t="s">
        <v>4</v>
      </c>
      <c r="FZ31" s="497" t="s">
        <v>4</v>
      </c>
      <c r="GA31" s="497" t="s">
        <v>4</v>
      </c>
      <c r="GB31" s="497" t="s">
        <v>4</v>
      </c>
      <c r="GC31" s="497" t="s">
        <v>4</v>
      </c>
      <c r="GD31" s="497" t="s">
        <v>4</v>
      </c>
      <c r="GE31" s="497" t="s">
        <v>4</v>
      </c>
      <c r="GF31" s="497" t="s">
        <v>4</v>
      </c>
      <c r="GG31" s="497" t="s">
        <v>4</v>
      </c>
      <c r="GH31" s="497" t="s">
        <v>4</v>
      </c>
      <c r="GI31" s="497" t="s">
        <v>29304</v>
      </c>
      <c r="GJ31" s="497" t="s">
        <v>29882</v>
      </c>
      <c r="GK31" s="497" t="s">
        <v>29306</v>
      </c>
      <c r="GL31" s="497" t="s">
        <v>30796</v>
      </c>
      <c r="GM31" s="497" t="s">
        <v>30821</v>
      </c>
      <c r="GN31" s="497" t="s">
        <v>4</v>
      </c>
      <c r="GO31" s="497" t="s">
        <v>4</v>
      </c>
      <c r="GP31" s="497" t="s">
        <v>4</v>
      </c>
      <c r="GQ31" s="497" t="s">
        <v>4</v>
      </c>
      <c r="GR31" s="497" t="s">
        <v>4</v>
      </c>
      <c r="GS31" s="497" t="s">
        <v>4</v>
      </c>
      <c r="GT31" s="497" t="s">
        <v>29379</v>
      </c>
      <c r="GU31" s="497" t="s">
        <v>4</v>
      </c>
      <c r="GV31" s="494">
        <v>3</v>
      </c>
      <c r="GW31" s="497" t="s">
        <v>7</v>
      </c>
      <c r="GX31" s="497" t="s">
        <v>29837</v>
      </c>
      <c r="GY31" s="497" t="s">
        <v>4</v>
      </c>
      <c r="GZ31" s="497" t="s">
        <v>4</v>
      </c>
      <c r="HA31" s="497" t="s">
        <v>4</v>
      </c>
      <c r="HB31" s="497" t="s">
        <v>4</v>
      </c>
      <c r="HC31" s="497" t="s">
        <v>4</v>
      </c>
      <c r="HD31" s="497" t="s">
        <v>4</v>
      </c>
      <c r="HE31" s="497" t="s">
        <v>4</v>
      </c>
      <c r="HF31" s="497" t="s">
        <v>4</v>
      </c>
      <c r="HG31" s="497" t="s">
        <v>2</v>
      </c>
      <c r="HH31" s="497" t="s">
        <v>4</v>
      </c>
      <c r="HI31" s="497" t="s">
        <v>4</v>
      </c>
      <c r="HJ31" s="497" t="s">
        <v>4</v>
      </c>
      <c r="HK31" s="494" t="s">
        <v>4</v>
      </c>
      <c r="HL31" s="497" t="s">
        <v>16</v>
      </c>
      <c r="HM31" s="497" t="s">
        <v>2</v>
      </c>
      <c r="HN31" s="497" t="s">
        <v>4</v>
      </c>
      <c r="HO31" s="497" t="s">
        <v>16</v>
      </c>
      <c r="HP31" s="497" t="s">
        <v>36167</v>
      </c>
      <c r="HQ31" s="497" t="s">
        <v>36168</v>
      </c>
      <c r="HR31" s="497" t="s">
        <v>36169</v>
      </c>
      <c r="HS31" s="497" t="s">
        <v>36170</v>
      </c>
      <c r="HT31" s="500" t="s">
        <v>36162</v>
      </c>
    </row>
    <row r="32" spans="1:228" s="570" customFormat="1" ht="30.2" customHeight="1" x14ac:dyDescent="0.25">
      <c r="A32" s="759"/>
      <c r="B32" s="496">
        <v>197</v>
      </c>
      <c r="C32" s="496" t="s">
        <v>16527</v>
      </c>
      <c r="D32" s="497" t="s">
        <v>35558</v>
      </c>
      <c r="E32" s="497" t="s">
        <v>35495</v>
      </c>
      <c r="F32" s="497" t="s">
        <v>7</v>
      </c>
      <c r="G32" s="497" t="s">
        <v>35559</v>
      </c>
      <c r="H32" s="497">
        <v>1173.4000000000001</v>
      </c>
      <c r="I32" s="497">
        <v>4.5</v>
      </c>
      <c r="J32" s="497" t="s">
        <v>29349</v>
      </c>
      <c r="K32" s="497" t="s">
        <v>4</v>
      </c>
      <c r="L32" s="497" t="s">
        <v>35560</v>
      </c>
      <c r="M32" s="497">
        <v>756535023</v>
      </c>
      <c r="N32" s="497" t="s">
        <v>5</v>
      </c>
      <c r="O32" s="497" t="s">
        <v>31438</v>
      </c>
      <c r="P32" s="497">
        <v>26</v>
      </c>
      <c r="Q32" s="497">
        <v>8</v>
      </c>
      <c r="R32" s="497" t="s">
        <v>7</v>
      </c>
      <c r="S32" s="497" t="s">
        <v>31549</v>
      </c>
      <c r="T32" s="497" t="s">
        <v>4</v>
      </c>
      <c r="U32" s="497" t="s">
        <v>7</v>
      </c>
      <c r="V32" s="497" t="s">
        <v>7</v>
      </c>
      <c r="W32" s="497" t="s">
        <v>4</v>
      </c>
      <c r="X32" s="497" t="s">
        <v>7</v>
      </c>
      <c r="Y32" s="497" t="s">
        <v>4</v>
      </c>
      <c r="Z32" s="497" t="s">
        <v>4</v>
      </c>
      <c r="AA32" s="241" t="str">
        <f>IF(OR(U32="yes",Z32&gt;'SDG outcome'!$C$39),"yes","no")</f>
        <v>yes</v>
      </c>
      <c r="AB32" s="521" t="str">
        <f t="shared" si="0"/>
        <v>NA</v>
      </c>
      <c r="AC32" s="527" t="str">
        <f>IF(AND('SMS p2'!AA209="no",AND(Z32&gt;='SDG outcome'!$B$28,Z32&lt;'SDG outcome'!$C$39)),Z32-'SDG outcome'!$B$28,"")</f>
        <v/>
      </c>
      <c r="AD32" s="497" t="s">
        <v>4</v>
      </c>
      <c r="AE32" s="497" t="s">
        <v>4</v>
      </c>
      <c r="AF32" s="497" t="s">
        <v>4</v>
      </c>
      <c r="AG32" s="497" t="s">
        <v>4</v>
      </c>
      <c r="AH32" s="497" t="s">
        <v>4</v>
      </c>
      <c r="AI32" s="497" t="s">
        <v>4</v>
      </c>
      <c r="AJ32" s="497" t="s">
        <v>4</v>
      </c>
      <c r="AK32" s="497" t="s">
        <v>29290</v>
      </c>
      <c r="AL32" s="497" t="s">
        <v>29291</v>
      </c>
      <c r="AM32" s="497" t="s">
        <v>4</v>
      </c>
      <c r="AN32" s="497" t="s">
        <v>4</v>
      </c>
      <c r="AO32" s="497" t="s">
        <v>31599</v>
      </c>
      <c r="AP32" s="497" t="s">
        <v>4</v>
      </c>
      <c r="AQ32" s="497" t="s">
        <v>31537</v>
      </c>
      <c r="AR32" s="497" t="s">
        <v>4</v>
      </c>
      <c r="AS32" s="497" t="s">
        <v>31538</v>
      </c>
      <c r="AT32" s="497" t="s">
        <v>4</v>
      </c>
      <c r="AU32" s="497" t="s">
        <v>7</v>
      </c>
      <c r="AV32" s="497" t="s">
        <v>4</v>
      </c>
      <c r="AW32" s="497" t="s">
        <v>4</v>
      </c>
      <c r="AX32" s="497" t="s">
        <v>2</v>
      </c>
      <c r="AY32" s="497" t="s">
        <v>4</v>
      </c>
      <c r="AZ32" s="497" t="s">
        <v>4</v>
      </c>
      <c r="BA32" s="497" t="s">
        <v>31563</v>
      </c>
      <c r="BB32" s="497" t="s">
        <v>31541</v>
      </c>
      <c r="BC32" s="497" t="s">
        <v>4</v>
      </c>
      <c r="BD32" s="501" t="s">
        <v>31712</v>
      </c>
      <c r="BE32" s="497" t="s">
        <v>4</v>
      </c>
      <c r="BF32" s="497" t="s">
        <v>31542</v>
      </c>
      <c r="BG32" s="497" t="s">
        <v>35561</v>
      </c>
      <c r="BH32" s="497" t="s">
        <v>31544</v>
      </c>
      <c r="BI32" s="497">
        <v>2</v>
      </c>
      <c r="BJ32" s="497">
        <v>120</v>
      </c>
      <c r="BK32" s="497" t="s">
        <v>7</v>
      </c>
      <c r="BL32" s="497" t="s">
        <v>6</v>
      </c>
      <c r="BM32" s="497" t="s">
        <v>4</v>
      </c>
      <c r="BN32" s="497" t="s">
        <v>31425</v>
      </c>
      <c r="BO32" s="497">
        <v>1</v>
      </c>
      <c r="BP32" s="497">
        <v>20</v>
      </c>
      <c r="BQ32" s="497" t="s">
        <v>31435</v>
      </c>
      <c r="BR32" s="499" t="s">
        <v>33361</v>
      </c>
      <c r="BS32" s="497" t="s">
        <v>4</v>
      </c>
      <c r="BT32" s="497">
        <v>1</v>
      </c>
      <c r="BU32" s="494" cm="1">
        <f t="array" ref="BU32">_xlfn.IFS(BQ32="Foreword vehicle",BT32*0,BQ32="Human wastes",BT32*0,BS32="Jerrycans",BT32*$BT$4,BQ32="Number of Basins",BT32*$BT$5,BQ32="Number of Buckets",BT32*$BT$6,BQ32="Number of Kgs",BT32*$BT$7,BQ32="Number of spades",BT32*$BT$8,BQ32="Number of wheelbarrows",BT32*$BS$9,BS32="Septic Tank",BT32*0)</f>
        <v>82.5</v>
      </c>
      <c r="BV32" s="494">
        <f>Table15[[#This Row],[Calculation: Conversion of metric to Kg manure feeding (Columns: BP, BQ, BR)]]*Table15[[#This Row],[Number of times used to feed biodigester]]</f>
        <v>82.5</v>
      </c>
      <c r="BW32" s="495" cm="1">
        <f t="array" ref="BW32">_xlfn.IFS(BN32="Number of times per day (1 to 3)",BV32/$BW$3,BN32="Number of times per week (1 to 6)",BV32/$BW$4,BN32="Number of times per Month (1 to 3)",BV32/$BW$5)</f>
        <v>82.5</v>
      </c>
      <c r="BX32" s="497" t="s">
        <v>31650</v>
      </c>
      <c r="BY32" s="497" t="s">
        <v>4</v>
      </c>
      <c r="BZ32" s="497" t="s">
        <v>2</v>
      </c>
      <c r="CA32" s="497" t="s">
        <v>4</v>
      </c>
      <c r="CB32" s="497" t="s">
        <v>4</v>
      </c>
      <c r="CC32" s="497" t="s">
        <v>4</v>
      </c>
      <c r="CD32" s="497" t="s">
        <v>7</v>
      </c>
      <c r="CE32" s="497" t="s">
        <v>35562</v>
      </c>
      <c r="CF32" s="497" t="s">
        <v>4</v>
      </c>
      <c r="CG32" s="497" t="s">
        <v>31747</v>
      </c>
      <c r="CH32" s="497">
        <v>13</v>
      </c>
      <c r="CI32" s="497">
        <v>0</v>
      </c>
      <c r="CJ32" s="497">
        <v>28</v>
      </c>
      <c r="CK32" s="497">
        <v>0</v>
      </c>
      <c r="CL32" s="497">
        <v>0</v>
      </c>
      <c r="CM32" s="497">
        <v>0</v>
      </c>
      <c r="CN32" s="497">
        <v>0</v>
      </c>
      <c r="CO32" s="497">
        <v>0</v>
      </c>
      <c r="CP32" s="497">
        <v>0</v>
      </c>
      <c r="CQ32" s="497">
        <v>0</v>
      </c>
      <c r="CR32" s="497">
        <f>IF(Table15[[#This Row],[Is your biodigester working?]]="yes",CO32/'SDG outcome'!$C$9*CP32*CQ32,"")</f>
        <v>0</v>
      </c>
      <c r="CS32" s="497">
        <v>60</v>
      </c>
      <c r="CT32" s="500">
        <v>40</v>
      </c>
      <c r="CU32" s="496" t="s">
        <v>35563</v>
      </c>
      <c r="CV32" s="497" t="s">
        <v>4</v>
      </c>
      <c r="CW32" s="500" t="s">
        <v>4</v>
      </c>
      <c r="CX32" s="496" t="s">
        <v>4</v>
      </c>
      <c r="CY32" s="497" t="s">
        <v>4</v>
      </c>
      <c r="CZ32" s="500" t="s">
        <v>4</v>
      </c>
      <c r="DA32" s="496" t="s">
        <v>4</v>
      </c>
      <c r="DB32" s="497">
        <v>100</v>
      </c>
      <c r="DC32" s="497">
        <v>0</v>
      </c>
      <c r="DD32" s="497" t="s">
        <v>4</v>
      </c>
      <c r="DE32" s="497" t="s">
        <v>4</v>
      </c>
      <c r="DF32" s="497" t="s">
        <v>4</v>
      </c>
      <c r="DG32" s="497" t="s">
        <v>4</v>
      </c>
      <c r="DH32" s="497" t="s">
        <v>4</v>
      </c>
      <c r="DI32" s="497" t="s">
        <v>4</v>
      </c>
      <c r="DJ32" s="497" t="s">
        <v>4</v>
      </c>
      <c r="DK32" s="497" t="s">
        <v>4</v>
      </c>
      <c r="DL32" s="497" t="s">
        <v>4</v>
      </c>
      <c r="DM32" s="497" t="s">
        <v>4</v>
      </c>
      <c r="DN32" s="497">
        <v>1</v>
      </c>
      <c r="DO32" s="497" t="s">
        <v>2</v>
      </c>
      <c r="DP32" s="497" t="s">
        <v>29292</v>
      </c>
      <c r="DQ32" s="497" t="s">
        <v>4</v>
      </c>
      <c r="DR32" s="497" t="s">
        <v>29293</v>
      </c>
      <c r="DS32" s="494">
        <v>75000</v>
      </c>
      <c r="DT32" s="497" t="s">
        <v>29294</v>
      </c>
      <c r="DU32" s="494" t="s">
        <v>4</v>
      </c>
      <c r="DV32" s="500" t="s">
        <v>29508</v>
      </c>
      <c r="DW32" s="496" t="s">
        <v>4</v>
      </c>
      <c r="DX32" s="497" t="s">
        <v>4</v>
      </c>
      <c r="DY32" s="497" t="s">
        <v>4</v>
      </c>
      <c r="DZ32" s="497" t="s">
        <v>4</v>
      </c>
      <c r="EA32" s="497" t="s">
        <v>4</v>
      </c>
      <c r="EB32" s="497" t="s">
        <v>4</v>
      </c>
      <c r="EC32" s="497" t="s">
        <v>4</v>
      </c>
      <c r="ED32" s="497">
        <v>100</v>
      </c>
      <c r="EE32" s="497" t="s">
        <v>30667</v>
      </c>
      <c r="EF32" s="497" t="s">
        <v>4</v>
      </c>
      <c r="EG32" s="497" t="s">
        <v>4</v>
      </c>
      <c r="EH32" s="497">
        <v>100</v>
      </c>
      <c r="EI32" s="497" t="s">
        <v>4</v>
      </c>
      <c r="EJ32" s="497" t="s">
        <v>4</v>
      </c>
      <c r="EK32" s="497" t="s">
        <v>4</v>
      </c>
      <c r="EL32" s="497" t="s">
        <v>4</v>
      </c>
      <c r="EM32" s="497">
        <v>180</v>
      </c>
      <c r="EN32" s="497" t="s">
        <v>4</v>
      </c>
      <c r="EO32" s="497" t="s">
        <v>4</v>
      </c>
      <c r="EP32" s="497" t="s">
        <v>4</v>
      </c>
      <c r="EQ32" s="497" t="s">
        <v>29695</v>
      </c>
      <c r="ER32" s="497">
        <v>90</v>
      </c>
      <c r="ES32" s="497" t="s">
        <v>4</v>
      </c>
      <c r="ET32" s="497" t="s">
        <v>4</v>
      </c>
      <c r="EU32" s="497">
        <v>10</v>
      </c>
      <c r="EV32" s="497" t="s">
        <v>4</v>
      </c>
      <c r="EW32" s="497">
        <v>32.375556454876566</v>
      </c>
      <c r="EX32" s="497" t="s">
        <v>30901</v>
      </c>
      <c r="EY32" s="497">
        <v>12.5</v>
      </c>
      <c r="EZ32" s="239">
        <f t="shared" si="1"/>
        <v>4.0469445568595708</v>
      </c>
      <c r="FA32" s="497" t="s">
        <v>35564</v>
      </c>
      <c r="FB32" s="497" t="s">
        <v>29298</v>
      </c>
      <c r="FC32" s="497">
        <v>60</v>
      </c>
      <c r="FD32" s="497" t="s">
        <v>7</v>
      </c>
      <c r="FE32" s="497" t="s">
        <v>29492</v>
      </c>
      <c r="FF32" s="497" t="s">
        <v>4</v>
      </c>
      <c r="FG32" s="497" t="s">
        <v>2</v>
      </c>
      <c r="FH32" s="497" t="s">
        <v>4</v>
      </c>
      <c r="FI32" s="497" t="s">
        <v>4</v>
      </c>
      <c r="FJ32" s="497" t="s">
        <v>4</v>
      </c>
      <c r="FK32" s="497" t="s">
        <v>4</v>
      </c>
      <c r="FL32" s="497" t="s">
        <v>4</v>
      </c>
      <c r="FM32" s="497" t="s">
        <v>4</v>
      </c>
      <c r="FN32" s="494" t="s">
        <v>4</v>
      </c>
      <c r="FO32" s="497" t="s">
        <v>4</v>
      </c>
      <c r="FP32" s="497" t="s">
        <v>2</v>
      </c>
      <c r="FQ32" s="497" t="s">
        <v>4</v>
      </c>
      <c r="FR32" s="497" t="s">
        <v>4</v>
      </c>
      <c r="FS32" s="497" t="s">
        <v>7</v>
      </c>
      <c r="FT32" s="497" t="s">
        <v>2</v>
      </c>
      <c r="FU32" s="497" t="s">
        <v>4</v>
      </c>
      <c r="FV32" s="497" t="s">
        <v>4</v>
      </c>
      <c r="FW32" s="497" t="s">
        <v>4</v>
      </c>
      <c r="FX32" s="497">
        <v>0</v>
      </c>
      <c r="FY32" s="497" t="s">
        <v>4</v>
      </c>
      <c r="FZ32" s="497" t="s">
        <v>4</v>
      </c>
      <c r="GA32" s="497" t="s">
        <v>4</v>
      </c>
      <c r="GB32" s="497" t="s">
        <v>4</v>
      </c>
      <c r="GC32" s="497" t="s">
        <v>4</v>
      </c>
      <c r="GD32" s="497" t="s">
        <v>4</v>
      </c>
      <c r="GE32" s="497" t="s">
        <v>4</v>
      </c>
      <c r="GF32" s="497" t="s">
        <v>4</v>
      </c>
      <c r="GG32" s="497" t="s">
        <v>4</v>
      </c>
      <c r="GH32" s="497" t="s">
        <v>4</v>
      </c>
      <c r="GI32" s="497" t="s">
        <v>29304</v>
      </c>
      <c r="GJ32" s="497" t="s">
        <v>33664</v>
      </c>
      <c r="GK32" s="497" t="s">
        <v>4</v>
      </c>
      <c r="GL32" s="497" t="s">
        <v>31229</v>
      </c>
      <c r="GM32" s="497" t="s">
        <v>30821</v>
      </c>
      <c r="GN32" s="497" t="s">
        <v>4</v>
      </c>
      <c r="GO32" s="497" t="s">
        <v>4</v>
      </c>
      <c r="GP32" s="497" t="s">
        <v>4</v>
      </c>
      <c r="GQ32" s="497" t="s">
        <v>4</v>
      </c>
      <c r="GR32" s="497" t="s">
        <v>4</v>
      </c>
      <c r="GS32" s="497" t="s">
        <v>4</v>
      </c>
      <c r="GT32" s="497" t="s">
        <v>29698</v>
      </c>
      <c r="GU32" s="497" t="s">
        <v>4</v>
      </c>
      <c r="GV32" s="494">
        <v>8</v>
      </c>
      <c r="GW32" s="497" t="s">
        <v>2</v>
      </c>
      <c r="GX32" s="497" t="s">
        <v>29309</v>
      </c>
      <c r="GY32" s="497" t="s">
        <v>4</v>
      </c>
      <c r="GZ32" s="497" t="s">
        <v>4</v>
      </c>
      <c r="HA32" s="497" t="s">
        <v>4</v>
      </c>
      <c r="HB32" s="497" t="s">
        <v>4</v>
      </c>
      <c r="HC32" s="497" t="s">
        <v>4</v>
      </c>
      <c r="HD32" s="497" t="s">
        <v>4</v>
      </c>
      <c r="HE32" s="497" t="s">
        <v>4</v>
      </c>
      <c r="HF32" s="497" t="s">
        <v>4</v>
      </c>
      <c r="HG32" s="497" t="s">
        <v>2</v>
      </c>
      <c r="HH32" s="497" t="s">
        <v>4</v>
      </c>
      <c r="HI32" s="497" t="s">
        <v>4</v>
      </c>
      <c r="HJ32" s="497" t="s">
        <v>4</v>
      </c>
      <c r="HK32" s="494" t="s">
        <v>4</v>
      </c>
      <c r="HL32" s="497" t="s">
        <v>35565</v>
      </c>
      <c r="HM32" s="497" t="s">
        <v>7</v>
      </c>
      <c r="HN32" s="497" t="s">
        <v>35566</v>
      </c>
      <c r="HO32" s="497" t="s">
        <v>30883</v>
      </c>
      <c r="HP32" s="497" t="s">
        <v>35567</v>
      </c>
      <c r="HQ32" s="497" t="s">
        <v>35568</v>
      </c>
      <c r="HR32" s="497" t="s">
        <v>35569</v>
      </c>
      <c r="HS32" s="497" t="s">
        <v>35570</v>
      </c>
      <c r="HT32" s="500" t="s">
        <v>35558</v>
      </c>
    </row>
    <row r="33" spans="1:228" s="570" customFormat="1" ht="30.2" customHeight="1" x14ac:dyDescent="0.25">
      <c r="A33" s="759"/>
      <c r="B33" s="496">
        <v>188</v>
      </c>
      <c r="C33" s="496" t="s">
        <v>18128</v>
      </c>
      <c r="D33" s="497" t="s">
        <v>34411</v>
      </c>
      <c r="E33" s="497" t="s">
        <v>30638</v>
      </c>
      <c r="F33" s="497" t="s">
        <v>7</v>
      </c>
      <c r="G33" s="497" t="s">
        <v>35448</v>
      </c>
      <c r="H33" s="497">
        <v>1494.602173</v>
      </c>
      <c r="I33" s="497">
        <v>4.2880000000000003</v>
      </c>
      <c r="J33" s="497" t="s">
        <v>29319</v>
      </c>
      <c r="K33" s="497" t="s">
        <v>4</v>
      </c>
      <c r="L33" s="497" t="s">
        <v>35449</v>
      </c>
      <c r="M33" s="497">
        <v>772322302</v>
      </c>
      <c r="N33" s="497" t="s">
        <v>5</v>
      </c>
      <c r="O33" s="497" t="s">
        <v>31438</v>
      </c>
      <c r="P33" s="497">
        <v>63</v>
      </c>
      <c r="Q33" s="497">
        <v>10</v>
      </c>
      <c r="R33" s="497" t="s">
        <v>7</v>
      </c>
      <c r="S33" s="497" t="s">
        <v>31535</v>
      </c>
      <c r="T33" s="497" t="s">
        <v>4</v>
      </c>
      <c r="U33" s="497" t="s">
        <v>7</v>
      </c>
      <c r="V33" s="497" t="s">
        <v>7</v>
      </c>
      <c r="W33" s="497" t="s">
        <v>4</v>
      </c>
      <c r="X33" s="497" t="s">
        <v>7</v>
      </c>
      <c r="Y33" s="497" t="s">
        <v>4</v>
      </c>
      <c r="Z33" s="497" t="s">
        <v>4</v>
      </c>
      <c r="AA33" s="241" t="str">
        <f>IF(OR(U33="yes",Z33&gt;'SDG outcome'!$C$39),"yes","no")</f>
        <v>yes</v>
      </c>
      <c r="AB33" s="521" t="str">
        <f t="shared" si="0"/>
        <v>NA</v>
      </c>
      <c r="AC33" s="527" t="str">
        <f>IF(AND('SMS p2'!AA200="no",AND(Z33&gt;='SDG outcome'!$B$28,Z33&lt;'SDG outcome'!$C$39)),Z33-'SDG outcome'!$B$28,"")</f>
        <v/>
      </c>
      <c r="AD33" s="497" t="s">
        <v>4</v>
      </c>
      <c r="AE33" s="497" t="s">
        <v>4</v>
      </c>
      <c r="AF33" s="497" t="s">
        <v>4</v>
      </c>
      <c r="AG33" s="497" t="s">
        <v>4</v>
      </c>
      <c r="AH33" s="497" t="s">
        <v>4</v>
      </c>
      <c r="AI33" s="497" t="s">
        <v>4</v>
      </c>
      <c r="AJ33" s="497" t="s">
        <v>4</v>
      </c>
      <c r="AK33" s="497" t="s">
        <v>29290</v>
      </c>
      <c r="AL33" s="497" t="s">
        <v>29694</v>
      </c>
      <c r="AM33" s="497" t="s">
        <v>4</v>
      </c>
      <c r="AN33" s="497" t="s">
        <v>4</v>
      </c>
      <c r="AO33" s="497" t="s">
        <v>31536</v>
      </c>
      <c r="AP33" s="497" t="s">
        <v>4</v>
      </c>
      <c r="AQ33" s="497" t="s">
        <v>31537</v>
      </c>
      <c r="AR33" s="497" t="s">
        <v>4</v>
      </c>
      <c r="AS33" s="497" t="s">
        <v>31538</v>
      </c>
      <c r="AT33" s="497" t="s">
        <v>4</v>
      </c>
      <c r="AU33" s="497" t="s">
        <v>7</v>
      </c>
      <c r="AV33" s="497" t="s">
        <v>4</v>
      </c>
      <c r="AW33" s="497" t="s">
        <v>4</v>
      </c>
      <c r="AX33" s="497" t="s">
        <v>7</v>
      </c>
      <c r="AY33" s="497" t="s">
        <v>6</v>
      </c>
      <c r="AZ33" s="497" t="s">
        <v>4</v>
      </c>
      <c r="BA33" s="497" t="s">
        <v>31540</v>
      </c>
      <c r="BB33" s="497" t="s">
        <v>14</v>
      </c>
      <c r="BC33" s="497" t="s">
        <v>4</v>
      </c>
      <c r="BD33" s="497" t="s">
        <v>31552</v>
      </c>
      <c r="BE33" s="497" t="s">
        <v>4</v>
      </c>
      <c r="BF33" s="497" t="s">
        <v>31542</v>
      </c>
      <c r="BG33" s="497" t="s">
        <v>35450</v>
      </c>
      <c r="BH33" s="497" t="s">
        <v>31632</v>
      </c>
      <c r="BI33" s="497">
        <v>3</v>
      </c>
      <c r="BJ33" s="497">
        <v>288</v>
      </c>
      <c r="BK33" s="497" t="s">
        <v>7</v>
      </c>
      <c r="BL33" s="497" t="s">
        <v>6</v>
      </c>
      <c r="BM33" s="497" t="s">
        <v>4</v>
      </c>
      <c r="BN33" s="497" t="s">
        <v>31425</v>
      </c>
      <c r="BO33" s="497">
        <v>1</v>
      </c>
      <c r="BP33" s="497">
        <v>30</v>
      </c>
      <c r="BQ33" s="497" t="s">
        <v>31435</v>
      </c>
      <c r="BR33" s="499" t="s">
        <v>33361</v>
      </c>
      <c r="BS33" s="497" t="s">
        <v>4</v>
      </c>
      <c r="BT33" s="497">
        <v>1</v>
      </c>
      <c r="BU33" s="494" cm="1">
        <f t="array" ref="BU33">_xlfn.IFS(BQ33="Foreword vehicle",BT33*0,BQ33="Human wastes",BT33*0,BS33="Jerrycans",BT33*$BT$4,BQ33="Number of Basins",BT33*$BT$5,BQ33="Number of Buckets",BT33*$BT$6,BQ33="Number of Kgs",BT33*$BT$7,BQ33="Number of spades",BT33*$BT$8,BQ33="Number of wheelbarrows",BT33*$BS$9,BS33="Septic Tank",BT33*0)</f>
        <v>82.5</v>
      </c>
      <c r="BV33" s="494">
        <f>Table15[[#This Row],[Calculation: Conversion of metric to Kg manure feeding (Columns: BP, BQ, BR)]]*Table15[[#This Row],[Number of times used to feed biodigester]]</f>
        <v>82.5</v>
      </c>
      <c r="BW33" s="495" cm="1">
        <f t="array" ref="BW33">_xlfn.IFS(BN33="Number of times per day (1 to 3)",BV33/$BW$3,BN33="Number of times per week (1 to 6)",BV33/$BW$4,BN33="Number of times per Month (1 to 3)",BV33/$BW$5)</f>
        <v>82.5</v>
      </c>
      <c r="BX33" s="497" t="s">
        <v>31650</v>
      </c>
      <c r="BY33" s="497" t="s">
        <v>4</v>
      </c>
      <c r="BZ33" s="497" t="s">
        <v>2</v>
      </c>
      <c r="CA33" s="497" t="s">
        <v>4</v>
      </c>
      <c r="CB33" s="497" t="s">
        <v>4</v>
      </c>
      <c r="CC33" s="497" t="s">
        <v>4</v>
      </c>
      <c r="CD33" s="497" t="s">
        <v>7</v>
      </c>
      <c r="CE33" s="497" t="s">
        <v>35451</v>
      </c>
      <c r="CF33" s="497" t="s">
        <v>4</v>
      </c>
      <c r="CG33" s="497" t="s">
        <v>31604</v>
      </c>
      <c r="CH33" s="497">
        <v>1</v>
      </c>
      <c r="CI33" s="497">
        <v>0</v>
      </c>
      <c r="CJ33" s="497">
        <v>0</v>
      </c>
      <c r="CK33" s="497">
        <v>0</v>
      </c>
      <c r="CL33" s="497">
        <v>0</v>
      </c>
      <c r="CM33" s="497">
        <v>0</v>
      </c>
      <c r="CN33" s="497">
        <v>0</v>
      </c>
      <c r="CO33" s="497">
        <v>0</v>
      </c>
      <c r="CP33" s="497">
        <v>0</v>
      </c>
      <c r="CQ33" s="497">
        <v>0</v>
      </c>
      <c r="CR33" s="497">
        <f>IF(Table15[[#This Row],[Is your biodigester working?]]="yes",CO33/'SDG outcome'!$C$9*CP33*CQ33,"")</f>
        <v>0</v>
      </c>
      <c r="CS33" s="497">
        <v>100</v>
      </c>
      <c r="CT33" s="500">
        <v>0</v>
      </c>
      <c r="CU33" s="496" t="s">
        <v>4</v>
      </c>
      <c r="CV33" s="497" t="s">
        <v>4</v>
      </c>
      <c r="CW33" s="500" t="s">
        <v>4</v>
      </c>
      <c r="CX33" s="496" t="s">
        <v>4</v>
      </c>
      <c r="CY33" s="497" t="s">
        <v>4</v>
      </c>
      <c r="CZ33" s="500" t="s">
        <v>4</v>
      </c>
      <c r="DA33" s="496" t="s">
        <v>4</v>
      </c>
      <c r="DB33" s="497" t="s">
        <v>4</v>
      </c>
      <c r="DC33" s="497" t="s">
        <v>4</v>
      </c>
      <c r="DD33" s="497" t="s">
        <v>4</v>
      </c>
      <c r="DE33" s="497" t="s">
        <v>4</v>
      </c>
      <c r="DF33" s="497" t="s">
        <v>4</v>
      </c>
      <c r="DG33" s="497" t="s">
        <v>4</v>
      </c>
      <c r="DH33" s="497" t="s">
        <v>4</v>
      </c>
      <c r="DI33" s="497" t="s">
        <v>4</v>
      </c>
      <c r="DJ33" s="497" t="s">
        <v>4</v>
      </c>
      <c r="DK33" s="497" t="s">
        <v>4</v>
      </c>
      <c r="DL33" s="497" t="s">
        <v>4</v>
      </c>
      <c r="DM33" s="497" t="s">
        <v>4</v>
      </c>
      <c r="DN33" s="497">
        <v>2</v>
      </c>
      <c r="DO33" s="497" t="s">
        <v>2</v>
      </c>
      <c r="DP33" s="497" t="s">
        <v>29292</v>
      </c>
      <c r="DQ33" s="497" t="s">
        <v>4</v>
      </c>
      <c r="DR33" s="497" t="s">
        <v>29294</v>
      </c>
      <c r="DS33" s="494" t="s">
        <v>4</v>
      </c>
      <c r="DT33" s="497" t="s">
        <v>29294</v>
      </c>
      <c r="DU33" s="494" t="s">
        <v>4</v>
      </c>
      <c r="DV33" s="500" t="s">
        <v>29508</v>
      </c>
      <c r="DW33" s="496" t="s">
        <v>4</v>
      </c>
      <c r="DX33" s="497" t="s">
        <v>4</v>
      </c>
      <c r="DY33" s="497" t="s">
        <v>4</v>
      </c>
      <c r="DZ33" s="497" t="s">
        <v>4</v>
      </c>
      <c r="EA33" s="497" t="s">
        <v>4</v>
      </c>
      <c r="EB33" s="497" t="s">
        <v>4</v>
      </c>
      <c r="EC33" s="497" t="s">
        <v>4</v>
      </c>
      <c r="ED33" s="497">
        <v>100</v>
      </c>
      <c r="EE33" s="497" t="s">
        <v>30667</v>
      </c>
      <c r="EF33" s="497" t="s">
        <v>4</v>
      </c>
      <c r="EG33" s="497" t="s">
        <v>4</v>
      </c>
      <c r="EH33" s="497">
        <v>100</v>
      </c>
      <c r="EI33" s="497" t="s">
        <v>4</v>
      </c>
      <c r="EJ33" s="497" t="s">
        <v>4</v>
      </c>
      <c r="EK33" s="497" t="s">
        <v>4</v>
      </c>
      <c r="EL33" s="497" t="s">
        <v>4</v>
      </c>
      <c r="EM33" s="497">
        <v>14</v>
      </c>
      <c r="EN33" s="497" t="s">
        <v>4</v>
      </c>
      <c r="EO33" s="497" t="s">
        <v>4</v>
      </c>
      <c r="EP33" s="497" t="s">
        <v>4</v>
      </c>
      <c r="EQ33" s="497" t="s">
        <v>29296</v>
      </c>
      <c r="ER33" s="497">
        <v>100</v>
      </c>
      <c r="ES33" s="497" t="s">
        <v>4</v>
      </c>
      <c r="ET33" s="497" t="s">
        <v>4</v>
      </c>
      <c r="EU33" s="497" t="s">
        <v>4</v>
      </c>
      <c r="EV33" s="497" t="s">
        <v>4</v>
      </c>
      <c r="EW33" s="497">
        <v>4</v>
      </c>
      <c r="EX33" s="497" t="s">
        <v>7</v>
      </c>
      <c r="EY33" s="497">
        <v>100</v>
      </c>
      <c r="EZ33" s="239">
        <f t="shared" si="1"/>
        <v>4</v>
      </c>
      <c r="FA33" s="497" t="s">
        <v>35452</v>
      </c>
      <c r="FB33" s="497" t="s">
        <v>29298</v>
      </c>
      <c r="FC33" s="497">
        <v>36</v>
      </c>
      <c r="FD33" s="497" t="s">
        <v>7</v>
      </c>
      <c r="FE33" s="497" t="s">
        <v>29492</v>
      </c>
      <c r="FF33" s="497" t="s">
        <v>4</v>
      </c>
      <c r="FG33" s="497" t="s">
        <v>7</v>
      </c>
      <c r="FH33" s="497" t="s">
        <v>29492</v>
      </c>
      <c r="FI33" s="497" t="s">
        <v>4</v>
      </c>
      <c r="FJ33" s="497" t="s">
        <v>35453</v>
      </c>
      <c r="FK33" s="497" t="s">
        <v>35454</v>
      </c>
      <c r="FL33" s="497" t="s">
        <v>29292</v>
      </c>
      <c r="FM33" s="497" t="s">
        <v>29293</v>
      </c>
      <c r="FN33" s="494">
        <v>300000</v>
      </c>
      <c r="FO33" s="497" t="s">
        <v>4</v>
      </c>
      <c r="FP33" s="497" t="s">
        <v>7</v>
      </c>
      <c r="FQ33" s="497" t="s">
        <v>29301</v>
      </c>
      <c r="FR33" s="497" t="s">
        <v>4</v>
      </c>
      <c r="FS33" s="497" t="s">
        <v>7</v>
      </c>
      <c r="FT33" s="497" t="s">
        <v>7</v>
      </c>
      <c r="FU33" s="497" t="s">
        <v>29302</v>
      </c>
      <c r="FV33" s="497" t="s">
        <v>35365</v>
      </c>
      <c r="FW33" s="497" t="s">
        <v>4</v>
      </c>
      <c r="FX33" s="497">
        <v>0</v>
      </c>
      <c r="FY33" s="497" t="s">
        <v>4</v>
      </c>
      <c r="FZ33" s="497" t="s">
        <v>4</v>
      </c>
      <c r="GA33" s="497" t="s">
        <v>4</v>
      </c>
      <c r="GB33" s="497" t="s">
        <v>4</v>
      </c>
      <c r="GC33" s="497" t="s">
        <v>4</v>
      </c>
      <c r="GD33" s="497" t="s">
        <v>4</v>
      </c>
      <c r="GE33" s="497" t="s">
        <v>4</v>
      </c>
      <c r="GF33" s="497" t="s">
        <v>4</v>
      </c>
      <c r="GG33" s="497" t="s">
        <v>4</v>
      </c>
      <c r="GH33" s="497" t="s">
        <v>4</v>
      </c>
      <c r="GI33" s="497" t="s">
        <v>29304</v>
      </c>
      <c r="GJ33" s="497" t="s">
        <v>29396</v>
      </c>
      <c r="GK33" s="497" t="s">
        <v>4</v>
      </c>
      <c r="GL33" s="497" t="s">
        <v>4</v>
      </c>
      <c r="GM33" s="497" t="s">
        <v>30273</v>
      </c>
      <c r="GN33" s="497" t="s">
        <v>4</v>
      </c>
      <c r="GO33" s="497" t="s">
        <v>4</v>
      </c>
      <c r="GP33" s="497" t="s">
        <v>4</v>
      </c>
      <c r="GQ33" s="497" t="s">
        <v>4</v>
      </c>
      <c r="GR33" s="497" t="s">
        <v>4</v>
      </c>
      <c r="GS33" s="497" t="s">
        <v>4</v>
      </c>
      <c r="GT33" s="497" t="s">
        <v>29698</v>
      </c>
      <c r="GU33" s="497" t="s">
        <v>4</v>
      </c>
      <c r="GV33" s="494">
        <v>20</v>
      </c>
      <c r="GW33" s="497" t="s">
        <v>2</v>
      </c>
      <c r="GX33" s="497" t="s">
        <v>29309</v>
      </c>
      <c r="GY33" s="497" t="s">
        <v>4</v>
      </c>
      <c r="GZ33" s="497" t="s">
        <v>4</v>
      </c>
      <c r="HA33" s="497" t="s">
        <v>4</v>
      </c>
      <c r="HB33" s="497" t="s">
        <v>4</v>
      </c>
      <c r="HC33" s="497" t="s">
        <v>4</v>
      </c>
      <c r="HD33" s="497" t="s">
        <v>4</v>
      </c>
      <c r="HE33" s="497" t="s">
        <v>4</v>
      </c>
      <c r="HF33" s="497" t="s">
        <v>4</v>
      </c>
      <c r="HG33" s="497" t="s">
        <v>2</v>
      </c>
      <c r="HH33" s="497" t="s">
        <v>4</v>
      </c>
      <c r="HI33" s="497" t="s">
        <v>4</v>
      </c>
      <c r="HJ33" s="497" t="s">
        <v>4</v>
      </c>
      <c r="HK33" s="494" t="s">
        <v>4</v>
      </c>
      <c r="HL33" s="497" t="s">
        <v>35455</v>
      </c>
      <c r="HM33" s="497" t="s">
        <v>7</v>
      </c>
      <c r="HN33" s="497" t="s">
        <v>35456</v>
      </c>
      <c r="HO33" s="497" t="s">
        <v>16</v>
      </c>
      <c r="HP33" s="497" t="s">
        <v>35457</v>
      </c>
      <c r="HQ33" s="497" t="s">
        <v>35458</v>
      </c>
      <c r="HR33" s="497" t="s">
        <v>35459</v>
      </c>
      <c r="HS33" s="497" t="s">
        <v>35460</v>
      </c>
      <c r="HT33" s="500" t="s">
        <v>34411</v>
      </c>
    </row>
    <row r="34" spans="1:228" s="570" customFormat="1" ht="30.2" customHeight="1" x14ac:dyDescent="0.25">
      <c r="A34" s="759"/>
      <c r="B34" s="496">
        <v>228</v>
      </c>
      <c r="C34" s="517" t="s">
        <v>4635</v>
      </c>
      <c r="D34" s="501" t="s">
        <v>35865</v>
      </c>
      <c r="E34" s="501" t="s">
        <v>30786</v>
      </c>
      <c r="F34" s="501" t="s">
        <v>7</v>
      </c>
      <c r="G34" s="501" t="s">
        <v>35866</v>
      </c>
      <c r="H34" s="501">
        <v>1172.4000000000001</v>
      </c>
      <c r="I34" s="501">
        <v>4.9000000000000004</v>
      </c>
      <c r="J34" s="501" t="s">
        <v>29288</v>
      </c>
      <c r="K34" s="501" t="s">
        <v>4</v>
      </c>
      <c r="L34" s="501" t="s">
        <v>35867</v>
      </c>
      <c r="M34" s="501">
        <v>772453994</v>
      </c>
      <c r="N34" s="501" t="s">
        <v>3</v>
      </c>
      <c r="O34" s="501" t="s">
        <v>31590</v>
      </c>
      <c r="P34" s="501" t="s">
        <v>4</v>
      </c>
      <c r="Q34" s="501">
        <v>3</v>
      </c>
      <c r="R34" s="501" t="s">
        <v>7</v>
      </c>
      <c r="S34" s="501" t="s">
        <v>31549</v>
      </c>
      <c r="T34" s="501" t="s">
        <v>4</v>
      </c>
      <c r="U34" s="501" t="s">
        <v>7</v>
      </c>
      <c r="V34" s="501" t="s">
        <v>7</v>
      </c>
      <c r="W34" s="501" t="s">
        <v>4</v>
      </c>
      <c r="X34" s="501" t="s">
        <v>7</v>
      </c>
      <c r="Y34" s="501" t="s">
        <v>4</v>
      </c>
      <c r="Z34" s="501" t="s">
        <v>4</v>
      </c>
      <c r="AA34" s="241" t="str">
        <f>IF(OR(U34="yes",Z34&gt;'SDG outcome'!$C$39),"yes","no")</f>
        <v>yes</v>
      </c>
      <c r="AB34" s="522" t="str">
        <f t="shared" si="0"/>
        <v>NA</v>
      </c>
      <c r="AC34" s="528" t="str">
        <f>IF(AND('SMS p2'!AA239="no",AND(Z34&gt;='SDG outcome'!$B$28,Z34&lt;'SDG outcome'!$C$39)),Z34-'SDG outcome'!$B$28,"")</f>
        <v/>
      </c>
      <c r="AD34" s="501" t="s">
        <v>4</v>
      </c>
      <c r="AE34" s="501" t="s">
        <v>4</v>
      </c>
      <c r="AF34" s="501" t="s">
        <v>4</v>
      </c>
      <c r="AG34" s="501" t="s">
        <v>4</v>
      </c>
      <c r="AH34" s="501" t="s">
        <v>4</v>
      </c>
      <c r="AI34" s="501" t="s">
        <v>4</v>
      </c>
      <c r="AJ34" s="501" t="s">
        <v>4</v>
      </c>
      <c r="AK34" s="501" t="s">
        <v>29290</v>
      </c>
      <c r="AL34" s="501" t="s">
        <v>29694</v>
      </c>
      <c r="AM34" s="501" t="s">
        <v>4</v>
      </c>
      <c r="AN34" s="501" t="s">
        <v>4</v>
      </c>
      <c r="AO34" s="501" t="s">
        <v>31599</v>
      </c>
      <c r="AP34" s="501" t="s">
        <v>4</v>
      </c>
      <c r="AQ34" s="501" t="s">
        <v>31537</v>
      </c>
      <c r="AR34" s="501" t="s">
        <v>4</v>
      </c>
      <c r="AS34" s="501" t="s">
        <v>31538</v>
      </c>
      <c r="AT34" s="501" t="s">
        <v>4</v>
      </c>
      <c r="AU34" s="501" t="s">
        <v>7</v>
      </c>
      <c r="AV34" s="501" t="s">
        <v>4</v>
      </c>
      <c r="AW34" s="501" t="s">
        <v>4</v>
      </c>
      <c r="AX34" s="501" t="s">
        <v>2</v>
      </c>
      <c r="AY34" s="501" t="s">
        <v>4</v>
      </c>
      <c r="AZ34" s="501" t="s">
        <v>4</v>
      </c>
      <c r="BA34" s="501" t="s">
        <v>31540</v>
      </c>
      <c r="BB34" s="501" t="s">
        <v>22</v>
      </c>
      <c r="BC34" s="501" t="s">
        <v>4</v>
      </c>
      <c r="BD34" s="501" t="s">
        <v>22</v>
      </c>
      <c r="BE34" s="501" t="s">
        <v>4</v>
      </c>
      <c r="BF34" s="501" t="s">
        <v>31542</v>
      </c>
      <c r="BG34" s="501" t="s">
        <v>35868</v>
      </c>
      <c r="BH34" s="501" t="s">
        <v>31616</v>
      </c>
      <c r="BI34" s="501">
        <v>1</v>
      </c>
      <c r="BJ34" s="501">
        <v>60</v>
      </c>
      <c r="BK34" s="501" t="s">
        <v>7</v>
      </c>
      <c r="BL34" s="501" t="s">
        <v>6</v>
      </c>
      <c r="BM34" s="494" t="s">
        <v>4</v>
      </c>
      <c r="BN34" s="501" t="s">
        <v>31425</v>
      </c>
      <c r="BO34" s="501">
        <v>1</v>
      </c>
      <c r="BP34" s="501">
        <v>50</v>
      </c>
      <c r="BQ34" s="501" t="s">
        <v>31426</v>
      </c>
      <c r="BR34" s="499" t="s">
        <v>33361</v>
      </c>
      <c r="BS34" s="501" t="s">
        <v>4</v>
      </c>
      <c r="BT34" s="501">
        <v>3</v>
      </c>
      <c r="BU34" s="502" cm="1">
        <f t="array" ref="BU34">_xlfn.IFS(BQ34="Foreword vehicle",BT34*0,BQ34="Human wastes",BT34*0,BS34="Jerrycans",BT34*$BT$4,BQ34="Number of Basins",BT34*$BT$5,BQ34="Number of Buckets",BT34*$BS$6,BQ34="Number of Kgs",BT34*$BT$7,BQ34="Number of spades",BT34*$BT$8,BQ34="Number of wheelbarrows",BT34*$BT$9,BS34="Septic Tank",BT34*0)</f>
        <v>70.5</v>
      </c>
      <c r="BV34" s="502">
        <f>Table15[[#This Row],[Calculation: Conversion of metric to Kg manure feeding (Columns: BP, BQ, BR)]]*Table15[[#This Row],[Number of times used to feed biodigester]]</f>
        <v>70.5</v>
      </c>
      <c r="BW34" s="503" cm="1">
        <f t="array" ref="BW34">_xlfn.IFS(BN34="Number of times per day (1 to 3)",BV34/$BW$3,BN34="Number of times per week (1 to 6)",BV34/$BW$4,BN34="Number of times per Month (1 to 3)",BV34/$BW$5)</f>
        <v>70.5</v>
      </c>
      <c r="BX34" s="501" t="s">
        <v>31541</v>
      </c>
      <c r="BY34" s="501" t="s">
        <v>4</v>
      </c>
      <c r="BZ34" s="501" t="s">
        <v>2</v>
      </c>
      <c r="CA34" s="501" t="s">
        <v>4</v>
      </c>
      <c r="CB34" s="501" t="s">
        <v>4</v>
      </c>
      <c r="CC34" s="501" t="s">
        <v>4</v>
      </c>
      <c r="CD34" s="501" t="s">
        <v>7</v>
      </c>
      <c r="CE34" s="501" t="s">
        <v>35869</v>
      </c>
      <c r="CF34" s="501" t="s">
        <v>4</v>
      </c>
      <c r="CG34" s="501" t="s">
        <v>31604</v>
      </c>
      <c r="CH34" s="501">
        <v>2</v>
      </c>
      <c r="CI34" s="501">
        <v>0</v>
      </c>
      <c r="CJ34" s="501">
        <v>0</v>
      </c>
      <c r="CK34" s="501">
        <v>0</v>
      </c>
      <c r="CL34" s="501">
        <v>0</v>
      </c>
      <c r="CM34" s="501">
        <v>0</v>
      </c>
      <c r="CN34" s="501">
        <v>0</v>
      </c>
      <c r="CO34" s="501">
        <v>0</v>
      </c>
      <c r="CP34" s="501">
        <v>0</v>
      </c>
      <c r="CQ34" s="501">
        <v>0</v>
      </c>
      <c r="CR34" s="501">
        <f>IF(Table15[[#This Row],[Is your biodigester working?]]="yes",CO34/'SDG outcome'!$C$9*CP34*CQ34,"")</f>
        <v>0</v>
      </c>
      <c r="CS34" s="501">
        <v>100</v>
      </c>
      <c r="CT34" s="519">
        <v>0</v>
      </c>
      <c r="CU34" s="517" t="s">
        <v>4</v>
      </c>
      <c r="CV34" s="501" t="s">
        <v>4</v>
      </c>
      <c r="CW34" s="519" t="s">
        <v>4</v>
      </c>
      <c r="CX34" s="517" t="s">
        <v>4</v>
      </c>
      <c r="CY34" s="501" t="s">
        <v>4</v>
      </c>
      <c r="CZ34" s="519" t="s">
        <v>4</v>
      </c>
      <c r="DA34" s="517" t="s">
        <v>4</v>
      </c>
      <c r="DB34" s="501" t="s">
        <v>4</v>
      </c>
      <c r="DC34" s="501" t="s">
        <v>4</v>
      </c>
      <c r="DD34" s="501" t="s">
        <v>4</v>
      </c>
      <c r="DE34" s="501" t="s">
        <v>4</v>
      </c>
      <c r="DF34" s="501" t="s">
        <v>4</v>
      </c>
      <c r="DG34" s="501" t="s">
        <v>4</v>
      </c>
      <c r="DH34" s="501" t="s">
        <v>4</v>
      </c>
      <c r="DI34" s="501" t="s">
        <v>4</v>
      </c>
      <c r="DJ34" s="501" t="s">
        <v>4</v>
      </c>
      <c r="DK34" s="501" t="s">
        <v>4</v>
      </c>
      <c r="DL34" s="501" t="s">
        <v>4</v>
      </c>
      <c r="DM34" s="501" t="s">
        <v>4</v>
      </c>
      <c r="DN34" s="501">
        <v>3</v>
      </c>
      <c r="DO34" s="501" t="s">
        <v>7</v>
      </c>
      <c r="DP34" s="501" t="s">
        <v>29292</v>
      </c>
      <c r="DQ34" s="501" t="s">
        <v>4</v>
      </c>
      <c r="DR34" s="501" t="s">
        <v>29294</v>
      </c>
      <c r="DS34" s="502" t="s">
        <v>4</v>
      </c>
      <c r="DT34" s="501" t="s">
        <v>29294</v>
      </c>
      <c r="DU34" s="502" t="s">
        <v>4</v>
      </c>
      <c r="DV34" s="519" t="s">
        <v>29508</v>
      </c>
      <c r="DW34" s="517" t="s">
        <v>4</v>
      </c>
      <c r="DX34" s="501" t="s">
        <v>4</v>
      </c>
      <c r="DY34" s="501" t="s">
        <v>4</v>
      </c>
      <c r="DZ34" s="501" t="s">
        <v>4</v>
      </c>
      <c r="EA34" s="501" t="s">
        <v>4</v>
      </c>
      <c r="EB34" s="501" t="s">
        <v>4</v>
      </c>
      <c r="EC34" s="501" t="s">
        <v>4</v>
      </c>
      <c r="ED34" s="501">
        <v>100</v>
      </c>
      <c r="EE34" s="501" t="s">
        <v>30667</v>
      </c>
      <c r="EF34" s="501" t="s">
        <v>4</v>
      </c>
      <c r="EG34" s="501" t="s">
        <v>4</v>
      </c>
      <c r="EH34" s="501">
        <v>100</v>
      </c>
      <c r="EI34" s="501" t="s">
        <v>4</v>
      </c>
      <c r="EJ34" s="501" t="s">
        <v>4</v>
      </c>
      <c r="EK34" s="501" t="s">
        <v>4</v>
      </c>
      <c r="EL34" s="501" t="s">
        <v>4</v>
      </c>
      <c r="EM34" s="501">
        <v>15</v>
      </c>
      <c r="EN34" s="501" t="s">
        <v>4</v>
      </c>
      <c r="EO34" s="501" t="s">
        <v>4</v>
      </c>
      <c r="EP34" s="501" t="s">
        <v>4</v>
      </c>
      <c r="EQ34" s="501" t="s">
        <v>29296</v>
      </c>
      <c r="ER34" s="501">
        <v>100</v>
      </c>
      <c r="ES34" s="501" t="s">
        <v>4</v>
      </c>
      <c r="ET34" s="501" t="s">
        <v>4</v>
      </c>
      <c r="EU34" s="501" t="s">
        <v>4</v>
      </c>
      <c r="EV34" s="501" t="s">
        <v>4</v>
      </c>
      <c r="EW34" s="501">
        <v>4</v>
      </c>
      <c r="EX34" s="501" t="s">
        <v>7</v>
      </c>
      <c r="EY34" s="501">
        <v>100</v>
      </c>
      <c r="EZ34" s="239">
        <f t="shared" si="1"/>
        <v>4</v>
      </c>
      <c r="FA34" s="501" t="s">
        <v>35675</v>
      </c>
      <c r="FB34" s="501" t="s">
        <v>29298</v>
      </c>
      <c r="FC34" s="501">
        <v>40</v>
      </c>
      <c r="FD34" s="501" t="s">
        <v>7</v>
      </c>
      <c r="FE34" s="501" t="s">
        <v>29555</v>
      </c>
      <c r="FF34" s="501" t="s">
        <v>4</v>
      </c>
      <c r="FG34" s="501" t="s">
        <v>2</v>
      </c>
      <c r="FH34" s="501" t="s">
        <v>4</v>
      </c>
      <c r="FI34" s="501" t="s">
        <v>4</v>
      </c>
      <c r="FJ34" s="501" t="s">
        <v>4</v>
      </c>
      <c r="FK34" s="501" t="s">
        <v>4</v>
      </c>
      <c r="FL34" s="501" t="s">
        <v>4</v>
      </c>
      <c r="FM34" s="501" t="s">
        <v>4</v>
      </c>
      <c r="FN34" s="502" t="s">
        <v>4</v>
      </c>
      <c r="FO34" s="501" t="s">
        <v>4</v>
      </c>
      <c r="FP34" s="501" t="s">
        <v>2</v>
      </c>
      <c r="FQ34" s="501" t="s">
        <v>4</v>
      </c>
      <c r="FR34" s="501" t="s">
        <v>4</v>
      </c>
      <c r="FS34" s="501" t="s">
        <v>2</v>
      </c>
      <c r="FT34" s="501" t="s">
        <v>7</v>
      </c>
      <c r="FU34" s="501" t="s">
        <v>29302</v>
      </c>
      <c r="FV34" s="501" t="s">
        <v>35848</v>
      </c>
      <c r="FW34" s="501" t="s">
        <v>29304</v>
      </c>
      <c r="FX34" s="501">
        <v>0.5</v>
      </c>
      <c r="FY34" s="501" t="s">
        <v>29478</v>
      </c>
      <c r="FZ34" s="501" t="s">
        <v>29306</v>
      </c>
      <c r="GA34" s="501" t="s">
        <v>30337</v>
      </c>
      <c r="GB34" s="501" t="s">
        <v>4</v>
      </c>
      <c r="GC34" s="501" t="s">
        <v>4</v>
      </c>
      <c r="GD34" s="501" t="s">
        <v>4</v>
      </c>
      <c r="GE34" s="501" t="s">
        <v>4</v>
      </c>
      <c r="GF34" s="501" t="s">
        <v>4</v>
      </c>
      <c r="GG34" s="501" t="s">
        <v>4</v>
      </c>
      <c r="GH34" s="501" t="s">
        <v>4</v>
      </c>
      <c r="GI34" s="501" t="s">
        <v>4</v>
      </c>
      <c r="GJ34" s="501" t="s">
        <v>4</v>
      </c>
      <c r="GK34" s="501" t="s">
        <v>4</v>
      </c>
      <c r="GL34" s="501" t="s">
        <v>4</v>
      </c>
      <c r="GM34" s="501" t="s">
        <v>4</v>
      </c>
      <c r="GN34" s="501" t="s">
        <v>4</v>
      </c>
      <c r="GO34" s="501" t="s">
        <v>4</v>
      </c>
      <c r="GP34" s="501" t="s">
        <v>4</v>
      </c>
      <c r="GQ34" s="501" t="s">
        <v>4</v>
      </c>
      <c r="GR34" s="501" t="s">
        <v>4</v>
      </c>
      <c r="GS34" s="501" t="s">
        <v>4</v>
      </c>
      <c r="GT34" s="501" t="s">
        <v>29410</v>
      </c>
      <c r="GU34" s="501" t="s">
        <v>4</v>
      </c>
      <c r="GV34" s="502">
        <v>3</v>
      </c>
      <c r="GW34" s="501" t="s">
        <v>7</v>
      </c>
      <c r="GX34" s="501" t="s">
        <v>29837</v>
      </c>
      <c r="GY34" s="501" t="s">
        <v>4</v>
      </c>
      <c r="GZ34" s="501" t="s">
        <v>4</v>
      </c>
      <c r="HA34" s="501" t="s">
        <v>4</v>
      </c>
      <c r="HB34" s="501" t="s">
        <v>4</v>
      </c>
      <c r="HC34" s="501" t="s">
        <v>4</v>
      </c>
      <c r="HD34" s="501" t="s">
        <v>4</v>
      </c>
      <c r="HE34" s="501" t="s">
        <v>4</v>
      </c>
      <c r="HF34" s="501" t="s">
        <v>4</v>
      </c>
      <c r="HG34" s="501" t="s">
        <v>2</v>
      </c>
      <c r="HH34" s="501" t="s">
        <v>4</v>
      </c>
      <c r="HI34" s="501" t="s">
        <v>4</v>
      </c>
      <c r="HJ34" s="501" t="s">
        <v>4</v>
      </c>
      <c r="HK34" s="494" t="s">
        <v>4</v>
      </c>
      <c r="HL34" s="501" t="s">
        <v>33474</v>
      </c>
      <c r="HM34" s="501" t="s">
        <v>2</v>
      </c>
      <c r="HN34" s="501" t="s">
        <v>4</v>
      </c>
      <c r="HO34" s="501" t="s">
        <v>16</v>
      </c>
      <c r="HP34" s="501" t="s">
        <v>35870</v>
      </c>
      <c r="HQ34" s="501" t="s">
        <v>35871</v>
      </c>
      <c r="HR34" s="501" t="s">
        <v>35872</v>
      </c>
      <c r="HS34" s="501" t="s">
        <v>35873</v>
      </c>
      <c r="HT34" s="519" t="s">
        <v>35865</v>
      </c>
    </row>
    <row r="35" spans="1:228" s="570" customFormat="1" ht="30.2" customHeight="1" x14ac:dyDescent="0.25">
      <c r="A35" s="759"/>
      <c r="B35" s="496">
        <v>239</v>
      </c>
      <c r="C35" s="496" t="s">
        <v>21371</v>
      </c>
      <c r="D35" s="497" t="s">
        <v>35985</v>
      </c>
      <c r="E35" s="497" t="s">
        <v>30866</v>
      </c>
      <c r="F35" s="497" t="s">
        <v>7</v>
      </c>
      <c r="G35" s="497" t="s">
        <v>35986</v>
      </c>
      <c r="H35" s="497">
        <v>1520.9</v>
      </c>
      <c r="I35" s="497">
        <v>4.8</v>
      </c>
      <c r="J35" s="497" t="s">
        <v>29319</v>
      </c>
      <c r="K35" s="497" t="s">
        <v>4</v>
      </c>
      <c r="L35" s="497" t="s">
        <v>35987</v>
      </c>
      <c r="M35" s="497">
        <v>772716104</v>
      </c>
      <c r="N35" s="497" t="s">
        <v>5</v>
      </c>
      <c r="O35" s="497" t="s">
        <v>31590</v>
      </c>
      <c r="P35" s="497" t="s">
        <v>4</v>
      </c>
      <c r="Q35" s="497">
        <v>7</v>
      </c>
      <c r="R35" s="497" t="s">
        <v>7</v>
      </c>
      <c r="S35" s="497" t="s">
        <v>31549</v>
      </c>
      <c r="T35" s="497" t="s">
        <v>4</v>
      </c>
      <c r="U35" s="497" t="s">
        <v>7</v>
      </c>
      <c r="V35" s="497" t="s">
        <v>2</v>
      </c>
      <c r="W35" s="497">
        <v>7</v>
      </c>
      <c r="X35" s="497" t="s">
        <v>2</v>
      </c>
      <c r="Y35" s="497" t="s">
        <v>35988</v>
      </c>
      <c r="Z35" s="497" t="s">
        <v>4</v>
      </c>
      <c r="AA35" s="241" t="str">
        <f>IF(OR(U35="yes",Z35&gt;'SDG outcome'!$C$39),"yes","no")</f>
        <v>yes</v>
      </c>
      <c r="AB35" s="521">
        <f t="shared" si="0"/>
        <v>7</v>
      </c>
      <c r="AC35" s="527" t="str">
        <f>IF(AND('SMS p2'!AA250="no",AND(Z35&gt;='SDG outcome'!$B$28,Z35&lt;'SDG outcome'!$C$39)),Z35-'SDG outcome'!$B$28,"")</f>
        <v/>
      </c>
      <c r="AD35" s="497" t="s">
        <v>4</v>
      </c>
      <c r="AE35" s="497" t="s">
        <v>4</v>
      </c>
      <c r="AF35" s="497" t="s">
        <v>4</v>
      </c>
      <c r="AG35" s="497" t="s">
        <v>4</v>
      </c>
      <c r="AH35" s="497" t="s">
        <v>4</v>
      </c>
      <c r="AI35" s="497" t="s">
        <v>4</v>
      </c>
      <c r="AJ35" s="497" t="s">
        <v>4</v>
      </c>
      <c r="AK35" s="497" t="s">
        <v>29290</v>
      </c>
      <c r="AL35" s="497" t="s">
        <v>29694</v>
      </c>
      <c r="AM35" s="497" t="s">
        <v>4</v>
      </c>
      <c r="AN35" s="497" t="s">
        <v>4</v>
      </c>
      <c r="AO35" s="497" t="s">
        <v>31536</v>
      </c>
      <c r="AP35" s="497" t="s">
        <v>4</v>
      </c>
      <c r="AQ35" s="497" t="s">
        <v>31537</v>
      </c>
      <c r="AR35" s="497" t="s">
        <v>4</v>
      </c>
      <c r="AS35" s="497" t="s">
        <v>31538</v>
      </c>
      <c r="AT35" s="497" t="s">
        <v>4</v>
      </c>
      <c r="AU35" s="497" t="s">
        <v>7</v>
      </c>
      <c r="AV35" s="497" t="s">
        <v>4</v>
      </c>
      <c r="AW35" s="497" t="s">
        <v>4</v>
      </c>
      <c r="AX35" s="497" t="s">
        <v>7</v>
      </c>
      <c r="AY35" s="497" t="s">
        <v>11</v>
      </c>
      <c r="AZ35" s="497" t="s">
        <v>4</v>
      </c>
      <c r="BA35" s="497" t="s">
        <v>31563</v>
      </c>
      <c r="BB35" s="497" t="s">
        <v>22</v>
      </c>
      <c r="BC35" s="497" t="s">
        <v>4</v>
      </c>
      <c r="BD35" s="497" t="s">
        <v>31564</v>
      </c>
      <c r="BE35" s="497" t="s">
        <v>4</v>
      </c>
      <c r="BF35" s="497" t="s">
        <v>31542</v>
      </c>
      <c r="BG35" s="497" t="s">
        <v>35989</v>
      </c>
      <c r="BH35" s="497" t="s">
        <v>31544</v>
      </c>
      <c r="BI35" s="497">
        <v>1</v>
      </c>
      <c r="BJ35" s="497">
        <v>150</v>
      </c>
      <c r="BK35" s="497" t="s">
        <v>7</v>
      </c>
      <c r="BL35" s="497" t="s">
        <v>6</v>
      </c>
      <c r="BM35" s="497" t="s">
        <v>4</v>
      </c>
      <c r="BN35" s="497" t="s">
        <v>31425</v>
      </c>
      <c r="BO35" s="497">
        <v>1</v>
      </c>
      <c r="BP35" s="497">
        <v>30</v>
      </c>
      <c r="BQ35" s="497" t="s">
        <v>31426</v>
      </c>
      <c r="BR35" s="499" t="s">
        <v>33361</v>
      </c>
      <c r="BS35" s="497" t="s">
        <v>4</v>
      </c>
      <c r="BT35" s="497">
        <v>8</v>
      </c>
      <c r="BU35" s="494" cm="1">
        <f t="array" ref="BU35">_xlfn.IFS(BQ35="Foreword vehicle",BT35*0,BQ35="Human wastes",BT35*0,BS35="Jerrycans",BT35*$BT$4,BQ35="Number of Basins",BT35*$BT$5,BQ35="Number of Buckets",BT35*$BS$6,BQ35="Number of Kgs",BT35*$BT$7,BQ35="Number of spades",BT35*$BT$8,BQ35="Number of wheelbarrows",BT35*$BT$9,BS35="Septic Tank",BT35*0)</f>
        <v>188</v>
      </c>
      <c r="BV35" s="494">
        <f>Table15[[#This Row],[Calculation: Conversion of metric to Kg manure feeding (Columns: BP, BQ, BR)]]*Table15[[#This Row],[Number of times used to feed biodigester]]</f>
        <v>188</v>
      </c>
      <c r="BW35" s="495" cm="1">
        <f t="array" ref="BW35">_xlfn.IFS(BN35="Number of times per day (1 to 3)",BV35/$BW$3,BN35="Number of times per week (1 to 6)",BV35/$BW$4,BN35="Number of times per Month (1 to 3)",BV35/$BW$5)</f>
        <v>188</v>
      </c>
      <c r="BX35" s="497" t="s">
        <v>22</v>
      </c>
      <c r="BY35" s="497" t="s">
        <v>4</v>
      </c>
      <c r="BZ35" s="497" t="s">
        <v>2</v>
      </c>
      <c r="CA35" s="497" t="s">
        <v>4</v>
      </c>
      <c r="CB35" s="497" t="s">
        <v>4</v>
      </c>
      <c r="CC35" s="497" t="s">
        <v>4</v>
      </c>
      <c r="CD35" s="497" t="s">
        <v>7</v>
      </c>
      <c r="CE35" s="497" t="s">
        <v>35990</v>
      </c>
      <c r="CF35" s="497" t="s">
        <v>4</v>
      </c>
      <c r="CG35" s="497" t="s">
        <v>31604</v>
      </c>
      <c r="CH35" s="497">
        <v>50</v>
      </c>
      <c r="CI35" s="497">
        <v>0</v>
      </c>
      <c r="CJ35" s="497">
        <v>0</v>
      </c>
      <c r="CK35" s="497">
        <v>0</v>
      </c>
      <c r="CL35" s="497">
        <v>0</v>
      </c>
      <c r="CM35" s="497">
        <v>0</v>
      </c>
      <c r="CN35" s="497">
        <v>0</v>
      </c>
      <c r="CO35" s="497">
        <v>0</v>
      </c>
      <c r="CP35" s="497">
        <v>0</v>
      </c>
      <c r="CQ35" s="497">
        <v>0</v>
      </c>
      <c r="CR35" s="497">
        <f>IF(Table15[[#This Row],[Is your biodigester working?]]="yes",CO35/'SDG outcome'!$C$9*CP35*CQ35,"")</f>
        <v>0</v>
      </c>
      <c r="CS35" s="497">
        <v>50</v>
      </c>
      <c r="CT35" s="500">
        <v>50</v>
      </c>
      <c r="CU35" s="496" t="s">
        <v>33850</v>
      </c>
      <c r="CV35" s="497" t="s">
        <v>4</v>
      </c>
      <c r="CW35" s="500" t="s">
        <v>4</v>
      </c>
      <c r="CX35" s="496" t="s">
        <v>4</v>
      </c>
      <c r="CY35" s="497" t="s">
        <v>4</v>
      </c>
      <c r="CZ35" s="500" t="s">
        <v>4</v>
      </c>
      <c r="DA35" s="496" t="s">
        <v>4</v>
      </c>
      <c r="DB35" s="497" t="s">
        <v>4</v>
      </c>
      <c r="DC35" s="497" t="s">
        <v>4</v>
      </c>
      <c r="DD35" s="497" t="s">
        <v>4</v>
      </c>
      <c r="DE35" s="497" t="s">
        <v>4</v>
      </c>
      <c r="DF35" s="497" t="s">
        <v>4</v>
      </c>
      <c r="DG35" s="497" t="s">
        <v>4</v>
      </c>
      <c r="DH35" s="497" t="s">
        <v>4</v>
      </c>
      <c r="DI35" s="497" t="s">
        <v>4</v>
      </c>
      <c r="DJ35" s="497" t="s">
        <v>4</v>
      </c>
      <c r="DK35" s="497" t="s">
        <v>4</v>
      </c>
      <c r="DL35" s="497" t="s">
        <v>4</v>
      </c>
      <c r="DM35" s="497" t="s">
        <v>4</v>
      </c>
      <c r="DN35" s="497">
        <v>4</v>
      </c>
      <c r="DO35" s="497" t="s">
        <v>7</v>
      </c>
      <c r="DP35" s="497" t="s">
        <v>29292</v>
      </c>
      <c r="DQ35" s="497" t="s">
        <v>4</v>
      </c>
      <c r="DR35" s="497" t="s">
        <v>29294</v>
      </c>
      <c r="DS35" s="494" t="s">
        <v>4</v>
      </c>
      <c r="DT35" s="497" t="s">
        <v>29294</v>
      </c>
      <c r="DU35" s="494" t="s">
        <v>4</v>
      </c>
      <c r="DV35" s="500" t="s">
        <v>29295</v>
      </c>
      <c r="DW35" s="496">
        <v>100</v>
      </c>
      <c r="DX35" s="497" t="s">
        <v>29296</v>
      </c>
      <c r="DY35" s="497">
        <v>100</v>
      </c>
      <c r="DZ35" s="497" t="s">
        <v>4</v>
      </c>
      <c r="EA35" s="497" t="s">
        <v>4</v>
      </c>
      <c r="EB35" s="497" t="s">
        <v>4</v>
      </c>
      <c r="EC35" s="497" t="s">
        <v>4</v>
      </c>
      <c r="ED35" s="497" t="s">
        <v>4</v>
      </c>
      <c r="EE35" s="497" t="s">
        <v>4</v>
      </c>
      <c r="EF35" s="497" t="s">
        <v>4</v>
      </c>
      <c r="EG35" s="497" t="s">
        <v>4</v>
      </c>
      <c r="EH35" s="497" t="s">
        <v>4</v>
      </c>
      <c r="EI35" s="497" t="s">
        <v>4</v>
      </c>
      <c r="EJ35" s="497" t="s">
        <v>4</v>
      </c>
      <c r="EK35" s="497" t="s">
        <v>4</v>
      </c>
      <c r="EL35" s="497" t="s">
        <v>4</v>
      </c>
      <c r="EM35" s="497" t="s">
        <v>4</v>
      </c>
      <c r="EN35" s="497" t="s">
        <v>4</v>
      </c>
      <c r="EO35" s="497" t="s">
        <v>4</v>
      </c>
      <c r="EP35" s="497" t="s">
        <v>4</v>
      </c>
      <c r="EQ35" s="497" t="s">
        <v>4</v>
      </c>
      <c r="ER35" s="497" t="s">
        <v>4</v>
      </c>
      <c r="ES35" s="497" t="s">
        <v>4</v>
      </c>
      <c r="ET35" s="497" t="s">
        <v>4</v>
      </c>
      <c r="EU35" s="497" t="s">
        <v>4</v>
      </c>
      <c r="EV35" s="497" t="s">
        <v>4</v>
      </c>
      <c r="EW35" s="497">
        <v>100</v>
      </c>
      <c r="EX35" s="497" t="s">
        <v>7</v>
      </c>
      <c r="EY35" s="497">
        <v>4</v>
      </c>
      <c r="EZ35" s="239">
        <f t="shared" si="1"/>
        <v>4</v>
      </c>
      <c r="FA35" s="497" t="s">
        <v>35991</v>
      </c>
      <c r="FB35" s="497" t="s">
        <v>29298</v>
      </c>
      <c r="FC35" s="497">
        <v>48</v>
      </c>
      <c r="FD35" s="497" t="s">
        <v>7</v>
      </c>
      <c r="FE35" s="497" t="s">
        <v>29492</v>
      </c>
      <c r="FF35" s="497" t="s">
        <v>4</v>
      </c>
      <c r="FG35" s="497" t="s">
        <v>7</v>
      </c>
      <c r="FH35" s="497" t="s">
        <v>29492</v>
      </c>
      <c r="FI35" s="497" t="s">
        <v>4</v>
      </c>
      <c r="FJ35" s="497" t="s">
        <v>29477</v>
      </c>
      <c r="FK35" s="497" t="s">
        <v>4</v>
      </c>
      <c r="FL35" s="497" t="s">
        <v>29292</v>
      </c>
      <c r="FM35" s="497" t="s">
        <v>29294</v>
      </c>
      <c r="FN35" s="494" t="s">
        <v>4</v>
      </c>
      <c r="FO35" s="497" t="s">
        <v>4</v>
      </c>
      <c r="FP35" s="497" t="s">
        <v>2</v>
      </c>
      <c r="FQ35" s="497" t="s">
        <v>4</v>
      </c>
      <c r="FR35" s="497" t="s">
        <v>4</v>
      </c>
      <c r="FS35" s="497" t="s">
        <v>2</v>
      </c>
      <c r="FT35" s="497" t="s">
        <v>7</v>
      </c>
      <c r="FU35" s="497" t="s">
        <v>29302</v>
      </c>
      <c r="FV35" s="497" t="s">
        <v>35992</v>
      </c>
      <c r="FW35" s="497" t="s">
        <v>4</v>
      </c>
      <c r="FX35" s="497">
        <v>0</v>
      </c>
      <c r="FY35" s="497" t="s">
        <v>4</v>
      </c>
      <c r="FZ35" s="497" t="s">
        <v>4</v>
      </c>
      <c r="GA35" s="497" t="s">
        <v>4</v>
      </c>
      <c r="GB35" s="497" t="s">
        <v>4</v>
      </c>
      <c r="GC35" s="497" t="s">
        <v>4</v>
      </c>
      <c r="GD35" s="497" t="s">
        <v>4</v>
      </c>
      <c r="GE35" s="497" t="s">
        <v>4</v>
      </c>
      <c r="GF35" s="497" t="s">
        <v>4</v>
      </c>
      <c r="GG35" s="497" t="s">
        <v>4</v>
      </c>
      <c r="GH35" s="497" t="s">
        <v>4</v>
      </c>
      <c r="GI35" s="497" t="s">
        <v>29304</v>
      </c>
      <c r="GJ35" s="497" t="s">
        <v>29305</v>
      </c>
      <c r="GK35" s="497" t="s">
        <v>29306</v>
      </c>
      <c r="GL35" s="497" t="s">
        <v>4</v>
      </c>
      <c r="GM35" s="497" t="s">
        <v>4</v>
      </c>
      <c r="GN35" s="497" t="s">
        <v>4</v>
      </c>
      <c r="GO35" s="497" t="s">
        <v>4</v>
      </c>
      <c r="GP35" s="497" t="s">
        <v>4</v>
      </c>
      <c r="GQ35" s="497" t="s">
        <v>4</v>
      </c>
      <c r="GR35" s="497" t="s">
        <v>4</v>
      </c>
      <c r="GS35" s="497" t="s">
        <v>4</v>
      </c>
      <c r="GT35" s="497" t="s">
        <v>35993</v>
      </c>
      <c r="GU35" s="497" t="s">
        <v>4</v>
      </c>
      <c r="GV35" s="494">
        <v>10</v>
      </c>
      <c r="GW35" s="497" t="s">
        <v>2</v>
      </c>
      <c r="GX35" s="497" t="s">
        <v>29309</v>
      </c>
      <c r="GY35" s="497" t="s">
        <v>4</v>
      </c>
      <c r="GZ35" s="497" t="s">
        <v>4</v>
      </c>
      <c r="HA35" s="497" t="s">
        <v>4</v>
      </c>
      <c r="HB35" s="497" t="s">
        <v>4</v>
      </c>
      <c r="HC35" s="497" t="s">
        <v>4</v>
      </c>
      <c r="HD35" s="497" t="s">
        <v>4</v>
      </c>
      <c r="HE35" s="497" t="s">
        <v>4</v>
      </c>
      <c r="HF35" s="497" t="s">
        <v>4</v>
      </c>
      <c r="HG35" s="497" t="s">
        <v>2</v>
      </c>
      <c r="HH35" s="497" t="s">
        <v>4</v>
      </c>
      <c r="HI35" s="497" t="s">
        <v>4</v>
      </c>
      <c r="HJ35" s="497" t="s">
        <v>4</v>
      </c>
      <c r="HK35" s="494" t="s">
        <v>4</v>
      </c>
      <c r="HL35" s="497" t="s">
        <v>4</v>
      </c>
      <c r="HM35" s="497" t="s">
        <v>2</v>
      </c>
      <c r="HN35" s="497" t="s">
        <v>4</v>
      </c>
      <c r="HO35" s="497" t="s">
        <v>16</v>
      </c>
      <c r="HP35" s="497" t="s">
        <v>35994</v>
      </c>
      <c r="HQ35" s="497" t="s">
        <v>35995</v>
      </c>
      <c r="HR35" s="497" t="s">
        <v>35996</v>
      </c>
      <c r="HS35" s="497" t="s">
        <v>35997</v>
      </c>
      <c r="HT35" s="500" t="s">
        <v>35985</v>
      </c>
    </row>
    <row r="36" spans="1:228" s="570" customFormat="1" ht="30.2" customHeight="1" x14ac:dyDescent="0.25">
      <c r="A36" s="759"/>
      <c r="B36" s="496">
        <v>107</v>
      </c>
      <c r="C36" s="496" t="s">
        <v>12056</v>
      </c>
      <c r="D36" s="497" t="s">
        <v>34185</v>
      </c>
      <c r="E36" s="497" t="s">
        <v>34457</v>
      </c>
      <c r="F36" s="497" t="s">
        <v>7</v>
      </c>
      <c r="G36" s="497" t="s">
        <v>34557</v>
      </c>
      <c r="H36" s="497">
        <v>1102.5999999999999</v>
      </c>
      <c r="I36" s="497">
        <v>4</v>
      </c>
      <c r="J36" s="497" t="s">
        <v>29319</v>
      </c>
      <c r="K36" s="497" t="s">
        <v>4</v>
      </c>
      <c r="L36" s="497" t="s">
        <v>34558</v>
      </c>
      <c r="M36" s="497">
        <v>774400751</v>
      </c>
      <c r="N36" s="497" t="s">
        <v>5</v>
      </c>
      <c r="O36" s="497" t="s">
        <v>31438</v>
      </c>
      <c r="P36" s="497">
        <v>52</v>
      </c>
      <c r="Q36" s="497">
        <v>17</v>
      </c>
      <c r="R36" s="497" t="s">
        <v>7</v>
      </c>
      <c r="S36" s="497" t="s">
        <v>31588</v>
      </c>
      <c r="T36" s="497" t="s">
        <v>4</v>
      </c>
      <c r="U36" s="497" t="s">
        <v>7</v>
      </c>
      <c r="V36" s="497" t="s">
        <v>7</v>
      </c>
      <c r="W36" s="497" t="s">
        <v>4</v>
      </c>
      <c r="X36" s="497" t="s">
        <v>7</v>
      </c>
      <c r="Y36" s="497" t="s">
        <v>4</v>
      </c>
      <c r="Z36" s="497" t="s">
        <v>4</v>
      </c>
      <c r="AA36" s="241" t="str">
        <f>IF(OR(U36="yes",Z36&gt;'SDG outcome'!$C$39),"yes","no")</f>
        <v>yes</v>
      </c>
      <c r="AB36" s="521" t="str">
        <f t="shared" si="0"/>
        <v>NA</v>
      </c>
      <c r="AC36" s="527" t="str">
        <f>IF(AND('SMS p2'!AA119="no",AND(Z36&gt;='SDG outcome'!$B$28,Z36&lt;'SDG outcome'!$C$39)),Z36-'SDG outcome'!$B$28,"")</f>
        <v/>
      </c>
      <c r="AD36" s="497" t="s">
        <v>4</v>
      </c>
      <c r="AE36" s="497" t="s">
        <v>4</v>
      </c>
      <c r="AF36" s="497" t="s">
        <v>4</v>
      </c>
      <c r="AG36" s="497" t="s">
        <v>4</v>
      </c>
      <c r="AH36" s="497" t="s">
        <v>4</v>
      </c>
      <c r="AI36" s="497" t="s">
        <v>4</v>
      </c>
      <c r="AJ36" s="497" t="s">
        <v>4</v>
      </c>
      <c r="AK36" s="497" t="s">
        <v>29290</v>
      </c>
      <c r="AL36" s="497" t="s">
        <v>31294</v>
      </c>
      <c r="AM36" s="497" t="s">
        <v>4</v>
      </c>
      <c r="AN36" s="497" t="s">
        <v>4</v>
      </c>
      <c r="AO36" s="497" t="s">
        <v>31536</v>
      </c>
      <c r="AP36" s="497" t="s">
        <v>4</v>
      </c>
      <c r="AQ36" s="497" t="s">
        <v>31537</v>
      </c>
      <c r="AR36" s="497" t="s">
        <v>4</v>
      </c>
      <c r="AS36" s="497" t="s">
        <v>31538</v>
      </c>
      <c r="AT36" s="497" t="s">
        <v>4</v>
      </c>
      <c r="AU36" s="497" t="s">
        <v>2</v>
      </c>
      <c r="AV36" s="497" t="s">
        <v>31581</v>
      </c>
      <c r="AW36" s="497" t="s">
        <v>4</v>
      </c>
      <c r="AX36" s="497" t="s">
        <v>2</v>
      </c>
      <c r="AY36" s="497" t="s">
        <v>4</v>
      </c>
      <c r="AZ36" s="497" t="s">
        <v>4</v>
      </c>
      <c r="BA36" s="497" t="s">
        <v>31540</v>
      </c>
      <c r="BB36" s="497" t="s">
        <v>31541</v>
      </c>
      <c r="BC36" s="497" t="s">
        <v>4</v>
      </c>
      <c r="BD36" s="497" t="s">
        <v>14</v>
      </c>
      <c r="BE36" s="497" t="s">
        <v>4</v>
      </c>
      <c r="BF36" s="497" t="s">
        <v>31542</v>
      </c>
      <c r="BG36" s="497" t="s">
        <v>34559</v>
      </c>
      <c r="BH36" s="497" t="s">
        <v>31616</v>
      </c>
      <c r="BI36" s="497">
        <v>1</v>
      </c>
      <c r="BJ36" s="497">
        <v>360</v>
      </c>
      <c r="BK36" s="497" t="s">
        <v>7</v>
      </c>
      <c r="BL36" s="497" t="s">
        <v>6</v>
      </c>
      <c r="BM36" s="497" t="s">
        <v>4</v>
      </c>
      <c r="BN36" s="497" t="s">
        <v>31425</v>
      </c>
      <c r="BO36" s="497">
        <v>1</v>
      </c>
      <c r="BP36" s="497">
        <v>60</v>
      </c>
      <c r="BQ36" s="497" t="s">
        <v>31426</v>
      </c>
      <c r="BR36" s="499" t="s">
        <v>33332</v>
      </c>
      <c r="BS36" s="497" t="s">
        <v>4</v>
      </c>
      <c r="BT36" s="497">
        <v>3</v>
      </c>
      <c r="BU36" s="494" cm="1">
        <f t="array" ref="BU36">_xlfn.IFS(BQ36="Foreword vehicle",BT36*0,BQ36="Human wastes",BT36*0,BS36="Jerrycans",BT36*$BT$4,BQ36="Number of Basins",BT36*$BT$5,BQ36="Number of Buckets",BT36*$BT$6,BQ36="Number of Kgs",BT36*$BT$7,BQ36="Number of spades",BT36*$BT$8,BQ36="Number of wheelbarrows",BT36*$BT$9,BS36="Septic Tank",BT36*0)</f>
        <v>69</v>
      </c>
      <c r="BV36" s="494">
        <f>Table15[[#This Row],[Calculation: Conversion of metric to Kg manure feeding (Columns: BP, BQ, BR)]]*Table15[[#This Row],[Number of times used to feed biodigester]]</f>
        <v>69</v>
      </c>
      <c r="BW36" s="495" cm="1">
        <f t="array" ref="BW36">_xlfn.IFS(BN36="Number of times per day (1 to 3)",BV36/$BW$3,BN36="Number of times per week (1 to 6)",BV36/$BW$4,BN36="Number of times per Month (1 to 3)",BV36/$BW$5)</f>
        <v>69</v>
      </c>
      <c r="BX36" s="497" t="s">
        <v>31552</v>
      </c>
      <c r="BY36" s="497" t="s">
        <v>4</v>
      </c>
      <c r="BZ36" s="497" t="s">
        <v>7</v>
      </c>
      <c r="CA36" s="497" t="s">
        <v>31651</v>
      </c>
      <c r="CB36" s="497" t="s">
        <v>4</v>
      </c>
      <c r="CC36" s="497">
        <v>24</v>
      </c>
      <c r="CD36" s="497" t="s">
        <v>7</v>
      </c>
      <c r="CE36" s="497" t="s">
        <v>34560</v>
      </c>
      <c r="CF36" s="497" t="s">
        <v>4</v>
      </c>
      <c r="CG36" s="497" t="s">
        <v>31705</v>
      </c>
      <c r="CH36" s="497">
        <v>0</v>
      </c>
      <c r="CI36" s="497">
        <v>3</v>
      </c>
      <c r="CJ36" s="497">
        <v>0</v>
      </c>
      <c r="CK36" s="497">
        <v>0</v>
      </c>
      <c r="CL36" s="497">
        <v>0</v>
      </c>
      <c r="CM36" s="497">
        <v>0</v>
      </c>
      <c r="CN36" s="497">
        <v>0</v>
      </c>
      <c r="CO36" s="497">
        <v>0</v>
      </c>
      <c r="CP36" s="497">
        <v>0</v>
      </c>
      <c r="CQ36" s="497">
        <v>0</v>
      </c>
      <c r="CR36" s="497">
        <f>IF(Table15[[#This Row],[Is your biodigester working?]]="yes",CO36/'SDG outcome'!$C$9*CP36*CQ36,"")</f>
        <v>0</v>
      </c>
      <c r="CS36" s="497" t="s">
        <v>4</v>
      </c>
      <c r="CT36" s="500" t="s">
        <v>4</v>
      </c>
      <c r="CU36" s="496" t="s">
        <v>4</v>
      </c>
      <c r="CV36" s="497">
        <v>100</v>
      </c>
      <c r="CW36" s="500">
        <v>0</v>
      </c>
      <c r="CX36" s="496" t="s">
        <v>4</v>
      </c>
      <c r="CY36" s="497" t="s">
        <v>4</v>
      </c>
      <c r="CZ36" s="500" t="s">
        <v>4</v>
      </c>
      <c r="DA36" s="496" t="s">
        <v>4</v>
      </c>
      <c r="DB36" s="497" t="s">
        <v>4</v>
      </c>
      <c r="DC36" s="497" t="s">
        <v>4</v>
      </c>
      <c r="DD36" s="497" t="s">
        <v>4</v>
      </c>
      <c r="DE36" s="497" t="s">
        <v>4</v>
      </c>
      <c r="DF36" s="497" t="s">
        <v>4</v>
      </c>
      <c r="DG36" s="497" t="s">
        <v>4</v>
      </c>
      <c r="DH36" s="497" t="s">
        <v>4</v>
      </c>
      <c r="DI36" s="497" t="s">
        <v>4</v>
      </c>
      <c r="DJ36" s="497" t="s">
        <v>4</v>
      </c>
      <c r="DK36" s="497" t="s">
        <v>4</v>
      </c>
      <c r="DL36" s="497" t="s">
        <v>4</v>
      </c>
      <c r="DM36" s="497" t="s">
        <v>4</v>
      </c>
      <c r="DN36" s="497">
        <v>6</v>
      </c>
      <c r="DO36" s="497" t="s">
        <v>7</v>
      </c>
      <c r="DP36" s="497" t="s">
        <v>29292</v>
      </c>
      <c r="DQ36" s="497" t="s">
        <v>4</v>
      </c>
      <c r="DR36" s="497" t="s">
        <v>29293</v>
      </c>
      <c r="DS36" s="494">
        <v>3000</v>
      </c>
      <c r="DT36" s="497" t="s">
        <v>29293</v>
      </c>
      <c r="DU36" s="494">
        <v>50000</v>
      </c>
      <c r="DV36" s="500" t="s">
        <v>29295</v>
      </c>
      <c r="DW36" s="496">
        <v>100</v>
      </c>
      <c r="DX36" s="497" t="s">
        <v>30460</v>
      </c>
      <c r="DY36" s="497">
        <v>90</v>
      </c>
      <c r="DZ36" s="497">
        <v>10</v>
      </c>
      <c r="EA36" s="497" t="s">
        <v>4</v>
      </c>
      <c r="EB36" s="497" t="s">
        <v>4</v>
      </c>
      <c r="EC36" s="497" t="s">
        <v>4</v>
      </c>
      <c r="ED36" s="497" t="s">
        <v>4</v>
      </c>
      <c r="EE36" s="497" t="s">
        <v>4</v>
      </c>
      <c r="EF36" s="497" t="s">
        <v>4</v>
      </c>
      <c r="EG36" s="497" t="s">
        <v>4</v>
      </c>
      <c r="EH36" s="497" t="s">
        <v>4</v>
      </c>
      <c r="EI36" s="497" t="s">
        <v>4</v>
      </c>
      <c r="EJ36" s="497" t="s">
        <v>4</v>
      </c>
      <c r="EK36" s="497" t="s">
        <v>4</v>
      </c>
      <c r="EL36" s="497" t="s">
        <v>4</v>
      </c>
      <c r="EM36" s="497" t="s">
        <v>4</v>
      </c>
      <c r="EN36" s="497" t="s">
        <v>4</v>
      </c>
      <c r="EO36" s="497" t="s">
        <v>4</v>
      </c>
      <c r="EP36" s="497" t="s">
        <v>4</v>
      </c>
      <c r="EQ36" s="497" t="s">
        <v>4</v>
      </c>
      <c r="ER36" s="497" t="s">
        <v>4</v>
      </c>
      <c r="ES36" s="497" t="s">
        <v>4</v>
      </c>
      <c r="ET36" s="497" t="s">
        <v>4</v>
      </c>
      <c r="EU36" s="497" t="s">
        <v>4</v>
      </c>
      <c r="EV36" s="497" t="s">
        <v>4</v>
      </c>
      <c r="EW36" s="497">
        <v>5</v>
      </c>
      <c r="EX36" s="497" t="s">
        <v>7</v>
      </c>
      <c r="EY36" s="497">
        <v>60</v>
      </c>
      <c r="EZ36" s="239">
        <f t="shared" si="1"/>
        <v>3</v>
      </c>
      <c r="FA36" s="497" t="s">
        <v>34561</v>
      </c>
      <c r="FB36" s="497" t="s">
        <v>29298</v>
      </c>
      <c r="FC36" s="497">
        <v>12</v>
      </c>
      <c r="FD36" s="497" t="s">
        <v>2</v>
      </c>
      <c r="FE36" s="497" t="s">
        <v>4</v>
      </c>
      <c r="FF36" s="497" t="s">
        <v>4</v>
      </c>
      <c r="FG36" s="497" t="s">
        <v>2</v>
      </c>
      <c r="FH36" s="497" t="s">
        <v>4</v>
      </c>
      <c r="FI36" s="497" t="s">
        <v>4</v>
      </c>
      <c r="FJ36" s="497" t="s">
        <v>4</v>
      </c>
      <c r="FK36" s="497" t="s">
        <v>4</v>
      </c>
      <c r="FL36" s="497" t="s">
        <v>4</v>
      </c>
      <c r="FM36" s="497" t="s">
        <v>4</v>
      </c>
      <c r="FN36" s="494" t="s">
        <v>4</v>
      </c>
      <c r="FO36" s="497" t="s">
        <v>4</v>
      </c>
      <c r="FP36" s="497" t="s">
        <v>7</v>
      </c>
      <c r="FQ36" s="497" t="s">
        <v>29301</v>
      </c>
      <c r="FR36" s="497" t="s">
        <v>4</v>
      </c>
      <c r="FS36" s="497" t="s">
        <v>7</v>
      </c>
      <c r="FT36" s="497" t="s">
        <v>7</v>
      </c>
      <c r="FU36" s="497" t="s">
        <v>29302</v>
      </c>
      <c r="FV36" s="497" t="s">
        <v>34562</v>
      </c>
      <c r="FW36" s="497" t="s">
        <v>4</v>
      </c>
      <c r="FX36" s="497">
        <v>0</v>
      </c>
      <c r="FY36" s="497" t="s">
        <v>4</v>
      </c>
      <c r="FZ36" s="497" t="s">
        <v>4</v>
      </c>
      <c r="GA36" s="497" t="s">
        <v>4</v>
      </c>
      <c r="GB36" s="497" t="s">
        <v>4</v>
      </c>
      <c r="GC36" s="497" t="s">
        <v>4</v>
      </c>
      <c r="GD36" s="497" t="s">
        <v>4</v>
      </c>
      <c r="GE36" s="497" t="s">
        <v>4</v>
      </c>
      <c r="GF36" s="497" t="s">
        <v>4</v>
      </c>
      <c r="GG36" s="497" t="s">
        <v>4</v>
      </c>
      <c r="GH36" s="497" t="s">
        <v>4</v>
      </c>
      <c r="GI36" s="497" t="s">
        <v>29304</v>
      </c>
      <c r="GJ36" s="497" t="s">
        <v>29305</v>
      </c>
      <c r="GK36" s="497" t="s">
        <v>29306</v>
      </c>
      <c r="GL36" s="497" t="s">
        <v>4</v>
      </c>
      <c r="GM36" s="497" t="s">
        <v>4</v>
      </c>
      <c r="GN36" s="497" t="s">
        <v>4</v>
      </c>
      <c r="GO36" s="497" t="s">
        <v>4</v>
      </c>
      <c r="GP36" s="497" t="s">
        <v>4</v>
      </c>
      <c r="GQ36" s="497" t="s">
        <v>4</v>
      </c>
      <c r="GR36" s="497" t="s">
        <v>4</v>
      </c>
      <c r="GS36" s="497" t="s">
        <v>4</v>
      </c>
      <c r="GT36" s="497" t="s">
        <v>33412</v>
      </c>
      <c r="GU36" s="497" t="s">
        <v>4</v>
      </c>
      <c r="GV36" s="494">
        <v>1000</v>
      </c>
      <c r="GW36" s="497" t="s">
        <v>7</v>
      </c>
      <c r="GX36" s="497" t="s">
        <v>29309</v>
      </c>
      <c r="GY36" s="497" t="s">
        <v>4</v>
      </c>
      <c r="GZ36" s="497" t="s">
        <v>4</v>
      </c>
      <c r="HA36" s="497" t="s">
        <v>4</v>
      </c>
      <c r="HB36" s="497" t="s">
        <v>4</v>
      </c>
      <c r="HC36" s="497" t="s">
        <v>4</v>
      </c>
      <c r="HD36" s="497" t="s">
        <v>4</v>
      </c>
      <c r="HE36" s="497" t="s">
        <v>4</v>
      </c>
      <c r="HF36" s="497" t="s">
        <v>4</v>
      </c>
      <c r="HG36" s="497" t="s">
        <v>2</v>
      </c>
      <c r="HH36" s="497" t="s">
        <v>4</v>
      </c>
      <c r="HI36" s="497" t="s">
        <v>4</v>
      </c>
      <c r="HJ36" s="497" t="s">
        <v>4</v>
      </c>
      <c r="HK36" s="494" t="s">
        <v>4</v>
      </c>
      <c r="HL36" s="497" t="s">
        <v>34563</v>
      </c>
      <c r="HM36" s="497" t="s">
        <v>7</v>
      </c>
      <c r="HN36" s="497" t="s">
        <v>34564</v>
      </c>
      <c r="HO36" s="497" t="s">
        <v>34565</v>
      </c>
      <c r="HP36" s="497" t="s">
        <v>34566</v>
      </c>
      <c r="HQ36" s="497" t="s">
        <v>34567</v>
      </c>
      <c r="HR36" s="497" t="s">
        <v>34568</v>
      </c>
      <c r="HS36" s="497" t="s">
        <v>34569</v>
      </c>
      <c r="HT36" s="500" t="s">
        <v>34185</v>
      </c>
    </row>
    <row r="37" spans="1:228" s="570" customFormat="1" ht="30.2" customHeight="1" x14ac:dyDescent="0.25">
      <c r="A37" s="759"/>
      <c r="B37" s="496">
        <v>123</v>
      </c>
      <c r="C37" s="496" t="s">
        <v>78</v>
      </c>
      <c r="D37" s="497" t="s">
        <v>34741</v>
      </c>
      <c r="E37" s="497" t="s">
        <v>34639</v>
      </c>
      <c r="F37" s="497" t="s">
        <v>7</v>
      </c>
      <c r="G37" s="497" t="s">
        <v>34742</v>
      </c>
      <c r="H37" s="497">
        <v>1435.4</v>
      </c>
      <c r="I37" s="497">
        <v>4.5999999999999996</v>
      </c>
      <c r="J37" s="497" t="s">
        <v>29349</v>
      </c>
      <c r="K37" s="497" t="s">
        <v>4</v>
      </c>
      <c r="L37" s="497" t="s">
        <v>34743</v>
      </c>
      <c r="M37" s="497">
        <v>757532345</v>
      </c>
      <c r="N37" s="497" t="s">
        <v>3</v>
      </c>
      <c r="O37" s="497" t="s">
        <v>31438</v>
      </c>
      <c r="P37" s="497">
        <v>48</v>
      </c>
      <c r="Q37" s="497">
        <v>3</v>
      </c>
      <c r="R37" s="497" t="s">
        <v>7</v>
      </c>
      <c r="S37" s="497" t="s">
        <v>31549</v>
      </c>
      <c r="T37" s="497" t="s">
        <v>4</v>
      </c>
      <c r="U37" s="497" t="s">
        <v>7</v>
      </c>
      <c r="V37" s="497" t="s">
        <v>7</v>
      </c>
      <c r="W37" s="497" t="s">
        <v>4</v>
      </c>
      <c r="X37" s="497" t="s">
        <v>7</v>
      </c>
      <c r="Y37" s="497" t="s">
        <v>4</v>
      </c>
      <c r="Z37" s="497" t="s">
        <v>4</v>
      </c>
      <c r="AA37" s="241" t="str">
        <f>IF(OR(U37="yes",Z37&gt;'SDG outcome'!$C$39),"yes","no")</f>
        <v>yes</v>
      </c>
      <c r="AB37" s="521" t="str">
        <f t="shared" si="0"/>
        <v>NA</v>
      </c>
      <c r="AC37" s="527" t="str">
        <f>IF(AND('SMS p2'!AA135="no",AND(Z37&gt;='SDG outcome'!$B$28,Z37&lt;'SDG outcome'!$C$39)),Z37-'SDG outcome'!$B$28,"")</f>
        <v/>
      </c>
      <c r="AD37" s="497" t="s">
        <v>4</v>
      </c>
      <c r="AE37" s="497" t="s">
        <v>4</v>
      </c>
      <c r="AF37" s="497" t="s">
        <v>4</v>
      </c>
      <c r="AG37" s="497" t="s">
        <v>4</v>
      </c>
      <c r="AH37" s="497" t="s">
        <v>4</v>
      </c>
      <c r="AI37" s="497" t="s">
        <v>4</v>
      </c>
      <c r="AJ37" s="497" t="s">
        <v>4</v>
      </c>
      <c r="AK37" s="497" t="s">
        <v>29290</v>
      </c>
      <c r="AL37" s="497" t="s">
        <v>29694</v>
      </c>
      <c r="AM37" s="497" t="s">
        <v>4</v>
      </c>
      <c r="AN37" s="497" t="s">
        <v>4</v>
      </c>
      <c r="AO37" s="497" t="s">
        <v>31718</v>
      </c>
      <c r="AP37" s="497" t="s">
        <v>4</v>
      </c>
      <c r="AQ37" s="497" t="s">
        <v>31537</v>
      </c>
      <c r="AR37" s="497" t="s">
        <v>4</v>
      </c>
      <c r="AS37" s="497" t="s">
        <v>31538</v>
      </c>
      <c r="AT37" s="497" t="s">
        <v>4</v>
      </c>
      <c r="AU37" s="497" t="s">
        <v>7</v>
      </c>
      <c r="AV37" s="497" t="s">
        <v>4</v>
      </c>
      <c r="AW37" s="497" t="s">
        <v>4</v>
      </c>
      <c r="AX37" s="497" t="s">
        <v>7</v>
      </c>
      <c r="AY37" s="497" t="s">
        <v>11</v>
      </c>
      <c r="AZ37" s="497" t="s">
        <v>4</v>
      </c>
      <c r="BA37" s="497" t="s">
        <v>31563</v>
      </c>
      <c r="BB37" s="497" t="s">
        <v>22</v>
      </c>
      <c r="BC37" s="497" t="s">
        <v>4</v>
      </c>
      <c r="BD37" s="497" t="s">
        <v>14</v>
      </c>
      <c r="BE37" s="497" t="s">
        <v>4</v>
      </c>
      <c r="BF37" s="497" t="s">
        <v>31542</v>
      </c>
      <c r="BG37" s="497" t="s">
        <v>34744</v>
      </c>
      <c r="BH37" s="497" t="s">
        <v>31616</v>
      </c>
      <c r="BI37" s="497">
        <v>5</v>
      </c>
      <c r="BJ37" s="497">
        <v>35</v>
      </c>
      <c r="BK37" s="497" t="s">
        <v>7</v>
      </c>
      <c r="BL37" s="497" t="s">
        <v>6</v>
      </c>
      <c r="BM37" s="497" t="s">
        <v>4</v>
      </c>
      <c r="BN37" s="497" t="s">
        <v>31429</v>
      </c>
      <c r="BO37" s="497">
        <v>3</v>
      </c>
      <c r="BP37" s="497">
        <v>30</v>
      </c>
      <c r="BQ37" s="497" t="s">
        <v>31435</v>
      </c>
      <c r="BR37" s="499" t="s">
        <v>33332</v>
      </c>
      <c r="BS37" s="497" t="s">
        <v>4</v>
      </c>
      <c r="BT37" s="497">
        <v>1</v>
      </c>
      <c r="BU37" s="494" cm="1">
        <f t="array" ref="BU37">_xlfn.IFS(BQ37="Foreword vehicle",BT37*0,BQ37="Human wastes",BT37*0,BS37="Jerrycans",BT37*$BT$4,BQ37="Number of Basins",BT37*$BT$5,BQ37="Number of Buckets",BT37*$BT$6,BQ37="Number of Kgs",BT37*$BT$7,BQ37="Number of spades",BT37*$BT$8,BQ37="Number of wheelbarrows",BT37*$BT$9,BS37="Septic Tank",BT37*0)</f>
        <v>70.5</v>
      </c>
      <c r="BV37" s="494">
        <f>Table15[[#This Row],[Calculation: Conversion of metric to Kg manure feeding (Columns: BP, BQ, BR)]]*Table15[[#This Row],[Number of times used to feed biodigester]]</f>
        <v>211.5</v>
      </c>
      <c r="BW37" s="495" cm="1">
        <f t="array" ref="BW37">_xlfn.IFS(BN37="Number of times per day (1 to 3)",BV37/$BW$3,BN37="Number of times per week (1 to 6)",BV37/$BW$4,BN37="Number of times per Month (1 to 3)",BV37/$BW$5)</f>
        <v>30.214285714285715</v>
      </c>
      <c r="BX37" s="497" t="s">
        <v>22</v>
      </c>
      <c r="BY37" s="497" t="s">
        <v>4</v>
      </c>
      <c r="BZ37" s="497" t="s">
        <v>2</v>
      </c>
      <c r="CA37" s="497" t="s">
        <v>4</v>
      </c>
      <c r="CB37" s="497" t="s">
        <v>4</v>
      </c>
      <c r="CC37" s="497" t="s">
        <v>4</v>
      </c>
      <c r="CD37" s="497" t="s">
        <v>7</v>
      </c>
      <c r="CE37" s="497" t="s">
        <v>34745</v>
      </c>
      <c r="CF37" s="497" t="s">
        <v>4</v>
      </c>
      <c r="CG37" s="497" t="s">
        <v>31604</v>
      </c>
      <c r="CH37" s="497">
        <v>5</v>
      </c>
      <c r="CI37" s="497">
        <v>0</v>
      </c>
      <c r="CJ37" s="497">
        <v>0</v>
      </c>
      <c r="CK37" s="497">
        <v>0</v>
      </c>
      <c r="CL37" s="497">
        <v>0</v>
      </c>
      <c r="CM37" s="497">
        <v>0</v>
      </c>
      <c r="CN37" s="497">
        <v>0</v>
      </c>
      <c r="CO37" s="497">
        <v>0</v>
      </c>
      <c r="CP37" s="497">
        <v>0</v>
      </c>
      <c r="CQ37" s="497">
        <v>0</v>
      </c>
      <c r="CR37" s="497">
        <f>IF(Table15[[#This Row],[Is your biodigester working?]]="yes",CO37/'SDG outcome'!$C$9*CP37*CQ37,"")</f>
        <v>0</v>
      </c>
      <c r="CS37" s="497">
        <v>100</v>
      </c>
      <c r="CT37" s="500">
        <v>0</v>
      </c>
      <c r="CU37" s="496" t="s">
        <v>4</v>
      </c>
      <c r="CV37" s="497" t="s">
        <v>4</v>
      </c>
      <c r="CW37" s="500" t="s">
        <v>4</v>
      </c>
      <c r="CX37" s="496" t="s">
        <v>4</v>
      </c>
      <c r="CY37" s="497" t="s">
        <v>4</v>
      </c>
      <c r="CZ37" s="500" t="s">
        <v>4</v>
      </c>
      <c r="DA37" s="496" t="s">
        <v>4</v>
      </c>
      <c r="DB37" s="497" t="s">
        <v>4</v>
      </c>
      <c r="DC37" s="497" t="s">
        <v>4</v>
      </c>
      <c r="DD37" s="497" t="s">
        <v>4</v>
      </c>
      <c r="DE37" s="497" t="s">
        <v>4</v>
      </c>
      <c r="DF37" s="497" t="s">
        <v>4</v>
      </c>
      <c r="DG37" s="497" t="s">
        <v>4</v>
      </c>
      <c r="DH37" s="497" t="s">
        <v>4</v>
      </c>
      <c r="DI37" s="497" t="s">
        <v>4</v>
      </c>
      <c r="DJ37" s="497" t="s">
        <v>4</v>
      </c>
      <c r="DK37" s="497" t="s">
        <v>4</v>
      </c>
      <c r="DL37" s="497" t="s">
        <v>4</v>
      </c>
      <c r="DM37" s="497" t="s">
        <v>4</v>
      </c>
      <c r="DN37" s="497">
        <v>1</v>
      </c>
      <c r="DO37" s="497" t="s">
        <v>2</v>
      </c>
      <c r="DP37" s="497" t="s">
        <v>29292</v>
      </c>
      <c r="DQ37" s="497" t="s">
        <v>4</v>
      </c>
      <c r="DR37" s="497" t="s">
        <v>29294</v>
      </c>
      <c r="DS37" s="494" t="s">
        <v>4</v>
      </c>
      <c r="DT37" s="497" t="s">
        <v>29294</v>
      </c>
      <c r="DU37" s="494" t="s">
        <v>4</v>
      </c>
      <c r="DV37" s="500" t="s">
        <v>29295</v>
      </c>
      <c r="DW37" s="496">
        <v>100</v>
      </c>
      <c r="DX37" s="497" t="s">
        <v>29296</v>
      </c>
      <c r="DY37" s="497">
        <v>100</v>
      </c>
      <c r="DZ37" s="497" t="s">
        <v>4</v>
      </c>
      <c r="EA37" s="497" t="s">
        <v>4</v>
      </c>
      <c r="EB37" s="497" t="s">
        <v>4</v>
      </c>
      <c r="EC37" s="497" t="s">
        <v>4</v>
      </c>
      <c r="ED37" s="497" t="s">
        <v>4</v>
      </c>
      <c r="EE37" s="497" t="s">
        <v>4</v>
      </c>
      <c r="EF37" s="497" t="s">
        <v>4</v>
      </c>
      <c r="EG37" s="497" t="s">
        <v>4</v>
      </c>
      <c r="EH37" s="497" t="s">
        <v>4</v>
      </c>
      <c r="EI37" s="497" t="s">
        <v>4</v>
      </c>
      <c r="EJ37" s="497" t="s">
        <v>4</v>
      </c>
      <c r="EK37" s="497" t="s">
        <v>4</v>
      </c>
      <c r="EL37" s="497" t="s">
        <v>4</v>
      </c>
      <c r="EM37" s="497" t="s">
        <v>4</v>
      </c>
      <c r="EN37" s="497" t="s">
        <v>4</v>
      </c>
      <c r="EO37" s="497" t="s">
        <v>4</v>
      </c>
      <c r="EP37" s="497" t="s">
        <v>4</v>
      </c>
      <c r="EQ37" s="497" t="s">
        <v>4</v>
      </c>
      <c r="ER37" s="497" t="s">
        <v>4</v>
      </c>
      <c r="ES37" s="497" t="s">
        <v>4</v>
      </c>
      <c r="ET37" s="497" t="s">
        <v>4</v>
      </c>
      <c r="EU37" s="497" t="s">
        <v>4</v>
      </c>
      <c r="EV37" s="497" t="s">
        <v>4</v>
      </c>
      <c r="EW37" s="497">
        <v>20</v>
      </c>
      <c r="EX37" s="497" t="s">
        <v>7</v>
      </c>
      <c r="EY37" s="497">
        <v>15</v>
      </c>
      <c r="EZ37" s="239">
        <f t="shared" si="1"/>
        <v>3</v>
      </c>
      <c r="FA37" s="497" t="s">
        <v>29952</v>
      </c>
      <c r="FB37" s="497" t="s">
        <v>29298</v>
      </c>
      <c r="FC37" s="497">
        <v>24</v>
      </c>
      <c r="FD37" s="497" t="s">
        <v>2</v>
      </c>
      <c r="FE37" s="497" t="s">
        <v>4</v>
      </c>
      <c r="FF37" s="497" t="s">
        <v>4</v>
      </c>
      <c r="FG37" s="497" t="s">
        <v>2</v>
      </c>
      <c r="FH37" s="497" t="s">
        <v>4</v>
      </c>
      <c r="FI37" s="497" t="s">
        <v>4</v>
      </c>
      <c r="FJ37" s="497" t="s">
        <v>4</v>
      </c>
      <c r="FK37" s="497" t="s">
        <v>4</v>
      </c>
      <c r="FL37" s="497" t="s">
        <v>4</v>
      </c>
      <c r="FM37" s="497" t="s">
        <v>4</v>
      </c>
      <c r="FN37" s="494" t="s">
        <v>4</v>
      </c>
      <c r="FO37" s="497" t="s">
        <v>4</v>
      </c>
      <c r="FP37" s="497" t="s">
        <v>2</v>
      </c>
      <c r="FQ37" s="497" t="s">
        <v>4</v>
      </c>
      <c r="FR37" s="497" t="s">
        <v>4</v>
      </c>
      <c r="FS37" s="497" t="s">
        <v>7</v>
      </c>
      <c r="FT37" s="497" t="s">
        <v>7</v>
      </c>
      <c r="FU37" s="497" t="s">
        <v>29302</v>
      </c>
      <c r="FV37" s="497" t="s">
        <v>33473</v>
      </c>
      <c r="FW37" s="497" t="s">
        <v>29304</v>
      </c>
      <c r="FX37" s="497">
        <v>1</v>
      </c>
      <c r="FY37" s="497" t="s">
        <v>29940</v>
      </c>
      <c r="FZ37" s="497" t="s">
        <v>4</v>
      </c>
      <c r="GA37" s="497" t="s">
        <v>29556</v>
      </c>
      <c r="GB37" s="497" t="s">
        <v>4</v>
      </c>
      <c r="GC37" s="497" t="s">
        <v>4</v>
      </c>
      <c r="GD37" s="497" t="s">
        <v>4</v>
      </c>
      <c r="GE37" s="497" t="s">
        <v>4</v>
      </c>
      <c r="GF37" s="497" t="s">
        <v>4</v>
      </c>
      <c r="GG37" s="497" t="s">
        <v>4</v>
      </c>
      <c r="GH37" s="497" t="s">
        <v>4</v>
      </c>
      <c r="GI37" s="497" t="s">
        <v>4</v>
      </c>
      <c r="GJ37" s="497" t="s">
        <v>4</v>
      </c>
      <c r="GK37" s="497" t="s">
        <v>4</v>
      </c>
      <c r="GL37" s="497" t="s">
        <v>4</v>
      </c>
      <c r="GM37" s="497" t="s">
        <v>4</v>
      </c>
      <c r="GN37" s="497" t="s">
        <v>4</v>
      </c>
      <c r="GO37" s="497" t="s">
        <v>4</v>
      </c>
      <c r="GP37" s="497" t="s">
        <v>4</v>
      </c>
      <c r="GQ37" s="497" t="s">
        <v>4</v>
      </c>
      <c r="GR37" s="497" t="s">
        <v>4</v>
      </c>
      <c r="GS37" s="497" t="s">
        <v>4</v>
      </c>
      <c r="GT37" s="497" t="s">
        <v>29410</v>
      </c>
      <c r="GU37" s="497" t="s">
        <v>4</v>
      </c>
      <c r="GV37" s="494">
        <v>20</v>
      </c>
      <c r="GW37" s="497" t="s">
        <v>2</v>
      </c>
      <c r="GX37" s="497" t="s">
        <v>29837</v>
      </c>
      <c r="GY37" s="497" t="s">
        <v>4</v>
      </c>
      <c r="GZ37" s="497" t="s">
        <v>4</v>
      </c>
      <c r="HA37" s="497" t="s">
        <v>4</v>
      </c>
      <c r="HB37" s="497" t="s">
        <v>4</v>
      </c>
      <c r="HC37" s="497" t="s">
        <v>4</v>
      </c>
      <c r="HD37" s="497" t="s">
        <v>4</v>
      </c>
      <c r="HE37" s="497" t="s">
        <v>4</v>
      </c>
      <c r="HF37" s="497" t="s">
        <v>4</v>
      </c>
      <c r="HG37" s="497" t="s">
        <v>2</v>
      </c>
      <c r="HH37" s="497" t="s">
        <v>4</v>
      </c>
      <c r="HI37" s="497" t="s">
        <v>4</v>
      </c>
      <c r="HJ37" s="497" t="s">
        <v>4</v>
      </c>
      <c r="HK37" s="494" t="s">
        <v>4</v>
      </c>
      <c r="HL37" s="497" t="s">
        <v>34746</v>
      </c>
      <c r="HM37" s="497" t="s">
        <v>2</v>
      </c>
      <c r="HN37" s="497" t="s">
        <v>4</v>
      </c>
      <c r="HO37" s="497" t="s">
        <v>34657</v>
      </c>
      <c r="HP37" s="497" t="s">
        <v>34747</v>
      </c>
      <c r="HQ37" s="497" t="s">
        <v>34748</v>
      </c>
      <c r="HR37" s="497" t="s">
        <v>34749</v>
      </c>
      <c r="HS37" s="497" t="s">
        <v>34750</v>
      </c>
      <c r="HT37" s="500" t="s">
        <v>34741</v>
      </c>
    </row>
    <row r="38" spans="1:228" s="570" customFormat="1" ht="30.2" customHeight="1" x14ac:dyDescent="0.25">
      <c r="A38" s="759"/>
      <c r="B38" s="496">
        <v>135</v>
      </c>
      <c r="C38" s="496" t="s">
        <v>7868</v>
      </c>
      <c r="D38" s="497" t="s">
        <v>34877</v>
      </c>
      <c r="E38" s="497" t="s">
        <v>30392</v>
      </c>
      <c r="F38" s="497" t="s">
        <v>7</v>
      </c>
      <c r="G38" s="497" t="s">
        <v>34878</v>
      </c>
      <c r="H38" s="497">
        <v>1167</v>
      </c>
      <c r="I38" s="497">
        <v>4.8</v>
      </c>
      <c r="J38" s="497" t="s">
        <v>29319</v>
      </c>
      <c r="K38" s="497" t="s">
        <v>4</v>
      </c>
      <c r="L38" s="497" t="s">
        <v>7869</v>
      </c>
      <c r="M38" s="497">
        <v>782083066</v>
      </c>
      <c r="N38" s="497" t="s">
        <v>5</v>
      </c>
      <c r="O38" s="497" t="s">
        <v>31598</v>
      </c>
      <c r="P38" s="497" t="s">
        <v>4</v>
      </c>
      <c r="Q38" s="497">
        <v>6</v>
      </c>
      <c r="R38" s="497" t="s">
        <v>7</v>
      </c>
      <c r="S38" s="497" t="s">
        <v>31549</v>
      </c>
      <c r="T38" s="497" t="s">
        <v>4</v>
      </c>
      <c r="U38" s="497" t="s">
        <v>7</v>
      </c>
      <c r="V38" s="497" t="s">
        <v>7</v>
      </c>
      <c r="W38" s="497" t="s">
        <v>4</v>
      </c>
      <c r="X38" s="497" t="s">
        <v>7</v>
      </c>
      <c r="Y38" s="497" t="s">
        <v>4</v>
      </c>
      <c r="Z38" s="497" t="s">
        <v>4</v>
      </c>
      <c r="AA38" s="241" t="str">
        <f>IF(OR(U38="yes",Z38&gt;'SDG outcome'!$C$39),"yes","no")</f>
        <v>yes</v>
      </c>
      <c r="AB38" s="521" t="str">
        <f t="shared" si="0"/>
        <v>NA</v>
      </c>
      <c r="AC38" s="527" t="str">
        <f>IF(AND('SMS p2'!AA147="no",AND(Z38&gt;='SDG outcome'!$B$28,Z38&lt;'SDG outcome'!$C$39)),Z38-'SDG outcome'!$B$28,"")</f>
        <v/>
      </c>
      <c r="AD38" s="497" t="s">
        <v>4</v>
      </c>
      <c r="AE38" s="497" t="s">
        <v>4</v>
      </c>
      <c r="AF38" s="497" t="s">
        <v>4</v>
      </c>
      <c r="AG38" s="497" t="s">
        <v>4</v>
      </c>
      <c r="AH38" s="497" t="s">
        <v>4</v>
      </c>
      <c r="AI38" s="497" t="s">
        <v>4</v>
      </c>
      <c r="AJ38" s="497" t="s">
        <v>4</v>
      </c>
      <c r="AK38" s="497" t="s">
        <v>29290</v>
      </c>
      <c r="AL38" s="497" t="s">
        <v>29291</v>
      </c>
      <c r="AM38" s="497" t="s">
        <v>4</v>
      </c>
      <c r="AN38" s="497" t="s">
        <v>4</v>
      </c>
      <c r="AO38" s="497" t="s">
        <v>31536</v>
      </c>
      <c r="AP38" s="497" t="s">
        <v>4</v>
      </c>
      <c r="AQ38" s="497" t="s">
        <v>31600</v>
      </c>
      <c r="AR38" s="497" t="s">
        <v>4</v>
      </c>
      <c r="AS38" s="497" t="s">
        <v>31538</v>
      </c>
      <c r="AT38" s="497" t="s">
        <v>4</v>
      </c>
      <c r="AU38" s="497" t="s">
        <v>7</v>
      </c>
      <c r="AV38" s="497" t="s">
        <v>4</v>
      </c>
      <c r="AW38" s="497" t="s">
        <v>4</v>
      </c>
      <c r="AX38" s="497" t="s">
        <v>2</v>
      </c>
      <c r="AY38" s="497" t="s">
        <v>4</v>
      </c>
      <c r="AZ38" s="497" t="s">
        <v>4</v>
      </c>
      <c r="BA38" s="497" t="s">
        <v>31619</v>
      </c>
      <c r="BB38" s="497" t="s">
        <v>4</v>
      </c>
      <c r="BC38" s="497" t="s">
        <v>4</v>
      </c>
      <c r="BD38" s="497" t="s">
        <v>4</v>
      </c>
      <c r="BE38" s="497" t="s">
        <v>4</v>
      </c>
      <c r="BF38" s="497" t="s">
        <v>4</v>
      </c>
      <c r="BG38" s="497" t="s">
        <v>4</v>
      </c>
      <c r="BH38" s="497" t="s">
        <v>4</v>
      </c>
      <c r="BI38" s="497" t="s">
        <v>4</v>
      </c>
      <c r="BJ38" s="497" t="s">
        <v>4</v>
      </c>
      <c r="BK38" s="497" t="s">
        <v>7</v>
      </c>
      <c r="BL38" s="497" t="s">
        <v>6</v>
      </c>
      <c r="BM38" s="497" t="s">
        <v>4</v>
      </c>
      <c r="BN38" s="497" t="s">
        <v>31425</v>
      </c>
      <c r="BO38" s="497">
        <v>1</v>
      </c>
      <c r="BP38" s="497">
        <v>30</v>
      </c>
      <c r="BQ38" s="497" t="s">
        <v>31435</v>
      </c>
      <c r="BR38" s="499" t="s">
        <v>33332</v>
      </c>
      <c r="BS38" s="497" t="s">
        <v>4</v>
      </c>
      <c r="BT38" s="497">
        <v>1</v>
      </c>
      <c r="BU38" s="494" cm="1">
        <f t="array" ref="BU38">_xlfn.IFS(BQ38="Foreword vehicle",BT38*0,BQ38="Human wastes",BT38*0,BS38="Jerrycans",BT38*$BT$4,BQ38="Number of Basins",BT38*$BT$5,BQ38="Number of Buckets",BT38*$BT$6,BQ38="Number of Kgs",BT38*$BT$7,BQ38="Number of spades",BT38*$BT$8,BQ38="Number of wheelbarrows",BT38*$BT$9,BS38="Septic Tank",BT38*0)</f>
        <v>70.5</v>
      </c>
      <c r="BV38" s="494">
        <f>Table15[[#This Row],[Calculation: Conversion of metric to Kg manure feeding (Columns: BP, BQ, BR)]]*Table15[[#This Row],[Number of times used to feed biodigester]]</f>
        <v>70.5</v>
      </c>
      <c r="BW38" s="495" cm="1">
        <f t="array" ref="BW38">_xlfn.IFS(BN38="Number of times per day (1 to 3)",BV38/$BW$3,BN38="Number of times per week (1 to 6)",BV38/$BW$4,BN38="Number of times per Month (1 to 3)",BV38/$BW$5)</f>
        <v>70.5</v>
      </c>
      <c r="BX38" s="497" t="s">
        <v>31552</v>
      </c>
      <c r="BY38" s="497" t="s">
        <v>4</v>
      </c>
      <c r="BZ38" s="497" t="s">
        <v>2</v>
      </c>
      <c r="CA38" s="497" t="s">
        <v>4</v>
      </c>
      <c r="CB38" s="497" t="s">
        <v>4</v>
      </c>
      <c r="CC38" s="497" t="s">
        <v>4</v>
      </c>
      <c r="CD38" s="497" t="s">
        <v>7</v>
      </c>
      <c r="CE38" s="497" t="s">
        <v>34879</v>
      </c>
      <c r="CF38" s="497" t="s">
        <v>4</v>
      </c>
      <c r="CG38" s="497" t="s">
        <v>31705</v>
      </c>
      <c r="CH38" s="497">
        <v>0</v>
      </c>
      <c r="CI38" s="497">
        <v>3</v>
      </c>
      <c r="CJ38" s="497">
        <v>0</v>
      </c>
      <c r="CK38" s="497">
        <v>0</v>
      </c>
      <c r="CL38" s="497">
        <v>0</v>
      </c>
      <c r="CM38" s="497">
        <v>0</v>
      </c>
      <c r="CN38" s="497">
        <v>0</v>
      </c>
      <c r="CO38" s="497">
        <v>0</v>
      </c>
      <c r="CP38" s="497">
        <v>0</v>
      </c>
      <c r="CQ38" s="497">
        <v>0</v>
      </c>
      <c r="CR38" s="497">
        <f>IF(Table15[[#This Row],[Is your biodigester working?]]="yes",CO38/'SDG outcome'!$C$9*CP38*CQ38,"")</f>
        <v>0</v>
      </c>
      <c r="CS38" s="497" t="s">
        <v>4</v>
      </c>
      <c r="CT38" s="500" t="s">
        <v>4</v>
      </c>
      <c r="CU38" s="496" t="s">
        <v>4</v>
      </c>
      <c r="CV38" s="497">
        <v>100</v>
      </c>
      <c r="CW38" s="500">
        <v>0</v>
      </c>
      <c r="CX38" s="496" t="s">
        <v>4</v>
      </c>
      <c r="CY38" s="497" t="s">
        <v>4</v>
      </c>
      <c r="CZ38" s="500" t="s">
        <v>4</v>
      </c>
      <c r="DA38" s="496" t="s">
        <v>4</v>
      </c>
      <c r="DB38" s="497" t="s">
        <v>4</v>
      </c>
      <c r="DC38" s="497" t="s">
        <v>4</v>
      </c>
      <c r="DD38" s="497" t="s">
        <v>4</v>
      </c>
      <c r="DE38" s="497" t="s">
        <v>4</v>
      </c>
      <c r="DF38" s="497" t="s">
        <v>4</v>
      </c>
      <c r="DG38" s="497" t="s">
        <v>4</v>
      </c>
      <c r="DH38" s="497" t="s">
        <v>4</v>
      </c>
      <c r="DI38" s="497" t="s">
        <v>4</v>
      </c>
      <c r="DJ38" s="497" t="s">
        <v>4</v>
      </c>
      <c r="DK38" s="497" t="s">
        <v>4</v>
      </c>
      <c r="DL38" s="497" t="s">
        <v>4</v>
      </c>
      <c r="DM38" s="497" t="s">
        <v>4</v>
      </c>
      <c r="DN38" s="497">
        <v>3</v>
      </c>
      <c r="DO38" s="497" t="s">
        <v>7</v>
      </c>
      <c r="DP38" s="497" t="s">
        <v>29292</v>
      </c>
      <c r="DQ38" s="497" t="s">
        <v>4</v>
      </c>
      <c r="DR38" s="497" t="s">
        <v>29293</v>
      </c>
      <c r="DS38" s="494">
        <v>10000</v>
      </c>
      <c r="DT38" s="497" t="s">
        <v>29293</v>
      </c>
      <c r="DU38" s="494">
        <v>50000</v>
      </c>
      <c r="DV38" s="500" t="s">
        <v>29295</v>
      </c>
      <c r="DW38" s="496">
        <v>100</v>
      </c>
      <c r="DX38" s="497" t="s">
        <v>29296</v>
      </c>
      <c r="DY38" s="497">
        <v>100</v>
      </c>
      <c r="DZ38" s="497" t="s">
        <v>4</v>
      </c>
      <c r="EA38" s="497" t="s">
        <v>4</v>
      </c>
      <c r="EB38" s="497" t="s">
        <v>4</v>
      </c>
      <c r="EC38" s="497" t="s">
        <v>4</v>
      </c>
      <c r="ED38" s="497" t="s">
        <v>4</v>
      </c>
      <c r="EE38" s="497" t="s">
        <v>4</v>
      </c>
      <c r="EF38" s="497" t="s">
        <v>4</v>
      </c>
      <c r="EG38" s="497" t="s">
        <v>4</v>
      </c>
      <c r="EH38" s="497" t="s">
        <v>4</v>
      </c>
      <c r="EI38" s="497" t="s">
        <v>4</v>
      </c>
      <c r="EJ38" s="497" t="s">
        <v>4</v>
      </c>
      <c r="EK38" s="497" t="s">
        <v>4</v>
      </c>
      <c r="EL38" s="497" t="s">
        <v>4</v>
      </c>
      <c r="EM38" s="497" t="s">
        <v>4</v>
      </c>
      <c r="EN38" s="497" t="s">
        <v>4</v>
      </c>
      <c r="EO38" s="497" t="s">
        <v>4</v>
      </c>
      <c r="EP38" s="497" t="s">
        <v>4</v>
      </c>
      <c r="EQ38" s="497" t="s">
        <v>4</v>
      </c>
      <c r="ER38" s="497" t="s">
        <v>4</v>
      </c>
      <c r="ES38" s="497" t="s">
        <v>4</v>
      </c>
      <c r="ET38" s="497" t="s">
        <v>4</v>
      </c>
      <c r="EU38" s="497" t="s">
        <v>4</v>
      </c>
      <c r="EV38" s="497" t="s">
        <v>4</v>
      </c>
      <c r="EW38" s="497">
        <v>5</v>
      </c>
      <c r="EX38" s="497" t="s">
        <v>7</v>
      </c>
      <c r="EY38" s="497">
        <v>50</v>
      </c>
      <c r="EZ38" s="239">
        <f t="shared" si="1"/>
        <v>2.5</v>
      </c>
      <c r="FA38" s="497" t="s">
        <v>29952</v>
      </c>
      <c r="FB38" s="497" t="s">
        <v>29298</v>
      </c>
      <c r="FC38" s="497">
        <v>60</v>
      </c>
      <c r="FD38" s="497" t="s">
        <v>2</v>
      </c>
      <c r="FE38" s="497" t="s">
        <v>4</v>
      </c>
      <c r="FF38" s="497" t="s">
        <v>4</v>
      </c>
      <c r="FG38" s="497" t="s">
        <v>2</v>
      </c>
      <c r="FH38" s="497" t="s">
        <v>4</v>
      </c>
      <c r="FI38" s="497" t="s">
        <v>4</v>
      </c>
      <c r="FJ38" s="497" t="s">
        <v>4</v>
      </c>
      <c r="FK38" s="497" t="s">
        <v>4</v>
      </c>
      <c r="FL38" s="497" t="s">
        <v>4</v>
      </c>
      <c r="FM38" s="497" t="s">
        <v>4</v>
      </c>
      <c r="FN38" s="494" t="s">
        <v>4</v>
      </c>
      <c r="FO38" s="497" t="s">
        <v>4</v>
      </c>
      <c r="FP38" s="497" t="s">
        <v>7</v>
      </c>
      <c r="FQ38" s="497" t="s">
        <v>29301</v>
      </c>
      <c r="FR38" s="497" t="s">
        <v>4</v>
      </c>
      <c r="FS38" s="497" t="s">
        <v>7</v>
      </c>
      <c r="FT38" s="497" t="s">
        <v>7</v>
      </c>
      <c r="FU38" s="497" t="s">
        <v>29302</v>
      </c>
      <c r="FV38" s="497" t="s">
        <v>34880</v>
      </c>
      <c r="FW38" s="497" t="s">
        <v>4</v>
      </c>
      <c r="FX38" s="497">
        <v>0</v>
      </c>
      <c r="FY38" s="497" t="s">
        <v>4</v>
      </c>
      <c r="FZ38" s="497" t="s">
        <v>4</v>
      </c>
      <c r="GA38" s="497" t="s">
        <v>4</v>
      </c>
      <c r="GB38" s="497" t="s">
        <v>4</v>
      </c>
      <c r="GC38" s="497" t="s">
        <v>4</v>
      </c>
      <c r="GD38" s="497" t="s">
        <v>4</v>
      </c>
      <c r="GE38" s="497" t="s">
        <v>4</v>
      </c>
      <c r="GF38" s="497" t="s">
        <v>4</v>
      </c>
      <c r="GG38" s="497" t="s">
        <v>4</v>
      </c>
      <c r="GH38" s="497" t="s">
        <v>4</v>
      </c>
      <c r="GI38" s="497" t="s">
        <v>29433</v>
      </c>
      <c r="GJ38" s="497" t="s">
        <v>4</v>
      </c>
      <c r="GK38" s="497" t="s">
        <v>4</v>
      </c>
      <c r="GL38" s="497" t="s">
        <v>4</v>
      </c>
      <c r="GM38" s="497" t="s">
        <v>4</v>
      </c>
      <c r="GN38" s="497" t="s">
        <v>4</v>
      </c>
      <c r="GO38" s="497" t="s">
        <v>4</v>
      </c>
      <c r="GP38" s="497" t="s">
        <v>4</v>
      </c>
      <c r="GQ38" s="497" t="s">
        <v>4</v>
      </c>
      <c r="GR38" s="520" t="s">
        <v>29353</v>
      </c>
      <c r="GS38" s="497" t="s">
        <v>4</v>
      </c>
      <c r="GT38" s="497" t="s">
        <v>34881</v>
      </c>
      <c r="GU38" s="497" t="s">
        <v>4</v>
      </c>
      <c r="GV38" s="494">
        <v>5</v>
      </c>
      <c r="GW38" s="497" t="s">
        <v>2</v>
      </c>
      <c r="GX38" s="497" t="s">
        <v>29309</v>
      </c>
      <c r="GY38" s="497" t="s">
        <v>4</v>
      </c>
      <c r="GZ38" s="497" t="s">
        <v>4</v>
      </c>
      <c r="HA38" s="497" t="s">
        <v>4</v>
      </c>
      <c r="HB38" s="497" t="s">
        <v>4</v>
      </c>
      <c r="HC38" s="497" t="s">
        <v>4</v>
      </c>
      <c r="HD38" s="497" t="s">
        <v>4</v>
      </c>
      <c r="HE38" s="497" t="s">
        <v>4</v>
      </c>
      <c r="HF38" s="497" t="s">
        <v>4</v>
      </c>
      <c r="HG38" s="497" t="s">
        <v>2</v>
      </c>
      <c r="HH38" s="497" t="s">
        <v>4</v>
      </c>
      <c r="HI38" s="497" t="s">
        <v>4</v>
      </c>
      <c r="HJ38" s="497" t="s">
        <v>4</v>
      </c>
      <c r="HK38" s="494" t="s">
        <v>4</v>
      </c>
      <c r="HL38" s="497" t="s">
        <v>34882</v>
      </c>
      <c r="HM38" s="497" t="s">
        <v>7</v>
      </c>
      <c r="HN38" s="497" t="s">
        <v>34883</v>
      </c>
      <c r="HO38" s="497" t="s">
        <v>34884</v>
      </c>
      <c r="HP38" s="497" t="s">
        <v>34885</v>
      </c>
      <c r="HQ38" s="497" t="s">
        <v>34886</v>
      </c>
      <c r="HR38" s="497" t="s">
        <v>34887</v>
      </c>
      <c r="HS38" s="497" t="s">
        <v>16</v>
      </c>
      <c r="HT38" s="500" t="s">
        <v>34877</v>
      </c>
    </row>
    <row r="39" spans="1:228" s="570" customFormat="1" ht="30.2" customHeight="1" x14ac:dyDescent="0.25">
      <c r="A39" s="759"/>
      <c r="B39" s="496">
        <v>80</v>
      </c>
      <c r="C39" s="496" t="s">
        <v>9218</v>
      </c>
      <c r="D39" s="497" t="s">
        <v>34278</v>
      </c>
      <c r="E39" s="497" t="s">
        <v>30002</v>
      </c>
      <c r="F39" s="497" t="s">
        <v>7</v>
      </c>
      <c r="G39" s="497" t="s">
        <v>34279</v>
      </c>
      <c r="H39" s="497">
        <v>1111.8</v>
      </c>
      <c r="I39" s="497">
        <v>3.3</v>
      </c>
      <c r="J39" s="497" t="s">
        <v>29288</v>
      </c>
      <c r="K39" s="497" t="s">
        <v>4</v>
      </c>
      <c r="L39" s="497" t="s">
        <v>34280</v>
      </c>
      <c r="M39" s="497">
        <v>788288874</v>
      </c>
      <c r="N39" s="497" t="s">
        <v>3</v>
      </c>
      <c r="O39" s="497" t="s">
        <v>31438</v>
      </c>
      <c r="P39" s="497">
        <v>55</v>
      </c>
      <c r="Q39" s="497">
        <v>5</v>
      </c>
      <c r="R39" s="497" t="s">
        <v>7</v>
      </c>
      <c r="S39" s="497" t="s">
        <v>31588</v>
      </c>
      <c r="T39" s="497" t="s">
        <v>4</v>
      </c>
      <c r="U39" s="497" t="s">
        <v>7</v>
      </c>
      <c r="V39" s="497" t="s">
        <v>7</v>
      </c>
      <c r="W39" s="497" t="s">
        <v>4</v>
      </c>
      <c r="X39" s="497" t="s">
        <v>7</v>
      </c>
      <c r="Y39" s="497" t="s">
        <v>4</v>
      </c>
      <c r="Z39" s="497" t="s">
        <v>4</v>
      </c>
      <c r="AA39" s="241" t="str">
        <f>IF(OR(U39="yes",Z39&gt;'SDG outcome'!$C$39),"yes","no")</f>
        <v>yes</v>
      </c>
      <c r="AB39" s="521" t="str">
        <f t="shared" si="0"/>
        <v>NA</v>
      </c>
      <c r="AC39" s="527" t="str">
        <f>IF(AND('SMS p2'!AA92="no",AND(Z39&gt;='SDG outcome'!$B$28,Z39&lt;'SDG outcome'!$C$39)),Z39-'SDG outcome'!$B$28,"")</f>
        <v/>
      </c>
      <c r="AD39" s="497" t="s">
        <v>4</v>
      </c>
      <c r="AE39" s="497" t="s">
        <v>4</v>
      </c>
      <c r="AF39" s="497" t="s">
        <v>4</v>
      </c>
      <c r="AG39" s="497" t="s">
        <v>4</v>
      </c>
      <c r="AH39" s="497" t="s">
        <v>4</v>
      </c>
      <c r="AI39" s="497" t="s">
        <v>4</v>
      </c>
      <c r="AJ39" s="497" t="s">
        <v>4</v>
      </c>
      <c r="AK39" s="497" t="s">
        <v>29290</v>
      </c>
      <c r="AL39" s="497" t="s">
        <v>29291</v>
      </c>
      <c r="AM39" s="497" t="s">
        <v>4</v>
      </c>
      <c r="AN39" s="497" t="s">
        <v>4</v>
      </c>
      <c r="AO39" s="497" t="s">
        <v>31718</v>
      </c>
      <c r="AP39" s="497" t="s">
        <v>4</v>
      </c>
      <c r="AQ39" s="497" t="s">
        <v>31537</v>
      </c>
      <c r="AR39" s="497" t="s">
        <v>4</v>
      </c>
      <c r="AS39" s="497" t="s">
        <v>31538</v>
      </c>
      <c r="AT39" s="497" t="s">
        <v>4</v>
      </c>
      <c r="AU39" s="497" t="s">
        <v>7</v>
      </c>
      <c r="AV39" s="497" t="s">
        <v>4</v>
      </c>
      <c r="AW39" s="497" t="s">
        <v>4</v>
      </c>
      <c r="AX39" s="497" t="s">
        <v>2</v>
      </c>
      <c r="AY39" s="497" t="s">
        <v>4</v>
      </c>
      <c r="AZ39" s="497" t="s">
        <v>4</v>
      </c>
      <c r="BA39" s="497" t="s">
        <v>31563</v>
      </c>
      <c r="BB39" s="497" t="s">
        <v>22</v>
      </c>
      <c r="BC39" s="497" t="s">
        <v>4</v>
      </c>
      <c r="BD39" s="497" t="s">
        <v>31564</v>
      </c>
      <c r="BE39" s="497" t="s">
        <v>4</v>
      </c>
      <c r="BF39" s="497" t="s">
        <v>31542</v>
      </c>
      <c r="BG39" s="497" t="s">
        <v>34281</v>
      </c>
      <c r="BH39" s="497" t="s">
        <v>31566</v>
      </c>
      <c r="BI39" s="497">
        <v>1</v>
      </c>
      <c r="BJ39" s="497">
        <v>60</v>
      </c>
      <c r="BK39" s="497" t="s">
        <v>7</v>
      </c>
      <c r="BL39" s="497" t="s">
        <v>6</v>
      </c>
      <c r="BM39" s="497" t="s">
        <v>4</v>
      </c>
      <c r="BN39" s="497" t="s">
        <v>31425</v>
      </c>
      <c r="BO39" s="497">
        <v>2</v>
      </c>
      <c r="BP39" s="497">
        <v>45</v>
      </c>
      <c r="BQ39" s="497" t="s">
        <v>31426</v>
      </c>
      <c r="BR39" s="499" t="s">
        <v>33361</v>
      </c>
      <c r="BS39" s="497" t="s">
        <v>4</v>
      </c>
      <c r="BT39" s="497">
        <v>3</v>
      </c>
      <c r="BU39" s="494" cm="1">
        <f t="array" ref="BU39">_xlfn.IFS(BQ39="Foreword vehicle",BT39*0,BQ39="Human wastes",BT39*0,BS39="Jerrycans",BT39*$BT$4,BQ39="Number of Basins",BT39*$BT$5,BQ39="Number of Buckets",BT39*$BS$6,BQ39="Number of Kgs",BT39*$BT$7,BQ39="Number of spades",BT39*$BT$8,BQ39="Number of wheelbarrows",BT39*$BT$9,BS39="Septic Tank",BT39*0)</f>
        <v>70.5</v>
      </c>
      <c r="BV39" s="494">
        <f>Table15[[#This Row],[Calculation: Conversion of metric to Kg manure feeding (Columns: BP, BQ, BR)]]*Table15[[#This Row],[Number of times used to feed biodigester]]</f>
        <v>141</v>
      </c>
      <c r="BW39" s="495" cm="1">
        <f t="array" ref="BW39">_xlfn.IFS(BN39="Number of times per day (1 to 3)",BV39/$BW$3,BN39="Number of times per week (1 to 6)",BV39/$BW$4,BN39="Number of times per Month (1 to 3)",BV39/$BW$5)</f>
        <v>141</v>
      </c>
      <c r="BX39" s="497" t="s">
        <v>22</v>
      </c>
      <c r="BY39" s="497" t="s">
        <v>4</v>
      </c>
      <c r="BZ39" s="497" t="s">
        <v>2</v>
      </c>
      <c r="CA39" s="497" t="s">
        <v>4</v>
      </c>
      <c r="CB39" s="497" t="s">
        <v>4</v>
      </c>
      <c r="CC39" s="497" t="s">
        <v>4</v>
      </c>
      <c r="CD39" s="497" t="s">
        <v>7</v>
      </c>
      <c r="CE39" s="497" t="s">
        <v>34282</v>
      </c>
      <c r="CF39" s="497" t="s">
        <v>4</v>
      </c>
      <c r="CG39" s="497" t="s">
        <v>31747</v>
      </c>
      <c r="CH39" s="497">
        <v>24</v>
      </c>
      <c r="CI39" s="497">
        <v>0</v>
      </c>
      <c r="CJ39" s="497">
        <v>70</v>
      </c>
      <c r="CK39" s="497">
        <v>0</v>
      </c>
      <c r="CL39" s="497">
        <v>0</v>
      </c>
      <c r="CM39" s="497">
        <v>0</v>
      </c>
      <c r="CN39" s="497">
        <v>0</v>
      </c>
      <c r="CO39" s="497">
        <v>0</v>
      </c>
      <c r="CP39" s="497">
        <v>0</v>
      </c>
      <c r="CQ39" s="497">
        <v>0</v>
      </c>
      <c r="CR39" s="497">
        <f>IF(Table15[[#This Row],[Is your biodigester working?]]="yes",CO39/'SDG outcome'!$C$9*CP39*CQ39,"")</f>
        <v>0</v>
      </c>
      <c r="CS39" s="497">
        <v>30</v>
      </c>
      <c r="CT39" s="500">
        <v>70</v>
      </c>
      <c r="CU39" s="496" t="s">
        <v>33850</v>
      </c>
      <c r="CV39" s="497" t="s">
        <v>4</v>
      </c>
      <c r="CW39" s="500" t="s">
        <v>4</v>
      </c>
      <c r="CX39" s="496" t="s">
        <v>4</v>
      </c>
      <c r="CY39" s="497" t="s">
        <v>4</v>
      </c>
      <c r="CZ39" s="500" t="s">
        <v>4</v>
      </c>
      <c r="DA39" s="496" t="s">
        <v>4</v>
      </c>
      <c r="DB39" s="497">
        <v>0</v>
      </c>
      <c r="DC39" s="497">
        <v>100</v>
      </c>
      <c r="DD39" s="497" t="s">
        <v>34283</v>
      </c>
      <c r="DE39" s="497" t="s">
        <v>4</v>
      </c>
      <c r="DF39" s="497" t="s">
        <v>4</v>
      </c>
      <c r="DG39" s="497" t="s">
        <v>4</v>
      </c>
      <c r="DH39" s="497" t="s">
        <v>4</v>
      </c>
      <c r="DI39" s="497" t="s">
        <v>4</v>
      </c>
      <c r="DJ39" s="497" t="s">
        <v>4</v>
      </c>
      <c r="DK39" s="497" t="s">
        <v>4</v>
      </c>
      <c r="DL39" s="497" t="s">
        <v>4</v>
      </c>
      <c r="DM39" s="497" t="s">
        <v>4</v>
      </c>
      <c r="DN39" s="497">
        <v>4</v>
      </c>
      <c r="DO39" s="497" t="s">
        <v>2</v>
      </c>
      <c r="DP39" s="497" t="s">
        <v>29292</v>
      </c>
      <c r="DQ39" s="497" t="s">
        <v>4</v>
      </c>
      <c r="DR39" s="497" t="s">
        <v>29294</v>
      </c>
      <c r="DS39" s="494" t="s">
        <v>4</v>
      </c>
      <c r="DT39" s="497" t="s">
        <v>29294</v>
      </c>
      <c r="DU39" s="494" t="s">
        <v>4</v>
      </c>
      <c r="DV39" s="500" t="s">
        <v>29295</v>
      </c>
      <c r="DW39" s="496">
        <v>100</v>
      </c>
      <c r="DX39" s="497" t="s">
        <v>29296</v>
      </c>
      <c r="DY39" s="497">
        <v>100</v>
      </c>
      <c r="DZ39" s="497" t="s">
        <v>4</v>
      </c>
      <c r="EA39" s="497" t="s">
        <v>4</v>
      </c>
      <c r="EB39" s="497" t="s">
        <v>4</v>
      </c>
      <c r="EC39" s="497" t="s">
        <v>4</v>
      </c>
      <c r="ED39" s="497" t="s">
        <v>4</v>
      </c>
      <c r="EE39" s="497" t="s">
        <v>4</v>
      </c>
      <c r="EF39" s="497" t="s">
        <v>4</v>
      </c>
      <c r="EG39" s="497" t="s">
        <v>4</v>
      </c>
      <c r="EH39" s="497" t="s">
        <v>4</v>
      </c>
      <c r="EI39" s="497" t="s">
        <v>4</v>
      </c>
      <c r="EJ39" s="497" t="s">
        <v>4</v>
      </c>
      <c r="EK39" s="497" t="s">
        <v>4</v>
      </c>
      <c r="EL39" s="497" t="s">
        <v>4</v>
      </c>
      <c r="EM39" s="497" t="s">
        <v>4</v>
      </c>
      <c r="EN39" s="497" t="s">
        <v>4</v>
      </c>
      <c r="EO39" s="497" t="s">
        <v>4</v>
      </c>
      <c r="EP39" s="497" t="s">
        <v>4</v>
      </c>
      <c r="EQ39" s="497" t="s">
        <v>4</v>
      </c>
      <c r="ER39" s="497" t="s">
        <v>4</v>
      </c>
      <c r="ES39" s="497" t="s">
        <v>4</v>
      </c>
      <c r="ET39" s="497" t="s">
        <v>4</v>
      </c>
      <c r="EU39" s="497" t="s">
        <v>4</v>
      </c>
      <c r="EV39" s="497" t="s">
        <v>4</v>
      </c>
      <c r="EW39" s="497">
        <v>12.140833670578711</v>
      </c>
      <c r="EX39" s="497" t="s">
        <v>7</v>
      </c>
      <c r="EY39" s="497">
        <v>20</v>
      </c>
      <c r="EZ39" s="239">
        <f t="shared" si="1"/>
        <v>2.4281667341157425</v>
      </c>
      <c r="FA39" s="497" t="s">
        <v>34284</v>
      </c>
      <c r="FB39" s="497" t="s">
        <v>29298</v>
      </c>
      <c r="FC39" s="497">
        <v>124</v>
      </c>
      <c r="FD39" s="497" t="s">
        <v>7</v>
      </c>
      <c r="FE39" s="497" t="s">
        <v>29299</v>
      </c>
      <c r="FF39" s="497" t="s">
        <v>4</v>
      </c>
      <c r="FG39" s="497" t="s">
        <v>7</v>
      </c>
      <c r="FH39" s="497" t="s">
        <v>29393</v>
      </c>
      <c r="FI39" s="497" t="s">
        <v>4</v>
      </c>
      <c r="FJ39" s="497" t="s">
        <v>29300</v>
      </c>
      <c r="FK39" s="497" t="s">
        <v>4</v>
      </c>
      <c r="FL39" s="497" t="s">
        <v>4</v>
      </c>
      <c r="FM39" s="497" t="s">
        <v>4</v>
      </c>
      <c r="FN39" s="494" t="s">
        <v>4</v>
      </c>
      <c r="FO39" s="497" t="s">
        <v>4</v>
      </c>
      <c r="FP39" s="497" t="s">
        <v>2</v>
      </c>
      <c r="FQ39" s="497" t="s">
        <v>4</v>
      </c>
      <c r="FR39" s="497" t="s">
        <v>4</v>
      </c>
      <c r="FS39" s="497" t="s">
        <v>7</v>
      </c>
      <c r="FT39" s="497" t="s">
        <v>7</v>
      </c>
      <c r="FU39" s="497" t="s">
        <v>29302</v>
      </c>
      <c r="FV39" s="497" t="s">
        <v>33553</v>
      </c>
      <c r="FW39" s="497" t="s">
        <v>29304</v>
      </c>
      <c r="FX39" s="497">
        <v>4</v>
      </c>
      <c r="FY39" s="497" t="s">
        <v>29305</v>
      </c>
      <c r="FZ39" s="497" t="s">
        <v>29306</v>
      </c>
      <c r="GA39" s="497" t="s">
        <v>4</v>
      </c>
      <c r="GB39" s="497" t="s">
        <v>4</v>
      </c>
      <c r="GC39" s="497" t="s">
        <v>4</v>
      </c>
      <c r="GD39" s="497" t="s">
        <v>4</v>
      </c>
      <c r="GE39" s="497" t="s">
        <v>4</v>
      </c>
      <c r="GF39" s="497" t="s">
        <v>4</v>
      </c>
      <c r="GG39" s="497" t="s">
        <v>4</v>
      </c>
      <c r="GH39" s="497" t="s">
        <v>4</v>
      </c>
      <c r="GI39" s="497" t="s">
        <v>4</v>
      </c>
      <c r="GJ39" s="497" t="s">
        <v>4</v>
      </c>
      <c r="GK39" s="497" t="s">
        <v>4</v>
      </c>
      <c r="GL39" s="497" t="s">
        <v>4</v>
      </c>
      <c r="GM39" s="497" t="s">
        <v>4</v>
      </c>
      <c r="GN39" s="497" t="s">
        <v>4</v>
      </c>
      <c r="GO39" s="497" t="s">
        <v>4</v>
      </c>
      <c r="GP39" s="497" t="s">
        <v>4</v>
      </c>
      <c r="GQ39" s="497" t="s">
        <v>4</v>
      </c>
      <c r="GR39" s="497" t="s">
        <v>4</v>
      </c>
      <c r="GS39" s="497" t="s">
        <v>4</v>
      </c>
      <c r="GT39" s="497" t="s">
        <v>29452</v>
      </c>
      <c r="GU39" s="497" t="s">
        <v>4</v>
      </c>
      <c r="GV39" s="494">
        <v>5</v>
      </c>
      <c r="GW39" s="497" t="s">
        <v>7</v>
      </c>
      <c r="GX39" s="497" t="s">
        <v>29309</v>
      </c>
      <c r="GY39" s="497" t="s">
        <v>4</v>
      </c>
      <c r="GZ39" s="497" t="s">
        <v>4</v>
      </c>
      <c r="HA39" s="497" t="s">
        <v>4</v>
      </c>
      <c r="HB39" s="497" t="s">
        <v>4</v>
      </c>
      <c r="HC39" s="497" t="s">
        <v>4</v>
      </c>
      <c r="HD39" s="497" t="s">
        <v>4</v>
      </c>
      <c r="HE39" s="497" t="s">
        <v>4</v>
      </c>
      <c r="HF39" s="497" t="s">
        <v>4</v>
      </c>
      <c r="HG39" s="497" t="s">
        <v>2</v>
      </c>
      <c r="HH39" s="497" t="s">
        <v>4</v>
      </c>
      <c r="HI39" s="497" t="s">
        <v>4</v>
      </c>
      <c r="HJ39" s="497" t="s">
        <v>4</v>
      </c>
      <c r="HK39" s="494" t="s">
        <v>4</v>
      </c>
      <c r="HL39" s="497" t="s">
        <v>34285</v>
      </c>
      <c r="HM39" s="497" t="s">
        <v>7</v>
      </c>
      <c r="HN39" s="497" t="s">
        <v>34286</v>
      </c>
      <c r="HO39" s="497" t="s">
        <v>34287</v>
      </c>
      <c r="HP39" s="497" t="s">
        <v>34288</v>
      </c>
      <c r="HQ39" s="497" t="s">
        <v>34289</v>
      </c>
      <c r="HR39" s="497" t="s">
        <v>34290</v>
      </c>
      <c r="HS39" s="497" t="s">
        <v>34291</v>
      </c>
      <c r="HT39" s="500" t="s">
        <v>34278</v>
      </c>
    </row>
    <row r="40" spans="1:228" s="570" customFormat="1" ht="30.2" customHeight="1" x14ac:dyDescent="0.25">
      <c r="A40" s="759"/>
      <c r="B40" s="496">
        <v>96</v>
      </c>
      <c r="C40" s="517" t="s">
        <v>25539</v>
      </c>
      <c r="D40" s="501" t="s">
        <v>34437</v>
      </c>
      <c r="E40" s="501" t="s">
        <v>70</v>
      </c>
      <c r="F40" s="501" t="s">
        <v>7</v>
      </c>
      <c r="G40" s="501" t="s">
        <v>34438</v>
      </c>
      <c r="H40" s="501">
        <v>1409.4</v>
      </c>
      <c r="I40" s="501">
        <v>2.9</v>
      </c>
      <c r="J40" s="501" t="s">
        <v>30200</v>
      </c>
      <c r="K40" s="501" t="s">
        <v>4</v>
      </c>
      <c r="L40" s="501" t="s">
        <v>34439</v>
      </c>
      <c r="M40" s="501">
        <v>774277192</v>
      </c>
      <c r="N40" s="501" t="s">
        <v>5</v>
      </c>
      <c r="O40" s="501" t="s">
        <v>31438</v>
      </c>
      <c r="P40" s="501">
        <v>37</v>
      </c>
      <c r="Q40" s="501">
        <v>8</v>
      </c>
      <c r="R40" s="501" t="s">
        <v>7</v>
      </c>
      <c r="S40" s="501" t="s">
        <v>31549</v>
      </c>
      <c r="T40" s="501" t="s">
        <v>4</v>
      </c>
      <c r="U40" s="501" t="s">
        <v>7</v>
      </c>
      <c r="V40" s="501" t="s">
        <v>7</v>
      </c>
      <c r="W40" s="501" t="s">
        <v>4</v>
      </c>
      <c r="X40" s="501" t="s">
        <v>7</v>
      </c>
      <c r="Y40" s="501" t="s">
        <v>4</v>
      </c>
      <c r="Z40" s="501" t="s">
        <v>4</v>
      </c>
      <c r="AA40" s="241" t="str">
        <f>IF(OR(U40="yes",Z40&gt;'SDG outcome'!$C$39),"yes","no")</f>
        <v>yes</v>
      </c>
      <c r="AB40" s="522" t="str">
        <f t="shared" si="0"/>
        <v>NA</v>
      </c>
      <c r="AC40" s="528" t="str">
        <f>IF(AND('SMS p2'!AA108="no",AND(Z40&gt;='SDG outcome'!$B$28,Z40&lt;'SDG outcome'!$C$39)),Z40-'SDG outcome'!$B$28,"")</f>
        <v/>
      </c>
      <c r="AD40" s="501" t="s">
        <v>4</v>
      </c>
      <c r="AE40" s="501" t="s">
        <v>4</v>
      </c>
      <c r="AF40" s="501" t="s">
        <v>4</v>
      </c>
      <c r="AG40" s="501" t="s">
        <v>4</v>
      </c>
      <c r="AH40" s="501" t="s">
        <v>4</v>
      </c>
      <c r="AI40" s="501" t="s">
        <v>4</v>
      </c>
      <c r="AJ40" s="501" t="s">
        <v>4</v>
      </c>
      <c r="AK40" s="501" t="s">
        <v>29290</v>
      </c>
      <c r="AL40" s="501" t="s">
        <v>29694</v>
      </c>
      <c r="AM40" s="501" t="s">
        <v>4</v>
      </c>
      <c r="AN40" s="501" t="s">
        <v>4</v>
      </c>
      <c r="AO40" s="501" t="s">
        <v>31536</v>
      </c>
      <c r="AP40" s="501" t="s">
        <v>4</v>
      </c>
      <c r="AQ40" s="501" t="s">
        <v>31600</v>
      </c>
      <c r="AR40" s="501" t="s">
        <v>4</v>
      </c>
      <c r="AS40" s="501" t="s">
        <v>31538</v>
      </c>
      <c r="AT40" s="501" t="s">
        <v>4</v>
      </c>
      <c r="AU40" s="501" t="s">
        <v>7</v>
      </c>
      <c r="AV40" s="501" t="s">
        <v>4</v>
      </c>
      <c r="AW40" s="501" t="s">
        <v>4</v>
      </c>
      <c r="AX40" s="501" t="s">
        <v>7</v>
      </c>
      <c r="AY40" s="501" t="s">
        <v>6</v>
      </c>
      <c r="AZ40" s="501" t="s">
        <v>4</v>
      </c>
      <c r="BA40" s="501" t="s">
        <v>31563</v>
      </c>
      <c r="BB40" s="501" t="s">
        <v>22</v>
      </c>
      <c r="BC40" s="501" t="s">
        <v>4</v>
      </c>
      <c r="BD40" s="501" t="s">
        <v>31564</v>
      </c>
      <c r="BE40" s="501" t="s">
        <v>4</v>
      </c>
      <c r="BF40" s="501" t="s">
        <v>31542</v>
      </c>
      <c r="BG40" s="501" t="s">
        <v>34440</v>
      </c>
      <c r="BH40" s="501" t="s">
        <v>31544</v>
      </c>
      <c r="BI40" s="501">
        <v>3</v>
      </c>
      <c r="BJ40" s="501">
        <v>250</v>
      </c>
      <c r="BK40" s="501" t="s">
        <v>7</v>
      </c>
      <c r="BL40" s="501" t="s">
        <v>6</v>
      </c>
      <c r="BM40" s="497" t="s">
        <v>4</v>
      </c>
      <c r="BN40" s="501" t="s">
        <v>31429</v>
      </c>
      <c r="BO40" s="501">
        <v>3</v>
      </c>
      <c r="BP40" s="501">
        <v>60</v>
      </c>
      <c r="BQ40" s="501" t="s">
        <v>31435</v>
      </c>
      <c r="BR40" s="499" t="s">
        <v>33332</v>
      </c>
      <c r="BS40" s="501" t="s">
        <v>4</v>
      </c>
      <c r="BT40" s="501">
        <v>6</v>
      </c>
      <c r="BU40" s="502" cm="1">
        <f t="array" ref="BU40">_xlfn.IFS(BQ40="Foreword vehicle",BT40*0,BQ40="Human wastes",BT40*0,BS40="Jerrycans",BT40*$BT$4,BQ40="Number of Basins",BT40*$BT$5,BQ40="Number of Buckets",BT40*$BT$6,BQ40="Number of Kgs",BT40*$BT$7,BQ40="Number of spades",BT40*$BT$8,BQ40="Number of wheelbarrows",BT40*$BT$9,BS40="Septic Tank",BT40*0)</f>
        <v>423</v>
      </c>
      <c r="BV40" s="502">
        <f>Table15[[#This Row],[Calculation: Conversion of metric to Kg manure feeding (Columns: BP, BQ, BR)]]*Table15[[#This Row],[Number of times used to feed biodigester]]</f>
        <v>1269</v>
      </c>
      <c r="BW40" s="503" cm="1">
        <f t="array" ref="BW40">_xlfn.IFS(BN40="Number of times per day (1 to 3)",BV40/$BW$3,BN40="Number of times per week (1 to 6)",BV40/$BW$4,BN40="Number of times per Month (1 to 3)",BV40/$BW$5)</f>
        <v>181.28571428571428</v>
      </c>
      <c r="BX40" s="501" t="s">
        <v>22</v>
      </c>
      <c r="BY40" s="501" t="s">
        <v>4</v>
      </c>
      <c r="BZ40" s="501" t="s">
        <v>2</v>
      </c>
      <c r="CA40" s="501" t="s">
        <v>4</v>
      </c>
      <c r="CB40" s="501" t="s">
        <v>4</v>
      </c>
      <c r="CC40" s="501" t="s">
        <v>4</v>
      </c>
      <c r="CD40" s="501" t="s">
        <v>7</v>
      </c>
      <c r="CE40" s="501" t="s">
        <v>34441</v>
      </c>
      <c r="CF40" s="501" t="s">
        <v>4</v>
      </c>
      <c r="CG40" s="501" t="s">
        <v>31724</v>
      </c>
      <c r="CH40" s="501">
        <v>0</v>
      </c>
      <c r="CI40" s="501">
        <v>32</v>
      </c>
      <c r="CJ40" s="501">
        <v>0</v>
      </c>
      <c r="CK40" s="501">
        <v>0</v>
      </c>
      <c r="CL40" s="501">
        <v>0</v>
      </c>
      <c r="CM40" s="501">
        <v>8</v>
      </c>
      <c r="CN40" s="501">
        <v>0</v>
      </c>
      <c r="CO40" s="501">
        <v>0</v>
      </c>
      <c r="CP40" s="501">
        <v>0</v>
      </c>
      <c r="CQ40" s="501">
        <v>0</v>
      </c>
      <c r="CR40" s="501">
        <f>IF(Table15[[#This Row],[Is your biodigester working?]]="yes",CO40/'SDG outcome'!$C$9*CP40*CQ40,"")</f>
        <v>0</v>
      </c>
      <c r="CS40" s="501" t="s">
        <v>4</v>
      </c>
      <c r="CT40" s="519" t="s">
        <v>4</v>
      </c>
      <c r="CU40" s="517" t="s">
        <v>4</v>
      </c>
      <c r="CV40" s="501">
        <v>30</v>
      </c>
      <c r="CW40" s="519">
        <v>70</v>
      </c>
      <c r="CX40" s="517" t="s">
        <v>34442</v>
      </c>
      <c r="CY40" s="501" t="s">
        <v>4</v>
      </c>
      <c r="CZ40" s="519" t="s">
        <v>4</v>
      </c>
      <c r="DA40" s="517" t="s">
        <v>4</v>
      </c>
      <c r="DB40" s="501" t="s">
        <v>4</v>
      </c>
      <c r="DC40" s="501" t="s">
        <v>4</v>
      </c>
      <c r="DD40" s="501" t="s">
        <v>4</v>
      </c>
      <c r="DE40" s="501">
        <v>0</v>
      </c>
      <c r="DF40" s="501">
        <v>100</v>
      </c>
      <c r="DG40" s="501" t="s">
        <v>34443</v>
      </c>
      <c r="DH40" s="501" t="s">
        <v>4</v>
      </c>
      <c r="DI40" s="501" t="s">
        <v>4</v>
      </c>
      <c r="DJ40" s="501" t="s">
        <v>4</v>
      </c>
      <c r="DK40" s="501" t="s">
        <v>4</v>
      </c>
      <c r="DL40" s="501" t="s">
        <v>4</v>
      </c>
      <c r="DM40" s="501" t="s">
        <v>4</v>
      </c>
      <c r="DN40" s="501">
        <v>1.5</v>
      </c>
      <c r="DO40" s="501" t="s">
        <v>7</v>
      </c>
      <c r="DP40" s="501" t="s">
        <v>29292</v>
      </c>
      <c r="DQ40" s="501" t="s">
        <v>4</v>
      </c>
      <c r="DR40" s="501" t="s">
        <v>29293</v>
      </c>
      <c r="DS40" s="502">
        <v>100000</v>
      </c>
      <c r="DT40" s="501" t="s">
        <v>29293</v>
      </c>
      <c r="DU40" s="502">
        <v>0</v>
      </c>
      <c r="DV40" s="519" t="s">
        <v>29295</v>
      </c>
      <c r="DW40" s="517">
        <v>100</v>
      </c>
      <c r="DX40" s="501" t="s">
        <v>29296</v>
      </c>
      <c r="DY40" s="501">
        <v>100</v>
      </c>
      <c r="DZ40" s="501" t="s">
        <v>4</v>
      </c>
      <c r="EA40" s="501" t="s">
        <v>4</v>
      </c>
      <c r="EB40" s="501" t="s">
        <v>4</v>
      </c>
      <c r="EC40" s="501" t="s">
        <v>4</v>
      </c>
      <c r="ED40" s="501" t="s">
        <v>4</v>
      </c>
      <c r="EE40" s="501" t="s">
        <v>4</v>
      </c>
      <c r="EF40" s="501" t="s">
        <v>4</v>
      </c>
      <c r="EG40" s="501" t="s">
        <v>4</v>
      </c>
      <c r="EH40" s="501" t="s">
        <v>4</v>
      </c>
      <c r="EI40" s="501" t="s">
        <v>4</v>
      </c>
      <c r="EJ40" s="501" t="s">
        <v>4</v>
      </c>
      <c r="EK40" s="501" t="s">
        <v>4</v>
      </c>
      <c r="EL40" s="501" t="s">
        <v>4</v>
      </c>
      <c r="EM40" s="501" t="s">
        <v>4</v>
      </c>
      <c r="EN40" s="501" t="s">
        <v>4</v>
      </c>
      <c r="EO40" s="501" t="s">
        <v>4</v>
      </c>
      <c r="EP40" s="501" t="s">
        <v>4</v>
      </c>
      <c r="EQ40" s="501" t="s">
        <v>4</v>
      </c>
      <c r="ER40" s="501" t="s">
        <v>4</v>
      </c>
      <c r="ES40" s="501" t="s">
        <v>4</v>
      </c>
      <c r="ET40" s="501" t="s">
        <v>4</v>
      </c>
      <c r="EU40" s="501" t="s">
        <v>4</v>
      </c>
      <c r="EV40" s="501" t="s">
        <v>4</v>
      </c>
      <c r="EW40" s="501">
        <v>8</v>
      </c>
      <c r="EX40" s="501" t="s">
        <v>7</v>
      </c>
      <c r="EY40" s="501">
        <v>30</v>
      </c>
      <c r="EZ40" s="239">
        <f t="shared" si="1"/>
        <v>2.4</v>
      </c>
      <c r="FA40" s="501" t="s">
        <v>34444</v>
      </c>
      <c r="FB40" s="501" t="s">
        <v>29298</v>
      </c>
      <c r="FC40" s="501">
        <v>48</v>
      </c>
      <c r="FD40" s="501" t="s">
        <v>7</v>
      </c>
      <c r="FE40" s="501" t="s">
        <v>29393</v>
      </c>
      <c r="FF40" s="501" t="s">
        <v>4</v>
      </c>
      <c r="FG40" s="501" t="s">
        <v>7</v>
      </c>
      <c r="FH40" s="501" t="s">
        <v>29299</v>
      </c>
      <c r="FI40" s="501" t="s">
        <v>4</v>
      </c>
      <c r="FJ40" s="501" t="s">
        <v>29300</v>
      </c>
      <c r="FK40" s="501" t="s">
        <v>4</v>
      </c>
      <c r="FL40" s="501" t="s">
        <v>4</v>
      </c>
      <c r="FM40" s="501" t="s">
        <v>4</v>
      </c>
      <c r="FN40" s="502" t="s">
        <v>4</v>
      </c>
      <c r="FO40" s="501" t="s">
        <v>4</v>
      </c>
      <c r="FP40" s="501" t="s">
        <v>2</v>
      </c>
      <c r="FQ40" s="501" t="s">
        <v>4</v>
      </c>
      <c r="FR40" s="501" t="s">
        <v>4</v>
      </c>
      <c r="FS40" s="501" t="s">
        <v>2</v>
      </c>
      <c r="FT40" s="501" t="s">
        <v>7</v>
      </c>
      <c r="FU40" s="501" t="s">
        <v>29302</v>
      </c>
      <c r="FV40" s="501" t="s">
        <v>33553</v>
      </c>
      <c r="FW40" s="501" t="s">
        <v>4</v>
      </c>
      <c r="FX40" s="501">
        <v>0</v>
      </c>
      <c r="FY40" s="501" t="s">
        <v>4</v>
      </c>
      <c r="FZ40" s="501" t="s">
        <v>4</v>
      </c>
      <c r="GA40" s="501" t="s">
        <v>4</v>
      </c>
      <c r="GB40" s="501" t="s">
        <v>4</v>
      </c>
      <c r="GC40" s="501" t="s">
        <v>4</v>
      </c>
      <c r="GD40" s="501" t="s">
        <v>4</v>
      </c>
      <c r="GE40" s="501" t="s">
        <v>4</v>
      </c>
      <c r="GF40" s="501" t="s">
        <v>4</v>
      </c>
      <c r="GG40" s="501" t="s">
        <v>4</v>
      </c>
      <c r="GH40" s="501" t="s">
        <v>4</v>
      </c>
      <c r="GI40" s="501" t="s">
        <v>29304</v>
      </c>
      <c r="GJ40" s="501" t="s">
        <v>29940</v>
      </c>
      <c r="GK40" s="501" t="s">
        <v>4</v>
      </c>
      <c r="GL40" s="501" t="s">
        <v>29556</v>
      </c>
      <c r="GM40" s="501" t="s">
        <v>4</v>
      </c>
      <c r="GN40" s="501" t="s">
        <v>4</v>
      </c>
      <c r="GO40" s="501" t="s">
        <v>4</v>
      </c>
      <c r="GP40" s="501" t="s">
        <v>4</v>
      </c>
      <c r="GQ40" s="501" t="s">
        <v>4</v>
      </c>
      <c r="GR40" s="501" t="s">
        <v>4</v>
      </c>
      <c r="GS40" s="501" t="s">
        <v>4</v>
      </c>
      <c r="GT40" s="501" t="s">
        <v>29452</v>
      </c>
      <c r="GU40" s="501" t="s">
        <v>4</v>
      </c>
      <c r="GV40" s="502">
        <v>10</v>
      </c>
      <c r="GW40" s="501" t="s">
        <v>7</v>
      </c>
      <c r="GX40" s="501" t="s">
        <v>29309</v>
      </c>
      <c r="GY40" s="501" t="s">
        <v>4</v>
      </c>
      <c r="GZ40" s="501" t="s">
        <v>4</v>
      </c>
      <c r="HA40" s="501" t="s">
        <v>4</v>
      </c>
      <c r="HB40" s="501" t="s">
        <v>4</v>
      </c>
      <c r="HC40" s="501" t="s">
        <v>4</v>
      </c>
      <c r="HD40" s="501" t="s">
        <v>4</v>
      </c>
      <c r="HE40" s="501" t="s">
        <v>4</v>
      </c>
      <c r="HF40" s="501" t="s">
        <v>4</v>
      </c>
      <c r="HG40" s="501" t="s">
        <v>2</v>
      </c>
      <c r="HH40" s="501" t="s">
        <v>4</v>
      </c>
      <c r="HI40" s="501" t="s">
        <v>4</v>
      </c>
      <c r="HJ40" s="501" t="s">
        <v>4</v>
      </c>
      <c r="HK40" s="494" t="s">
        <v>4</v>
      </c>
      <c r="HL40" s="501" t="s">
        <v>33474</v>
      </c>
      <c r="HM40" s="501" t="s">
        <v>2</v>
      </c>
      <c r="HN40" s="501" t="s">
        <v>4</v>
      </c>
      <c r="HO40" s="501" t="s">
        <v>16</v>
      </c>
      <c r="HP40" s="501" t="s">
        <v>34445</v>
      </c>
      <c r="HQ40" s="501" t="s">
        <v>16</v>
      </c>
      <c r="HR40" s="501" t="s">
        <v>34446</v>
      </c>
      <c r="HS40" s="501" t="s">
        <v>34447</v>
      </c>
      <c r="HT40" s="519" t="s">
        <v>34437</v>
      </c>
    </row>
    <row r="41" spans="1:228" s="570" customFormat="1" ht="30.2" customHeight="1" x14ac:dyDescent="0.25">
      <c r="A41" s="759"/>
      <c r="B41" s="496">
        <v>20</v>
      </c>
      <c r="C41" s="496" t="s">
        <v>28984</v>
      </c>
      <c r="D41" s="497" t="s">
        <v>33569</v>
      </c>
      <c r="E41" s="497" t="s">
        <v>52</v>
      </c>
      <c r="F41" s="497" t="s">
        <v>7</v>
      </c>
      <c r="G41" s="497" t="s">
        <v>33570</v>
      </c>
      <c r="H41" s="497">
        <v>1615.6</v>
      </c>
      <c r="I41" s="497">
        <v>3.1</v>
      </c>
      <c r="J41" s="497" t="s">
        <v>29389</v>
      </c>
      <c r="K41" s="497" t="s">
        <v>22</v>
      </c>
      <c r="L41" s="497" t="s">
        <v>33571</v>
      </c>
      <c r="M41" s="497">
        <v>772005002</v>
      </c>
      <c r="N41" s="497" t="s">
        <v>5</v>
      </c>
      <c r="O41" s="497" t="s">
        <v>31438</v>
      </c>
      <c r="P41" s="497">
        <v>41</v>
      </c>
      <c r="Q41" s="497">
        <v>5</v>
      </c>
      <c r="R41" s="497" t="s">
        <v>7</v>
      </c>
      <c r="S41" s="497" t="s">
        <v>31549</v>
      </c>
      <c r="T41" s="497" t="s">
        <v>4</v>
      </c>
      <c r="U41" s="497" t="s">
        <v>7</v>
      </c>
      <c r="V41" s="497" t="s">
        <v>7</v>
      </c>
      <c r="W41" s="497" t="s">
        <v>4</v>
      </c>
      <c r="X41" s="497" t="s">
        <v>7</v>
      </c>
      <c r="Y41" s="497" t="s">
        <v>4</v>
      </c>
      <c r="Z41" s="497" t="s">
        <v>4</v>
      </c>
      <c r="AA41" s="241" t="str">
        <f>IF(OR(U41="yes",Z41&gt;'SDG outcome'!$C$39),"yes","no")</f>
        <v>yes</v>
      </c>
      <c r="AB41" s="521" t="str">
        <f t="shared" si="0"/>
        <v>NA</v>
      </c>
      <c r="AC41" s="527" t="str">
        <f>IF(AND('SMS p2'!AA32="no",AND(Z41&gt;='SDG outcome'!$B$28,Z41&lt;'SDG outcome'!$C$39)),Z41-'SDG outcome'!$B$28,"")</f>
        <v/>
      </c>
      <c r="AD41" s="497" t="s">
        <v>4</v>
      </c>
      <c r="AE41" s="497" t="s">
        <v>4</v>
      </c>
      <c r="AF41" s="497" t="s">
        <v>4</v>
      </c>
      <c r="AG41" s="497" t="s">
        <v>4</v>
      </c>
      <c r="AH41" s="497" t="s">
        <v>4</v>
      </c>
      <c r="AI41" s="497" t="s">
        <v>4</v>
      </c>
      <c r="AJ41" s="497" t="s">
        <v>4</v>
      </c>
      <c r="AK41" s="497" t="s">
        <v>29290</v>
      </c>
      <c r="AL41" s="497" t="s">
        <v>29291</v>
      </c>
      <c r="AM41" s="497" t="s">
        <v>4</v>
      </c>
      <c r="AN41" s="497" t="s">
        <v>4</v>
      </c>
      <c r="AO41" s="497" t="s">
        <v>31605</v>
      </c>
      <c r="AP41" s="497" t="s">
        <v>4</v>
      </c>
      <c r="AQ41" s="497" t="s">
        <v>31600</v>
      </c>
      <c r="AR41" s="497" t="s">
        <v>4</v>
      </c>
      <c r="AS41" s="497" t="s">
        <v>31538</v>
      </c>
      <c r="AT41" s="497" t="s">
        <v>4</v>
      </c>
      <c r="AU41" s="497" t="s">
        <v>7</v>
      </c>
      <c r="AV41" s="497" t="s">
        <v>4</v>
      </c>
      <c r="AW41" s="497" t="s">
        <v>4</v>
      </c>
      <c r="AX41" s="497" t="s">
        <v>2</v>
      </c>
      <c r="AY41" s="497" t="s">
        <v>4</v>
      </c>
      <c r="AZ41" s="497" t="s">
        <v>4</v>
      </c>
      <c r="BA41" s="497" t="s">
        <v>31563</v>
      </c>
      <c r="BB41" s="497" t="s">
        <v>22</v>
      </c>
      <c r="BC41" s="497" t="s">
        <v>4</v>
      </c>
      <c r="BD41" s="497" t="s">
        <v>31564</v>
      </c>
      <c r="BE41" s="497" t="s">
        <v>4</v>
      </c>
      <c r="BF41" s="497" t="s">
        <v>31542</v>
      </c>
      <c r="BG41" s="497" t="s">
        <v>33572</v>
      </c>
      <c r="BH41" s="497" t="s">
        <v>31616</v>
      </c>
      <c r="BI41" s="497">
        <v>1</v>
      </c>
      <c r="BJ41" s="497">
        <v>120</v>
      </c>
      <c r="BK41" s="497" t="s">
        <v>7</v>
      </c>
      <c r="BL41" s="497" t="s">
        <v>6</v>
      </c>
      <c r="BM41" s="497" t="s">
        <v>4</v>
      </c>
      <c r="BN41" s="497" t="s">
        <v>31425</v>
      </c>
      <c r="BO41" s="497">
        <v>1</v>
      </c>
      <c r="BP41" s="497">
        <v>60</v>
      </c>
      <c r="BQ41" s="497" t="s">
        <v>31435</v>
      </c>
      <c r="BR41" s="499" t="s">
        <v>33361</v>
      </c>
      <c r="BS41" s="497" t="s">
        <v>4</v>
      </c>
      <c r="BT41" s="497">
        <v>1</v>
      </c>
      <c r="BU41" s="494" cm="1">
        <f t="array" ref="BU41">_xlfn.IFS(BQ41="Foreword vehicle",BT41*0,BQ41="Human wastes",BT41*0,BS41="Jerrycans",BT41*$BT$4,BQ41="Number of Basins",BT41*$BT$5,BQ41="Number of Buckets",BT41*$BT$6,BQ41="Number of Kgs",BT41*$BT$7,BQ41="Number of spades",BT41*$BT$8,BQ41="Number of wheelbarrows",BT41*$BS$9,BS41="Septic Tank",BT41*0)</f>
        <v>82.5</v>
      </c>
      <c r="BV41" s="494">
        <f>Table15[[#This Row],[Calculation: Conversion of metric to Kg manure feeding (Columns: BP, BQ, BR)]]*Table15[[#This Row],[Number of times used to feed biodigester]]</f>
        <v>82.5</v>
      </c>
      <c r="BW41" s="495" cm="1">
        <f t="array" ref="BW41">_xlfn.IFS(BN41="Number of times per day (1 to 3)",BV41/$BW$3,BN41="Number of times per week (1 to 6)",BV41/$BW$4,BN41="Number of times per Month (1 to 3)",BV41/$BW$5)</f>
        <v>82.5</v>
      </c>
      <c r="BX41" s="497" t="s">
        <v>22</v>
      </c>
      <c r="BY41" s="497" t="s">
        <v>4</v>
      </c>
      <c r="BZ41" s="497" t="s">
        <v>2</v>
      </c>
      <c r="CA41" s="497" t="s">
        <v>4</v>
      </c>
      <c r="CB41" s="497" t="s">
        <v>4</v>
      </c>
      <c r="CC41" s="497" t="s">
        <v>4</v>
      </c>
      <c r="CD41" s="497" t="s">
        <v>7</v>
      </c>
      <c r="CE41" s="497" t="s">
        <v>33573</v>
      </c>
      <c r="CF41" s="497" t="s">
        <v>4</v>
      </c>
      <c r="CG41" s="497" t="s">
        <v>31568</v>
      </c>
      <c r="CH41" s="497">
        <v>15</v>
      </c>
      <c r="CI41" s="497">
        <v>0</v>
      </c>
      <c r="CJ41" s="497">
        <v>0</v>
      </c>
      <c r="CK41" s="497">
        <v>4</v>
      </c>
      <c r="CL41" s="497">
        <v>19</v>
      </c>
      <c r="CM41" s="497">
        <v>8</v>
      </c>
      <c r="CN41" s="497">
        <v>0</v>
      </c>
      <c r="CO41" s="497">
        <v>0</v>
      </c>
      <c r="CP41" s="497">
        <v>0</v>
      </c>
      <c r="CQ41" s="497">
        <v>0</v>
      </c>
      <c r="CR41" s="497">
        <f>IF(Table15[[#This Row],[Is your biodigester working?]]="yes",CO41/'SDG outcome'!$C$9*CP41*CQ41,"")</f>
        <v>0</v>
      </c>
      <c r="CS41" s="497">
        <v>50</v>
      </c>
      <c r="CT41" s="500">
        <v>50</v>
      </c>
      <c r="CU41" s="496" t="s">
        <v>33574</v>
      </c>
      <c r="CV41" s="497" t="s">
        <v>4</v>
      </c>
      <c r="CW41" s="500" t="s">
        <v>4</v>
      </c>
      <c r="CX41" s="496" t="s">
        <v>4</v>
      </c>
      <c r="CY41" s="497" t="s">
        <v>4</v>
      </c>
      <c r="CZ41" s="500" t="s">
        <v>4</v>
      </c>
      <c r="DA41" s="496" t="s">
        <v>4</v>
      </c>
      <c r="DB41" s="497" t="s">
        <v>4</v>
      </c>
      <c r="DC41" s="497" t="s">
        <v>4</v>
      </c>
      <c r="DD41" s="497" t="s">
        <v>4</v>
      </c>
      <c r="DE41" s="497">
        <v>0</v>
      </c>
      <c r="DF41" s="497">
        <v>100</v>
      </c>
      <c r="DG41" s="497" t="s">
        <v>33575</v>
      </c>
      <c r="DH41" s="497">
        <v>0</v>
      </c>
      <c r="DI41" s="497">
        <v>100</v>
      </c>
      <c r="DJ41" s="497" t="s">
        <v>33471</v>
      </c>
      <c r="DK41" s="497">
        <v>0</v>
      </c>
      <c r="DL41" s="497">
        <v>100</v>
      </c>
      <c r="DM41" s="497" t="s">
        <v>33471</v>
      </c>
      <c r="DN41" s="497">
        <v>4</v>
      </c>
      <c r="DO41" s="497" t="s">
        <v>2</v>
      </c>
      <c r="DP41" s="497" t="s">
        <v>29375</v>
      </c>
      <c r="DQ41" s="497" t="s">
        <v>4</v>
      </c>
      <c r="DR41" s="497" t="s">
        <v>4</v>
      </c>
      <c r="DS41" s="494" t="s">
        <v>4</v>
      </c>
      <c r="DT41" s="497" t="s">
        <v>29294</v>
      </c>
      <c r="DU41" s="494" t="s">
        <v>4</v>
      </c>
      <c r="DV41" s="500" t="s">
        <v>29295</v>
      </c>
      <c r="DW41" s="496">
        <v>100</v>
      </c>
      <c r="DX41" s="497" t="s">
        <v>29296</v>
      </c>
      <c r="DY41" s="497">
        <v>100</v>
      </c>
      <c r="DZ41" s="497" t="s">
        <v>4</v>
      </c>
      <c r="EA41" s="497" t="s">
        <v>4</v>
      </c>
      <c r="EB41" s="497" t="s">
        <v>4</v>
      </c>
      <c r="EC41" s="497" t="s">
        <v>4</v>
      </c>
      <c r="ED41" s="497" t="s">
        <v>4</v>
      </c>
      <c r="EE41" s="497" t="s">
        <v>4</v>
      </c>
      <c r="EF41" s="497" t="s">
        <v>4</v>
      </c>
      <c r="EG41" s="497" t="s">
        <v>4</v>
      </c>
      <c r="EH41" s="497" t="s">
        <v>4</v>
      </c>
      <c r="EI41" s="497" t="s">
        <v>4</v>
      </c>
      <c r="EJ41" s="497" t="s">
        <v>4</v>
      </c>
      <c r="EK41" s="497" t="s">
        <v>4</v>
      </c>
      <c r="EL41" s="497" t="s">
        <v>4</v>
      </c>
      <c r="EM41" s="497" t="s">
        <v>4</v>
      </c>
      <c r="EN41" s="497" t="s">
        <v>4</v>
      </c>
      <c r="EO41" s="497" t="s">
        <v>4</v>
      </c>
      <c r="EP41" s="497" t="s">
        <v>4</v>
      </c>
      <c r="EQ41" s="497" t="s">
        <v>4</v>
      </c>
      <c r="ER41" s="497" t="s">
        <v>4</v>
      </c>
      <c r="ES41" s="497" t="s">
        <v>4</v>
      </c>
      <c r="ET41" s="497" t="s">
        <v>4</v>
      </c>
      <c r="EU41" s="497" t="s">
        <v>4</v>
      </c>
      <c r="EV41" s="497" t="s">
        <v>4</v>
      </c>
      <c r="EW41" s="497">
        <v>2.23</v>
      </c>
      <c r="EX41" s="497" t="s">
        <v>7</v>
      </c>
      <c r="EY41" s="497">
        <v>95</v>
      </c>
      <c r="EZ41" s="239">
        <f t="shared" si="1"/>
        <v>2.1185</v>
      </c>
      <c r="FA41" s="497" t="s">
        <v>33576</v>
      </c>
      <c r="FB41" s="497" t="s">
        <v>29298</v>
      </c>
      <c r="FC41" s="497">
        <v>84</v>
      </c>
      <c r="FD41" s="497" t="s">
        <v>7</v>
      </c>
      <c r="FE41" s="497" t="s">
        <v>29445</v>
      </c>
      <c r="FF41" s="497" t="s">
        <v>4</v>
      </c>
      <c r="FG41" s="497" t="s">
        <v>7</v>
      </c>
      <c r="FH41" s="497" t="s">
        <v>29445</v>
      </c>
      <c r="FI41" s="497" t="s">
        <v>4</v>
      </c>
      <c r="FJ41" s="497" t="s">
        <v>29477</v>
      </c>
      <c r="FK41" s="497" t="s">
        <v>4</v>
      </c>
      <c r="FL41" s="497" t="s">
        <v>29375</v>
      </c>
      <c r="FM41" s="497" t="s">
        <v>4</v>
      </c>
      <c r="FN41" s="494" t="s">
        <v>4</v>
      </c>
      <c r="FO41" s="497" t="s">
        <v>4</v>
      </c>
      <c r="FP41" s="497" t="s">
        <v>2</v>
      </c>
      <c r="FQ41" s="497" t="s">
        <v>4</v>
      </c>
      <c r="FR41" s="497" t="s">
        <v>4</v>
      </c>
      <c r="FS41" s="497" t="s">
        <v>2</v>
      </c>
      <c r="FT41" s="497" t="s">
        <v>2</v>
      </c>
      <c r="FU41" s="497" t="s">
        <v>4</v>
      </c>
      <c r="FV41" s="497" t="s">
        <v>4</v>
      </c>
      <c r="FW41" s="497" t="s">
        <v>4</v>
      </c>
      <c r="FX41" s="497">
        <v>0</v>
      </c>
      <c r="FY41" s="497" t="s">
        <v>4</v>
      </c>
      <c r="FZ41" s="497" t="s">
        <v>4</v>
      </c>
      <c r="GA41" s="497" t="s">
        <v>4</v>
      </c>
      <c r="GB41" s="497" t="s">
        <v>4</v>
      </c>
      <c r="GC41" s="497" t="s">
        <v>4</v>
      </c>
      <c r="GD41" s="497" t="s">
        <v>4</v>
      </c>
      <c r="GE41" s="497" t="s">
        <v>4</v>
      </c>
      <c r="GF41" s="497" t="s">
        <v>4</v>
      </c>
      <c r="GG41" s="497" t="s">
        <v>4</v>
      </c>
      <c r="GH41" s="497" t="s">
        <v>4</v>
      </c>
      <c r="GI41" s="497" t="s">
        <v>29304</v>
      </c>
      <c r="GJ41" s="497" t="s">
        <v>29305</v>
      </c>
      <c r="GK41" s="497" t="s">
        <v>29306</v>
      </c>
      <c r="GL41" s="497" t="s">
        <v>4</v>
      </c>
      <c r="GM41" s="497" t="s">
        <v>4</v>
      </c>
      <c r="GN41" s="497" t="s">
        <v>4</v>
      </c>
      <c r="GO41" s="497" t="s">
        <v>4</v>
      </c>
      <c r="GP41" s="497" t="s">
        <v>4</v>
      </c>
      <c r="GQ41" s="497" t="s">
        <v>4</v>
      </c>
      <c r="GR41" s="497" t="s">
        <v>4</v>
      </c>
      <c r="GS41" s="497" t="s">
        <v>4</v>
      </c>
      <c r="GT41" s="497" t="s">
        <v>29354</v>
      </c>
      <c r="GU41" s="497" t="s">
        <v>4</v>
      </c>
      <c r="GV41" s="494">
        <v>20</v>
      </c>
      <c r="GW41" s="497" t="s">
        <v>29325</v>
      </c>
      <c r="GX41" s="497" t="s">
        <v>29480</v>
      </c>
      <c r="GY41" s="497" t="s">
        <v>4</v>
      </c>
      <c r="GZ41" s="497" t="s">
        <v>4</v>
      </c>
      <c r="HA41" s="497" t="s">
        <v>4</v>
      </c>
      <c r="HB41" s="497" t="s">
        <v>4</v>
      </c>
      <c r="HC41" s="497" t="s">
        <v>4</v>
      </c>
      <c r="HD41" s="497" t="s">
        <v>4</v>
      </c>
      <c r="HE41" s="497" t="s">
        <v>4</v>
      </c>
      <c r="HF41" s="497" t="s">
        <v>4</v>
      </c>
      <c r="HG41" s="497" t="s">
        <v>2</v>
      </c>
      <c r="HH41" s="497" t="s">
        <v>4</v>
      </c>
      <c r="HI41" s="497" t="s">
        <v>4</v>
      </c>
      <c r="HJ41" s="497" t="s">
        <v>4</v>
      </c>
      <c r="HK41" s="494" t="s">
        <v>4</v>
      </c>
      <c r="HL41" s="497" t="s">
        <v>33474</v>
      </c>
      <c r="HM41" s="497" t="s">
        <v>2</v>
      </c>
      <c r="HN41" s="497" t="s">
        <v>4</v>
      </c>
      <c r="HO41" s="497" t="s">
        <v>16</v>
      </c>
      <c r="HP41" s="497" t="s">
        <v>33577</v>
      </c>
      <c r="HQ41" s="497" t="s">
        <v>33578</v>
      </c>
      <c r="HR41" s="497" t="s">
        <v>33579</v>
      </c>
      <c r="HS41" s="497" t="s">
        <v>33580</v>
      </c>
      <c r="HT41" s="500" t="s">
        <v>33581</v>
      </c>
    </row>
    <row r="42" spans="1:228" s="570" customFormat="1" ht="30.2" customHeight="1" x14ac:dyDescent="0.25">
      <c r="A42" s="759"/>
      <c r="B42" s="496">
        <v>194</v>
      </c>
      <c r="C42" s="496" t="s">
        <v>17321</v>
      </c>
      <c r="D42" s="497" t="s">
        <v>35512</v>
      </c>
      <c r="E42" s="497" t="s">
        <v>35495</v>
      </c>
      <c r="F42" s="497" t="s">
        <v>7</v>
      </c>
      <c r="G42" s="497" t="s">
        <v>35513</v>
      </c>
      <c r="H42" s="497">
        <v>1183.8</v>
      </c>
      <c r="I42" s="497">
        <v>4.5</v>
      </c>
      <c r="J42" s="497" t="s">
        <v>29389</v>
      </c>
      <c r="K42" s="497" t="s">
        <v>22</v>
      </c>
      <c r="L42" s="497" t="s">
        <v>35514</v>
      </c>
      <c r="M42" s="497">
        <v>773029386</v>
      </c>
      <c r="N42" s="497" t="s">
        <v>5</v>
      </c>
      <c r="O42" s="497" t="s">
        <v>31438</v>
      </c>
      <c r="P42" s="497">
        <v>27</v>
      </c>
      <c r="Q42" s="497">
        <v>8</v>
      </c>
      <c r="R42" s="497" t="s">
        <v>7</v>
      </c>
      <c r="S42" s="497" t="s">
        <v>31622</v>
      </c>
      <c r="T42" s="497" t="s">
        <v>17321</v>
      </c>
      <c r="U42" s="497" t="s">
        <v>7</v>
      </c>
      <c r="V42" s="497" t="s">
        <v>7</v>
      </c>
      <c r="W42" s="497" t="s">
        <v>4</v>
      </c>
      <c r="X42" s="497" t="s">
        <v>7</v>
      </c>
      <c r="Y42" s="497" t="s">
        <v>4</v>
      </c>
      <c r="Z42" s="497" t="s">
        <v>4</v>
      </c>
      <c r="AA42" s="241" t="str">
        <f>IF(OR(U42="yes",Z42&gt;'SDG outcome'!$C$39),"yes","no")</f>
        <v>yes</v>
      </c>
      <c r="AB42" s="521" t="str">
        <f t="shared" si="0"/>
        <v>NA</v>
      </c>
      <c r="AC42" s="527" t="str">
        <f>IF(AND('SMS p2'!AA206="no",AND(Z42&gt;='SDG outcome'!$B$28,Z42&lt;'SDG outcome'!$C$39)),Z42-'SDG outcome'!$B$28,"")</f>
        <v/>
      </c>
      <c r="AD42" s="497" t="s">
        <v>4</v>
      </c>
      <c r="AE42" s="497" t="s">
        <v>4</v>
      </c>
      <c r="AF42" s="497" t="s">
        <v>4</v>
      </c>
      <c r="AG42" s="497" t="s">
        <v>4</v>
      </c>
      <c r="AH42" s="497" t="s">
        <v>4</v>
      </c>
      <c r="AI42" s="497" t="s">
        <v>4</v>
      </c>
      <c r="AJ42" s="497" t="s">
        <v>4</v>
      </c>
      <c r="AK42" s="497" t="s">
        <v>29290</v>
      </c>
      <c r="AL42" s="497" t="s">
        <v>29291</v>
      </c>
      <c r="AM42" s="497" t="s">
        <v>4</v>
      </c>
      <c r="AN42" s="497" t="s">
        <v>4</v>
      </c>
      <c r="AO42" s="497" t="s">
        <v>31599</v>
      </c>
      <c r="AP42" s="497" t="s">
        <v>4</v>
      </c>
      <c r="AQ42" s="497" t="s">
        <v>31537</v>
      </c>
      <c r="AR42" s="497" t="s">
        <v>4</v>
      </c>
      <c r="AS42" s="497" t="s">
        <v>34200</v>
      </c>
      <c r="AT42" s="497" t="s">
        <v>4</v>
      </c>
      <c r="AU42" s="497" t="s">
        <v>2</v>
      </c>
      <c r="AV42" s="497" t="s">
        <v>31581</v>
      </c>
      <c r="AW42" s="497" t="s">
        <v>4</v>
      </c>
      <c r="AX42" s="497" t="s">
        <v>7</v>
      </c>
      <c r="AY42" s="497" t="s">
        <v>11</v>
      </c>
      <c r="AZ42" s="497" t="s">
        <v>4</v>
      </c>
      <c r="BA42" s="497" t="s">
        <v>31563</v>
      </c>
      <c r="BB42" s="497" t="s">
        <v>22</v>
      </c>
      <c r="BC42" s="497" t="s">
        <v>4</v>
      </c>
      <c r="BD42" s="497" t="s">
        <v>31564</v>
      </c>
      <c r="BE42" s="497" t="s">
        <v>4</v>
      </c>
      <c r="BF42" s="497" t="s">
        <v>31640</v>
      </c>
      <c r="BG42" s="497" t="s">
        <v>35515</v>
      </c>
      <c r="BH42" s="497" t="s">
        <v>31544</v>
      </c>
      <c r="BI42" s="497">
        <v>2</v>
      </c>
      <c r="BJ42" s="497">
        <v>60</v>
      </c>
      <c r="BK42" s="497" t="s">
        <v>7</v>
      </c>
      <c r="BL42" s="497" t="s">
        <v>6</v>
      </c>
      <c r="BM42" s="497" t="s">
        <v>4</v>
      </c>
      <c r="BN42" s="497" t="s">
        <v>31429</v>
      </c>
      <c r="BO42" s="497">
        <v>2</v>
      </c>
      <c r="BP42" s="497">
        <v>60</v>
      </c>
      <c r="BQ42" s="497" t="s">
        <v>31435</v>
      </c>
      <c r="BR42" s="499" t="s">
        <v>33361</v>
      </c>
      <c r="BS42" s="497" t="s">
        <v>4</v>
      </c>
      <c r="BT42" s="497">
        <v>1</v>
      </c>
      <c r="BU42" s="494" cm="1">
        <f t="array" ref="BU42">_xlfn.IFS(BQ42="Foreword vehicle",BT42*0,BQ42="Human wastes",BT42*0,BS42="Jerrycans",BT42*$BT$4,BQ42="Number of Basins",BT42*$BT$5,BQ42="Number of Buckets",BT42*$BT$6,BQ42="Number of Kgs",BT42*$BT$7,BQ42="Number of spades",BT42*$BT$8,BQ42="Number of wheelbarrows",BT42*$BS$9,BS42="Septic Tank",BT42*0)</f>
        <v>82.5</v>
      </c>
      <c r="BV42" s="494">
        <f>Table15[[#This Row],[Calculation: Conversion of metric to Kg manure feeding (Columns: BP, BQ, BR)]]*Table15[[#This Row],[Number of times used to feed biodigester]]</f>
        <v>165</v>
      </c>
      <c r="BW42" s="495" cm="1">
        <f t="array" ref="BW42">_xlfn.IFS(BN42="Number of times per day (1 to 3)",BV42/$BW$3,BN42="Number of times per week (1 to 6)",BV42/$BW$4,BN42="Number of times per Month (1 to 3)",BV42/$BW$5)</f>
        <v>23.571428571428573</v>
      </c>
      <c r="BX42" s="497" t="s">
        <v>22</v>
      </c>
      <c r="BY42" s="497" t="s">
        <v>4</v>
      </c>
      <c r="BZ42" s="497" t="s">
        <v>2</v>
      </c>
      <c r="CA42" s="497" t="s">
        <v>4</v>
      </c>
      <c r="CB42" s="497" t="s">
        <v>4</v>
      </c>
      <c r="CC42" s="497" t="s">
        <v>4</v>
      </c>
      <c r="CD42" s="497" t="s">
        <v>7</v>
      </c>
      <c r="CE42" s="497" t="s">
        <v>35516</v>
      </c>
      <c r="CF42" s="497" t="s">
        <v>4</v>
      </c>
      <c r="CG42" s="497" t="s">
        <v>31604</v>
      </c>
      <c r="CH42" s="497">
        <v>2</v>
      </c>
      <c r="CI42" s="497">
        <v>0</v>
      </c>
      <c r="CJ42" s="497">
        <v>0</v>
      </c>
      <c r="CK42" s="497">
        <v>0</v>
      </c>
      <c r="CL42" s="497">
        <v>0</v>
      </c>
      <c r="CM42" s="497">
        <v>0</v>
      </c>
      <c r="CN42" s="497">
        <v>0</v>
      </c>
      <c r="CO42" s="497">
        <v>0</v>
      </c>
      <c r="CP42" s="497">
        <v>0</v>
      </c>
      <c r="CQ42" s="497">
        <v>0</v>
      </c>
      <c r="CR42" s="497">
        <f>IF(Table15[[#This Row],[Is your biodigester working?]]="yes",CO42/'SDG outcome'!$C$9*CP42*CQ42,"")</f>
        <v>0</v>
      </c>
      <c r="CS42" s="497">
        <v>100</v>
      </c>
      <c r="CT42" s="500">
        <v>0</v>
      </c>
      <c r="CU42" s="496" t="s">
        <v>4</v>
      </c>
      <c r="CV42" s="497" t="s">
        <v>4</v>
      </c>
      <c r="CW42" s="500" t="s">
        <v>4</v>
      </c>
      <c r="CX42" s="496" t="s">
        <v>4</v>
      </c>
      <c r="CY42" s="497" t="s">
        <v>4</v>
      </c>
      <c r="CZ42" s="500" t="s">
        <v>4</v>
      </c>
      <c r="DA42" s="496" t="s">
        <v>4</v>
      </c>
      <c r="DB42" s="497" t="s">
        <v>4</v>
      </c>
      <c r="DC42" s="497" t="s">
        <v>4</v>
      </c>
      <c r="DD42" s="497" t="s">
        <v>4</v>
      </c>
      <c r="DE42" s="497" t="s">
        <v>4</v>
      </c>
      <c r="DF42" s="497" t="s">
        <v>4</v>
      </c>
      <c r="DG42" s="497" t="s">
        <v>4</v>
      </c>
      <c r="DH42" s="497" t="s">
        <v>4</v>
      </c>
      <c r="DI42" s="497" t="s">
        <v>4</v>
      </c>
      <c r="DJ42" s="497" t="s">
        <v>4</v>
      </c>
      <c r="DK42" s="497" t="s">
        <v>4</v>
      </c>
      <c r="DL42" s="497" t="s">
        <v>4</v>
      </c>
      <c r="DM42" s="497" t="s">
        <v>4</v>
      </c>
      <c r="DN42" s="497">
        <v>1</v>
      </c>
      <c r="DO42" s="497" t="s">
        <v>2</v>
      </c>
      <c r="DP42" s="497" t="s">
        <v>29292</v>
      </c>
      <c r="DQ42" s="497" t="s">
        <v>4</v>
      </c>
      <c r="DR42" s="497" t="s">
        <v>29293</v>
      </c>
      <c r="DS42" s="494">
        <v>75000</v>
      </c>
      <c r="DT42" s="497" t="s">
        <v>29293</v>
      </c>
      <c r="DU42" s="494">
        <v>0</v>
      </c>
      <c r="DV42" s="500" t="s">
        <v>29508</v>
      </c>
      <c r="DW42" s="496" t="s">
        <v>4</v>
      </c>
      <c r="DX42" s="497" t="s">
        <v>4</v>
      </c>
      <c r="DY42" s="497" t="s">
        <v>4</v>
      </c>
      <c r="DZ42" s="497" t="s">
        <v>4</v>
      </c>
      <c r="EA42" s="497" t="s">
        <v>4</v>
      </c>
      <c r="EB42" s="497" t="s">
        <v>4</v>
      </c>
      <c r="EC42" s="497" t="s">
        <v>4</v>
      </c>
      <c r="ED42" s="497">
        <v>100</v>
      </c>
      <c r="EE42" s="497" t="s">
        <v>30667</v>
      </c>
      <c r="EF42" s="497" t="s">
        <v>4</v>
      </c>
      <c r="EG42" s="497" t="s">
        <v>4</v>
      </c>
      <c r="EH42" s="497">
        <v>100</v>
      </c>
      <c r="EI42" s="497" t="s">
        <v>4</v>
      </c>
      <c r="EJ42" s="497" t="s">
        <v>4</v>
      </c>
      <c r="EK42" s="497" t="s">
        <v>4</v>
      </c>
      <c r="EL42" s="497" t="s">
        <v>4</v>
      </c>
      <c r="EM42" s="497">
        <v>30</v>
      </c>
      <c r="EN42" s="497" t="s">
        <v>4</v>
      </c>
      <c r="EO42" s="497" t="s">
        <v>4</v>
      </c>
      <c r="EP42" s="497" t="s">
        <v>4</v>
      </c>
      <c r="EQ42" s="497" t="s">
        <v>29296</v>
      </c>
      <c r="ER42" s="497">
        <v>100</v>
      </c>
      <c r="ES42" s="497" t="s">
        <v>4</v>
      </c>
      <c r="ET42" s="497" t="s">
        <v>4</v>
      </c>
      <c r="EU42" s="497" t="s">
        <v>4</v>
      </c>
      <c r="EV42" s="497" t="s">
        <v>4</v>
      </c>
      <c r="EW42" s="497">
        <v>16.187778227438283</v>
      </c>
      <c r="EX42" s="497" t="s">
        <v>7</v>
      </c>
      <c r="EY42" s="497">
        <v>12.5</v>
      </c>
      <c r="EZ42" s="239">
        <f t="shared" si="1"/>
        <v>2.0234722784297854</v>
      </c>
      <c r="FA42" s="497" t="s">
        <v>35517</v>
      </c>
      <c r="FB42" s="497" t="s">
        <v>29298</v>
      </c>
      <c r="FC42" s="497">
        <v>24</v>
      </c>
      <c r="FD42" s="497" t="s">
        <v>2</v>
      </c>
      <c r="FE42" s="497" t="s">
        <v>4</v>
      </c>
      <c r="FF42" s="497" t="s">
        <v>4</v>
      </c>
      <c r="FG42" s="497" t="s">
        <v>7</v>
      </c>
      <c r="FH42" s="497" t="s">
        <v>29492</v>
      </c>
      <c r="FI42" s="497" t="s">
        <v>4</v>
      </c>
      <c r="FJ42" s="497" t="s">
        <v>35453</v>
      </c>
      <c r="FK42" s="497" t="s">
        <v>35518</v>
      </c>
      <c r="FL42" s="497" t="s">
        <v>29375</v>
      </c>
      <c r="FM42" s="497" t="s">
        <v>4</v>
      </c>
      <c r="FN42" s="494" t="s">
        <v>4</v>
      </c>
      <c r="FO42" s="497" t="s">
        <v>4</v>
      </c>
      <c r="FP42" s="497" t="s">
        <v>2</v>
      </c>
      <c r="FQ42" s="497" t="s">
        <v>4</v>
      </c>
      <c r="FR42" s="497" t="s">
        <v>4</v>
      </c>
      <c r="FS42" s="497" t="s">
        <v>2</v>
      </c>
      <c r="FT42" s="497" t="s">
        <v>7</v>
      </c>
      <c r="FU42" s="497" t="s">
        <v>29302</v>
      </c>
      <c r="FV42" s="497" t="s">
        <v>30482</v>
      </c>
      <c r="FW42" s="497" t="s">
        <v>4</v>
      </c>
      <c r="FX42" s="497">
        <v>0</v>
      </c>
      <c r="FY42" s="497" t="s">
        <v>4</v>
      </c>
      <c r="FZ42" s="497" t="s">
        <v>4</v>
      </c>
      <c r="GA42" s="497" t="s">
        <v>4</v>
      </c>
      <c r="GB42" s="497" t="s">
        <v>4</v>
      </c>
      <c r="GC42" s="497" t="s">
        <v>4</v>
      </c>
      <c r="GD42" s="497" t="s">
        <v>4</v>
      </c>
      <c r="GE42" s="497" t="s">
        <v>4</v>
      </c>
      <c r="GF42" s="497" t="s">
        <v>4</v>
      </c>
      <c r="GG42" s="497" t="s">
        <v>4</v>
      </c>
      <c r="GH42" s="497" t="s">
        <v>4</v>
      </c>
      <c r="GI42" s="497" t="s">
        <v>29433</v>
      </c>
      <c r="GJ42" s="497" t="s">
        <v>4</v>
      </c>
      <c r="GK42" s="497" t="s">
        <v>4</v>
      </c>
      <c r="GL42" s="497" t="s">
        <v>4</v>
      </c>
      <c r="GM42" s="497" t="s">
        <v>4</v>
      </c>
      <c r="GN42" s="497" t="s">
        <v>4</v>
      </c>
      <c r="GO42" s="497" t="s">
        <v>4</v>
      </c>
      <c r="GP42" s="497" t="s">
        <v>4</v>
      </c>
      <c r="GQ42" s="497" t="s">
        <v>4</v>
      </c>
      <c r="GR42" s="497" t="s">
        <v>13</v>
      </c>
      <c r="GS42" s="497" t="s">
        <v>35519</v>
      </c>
      <c r="GT42" s="497" t="s">
        <v>30448</v>
      </c>
      <c r="GU42" s="497" t="s">
        <v>4</v>
      </c>
      <c r="GV42" s="494">
        <v>5</v>
      </c>
      <c r="GW42" s="497" t="s">
        <v>29325</v>
      </c>
      <c r="GX42" s="497" t="s">
        <v>29309</v>
      </c>
      <c r="GY42" s="497" t="s">
        <v>4</v>
      </c>
      <c r="GZ42" s="497" t="s">
        <v>4</v>
      </c>
      <c r="HA42" s="497" t="s">
        <v>4</v>
      </c>
      <c r="HB42" s="497" t="s">
        <v>4</v>
      </c>
      <c r="HC42" s="497" t="s">
        <v>4</v>
      </c>
      <c r="HD42" s="497" t="s">
        <v>4</v>
      </c>
      <c r="HE42" s="497" t="s">
        <v>4</v>
      </c>
      <c r="HF42" s="497" t="s">
        <v>4</v>
      </c>
      <c r="HG42" s="497" t="s">
        <v>2</v>
      </c>
      <c r="HH42" s="497" t="s">
        <v>4</v>
      </c>
      <c r="HI42" s="497" t="s">
        <v>4</v>
      </c>
      <c r="HJ42" s="497" t="s">
        <v>4</v>
      </c>
      <c r="HK42" s="494" t="s">
        <v>4</v>
      </c>
      <c r="HL42" s="497" t="s">
        <v>35520</v>
      </c>
      <c r="HM42" s="497" t="s">
        <v>2</v>
      </c>
      <c r="HN42" s="497" t="s">
        <v>4</v>
      </c>
      <c r="HO42" s="497" t="s">
        <v>35521</v>
      </c>
      <c r="HP42" s="497" t="s">
        <v>35522</v>
      </c>
      <c r="HQ42" s="497" t="s">
        <v>35523</v>
      </c>
      <c r="HR42" s="497" t="s">
        <v>35524</v>
      </c>
      <c r="HS42" s="497" t="s">
        <v>35525</v>
      </c>
      <c r="HT42" s="500" t="s">
        <v>35512</v>
      </c>
    </row>
    <row r="43" spans="1:228" s="570" customFormat="1" ht="30.2" customHeight="1" x14ac:dyDescent="0.25">
      <c r="A43" s="759"/>
      <c r="B43" s="496">
        <v>1</v>
      </c>
      <c r="C43" s="496" t="s">
        <v>18267</v>
      </c>
      <c r="D43" s="497" t="s">
        <v>33328</v>
      </c>
      <c r="E43" s="497" t="s">
        <v>29286</v>
      </c>
      <c r="F43" s="497" t="s">
        <v>7</v>
      </c>
      <c r="G43" s="497" t="s">
        <v>33329</v>
      </c>
      <c r="H43" s="497">
        <v>1064.366</v>
      </c>
      <c r="I43" s="497">
        <v>2.5237889999999998</v>
      </c>
      <c r="J43" s="497" t="s">
        <v>29349</v>
      </c>
      <c r="K43" s="497" t="s">
        <v>4</v>
      </c>
      <c r="L43" s="497" t="s">
        <v>33330</v>
      </c>
      <c r="M43" s="497">
        <v>771949027</v>
      </c>
      <c r="N43" s="497" t="s">
        <v>5</v>
      </c>
      <c r="O43" s="497" t="s">
        <v>31438</v>
      </c>
      <c r="P43" s="497">
        <v>21</v>
      </c>
      <c r="Q43" s="497">
        <v>6</v>
      </c>
      <c r="R43" s="497" t="s">
        <v>7</v>
      </c>
      <c r="S43" s="497" t="s">
        <v>31549</v>
      </c>
      <c r="T43" s="497" t="s">
        <v>4</v>
      </c>
      <c r="U43" s="497" t="s">
        <v>7</v>
      </c>
      <c r="V43" s="497" t="s">
        <v>7</v>
      </c>
      <c r="W43" s="497" t="s">
        <v>4</v>
      </c>
      <c r="X43" s="497" t="s">
        <v>7</v>
      </c>
      <c r="Y43" s="497" t="s">
        <v>4</v>
      </c>
      <c r="Z43" s="497" t="s">
        <v>4</v>
      </c>
      <c r="AA43" s="241" t="str">
        <f>IF(OR(U43="yes",Z43&gt;'SDG outcome'!$C$39),"yes","no")</f>
        <v>yes</v>
      </c>
      <c r="AB43" s="243" t="str">
        <f t="shared" si="0"/>
        <v>NA</v>
      </c>
      <c r="AC43" s="526" t="str">
        <f>IF(AND('SMS p2'!AA13="no",AND(Z43&gt;='SDG outcome'!$B$28,Z43&lt;'SDG outcome'!$C$39)),Z43-'SDG outcome'!$B$28,"")</f>
        <v/>
      </c>
      <c r="AD43" s="497" t="s">
        <v>4</v>
      </c>
      <c r="AE43" s="497" t="s">
        <v>4</v>
      </c>
      <c r="AF43" s="497" t="s">
        <v>4</v>
      </c>
      <c r="AG43" s="497" t="s">
        <v>4</v>
      </c>
      <c r="AH43" s="497" t="s">
        <v>4</v>
      </c>
      <c r="AI43" s="497" t="s">
        <v>4</v>
      </c>
      <c r="AJ43" s="497" t="s">
        <v>4</v>
      </c>
      <c r="AK43" s="497" t="s">
        <v>29290</v>
      </c>
      <c r="AL43" s="497" t="s">
        <v>29291</v>
      </c>
      <c r="AM43" s="497" t="s">
        <v>4</v>
      </c>
      <c r="AN43" s="497" t="s">
        <v>4</v>
      </c>
      <c r="AO43" s="497" t="s">
        <v>31536</v>
      </c>
      <c r="AP43" s="497" t="s">
        <v>4</v>
      </c>
      <c r="AQ43" s="497" t="s">
        <v>31537</v>
      </c>
      <c r="AR43" s="497" t="s">
        <v>4</v>
      </c>
      <c r="AS43" s="497" t="s">
        <v>31647</v>
      </c>
      <c r="AT43" s="497" t="s">
        <v>4</v>
      </c>
      <c r="AU43" s="497" t="s">
        <v>7</v>
      </c>
      <c r="AV43" s="497" t="s">
        <v>4</v>
      </c>
      <c r="AW43" s="497" t="s">
        <v>4</v>
      </c>
      <c r="AX43" s="497" t="s">
        <v>7</v>
      </c>
      <c r="AY43" s="497" t="s">
        <v>11</v>
      </c>
      <c r="AZ43" s="497" t="s">
        <v>4</v>
      </c>
      <c r="BA43" s="497" t="s">
        <v>31557</v>
      </c>
      <c r="BB43" s="497" t="s">
        <v>31541</v>
      </c>
      <c r="BC43" s="497" t="s">
        <v>4</v>
      </c>
      <c r="BD43" s="497" t="s">
        <v>31552</v>
      </c>
      <c r="BE43" s="497" t="s">
        <v>4</v>
      </c>
      <c r="BF43" s="497" t="s">
        <v>167</v>
      </c>
      <c r="BG43" s="497" t="s">
        <v>33331</v>
      </c>
      <c r="BH43" s="497" t="s">
        <v>31544</v>
      </c>
      <c r="BI43" s="497">
        <v>1</v>
      </c>
      <c r="BJ43" s="497">
        <v>120</v>
      </c>
      <c r="BK43" s="497" t="s">
        <v>7</v>
      </c>
      <c r="BL43" s="497" t="s">
        <v>11</v>
      </c>
      <c r="BM43" s="497" t="s">
        <v>4</v>
      </c>
      <c r="BN43" s="497" t="s">
        <v>31425</v>
      </c>
      <c r="BO43" s="497">
        <v>1</v>
      </c>
      <c r="BP43" s="497">
        <v>75</v>
      </c>
      <c r="BQ43" s="497" t="s">
        <v>31435</v>
      </c>
      <c r="BR43" s="499" t="s">
        <v>33332</v>
      </c>
      <c r="BS43" s="497" t="s">
        <v>4</v>
      </c>
      <c r="BT43" s="497">
        <v>1</v>
      </c>
      <c r="BU43" s="494" cm="1">
        <f t="array" ref="BU43">_xlfn.IFS(BQ43="Foreword vehicle",BT43*0,BQ43="Human wastes",BT43*0,BS43="Jerrycans",BT43*$BT$4,BQ43="Number of Basins",BT43*$BT$5,BQ43="Number of Buckets",BT43*$BT$6,BQ43="Number of Kgs",BT43*$BT$7,BQ43="Number of spades",BT43*$BT$8,BQ43="Number of wheelbarrows",BT43*$BT$9,BS43="Septic Tank",BT43*0)</f>
        <v>70.5</v>
      </c>
      <c r="BV43" s="494">
        <f>Table15[[#This Row],[Calculation: Conversion of metric to Kg manure feeding (Columns: BP, BQ, BR)]]*Table15[[#This Row],[Number of times used to feed biodigester]]</f>
        <v>70.5</v>
      </c>
      <c r="BW43" s="495" cm="1">
        <f t="array" ref="BW43">_xlfn.IFS(BN43="Number of times per day (1 to 3)",BV43/$BW$3,BN43="Number of times per week (1 to 6)",BV43/$BW$4,BN43="Number of times per Month (1 to 3)",BV43/$BW$5)</f>
        <v>70.5</v>
      </c>
      <c r="BX43" s="497" t="s">
        <v>31541</v>
      </c>
      <c r="BY43" s="497" t="s">
        <v>4</v>
      </c>
      <c r="BZ43" s="497" t="s">
        <v>2</v>
      </c>
      <c r="CA43" s="497" t="s">
        <v>4</v>
      </c>
      <c r="CB43" s="497" t="s">
        <v>4</v>
      </c>
      <c r="CC43" s="497" t="s">
        <v>4</v>
      </c>
      <c r="CD43" s="497" t="s">
        <v>7</v>
      </c>
      <c r="CE43" s="497" t="s">
        <v>33333</v>
      </c>
      <c r="CF43" s="497" t="s">
        <v>4</v>
      </c>
      <c r="CG43" s="497" t="s">
        <v>33334</v>
      </c>
      <c r="CH43" s="497">
        <v>0</v>
      </c>
      <c r="CI43" s="497" t="s">
        <v>33335</v>
      </c>
      <c r="CJ43" s="497">
        <v>0</v>
      </c>
      <c r="CK43" s="497">
        <v>0</v>
      </c>
      <c r="CL43" s="497">
        <v>8</v>
      </c>
      <c r="CM43" s="497">
        <v>20</v>
      </c>
      <c r="CN43" s="497">
        <v>0</v>
      </c>
      <c r="CO43" s="497">
        <v>0</v>
      </c>
      <c r="CP43" s="497">
        <v>0</v>
      </c>
      <c r="CQ43" s="497">
        <v>0</v>
      </c>
      <c r="CR43" s="239">
        <f>IF(Table15[[#This Row],[Is your biodigester working?]]="yes",CO43/'SDG outcome'!$C$9*CP43*CQ43,"")</f>
        <v>0</v>
      </c>
      <c r="CS43" s="497" t="s">
        <v>4</v>
      </c>
      <c r="CT43" s="500" t="s">
        <v>4</v>
      </c>
      <c r="CU43" s="496" t="s">
        <v>4</v>
      </c>
      <c r="CV43" s="497">
        <v>100</v>
      </c>
      <c r="CW43" s="500">
        <v>0</v>
      </c>
      <c r="CX43" s="496" t="s">
        <v>4</v>
      </c>
      <c r="CY43" s="497" t="s">
        <v>4</v>
      </c>
      <c r="CZ43" s="500" t="s">
        <v>4</v>
      </c>
      <c r="DA43" s="496" t="s">
        <v>4</v>
      </c>
      <c r="DB43" s="497" t="s">
        <v>4</v>
      </c>
      <c r="DC43" s="497" t="s">
        <v>4</v>
      </c>
      <c r="DD43" s="497" t="s">
        <v>4</v>
      </c>
      <c r="DE43" s="497">
        <v>0</v>
      </c>
      <c r="DF43" s="497">
        <v>100</v>
      </c>
      <c r="DG43" s="497" t="s">
        <v>33336</v>
      </c>
      <c r="DH43" s="497" t="s">
        <v>4</v>
      </c>
      <c r="DI43" s="497" t="s">
        <v>4</v>
      </c>
      <c r="DJ43" s="497" t="s">
        <v>4</v>
      </c>
      <c r="DK43" s="497">
        <v>0</v>
      </c>
      <c r="DL43" s="497">
        <v>100</v>
      </c>
      <c r="DM43" s="497" t="s">
        <v>33337</v>
      </c>
      <c r="DN43" s="497">
        <v>2</v>
      </c>
      <c r="DO43" s="497" t="s">
        <v>2</v>
      </c>
      <c r="DP43" s="497" t="s">
        <v>29292</v>
      </c>
      <c r="DQ43" s="497" t="s">
        <v>4</v>
      </c>
      <c r="DR43" s="497" t="s">
        <v>29293</v>
      </c>
      <c r="DS43" s="494">
        <v>20000</v>
      </c>
      <c r="DT43" s="497" t="s">
        <v>29293</v>
      </c>
      <c r="DU43" s="494">
        <v>100000</v>
      </c>
      <c r="DV43" s="500" t="s">
        <v>29295</v>
      </c>
      <c r="DW43" s="496">
        <v>100</v>
      </c>
      <c r="DX43" s="497" t="s">
        <v>29296</v>
      </c>
      <c r="DY43" s="497">
        <v>100</v>
      </c>
      <c r="DZ43" s="497" t="s">
        <v>4</v>
      </c>
      <c r="EA43" s="497" t="s">
        <v>4</v>
      </c>
      <c r="EB43" s="497" t="s">
        <v>4</v>
      </c>
      <c r="EC43" s="497" t="s">
        <v>4</v>
      </c>
      <c r="ED43" s="497" t="s">
        <v>4</v>
      </c>
      <c r="EE43" s="497" t="s">
        <v>4</v>
      </c>
      <c r="EF43" s="497" t="s">
        <v>4</v>
      </c>
      <c r="EG43" s="497" t="s">
        <v>4</v>
      </c>
      <c r="EH43" s="497" t="s">
        <v>4</v>
      </c>
      <c r="EI43" s="497" t="s">
        <v>4</v>
      </c>
      <c r="EJ43" s="497" t="s">
        <v>4</v>
      </c>
      <c r="EK43" s="497" t="s">
        <v>4</v>
      </c>
      <c r="EL43" s="497" t="s">
        <v>4</v>
      </c>
      <c r="EM43" s="497" t="s">
        <v>4</v>
      </c>
      <c r="EN43" s="497" t="s">
        <v>4</v>
      </c>
      <c r="EO43" s="497" t="s">
        <v>4</v>
      </c>
      <c r="EP43" s="497" t="s">
        <v>4</v>
      </c>
      <c r="EQ43" s="497" t="s">
        <v>4</v>
      </c>
      <c r="ER43" s="497" t="s">
        <v>4</v>
      </c>
      <c r="ES43" s="497" t="s">
        <v>4</v>
      </c>
      <c r="ET43" s="497" t="s">
        <v>4</v>
      </c>
      <c r="EU43" s="497" t="s">
        <v>4</v>
      </c>
      <c r="EV43" s="497" t="s">
        <v>4</v>
      </c>
      <c r="EW43" s="497">
        <v>5</v>
      </c>
      <c r="EX43" s="497" t="s">
        <v>7</v>
      </c>
      <c r="EY43" s="497">
        <v>40</v>
      </c>
      <c r="EZ43" s="239">
        <f t="shared" si="1"/>
        <v>2</v>
      </c>
      <c r="FA43" s="497" t="s">
        <v>33338</v>
      </c>
      <c r="FB43" s="497" t="s">
        <v>29298</v>
      </c>
      <c r="FC43" s="497">
        <v>42</v>
      </c>
      <c r="FD43" s="497" t="s">
        <v>2</v>
      </c>
      <c r="FE43" s="497" t="s">
        <v>4</v>
      </c>
      <c r="FF43" s="497" t="s">
        <v>4</v>
      </c>
      <c r="FG43" s="497" t="s">
        <v>2</v>
      </c>
      <c r="FH43" s="497" t="s">
        <v>4</v>
      </c>
      <c r="FI43" s="497" t="s">
        <v>4</v>
      </c>
      <c r="FJ43" s="497" t="s">
        <v>4</v>
      </c>
      <c r="FK43" s="497" t="s">
        <v>4</v>
      </c>
      <c r="FL43" s="497" t="s">
        <v>4</v>
      </c>
      <c r="FM43" s="497" t="s">
        <v>4</v>
      </c>
      <c r="FN43" s="494" t="s">
        <v>4</v>
      </c>
      <c r="FO43" s="497" t="s">
        <v>4</v>
      </c>
      <c r="FP43" s="497" t="s">
        <v>7</v>
      </c>
      <c r="FQ43" s="497" t="s">
        <v>29301</v>
      </c>
      <c r="FR43" s="497" t="s">
        <v>4</v>
      </c>
      <c r="FS43" s="497" t="s">
        <v>7</v>
      </c>
      <c r="FT43" s="497" t="s">
        <v>7</v>
      </c>
      <c r="FU43" s="497" t="s">
        <v>29302</v>
      </c>
      <c r="FV43" s="497" t="s">
        <v>30692</v>
      </c>
      <c r="FW43" s="497" t="s">
        <v>4</v>
      </c>
      <c r="FX43" s="497">
        <v>0</v>
      </c>
      <c r="FY43" s="497" t="s">
        <v>4</v>
      </c>
      <c r="FZ43" s="497" t="s">
        <v>4</v>
      </c>
      <c r="GA43" s="497" t="s">
        <v>4</v>
      </c>
      <c r="GB43" s="497" t="s">
        <v>4</v>
      </c>
      <c r="GC43" s="497" t="s">
        <v>4</v>
      </c>
      <c r="GD43" s="497" t="s">
        <v>4</v>
      </c>
      <c r="GE43" s="497" t="s">
        <v>4</v>
      </c>
      <c r="GF43" s="497" t="s">
        <v>4</v>
      </c>
      <c r="GG43" s="497" t="s">
        <v>4</v>
      </c>
      <c r="GH43" s="497" t="s">
        <v>4</v>
      </c>
      <c r="GI43" s="497" t="s">
        <v>29433</v>
      </c>
      <c r="GJ43" s="497" t="s">
        <v>4</v>
      </c>
      <c r="GK43" s="497" t="s">
        <v>4</v>
      </c>
      <c r="GL43" s="497" t="s">
        <v>4</v>
      </c>
      <c r="GM43" s="497" t="s">
        <v>4</v>
      </c>
      <c r="GN43" s="497" t="s">
        <v>4</v>
      </c>
      <c r="GO43" s="497" t="s">
        <v>4</v>
      </c>
      <c r="GP43" s="497" t="s">
        <v>4</v>
      </c>
      <c r="GQ43" s="497" t="s">
        <v>4</v>
      </c>
      <c r="GR43" s="497" t="s">
        <v>29353</v>
      </c>
      <c r="GS43" s="497" t="s">
        <v>4</v>
      </c>
      <c r="GT43" s="497" t="s">
        <v>29307</v>
      </c>
      <c r="GU43" s="497" t="s">
        <v>33339</v>
      </c>
      <c r="GV43" s="494">
        <v>10</v>
      </c>
      <c r="GW43" s="497" t="s">
        <v>7</v>
      </c>
      <c r="GX43" s="497" t="s">
        <v>29837</v>
      </c>
      <c r="GY43" s="497" t="s">
        <v>4</v>
      </c>
      <c r="GZ43" s="497" t="s">
        <v>4</v>
      </c>
      <c r="HA43" s="497" t="s">
        <v>4</v>
      </c>
      <c r="HB43" s="497" t="s">
        <v>4</v>
      </c>
      <c r="HC43" s="497" t="s">
        <v>4</v>
      </c>
      <c r="HD43" s="497" t="s">
        <v>4</v>
      </c>
      <c r="HE43" s="497" t="s">
        <v>4</v>
      </c>
      <c r="HF43" s="497" t="s">
        <v>4</v>
      </c>
      <c r="HG43" s="497" t="s">
        <v>7</v>
      </c>
      <c r="HH43" s="497" t="s">
        <v>11</v>
      </c>
      <c r="HI43" s="497" t="s">
        <v>4</v>
      </c>
      <c r="HJ43" s="497" t="s">
        <v>29292</v>
      </c>
      <c r="HK43" s="494">
        <v>15000</v>
      </c>
      <c r="HL43" s="497" t="s">
        <v>33340</v>
      </c>
      <c r="HM43" s="497" t="s">
        <v>7</v>
      </c>
      <c r="HN43" s="497" t="s">
        <v>33341</v>
      </c>
      <c r="HO43" s="497" t="s">
        <v>33342</v>
      </c>
      <c r="HP43" s="497" t="s">
        <v>33343</v>
      </c>
      <c r="HQ43" s="497" t="s">
        <v>33344</v>
      </c>
      <c r="HR43" s="497" t="s">
        <v>33345</v>
      </c>
      <c r="HS43" s="497" t="s">
        <v>33346</v>
      </c>
      <c r="HT43" s="500" t="s">
        <v>33328</v>
      </c>
    </row>
    <row r="44" spans="1:228" s="570" customFormat="1" ht="30.2" customHeight="1" x14ac:dyDescent="0.25">
      <c r="A44" s="759"/>
      <c r="B44" s="496">
        <v>8</v>
      </c>
      <c r="C44" s="496" t="s">
        <v>18756</v>
      </c>
      <c r="D44" s="497" t="s">
        <v>33430</v>
      </c>
      <c r="E44" s="497" t="s">
        <v>29286</v>
      </c>
      <c r="F44" s="497" t="s">
        <v>7</v>
      </c>
      <c r="G44" s="497" t="s">
        <v>33431</v>
      </c>
      <c r="H44" s="497">
        <v>1093.6420000000001</v>
      </c>
      <c r="I44" s="497">
        <v>2.301688</v>
      </c>
      <c r="J44" s="497" t="s">
        <v>29288</v>
      </c>
      <c r="K44" s="497" t="s">
        <v>4</v>
      </c>
      <c r="L44" s="497" t="s">
        <v>33432</v>
      </c>
      <c r="M44" s="497">
        <v>778818918</v>
      </c>
      <c r="N44" s="497" t="s">
        <v>3</v>
      </c>
      <c r="O44" s="497" t="s">
        <v>31438</v>
      </c>
      <c r="P44" s="497">
        <v>29</v>
      </c>
      <c r="Q44" s="497">
        <v>8</v>
      </c>
      <c r="R44" s="497" t="s">
        <v>7</v>
      </c>
      <c r="S44" s="497" t="s">
        <v>31535</v>
      </c>
      <c r="T44" s="497" t="s">
        <v>4</v>
      </c>
      <c r="U44" s="497" t="s">
        <v>7</v>
      </c>
      <c r="V44" s="497" t="s">
        <v>7</v>
      </c>
      <c r="W44" s="497" t="s">
        <v>4</v>
      </c>
      <c r="X44" s="497" t="s">
        <v>7</v>
      </c>
      <c r="Y44" s="497" t="s">
        <v>4</v>
      </c>
      <c r="Z44" s="497" t="s">
        <v>4</v>
      </c>
      <c r="AA44" s="241" t="str">
        <f>IF(OR(U44="yes",Z44&gt;'SDG outcome'!$C$39),"yes","no")</f>
        <v>yes</v>
      </c>
      <c r="AB44" s="521" t="str">
        <f t="shared" si="0"/>
        <v>NA</v>
      </c>
      <c r="AC44" s="527" t="str">
        <f>IF(AND('SMS p2'!AA20="no",AND(Z44&gt;='SDG outcome'!$B$28,Z44&lt;'SDG outcome'!$C$39)),Z44-'SDG outcome'!$B$28,"")</f>
        <v/>
      </c>
      <c r="AD44" s="497" t="s">
        <v>4</v>
      </c>
      <c r="AE44" s="497" t="s">
        <v>4</v>
      </c>
      <c r="AF44" s="497" t="s">
        <v>4</v>
      </c>
      <c r="AG44" s="497" t="s">
        <v>4</v>
      </c>
      <c r="AH44" s="497" t="s">
        <v>4</v>
      </c>
      <c r="AI44" s="497" t="s">
        <v>4</v>
      </c>
      <c r="AJ44" s="497" t="s">
        <v>4</v>
      </c>
      <c r="AK44" s="497" t="s">
        <v>29290</v>
      </c>
      <c r="AL44" s="497" t="s">
        <v>29291</v>
      </c>
      <c r="AM44" s="497" t="s">
        <v>4</v>
      </c>
      <c r="AN44" s="497" t="s">
        <v>4</v>
      </c>
      <c r="AO44" s="497" t="s">
        <v>31536</v>
      </c>
      <c r="AP44" s="497" t="s">
        <v>4</v>
      </c>
      <c r="AQ44" s="497" t="s">
        <v>31537</v>
      </c>
      <c r="AR44" s="497" t="s">
        <v>4</v>
      </c>
      <c r="AS44" s="497" t="s">
        <v>31538</v>
      </c>
      <c r="AT44" s="497" t="s">
        <v>4</v>
      </c>
      <c r="AU44" s="497" t="s">
        <v>7</v>
      </c>
      <c r="AV44" s="497" t="s">
        <v>4</v>
      </c>
      <c r="AW44" s="497" t="s">
        <v>4</v>
      </c>
      <c r="AX44" s="497" t="s">
        <v>2</v>
      </c>
      <c r="AY44" s="497" t="s">
        <v>4</v>
      </c>
      <c r="AZ44" s="497" t="s">
        <v>4</v>
      </c>
      <c r="BA44" s="497" t="s">
        <v>4</v>
      </c>
      <c r="BB44" s="497" t="s">
        <v>4</v>
      </c>
      <c r="BC44" s="497" t="s">
        <v>4</v>
      </c>
      <c r="BD44" s="497" t="s">
        <v>4</v>
      </c>
      <c r="BE44" s="497" t="s">
        <v>4</v>
      </c>
      <c r="BF44" s="497" t="s">
        <v>4</v>
      </c>
      <c r="BG44" s="497" t="s">
        <v>4</v>
      </c>
      <c r="BH44" s="497" t="s">
        <v>4</v>
      </c>
      <c r="BI44" s="497" t="s">
        <v>4</v>
      </c>
      <c r="BJ44" s="497" t="s">
        <v>4</v>
      </c>
      <c r="BK44" s="497" t="s">
        <v>7</v>
      </c>
      <c r="BL44" s="497" t="s">
        <v>6</v>
      </c>
      <c r="BM44" s="497" t="s">
        <v>4</v>
      </c>
      <c r="BN44" s="497" t="s">
        <v>31425</v>
      </c>
      <c r="BO44" s="497">
        <v>1</v>
      </c>
      <c r="BP44" s="497">
        <v>30</v>
      </c>
      <c r="BQ44" s="497" t="s">
        <v>31434</v>
      </c>
      <c r="BR44" s="499" t="s">
        <v>33361</v>
      </c>
      <c r="BS44" s="497" t="s">
        <v>4</v>
      </c>
      <c r="BT44" s="497">
        <v>2</v>
      </c>
      <c r="BU44" s="494" cm="1">
        <f t="array" ref="BU44">_xlfn.IFS(BQ44="Foreword vehicle",BT44*0,BQ44="Human wastes",BT44*0,BS44="Jerrycans",BT44*$BT$4,BQ44="Number of Basins",BT44*$BS$5,BQ44="Number of Buckets",BT44*$BT$6,BQ44="Number of Kgs",BT44*$BT$7,BQ44="Number of spades",BT44*$BT$8,BQ44="Number of wheelbarrows",BT44*$BT$9,BS44="Septic Tank",BT44*0)</f>
        <v>42</v>
      </c>
      <c r="BV44" s="494">
        <f>Table15[[#This Row],[Calculation: Conversion of metric to Kg manure feeding (Columns: BP, BQ, BR)]]*Table15[[#This Row],[Number of times used to feed biodigester]]</f>
        <v>42</v>
      </c>
      <c r="BW44" s="495" cm="1">
        <f t="array" ref="BW44">_xlfn.IFS(BN44="Number of times per day (1 to 3)",BV44/$BW$3,BN44="Number of times per week (1 to 6)",BV44/$BW$4,BN44="Number of times per Month (1 to 3)",BV44/$BW$5)</f>
        <v>42</v>
      </c>
      <c r="BX44" s="497" t="s">
        <v>22</v>
      </c>
      <c r="BY44" s="497" t="s">
        <v>4</v>
      </c>
      <c r="BZ44" s="497" t="s">
        <v>2</v>
      </c>
      <c r="CA44" s="497" t="s">
        <v>4</v>
      </c>
      <c r="CB44" s="497" t="s">
        <v>4</v>
      </c>
      <c r="CC44" s="497" t="s">
        <v>4</v>
      </c>
      <c r="CD44" s="497" t="s">
        <v>7</v>
      </c>
      <c r="CE44" s="497" t="s">
        <v>33433</v>
      </c>
      <c r="CF44" s="497" t="s">
        <v>4</v>
      </c>
      <c r="CG44" s="497" t="s">
        <v>33434</v>
      </c>
      <c r="CH44" s="497">
        <v>0</v>
      </c>
      <c r="CI44" s="497">
        <v>6</v>
      </c>
      <c r="CJ44" s="497">
        <v>0</v>
      </c>
      <c r="CK44" s="497">
        <v>11</v>
      </c>
      <c r="CL44" s="497">
        <v>2</v>
      </c>
      <c r="CM44" s="497">
        <v>6</v>
      </c>
      <c r="CN44" s="497">
        <v>0</v>
      </c>
      <c r="CO44" s="497">
        <v>0</v>
      </c>
      <c r="CP44" s="497">
        <v>0</v>
      </c>
      <c r="CQ44" s="497">
        <v>0</v>
      </c>
      <c r="CR44" s="497">
        <f>IF(Table15[[#This Row],[Is your biodigester working?]]="yes",CO44/'SDG outcome'!$C$9*CP44*CQ44,"")</f>
        <v>0</v>
      </c>
      <c r="CS44" s="497">
        <v>100</v>
      </c>
      <c r="CT44" s="500">
        <v>0</v>
      </c>
      <c r="CU44" s="496" t="s">
        <v>4</v>
      </c>
      <c r="CV44" s="497">
        <v>100</v>
      </c>
      <c r="CW44" s="500">
        <v>0</v>
      </c>
      <c r="CX44" s="496" t="s">
        <v>4</v>
      </c>
      <c r="CY44" s="497" t="s">
        <v>4</v>
      </c>
      <c r="CZ44" s="500" t="s">
        <v>4</v>
      </c>
      <c r="DA44" s="496" t="s">
        <v>4</v>
      </c>
      <c r="DB44" s="497" t="s">
        <v>4</v>
      </c>
      <c r="DC44" s="497" t="s">
        <v>4</v>
      </c>
      <c r="DD44" s="497" t="s">
        <v>4</v>
      </c>
      <c r="DE44" s="497">
        <v>0</v>
      </c>
      <c r="DF44" s="497">
        <v>100</v>
      </c>
      <c r="DG44" s="497" t="s">
        <v>33435</v>
      </c>
      <c r="DH44" s="497">
        <v>100</v>
      </c>
      <c r="DI44" s="497">
        <v>0</v>
      </c>
      <c r="DJ44" s="497" t="s">
        <v>4</v>
      </c>
      <c r="DK44" s="497">
        <v>100</v>
      </c>
      <c r="DL44" s="497">
        <v>0</v>
      </c>
      <c r="DM44" s="497" t="s">
        <v>4</v>
      </c>
      <c r="DN44" s="497">
        <v>3.5</v>
      </c>
      <c r="DO44" s="497" t="s">
        <v>2</v>
      </c>
      <c r="DP44" s="497" t="s">
        <v>29292</v>
      </c>
      <c r="DQ44" s="497" t="s">
        <v>4</v>
      </c>
      <c r="DR44" s="497" t="s">
        <v>29293</v>
      </c>
      <c r="DS44" s="494">
        <v>20000</v>
      </c>
      <c r="DT44" s="497" t="s">
        <v>29293</v>
      </c>
      <c r="DU44" s="494">
        <v>0</v>
      </c>
      <c r="DV44" s="500" t="s">
        <v>29295</v>
      </c>
      <c r="DW44" s="496">
        <v>100</v>
      </c>
      <c r="DX44" s="497" t="s">
        <v>29296</v>
      </c>
      <c r="DY44" s="497">
        <v>100</v>
      </c>
      <c r="DZ44" s="497" t="s">
        <v>4</v>
      </c>
      <c r="EA44" s="497" t="s">
        <v>4</v>
      </c>
      <c r="EB44" s="497" t="s">
        <v>4</v>
      </c>
      <c r="EC44" s="497" t="s">
        <v>4</v>
      </c>
      <c r="ED44" s="497" t="s">
        <v>4</v>
      </c>
      <c r="EE44" s="497" t="s">
        <v>4</v>
      </c>
      <c r="EF44" s="497" t="s">
        <v>4</v>
      </c>
      <c r="EG44" s="497" t="s">
        <v>4</v>
      </c>
      <c r="EH44" s="497" t="s">
        <v>4</v>
      </c>
      <c r="EI44" s="497" t="s">
        <v>4</v>
      </c>
      <c r="EJ44" s="497" t="s">
        <v>4</v>
      </c>
      <c r="EK44" s="497" t="s">
        <v>4</v>
      </c>
      <c r="EL44" s="497" t="s">
        <v>4</v>
      </c>
      <c r="EM44" s="497" t="s">
        <v>4</v>
      </c>
      <c r="EN44" s="497" t="s">
        <v>4</v>
      </c>
      <c r="EO44" s="497" t="s">
        <v>4</v>
      </c>
      <c r="EP44" s="497" t="s">
        <v>4</v>
      </c>
      <c r="EQ44" s="497" t="s">
        <v>4</v>
      </c>
      <c r="ER44" s="497" t="s">
        <v>4</v>
      </c>
      <c r="ES44" s="497" t="s">
        <v>4</v>
      </c>
      <c r="ET44" s="497" t="s">
        <v>4</v>
      </c>
      <c r="EU44" s="497" t="s">
        <v>4</v>
      </c>
      <c r="EV44" s="497" t="s">
        <v>4</v>
      </c>
      <c r="EW44" s="497">
        <v>10</v>
      </c>
      <c r="EX44" s="497" t="s">
        <v>7</v>
      </c>
      <c r="EY44" s="497">
        <v>20</v>
      </c>
      <c r="EZ44" s="239">
        <f t="shared" si="1"/>
        <v>2</v>
      </c>
      <c r="FA44" s="497" t="s">
        <v>33436</v>
      </c>
      <c r="FB44" s="497" t="s">
        <v>29298</v>
      </c>
      <c r="FC44" s="497">
        <v>36</v>
      </c>
      <c r="FD44" s="497" t="s">
        <v>7</v>
      </c>
      <c r="FE44" s="497" t="s">
        <v>29393</v>
      </c>
      <c r="FF44" s="497" t="s">
        <v>4</v>
      </c>
      <c r="FG44" s="497" t="s">
        <v>7</v>
      </c>
      <c r="FH44" s="497" t="s">
        <v>29393</v>
      </c>
      <c r="FI44" s="497" t="s">
        <v>4</v>
      </c>
      <c r="FJ44" s="497" t="s">
        <v>29300</v>
      </c>
      <c r="FK44" s="497" t="s">
        <v>4</v>
      </c>
      <c r="FL44" s="497" t="s">
        <v>4</v>
      </c>
      <c r="FM44" s="497" t="s">
        <v>4</v>
      </c>
      <c r="FN44" s="494" t="s">
        <v>4</v>
      </c>
      <c r="FO44" s="497" t="s">
        <v>4</v>
      </c>
      <c r="FP44" s="497" t="s">
        <v>2</v>
      </c>
      <c r="FQ44" s="497" t="s">
        <v>4</v>
      </c>
      <c r="FR44" s="497" t="s">
        <v>4</v>
      </c>
      <c r="FS44" s="497" t="s">
        <v>7</v>
      </c>
      <c r="FT44" s="497" t="s">
        <v>2</v>
      </c>
      <c r="FU44" s="497" t="s">
        <v>4</v>
      </c>
      <c r="FV44" s="497" t="s">
        <v>4</v>
      </c>
      <c r="FW44" s="497" t="s">
        <v>29304</v>
      </c>
      <c r="FX44" s="497">
        <v>2</v>
      </c>
      <c r="FY44" s="497" t="s">
        <v>29497</v>
      </c>
      <c r="FZ44" s="497" t="s">
        <v>29306</v>
      </c>
      <c r="GA44" s="497" t="s">
        <v>4</v>
      </c>
      <c r="GB44" s="497" t="s">
        <v>29397</v>
      </c>
      <c r="GC44" s="497" t="s">
        <v>4</v>
      </c>
      <c r="GD44" s="497" t="s">
        <v>29451</v>
      </c>
      <c r="GE44" s="497" t="s">
        <v>4</v>
      </c>
      <c r="GF44" s="497" t="s">
        <v>4</v>
      </c>
      <c r="GG44" s="497" t="s">
        <v>4</v>
      </c>
      <c r="GH44" s="497" t="s">
        <v>4</v>
      </c>
      <c r="GI44" s="497" t="s">
        <v>4</v>
      </c>
      <c r="GJ44" s="497" t="s">
        <v>4</v>
      </c>
      <c r="GK44" s="497" t="s">
        <v>4</v>
      </c>
      <c r="GL44" s="497" t="s">
        <v>4</v>
      </c>
      <c r="GM44" s="497" t="s">
        <v>4</v>
      </c>
      <c r="GN44" s="497" t="s">
        <v>4</v>
      </c>
      <c r="GO44" s="497" t="s">
        <v>4</v>
      </c>
      <c r="GP44" s="497" t="s">
        <v>4</v>
      </c>
      <c r="GQ44" s="497" t="s">
        <v>4</v>
      </c>
      <c r="GR44" s="497" t="s">
        <v>4</v>
      </c>
      <c r="GS44" s="497" t="s">
        <v>4</v>
      </c>
      <c r="GT44" s="497" t="s">
        <v>29354</v>
      </c>
      <c r="GU44" s="497" t="s">
        <v>4</v>
      </c>
      <c r="GV44" s="494">
        <v>100</v>
      </c>
      <c r="GW44" s="497" t="s">
        <v>29325</v>
      </c>
      <c r="GX44" s="497" t="s">
        <v>29837</v>
      </c>
      <c r="GY44" s="497" t="s">
        <v>4</v>
      </c>
      <c r="GZ44" s="497" t="s">
        <v>4</v>
      </c>
      <c r="HA44" s="497" t="s">
        <v>4</v>
      </c>
      <c r="HB44" s="497" t="s">
        <v>4</v>
      </c>
      <c r="HC44" s="497" t="s">
        <v>4</v>
      </c>
      <c r="HD44" s="497" t="s">
        <v>4</v>
      </c>
      <c r="HE44" s="497" t="s">
        <v>4</v>
      </c>
      <c r="HF44" s="497" t="s">
        <v>4</v>
      </c>
      <c r="HG44" s="497" t="s">
        <v>2</v>
      </c>
      <c r="HH44" s="497" t="s">
        <v>4</v>
      </c>
      <c r="HI44" s="497" t="s">
        <v>4</v>
      </c>
      <c r="HJ44" s="497" t="s">
        <v>4</v>
      </c>
      <c r="HK44" s="494" t="s">
        <v>4</v>
      </c>
      <c r="HL44" s="497" t="s">
        <v>33437</v>
      </c>
      <c r="HM44" s="497" t="s">
        <v>2</v>
      </c>
      <c r="HN44" s="497" t="s">
        <v>4</v>
      </c>
      <c r="HO44" s="497" t="s">
        <v>16</v>
      </c>
      <c r="HP44" s="497" t="s">
        <v>33438</v>
      </c>
      <c r="HQ44" s="497" t="s">
        <v>33439</v>
      </c>
      <c r="HR44" s="497" t="s">
        <v>33440</v>
      </c>
      <c r="HS44" s="497" t="s">
        <v>33441</v>
      </c>
      <c r="HT44" s="500" t="s">
        <v>33430</v>
      </c>
    </row>
    <row r="45" spans="1:228" s="570" customFormat="1" ht="30.2" customHeight="1" x14ac:dyDescent="0.25">
      <c r="A45" s="759"/>
      <c r="B45" s="496">
        <v>121</v>
      </c>
      <c r="C45" s="496" t="s">
        <v>32822</v>
      </c>
      <c r="D45" s="497" t="s">
        <v>34715</v>
      </c>
      <c r="E45" s="497" t="s">
        <v>34639</v>
      </c>
      <c r="F45" s="497" t="s">
        <v>7</v>
      </c>
      <c r="G45" s="497" t="s">
        <v>34716</v>
      </c>
      <c r="H45" s="497">
        <v>1427</v>
      </c>
      <c r="I45" s="497">
        <v>4.5999999999999996</v>
      </c>
      <c r="J45" s="497" t="s">
        <v>29319</v>
      </c>
      <c r="K45" s="497" t="s">
        <v>4</v>
      </c>
      <c r="L45" s="497" t="s">
        <v>34717</v>
      </c>
      <c r="M45" s="497">
        <v>783151036</v>
      </c>
      <c r="N45" s="497" t="s">
        <v>5</v>
      </c>
      <c r="O45" s="497" t="s">
        <v>31438</v>
      </c>
      <c r="P45" s="497">
        <v>69</v>
      </c>
      <c r="Q45" s="497">
        <v>5</v>
      </c>
      <c r="R45" s="497" t="s">
        <v>7</v>
      </c>
      <c r="S45" s="497" t="s">
        <v>31535</v>
      </c>
      <c r="T45" s="497" t="s">
        <v>4</v>
      </c>
      <c r="U45" s="497" t="s">
        <v>7</v>
      </c>
      <c r="V45" s="497" t="s">
        <v>7</v>
      </c>
      <c r="W45" s="497" t="s">
        <v>4</v>
      </c>
      <c r="X45" s="497" t="s">
        <v>7</v>
      </c>
      <c r="Y45" s="497" t="s">
        <v>4</v>
      </c>
      <c r="Z45" s="497" t="s">
        <v>4</v>
      </c>
      <c r="AA45" s="241" t="str">
        <f>IF(OR(U45="yes",Z45&gt;'SDG outcome'!$C$39),"yes","no")</f>
        <v>yes</v>
      </c>
      <c r="AB45" s="521" t="str">
        <f t="shared" si="0"/>
        <v>NA</v>
      </c>
      <c r="AC45" s="527" t="str">
        <f>IF(AND('SMS p2'!AA133="no",AND(Z45&gt;='SDG outcome'!$B$28,Z45&lt;'SDG outcome'!$C$39)),Z45-'SDG outcome'!$B$28,"")</f>
        <v/>
      </c>
      <c r="AD45" s="497" t="s">
        <v>4</v>
      </c>
      <c r="AE45" s="497" t="s">
        <v>4</v>
      </c>
      <c r="AF45" s="497" t="s">
        <v>4</v>
      </c>
      <c r="AG45" s="497" t="s">
        <v>4</v>
      </c>
      <c r="AH45" s="497" t="s">
        <v>4</v>
      </c>
      <c r="AI45" s="497" t="s">
        <v>4</v>
      </c>
      <c r="AJ45" s="497" t="s">
        <v>4</v>
      </c>
      <c r="AK45" s="497" t="s">
        <v>29290</v>
      </c>
      <c r="AL45" s="497" t="s">
        <v>29694</v>
      </c>
      <c r="AM45" s="497" t="s">
        <v>4</v>
      </c>
      <c r="AN45" s="497" t="s">
        <v>4</v>
      </c>
      <c r="AO45" s="497" t="s">
        <v>31599</v>
      </c>
      <c r="AP45" s="497" t="s">
        <v>4</v>
      </c>
      <c r="AQ45" s="497" t="s">
        <v>31600</v>
      </c>
      <c r="AR45" s="497" t="s">
        <v>4</v>
      </c>
      <c r="AS45" s="497" t="s">
        <v>31538</v>
      </c>
      <c r="AT45" s="497" t="s">
        <v>4</v>
      </c>
      <c r="AU45" s="497" t="s">
        <v>7</v>
      </c>
      <c r="AV45" s="497" t="s">
        <v>4</v>
      </c>
      <c r="AW45" s="497" t="s">
        <v>4</v>
      </c>
      <c r="AX45" s="497" t="s">
        <v>7</v>
      </c>
      <c r="AY45" s="497" t="s">
        <v>11</v>
      </c>
      <c r="AZ45" s="497" t="s">
        <v>4</v>
      </c>
      <c r="BA45" s="497" t="s">
        <v>31563</v>
      </c>
      <c r="BB45" s="497" t="s">
        <v>22</v>
      </c>
      <c r="BC45" s="497" t="s">
        <v>4</v>
      </c>
      <c r="BD45" s="497" t="s">
        <v>31564</v>
      </c>
      <c r="BE45" s="497" t="s">
        <v>4</v>
      </c>
      <c r="BF45" s="497" t="s">
        <v>31542</v>
      </c>
      <c r="BG45" s="497" t="s">
        <v>34718</v>
      </c>
      <c r="BH45" s="497" t="s">
        <v>31616</v>
      </c>
      <c r="BI45" s="497">
        <v>1</v>
      </c>
      <c r="BJ45" s="497">
        <v>180</v>
      </c>
      <c r="BK45" s="497" t="s">
        <v>7</v>
      </c>
      <c r="BL45" s="497" t="s">
        <v>6</v>
      </c>
      <c r="BM45" s="497" t="s">
        <v>4</v>
      </c>
      <c r="BN45" s="497" t="s">
        <v>31429</v>
      </c>
      <c r="BO45" s="497">
        <v>2</v>
      </c>
      <c r="BP45" s="497">
        <v>40</v>
      </c>
      <c r="BQ45" s="497" t="s">
        <v>31426</v>
      </c>
      <c r="BR45" s="499" t="s">
        <v>33361</v>
      </c>
      <c r="BS45" s="497" t="s">
        <v>4</v>
      </c>
      <c r="BT45" s="497">
        <v>6</v>
      </c>
      <c r="BU45" s="494" cm="1">
        <f t="array" ref="BU45">_xlfn.IFS(BQ45="Foreword vehicle",BT45*0,BQ45="Human wastes",BT45*0,BS45="Jerrycans",BT45*$BT$4,BQ45="Number of Basins",BT45*$BT$5,BQ45="Number of Buckets",BT45*$BS$6,BQ45="Number of Kgs",BT45*$BT$7,BQ45="Number of spades",BT45*$BT$8,BQ45="Number of wheelbarrows",BT45*$BT$9,BS45="Septic Tank",BT45*0)</f>
        <v>141</v>
      </c>
      <c r="BV45" s="494">
        <f>Table15[[#This Row],[Calculation: Conversion of metric to Kg manure feeding (Columns: BP, BQ, BR)]]*Table15[[#This Row],[Number of times used to feed biodigester]]</f>
        <v>282</v>
      </c>
      <c r="BW45" s="495" cm="1">
        <f t="array" ref="BW45">_xlfn.IFS(BN45="Number of times per day (1 to 3)",BV45/$BW$3,BN45="Number of times per week (1 to 6)",BV45/$BW$4,BN45="Number of times per Month (1 to 3)",BV45/$BW$5)</f>
        <v>40.285714285714285</v>
      </c>
      <c r="BX45" s="497" t="s">
        <v>22</v>
      </c>
      <c r="BY45" s="497" t="s">
        <v>4</v>
      </c>
      <c r="BZ45" s="497" t="s">
        <v>2</v>
      </c>
      <c r="CA45" s="497" t="s">
        <v>4</v>
      </c>
      <c r="CB45" s="497" t="s">
        <v>4</v>
      </c>
      <c r="CC45" s="497" t="s">
        <v>4</v>
      </c>
      <c r="CD45" s="497" t="s">
        <v>7</v>
      </c>
      <c r="CE45" s="497" t="s">
        <v>34719</v>
      </c>
      <c r="CF45" s="497" t="s">
        <v>4</v>
      </c>
      <c r="CG45" s="497" t="s">
        <v>33334</v>
      </c>
      <c r="CH45" s="497">
        <v>0</v>
      </c>
      <c r="CI45" s="497">
        <v>5</v>
      </c>
      <c r="CJ45" s="497">
        <v>0</v>
      </c>
      <c r="CK45" s="497">
        <v>0</v>
      </c>
      <c r="CL45" s="497">
        <v>8</v>
      </c>
      <c r="CM45" s="497">
        <v>10</v>
      </c>
      <c r="CN45" s="497">
        <v>0</v>
      </c>
      <c r="CO45" s="497">
        <v>0</v>
      </c>
      <c r="CP45" s="497">
        <v>0</v>
      </c>
      <c r="CQ45" s="497">
        <v>0</v>
      </c>
      <c r="CR45" s="497">
        <f>IF(Table15[[#This Row],[Is your biodigester working?]]="yes",CO45/'SDG outcome'!$C$9*CP45*CQ45,"")</f>
        <v>0</v>
      </c>
      <c r="CS45" s="497" t="s">
        <v>4</v>
      </c>
      <c r="CT45" s="500" t="s">
        <v>4</v>
      </c>
      <c r="CU45" s="496" t="s">
        <v>4</v>
      </c>
      <c r="CV45" s="497">
        <v>100</v>
      </c>
      <c r="CW45" s="500">
        <v>0</v>
      </c>
      <c r="CX45" s="496" t="s">
        <v>4</v>
      </c>
      <c r="CY45" s="497" t="s">
        <v>4</v>
      </c>
      <c r="CZ45" s="500" t="s">
        <v>4</v>
      </c>
      <c r="DA45" s="496" t="s">
        <v>4</v>
      </c>
      <c r="DB45" s="497" t="s">
        <v>4</v>
      </c>
      <c r="DC45" s="497" t="s">
        <v>4</v>
      </c>
      <c r="DD45" s="497" t="s">
        <v>4</v>
      </c>
      <c r="DE45" s="497">
        <v>0</v>
      </c>
      <c r="DF45" s="497">
        <v>100</v>
      </c>
      <c r="DG45" s="497" t="s">
        <v>34720</v>
      </c>
      <c r="DH45" s="497" t="s">
        <v>4</v>
      </c>
      <c r="DI45" s="497" t="s">
        <v>4</v>
      </c>
      <c r="DJ45" s="497" t="s">
        <v>4</v>
      </c>
      <c r="DK45" s="497">
        <v>0</v>
      </c>
      <c r="DL45" s="497">
        <v>100</v>
      </c>
      <c r="DM45" s="497" t="s">
        <v>34720</v>
      </c>
      <c r="DN45" s="497">
        <v>3</v>
      </c>
      <c r="DO45" s="497" t="s">
        <v>7</v>
      </c>
      <c r="DP45" s="497" t="s">
        <v>29292</v>
      </c>
      <c r="DQ45" s="497" t="s">
        <v>4</v>
      </c>
      <c r="DR45" s="497" t="s">
        <v>29294</v>
      </c>
      <c r="DS45" s="494" t="s">
        <v>4</v>
      </c>
      <c r="DT45" s="497" t="s">
        <v>29294</v>
      </c>
      <c r="DU45" s="494" t="s">
        <v>4</v>
      </c>
      <c r="DV45" s="500" t="s">
        <v>29508</v>
      </c>
      <c r="DW45" s="496" t="s">
        <v>4</v>
      </c>
      <c r="DX45" s="497" t="s">
        <v>4</v>
      </c>
      <c r="DY45" s="497" t="s">
        <v>4</v>
      </c>
      <c r="DZ45" s="497" t="s">
        <v>4</v>
      </c>
      <c r="EA45" s="497" t="s">
        <v>4</v>
      </c>
      <c r="EB45" s="497" t="s">
        <v>4</v>
      </c>
      <c r="EC45" s="497" t="s">
        <v>4</v>
      </c>
      <c r="ED45" s="497">
        <v>100</v>
      </c>
      <c r="EE45" s="497" t="s">
        <v>29719</v>
      </c>
      <c r="EF45" s="497" t="s">
        <v>4</v>
      </c>
      <c r="EG45" s="497" t="s">
        <v>4</v>
      </c>
      <c r="EH45" s="497" t="s">
        <v>4</v>
      </c>
      <c r="EI45" s="497" t="s">
        <v>4</v>
      </c>
      <c r="EJ45" s="497">
        <v>100</v>
      </c>
      <c r="EK45" s="497" t="s">
        <v>4</v>
      </c>
      <c r="EL45" s="497" t="s">
        <v>4</v>
      </c>
      <c r="EM45" s="497">
        <v>150</v>
      </c>
      <c r="EN45" s="497" t="s">
        <v>4</v>
      </c>
      <c r="EO45" s="497" t="s">
        <v>4</v>
      </c>
      <c r="EP45" s="497" t="s">
        <v>4</v>
      </c>
      <c r="EQ45" s="497" t="s">
        <v>29296</v>
      </c>
      <c r="ER45" s="497">
        <v>100</v>
      </c>
      <c r="ES45" s="497" t="s">
        <v>4</v>
      </c>
      <c r="ET45" s="497" t="s">
        <v>4</v>
      </c>
      <c r="EU45" s="497" t="s">
        <v>4</v>
      </c>
      <c r="EV45" s="497" t="s">
        <v>4</v>
      </c>
      <c r="EW45" s="497">
        <v>15</v>
      </c>
      <c r="EX45" s="497" t="s">
        <v>7</v>
      </c>
      <c r="EY45" s="497">
        <v>13.3</v>
      </c>
      <c r="EZ45" s="239">
        <f t="shared" si="1"/>
        <v>1.9950000000000001</v>
      </c>
      <c r="FA45" s="497" t="s">
        <v>29952</v>
      </c>
      <c r="FB45" s="497" t="s">
        <v>29298</v>
      </c>
      <c r="FC45" s="497">
        <v>12</v>
      </c>
      <c r="FD45" s="497" t="s">
        <v>7</v>
      </c>
      <c r="FE45" s="497" t="s">
        <v>29299</v>
      </c>
      <c r="FF45" s="497" t="s">
        <v>4</v>
      </c>
      <c r="FG45" s="497" t="s">
        <v>7</v>
      </c>
      <c r="FH45" s="497" t="s">
        <v>29299</v>
      </c>
      <c r="FI45" s="497" t="s">
        <v>4</v>
      </c>
      <c r="FJ45" s="497" t="s">
        <v>13</v>
      </c>
      <c r="FK45" s="497" t="s">
        <v>34721</v>
      </c>
      <c r="FL45" s="497" t="s">
        <v>4</v>
      </c>
      <c r="FM45" s="497" t="s">
        <v>4</v>
      </c>
      <c r="FN45" s="494" t="s">
        <v>4</v>
      </c>
      <c r="FO45" s="497" t="s">
        <v>4</v>
      </c>
      <c r="FP45" s="497" t="s">
        <v>2</v>
      </c>
      <c r="FQ45" s="497" t="s">
        <v>4</v>
      </c>
      <c r="FR45" s="497" t="s">
        <v>4</v>
      </c>
      <c r="FS45" s="497" t="s">
        <v>7</v>
      </c>
      <c r="FT45" s="497" t="s">
        <v>7</v>
      </c>
      <c r="FU45" s="497" t="s">
        <v>29302</v>
      </c>
      <c r="FV45" s="497" t="s">
        <v>34722</v>
      </c>
      <c r="FW45" s="497" t="s">
        <v>4</v>
      </c>
      <c r="FX45" s="497">
        <v>0</v>
      </c>
      <c r="FY45" s="497" t="s">
        <v>4</v>
      </c>
      <c r="FZ45" s="497" t="s">
        <v>4</v>
      </c>
      <c r="GA45" s="497" t="s">
        <v>4</v>
      </c>
      <c r="GB45" s="497" t="s">
        <v>4</v>
      </c>
      <c r="GC45" s="497" t="s">
        <v>4</v>
      </c>
      <c r="GD45" s="497" t="s">
        <v>4</v>
      </c>
      <c r="GE45" s="497" t="s">
        <v>4</v>
      </c>
      <c r="GF45" s="497" t="s">
        <v>4</v>
      </c>
      <c r="GG45" s="497" t="s">
        <v>4</v>
      </c>
      <c r="GH45" s="497" t="s">
        <v>4</v>
      </c>
      <c r="GI45" s="497" t="s">
        <v>29304</v>
      </c>
      <c r="GJ45" s="497" t="s">
        <v>29305</v>
      </c>
      <c r="GK45" s="497" t="s">
        <v>29306</v>
      </c>
      <c r="GL45" s="497" t="s">
        <v>4</v>
      </c>
      <c r="GM45" s="497" t="s">
        <v>4</v>
      </c>
      <c r="GN45" s="497" t="s">
        <v>4</v>
      </c>
      <c r="GO45" s="497" t="s">
        <v>4</v>
      </c>
      <c r="GP45" s="497" t="s">
        <v>4</v>
      </c>
      <c r="GQ45" s="497" t="s">
        <v>4</v>
      </c>
      <c r="GR45" s="497" t="s">
        <v>4</v>
      </c>
      <c r="GS45" s="497" t="s">
        <v>4</v>
      </c>
      <c r="GT45" s="497" t="s">
        <v>29354</v>
      </c>
      <c r="GU45" s="497" t="s">
        <v>4</v>
      </c>
      <c r="GV45" s="494">
        <v>100</v>
      </c>
      <c r="GW45" s="497" t="s">
        <v>2</v>
      </c>
      <c r="GX45" s="497" t="s">
        <v>29837</v>
      </c>
      <c r="GY45" s="497" t="s">
        <v>4</v>
      </c>
      <c r="GZ45" s="497" t="s">
        <v>4</v>
      </c>
      <c r="HA45" s="497" t="s">
        <v>4</v>
      </c>
      <c r="HB45" s="497" t="s">
        <v>4</v>
      </c>
      <c r="HC45" s="497" t="s">
        <v>4</v>
      </c>
      <c r="HD45" s="497" t="s">
        <v>4</v>
      </c>
      <c r="HE45" s="497" t="s">
        <v>4</v>
      </c>
      <c r="HF45" s="497" t="s">
        <v>4</v>
      </c>
      <c r="HG45" s="497" t="s">
        <v>2</v>
      </c>
      <c r="HH45" s="497" t="s">
        <v>4</v>
      </c>
      <c r="HI45" s="497" t="s">
        <v>4</v>
      </c>
      <c r="HJ45" s="497" t="s">
        <v>4</v>
      </c>
      <c r="HK45" s="494" t="s">
        <v>4</v>
      </c>
      <c r="HL45" s="497" t="s">
        <v>34723</v>
      </c>
      <c r="HM45" s="497" t="s">
        <v>2</v>
      </c>
      <c r="HN45" s="497" t="s">
        <v>4</v>
      </c>
      <c r="HO45" s="497" t="s">
        <v>34724</v>
      </c>
      <c r="HP45" s="497" t="s">
        <v>34725</v>
      </c>
      <c r="HQ45" s="497" t="s">
        <v>34726</v>
      </c>
      <c r="HR45" s="497" t="s">
        <v>34727</v>
      </c>
      <c r="HS45" s="497" t="s">
        <v>34728</v>
      </c>
      <c r="HT45" s="500" t="s">
        <v>34715</v>
      </c>
    </row>
    <row r="46" spans="1:228" s="570" customFormat="1" ht="30.2" customHeight="1" x14ac:dyDescent="0.25">
      <c r="A46" s="759"/>
      <c r="B46" s="496">
        <v>18</v>
      </c>
      <c r="C46" s="496" t="s">
        <v>27957</v>
      </c>
      <c r="D46" s="497" t="s">
        <v>33546</v>
      </c>
      <c r="E46" s="497" t="s">
        <v>52</v>
      </c>
      <c r="F46" s="497" t="s">
        <v>7</v>
      </c>
      <c r="G46" s="497" t="s">
        <v>33547</v>
      </c>
      <c r="H46" s="497">
        <v>1622.7</v>
      </c>
      <c r="I46" s="497">
        <v>29.5</v>
      </c>
      <c r="J46" s="497" t="s">
        <v>29288</v>
      </c>
      <c r="K46" s="497" t="s">
        <v>4</v>
      </c>
      <c r="L46" s="497" t="s">
        <v>33548</v>
      </c>
      <c r="M46" s="497">
        <v>704466904</v>
      </c>
      <c r="N46" s="497" t="s">
        <v>3</v>
      </c>
      <c r="O46" s="497" t="s">
        <v>31598</v>
      </c>
      <c r="P46" s="497" t="s">
        <v>4</v>
      </c>
      <c r="Q46" s="497">
        <v>2</v>
      </c>
      <c r="R46" s="497" t="s">
        <v>7</v>
      </c>
      <c r="S46" s="497" t="s">
        <v>31549</v>
      </c>
      <c r="T46" s="497" t="s">
        <v>4</v>
      </c>
      <c r="U46" s="497" t="s">
        <v>7</v>
      </c>
      <c r="V46" s="497" t="s">
        <v>7</v>
      </c>
      <c r="W46" s="497" t="s">
        <v>4</v>
      </c>
      <c r="X46" s="497" t="s">
        <v>7</v>
      </c>
      <c r="Y46" s="497" t="s">
        <v>4</v>
      </c>
      <c r="Z46" s="497" t="s">
        <v>4</v>
      </c>
      <c r="AA46" s="241" t="str">
        <f>IF(OR(U46="yes",Z46&gt;'SDG outcome'!$C$39),"yes","no")</f>
        <v>yes</v>
      </c>
      <c r="AB46" s="521" t="str">
        <f t="shared" si="0"/>
        <v>NA</v>
      </c>
      <c r="AC46" s="527" t="str">
        <f>IF(AND('SMS p2'!AA30="no",AND(Z46&gt;='SDG outcome'!$B$28,Z46&lt;'SDG outcome'!$C$39)),Z46-'SDG outcome'!$B$28,"")</f>
        <v/>
      </c>
      <c r="AD46" s="497" t="s">
        <v>4</v>
      </c>
      <c r="AE46" s="497" t="s">
        <v>4</v>
      </c>
      <c r="AF46" s="497" t="s">
        <v>4</v>
      </c>
      <c r="AG46" s="497" t="s">
        <v>4</v>
      </c>
      <c r="AH46" s="497" t="s">
        <v>4</v>
      </c>
      <c r="AI46" s="497" t="s">
        <v>4</v>
      </c>
      <c r="AJ46" s="497" t="s">
        <v>4</v>
      </c>
      <c r="AK46" s="497" t="s">
        <v>29290</v>
      </c>
      <c r="AL46" s="497" t="s">
        <v>29694</v>
      </c>
      <c r="AM46" s="497" t="s">
        <v>4</v>
      </c>
      <c r="AN46" s="497" t="s">
        <v>4</v>
      </c>
      <c r="AO46" s="497" t="s">
        <v>31536</v>
      </c>
      <c r="AP46" s="497" t="s">
        <v>4</v>
      </c>
      <c r="AQ46" s="497" t="s">
        <v>31537</v>
      </c>
      <c r="AR46" s="497" t="s">
        <v>4</v>
      </c>
      <c r="AS46" s="497" t="s">
        <v>31538</v>
      </c>
      <c r="AT46" s="497" t="s">
        <v>4</v>
      </c>
      <c r="AU46" s="497" t="s">
        <v>7</v>
      </c>
      <c r="AV46" s="497" t="s">
        <v>4</v>
      </c>
      <c r="AW46" s="497" t="s">
        <v>4</v>
      </c>
      <c r="AX46" s="497" t="s">
        <v>2</v>
      </c>
      <c r="AY46" s="497" t="s">
        <v>4</v>
      </c>
      <c r="AZ46" s="497" t="s">
        <v>4</v>
      </c>
      <c r="BA46" s="497" t="s">
        <v>31563</v>
      </c>
      <c r="BB46" s="497" t="s">
        <v>22</v>
      </c>
      <c r="BC46" s="497" t="s">
        <v>4</v>
      </c>
      <c r="BD46" s="497" t="s">
        <v>31564</v>
      </c>
      <c r="BE46" s="497" t="s">
        <v>4</v>
      </c>
      <c r="BF46" s="497" t="s">
        <v>31542</v>
      </c>
      <c r="BG46" s="497" t="s">
        <v>33549</v>
      </c>
      <c r="BH46" s="497" t="s">
        <v>31632</v>
      </c>
      <c r="BI46" s="497">
        <v>4</v>
      </c>
      <c r="BJ46" s="497">
        <v>72</v>
      </c>
      <c r="BK46" s="497" t="s">
        <v>7</v>
      </c>
      <c r="BL46" s="497" t="s">
        <v>6</v>
      </c>
      <c r="BM46" s="497" t="s">
        <v>4</v>
      </c>
      <c r="BN46" s="497" t="s">
        <v>31429</v>
      </c>
      <c r="BO46" s="497">
        <v>1</v>
      </c>
      <c r="BP46" s="497">
        <v>60</v>
      </c>
      <c r="BQ46" s="497" t="s">
        <v>31434</v>
      </c>
      <c r="BR46" s="499" t="s">
        <v>33332</v>
      </c>
      <c r="BS46" s="497" t="s">
        <v>4</v>
      </c>
      <c r="BT46" s="497">
        <v>3</v>
      </c>
      <c r="BU46" s="494" cm="1">
        <f t="array" ref="BU46">_xlfn.IFS(BQ46="Foreword vehicle",BT46*0,BQ46="Human wastes",BT46*0,BS46="Jerrycans",BT46*$BT$4,BQ46="Number of Basins",BT46*$BT$5,BQ46="Number of Buckets",BT46*$BT$6,BQ46="Number of Kgs",BT46*$BT$7,BQ46="Number of spades",BT46*$BT$8,BQ46="Number of wheelbarrows",BT46*$BT$9,BS46="Septic Tank",BT46*0)</f>
        <v>48</v>
      </c>
      <c r="BV46" s="494">
        <f>Table15[[#This Row],[Calculation: Conversion of metric to Kg manure feeding (Columns: BP, BQ, BR)]]*Table15[[#This Row],[Number of times used to feed biodigester]]</f>
        <v>48</v>
      </c>
      <c r="BW46" s="495" cm="1">
        <f t="array" ref="BW46">_xlfn.IFS(BN46="Number of times per day (1 to 3)",BV46/$BW$3,BN46="Number of times per week (1 to 6)",BV46/$BW$4,BN46="Number of times per Month (1 to 3)",BV46/$BW$5)</f>
        <v>6.8571428571428568</v>
      </c>
      <c r="BX46" s="497" t="s">
        <v>31541</v>
      </c>
      <c r="BY46" s="497" t="s">
        <v>4</v>
      </c>
      <c r="BZ46" s="497" t="s">
        <v>2</v>
      </c>
      <c r="CA46" s="497" t="s">
        <v>4</v>
      </c>
      <c r="CB46" s="497" t="s">
        <v>4</v>
      </c>
      <c r="CC46" s="497" t="s">
        <v>4</v>
      </c>
      <c r="CD46" s="497" t="s">
        <v>7</v>
      </c>
      <c r="CE46" s="497" t="s">
        <v>33468</v>
      </c>
      <c r="CF46" s="497" t="s">
        <v>4</v>
      </c>
      <c r="CG46" s="497" t="s">
        <v>31634</v>
      </c>
      <c r="CH46" s="497">
        <v>4</v>
      </c>
      <c r="CI46" s="497">
        <v>0</v>
      </c>
      <c r="CJ46" s="497">
        <v>0</v>
      </c>
      <c r="CK46" s="497">
        <v>0</v>
      </c>
      <c r="CL46" s="497">
        <v>5</v>
      </c>
      <c r="CM46" s="497">
        <v>0</v>
      </c>
      <c r="CN46" s="497">
        <v>0</v>
      </c>
      <c r="CO46" s="497">
        <v>0</v>
      </c>
      <c r="CP46" s="497">
        <v>0</v>
      </c>
      <c r="CQ46" s="497">
        <v>0</v>
      </c>
      <c r="CR46" s="497">
        <f>IF(Table15[[#This Row],[Is your biodigester working?]]="yes",CO46/'SDG outcome'!$C$9*CP46*CQ46,"")</f>
        <v>0</v>
      </c>
      <c r="CS46" s="497">
        <v>50</v>
      </c>
      <c r="CT46" s="500">
        <v>50</v>
      </c>
      <c r="CU46" s="496" t="s">
        <v>33550</v>
      </c>
      <c r="CV46" s="497" t="s">
        <v>4</v>
      </c>
      <c r="CW46" s="500" t="s">
        <v>4</v>
      </c>
      <c r="CX46" s="496" t="s">
        <v>4</v>
      </c>
      <c r="CY46" s="497" t="s">
        <v>4</v>
      </c>
      <c r="CZ46" s="500" t="s">
        <v>4</v>
      </c>
      <c r="DA46" s="496" t="s">
        <v>4</v>
      </c>
      <c r="DB46" s="497" t="s">
        <v>4</v>
      </c>
      <c r="DC46" s="497" t="s">
        <v>4</v>
      </c>
      <c r="DD46" s="497" t="s">
        <v>4</v>
      </c>
      <c r="DE46" s="497" t="s">
        <v>4</v>
      </c>
      <c r="DF46" s="497" t="s">
        <v>4</v>
      </c>
      <c r="DG46" s="497" t="s">
        <v>4</v>
      </c>
      <c r="DH46" s="497" t="s">
        <v>4</v>
      </c>
      <c r="DI46" s="497" t="s">
        <v>4</v>
      </c>
      <c r="DJ46" s="497" t="s">
        <v>4</v>
      </c>
      <c r="DK46" s="497">
        <v>0</v>
      </c>
      <c r="DL46" s="497">
        <v>100</v>
      </c>
      <c r="DM46" s="497" t="s">
        <v>33551</v>
      </c>
      <c r="DN46" s="497">
        <v>1.5</v>
      </c>
      <c r="DO46" s="497" t="s">
        <v>2</v>
      </c>
      <c r="DP46" s="497" t="s">
        <v>29375</v>
      </c>
      <c r="DQ46" s="497" t="s">
        <v>4</v>
      </c>
      <c r="DR46" s="497" t="s">
        <v>4</v>
      </c>
      <c r="DS46" s="494" t="s">
        <v>4</v>
      </c>
      <c r="DT46" s="497" t="s">
        <v>29294</v>
      </c>
      <c r="DU46" s="494" t="s">
        <v>4</v>
      </c>
      <c r="DV46" s="500" t="s">
        <v>29295</v>
      </c>
      <c r="DW46" s="496">
        <v>100</v>
      </c>
      <c r="DX46" s="497" t="s">
        <v>29296</v>
      </c>
      <c r="DY46" s="497">
        <v>100</v>
      </c>
      <c r="DZ46" s="497" t="s">
        <v>4</v>
      </c>
      <c r="EA46" s="497" t="s">
        <v>4</v>
      </c>
      <c r="EB46" s="497" t="s">
        <v>4</v>
      </c>
      <c r="EC46" s="497" t="s">
        <v>4</v>
      </c>
      <c r="ED46" s="497" t="s">
        <v>4</v>
      </c>
      <c r="EE46" s="497" t="s">
        <v>4</v>
      </c>
      <c r="EF46" s="497" t="s">
        <v>4</v>
      </c>
      <c r="EG46" s="497" t="s">
        <v>4</v>
      </c>
      <c r="EH46" s="497" t="s">
        <v>4</v>
      </c>
      <c r="EI46" s="497" t="s">
        <v>4</v>
      </c>
      <c r="EJ46" s="497" t="s">
        <v>4</v>
      </c>
      <c r="EK46" s="497" t="s">
        <v>4</v>
      </c>
      <c r="EL46" s="497" t="s">
        <v>4</v>
      </c>
      <c r="EM46" s="497" t="s">
        <v>4</v>
      </c>
      <c r="EN46" s="497" t="s">
        <v>4</v>
      </c>
      <c r="EO46" s="497" t="s">
        <v>4</v>
      </c>
      <c r="EP46" s="497" t="s">
        <v>4</v>
      </c>
      <c r="EQ46" s="497" t="s">
        <v>4</v>
      </c>
      <c r="ER46" s="497" t="s">
        <v>4</v>
      </c>
      <c r="ES46" s="497" t="s">
        <v>4</v>
      </c>
      <c r="ET46" s="497" t="s">
        <v>4</v>
      </c>
      <c r="EU46" s="497" t="s">
        <v>4</v>
      </c>
      <c r="EV46" s="497" t="s">
        <v>4</v>
      </c>
      <c r="EW46" s="497">
        <v>2.4300000000000002</v>
      </c>
      <c r="EX46" s="497" t="s">
        <v>7</v>
      </c>
      <c r="EY46" s="497">
        <v>80</v>
      </c>
      <c r="EZ46" s="239">
        <f t="shared" si="1"/>
        <v>1.944</v>
      </c>
      <c r="FA46" s="497" t="s">
        <v>33552</v>
      </c>
      <c r="FB46" s="497" t="s">
        <v>29298</v>
      </c>
      <c r="FC46" s="497">
        <v>118</v>
      </c>
      <c r="FD46" s="497" t="s">
        <v>7</v>
      </c>
      <c r="FE46" s="497" t="s">
        <v>29555</v>
      </c>
      <c r="FF46" s="497" t="s">
        <v>4</v>
      </c>
      <c r="FG46" s="497" t="s">
        <v>2</v>
      </c>
      <c r="FH46" s="497" t="s">
        <v>4</v>
      </c>
      <c r="FI46" s="497" t="s">
        <v>4</v>
      </c>
      <c r="FJ46" s="497" t="s">
        <v>4</v>
      </c>
      <c r="FK46" s="497" t="s">
        <v>4</v>
      </c>
      <c r="FL46" s="497" t="s">
        <v>4</v>
      </c>
      <c r="FM46" s="497" t="s">
        <v>4</v>
      </c>
      <c r="FN46" s="494" t="s">
        <v>4</v>
      </c>
      <c r="FO46" s="497" t="s">
        <v>4</v>
      </c>
      <c r="FP46" s="497" t="s">
        <v>2</v>
      </c>
      <c r="FQ46" s="497" t="s">
        <v>4</v>
      </c>
      <c r="FR46" s="497" t="s">
        <v>4</v>
      </c>
      <c r="FS46" s="497" t="s">
        <v>2</v>
      </c>
      <c r="FT46" s="497" t="s">
        <v>7</v>
      </c>
      <c r="FU46" s="497" t="s">
        <v>29302</v>
      </c>
      <c r="FV46" s="497" t="s">
        <v>33553</v>
      </c>
      <c r="FW46" s="497" t="s">
        <v>29304</v>
      </c>
      <c r="FX46" s="497">
        <v>0.66</v>
      </c>
      <c r="FY46" s="497" t="s">
        <v>29305</v>
      </c>
      <c r="FZ46" s="497" t="s">
        <v>29306</v>
      </c>
      <c r="GA46" s="497" t="s">
        <v>4</v>
      </c>
      <c r="GB46" s="497" t="s">
        <v>4</v>
      </c>
      <c r="GC46" s="497" t="s">
        <v>4</v>
      </c>
      <c r="GD46" s="497" t="s">
        <v>4</v>
      </c>
      <c r="GE46" s="497" t="s">
        <v>4</v>
      </c>
      <c r="GF46" s="497" t="s">
        <v>4</v>
      </c>
      <c r="GG46" s="497" t="s">
        <v>4</v>
      </c>
      <c r="GH46" s="497" t="s">
        <v>4</v>
      </c>
      <c r="GI46" s="497" t="s">
        <v>4</v>
      </c>
      <c r="GJ46" s="497" t="s">
        <v>4</v>
      </c>
      <c r="GK46" s="497" t="s">
        <v>4</v>
      </c>
      <c r="GL46" s="497" t="s">
        <v>4</v>
      </c>
      <c r="GM46" s="497" t="s">
        <v>4</v>
      </c>
      <c r="GN46" s="497" t="s">
        <v>4</v>
      </c>
      <c r="GO46" s="497" t="s">
        <v>4</v>
      </c>
      <c r="GP46" s="497" t="s">
        <v>4</v>
      </c>
      <c r="GQ46" s="497" t="s">
        <v>4</v>
      </c>
      <c r="GR46" s="497" t="s">
        <v>4</v>
      </c>
      <c r="GS46" s="497" t="s">
        <v>4</v>
      </c>
      <c r="GT46" s="497" t="s">
        <v>29452</v>
      </c>
      <c r="GU46" s="497" t="s">
        <v>4</v>
      </c>
      <c r="GV46" s="494">
        <v>5</v>
      </c>
      <c r="GW46" s="497" t="s">
        <v>7</v>
      </c>
      <c r="GX46" s="497" t="s">
        <v>29309</v>
      </c>
      <c r="GY46" s="497" t="s">
        <v>4</v>
      </c>
      <c r="GZ46" s="497" t="s">
        <v>4</v>
      </c>
      <c r="HA46" s="497" t="s">
        <v>4</v>
      </c>
      <c r="HB46" s="497" t="s">
        <v>4</v>
      </c>
      <c r="HC46" s="497" t="s">
        <v>4</v>
      </c>
      <c r="HD46" s="497" t="s">
        <v>4</v>
      </c>
      <c r="HE46" s="497" t="s">
        <v>4</v>
      </c>
      <c r="HF46" s="497" t="s">
        <v>4</v>
      </c>
      <c r="HG46" s="497" t="s">
        <v>2</v>
      </c>
      <c r="HH46" s="497" t="s">
        <v>4</v>
      </c>
      <c r="HI46" s="497" t="s">
        <v>4</v>
      </c>
      <c r="HJ46" s="497" t="s">
        <v>4</v>
      </c>
      <c r="HK46" s="494" t="s">
        <v>4</v>
      </c>
      <c r="HL46" s="497" t="s">
        <v>33474</v>
      </c>
      <c r="HM46" s="497" t="s">
        <v>2</v>
      </c>
      <c r="HN46" s="497" t="s">
        <v>4</v>
      </c>
      <c r="HO46" s="497" t="s">
        <v>16</v>
      </c>
      <c r="HP46" s="497" t="s">
        <v>33554</v>
      </c>
      <c r="HQ46" s="497" t="s">
        <v>33555</v>
      </c>
      <c r="HR46" s="497" t="s">
        <v>33556</v>
      </c>
      <c r="HS46" s="497" t="s">
        <v>33557</v>
      </c>
      <c r="HT46" s="500" t="s">
        <v>33558</v>
      </c>
    </row>
    <row r="47" spans="1:228" s="570" customFormat="1" ht="30.2" customHeight="1" x14ac:dyDescent="0.25">
      <c r="A47" s="759"/>
      <c r="B47" s="496">
        <v>84</v>
      </c>
      <c r="C47" s="517" t="s">
        <v>29123</v>
      </c>
      <c r="D47" s="501" t="s">
        <v>34326</v>
      </c>
      <c r="E47" s="501" t="s">
        <v>30002</v>
      </c>
      <c r="F47" s="501" t="s">
        <v>7</v>
      </c>
      <c r="G47" s="501" t="s">
        <v>34327</v>
      </c>
      <c r="H47" s="501">
        <v>1175.0999999999999</v>
      </c>
      <c r="I47" s="501">
        <v>5</v>
      </c>
      <c r="J47" s="501" t="s">
        <v>29319</v>
      </c>
      <c r="K47" s="501" t="s">
        <v>4</v>
      </c>
      <c r="L47" s="501" t="s">
        <v>34328</v>
      </c>
      <c r="M47" s="501">
        <v>702442548</v>
      </c>
      <c r="N47" s="501" t="s">
        <v>5</v>
      </c>
      <c r="O47" s="501" t="s">
        <v>31438</v>
      </c>
      <c r="P47" s="501">
        <v>80</v>
      </c>
      <c r="Q47" s="501">
        <v>6</v>
      </c>
      <c r="R47" s="501" t="s">
        <v>7</v>
      </c>
      <c r="S47" s="501" t="s">
        <v>31549</v>
      </c>
      <c r="T47" s="501" t="s">
        <v>4</v>
      </c>
      <c r="U47" s="501" t="s">
        <v>7</v>
      </c>
      <c r="V47" s="501" t="s">
        <v>7</v>
      </c>
      <c r="W47" s="501" t="s">
        <v>4</v>
      </c>
      <c r="X47" s="501" t="s">
        <v>7</v>
      </c>
      <c r="Y47" s="501" t="s">
        <v>4</v>
      </c>
      <c r="Z47" s="501" t="s">
        <v>4</v>
      </c>
      <c r="AA47" s="241" t="str">
        <f>IF(OR(U47="yes",Z47&gt;'SDG outcome'!$C$39),"yes","no")</f>
        <v>yes</v>
      </c>
      <c r="AB47" s="522" t="str">
        <f t="shared" si="0"/>
        <v>NA</v>
      </c>
      <c r="AC47" s="528" t="str">
        <f>IF(AND('SMS p2'!AA96="no",AND(Z47&gt;='SDG outcome'!$B$28,Z47&lt;'SDG outcome'!$C$39)),Z47-'SDG outcome'!$B$28,"")</f>
        <v/>
      </c>
      <c r="AD47" s="501" t="s">
        <v>4</v>
      </c>
      <c r="AE47" s="501" t="s">
        <v>4</v>
      </c>
      <c r="AF47" s="501" t="s">
        <v>4</v>
      </c>
      <c r="AG47" s="501" t="s">
        <v>4</v>
      </c>
      <c r="AH47" s="501" t="s">
        <v>4</v>
      </c>
      <c r="AI47" s="501" t="s">
        <v>4</v>
      </c>
      <c r="AJ47" s="501" t="s">
        <v>4</v>
      </c>
      <c r="AK47" s="501" t="s">
        <v>29290</v>
      </c>
      <c r="AL47" s="501" t="s">
        <v>29291</v>
      </c>
      <c r="AM47" s="501" t="s">
        <v>4</v>
      </c>
      <c r="AN47" s="501" t="s">
        <v>4</v>
      </c>
      <c r="AO47" s="501" t="s">
        <v>31599</v>
      </c>
      <c r="AP47" s="501" t="s">
        <v>4</v>
      </c>
      <c r="AQ47" s="501" t="s">
        <v>31600</v>
      </c>
      <c r="AR47" s="501" t="s">
        <v>4</v>
      </c>
      <c r="AS47" s="501" t="s">
        <v>31538</v>
      </c>
      <c r="AT47" s="501" t="s">
        <v>4</v>
      </c>
      <c r="AU47" s="501" t="s">
        <v>7</v>
      </c>
      <c r="AV47" s="501" t="s">
        <v>4</v>
      </c>
      <c r="AW47" s="501" t="s">
        <v>4</v>
      </c>
      <c r="AX47" s="501" t="s">
        <v>2</v>
      </c>
      <c r="AY47" s="501" t="s">
        <v>4</v>
      </c>
      <c r="AZ47" s="501" t="s">
        <v>4</v>
      </c>
      <c r="BA47" s="501" t="s">
        <v>31563</v>
      </c>
      <c r="BB47" s="501" t="s">
        <v>22</v>
      </c>
      <c r="BC47" s="501" t="s">
        <v>4</v>
      </c>
      <c r="BD47" s="501" t="s">
        <v>31552</v>
      </c>
      <c r="BE47" s="501" t="s">
        <v>4</v>
      </c>
      <c r="BF47" s="501" t="s">
        <v>31542</v>
      </c>
      <c r="BG47" s="501" t="s">
        <v>34329</v>
      </c>
      <c r="BH47" s="501" t="s">
        <v>31566</v>
      </c>
      <c r="BI47" s="501">
        <v>1</v>
      </c>
      <c r="BJ47" s="501">
        <v>60</v>
      </c>
      <c r="BK47" s="501" t="s">
        <v>7</v>
      </c>
      <c r="BL47" s="501" t="s">
        <v>6</v>
      </c>
      <c r="BM47" s="497" t="s">
        <v>4</v>
      </c>
      <c r="BN47" s="501" t="s">
        <v>31429</v>
      </c>
      <c r="BO47" s="501">
        <v>3</v>
      </c>
      <c r="BP47" s="501">
        <v>90</v>
      </c>
      <c r="BQ47" s="501" t="s">
        <v>31435</v>
      </c>
      <c r="BR47" s="499" t="s">
        <v>33361</v>
      </c>
      <c r="BS47" s="501" t="s">
        <v>4</v>
      </c>
      <c r="BT47" s="501">
        <v>3</v>
      </c>
      <c r="BU47" s="502" cm="1">
        <f t="array" ref="BU47">_xlfn.IFS(BQ47="Foreword vehicle",BT47*0,BQ47="Human wastes",BT47*0,BS47="Jerrycans",BT47*$BT$4,BQ47="Number of Basins",BT47*$BT$5,BQ47="Number of Buckets",BT47*$BT$6,BQ47="Number of Kgs",BT47*$BT$7,BQ47="Number of spades",BT47*$BT$8,BQ47="Number of wheelbarrows",BT47*$BS$9,BS47="Septic Tank",BT47*0)</f>
        <v>247.5</v>
      </c>
      <c r="BV47" s="502">
        <f>Table15[[#This Row],[Calculation: Conversion of metric to Kg manure feeding (Columns: BP, BQ, BR)]]*Table15[[#This Row],[Number of times used to feed biodigester]]</f>
        <v>742.5</v>
      </c>
      <c r="BW47" s="503" cm="1">
        <f t="array" ref="BW47">_xlfn.IFS(BN47="Number of times per day (1 to 3)",BV47/$BW$3,BN47="Number of times per week (1 to 6)",BV47/$BW$4,BN47="Number of times per Month (1 to 3)",BV47/$BW$5)</f>
        <v>106.07142857142857</v>
      </c>
      <c r="BX47" s="501" t="s">
        <v>22</v>
      </c>
      <c r="BY47" s="501" t="s">
        <v>4</v>
      </c>
      <c r="BZ47" s="501" t="s">
        <v>2</v>
      </c>
      <c r="CA47" s="501" t="s">
        <v>4</v>
      </c>
      <c r="CB47" s="501" t="s">
        <v>4</v>
      </c>
      <c r="CC47" s="501" t="s">
        <v>4</v>
      </c>
      <c r="CD47" s="501" t="s">
        <v>7</v>
      </c>
      <c r="CE47" s="501" t="s">
        <v>34330</v>
      </c>
      <c r="CF47" s="501" t="s">
        <v>4</v>
      </c>
      <c r="CG47" s="501" t="s">
        <v>31604</v>
      </c>
      <c r="CH47" s="501">
        <v>15</v>
      </c>
      <c r="CI47" s="501">
        <v>0</v>
      </c>
      <c r="CJ47" s="501">
        <v>0</v>
      </c>
      <c r="CK47" s="501">
        <v>0</v>
      </c>
      <c r="CL47" s="501">
        <v>0</v>
      </c>
      <c r="CM47" s="501">
        <v>0</v>
      </c>
      <c r="CN47" s="501">
        <v>0</v>
      </c>
      <c r="CO47" s="501">
        <v>0</v>
      </c>
      <c r="CP47" s="501">
        <v>0</v>
      </c>
      <c r="CQ47" s="501">
        <v>0</v>
      </c>
      <c r="CR47" s="501">
        <f>IF(Table15[[#This Row],[Is your biodigester working?]]="yes",CO47/'SDG outcome'!$C$9*CP47*CQ47,"")</f>
        <v>0</v>
      </c>
      <c r="CS47" s="501">
        <v>30</v>
      </c>
      <c r="CT47" s="519">
        <v>70</v>
      </c>
      <c r="CU47" s="517" t="s">
        <v>34331</v>
      </c>
      <c r="CV47" s="501" t="s">
        <v>4</v>
      </c>
      <c r="CW47" s="519" t="s">
        <v>4</v>
      </c>
      <c r="CX47" s="517" t="s">
        <v>4</v>
      </c>
      <c r="CY47" s="501" t="s">
        <v>4</v>
      </c>
      <c r="CZ47" s="519" t="s">
        <v>4</v>
      </c>
      <c r="DA47" s="517" t="s">
        <v>4</v>
      </c>
      <c r="DB47" s="501" t="s">
        <v>4</v>
      </c>
      <c r="DC47" s="501" t="s">
        <v>4</v>
      </c>
      <c r="DD47" s="501" t="s">
        <v>4</v>
      </c>
      <c r="DE47" s="501" t="s">
        <v>4</v>
      </c>
      <c r="DF47" s="501" t="s">
        <v>4</v>
      </c>
      <c r="DG47" s="501" t="s">
        <v>4</v>
      </c>
      <c r="DH47" s="501" t="s">
        <v>4</v>
      </c>
      <c r="DI47" s="501" t="s">
        <v>4</v>
      </c>
      <c r="DJ47" s="501" t="s">
        <v>4</v>
      </c>
      <c r="DK47" s="501" t="s">
        <v>4</v>
      </c>
      <c r="DL47" s="501" t="s">
        <v>4</v>
      </c>
      <c r="DM47" s="501" t="s">
        <v>4</v>
      </c>
      <c r="DN47" s="501">
        <v>5</v>
      </c>
      <c r="DO47" s="501" t="s">
        <v>7</v>
      </c>
      <c r="DP47" s="501" t="s">
        <v>29292</v>
      </c>
      <c r="DQ47" s="501" t="s">
        <v>4</v>
      </c>
      <c r="DR47" s="501" t="s">
        <v>29294</v>
      </c>
      <c r="DS47" s="502" t="s">
        <v>4</v>
      </c>
      <c r="DT47" s="501" t="s">
        <v>29293</v>
      </c>
      <c r="DU47" s="502">
        <v>250000</v>
      </c>
      <c r="DV47" s="519" t="s">
        <v>29295</v>
      </c>
      <c r="DW47" s="517">
        <v>100</v>
      </c>
      <c r="DX47" s="501" t="s">
        <v>30063</v>
      </c>
      <c r="DY47" s="501">
        <v>80</v>
      </c>
      <c r="DZ47" s="501" t="s">
        <v>4</v>
      </c>
      <c r="EA47" s="501" t="s">
        <v>4</v>
      </c>
      <c r="EB47" s="501">
        <v>20</v>
      </c>
      <c r="EC47" s="501" t="s">
        <v>4</v>
      </c>
      <c r="ED47" s="501" t="s">
        <v>4</v>
      </c>
      <c r="EE47" s="501" t="s">
        <v>4</v>
      </c>
      <c r="EF47" s="501" t="s">
        <v>4</v>
      </c>
      <c r="EG47" s="501" t="s">
        <v>4</v>
      </c>
      <c r="EH47" s="501" t="s">
        <v>4</v>
      </c>
      <c r="EI47" s="501" t="s">
        <v>4</v>
      </c>
      <c r="EJ47" s="501" t="s">
        <v>4</v>
      </c>
      <c r="EK47" s="501" t="s">
        <v>4</v>
      </c>
      <c r="EL47" s="501" t="s">
        <v>4</v>
      </c>
      <c r="EM47" s="501" t="s">
        <v>4</v>
      </c>
      <c r="EN47" s="501" t="s">
        <v>4</v>
      </c>
      <c r="EO47" s="501" t="s">
        <v>4</v>
      </c>
      <c r="EP47" s="501" t="s">
        <v>4</v>
      </c>
      <c r="EQ47" s="501" t="s">
        <v>4</v>
      </c>
      <c r="ER47" s="501" t="s">
        <v>4</v>
      </c>
      <c r="ES47" s="501" t="s">
        <v>4</v>
      </c>
      <c r="ET47" s="501" t="s">
        <v>4</v>
      </c>
      <c r="EU47" s="501" t="s">
        <v>4</v>
      </c>
      <c r="EV47" s="501" t="s">
        <v>4</v>
      </c>
      <c r="EW47" s="501">
        <v>4.0469445568595708</v>
      </c>
      <c r="EX47" s="501" t="s">
        <v>30901</v>
      </c>
      <c r="EY47" s="501">
        <v>45</v>
      </c>
      <c r="EZ47" s="239">
        <f t="shared" si="1"/>
        <v>1.8211250505868068</v>
      </c>
      <c r="FA47" s="501" t="s">
        <v>34332</v>
      </c>
      <c r="FB47" s="501" t="s">
        <v>29298</v>
      </c>
      <c r="FC47" s="501">
        <v>90</v>
      </c>
      <c r="FD47" s="501" t="s">
        <v>2</v>
      </c>
      <c r="FE47" s="501" t="s">
        <v>4</v>
      </c>
      <c r="FF47" s="501" t="s">
        <v>4</v>
      </c>
      <c r="FG47" s="501" t="s">
        <v>2</v>
      </c>
      <c r="FH47" s="501" t="s">
        <v>4</v>
      </c>
      <c r="FI47" s="501" t="s">
        <v>4</v>
      </c>
      <c r="FJ47" s="501" t="s">
        <v>4</v>
      </c>
      <c r="FK47" s="501" t="s">
        <v>4</v>
      </c>
      <c r="FL47" s="501" t="s">
        <v>4</v>
      </c>
      <c r="FM47" s="501" t="s">
        <v>4</v>
      </c>
      <c r="FN47" s="502" t="s">
        <v>4</v>
      </c>
      <c r="FO47" s="501" t="s">
        <v>4</v>
      </c>
      <c r="FP47" s="501" t="s">
        <v>2</v>
      </c>
      <c r="FQ47" s="501" t="s">
        <v>4</v>
      </c>
      <c r="FR47" s="501" t="s">
        <v>4</v>
      </c>
      <c r="FS47" s="501" t="s">
        <v>7</v>
      </c>
      <c r="FT47" s="501" t="s">
        <v>7</v>
      </c>
      <c r="FU47" s="501" t="s">
        <v>29302</v>
      </c>
      <c r="FV47" s="501" t="s">
        <v>33553</v>
      </c>
      <c r="FW47" s="501" t="s">
        <v>4</v>
      </c>
      <c r="FX47" s="501">
        <v>0</v>
      </c>
      <c r="FY47" s="501" t="s">
        <v>4</v>
      </c>
      <c r="FZ47" s="501" t="s">
        <v>4</v>
      </c>
      <c r="GA47" s="501" t="s">
        <v>4</v>
      </c>
      <c r="GB47" s="501" t="s">
        <v>4</v>
      </c>
      <c r="GC47" s="501" t="s">
        <v>4</v>
      </c>
      <c r="GD47" s="501" t="s">
        <v>4</v>
      </c>
      <c r="GE47" s="501" t="s">
        <v>4</v>
      </c>
      <c r="GF47" s="501" t="s">
        <v>4</v>
      </c>
      <c r="GG47" s="501" t="s">
        <v>4</v>
      </c>
      <c r="GH47" s="501" t="s">
        <v>4</v>
      </c>
      <c r="GI47" s="501" t="s">
        <v>29304</v>
      </c>
      <c r="GJ47" s="501" t="s">
        <v>29478</v>
      </c>
      <c r="GK47" s="501" t="s">
        <v>29306</v>
      </c>
      <c r="GL47" s="501" t="s">
        <v>30210</v>
      </c>
      <c r="GM47" s="501" t="s">
        <v>4</v>
      </c>
      <c r="GN47" s="501" t="s">
        <v>4</v>
      </c>
      <c r="GO47" s="501" t="s">
        <v>4</v>
      </c>
      <c r="GP47" s="501" t="s">
        <v>4</v>
      </c>
      <c r="GQ47" s="501" t="s">
        <v>4</v>
      </c>
      <c r="GR47" s="501" t="s">
        <v>4</v>
      </c>
      <c r="GS47" s="501" t="s">
        <v>4</v>
      </c>
      <c r="GT47" s="501" t="s">
        <v>34333</v>
      </c>
      <c r="GU47" s="501" t="s">
        <v>4</v>
      </c>
      <c r="GV47" s="502">
        <v>10</v>
      </c>
      <c r="GW47" s="501" t="s">
        <v>2</v>
      </c>
      <c r="GX47" s="501" t="s">
        <v>29309</v>
      </c>
      <c r="GY47" s="501" t="s">
        <v>4</v>
      </c>
      <c r="GZ47" s="501" t="s">
        <v>4</v>
      </c>
      <c r="HA47" s="501" t="s">
        <v>4</v>
      </c>
      <c r="HB47" s="501" t="s">
        <v>4</v>
      </c>
      <c r="HC47" s="501" t="s">
        <v>4</v>
      </c>
      <c r="HD47" s="501" t="s">
        <v>4</v>
      </c>
      <c r="HE47" s="501" t="s">
        <v>4</v>
      </c>
      <c r="HF47" s="501" t="s">
        <v>4</v>
      </c>
      <c r="HG47" s="501" t="s">
        <v>2</v>
      </c>
      <c r="HH47" s="501" t="s">
        <v>4</v>
      </c>
      <c r="HI47" s="501" t="s">
        <v>4</v>
      </c>
      <c r="HJ47" s="501" t="s">
        <v>4</v>
      </c>
      <c r="HK47" s="494" t="s">
        <v>4</v>
      </c>
      <c r="HL47" s="501" t="s">
        <v>34334</v>
      </c>
      <c r="HM47" s="501" t="s">
        <v>7</v>
      </c>
      <c r="HN47" s="501" t="s">
        <v>34335</v>
      </c>
      <c r="HO47" s="501" t="s">
        <v>34336</v>
      </c>
      <c r="HP47" s="501" t="s">
        <v>34337</v>
      </c>
      <c r="HQ47" s="501" t="s">
        <v>34338</v>
      </c>
      <c r="HR47" s="501" t="s">
        <v>34339</v>
      </c>
      <c r="HS47" s="501" t="s">
        <v>34340</v>
      </c>
      <c r="HT47" s="519" t="s">
        <v>34326</v>
      </c>
    </row>
    <row r="48" spans="1:228" s="570" customFormat="1" ht="30.2" customHeight="1" x14ac:dyDescent="0.25">
      <c r="A48" s="759"/>
      <c r="B48" s="496">
        <v>108</v>
      </c>
      <c r="C48" s="496" t="s">
        <v>16333</v>
      </c>
      <c r="D48" s="497" t="s">
        <v>33569</v>
      </c>
      <c r="E48" s="497" t="s">
        <v>34457</v>
      </c>
      <c r="F48" s="497" t="s">
        <v>7</v>
      </c>
      <c r="G48" s="497" t="s">
        <v>34570</v>
      </c>
      <c r="H48" s="497">
        <v>1117.3</v>
      </c>
      <c r="I48" s="497">
        <v>5</v>
      </c>
      <c r="J48" s="497" t="s">
        <v>29288</v>
      </c>
      <c r="K48" s="497" t="s">
        <v>4</v>
      </c>
      <c r="L48" s="497" t="s">
        <v>34571</v>
      </c>
      <c r="M48" s="497">
        <v>743575777</v>
      </c>
      <c r="N48" s="497" t="s">
        <v>3</v>
      </c>
      <c r="O48" s="497" t="s">
        <v>31438</v>
      </c>
      <c r="P48" s="497">
        <v>50</v>
      </c>
      <c r="Q48" s="497">
        <v>7</v>
      </c>
      <c r="R48" s="497" t="s">
        <v>7</v>
      </c>
      <c r="S48" s="497" t="s">
        <v>31588</v>
      </c>
      <c r="T48" s="497" t="s">
        <v>4</v>
      </c>
      <c r="U48" s="497" t="s">
        <v>7</v>
      </c>
      <c r="V48" s="497" t="s">
        <v>7</v>
      </c>
      <c r="W48" s="497" t="s">
        <v>4</v>
      </c>
      <c r="X48" s="497" t="s">
        <v>7</v>
      </c>
      <c r="Y48" s="497" t="s">
        <v>4</v>
      </c>
      <c r="Z48" s="497" t="s">
        <v>4</v>
      </c>
      <c r="AA48" s="241" t="str">
        <f>IF(OR(U48="yes",Z48&gt;'SDG outcome'!$C$39),"yes","no")</f>
        <v>yes</v>
      </c>
      <c r="AB48" s="521" t="str">
        <f t="shared" si="0"/>
        <v>NA</v>
      </c>
      <c r="AC48" s="527" t="str">
        <f>IF(AND('SMS p2'!AA120="no",AND(Z48&gt;='SDG outcome'!$B$28,Z48&lt;'SDG outcome'!$C$39)),Z48-'SDG outcome'!$B$28,"")</f>
        <v/>
      </c>
      <c r="AD48" s="497" t="s">
        <v>4</v>
      </c>
      <c r="AE48" s="497" t="s">
        <v>4</v>
      </c>
      <c r="AF48" s="497" t="s">
        <v>4</v>
      </c>
      <c r="AG48" s="497" t="s">
        <v>4</v>
      </c>
      <c r="AH48" s="497" t="s">
        <v>4</v>
      </c>
      <c r="AI48" s="497" t="s">
        <v>4</v>
      </c>
      <c r="AJ48" s="497" t="s">
        <v>4</v>
      </c>
      <c r="AK48" s="497" t="s">
        <v>29290</v>
      </c>
      <c r="AL48" s="497" t="s">
        <v>29694</v>
      </c>
      <c r="AM48" s="497" t="s">
        <v>4</v>
      </c>
      <c r="AN48" s="497" t="s">
        <v>4</v>
      </c>
      <c r="AO48" s="497" t="s">
        <v>31605</v>
      </c>
      <c r="AP48" s="497" t="s">
        <v>4</v>
      </c>
      <c r="AQ48" s="497" t="s">
        <v>31743</v>
      </c>
      <c r="AR48" s="497" t="s">
        <v>4</v>
      </c>
      <c r="AS48" s="497" t="s">
        <v>31538</v>
      </c>
      <c r="AT48" s="497" t="s">
        <v>4</v>
      </c>
      <c r="AU48" s="497" t="s">
        <v>7</v>
      </c>
      <c r="AV48" s="497" t="s">
        <v>4</v>
      </c>
      <c r="AW48" s="497" t="s">
        <v>4</v>
      </c>
      <c r="AX48" s="497" t="s">
        <v>7</v>
      </c>
      <c r="AY48" s="497" t="s">
        <v>6</v>
      </c>
      <c r="AZ48" s="497" t="s">
        <v>4</v>
      </c>
      <c r="BA48" s="497" t="s">
        <v>31540</v>
      </c>
      <c r="BB48" s="497" t="s">
        <v>22</v>
      </c>
      <c r="BC48" s="497" t="s">
        <v>4</v>
      </c>
      <c r="BD48" s="497" t="s">
        <v>31541</v>
      </c>
      <c r="BE48" s="497" t="s">
        <v>4</v>
      </c>
      <c r="BF48" s="497" t="s">
        <v>31542</v>
      </c>
      <c r="BG48" s="497" t="s">
        <v>31542</v>
      </c>
      <c r="BH48" s="497" t="s">
        <v>31616</v>
      </c>
      <c r="BI48" s="497">
        <v>1</v>
      </c>
      <c r="BJ48" s="497">
        <v>120</v>
      </c>
      <c r="BK48" s="497" t="s">
        <v>7</v>
      </c>
      <c r="BL48" s="497" t="s">
        <v>6</v>
      </c>
      <c r="BM48" s="497" t="s">
        <v>4</v>
      </c>
      <c r="BN48" s="497" t="s">
        <v>31429</v>
      </c>
      <c r="BO48" s="497">
        <v>2</v>
      </c>
      <c r="BP48" s="497">
        <v>30</v>
      </c>
      <c r="BQ48" s="497" t="s">
        <v>31435</v>
      </c>
      <c r="BR48" s="499" t="s">
        <v>33361</v>
      </c>
      <c r="BS48" s="497" t="s">
        <v>4</v>
      </c>
      <c r="BT48" s="497">
        <v>2</v>
      </c>
      <c r="BU48" s="494" cm="1">
        <f t="array" ref="BU48">_xlfn.IFS(BQ48="Foreword vehicle",BT48*0,BQ48="Human wastes",BT48*0,BS48="Jerrycans",BT48*$BT$4,BQ48="Number of Basins",BT48*$BT$5,BQ48="Number of Buckets",BT48*$BT$6,BQ48="Number of Kgs",BT48*$BT$7,BQ48="Number of spades",BT48*$BT$8,BQ48="Number of wheelbarrows",BT48*$BS$9,BS48="Septic Tank",BT48*0)</f>
        <v>165</v>
      </c>
      <c r="BV48" s="494">
        <f>Table15[[#This Row],[Calculation: Conversion of metric to Kg manure feeding (Columns: BP, BQ, BR)]]*Table15[[#This Row],[Number of times used to feed biodigester]]</f>
        <v>330</v>
      </c>
      <c r="BW48" s="495" cm="1">
        <f t="array" ref="BW48">_xlfn.IFS(BN48="Number of times per day (1 to 3)",BV48/$BW$3,BN48="Number of times per week (1 to 6)",BV48/$BW$4,BN48="Number of times per Month (1 to 3)",BV48/$BW$5)</f>
        <v>47.142857142857146</v>
      </c>
      <c r="BX48" s="497" t="s">
        <v>22</v>
      </c>
      <c r="BY48" s="497" t="s">
        <v>4</v>
      </c>
      <c r="BZ48" s="497" t="s">
        <v>2</v>
      </c>
      <c r="CA48" s="497" t="s">
        <v>4</v>
      </c>
      <c r="CB48" s="497" t="s">
        <v>4</v>
      </c>
      <c r="CC48" s="497" t="s">
        <v>4</v>
      </c>
      <c r="CD48" s="497" t="s">
        <v>7</v>
      </c>
      <c r="CE48" s="497" t="s">
        <v>34572</v>
      </c>
      <c r="CF48" s="497" t="s">
        <v>4</v>
      </c>
      <c r="CG48" s="497" t="s">
        <v>31604</v>
      </c>
      <c r="CH48" s="497">
        <v>4</v>
      </c>
      <c r="CI48" s="497">
        <v>0</v>
      </c>
      <c r="CJ48" s="497">
        <v>0</v>
      </c>
      <c r="CK48" s="497">
        <v>0</v>
      </c>
      <c r="CL48" s="497">
        <v>0</v>
      </c>
      <c r="CM48" s="497">
        <v>0</v>
      </c>
      <c r="CN48" s="497">
        <v>0</v>
      </c>
      <c r="CO48" s="497">
        <v>0</v>
      </c>
      <c r="CP48" s="497">
        <v>0</v>
      </c>
      <c r="CQ48" s="497">
        <v>0</v>
      </c>
      <c r="CR48" s="497">
        <f>IF(Table15[[#This Row],[Is your biodigester working?]]="yes",CO48/'SDG outcome'!$C$9*CP48*CQ48,"")</f>
        <v>0</v>
      </c>
      <c r="CS48" s="497">
        <v>80</v>
      </c>
      <c r="CT48" s="500">
        <v>20</v>
      </c>
      <c r="CU48" s="496" t="s">
        <v>34573</v>
      </c>
      <c r="CV48" s="497" t="s">
        <v>4</v>
      </c>
      <c r="CW48" s="500" t="s">
        <v>4</v>
      </c>
      <c r="CX48" s="496" t="s">
        <v>4</v>
      </c>
      <c r="CY48" s="497" t="s">
        <v>4</v>
      </c>
      <c r="CZ48" s="500" t="s">
        <v>4</v>
      </c>
      <c r="DA48" s="496" t="s">
        <v>4</v>
      </c>
      <c r="DB48" s="497" t="s">
        <v>4</v>
      </c>
      <c r="DC48" s="497" t="s">
        <v>4</v>
      </c>
      <c r="DD48" s="497" t="s">
        <v>4</v>
      </c>
      <c r="DE48" s="497" t="s">
        <v>4</v>
      </c>
      <c r="DF48" s="497" t="s">
        <v>4</v>
      </c>
      <c r="DG48" s="497" t="s">
        <v>4</v>
      </c>
      <c r="DH48" s="497" t="s">
        <v>4</v>
      </c>
      <c r="DI48" s="497" t="s">
        <v>4</v>
      </c>
      <c r="DJ48" s="497" t="s">
        <v>4</v>
      </c>
      <c r="DK48" s="497" t="s">
        <v>4</v>
      </c>
      <c r="DL48" s="497" t="s">
        <v>4</v>
      </c>
      <c r="DM48" s="497" t="s">
        <v>4</v>
      </c>
      <c r="DN48" s="497">
        <v>5</v>
      </c>
      <c r="DO48" s="497" t="s">
        <v>2</v>
      </c>
      <c r="DP48" s="497" t="s">
        <v>29292</v>
      </c>
      <c r="DQ48" s="497" t="s">
        <v>4</v>
      </c>
      <c r="DR48" s="497" t="s">
        <v>29293</v>
      </c>
      <c r="DS48" s="494">
        <v>15000</v>
      </c>
      <c r="DT48" s="497" t="s">
        <v>29293</v>
      </c>
      <c r="DU48" s="494">
        <v>50000</v>
      </c>
      <c r="DV48" s="500" t="s">
        <v>29295</v>
      </c>
      <c r="DW48" s="496">
        <v>100</v>
      </c>
      <c r="DX48" s="497" t="s">
        <v>29296</v>
      </c>
      <c r="DY48" s="497">
        <v>100</v>
      </c>
      <c r="DZ48" s="497" t="s">
        <v>4</v>
      </c>
      <c r="EA48" s="497" t="s">
        <v>4</v>
      </c>
      <c r="EB48" s="497" t="s">
        <v>4</v>
      </c>
      <c r="EC48" s="497" t="s">
        <v>4</v>
      </c>
      <c r="ED48" s="497" t="s">
        <v>4</v>
      </c>
      <c r="EE48" s="497" t="s">
        <v>4</v>
      </c>
      <c r="EF48" s="497" t="s">
        <v>4</v>
      </c>
      <c r="EG48" s="497" t="s">
        <v>4</v>
      </c>
      <c r="EH48" s="497" t="s">
        <v>4</v>
      </c>
      <c r="EI48" s="497" t="s">
        <v>4</v>
      </c>
      <c r="EJ48" s="497" t="s">
        <v>4</v>
      </c>
      <c r="EK48" s="497" t="s">
        <v>4</v>
      </c>
      <c r="EL48" s="497" t="s">
        <v>4</v>
      </c>
      <c r="EM48" s="497" t="s">
        <v>4</v>
      </c>
      <c r="EN48" s="497" t="s">
        <v>4</v>
      </c>
      <c r="EO48" s="497" t="s">
        <v>4</v>
      </c>
      <c r="EP48" s="497" t="s">
        <v>4</v>
      </c>
      <c r="EQ48" s="497" t="s">
        <v>4</v>
      </c>
      <c r="ER48" s="497" t="s">
        <v>4</v>
      </c>
      <c r="ES48" s="497" t="s">
        <v>4</v>
      </c>
      <c r="ET48" s="497" t="s">
        <v>4</v>
      </c>
      <c r="EU48" s="497" t="s">
        <v>4</v>
      </c>
      <c r="EV48" s="497" t="s">
        <v>4</v>
      </c>
      <c r="EW48" s="497">
        <v>3</v>
      </c>
      <c r="EX48" s="497" t="s">
        <v>7</v>
      </c>
      <c r="EY48" s="497">
        <v>60</v>
      </c>
      <c r="EZ48" s="239">
        <f t="shared" ref="EZ48:EZ79" si="2">IF(OR(EW48="NA","DNA"),"",EW48*EY48)/100</f>
        <v>1.8</v>
      </c>
      <c r="FA48" s="497" t="s">
        <v>34574</v>
      </c>
      <c r="FB48" s="497" t="s">
        <v>29298</v>
      </c>
      <c r="FC48" s="497">
        <v>36</v>
      </c>
      <c r="FD48" s="497" t="s">
        <v>7</v>
      </c>
      <c r="FE48" s="497" t="s">
        <v>29492</v>
      </c>
      <c r="FF48" s="497" t="s">
        <v>4</v>
      </c>
      <c r="FG48" s="497" t="s">
        <v>7</v>
      </c>
      <c r="FH48" s="497" t="s">
        <v>29492</v>
      </c>
      <c r="FI48" s="497" t="s">
        <v>4</v>
      </c>
      <c r="FJ48" s="497" t="s">
        <v>29300</v>
      </c>
      <c r="FK48" s="497" t="s">
        <v>4</v>
      </c>
      <c r="FL48" s="497" t="s">
        <v>29292</v>
      </c>
      <c r="FM48" s="497" t="s">
        <v>29293</v>
      </c>
      <c r="FN48" s="494">
        <v>20000</v>
      </c>
      <c r="FO48" s="497" t="s">
        <v>4</v>
      </c>
      <c r="FP48" s="497" t="s">
        <v>7</v>
      </c>
      <c r="FQ48" s="497" t="s">
        <v>29301</v>
      </c>
      <c r="FR48" s="497" t="s">
        <v>4</v>
      </c>
      <c r="FS48" s="497" t="s">
        <v>7</v>
      </c>
      <c r="FT48" s="497" t="s">
        <v>2</v>
      </c>
      <c r="FU48" s="497" t="s">
        <v>4</v>
      </c>
      <c r="FV48" s="497" t="s">
        <v>4</v>
      </c>
      <c r="FW48" s="497" t="s">
        <v>29304</v>
      </c>
      <c r="FX48" s="497">
        <v>2</v>
      </c>
      <c r="FY48" s="497" t="s">
        <v>29305</v>
      </c>
      <c r="FZ48" s="497" t="s">
        <v>29450</v>
      </c>
      <c r="GA48" s="497" t="s">
        <v>4</v>
      </c>
      <c r="GB48" s="497" t="s">
        <v>4</v>
      </c>
      <c r="GC48" s="497" t="s">
        <v>4</v>
      </c>
      <c r="GD48" s="497" t="s">
        <v>4</v>
      </c>
      <c r="GE48" s="497" t="s">
        <v>4</v>
      </c>
      <c r="GF48" s="497" t="s">
        <v>4</v>
      </c>
      <c r="GG48" s="497" t="s">
        <v>4</v>
      </c>
      <c r="GH48" s="497" t="s">
        <v>4</v>
      </c>
      <c r="GI48" s="497" t="s">
        <v>4</v>
      </c>
      <c r="GJ48" s="497" t="s">
        <v>4</v>
      </c>
      <c r="GK48" s="497" t="s">
        <v>4</v>
      </c>
      <c r="GL48" s="497" t="s">
        <v>4</v>
      </c>
      <c r="GM48" s="497" t="s">
        <v>4</v>
      </c>
      <c r="GN48" s="497" t="s">
        <v>4</v>
      </c>
      <c r="GO48" s="497" t="s">
        <v>4</v>
      </c>
      <c r="GP48" s="497" t="s">
        <v>4</v>
      </c>
      <c r="GQ48" s="497" t="s">
        <v>4</v>
      </c>
      <c r="GR48" s="497" t="s">
        <v>4</v>
      </c>
      <c r="GS48" s="497" t="s">
        <v>4</v>
      </c>
      <c r="GT48" s="497" t="s">
        <v>34575</v>
      </c>
      <c r="GU48" s="497" t="s">
        <v>4</v>
      </c>
      <c r="GV48" s="494">
        <v>5</v>
      </c>
      <c r="GW48" s="497" t="s">
        <v>29325</v>
      </c>
      <c r="GX48" s="497" t="s">
        <v>29309</v>
      </c>
      <c r="GY48" s="497" t="s">
        <v>4</v>
      </c>
      <c r="GZ48" s="497" t="s">
        <v>4</v>
      </c>
      <c r="HA48" s="497" t="s">
        <v>4</v>
      </c>
      <c r="HB48" s="497" t="s">
        <v>4</v>
      </c>
      <c r="HC48" s="497" t="s">
        <v>4</v>
      </c>
      <c r="HD48" s="497" t="s">
        <v>4</v>
      </c>
      <c r="HE48" s="497" t="s">
        <v>4</v>
      </c>
      <c r="HF48" s="497" t="s">
        <v>4</v>
      </c>
      <c r="HG48" s="497" t="s">
        <v>2</v>
      </c>
      <c r="HH48" s="497" t="s">
        <v>4</v>
      </c>
      <c r="HI48" s="497" t="s">
        <v>4</v>
      </c>
      <c r="HJ48" s="497" t="s">
        <v>4</v>
      </c>
      <c r="HK48" s="494" t="s">
        <v>4</v>
      </c>
      <c r="HL48" s="497" t="s">
        <v>34576</v>
      </c>
      <c r="HM48" s="497" t="s">
        <v>7</v>
      </c>
      <c r="HN48" s="497" t="s">
        <v>34577</v>
      </c>
      <c r="HO48" s="497" t="s">
        <v>34578</v>
      </c>
      <c r="HP48" s="497" t="s">
        <v>34579</v>
      </c>
      <c r="HQ48" s="497" t="s">
        <v>34580</v>
      </c>
      <c r="HR48" s="497" t="s">
        <v>34581</v>
      </c>
      <c r="HS48" s="497" t="s">
        <v>34582</v>
      </c>
      <c r="HT48" s="500" t="s">
        <v>33569</v>
      </c>
    </row>
    <row r="49" spans="1:228" s="570" customFormat="1" ht="30.2" customHeight="1" x14ac:dyDescent="0.25">
      <c r="A49" s="759"/>
      <c r="B49" s="496">
        <v>112</v>
      </c>
      <c r="C49" s="496" t="s">
        <v>10851</v>
      </c>
      <c r="D49" s="497" t="s">
        <v>34614</v>
      </c>
      <c r="E49" s="497" t="s">
        <v>34457</v>
      </c>
      <c r="F49" s="497" t="s">
        <v>7</v>
      </c>
      <c r="G49" s="497" t="s">
        <v>34615</v>
      </c>
      <c r="H49" s="497">
        <v>1100</v>
      </c>
      <c r="I49" s="497">
        <v>5</v>
      </c>
      <c r="J49" s="497" t="s">
        <v>29288</v>
      </c>
      <c r="K49" s="497" t="s">
        <v>4</v>
      </c>
      <c r="L49" s="497" t="s">
        <v>34616</v>
      </c>
      <c r="M49" s="497">
        <v>782761803</v>
      </c>
      <c r="N49" s="497" t="s">
        <v>3</v>
      </c>
      <c r="O49" s="497" t="s">
        <v>31438</v>
      </c>
      <c r="P49" s="497">
        <v>72</v>
      </c>
      <c r="Q49" s="497">
        <v>10</v>
      </c>
      <c r="R49" s="497" t="s">
        <v>7</v>
      </c>
      <c r="S49" s="497" t="s">
        <v>31588</v>
      </c>
      <c r="T49" s="497" t="s">
        <v>4</v>
      </c>
      <c r="U49" s="497" t="s">
        <v>7</v>
      </c>
      <c r="V49" s="497" t="s">
        <v>7</v>
      </c>
      <c r="W49" s="497" t="s">
        <v>4</v>
      </c>
      <c r="X49" s="497" t="s">
        <v>7</v>
      </c>
      <c r="Y49" s="497" t="s">
        <v>4</v>
      </c>
      <c r="Z49" s="497" t="s">
        <v>4</v>
      </c>
      <c r="AA49" s="241" t="str">
        <f>IF(OR(U49="yes",Z49&gt;'SDG outcome'!$C$39),"yes","no")</f>
        <v>yes</v>
      </c>
      <c r="AB49" s="521" t="str">
        <f t="shared" si="0"/>
        <v>NA</v>
      </c>
      <c r="AC49" s="527" t="str">
        <f>IF(AND('SMS p2'!AA124="no",AND(Z49&gt;='SDG outcome'!$B$28,Z49&lt;'SDG outcome'!$C$39)),Z49-'SDG outcome'!$B$28,"")</f>
        <v/>
      </c>
      <c r="AD49" s="497" t="s">
        <v>4</v>
      </c>
      <c r="AE49" s="497" t="s">
        <v>4</v>
      </c>
      <c r="AF49" s="497" t="s">
        <v>4</v>
      </c>
      <c r="AG49" s="497" t="s">
        <v>4</v>
      </c>
      <c r="AH49" s="497" t="s">
        <v>4</v>
      </c>
      <c r="AI49" s="497" t="s">
        <v>4</v>
      </c>
      <c r="AJ49" s="497" t="s">
        <v>4</v>
      </c>
      <c r="AK49" s="497" t="s">
        <v>29290</v>
      </c>
      <c r="AL49" s="497" t="s">
        <v>29291</v>
      </c>
      <c r="AM49" s="497" t="s">
        <v>4</v>
      </c>
      <c r="AN49" s="497" t="s">
        <v>4</v>
      </c>
      <c r="AO49" s="497" t="s">
        <v>31536</v>
      </c>
      <c r="AP49" s="497" t="s">
        <v>4</v>
      </c>
      <c r="AQ49" s="497" t="s">
        <v>31537</v>
      </c>
      <c r="AR49" s="497" t="s">
        <v>4</v>
      </c>
      <c r="AS49" s="497" t="s">
        <v>31538</v>
      </c>
      <c r="AT49" s="497" t="s">
        <v>4</v>
      </c>
      <c r="AU49" s="497" t="s">
        <v>7</v>
      </c>
      <c r="AV49" s="497" t="s">
        <v>4</v>
      </c>
      <c r="AW49" s="497" t="s">
        <v>4</v>
      </c>
      <c r="AX49" s="497" t="s">
        <v>2</v>
      </c>
      <c r="AY49" s="497" t="s">
        <v>4</v>
      </c>
      <c r="AZ49" s="497" t="s">
        <v>4</v>
      </c>
      <c r="BA49" s="497" t="s">
        <v>31540</v>
      </c>
      <c r="BB49" s="497" t="s">
        <v>22</v>
      </c>
      <c r="BC49" s="497" t="s">
        <v>4</v>
      </c>
      <c r="BD49" s="497" t="s">
        <v>14</v>
      </c>
      <c r="BE49" s="497" t="s">
        <v>4</v>
      </c>
      <c r="BF49" s="497" t="s">
        <v>31542</v>
      </c>
      <c r="BG49" s="497" t="s">
        <v>34617</v>
      </c>
      <c r="BH49" s="497" t="s">
        <v>31632</v>
      </c>
      <c r="BI49" s="497">
        <v>2</v>
      </c>
      <c r="BJ49" s="497">
        <v>180</v>
      </c>
      <c r="BK49" s="497" t="s">
        <v>7</v>
      </c>
      <c r="BL49" s="497" t="s">
        <v>6</v>
      </c>
      <c r="BM49" s="497" t="s">
        <v>4</v>
      </c>
      <c r="BN49" s="497" t="s">
        <v>31425</v>
      </c>
      <c r="BO49" s="497">
        <v>1</v>
      </c>
      <c r="BP49" s="497">
        <v>30</v>
      </c>
      <c r="BQ49" s="497" t="s">
        <v>31426</v>
      </c>
      <c r="BR49" s="499" t="s">
        <v>33332</v>
      </c>
      <c r="BS49" s="497" t="s">
        <v>4</v>
      </c>
      <c r="BT49" s="497">
        <v>3</v>
      </c>
      <c r="BU49" s="494" cm="1">
        <f t="array" ref="BU49">_xlfn.IFS(BQ49="Foreword vehicle",BT49*0,BQ49="Human wastes",BT49*0,BS49="Jerrycans",BT49*$BT$4,BQ49="Number of Basins",BT49*$BT$5,BQ49="Number of Buckets",BT49*$BT$6,BQ49="Number of Kgs",BT49*$BT$7,BQ49="Number of spades",BT49*$BT$8,BQ49="Number of wheelbarrows",BT49*$BT$9,BS49="Septic Tank",BT49*0)</f>
        <v>69</v>
      </c>
      <c r="BV49" s="494">
        <f>Table15[[#This Row],[Calculation: Conversion of metric to Kg manure feeding (Columns: BP, BQ, BR)]]*Table15[[#This Row],[Number of times used to feed biodigester]]</f>
        <v>69</v>
      </c>
      <c r="BW49" s="495" cm="1">
        <f t="array" ref="BW49">_xlfn.IFS(BN49="Number of times per day (1 to 3)",BV49/$BW$3,BN49="Number of times per week (1 to 6)",BV49/$BW$4,BN49="Number of times per Month (1 to 3)",BV49/$BW$5)</f>
        <v>69</v>
      </c>
      <c r="BX49" s="497" t="s">
        <v>31650</v>
      </c>
      <c r="BY49" s="497" t="s">
        <v>4</v>
      </c>
      <c r="BZ49" s="497" t="s">
        <v>2</v>
      </c>
      <c r="CA49" s="497" t="s">
        <v>4</v>
      </c>
      <c r="CB49" s="497" t="s">
        <v>4</v>
      </c>
      <c r="CC49" s="497" t="s">
        <v>4</v>
      </c>
      <c r="CD49" s="497" t="s">
        <v>7</v>
      </c>
      <c r="CE49" s="497" t="s">
        <v>34618</v>
      </c>
      <c r="CF49" s="497" t="s">
        <v>4</v>
      </c>
      <c r="CG49" s="497" t="s">
        <v>31604</v>
      </c>
      <c r="CH49" s="497">
        <v>9</v>
      </c>
      <c r="CI49" s="497">
        <v>0</v>
      </c>
      <c r="CJ49" s="497">
        <v>0</v>
      </c>
      <c r="CK49" s="497">
        <v>0</v>
      </c>
      <c r="CL49" s="497">
        <v>0</v>
      </c>
      <c r="CM49" s="497">
        <v>0</v>
      </c>
      <c r="CN49" s="497">
        <v>0</v>
      </c>
      <c r="CO49" s="497">
        <v>0</v>
      </c>
      <c r="CP49" s="497">
        <v>0</v>
      </c>
      <c r="CQ49" s="497">
        <v>0</v>
      </c>
      <c r="CR49" s="497">
        <f>IF(Table15[[#This Row],[Is your biodigester working?]]="yes",CO49/'SDG outcome'!$C$9*CP49*CQ49,"")</f>
        <v>0</v>
      </c>
      <c r="CS49" s="497">
        <v>100</v>
      </c>
      <c r="CT49" s="500">
        <v>0</v>
      </c>
      <c r="CU49" s="496" t="s">
        <v>4</v>
      </c>
      <c r="CV49" s="497" t="s">
        <v>4</v>
      </c>
      <c r="CW49" s="500" t="s">
        <v>4</v>
      </c>
      <c r="CX49" s="496" t="s">
        <v>4</v>
      </c>
      <c r="CY49" s="497" t="s">
        <v>4</v>
      </c>
      <c r="CZ49" s="500" t="s">
        <v>4</v>
      </c>
      <c r="DA49" s="496" t="s">
        <v>4</v>
      </c>
      <c r="DB49" s="497" t="s">
        <v>4</v>
      </c>
      <c r="DC49" s="497" t="s">
        <v>4</v>
      </c>
      <c r="DD49" s="497" t="s">
        <v>4</v>
      </c>
      <c r="DE49" s="497" t="s">
        <v>4</v>
      </c>
      <c r="DF49" s="497" t="s">
        <v>4</v>
      </c>
      <c r="DG49" s="497" t="s">
        <v>4</v>
      </c>
      <c r="DH49" s="497" t="s">
        <v>4</v>
      </c>
      <c r="DI49" s="497" t="s">
        <v>4</v>
      </c>
      <c r="DJ49" s="497" t="s">
        <v>4</v>
      </c>
      <c r="DK49" s="497" t="s">
        <v>4</v>
      </c>
      <c r="DL49" s="497" t="s">
        <v>4</v>
      </c>
      <c r="DM49" s="497" t="s">
        <v>4</v>
      </c>
      <c r="DN49" s="497">
        <v>5</v>
      </c>
      <c r="DO49" s="497" t="s">
        <v>7</v>
      </c>
      <c r="DP49" s="497" t="s">
        <v>29292</v>
      </c>
      <c r="DQ49" s="497" t="s">
        <v>4</v>
      </c>
      <c r="DR49" s="497" t="s">
        <v>29293</v>
      </c>
      <c r="DS49" s="494">
        <v>30000</v>
      </c>
      <c r="DT49" s="497" t="s">
        <v>29293</v>
      </c>
      <c r="DU49" s="494">
        <v>120000</v>
      </c>
      <c r="DV49" s="500" t="s">
        <v>29508</v>
      </c>
      <c r="DW49" s="496" t="s">
        <v>4</v>
      </c>
      <c r="DX49" s="497" t="s">
        <v>4</v>
      </c>
      <c r="DY49" s="497" t="s">
        <v>4</v>
      </c>
      <c r="DZ49" s="497" t="s">
        <v>4</v>
      </c>
      <c r="EA49" s="497" t="s">
        <v>4</v>
      </c>
      <c r="EB49" s="497" t="s">
        <v>4</v>
      </c>
      <c r="EC49" s="497" t="s">
        <v>4</v>
      </c>
      <c r="ED49" s="497">
        <v>100</v>
      </c>
      <c r="EE49" s="497" t="s">
        <v>34619</v>
      </c>
      <c r="EF49" s="497" t="s">
        <v>4</v>
      </c>
      <c r="EG49" s="497">
        <v>60</v>
      </c>
      <c r="EH49" s="497" t="s">
        <v>4</v>
      </c>
      <c r="EI49" s="497">
        <v>40</v>
      </c>
      <c r="EJ49" s="497" t="s">
        <v>4</v>
      </c>
      <c r="EK49" s="497" t="s">
        <v>4</v>
      </c>
      <c r="EL49" s="497" t="s">
        <v>4</v>
      </c>
      <c r="EM49" s="497">
        <v>180</v>
      </c>
      <c r="EN49" s="497" t="s">
        <v>4</v>
      </c>
      <c r="EO49" s="497" t="s">
        <v>4</v>
      </c>
      <c r="EP49" s="497" t="s">
        <v>4</v>
      </c>
      <c r="EQ49" s="497" t="s">
        <v>29296</v>
      </c>
      <c r="ER49" s="497">
        <v>100</v>
      </c>
      <c r="ES49" s="497" t="s">
        <v>4</v>
      </c>
      <c r="ET49" s="497" t="s">
        <v>4</v>
      </c>
      <c r="EU49" s="497" t="s">
        <v>4</v>
      </c>
      <c r="EV49" s="497" t="s">
        <v>4</v>
      </c>
      <c r="EW49" s="497">
        <v>6</v>
      </c>
      <c r="EX49" s="497" t="s">
        <v>7</v>
      </c>
      <c r="EY49" s="497">
        <v>30</v>
      </c>
      <c r="EZ49" s="239">
        <f t="shared" si="2"/>
        <v>1.8</v>
      </c>
      <c r="FA49" s="497" t="s">
        <v>34520</v>
      </c>
      <c r="FB49" s="497" t="s">
        <v>29298</v>
      </c>
      <c r="FC49" s="497">
        <v>60</v>
      </c>
      <c r="FD49" s="497" t="s">
        <v>7</v>
      </c>
      <c r="FE49" s="497" t="s">
        <v>29492</v>
      </c>
      <c r="FF49" s="497" t="s">
        <v>4</v>
      </c>
      <c r="FG49" s="497" t="s">
        <v>2</v>
      </c>
      <c r="FH49" s="497" t="s">
        <v>4</v>
      </c>
      <c r="FI49" s="497" t="s">
        <v>4</v>
      </c>
      <c r="FJ49" s="497" t="s">
        <v>4</v>
      </c>
      <c r="FK49" s="497" t="s">
        <v>4</v>
      </c>
      <c r="FL49" s="497" t="s">
        <v>34620</v>
      </c>
      <c r="FM49" s="497" t="s">
        <v>4</v>
      </c>
      <c r="FN49" s="494" t="s">
        <v>4</v>
      </c>
      <c r="FO49" s="497" t="s">
        <v>4</v>
      </c>
      <c r="FP49" s="497" t="s">
        <v>7</v>
      </c>
      <c r="FQ49" s="497" t="s">
        <v>29301</v>
      </c>
      <c r="FR49" s="497" t="s">
        <v>4</v>
      </c>
      <c r="FS49" s="497" t="s">
        <v>7</v>
      </c>
      <c r="FT49" s="497" t="s">
        <v>2</v>
      </c>
      <c r="FU49" s="497" t="s">
        <v>4</v>
      </c>
      <c r="FV49" s="497" t="s">
        <v>4</v>
      </c>
      <c r="FW49" s="497" t="s">
        <v>29304</v>
      </c>
      <c r="FX49" s="497">
        <v>2</v>
      </c>
      <c r="FY49" s="497" t="s">
        <v>29478</v>
      </c>
      <c r="FZ49" s="497" t="s">
        <v>29306</v>
      </c>
      <c r="GA49" s="497" t="s">
        <v>29466</v>
      </c>
      <c r="GB49" s="497" t="s">
        <v>4</v>
      </c>
      <c r="GC49" s="497" t="s">
        <v>4</v>
      </c>
      <c r="GD49" s="497" t="s">
        <v>4</v>
      </c>
      <c r="GE49" s="497" t="s">
        <v>4</v>
      </c>
      <c r="GF49" s="497" t="s">
        <v>4</v>
      </c>
      <c r="GG49" s="497" t="s">
        <v>4</v>
      </c>
      <c r="GH49" s="497" t="s">
        <v>4</v>
      </c>
      <c r="GI49" s="497" t="s">
        <v>4</v>
      </c>
      <c r="GJ49" s="497" t="s">
        <v>4</v>
      </c>
      <c r="GK49" s="497" t="s">
        <v>4</v>
      </c>
      <c r="GL49" s="497" t="s">
        <v>4</v>
      </c>
      <c r="GM49" s="497" t="s">
        <v>4</v>
      </c>
      <c r="GN49" s="497" t="s">
        <v>4</v>
      </c>
      <c r="GO49" s="497" t="s">
        <v>4</v>
      </c>
      <c r="GP49" s="497" t="s">
        <v>4</v>
      </c>
      <c r="GQ49" s="497" t="s">
        <v>4</v>
      </c>
      <c r="GR49" s="497" t="s">
        <v>4</v>
      </c>
      <c r="GS49" s="497" t="s">
        <v>4</v>
      </c>
      <c r="GT49" s="497" t="s">
        <v>29354</v>
      </c>
      <c r="GU49" s="497" t="s">
        <v>4</v>
      </c>
      <c r="GV49" s="494">
        <v>10</v>
      </c>
      <c r="GW49" s="497" t="s">
        <v>2</v>
      </c>
      <c r="GX49" s="497" t="s">
        <v>29309</v>
      </c>
      <c r="GY49" s="497" t="s">
        <v>4</v>
      </c>
      <c r="GZ49" s="497" t="s">
        <v>4</v>
      </c>
      <c r="HA49" s="497" t="s">
        <v>4</v>
      </c>
      <c r="HB49" s="497" t="s">
        <v>4</v>
      </c>
      <c r="HC49" s="497" t="s">
        <v>4</v>
      </c>
      <c r="HD49" s="497" t="s">
        <v>4</v>
      </c>
      <c r="HE49" s="497" t="s">
        <v>4</v>
      </c>
      <c r="HF49" s="497" t="s">
        <v>4</v>
      </c>
      <c r="HG49" s="497" t="s">
        <v>2</v>
      </c>
      <c r="HH49" s="497" t="s">
        <v>4</v>
      </c>
      <c r="HI49" s="497" t="s">
        <v>4</v>
      </c>
      <c r="HJ49" s="497" t="s">
        <v>4</v>
      </c>
      <c r="HK49" s="494" t="s">
        <v>4</v>
      </c>
      <c r="HL49" s="497" t="s">
        <v>34621</v>
      </c>
      <c r="HM49" s="497" t="s">
        <v>2</v>
      </c>
      <c r="HN49" s="497" t="s">
        <v>4</v>
      </c>
      <c r="HO49" s="497" t="s">
        <v>33666</v>
      </c>
      <c r="HP49" s="497" t="s">
        <v>34622</v>
      </c>
      <c r="HQ49" s="497" t="s">
        <v>34623</v>
      </c>
      <c r="HR49" s="497" t="s">
        <v>34624</v>
      </c>
      <c r="HS49" s="497" t="s">
        <v>34625</v>
      </c>
      <c r="HT49" s="500" t="s">
        <v>34614</v>
      </c>
    </row>
    <row r="50" spans="1:228" s="570" customFormat="1" ht="30.2" customHeight="1" x14ac:dyDescent="0.25">
      <c r="A50" s="759"/>
      <c r="B50" s="496">
        <v>173</v>
      </c>
      <c r="C50" s="496" t="s">
        <v>17221</v>
      </c>
      <c r="D50" s="497" t="s">
        <v>33545</v>
      </c>
      <c r="E50" s="497" t="s">
        <v>35222</v>
      </c>
      <c r="F50" s="497" t="s">
        <v>7</v>
      </c>
      <c r="G50" s="497" t="s">
        <v>35285</v>
      </c>
      <c r="H50" s="497">
        <v>0</v>
      </c>
      <c r="I50" s="497">
        <v>4006.2930000000001</v>
      </c>
      <c r="J50" s="497" t="s">
        <v>29319</v>
      </c>
      <c r="K50" s="497" t="s">
        <v>4</v>
      </c>
      <c r="L50" s="497" t="s">
        <v>17222</v>
      </c>
      <c r="M50" s="497">
        <v>782891674</v>
      </c>
      <c r="N50" s="497" t="s">
        <v>5</v>
      </c>
      <c r="O50" s="497" t="s">
        <v>31598</v>
      </c>
      <c r="P50" s="497" t="s">
        <v>4</v>
      </c>
      <c r="Q50" s="497">
        <v>12</v>
      </c>
      <c r="R50" s="497" t="s">
        <v>7</v>
      </c>
      <c r="S50" s="497" t="s">
        <v>31549</v>
      </c>
      <c r="T50" s="497" t="s">
        <v>4</v>
      </c>
      <c r="U50" s="497" t="s">
        <v>7</v>
      </c>
      <c r="V50" s="497" t="s">
        <v>7</v>
      </c>
      <c r="W50" s="497" t="s">
        <v>4</v>
      </c>
      <c r="X50" s="497" t="s">
        <v>7</v>
      </c>
      <c r="Y50" s="497" t="s">
        <v>4</v>
      </c>
      <c r="Z50" s="497" t="s">
        <v>4</v>
      </c>
      <c r="AA50" s="241" t="str">
        <f>IF(OR(U50="yes",Z50&gt;'SDG outcome'!$C$39),"yes","no")</f>
        <v>yes</v>
      </c>
      <c r="AB50" s="521" t="str">
        <f t="shared" si="0"/>
        <v>NA</v>
      </c>
      <c r="AC50" s="527" t="str">
        <f>IF(AND('SMS p2'!AA185="no",AND(Z50&gt;='SDG outcome'!$B$28,Z50&lt;'SDG outcome'!$C$39)),Z50-'SDG outcome'!$B$28,"")</f>
        <v/>
      </c>
      <c r="AD50" s="497" t="s">
        <v>4</v>
      </c>
      <c r="AE50" s="497" t="s">
        <v>4</v>
      </c>
      <c r="AF50" s="497" t="s">
        <v>4</v>
      </c>
      <c r="AG50" s="497" t="s">
        <v>4</v>
      </c>
      <c r="AH50" s="497" t="s">
        <v>4</v>
      </c>
      <c r="AI50" s="497" t="s">
        <v>4</v>
      </c>
      <c r="AJ50" s="497" t="s">
        <v>4</v>
      </c>
      <c r="AK50" s="497" t="s">
        <v>29290</v>
      </c>
      <c r="AL50" s="497" t="s">
        <v>29291</v>
      </c>
      <c r="AM50" s="497" t="s">
        <v>4</v>
      </c>
      <c r="AN50" s="497" t="s">
        <v>4</v>
      </c>
      <c r="AO50" s="497" t="s">
        <v>31536</v>
      </c>
      <c r="AP50" s="497" t="s">
        <v>4</v>
      </c>
      <c r="AQ50" s="497" t="s">
        <v>31537</v>
      </c>
      <c r="AR50" s="497" t="s">
        <v>4</v>
      </c>
      <c r="AS50" s="497" t="s">
        <v>31538</v>
      </c>
      <c r="AT50" s="497" t="s">
        <v>4</v>
      </c>
      <c r="AU50" s="497" t="s">
        <v>7</v>
      </c>
      <c r="AV50" s="497" t="s">
        <v>4</v>
      </c>
      <c r="AW50" s="497" t="s">
        <v>4</v>
      </c>
      <c r="AX50" s="497" t="s">
        <v>7</v>
      </c>
      <c r="AY50" s="497" t="s">
        <v>28</v>
      </c>
      <c r="AZ50" s="497" t="s">
        <v>4</v>
      </c>
      <c r="BA50" s="497" t="s">
        <v>31563</v>
      </c>
      <c r="BB50" s="497" t="s">
        <v>14</v>
      </c>
      <c r="BC50" s="497" t="s">
        <v>4</v>
      </c>
      <c r="BD50" s="497" t="s">
        <v>31541</v>
      </c>
      <c r="BE50" s="497" t="s">
        <v>4</v>
      </c>
      <c r="BF50" s="497" t="s">
        <v>31542</v>
      </c>
      <c r="BG50" s="497" t="s">
        <v>35286</v>
      </c>
      <c r="BH50" s="497" t="s">
        <v>31544</v>
      </c>
      <c r="BI50" s="497">
        <v>7</v>
      </c>
      <c r="BJ50" s="497">
        <v>30</v>
      </c>
      <c r="BK50" s="497" t="s">
        <v>7</v>
      </c>
      <c r="BL50" s="497" t="s">
        <v>6</v>
      </c>
      <c r="BM50" s="497" t="s">
        <v>4</v>
      </c>
      <c r="BN50" s="497" t="s">
        <v>31429</v>
      </c>
      <c r="BO50" s="497">
        <v>7</v>
      </c>
      <c r="BP50" s="497">
        <v>30</v>
      </c>
      <c r="BQ50" s="497" t="s">
        <v>31426</v>
      </c>
      <c r="BR50" s="499" t="s">
        <v>33361</v>
      </c>
      <c r="BS50" s="497" t="s">
        <v>4</v>
      </c>
      <c r="BT50" s="497">
        <v>3</v>
      </c>
      <c r="BU50" s="494" cm="1">
        <f t="array" ref="BU50">_xlfn.IFS(BQ50="Foreword vehicle",BT50*0,BQ50="Human wastes",BT50*0,BS50="Jerrycans",BT50*$BT$4,BQ50="Number of Basins",BT50*$BT$5,BQ50="Number of Buckets",BT50*$BS$6,BQ50="Number of Kgs",BT50*$BT$7,BQ50="Number of spades",BT50*$BT$8,BQ50="Number of wheelbarrows",BT50*$BT$9,BS50="Septic Tank",BT50*0)</f>
        <v>70.5</v>
      </c>
      <c r="BV50" s="494">
        <f>Table15[[#This Row],[Calculation: Conversion of metric to Kg manure feeding (Columns: BP, BQ, BR)]]*Table15[[#This Row],[Number of times used to feed biodigester]]</f>
        <v>493.5</v>
      </c>
      <c r="BW50" s="495" cm="1">
        <f t="array" ref="BW50">_xlfn.IFS(BN50="Number of times per day (1 to 3)",BV50/$BW$3,BN50="Number of times per week (1 to 6)",BV50/$BW$4,BN50="Number of times per Month (1 to 3)",BV50/$BW$5)</f>
        <v>70.5</v>
      </c>
      <c r="BX50" s="497" t="s">
        <v>22</v>
      </c>
      <c r="BY50" s="497" t="s">
        <v>4</v>
      </c>
      <c r="BZ50" s="497" t="s">
        <v>2</v>
      </c>
      <c r="CA50" s="497" t="s">
        <v>4</v>
      </c>
      <c r="CB50" s="497" t="s">
        <v>4</v>
      </c>
      <c r="CC50" s="497" t="s">
        <v>4</v>
      </c>
      <c r="CD50" s="497" t="s">
        <v>7</v>
      </c>
      <c r="CE50" s="497" t="s">
        <v>35287</v>
      </c>
      <c r="CF50" s="497" t="s">
        <v>4</v>
      </c>
      <c r="CG50" s="497" t="s">
        <v>31728</v>
      </c>
      <c r="CH50" s="497">
        <v>0</v>
      </c>
      <c r="CI50" s="497">
        <v>12</v>
      </c>
      <c r="CJ50" s="497">
        <v>10</v>
      </c>
      <c r="CK50" s="497">
        <v>0</v>
      </c>
      <c r="CL50" s="497">
        <v>0</v>
      </c>
      <c r="CM50" s="497">
        <v>0</v>
      </c>
      <c r="CN50" s="497">
        <v>0</v>
      </c>
      <c r="CO50" s="497">
        <v>0</v>
      </c>
      <c r="CP50" s="497">
        <v>0</v>
      </c>
      <c r="CQ50" s="497">
        <v>0</v>
      </c>
      <c r="CR50" s="497">
        <f>IF(Table15[[#This Row],[Is your biodigester working?]]="yes",CO50/'SDG outcome'!$C$9*CP50*CQ50,"")</f>
        <v>0</v>
      </c>
      <c r="CS50" s="497" t="s">
        <v>4</v>
      </c>
      <c r="CT50" s="500" t="s">
        <v>4</v>
      </c>
      <c r="CU50" s="496" t="s">
        <v>4</v>
      </c>
      <c r="CV50" s="497">
        <v>100</v>
      </c>
      <c r="CW50" s="500">
        <v>0</v>
      </c>
      <c r="CX50" s="496" t="s">
        <v>4</v>
      </c>
      <c r="CY50" s="497" t="s">
        <v>4</v>
      </c>
      <c r="CZ50" s="500" t="s">
        <v>4</v>
      </c>
      <c r="DA50" s="496" t="s">
        <v>4</v>
      </c>
      <c r="DB50" s="497">
        <v>100</v>
      </c>
      <c r="DC50" s="497">
        <v>0</v>
      </c>
      <c r="DD50" s="497" t="s">
        <v>4</v>
      </c>
      <c r="DE50" s="497" t="s">
        <v>4</v>
      </c>
      <c r="DF50" s="497" t="s">
        <v>4</v>
      </c>
      <c r="DG50" s="497" t="s">
        <v>4</v>
      </c>
      <c r="DH50" s="497" t="s">
        <v>4</v>
      </c>
      <c r="DI50" s="497" t="s">
        <v>4</v>
      </c>
      <c r="DJ50" s="497" t="s">
        <v>4</v>
      </c>
      <c r="DK50" s="497" t="s">
        <v>4</v>
      </c>
      <c r="DL50" s="497" t="s">
        <v>4</v>
      </c>
      <c r="DM50" s="497" t="s">
        <v>4</v>
      </c>
      <c r="DN50" s="497">
        <v>4</v>
      </c>
      <c r="DO50" s="497" t="s">
        <v>2</v>
      </c>
      <c r="DP50" s="497" t="s">
        <v>29292</v>
      </c>
      <c r="DQ50" s="497" t="s">
        <v>4</v>
      </c>
      <c r="DR50" s="497" t="s">
        <v>29293</v>
      </c>
      <c r="DS50" s="494">
        <v>40000</v>
      </c>
      <c r="DT50" s="497" t="s">
        <v>29293</v>
      </c>
      <c r="DU50" s="494">
        <v>40000</v>
      </c>
      <c r="DV50" s="500" t="s">
        <v>29295</v>
      </c>
      <c r="DW50" s="496">
        <v>100</v>
      </c>
      <c r="DX50" s="497" t="s">
        <v>29296</v>
      </c>
      <c r="DY50" s="497">
        <v>100</v>
      </c>
      <c r="DZ50" s="497" t="s">
        <v>4</v>
      </c>
      <c r="EA50" s="497" t="s">
        <v>4</v>
      </c>
      <c r="EB50" s="497" t="s">
        <v>4</v>
      </c>
      <c r="EC50" s="497" t="s">
        <v>4</v>
      </c>
      <c r="ED50" s="497" t="s">
        <v>4</v>
      </c>
      <c r="EE50" s="497" t="s">
        <v>4</v>
      </c>
      <c r="EF50" s="497" t="s">
        <v>4</v>
      </c>
      <c r="EG50" s="497" t="s">
        <v>4</v>
      </c>
      <c r="EH50" s="497" t="s">
        <v>4</v>
      </c>
      <c r="EI50" s="497" t="s">
        <v>4</v>
      </c>
      <c r="EJ50" s="497" t="s">
        <v>4</v>
      </c>
      <c r="EK50" s="497" t="s">
        <v>4</v>
      </c>
      <c r="EL50" s="497" t="s">
        <v>4</v>
      </c>
      <c r="EM50" s="497" t="s">
        <v>4</v>
      </c>
      <c r="EN50" s="497" t="s">
        <v>4</v>
      </c>
      <c r="EO50" s="497" t="s">
        <v>4</v>
      </c>
      <c r="EP50" s="497" t="s">
        <v>4</v>
      </c>
      <c r="EQ50" s="497" t="s">
        <v>4</v>
      </c>
      <c r="ER50" s="497" t="s">
        <v>4</v>
      </c>
      <c r="ES50" s="497" t="s">
        <v>4</v>
      </c>
      <c r="ET50" s="497" t="s">
        <v>4</v>
      </c>
      <c r="EU50" s="497" t="s">
        <v>4</v>
      </c>
      <c r="EV50" s="497" t="s">
        <v>4</v>
      </c>
      <c r="EW50" s="497">
        <v>2.8328611898016995</v>
      </c>
      <c r="EX50" s="497" t="s">
        <v>7</v>
      </c>
      <c r="EY50" s="497">
        <v>57</v>
      </c>
      <c r="EZ50" s="239">
        <f t="shared" si="2"/>
        <v>1.6147308781869689</v>
      </c>
      <c r="FA50" s="497" t="s">
        <v>35288</v>
      </c>
      <c r="FB50" s="497" t="s">
        <v>29298</v>
      </c>
      <c r="FC50" s="497">
        <v>24</v>
      </c>
      <c r="FD50" s="497" t="s">
        <v>7</v>
      </c>
      <c r="FE50" s="497" t="s">
        <v>29555</v>
      </c>
      <c r="FF50" s="497" t="s">
        <v>4</v>
      </c>
      <c r="FG50" s="497" t="s">
        <v>7</v>
      </c>
      <c r="FH50" s="497" t="s">
        <v>29555</v>
      </c>
      <c r="FI50" s="497" t="s">
        <v>4</v>
      </c>
      <c r="FJ50" s="497" t="s">
        <v>13</v>
      </c>
      <c r="FK50" s="497" t="s">
        <v>35289</v>
      </c>
      <c r="FL50" s="497" t="s">
        <v>4</v>
      </c>
      <c r="FM50" s="497" t="s">
        <v>4</v>
      </c>
      <c r="FN50" s="494" t="s">
        <v>4</v>
      </c>
      <c r="FO50" s="497" t="s">
        <v>4</v>
      </c>
      <c r="FP50" s="497" t="s">
        <v>7</v>
      </c>
      <c r="FQ50" s="497" t="s">
        <v>29301</v>
      </c>
      <c r="FR50" s="497" t="s">
        <v>4</v>
      </c>
      <c r="FS50" s="497" t="s">
        <v>7</v>
      </c>
      <c r="FT50" s="497" t="s">
        <v>7</v>
      </c>
      <c r="FU50" s="497" t="s">
        <v>29302</v>
      </c>
      <c r="FV50" s="497" t="s">
        <v>33553</v>
      </c>
      <c r="FW50" s="497" t="s">
        <v>4</v>
      </c>
      <c r="FX50" s="497">
        <v>0</v>
      </c>
      <c r="FY50" s="497" t="s">
        <v>4</v>
      </c>
      <c r="FZ50" s="497" t="s">
        <v>4</v>
      </c>
      <c r="GA50" s="497" t="s">
        <v>4</v>
      </c>
      <c r="GB50" s="497" t="s">
        <v>4</v>
      </c>
      <c r="GC50" s="497" t="s">
        <v>4</v>
      </c>
      <c r="GD50" s="497" t="s">
        <v>4</v>
      </c>
      <c r="GE50" s="497" t="s">
        <v>4</v>
      </c>
      <c r="GF50" s="497" t="s">
        <v>4</v>
      </c>
      <c r="GG50" s="497" t="s">
        <v>4</v>
      </c>
      <c r="GH50" s="497" t="s">
        <v>4</v>
      </c>
      <c r="GI50" s="497" t="s">
        <v>29304</v>
      </c>
      <c r="GJ50" s="497" t="s">
        <v>29305</v>
      </c>
      <c r="GK50" s="497" t="s">
        <v>29306</v>
      </c>
      <c r="GL50" s="497" t="s">
        <v>4</v>
      </c>
      <c r="GM50" s="497" t="s">
        <v>4</v>
      </c>
      <c r="GN50" s="497" t="s">
        <v>4</v>
      </c>
      <c r="GO50" s="497" t="s">
        <v>4</v>
      </c>
      <c r="GP50" s="497" t="s">
        <v>4</v>
      </c>
      <c r="GQ50" s="497" t="s">
        <v>4</v>
      </c>
      <c r="GR50" s="497" t="s">
        <v>4</v>
      </c>
      <c r="GS50" s="497" t="s">
        <v>4</v>
      </c>
      <c r="GT50" s="497" t="s">
        <v>29847</v>
      </c>
      <c r="GU50" s="497" t="s">
        <v>4</v>
      </c>
      <c r="GV50" s="494">
        <v>2</v>
      </c>
      <c r="GW50" s="497" t="s">
        <v>7</v>
      </c>
      <c r="GX50" s="497" t="s">
        <v>29309</v>
      </c>
      <c r="GY50" s="497" t="s">
        <v>4</v>
      </c>
      <c r="GZ50" s="497" t="s">
        <v>4</v>
      </c>
      <c r="HA50" s="497" t="s">
        <v>4</v>
      </c>
      <c r="HB50" s="497" t="s">
        <v>4</v>
      </c>
      <c r="HC50" s="497" t="s">
        <v>4</v>
      </c>
      <c r="HD50" s="497" t="s">
        <v>4</v>
      </c>
      <c r="HE50" s="497" t="s">
        <v>4</v>
      </c>
      <c r="HF50" s="497" t="s">
        <v>4</v>
      </c>
      <c r="HG50" s="497" t="s">
        <v>2</v>
      </c>
      <c r="HH50" s="497" t="s">
        <v>4</v>
      </c>
      <c r="HI50" s="497" t="s">
        <v>4</v>
      </c>
      <c r="HJ50" s="497" t="s">
        <v>4</v>
      </c>
      <c r="HK50" s="494" t="s">
        <v>4</v>
      </c>
      <c r="HL50" s="497" t="s">
        <v>35290</v>
      </c>
      <c r="HM50" s="497" t="s">
        <v>7</v>
      </c>
      <c r="HN50" s="497" t="s">
        <v>35291</v>
      </c>
      <c r="HO50" s="497" t="s">
        <v>35292</v>
      </c>
      <c r="HP50" s="497" t="s">
        <v>35293</v>
      </c>
      <c r="HQ50" s="497" t="s">
        <v>35294</v>
      </c>
      <c r="HR50" s="497" t="s">
        <v>35295</v>
      </c>
      <c r="HS50" s="497" t="s">
        <v>16</v>
      </c>
      <c r="HT50" s="500" t="s">
        <v>35296</v>
      </c>
    </row>
    <row r="51" spans="1:228" s="570" customFormat="1" ht="30.2" customHeight="1" x14ac:dyDescent="0.25">
      <c r="A51" s="759"/>
      <c r="B51" s="496">
        <v>136</v>
      </c>
      <c r="C51" s="496" t="s">
        <v>4357</v>
      </c>
      <c r="D51" s="497" t="s">
        <v>34888</v>
      </c>
      <c r="E51" s="497" t="s">
        <v>83</v>
      </c>
      <c r="F51" s="497" t="s">
        <v>7</v>
      </c>
      <c r="G51" s="497" t="s">
        <v>34889</v>
      </c>
      <c r="H51" s="497">
        <v>1170.376</v>
      </c>
      <c r="I51" s="497">
        <v>2.5523150000000001</v>
      </c>
      <c r="J51" s="497" t="s">
        <v>29288</v>
      </c>
      <c r="K51" s="497" t="s">
        <v>4</v>
      </c>
      <c r="L51" s="497" t="s">
        <v>34890</v>
      </c>
      <c r="M51" s="497">
        <v>772628920</v>
      </c>
      <c r="N51" s="497" t="s">
        <v>3</v>
      </c>
      <c r="O51" s="497" t="s">
        <v>31598</v>
      </c>
      <c r="P51" s="497" t="s">
        <v>4</v>
      </c>
      <c r="Q51" s="497">
        <v>6</v>
      </c>
      <c r="R51" s="497" t="s">
        <v>7</v>
      </c>
      <c r="S51" s="497" t="s">
        <v>31535</v>
      </c>
      <c r="T51" s="497" t="s">
        <v>4</v>
      </c>
      <c r="U51" s="497" t="s">
        <v>7</v>
      </c>
      <c r="V51" s="497" t="s">
        <v>7</v>
      </c>
      <c r="W51" s="497" t="s">
        <v>4</v>
      </c>
      <c r="X51" s="497" t="s">
        <v>7</v>
      </c>
      <c r="Y51" s="497" t="s">
        <v>4</v>
      </c>
      <c r="Z51" s="497" t="s">
        <v>4</v>
      </c>
      <c r="AA51" s="241" t="str">
        <f>IF(OR(U51="yes",Z51&gt;'SDG outcome'!$C$39),"yes","no")</f>
        <v>yes</v>
      </c>
      <c r="AB51" s="521" t="str">
        <f t="shared" si="0"/>
        <v>NA</v>
      </c>
      <c r="AC51" s="527" t="str">
        <f>IF(AND('SMS p2'!AA148="no",AND(Z51&gt;='SDG outcome'!$B$28,Z51&lt;'SDG outcome'!$C$39)),Z51-'SDG outcome'!$B$28,"")</f>
        <v/>
      </c>
      <c r="AD51" s="497" t="s">
        <v>4</v>
      </c>
      <c r="AE51" s="497" t="s">
        <v>4</v>
      </c>
      <c r="AF51" s="497" t="s">
        <v>4</v>
      </c>
      <c r="AG51" s="497" t="s">
        <v>4</v>
      </c>
      <c r="AH51" s="497" t="s">
        <v>4</v>
      </c>
      <c r="AI51" s="497" t="s">
        <v>4</v>
      </c>
      <c r="AJ51" s="497" t="s">
        <v>4</v>
      </c>
      <c r="AK51" s="497" t="s">
        <v>29290</v>
      </c>
      <c r="AL51" s="497" t="s">
        <v>29291</v>
      </c>
      <c r="AM51" s="497" t="s">
        <v>4</v>
      </c>
      <c r="AN51" s="497" t="s">
        <v>4</v>
      </c>
      <c r="AO51" s="497" t="s">
        <v>31536</v>
      </c>
      <c r="AP51" s="497" t="s">
        <v>4</v>
      </c>
      <c r="AQ51" s="497" t="s">
        <v>31537</v>
      </c>
      <c r="AR51" s="497" t="s">
        <v>4</v>
      </c>
      <c r="AS51" s="497" t="s">
        <v>31538</v>
      </c>
      <c r="AT51" s="497" t="s">
        <v>4</v>
      </c>
      <c r="AU51" s="497" t="s">
        <v>7</v>
      </c>
      <c r="AV51" s="497" t="s">
        <v>4</v>
      </c>
      <c r="AW51" s="497" t="s">
        <v>4</v>
      </c>
      <c r="AX51" s="497" t="s">
        <v>2</v>
      </c>
      <c r="AY51" s="497" t="s">
        <v>4</v>
      </c>
      <c r="AZ51" s="497" t="s">
        <v>4</v>
      </c>
      <c r="BA51" s="497" t="s">
        <v>31563</v>
      </c>
      <c r="BB51" s="497" t="s">
        <v>31541</v>
      </c>
      <c r="BC51" s="497" t="s">
        <v>4</v>
      </c>
      <c r="BD51" s="497" t="s">
        <v>14</v>
      </c>
      <c r="BE51" s="497" t="s">
        <v>4</v>
      </c>
      <c r="BF51" s="497" t="s">
        <v>31542</v>
      </c>
      <c r="BG51" s="497" t="s">
        <v>34891</v>
      </c>
      <c r="BH51" s="497" t="s">
        <v>31616</v>
      </c>
      <c r="BI51" s="497">
        <v>1</v>
      </c>
      <c r="BJ51" s="497">
        <v>1440</v>
      </c>
      <c r="BK51" s="497" t="s">
        <v>7</v>
      </c>
      <c r="BL51" s="497" t="s">
        <v>6</v>
      </c>
      <c r="BM51" s="497" t="s">
        <v>4</v>
      </c>
      <c r="BN51" s="497" t="s">
        <v>31425</v>
      </c>
      <c r="BO51" s="497">
        <v>1</v>
      </c>
      <c r="BP51" s="497">
        <v>30</v>
      </c>
      <c r="BQ51" s="497" t="s">
        <v>31435</v>
      </c>
      <c r="BR51" s="499" t="s">
        <v>33361</v>
      </c>
      <c r="BS51" s="497" t="s">
        <v>4</v>
      </c>
      <c r="BT51" s="497">
        <v>1</v>
      </c>
      <c r="BU51" s="494" cm="1">
        <f t="array" ref="BU51">_xlfn.IFS(BQ51="Foreword vehicle",BT51*0,BQ51="Human wastes",BT51*0,BS51="Jerrycans",BT51*$BT$4,BQ51="Number of Basins",BT51*$BT$5,BQ51="Number of Buckets",BT51*$BT$6,BQ51="Number of Kgs",BT51*$BT$7,BQ51="Number of spades",BT51*$BT$8,BQ51="Number of wheelbarrows",BT51*$BS$9,BS51="Septic Tank",BT51*0)</f>
        <v>82.5</v>
      </c>
      <c r="BV51" s="494">
        <f>Table15[[#This Row],[Calculation: Conversion of metric to Kg manure feeding (Columns: BP, BQ, BR)]]*Table15[[#This Row],[Number of times used to feed biodigester]]</f>
        <v>82.5</v>
      </c>
      <c r="BW51" s="495" cm="1">
        <f t="array" ref="BW51">_xlfn.IFS(BN51="Number of times per day (1 to 3)",BV51/$BW$3,BN51="Number of times per week (1 to 6)",BV51/$BW$4,BN51="Number of times per Month (1 to 3)",BV51/$BW$5)</f>
        <v>82.5</v>
      </c>
      <c r="BX51" s="497" t="s">
        <v>22</v>
      </c>
      <c r="BY51" s="497" t="s">
        <v>4</v>
      </c>
      <c r="BZ51" s="497" t="s">
        <v>2</v>
      </c>
      <c r="CA51" s="497" t="s">
        <v>4</v>
      </c>
      <c r="CB51" s="497" t="s">
        <v>4</v>
      </c>
      <c r="CC51" s="497" t="s">
        <v>4</v>
      </c>
      <c r="CD51" s="497" t="s">
        <v>7</v>
      </c>
      <c r="CE51" s="497" t="s">
        <v>34892</v>
      </c>
      <c r="CF51" s="497" t="s">
        <v>4</v>
      </c>
      <c r="CG51" s="497" t="s">
        <v>31604</v>
      </c>
      <c r="CH51" s="497">
        <v>3</v>
      </c>
      <c r="CI51" s="497">
        <v>0</v>
      </c>
      <c r="CJ51" s="497">
        <v>0</v>
      </c>
      <c r="CK51" s="497">
        <v>0</v>
      </c>
      <c r="CL51" s="497">
        <v>0</v>
      </c>
      <c r="CM51" s="497">
        <v>0</v>
      </c>
      <c r="CN51" s="497">
        <v>0</v>
      </c>
      <c r="CO51" s="497">
        <v>0</v>
      </c>
      <c r="CP51" s="497">
        <v>0</v>
      </c>
      <c r="CQ51" s="497">
        <v>0</v>
      </c>
      <c r="CR51" s="497">
        <f>IF(Table15[[#This Row],[Is your biodigester working?]]="yes",CO51/'SDG outcome'!$C$9*CP51*CQ51,"")</f>
        <v>0</v>
      </c>
      <c r="CS51" s="497">
        <v>33</v>
      </c>
      <c r="CT51" s="500">
        <v>67</v>
      </c>
      <c r="CU51" s="496" t="s">
        <v>34893</v>
      </c>
      <c r="CV51" s="497" t="s">
        <v>4</v>
      </c>
      <c r="CW51" s="500" t="s">
        <v>4</v>
      </c>
      <c r="CX51" s="496" t="s">
        <v>4</v>
      </c>
      <c r="CY51" s="497" t="s">
        <v>4</v>
      </c>
      <c r="CZ51" s="500" t="s">
        <v>4</v>
      </c>
      <c r="DA51" s="496" t="s">
        <v>4</v>
      </c>
      <c r="DB51" s="497" t="s">
        <v>4</v>
      </c>
      <c r="DC51" s="497" t="s">
        <v>4</v>
      </c>
      <c r="DD51" s="497" t="s">
        <v>4</v>
      </c>
      <c r="DE51" s="497" t="s">
        <v>4</v>
      </c>
      <c r="DF51" s="497" t="s">
        <v>4</v>
      </c>
      <c r="DG51" s="497" t="s">
        <v>4</v>
      </c>
      <c r="DH51" s="497" t="s">
        <v>4</v>
      </c>
      <c r="DI51" s="497" t="s">
        <v>4</v>
      </c>
      <c r="DJ51" s="497" t="s">
        <v>4</v>
      </c>
      <c r="DK51" s="497" t="s">
        <v>4</v>
      </c>
      <c r="DL51" s="497" t="s">
        <v>4</v>
      </c>
      <c r="DM51" s="497" t="s">
        <v>4</v>
      </c>
      <c r="DN51" s="497">
        <v>4</v>
      </c>
      <c r="DO51" s="497" t="s">
        <v>7</v>
      </c>
      <c r="DP51" s="497" t="s">
        <v>29292</v>
      </c>
      <c r="DQ51" s="497" t="s">
        <v>4</v>
      </c>
      <c r="DR51" s="497" t="s">
        <v>29294</v>
      </c>
      <c r="DS51" s="494" t="s">
        <v>4</v>
      </c>
      <c r="DT51" s="497" t="s">
        <v>29294</v>
      </c>
      <c r="DU51" s="494" t="s">
        <v>4</v>
      </c>
      <c r="DV51" s="500" t="s">
        <v>29295</v>
      </c>
      <c r="DW51" s="496">
        <v>100</v>
      </c>
      <c r="DX51" s="497" t="s">
        <v>29296</v>
      </c>
      <c r="DY51" s="497">
        <v>100</v>
      </c>
      <c r="DZ51" s="497" t="s">
        <v>4</v>
      </c>
      <c r="EA51" s="497" t="s">
        <v>4</v>
      </c>
      <c r="EB51" s="497" t="s">
        <v>4</v>
      </c>
      <c r="EC51" s="497" t="s">
        <v>4</v>
      </c>
      <c r="ED51" s="497" t="s">
        <v>4</v>
      </c>
      <c r="EE51" s="497" t="s">
        <v>4</v>
      </c>
      <c r="EF51" s="497" t="s">
        <v>4</v>
      </c>
      <c r="EG51" s="497" t="s">
        <v>4</v>
      </c>
      <c r="EH51" s="497" t="s">
        <v>4</v>
      </c>
      <c r="EI51" s="497" t="s">
        <v>4</v>
      </c>
      <c r="EJ51" s="497" t="s">
        <v>4</v>
      </c>
      <c r="EK51" s="497" t="s">
        <v>4</v>
      </c>
      <c r="EL51" s="497" t="s">
        <v>4</v>
      </c>
      <c r="EM51" s="497" t="s">
        <v>4</v>
      </c>
      <c r="EN51" s="497" t="s">
        <v>4</v>
      </c>
      <c r="EO51" s="497" t="s">
        <v>4</v>
      </c>
      <c r="EP51" s="497" t="s">
        <v>4</v>
      </c>
      <c r="EQ51" s="497" t="s">
        <v>4</v>
      </c>
      <c r="ER51" s="497" t="s">
        <v>4</v>
      </c>
      <c r="ES51" s="497" t="s">
        <v>4</v>
      </c>
      <c r="ET51" s="497" t="s">
        <v>4</v>
      </c>
      <c r="EU51" s="497" t="s">
        <v>4</v>
      </c>
      <c r="EV51" s="497" t="s">
        <v>4</v>
      </c>
      <c r="EW51" s="497">
        <v>2.0234722784297854</v>
      </c>
      <c r="EX51" s="497" t="s">
        <v>7</v>
      </c>
      <c r="EY51" s="497">
        <v>75</v>
      </c>
      <c r="EZ51" s="239">
        <f t="shared" si="2"/>
        <v>1.5176042088223392</v>
      </c>
      <c r="FA51" s="497" t="s">
        <v>34894</v>
      </c>
      <c r="FB51" s="497" t="s">
        <v>29298</v>
      </c>
      <c r="FC51" s="497">
        <v>132</v>
      </c>
      <c r="FD51" s="497" t="s">
        <v>7</v>
      </c>
      <c r="FE51" s="497" t="s">
        <v>29393</v>
      </c>
      <c r="FF51" s="497" t="s">
        <v>4</v>
      </c>
      <c r="FG51" s="497" t="s">
        <v>2</v>
      </c>
      <c r="FH51" s="497" t="s">
        <v>4</v>
      </c>
      <c r="FI51" s="497" t="s">
        <v>4</v>
      </c>
      <c r="FJ51" s="497" t="s">
        <v>4</v>
      </c>
      <c r="FK51" s="497" t="s">
        <v>4</v>
      </c>
      <c r="FL51" s="497" t="s">
        <v>4</v>
      </c>
      <c r="FM51" s="497" t="s">
        <v>4</v>
      </c>
      <c r="FN51" s="494" t="s">
        <v>4</v>
      </c>
      <c r="FO51" s="497" t="s">
        <v>4</v>
      </c>
      <c r="FP51" s="497" t="s">
        <v>7</v>
      </c>
      <c r="FQ51" s="497" t="s">
        <v>29301</v>
      </c>
      <c r="FR51" s="497" t="s">
        <v>4</v>
      </c>
      <c r="FS51" s="497" t="s">
        <v>7</v>
      </c>
      <c r="FT51" s="497" t="s">
        <v>7</v>
      </c>
      <c r="FU51" s="497" t="s">
        <v>29302</v>
      </c>
      <c r="FV51" s="497" t="s">
        <v>34895</v>
      </c>
      <c r="FW51" s="497" t="s">
        <v>29304</v>
      </c>
      <c r="FX51" s="497">
        <v>3</v>
      </c>
      <c r="FY51" s="497" t="s">
        <v>29305</v>
      </c>
      <c r="FZ51" s="497" t="s">
        <v>29306</v>
      </c>
      <c r="GA51" s="497" t="s">
        <v>4</v>
      </c>
      <c r="GB51" s="497" t="s">
        <v>4</v>
      </c>
      <c r="GC51" s="497" t="s">
        <v>4</v>
      </c>
      <c r="GD51" s="497" t="s">
        <v>4</v>
      </c>
      <c r="GE51" s="497" t="s">
        <v>4</v>
      </c>
      <c r="GF51" s="497" t="s">
        <v>4</v>
      </c>
      <c r="GG51" s="497" t="s">
        <v>4</v>
      </c>
      <c r="GH51" s="497" t="s">
        <v>4</v>
      </c>
      <c r="GI51" s="497" t="s">
        <v>4</v>
      </c>
      <c r="GJ51" s="497" t="s">
        <v>4</v>
      </c>
      <c r="GK51" s="497" t="s">
        <v>4</v>
      </c>
      <c r="GL51" s="497" t="s">
        <v>4</v>
      </c>
      <c r="GM51" s="497" t="s">
        <v>4</v>
      </c>
      <c r="GN51" s="497" t="s">
        <v>4</v>
      </c>
      <c r="GO51" s="497" t="s">
        <v>4</v>
      </c>
      <c r="GP51" s="497" t="s">
        <v>4</v>
      </c>
      <c r="GQ51" s="497" t="s">
        <v>4</v>
      </c>
      <c r="GR51" s="497" t="s">
        <v>4</v>
      </c>
      <c r="GS51" s="497" t="s">
        <v>4</v>
      </c>
      <c r="GT51" s="497" t="s">
        <v>29354</v>
      </c>
      <c r="GU51" s="497" t="s">
        <v>4</v>
      </c>
      <c r="GV51" s="494">
        <v>5</v>
      </c>
      <c r="GW51" s="497" t="s">
        <v>2</v>
      </c>
      <c r="GX51" s="497" t="s">
        <v>29837</v>
      </c>
      <c r="GY51" s="497" t="s">
        <v>4</v>
      </c>
      <c r="GZ51" s="497" t="s">
        <v>4</v>
      </c>
      <c r="HA51" s="497" t="s">
        <v>4</v>
      </c>
      <c r="HB51" s="497" t="s">
        <v>4</v>
      </c>
      <c r="HC51" s="497" t="s">
        <v>4</v>
      </c>
      <c r="HD51" s="497" t="s">
        <v>4</v>
      </c>
      <c r="HE51" s="497" t="s">
        <v>4</v>
      </c>
      <c r="HF51" s="497" t="s">
        <v>4</v>
      </c>
      <c r="HG51" s="497" t="s">
        <v>2</v>
      </c>
      <c r="HH51" s="497" t="s">
        <v>4</v>
      </c>
      <c r="HI51" s="497" t="s">
        <v>4</v>
      </c>
      <c r="HJ51" s="497" t="s">
        <v>4</v>
      </c>
      <c r="HK51" s="494" t="s">
        <v>4</v>
      </c>
      <c r="HL51" s="497" t="s">
        <v>34896</v>
      </c>
      <c r="HM51" s="497" t="s">
        <v>2</v>
      </c>
      <c r="HN51" s="497" t="s">
        <v>4</v>
      </c>
      <c r="HO51" s="497" t="s">
        <v>34897</v>
      </c>
      <c r="HP51" s="497" t="s">
        <v>34898</v>
      </c>
      <c r="HQ51" s="497" t="s">
        <v>34899</v>
      </c>
      <c r="HR51" s="497" t="s">
        <v>34900</v>
      </c>
      <c r="HS51" s="497" t="s">
        <v>34901</v>
      </c>
      <c r="HT51" s="500" t="s">
        <v>34888</v>
      </c>
    </row>
    <row r="52" spans="1:228" s="570" customFormat="1" ht="30.2" customHeight="1" x14ac:dyDescent="0.25">
      <c r="A52" s="759"/>
      <c r="B52" s="496">
        <v>250</v>
      </c>
      <c r="C52" s="496" t="s">
        <v>17286</v>
      </c>
      <c r="D52" s="497" t="s">
        <v>36107</v>
      </c>
      <c r="E52" s="497" t="s">
        <v>35998</v>
      </c>
      <c r="F52" s="497" t="s">
        <v>7</v>
      </c>
      <c r="G52" s="497" t="s">
        <v>36108</v>
      </c>
      <c r="H52" s="497">
        <v>1189.0530000000001</v>
      </c>
      <c r="I52" s="497">
        <v>1.7101379999999999</v>
      </c>
      <c r="J52" s="497" t="s">
        <v>29288</v>
      </c>
      <c r="K52" s="497" t="s">
        <v>4</v>
      </c>
      <c r="L52" s="497" t="s">
        <v>36109</v>
      </c>
      <c r="M52" s="497">
        <v>772879839</v>
      </c>
      <c r="N52" s="497" t="s">
        <v>3</v>
      </c>
      <c r="O52" s="497" t="s">
        <v>31438</v>
      </c>
      <c r="P52" s="497">
        <v>65</v>
      </c>
      <c r="Q52" s="497">
        <v>5</v>
      </c>
      <c r="R52" s="497" t="s">
        <v>7</v>
      </c>
      <c r="S52" s="497" t="s">
        <v>31549</v>
      </c>
      <c r="T52" s="497" t="s">
        <v>4</v>
      </c>
      <c r="U52" s="497" t="s">
        <v>7</v>
      </c>
      <c r="V52" s="497" t="s">
        <v>7</v>
      </c>
      <c r="W52" s="497" t="s">
        <v>4</v>
      </c>
      <c r="X52" s="497" t="s">
        <v>7</v>
      </c>
      <c r="Y52" s="497" t="s">
        <v>4</v>
      </c>
      <c r="Z52" s="497" t="s">
        <v>4</v>
      </c>
      <c r="AA52" s="241" t="str">
        <f>IF(OR(U52="yes",Z52&gt;'SDG outcome'!$C$39),"yes","no")</f>
        <v>yes</v>
      </c>
      <c r="AB52" s="521" t="str">
        <f t="shared" si="0"/>
        <v>NA</v>
      </c>
      <c r="AC52" s="527" t="str">
        <f>IF(AND('SMS p2'!AA261="no",AND(Z52&gt;='SDG outcome'!$B$28,Z52&lt;'SDG outcome'!$C$39)),Z52-'SDG outcome'!$B$28,"")</f>
        <v/>
      </c>
      <c r="AD52" s="497" t="s">
        <v>4</v>
      </c>
      <c r="AE52" s="497" t="s">
        <v>4</v>
      </c>
      <c r="AF52" s="497" t="s">
        <v>4</v>
      </c>
      <c r="AG52" s="497" t="s">
        <v>4</v>
      </c>
      <c r="AH52" s="497" t="s">
        <v>4</v>
      </c>
      <c r="AI52" s="497" t="s">
        <v>4</v>
      </c>
      <c r="AJ52" s="497" t="s">
        <v>4</v>
      </c>
      <c r="AK52" s="497" t="s">
        <v>29290</v>
      </c>
      <c r="AL52" s="497" t="s">
        <v>29694</v>
      </c>
      <c r="AM52" s="497" t="s">
        <v>4</v>
      </c>
      <c r="AN52" s="497" t="s">
        <v>4</v>
      </c>
      <c r="AO52" s="497" t="s">
        <v>31536</v>
      </c>
      <c r="AP52" s="497" t="s">
        <v>4</v>
      </c>
      <c r="AQ52" s="497" t="s">
        <v>31537</v>
      </c>
      <c r="AR52" s="497" t="s">
        <v>4</v>
      </c>
      <c r="AS52" s="497" t="s">
        <v>34189</v>
      </c>
      <c r="AT52" s="497" t="s">
        <v>4</v>
      </c>
      <c r="AU52" s="497" t="s">
        <v>2</v>
      </c>
      <c r="AV52" s="497" t="s">
        <v>31581</v>
      </c>
      <c r="AW52" s="497" t="s">
        <v>4</v>
      </c>
      <c r="AX52" s="497" t="s">
        <v>7</v>
      </c>
      <c r="AY52" s="497" t="s">
        <v>11</v>
      </c>
      <c r="AZ52" s="497" t="s">
        <v>4</v>
      </c>
      <c r="BA52" s="497" t="s">
        <v>31540</v>
      </c>
      <c r="BB52" s="497" t="s">
        <v>22</v>
      </c>
      <c r="BC52" s="497" t="s">
        <v>4</v>
      </c>
      <c r="BD52" s="497" t="s">
        <v>14</v>
      </c>
      <c r="BE52" s="497" t="s">
        <v>4</v>
      </c>
      <c r="BF52" s="497" t="s">
        <v>31542</v>
      </c>
      <c r="BG52" s="497" t="s">
        <v>36110</v>
      </c>
      <c r="BH52" s="497" t="s">
        <v>31566</v>
      </c>
      <c r="BI52" s="497">
        <v>1</v>
      </c>
      <c r="BJ52" s="497">
        <v>60</v>
      </c>
      <c r="BK52" s="497" t="s">
        <v>7</v>
      </c>
      <c r="BL52" s="497" t="s">
        <v>6</v>
      </c>
      <c r="BM52" s="497" t="s">
        <v>4</v>
      </c>
      <c r="BN52" s="497" t="s">
        <v>31429</v>
      </c>
      <c r="BO52" s="497">
        <v>2</v>
      </c>
      <c r="BP52" s="497">
        <v>30</v>
      </c>
      <c r="BQ52" s="497" t="s">
        <v>31434</v>
      </c>
      <c r="BR52" s="499" t="s">
        <v>33361</v>
      </c>
      <c r="BS52" s="497" t="s">
        <v>4</v>
      </c>
      <c r="BT52" s="497">
        <v>5</v>
      </c>
      <c r="BU52" s="494" cm="1">
        <f t="array" ref="BU52">_xlfn.IFS(BQ52="Foreword vehicle",BT52*0,BQ52="Human wastes",BT52*0,BS52="Jerrycans",BT52*$BT$4,BQ52="Number of Basins",BT52*$BS$5,BQ52="Number of Buckets",BT52*$BT$6,BQ52="Number of Kgs",BT52*$BT$7,BQ52="Number of spades",BT52*$BT$8,BQ52="Number of wheelbarrows",BT52*$BT$9,BS52="Septic Tank",BT52*0)</f>
        <v>105</v>
      </c>
      <c r="BV52" s="494">
        <f>Table15[[#This Row],[Calculation: Conversion of metric to Kg manure feeding (Columns: BP, BQ, BR)]]*Table15[[#This Row],[Number of times used to feed biodigester]]</f>
        <v>210</v>
      </c>
      <c r="BW52" s="495" cm="1">
        <f t="array" ref="BW52">_xlfn.IFS(BN52="Number of times per day (1 to 3)",BV52/$BW$3,BN52="Number of times per week (1 to 6)",BV52/$BW$4,BN52="Number of times per Month (1 to 3)",BV52/$BW$5)</f>
        <v>30</v>
      </c>
      <c r="BX52" s="497" t="s">
        <v>13</v>
      </c>
      <c r="BY52" s="497" t="s">
        <v>35339</v>
      </c>
      <c r="BZ52" s="497" t="s">
        <v>2</v>
      </c>
      <c r="CA52" s="497" t="s">
        <v>4</v>
      </c>
      <c r="CB52" s="497" t="s">
        <v>4</v>
      </c>
      <c r="CC52" s="497" t="s">
        <v>4</v>
      </c>
      <c r="CD52" s="497" t="s">
        <v>7</v>
      </c>
      <c r="CE52" s="497" t="s">
        <v>36111</v>
      </c>
      <c r="CF52" s="497" t="s">
        <v>4</v>
      </c>
      <c r="CG52" s="497" t="s">
        <v>31604</v>
      </c>
      <c r="CH52" s="497">
        <v>6</v>
      </c>
      <c r="CI52" s="497">
        <v>0</v>
      </c>
      <c r="CJ52" s="497">
        <v>0</v>
      </c>
      <c r="CK52" s="497">
        <v>0</v>
      </c>
      <c r="CL52" s="497">
        <v>0</v>
      </c>
      <c r="CM52" s="497">
        <v>0</v>
      </c>
      <c r="CN52" s="497">
        <v>0</v>
      </c>
      <c r="CO52" s="497">
        <v>0</v>
      </c>
      <c r="CP52" s="497">
        <v>0</v>
      </c>
      <c r="CQ52" s="497">
        <v>0</v>
      </c>
      <c r="CR52" s="497">
        <f>IF(Table15[[#This Row],[Is your biodigester working?]]="yes",CO52/'SDG outcome'!$C$9*CP52*CQ52,"")</f>
        <v>0</v>
      </c>
      <c r="CS52" s="497">
        <v>98</v>
      </c>
      <c r="CT52" s="500">
        <v>2</v>
      </c>
      <c r="CU52" s="496" t="s">
        <v>36112</v>
      </c>
      <c r="CV52" s="497" t="s">
        <v>4</v>
      </c>
      <c r="CW52" s="500" t="s">
        <v>4</v>
      </c>
      <c r="CX52" s="496" t="s">
        <v>4</v>
      </c>
      <c r="CY52" s="497" t="s">
        <v>4</v>
      </c>
      <c r="CZ52" s="500" t="s">
        <v>4</v>
      </c>
      <c r="DA52" s="496" t="s">
        <v>4</v>
      </c>
      <c r="DB52" s="497" t="s">
        <v>4</v>
      </c>
      <c r="DC52" s="497" t="s">
        <v>4</v>
      </c>
      <c r="DD52" s="497" t="s">
        <v>4</v>
      </c>
      <c r="DE52" s="497" t="s">
        <v>4</v>
      </c>
      <c r="DF52" s="497" t="s">
        <v>4</v>
      </c>
      <c r="DG52" s="497" t="s">
        <v>4</v>
      </c>
      <c r="DH52" s="497" t="s">
        <v>4</v>
      </c>
      <c r="DI52" s="497" t="s">
        <v>4</v>
      </c>
      <c r="DJ52" s="497" t="s">
        <v>4</v>
      </c>
      <c r="DK52" s="497" t="s">
        <v>4</v>
      </c>
      <c r="DL52" s="497" t="s">
        <v>4</v>
      </c>
      <c r="DM52" s="497" t="s">
        <v>4</v>
      </c>
      <c r="DN52" s="497">
        <v>2</v>
      </c>
      <c r="DO52" s="497" t="s">
        <v>2</v>
      </c>
      <c r="DP52" s="497" t="s">
        <v>29292</v>
      </c>
      <c r="DQ52" s="497" t="s">
        <v>4</v>
      </c>
      <c r="DR52" s="497" t="s">
        <v>29293</v>
      </c>
      <c r="DS52" s="494">
        <v>1000</v>
      </c>
      <c r="DT52" s="497" t="s">
        <v>29294</v>
      </c>
      <c r="DU52" s="494" t="s">
        <v>4</v>
      </c>
      <c r="DV52" s="500" t="s">
        <v>29442</v>
      </c>
      <c r="DW52" s="496">
        <v>30</v>
      </c>
      <c r="DX52" s="497" t="s">
        <v>29296</v>
      </c>
      <c r="DY52" s="497">
        <v>100</v>
      </c>
      <c r="DZ52" s="497" t="s">
        <v>4</v>
      </c>
      <c r="EA52" s="497" t="s">
        <v>4</v>
      </c>
      <c r="EB52" s="497" t="s">
        <v>4</v>
      </c>
      <c r="EC52" s="497" t="s">
        <v>4</v>
      </c>
      <c r="ED52" s="497">
        <v>70</v>
      </c>
      <c r="EE52" s="497" t="s">
        <v>30667</v>
      </c>
      <c r="EF52" s="497" t="s">
        <v>4</v>
      </c>
      <c r="EG52" s="497" t="s">
        <v>4</v>
      </c>
      <c r="EH52" s="497">
        <v>100</v>
      </c>
      <c r="EI52" s="497" t="s">
        <v>4</v>
      </c>
      <c r="EJ52" s="497" t="s">
        <v>4</v>
      </c>
      <c r="EK52" s="497" t="s">
        <v>4</v>
      </c>
      <c r="EL52" s="497" t="s">
        <v>4</v>
      </c>
      <c r="EM52" s="497">
        <v>40</v>
      </c>
      <c r="EN52" s="497" t="s">
        <v>4</v>
      </c>
      <c r="EO52" s="497" t="s">
        <v>4</v>
      </c>
      <c r="EP52" s="497" t="s">
        <v>4</v>
      </c>
      <c r="EQ52" s="497" t="s">
        <v>30702</v>
      </c>
      <c r="ER52" s="497">
        <v>90</v>
      </c>
      <c r="ES52" s="497" t="s">
        <v>4</v>
      </c>
      <c r="ET52" s="497" t="s">
        <v>4</v>
      </c>
      <c r="EU52" s="497" t="s">
        <v>4</v>
      </c>
      <c r="EV52" s="497">
        <v>10</v>
      </c>
      <c r="EW52" s="497">
        <v>2.4281667341157425</v>
      </c>
      <c r="EX52" s="497" t="s">
        <v>7</v>
      </c>
      <c r="EY52" s="497">
        <v>60</v>
      </c>
      <c r="EZ52" s="239">
        <f t="shared" si="2"/>
        <v>1.4569000404694454</v>
      </c>
      <c r="FA52" s="497" t="s">
        <v>36113</v>
      </c>
      <c r="FB52" s="497" t="s">
        <v>29298</v>
      </c>
      <c r="FC52" s="497">
        <v>96</v>
      </c>
      <c r="FD52" s="497" t="s">
        <v>7</v>
      </c>
      <c r="FE52" s="497" t="s">
        <v>29299</v>
      </c>
      <c r="FF52" s="497" t="s">
        <v>4</v>
      </c>
      <c r="FG52" s="497" t="s">
        <v>2</v>
      </c>
      <c r="FH52" s="497" t="s">
        <v>4</v>
      </c>
      <c r="FI52" s="497" t="s">
        <v>4</v>
      </c>
      <c r="FJ52" s="497" t="s">
        <v>4</v>
      </c>
      <c r="FK52" s="497" t="s">
        <v>4</v>
      </c>
      <c r="FL52" s="497" t="s">
        <v>4</v>
      </c>
      <c r="FM52" s="497" t="s">
        <v>4</v>
      </c>
      <c r="FN52" s="494" t="s">
        <v>4</v>
      </c>
      <c r="FO52" s="497" t="s">
        <v>4</v>
      </c>
      <c r="FP52" s="497" t="s">
        <v>7</v>
      </c>
      <c r="FQ52" s="497" t="s">
        <v>29301</v>
      </c>
      <c r="FR52" s="497" t="s">
        <v>4</v>
      </c>
      <c r="FS52" s="497" t="s">
        <v>7</v>
      </c>
      <c r="FT52" s="497" t="s">
        <v>2</v>
      </c>
      <c r="FU52" s="497" t="s">
        <v>4</v>
      </c>
      <c r="FV52" s="497" t="s">
        <v>4</v>
      </c>
      <c r="FW52" s="497" t="s">
        <v>29378</v>
      </c>
      <c r="FX52" s="497">
        <v>0</v>
      </c>
      <c r="FY52" s="497" t="s">
        <v>4</v>
      </c>
      <c r="FZ52" s="497" t="s">
        <v>4</v>
      </c>
      <c r="GA52" s="497" t="s">
        <v>4</v>
      </c>
      <c r="GB52" s="497" t="s">
        <v>4</v>
      </c>
      <c r="GC52" s="497" t="s">
        <v>4</v>
      </c>
      <c r="GD52" s="497" t="s">
        <v>4</v>
      </c>
      <c r="GE52" s="497" t="s">
        <v>4</v>
      </c>
      <c r="GF52" s="497" t="s">
        <v>4</v>
      </c>
      <c r="GG52" s="497" t="s">
        <v>13</v>
      </c>
      <c r="GH52" s="497" t="s">
        <v>36114</v>
      </c>
      <c r="GI52" s="497" t="s">
        <v>4</v>
      </c>
      <c r="GJ52" s="497" t="s">
        <v>4</v>
      </c>
      <c r="GK52" s="497" t="s">
        <v>4</v>
      </c>
      <c r="GL52" s="497" t="s">
        <v>4</v>
      </c>
      <c r="GM52" s="497" t="s">
        <v>4</v>
      </c>
      <c r="GN52" s="497" t="s">
        <v>4</v>
      </c>
      <c r="GO52" s="497" t="s">
        <v>4</v>
      </c>
      <c r="GP52" s="497" t="s">
        <v>4</v>
      </c>
      <c r="GQ52" s="497" t="s">
        <v>4</v>
      </c>
      <c r="GR52" s="497" t="s">
        <v>4</v>
      </c>
      <c r="GS52" s="497" t="s">
        <v>4</v>
      </c>
      <c r="GT52" s="497" t="s">
        <v>29354</v>
      </c>
      <c r="GU52" s="497" t="s">
        <v>4</v>
      </c>
      <c r="GV52" s="494">
        <v>10</v>
      </c>
      <c r="GW52" s="497" t="s">
        <v>7</v>
      </c>
      <c r="GX52" s="497" t="s">
        <v>29309</v>
      </c>
      <c r="GY52" s="497" t="s">
        <v>4</v>
      </c>
      <c r="GZ52" s="497" t="s">
        <v>4</v>
      </c>
      <c r="HA52" s="497" t="s">
        <v>4</v>
      </c>
      <c r="HB52" s="497" t="s">
        <v>4</v>
      </c>
      <c r="HC52" s="497" t="s">
        <v>4</v>
      </c>
      <c r="HD52" s="497" t="s">
        <v>4</v>
      </c>
      <c r="HE52" s="497" t="s">
        <v>4</v>
      </c>
      <c r="HF52" s="497" t="s">
        <v>4</v>
      </c>
      <c r="HG52" s="497" t="s">
        <v>2</v>
      </c>
      <c r="HH52" s="497" t="s">
        <v>4</v>
      </c>
      <c r="HI52" s="497" t="s">
        <v>4</v>
      </c>
      <c r="HJ52" s="497" t="s">
        <v>4</v>
      </c>
      <c r="HK52" s="494" t="s">
        <v>4</v>
      </c>
      <c r="HL52" s="497" t="s">
        <v>33474</v>
      </c>
      <c r="HM52" s="497" t="s">
        <v>7</v>
      </c>
      <c r="HN52" s="497" t="s">
        <v>36115</v>
      </c>
      <c r="HO52" s="497" t="s">
        <v>16</v>
      </c>
      <c r="HP52" s="497" t="s">
        <v>36116</v>
      </c>
      <c r="HQ52" s="497" t="s">
        <v>36117</v>
      </c>
      <c r="HR52" s="497" t="s">
        <v>36118</v>
      </c>
      <c r="HS52" s="497" t="s">
        <v>36119</v>
      </c>
      <c r="HT52" s="500" t="s">
        <v>36120</v>
      </c>
    </row>
    <row r="53" spans="1:228" s="570" customFormat="1" ht="30.2" customHeight="1" x14ac:dyDescent="0.25">
      <c r="A53" s="759"/>
      <c r="B53" s="496">
        <v>145</v>
      </c>
      <c r="C53" s="496" t="s">
        <v>9470</v>
      </c>
      <c r="D53" s="497" t="s">
        <v>34989</v>
      </c>
      <c r="E53" s="497" t="s">
        <v>83</v>
      </c>
      <c r="F53" s="497" t="s">
        <v>7</v>
      </c>
      <c r="G53" s="497" t="s">
        <v>34990</v>
      </c>
      <c r="H53" s="497">
        <v>1218.2629999999999</v>
      </c>
      <c r="I53" s="497">
        <v>1.416976</v>
      </c>
      <c r="J53" s="497" t="s">
        <v>29288</v>
      </c>
      <c r="K53" s="497" t="s">
        <v>4</v>
      </c>
      <c r="L53" s="497" t="s">
        <v>34991</v>
      </c>
      <c r="M53" s="497">
        <v>782931221</v>
      </c>
      <c r="N53" s="497" t="s">
        <v>3</v>
      </c>
      <c r="O53" s="497" t="s">
        <v>31598</v>
      </c>
      <c r="P53" s="497" t="s">
        <v>4</v>
      </c>
      <c r="Q53" s="497">
        <v>7</v>
      </c>
      <c r="R53" s="497" t="s">
        <v>7</v>
      </c>
      <c r="S53" s="497" t="s">
        <v>31535</v>
      </c>
      <c r="T53" s="497" t="s">
        <v>4</v>
      </c>
      <c r="U53" s="497" t="s">
        <v>7</v>
      </c>
      <c r="V53" s="497" t="s">
        <v>7</v>
      </c>
      <c r="W53" s="497" t="s">
        <v>4</v>
      </c>
      <c r="X53" s="497" t="s">
        <v>7</v>
      </c>
      <c r="Y53" s="497" t="s">
        <v>4</v>
      </c>
      <c r="Z53" s="497" t="s">
        <v>4</v>
      </c>
      <c r="AA53" s="241" t="str">
        <f>IF(OR(U53="yes",Z53&gt;'SDG outcome'!$C$39),"yes","no")</f>
        <v>yes</v>
      </c>
      <c r="AB53" s="521" t="str">
        <f t="shared" si="0"/>
        <v>NA</v>
      </c>
      <c r="AC53" s="527" t="str">
        <f>IF(AND('SMS p2'!AA157="no",AND(Z53&gt;='SDG outcome'!$B$28,Z53&lt;'SDG outcome'!$C$39)),Z53-'SDG outcome'!$B$28,"")</f>
        <v/>
      </c>
      <c r="AD53" s="497" t="s">
        <v>4</v>
      </c>
      <c r="AE53" s="497" t="s">
        <v>4</v>
      </c>
      <c r="AF53" s="497" t="s">
        <v>4</v>
      </c>
      <c r="AG53" s="497" t="s">
        <v>4</v>
      </c>
      <c r="AH53" s="497" t="s">
        <v>4</v>
      </c>
      <c r="AI53" s="497" t="s">
        <v>4</v>
      </c>
      <c r="AJ53" s="497" t="s">
        <v>4</v>
      </c>
      <c r="AK53" s="497" t="s">
        <v>29290</v>
      </c>
      <c r="AL53" s="497" t="s">
        <v>29291</v>
      </c>
      <c r="AM53" s="497" t="s">
        <v>4</v>
      </c>
      <c r="AN53" s="497" t="s">
        <v>4</v>
      </c>
      <c r="AO53" s="497" t="s">
        <v>31536</v>
      </c>
      <c r="AP53" s="497" t="s">
        <v>4</v>
      </c>
      <c r="AQ53" s="497" t="s">
        <v>31600</v>
      </c>
      <c r="AR53" s="497" t="s">
        <v>4</v>
      </c>
      <c r="AS53" s="497" t="s">
        <v>31538</v>
      </c>
      <c r="AT53" s="497" t="s">
        <v>4</v>
      </c>
      <c r="AU53" s="497" t="s">
        <v>7</v>
      </c>
      <c r="AV53" s="497" t="s">
        <v>4</v>
      </c>
      <c r="AW53" s="497" t="s">
        <v>4</v>
      </c>
      <c r="AX53" s="497" t="s">
        <v>7</v>
      </c>
      <c r="AY53" s="497" t="s">
        <v>11</v>
      </c>
      <c r="AZ53" s="497" t="s">
        <v>4</v>
      </c>
      <c r="BA53" s="497" t="s">
        <v>31619</v>
      </c>
      <c r="BB53" s="497" t="s">
        <v>4</v>
      </c>
      <c r="BC53" s="497" t="s">
        <v>4</v>
      </c>
      <c r="BD53" s="497" t="s">
        <v>4</v>
      </c>
      <c r="BE53" s="497" t="s">
        <v>4</v>
      </c>
      <c r="BF53" s="497" t="s">
        <v>4</v>
      </c>
      <c r="BG53" s="497" t="s">
        <v>4</v>
      </c>
      <c r="BH53" s="497" t="s">
        <v>4</v>
      </c>
      <c r="BI53" s="497" t="s">
        <v>4</v>
      </c>
      <c r="BJ53" s="497" t="s">
        <v>4</v>
      </c>
      <c r="BK53" s="497" t="s">
        <v>7</v>
      </c>
      <c r="BL53" s="497" t="s">
        <v>6</v>
      </c>
      <c r="BM53" s="497" t="s">
        <v>4</v>
      </c>
      <c r="BN53" s="497" t="s">
        <v>31425</v>
      </c>
      <c r="BO53" s="497">
        <v>1</v>
      </c>
      <c r="BP53" s="497">
        <v>30</v>
      </c>
      <c r="BQ53" s="497" t="s">
        <v>31426</v>
      </c>
      <c r="BR53" s="499" t="s">
        <v>33332</v>
      </c>
      <c r="BS53" s="497" t="s">
        <v>4</v>
      </c>
      <c r="BT53" s="497">
        <v>1</v>
      </c>
      <c r="BU53" s="494" cm="1">
        <f t="array" ref="BU53">_xlfn.IFS(BQ53="Foreword vehicle",BT53*0,BQ53="Human wastes",BT53*0,BS53="Jerrycans",BT53*$BT$4,BQ53="Number of Basins",BT53*$BT$5,BQ53="Number of Buckets",BT53*$BT$6,BQ53="Number of Kgs",BT53*$BT$7,BQ53="Number of spades",BT53*$BT$8,BQ53="Number of wheelbarrows",BT53*$BT$9,BS53="Septic Tank",BT53*0)</f>
        <v>23</v>
      </c>
      <c r="BV53" s="494">
        <f>Table15[[#This Row],[Calculation: Conversion of metric to Kg manure feeding (Columns: BP, BQ, BR)]]*Table15[[#This Row],[Number of times used to feed biodigester]]</f>
        <v>23</v>
      </c>
      <c r="BW53" s="495" cm="1">
        <f t="array" ref="BW53">_xlfn.IFS(BN53="Number of times per day (1 to 3)",BV53/$BW$3,BN53="Number of times per week (1 to 6)",BV53/$BW$4,BN53="Number of times per Month (1 to 3)",BV53/$BW$5)</f>
        <v>23</v>
      </c>
      <c r="BX53" s="497" t="s">
        <v>31650</v>
      </c>
      <c r="BY53" s="497" t="s">
        <v>4</v>
      </c>
      <c r="BZ53" s="497" t="s">
        <v>2</v>
      </c>
      <c r="CA53" s="497" t="s">
        <v>4</v>
      </c>
      <c r="CB53" s="497" t="s">
        <v>4</v>
      </c>
      <c r="CC53" s="497" t="s">
        <v>4</v>
      </c>
      <c r="CD53" s="497" t="s">
        <v>7</v>
      </c>
      <c r="CE53" s="497" t="s">
        <v>34992</v>
      </c>
      <c r="CF53" s="497" t="s">
        <v>4</v>
      </c>
      <c r="CG53" s="497" t="s">
        <v>31705</v>
      </c>
      <c r="CH53" s="497">
        <v>0</v>
      </c>
      <c r="CI53" s="497">
        <v>3</v>
      </c>
      <c r="CJ53" s="497">
        <v>0</v>
      </c>
      <c r="CK53" s="497">
        <v>0</v>
      </c>
      <c r="CL53" s="497">
        <v>0</v>
      </c>
      <c r="CM53" s="497">
        <v>0</v>
      </c>
      <c r="CN53" s="497">
        <v>0</v>
      </c>
      <c r="CO53" s="497">
        <v>0</v>
      </c>
      <c r="CP53" s="497">
        <v>0</v>
      </c>
      <c r="CQ53" s="497">
        <v>0</v>
      </c>
      <c r="CR53" s="497">
        <f>IF(Table15[[#This Row],[Is your biodigester working?]]="yes",CO53/'SDG outcome'!$C$9*CP53*CQ53,"")</f>
        <v>0</v>
      </c>
      <c r="CS53" s="497" t="s">
        <v>4</v>
      </c>
      <c r="CT53" s="500" t="s">
        <v>4</v>
      </c>
      <c r="CU53" s="496" t="s">
        <v>4</v>
      </c>
      <c r="CV53" s="497">
        <v>100</v>
      </c>
      <c r="CW53" s="500">
        <v>0</v>
      </c>
      <c r="CX53" s="496" t="s">
        <v>4</v>
      </c>
      <c r="CY53" s="497" t="s">
        <v>4</v>
      </c>
      <c r="CZ53" s="500" t="s">
        <v>4</v>
      </c>
      <c r="DA53" s="496" t="s">
        <v>4</v>
      </c>
      <c r="DB53" s="497" t="s">
        <v>4</v>
      </c>
      <c r="DC53" s="497" t="s">
        <v>4</v>
      </c>
      <c r="DD53" s="497" t="s">
        <v>4</v>
      </c>
      <c r="DE53" s="497" t="s">
        <v>4</v>
      </c>
      <c r="DF53" s="497" t="s">
        <v>4</v>
      </c>
      <c r="DG53" s="497" t="s">
        <v>4</v>
      </c>
      <c r="DH53" s="497" t="s">
        <v>4</v>
      </c>
      <c r="DI53" s="497" t="s">
        <v>4</v>
      </c>
      <c r="DJ53" s="497" t="s">
        <v>4</v>
      </c>
      <c r="DK53" s="497" t="s">
        <v>4</v>
      </c>
      <c r="DL53" s="497" t="s">
        <v>4</v>
      </c>
      <c r="DM53" s="497" t="s">
        <v>4</v>
      </c>
      <c r="DN53" s="497">
        <v>4</v>
      </c>
      <c r="DO53" s="497" t="s">
        <v>2</v>
      </c>
      <c r="DP53" s="497" t="s">
        <v>29292</v>
      </c>
      <c r="DQ53" s="497" t="s">
        <v>4</v>
      </c>
      <c r="DR53" s="497" t="s">
        <v>29293</v>
      </c>
      <c r="DS53" s="494">
        <v>150000</v>
      </c>
      <c r="DT53" s="497" t="s">
        <v>29294</v>
      </c>
      <c r="DU53" s="494" t="s">
        <v>4</v>
      </c>
      <c r="DV53" s="500" t="s">
        <v>29295</v>
      </c>
      <c r="DW53" s="496">
        <v>100</v>
      </c>
      <c r="DX53" s="497" t="s">
        <v>29296</v>
      </c>
      <c r="DY53" s="497">
        <v>100</v>
      </c>
      <c r="DZ53" s="497" t="s">
        <v>4</v>
      </c>
      <c r="EA53" s="497" t="s">
        <v>4</v>
      </c>
      <c r="EB53" s="497" t="s">
        <v>4</v>
      </c>
      <c r="EC53" s="497" t="s">
        <v>4</v>
      </c>
      <c r="ED53" s="497" t="s">
        <v>4</v>
      </c>
      <c r="EE53" s="497" t="s">
        <v>4</v>
      </c>
      <c r="EF53" s="497" t="s">
        <v>4</v>
      </c>
      <c r="EG53" s="497" t="s">
        <v>4</v>
      </c>
      <c r="EH53" s="497" t="s">
        <v>4</v>
      </c>
      <c r="EI53" s="497" t="s">
        <v>4</v>
      </c>
      <c r="EJ53" s="497" t="s">
        <v>4</v>
      </c>
      <c r="EK53" s="497" t="s">
        <v>4</v>
      </c>
      <c r="EL53" s="497" t="s">
        <v>4</v>
      </c>
      <c r="EM53" s="497" t="s">
        <v>4</v>
      </c>
      <c r="EN53" s="497" t="s">
        <v>4</v>
      </c>
      <c r="EO53" s="497" t="s">
        <v>4</v>
      </c>
      <c r="EP53" s="497" t="s">
        <v>4</v>
      </c>
      <c r="EQ53" s="497" t="s">
        <v>4</v>
      </c>
      <c r="ER53" s="497" t="s">
        <v>4</v>
      </c>
      <c r="ES53" s="497" t="s">
        <v>4</v>
      </c>
      <c r="ET53" s="497" t="s">
        <v>4</v>
      </c>
      <c r="EU53" s="497" t="s">
        <v>4</v>
      </c>
      <c r="EV53" s="497" t="s">
        <v>4</v>
      </c>
      <c r="EW53" s="497">
        <v>2.0234722784297854</v>
      </c>
      <c r="EX53" s="497" t="s">
        <v>7</v>
      </c>
      <c r="EY53" s="497">
        <v>70</v>
      </c>
      <c r="EZ53" s="239">
        <f t="shared" si="2"/>
        <v>1.4164305949008495</v>
      </c>
      <c r="FA53" s="497" t="s">
        <v>34993</v>
      </c>
      <c r="FB53" s="497" t="s">
        <v>29298</v>
      </c>
      <c r="FC53" s="497">
        <v>14</v>
      </c>
      <c r="FD53" s="497" t="s">
        <v>7</v>
      </c>
      <c r="FE53" s="497" t="s">
        <v>29393</v>
      </c>
      <c r="FF53" s="497" t="s">
        <v>4</v>
      </c>
      <c r="FG53" s="497" t="s">
        <v>2</v>
      </c>
      <c r="FH53" s="497" t="s">
        <v>4</v>
      </c>
      <c r="FI53" s="497" t="s">
        <v>4</v>
      </c>
      <c r="FJ53" s="497" t="s">
        <v>4</v>
      </c>
      <c r="FK53" s="497" t="s">
        <v>4</v>
      </c>
      <c r="FL53" s="497" t="s">
        <v>4</v>
      </c>
      <c r="FM53" s="497" t="s">
        <v>4</v>
      </c>
      <c r="FN53" s="494" t="s">
        <v>4</v>
      </c>
      <c r="FO53" s="497" t="s">
        <v>4</v>
      </c>
      <c r="FP53" s="497" t="s">
        <v>7</v>
      </c>
      <c r="FQ53" s="497" t="s">
        <v>29526</v>
      </c>
      <c r="FR53" s="497" t="s">
        <v>34994</v>
      </c>
      <c r="FS53" s="497" t="s">
        <v>7</v>
      </c>
      <c r="FT53" s="497" t="s">
        <v>7</v>
      </c>
      <c r="FU53" s="497" t="s">
        <v>29302</v>
      </c>
      <c r="FV53" s="497" t="s">
        <v>34995</v>
      </c>
      <c r="FW53" s="497" t="s">
        <v>29304</v>
      </c>
      <c r="FX53" s="497">
        <v>4</v>
      </c>
      <c r="FY53" s="497" t="s">
        <v>29305</v>
      </c>
      <c r="FZ53" s="497" t="s">
        <v>29306</v>
      </c>
      <c r="GA53" s="497" t="s">
        <v>4</v>
      </c>
      <c r="GB53" s="497" t="s">
        <v>4</v>
      </c>
      <c r="GC53" s="497" t="s">
        <v>4</v>
      </c>
      <c r="GD53" s="497" t="s">
        <v>4</v>
      </c>
      <c r="GE53" s="497" t="s">
        <v>4</v>
      </c>
      <c r="GF53" s="497" t="s">
        <v>4</v>
      </c>
      <c r="GG53" s="497" t="s">
        <v>4</v>
      </c>
      <c r="GH53" s="497" t="s">
        <v>4</v>
      </c>
      <c r="GI53" s="497" t="s">
        <v>4</v>
      </c>
      <c r="GJ53" s="497" t="s">
        <v>4</v>
      </c>
      <c r="GK53" s="497" t="s">
        <v>4</v>
      </c>
      <c r="GL53" s="497" t="s">
        <v>4</v>
      </c>
      <c r="GM53" s="497" t="s">
        <v>4</v>
      </c>
      <c r="GN53" s="497" t="s">
        <v>4</v>
      </c>
      <c r="GO53" s="497" t="s">
        <v>4</v>
      </c>
      <c r="GP53" s="497" t="s">
        <v>4</v>
      </c>
      <c r="GQ53" s="497" t="s">
        <v>4</v>
      </c>
      <c r="GR53" s="497" t="s">
        <v>4</v>
      </c>
      <c r="GS53" s="497" t="s">
        <v>4</v>
      </c>
      <c r="GT53" s="497" t="s">
        <v>29452</v>
      </c>
      <c r="GU53" s="497" t="s">
        <v>4</v>
      </c>
      <c r="GV53" s="494">
        <v>10</v>
      </c>
      <c r="GW53" s="497" t="s">
        <v>2</v>
      </c>
      <c r="GX53" s="497" t="s">
        <v>29309</v>
      </c>
      <c r="GY53" s="497" t="s">
        <v>4</v>
      </c>
      <c r="GZ53" s="497" t="s">
        <v>4</v>
      </c>
      <c r="HA53" s="497" t="s">
        <v>4</v>
      </c>
      <c r="HB53" s="497" t="s">
        <v>4</v>
      </c>
      <c r="HC53" s="497" t="s">
        <v>4</v>
      </c>
      <c r="HD53" s="497" t="s">
        <v>4</v>
      </c>
      <c r="HE53" s="497" t="s">
        <v>4</v>
      </c>
      <c r="HF53" s="497" t="s">
        <v>4</v>
      </c>
      <c r="HG53" s="497" t="s">
        <v>2</v>
      </c>
      <c r="HH53" s="497" t="s">
        <v>4</v>
      </c>
      <c r="HI53" s="497" t="s">
        <v>4</v>
      </c>
      <c r="HJ53" s="497" t="s">
        <v>4</v>
      </c>
      <c r="HK53" s="494" t="s">
        <v>4</v>
      </c>
      <c r="HL53" s="497" t="s">
        <v>33474</v>
      </c>
      <c r="HM53" s="497" t="s">
        <v>2</v>
      </c>
      <c r="HN53" s="497" t="s">
        <v>4</v>
      </c>
      <c r="HO53" s="497" t="s">
        <v>34996</v>
      </c>
      <c r="HP53" s="497" t="s">
        <v>34997</v>
      </c>
      <c r="HQ53" s="497" t="s">
        <v>34998</v>
      </c>
      <c r="HR53" s="497" t="s">
        <v>34999</v>
      </c>
      <c r="HS53" s="497" t="s">
        <v>35000</v>
      </c>
      <c r="HT53" s="500" t="s">
        <v>34989</v>
      </c>
    </row>
    <row r="54" spans="1:228" s="570" customFormat="1" ht="30.2" customHeight="1" x14ac:dyDescent="0.25">
      <c r="A54" s="759"/>
      <c r="B54" s="496">
        <v>246</v>
      </c>
      <c r="C54" s="496" t="s">
        <v>12354</v>
      </c>
      <c r="D54" s="497" t="s">
        <v>34673</v>
      </c>
      <c r="E54" s="497" t="s">
        <v>35998</v>
      </c>
      <c r="F54" s="497" t="s">
        <v>7</v>
      </c>
      <c r="G54" s="497" t="s">
        <v>36060</v>
      </c>
      <c r="H54" s="497">
        <v>0</v>
      </c>
      <c r="I54" s="497">
        <v>2027.8879999999999</v>
      </c>
      <c r="J54" s="497" t="s">
        <v>29288</v>
      </c>
      <c r="K54" s="497" t="s">
        <v>4</v>
      </c>
      <c r="L54" s="497" t="s">
        <v>36061</v>
      </c>
      <c r="M54" s="497">
        <v>775975781</v>
      </c>
      <c r="N54" s="497" t="s">
        <v>3</v>
      </c>
      <c r="O54" s="497" t="s">
        <v>31598</v>
      </c>
      <c r="P54" s="497" t="s">
        <v>4</v>
      </c>
      <c r="Q54" s="497">
        <v>10</v>
      </c>
      <c r="R54" s="497" t="s">
        <v>7</v>
      </c>
      <c r="S54" s="497" t="s">
        <v>31549</v>
      </c>
      <c r="T54" s="497" t="s">
        <v>4</v>
      </c>
      <c r="U54" s="497" t="s">
        <v>7</v>
      </c>
      <c r="V54" s="497" t="s">
        <v>7</v>
      </c>
      <c r="W54" s="497" t="s">
        <v>4</v>
      </c>
      <c r="X54" s="497" t="s">
        <v>7</v>
      </c>
      <c r="Y54" s="497" t="s">
        <v>4</v>
      </c>
      <c r="Z54" s="497" t="s">
        <v>4</v>
      </c>
      <c r="AA54" s="241" t="str">
        <f>IF(OR(U54="yes",Z54&gt;'SDG outcome'!$C$39),"yes","no")</f>
        <v>yes</v>
      </c>
      <c r="AB54" s="521" t="str">
        <f t="shared" si="0"/>
        <v>NA</v>
      </c>
      <c r="AC54" s="527" t="str">
        <f>IF(AND('SMS p2'!AA257="no",AND(Z54&gt;='SDG outcome'!$B$28,Z54&lt;'SDG outcome'!$C$39)),Z54-'SDG outcome'!$B$28,"")</f>
        <v/>
      </c>
      <c r="AD54" s="497" t="s">
        <v>4</v>
      </c>
      <c r="AE54" s="497" t="s">
        <v>4</v>
      </c>
      <c r="AF54" s="497" t="s">
        <v>4</v>
      </c>
      <c r="AG54" s="497" t="s">
        <v>4</v>
      </c>
      <c r="AH54" s="497" t="s">
        <v>4</v>
      </c>
      <c r="AI54" s="497" t="s">
        <v>4</v>
      </c>
      <c r="AJ54" s="497" t="s">
        <v>4</v>
      </c>
      <c r="AK54" s="497" t="s">
        <v>29290</v>
      </c>
      <c r="AL54" s="497" t="s">
        <v>29694</v>
      </c>
      <c r="AM54" s="497" t="s">
        <v>4</v>
      </c>
      <c r="AN54" s="497" t="s">
        <v>4</v>
      </c>
      <c r="AO54" s="497" t="s">
        <v>31536</v>
      </c>
      <c r="AP54" s="497" t="s">
        <v>4</v>
      </c>
      <c r="AQ54" s="497" t="s">
        <v>31537</v>
      </c>
      <c r="AR54" s="497" t="s">
        <v>4</v>
      </c>
      <c r="AS54" s="497" t="s">
        <v>31538</v>
      </c>
      <c r="AT54" s="497" t="s">
        <v>4</v>
      </c>
      <c r="AU54" s="497" t="s">
        <v>7</v>
      </c>
      <c r="AV54" s="497" t="s">
        <v>4</v>
      </c>
      <c r="AW54" s="497" t="s">
        <v>4</v>
      </c>
      <c r="AX54" s="497" t="s">
        <v>2</v>
      </c>
      <c r="AY54" s="497" t="s">
        <v>4</v>
      </c>
      <c r="AZ54" s="497" t="s">
        <v>4</v>
      </c>
      <c r="BA54" s="497" t="s">
        <v>31563</v>
      </c>
      <c r="BB54" s="497" t="s">
        <v>22</v>
      </c>
      <c r="BC54" s="497" t="s">
        <v>4</v>
      </c>
      <c r="BD54" s="501" t="s">
        <v>14</v>
      </c>
      <c r="BE54" s="497" t="s">
        <v>4</v>
      </c>
      <c r="BF54" s="497" t="s">
        <v>31542</v>
      </c>
      <c r="BG54" s="497" t="s">
        <v>36062</v>
      </c>
      <c r="BH54" s="497" t="s">
        <v>31616</v>
      </c>
      <c r="BI54" s="497">
        <v>2</v>
      </c>
      <c r="BJ54" s="497">
        <v>180</v>
      </c>
      <c r="BK54" s="497" t="s">
        <v>7</v>
      </c>
      <c r="BL54" s="497" t="s">
        <v>6</v>
      </c>
      <c r="BM54" s="497" t="s">
        <v>4</v>
      </c>
      <c r="BN54" s="497" t="s">
        <v>31429</v>
      </c>
      <c r="BO54" s="497">
        <v>5</v>
      </c>
      <c r="BP54" s="497">
        <v>25</v>
      </c>
      <c r="BQ54" s="497" t="s">
        <v>31435</v>
      </c>
      <c r="BR54" s="499" t="s">
        <v>33361</v>
      </c>
      <c r="BS54" s="497" t="s">
        <v>4</v>
      </c>
      <c r="BT54" s="497">
        <v>1</v>
      </c>
      <c r="BU54" s="494" cm="1">
        <f t="array" ref="BU54">_xlfn.IFS(BQ54="Foreword vehicle",BT54*0,BQ54="Human wastes",BT54*0,BS54="Jerrycans",BT54*$BT$4,BQ54="Number of Basins",BT54*$BT$5,BQ54="Number of Buckets",BT54*$BT$6,BQ54="Number of Kgs",BT54*$BT$7,BQ54="Number of spades",BT54*$BT$8,BQ54="Number of wheelbarrows",BT54*$BS$9,BS54="Septic Tank",BT54*0)</f>
        <v>82.5</v>
      </c>
      <c r="BV54" s="494">
        <f>Table15[[#This Row],[Calculation: Conversion of metric to Kg manure feeding (Columns: BP, BQ, BR)]]*Table15[[#This Row],[Number of times used to feed biodigester]]</f>
        <v>412.5</v>
      </c>
      <c r="BW54" s="495" cm="1">
        <f t="array" ref="BW54">_xlfn.IFS(BN54="Number of times per day (1 to 3)",BV54/$BW$3,BN54="Number of times per week (1 to 6)",BV54/$BW$4,BN54="Number of times per Month (1 to 3)",BV54/$BW$5)</f>
        <v>58.928571428571431</v>
      </c>
      <c r="BX54" s="497" t="s">
        <v>22</v>
      </c>
      <c r="BY54" s="497" t="s">
        <v>4</v>
      </c>
      <c r="BZ54" s="497" t="s">
        <v>2</v>
      </c>
      <c r="CA54" s="497" t="s">
        <v>4</v>
      </c>
      <c r="CB54" s="497" t="s">
        <v>4</v>
      </c>
      <c r="CC54" s="497" t="s">
        <v>4</v>
      </c>
      <c r="CD54" s="497" t="s">
        <v>7</v>
      </c>
      <c r="CE54" s="497" t="s">
        <v>36063</v>
      </c>
      <c r="CF54" s="497" t="s">
        <v>4</v>
      </c>
      <c r="CG54" s="497" t="s">
        <v>31585</v>
      </c>
      <c r="CH54" s="497">
        <v>3</v>
      </c>
      <c r="CI54" s="497">
        <v>0</v>
      </c>
      <c r="CJ54" s="497">
        <v>0</v>
      </c>
      <c r="CK54" s="497">
        <v>0</v>
      </c>
      <c r="CL54" s="497">
        <v>10</v>
      </c>
      <c r="CM54" s="497">
        <v>40</v>
      </c>
      <c r="CN54" s="497">
        <v>0</v>
      </c>
      <c r="CO54" s="497">
        <v>0</v>
      </c>
      <c r="CP54" s="497">
        <v>0</v>
      </c>
      <c r="CQ54" s="497">
        <v>0</v>
      </c>
      <c r="CR54" s="497">
        <f>IF(Table15[[#This Row],[Is your biodigester working?]]="yes",CO54/'SDG outcome'!$C$9*CP54*CQ54,"")</f>
        <v>0</v>
      </c>
      <c r="CS54" s="497">
        <v>100</v>
      </c>
      <c r="CT54" s="500">
        <v>0</v>
      </c>
      <c r="CU54" s="496" t="s">
        <v>4</v>
      </c>
      <c r="CV54" s="497" t="s">
        <v>4</v>
      </c>
      <c r="CW54" s="500" t="s">
        <v>4</v>
      </c>
      <c r="CX54" s="496" t="s">
        <v>4</v>
      </c>
      <c r="CY54" s="497" t="s">
        <v>4</v>
      </c>
      <c r="CZ54" s="500" t="s">
        <v>4</v>
      </c>
      <c r="DA54" s="496" t="s">
        <v>4</v>
      </c>
      <c r="DB54" s="497" t="s">
        <v>4</v>
      </c>
      <c r="DC54" s="497" t="s">
        <v>4</v>
      </c>
      <c r="DD54" s="497" t="s">
        <v>4</v>
      </c>
      <c r="DE54" s="497">
        <v>0</v>
      </c>
      <c r="DF54" s="497">
        <v>100</v>
      </c>
      <c r="DG54" s="497" t="s">
        <v>36064</v>
      </c>
      <c r="DH54" s="497" t="s">
        <v>4</v>
      </c>
      <c r="DI54" s="497" t="s">
        <v>4</v>
      </c>
      <c r="DJ54" s="497" t="s">
        <v>4</v>
      </c>
      <c r="DK54" s="497">
        <v>0</v>
      </c>
      <c r="DL54" s="497">
        <v>100</v>
      </c>
      <c r="DM54" s="497" t="s">
        <v>36065</v>
      </c>
      <c r="DN54" s="497">
        <v>2</v>
      </c>
      <c r="DO54" s="497" t="s">
        <v>7</v>
      </c>
      <c r="DP54" s="497" t="s">
        <v>29292</v>
      </c>
      <c r="DQ54" s="497" t="s">
        <v>4</v>
      </c>
      <c r="DR54" s="497" t="s">
        <v>29294</v>
      </c>
      <c r="DS54" s="494" t="s">
        <v>4</v>
      </c>
      <c r="DT54" s="497" t="s">
        <v>29294</v>
      </c>
      <c r="DU54" s="494" t="s">
        <v>4</v>
      </c>
      <c r="DV54" s="500" t="s">
        <v>29295</v>
      </c>
      <c r="DW54" s="496">
        <v>100</v>
      </c>
      <c r="DX54" s="497" t="s">
        <v>29296</v>
      </c>
      <c r="DY54" s="497">
        <v>100</v>
      </c>
      <c r="DZ54" s="497" t="s">
        <v>4</v>
      </c>
      <c r="EA54" s="497" t="s">
        <v>4</v>
      </c>
      <c r="EB54" s="497" t="s">
        <v>4</v>
      </c>
      <c r="EC54" s="497" t="s">
        <v>4</v>
      </c>
      <c r="ED54" s="497" t="s">
        <v>4</v>
      </c>
      <c r="EE54" s="497" t="s">
        <v>4</v>
      </c>
      <c r="EF54" s="497" t="s">
        <v>4</v>
      </c>
      <c r="EG54" s="497" t="s">
        <v>4</v>
      </c>
      <c r="EH54" s="497" t="s">
        <v>4</v>
      </c>
      <c r="EI54" s="497" t="s">
        <v>4</v>
      </c>
      <c r="EJ54" s="497" t="s">
        <v>4</v>
      </c>
      <c r="EK54" s="497" t="s">
        <v>4</v>
      </c>
      <c r="EL54" s="497" t="s">
        <v>4</v>
      </c>
      <c r="EM54" s="497" t="s">
        <v>4</v>
      </c>
      <c r="EN54" s="497" t="s">
        <v>4</v>
      </c>
      <c r="EO54" s="497" t="s">
        <v>4</v>
      </c>
      <c r="EP54" s="497" t="s">
        <v>4</v>
      </c>
      <c r="EQ54" s="497" t="s">
        <v>4</v>
      </c>
      <c r="ER54" s="497" t="s">
        <v>4</v>
      </c>
      <c r="ES54" s="497" t="s">
        <v>4</v>
      </c>
      <c r="ET54" s="497" t="s">
        <v>4</v>
      </c>
      <c r="EU54" s="497" t="s">
        <v>4</v>
      </c>
      <c r="EV54" s="497" t="s">
        <v>4</v>
      </c>
      <c r="EW54" s="497">
        <v>1.6187778227438283</v>
      </c>
      <c r="EX54" s="497" t="s">
        <v>7</v>
      </c>
      <c r="EY54" s="497">
        <v>80</v>
      </c>
      <c r="EZ54" s="239">
        <f t="shared" si="2"/>
        <v>1.2950222581950626</v>
      </c>
      <c r="FA54" s="497" t="s">
        <v>36066</v>
      </c>
      <c r="FB54" s="497" t="s">
        <v>29298</v>
      </c>
      <c r="FC54" s="497">
        <v>96</v>
      </c>
      <c r="FD54" s="497" t="s">
        <v>7</v>
      </c>
      <c r="FE54" s="497" t="s">
        <v>29393</v>
      </c>
      <c r="FF54" s="497" t="s">
        <v>4</v>
      </c>
      <c r="FG54" s="497" t="s">
        <v>7</v>
      </c>
      <c r="FH54" s="497" t="s">
        <v>29393</v>
      </c>
      <c r="FI54" s="497" t="s">
        <v>4</v>
      </c>
      <c r="FJ54" s="497" t="s">
        <v>13</v>
      </c>
      <c r="FK54" s="497" t="s">
        <v>36067</v>
      </c>
      <c r="FL54" s="497" t="s">
        <v>4</v>
      </c>
      <c r="FM54" s="497" t="s">
        <v>4</v>
      </c>
      <c r="FN54" s="494" t="s">
        <v>4</v>
      </c>
      <c r="FO54" s="497" t="s">
        <v>4</v>
      </c>
      <c r="FP54" s="497" t="s">
        <v>2</v>
      </c>
      <c r="FQ54" s="497" t="s">
        <v>4</v>
      </c>
      <c r="FR54" s="497" t="s">
        <v>4</v>
      </c>
      <c r="FS54" s="497" t="s">
        <v>7</v>
      </c>
      <c r="FT54" s="497" t="s">
        <v>2</v>
      </c>
      <c r="FU54" s="497" t="s">
        <v>4</v>
      </c>
      <c r="FV54" s="497" t="s">
        <v>4</v>
      </c>
      <c r="FW54" s="497" t="s">
        <v>29378</v>
      </c>
      <c r="FX54" s="497">
        <v>0</v>
      </c>
      <c r="FY54" s="497" t="s">
        <v>4</v>
      </c>
      <c r="FZ54" s="497" t="s">
        <v>4</v>
      </c>
      <c r="GA54" s="497" t="s">
        <v>4</v>
      </c>
      <c r="GB54" s="497" t="s">
        <v>4</v>
      </c>
      <c r="GC54" s="497" t="s">
        <v>4</v>
      </c>
      <c r="GD54" s="497" t="s">
        <v>4</v>
      </c>
      <c r="GE54" s="497" t="s">
        <v>4</v>
      </c>
      <c r="GF54" s="497" t="s">
        <v>4</v>
      </c>
      <c r="GG54" s="497" t="s">
        <v>29353</v>
      </c>
      <c r="GH54" s="497" t="s">
        <v>4</v>
      </c>
      <c r="GI54" s="497" t="s">
        <v>4</v>
      </c>
      <c r="GJ54" s="497" t="s">
        <v>4</v>
      </c>
      <c r="GK54" s="497" t="s">
        <v>4</v>
      </c>
      <c r="GL54" s="497" t="s">
        <v>4</v>
      </c>
      <c r="GM54" s="497" t="s">
        <v>4</v>
      </c>
      <c r="GN54" s="497" t="s">
        <v>4</v>
      </c>
      <c r="GO54" s="497" t="s">
        <v>4</v>
      </c>
      <c r="GP54" s="497" t="s">
        <v>4</v>
      </c>
      <c r="GQ54" s="497" t="s">
        <v>4</v>
      </c>
      <c r="GR54" s="497" t="s">
        <v>4</v>
      </c>
      <c r="GS54" s="497" t="s">
        <v>4</v>
      </c>
      <c r="GT54" s="497" t="s">
        <v>29354</v>
      </c>
      <c r="GU54" s="497" t="s">
        <v>4</v>
      </c>
      <c r="GV54" s="494">
        <v>200</v>
      </c>
      <c r="GW54" s="497" t="s">
        <v>7</v>
      </c>
      <c r="GX54" s="497" t="s">
        <v>29309</v>
      </c>
      <c r="GY54" s="497" t="s">
        <v>4</v>
      </c>
      <c r="GZ54" s="497" t="s">
        <v>4</v>
      </c>
      <c r="HA54" s="497" t="s">
        <v>4</v>
      </c>
      <c r="HB54" s="497" t="s">
        <v>4</v>
      </c>
      <c r="HC54" s="497" t="s">
        <v>4</v>
      </c>
      <c r="HD54" s="497" t="s">
        <v>4</v>
      </c>
      <c r="HE54" s="497" t="s">
        <v>4</v>
      </c>
      <c r="HF54" s="497" t="s">
        <v>4</v>
      </c>
      <c r="HG54" s="497" t="s">
        <v>2</v>
      </c>
      <c r="HH54" s="497" t="s">
        <v>4</v>
      </c>
      <c r="HI54" s="497" t="s">
        <v>4</v>
      </c>
      <c r="HJ54" s="497" t="s">
        <v>4</v>
      </c>
      <c r="HK54" s="494" t="s">
        <v>4</v>
      </c>
      <c r="HL54" s="497" t="s">
        <v>33474</v>
      </c>
      <c r="HM54" s="497" t="s">
        <v>2</v>
      </c>
      <c r="HN54" s="497" t="s">
        <v>4</v>
      </c>
      <c r="HO54" s="497" t="s">
        <v>16</v>
      </c>
      <c r="HP54" s="497" t="s">
        <v>36068</v>
      </c>
      <c r="HQ54" s="497" t="s">
        <v>36069</v>
      </c>
      <c r="HR54" s="497" t="s">
        <v>36070</v>
      </c>
      <c r="HS54" s="497" t="s">
        <v>36071</v>
      </c>
      <c r="HT54" s="500" t="s">
        <v>36072</v>
      </c>
    </row>
    <row r="55" spans="1:228" s="570" customFormat="1" ht="30.2" customHeight="1" x14ac:dyDescent="0.25">
      <c r="A55" s="759"/>
      <c r="B55" s="496">
        <v>75</v>
      </c>
      <c r="C55" s="496" t="s">
        <v>28219</v>
      </c>
      <c r="D55" s="497" t="s">
        <v>34223</v>
      </c>
      <c r="E55" s="497" t="s">
        <v>30002</v>
      </c>
      <c r="F55" s="497" t="s">
        <v>7</v>
      </c>
      <c r="G55" s="497" t="s">
        <v>34224</v>
      </c>
      <c r="H55" s="497">
        <v>1505</v>
      </c>
      <c r="I55" s="497">
        <v>4.9000000000000004</v>
      </c>
      <c r="J55" s="497" t="s">
        <v>29288</v>
      </c>
      <c r="K55" s="497" t="s">
        <v>4</v>
      </c>
      <c r="L55" s="497" t="s">
        <v>34225</v>
      </c>
      <c r="M55" s="497">
        <v>772534286</v>
      </c>
      <c r="N55" s="497" t="s">
        <v>3</v>
      </c>
      <c r="O55" s="497" t="s">
        <v>31438</v>
      </c>
      <c r="P55" s="497">
        <v>74</v>
      </c>
      <c r="Q55" s="497">
        <v>10</v>
      </c>
      <c r="R55" s="497" t="s">
        <v>7</v>
      </c>
      <c r="S55" s="497" t="s">
        <v>31588</v>
      </c>
      <c r="T55" s="497" t="s">
        <v>4</v>
      </c>
      <c r="U55" s="497" t="s">
        <v>7</v>
      </c>
      <c r="V55" s="497" t="s">
        <v>7</v>
      </c>
      <c r="W55" s="497" t="s">
        <v>4</v>
      </c>
      <c r="X55" s="497" t="s">
        <v>7</v>
      </c>
      <c r="Y55" s="497" t="s">
        <v>4</v>
      </c>
      <c r="Z55" s="497" t="s">
        <v>4</v>
      </c>
      <c r="AA55" s="241" t="str">
        <f>IF(OR(U55="yes",Z55&gt;'SDG outcome'!$C$39),"yes","no")</f>
        <v>yes</v>
      </c>
      <c r="AB55" s="521" t="str">
        <f t="shared" si="0"/>
        <v>NA</v>
      </c>
      <c r="AC55" s="527" t="str">
        <f>IF(AND('SMS p2'!AA87="no",AND(Z55&gt;='SDG outcome'!$B$28,Z55&lt;'SDG outcome'!$C$39)),Z55-'SDG outcome'!$B$28,"")</f>
        <v/>
      </c>
      <c r="AD55" s="497" t="s">
        <v>4</v>
      </c>
      <c r="AE55" s="497" t="s">
        <v>4</v>
      </c>
      <c r="AF55" s="497" t="s">
        <v>4</v>
      </c>
      <c r="AG55" s="497" t="s">
        <v>4</v>
      </c>
      <c r="AH55" s="497" t="s">
        <v>4</v>
      </c>
      <c r="AI55" s="497" t="s">
        <v>4</v>
      </c>
      <c r="AJ55" s="497" t="s">
        <v>4</v>
      </c>
      <c r="AK55" s="497" t="s">
        <v>29290</v>
      </c>
      <c r="AL55" s="497" t="s">
        <v>29694</v>
      </c>
      <c r="AM55" s="497" t="s">
        <v>4</v>
      </c>
      <c r="AN55" s="497" t="s">
        <v>4</v>
      </c>
      <c r="AO55" s="497" t="s">
        <v>31536</v>
      </c>
      <c r="AP55" s="497" t="s">
        <v>4</v>
      </c>
      <c r="AQ55" s="497" t="s">
        <v>31600</v>
      </c>
      <c r="AR55" s="497" t="s">
        <v>4</v>
      </c>
      <c r="AS55" s="497" t="s">
        <v>31538</v>
      </c>
      <c r="AT55" s="497" t="s">
        <v>4</v>
      </c>
      <c r="AU55" s="497" t="s">
        <v>2</v>
      </c>
      <c r="AV55" s="497" t="s">
        <v>31581</v>
      </c>
      <c r="AW55" s="497" t="s">
        <v>4</v>
      </c>
      <c r="AX55" s="497" t="s">
        <v>7</v>
      </c>
      <c r="AY55" s="497" t="s">
        <v>11</v>
      </c>
      <c r="AZ55" s="497" t="s">
        <v>4</v>
      </c>
      <c r="BA55" s="497" t="s">
        <v>31563</v>
      </c>
      <c r="BB55" s="497" t="s">
        <v>22</v>
      </c>
      <c r="BC55" s="497" t="s">
        <v>4</v>
      </c>
      <c r="BD55" s="497" t="s">
        <v>31541</v>
      </c>
      <c r="BE55" s="497" t="s">
        <v>4</v>
      </c>
      <c r="BF55" s="497" t="s">
        <v>31542</v>
      </c>
      <c r="BG55" s="497" t="s">
        <v>34226</v>
      </c>
      <c r="BH55" s="497" t="s">
        <v>31544</v>
      </c>
      <c r="BI55" s="497">
        <v>3</v>
      </c>
      <c r="BJ55" s="497">
        <v>90</v>
      </c>
      <c r="BK55" s="497" t="s">
        <v>7</v>
      </c>
      <c r="BL55" s="497" t="s">
        <v>6</v>
      </c>
      <c r="BM55" s="497" t="s">
        <v>4</v>
      </c>
      <c r="BN55" s="497" t="s">
        <v>31425</v>
      </c>
      <c r="BO55" s="497">
        <v>1</v>
      </c>
      <c r="BP55" s="497">
        <v>90</v>
      </c>
      <c r="BQ55" s="497" t="s">
        <v>31426</v>
      </c>
      <c r="BR55" s="499" t="s">
        <v>33361</v>
      </c>
      <c r="BS55" s="497" t="s">
        <v>4</v>
      </c>
      <c r="BT55" s="497">
        <v>8</v>
      </c>
      <c r="BU55" s="494" cm="1">
        <f t="array" ref="BU55">_xlfn.IFS(BQ55="Foreword vehicle",BT55*0,BQ55="Human wastes",BT55*0,BS55="Jerrycans",BT55*$BT$4,BQ55="Number of Basins",BT55*$BT$5,BQ55="Number of Buckets",BT55*$BS$6,BQ55="Number of Kgs",BT55*$BT$7,BQ55="Number of spades",BT55*$BT$8,BQ55="Number of wheelbarrows",BT55*$BT$9,BS55="Septic Tank",BT55*0)</f>
        <v>188</v>
      </c>
      <c r="BV55" s="494">
        <f>Table15[[#This Row],[Calculation: Conversion of metric to Kg manure feeding (Columns: BP, BQ, BR)]]*Table15[[#This Row],[Number of times used to feed biodigester]]</f>
        <v>188</v>
      </c>
      <c r="BW55" s="495" cm="1">
        <f t="array" ref="BW55">_xlfn.IFS(BN55="Number of times per day (1 to 3)",BV55/$BW$3,BN55="Number of times per week (1 to 6)",BV55/$BW$4,BN55="Number of times per Month (1 to 3)",BV55/$BW$5)</f>
        <v>188</v>
      </c>
      <c r="BX55" s="497" t="s">
        <v>22</v>
      </c>
      <c r="BY55" s="497" t="s">
        <v>4</v>
      </c>
      <c r="BZ55" s="497" t="s">
        <v>2</v>
      </c>
      <c r="CA55" s="497" t="s">
        <v>4</v>
      </c>
      <c r="CB55" s="497" t="s">
        <v>4</v>
      </c>
      <c r="CC55" s="497" t="s">
        <v>4</v>
      </c>
      <c r="CD55" s="497" t="s">
        <v>7</v>
      </c>
      <c r="CE55" s="497" t="s">
        <v>34227</v>
      </c>
      <c r="CF55" s="497" t="s">
        <v>4</v>
      </c>
      <c r="CG55" s="497" t="s">
        <v>31747</v>
      </c>
      <c r="CH55" s="497">
        <v>5</v>
      </c>
      <c r="CI55" s="497">
        <v>0</v>
      </c>
      <c r="CJ55" s="497">
        <v>30</v>
      </c>
      <c r="CK55" s="497">
        <v>0</v>
      </c>
      <c r="CL55" s="497">
        <v>0</v>
      </c>
      <c r="CM55" s="497">
        <v>0</v>
      </c>
      <c r="CN55" s="497">
        <v>0</v>
      </c>
      <c r="CO55" s="497">
        <v>0</v>
      </c>
      <c r="CP55" s="497">
        <v>0</v>
      </c>
      <c r="CQ55" s="497">
        <v>0</v>
      </c>
      <c r="CR55" s="497">
        <f>IF(Table15[[#This Row],[Is your biodigester working?]]="yes",CO55/'SDG outcome'!$C$9*CP55*CQ55,"")</f>
        <v>0</v>
      </c>
      <c r="CS55" s="497">
        <v>100</v>
      </c>
      <c r="CT55" s="500">
        <v>0</v>
      </c>
      <c r="CU55" s="496" t="s">
        <v>4</v>
      </c>
      <c r="CV55" s="497" t="s">
        <v>4</v>
      </c>
      <c r="CW55" s="500" t="s">
        <v>4</v>
      </c>
      <c r="CX55" s="496" t="s">
        <v>4</v>
      </c>
      <c r="CY55" s="497" t="s">
        <v>4</v>
      </c>
      <c r="CZ55" s="500" t="s">
        <v>4</v>
      </c>
      <c r="DA55" s="496" t="s">
        <v>4</v>
      </c>
      <c r="DB55" s="497">
        <v>100</v>
      </c>
      <c r="DC55" s="497">
        <v>0</v>
      </c>
      <c r="DD55" s="497" t="s">
        <v>4</v>
      </c>
      <c r="DE55" s="497" t="s">
        <v>4</v>
      </c>
      <c r="DF55" s="497" t="s">
        <v>4</v>
      </c>
      <c r="DG55" s="497" t="s">
        <v>4</v>
      </c>
      <c r="DH55" s="497" t="s">
        <v>4</v>
      </c>
      <c r="DI55" s="497" t="s">
        <v>4</v>
      </c>
      <c r="DJ55" s="497" t="s">
        <v>4</v>
      </c>
      <c r="DK55" s="497" t="s">
        <v>4</v>
      </c>
      <c r="DL55" s="497" t="s">
        <v>4</v>
      </c>
      <c r="DM55" s="497" t="s">
        <v>4</v>
      </c>
      <c r="DN55" s="497">
        <v>6</v>
      </c>
      <c r="DO55" s="497" t="s">
        <v>2</v>
      </c>
      <c r="DP55" s="497" t="s">
        <v>29292</v>
      </c>
      <c r="DQ55" s="497" t="s">
        <v>4</v>
      </c>
      <c r="DR55" s="497" t="s">
        <v>29294</v>
      </c>
      <c r="DS55" s="494" t="s">
        <v>4</v>
      </c>
      <c r="DT55" s="497" t="s">
        <v>29294</v>
      </c>
      <c r="DU55" s="494" t="s">
        <v>4</v>
      </c>
      <c r="DV55" s="500" t="s">
        <v>29442</v>
      </c>
      <c r="DW55" s="496">
        <v>40</v>
      </c>
      <c r="DX55" s="497" t="s">
        <v>29336</v>
      </c>
      <c r="DY55" s="497">
        <v>50</v>
      </c>
      <c r="DZ55" s="497" t="s">
        <v>4</v>
      </c>
      <c r="EA55" s="497">
        <v>50</v>
      </c>
      <c r="EB55" s="497" t="s">
        <v>4</v>
      </c>
      <c r="EC55" s="497" t="s">
        <v>4</v>
      </c>
      <c r="ED55" s="497">
        <v>60</v>
      </c>
      <c r="EE55" s="497" t="s">
        <v>30667</v>
      </c>
      <c r="EF55" s="497" t="s">
        <v>4</v>
      </c>
      <c r="EG55" s="497" t="s">
        <v>4</v>
      </c>
      <c r="EH55" s="497">
        <v>100</v>
      </c>
      <c r="EI55" s="497" t="s">
        <v>4</v>
      </c>
      <c r="EJ55" s="497" t="s">
        <v>4</v>
      </c>
      <c r="EK55" s="497" t="s">
        <v>4</v>
      </c>
      <c r="EL55" s="497" t="s">
        <v>4</v>
      </c>
      <c r="EM55" s="497">
        <v>120</v>
      </c>
      <c r="EN55" s="497" t="s">
        <v>4</v>
      </c>
      <c r="EO55" s="497" t="s">
        <v>4</v>
      </c>
      <c r="EP55" s="497" t="s">
        <v>4</v>
      </c>
      <c r="EQ55" s="497" t="s">
        <v>29296</v>
      </c>
      <c r="ER55" s="497">
        <v>100</v>
      </c>
      <c r="ES55" s="497" t="s">
        <v>4</v>
      </c>
      <c r="ET55" s="497" t="s">
        <v>4</v>
      </c>
      <c r="EU55" s="497" t="s">
        <v>4</v>
      </c>
      <c r="EV55" s="497" t="s">
        <v>4</v>
      </c>
      <c r="EW55" s="497">
        <v>2.8328611898016995</v>
      </c>
      <c r="EX55" s="497" t="s">
        <v>7</v>
      </c>
      <c r="EY55" s="497">
        <v>43</v>
      </c>
      <c r="EZ55" s="239">
        <f t="shared" si="2"/>
        <v>1.2181303116147308</v>
      </c>
      <c r="FA55" s="497" t="s">
        <v>34228</v>
      </c>
      <c r="FB55" s="497" t="s">
        <v>29298</v>
      </c>
      <c r="FC55" s="497">
        <v>136</v>
      </c>
      <c r="FD55" s="497" t="s">
        <v>7</v>
      </c>
      <c r="FE55" s="497" t="s">
        <v>29393</v>
      </c>
      <c r="FF55" s="497" t="s">
        <v>4</v>
      </c>
      <c r="FG55" s="497" t="s">
        <v>7</v>
      </c>
      <c r="FH55" s="497" t="s">
        <v>29555</v>
      </c>
      <c r="FI55" s="497" t="s">
        <v>4</v>
      </c>
      <c r="FJ55" s="497" t="s">
        <v>13</v>
      </c>
      <c r="FK55" s="497" t="s">
        <v>34229</v>
      </c>
      <c r="FL55" s="497" t="s">
        <v>4</v>
      </c>
      <c r="FM55" s="497" t="s">
        <v>4</v>
      </c>
      <c r="FN55" s="494" t="s">
        <v>4</v>
      </c>
      <c r="FO55" s="497" t="s">
        <v>4</v>
      </c>
      <c r="FP55" s="497" t="s">
        <v>2</v>
      </c>
      <c r="FQ55" s="497" t="s">
        <v>4</v>
      </c>
      <c r="FR55" s="497" t="s">
        <v>4</v>
      </c>
      <c r="FS55" s="497" t="s">
        <v>7</v>
      </c>
      <c r="FT55" s="497" t="s">
        <v>7</v>
      </c>
      <c r="FU55" s="497" t="s">
        <v>29302</v>
      </c>
      <c r="FV55" s="497" t="s">
        <v>33553</v>
      </c>
      <c r="FW55" s="497" t="s">
        <v>29304</v>
      </c>
      <c r="FX55" s="497">
        <v>4</v>
      </c>
      <c r="FY55" s="497" t="s">
        <v>30052</v>
      </c>
      <c r="FZ55" s="497" t="s">
        <v>29306</v>
      </c>
      <c r="GA55" s="497" t="s">
        <v>4</v>
      </c>
      <c r="GB55" s="497" t="s">
        <v>29397</v>
      </c>
      <c r="GC55" s="497" t="s">
        <v>4</v>
      </c>
      <c r="GD55" s="497" t="s">
        <v>4</v>
      </c>
      <c r="GE55" s="497" t="s">
        <v>4</v>
      </c>
      <c r="GF55" s="497" t="s">
        <v>4</v>
      </c>
      <c r="GG55" s="497" t="s">
        <v>4</v>
      </c>
      <c r="GH55" s="497" t="s">
        <v>4</v>
      </c>
      <c r="GI55" s="497" t="s">
        <v>4</v>
      </c>
      <c r="GJ55" s="497" t="s">
        <v>4</v>
      </c>
      <c r="GK55" s="497" t="s">
        <v>4</v>
      </c>
      <c r="GL55" s="497" t="s">
        <v>4</v>
      </c>
      <c r="GM55" s="497" t="s">
        <v>4</v>
      </c>
      <c r="GN55" s="497" t="s">
        <v>4</v>
      </c>
      <c r="GO55" s="497" t="s">
        <v>4</v>
      </c>
      <c r="GP55" s="497" t="s">
        <v>4</v>
      </c>
      <c r="GQ55" s="497" t="s">
        <v>4</v>
      </c>
      <c r="GR55" s="497" t="s">
        <v>4</v>
      </c>
      <c r="GS55" s="497" t="s">
        <v>4</v>
      </c>
      <c r="GT55" s="497" t="s">
        <v>29354</v>
      </c>
      <c r="GU55" s="497" t="s">
        <v>4</v>
      </c>
      <c r="GV55" s="494">
        <v>5</v>
      </c>
      <c r="GW55" s="497" t="s">
        <v>7</v>
      </c>
      <c r="GX55" s="497" t="s">
        <v>29309</v>
      </c>
      <c r="GY55" s="497" t="s">
        <v>4</v>
      </c>
      <c r="GZ55" s="497" t="s">
        <v>4</v>
      </c>
      <c r="HA55" s="497" t="s">
        <v>4</v>
      </c>
      <c r="HB55" s="497" t="s">
        <v>4</v>
      </c>
      <c r="HC55" s="497" t="s">
        <v>4</v>
      </c>
      <c r="HD55" s="497" t="s">
        <v>4</v>
      </c>
      <c r="HE55" s="497" t="s">
        <v>4</v>
      </c>
      <c r="HF55" s="497" t="s">
        <v>4</v>
      </c>
      <c r="HG55" s="497" t="s">
        <v>2</v>
      </c>
      <c r="HH55" s="497" t="s">
        <v>4</v>
      </c>
      <c r="HI55" s="497" t="s">
        <v>4</v>
      </c>
      <c r="HJ55" s="497" t="s">
        <v>4</v>
      </c>
      <c r="HK55" s="494" t="s">
        <v>4</v>
      </c>
      <c r="HL55" s="497" t="s">
        <v>33474</v>
      </c>
      <c r="HM55" s="497" t="s">
        <v>7</v>
      </c>
      <c r="HN55" s="497" t="s">
        <v>34230</v>
      </c>
      <c r="HO55" s="497" t="s">
        <v>16</v>
      </c>
      <c r="HP55" s="497" t="s">
        <v>34231</v>
      </c>
      <c r="HQ55" s="497" t="s">
        <v>34232</v>
      </c>
      <c r="HR55" s="497" t="s">
        <v>34233</v>
      </c>
      <c r="HS55" s="497" t="s">
        <v>34234</v>
      </c>
      <c r="HT55" s="500" t="s">
        <v>34223</v>
      </c>
    </row>
    <row r="56" spans="1:228" s="570" customFormat="1" ht="30.2" customHeight="1" x14ac:dyDescent="0.25">
      <c r="A56" s="759"/>
      <c r="B56" s="496">
        <v>62</v>
      </c>
      <c r="C56" s="496" t="s">
        <v>3808</v>
      </c>
      <c r="D56" s="497" t="s">
        <v>34067</v>
      </c>
      <c r="E56" s="497" t="s">
        <v>29799</v>
      </c>
      <c r="F56" s="497" t="s">
        <v>7</v>
      </c>
      <c r="G56" s="497" t="s">
        <v>34068</v>
      </c>
      <c r="H56" s="497">
        <v>1345.6137699999999</v>
      </c>
      <c r="I56" s="497">
        <v>4.8259610000000004</v>
      </c>
      <c r="J56" s="497" t="s">
        <v>29319</v>
      </c>
      <c r="K56" s="497" t="s">
        <v>4</v>
      </c>
      <c r="L56" s="497" t="s">
        <v>34069</v>
      </c>
      <c r="M56" s="497">
        <v>703890986</v>
      </c>
      <c r="N56" s="497" t="s">
        <v>30992</v>
      </c>
      <c r="O56" s="497" t="s">
        <v>31590</v>
      </c>
      <c r="P56" s="497" t="s">
        <v>4</v>
      </c>
      <c r="Q56" s="497">
        <v>4</v>
      </c>
      <c r="R56" s="497" t="s">
        <v>7</v>
      </c>
      <c r="S56" s="497" t="s">
        <v>31549</v>
      </c>
      <c r="T56" s="497" t="s">
        <v>4</v>
      </c>
      <c r="U56" s="497" t="s">
        <v>7</v>
      </c>
      <c r="V56" s="497" t="s">
        <v>7</v>
      </c>
      <c r="W56" s="497" t="s">
        <v>4</v>
      </c>
      <c r="X56" s="497" t="s">
        <v>7</v>
      </c>
      <c r="Y56" s="497" t="s">
        <v>4</v>
      </c>
      <c r="Z56" s="497" t="s">
        <v>4</v>
      </c>
      <c r="AA56" s="241" t="str">
        <f>IF(OR(U56="yes",Z56&gt;'SDG outcome'!$C$39),"yes","no")</f>
        <v>yes</v>
      </c>
      <c r="AB56" s="521" t="str">
        <f t="shared" si="0"/>
        <v>NA</v>
      </c>
      <c r="AC56" s="527" t="str">
        <f>IF(AND('SMS p2'!AA74="no",AND(Z56&gt;='SDG outcome'!$B$28,Z56&lt;'SDG outcome'!$C$39)),Z56-'SDG outcome'!$B$28,"")</f>
        <v/>
      </c>
      <c r="AD56" s="497" t="s">
        <v>4</v>
      </c>
      <c r="AE56" s="497" t="s">
        <v>4</v>
      </c>
      <c r="AF56" s="497" t="s">
        <v>4</v>
      </c>
      <c r="AG56" s="497" t="s">
        <v>4</v>
      </c>
      <c r="AH56" s="497" t="s">
        <v>4</v>
      </c>
      <c r="AI56" s="497" t="s">
        <v>4</v>
      </c>
      <c r="AJ56" s="497" t="s">
        <v>4</v>
      </c>
      <c r="AK56" s="497" t="s">
        <v>29290</v>
      </c>
      <c r="AL56" s="497" t="s">
        <v>29291</v>
      </c>
      <c r="AM56" s="497" t="s">
        <v>4</v>
      </c>
      <c r="AN56" s="497" t="s">
        <v>4</v>
      </c>
      <c r="AO56" s="497" t="s">
        <v>31536</v>
      </c>
      <c r="AP56" s="497" t="s">
        <v>4</v>
      </c>
      <c r="AQ56" s="497" t="s">
        <v>31537</v>
      </c>
      <c r="AR56" s="497" t="s">
        <v>4</v>
      </c>
      <c r="AS56" s="497" t="s">
        <v>31538</v>
      </c>
      <c r="AT56" s="497" t="s">
        <v>4</v>
      </c>
      <c r="AU56" s="497" t="s">
        <v>7</v>
      </c>
      <c r="AV56" s="497" t="s">
        <v>4</v>
      </c>
      <c r="AW56" s="497" t="s">
        <v>4</v>
      </c>
      <c r="AX56" s="497" t="s">
        <v>2</v>
      </c>
      <c r="AY56" s="497" t="s">
        <v>4</v>
      </c>
      <c r="AZ56" s="497" t="s">
        <v>4</v>
      </c>
      <c r="BA56" s="497" t="s">
        <v>31563</v>
      </c>
      <c r="BB56" s="497" t="s">
        <v>14</v>
      </c>
      <c r="BC56" s="497" t="s">
        <v>4</v>
      </c>
      <c r="BD56" s="497" t="s">
        <v>31552</v>
      </c>
      <c r="BE56" s="497" t="s">
        <v>4</v>
      </c>
      <c r="BF56" s="497" t="s">
        <v>31640</v>
      </c>
      <c r="BG56" s="497" t="s">
        <v>34070</v>
      </c>
      <c r="BH56" s="497" t="s">
        <v>31544</v>
      </c>
      <c r="BI56" s="497">
        <v>3</v>
      </c>
      <c r="BJ56" s="497">
        <v>40</v>
      </c>
      <c r="BK56" s="497" t="s">
        <v>7</v>
      </c>
      <c r="BL56" s="497" t="s">
        <v>6</v>
      </c>
      <c r="BM56" s="497" t="s">
        <v>4</v>
      </c>
      <c r="BN56" s="497" t="s">
        <v>31429</v>
      </c>
      <c r="BO56" s="497">
        <v>3</v>
      </c>
      <c r="BP56" s="497">
        <v>40</v>
      </c>
      <c r="BQ56" s="497" t="s">
        <v>31434</v>
      </c>
      <c r="BR56" s="499" t="s">
        <v>33332</v>
      </c>
      <c r="BS56" s="497" t="s">
        <v>4</v>
      </c>
      <c r="BT56" s="497">
        <v>2</v>
      </c>
      <c r="BU56" s="494" cm="1">
        <f t="array" ref="BU56">_xlfn.IFS(BQ56="Foreword vehicle",BT56*0,BQ56="Human wastes",BT56*0,BS56="Jerrycans",BT56*$BT$4,BQ56="Number of Basins",BT56*$BT$5,BQ56="Number of Buckets",BT56*$BT$6,BQ56="Number of Kgs",BT56*$BT$7,BQ56="Number of spades",BT56*$BT$8,BQ56="Number of wheelbarrows",BT56*$BT$9,BS56="Septic Tank",BT56*0)</f>
        <v>32</v>
      </c>
      <c r="BV56" s="494">
        <f>Table15[[#This Row],[Calculation: Conversion of metric to Kg manure feeding (Columns: BP, BQ, BR)]]*Table15[[#This Row],[Number of times used to feed biodigester]]</f>
        <v>96</v>
      </c>
      <c r="BW56" s="495" cm="1">
        <f t="array" ref="BW56">_xlfn.IFS(BN56="Number of times per day (1 to 3)",BV56/$BW$3,BN56="Number of times per week (1 to 6)",BV56/$BW$4,BN56="Number of times per Month (1 to 3)",BV56/$BW$5)</f>
        <v>13.714285714285714</v>
      </c>
      <c r="BX56" s="497" t="s">
        <v>31552</v>
      </c>
      <c r="BY56" s="497" t="s">
        <v>4</v>
      </c>
      <c r="BZ56" s="497" t="s">
        <v>2</v>
      </c>
      <c r="CA56" s="497" t="s">
        <v>4</v>
      </c>
      <c r="CB56" s="497" t="s">
        <v>4</v>
      </c>
      <c r="CC56" s="497" t="s">
        <v>4</v>
      </c>
      <c r="CD56" s="497" t="s">
        <v>7</v>
      </c>
      <c r="CE56" s="497" t="s">
        <v>34071</v>
      </c>
      <c r="CF56" s="497" t="s">
        <v>4</v>
      </c>
      <c r="CG56" s="497" t="s">
        <v>31604</v>
      </c>
      <c r="CH56" s="497">
        <v>4</v>
      </c>
      <c r="CI56" s="497">
        <v>0</v>
      </c>
      <c r="CJ56" s="497">
        <v>0</v>
      </c>
      <c r="CK56" s="497">
        <v>0</v>
      </c>
      <c r="CL56" s="497">
        <v>0</v>
      </c>
      <c r="CM56" s="497">
        <v>0</v>
      </c>
      <c r="CN56" s="497">
        <v>0</v>
      </c>
      <c r="CO56" s="497">
        <v>0</v>
      </c>
      <c r="CP56" s="497">
        <v>0</v>
      </c>
      <c r="CQ56" s="497">
        <v>0</v>
      </c>
      <c r="CR56" s="497">
        <f>IF(Table15[[#This Row],[Is your biodigester working?]]="yes",CO56/'SDG outcome'!$C$9*CP56*CQ56,"")</f>
        <v>0</v>
      </c>
      <c r="CS56" s="497">
        <v>50</v>
      </c>
      <c r="CT56" s="500">
        <v>50</v>
      </c>
      <c r="CU56" s="496" t="s">
        <v>34072</v>
      </c>
      <c r="CV56" s="497" t="s">
        <v>4</v>
      </c>
      <c r="CW56" s="500" t="s">
        <v>4</v>
      </c>
      <c r="CX56" s="496" t="s">
        <v>4</v>
      </c>
      <c r="CY56" s="497" t="s">
        <v>4</v>
      </c>
      <c r="CZ56" s="500" t="s">
        <v>4</v>
      </c>
      <c r="DA56" s="496" t="s">
        <v>4</v>
      </c>
      <c r="DB56" s="497" t="s">
        <v>4</v>
      </c>
      <c r="DC56" s="497" t="s">
        <v>4</v>
      </c>
      <c r="DD56" s="497" t="s">
        <v>4</v>
      </c>
      <c r="DE56" s="497" t="s">
        <v>4</v>
      </c>
      <c r="DF56" s="497" t="s">
        <v>4</v>
      </c>
      <c r="DG56" s="497" t="s">
        <v>4</v>
      </c>
      <c r="DH56" s="497" t="s">
        <v>4</v>
      </c>
      <c r="DI56" s="497" t="s">
        <v>4</v>
      </c>
      <c r="DJ56" s="497" t="s">
        <v>4</v>
      </c>
      <c r="DK56" s="497" t="s">
        <v>4</v>
      </c>
      <c r="DL56" s="497" t="s">
        <v>4</v>
      </c>
      <c r="DM56" s="497" t="s">
        <v>4</v>
      </c>
      <c r="DN56" s="497">
        <v>0.57999999999999996</v>
      </c>
      <c r="DO56" s="497" t="s">
        <v>2</v>
      </c>
      <c r="DP56" s="497" t="s">
        <v>29292</v>
      </c>
      <c r="DQ56" s="497" t="s">
        <v>4</v>
      </c>
      <c r="DR56" s="497" t="s">
        <v>29294</v>
      </c>
      <c r="DS56" s="494" t="s">
        <v>4</v>
      </c>
      <c r="DT56" s="497" t="s">
        <v>29294</v>
      </c>
      <c r="DU56" s="494" t="s">
        <v>4</v>
      </c>
      <c r="DV56" s="500" t="s">
        <v>29295</v>
      </c>
      <c r="DW56" s="496">
        <v>100</v>
      </c>
      <c r="DX56" s="497" t="s">
        <v>33993</v>
      </c>
      <c r="DY56" s="497">
        <v>60</v>
      </c>
      <c r="DZ56" s="497">
        <v>20</v>
      </c>
      <c r="EA56" s="497">
        <v>20</v>
      </c>
      <c r="EB56" s="497" t="s">
        <v>4</v>
      </c>
      <c r="EC56" s="497" t="s">
        <v>4</v>
      </c>
      <c r="ED56" s="497" t="s">
        <v>4</v>
      </c>
      <c r="EE56" s="497" t="s">
        <v>4</v>
      </c>
      <c r="EF56" s="497" t="s">
        <v>4</v>
      </c>
      <c r="EG56" s="497" t="s">
        <v>4</v>
      </c>
      <c r="EH56" s="497" t="s">
        <v>4</v>
      </c>
      <c r="EI56" s="497" t="s">
        <v>4</v>
      </c>
      <c r="EJ56" s="497" t="s">
        <v>4</v>
      </c>
      <c r="EK56" s="497" t="s">
        <v>4</v>
      </c>
      <c r="EL56" s="497" t="s">
        <v>4</v>
      </c>
      <c r="EM56" s="497" t="s">
        <v>4</v>
      </c>
      <c r="EN56" s="497" t="s">
        <v>4</v>
      </c>
      <c r="EO56" s="497" t="s">
        <v>4</v>
      </c>
      <c r="EP56" s="497" t="s">
        <v>4</v>
      </c>
      <c r="EQ56" s="497" t="s">
        <v>4</v>
      </c>
      <c r="ER56" s="497" t="s">
        <v>4</v>
      </c>
      <c r="ES56" s="497" t="s">
        <v>4</v>
      </c>
      <c r="ET56" s="497" t="s">
        <v>4</v>
      </c>
      <c r="EU56" s="497" t="s">
        <v>4</v>
      </c>
      <c r="EV56" s="497" t="s">
        <v>4</v>
      </c>
      <c r="EW56" s="497">
        <v>24.281667341157423</v>
      </c>
      <c r="EX56" s="497" t="s">
        <v>7</v>
      </c>
      <c r="EY56" s="497">
        <v>5</v>
      </c>
      <c r="EZ56" s="239">
        <f t="shared" si="2"/>
        <v>1.2140833670578712</v>
      </c>
      <c r="FA56" s="497" t="s">
        <v>34073</v>
      </c>
      <c r="FB56" s="497" t="s">
        <v>29298</v>
      </c>
      <c r="FC56" s="497">
        <v>132</v>
      </c>
      <c r="FD56" s="497" t="s">
        <v>7</v>
      </c>
      <c r="FE56" s="497" t="s">
        <v>29492</v>
      </c>
      <c r="FF56" s="497" t="s">
        <v>4</v>
      </c>
      <c r="FG56" s="497" t="s">
        <v>7</v>
      </c>
      <c r="FH56" s="497" t="s">
        <v>29492</v>
      </c>
      <c r="FI56" s="497" t="s">
        <v>4</v>
      </c>
      <c r="FJ56" s="497" t="s">
        <v>29300</v>
      </c>
      <c r="FK56" s="497" t="s">
        <v>4</v>
      </c>
      <c r="FL56" s="497" t="s">
        <v>29446</v>
      </c>
      <c r="FM56" s="497" t="s">
        <v>4</v>
      </c>
      <c r="FN56" s="494" t="s">
        <v>4</v>
      </c>
      <c r="FO56" s="497" t="s">
        <v>34074</v>
      </c>
      <c r="FP56" s="497" t="s">
        <v>2</v>
      </c>
      <c r="FQ56" s="497" t="s">
        <v>4</v>
      </c>
      <c r="FR56" s="497" t="s">
        <v>4</v>
      </c>
      <c r="FS56" s="497" t="s">
        <v>2</v>
      </c>
      <c r="FT56" s="497" t="s">
        <v>7</v>
      </c>
      <c r="FU56" s="497" t="s">
        <v>29302</v>
      </c>
      <c r="FV56" s="497" t="s">
        <v>34075</v>
      </c>
      <c r="FW56" s="497" t="s">
        <v>29304</v>
      </c>
      <c r="FX56" s="497">
        <v>3</v>
      </c>
      <c r="FY56" s="497" t="s">
        <v>29449</v>
      </c>
      <c r="FZ56" s="497" t="s">
        <v>29306</v>
      </c>
      <c r="GA56" s="497" t="s">
        <v>4</v>
      </c>
      <c r="GB56" s="497" t="s">
        <v>4</v>
      </c>
      <c r="GC56" s="497" t="s">
        <v>4</v>
      </c>
      <c r="GD56" s="497" t="s">
        <v>29451</v>
      </c>
      <c r="GE56" s="497" t="s">
        <v>4</v>
      </c>
      <c r="GF56" s="497" t="s">
        <v>4</v>
      </c>
      <c r="GG56" s="497" t="s">
        <v>4</v>
      </c>
      <c r="GH56" s="497" t="s">
        <v>4</v>
      </c>
      <c r="GI56" s="497" t="s">
        <v>29304</v>
      </c>
      <c r="GJ56" s="497" t="s">
        <v>29305</v>
      </c>
      <c r="GK56" s="497" t="s">
        <v>29306</v>
      </c>
      <c r="GL56" s="497" t="s">
        <v>4</v>
      </c>
      <c r="GM56" s="497" t="s">
        <v>4</v>
      </c>
      <c r="GN56" s="497" t="s">
        <v>4</v>
      </c>
      <c r="GO56" s="497" t="s">
        <v>4</v>
      </c>
      <c r="GP56" s="497" t="s">
        <v>4</v>
      </c>
      <c r="GQ56" s="497" t="s">
        <v>4</v>
      </c>
      <c r="GR56" s="497" t="s">
        <v>4</v>
      </c>
      <c r="GS56" s="497" t="s">
        <v>4</v>
      </c>
      <c r="GT56" s="497" t="s">
        <v>29307</v>
      </c>
      <c r="GU56" s="497" t="s">
        <v>34076</v>
      </c>
      <c r="GV56" s="494">
        <v>6</v>
      </c>
      <c r="GW56" s="497" t="s">
        <v>2</v>
      </c>
      <c r="GX56" s="497" t="s">
        <v>29309</v>
      </c>
      <c r="GY56" s="497" t="s">
        <v>4</v>
      </c>
      <c r="GZ56" s="497" t="s">
        <v>4</v>
      </c>
      <c r="HA56" s="497" t="s">
        <v>4</v>
      </c>
      <c r="HB56" s="497" t="s">
        <v>4</v>
      </c>
      <c r="HC56" s="497" t="s">
        <v>4</v>
      </c>
      <c r="HD56" s="497" t="s">
        <v>4</v>
      </c>
      <c r="HE56" s="497" t="s">
        <v>4</v>
      </c>
      <c r="HF56" s="497" t="s">
        <v>4</v>
      </c>
      <c r="HG56" s="497" t="s">
        <v>2</v>
      </c>
      <c r="HH56" s="497" t="s">
        <v>4</v>
      </c>
      <c r="HI56" s="497" t="s">
        <v>4</v>
      </c>
      <c r="HJ56" s="497" t="s">
        <v>4</v>
      </c>
      <c r="HK56" s="494" t="s">
        <v>4</v>
      </c>
      <c r="HL56" s="497" t="s">
        <v>34077</v>
      </c>
      <c r="HM56" s="497" t="s">
        <v>2</v>
      </c>
      <c r="HN56" s="497" t="s">
        <v>4</v>
      </c>
      <c r="HO56" s="497" t="s">
        <v>34078</v>
      </c>
      <c r="HP56" s="497" t="s">
        <v>34079</v>
      </c>
      <c r="HQ56" s="497" t="s">
        <v>34080</v>
      </c>
      <c r="HR56" s="497" t="s">
        <v>34081</v>
      </c>
      <c r="HS56" s="497" t="s">
        <v>34082</v>
      </c>
      <c r="HT56" s="500" t="s">
        <v>34083</v>
      </c>
    </row>
    <row r="57" spans="1:228" s="570" customFormat="1" ht="30.2" customHeight="1" x14ac:dyDescent="0.25">
      <c r="A57" s="759"/>
      <c r="B57" s="496">
        <v>48</v>
      </c>
      <c r="C57" s="496" t="s">
        <v>19062</v>
      </c>
      <c r="D57" s="497" t="s">
        <v>33890</v>
      </c>
      <c r="E57" s="497" t="s">
        <v>33859</v>
      </c>
      <c r="F57" s="497" t="s">
        <v>7</v>
      </c>
      <c r="G57" s="497" t="s">
        <v>33891</v>
      </c>
      <c r="H57" s="497">
        <v>1269.0061040000001</v>
      </c>
      <c r="I57" s="497">
        <v>4.0449760000000001</v>
      </c>
      <c r="J57" s="497" t="s">
        <v>29288</v>
      </c>
      <c r="K57" s="497" t="s">
        <v>4</v>
      </c>
      <c r="L57" s="497" t="s">
        <v>33892</v>
      </c>
      <c r="M57" s="497">
        <v>772889008</v>
      </c>
      <c r="N57" s="497" t="s">
        <v>3</v>
      </c>
      <c r="O57" s="497" t="s">
        <v>31438</v>
      </c>
      <c r="P57" s="497">
        <v>74</v>
      </c>
      <c r="Q57" s="497">
        <v>2</v>
      </c>
      <c r="R57" s="497" t="s">
        <v>7</v>
      </c>
      <c r="S57" s="497" t="s">
        <v>31535</v>
      </c>
      <c r="T57" s="497" t="s">
        <v>4</v>
      </c>
      <c r="U57" s="497" t="s">
        <v>7</v>
      </c>
      <c r="V57" s="497" t="s">
        <v>7</v>
      </c>
      <c r="W57" s="497" t="s">
        <v>4</v>
      </c>
      <c r="X57" s="497" t="s">
        <v>7</v>
      </c>
      <c r="Y57" s="497" t="s">
        <v>4</v>
      </c>
      <c r="Z57" s="497" t="s">
        <v>4</v>
      </c>
      <c r="AA57" s="241" t="str">
        <f>IF(OR(U57="yes",Z57&gt;'SDG outcome'!$C$39),"yes","no")</f>
        <v>yes</v>
      </c>
      <c r="AB57" s="521" t="str">
        <f t="shared" si="0"/>
        <v>NA</v>
      </c>
      <c r="AC57" s="527" t="str">
        <f>IF(AND('SMS p2'!AA60="no",AND(Z57&gt;='SDG outcome'!$B$28,Z57&lt;'SDG outcome'!$C$39)),Z57-'SDG outcome'!$B$28,"")</f>
        <v/>
      </c>
      <c r="AD57" s="497" t="s">
        <v>4</v>
      </c>
      <c r="AE57" s="497" t="s">
        <v>4</v>
      </c>
      <c r="AF57" s="497" t="s">
        <v>4</v>
      </c>
      <c r="AG57" s="497" t="s">
        <v>4</v>
      </c>
      <c r="AH57" s="497" t="s">
        <v>4</v>
      </c>
      <c r="AI57" s="497" t="s">
        <v>4</v>
      </c>
      <c r="AJ57" s="501" t="s">
        <v>4</v>
      </c>
      <c r="AK57" s="497" t="s">
        <v>29290</v>
      </c>
      <c r="AL57" s="497" t="s">
        <v>29694</v>
      </c>
      <c r="AM57" s="497" t="s">
        <v>4</v>
      </c>
      <c r="AN57" s="497" t="s">
        <v>4</v>
      </c>
      <c r="AO57" s="497" t="s">
        <v>31536</v>
      </c>
      <c r="AP57" s="497" t="s">
        <v>4</v>
      </c>
      <c r="AQ57" s="497" t="s">
        <v>31537</v>
      </c>
      <c r="AR57" s="497" t="s">
        <v>4</v>
      </c>
      <c r="AS57" s="497" t="s">
        <v>31538</v>
      </c>
      <c r="AT57" s="497" t="s">
        <v>4</v>
      </c>
      <c r="AU57" s="497" t="s">
        <v>7</v>
      </c>
      <c r="AV57" s="497" t="s">
        <v>4</v>
      </c>
      <c r="AW57" s="497" t="s">
        <v>4</v>
      </c>
      <c r="AX57" s="497" t="s">
        <v>2</v>
      </c>
      <c r="AY57" s="497" t="s">
        <v>4</v>
      </c>
      <c r="AZ57" s="497" t="s">
        <v>4</v>
      </c>
      <c r="BA57" s="497" t="s">
        <v>4</v>
      </c>
      <c r="BB57" s="497" t="s">
        <v>4</v>
      </c>
      <c r="BC57" s="497" t="s">
        <v>4</v>
      </c>
      <c r="BD57" s="497" t="s">
        <v>4</v>
      </c>
      <c r="BE57" s="497" t="s">
        <v>4</v>
      </c>
      <c r="BF57" s="497" t="s">
        <v>4</v>
      </c>
      <c r="BG57" s="497" t="s">
        <v>4</v>
      </c>
      <c r="BH57" s="497" t="s">
        <v>4</v>
      </c>
      <c r="BI57" s="497" t="s">
        <v>4</v>
      </c>
      <c r="BJ57" s="497" t="s">
        <v>4</v>
      </c>
      <c r="BK57" s="497" t="s">
        <v>7</v>
      </c>
      <c r="BL57" s="497" t="s">
        <v>11</v>
      </c>
      <c r="BM57" s="497" t="s">
        <v>4</v>
      </c>
      <c r="BN57" s="497" t="s">
        <v>31429</v>
      </c>
      <c r="BO57" s="497">
        <v>1</v>
      </c>
      <c r="BP57" s="497">
        <v>2</v>
      </c>
      <c r="BQ57" s="497" t="s">
        <v>31435</v>
      </c>
      <c r="BR57" s="499" t="s">
        <v>33332</v>
      </c>
      <c r="BS57" s="497" t="s">
        <v>4</v>
      </c>
      <c r="BT57" s="497">
        <v>5</v>
      </c>
      <c r="BU57" s="494" cm="1">
        <f t="array" ref="BU57">_xlfn.IFS(BQ57="Foreword vehicle",BT57*0,BQ57="Human wastes",BT57*0,BS57="Jerrycans",BT57*$BT$4,BQ57="Number of Basins",BT57*$BT$5,BQ57="Number of Buckets",BT57*$BT$6,BQ57="Number of Kgs",BT57*$BT$7,BQ57="Number of spades",BT57*$BT$8,BQ57="Number of wheelbarrows",BT57*$BT$9,BS57="Septic Tank",BT57*0)</f>
        <v>352.5</v>
      </c>
      <c r="BV57" s="494">
        <f>Table15[[#This Row],[Calculation: Conversion of metric to Kg manure feeding (Columns: BP, BQ, BR)]]*Table15[[#This Row],[Number of times used to feed biodigester]]</f>
        <v>352.5</v>
      </c>
      <c r="BW57" s="495" cm="1">
        <f t="array" ref="BW57">_xlfn.IFS(BN57="Number of times per day (1 to 3)",BV57/$BW$3,BN57="Number of times per week (1 to 6)",BV57/$BW$4,BN57="Number of times per Month (1 to 3)",BV57/$BW$5)</f>
        <v>50.357142857142854</v>
      </c>
      <c r="BX57" s="497" t="s">
        <v>31541</v>
      </c>
      <c r="BY57" s="497" t="s">
        <v>4</v>
      </c>
      <c r="BZ57" s="497" t="s">
        <v>2</v>
      </c>
      <c r="CA57" s="497" t="s">
        <v>4</v>
      </c>
      <c r="CB57" s="497" t="s">
        <v>4</v>
      </c>
      <c r="CC57" s="497" t="s">
        <v>4</v>
      </c>
      <c r="CD57" s="497" t="s">
        <v>7</v>
      </c>
      <c r="CE57" s="497" t="s">
        <v>33893</v>
      </c>
      <c r="CF57" s="497" t="s">
        <v>4</v>
      </c>
      <c r="CG57" s="497" t="s">
        <v>33334</v>
      </c>
      <c r="CH57" s="497">
        <v>0</v>
      </c>
      <c r="CI57" s="497">
        <v>5</v>
      </c>
      <c r="CJ57" s="497">
        <v>0</v>
      </c>
      <c r="CK57" s="497">
        <v>0</v>
      </c>
      <c r="CL57" s="497">
        <v>8</v>
      </c>
      <c r="CM57" s="497">
        <v>2</v>
      </c>
      <c r="CN57" s="497">
        <v>0</v>
      </c>
      <c r="CO57" s="497">
        <v>0</v>
      </c>
      <c r="CP57" s="497">
        <v>0</v>
      </c>
      <c r="CQ57" s="497">
        <v>0</v>
      </c>
      <c r="CR57" s="497">
        <f>IF(Table15[[#This Row],[Is your biodigester working?]]="yes",CO57/'SDG outcome'!$C$9*CP57*CQ57,"")</f>
        <v>0</v>
      </c>
      <c r="CS57" s="497" t="s">
        <v>4</v>
      </c>
      <c r="CT57" s="500" t="s">
        <v>4</v>
      </c>
      <c r="CU57" s="496" t="s">
        <v>4</v>
      </c>
      <c r="CV57" s="497">
        <v>100</v>
      </c>
      <c r="CW57" s="500">
        <v>0</v>
      </c>
      <c r="CX57" s="496" t="s">
        <v>4</v>
      </c>
      <c r="CY57" s="497" t="s">
        <v>4</v>
      </c>
      <c r="CZ57" s="500" t="s">
        <v>4</v>
      </c>
      <c r="DA57" s="496" t="s">
        <v>4</v>
      </c>
      <c r="DB57" s="497" t="s">
        <v>4</v>
      </c>
      <c r="DC57" s="497" t="s">
        <v>4</v>
      </c>
      <c r="DD57" s="497" t="s">
        <v>4</v>
      </c>
      <c r="DE57" s="497">
        <v>0</v>
      </c>
      <c r="DF57" s="497">
        <v>100</v>
      </c>
      <c r="DG57" s="497" t="s">
        <v>33894</v>
      </c>
      <c r="DH57" s="497" t="s">
        <v>4</v>
      </c>
      <c r="DI57" s="497" t="s">
        <v>4</v>
      </c>
      <c r="DJ57" s="497" t="s">
        <v>4</v>
      </c>
      <c r="DK57" s="497">
        <v>0</v>
      </c>
      <c r="DL57" s="497">
        <v>100</v>
      </c>
      <c r="DM57" s="497" t="s">
        <v>33895</v>
      </c>
      <c r="DN57" s="497">
        <v>1</v>
      </c>
      <c r="DO57" s="497" t="s">
        <v>2</v>
      </c>
      <c r="DP57" s="497" t="s">
        <v>29292</v>
      </c>
      <c r="DQ57" s="497" t="s">
        <v>4</v>
      </c>
      <c r="DR57" s="497" t="s">
        <v>29294</v>
      </c>
      <c r="DS57" s="494" t="s">
        <v>4</v>
      </c>
      <c r="DT57" s="497" t="s">
        <v>29294</v>
      </c>
      <c r="DU57" s="494" t="s">
        <v>4</v>
      </c>
      <c r="DV57" s="500" t="s">
        <v>29508</v>
      </c>
      <c r="DW57" s="496" t="s">
        <v>4</v>
      </c>
      <c r="DX57" s="497" t="s">
        <v>4</v>
      </c>
      <c r="DY57" s="497" t="s">
        <v>4</v>
      </c>
      <c r="DZ57" s="497" t="s">
        <v>4</v>
      </c>
      <c r="EA57" s="497" t="s">
        <v>4</v>
      </c>
      <c r="EB57" s="497" t="s">
        <v>4</v>
      </c>
      <c r="EC57" s="497" t="s">
        <v>4</v>
      </c>
      <c r="ED57" s="497">
        <v>100</v>
      </c>
      <c r="EE57" s="497" t="s">
        <v>30747</v>
      </c>
      <c r="EF57" s="497" t="s">
        <v>4</v>
      </c>
      <c r="EG57" s="497">
        <v>100</v>
      </c>
      <c r="EH57" s="497" t="s">
        <v>4</v>
      </c>
      <c r="EI57" s="497" t="s">
        <v>4</v>
      </c>
      <c r="EJ57" s="497" t="s">
        <v>4</v>
      </c>
      <c r="EK57" s="497" t="s">
        <v>4</v>
      </c>
      <c r="EL57" s="497" t="s">
        <v>4</v>
      </c>
      <c r="EM57" s="497">
        <v>365</v>
      </c>
      <c r="EN57" s="497" t="s">
        <v>4</v>
      </c>
      <c r="EO57" s="497" t="s">
        <v>4</v>
      </c>
      <c r="EP57" s="497" t="s">
        <v>4</v>
      </c>
      <c r="EQ57" s="497" t="s">
        <v>29296</v>
      </c>
      <c r="ER57" s="497">
        <v>100</v>
      </c>
      <c r="ES57" s="497" t="s">
        <v>4</v>
      </c>
      <c r="ET57" s="497" t="s">
        <v>4</v>
      </c>
      <c r="EU57" s="497" t="s">
        <v>4</v>
      </c>
      <c r="EV57" s="497" t="s">
        <v>4</v>
      </c>
      <c r="EW57" s="497">
        <v>1.2140833670578712</v>
      </c>
      <c r="EX57" s="497" t="s">
        <v>7</v>
      </c>
      <c r="EY57" s="497">
        <v>100</v>
      </c>
      <c r="EZ57" s="239">
        <f t="shared" si="2"/>
        <v>1.2140833670578712</v>
      </c>
      <c r="FA57" s="497" t="s">
        <v>33896</v>
      </c>
      <c r="FB57" s="497" t="s">
        <v>29298</v>
      </c>
      <c r="FC57" s="497">
        <v>24</v>
      </c>
      <c r="FD57" s="497" t="s">
        <v>2</v>
      </c>
      <c r="FE57" s="497" t="s">
        <v>4</v>
      </c>
      <c r="FF57" s="497" t="s">
        <v>4</v>
      </c>
      <c r="FG57" s="497" t="s">
        <v>2</v>
      </c>
      <c r="FH57" s="497" t="s">
        <v>4</v>
      </c>
      <c r="FI57" s="497" t="s">
        <v>4</v>
      </c>
      <c r="FJ57" s="497" t="s">
        <v>4</v>
      </c>
      <c r="FK57" s="497" t="s">
        <v>4</v>
      </c>
      <c r="FL57" s="497" t="s">
        <v>4</v>
      </c>
      <c r="FM57" s="497" t="s">
        <v>4</v>
      </c>
      <c r="FN57" s="494" t="s">
        <v>4</v>
      </c>
      <c r="FO57" s="497" t="s">
        <v>4</v>
      </c>
      <c r="FP57" s="497" t="s">
        <v>2</v>
      </c>
      <c r="FQ57" s="497" t="s">
        <v>4</v>
      </c>
      <c r="FR57" s="497" t="s">
        <v>4</v>
      </c>
      <c r="FS57" s="497" t="s">
        <v>7</v>
      </c>
      <c r="FT57" s="497" t="s">
        <v>7</v>
      </c>
      <c r="FU57" s="497" t="s">
        <v>29302</v>
      </c>
      <c r="FV57" s="497" t="s">
        <v>33553</v>
      </c>
      <c r="FW57" s="497" t="s">
        <v>29304</v>
      </c>
      <c r="FX57" s="497">
        <v>0.5</v>
      </c>
      <c r="FY57" s="497" t="s">
        <v>29305</v>
      </c>
      <c r="FZ57" s="497" t="s">
        <v>29306</v>
      </c>
      <c r="GA57" s="497" t="s">
        <v>4</v>
      </c>
      <c r="GB57" s="497" t="s">
        <v>4</v>
      </c>
      <c r="GC57" s="497" t="s">
        <v>4</v>
      </c>
      <c r="GD57" s="497" t="s">
        <v>4</v>
      </c>
      <c r="GE57" s="497" t="s">
        <v>4</v>
      </c>
      <c r="GF57" s="497" t="s">
        <v>4</v>
      </c>
      <c r="GG57" s="497" t="s">
        <v>4</v>
      </c>
      <c r="GH57" s="497" t="s">
        <v>4</v>
      </c>
      <c r="GI57" s="497" t="s">
        <v>4</v>
      </c>
      <c r="GJ57" s="497" t="s">
        <v>4</v>
      </c>
      <c r="GK57" s="497" t="s">
        <v>4</v>
      </c>
      <c r="GL57" s="497" t="s">
        <v>4</v>
      </c>
      <c r="GM57" s="497" t="s">
        <v>4</v>
      </c>
      <c r="GN57" s="497" t="s">
        <v>4</v>
      </c>
      <c r="GO57" s="497" t="s">
        <v>4</v>
      </c>
      <c r="GP57" s="497" t="s">
        <v>4</v>
      </c>
      <c r="GQ57" s="497" t="s">
        <v>4</v>
      </c>
      <c r="GR57" s="497" t="s">
        <v>4</v>
      </c>
      <c r="GS57" s="497" t="s">
        <v>4</v>
      </c>
      <c r="GT57" s="497" t="s">
        <v>29410</v>
      </c>
      <c r="GU57" s="497" t="s">
        <v>4</v>
      </c>
      <c r="GV57" s="494">
        <v>4</v>
      </c>
      <c r="GW57" s="497" t="s">
        <v>29325</v>
      </c>
      <c r="GX57" s="497" t="s">
        <v>29309</v>
      </c>
      <c r="GY57" s="497" t="s">
        <v>4</v>
      </c>
      <c r="GZ57" s="497" t="s">
        <v>4</v>
      </c>
      <c r="HA57" s="497" t="s">
        <v>4</v>
      </c>
      <c r="HB57" s="497" t="s">
        <v>4</v>
      </c>
      <c r="HC57" s="497" t="s">
        <v>4</v>
      </c>
      <c r="HD57" s="497" t="s">
        <v>4</v>
      </c>
      <c r="HE57" s="497" t="s">
        <v>4</v>
      </c>
      <c r="HF57" s="497" t="s">
        <v>4</v>
      </c>
      <c r="HG57" s="497" t="s">
        <v>2</v>
      </c>
      <c r="HH57" s="497" t="s">
        <v>4</v>
      </c>
      <c r="HI57" s="497" t="s">
        <v>4</v>
      </c>
      <c r="HJ57" s="497" t="s">
        <v>4</v>
      </c>
      <c r="HK57" s="494" t="s">
        <v>4</v>
      </c>
      <c r="HL57" s="497" t="s">
        <v>33897</v>
      </c>
      <c r="HM57" s="497" t="s">
        <v>2</v>
      </c>
      <c r="HN57" s="497" t="s">
        <v>4</v>
      </c>
      <c r="HO57" s="497" t="s">
        <v>33898</v>
      </c>
      <c r="HP57" s="497" t="s">
        <v>33899</v>
      </c>
      <c r="HQ57" s="497" t="s">
        <v>33900</v>
      </c>
      <c r="HR57" s="497" t="s">
        <v>33901</v>
      </c>
      <c r="HS57" s="497" t="s">
        <v>33902</v>
      </c>
      <c r="HT57" s="500" t="s">
        <v>33890</v>
      </c>
    </row>
    <row r="58" spans="1:228" s="570" customFormat="1" ht="30.2" customHeight="1" x14ac:dyDescent="0.25">
      <c r="A58" s="759"/>
      <c r="B58" s="496">
        <v>251</v>
      </c>
      <c r="C58" s="496" t="s">
        <v>12476</v>
      </c>
      <c r="D58" s="497" t="s">
        <v>36121</v>
      </c>
      <c r="E58" s="497" t="s">
        <v>35998</v>
      </c>
      <c r="F58" s="497" t="s">
        <v>7</v>
      </c>
      <c r="G58" s="497" t="s">
        <v>36122</v>
      </c>
      <c r="H58" s="497">
        <v>1082.145</v>
      </c>
      <c r="I58" s="497">
        <v>1.701144</v>
      </c>
      <c r="J58" s="497" t="s">
        <v>29319</v>
      </c>
      <c r="K58" s="497" t="s">
        <v>4</v>
      </c>
      <c r="L58" s="497" t="s">
        <v>36123</v>
      </c>
      <c r="M58" s="497">
        <v>772576988</v>
      </c>
      <c r="N58" s="497" t="s">
        <v>3</v>
      </c>
      <c r="O58" s="497" t="s">
        <v>31598</v>
      </c>
      <c r="P58" s="497" t="s">
        <v>4</v>
      </c>
      <c r="Q58" s="497">
        <v>5</v>
      </c>
      <c r="R58" s="497" t="s">
        <v>7</v>
      </c>
      <c r="S58" s="497" t="s">
        <v>31588</v>
      </c>
      <c r="T58" s="497" t="s">
        <v>4</v>
      </c>
      <c r="U58" s="497" t="s">
        <v>7</v>
      </c>
      <c r="V58" s="497" t="s">
        <v>7</v>
      </c>
      <c r="W58" s="497" t="s">
        <v>4</v>
      </c>
      <c r="X58" s="497" t="s">
        <v>7</v>
      </c>
      <c r="Y58" s="497" t="s">
        <v>4</v>
      </c>
      <c r="Z58" s="497" t="s">
        <v>4</v>
      </c>
      <c r="AA58" s="241" t="str">
        <f>IF(OR(U58="yes",Z58&gt;'SDG outcome'!$C$39),"yes","no")</f>
        <v>yes</v>
      </c>
      <c r="AB58" s="521" t="str">
        <f t="shared" si="0"/>
        <v>NA</v>
      </c>
      <c r="AC58" s="527" t="str">
        <f>IF(AND('SMS p2'!AA262="no",AND(Z58&gt;='SDG outcome'!$B$28,Z58&lt;'SDG outcome'!$C$39)),Z58-'SDG outcome'!$B$28,"")</f>
        <v/>
      </c>
      <c r="AD58" s="497" t="s">
        <v>4</v>
      </c>
      <c r="AE58" s="497" t="s">
        <v>4</v>
      </c>
      <c r="AF58" s="497" t="s">
        <v>4</v>
      </c>
      <c r="AG58" s="497" t="s">
        <v>4</v>
      </c>
      <c r="AH58" s="497" t="s">
        <v>4</v>
      </c>
      <c r="AI58" s="497" t="s">
        <v>4</v>
      </c>
      <c r="AJ58" s="497" t="s">
        <v>4</v>
      </c>
      <c r="AK58" s="497" t="s">
        <v>29290</v>
      </c>
      <c r="AL58" s="497" t="s">
        <v>29694</v>
      </c>
      <c r="AM58" s="497" t="s">
        <v>4</v>
      </c>
      <c r="AN58" s="497" t="s">
        <v>4</v>
      </c>
      <c r="AO58" s="497" t="s">
        <v>31536</v>
      </c>
      <c r="AP58" s="497" t="s">
        <v>4</v>
      </c>
      <c r="AQ58" s="497" t="s">
        <v>31537</v>
      </c>
      <c r="AR58" s="497" t="s">
        <v>4</v>
      </c>
      <c r="AS58" s="497" t="s">
        <v>31538</v>
      </c>
      <c r="AT58" s="497" t="s">
        <v>4</v>
      </c>
      <c r="AU58" s="497" t="s">
        <v>7</v>
      </c>
      <c r="AV58" s="497" t="s">
        <v>4</v>
      </c>
      <c r="AW58" s="497" t="s">
        <v>4</v>
      </c>
      <c r="AX58" s="497" t="s">
        <v>7</v>
      </c>
      <c r="AY58" s="497" t="s">
        <v>11</v>
      </c>
      <c r="AZ58" s="497" t="s">
        <v>4</v>
      </c>
      <c r="BA58" s="497" t="s">
        <v>31563</v>
      </c>
      <c r="BB58" s="497" t="s">
        <v>22</v>
      </c>
      <c r="BC58" s="497" t="s">
        <v>4</v>
      </c>
      <c r="BD58" s="497" t="s">
        <v>14</v>
      </c>
      <c r="BE58" s="497" t="s">
        <v>4</v>
      </c>
      <c r="BF58" s="497" t="s">
        <v>31542</v>
      </c>
      <c r="BG58" s="497" t="s">
        <v>36124</v>
      </c>
      <c r="BH58" s="497" t="s">
        <v>31616</v>
      </c>
      <c r="BI58" s="497">
        <v>1</v>
      </c>
      <c r="BJ58" s="497">
        <v>240</v>
      </c>
      <c r="BK58" s="497" t="s">
        <v>7</v>
      </c>
      <c r="BL58" s="497" t="s">
        <v>6</v>
      </c>
      <c r="BM58" s="497" t="s">
        <v>4</v>
      </c>
      <c r="BN58" s="497" t="s">
        <v>31429</v>
      </c>
      <c r="BO58" s="497">
        <v>2</v>
      </c>
      <c r="BP58" s="497">
        <v>30</v>
      </c>
      <c r="BQ58" s="497" t="s">
        <v>31435</v>
      </c>
      <c r="BR58" s="499" t="s">
        <v>33361</v>
      </c>
      <c r="BS58" s="497" t="s">
        <v>4</v>
      </c>
      <c r="BT58" s="497">
        <v>2</v>
      </c>
      <c r="BU58" s="494" cm="1">
        <f t="array" ref="BU58">_xlfn.IFS(BQ58="Foreword vehicle",BT58*0,BQ58="Human wastes",BT58*0,BS58="Jerrycans",BT58*$BT$4,BQ58="Number of Basins",BT58*$BT$5,BQ58="Number of Buckets",BT58*$BT$6,BQ58="Number of Kgs",BT58*$BT$7,BQ58="Number of spades",BT58*$BT$8,BQ58="Number of wheelbarrows",BT58*$BS$9,BS58="Septic Tank",BT58*0)</f>
        <v>165</v>
      </c>
      <c r="BV58" s="494">
        <f>Table15[[#This Row],[Calculation: Conversion of metric to Kg manure feeding (Columns: BP, BQ, BR)]]*Table15[[#This Row],[Number of times used to feed biodigester]]</f>
        <v>330</v>
      </c>
      <c r="BW58" s="495" cm="1">
        <f t="array" ref="BW58">_xlfn.IFS(BN58="Number of times per day (1 to 3)",BV58/$BW$3,BN58="Number of times per week (1 to 6)",BV58/$BW$4,BN58="Number of times per Month (1 to 3)",BV58/$BW$5)</f>
        <v>47.142857142857146</v>
      </c>
      <c r="BX58" s="497" t="s">
        <v>31552</v>
      </c>
      <c r="BY58" s="497" t="s">
        <v>4</v>
      </c>
      <c r="BZ58" s="497" t="s">
        <v>2</v>
      </c>
      <c r="CA58" s="497" t="s">
        <v>4</v>
      </c>
      <c r="CB58" s="497" t="s">
        <v>4</v>
      </c>
      <c r="CC58" s="497" t="s">
        <v>4</v>
      </c>
      <c r="CD58" s="497" t="s">
        <v>7</v>
      </c>
      <c r="CE58" s="497" t="s">
        <v>36125</v>
      </c>
      <c r="CF58" s="497" t="s">
        <v>4</v>
      </c>
      <c r="CG58" s="497" t="s">
        <v>31604</v>
      </c>
      <c r="CH58" s="497">
        <v>6</v>
      </c>
      <c r="CI58" s="497">
        <v>0</v>
      </c>
      <c r="CJ58" s="497">
        <v>0</v>
      </c>
      <c r="CK58" s="497">
        <v>0</v>
      </c>
      <c r="CL58" s="497">
        <v>0</v>
      </c>
      <c r="CM58" s="497">
        <v>0</v>
      </c>
      <c r="CN58" s="497">
        <v>0</v>
      </c>
      <c r="CO58" s="497">
        <v>0</v>
      </c>
      <c r="CP58" s="497">
        <v>0</v>
      </c>
      <c r="CQ58" s="497">
        <v>0</v>
      </c>
      <c r="CR58" s="497">
        <f>IF(Table15[[#This Row],[Is your biodigester working?]]="yes",CO58/'SDG outcome'!$C$9*CP58*CQ58,"")</f>
        <v>0</v>
      </c>
      <c r="CS58" s="497">
        <v>90</v>
      </c>
      <c r="CT58" s="500">
        <v>10</v>
      </c>
      <c r="CU58" s="496" t="s">
        <v>36126</v>
      </c>
      <c r="CV58" s="497" t="s">
        <v>4</v>
      </c>
      <c r="CW58" s="500" t="s">
        <v>4</v>
      </c>
      <c r="CX58" s="496" t="s">
        <v>4</v>
      </c>
      <c r="CY58" s="497" t="s">
        <v>4</v>
      </c>
      <c r="CZ58" s="500" t="s">
        <v>4</v>
      </c>
      <c r="DA58" s="496" t="s">
        <v>4</v>
      </c>
      <c r="DB58" s="497" t="s">
        <v>4</v>
      </c>
      <c r="DC58" s="497" t="s">
        <v>4</v>
      </c>
      <c r="DD58" s="497" t="s">
        <v>4</v>
      </c>
      <c r="DE58" s="497" t="s">
        <v>4</v>
      </c>
      <c r="DF58" s="497" t="s">
        <v>4</v>
      </c>
      <c r="DG58" s="497" t="s">
        <v>4</v>
      </c>
      <c r="DH58" s="497" t="s">
        <v>4</v>
      </c>
      <c r="DI58" s="497" t="s">
        <v>4</v>
      </c>
      <c r="DJ58" s="497" t="s">
        <v>4</v>
      </c>
      <c r="DK58" s="497" t="s">
        <v>4</v>
      </c>
      <c r="DL58" s="497" t="s">
        <v>4</v>
      </c>
      <c r="DM58" s="497" t="s">
        <v>4</v>
      </c>
      <c r="DN58" s="497">
        <v>2</v>
      </c>
      <c r="DO58" s="497" t="s">
        <v>2</v>
      </c>
      <c r="DP58" s="497" t="s">
        <v>29292</v>
      </c>
      <c r="DQ58" s="497" t="s">
        <v>4</v>
      </c>
      <c r="DR58" s="497" t="s">
        <v>29294</v>
      </c>
      <c r="DS58" s="494" t="s">
        <v>4</v>
      </c>
      <c r="DT58" s="497" t="s">
        <v>29294</v>
      </c>
      <c r="DU58" s="494" t="s">
        <v>4</v>
      </c>
      <c r="DV58" s="500" t="s">
        <v>29508</v>
      </c>
      <c r="DW58" s="496" t="s">
        <v>4</v>
      </c>
      <c r="DX58" s="497" t="s">
        <v>4</v>
      </c>
      <c r="DY58" s="497" t="s">
        <v>4</v>
      </c>
      <c r="DZ58" s="497" t="s">
        <v>4</v>
      </c>
      <c r="EA58" s="497" t="s">
        <v>4</v>
      </c>
      <c r="EB58" s="497" t="s">
        <v>4</v>
      </c>
      <c r="EC58" s="497" t="s">
        <v>4</v>
      </c>
      <c r="ED58" s="497">
        <v>100</v>
      </c>
      <c r="EE58" s="497" t="s">
        <v>30667</v>
      </c>
      <c r="EF58" s="497" t="s">
        <v>4</v>
      </c>
      <c r="EG58" s="497" t="s">
        <v>4</v>
      </c>
      <c r="EH58" s="497">
        <v>100</v>
      </c>
      <c r="EI58" s="497" t="s">
        <v>4</v>
      </c>
      <c r="EJ58" s="497" t="s">
        <v>4</v>
      </c>
      <c r="EK58" s="497" t="s">
        <v>4</v>
      </c>
      <c r="EL58" s="497" t="s">
        <v>4</v>
      </c>
      <c r="EM58" s="497">
        <v>120</v>
      </c>
      <c r="EN58" s="497" t="s">
        <v>4</v>
      </c>
      <c r="EO58" s="497" t="s">
        <v>4</v>
      </c>
      <c r="EP58" s="497" t="s">
        <v>4</v>
      </c>
      <c r="EQ58" s="497" t="s">
        <v>29296</v>
      </c>
      <c r="ER58" s="497">
        <v>100</v>
      </c>
      <c r="ES58" s="497" t="s">
        <v>4</v>
      </c>
      <c r="ET58" s="497" t="s">
        <v>4</v>
      </c>
      <c r="EU58" s="497" t="s">
        <v>4</v>
      </c>
      <c r="EV58" s="497" t="s">
        <v>4</v>
      </c>
      <c r="EW58" s="497">
        <v>2.8328611898016995</v>
      </c>
      <c r="EX58" s="497" t="s">
        <v>7</v>
      </c>
      <c r="EY58" s="497">
        <v>40</v>
      </c>
      <c r="EZ58" s="239">
        <f t="shared" si="2"/>
        <v>1.1331444759206797</v>
      </c>
      <c r="FA58" s="497" t="s">
        <v>36127</v>
      </c>
      <c r="FB58" s="497" t="s">
        <v>29298</v>
      </c>
      <c r="FC58" s="497">
        <v>120</v>
      </c>
      <c r="FD58" s="497" t="s">
        <v>7</v>
      </c>
      <c r="FE58" s="497" t="s">
        <v>29393</v>
      </c>
      <c r="FF58" s="497" t="s">
        <v>4</v>
      </c>
      <c r="FG58" s="497" t="s">
        <v>2</v>
      </c>
      <c r="FH58" s="497" t="s">
        <v>4</v>
      </c>
      <c r="FI58" s="497" t="s">
        <v>4</v>
      </c>
      <c r="FJ58" s="497" t="s">
        <v>4</v>
      </c>
      <c r="FK58" s="497" t="s">
        <v>4</v>
      </c>
      <c r="FL58" s="497" t="s">
        <v>4</v>
      </c>
      <c r="FM58" s="497" t="s">
        <v>4</v>
      </c>
      <c r="FN58" s="494" t="s">
        <v>4</v>
      </c>
      <c r="FO58" s="497" t="s">
        <v>4</v>
      </c>
      <c r="FP58" s="497" t="s">
        <v>7</v>
      </c>
      <c r="FQ58" s="497" t="s">
        <v>29301</v>
      </c>
      <c r="FR58" s="497" t="s">
        <v>4</v>
      </c>
      <c r="FS58" s="497" t="s">
        <v>7</v>
      </c>
      <c r="FT58" s="497" t="s">
        <v>2</v>
      </c>
      <c r="FU58" s="497" t="s">
        <v>4</v>
      </c>
      <c r="FV58" s="497" t="s">
        <v>4</v>
      </c>
      <c r="FW58" s="497" t="s">
        <v>29433</v>
      </c>
      <c r="FX58" s="497">
        <v>0</v>
      </c>
      <c r="FY58" s="497" t="s">
        <v>4</v>
      </c>
      <c r="FZ58" s="497" t="s">
        <v>4</v>
      </c>
      <c r="GA58" s="497" t="s">
        <v>4</v>
      </c>
      <c r="GB58" s="497" t="s">
        <v>4</v>
      </c>
      <c r="GC58" s="497" t="s">
        <v>4</v>
      </c>
      <c r="GD58" s="497" t="s">
        <v>4</v>
      </c>
      <c r="GE58" s="497" t="s">
        <v>4</v>
      </c>
      <c r="GF58" s="497" t="s">
        <v>4</v>
      </c>
      <c r="GG58" s="497" t="s">
        <v>29353</v>
      </c>
      <c r="GH58" s="497" t="s">
        <v>4</v>
      </c>
      <c r="GI58" s="497" t="s">
        <v>4</v>
      </c>
      <c r="GJ58" s="497" t="s">
        <v>4</v>
      </c>
      <c r="GK58" s="497" t="s">
        <v>4</v>
      </c>
      <c r="GL58" s="497" t="s">
        <v>4</v>
      </c>
      <c r="GM58" s="497" t="s">
        <v>4</v>
      </c>
      <c r="GN58" s="497" t="s">
        <v>4</v>
      </c>
      <c r="GO58" s="497" t="s">
        <v>4</v>
      </c>
      <c r="GP58" s="497" t="s">
        <v>4</v>
      </c>
      <c r="GQ58" s="497" t="s">
        <v>4</v>
      </c>
      <c r="GR58" s="497" t="s">
        <v>4</v>
      </c>
      <c r="GS58" s="497" t="s">
        <v>4</v>
      </c>
      <c r="GT58" s="497" t="s">
        <v>29354</v>
      </c>
      <c r="GU58" s="497" t="s">
        <v>4</v>
      </c>
      <c r="GV58" s="494">
        <v>20</v>
      </c>
      <c r="GW58" s="497" t="s">
        <v>29325</v>
      </c>
      <c r="GX58" s="497" t="s">
        <v>29309</v>
      </c>
      <c r="GY58" s="497" t="s">
        <v>4</v>
      </c>
      <c r="GZ58" s="497" t="s">
        <v>4</v>
      </c>
      <c r="HA58" s="497" t="s">
        <v>4</v>
      </c>
      <c r="HB58" s="497" t="s">
        <v>4</v>
      </c>
      <c r="HC58" s="497" t="s">
        <v>4</v>
      </c>
      <c r="HD58" s="497" t="s">
        <v>4</v>
      </c>
      <c r="HE58" s="497" t="s">
        <v>4</v>
      </c>
      <c r="HF58" s="497" t="s">
        <v>4</v>
      </c>
      <c r="HG58" s="497" t="s">
        <v>2</v>
      </c>
      <c r="HH58" s="497" t="s">
        <v>4</v>
      </c>
      <c r="HI58" s="497" t="s">
        <v>4</v>
      </c>
      <c r="HJ58" s="497" t="s">
        <v>4</v>
      </c>
      <c r="HK58" s="494" t="s">
        <v>4</v>
      </c>
      <c r="HL58" s="497" t="s">
        <v>36128</v>
      </c>
      <c r="HM58" s="497" t="s">
        <v>2</v>
      </c>
      <c r="HN58" s="497" t="s">
        <v>4</v>
      </c>
      <c r="HO58" s="497" t="s">
        <v>36129</v>
      </c>
      <c r="HP58" s="497" t="s">
        <v>36130</v>
      </c>
      <c r="HQ58" s="497" t="s">
        <v>36131</v>
      </c>
      <c r="HR58" s="497" t="s">
        <v>36132</v>
      </c>
      <c r="HS58" s="497" t="s">
        <v>36133</v>
      </c>
      <c r="HT58" s="500" t="s">
        <v>36134</v>
      </c>
    </row>
    <row r="59" spans="1:228" s="570" customFormat="1" ht="30.2" customHeight="1" x14ac:dyDescent="0.25">
      <c r="A59" s="759"/>
      <c r="B59" s="496">
        <v>57</v>
      </c>
      <c r="C59" s="496" t="s">
        <v>19436</v>
      </c>
      <c r="D59" s="497" t="s">
        <v>34006</v>
      </c>
      <c r="E59" s="497" t="s">
        <v>33859</v>
      </c>
      <c r="F59" s="497" t="s">
        <v>7</v>
      </c>
      <c r="G59" s="497" t="s">
        <v>34007</v>
      </c>
      <c r="H59" s="497">
        <v>1083.0771480000001</v>
      </c>
      <c r="I59" s="497">
        <v>4.4251120000000004</v>
      </c>
      <c r="J59" s="497" t="s">
        <v>29389</v>
      </c>
      <c r="K59" s="497" t="s">
        <v>34008</v>
      </c>
      <c r="L59" s="497" t="s">
        <v>34009</v>
      </c>
      <c r="M59" s="497">
        <v>788727741</v>
      </c>
      <c r="N59" s="497" t="s">
        <v>5</v>
      </c>
      <c r="O59" s="497" t="s">
        <v>31438</v>
      </c>
      <c r="P59" s="497">
        <v>35</v>
      </c>
      <c r="Q59" s="497">
        <v>12</v>
      </c>
      <c r="R59" s="497" t="s">
        <v>7</v>
      </c>
      <c r="S59" s="497" t="s">
        <v>31588</v>
      </c>
      <c r="T59" s="497" t="s">
        <v>4</v>
      </c>
      <c r="U59" s="497" t="s">
        <v>7</v>
      </c>
      <c r="V59" s="497" t="s">
        <v>7</v>
      </c>
      <c r="W59" s="497" t="s">
        <v>4</v>
      </c>
      <c r="X59" s="497" t="s">
        <v>7</v>
      </c>
      <c r="Y59" s="497" t="s">
        <v>4</v>
      </c>
      <c r="Z59" s="497" t="s">
        <v>4</v>
      </c>
      <c r="AA59" s="241" t="str">
        <f>IF(OR(U59="yes",Z59&gt;'SDG outcome'!$C$39),"yes","no")</f>
        <v>yes</v>
      </c>
      <c r="AB59" s="521" t="str">
        <f t="shared" si="0"/>
        <v>NA</v>
      </c>
      <c r="AC59" s="527" t="str">
        <f>IF(AND('SMS p2'!AA69="no",AND(Z59&gt;='SDG outcome'!$B$28,Z59&lt;'SDG outcome'!$C$39)),Z59-'SDG outcome'!$B$28,"")</f>
        <v/>
      </c>
      <c r="AD59" s="497" t="s">
        <v>4</v>
      </c>
      <c r="AE59" s="497" t="s">
        <v>4</v>
      </c>
      <c r="AF59" s="497" t="s">
        <v>4</v>
      </c>
      <c r="AG59" s="497" t="s">
        <v>4</v>
      </c>
      <c r="AH59" s="497" t="s">
        <v>4</v>
      </c>
      <c r="AI59" s="497" t="s">
        <v>4</v>
      </c>
      <c r="AJ59" s="497" t="s">
        <v>4</v>
      </c>
      <c r="AK59" s="497" t="s">
        <v>29290</v>
      </c>
      <c r="AL59" s="497" t="s">
        <v>29291</v>
      </c>
      <c r="AM59" s="497" t="s">
        <v>4</v>
      </c>
      <c r="AN59" s="497" t="s">
        <v>4</v>
      </c>
      <c r="AO59" s="497" t="s">
        <v>31718</v>
      </c>
      <c r="AP59" s="497" t="s">
        <v>4</v>
      </c>
      <c r="AQ59" s="497" t="s">
        <v>31600</v>
      </c>
      <c r="AR59" s="497" t="s">
        <v>4</v>
      </c>
      <c r="AS59" s="497" t="s">
        <v>31538</v>
      </c>
      <c r="AT59" s="497" t="s">
        <v>4</v>
      </c>
      <c r="AU59" s="497" t="s">
        <v>7</v>
      </c>
      <c r="AV59" s="497" t="s">
        <v>4</v>
      </c>
      <c r="AW59" s="497" t="s">
        <v>4</v>
      </c>
      <c r="AX59" s="497" t="s">
        <v>2</v>
      </c>
      <c r="AY59" s="497" t="s">
        <v>4</v>
      </c>
      <c r="AZ59" s="497" t="s">
        <v>4</v>
      </c>
      <c r="BA59" s="497" t="s">
        <v>31540</v>
      </c>
      <c r="BB59" s="497" t="s">
        <v>31541</v>
      </c>
      <c r="BC59" s="497" t="s">
        <v>4</v>
      </c>
      <c r="BD59" s="497" t="s">
        <v>31564</v>
      </c>
      <c r="BE59" s="497" t="s">
        <v>4</v>
      </c>
      <c r="BF59" s="497" t="s">
        <v>31542</v>
      </c>
      <c r="BG59" s="497" t="s">
        <v>34010</v>
      </c>
      <c r="BH59" s="497" t="s">
        <v>31544</v>
      </c>
      <c r="BI59" s="497">
        <v>3</v>
      </c>
      <c r="BJ59" s="497">
        <v>120</v>
      </c>
      <c r="BK59" s="497" t="s">
        <v>7</v>
      </c>
      <c r="BL59" s="497" t="s">
        <v>6</v>
      </c>
      <c r="BM59" s="497" t="s">
        <v>4</v>
      </c>
      <c r="BN59" s="497" t="s">
        <v>31425</v>
      </c>
      <c r="BO59" s="497">
        <v>1</v>
      </c>
      <c r="BP59" s="497">
        <v>40</v>
      </c>
      <c r="BQ59" s="497" t="s">
        <v>31434</v>
      </c>
      <c r="BR59" s="499" t="s">
        <v>33332</v>
      </c>
      <c r="BS59" s="497" t="s">
        <v>4</v>
      </c>
      <c r="BT59" s="497">
        <v>3</v>
      </c>
      <c r="BU59" s="494" cm="1">
        <f t="array" ref="BU59">_xlfn.IFS(BQ59="Foreword vehicle",BT59*0,BQ59="Human wastes",BT59*0,BS59="Jerrycans",BT59*$BT$4,BQ59="Number of Basins",BT59*$BT$5,BQ59="Number of Buckets",BT59*$BT$6,BQ59="Number of Kgs",BT59*$BT$7,BQ59="Number of spades",BT59*$BT$8,BQ59="Number of wheelbarrows",BT59*$BT$9,BS59="Septic Tank",BT59*0)</f>
        <v>48</v>
      </c>
      <c r="BV59" s="494">
        <f>Table15[[#This Row],[Calculation: Conversion of metric to Kg manure feeding (Columns: BP, BQ, BR)]]*Table15[[#This Row],[Number of times used to feed biodigester]]</f>
        <v>48</v>
      </c>
      <c r="BW59" s="495" cm="1">
        <f t="array" ref="BW59">_xlfn.IFS(BN59="Number of times per day (1 to 3)",BV59/$BW$3,BN59="Number of times per week (1 to 6)",BV59/$BW$4,BN59="Number of times per Month (1 to 3)",BV59/$BW$5)</f>
        <v>48</v>
      </c>
      <c r="BX59" s="497" t="s">
        <v>13</v>
      </c>
      <c r="BY59" s="497" t="s">
        <v>34011</v>
      </c>
      <c r="BZ59" s="497" t="s">
        <v>2</v>
      </c>
      <c r="CA59" s="497" t="s">
        <v>4</v>
      </c>
      <c r="CB59" s="497" t="s">
        <v>4</v>
      </c>
      <c r="CC59" s="497" t="s">
        <v>4</v>
      </c>
      <c r="CD59" s="497" t="s">
        <v>7</v>
      </c>
      <c r="CE59" s="497" t="s">
        <v>34012</v>
      </c>
      <c r="CF59" s="497" t="s">
        <v>4</v>
      </c>
      <c r="CG59" s="497" t="s">
        <v>34013</v>
      </c>
      <c r="CH59" s="497">
        <v>3</v>
      </c>
      <c r="CI59" s="497">
        <v>0</v>
      </c>
      <c r="CJ59" s="497">
        <v>10</v>
      </c>
      <c r="CK59" s="497">
        <v>3</v>
      </c>
      <c r="CL59" s="497">
        <v>4</v>
      </c>
      <c r="CM59" s="497">
        <v>25</v>
      </c>
      <c r="CN59" s="497">
        <v>0</v>
      </c>
      <c r="CO59" s="497">
        <v>0</v>
      </c>
      <c r="CP59" s="497">
        <v>0</v>
      </c>
      <c r="CQ59" s="497">
        <v>0</v>
      </c>
      <c r="CR59" s="497">
        <f>IF(Table15[[#This Row],[Is your biodigester working?]]="yes",CO59/'SDG outcome'!$C$9*CP59*CQ59,"")</f>
        <v>0</v>
      </c>
      <c r="CS59" s="497">
        <v>100</v>
      </c>
      <c r="CT59" s="500">
        <v>0</v>
      </c>
      <c r="CU59" s="496" t="s">
        <v>4</v>
      </c>
      <c r="CV59" s="497" t="s">
        <v>4</v>
      </c>
      <c r="CW59" s="500" t="s">
        <v>4</v>
      </c>
      <c r="CX59" s="496" t="s">
        <v>4</v>
      </c>
      <c r="CY59" s="497" t="s">
        <v>4</v>
      </c>
      <c r="CZ59" s="500" t="s">
        <v>4</v>
      </c>
      <c r="DA59" s="496" t="s">
        <v>4</v>
      </c>
      <c r="DB59" s="497">
        <v>0</v>
      </c>
      <c r="DC59" s="497">
        <v>100</v>
      </c>
      <c r="DD59" s="497" t="s">
        <v>33992</v>
      </c>
      <c r="DE59" s="497">
        <v>0</v>
      </c>
      <c r="DF59" s="497">
        <v>100</v>
      </c>
      <c r="DG59" s="497" t="s">
        <v>34014</v>
      </c>
      <c r="DH59" s="497">
        <v>0</v>
      </c>
      <c r="DI59" s="497">
        <v>100</v>
      </c>
      <c r="DJ59" s="497" t="s">
        <v>34015</v>
      </c>
      <c r="DK59" s="497">
        <v>0</v>
      </c>
      <c r="DL59" s="497">
        <v>100</v>
      </c>
      <c r="DM59" s="497" t="s">
        <v>34016</v>
      </c>
      <c r="DN59" s="497">
        <v>2</v>
      </c>
      <c r="DO59" s="497" t="s">
        <v>2</v>
      </c>
      <c r="DP59" s="497" t="s">
        <v>29292</v>
      </c>
      <c r="DQ59" s="497" t="s">
        <v>4</v>
      </c>
      <c r="DR59" s="497" t="s">
        <v>29293</v>
      </c>
      <c r="DS59" s="494">
        <v>50000</v>
      </c>
      <c r="DT59" s="497" t="s">
        <v>29293</v>
      </c>
      <c r="DU59" s="494">
        <v>20000</v>
      </c>
      <c r="DV59" s="500" t="s">
        <v>29508</v>
      </c>
      <c r="DW59" s="496" t="s">
        <v>4</v>
      </c>
      <c r="DX59" s="497" t="s">
        <v>4</v>
      </c>
      <c r="DY59" s="497" t="s">
        <v>4</v>
      </c>
      <c r="DZ59" s="497" t="s">
        <v>4</v>
      </c>
      <c r="EA59" s="497" t="s">
        <v>4</v>
      </c>
      <c r="EB59" s="497" t="s">
        <v>4</v>
      </c>
      <c r="EC59" s="497" t="s">
        <v>4</v>
      </c>
      <c r="ED59" s="497">
        <v>100</v>
      </c>
      <c r="EE59" s="497" t="s">
        <v>30667</v>
      </c>
      <c r="EF59" s="497" t="s">
        <v>4</v>
      </c>
      <c r="EG59" s="497" t="s">
        <v>4</v>
      </c>
      <c r="EH59" s="497">
        <v>100</v>
      </c>
      <c r="EI59" s="497" t="s">
        <v>4</v>
      </c>
      <c r="EJ59" s="497" t="s">
        <v>4</v>
      </c>
      <c r="EK59" s="497" t="s">
        <v>4</v>
      </c>
      <c r="EL59" s="497" t="s">
        <v>4</v>
      </c>
      <c r="EM59" s="497">
        <v>14</v>
      </c>
      <c r="EN59" s="497" t="s">
        <v>4</v>
      </c>
      <c r="EO59" s="497" t="s">
        <v>4</v>
      </c>
      <c r="EP59" s="497" t="s">
        <v>4</v>
      </c>
      <c r="EQ59" s="497" t="s">
        <v>33993</v>
      </c>
      <c r="ER59" s="497">
        <v>50</v>
      </c>
      <c r="ES59" s="497">
        <v>20</v>
      </c>
      <c r="ET59" s="497">
        <v>30</v>
      </c>
      <c r="EU59" s="497" t="s">
        <v>4</v>
      </c>
      <c r="EV59" s="497" t="s">
        <v>4</v>
      </c>
      <c r="EW59" s="497">
        <v>2.5</v>
      </c>
      <c r="EX59" s="497" t="s">
        <v>7</v>
      </c>
      <c r="EY59" s="497">
        <v>45</v>
      </c>
      <c r="EZ59" s="239">
        <f t="shared" si="2"/>
        <v>1.125</v>
      </c>
      <c r="FA59" s="497" t="s">
        <v>34017</v>
      </c>
      <c r="FB59" s="497" t="s">
        <v>29298</v>
      </c>
      <c r="FC59" s="497">
        <v>22</v>
      </c>
      <c r="FD59" s="497" t="s">
        <v>7</v>
      </c>
      <c r="FE59" s="497" t="s">
        <v>29393</v>
      </c>
      <c r="FF59" s="497" t="s">
        <v>4</v>
      </c>
      <c r="FG59" s="497" t="s">
        <v>2</v>
      </c>
      <c r="FH59" s="497" t="s">
        <v>4</v>
      </c>
      <c r="FI59" s="497" t="s">
        <v>4</v>
      </c>
      <c r="FJ59" s="497" t="s">
        <v>4</v>
      </c>
      <c r="FK59" s="497" t="s">
        <v>4</v>
      </c>
      <c r="FL59" s="497" t="s">
        <v>4</v>
      </c>
      <c r="FM59" s="497" t="s">
        <v>4</v>
      </c>
      <c r="FN59" s="494" t="s">
        <v>4</v>
      </c>
      <c r="FO59" s="497" t="s">
        <v>4</v>
      </c>
      <c r="FP59" s="497" t="s">
        <v>2</v>
      </c>
      <c r="FQ59" s="497" t="s">
        <v>4</v>
      </c>
      <c r="FR59" s="497" t="s">
        <v>4</v>
      </c>
      <c r="FS59" s="497" t="s">
        <v>7</v>
      </c>
      <c r="FT59" s="497" t="s">
        <v>7</v>
      </c>
      <c r="FU59" s="497" t="s">
        <v>29302</v>
      </c>
      <c r="FV59" s="497" t="s">
        <v>33553</v>
      </c>
      <c r="FW59" s="497" t="s">
        <v>4</v>
      </c>
      <c r="FX59" s="497">
        <v>0</v>
      </c>
      <c r="FY59" s="497" t="s">
        <v>4</v>
      </c>
      <c r="FZ59" s="497" t="s">
        <v>4</v>
      </c>
      <c r="GA59" s="497" t="s">
        <v>4</v>
      </c>
      <c r="GB59" s="497" t="s">
        <v>4</v>
      </c>
      <c r="GC59" s="497" t="s">
        <v>4</v>
      </c>
      <c r="GD59" s="497" t="s">
        <v>4</v>
      </c>
      <c r="GE59" s="497" t="s">
        <v>4</v>
      </c>
      <c r="GF59" s="497" t="s">
        <v>4</v>
      </c>
      <c r="GG59" s="497" t="s">
        <v>4</v>
      </c>
      <c r="GH59" s="497" t="s">
        <v>4</v>
      </c>
      <c r="GI59" s="497" t="s">
        <v>29304</v>
      </c>
      <c r="GJ59" s="497" t="s">
        <v>29305</v>
      </c>
      <c r="GK59" s="497" t="s">
        <v>29306</v>
      </c>
      <c r="GL59" s="497" t="s">
        <v>4</v>
      </c>
      <c r="GM59" s="497" t="s">
        <v>4</v>
      </c>
      <c r="GN59" s="497" t="s">
        <v>4</v>
      </c>
      <c r="GO59" s="497" t="s">
        <v>4</v>
      </c>
      <c r="GP59" s="497" t="s">
        <v>4</v>
      </c>
      <c r="GQ59" s="497" t="s">
        <v>4</v>
      </c>
      <c r="GR59" s="497" t="s">
        <v>4</v>
      </c>
      <c r="GS59" s="497" t="s">
        <v>4</v>
      </c>
      <c r="GT59" s="497" t="s">
        <v>29410</v>
      </c>
      <c r="GU59" s="497" t="s">
        <v>4</v>
      </c>
      <c r="GV59" s="494">
        <v>4</v>
      </c>
      <c r="GW59" s="497" t="s">
        <v>29325</v>
      </c>
      <c r="GX59" s="497" t="s">
        <v>29309</v>
      </c>
      <c r="GY59" s="497" t="s">
        <v>4</v>
      </c>
      <c r="GZ59" s="497" t="s">
        <v>4</v>
      </c>
      <c r="HA59" s="497" t="s">
        <v>4</v>
      </c>
      <c r="HB59" s="497" t="s">
        <v>4</v>
      </c>
      <c r="HC59" s="497" t="s">
        <v>4</v>
      </c>
      <c r="HD59" s="497" t="s">
        <v>4</v>
      </c>
      <c r="HE59" s="497" t="s">
        <v>4</v>
      </c>
      <c r="HF59" s="497" t="s">
        <v>4</v>
      </c>
      <c r="HG59" s="497" t="s">
        <v>2</v>
      </c>
      <c r="HH59" s="497" t="s">
        <v>4</v>
      </c>
      <c r="HI59" s="497" t="s">
        <v>4</v>
      </c>
      <c r="HJ59" s="497" t="s">
        <v>4</v>
      </c>
      <c r="HK59" s="494" t="s">
        <v>4</v>
      </c>
      <c r="HL59" s="497" t="s">
        <v>34018</v>
      </c>
      <c r="HM59" s="497" t="s">
        <v>2</v>
      </c>
      <c r="HN59" s="497" t="s">
        <v>4</v>
      </c>
      <c r="HO59" s="497" t="s">
        <v>34019</v>
      </c>
      <c r="HP59" s="497" t="s">
        <v>34020</v>
      </c>
      <c r="HQ59" s="497" t="s">
        <v>34021</v>
      </c>
      <c r="HR59" s="497" t="s">
        <v>34022</v>
      </c>
      <c r="HS59" s="497" t="s">
        <v>34023</v>
      </c>
      <c r="HT59" s="500" t="s">
        <v>34006</v>
      </c>
    </row>
    <row r="60" spans="1:228" s="570" customFormat="1" ht="30.2" customHeight="1" x14ac:dyDescent="0.25">
      <c r="A60" s="759"/>
      <c r="B60" s="496">
        <v>54</v>
      </c>
      <c r="C60" s="517" t="s">
        <v>19572</v>
      </c>
      <c r="D60" s="501" t="s">
        <v>33956</v>
      </c>
      <c r="E60" s="501" t="s">
        <v>33859</v>
      </c>
      <c r="F60" s="501" t="s">
        <v>7</v>
      </c>
      <c r="G60" s="501" t="s">
        <v>33957</v>
      </c>
      <c r="H60" s="501">
        <v>1140.5509030000001</v>
      </c>
      <c r="I60" s="501">
        <v>3.7972250000000001</v>
      </c>
      <c r="J60" s="501" t="s">
        <v>29319</v>
      </c>
      <c r="K60" s="501" t="s">
        <v>4</v>
      </c>
      <c r="L60" s="501" t="s">
        <v>33958</v>
      </c>
      <c r="M60" s="501">
        <v>772860387</v>
      </c>
      <c r="N60" s="501" t="s">
        <v>5</v>
      </c>
      <c r="O60" s="501" t="s">
        <v>31438</v>
      </c>
      <c r="P60" s="501">
        <v>67</v>
      </c>
      <c r="Q60" s="501">
        <v>5</v>
      </c>
      <c r="R60" s="501" t="s">
        <v>7</v>
      </c>
      <c r="S60" s="497" t="s">
        <v>31588</v>
      </c>
      <c r="T60" s="501" t="s">
        <v>4</v>
      </c>
      <c r="U60" s="501" t="s">
        <v>7</v>
      </c>
      <c r="V60" s="501" t="s">
        <v>7</v>
      </c>
      <c r="W60" s="501" t="s">
        <v>4</v>
      </c>
      <c r="X60" s="501" t="s">
        <v>7</v>
      </c>
      <c r="Y60" s="501" t="s">
        <v>4</v>
      </c>
      <c r="Z60" s="501" t="s">
        <v>4</v>
      </c>
      <c r="AA60" s="241" t="str">
        <f>IF(OR(U60="yes",Z60&gt;'SDG outcome'!$C$39),"yes","no")</f>
        <v>yes</v>
      </c>
      <c r="AB60" s="522" t="str">
        <f t="shared" si="0"/>
        <v>NA</v>
      </c>
      <c r="AC60" s="528" t="str">
        <f>IF(AND('SMS p2'!AA66="no",AND(Z60&gt;='SDG outcome'!$B$28,Z60&lt;'SDG outcome'!$C$39)),Z60-'SDG outcome'!$B$28,"")</f>
        <v/>
      </c>
      <c r="AD60" s="501" t="s">
        <v>4</v>
      </c>
      <c r="AE60" s="501" t="s">
        <v>4</v>
      </c>
      <c r="AF60" s="501" t="s">
        <v>4</v>
      </c>
      <c r="AG60" s="501" t="s">
        <v>4</v>
      </c>
      <c r="AH60" s="501" t="s">
        <v>4</v>
      </c>
      <c r="AI60" s="501" t="s">
        <v>4</v>
      </c>
      <c r="AJ60" s="501" t="s">
        <v>4</v>
      </c>
      <c r="AK60" s="501" t="s">
        <v>29290</v>
      </c>
      <c r="AL60" s="501" t="s">
        <v>29291</v>
      </c>
      <c r="AM60" s="501" t="s">
        <v>4</v>
      </c>
      <c r="AN60" s="501" t="s">
        <v>4</v>
      </c>
      <c r="AO60" s="501" t="s">
        <v>31718</v>
      </c>
      <c r="AP60" s="501" t="s">
        <v>4</v>
      </c>
      <c r="AQ60" s="501" t="s">
        <v>31600</v>
      </c>
      <c r="AR60" s="501" t="s">
        <v>4</v>
      </c>
      <c r="AS60" s="501" t="s">
        <v>31538</v>
      </c>
      <c r="AT60" s="501" t="s">
        <v>4</v>
      </c>
      <c r="AU60" s="501" t="s">
        <v>7</v>
      </c>
      <c r="AV60" s="501" t="s">
        <v>4</v>
      </c>
      <c r="AW60" s="501" t="s">
        <v>4</v>
      </c>
      <c r="AX60" s="501" t="s">
        <v>7</v>
      </c>
      <c r="AY60" s="501" t="s">
        <v>11</v>
      </c>
      <c r="AZ60" s="501" t="s">
        <v>4</v>
      </c>
      <c r="BA60" s="501" t="s">
        <v>31557</v>
      </c>
      <c r="BB60" s="501" t="s">
        <v>31541</v>
      </c>
      <c r="BC60" s="501" t="s">
        <v>4</v>
      </c>
      <c r="BD60" s="501" t="s">
        <v>31564</v>
      </c>
      <c r="BE60" s="501" t="s">
        <v>4</v>
      </c>
      <c r="BF60" s="501" t="s">
        <v>31542</v>
      </c>
      <c r="BG60" s="501" t="s">
        <v>33959</v>
      </c>
      <c r="BH60" s="501" t="s">
        <v>31544</v>
      </c>
      <c r="BI60" s="501">
        <v>2</v>
      </c>
      <c r="BJ60" s="501">
        <v>120</v>
      </c>
      <c r="BK60" s="501" t="s">
        <v>7</v>
      </c>
      <c r="BL60" s="497" t="s">
        <v>6</v>
      </c>
      <c r="BM60" s="497" t="s">
        <v>4</v>
      </c>
      <c r="BN60" s="501" t="s">
        <v>31425</v>
      </c>
      <c r="BO60" s="501">
        <v>1</v>
      </c>
      <c r="BP60" s="501">
        <v>2</v>
      </c>
      <c r="BQ60" s="501" t="s">
        <v>31434</v>
      </c>
      <c r="BR60" s="518" t="s">
        <v>33361</v>
      </c>
      <c r="BS60" s="501" t="s">
        <v>4</v>
      </c>
      <c r="BT60" s="501">
        <v>3</v>
      </c>
      <c r="BU60" s="502" cm="1">
        <f t="array" ref="BU60">_xlfn.IFS(BQ60="Foreword vehicle",BT60*0,BQ60="Human wastes",BT60*0,BS60="Jerrycans",BT60*$BT$4,BQ60="Number of Basins",BT60*$BS$5,BQ60="Number of Buckets",BT60*$BT$6,BQ60="Number of Kgs",BT60*$BT$7,BQ60="Number of spades",BT60*$BT$8,BQ60="Number of wheelbarrows",BT60*$BT$9,BS60="Septic Tank",BT60*0)</f>
        <v>63</v>
      </c>
      <c r="BV60" s="502">
        <f>Table15[[#This Row],[Calculation: Conversion of metric to Kg manure feeding (Columns: BP, BQ, BR)]]*Table15[[#This Row],[Number of times used to feed biodigester]]</f>
        <v>63</v>
      </c>
      <c r="BW60" s="503" cm="1">
        <f t="array" ref="BW60">_xlfn.IFS(BN60="Number of times per day (1 to 3)",BV60/$BW$3,BN60="Number of times per week (1 to 6)",BV60/$BW$4,BN60="Number of times per Month (1 to 3)",BV60/$BW$5)</f>
        <v>63</v>
      </c>
      <c r="BX60" s="501" t="s">
        <v>31541</v>
      </c>
      <c r="BY60" s="501" t="s">
        <v>4</v>
      </c>
      <c r="BZ60" s="501" t="s">
        <v>2</v>
      </c>
      <c r="CA60" s="501" t="s">
        <v>4</v>
      </c>
      <c r="CB60" s="501" t="s">
        <v>4</v>
      </c>
      <c r="CC60" s="501" t="s">
        <v>4</v>
      </c>
      <c r="CD60" s="501" t="s">
        <v>7</v>
      </c>
      <c r="CE60" s="501" t="s">
        <v>33960</v>
      </c>
      <c r="CF60" s="501" t="s">
        <v>4</v>
      </c>
      <c r="CG60" s="501" t="s">
        <v>33334</v>
      </c>
      <c r="CH60" s="501">
        <v>0</v>
      </c>
      <c r="CI60" s="501">
        <v>6</v>
      </c>
      <c r="CJ60" s="501">
        <v>0</v>
      </c>
      <c r="CK60" s="501">
        <v>0</v>
      </c>
      <c r="CL60" s="501">
        <v>4</v>
      </c>
      <c r="CM60" s="501">
        <v>12</v>
      </c>
      <c r="CN60" s="501">
        <v>0</v>
      </c>
      <c r="CO60" s="501">
        <v>0</v>
      </c>
      <c r="CP60" s="501">
        <v>0</v>
      </c>
      <c r="CQ60" s="501">
        <v>0</v>
      </c>
      <c r="CR60" s="501">
        <f>IF(Table15[[#This Row],[Is your biodigester working?]]="yes",CO60/'SDG outcome'!$C$9*CP60*CQ60,"")</f>
        <v>0</v>
      </c>
      <c r="CS60" s="501" t="s">
        <v>4</v>
      </c>
      <c r="CT60" s="519" t="s">
        <v>4</v>
      </c>
      <c r="CU60" s="517" t="s">
        <v>4</v>
      </c>
      <c r="CV60" s="501">
        <v>100</v>
      </c>
      <c r="CW60" s="519">
        <v>0</v>
      </c>
      <c r="CX60" s="517" t="s">
        <v>4</v>
      </c>
      <c r="CY60" s="501" t="s">
        <v>4</v>
      </c>
      <c r="CZ60" s="519" t="s">
        <v>4</v>
      </c>
      <c r="DA60" s="517" t="s">
        <v>4</v>
      </c>
      <c r="DB60" s="501" t="s">
        <v>4</v>
      </c>
      <c r="DC60" s="501" t="s">
        <v>4</v>
      </c>
      <c r="DD60" s="501" t="s">
        <v>4</v>
      </c>
      <c r="DE60" s="501">
        <v>0</v>
      </c>
      <c r="DF60" s="501">
        <v>100</v>
      </c>
      <c r="DG60" s="501" t="s">
        <v>33961</v>
      </c>
      <c r="DH60" s="501" t="s">
        <v>4</v>
      </c>
      <c r="DI60" s="501" t="s">
        <v>4</v>
      </c>
      <c r="DJ60" s="501" t="s">
        <v>4</v>
      </c>
      <c r="DK60" s="501">
        <v>0</v>
      </c>
      <c r="DL60" s="501">
        <v>100</v>
      </c>
      <c r="DM60" s="501" t="s">
        <v>33962</v>
      </c>
      <c r="DN60" s="501">
        <v>1</v>
      </c>
      <c r="DO60" s="501" t="s">
        <v>7</v>
      </c>
      <c r="DP60" s="501" t="s">
        <v>29292</v>
      </c>
      <c r="DQ60" s="501" t="s">
        <v>4</v>
      </c>
      <c r="DR60" s="501" t="s">
        <v>29293</v>
      </c>
      <c r="DS60" s="502">
        <v>20000</v>
      </c>
      <c r="DT60" s="501" t="s">
        <v>29293</v>
      </c>
      <c r="DU60" s="502">
        <v>0</v>
      </c>
      <c r="DV60" s="519" t="s">
        <v>29442</v>
      </c>
      <c r="DW60" s="517">
        <v>50</v>
      </c>
      <c r="DX60" s="501" t="s">
        <v>30460</v>
      </c>
      <c r="DY60" s="501">
        <v>80</v>
      </c>
      <c r="DZ60" s="501">
        <v>20</v>
      </c>
      <c r="EA60" s="501" t="s">
        <v>4</v>
      </c>
      <c r="EB60" s="501" t="s">
        <v>4</v>
      </c>
      <c r="EC60" s="501" t="s">
        <v>4</v>
      </c>
      <c r="ED60" s="501">
        <v>50</v>
      </c>
      <c r="EE60" s="501" t="s">
        <v>30667</v>
      </c>
      <c r="EF60" s="501" t="s">
        <v>4</v>
      </c>
      <c r="EG60" s="501" t="s">
        <v>4</v>
      </c>
      <c r="EH60" s="501">
        <v>100</v>
      </c>
      <c r="EI60" s="501" t="s">
        <v>4</v>
      </c>
      <c r="EJ60" s="501" t="s">
        <v>4</v>
      </c>
      <c r="EK60" s="501" t="s">
        <v>4</v>
      </c>
      <c r="EL60" s="501" t="s">
        <v>4</v>
      </c>
      <c r="EM60" s="501">
        <v>21</v>
      </c>
      <c r="EN60" s="501" t="s">
        <v>4</v>
      </c>
      <c r="EO60" s="501" t="s">
        <v>4</v>
      </c>
      <c r="EP60" s="501" t="s">
        <v>4</v>
      </c>
      <c r="EQ60" s="501" t="s">
        <v>30460</v>
      </c>
      <c r="ER60" s="501">
        <v>50</v>
      </c>
      <c r="ES60" s="501">
        <v>50</v>
      </c>
      <c r="ET60" s="501" t="s">
        <v>4</v>
      </c>
      <c r="EU60" s="501" t="s">
        <v>4</v>
      </c>
      <c r="EV60" s="501" t="s">
        <v>4</v>
      </c>
      <c r="EW60" s="501">
        <v>3.5</v>
      </c>
      <c r="EX60" s="501" t="s">
        <v>7</v>
      </c>
      <c r="EY60" s="501">
        <v>30</v>
      </c>
      <c r="EZ60" s="239">
        <f t="shared" si="2"/>
        <v>1.05</v>
      </c>
      <c r="FA60" s="501" t="s">
        <v>33963</v>
      </c>
      <c r="FB60" s="501" t="s">
        <v>29298</v>
      </c>
      <c r="FC60" s="501">
        <v>30</v>
      </c>
      <c r="FD60" s="501" t="s">
        <v>7</v>
      </c>
      <c r="FE60" s="501" t="s">
        <v>29393</v>
      </c>
      <c r="FF60" s="501" t="s">
        <v>4</v>
      </c>
      <c r="FG60" s="501" t="s">
        <v>2</v>
      </c>
      <c r="FH60" s="501" t="s">
        <v>4</v>
      </c>
      <c r="FI60" s="501" t="s">
        <v>4</v>
      </c>
      <c r="FJ60" s="501" t="s">
        <v>4</v>
      </c>
      <c r="FK60" s="501" t="s">
        <v>4</v>
      </c>
      <c r="FL60" s="501" t="s">
        <v>4</v>
      </c>
      <c r="FM60" s="501" t="s">
        <v>4</v>
      </c>
      <c r="FN60" s="502" t="s">
        <v>4</v>
      </c>
      <c r="FO60" s="501" t="s">
        <v>4</v>
      </c>
      <c r="FP60" s="501" t="s">
        <v>2</v>
      </c>
      <c r="FQ60" s="501" t="s">
        <v>4</v>
      </c>
      <c r="FR60" s="501" t="s">
        <v>4</v>
      </c>
      <c r="FS60" s="501" t="s">
        <v>7</v>
      </c>
      <c r="FT60" s="501" t="s">
        <v>7</v>
      </c>
      <c r="FU60" s="501" t="s">
        <v>29302</v>
      </c>
      <c r="FV60" s="497" t="s">
        <v>33553</v>
      </c>
      <c r="FW60" s="501" t="s">
        <v>4</v>
      </c>
      <c r="FX60" s="501">
        <v>0</v>
      </c>
      <c r="FY60" s="501" t="s">
        <v>4</v>
      </c>
      <c r="FZ60" s="501" t="s">
        <v>4</v>
      </c>
      <c r="GA60" s="501" t="s">
        <v>4</v>
      </c>
      <c r="GB60" s="501" t="s">
        <v>4</v>
      </c>
      <c r="GC60" s="501" t="s">
        <v>4</v>
      </c>
      <c r="GD60" s="501" t="s">
        <v>4</v>
      </c>
      <c r="GE60" s="501" t="s">
        <v>4</v>
      </c>
      <c r="GF60" s="501" t="s">
        <v>4</v>
      </c>
      <c r="GG60" s="501" t="s">
        <v>4</v>
      </c>
      <c r="GH60" s="501" t="s">
        <v>4</v>
      </c>
      <c r="GI60" s="501" t="s">
        <v>29304</v>
      </c>
      <c r="GJ60" s="501" t="s">
        <v>29305</v>
      </c>
      <c r="GK60" s="501" t="s">
        <v>29306</v>
      </c>
      <c r="GL60" s="501" t="s">
        <v>4</v>
      </c>
      <c r="GM60" s="501" t="s">
        <v>4</v>
      </c>
      <c r="GN60" s="501" t="s">
        <v>4</v>
      </c>
      <c r="GO60" s="501" t="s">
        <v>4</v>
      </c>
      <c r="GP60" s="501" t="s">
        <v>4</v>
      </c>
      <c r="GQ60" s="501" t="s">
        <v>4</v>
      </c>
      <c r="GR60" s="501" t="s">
        <v>4</v>
      </c>
      <c r="GS60" s="501" t="s">
        <v>4</v>
      </c>
      <c r="GT60" s="501" t="s">
        <v>29410</v>
      </c>
      <c r="GU60" s="501" t="s">
        <v>4</v>
      </c>
      <c r="GV60" s="502">
        <v>400</v>
      </c>
      <c r="GW60" s="501" t="s">
        <v>29325</v>
      </c>
      <c r="GX60" s="501" t="s">
        <v>29309</v>
      </c>
      <c r="GY60" s="501" t="s">
        <v>4</v>
      </c>
      <c r="GZ60" s="501" t="s">
        <v>4</v>
      </c>
      <c r="HA60" s="501" t="s">
        <v>4</v>
      </c>
      <c r="HB60" s="501" t="s">
        <v>4</v>
      </c>
      <c r="HC60" s="501" t="s">
        <v>4</v>
      </c>
      <c r="HD60" s="501" t="s">
        <v>4</v>
      </c>
      <c r="HE60" s="501" t="s">
        <v>4</v>
      </c>
      <c r="HF60" s="501" t="s">
        <v>4</v>
      </c>
      <c r="HG60" s="501" t="s">
        <v>2</v>
      </c>
      <c r="HH60" s="501" t="s">
        <v>4</v>
      </c>
      <c r="HI60" s="501" t="s">
        <v>4</v>
      </c>
      <c r="HJ60" s="501" t="s">
        <v>4</v>
      </c>
      <c r="HK60" s="494" t="s">
        <v>4</v>
      </c>
      <c r="HL60" s="501" t="s">
        <v>33964</v>
      </c>
      <c r="HM60" s="501" t="s">
        <v>7</v>
      </c>
      <c r="HN60" s="501" t="s">
        <v>33965</v>
      </c>
      <c r="HO60" s="501" t="s">
        <v>33966</v>
      </c>
      <c r="HP60" s="501" t="s">
        <v>33967</v>
      </c>
      <c r="HQ60" s="501" t="s">
        <v>33968</v>
      </c>
      <c r="HR60" s="501" t="s">
        <v>33969</v>
      </c>
      <c r="HS60" s="501" t="s">
        <v>33970</v>
      </c>
      <c r="HT60" s="519" t="s">
        <v>33956</v>
      </c>
    </row>
    <row r="61" spans="1:228" s="570" customFormat="1" ht="30.2" customHeight="1" x14ac:dyDescent="0.25">
      <c r="A61" s="759"/>
      <c r="B61" s="496">
        <v>133</v>
      </c>
      <c r="C61" s="496" t="s">
        <v>9467</v>
      </c>
      <c r="D61" s="497" t="s">
        <v>34851</v>
      </c>
      <c r="E61" s="497" t="s">
        <v>30392</v>
      </c>
      <c r="F61" s="497" t="s">
        <v>7</v>
      </c>
      <c r="G61" s="497" t="s">
        <v>34852</v>
      </c>
      <c r="H61" s="497">
        <v>1119.0999999999999</v>
      </c>
      <c r="I61" s="497">
        <v>4.8</v>
      </c>
      <c r="J61" s="497" t="s">
        <v>29319</v>
      </c>
      <c r="K61" s="497" t="s">
        <v>4</v>
      </c>
      <c r="L61" s="497" t="s">
        <v>34853</v>
      </c>
      <c r="M61" s="497">
        <v>783408880</v>
      </c>
      <c r="N61" s="497" t="s">
        <v>5</v>
      </c>
      <c r="O61" s="497" t="s">
        <v>31598</v>
      </c>
      <c r="P61" s="497" t="s">
        <v>4</v>
      </c>
      <c r="Q61" s="497">
        <v>7</v>
      </c>
      <c r="R61" s="497" t="s">
        <v>7</v>
      </c>
      <c r="S61" s="497" t="s">
        <v>31562</v>
      </c>
      <c r="T61" s="497" t="s">
        <v>4</v>
      </c>
      <c r="U61" s="497" t="s">
        <v>7</v>
      </c>
      <c r="V61" s="497" t="s">
        <v>7</v>
      </c>
      <c r="W61" s="497" t="s">
        <v>4</v>
      </c>
      <c r="X61" s="497" t="s">
        <v>7</v>
      </c>
      <c r="Y61" s="497" t="s">
        <v>4</v>
      </c>
      <c r="Z61" s="497" t="s">
        <v>4</v>
      </c>
      <c r="AA61" s="241" t="str">
        <f>IF(OR(U61="yes",Z61&gt;'SDG outcome'!$C$39),"yes","no")</f>
        <v>yes</v>
      </c>
      <c r="AB61" s="521" t="str">
        <f t="shared" si="0"/>
        <v>NA</v>
      </c>
      <c r="AC61" s="527" t="str">
        <f>IF(AND('SMS p2'!AA145="no",AND(Z61&gt;='SDG outcome'!$B$28,Z61&lt;'SDG outcome'!$C$39)),Z61-'SDG outcome'!$B$28,"")</f>
        <v/>
      </c>
      <c r="AD61" s="497" t="s">
        <v>4</v>
      </c>
      <c r="AE61" s="497" t="s">
        <v>4</v>
      </c>
      <c r="AF61" s="497" t="s">
        <v>4</v>
      </c>
      <c r="AG61" s="497" t="s">
        <v>4</v>
      </c>
      <c r="AH61" s="497" t="s">
        <v>4</v>
      </c>
      <c r="AI61" s="497" t="s">
        <v>4</v>
      </c>
      <c r="AJ61" s="497" t="s">
        <v>4</v>
      </c>
      <c r="AK61" s="497" t="s">
        <v>29290</v>
      </c>
      <c r="AL61" s="497" t="s">
        <v>29694</v>
      </c>
      <c r="AM61" s="497" t="s">
        <v>4</v>
      </c>
      <c r="AN61" s="497" t="s">
        <v>4</v>
      </c>
      <c r="AO61" s="497" t="s">
        <v>31536</v>
      </c>
      <c r="AP61" s="497" t="s">
        <v>4</v>
      </c>
      <c r="AQ61" s="497" t="s">
        <v>31537</v>
      </c>
      <c r="AR61" s="497" t="s">
        <v>4</v>
      </c>
      <c r="AS61" s="497" t="s">
        <v>31538</v>
      </c>
      <c r="AT61" s="497" t="s">
        <v>4</v>
      </c>
      <c r="AU61" s="497" t="s">
        <v>7</v>
      </c>
      <c r="AV61" s="497" t="s">
        <v>4</v>
      </c>
      <c r="AW61" s="497" t="s">
        <v>4</v>
      </c>
      <c r="AX61" s="497" t="s">
        <v>2</v>
      </c>
      <c r="AY61" s="497" t="s">
        <v>4</v>
      </c>
      <c r="AZ61" s="497" t="s">
        <v>4</v>
      </c>
      <c r="BA61" s="497" t="s">
        <v>31563</v>
      </c>
      <c r="BB61" s="497" t="s">
        <v>14</v>
      </c>
      <c r="BC61" s="497" t="s">
        <v>4</v>
      </c>
      <c r="BD61" s="497" t="s">
        <v>31564</v>
      </c>
      <c r="BE61" s="497" t="s">
        <v>4</v>
      </c>
      <c r="BF61" s="497" t="s">
        <v>31542</v>
      </c>
      <c r="BG61" s="497" t="s">
        <v>34854</v>
      </c>
      <c r="BH61" s="497" t="s">
        <v>31544</v>
      </c>
      <c r="BI61" s="497">
        <v>3</v>
      </c>
      <c r="BJ61" s="497">
        <v>150</v>
      </c>
      <c r="BK61" s="497" t="s">
        <v>7</v>
      </c>
      <c r="BL61" s="497" t="s">
        <v>6</v>
      </c>
      <c r="BM61" s="497" t="s">
        <v>4</v>
      </c>
      <c r="BN61" s="497" t="s">
        <v>31425</v>
      </c>
      <c r="BO61" s="497">
        <v>1</v>
      </c>
      <c r="BP61" s="497">
        <v>10</v>
      </c>
      <c r="BQ61" s="497" t="s">
        <v>31434</v>
      </c>
      <c r="BR61" s="499" t="s">
        <v>33361</v>
      </c>
      <c r="BS61" s="497" t="s">
        <v>4</v>
      </c>
      <c r="BT61" s="497">
        <v>1</v>
      </c>
      <c r="BU61" s="494" cm="1">
        <f t="array" ref="BU61">_xlfn.IFS(BQ61="Foreword vehicle",BT61*0,BQ61="Human wastes",BT61*0,BS61="Jerrycans",BT61*$BT$4,BQ61="Number of Basins",BT61*$BS$5,BQ61="Number of Buckets",BT61*$BT$6,BQ61="Number of Kgs",BT61*$BT$7,BQ61="Number of spades",BT61*$BT$8,BQ61="Number of wheelbarrows",BT61*$BT$9,BS61="Septic Tank",BT61*0)</f>
        <v>21</v>
      </c>
      <c r="BV61" s="494">
        <f>Table15[[#This Row],[Calculation: Conversion of metric to Kg manure feeding (Columns: BP, BQ, BR)]]*Table15[[#This Row],[Number of times used to feed biodigester]]</f>
        <v>21</v>
      </c>
      <c r="BW61" s="495" cm="1">
        <f t="array" ref="BW61">_xlfn.IFS(BN61="Number of times per day (1 to 3)",BV61/$BW$3,BN61="Number of times per week (1 to 6)",BV61/$BW$4,BN61="Number of times per Month (1 to 3)",BV61/$BW$5)</f>
        <v>21</v>
      </c>
      <c r="BX61" s="497" t="s">
        <v>31552</v>
      </c>
      <c r="BY61" s="497" t="s">
        <v>4</v>
      </c>
      <c r="BZ61" s="497" t="s">
        <v>2</v>
      </c>
      <c r="CA61" s="497" t="s">
        <v>4</v>
      </c>
      <c r="CB61" s="497" t="s">
        <v>4</v>
      </c>
      <c r="CC61" s="497" t="s">
        <v>4</v>
      </c>
      <c r="CD61" s="497" t="s">
        <v>7</v>
      </c>
      <c r="CE61" s="497" t="s">
        <v>34855</v>
      </c>
      <c r="CF61" s="497" t="s">
        <v>4</v>
      </c>
      <c r="CG61" s="497" t="s">
        <v>31604</v>
      </c>
      <c r="CH61" s="497">
        <v>4</v>
      </c>
      <c r="CI61" s="497">
        <v>0</v>
      </c>
      <c r="CJ61" s="497">
        <v>0</v>
      </c>
      <c r="CK61" s="497">
        <v>0</v>
      </c>
      <c r="CL61" s="497">
        <v>0</v>
      </c>
      <c r="CM61" s="497">
        <v>0</v>
      </c>
      <c r="CN61" s="497">
        <v>0</v>
      </c>
      <c r="CO61" s="497">
        <v>0</v>
      </c>
      <c r="CP61" s="497">
        <v>0</v>
      </c>
      <c r="CQ61" s="497">
        <v>0</v>
      </c>
      <c r="CR61" s="497">
        <f>IF(Table15[[#This Row],[Is your biodigester working?]]="yes",CO61/'SDG outcome'!$C$9*CP61*CQ61,"")</f>
        <v>0</v>
      </c>
      <c r="CS61" s="497">
        <v>100</v>
      </c>
      <c r="CT61" s="500">
        <v>0</v>
      </c>
      <c r="CU61" s="496" t="s">
        <v>4</v>
      </c>
      <c r="CV61" s="497" t="s">
        <v>4</v>
      </c>
      <c r="CW61" s="500" t="s">
        <v>4</v>
      </c>
      <c r="CX61" s="496" t="s">
        <v>4</v>
      </c>
      <c r="CY61" s="497" t="s">
        <v>4</v>
      </c>
      <c r="CZ61" s="500" t="s">
        <v>4</v>
      </c>
      <c r="DA61" s="496" t="s">
        <v>4</v>
      </c>
      <c r="DB61" s="497" t="s">
        <v>4</v>
      </c>
      <c r="DC61" s="497" t="s">
        <v>4</v>
      </c>
      <c r="DD61" s="497" t="s">
        <v>4</v>
      </c>
      <c r="DE61" s="497" t="s">
        <v>4</v>
      </c>
      <c r="DF61" s="497" t="s">
        <v>4</v>
      </c>
      <c r="DG61" s="497" t="s">
        <v>4</v>
      </c>
      <c r="DH61" s="497" t="s">
        <v>4</v>
      </c>
      <c r="DI61" s="497" t="s">
        <v>4</v>
      </c>
      <c r="DJ61" s="497" t="s">
        <v>4</v>
      </c>
      <c r="DK61" s="497" t="s">
        <v>4</v>
      </c>
      <c r="DL61" s="497" t="s">
        <v>4</v>
      </c>
      <c r="DM61" s="497" t="s">
        <v>4</v>
      </c>
      <c r="DN61" s="497">
        <v>4</v>
      </c>
      <c r="DO61" s="497" t="s">
        <v>2</v>
      </c>
      <c r="DP61" s="497" t="s">
        <v>29292</v>
      </c>
      <c r="DQ61" s="497" t="s">
        <v>4</v>
      </c>
      <c r="DR61" s="497" t="s">
        <v>29294</v>
      </c>
      <c r="DS61" s="494" t="s">
        <v>4</v>
      </c>
      <c r="DT61" s="497" t="s">
        <v>29293</v>
      </c>
      <c r="DU61" s="494">
        <v>0</v>
      </c>
      <c r="DV61" s="500" t="s">
        <v>29295</v>
      </c>
      <c r="DW61" s="496">
        <v>100</v>
      </c>
      <c r="DX61" s="497" t="s">
        <v>29296</v>
      </c>
      <c r="DY61" s="497">
        <v>100</v>
      </c>
      <c r="DZ61" s="497" t="s">
        <v>4</v>
      </c>
      <c r="EA61" s="497" t="s">
        <v>4</v>
      </c>
      <c r="EB61" s="497" t="s">
        <v>4</v>
      </c>
      <c r="EC61" s="497" t="s">
        <v>4</v>
      </c>
      <c r="ED61" s="497" t="s">
        <v>4</v>
      </c>
      <c r="EE61" s="497" t="s">
        <v>4</v>
      </c>
      <c r="EF61" s="497" t="s">
        <v>4</v>
      </c>
      <c r="EG61" s="497" t="s">
        <v>4</v>
      </c>
      <c r="EH61" s="497" t="s">
        <v>4</v>
      </c>
      <c r="EI61" s="497" t="s">
        <v>4</v>
      </c>
      <c r="EJ61" s="497" t="s">
        <v>4</v>
      </c>
      <c r="EK61" s="497" t="s">
        <v>4</v>
      </c>
      <c r="EL61" s="497" t="s">
        <v>4</v>
      </c>
      <c r="EM61" s="497" t="s">
        <v>4</v>
      </c>
      <c r="EN61" s="497" t="s">
        <v>4</v>
      </c>
      <c r="EO61" s="497" t="s">
        <v>4</v>
      </c>
      <c r="EP61" s="497" t="s">
        <v>4</v>
      </c>
      <c r="EQ61" s="497" t="s">
        <v>4</v>
      </c>
      <c r="ER61" s="497" t="s">
        <v>4</v>
      </c>
      <c r="ES61" s="497" t="s">
        <v>4</v>
      </c>
      <c r="ET61" s="497" t="s">
        <v>4</v>
      </c>
      <c r="EU61" s="497" t="s">
        <v>4</v>
      </c>
      <c r="EV61" s="497" t="s">
        <v>4</v>
      </c>
      <c r="EW61" s="497">
        <v>2.0234722784297854</v>
      </c>
      <c r="EX61" s="497" t="s">
        <v>7</v>
      </c>
      <c r="EY61" s="497">
        <v>50</v>
      </c>
      <c r="EZ61" s="239">
        <f t="shared" si="2"/>
        <v>1.0117361392148927</v>
      </c>
      <c r="FA61" s="497" t="s">
        <v>29407</v>
      </c>
      <c r="FB61" s="497" t="s">
        <v>29298</v>
      </c>
      <c r="FC61" s="497" t="s">
        <v>29464</v>
      </c>
      <c r="FD61" s="497" t="s">
        <v>7</v>
      </c>
      <c r="FE61" s="497" t="s">
        <v>29393</v>
      </c>
      <c r="FF61" s="497" t="s">
        <v>4</v>
      </c>
      <c r="FG61" s="497" t="s">
        <v>2</v>
      </c>
      <c r="FH61" s="497" t="s">
        <v>4</v>
      </c>
      <c r="FI61" s="497" t="s">
        <v>4</v>
      </c>
      <c r="FJ61" s="497" t="s">
        <v>4</v>
      </c>
      <c r="FK61" s="497" t="s">
        <v>4</v>
      </c>
      <c r="FL61" s="497" t="s">
        <v>4</v>
      </c>
      <c r="FM61" s="497" t="s">
        <v>4</v>
      </c>
      <c r="FN61" s="494" t="s">
        <v>4</v>
      </c>
      <c r="FO61" s="497" t="s">
        <v>4</v>
      </c>
      <c r="FP61" s="497" t="s">
        <v>2</v>
      </c>
      <c r="FQ61" s="497" t="s">
        <v>4</v>
      </c>
      <c r="FR61" s="497" t="s">
        <v>4</v>
      </c>
      <c r="FS61" s="497" t="s">
        <v>7</v>
      </c>
      <c r="FT61" s="497" t="s">
        <v>7</v>
      </c>
      <c r="FU61" s="497" t="s">
        <v>29302</v>
      </c>
      <c r="FV61" s="497" t="s">
        <v>33473</v>
      </c>
      <c r="FW61" s="497" t="s">
        <v>4</v>
      </c>
      <c r="FX61" s="497">
        <v>0</v>
      </c>
      <c r="FY61" s="497" t="s">
        <v>4</v>
      </c>
      <c r="FZ61" s="497" t="s">
        <v>4</v>
      </c>
      <c r="GA61" s="497" t="s">
        <v>4</v>
      </c>
      <c r="GB61" s="497" t="s">
        <v>4</v>
      </c>
      <c r="GC61" s="497" t="s">
        <v>4</v>
      </c>
      <c r="GD61" s="497" t="s">
        <v>4</v>
      </c>
      <c r="GE61" s="497" t="s">
        <v>4</v>
      </c>
      <c r="GF61" s="497" t="s">
        <v>4</v>
      </c>
      <c r="GG61" s="497" t="s">
        <v>4</v>
      </c>
      <c r="GH61" s="497" t="s">
        <v>4</v>
      </c>
      <c r="GI61" s="497" t="s">
        <v>29433</v>
      </c>
      <c r="GJ61" s="497" t="s">
        <v>4</v>
      </c>
      <c r="GK61" s="497" t="s">
        <v>4</v>
      </c>
      <c r="GL61" s="497" t="s">
        <v>4</v>
      </c>
      <c r="GM61" s="497" t="s">
        <v>4</v>
      </c>
      <c r="GN61" s="497" t="s">
        <v>4</v>
      </c>
      <c r="GO61" s="497" t="s">
        <v>4</v>
      </c>
      <c r="GP61" s="497" t="s">
        <v>4</v>
      </c>
      <c r="GQ61" s="497" t="s">
        <v>4</v>
      </c>
      <c r="GR61" s="497" t="s">
        <v>13</v>
      </c>
      <c r="GS61" s="520" t="s">
        <v>34856</v>
      </c>
      <c r="GT61" s="497" t="s">
        <v>30053</v>
      </c>
      <c r="GU61" s="497" t="s">
        <v>4</v>
      </c>
      <c r="GV61" s="494">
        <v>3</v>
      </c>
      <c r="GW61" s="497" t="s">
        <v>7</v>
      </c>
      <c r="GX61" s="497" t="s">
        <v>29309</v>
      </c>
      <c r="GY61" s="497" t="s">
        <v>4</v>
      </c>
      <c r="GZ61" s="497" t="s">
        <v>4</v>
      </c>
      <c r="HA61" s="497" t="s">
        <v>4</v>
      </c>
      <c r="HB61" s="497" t="s">
        <v>4</v>
      </c>
      <c r="HC61" s="497" t="s">
        <v>4</v>
      </c>
      <c r="HD61" s="497" t="s">
        <v>4</v>
      </c>
      <c r="HE61" s="497" t="s">
        <v>4</v>
      </c>
      <c r="HF61" s="497" t="s">
        <v>4</v>
      </c>
      <c r="HG61" s="497" t="s">
        <v>2</v>
      </c>
      <c r="HH61" s="497" t="s">
        <v>4</v>
      </c>
      <c r="HI61" s="497" t="s">
        <v>4</v>
      </c>
      <c r="HJ61" s="497" t="s">
        <v>4</v>
      </c>
      <c r="HK61" s="494" t="s">
        <v>4</v>
      </c>
      <c r="HL61" s="497" t="s">
        <v>34857</v>
      </c>
      <c r="HM61" s="497" t="s">
        <v>7</v>
      </c>
      <c r="HN61" s="497" t="s">
        <v>34858</v>
      </c>
      <c r="HO61" s="497" t="s">
        <v>34824</v>
      </c>
      <c r="HP61" s="497" t="s">
        <v>34859</v>
      </c>
      <c r="HQ61" s="497" t="s">
        <v>34860</v>
      </c>
      <c r="HR61" s="497" t="s">
        <v>34861</v>
      </c>
      <c r="HS61" s="497" t="s">
        <v>34862</v>
      </c>
      <c r="HT61" s="500" t="s">
        <v>34851</v>
      </c>
    </row>
    <row r="62" spans="1:228" s="570" customFormat="1" ht="30.2" customHeight="1" x14ac:dyDescent="0.25">
      <c r="A62" s="759"/>
      <c r="B62" s="496">
        <v>51</v>
      </c>
      <c r="C62" s="496" t="s">
        <v>19286</v>
      </c>
      <c r="D62" s="497" t="s">
        <v>33924</v>
      </c>
      <c r="E62" s="497" t="s">
        <v>33859</v>
      </c>
      <c r="F62" s="497" t="s">
        <v>7</v>
      </c>
      <c r="G62" s="497" t="s">
        <v>33925</v>
      </c>
      <c r="H62" s="497">
        <v>1260.1591800000001</v>
      </c>
      <c r="I62" s="497">
        <v>4.1396540000000002</v>
      </c>
      <c r="J62" s="497" t="s">
        <v>29319</v>
      </c>
      <c r="K62" s="497" t="s">
        <v>4</v>
      </c>
      <c r="L62" s="497" t="s">
        <v>33926</v>
      </c>
      <c r="M62" s="497">
        <v>773126734</v>
      </c>
      <c r="N62" s="497" t="s">
        <v>5</v>
      </c>
      <c r="O62" s="497" t="s">
        <v>31438</v>
      </c>
      <c r="P62" s="497">
        <v>47</v>
      </c>
      <c r="Q62" s="497">
        <v>11</v>
      </c>
      <c r="R62" s="497" t="s">
        <v>7</v>
      </c>
      <c r="S62" s="497" t="s">
        <v>31562</v>
      </c>
      <c r="T62" s="497" t="s">
        <v>4</v>
      </c>
      <c r="U62" s="497" t="s">
        <v>7</v>
      </c>
      <c r="V62" s="497" t="s">
        <v>7</v>
      </c>
      <c r="W62" s="497" t="s">
        <v>4</v>
      </c>
      <c r="X62" s="497" t="s">
        <v>7</v>
      </c>
      <c r="Y62" s="497" t="s">
        <v>4</v>
      </c>
      <c r="Z62" s="497" t="s">
        <v>4</v>
      </c>
      <c r="AA62" s="241" t="str">
        <f>IF(OR(U62="yes",Z62&gt;'SDG outcome'!$C$39),"yes","no")</f>
        <v>yes</v>
      </c>
      <c r="AB62" s="521" t="str">
        <f t="shared" si="0"/>
        <v>NA</v>
      </c>
      <c r="AC62" s="527" t="str">
        <f>IF(AND('SMS p2'!AA63="no",AND(Z62&gt;='SDG outcome'!$B$28,Z62&lt;'SDG outcome'!$C$39)),Z62-'SDG outcome'!$B$28,"")</f>
        <v/>
      </c>
      <c r="AD62" s="497" t="s">
        <v>4</v>
      </c>
      <c r="AE62" s="497" t="s">
        <v>4</v>
      </c>
      <c r="AF62" s="497" t="s">
        <v>4</v>
      </c>
      <c r="AG62" s="497" t="s">
        <v>4</v>
      </c>
      <c r="AH62" s="497" t="s">
        <v>4</v>
      </c>
      <c r="AI62" s="497" t="s">
        <v>4</v>
      </c>
      <c r="AJ62" s="497" t="s">
        <v>4</v>
      </c>
      <c r="AK62" s="497" t="s">
        <v>29290</v>
      </c>
      <c r="AL62" s="497" t="s">
        <v>29291</v>
      </c>
      <c r="AM62" s="497" t="s">
        <v>4</v>
      </c>
      <c r="AN62" s="497" t="s">
        <v>4</v>
      </c>
      <c r="AO62" s="497" t="s">
        <v>31536</v>
      </c>
      <c r="AP62" s="497" t="s">
        <v>4</v>
      </c>
      <c r="AQ62" s="497" t="s">
        <v>31537</v>
      </c>
      <c r="AR62" s="497" t="s">
        <v>4</v>
      </c>
      <c r="AS62" s="497" t="s">
        <v>31538</v>
      </c>
      <c r="AT62" s="497" t="s">
        <v>4</v>
      </c>
      <c r="AU62" s="497" t="s">
        <v>7</v>
      </c>
      <c r="AV62" s="497" t="s">
        <v>4</v>
      </c>
      <c r="AW62" s="497" t="s">
        <v>4</v>
      </c>
      <c r="AX62" s="497" t="s">
        <v>7</v>
      </c>
      <c r="AY62" s="497" t="s">
        <v>6</v>
      </c>
      <c r="AZ62" s="497" t="s">
        <v>4</v>
      </c>
      <c r="BA62" s="497" t="s">
        <v>31563</v>
      </c>
      <c r="BB62" s="497" t="s">
        <v>31541</v>
      </c>
      <c r="BC62" s="497" t="s">
        <v>4</v>
      </c>
      <c r="BD62" s="497" t="s">
        <v>14</v>
      </c>
      <c r="BE62" s="497" t="s">
        <v>4</v>
      </c>
      <c r="BF62" s="497" t="s">
        <v>31542</v>
      </c>
      <c r="BG62" s="497" t="s">
        <v>33927</v>
      </c>
      <c r="BH62" s="497" t="s">
        <v>31544</v>
      </c>
      <c r="BI62" s="497">
        <v>3</v>
      </c>
      <c r="BJ62" s="497">
        <v>120</v>
      </c>
      <c r="BK62" s="497" t="s">
        <v>7</v>
      </c>
      <c r="BL62" s="497" t="s">
        <v>11</v>
      </c>
      <c r="BM62" s="497" t="s">
        <v>4</v>
      </c>
      <c r="BN62" s="497" t="s">
        <v>31425</v>
      </c>
      <c r="BO62" s="497">
        <v>1</v>
      </c>
      <c r="BP62" s="497">
        <v>40</v>
      </c>
      <c r="BQ62" s="497" t="s">
        <v>31435</v>
      </c>
      <c r="BR62" s="499" t="s">
        <v>33361</v>
      </c>
      <c r="BS62" s="497" t="s">
        <v>4</v>
      </c>
      <c r="BT62" s="497">
        <v>2</v>
      </c>
      <c r="BU62" s="494" cm="1">
        <f t="array" ref="BU62">_xlfn.IFS(BQ62="Foreword vehicle",BT62*0,BQ62="Human wastes",BT62*0,BS62="Jerrycans",BT62*$BT$4,BQ62="Number of Basins",BT62*$BT$5,BQ62="Number of Buckets",BT62*$BT$6,BQ62="Number of Kgs",BT62*$BT$7,BQ62="Number of spades",BT62*$BT$8,BQ62="Number of wheelbarrows",BT62*$BS$9,BS62="Septic Tank",BT62*0)</f>
        <v>165</v>
      </c>
      <c r="BV62" s="494">
        <f>Table15[[#This Row],[Calculation: Conversion of metric to Kg manure feeding (Columns: BP, BQ, BR)]]*Table15[[#This Row],[Number of times used to feed biodigester]]</f>
        <v>165</v>
      </c>
      <c r="BW62" s="495" cm="1">
        <f t="array" ref="BW62">_xlfn.IFS(BN62="Number of times per day (1 to 3)",BV62/$BW$3,BN62="Number of times per week (1 to 6)",BV62/$BW$4,BN62="Number of times per Month (1 to 3)",BV62/$BW$5)</f>
        <v>165</v>
      </c>
      <c r="BX62" s="497" t="s">
        <v>31552</v>
      </c>
      <c r="BY62" s="497" t="s">
        <v>4</v>
      </c>
      <c r="BZ62" s="497" t="s">
        <v>2</v>
      </c>
      <c r="CA62" s="497" t="s">
        <v>4</v>
      </c>
      <c r="CB62" s="497" t="s">
        <v>4</v>
      </c>
      <c r="CC62" s="497" t="s">
        <v>4</v>
      </c>
      <c r="CD62" s="497" t="s">
        <v>7</v>
      </c>
      <c r="CE62" s="497" t="s">
        <v>33928</v>
      </c>
      <c r="CF62" s="497" t="s">
        <v>4</v>
      </c>
      <c r="CG62" s="497" t="s">
        <v>31724</v>
      </c>
      <c r="CH62" s="497">
        <v>0</v>
      </c>
      <c r="CI62" s="497">
        <v>2</v>
      </c>
      <c r="CJ62" s="497">
        <v>0</v>
      </c>
      <c r="CK62" s="497">
        <v>0</v>
      </c>
      <c r="CL62" s="497">
        <v>0</v>
      </c>
      <c r="CM62" s="497">
        <v>5</v>
      </c>
      <c r="CN62" s="497">
        <v>0</v>
      </c>
      <c r="CO62" s="497">
        <v>0</v>
      </c>
      <c r="CP62" s="497">
        <v>0</v>
      </c>
      <c r="CQ62" s="497">
        <v>0</v>
      </c>
      <c r="CR62" s="497">
        <f>IF(Table15[[#This Row],[Is your biodigester working?]]="yes",CO62/'SDG outcome'!$C$9*CP62*CQ62,"")</f>
        <v>0</v>
      </c>
      <c r="CS62" s="497" t="s">
        <v>4</v>
      </c>
      <c r="CT62" s="500" t="s">
        <v>4</v>
      </c>
      <c r="CU62" s="496" t="s">
        <v>4</v>
      </c>
      <c r="CV62" s="497">
        <v>100</v>
      </c>
      <c r="CW62" s="500">
        <v>0</v>
      </c>
      <c r="CX62" s="496" t="s">
        <v>4</v>
      </c>
      <c r="CY62" s="497" t="s">
        <v>4</v>
      </c>
      <c r="CZ62" s="500" t="s">
        <v>4</v>
      </c>
      <c r="DA62" s="496" t="s">
        <v>4</v>
      </c>
      <c r="DB62" s="497" t="s">
        <v>4</v>
      </c>
      <c r="DC62" s="497" t="s">
        <v>4</v>
      </c>
      <c r="DD62" s="497" t="s">
        <v>4</v>
      </c>
      <c r="DE62" s="497">
        <v>100</v>
      </c>
      <c r="DF62" s="497">
        <v>0</v>
      </c>
      <c r="DG62" s="497" t="s">
        <v>4</v>
      </c>
      <c r="DH62" s="497" t="s">
        <v>4</v>
      </c>
      <c r="DI62" s="497" t="s">
        <v>4</v>
      </c>
      <c r="DJ62" s="497" t="s">
        <v>4</v>
      </c>
      <c r="DK62" s="497" t="s">
        <v>4</v>
      </c>
      <c r="DL62" s="497" t="s">
        <v>4</v>
      </c>
      <c r="DM62" s="497" t="s">
        <v>4</v>
      </c>
      <c r="DN62" s="497">
        <v>3</v>
      </c>
      <c r="DO62" s="497" t="s">
        <v>7</v>
      </c>
      <c r="DP62" s="497" t="s">
        <v>29292</v>
      </c>
      <c r="DQ62" s="497" t="s">
        <v>4</v>
      </c>
      <c r="DR62" s="497" t="s">
        <v>29293</v>
      </c>
      <c r="DS62" s="494">
        <v>15000</v>
      </c>
      <c r="DT62" s="497" t="s">
        <v>29293</v>
      </c>
      <c r="DU62" s="494">
        <v>0</v>
      </c>
      <c r="DV62" s="500" t="s">
        <v>29295</v>
      </c>
      <c r="DW62" s="496">
        <v>100</v>
      </c>
      <c r="DX62" s="497" t="s">
        <v>29296</v>
      </c>
      <c r="DY62" s="497">
        <v>100</v>
      </c>
      <c r="DZ62" s="497" t="s">
        <v>4</v>
      </c>
      <c r="EA62" s="497" t="s">
        <v>4</v>
      </c>
      <c r="EB62" s="497" t="s">
        <v>4</v>
      </c>
      <c r="EC62" s="497" t="s">
        <v>4</v>
      </c>
      <c r="ED62" s="497" t="s">
        <v>4</v>
      </c>
      <c r="EE62" s="497" t="s">
        <v>4</v>
      </c>
      <c r="EF62" s="497" t="s">
        <v>4</v>
      </c>
      <c r="EG62" s="497" t="s">
        <v>4</v>
      </c>
      <c r="EH62" s="497" t="s">
        <v>4</v>
      </c>
      <c r="EI62" s="497" t="s">
        <v>4</v>
      </c>
      <c r="EJ62" s="497" t="s">
        <v>4</v>
      </c>
      <c r="EK62" s="497" t="s">
        <v>4</v>
      </c>
      <c r="EL62" s="497" t="s">
        <v>4</v>
      </c>
      <c r="EM62" s="497" t="s">
        <v>4</v>
      </c>
      <c r="EN62" s="497" t="s">
        <v>4</v>
      </c>
      <c r="EO62" s="497" t="s">
        <v>4</v>
      </c>
      <c r="EP62" s="497" t="s">
        <v>4</v>
      </c>
      <c r="EQ62" s="497" t="s">
        <v>4</v>
      </c>
      <c r="ER62" s="497" t="s">
        <v>4</v>
      </c>
      <c r="ES62" s="497" t="s">
        <v>4</v>
      </c>
      <c r="ET62" s="497" t="s">
        <v>4</v>
      </c>
      <c r="EU62" s="497" t="s">
        <v>4</v>
      </c>
      <c r="EV62" s="497" t="s">
        <v>4</v>
      </c>
      <c r="EW62" s="497">
        <v>2.0234722784297854</v>
      </c>
      <c r="EX62" s="497" t="s">
        <v>7</v>
      </c>
      <c r="EY62" s="497">
        <v>50</v>
      </c>
      <c r="EZ62" s="239">
        <f t="shared" si="2"/>
        <v>1.0117361392148927</v>
      </c>
      <c r="FA62" s="497" t="s">
        <v>33929</v>
      </c>
      <c r="FB62" s="497" t="s">
        <v>29298</v>
      </c>
      <c r="FC62" s="497">
        <v>36</v>
      </c>
      <c r="FD62" s="497" t="s">
        <v>7</v>
      </c>
      <c r="FE62" s="497" t="s">
        <v>29492</v>
      </c>
      <c r="FF62" s="497" t="s">
        <v>4</v>
      </c>
      <c r="FG62" s="497" t="s">
        <v>2</v>
      </c>
      <c r="FH62" s="497" t="s">
        <v>4</v>
      </c>
      <c r="FI62" s="497" t="s">
        <v>4</v>
      </c>
      <c r="FJ62" s="497" t="s">
        <v>4</v>
      </c>
      <c r="FK62" s="497" t="s">
        <v>4</v>
      </c>
      <c r="FL62" s="497" t="s">
        <v>29292</v>
      </c>
      <c r="FM62" s="497" t="s">
        <v>29293</v>
      </c>
      <c r="FN62" s="494">
        <v>20000</v>
      </c>
      <c r="FO62" s="497" t="s">
        <v>4</v>
      </c>
      <c r="FP62" s="497" t="s">
        <v>2</v>
      </c>
      <c r="FQ62" s="497" t="s">
        <v>4</v>
      </c>
      <c r="FR62" s="497" t="s">
        <v>4</v>
      </c>
      <c r="FS62" s="497" t="s">
        <v>7</v>
      </c>
      <c r="FT62" s="497" t="s">
        <v>7</v>
      </c>
      <c r="FU62" s="497" t="s">
        <v>29302</v>
      </c>
      <c r="FV62" s="497" t="s">
        <v>33553</v>
      </c>
      <c r="FW62" s="497" t="s">
        <v>4</v>
      </c>
      <c r="FX62" s="497">
        <v>0</v>
      </c>
      <c r="FY62" s="497" t="s">
        <v>4</v>
      </c>
      <c r="FZ62" s="497" t="s">
        <v>4</v>
      </c>
      <c r="GA62" s="497" t="s">
        <v>4</v>
      </c>
      <c r="GB62" s="497" t="s">
        <v>4</v>
      </c>
      <c r="GC62" s="497" t="s">
        <v>4</v>
      </c>
      <c r="GD62" s="497" t="s">
        <v>4</v>
      </c>
      <c r="GE62" s="497" t="s">
        <v>4</v>
      </c>
      <c r="GF62" s="497" t="s">
        <v>4</v>
      </c>
      <c r="GG62" s="497" t="s">
        <v>4</v>
      </c>
      <c r="GH62" s="497" t="s">
        <v>4</v>
      </c>
      <c r="GI62" s="497" t="s">
        <v>29304</v>
      </c>
      <c r="GJ62" s="497" t="s">
        <v>29305</v>
      </c>
      <c r="GK62" s="497" t="s">
        <v>29306</v>
      </c>
      <c r="GL62" s="497" t="s">
        <v>4</v>
      </c>
      <c r="GM62" s="497" t="s">
        <v>4</v>
      </c>
      <c r="GN62" s="497" t="s">
        <v>4</v>
      </c>
      <c r="GO62" s="497" t="s">
        <v>4</v>
      </c>
      <c r="GP62" s="497" t="s">
        <v>4</v>
      </c>
      <c r="GQ62" s="497" t="s">
        <v>4</v>
      </c>
      <c r="GR62" s="497" t="s">
        <v>4</v>
      </c>
      <c r="GS62" s="497" t="s">
        <v>4</v>
      </c>
      <c r="GT62" s="497" t="s">
        <v>29410</v>
      </c>
      <c r="GU62" s="497" t="s">
        <v>4</v>
      </c>
      <c r="GV62" s="494">
        <v>2</v>
      </c>
      <c r="GW62" s="497" t="s">
        <v>2</v>
      </c>
      <c r="GX62" s="497" t="s">
        <v>29309</v>
      </c>
      <c r="GY62" s="497" t="s">
        <v>4</v>
      </c>
      <c r="GZ62" s="497" t="s">
        <v>4</v>
      </c>
      <c r="HA62" s="497" t="s">
        <v>4</v>
      </c>
      <c r="HB62" s="497" t="s">
        <v>4</v>
      </c>
      <c r="HC62" s="497" t="s">
        <v>4</v>
      </c>
      <c r="HD62" s="497" t="s">
        <v>4</v>
      </c>
      <c r="HE62" s="497" t="s">
        <v>4</v>
      </c>
      <c r="HF62" s="497" t="s">
        <v>4</v>
      </c>
      <c r="HG62" s="497" t="s">
        <v>2</v>
      </c>
      <c r="HH62" s="497" t="s">
        <v>4</v>
      </c>
      <c r="HI62" s="497" t="s">
        <v>4</v>
      </c>
      <c r="HJ62" s="497" t="s">
        <v>4</v>
      </c>
      <c r="HK62" s="494" t="s">
        <v>4</v>
      </c>
      <c r="HL62" s="497" t="s">
        <v>33930</v>
      </c>
      <c r="HM62" s="497" t="s">
        <v>2</v>
      </c>
      <c r="HN62" s="497" t="s">
        <v>4</v>
      </c>
      <c r="HO62" s="497" t="s">
        <v>33931</v>
      </c>
      <c r="HP62" s="497" t="s">
        <v>33932</v>
      </c>
      <c r="HQ62" s="497" t="s">
        <v>33933</v>
      </c>
      <c r="HR62" s="497" t="s">
        <v>33934</v>
      </c>
      <c r="HS62" s="497" t="s">
        <v>33935</v>
      </c>
      <c r="HT62" s="500" t="s">
        <v>33924</v>
      </c>
    </row>
    <row r="63" spans="1:228" s="570" customFormat="1" ht="30.2" customHeight="1" x14ac:dyDescent="0.25">
      <c r="A63" s="759"/>
      <c r="B63" s="496">
        <v>66</v>
      </c>
      <c r="C63" s="496" t="s">
        <v>9039</v>
      </c>
      <c r="D63" s="497" t="s">
        <v>34116</v>
      </c>
      <c r="E63" s="497" t="s">
        <v>29799</v>
      </c>
      <c r="F63" s="497" t="s">
        <v>7</v>
      </c>
      <c r="G63" s="497" t="s">
        <v>34117</v>
      </c>
      <c r="H63" s="497">
        <v>1184.165649</v>
      </c>
      <c r="I63" s="497">
        <v>4.1709290000000001</v>
      </c>
      <c r="J63" s="497" t="s">
        <v>29319</v>
      </c>
      <c r="K63" s="497" t="s">
        <v>4</v>
      </c>
      <c r="L63" s="497" t="s">
        <v>34118</v>
      </c>
      <c r="M63" s="497">
        <v>782339528</v>
      </c>
      <c r="N63" s="497" t="s">
        <v>30992</v>
      </c>
      <c r="O63" s="497" t="s">
        <v>31590</v>
      </c>
      <c r="P63" s="497" t="s">
        <v>4</v>
      </c>
      <c r="Q63" s="497">
        <v>5</v>
      </c>
      <c r="R63" s="497" t="s">
        <v>7</v>
      </c>
      <c r="S63" s="497" t="s">
        <v>31535</v>
      </c>
      <c r="T63" s="497" t="s">
        <v>4</v>
      </c>
      <c r="U63" s="497" t="s">
        <v>7</v>
      </c>
      <c r="V63" s="497" t="s">
        <v>7</v>
      </c>
      <c r="W63" s="497" t="s">
        <v>4</v>
      </c>
      <c r="X63" s="497" t="s">
        <v>7</v>
      </c>
      <c r="Y63" s="497" t="s">
        <v>4</v>
      </c>
      <c r="Z63" s="497" t="s">
        <v>4</v>
      </c>
      <c r="AA63" s="241" t="str">
        <f>IF(OR(U63="yes",Z63&gt;'SDG outcome'!$C$39),"yes","no")</f>
        <v>yes</v>
      </c>
      <c r="AB63" s="521" t="str">
        <f t="shared" si="0"/>
        <v>NA</v>
      </c>
      <c r="AC63" s="527" t="str">
        <f>IF(AND('SMS p2'!AA78="no",AND(Z63&gt;='SDG outcome'!$B$28,Z63&lt;'SDG outcome'!$C$39)),Z63-'SDG outcome'!$B$28,"")</f>
        <v/>
      </c>
      <c r="AD63" s="497" t="s">
        <v>4</v>
      </c>
      <c r="AE63" s="497" t="s">
        <v>4</v>
      </c>
      <c r="AF63" s="497" t="s">
        <v>4</v>
      </c>
      <c r="AG63" s="497" t="s">
        <v>4</v>
      </c>
      <c r="AH63" s="497" t="s">
        <v>4</v>
      </c>
      <c r="AI63" s="497" t="s">
        <v>4</v>
      </c>
      <c r="AJ63" s="497" t="s">
        <v>4</v>
      </c>
      <c r="AK63" s="497" t="s">
        <v>29290</v>
      </c>
      <c r="AL63" s="497" t="s">
        <v>29291</v>
      </c>
      <c r="AM63" s="497" t="s">
        <v>4</v>
      </c>
      <c r="AN63" s="497" t="s">
        <v>4</v>
      </c>
      <c r="AO63" s="497" t="s">
        <v>31536</v>
      </c>
      <c r="AP63" s="497" t="s">
        <v>4</v>
      </c>
      <c r="AQ63" s="497" t="s">
        <v>31537</v>
      </c>
      <c r="AR63" s="497" t="s">
        <v>4</v>
      </c>
      <c r="AS63" s="497" t="s">
        <v>31538</v>
      </c>
      <c r="AT63" s="497" t="s">
        <v>4</v>
      </c>
      <c r="AU63" s="497" t="s">
        <v>7</v>
      </c>
      <c r="AV63" s="497" t="s">
        <v>4</v>
      </c>
      <c r="AW63" s="497" t="s">
        <v>4</v>
      </c>
      <c r="AX63" s="497" t="s">
        <v>7</v>
      </c>
      <c r="AY63" s="497" t="s">
        <v>6</v>
      </c>
      <c r="AZ63" s="497" t="s">
        <v>4</v>
      </c>
      <c r="BA63" s="497" t="s">
        <v>31563</v>
      </c>
      <c r="BB63" s="497" t="s">
        <v>31541</v>
      </c>
      <c r="BC63" s="497" t="s">
        <v>4</v>
      </c>
      <c r="BD63" s="497" t="s">
        <v>22</v>
      </c>
      <c r="BE63" s="497" t="s">
        <v>4</v>
      </c>
      <c r="BF63" s="497" t="s">
        <v>31542</v>
      </c>
      <c r="BG63" s="497" t="s">
        <v>34119</v>
      </c>
      <c r="BH63" s="497" t="s">
        <v>31544</v>
      </c>
      <c r="BI63" s="497">
        <v>3</v>
      </c>
      <c r="BJ63" s="497">
        <v>120</v>
      </c>
      <c r="BK63" s="497" t="s">
        <v>7</v>
      </c>
      <c r="BL63" s="497" t="s">
        <v>6</v>
      </c>
      <c r="BM63" s="497" t="s">
        <v>4</v>
      </c>
      <c r="BN63" s="497" t="s">
        <v>31425</v>
      </c>
      <c r="BO63" s="497">
        <v>1</v>
      </c>
      <c r="BP63" s="497">
        <v>30</v>
      </c>
      <c r="BQ63" s="497" t="s">
        <v>31435</v>
      </c>
      <c r="BR63" s="499" t="s">
        <v>33332</v>
      </c>
      <c r="BS63" s="497" t="s">
        <v>4</v>
      </c>
      <c r="BT63" s="497">
        <v>1</v>
      </c>
      <c r="BU63" s="494" cm="1">
        <f t="array" ref="BU63">_xlfn.IFS(BQ63="Foreword vehicle",BT63*0,BQ63="Human wastes",BT63*0,BS63="Jerrycans",BT63*$BT$4,BQ63="Number of Basins",BT63*$BT$5,BQ63="Number of Buckets",BT63*$BT$6,BQ63="Number of Kgs",BT63*$BT$7,BQ63="Number of spades",BT63*$BT$8,BQ63="Number of wheelbarrows",BT63*$BT$9,BS63="Septic Tank",BT63*0)</f>
        <v>70.5</v>
      </c>
      <c r="BV63" s="494">
        <f>Table15[[#This Row],[Calculation: Conversion of metric to Kg manure feeding (Columns: BP, BQ, BR)]]*Table15[[#This Row],[Number of times used to feed biodigester]]</f>
        <v>70.5</v>
      </c>
      <c r="BW63" s="495" cm="1">
        <f t="array" ref="BW63">_xlfn.IFS(BN63="Number of times per day (1 to 3)",BV63/$BW$3,BN63="Number of times per week (1 to 6)",BV63/$BW$4,BN63="Number of times per Month (1 to 3)",BV63/$BW$5)</f>
        <v>70.5</v>
      </c>
      <c r="BX63" s="497" t="s">
        <v>22</v>
      </c>
      <c r="BY63" s="497" t="s">
        <v>4</v>
      </c>
      <c r="BZ63" s="497" t="s">
        <v>2</v>
      </c>
      <c r="CA63" s="497" t="s">
        <v>4</v>
      </c>
      <c r="CB63" s="497" t="s">
        <v>4</v>
      </c>
      <c r="CC63" s="497" t="s">
        <v>4</v>
      </c>
      <c r="CD63" s="497" t="s">
        <v>7</v>
      </c>
      <c r="CE63" s="497" t="s">
        <v>34120</v>
      </c>
      <c r="CF63" s="497" t="s">
        <v>4</v>
      </c>
      <c r="CG63" s="497" t="s">
        <v>31604</v>
      </c>
      <c r="CH63" s="497">
        <v>4</v>
      </c>
      <c r="CI63" s="497">
        <v>0</v>
      </c>
      <c r="CJ63" s="497">
        <v>0</v>
      </c>
      <c r="CK63" s="497">
        <v>0</v>
      </c>
      <c r="CL63" s="497">
        <v>0</v>
      </c>
      <c r="CM63" s="497">
        <v>0</v>
      </c>
      <c r="CN63" s="497">
        <v>0</v>
      </c>
      <c r="CO63" s="497">
        <v>0</v>
      </c>
      <c r="CP63" s="497">
        <v>0</v>
      </c>
      <c r="CQ63" s="497">
        <v>0</v>
      </c>
      <c r="CR63" s="497">
        <f>IF(Table15[[#This Row],[Is your biodigester working?]]="yes",CO63/'SDG outcome'!$C$9*CP63*CQ63,"")</f>
        <v>0</v>
      </c>
      <c r="CS63" s="497">
        <v>100</v>
      </c>
      <c r="CT63" s="500">
        <v>0</v>
      </c>
      <c r="CU63" s="496" t="s">
        <v>4</v>
      </c>
      <c r="CV63" s="497" t="s">
        <v>4</v>
      </c>
      <c r="CW63" s="500" t="s">
        <v>4</v>
      </c>
      <c r="CX63" s="496" t="s">
        <v>4</v>
      </c>
      <c r="CY63" s="497" t="s">
        <v>4</v>
      </c>
      <c r="CZ63" s="500" t="s">
        <v>4</v>
      </c>
      <c r="DA63" s="496" t="s">
        <v>4</v>
      </c>
      <c r="DB63" s="497" t="s">
        <v>4</v>
      </c>
      <c r="DC63" s="497" t="s">
        <v>4</v>
      </c>
      <c r="DD63" s="497" t="s">
        <v>4</v>
      </c>
      <c r="DE63" s="497" t="s">
        <v>4</v>
      </c>
      <c r="DF63" s="497" t="s">
        <v>4</v>
      </c>
      <c r="DG63" s="497" t="s">
        <v>4</v>
      </c>
      <c r="DH63" s="497" t="s">
        <v>4</v>
      </c>
      <c r="DI63" s="497" t="s">
        <v>4</v>
      </c>
      <c r="DJ63" s="497" t="s">
        <v>4</v>
      </c>
      <c r="DK63" s="497" t="s">
        <v>4</v>
      </c>
      <c r="DL63" s="497" t="s">
        <v>4</v>
      </c>
      <c r="DM63" s="497" t="s">
        <v>4</v>
      </c>
      <c r="DN63" s="497">
        <v>1</v>
      </c>
      <c r="DO63" s="497" t="s">
        <v>2</v>
      </c>
      <c r="DP63" s="497" t="s">
        <v>29292</v>
      </c>
      <c r="DQ63" s="497" t="s">
        <v>4</v>
      </c>
      <c r="DR63" s="497" t="s">
        <v>29294</v>
      </c>
      <c r="DS63" s="494" t="s">
        <v>4</v>
      </c>
      <c r="DT63" s="497" t="s">
        <v>29294</v>
      </c>
      <c r="DU63" s="494" t="s">
        <v>4</v>
      </c>
      <c r="DV63" s="500" t="s">
        <v>29295</v>
      </c>
      <c r="DW63" s="496">
        <v>100</v>
      </c>
      <c r="DX63" s="497" t="s">
        <v>29296</v>
      </c>
      <c r="DY63" s="497">
        <v>100</v>
      </c>
      <c r="DZ63" s="497" t="s">
        <v>4</v>
      </c>
      <c r="EA63" s="497" t="s">
        <v>4</v>
      </c>
      <c r="EB63" s="497" t="s">
        <v>4</v>
      </c>
      <c r="EC63" s="497" t="s">
        <v>4</v>
      </c>
      <c r="ED63" s="497" t="s">
        <v>4</v>
      </c>
      <c r="EE63" s="497" t="s">
        <v>4</v>
      </c>
      <c r="EF63" s="497" t="s">
        <v>4</v>
      </c>
      <c r="EG63" s="497" t="s">
        <v>4</v>
      </c>
      <c r="EH63" s="497" t="s">
        <v>4</v>
      </c>
      <c r="EI63" s="497" t="s">
        <v>4</v>
      </c>
      <c r="EJ63" s="497" t="s">
        <v>4</v>
      </c>
      <c r="EK63" s="497" t="s">
        <v>4</v>
      </c>
      <c r="EL63" s="497" t="s">
        <v>4</v>
      </c>
      <c r="EM63" s="497" t="s">
        <v>4</v>
      </c>
      <c r="EN63" s="497" t="s">
        <v>4</v>
      </c>
      <c r="EO63" s="497" t="s">
        <v>4</v>
      </c>
      <c r="EP63" s="497" t="s">
        <v>4</v>
      </c>
      <c r="EQ63" s="497" t="s">
        <v>4</v>
      </c>
      <c r="ER63" s="497" t="s">
        <v>4</v>
      </c>
      <c r="ES63" s="497" t="s">
        <v>4</v>
      </c>
      <c r="ET63" s="497" t="s">
        <v>4</v>
      </c>
      <c r="EU63" s="497" t="s">
        <v>4</v>
      </c>
      <c r="EV63" s="497" t="s">
        <v>4</v>
      </c>
      <c r="EW63" s="497">
        <v>10</v>
      </c>
      <c r="EX63" s="497" t="s">
        <v>7</v>
      </c>
      <c r="EY63" s="497">
        <v>10</v>
      </c>
      <c r="EZ63" s="239">
        <f t="shared" si="2"/>
        <v>1</v>
      </c>
      <c r="FA63" s="497" t="s">
        <v>34110</v>
      </c>
      <c r="FB63" s="497" t="s">
        <v>29298</v>
      </c>
      <c r="FC63" s="497">
        <v>36</v>
      </c>
      <c r="FD63" s="497" t="s">
        <v>7</v>
      </c>
      <c r="FE63" s="497" t="s">
        <v>29492</v>
      </c>
      <c r="FF63" s="497" t="s">
        <v>4</v>
      </c>
      <c r="FG63" s="497" t="s">
        <v>7</v>
      </c>
      <c r="FH63" s="497" t="s">
        <v>29492</v>
      </c>
      <c r="FI63" s="497" t="s">
        <v>4</v>
      </c>
      <c r="FJ63" s="497" t="s">
        <v>29300</v>
      </c>
      <c r="FK63" s="497" t="s">
        <v>4</v>
      </c>
      <c r="FL63" s="497" t="s">
        <v>29446</v>
      </c>
      <c r="FM63" s="497" t="s">
        <v>4</v>
      </c>
      <c r="FN63" s="494" t="s">
        <v>4</v>
      </c>
      <c r="FO63" s="497" t="s">
        <v>34121</v>
      </c>
      <c r="FP63" s="497" t="s">
        <v>2</v>
      </c>
      <c r="FQ63" s="497" t="s">
        <v>4</v>
      </c>
      <c r="FR63" s="497" t="s">
        <v>4</v>
      </c>
      <c r="FS63" s="497" t="s">
        <v>2</v>
      </c>
      <c r="FT63" s="497" t="s">
        <v>2</v>
      </c>
      <c r="FU63" s="497" t="s">
        <v>4</v>
      </c>
      <c r="FV63" s="497" t="s">
        <v>4</v>
      </c>
      <c r="FW63" s="497" t="s">
        <v>29304</v>
      </c>
      <c r="FX63" s="497">
        <v>2</v>
      </c>
      <c r="FY63" s="497" t="s">
        <v>30052</v>
      </c>
      <c r="FZ63" s="497" t="s">
        <v>29306</v>
      </c>
      <c r="GA63" s="497" t="s">
        <v>4</v>
      </c>
      <c r="GB63" s="497" t="s">
        <v>29498</v>
      </c>
      <c r="GC63" s="497" t="s">
        <v>4</v>
      </c>
      <c r="GD63" s="497" t="s">
        <v>4</v>
      </c>
      <c r="GE63" s="497" t="s">
        <v>4</v>
      </c>
      <c r="GF63" s="497" t="s">
        <v>4</v>
      </c>
      <c r="GG63" s="497" t="s">
        <v>4</v>
      </c>
      <c r="GH63" s="497" t="s">
        <v>4</v>
      </c>
      <c r="GI63" s="497" t="s">
        <v>29304</v>
      </c>
      <c r="GJ63" s="497" t="s">
        <v>29465</v>
      </c>
      <c r="GK63" s="497" t="s">
        <v>4</v>
      </c>
      <c r="GL63" s="497" t="s">
        <v>29556</v>
      </c>
      <c r="GM63" s="497" t="s">
        <v>4</v>
      </c>
      <c r="GN63" s="497" t="s">
        <v>4</v>
      </c>
      <c r="GO63" s="497" t="s">
        <v>29451</v>
      </c>
      <c r="GP63" s="497" t="s">
        <v>4</v>
      </c>
      <c r="GQ63" s="497" t="s">
        <v>4</v>
      </c>
      <c r="GR63" s="497" t="s">
        <v>4</v>
      </c>
      <c r="GS63" s="497" t="s">
        <v>4</v>
      </c>
      <c r="GT63" s="497" t="s">
        <v>29354</v>
      </c>
      <c r="GU63" s="497" t="s">
        <v>4</v>
      </c>
      <c r="GV63" s="494">
        <v>5</v>
      </c>
      <c r="GW63" s="497" t="s">
        <v>2</v>
      </c>
      <c r="GX63" s="497" t="s">
        <v>29309</v>
      </c>
      <c r="GY63" s="497" t="s">
        <v>4</v>
      </c>
      <c r="GZ63" s="497" t="s">
        <v>4</v>
      </c>
      <c r="HA63" s="497" t="s">
        <v>4</v>
      </c>
      <c r="HB63" s="497" t="s">
        <v>4</v>
      </c>
      <c r="HC63" s="497" t="s">
        <v>4</v>
      </c>
      <c r="HD63" s="497" t="s">
        <v>4</v>
      </c>
      <c r="HE63" s="497" t="s">
        <v>4</v>
      </c>
      <c r="HF63" s="497" t="s">
        <v>4</v>
      </c>
      <c r="HG63" s="497" t="s">
        <v>2</v>
      </c>
      <c r="HH63" s="497" t="s">
        <v>4</v>
      </c>
      <c r="HI63" s="497" t="s">
        <v>4</v>
      </c>
      <c r="HJ63" s="497" t="s">
        <v>4</v>
      </c>
      <c r="HK63" s="494" t="s">
        <v>4</v>
      </c>
      <c r="HL63" s="497" t="s">
        <v>33474</v>
      </c>
      <c r="HM63" s="497" t="s">
        <v>2</v>
      </c>
      <c r="HN63" s="497" t="s">
        <v>4</v>
      </c>
      <c r="HO63" s="497" t="s">
        <v>34122</v>
      </c>
      <c r="HP63" s="497" t="s">
        <v>34123</v>
      </c>
      <c r="HQ63" s="497" t="s">
        <v>34124</v>
      </c>
      <c r="HR63" s="497" t="s">
        <v>34125</v>
      </c>
      <c r="HS63" s="497" t="s">
        <v>34126</v>
      </c>
      <c r="HT63" s="500" t="s">
        <v>34116</v>
      </c>
    </row>
    <row r="64" spans="1:228" s="570" customFormat="1" ht="30.2" customHeight="1" x14ac:dyDescent="0.25">
      <c r="A64" s="759"/>
      <c r="B64" s="496">
        <v>109</v>
      </c>
      <c r="C64" s="496" t="s">
        <v>17330</v>
      </c>
      <c r="D64" s="497" t="s">
        <v>34583</v>
      </c>
      <c r="E64" s="497" t="s">
        <v>34457</v>
      </c>
      <c r="F64" s="497" t="s">
        <v>7</v>
      </c>
      <c r="G64" s="497" t="s">
        <v>34584</v>
      </c>
      <c r="H64" s="497">
        <v>1156.7</v>
      </c>
      <c r="I64" s="497">
        <v>4.9000000000000004</v>
      </c>
      <c r="J64" s="497" t="s">
        <v>29288</v>
      </c>
      <c r="K64" s="497" t="s">
        <v>4</v>
      </c>
      <c r="L64" s="497" t="s">
        <v>34585</v>
      </c>
      <c r="M64" s="497">
        <v>788473020</v>
      </c>
      <c r="N64" s="497" t="s">
        <v>3</v>
      </c>
      <c r="O64" s="497" t="s">
        <v>31438</v>
      </c>
      <c r="P64" s="497">
        <v>62</v>
      </c>
      <c r="Q64" s="497">
        <v>3</v>
      </c>
      <c r="R64" s="497" t="s">
        <v>7</v>
      </c>
      <c r="S64" s="497" t="s">
        <v>31549</v>
      </c>
      <c r="T64" s="497" t="s">
        <v>4</v>
      </c>
      <c r="U64" s="497" t="s">
        <v>7</v>
      </c>
      <c r="V64" s="497" t="s">
        <v>7</v>
      </c>
      <c r="W64" s="497" t="s">
        <v>4</v>
      </c>
      <c r="X64" s="497" t="s">
        <v>7</v>
      </c>
      <c r="Y64" s="497" t="s">
        <v>4</v>
      </c>
      <c r="Z64" s="497" t="s">
        <v>4</v>
      </c>
      <c r="AA64" s="241" t="str">
        <f>IF(OR(U64="yes",Z64&gt;'SDG outcome'!$C$39),"yes","no")</f>
        <v>yes</v>
      </c>
      <c r="AB64" s="521" t="str">
        <f t="shared" si="0"/>
        <v>NA</v>
      </c>
      <c r="AC64" s="527" t="str">
        <f>IF(AND('SMS p2'!AA121="no",AND(Z64&gt;='SDG outcome'!$B$28,Z64&lt;'SDG outcome'!$C$39)),Z64-'SDG outcome'!$B$28,"")</f>
        <v/>
      </c>
      <c r="AD64" s="497" t="s">
        <v>4</v>
      </c>
      <c r="AE64" s="497" t="s">
        <v>4</v>
      </c>
      <c r="AF64" s="497" t="s">
        <v>4</v>
      </c>
      <c r="AG64" s="497" t="s">
        <v>4</v>
      </c>
      <c r="AH64" s="497" t="s">
        <v>4</v>
      </c>
      <c r="AI64" s="497" t="s">
        <v>4</v>
      </c>
      <c r="AJ64" s="497" t="s">
        <v>4</v>
      </c>
      <c r="AK64" s="497" t="s">
        <v>29290</v>
      </c>
      <c r="AL64" s="497" t="s">
        <v>29694</v>
      </c>
      <c r="AM64" s="497" t="s">
        <v>4</v>
      </c>
      <c r="AN64" s="497" t="s">
        <v>4</v>
      </c>
      <c r="AO64" s="497" t="s">
        <v>31536</v>
      </c>
      <c r="AP64" s="497" t="s">
        <v>4</v>
      </c>
      <c r="AQ64" s="497" t="s">
        <v>31600</v>
      </c>
      <c r="AR64" s="497" t="s">
        <v>4</v>
      </c>
      <c r="AS64" s="497" t="s">
        <v>31538</v>
      </c>
      <c r="AT64" s="497" t="s">
        <v>4</v>
      </c>
      <c r="AU64" s="497" t="s">
        <v>7</v>
      </c>
      <c r="AV64" s="497" t="s">
        <v>4</v>
      </c>
      <c r="AW64" s="497" t="s">
        <v>4</v>
      </c>
      <c r="AX64" s="497" t="s">
        <v>7</v>
      </c>
      <c r="AY64" s="497" t="s">
        <v>11</v>
      </c>
      <c r="AZ64" s="497" t="s">
        <v>4</v>
      </c>
      <c r="BA64" s="497" t="s">
        <v>31540</v>
      </c>
      <c r="BB64" s="497" t="s">
        <v>22</v>
      </c>
      <c r="BC64" s="497" t="s">
        <v>4</v>
      </c>
      <c r="BD64" s="497" t="s">
        <v>31541</v>
      </c>
      <c r="BE64" s="497" t="s">
        <v>4</v>
      </c>
      <c r="BF64" s="497" t="s">
        <v>31542</v>
      </c>
      <c r="BG64" s="497" t="s">
        <v>34586</v>
      </c>
      <c r="BH64" s="497" t="s">
        <v>31632</v>
      </c>
      <c r="BI64" s="497">
        <v>2</v>
      </c>
      <c r="BJ64" s="497">
        <v>42</v>
      </c>
      <c r="BK64" s="497" t="s">
        <v>7</v>
      </c>
      <c r="BL64" s="497" t="s">
        <v>6</v>
      </c>
      <c r="BM64" s="497" t="s">
        <v>4</v>
      </c>
      <c r="BN64" s="497" t="s">
        <v>31425</v>
      </c>
      <c r="BO64" s="497">
        <v>1</v>
      </c>
      <c r="BP64" s="497">
        <v>30</v>
      </c>
      <c r="BQ64" s="497" t="s">
        <v>31435</v>
      </c>
      <c r="BR64" s="499" t="s">
        <v>33361</v>
      </c>
      <c r="BS64" s="497" t="s">
        <v>4</v>
      </c>
      <c r="BT64" s="497">
        <v>2</v>
      </c>
      <c r="BU64" s="494" cm="1">
        <f t="array" ref="BU64">_xlfn.IFS(BQ64="Foreword vehicle",BT64*0,BQ64="Human wastes",BT64*0,BS64="Jerrycans",BT64*$BT$4,BQ64="Number of Basins",BT64*$BT$5,BQ64="Number of Buckets",BT64*$BT$6,BQ64="Number of Kgs",BT64*$BT$7,BQ64="Number of spades",BT64*$BT$8,BQ64="Number of wheelbarrows",BT64*$BS$9,BS64="Septic Tank",BT64*0)</f>
        <v>165</v>
      </c>
      <c r="BV64" s="494">
        <f>Table15[[#This Row],[Calculation: Conversion of metric to Kg manure feeding (Columns: BP, BQ, BR)]]*Table15[[#This Row],[Number of times used to feed biodigester]]</f>
        <v>165</v>
      </c>
      <c r="BW64" s="495" cm="1">
        <f t="array" ref="BW64">_xlfn.IFS(BN64="Number of times per day (1 to 3)",BV64/$BW$3,BN64="Number of times per week (1 to 6)",BV64/$BW$4,BN64="Number of times per Month (1 to 3)",BV64/$BW$5)</f>
        <v>165</v>
      </c>
      <c r="BX64" s="497" t="s">
        <v>22</v>
      </c>
      <c r="BY64" s="497" t="s">
        <v>4</v>
      </c>
      <c r="BZ64" s="497" t="s">
        <v>2</v>
      </c>
      <c r="CA64" s="497" t="s">
        <v>4</v>
      </c>
      <c r="CB64" s="497" t="s">
        <v>4</v>
      </c>
      <c r="CC64" s="497" t="s">
        <v>4</v>
      </c>
      <c r="CD64" s="497" t="s">
        <v>7</v>
      </c>
      <c r="CE64" s="497" t="s">
        <v>34587</v>
      </c>
      <c r="CF64" s="497" t="s">
        <v>4</v>
      </c>
      <c r="CG64" s="497" t="s">
        <v>31604</v>
      </c>
      <c r="CH64" s="497">
        <v>5</v>
      </c>
      <c r="CI64" s="497">
        <v>0</v>
      </c>
      <c r="CJ64" s="497">
        <v>0</v>
      </c>
      <c r="CK64" s="497">
        <v>0</v>
      </c>
      <c r="CL64" s="497">
        <v>0</v>
      </c>
      <c r="CM64" s="497">
        <v>0</v>
      </c>
      <c r="CN64" s="497">
        <v>0</v>
      </c>
      <c r="CO64" s="497">
        <v>0</v>
      </c>
      <c r="CP64" s="497">
        <v>0</v>
      </c>
      <c r="CQ64" s="497">
        <v>0</v>
      </c>
      <c r="CR64" s="497">
        <f>IF(Table15[[#This Row],[Is your biodigester working?]]="yes",CO64/'SDG outcome'!$C$9*CP64*CQ64,"")</f>
        <v>0</v>
      </c>
      <c r="CS64" s="497">
        <v>100</v>
      </c>
      <c r="CT64" s="500">
        <v>0</v>
      </c>
      <c r="CU64" s="496" t="s">
        <v>4</v>
      </c>
      <c r="CV64" s="497" t="s">
        <v>4</v>
      </c>
      <c r="CW64" s="500" t="s">
        <v>4</v>
      </c>
      <c r="CX64" s="496" t="s">
        <v>4</v>
      </c>
      <c r="CY64" s="497" t="s">
        <v>4</v>
      </c>
      <c r="CZ64" s="500" t="s">
        <v>4</v>
      </c>
      <c r="DA64" s="496" t="s">
        <v>4</v>
      </c>
      <c r="DB64" s="497" t="s">
        <v>4</v>
      </c>
      <c r="DC64" s="497" t="s">
        <v>4</v>
      </c>
      <c r="DD64" s="497" t="s">
        <v>4</v>
      </c>
      <c r="DE64" s="497" t="s">
        <v>4</v>
      </c>
      <c r="DF64" s="497" t="s">
        <v>4</v>
      </c>
      <c r="DG64" s="497" t="s">
        <v>4</v>
      </c>
      <c r="DH64" s="497" t="s">
        <v>4</v>
      </c>
      <c r="DI64" s="497" t="s">
        <v>4</v>
      </c>
      <c r="DJ64" s="497" t="s">
        <v>4</v>
      </c>
      <c r="DK64" s="497" t="s">
        <v>4</v>
      </c>
      <c r="DL64" s="497" t="s">
        <v>4</v>
      </c>
      <c r="DM64" s="497" t="s">
        <v>4</v>
      </c>
      <c r="DN64" s="497">
        <v>6</v>
      </c>
      <c r="DO64" s="497" t="s">
        <v>2</v>
      </c>
      <c r="DP64" s="497" t="s">
        <v>29292</v>
      </c>
      <c r="DQ64" s="497" t="s">
        <v>4</v>
      </c>
      <c r="DR64" s="497" t="s">
        <v>29293</v>
      </c>
      <c r="DS64" s="494">
        <v>50000</v>
      </c>
      <c r="DT64" s="497" t="s">
        <v>29293</v>
      </c>
      <c r="DU64" s="494">
        <v>45000</v>
      </c>
      <c r="DV64" s="500" t="s">
        <v>29295</v>
      </c>
      <c r="DW64" s="496">
        <v>100</v>
      </c>
      <c r="DX64" s="497" t="s">
        <v>29296</v>
      </c>
      <c r="DY64" s="497">
        <v>100</v>
      </c>
      <c r="DZ64" s="497" t="s">
        <v>4</v>
      </c>
      <c r="EA64" s="497" t="s">
        <v>4</v>
      </c>
      <c r="EB64" s="497" t="s">
        <v>4</v>
      </c>
      <c r="EC64" s="497" t="s">
        <v>4</v>
      </c>
      <c r="ED64" s="497" t="s">
        <v>4</v>
      </c>
      <c r="EE64" s="497" t="s">
        <v>4</v>
      </c>
      <c r="EF64" s="497" t="s">
        <v>4</v>
      </c>
      <c r="EG64" s="497" t="s">
        <v>4</v>
      </c>
      <c r="EH64" s="497" t="s">
        <v>4</v>
      </c>
      <c r="EI64" s="497" t="s">
        <v>4</v>
      </c>
      <c r="EJ64" s="497" t="s">
        <v>4</v>
      </c>
      <c r="EK64" s="497" t="s">
        <v>4</v>
      </c>
      <c r="EL64" s="497" t="s">
        <v>4</v>
      </c>
      <c r="EM64" s="497" t="s">
        <v>4</v>
      </c>
      <c r="EN64" s="497" t="s">
        <v>4</v>
      </c>
      <c r="EO64" s="497" t="s">
        <v>4</v>
      </c>
      <c r="EP64" s="497" t="s">
        <v>4</v>
      </c>
      <c r="EQ64" s="497" t="s">
        <v>4</v>
      </c>
      <c r="ER64" s="497" t="s">
        <v>4</v>
      </c>
      <c r="ES64" s="497" t="s">
        <v>4</v>
      </c>
      <c r="ET64" s="497" t="s">
        <v>4</v>
      </c>
      <c r="EU64" s="497" t="s">
        <v>4</v>
      </c>
      <c r="EV64" s="497" t="s">
        <v>4</v>
      </c>
      <c r="EW64" s="497">
        <v>1</v>
      </c>
      <c r="EX64" s="497" t="s">
        <v>7</v>
      </c>
      <c r="EY64" s="497">
        <v>100</v>
      </c>
      <c r="EZ64" s="239">
        <f t="shared" si="2"/>
        <v>1</v>
      </c>
      <c r="FA64" s="497" t="s">
        <v>34588</v>
      </c>
      <c r="FB64" s="497" t="s">
        <v>29298</v>
      </c>
      <c r="FC64" s="497">
        <v>72</v>
      </c>
      <c r="FD64" s="497" t="s">
        <v>7</v>
      </c>
      <c r="FE64" s="497" t="s">
        <v>29299</v>
      </c>
      <c r="FF64" s="497" t="s">
        <v>4</v>
      </c>
      <c r="FG64" s="497" t="s">
        <v>2</v>
      </c>
      <c r="FH64" s="497" t="s">
        <v>4</v>
      </c>
      <c r="FI64" s="497" t="s">
        <v>4</v>
      </c>
      <c r="FJ64" s="497" t="s">
        <v>4</v>
      </c>
      <c r="FK64" s="497" t="s">
        <v>4</v>
      </c>
      <c r="FL64" s="497" t="s">
        <v>4</v>
      </c>
      <c r="FM64" s="497" t="s">
        <v>4</v>
      </c>
      <c r="FN64" s="494" t="s">
        <v>4</v>
      </c>
      <c r="FO64" s="497" t="s">
        <v>4</v>
      </c>
      <c r="FP64" s="497" t="s">
        <v>2</v>
      </c>
      <c r="FQ64" s="497" t="s">
        <v>4</v>
      </c>
      <c r="FR64" s="497" t="s">
        <v>4</v>
      </c>
      <c r="FS64" s="497" t="s">
        <v>7</v>
      </c>
      <c r="FT64" s="497" t="s">
        <v>7</v>
      </c>
      <c r="FU64" s="497" t="s">
        <v>29302</v>
      </c>
      <c r="FV64" s="497" t="s">
        <v>33825</v>
      </c>
      <c r="FW64" s="497" t="s">
        <v>29304</v>
      </c>
      <c r="FX64" s="497">
        <v>6</v>
      </c>
      <c r="FY64" s="497" t="s">
        <v>29305</v>
      </c>
      <c r="FZ64" s="497" t="s">
        <v>29306</v>
      </c>
      <c r="GA64" s="497" t="s">
        <v>4</v>
      </c>
      <c r="GB64" s="497" t="s">
        <v>4</v>
      </c>
      <c r="GC64" s="497" t="s">
        <v>4</v>
      </c>
      <c r="GD64" s="497" t="s">
        <v>4</v>
      </c>
      <c r="GE64" s="497" t="s">
        <v>4</v>
      </c>
      <c r="GF64" s="497" t="s">
        <v>4</v>
      </c>
      <c r="GG64" s="497" t="s">
        <v>4</v>
      </c>
      <c r="GH64" s="497" t="s">
        <v>4</v>
      </c>
      <c r="GI64" s="497" t="s">
        <v>4</v>
      </c>
      <c r="GJ64" s="497" t="s">
        <v>4</v>
      </c>
      <c r="GK64" s="497" t="s">
        <v>4</v>
      </c>
      <c r="GL64" s="497" t="s">
        <v>4</v>
      </c>
      <c r="GM64" s="497" t="s">
        <v>4</v>
      </c>
      <c r="GN64" s="497" t="s">
        <v>4</v>
      </c>
      <c r="GO64" s="497" t="s">
        <v>4</v>
      </c>
      <c r="GP64" s="497" t="s">
        <v>4</v>
      </c>
      <c r="GQ64" s="497" t="s">
        <v>4</v>
      </c>
      <c r="GR64" s="497" t="s">
        <v>4</v>
      </c>
      <c r="GS64" s="497" t="s">
        <v>4</v>
      </c>
      <c r="GT64" s="497" t="s">
        <v>30644</v>
      </c>
      <c r="GU64" s="497" t="s">
        <v>4</v>
      </c>
      <c r="GV64" s="494">
        <v>15</v>
      </c>
      <c r="GW64" s="497" t="s">
        <v>2</v>
      </c>
      <c r="GX64" s="497" t="s">
        <v>29309</v>
      </c>
      <c r="GY64" s="497" t="s">
        <v>4</v>
      </c>
      <c r="GZ64" s="497" t="s">
        <v>4</v>
      </c>
      <c r="HA64" s="497" t="s">
        <v>4</v>
      </c>
      <c r="HB64" s="497" t="s">
        <v>4</v>
      </c>
      <c r="HC64" s="497" t="s">
        <v>4</v>
      </c>
      <c r="HD64" s="497" t="s">
        <v>4</v>
      </c>
      <c r="HE64" s="497" t="s">
        <v>4</v>
      </c>
      <c r="HF64" s="497" t="s">
        <v>4</v>
      </c>
      <c r="HG64" s="497" t="s">
        <v>2</v>
      </c>
      <c r="HH64" s="497" t="s">
        <v>4</v>
      </c>
      <c r="HI64" s="497" t="s">
        <v>4</v>
      </c>
      <c r="HJ64" s="497" t="s">
        <v>4</v>
      </c>
      <c r="HK64" s="494" t="s">
        <v>4</v>
      </c>
      <c r="HL64" s="497" t="s">
        <v>34589</v>
      </c>
      <c r="HM64" s="497" t="s">
        <v>2</v>
      </c>
      <c r="HN64" s="497" t="s">
        <v>4</v>
      </c>
      <c r="HO64" s="497" t="s">
        <v>34590</v>
      </c>
      <c r="HP64" s="497" t="s">
        <v>34591</v>
      </c>
      <c r="HQ64" s="497" t="s">
        <v>34592</v>
      </c>
      <c r="HR64" s="497" t="s">
        <v>34593</v>
      </c>
      <c r="HS64" s="497" t="s">
        <v>34594</v>
      </c>
      <c r="HT64" s="500" t="s">
        <v>34583</v>
      </c>
    </row>
    <row r="65" spans="1:228" s="570" customFormat="1" ht="30.2" customHeight="1" x14ac:dyDescent="0.25">
      <c r="A65" s="759"/>
      <c r="B65" s="496">
        <v>113</v>
      </c>
      <c r="C65" s="496" t="s">
        <v>32687</v>
      </c>
      <c r="D65" s="497" t="s">
        <v>34626</v>
      </c>
      <c r="E65" s="497" t="s">
        <v>34457</v>
      </c>
      <c r="F65" s="497" t="s">
        <v>7</v>
      </c>
      <c r="G65" s="497" t="s">
        <v>34627</v>
      </c>
      <c r="H65" s="497">
        <v>1248.9000000000001</v>
      </c>
      <c r="I65" s="497">
        <v>3.4</v>
      </c>
      <c r="J65" s="497" t="s">
        <v>29319</v>
      </c>
      <c r="K65" s="497" t="s">
        <v>4</v>
      </c>
      <c r="L65" s="497" t="s">
        <v>34628</v>
      </c>
      <c r="M65" s="497">
        <v>772395864</v>
      </c>
      <c r="N65" s="497" t="s">
        <v>5</v>
      </c>
      <c r="O65" s="497" t="s">
        <v>31438</v>
      </c>
      <c r="P65" s="497">
        <v>53</v>
      </c>
      <c r="Q65" s="497">
        <v>12</v>
      </c>
      <c r="R65" s="497" t="s">
        <v>7</v>
      </c>
      <c r="S65" s="497" t="s">
        <v>31622</v>
      </c>
      <c r="T65" s="497">
        <v>1013888</v>
      </c>
      <c r="U65" s="497" t="s">
        <v>7</v>
      </c>
      <c r="V65" s="497" t="s">
        <v>7</v>
      </c>
      <c r="W65" s="497" t="s">
        <v>4</v>
      </c>
      <c r="X65" s="497" t="s">
        <v>7</v>
      </c>
      <c r="Y65" s="497" t="s">
        <v>4</v>
      </c>
      <c r="Z65" s="497" t="s">
        <v>4</v>
      </c>
      <c r="AA65" s="241" t="str">
        <f>IF(OR(U65="yes",Z65&gt;'SDG outcome'!$C$39),"yes","no")</f>
        <v>yes</v>
      </c>
      <c r="AB65" s="521" t="str">
        <f t="shared" si="0"/>
        <v>NA</v>
      </c>
      <c r="AC65" s="527" t="str">
        <f>IF(AND('SMS p2'!AA125="no",AND(Z65&gt;='SDG outcome'!$B$28,Z65&lt;'SDG outcome'!$C$39)),Z65-'SDG outcome'!$B$28,"")</f>
        <v/>
      </c>
      <c r="AD65" s="497" t="s">
        <v>4</v>
      </c>
      <c r="AE65" s="497" t="s">
        <v>4</v>
      </c>
      <c r="AF65" s="497" t="s">
        <v>4</v>
      </c>
      <c r="AG65" s="497" t="s">
        <v>4</v>
      </c>
      <c r="AH65" s="497" t="s">
        <v>4</v>
      </c>
      <c r="AI65" s="497" t="s">
        <v>4</v>
      </c>
      <c r="AJ65" s="497" t="s">
        <v>4</v>
      </c>
      <c r="AK65" s="497" t="s">
        <v>29290</v>
      </c>
      <c r="AL65" s="497" t="s">
        <v>29694</v>
      </c>
      <c r="AM65" s="497" t="s">
        <v>4</v>
      </c>
      <c r="AN65" s="497" t="s">
        <v>4</v>
      </c>
      <c r="AO65" s="497" t="s">
        <v>31536</v>
      </c>
      <c r="AP65" s="497" t="s">
        <v>4</v>
      </c>
      <c r="AQ65" s="497" t="s">
        <v>31600</v>
      </c>
      <c r="AR65" s="497" t="s">
        <v>4</v>
      </c>
      <c r="AS65" s="497" t="s">
        <v>31538</v>
      </c>
      <c r="AT65" s="497" t="s">
        <v>4</v>
      </c>
      <c r="AU65" s="497" t="s">
        <v>7</v>
      </c>
      <c r="AV65" s="497" t="s">
        <v>4</v>
      </c>
      <c r="AW65" s="497" t="s">
        <v>4</v>
      </c>
      <c r="AX65" s="497" t="s">
        <v>7</v>
      </c>
      <c r="AY65" s="497" t="s">
        <v>11</v>
      </c>
      <c r="AZ65" s="497" t="s">
        <v>4</v>
      </c>
      <c r="BA65" s="497" t="s">
        <v>31540</v>
      </c>
      <c r="BB65" s="497" t="s">
        <v>22</v>
      </c>
      <c r="BC65" s="497" t="s">
        <v>4</v>
      </c>
      <c r="BD65" s="497" t="s">
        <v>14</v>
      </c>
      <c r="BE65" s="497" t="s">
        <v>4</v>
      </c>
      <c r="BF65" s="497" t="s">
        <v>31542</v>
      </c>
      <c r="BG65" s="497" t="s">
        <v>34629</v>
      </c>
      <c r="BH65" s="497" t="s">
        <v>31544</v>
      </c>
      <c r="BI65" s="497">
        <v>2</v>
      </c>
      <c r="BJ65" s="497">
        <v>120</v>
      </c>
      <c r="BK65" s="497" t="s">
        <v>7</v>
      </c>
      <c r="BL65" s="497" t="s">
        <v>6</v>
      </c>
      <c r="BM65" s="497" t="s">
        <v>4</v>
      </c>
      <c r="BN65" s="497" t="s">
        <v>31425</v>
      </c>
      <c r="BO65" s="497">
        <v>1</v>
      </c>
      <c r="BP65" s="497">
        <v>30</v>
      </c>
      <c r="BQ65" s="497" t="s">
        <v>31434</v>
      </c>
      <c r="BR65" s="499" t="s">
        <v>33332</v>
      </c>
      <c r="BS65" s="497" t="s">
        <v>4</v>
      </c>
      <c r="BT65" s="497">
        <v>1</v>
      </c>
      <c r="BU65" s="494" cm="1">
        <f t="array" ref="BU65">_xlfn.IFS(BQ65="Foreword vehicle",BT65*0,BQ65="Human wastes",BT65*0,BS65="Jerrycans",BT65*$BT$4,BQ65="Number of Basins",BT65*$BT$5,BQ65="Number of Buckets",BT65*$BT$6,BQ65="Number of Kgs",BT65*$BT$7,BQ65="Number of spades",BT65*$BT$8,BQ65="Number of wheelbarrows",BT65*$BT$9,BS65="Septic Tank",BT65*0)</f>
        <v>16</v>
      </c>
      <c r="BV65" s="494">
        <f>Table15[[#This Row],[Calculation: Conversion of metric to Kg manure feeding (Columns: BP, BQ, BR)]]*Table15[[#This Row],[Number of times used to feed biodigester]]</f>
        <v>16</v>
      </c>
      <c r="BW65" s="495" cm="1">
        <f t="array" ref="BW65">_xlfn.IFS(BN65="Number of times per day (1 to 3)",BV65/$BW$3,BN65="Number of times per week (1 to 6)",BV65/$BW$4,BN65="Number of times per Month (1 to 3)",BV65/$BW$5)</f>
        <v>16</v>
      </c>
      <c r="BX65" s="497" t="s">
        <v>22</v>
      </c>
      <c r="BY65" s="497" t="s">
        <v>4</v>
      </c>
      <c r="BZ65" s="497" t="s">
        <v>2</v>
      </c>
      <c r="CA65" s="497" t="s">
        <v>4</v>
      </c>
      <c r="CB65" s="497" t="s">
        <v>4</v>
      </c>
      <c r="CC65" s="497" t="s">
        <v>4</v>
      </c>
      <c r="CD65" s="497" t="s">
        <v>7</v>
      </c>
      <c r="CE65" s="497" t="s">
        <v>34630</v>
      </c>
      <c r="CF65" s="497" t="s">
        <v>4</v>
      </c>
      <c r="CG65" s="497" t="s">
        <v>31604</v>
      </c>
      <c r="CH65" s="497">
        <v>3</v>
      </c>
      <c r="CI65" s="497">
        <v>0</v>
      </c>
      <c r="CJ65" s="497">
        <v>0</v>
      </c>
      <c r="CK65" s="497">
        <v>0</v>
      </c>
      <c r="CL65" s="497">
        <v>0</v>
      </c>
      <c r="CM65" s="497">
        <v>0</v>
      </c>
      <c r="CN65" s="497">
        <v>0</v>
      </c>
      <c r="CO65" s="497">
        <v>0</v>
      </c>
      <c r="CP65" s="497">
        <v>0</v>
      </c>
      <c r="CQ65" s="497">
        <v>0</v>
      </c>
      <c r="CR65" s="497">
        <f>IF(Table15[[#This Row],[Is your biodigester working?]]="yes",CO65/'SDG outcome'!$C$9*CP65*CQ65,"")</f>
        <v>0</v>
      </c>
      <c r="CS65" s="497">
        <v>100</v>
      </c>
      <c r="CT65" s="500">
        <v>0</v>
      </c>
      <c r="CU65" s="496" t="s">
        <v>4</v>
      </c>
      <c r="CV65" s="497" t="s">
        <v>4</v>
      </c>
      <c r="CW65" s="500" t="s">
        <v>4</v>
      </c>
      <c r="CX65" s="496" t="s">
        <v>4</v>
      </c>
      <c r="CY65" s="497" t="s">
        <v>4</v>
      </c>
      <c r="CZ65" s="500" t="s">
        <v>4</v>
      </c>
      <c r="DA65" s="496" t="s">
        <v>4</v>
      </c>
      <c r="DB65" s="497" t="s">
        <v>4</v>
      </c>
      <c r="DC65" s="497" t="s">
        <v>4</v>
      </c>
      <c r="DD65" s="497" t="s">
        <v>4</v>
      </c>
      <c r="DE65" s="497" t="s">
        <v>4</v>
      </c>
      <c r="DF65" s="497" t="s">
        <v>4</v>
      </c>
      <c r="DG65" s="497" t="s">
        <v>4</v>
      </c>
      <c r="DH65" s="497" t="s">
        <v>4</v>
      </c>
      <c r="DI65" s="497" t="s">
        <v>4</v>
      </c>
      <c r="DJ65" s="497" t="s">
        <v>4</v>
      </c>
      <c r="DK65" s="497" t="s">
        <v>4</v>
      </c>
      <c r="DL65" s="497" t="s">
        <v>4</v>
      </c>
      <c r="DM65" s="497" t="s">
        <v>4</v>
      </c>
      <c r="DN65" s="497">
        <v>1</v>
      </c>
      <c r="DO65" s="497" t="s">
        <v>2</v>
      </c>
      <c r="DP65" s="497" t="s">
        <v>29292</v>
      </c>
      <c r="DQ65" s="497" t="s">
        <v>4</v>
      </c>
      <c r="DR65" s="497" t="s">
        <v>29293</v>
      </c>
      <c r="DS65" s="494">
        <v>20000</v>
      </c>
      <c r="DT65" s="497" t="s">
        <v>29294</v>
      </c>
      <c r="DU65" s="494" t="s">
        <v>4</v>
      </c>
      <c r="DV65" s="500" t="s">
        <v>29295</v>
      </c>
      <c r="DW65" s="496">
        <v>100</v>
      </c>
      <c r="DX65" s="497" t="s">
        <v>29296</v>
      </c>
      <c r="DY65" s="497">
        <v>100</v>
      </c>
      <c r="DZ65" s="497" t="s">
        <v>4</v>
      </c>
      <c r="EA65" s="497" t="s">
        <v>4</v>
      </c>
      <c r="EB65" s="497" t="s">
        <v>4</v>
      </c>
      <c r="EC65" s="497" t="s">
        <v>4</v>
      </c>
      <c r="ED65" s="497" t="s">
        <v>4</v>
      </c>
      <c r="EE65" s="497" t="s">
        <v>4</v>
      </c>
      <c r="EF65" s="497" t="s">
        <v>4</v>
      </c>
      <c r="EG65" s="497" t="s">
        <v>4</v>
      </c>
      <c r="EH65" s="497" t="s">
        <v>4</v>
      </c>
      <c r="EI65" s="497" t="s">
        <v>4</v>
      </c>
      <c r="EJ65" s="497" t="s">
        <v>4</v>
      </c>
      <c r="EK65" s="497" t="s">
        <v>4</v>
      </c>
      <c r="EL65" s="497" t="s">
        <v>4</v>
      </c>
      <c r="EM65" s="497" t="s">
        <v>4</v>
      </c>
      <c r="EN65" s="497" t="s">
        <v>4</v>
      </c>
      <c r="EO65" s="497" t="s">
        <v>4</v>
      </c>
      <c r="EP65" s="497" t="s">
        <v>4</v>
      </c>
      <c r="EQ65" s="497" t="s">
        <v>4</v>
      </c>
      <c r="ER65" s="497" t="s">
        <v>4</v>
      </c>
      <c r="ES65" s="497" t="s">
        <v>4</v>
      </c>
      <c r="ET65" s="497" t="s">
        <v>4</v>
      </c>
      <c r="EU65" s="497" t="s">
        <v>4</v>
      </c>
      <c r="EV65" s="497" t="s">
        <v>4</v>
      </c>
      <c r="EW65" s="497">
        <v>2</v>
      </c>
      <c r="EX65" s="497" t="s">
        <v>7</v>
      </c>
      <c r="EY65" s="497">
        <v>50</v>
      </c>
      <c r="EZ65" s="239">
        <f t="shared" si="2"/>
        <v>1</v>
      </c>
      <c r="FA65" s="497" t="s">
        <v>34631</v>
      </c>
      <c r="FB65" s="497" t="s">
        <v>29298</v>
      </c>
      <c r="FC65" s="497">
        <v>72</v>
      </c>
      <c r="FD65" s="497" t="s">
        <v>7</v>
      </c>
      <c r="FE65" s="497" t="s">
        <v>29492</v>
      </c>
      <c r="FF65" s="497" t="s">
        <v>4</v>
      </c>
      <c r="FG65" s="497" t="s">
        <v>2</v>
      </c>
      <c r="FH65" s="497" t="s">
        <v>4</v>
      </c>
      <c r="FI65" s="497" t="s">
        <v>4</v>
      </c>
      <c r="FJ65" s="497" t="s">
        <v>4</v>
      </c>
      <c r="FK65" s="497" t="s">
        <v>4</v>
      </c>
      <c r="FL65" s="497" t="s">
        <v>34620</v>
      </c>
      <c r="FM65" s="497" t="s">
        <v>4</v>
      </c>
      <c r="FN65" s="494" t="s">
        <v>4</v>
      </c>
      <c r="FO65" s="497" t="s">
        <v>4</v>
      </c>
      <c r="FP65" s="497" t="s">
        <v>2</v>
      </c>
      <c r="FQ65" s="497" t="s">
        <v>4</v>
      </c>
      <c r="FR65" s="497" t="s">
        <v>4</v>
      </c>
      <c r="FS65" s="497" t="s">
        <v>7</v>
      </c>
      <c r="FT65" s="497" t="s">
        <v>2</v>
      </c>
      <c r="FU65" s="497" t="s">
        <v>4</v>
      </c>
      <c r="FV65" s="497" t="s">
        <v>4</v>
      </c>
      <c r="FW65" s="497" t="s">
        <v>4</v>
      </c>
      <c r="FX65" s="497">
        <v>0</v>
      </c>
      <c r="FY65" s="497" t="s">
        <v>4</v>
      </c>
      <c r="FZ65" s="497" t="s">
        <v>4</v>
      </c>
      <c r="GA65" s="497" t="s">
        <v>4</v>
      </c>
      <c r="GB65" s="497" t="s">
        <v>4</v>
      </c>
      <c r="GC65" s="497" t="s">
        <v>4</v>
      </c>
      <c r="GD65" s="497" t="s">
        <v>4</v>
      </c>
      <c r="GE65" s="497" t="s">
        <v>4</v>
      </c>
      <c r="GF65" s="497" t="s">
        <v>4</v>
      </c>
      <c r="GG65" s="497" t="s">
        <v>4</v>
      </c>
      <c r="GH65" s="497" t="s">
        <v>4</v>
      </c>
      <c r="GI65" s="497" t="s">
        <v>29304</v>
      </c>
      <c r="GJ65" s="497" t="s">
        <v>29497</v>
      </c>
      <c r="GK65" s="497" t="s">
        <v>29306</v>
      </c>
      <c r="GL65" s="497" t="s">
        <v>4</v>
      </c>
      <c r="GM65" s="497" t="s">
        <v>30273</v>
      </c>
      <c r="GN65" s="497" t="s">
        <v>4</v>
      </c>
      <c r="GO65" s="497" t="s">
        <v>29451</v>
      </c>
      <c r="GP65" s="497" t="s">
        <v>4</v>
      </c>
      <c r="GQ65" s="497" t="s">
        <v>4</v>
      </c>
      <c r="GR65" s="497" t="s">
        <v>4</v>
      </c>
      <c r="GS65" s="497" t="s">
        <v>4</v>
      </c>
      <c r="GT65" s="497" t="s">
        <v>29354</v>
      </c>
      <c r="GU65" s="497" t="s">
        <v>4</v>
      </c>
      <c r="GV65" s="494">
        <v>50</v>
      </c>
      <c r="GW65" s="497" t="s">
        <v>2</v>
      </c>
      <c r="GX65" s="497" t="s">
        <v>29309</v>
      </c>
      <c r="GY65" s="497" t="s">
        <v>4</v>
      </c>
      <c r="GZ65" s="497" t="s">
        <v>4</v>
      </c>
      <c r="HA65" s="497" t="s">
        <v>4</v>
      </c>
      <c r="HB65" s="497" t="s">
        <v>4</v>
      </c>
      <c r="HC65" s="497" t="s">
        <v>4</v>
      </c>
      <c r="HD65" s="497" t="s">
        <v>4</v>
      </c>
      <c r="HE65" s="497" t="s">
        <v>4</v>
      </c>
      <c r="HF65" s="497" t="s">
        <v>4</v>
      </c>
      <c r="HG65" s="497" t="s">
        <v>2</v>
      </c>
      <c r="HH65" s="497" t="s">
        <v>4</v>
      </c>
      <c r="HI65" s="497" t="s">
        <v>4</v>
      </c>
      <c r="HJ65" s="497" t="s">
        <v>4</v>
      </c>
      <c r="HK65" s="494" t="s">
        <v>4</v>
      </c>
      <c r="HL65" s="497" t="s">
        <v>34632</v>
      </c>
      <c r="HM65" s="497" t="s">
        <v>2</v>
      </c>
      <c r="HN65" s="497" t="s">
        <v>4</v>
      </c>
      <c r="HO65" s="497" t="s">
        <v>34633</v>
      </c>
      <c r="HP65" s="497" t="s">
        <v>34634</v>
      </c>
      <c r="HQ65" s="497" t="s">
        <v>34635</v>
      </c>
      <c r="HR65" s="497" t="s">
        <v>34636</v>
      </c>
      <c r="HS65" s="497" t="s">
        <v>34637</v>
      </c>
      <c r="HT65" s="500" t="s">
        <v>34626</v>
      </c>
    </row>
    <row r="66" spans="1:228" s="570" customFormat="1" ht="30.2" customHeight="1" x14ac:dyDescent="0.25">
      <c r="A66" s="759"/>
      <c r="B66" s="496">
        <v>115</v>
      </c>
      <c r="C66" s="496" t="s">
        <v>23353</v>
      </c>
      <c r="D66" s="497" t="s">
        <v>34649</v>
      </c>
      <c r="E66" s="497" t="s">
        <v>34639</v>
      </c>
      <c r="F66" s="497" t="s">
        <v>7</v>
      </c>
      <c r="G66" s="497" t="s">
        <v>34650</v>
      </c>
      <c r="H66" s="497">
        <v>1376.8</v>
      </c>
      <c r="I66" s="497">
        <v>4.2</v>
      </c>
      <c r="J66" s="497" t="s">
        <v>29319</v>
      </c>
      <c r="K66" s="497" t="s">
        <v>4</v>
      </c>
      <c r="L66" s="497" t="s">
        <v>23354</v>
      </c>
      <c r="M66" s="497">
        <v>782727393</v>
      </c>
      <c r="N66" s="497" t="s">
        <v>5</v>
      </c>
      <c r="O66" s="497" t="s">
        <v>31438</v>
      </c>
      <c r="P66" s="497">
        <v>85</v>
      </c>
      <c r="Q66" s="497">
        <v>12</v>
      </c>
      <c r="R66" s="497" t="s">
        <v>7</v>
      </c>
      <c r="S66" s="497" t="s">
        <v>31549</v>
      </c>
      <c r="T66" s="497" t="s">
        <v>4</v>
      </c>
      <c r="U66" s="497" t="s">
        <v>7</v>
      </c>
      <c r="V66" s="497" t="s">
        <v>7</v>
      </c>
      <c r="W66" s="497" t="s">
        <v>4</v>
      </c>
      <c r="X66" s="497" t="s">
        <v>7</v>
      </c>
      <c r="Y66" s="497" t="s">
        <v>4</v>
      </c>
      <c r="Z66" s="497" t="s">
        <v>4</v>
      </c>
      <c r="AA66" s="241" t="str">
        <f>IF(OR(U66="yes",Z66&gt;'SDG outcome'!$C$39),"yes","no")</f>
        <v>yes</v>
      </c>
      <c r="AB66" s="521" t="str">
        <f t="shared" si="0"/>
        <v>NA</v>
      </c>
      <c r="AC66" s="527" t="str">
        <f>IF(AND('SMS p2'!AA127="no",AND(Z66&gt;='SDG outcome'!$B$28,Z66&lt;'SDG outcome'!$C$39)),Z66-'SDG outcome'!$B$28,"")</f>
        <v/>
      </c>
      <c r="AD66" s="497" t="s">
        <v>4</v>
      </c>
      <c r="AE66" s="497" t="s">
        <v>4</v>
      </c>
      <c r="AF66" s="497" t="s">
        <v>4</v>
      </c>
      <c r="AG66" s="497" t="s">
        <v>4</v>
      </c>
      <c r="AH66" s="497" t="s">
        <v>4</v>
      </c>
      <c r="AI66" s="497" t="s">
        <v>4</v>
      </c>
      <c r="AJ66" s="497" t="s">
        <v>4</v>
      </c>
      <c r="AK66" s="497" t="s">
        <v>29290</v>
      </c>
      <c r="AL66" s="497" t="s">
        <v>29694</v>
      </c>
      <c r="AM66" s="497" t="s">
        <v>4</v>
      </c>
      <c r="AN66" s="497" t="s">
        <v>4</v>
      </c>
      <c r="AO66" s="497" t="s">
        <v>31718</v>
      </c>
      <c r="AP66" s="497" t="s">
        <v>4</v>
      </c>
      <c r="AQ66" s="497" t="s">
        <v>31600</v>
      </c>
      <c r="AR66" s="497" t="s">
        <v>4</v>
      </c>
      <c r="AS66" s="497" t="s">
        <v>31538</v>
      </c>
      <c r="AT66" s="497" t="s">
        <v>4</v>
      </c>
      <c r="AU66" s="497" t="s">
        <v>7</v>
      </c>
      <c r="AV66" s="497" t="s">
        <v>4</v>
      </c>
      <c r="AW66" s="497" t="s">
        <v>4</v>
      </c>
      <c r="AX66" s="497" t="s">
        <v>2</v>
      </c>
      <c r="AY66" s="497" t="s">
        <v>4</v>
      </c>
      <c r="AZ66" s="497" t="s">
        <v>4</v>
      </c>
      <c r="BA66" s="497" t="s">
        <v>31540</v>
      </c>
      <c r="BB66" s="497" t="s">
        <v>22</v>
      </c>
      <c r="BC66" s="497" t="s">
        <v>4</v>
      </c>
      <c r="BD66" s="501" t="s">
        <v>31564</v>
      </c>
      <c r="BE66" s="497" t="s">
        <v>4</v>
      </c>
      <c r="BF66" s="497" t="s">
        <v>31591</v>
      </c>
      <c r="BG66" s="497" t="s">
        <v>34651</v>
      </c>
      <c r="BH66" s="497" t="s">
        <v>31616</v>
      </c>
      <c r="BI66" s="497">
        <v>2</v>
      </c>
      <c r="BJ66" s="497">
        <v>50</v>
      </c>
      <c r="BK66" s="497" t="s">
        <v>7</v>
      </c>
      <c r="BL66" s="497" t="s">
        <v>6</v>
      </c>
      <c r="BM66" s="497" t="s">
        <v>4</v>
      </c>
      <c r="BN66" s="497" t="s">
        <v>31425</v>
      </c>
      <c r="BO66" s="497">
        <v>1</v>
      </c>
      <c r="BP66" s="497">
        <v>20</v>
      </c>
      <c r="BQ66" s="497" t="s">
        <v>31435</v>
      </c>
      <c r="BR66" s="499" t="s">
        <v>33332</v>
      </c>
      <c r="BS66" s="497" t="s">
        <v>4</v>
      </c>
      <c r="BT66" s="497">
        <v>1</v>
      </c>
      <c r="BU66" s="494" cm="1">
        <f t="array" ref="BU66">_xlfn.IFS(BQ66="Foreword vehicle",BT66*0,BQ66="Human wastes",BT66*0,BS66="Jerrycans",BT66*$BT$4,BQ66="Number of Basins",BT66*$BT$5,BQ66="Number of Buckets",BT66*$BT$6,BQ66="Number of Kgs",BT66*$BT$7,BQ66="Number of spades",BT66*$BT$8,BQ66="Number of wheelbarrows",BT66*$BT$9,BS66="Septic Tank",BT66*0)</f>
        <v>70.5</v>
      </c>
      <c r="BV66" s="494">
        <f>Table15[[#This Row],[Calculation: Conversion of metric to Kg manure feeding (Columns: BP, BQ, BR)]]*Table15[[#This Row],[Number of times used to feed biodigester]]</f>
        <v>70.5</v>
      </c>
      <c r="BW66" s="495" cm="1">
        <f t="array" ref="BW66">_xlfn.IFS(BN66="Number of times per day (1 to 3)",BV66/$BW$3,BN66="Number of times per week (1 to 6)",BV66/$BW$4,BN66="Number of times per Month (1 to 3)",BV66/$BW$5)</f>
        <v>70.5</v>
      </c>
      <c r="BX66" s="497" t="s">
        <v>22</v>
      </c>
      <c r="BY66" s="497" t="s">
        <v>4</v>
      </c>
      <c r="BZ66" s="497" t="s">
        <v>2</v>
      </c>
      <c r="CA66" s="497" t="s">
        <v>4</v>
      </c>
      <c r="CB66" s="497" t="s">
        <v>4</v>
      </c>
      <c r="CC66" s="497" t="s">
        <v>4</v>
      </c>
      <c r="CD66" s="497" t="s">
        <v>7</v>
      </c>
      <c r="CE66" s="497" t="s">
        <v>34652</v>
      </c>
      <c r="CF66" s="497" t="s">
        <v>4</v>
      </c>
      <c r="CG66" s="497" t="s">
        <v>31813</v>
      </c>
      <c r="CH66" s="497">
        <v>0</v>
      </c>
      <c r="CI66" s="497">
        <v>40</v>
      </c>
      <c r="CJ66" s="497">
        <v>0</v>
      </c>
      <c r="CK66" s="497">
        <v>0</v>
      </c>
      <c r="CL66" s="497">
        <v>15</v>
      </c>
      <c r="CM66" s="497">
        <v>0</v>
      </c>
      <c r="CN66" s="497">
        <v>0</v>
      </c>
      <c r="CO66" s="497">
        <v>0</v>
      </c>
      <c r="CP66" s="497">
        <v>0</v>
      </c>
      <c r="CQ66" s="497">
        <v>0</v>
      </c>
      <c r="CR66" s="497">
        <f>IF(Table15[[#This Row],[Is your biodigester working?]]="yes",CO66/'SDG outcome'!$C$9*CP66*CQ66,"")</f>
        <v>0</v>
      </c>
      <c r="CS66" s="497" t="s">
        <v>4</v>
      </c>
      <c r="CT66" s="500" t="s">
        <v>4</v>
      </c>
      <c r="CU66" s="496" t="s">
        <v>4</v>
      </c>
      <c r="CV66" s="497">
        <v>20</v>
      </c>
      <c r="CW66" s="500">
        <v>80</v>
      </c>
      <c r="CX66" s="496" t="s">
        <v>34653</v>
      </c>
      <c r="CY66" s="497" t="s">
        <v>4</v>
      </c>
      <c r="CZ66" s="500" t="s">
        <v>4</v>
      </c>
      <c r="DA66" s="496" t="s">
        <v>4</v>
      </c>
      <c r="DB66" s="497" t="s">
        <v>4</v>
      </c>
      <c r="DC66" s="497" t="s">
        <v>4</v>
      </c>
      <c r="DD66" s="497" t="s">
        <v>4</v>
      </c>
      <c r="DE66" s="497" t="s">
        <v>4</v>
      </c>
      <c r="DF66" s="497" t="s">
        <v>4</v>
      </c>
      <c r="DG66" s="497" t="s">
        <v>4</v>
      </c>
      <c r="DH66" s="497" t="s">
        <v>4</v>
      </c>
      <c r="DI66" s="497" t="s">
        <v>4</v>
      </c>
      <c r="DJ66" s="497" t="s">
        <v>4</v>
      </c>
      <c r="DK66" s="497">
        <v>0</v>
      </c>
      <c r="DL66" s="497">
        <v>100</v>
      </c>
      <c r="DM66" s="497" t="s">
        <v>34654</v>
      </c>
      <c r="DN66" s="497">
        <v>2</v>
      </c>
      <c r="DO66" s="497" t="s">
        <v>2</v>
      </c>
      <c r="DP66" s="497" t="s">
        <v>29292</v>
      </c>
      <c r="DQ66" s="497" t="s">
        <v>4</v>
      </c>
      <c r="DR66" s="497" t="s">
        <v>29294</v>
      </c>
      <c r="DS66" s="494" t="s">
        <v>4</v>
      </c>
      <c r="DT66" s="497" t="s">
        <v>29294</v>
      </c>
      <c r="DU66" s="494" t="s">
        <v>4</v>
      </c>
      <c r="DV66" s="500" t="s">
        <v>29508</v>
      </c>
      <c r="DW66" s="496" t="s">
        <v>4</v>
      </c>
      <c r="DX66" s="497" t="s">
        <v>4</v>
      </c>
      <c r="DY66" s="497" t="s">
        <v>4</v>
      </c>
      <c r="DZ66" s="497" t="s">
        <v>4</v>
      </c>
      <c r="EA66" s="497" t="s">
        <v>4</v>
      </c>
      <c r="EB66" s="497" t="s">
        <v>4</v>
      </c>
      <c r="EC66" s="497" t="s">
        <v>4</v>
      </c>
      <c r="ED66" s="497">
        <v>100</v>
      </c>
      <c r="EE66" s="497" t="s">
        <v>29719</v>
      </c>
      <c r="EF66" s="497" t="s">
        <v>4</v>
      </c>
      <c r="EG66" s="497" t="s">
        <v>4</v>
      </c>
      <c r="EH66" s="497" t="s">
        <v>4</v>
      </c>
      <c r="EI66" s="497" t="s">
        <v>4</v>
      </c>
      <c r="EJ66" s="497">
        <v>100</v>
      </c>
      <c r="EK66" s="497" t="s">
        <v>4</v>
      </c>
      <c r="EL66" s="497" t="s">
        <v>4</v>
      </c>
      <c r="EM66" s="497">
        <v>30</v>
      </c>
      <c r="EN66" s="497" t="s">
        <v>4</v>
      </c>
      <c r="EO66" s="497" t="s">
        <v>4</v>
      </c>
      <c r="EP66" s="497" t="s">
        <v>4</v>
      </c>
      <c r="EQ66" s="497" t="s">
        <v>29296</v>
      </c>
      <c r="ER66" s="497">
        <v>100</v>
      </c>
      <c r="ES66" s="497" t="s">
        <v>4</v>
      </c>
      <c r="ET66" s="497" t="s">
        <v>4</v>
      </c>
      <c r="EU66" s="497" t="s">
        <v>4</v>
      </c>
      <c r="EV66" s="497" t="s">
        <v>4</v>
      </c>
      <c r="EW66" s="497">
        <v>20</v>
      </c>
      <c r="EX66" s="497" t="s">
        <v>7</v>
      </c>
      <c r="EY66" s="497">
        <v>5</v>
      </c>
      <c r="EZ66" s="239">
        <f t="shared" si="2"/>
        <v>1</v>
      </c>
      <c r="FA66" s="497" t="s">
        <v>29952</v>
      </c>
      <c r="FB66" s="497" t="s">
        <v>29298</v>
      </c>
      <c r="FC66" s="497">
        <v>36</v>
      </c>
      <c r="FD66" s="497" t="s">
        <v>7</v>
      </c>
      <c r="FE66" s="497" t="s">
        <v>29393</v>
      </c>
      <c r="FF66" s="497" t="s">
        <v>4</v>
      </c>
      <c r="FG66" s="497" t="s">
        <v>7</v>
      </c>
      <c r="FH66" s="497" t="s">
        <v>29393</v>
      </c>
      <c r="FI66" s="497" t="s">
        <v>4</v>
      </c>
      <c r="FJ66" s="497" t="s">
        <v>13</v>
      </c>
      <c r="FK66" s="497" t="s">
        <v>34655</v>
      </c>
      <c r="FL66" s="497" t="s">
        <v>4</v>
      </c>
      <c r="FM66" s="497" t="s">
        <v>4</v>
      </c>
      <c r="FN66" s="494" t="s">
        <v>4</v>
      </c>
      <c r="FO66" s="497" t="s">
        <v>4</v>
      </c>
      <c r="FP66" s="497" t="s">
        <v>2</v>
      </c>
      <c r="FQ66" s="497" t="s">
        <v>4</v>
      </c>
      <c r="FR66" s="497" t="s">
        <v>4</v>
      </c>
      <c r="FS66" s="497" t="s">
        <v>7</v>
      </c>
      <c r="FT66" s="497" t="s">
        <v>7</v>
      </c>
      <c r="FU66" s="497" t="s">
        <v>29302</v>
      </c>
      <c r="FV66" s="497" t="s">
        <v>33473</v>
      </c>
      <c r="FW66" s="497" t="s">
        <v>4</v>
      </c>
      <c r="FX66" s="497">
        <v>0</v>
      </c>
      <c r="FY66" s="497" t="s">
        <v>4</v>
      </c>
      <c r="FZ66" s="497" t="s">
        <v>4</v>
      </c>
      <c r="GA66" s="497" t="s">
        <v>4</v>
      </c>
      <c r="GB66" s="497" t="s">
        <v>4</v>
      </c>
      <c r="GC66" s="497" t="s">
        <v>4</v>
      </c>
      <c r="GD66" s="497" t="s">
        <v>4</v>
      </c>
      <c r="GE66" s="497" t="s">
        <v>4</v>
      </c>
      <c r="GF66" s="497" t="s">
        <v>4</v>
      </c>
      <c r="GG66" s="497" t="s">
        <v>4</v>
      </c>
      <c r="GH66" s="497" t="s">
        <v>4</v>
      </c>
      <c r="GI66" s="497" t="s">
        <v>29304</v>
      </c>
      <c r="GJ66" s="497" t="s">
        <v>29305</v>
      </c>
      <c r="GK66" s="497" t="s">
        <v>29306</v>
      </c>
      <c r="GL66" s="497" t="s">
        <v>4</v>
      </c>
      <c r="GM66" s="497" t="s">
        <v>4</v>
      </c>
      <c r="GN66" s="497" t="s">
        <v>4</v>
      </c>
      <c r="GO66" s="497" t="s">
        <v>4</v>
      </c>
      <c r="GP66" s="497" t="s">
        <v>4</v>
      </c>
      <c r="GQ66" s="497" t="s">
        <v>4</v>
      </c>
      <c r="GR66" s="497" t="s">
        <v>4</v>
      </c>
      <c r="GS66" s="497" t="s">
        <v>4</v>
      </c>
      <c r="GT66" s="497" t="s">
        <v>29410</v>
      </c>
      <c r="GU66" s="497" t="s">
        <v>4</v>
      </c>
      <c r="GV66" s="494">
        <v>150</v>
      </c>
      <c r="GW66" s="497" t="s">
        <v>29325</v>
      </c>
      <c r="GX66" s="497" t="s">
        <v>29837</v>
      </c>
      <c r="GY66" s="497" t="s">
        <v>4</v>
      </c>
      <c r="GZ66" s="497" t="s">
        <v>4</v>
      </c>
      <c r="HA66" s="497" t="s">
        <v>4</v>
      </c>
      <c r="HB66" s="497" t="s">
        <v>4</v>
      </c>
      <c r="HC66" s="497" t="s">
        <v>4</v>
      </c>
      <c r="HD66" s="497" t="s">
        <v>4</v>
      </c>
      <c r="HE66" s="497" t="s">
        <v>4</v>
      </c>
      <c r="HF66" s="497" t="s">
        <v>4</v>
      </c>
      <c r="HG66" s="497" t="s">
        <v>2</v>
      </c>
      <c r="HH66" s="497" t="s">
        <v>4</v>
      </c>
      <c r="HI66" s="497" t="s">
        <v>4</v>
      </c>
      <c r="HJ66" s="497" t="s">
        <v>4</v>
      </c>
      <c r="HK66" s="494" t="s">
        <v>4</v>
      </c>
      <c r="HL66" s="497" t="s">
        <v>34656</v>
      </c>
      <c r="HM66" s="497" t="s">
        <v>2</v>
      </c>
      <c r="HN66" s="497" t="s">
        <v>4</v>
      </c>
      <c r="HO66" s="497" t="s">
        <v>34657</v>
      </c>
      <c r="HP66" s="497" t="s">
        <v>34658</v>
      </c>
      <c r="HQ66" s="497" t="s">
        <v>34659</v>
      </c>
      <c r="HR66" s="497" t="s">
        <v>34660</v>
      </c>
      <c r="HS66" s="497" t="s">
        <v>34661</v>
      </c>
      <c r="HT66" s="500" t="s">
        <v>34649</v>
      </c>
    </row>
    <row r="67" spans="1:228" s="570" customFormat="1" ht="30.2" customHeight="1" x14ac:dyDescent="0.25">
      <c r="A67" s="759"/>
      <c r="B67" s="496">
        <v>124</v>
      </c>
      <c r="C67" s="496" t="s">
        <v>20167</v>
      </c>
      <c r="D67" s="497" t="s">
        <v>34751</v>
      </c>
      <c r="E67" s="497" t="s">
        <v>34639</v>
      </c>
      <c r="F67" s="497" t="s">
        <v>7</v>
      </c>
      <c r="G67" s="497" t="s">
        <v>34752</v>
      </c>
      <c r="H67" s="497">
        <v>1589.3</v>
      </c>
      <c r="I67" s="497">
        <v>5</v>
      </c>
      <c r="J67" s="497" t="s">
        <v>29319</v>
      </c>
      <c r="K67" s="497" t="s">
        <v>4</v>
      </c>
      <c r="L67" s="497" t="s">
        <v>34753</v>
      </c>
      <c r="M67" s="497">
        <v>752341805</v>
      </c>
      <c r="N67" s="497" t="s">
        <v>5</v>
      </c>
      <c r="O67" s="497" t="s">
        <v>31438</v>
      </c>
      <c r="P67" s="497">
        <v>55</v>
      </c>
      <c r="Q67" s="497">
        <v>6</v>
      </c>
      <c r="R67" s="497" t="s">
        <v>7</v>
      </c>
      <c r="S67" s="497" t="s">
        <v>31549</v>
      </c>
      <c r="T67" s="497" t="s">
        <v>4</v>
      </c>
      <c r="U67" s="497" t="s">
        <v>7</v>
      </c>
      <c r="V67" s="497" t="s">
        <v>7</v>
      </c>
      <c r="W67" s="497" t="s">
        <v>4</v>
      </c>
      <c r="X67" s="497" t="s">
        <v>7</v>
      </c>
      <c r="Y67" s="497" t="s">
        <v>4</v>
      </c>
      <c r="Z67" s="497" t="s">
        <v>4</v>
      </c>
      <c r="AA67" s="241" t="str">
        <f>IF(OR(U67="yes",Z67&gt;'SDG outcome'!$C$39),"yes","no")</f>
        <v>yes</v>
      </c>
      <c r="AB67" s="521" t="str">
        <f t="shared" si="0"/>
        <v>NA</v>
      </c>
      <c r="AC67" s="527" t="str">
        <f>IF(AND('SMS p2'!AA136="no",AND(Z67&gt;='SDG outcome'!$B$28,Z67&lt;'SDG outcome'!$C$39)),Z67-'SDG outcome'!$B$28,"")</f>
        <v/>
      </c>
      <c r="AD67" s="497" t="s">
        <v>4</v>
      </c>
      <c r="AE67" s="497" t="s">
        <v>4</v>
      </c>
      <c r="AF67" s="497" t="s">
        <v>4</v>
      </c>
      <c r="AG67" s="497" t="s">
        <v>4</v>
      </c>
      <c r="AH67" s="497" t="s">
        <v>4</v>
      </c>
      <c r="AI67" s="497" t="s">
        <v>4</v>
      </c>
      <c r="AJ67" s="497" t="s">
        <v>4</v>
      </c>
      <c r="AK67" s="497" t="s">
        <v>29290</v>
      </c>
      <c r="AL67" s="497" t="s">
        <v>29694</v>
      </c>
      <c r="AM67" s="497" t="s">
        <v>4</v>
      </c>
      <c r="AN67" s="497" t="s">
        <v>4</v>
      </c>
      <c r="AO67" s="497" t="s">
        <v>31718</v>
      </c>
      <c r="AP67" s="497" t="s">
        <v>4</v>
      </c>
      <c r="AQ67" s="497" t="s">
        <v>31537</v>
      </c>
      <c r="AR67" s="497" t="s">
        <v>4</v>
      </c>
      <c r="AS67" s="497" t="s">
        <v>31538</v>
      </c>
      <c r="AT67" s="497" t="s">
        <v>4</v>
      </c>
      <c r="AU67" s="497" t="s">
        <v>7</v>
      </c>
      <c r="AV67" s="497" t="s">
        <v>4</v>
      </c>
      <c r="AW67" s="497" t="s">
        <v>4</v>
      </c>
      <c r="AX67" s="497" t="s">
        <v>7</v>
      </c>
      <c r="AY67" s="497" t="s">
        <v>11</v>
      </c>
      <c r="AZ67" s="497" t="s">
        <v>4</v>
      </c>
      <c r="BA67" s="497" t="s">
        <v>31540</v>
      </c>
      <c r="BB67" s="497" t="s">
        <v>22</v>
      </c>
      <c r="BC67" s="497" t="s">
        <v>4</v>
      </c>
      <c r="BD67" s="497" t="s">
        <v>31564</v>
      </c>
      <c r="BE67" s="497" t="s">
        <v>4</v>
      </c>
      <c r="BF67" s="497" t="s">
        <v>31542</v>
      </c>
      <c r="BG67" s="497" t="s">
        <v>34754</v>
      </c>
      <c r="BH67" s="497" t="s">
        <v>31616</v>
      </c>
      <c r="BI67" s="497">
        <v>1</v>
      </c>
      <c r="BJ67" s="497">
        <v>60</v>
      </c>
      <c r="BK67" s="497" t="s">
        <v>7</v>
      </c>
      <c r="BL67" s="497" t="s">
        <v>6</v>
      </c>
      <c r="BM67" s="497" t="s">
        <v>4</v>
      </c>
      <c r="BN67" s="497" t="s">
        <v>31429</v>
      </c>
      <c r="BO67" s="497">
        <v>3</v>
      </c>
      <c r="BP67" s="497">
        <v>30</v>
      </c>
      <c r="BQ67" s="497" t="s">
        <v>31426</v>
      </c>
      <c r="BR67" s="499" t="s">
        <v>33361</v>
      </c>
      <c r="BS67" s="497" t="s">
        <v>4</v>
      </c>
      <c r="BT67" s="497">
        <v>2</v>
      </c>
      <c r="BU67" s="494" cm="1">
        <f t="array" ref="BU67">_xlfn.IFS(BQ67="Foreword vehicle",BT67*0,BQ67="Human wastes",BT67*0,BS67="Jerrycans",BT67*$BT$4,BQ67="Number of Basins",BT67*$BT$5,BQ67="Number of Buckets",BT67*$BS$6,BQ67="Number of Kgs",BT67*$BT$7,BQ67="Number of spades",BT67*$BT$8,BQ67="Number of wheelbarrows",BT67*$BT$9,BS67="Septic Tank",BT67*0)</f>
        <v>47</v>
      </c>
      <c r="BV67" s="494">
        <f>Table15[[#This Row],[Calculation: Conversion of metric to Kg manure feeding (Columns: BP, BQ, BR)]]*Table15[[#This Row],[Number of times used to feed biodigester]]</f>
        <v>141</v>
      </c>
      <c r="BW67" s="495" cm="1">
        <f t="array" ref="BW67">_xlfn.IFS(BN67="Number of times per day (1 to 3)",BV67/$BW$3,BN67="Number of times per week (1 to 6)",BV67/$BW$4,BN67="Number of times per Month (1 to 3)",BV67/$BW$5)</f>
        <v>20.142857142857142</v>
      </c>
      <c r="BX67" s="497" t="s">
        <v>31552</v>
      </c>
      <c r="BY67" s="497" t="s">
        <v>4</v>
      </c>
      <c r="BZ67" s="497" t="s">
        <v>2</v>
      </c>
      <c r="CA67" s="497" t="s">
        <v>4</v>
      </c>
      <c r="CB67" s="497" t="s">
        <v>4</v>
      </c>
      <c r="CC67" s="497" t="s">
        <v>4</v>
      </c>
      <c r="CD67" s="497" t="s">
        <v>7</v>
      </c>
      <c r="CE67" s="497" t="s">
        <v>34755</v>
      </c>
      <c r="CF67" s="497" t="s">
        <v>4</v>
      </c>
      <c r="CG67" s="497" t="s">
        <v>33334</v>
      </c>
      <c r="CH67" s="497">
        <v>0</v>
      </c>
      <c r="CI67" s="497">
        <v>3</v>
      </c>
      <c r="CJ67" s="497">
        <v>0</v>
      </c>
      <c r="CK67" s="497">
        <v>0</v>
      </c>
      <c r="CL67" s="497">
        <v>4</v>
      </c>
      <c r="CM67" s="497">
        <v>100</v>
      </c>
      <c r="CN67" s="497">
        <v>0</v>
      </c>
      <c r="CO67" s="497">
        <v>0</v>
      </c>
      <c r="CP67" s="497">
        <v>0</v>
      </c>
      <c r="CQ67" s="497">
        <v>0</v>
      </c>
      <c r="CR67" s="497">
        <f>IF(Table15[[#This Row],[Is your biodigester working?]]="yes",CO67/'SDG outcome'!$C$9*CP67*CQ67,"")</f>
        <v>0</v>
      </c>
      <c r="CS67" s="497" t="s">
        <v>4</v>
      </c>
      <c r="CT67" s="500" t="s">
        <v>4</v>
      </c>
      <c r="CU67" s="496" t="s">
        <v>4</v>
      </c>
      <c r="CV67" s="497">
        <v>100</v>
      </c>
      <c r="CW67" s="500">
        <v>0</v>
      </c>
      <c r="CX67" s="496" t="s">
        <v>4</v>
      </c>
      <c r="CY67" s="497" t="s">
        <v>4</v>
      </c>
      <c r="CZ67" s="500" t="s">
        <v>4</v>
      </c>
      <c r="DA67" s="496" t="s">
        <v>4</v>
      </c>
      <c r="DB67" s="497" t="s">
        <v>4</v>
      </c>
      <c r="DC67" s="497" t="s">
        <v>4</v>
      </c>
      <c r="DD67" s="497" t="s">
        <v>4</v>
      </c>
      <c r="DE67" s="497">
        <v>0</v>
      </c>
      <c r="DF67" s="497">
        <v>100</v>
      </c>
      <c r="DG67" s="497" t="s">
        <v>34756</v>
      </c>
      <c r="DH67" s="497" t="s">
        <v>4</v>
      </c>
      <c r="DI67" s="497" t="s">
        <v>4</v>
      </c>
      <c r="DJ67" s="497" t="s">
        <v>4</v>
      </c>
      <c r="DK67" s="497">
        <v>0</v>
      </c>
      <c r="DL67" s="497">
        <v>100</v>
      </c>
      <c r="DM67" s="497" t="s">
        <v>34757</v>
      </c>
      <c r="DN67" s="497">
        <v>1</v>
      </c>
      <c r="DO67" s="497" t="s">
        <v>7</v>
      </c>
      <c r="DP67" s="497" t="s">
        <v>29292</v>
      </c>
      <c r="DQ67" s="497" t="s">
        <v>4</v>
      </c>
      <c r="DR67" s="497" t="s">
        <v>29293</v>
      </c>
      <c r="DS67" s="494">
        <v>20000</v>
      </c>
      <c r="DT67" s="497" t="s">
        <v>29294</v>
      </c>
      <c r="DU67" s="494" t="s">
        <v>4</v>
      </c>
      <c r="DV67" s="500" t="s">
        <v>29442</v>
      </c>
      <c r="DW67" s="496">
        <v>10</v>
      </c>
      <c r="DX67" s="497" t="s">
        <v>29296</v>
      </c>
      <c r="DY67" s="497">
        <v>100</v>
      </c>
      <c r="DZ67" s="497" t="s">
        <v>4</v>
      </c>
      <c r="EA67" s="497" t="s">
        <v>4</v>
      </c>
      <c r="EB67" s="497" t="s">
        <v>4</v>
      </c>
      <c r="EC67" s="497" t="s">
        <v>4</v>
      </c>
      <c r="ED67" s="497">
        <v>90</v>
      </c>
      <c r="EE67" s="497" t="s">
        <v>31012</v>
      </c>
      <c r="EF67" s="497" t="s">
        <v>4</v>
      </c>
      <c r="EG67" s="497" t="s">
        <v>4</v>
      </c>
      <c r="EH67" s="497" t="s">
        <v>4</v>
      </c>
      <c r="EI67" s="497" t="s">
        <v>4</v>
      </c>
      <c r="EJ67" s="497" t="s">
        <v>4</v>
      </c>
      <c r="EK67" s="497">
        <v>100</v>
      </c>
      <c r="EL67" s="497" t="s">
        <v>4</v>
      </c>
      <c r="EM67" s="497">
        <v>60</v>
      </c>
      <c r="EN67" s="497" t="s">
        <v>4</v>
      </c>
      <c r="EO67" s="497" t="s">
        <v>4</v>
      </c>
      <c r="EP67" s="497" t="s">
        <v>4</v>
      </c>
      <c r="EQ67" s="497" t="s">
        <v>29296</v>
      </c>
      <c r="ER67" s="497">
        <v>100</v>
      </c>
      <c r="ES67" s="497" t="s">
        <v>4</v>
      </c>
      <c r="ET67" s="497" t="s">
        <v>4</v>
      </c>
      <c r="EU67" s="497" t="s">
        <v>4</v>
      </c>
      <c r="EV67" s="497" t="s">
        <v>4</v>
      </c>
      <c r="EW67" s="497">
        <v>2</v>
      </c>
      <c r="EX67" s="497" t="s">
        <v>7</v>
      </c>
      <c r="EY67" s="497">
        <v>50</v>
      </c>
      <c r="EZ67" s="239">
        <f t="shared" si="2"/>
        <v>1</v>
      </c>
      <c r="FA67" s="497" t="s">
        <v>34758</v>
      </c>
      <c r="FB67" s="497" t="s">
        <v>29298</v>
      </c>
      <c r="FC67" s="497">
        <v>156</v>
      </c>
      <c r="FD67" s="497" t="s">
        <v>2</v>
      </c>
      <c r="FE67" s="497" t="s">
        <v>4</v>
      </c>
      <c r="FF67" s="497" t="s">
        <v>4</v>
      </c>
      <c r="FG67" s="497" t="s">
        <v>7</v>
      </c>
      <c r="FH67" s="497" t="s">
        <v>29393</v>
      </c>
      <c r="FI67" s="497" t="s">
        <v>4</v>
      </c>
      <c r="FJ67" s="497" t="s">
        <v>29477</v>
      </c>
      <c r="FK67" s="497" t="s">
        <v>4</v>
      </c>
      <c r="FL67" s="497" t="s">
        <v>4</v>
      </c>
      <c r="FM67" s="497" t="s">
        <v>4</v>
      </c>
      <c r="FN67" s="494" t="s">
        <v>4</v>
      </c>
      <c r="FO67" s="497" t="s">
        <v>4</v>
      </c>
      <c r="FP67" s="497" t="s">
        <v>7</v>
      </c>
      <c r="FQ67" s="497" t="s">
        <v>29526</v>
      </c>
      <c r="FR67" s="497" t="s">
        <v>34759</v>
      </c>
      <c r="FS67" s="497" t="s">
        <v>7</v>
      </c>
      <c r="FT67" s="497" t="s">
        <v>7</v>
      </c>
      <c r="FU67" s="497" t="s">
        <v>29302</v>
      </c>
      <c r="FV67" s="497" t="s">
        <v>33473</v>
      </c>
      <c r="FW67" s="497" t="s">
        <v>4</v>
      </c>
      <c r="FX67" s="497">
        <v>0</v>
      </c>
      <c r="FY67" s="497" t="s">
        <v>4</v>
      </c>
      <c r="FZ67" s="497" t="s">
        <v>4</v>
      </c>
      <c r="GA67" s="497" t="s">
        <v>4</v>
      </c>
      <c r="GB67" s="497" t="s">
        <v>4</v>
      </c>
      <c r="GC67" s="497" t="s">
        <v>4</v>
      </c>
      <c r="GD67" s="497" t="s">
        <v>4</v>
      </c>
      <c r="GE67" s="497" t="s">
        <v>4</v>
      </c>
      <c r="GF67" s="497" t="s">
        <v>4</v>
      </c>
      <c r="GG67" s="497" t="s">
        <v>4</v>
      </c>
      <c r="GH67" s="497" t="s">
        <v>4</v>
      </c>
      <c r="GI67" s="497" t="s">
        <v>29304</v>
      </c>
      <c r="GJ67" s="497" t="s">
        <v>29305</v>
      </c>
      <c r="GK67" s="497" t="s">
        <v>29339</v>
      </c>
      <c r="GL67" s="497" t="s">
        <v>4</v>
      </c>
      <c r="GM67" s="497" t="s">
        <v>4</v>
      </c>
      <c r="GN67" s="497" t="s">
        <v>4</v>
      </c>
      <c r="GO67" s="497" t="s">
        <v>4</v>
      </c>
      <c r="GP67" s="497" t="s">
        <v>4</v>
      </c>
      <c r="GQ67" s="497" t="s">
        <v>4</v>
      </c>
      <c r="GR67" s="497" t="s">
        <v>4</v>
      </c>
      <c r="GS67" s="497" t="s">
        <v>4</v>
      </c>
      <c r="GT67" s="497" t="s">
        <v>29307</v>
      </c>
      <c r="GU67" s="497" t="s">
        <v>34760</v>
      </c>
      <c r="GV67" s="494">
        <v>20</v>
      </c>
      <c r="GW67" s="497" t="s">
        <v>2</v>
      </c>
      <c r="GX67" s="497" t="s">
        <v>29837</v>
      </c>
      <c r="GY67" s="497" t="s">
        <v>4</v>
      </c>
      <c r="GZ67" s="497" t="s">
        <v>4</v>
      </c>
      <c r="HA67" s="497" t="s">
        <v>4</v>
      </c>
      <c r="HB67" s="497" t="s">
        <v>4</v>
      </c>
      <c r="HC67" s="497" t="s">
        <v>4</v>
      </c>
      <c r="HD67" s="497" t="s">
        <v>4</v>
      </c>
      <c r="HE67" s="497" t="s">
        <v>4</v>
      </c>
      <c r="HF67" s="497" t="s">
        <v>4</v>
      </c>
      <c r="HG67" s="497" t="s">
        <v>2</v>
      </c>
      <c r="HH67" s="497" t="s">
        <v>4</v>
      </c>
      <c r="HI67" s="497" t="s">
        <v>4</v>
      </c>
      <c r="HJ67" s="497" t="s">
        <v>4</v>
      </c>
      <c r="HK67" s="494" t="s">
        <v>4</v>
      </c>
      <c r="HL67" s="497" t="s">
        <v>34761</v>
      </c>
      <c r="HM67" s="497" t="s">
        <v>2</v>
      </c>
      <c r="HN67" s="497" t="s">
        <v>4</v>
      </c>
      <c r="HO67" s="497" t="s">
        <v>34762</v>
      </c>
      <c r="HP67" s="497" t="s">
        <v>34763</v>
      </c>
      <c r="HQ67" s="497" t="s">
        <v>34764</v>
      </c>
      <c r="HR67" s="497" t="s">
        <v>34765</v>
      </c>
      <c r="HS67" s="497" t="s">
        <v>34766</v>
      </c>
      <c r="HT67" s="500" t="s">
        <v>34751</v>
      </c>
    </row>
    <row r="68" spans="1:228" s="570" customFormat="1" ht="30.2" customHeight="1" x14ac:dyDescent="0.25">
      <c r="A68" s="759"/>
      <c r="B68" s="496">
        <v>182</v>
      </c>
      <c r="C68" s="496" t="s">
        <v>17942</v>
      </c>
      <c r="D68" s="497" t="s">
        <v>35387</v>
      </c>
      <c r="E68" s="497" t="s">
        <v>30638</v>
      </c>
      <c r="F68" s="497" t="s">
        <v>7</v>
      </c>
      <c r="G68" s="497" t="s">
        <v>35388</v>
      </c>
      <c r="H68" s="497">
        <v>2048.7797850000002</v>
      </c>
      <c r="I68" s="497">
        <v>4.2880000000000003</v>
      </c>
      <c r="J68" s="497" t="s">
        <v>29288</v>
      </c>
      <c r="K68" s="497" t="s">
        <v>4</v>
      </c>
      <c r="L68" s="497" t="s">
        <v>35389</v>
      </c>
      <c r="M68" s="497">
        <v>776769716</v>
      </c>
      <c r="N68" s="497" t="s">
        <v>3</v>
      </c>
      <c r="O68" s="497" t="s">
        <v>31598</v>
      </c>
      <c r="P68" s="497" t="s">
        <v>4</v>
      </c>
      <c r="Q68" s="497">
        <v>6</v>
      </c>
      <c r="R68" s="497" t="s">
        <v>7</v>
      </c>
      <c r="S68" s="497" t="s">
        <v>31535</v>
      </c>
      <c r="T68" s="497" t="s">
        <v>4</v>
      </c>
      <c r="U68" s="497" t="s">
        <v>7</v>
      </c>
      <c r="V68" s="497" t="s">
        <v>7</v>
      </c>
      <c r="W68" s="497" t="s">
        <v>4</v>
      </c>
      <c r="X68" s="497" t="s">
        <v>7</v>
      </c>
      <c r="Y68" s="497" t="s">
        <v>4</v>
      </c>
      <c r="Z68" s="497" t="s">
        <v>4</v>
      </c>
      <c r="AA68" s="241" t="str">
        <f>IF(OR(U68="yes",Z68&gt;'SDG outcome'!$C$39),"yes","no")</f>
        <v>yes</v>
      </c>
      <c r="AB68" s="521" t="str">
        <f t="shared" si="0"/>
        <v>NA</v>
      </c>
      <c r="AC68" s="527" t="str">
        <f>IF(AND('SMS p2'!AA194="no",AND(Z68&gt;='SDG outcome'!$B$28,Z68&lt;'SDG outcome'!$C$39)),Z68-'SDG outcome'!$B$28,"")</f>
        <v/>
      </c>
      <c r="AD68" s="497" t="s">
        <v>4</v>
      </c>
      <c r="AE68" s="497" t="s">
        <v>4</v>
      </c>
      <c r="AF68" s="497" t="s">
        <v>4</v>
      </c>
      <c r="AG68" s="497" t="s">
        <v>4</v>
      </c>
      <c r="AH68" s="497" t="s">
        <v>4</v>
      </c>
      <c r="AI68" s="497" t="s">
        <v>4</v>
      </c>
      <c r="AJ68" s="497" t="s">
        <v>4</v>
      </c>
      <c r="AK68" s="497" t="s">
        <v>29290</v>
      </c>
      <c r="AL68" s="497" t="s">
        <v>29694</v>
      </c>
      <c r="AM68" s="497" t="s">
        <v>4</v>
      </c>
      <c r="AN68" s="497" t="s">
        <v>4</v>
      </c>
      <c r="AO68" s="497" t="s">
        <v>31536</v>
      </c>
      <c r="AP68" s="497" t="s">
        <v>4</v>
      </c>
      <c r="AQ68" s="497" t="s">
        <v>31537</v>
      </c>
      <c r="AR68" s="497" t="s">
        <v>4</v>
      </c>
      <c r="AS68" s="497" t="s">
        <v>31538</v>
      </c>
      <c r="AT68" s="497" t="s">
        <v>4</v>
      </c>
      <c r="AU68" s="497" t="s">
        <v>2</v>
      </c>
      <c r="AV68" s="497" t="s">
        <v>13</v>
      </c>
      <c r="AW68" s="497" t="s">
        <v>35390</v>
      </c>
      <c r="AX68" s="497" t="s">
        <v>7</v>
      </c>
      <c r="AY68" s="497" t="s">
        <v>11</v>
      </c>
      <c r="AZ68" s="497" t="s">
        <v>4</v>
      </c>
      <c r="BA68" s="497" t="s">
        <v>31557</v>
      </c>
      <c r="BB68" s="497" t="s">
        <v>35391</v>
      </c>
      <c r="BC68" s="497" t="s">
        <v>4</v>
      </c>
      <c r="BD68" s="497" t="s">
        <v>4</v>
      </c>
      <c r="BE68" s="497" t="s">
        <v>4</v>
      </c>
      <c r="BF68" s="497" t="s">
        <v>31542</v>
      </c>
      <c r="BG68" s="497" t="s">
        <v>35392</v>
      </c>
      <c r="BH68" s="497" t="s">
        <v>31616</v>
      </c>
      <c r="BI68" s="497">
        <v>1</v>
      </c>
      <c r="BJ68" s="497">
        <v>720</v>
      </c>
      <c r="BK68" s="497" t="s">
        <v>7</v>
      </c>
      <c r="BL68" s="497" t="s">
        <v>6</v>
      </c>
      <c r="BM68" s="497" t="s">
        <v>4</v>
      </c>
      <c r="BN68" s="497" t="s">
        <v>31425</v>
      </c>
      <c r="BO68" s="497">
        <v>1</v>
      </c>
      <c r="BP68" s="497">
        <v>10</v>
      </c>
      <c r="BQ68" s="497" t="s">
        <v>31434</v>
      </c>
      <c r="BR68" s="499" t="s">
        <v>33332</v>
      </c>
      <c r="BS68" s="497" t="s">
        <v>4</v>
      </c>
      <c r="BT68" s="497">
        <v>2</v>
      </c>
      <c r="BU68" s="494" cm="1">
        <f t="array" ref="BU68">_xlfn.IFS(BQ68="Foreword vehicle",BT68*0,BQ68="Human wastes",BT68*0,BS68="Jerrycans",BT68*$BT$4,BQ68="Number of Basins",BT68*$BT$5,BQ68="Number of Buckets",BT68*$BT$6,BQ68="Number of Kgs",BT68*$BT$7,BQ68="Number of spades",BT68*$BT$8,BQ68="Number of wheelbarrows",BT68*$BT$9,BS68="Septic Tank",BT68*0)</f>
        <v>32</v>
      </c>
      <c r="BV68" s="494">
        <f>Table15[[#This Row],[Calculation: Conversion of metric to Kg manure feeding (Columns: BP, BQ, BR)]]*Table15[[#This Row],[Number of times used to feed biodigester]]</f>
        <v>32</v>
      </c>
      <c r="BW68" s="495" cm="1">
        <f t="array" ref="BW68">_xlfn.IFS(BN68="Number of times per day (1 to 3)",BV68/$BW$3,BN68="Number of times per week (1 to 6)",BV68/$BW$4,BN68="Number of times per Month (1 to 3)",BV68/$BW$5)</f>
        <v>32</v>
      </c>
      <c r="BX68" s="497" t="s">
        <v>31541</v>
      </c>
      <c r="BY68" s="497" t="s">
        <v>4</v>
      </c>
      <c r="BZ68" s="497" t="s">
        <v>2</v>
      </c>
      <c r="CA68" s="497" t="s">
        <v>4</v>
      </c>
      <c r="CB68" s="497" t="s">
        <v>4</v>
      </c>
      <c r="CC68" s="497" t="s">
        <v>4</v>
      </c>
      <c r="CD68" s="497" t="s">
        <v>7</v>
      </c>
      <c r="CE68" s="497" t="s">
        <v>35393</v>
      </c>
      <c r="CF68" s="497" t="s">
        <v>4</v>
      </c>
      <c r="CG68" s="497" t="s">
        <v>31604</v>
      </c>
      <c r="CH68" s="497">
        <v>3</v>
      </c>
      <c r="CI68" s="497">
        <v>0</v>
      </c>
      <c r="CJ68" s="497">
        <v>0</v>
      </c>
      <c r="CK68" s="497">
        <v>0</v>
      </c>
      <c r="CL68" s="497">
        <v>0</v>
      </c>
      <c r="CM68" s="497">
        <v>0</v>
      </c>
      <c r="CN68" s="497">
        <v>0</v>
      </c>
      <c r="CO68" s="497">
        <v>0</v>
      </c>
      <c r="CP68" s="497">
        <v>0</v>
      </c>
      <c r="CQ68" s="497">
        <v>0</v>
      </c>
      <c r="CR68" s="497">
        <f>IF(Table15[[#This Row],[Is your biodigester working?]]="yes",CO68/'SDG outcome'!$C$9*CP68*CQ68,"")</f>
        <v>0</v>
      </c>
      <c r="CS68" s="497">
        <v>100</v>
      </c>
      <c r="CT68" s="500">
        <v>0</v>
      </c>
      <c r="CU68" s="496" t="s">
        <v>4</v>
      </c>
      <c r="CV68" s="497" t="s">
        <v>4</v>
      </c>
      <c r="CW68" s="500" t="s">
        <v>4</v>
      </c>
      <c r="CX68" s="496" t="s">
        <v>4</v>
      </c>
      <c r="CY68" s="497" t="s">
        <v>4</v>
      </c>
      <c r="CZ68" s="500" t="s">
        <v>4</v>
      </c>
      <c r="DA68" s="496" t="s">
        <v>4</v>
      </c>
      <c r="DB68" s="497" t="s">
        <v>4</v>
      </c>
      <c r="DC68" s="497" t="s">
        <v>4</v>
      </c>
      <c r="DD68" s="497" t="s">
        <v>4</v>
      </c>
      <c r="DE68" s="497" t="s">
        <v>4</v>
      </c>
      <c r="DF68" s="497" t="s">
        <v>4</v>
      </c>
      <c r="DG68" s="497" t="s">
        <v>4</v>
      </c>
      <c r="DH68" s="497" t="s">
        <v>4</v>
      </c>
      <c r="DI68" s="497" t="s">
        <v>4</v>
      </c>
      <c r="DJ68" s="497" t="s">
        <v>4</v>
      </c>
      <c r="DK68" s="497" t="s">
        <v>4</v>
      </c>
      <c r="DL68" s="497" t="s">
        <v>4</v>
      </c>
      <c r="DM68" s="497" t="s">
        <v>4</v>
      </c>
      <c r="DN68" s="497">
        <v>3</v>
      </c>
      <c r="DO68" s="497" t="s">
        <v>7</v>
      </c>
      <c r="DP68" s="497" t="s">
        <v>29292</v>
      </c>
      <c r="DQ68" s="497" t="s">
        <v>4</v>
      </c>
      <c r="DR68" s="497" t="s">
        <v>29293</v>
      </c>
      <c r="DS68" s="494">
        <v>60000</v>
      </c>
      <c r="DT68" s="497" t="s">
        <v>29294</v>
      </c>
      <c r="DU68" s="494" t="s">
        <v>4</v>
      </c>
      <c r="DV68" s="500" t="s">
        <v>29295</v>
      </c>
      <c r="DW68" s="496">
        <v>100</v>
      </c>
      <c r="DX68" s="497" t="s">
        <v>29296</v>
      </c>
      <c r="DY68" s="497">
        <v>100</v>
      </c>
      <c r="DZ68" s="497" t="s">
        <v>4</v>
      </c>
      <c r="EA68" s="497" t="s">
        <v>4</v>
      </c>
      <c r="EB68" s="497" t="s">
        <v>4</v>
      </c>
      <c r="EC68" s="497" t="s">
        <v>4</v>
      </c>
      <c r="ED68" s="497" t="s">
        <v>4</v>
      </c>
      <c r="EE68" s="497" t="s">
        <v>4</v>
      </c>
      <c r="EF68" s="497" t="s">
        <v>4</v>
      </c>
      <c r="EG68" s="497" t="s">
        <v>4</v>
      </c>
      <c r="EH68" s="497" t="s">
        <v>4</v>
      </c>
      <c r="EI68" s="497" t="s">
        <v>4</v>
      </c>
      <c r="EJ68" s="497" t="s">
        <v>4</v>
      </c>
      <c r="EK68" s="497" t="s">
        <v>4</v>
      </c>
      <c r="EL68" s="497" t="s">
        <v>4</v>
      </c>
      <c r="EM68" s="497" t="s">
        <v>4</v>
      </c>
      <c r="EN68" s="497" t="s">
        <v>4</v>
      </c>
      <c r="EO68" s="497" t="s">
        <v>4</v>
      </c>
      <c r="EP68" s="497" t="s">
        <v>4</v>
      </c>
      <c r="EQ68" s="497" t="s">
        <v>4</v>
      </c>
      <c r="ER68" s="497" t="s">
        <v>4</v>
      </c>
      <c r="ES68" s="497" t="s">
        <v>4</v>
      </c>
      <c r="ET68" s="497" t="s">
        <v>4</v>
      </c>
      <c r="EU68" s="497" t="s">
        <v>4</v>
      </c>
      <c r="EV68" s="497" t="s">
        <v>4</v>
      </c>
      <c r="EW68" s="497">
        <v>2</v>
      </c>
      <c r="EX68" s="497" t="s">
        <v>7</v>
      </c>
      <c r="EY68" s="497">
        <v>50</v>
      </c>
      <c r="EZ68" s="239">
        <f t="shared" si="2"/>
        <v>1</v>
      </c>
      <c r="FA68" s="497" t="s">
        <v>35394</v>
      </c>
      <c r="FB68" s="497" t="s">
        <v>29298</v>
      </c>
      <c r="FC68" s="497">
        <v>24</v>
      </c>
      <c r="FD68" s="497" t="s">
        <v>7</v>
      </c>
      <c r="FE68" s="497" t="s">
        <v>29492</v>
      </c>
      <c r="FF68" s="497" t="s">
        <v>4</v>
      </c>
      <c r="FG68" s="497" t="s">
        <v>7</v>
      </c>
      <c r="FH68" s="497" t="s">
        <v>29492</v>
      </c>
      <c r="FI68" s="497" t="s">
        <v>4</v>
      </c>
      <c r="FJ68" s="497" t="s">
        <v>13</v>
      </c>
      <c r="FK68" s="497" t="s">
        <v>35395</v>
      </c>
      <c r="FL68" s="497" t="s">
        <v>29292</v>
      </c>
      <c r="FM68" s="497" t="s">
        <v>29294</v>
      </c>
      <c r="FN68" s="494" t="s">
        <v>4</v>
      </c>
      <c r="FO68" s="497" t="s">
        <v>4</v>
      </c>
      <c r="FP68" s="497" t="s">
        <v>7</v>
      </c>
      <c r="FQ68" s="497" t="s">
        <v>29301</v>
      </c>
      <c r="FR68" s="497" t="s">
        <v>4</v>
      </c>
      <c r="FS68" s="497" t="s">
        <v>7</v>
      </c>
      <c r="FT68" s="497" t="s">
        <v>7</v>
      </c>
      <c r="FU68" s="497" t="s">
        <v>29302</v>
      </c>
      <c r="FV68" s="497" t="s">
        <v>35365</v>
      </c>
      <c r="FW68" s="497" t="s">
        <v>29304</v>
      </c>
      <c r="FX68" s="497">
        <v>0.5</v>
      </c>
      <c r="FY68" s="497" t="s">
        <v>29396</v>
      </c>
      <c r="FZ68" s="497" t="s">
        <v>4</v>
      </c>
      <c r="GA68" s="497" t="s">
        <v>4</v>
      </c>
      <c r="GB68" s="497" t="s">
        <v>29397</v>
      </c>
      <c r="GC68" s="497" t="s">
        <v>4</v>
      </c>
      <c r="GD68" s="497" t="s">
        <v>4</v>
      </c>
      <c r="GE68" s="497" t="s">
        <v>4</v>
      </c>
      <c r="GF68" s="497" t="s">
        <v>4</v>
      </c>
      <c r="GG68" s="497" t="s">
        <v>4</v>
      </c>
      <c r="GH68" s="497" t="s">
        <v>4</v>
      </c>
      <c r="GI68" s="497" t="s">
        <v>4</v>
      </c>
      <c r="GJ68" s="497" t="s">
        <v>4</v>
      </c>
      <c r="GK68" s="497" t="s">
        <v>4</v>
      </c>
      <c r="GL68" s="497" t="s">
        <v>4</v>
      </c>
      <c r="GM68" s="497" t="s">
        <v>4</v>
      </c>
      <c r="GN68" s="497" t="s">
        <v>4</v>
      </c>
      <c r="GO68" s="497" t="s">
        <v>4</v>
      </c>
      <c r="GP68" s="497" t="s">
        <v>4</v>
      </c>
      <c r="GQ68" s="497" t="s">
        <v>4</v>
      </c>
      <c r="GR68" s="497" t="s">
        <v>4</v>
      </c>
      <c r="GS68" s="497" t="s">
        <v>4</v>
      </c>
      <c r="GT68" s="497" t="s">
        <v>29698</v>
      </c>
      <c r="GU68" s="497" t="s">
        <v>4</v>
      </c>
      <c r="GV68" s="494">
        <v>10</v>
      </c>
      <c r="GW68" s="497" t="s">
        <v>2</v>
      </c>
      <c r="GX68" s="497" t="s">
        <v>29309</v>
      </c>
      <c r="GY68" s="497" t="s">
        <v>4</v>
      </c>
      <c r="GZ68" s="497" t="s">
        <v>4</v>
      </c>
      <c r="HA68" s="497" t="s">
        <v>4</v>
      </c>
      <c r="HB68" s="497" t="s">
        <v>4</v>
      </c>
      <c r="HC68" s="497" t="s">
        <v>4</v>
      </c>
      <c r="HD68" s="497" t="s">
        <v>4</v>
      </c>
      <c r="HE68" s="497" t="s">
        <v>4</v>
      </c>
      <c r="HF68" s="497" t="s">
        <v>4</v>
      </c>
      <c r="HG68" s="497" t="s">
        <v>7</v>
      </c>
      <c r="HH68" s="497" t="s">
        <v>11</v>
      </c>
      <c r="HI68" s="497" t="s">
        <v>4</v>
      </c>
      <c r="HJ68" s="497" t="s">
        <v>29375</v>
      </c>
      <c r="HK68" s="494" t="s">
        <v>4</v>
      </c>
      <c r="HL68" s="497" t="s">
        <v>35396</v>
      </c>
      <c r="HM68" s="497" t="s">
        <v>2</v>
      </c>
      <c r="HN68" s="497" t="s">
        <v>4</v>
      </c>
      <c r="HO68" s="497" t="s">
        <v>35397</v>
      </c>
      <c r="HP68" s="497" t="s">
        <v>35398</v>
      </c>
      <c r="HQ68" s="497" t="s">
        <v>35399</v>
      </c>
      <c r="HR68" s="497" t="s">
        <v>35400</v>
      </c>
      <c r="HS68" s="497" t="s">
        <v>35401</v>
      </c>
      <c r="HT68" s="500" t="s">
        <v>35387</v>
      </c>
    </row>
    <row r="69" spans="1:228" s="570" customFormat="1" ht="30.2" customHeight="1" x14ac:dyDescent="0.25">
      <c r="A69" s="759"/>
      <c r="B69" s="496">
        <v>183</v>
      </c>
      <c r="C69" s="496" t="s">
        <v>17820</v>
      </c>
      <c r="D69" s="497" t="s">
        <v>35402</v>
      </c>
      <c r="E69" s="497" t="s">
        <v>30638</v>
      </c>
      <c r="F69" s="497" t="s">
        <v>7</v>
      </c>
      <c r="G69" s="497" t="s">
        <v>35403</v>
      </c>
      <c r="H69" s="497">
        <v>2053.6965329999998</v>
      </c>
      <c r="I69" s="497">
        <v>4.2880000000000003</v>
      </c>
      <c r="J69" s="497" t="s">
        <v>29288</v>
      </c>
      <c r="K69" s="497" t="s">
        <v>4</v>
      </c>
      <c r="L69" s="497" t="s">
        <v>35404</v>
      </c>
      <c r="M69" s="497">
        <v>780802379</v>
      </c>
      <c r="N69" s="497" t="s">
        <v>3</v>
      </c>
      <c r="O69" s="497" t="s">
        <v>31590</v>
      </c>
      <c r="P69" s="497" t="s">
        <v>4</v>
      </c>
      <c r="Q69" s="497">
        <v>9</v>
      </c>
      <c r="R69" s="497" t="s">
        <v>7</v>
      </c>
      <c r="S69" s="497" t="s">
        <v>31535</v>
      </c>
      <c r="T69" s="497" t="s">
        <v>4</v>
      </c>
      <c r="U69" s="497" t="s">
        <v>7</v>
      </c>
      <c r="V69" s="497" t="s">
        <v>7</v>
      </c>
      <c r="W69" s="497" t="s">
        <v>4</v>
      </c>
      <c r="X69" s="497" t="s">
        <v>7</v>
      </c>
      <c r="Y69" s="497" t="s">
        <v>4</v>
      </c>
      <c r="Z69" s="497" t="s">
        <v>4</v>
      </c>
      <c r="AA69" s="241" t="str">
        <f>IF(OR(U69="yes",Z69&gt;'SDG outcome'!$C$39),"yes","no")</f>
        <v>yes</v>
      </c>
      <c r="AB69" s="521" t="str">
        <f t="shared" si="0"/>
        <v>NA</v>
      </c>
      <c r="AC69" s="527" t="str">
        <f>IF(AND('SMS p2'!AA195="no",AND(Z69&gt;='SDG outcome'!$B$28,Z69&lt;'SDG outcome'!$C$39)),Z69-'SDG outcome'!$B$28,"")</f>
        <v/>
      </c>
      <c r="AD69" s="497" t="s">
        <v>4</v>
      </c>
      <c r="AE69" s="497" t="s">
        <v>4</v>
      </c>
      <c r="AF69" s="497" t="s">
        <v>4</v>
      </c>
      <c r="AG69" s="497" t="s">
        <v>4</v>
      </c>
      <c r="AH69" s="497" t="s">
        <v>4</v>
      </c>
      <c r="AI69" s="497" t="s">
        <v>4</v>
      </c>
      <c r="AJ69" s="497" t="s">
        <v>4</v>
      </c>
      <c r="AK69" s="497" t="s">
        <v>29290</v>
      </c>
      <c r="AL69" s="497" t="s">
        <v>29694</v>
      </c>
      <c r="AM69" s="497" t="s">
        <v>4</v>
      </c>
      <c r="AN69" s="497" t="s">
        <v>4</v>
      </c>
      <c r="AO69" s="497" t="s">
        <v>31718</v>
      </c>
      <c r="AP69" s="497" t="s">
        <v>4</v>
      </c>
      <c r="AQ69" s="497" t="s">
        <v>31600</v>
      </c>
      <c r="AR69" s="497" t="s">
        <v>4</v>
      </c>
      <c r="AS69" s="497" t="s">
        <v>31538</v>
      </c>
      <c r="AT69" s="497" t="s">
        <v>4</v>
      </c>
      <c r="AU69" s="497" t="s">
        <v>7</v>
      </c>
      <c r="AV69" s="497" t="s">
        <v>4</v>
      </c>
      <c r="AW69" s="497" t="s">
        <v>4</v>
      </c>
      <c r="AX69" s="497" t="s">
        <v>7</v>
      </c>
      <c r="AY69" s="497" t="s">
        <v>11</v>
      </c>
      <c r="AZ69" s="497" t="s">
        <v>4</v>
      </c>
      <c r="BA69" s="497" t="s">
        <v>31619</v>
      </c>
      <c r="BB69" s="497" t="s">
        <v>4</v>
      </c>
      <c r="BC69" s="497" t="s">
        <v>4</v>
      </c>
      <c r="BD69" s="501" t="s">
        <v>4</v>
      </c>
      <c r="BE69" s="497" t="s">
        <v>4</v>
      </c>
      <c r="BF69" s="497" t="s">
        <v>4</v>
      </c>
      <c r="BG69" s="497" t="s">
        <v>35405</v>
      </c>
      <c r="BH69" s="497" t="s">
        <v>31544</v>
      </c>
      <c r="BI69" s="497">
        <v>1</v>
      </c>
      <c r="BJ69" s="497" t="s">
        <v>4</v>
      </c>
      <c r="BK69" s="497" t="s">
        <v>7</v>
      </c>
      <c r="BL69" s="497" t="s">
        <v>6</v>
      </c>
      <c r="BM69" s="497" t="s">
        <v>4</v>
      </c>
      <c r="BN69" s="497" t="s">
        <v>31425</v>
      </c>
      <c r="BO69" s="497">
        <v>1</v>
      </c>
      <c r="BP69" s="497">
        <v>10</v>
      </c>
      <c r="BQ69" s="497" t="s">
        <v>31435</v>
      </c>
      <c r="BR69" s="499" t="s">
        <v>33332</v>
      </c>
      <c r="BS69" s="497" t="s">
        <v>4</v>
      </c>
      <c r="BT69" s="497">
        <v>1</v>
      </c>
      <c r="BU69" s="494" cm="1">
        <f t="array" ref="BU69">_xlfn.IFS(BQ69="Foreword vehicle",BT69*0,BQ69="Human wastes",BT69*0,BS69="Jerrycans",BT69*$BT$4,BQ69="Number of Basins",BT69*$BT$5,BQ69="Number of Buckets",BT69*$BT$6,BQ69="Number of Kgs",BT69*$BT$7,BQ69="Number of spades",BT69*$BT$8,BQ69="Number of wheelbarrows",BT69*$BT$9,BS69="Septic Tank",BT69*0)</f>
        <v>70.5</v>
      </c>
      <c r="BV69" s="494">
        <f>Table15[[#This Row],[Calculation: Conversion of metric to Kg manure feeding (Columns: BP, BQ, BR)]]*Table15[[#This Row],[Number of times used to feed biodigester]]</f>
        <v>70.5</v>
      </c>
      <c r="BW69" s="495" cm="1">
        <f t="array" ref="BW69">_xlfn.IFS(BN69="Number of times per day (1 to 3)",BV69/$BW$3,BN69="Number of times per week (1 to 6)",BV69/$BW$4,BN69="Number of times per Month (1 to 3)",BV69/$BW$5)</f>
        <v>70.5</v>
      </c>
      <c r="BX69" s="497" t="s">
        <v>22</v>
      </c>
      <c r="BY69" s="497" t="s">
        <v>4</v>
      </c>
      <c r="BZ69" s="497" t="s">
        <v>2</v>
      </c>
      <c r="CA69" s="497" t="s">
        <v>4</v>
      </c>
      <c r="CB69" s="497" t="s">
        <v>4</v>
      </c>
      <c r="CC69" s="497" t="s">
        <v>4</v>
      </c>
      <c r="CD69" s="497" t="s">
        <v>7</v>
      </c>
      <c r="CE69" s="497" t="s">
        <v>35406</v>
      </c>
      <c r="CF69" s="497" t="s">
        <v>4</v>
      </c>
      <c r="CG69" s="497" t="s">
        <v>31604</v>
      </c>
      <c r="CH69" s="497">
        <v>4</v>
      </c>
      <c r="CI69" s="497">
        <v>0</v>
      </c>
      <c r="CJ69" s="497">
        <v>0</v>
      </c>
      <c r="CK69" s="497">
        <v>0</v>
      </c>
      <c r="CL69" s="497">
        <v>0</v>
      </c>
      <c r="CM69" s="497">
        <v>0</v>
      </c>
      <c r="CN69" s="497">
        <v>0</v>
      </c>
      <c r="CO69" s="497">
        <v>0</v>
      </c>
      <c r="CP69" s="497">
        <v>0</v>
      </c>
      <c r="CQ69" s="497">
        <v>0</v>
      </c>
      <c r="CR69" s="497">
        <f>IF(Table15[[#This Row],[Is your biodigester working?]]="yes",CO69/'SDG outcome'!$C$9*CP69*CQ69,"")</f>
        <v>0</v>
      </c>
      <c r="CS69" s="497">
        <v>100</v>
      </c>
      <c r="CT69" s="500">
        <v>0</v>
      </c>
      <c r="CU69" s="496" t="s">
        <v>4</v>
      </c>
      <c r="CV69" s="497" t="s">
        <v>4</v>
      </c>
      <c r="CW69" s="500" t="s">
        <v>4</v>
      </c>
      <c r="CX69" s="496" t="s">
        <v>4</v>
      </c>
      <c r="CY69" s="497" t="s">
        <v>4</v>
      </c>
      <c r="CZ69" s="500" t="s">
        <v>4</v>
      </c>
      <c r="DA69" s="496" t="s">
        <v>4</v>
      </c>
      <c r="DB69" s="497" t="s">
        <v>4</v>
      </c>
      <c r="DC69" s="497" t="s">
        <v>4</v>
      </c>
      <c r="DD69" s="497" t="s">
        <v>4</v>
      </c>
      <c r="DE69" s="497" t="s">
        <v>4</v>
      </c>
      <c r="DF69" s="497" t="s">
        <v>4</v>
      </c>
      <c r="DG69" s="497" t="s">
        <v>4</v>
      </c>
      <c r="DH69" s="497" t="s">
        <v>4</v>
      </c>
      <c r="DI69" s="497" t="s">
        <v>4</v>
      </c>
      <c r="DJ69" s="497" t="s">
        <v>4</v>
      </c>
      <c r="DK69" s="497" t="s">
        <v>4</v>
      </c>
      <c r="DL69" s="497" t="s">
        <v>4</v>
      </c>
      <c r="DM69" s="497" t="s">
        <v>4</v>
      </c>
      <c r="DN69" s="497">
        <v>2.5</v>
      </c>
      <c r="DO69" s="497" t="s">
        <v>2</v>
      </c>
      <c r="DP69" s="497" t="s">
        <v>29292</v>
      </c>
      <c r="DQ69" s="497" t="s">
        <v>4</v>
      </c>
      <c r="DR69" s="497" t="s">
        <v>29293</v>
      </c>
      <c r="DS69" s="494">
        <v>26000</v>
      </c>
      <c r="DT69" s="497" t="s">
        <v>29294</v>
      </c>
      <c r="DU69" s="494" t="s">
        <v>4</v>
      </c>
      <c r="DV69" s="500" t="s">
        <v>29508</v>
      </c>
      <c r="DW69" s="496" t="s">
        <v>4</v>
      </c>
      <c r="DX69" s="497" t="s">
        <v>4</v>
      </c>
      <c r="DY69" s="497" t="s">
        <v>4</v>
      </c>
      <c r="DZ69" s="497" t="s">
        <v>4</v>
      </c>
      <c r="EA69" s="497" t="s">
        <v>4</v>
      </c>
      <c r="EB69" s="497" t="s">
        <v>4</v>
      </c>
      <c r="EC69" s="497" t="s">
        <v>4</v>
      </c>
      <c r="ED69" s="497">
        <v>100</v>
      </c>
      <c r="EE69" s="497" t="s">
        <v>29443</v>
      </c>
      <c r="EF69" s="497" t="s">
        <v>4</v>
      </c>
      <c r="EG69" s="497" t="s">
        <v>4</v>
      </c>
      <c r="EH69" s="497" t="s">
        <v>4</v>
      </c>
      <c r="EI69" s="497" t="s">
        <v>4</v>
      </c>
      <c r="EJ69" s="497" t="s">
        <v>4</v>
      </c>
      <c r="EK69" s="497" t="s">
        <v>4</v>
      </c>
      <c r="EL69" s="497">
        <v>100</v>
      </c>
      <c r="EM69" s="497">
        <v>60</v>
      </c>
      <c r="EN69" s="497" t="s">
        <v>4</v>
      </c>
      <c r="EO69" s="497" t="s">
        <v>4</v>
      </c>
      <c r="EP69" s="497" t="s">
        <v>4</v>
      </c>
      <c r="EQ69" s="497" t="s">
        <v>29296</v>
      </c>
      <c r="ER69" s="497">
        <v>100</v>
      </c>
      <c r="ES69" s="497" t="s">
        <v>4</v>
      </c>
      <c r="ET69" s="497" t="s">
        <v>4</v>
      </c>
      <c r="EU69" s="497" t="s">
        <v>4</v>
      </c>
      <c r="EV69" s="497" t="s">
        <v>4</v>
      </c>
      <c r="EW69" s="497">
        <v>1</v>
      </c>
      <c r="EX69" s="497" t="s">
        <v>7</v>
      </c>
      <c r="EY69" s="497">
        <v>100</v>
      </c>
      <c r="EZ69" s="239">
        <f t="shared" si="2"/>
        <v>1</v>
      </c>
      <c r="FA69" s="497" t="s">
        <v>35407</v>
      </c>
      <c r="FB69" s="497" t="s">
        <v>29298</v>
      </c>
      <c r="FC69" s="497">
        <v>36</v>
      </c>
      <c r="FD69" s="497" t="s">
        <v>7</v>
      </c>
      <c r="FE69" s="497" t="s">
        <v>29492</v>
      </c>
      <c r="FF69" s="497" t="s">
        <v>4</v>
      </c>
      <c r="FG69" s="497" t="s">
        <v>7</v>
      </c>
      <c r="FH69" s="497" t="s">
        <v>29492</v>
      </c>
      <c r="FI69" s="497" t="s">
        <v>4</v>
      </c>
      <c r="FJ69" s="497" t="s">
        <v>29300</v>
      </c>
      <c r="FK69" s="497" t="s">
        <v>4</v>
      </c>
      <c r="FL69" s="497" t="s">
        <v>29292</v>
      </c>
      <c r="FM69" s="497" t="s">
        <v>29293</v>
      </c>
      <c r="FN69" s="494">
        <v>200000</v>
      </c>
      <c r="FO69" s="497" t="s">
        <v>4</v>
      </c>
      <c r="FP69" s="497" t="s">
        <v>7</v>
      </c>
      <c r="FQ69" s="497" t="s">
        <v>29301</v>
      </c>
      <c r="FR69" s="497" t="s">
        <v>4</v>
      </c>
      <c r="FS69" s="497" t="s">
        <v>7</v>
      </c>
      <c r="FT69" s="497" t="s">
        <v>7</v>
      </c>
      <c r="FU69" s="497" t="s">
        <v>29302</v>
      </c>
      <c r="FV69" s="497" t="s">
        <v>35365</v>
      </c>
      <c r="FW69" s="497" t="s">
        <v>29304</v>
      </c>
      <c r="FX69" s="497">
        <v>0.5</v>
      </c>
      <c r="FY69" s="497" t="s">
        <v>29396</v>
      </c>
      <c r="FZ69" s="497" t="s">
        <v>4</v>
      </c>
      <c r="GA69" s="497" t="s">
        <v>4</v>
      </c>
      <c r="GB69" s="497" t="s">
        <v>29397</v>
      </c>
      <c r="GC69" s="497" t="s">
        <v>4</v>
      </c>
      <c r="GD69" s="497" t="s">
        <v>4</v>
      </c>
      <c r="GE69" s="497" t="s">
        <v>4</v>
      </c>
      <c r="GF69" s="497" t="s">
        <v>4</v>
      </c>
      <c r="GG69" s="497" t="s">
        <v>4</v>
      </c>
      <c r="GH69" s="497" t="s">
        <v>4</v>
      </c>
      <c r="GI69" s="497" t="s">
        <v>4</v>
      </c>
      <c r="GJ69" s="497" t="s">
        <v>4</v>
      </c>
      <c r="GK69" s="497" t="s">
        <v>4</v>
      </c>
      <c r="GL69" s="497" t="s">
        <v>4</v>
      </c>
      <c r="GM69" s="497" t="s">
        <v>4</v>
      </c>
      <c r="GN69" s="497" t="s">
        <v>4</v>
      </c>
      <c r="GO69" s="497" t="s">
        <v>4</v>
      </c>
      <c r="GP69" s="497" t="s">
        <v>4</v>
      </c>
      <c r="GQ69" s="497" t="s">
        <v>4</v>
      </c>
      <c r="GR69" s="497" t="s">
        <v>4</v>
      </c>
      <c r="GS69" s="497" t="s">
        <v>4</v>
      </c>
      <c r="GT69" s="497" t="s">
        <v>29354</v>
      </c>
      <c r="GU69" s="497" t="s">
        <v>4</v>
      </c>
      <c r="GV69" s="494">
        <v>10</v>
      </c>
      <c r="GW69" s="497" t="s">
        <v>2</v>
      </c>
      <c r="GX69" s="497" t="s">
        <v>29309</v>
      </c>
      <c r="GY69" s="497" t="s">
        <v>4</v>
      </c>
      <c r="GZ69" s="497" t="s">
        <v>4</v>
      </c>
      <c r="HA69" s="497" t="s">
        <v>4</v>
      </c>
      <c r="HB69" s="497" t="s">
        <v>4</v>
      </c>
      <c r="HC69" s="497" t="s">
        <v>4</v>
      </c>
      <c r="HD69" s="497" t="s">
        <v>4</v>
      </c>
      <c r="HE69" s="497" t="s">
        <v>4</v>
      </c>
      <c r="HF69" s="497" t="s">
        <v>4</v>
      </c>
      <c r="HG69" s="497" t="s">
        <v>7</v>
      </c>
      <c r="HH69" s="497" t="s">
        <v>11</v>
      </c>
      <c r="HI69" s="497" t="s">
        <v>4</v>
      </c>
      <c r="HJ69" s="497" t="s">
        <v>29375</v>
      </c>
      <c r="HK69" s="494" t="s">
        <v>4</v>
      </c>
      <c r="HL69" s="497" t="s">
        <v>35408</v>
      </c>
      <c r="HM69" s="497" t="s">
        <v>7</v>
      </c>
      <c r="HN69" s="497" t="s">
        <v>35409</v>
      </c>
      <c r="HO69" s="497" t="s">
        <v>35410</v>
      </c>
      <c r="HP69" s="497" t="s">
        <v>35411</v>
      </c>
      <c r="HQ69" s="497" t="s">
        <v>35412</v>
      </c>
      <c r="HR69" s="497" t="s">
        <v>35413</v>
      </c>
      <c r="HS69" s="497" t="s">
        <v>35414</v>
      </c>
      <c r="HT69" s="500" t="s">
        <v>35402</v>
      </c>
    </row>
    <row r="70" spans="1:228" s="570" customFormat="1" ht="30.2" customHeight="1" x14ac:dyDescent="0.25">
      <c r="A70" s="759"/>
      <c r="B70" s="496">
        <v>189</v>
      </c>
      <c r="C70" s="496" t="s">
        <v>18120</v>
      </c>
      <c r="D70" s="497" t="s">
        <v>35461</v>
      </c>
      <c r="E70" s="497" t="s">
        <v>30638</v>
      </c>
      <c r="F70" s="497" t="s">
        <v>7</v>
      </c>
      <c r="G70" s="497" t="s">
        <v>35462</v>
      </c>
      <c r="H70" s="497">
        <v>1669.3452150000001</v>
      </c>
      <c r="I70" s="497">
        <v>4.2880000000000003</v>
      </c>
      <c r="J70" s="497" t="s">
        <v>29319</v>
      </c>
      <c r="K70" s="497" t="s">
        <v>4</v>
      </c>
      <c r="L70" s="497" t="s">
        <v>35463</v>
      </c>
      <c r="M70" s="497">
        <v>758558748</v>
      </c>
      <c r="N70" s="497" t="s">
        <v>5</v>
      </c>
      <c r="O70" s="497" t="s">
        <v>31598</v>
      </c>
      <c r="P70" s="497" t="s">
        <v>4</v>
      </c>
      <c r="Q70" s="497">
        <v>11</v>
      </c>
      <c r="R70" s="497" t="s">
        <v>7</v>
      </c>
      <c r="S70" s="497" t="s">
        <v>31535</v>
      </c>
      <c r="T70" s="497" t="s">
        <v>4</v>
      </c>
      <c r="U70" s="497" t="s">
        <v>7</v>
      </c>
      <c r="V70" s="497" t="s">
        <v>7</v>
      </c>
      <c r="W70" s="497" t="s">
        <v>4</v>
      </c>
      <c r="X70" s="497" t="s">
        <v>7</v>
      </c>
      <c r="Y70" s="497" t="s">
        <v>4</v>
      </c>
      <c r="Z70" s="497" t="s">
        <v>4</v>
      </c>
      <c r="AA70" s="241" t="str">
        <f>IF(OR(U70="yes",Z70&gt;'SDG outcome'!$C$39),"yes","no")</f>
        <v>yes</v>
      </c>
      <c r="AB70" s="521" t="str">
        <f t="shared" si="0"/>
        <v>NA</v>
      </c>
      <c r="AC70" s="527" t="str">
        <f>IF(AND('SMS p2'!AA201="no",AND(Z70&gt;='SDG outcome'!$B$28,Z70&lt;'SDG outcome'!$C$39)),Z70-'SDG outcome'!$B$28,"")</f>
        <v/>
      </c>
      <c r="AD70" s="497" t="s">
        <v>4</v>
      </c>
      <c r="AE70" s="497" t="s">
        <v>4</v>
      </c>
      <c r="AF70" s="497" t="s">
        <v>4</v>
      </c>
      <c r="AG70" s="497" t="s">
        <v>4</v>
      </c>
      <c r="AH70" s="497" t="s">
        <v>4</v>
      </c>
      <c r="AI70" s="497" t="s">
        <v>4</v>
      </c>
      <c r="AJ70" s="497" t="s">
        <v>4</v>
      </c>
      <c r="AK70" s="497" t="s">
        <v>29290</v>
      </c>
      <c r="AL70" s="497" t="s">
        <v>29694</v>
      </c>
      <c r="AM70" s="497" t="s">
        <v>4</v>
      </c>
      <c r="AN70" s="497" t="s">
        <v>4</v>
      </c>
      <c r="AO70" s="497" t="s">
        <v>31536</v>
      </c>
      <c r="AP70" s="497" t="s">
        <v>4</v>
      </c>
      <c r="AQ70" s="497" t="s">
        <v>31537</v>
      </c>
      <c r="AR70" s="497" t="s">
        <v>4</v>
      </c>
      <c r="AS70" s="497" t="s">
        <v>31538</v>
      </c>
      <c r="AT70" s="497" t="s">
        <v>4</v>
      </c>
      <c r="AU70" s="497" t="s">
        <v>7</v>
      </c>
      <c r="AV70" s="497" t="s">
        <v>4</v>
      </c>
      <c r="AW70" s="497" t="s">
        <v>4</v>
      </c>
      <c r="AX70" s="497" t="s">
        <v>2</v>
      </c>
      <c r="AY70" s="497" t="s">
        <v>4</v>
      </c>
      <c r="AZ70" s="497" t="s">
        <v>4</v>
      </c>
      <c r="BA70" s="497" t="s">
        <v>31557</v>
      </c>
      <c r="BB70" s="497" t="s">
        <v>4</v>
      </c>
      <c r="BC70" s="497" t="s">
        <v>4</v>
      </c>
      <c r="BD70" s="497" t="s">
        <v>4</v>
      </c>
      <c r="BE70" s="497" t="s">
        <v>4</v>
      </c>
      <c r="BF70" s="497" t="s">
        <v>4</v>
      </c>
      <c r="BG70" s="497" t="s">
        <v>4</v>
      </c>
      <c r="BH70" s="497" t="s">
        <v>4</v>
      </c>
      <c r="BI70" s="497" t="s">
        <v>4</v>
      </c>
      <c r="BJ70" s="497" t="s">
        <v>4</v>
      </c>
      <c r="BK70" s="497" t="s">
        <v>7</v>
      </c>
      <c r="BL70" s="497" t="s">
        <v>6</v>
      </c>
      <c r="BM70" s="497" t="s">
        <v>4</v>
      </c>
      <c r="BN70" s="497" t="s">
        <v>31425</v>
      </c>
      <c r="BO70" s="497">
        <v>1</v>
      </c>
      <c r="BP70" s="497">
        <v>30</v>
      </c>
      <c r="BQ70" s="497" t="s">
        <v>31434</v>
      </c>
      <c r="BR70" s="499" t="s">
        <v>33332</v>
      </c>
      <c r="BS70" s="497" t="s">
        <v>4</v>
      </c>
      <c r="BT70" s="497">
        <v>2</v>
      </c>
      <c r="BU70" s="494" cm="1">
        <f t="array" ref="BU70">_xlfn.IFS(BQ70="Foreword vehicle",BT70*0,BQ70="Human wastes",BT70*0,BS70="Jerrycans",BT70*$BT$4,BQ70="Number of Basins",BT70*$BT$5,BQ70="Number of Buckets",BT70*$BT$6,BQ70="Number of Kgs",BT70*$BT$7,BQ70="Number of spades",BT70*$BT$8,BQ70="Number of wheelbarrows",BT70*$BT$9,BS70="Septic Tank",BT70*0)</f>
        <v>32</v>
      </c>
      <c r="BV70" s="494">
        <f>Table15[[#This Row],[Calculation: Conversion of metric to Kg manure feeding (Columns: BP, BQ, BR)]]*Table15[[#This Row],[Number of times used to feed biodigester]]</f>
        <v>32</v>
      </c>
      <c r="BW70" s="495" cm="1">
        <f t="array" ref="BW70">_xlfn.IFS(BN70="Number of times per day (1 to 3)",BV70/$BW$3,BN70="Number of times per week (1 to 6)",BV70/$BW$4,BN70="Number of times per Month (1 to 3)",BV70/$BW$5)</f>
        <v>32</v>
      </c>
      <c r="BX70" s="497" t="s">
        <v>31650</v>
      </c>
      <c r="BY70" s="497" t="s">
        <v>4</v>
      </c>
      <c r="BZ70" s="497" t="s">
        <v>2</v>
      </c>
      <c r="CA70" s="497" t="s">
        <v>4</v>
      </c>
      <c r="CB70" s="497" t="s">
        <v>4</v>
      </c>
      <c r="CC70" s="497" t="s">
        <v>4</v>
      </c>
      <c r="CD70" s="497" t="s">
        <v>7</v>
      </c>
      <c r="CE70" s="497" t="s">
        <v>35464</v>
      </c>
      <c r="CF70" s="497" t="s">
        <v>4</v>
      </c>
      <c r="CG70" s="497" t="s">
        <v>31705</v>
      </c>
      <c r="CH70" s="497">
        <v>0</v>
      </c>
      <c r="CI70" s="497">
        <v>1</v>
      </c>
      <c r="CJ70" s="497">
        <v>0</v>
      </c>
      <c r="CK70" s="497">
        <v>0</v>
      </c>
      <c r="CL70" s="497">
        <v>0</v>
      </c>
      <c r="CM70" s="497">
        <v>0</v>
      </c>
      <c r="CN70" s="497">
        <v>0</v>
      </c>
      <c r="CO70" s="497">
        <v>0</v>
      </c>
      <c r="CP70" s="497">
        <v>0</v>
      </c>
      <c r="CQ70" s="497">
        <v>0</v>
      </c>
      <c r="CR70" s="497">
        <f>IF(Table15[[#This Row],[Is your biodigester working?]]="yes",CO70/'SDG outcome'!$C$9*CP70*CQ70,"")</f>
        <v>0</v>
      </c>
      <c r="CS70" s="497" t="s">
        <v>4</v>
      </c>
      <c r="CT70" s="500" t="s">
        <v>4</v>
      </c>
      <c r="CU70" s="496" t="s">
        <v>4</v>
      </c>
      <c r="CV70" s="497">
        <v>100</v>
      </c>
      <c r="CW70" s="500">
        <v>0</v>
      </c>
      <c r="CX70" s="496" t="s">
        <v>4</v>
      </c>
      <c r="CY70" s="497" t="s">
        <v>4</v>
      </c>
      <c r="CZ70" s="500" t="s">
        <v>4</v>
      </c>
      <c r="DA70" s="496" t="s">
        <v>4</v>
      </c>
      <c r="DB70" s="497" t="s">
        <v>4</v>
      </c>
      <c r="DC70" s="497" t="s">
        <v>4</v>
      </c>
      <c r="DD70" s="497" t="s">
        <v>4</v>
      </c>
      <c r="DE70" s="497" t="s">
        <v>4</v>
      </c>
      <c r="DF70" s="497" t="s">
        <v>4</v>
      </c>
      <c r="DG70" s="497" t="s">
        <v>4</v>
      </c>
      <c r="DH70" s="497" t="s">
        <v>4</v>
      </c>
      <c r="DI70" s="497" t="s">
        <v>4</v>
      </c>
      <c r="DJ70" s="497" t="s">
        <v>4</v>
      </c>
      <c r="DK70" s="497" t="s">
        <v>4</v>
      </c>
      <c r="DL70" s="497" t="s">
        <v>4</v>
      </c>
      <c r="DM70" s="497" t="s">
        <v>4</v>
      </c>
      <c r="DN70" s="497">
        <v>0.5</v>
      </c>
      <c r="DO70" s="497" t="s">
        <v>2</v>
      </c>
      <c r="DP70" s="497" t="s">
        <v>29375</v>
      </c>
      <c r="DQ70" s="497" t="s">
        <v>4</v>
      </c>
      <c r="DR70" s="497" t="s">
        <v>4</v>
      </c>
      <c r="DS70" s="494" t="s">
        <v>4</v>
      </c>
      <c r="DT70" s="497" t="s">
        <v>29293</v>
      </c>
      <c r="DU70" s="494">
        <v>0</v>
      </c>
      <c r="DV70" s="500" t="s">
        <v>29508</v>
      </c>
      <c r="DW70" s="496" t="s">
        <v>4</v>
      </c>
      <c r="DX70" s="497" t="s">
        <v>4</v>
      </c>
      <c r="DY70" s="497" t="s">
        <v>4</v>
      </c>
      <c r="DZ70" s="497" t="s">
        <v>4</v>
      </c>
      <c r="EA70" s="497" t="s">
        <v>4</v>
      </c>
      <c r="EB70" s="497" t="s">
        <v>4</v>
      </c>
      <c r="EC70" s="497" t="s">
        <v>4</v>
      </c>
      <c r="ED70" s="497">
        <v>100</v>
      </c>
      <c r="EE70" s="497" t="s">
        <v>30667</v>
      </c>
      <c r="EF70" s="497" t="s">
        <v>4</v>
      </c>
      <c r="EG70" s="497" t="s">
        <v>4</v>
      </c>
      <c r="EH70" s="497">
        <v>100</v>
      </c>
      <c r="EI70" s="497" t="s">
        <v>4</v>
      </c>
      <c r="EJ70" s="497" t="s">
        <v>4</v>
      </c>
      <c r="EK70" s="497" t="s">
        <v>4</v>
      </c>
      <c r="EL70" s="497" t="s">
        <v>4</v>
      </c>
      <c r="EM70" s="497">
        <v>7</v>
      </c>
      <c r="EN70" s="497" t="s">
        <v>4</v>
      </c>
      <c r="EO70" s="497" t="s">
        <v>4</v>
      </c>
      <c r="EP70" s="497" t="s">
        <v>4</v>
      </c>
      <c r="EQ70" s="497" t="s">
        <v>29296</v>
      </c>
      <c r="ER70" s="497">
        <v>100</v>
      </c>
      <c r="ES70" s="497" t="s">
        <v>4</v>
      </c>
      <c r="ET70" s="497" t="s">
        <v>4</v>
      </c>
      <c r="EU70" s="497" t="s">
        <v>4</v>
      </c>
      <c r="EV70" s="497" t="s">
        <v>4</v>
      </c>
      <c r="EW70" s="497">
        <v>2</v>
      </c>
      <c r="EX70" s="497" t="s">
        <v>7</v>
      </c>
      <c r="EY70" s="497">
        <v>50</v>
      </c>
      <c r="EZ70" s="239">
        <f t="shared" si="2"/>
        <v>1</v>
      </c>
      <c r="FA70" s="497" t="s">
        <v>35452</v>
      </c>
      <c r="FB70" s="497" t="s">
        <v>29298</v>
      </c>
      <c r="FC70" s="497">
        <v>30</v>
      </c>
      <c r="FD70" s="497" t="s">
        <v>7</v>
      </c>
      <c r="FE70" s="497" t="s">
        <v>29492</v>
      </c>
      <c r="FF70" s="497" t="s">
        <v>4</v>
      </c>
      <c r="FG70" s="497" t="s">
        <v>7</v>
      </c>
      <c r="FH70" s="497" t="s">
        <v>29492</v>
      </c>
      <c r="FI70" s="497" t="s">
        <v>4</v>
      </c>
      <c r="FJ70" s="497" t="s">
        <v>29300</v>
      </c>
      <c r="FK70" s="497" t="s">
        <v>4</v>
      </c>
      <c r="FL70" s="497" t="s">
        <v>29375</v>
      </c>
      <c r="FM70" s="497" t="s">
        <v>4</v>
      </c>
      <c r="FN70" s="494" t="s">
        <v>4</v>
      </c>
      <c r="FO70" s="497" t="s">
        <v>4</v>
      </c>
      <c r="FP70" s="497" t="s">
        <v>7</v>
      </c>
      <c r="FQ70" s="497" t="s">
        <v>29301</v>
      </c>
      <c r="FR70" s="497" t="s">
        <v>4</v>
      </c>
      <c r="FS70" s="497" t="s">
        <v>7</v>
      </c>
      <c r="FT70" s="497" t="s">
        <v>7</v>
      </c>
      <c r="FU70" s="497" t="s">
        <v>29302</v>
      </c>
      <c r="FV70" s="497" t="s">
        <v>35365</v>
      </c>
      <c r="FW70" s="497" t="s">
        <v>4</v>
      </c>
      <c r="FX70" s="497">
        <v>0</v>
      </c>
      <c r="FY70" s="497" t="s">
        <v>4</v>
      </c>
      <c r="FZ70" s="497" t="s">
        <v>4</v>
      </c>
      <c r="GA70" s="497" t="s">
        <v>4</v>
      </c>
      <c r="GB70" s="497" t="s">
        <v>4</v>
      </c>
      <c r="GC70" s="497" t="s">
        <v>4</v>
      </c>
      <c r="GD70" s="497" t="s">
        <v>4</v>
      </c>
      <c r="GE70" s="497" t="s">
        <v>4</v>
      </c>
      <c r="GF70" s="497" t="s">
        <v>4</v>
      </c>
      <c r="GG70" s="497" t="s">
        <v>4</v>
      </c>
      <c r="GH70" s="497" t="s">
        <v>4</v>
      </c>
      <c r="GI70" s="497" t="s">
        <v>29433</v>
      </c>
      <c r="GJ70" s="497" t="s">
        <v>4</v>
      </c>
      <c r="GK70" s="497" t="s">
        <v>4</v>
      </c>
      <c r="GL70" s="497" t="s">
        <v>4</v>
      </c>
      <c r="GM70" s="497" t="s">
        <v>4</v>
      </c>
      <c r="GN70" s="497" t="s">
        <v>4</v>
      </c>
      <c r="GO70" s="497" t="s">
        <v>4</v>
      </c>
      <c r="GP70" s="497" t="s">
        <v>4</v>
      </c>
      <c r="GQ70" s="497" t="s">
        <v>4</v>
      </c>
      <c r="GR70" s="497" t="s">
        <v>13</v>
      </c>
      <c r="GS70" s="497" t="s">
        <v>35465</v>
      </c>
      <c r="GT70" s="497" t="s">
        <v>29698</v>
      </c>
      <c r="GU70" s="497" t="s">
        <v>4</v>
      </c>
      <c r="GV70" s="494">
        <v>20</v>
      </c>
      <c r="GW70" s="497" t="s">
        <v>2</v>
      </c>
      <c r="GX70" s="497" t="s">
        <v>29309</v>
      </c>
      <c r="GY70" s="497" t="s">
        <v>4</v>
      </c>
      <c r="GZ70" s="497" t="s">
        <v>4</v>
      </c>
      <c r="HA70" s="497" t="s">
        <v>4</v>
      </c>
      <c r="HB70" s="497" t="s">
        <v>4</v>
      </c>
      <c r="HC70" s="497" t="s">
        <v>4</v>
      </c>
      <c r="HD70" s="497" t="s">
        <v>4</v>
      </c>
      <c r="HE70" s="497" t="s">
        <v>4</v>
      </c>
      <c r="HF70" s="497" t="s">
        <v>4</v>
      </c>
      <c r="HG70" s="497" t="s">
        <v>2</v>
      </c>
      <c r="HH70" s="497" t="s">
        <v>4</v>
      </c>
      <c r="HI70" s="497" t="s">
        <v>4</v>
      </c>
      <c r="HJ70" s="497" t="s">
        <v>4</v>
      </c>
      <c r="HK70" s="494" t="s">
        <v>4</v>
      </c>
      <c r="HL70" s="497" t="s">
        <v>35466</v>
      </c>
      <c r="HM70" s="497" t="s">
        <v>2</v>
      </c>
      <c r="HN70" s="497" t="s">
        <v>4</v>
      </c>
      <c r="HO70" s="497" t="s">
        <v>16</v>
      </c>
      <c r="HP70" s="497" t="s">
        <v>35467</v>
      </c>
      <c r="HQ70" s="497" t="s">
        <v>35468</v>
      </c>
      <c r="HR70" s="497" t="s">
        <v>35469</v>
      </c>
      <c r="HS70" s="497" t="s">
        <v>35470</v>
      </c>
      <c r="HT70" s="500" t="s">
        <v>35461</v>
      </c>
    </row>
    <row r="71" spans="1:228" s="570" customFormat="1" ht="30.2" customHeight="1" x14ac:dyDescent="0.25">
      <c r="A71" s="759"/>
      <c r="B71" s="496">
        <v>191</v>
      </c>
      <c r="C71" s="496" t="s">
        <v>16551</v>
      </c>
      <c r="D71" s="497" t="s">
        <v>35481</v>
      </c>
      <c r="E71" s="497" t="s">
        <v>30638</v>
      </c>
      <c r="F71" s="497" t="s">
        <v>7</v>
      </c>
      <c r="G71" s="497" t="s">
        <v>35482</v>
      </c>
      <c r="H71" s="497">
        <v>1238.038086</v>
      </c>
      <c r="I71" s="497">
        <v>4.2880000000000003</v>
      </c>
      <c r="J71" s="497" t="s">
        <v>29389</v>
      </c>
      <c r="K71" s="497" t="s">
        <v>35483</v>
      </c>
      <c r="L71" s="497" t="s">
        <v>35484</v>
      </c>
      <c r="M71" s="497">
        <v>783897027</v>
      </c>
      <c r="N71" s="497" t="s">
        <v>3</v>
      </c>
      <c r="O71" s="497" t="s">
        <v>31598</v>
      </c>
      <c r="P71" s="497" t="s">
        <v>4</v>
      </c>
      <c r="Q71" s="497">
        <v>12</v>
      </c>
      <c r="R71" s="497" t="s">
        <v>7</v>
      </c>
      <c r="S71" s="497" t="s">
        <v>31535</v>
      </c>
      <c r="T71" s="497" t="s">
        <v>4</v>
      </c>
      <c r="U71" s="497" t="s">
        <v>7</v>
      </c>
      <c r="V71" s="497" t="s">
        <v>7</v>
      </c>
      <c r="W71" s="497" t="s">
        <v>4</v>
      </c>
      <c r="X71" s="497" t="s">
        <v>7</v>
      </c>
      <c r="Y71" s="497" t="s">
        <v>4</v>
      </c>
      <c r="Z71" s="497" t="s">
        <v>4</v>
      </c>
      <c r="AA71" s="241" t="str">
        <f>IF(OR(U71="yes",Z71&gt;'SDG outcome'!$C$39),"yes","no")</f>
        <v>yes</v>
      </c>
      <c r="AB71" s="521" t="str">
        <f t="shared" si="0"/>
        <v>NA</v>
      </c>
      <c r="AC71" s="527" t="str">
        <f>IF(AND('SMS p2'!AA203="no",AND(Z71&gt;='SDG outcome'!$B$28,Z71&lt;'SDG outcome'!$C$39)),Z71-'SDG outcome'!$B$28,"")</f>
        <v/>
      </c>
      <c r="AD71" s="497" t="s">
        <v>4</v>
      </c>
      <c r="AE71" s="497" t="s">
        <v>4</v>
      </c>
      <c r="AF71" s="497" t="s">
        <v>4</v>
      </c>
      <c r="AG71" s="497" t="s">
        <v>4</v>
      </c>
      <c r="AH71" s="497" t="s">
        <v>4</v>
      </c>
      <c r="AI71" s="497" t="s">
        <v>4</v>
      </c>
      <c r="AJ71" s="497" t="s">
        <v>4</v>
      </c>
      <c r="AK71" s="497" t="s">
        <v>29290</v>
      </c>
      <c r="AL71" s="497" t="s">
        <v>29694</v>
      </c>
      <c r="AM71" s="497" t="s">
        <v>4</v>
      </c>
      <c r="AN71" s="497" t="s">
        <v>4</v>
      </c>
      <c r="AO71" s="497" t="s">
        <v>31536</v>
      </c>
      <c r="AP71" s="497" t="s">
        <v>4</v>
      </c>
      <c r="AQ71" s="497" t="s">
        <v>31537</v>
      </c>
      <c r="AR71" s="497" t="s">
        <v>4</v>
      </c>
      <c r="AS71" s="497" t="s">
        <v>31538</v>
      </c>
      <c r="AT71" s="497" t="s">
        <v>4</v>
      </c>
      <c r="AU71" s="497" t="s">
        <v>7</v>
      </c>
      <c r="AV71" s="497" t="s">
        <v>4</v>
      </c>
      <c r="AW71" s="497" t="s">
        <v>4</v>
      </c>
      <c r="AX71" s="497" t="s">
        <v>7</v>
      </c>
      <c r="AY71" s="497" t="s">
        <v>11</v>
      </c>
      <c r="AZ71" s="497" t="s">
        <v>4</v>
      </c>
      <c r="BA71" s="497" t="s">
        <v>31540</v>
      </c>
      <c r="BB71" s="497" t="s">
        <v>22</v>
      </c>
      <c r="BC71" s="497" t="s">
        <v>4</v>
      </c>
      <c r="BD71" s="497" t="s">
        <v>22</v>
      </c>
      <c r="BE71" s="497" t="s">
        <v>4</v>
      </c>
      <c r="BF71" s="497" t="s">
        <v>31542</v>
      </c>
      <c r="BG71" s="497" t="s">
        <v>35485</v>
      </c>
      <c r="BH71" s="497" t="s">
        <v>31616</v>
      </c>
      <c r="BI71" s="497">
        <v>1</v>
      </c>
      <c r="BJ71" s="497">
        <v>1488</v>
      </c>
      <c r="BK71" s="497" t="s">
        <v>7</v>
      </c>
      <c r="BL71" s="497" t="s">
        <v>6</v>
      </c>
      <c r="BM71" s="497" t="s">
        <v>4</v>
      </c>
      <c r="BN71" s="497" t="s">
        <v>31429</v>
      </c>
      <c r="BO71" s="497">
        <v>2</v>
      </c>
      <c r="BP71" s="497">
        <v>30</v>
      </c>
      <c r="BQ71" s="497" t="s">
        <v>31426</v>
      </c>
      <c r="BR71" s="499" t="s">
        <v>33332</v>
      </c>
      <c r="BS71" s="497" t="s">
        <v>4</v>
      </c>
      <c r="BT71" s="497">
        <v>2</v>
      </c>
      <c r="BU71" s="494" cm="1">
        <f t="array" ref="BU71">_xlfn.IFS(BQ71="Foreword vehicle",BT71*0,BQ71="Human wastes",BT71*0,BS71="Jerrycans",BT71*$BT$4,BQ71="Number of Basins",BT71*$BT$5,BQ71="Number of Buckets",BT71*$BT$6,BQ71="Number of Kgs",BT71*$BT$7,BQ71="Number of spades",BT71*$BT$8,BQ71="Number of wheelbarrows",BT71*$BT$9,BS71="Septic Tank",BT71*0)</f>
        <v>46</v>
      </c>
      <c r="BV71" s="494">
        <f>Table15[[#This Row],[Calculation: Conversion of metric to Kg manure feeding (Columns: BP, BQ, BR)]]*Table15[[#This Row],[Number of times used to feed biodigester]]</f>
        <v>92</v>
      </c>
      <c r="BW71" s="495" cm="1">
        <f t="array" ref="BW71">_xlfn.IFS(BN71="Number of times per day (1 to 3)",BV71/$BW$3,BN71="Number of times per week (1 to 6)",BV71/$BW$4,BN71="Number of times per Month (1 to 3)",BV71/$BW$5)</f>
        <v>13.142857142857142</v>
      </c>
      <c r="BX71" s="497" t="s">
        <v>22</v>
      </c>
      <c r="BY71" s="497" t="s">
        <v>4</v>
      </c>
      <c r="BZ71" s="497" t="s">
        <v>2</v>
      </c>
      <c r="CA71" s="497" t="s">
        <v>4</v>
      </c>
      <c r="CB71" s="497" t="s">
        <v>4</v>
      </c>
      <c r="CC71" s="497" t="s">
        <v>4</v>
      </c>
      <c r="CD71" s="497" t="s">
        <v>7</v>
      </c>
      <c r="CE71" s="497" t="s">
        <v>35486</v>
      </c>
      <c r="CF71" s="497" t="s">
        <v>4</v>
      </c>
      <c r="CG71" s="497" t="s">
        <v>31604</v>
      </c>
      <c r="CH71" s="497">
        <v>4</v>
      </c>
      <c r="CI71" s="497">
        <v>0</v>
      </c>
      <c r="CJ71" s="497">
        <v>0</v>
      </c>
      <c r="CK71" s="497">
        <v>0</v>
      </c>
      <c r="CL71" s="497">
        <v>0</v>
      </c>
      <c r="CM71" s="497">
        <v>0</v>
      </c>
      <c r="CN71" s="497">
        <v>0</v>
      </c>
      <c r="CO71" s="497">
        <v>0</v>
      </c>
      <c r="CP71" s="497">
        <v>0</v>
      </c>
      <c r="CQ71" s="497">
        <v>0</v>
      </c>
      <c r="CR71" s="497">
        <f>IF(Table15[[#This Row],[Is your biodigester working?]]="yes",CO71/'SDG outcome'!$C$9*CP71*CQ71,"")</f>
        <v>0</v>
      </c>
      <c r="CS71" s="497">
        <v>25</v>
      </c>
      <c r="CT71" s="500">
        <v>75</v>
      </c>
      <c r="CU71" s="496" t="s">
        <v>35487</v>
      </c>
      <c r="CV71" s="497" t="s">
        <v>4</v>
      </c>
      <c r="CW71" s="500" t="s">
        <v>4</v>
      </c>
      <c r="CX71" s="496" t="s">
        <v>4</v>
      </c>
      <c r="CY71" s="497" t="s">
        <v>4</v>
      </c>
      <c r="CZ71" s="500" t="s">
        <v>4</v>
      </c>
      <c r="DA71" s="496" t="s">
        <v>4</v>
      </c>
      <c r="DB71" s="497" t="s">
        <v>4</v>
      </c>
      <c r="DC71" s="497" t="s">
        <v>4</v>
      </c>
      <c r="DD71" s="497" t="s">
        <v>4</v>
      </c>
      <c r="DE71" s="497" t="s">
        <v>4</v>
      </c>
      <c r="DF71" s="497" t="s">
        <v>4</v>
      </c>
      <c r="DG71" s="497" t="s">
        <v>4</v>
      </c>
      <c r="DH71" s="497" t="s">
        <v>4</v>
      </c>
      <c r="DI71" s="497" t="s">
        <v>4</v>
      </c>
      <c r="DJ71" s="497" t="s">
        <v>4</v>
      </c>
      <c r="DK71" s="497" t="s">
        <v>4</v>
      </c>
      <c r="DL71" s="497" t="s">
        <v>4</v>
      </c>
      <c r="DM71" s="497" t="s">
        <v>4</v>
      </c>
      <c r="DN71" s="497">
        <v>5</v>
      </c>
      <c r="DO71" s="497" t="s">
        <v>2</v>
      </c>
      <c r="DP71" s="497" t="s">
        <v>29292</v>
      </c>
      <c r="DQ71" s="497" t="s">
        <v>4</v>
      </c>
      <c r="DR71" s="497" t="s">
        <v>29294</v>
      </c>
      <c r="DS71" s="494" t="s">
        <v>4</v>
      </c>
      <c r="DT71" s="497" t="s">
        <v>29294</v>
      </c>
      <c r="DU71" s="494" t="s">
        <v>4</v>
      </c>
      <c r="DV71" s="500" t="s">
        <v>29295</v>
      </c>
      <c r="DW71" s="496">
        <v>100</v>
      </c>
      <c r="DX71" s="497" t="s">
        <v>29296</v>
      </c>
      <c r="DY71" s="497">
        <v>100</v>
      </c>
      <c r="DZ71" s="497" t="s">
        <v>4</v>
      </c>
      <c r="EA71" s="497" t="s">
        <v>4</v>
      </c>
      <c r="EB71" s="497" t="s">
        <v>4</v>
      </c>
      <c r="EC71" s="497" t="s">
        <v>4</v>
      </c>
      <c r="ED71" s="497" t="s">
        <v>4</v>
      </c>
      <c r="EE71" s="497" t="s">
        <v>4</v>
      </c>
      <c r="EF71" s="497" t="s">
        <v>4</v>
      </c>
      <c r="EG71" s="497" t="s">
        <v>4</v>
      </c>
      <c r="EH71" s="497" t="s">
        <v>4</v>
      </c>
      <c r="EI71" s="497" t="s">
        <v>4</v>
      </c>
      <c r="EJ71" s="497" t="s">
        <v>4</v>
      </c>
      <c r="EK71" s="497" t="s">
        <v>4</v>
      </c>
      <c r="EL71" s="497" t="s">
        <v>4</v>
      </c>
      <c r="EM71" s="497" t="s">
        <v>4</v>
      </c>
      <c r="EN71" s="497" t="s">
        <v>4</v>
      </c>
      <c r="EO71" s="497" t="s">
        <v>4</v>
      </c>
      <c r="EP71" s="497" t="s">
        <v>4</v>
      </c>
      <c r="EQ71" s="497" t="s">
        <v>4</v>
      </c>
      <c r="ER71" s="497" t="s">
        <v>4</v>
      </c>
      <c r="ES71" s="497" t="s">
        <v>4</v>
      </c>
      <c r="ET71" s="497" t="s">
        <v>4</v>
      </c>
      <c r="EU71" s="497" t="s">
        <v>4</v>
      </c>
      <c r="EV71" s="497" t="s">
        <v>4</v>
      </c>
      <c r="EW71" s="497">
        <v>1</v>
      </c>
      <c r="EX71" s="497" t="s">
        <v>7</v>
      </c>
      <c r="EY71" s="497">
        <v>100</v>
      </c>
      <c r="EZ71" s="239">
        <f t="shared" si="2"/>
        <v>1</v>
      </c>
      <c r="FA71" s="497" t="s">
        <v>35488</v>
      </c>
      <c r="FB71" s="497" t="s">
        <v>29298</v>
      </c>
      <c r="FC71" s="497">
        <v>72</v>
      </c>
      <c r="FD71" s="497" t="s">
        <v>7</v>
      </c>
      <c r="FE71" s="497" t="s">
        <v>29492</v>
      </c>
      <c r="FF71" s="497" t="s">
        <v>4</v>
      </c>
      <c r="FG71" s="497" t="s">
        <v>2</v>
      </c>
      <c r="FH71" s="497" t="s">
        <v>4</v>
      </c>
      <c r="FI71" s="497" t="s">
        <v>4</v>
      </c>
      <c r="FJ71" s="497" t="s">
        <v>4</v>
      </c>
      <c r="FK71" s="497" t="s">
        <v>4</v>
      </c>
      <c r="FL71" s="497" t="s">
        <v>34620</v>
      </c>
      <c r="FM71" s="497" t="s">
        <v>4</v>
      </c>
      <c r="FN71" s="494" t="s">
        <v>4</v>
      </c>
      <c r="FO71" s="497" t="s">
        <v>4</v>
      </c>
      <c r="FP71" s="497" t="s">
        <v>7</v>
      </c>
      <c r="FQ71" s="497" t="s">
        <v>29301</v>
      </c>
      <c r="FR71" s="497" t="s">
        <v>4</v>
      </c>
      <c r="FS71" s="497" t="s">
        <v>7</v>
      </c>
      <c r="FT71" s="497" t="s">
        <v>7</v>
      </c>
      <c r="FU71" s="497" t="s">
        <v>29302</v>
      </c>
      <c r="FV71" s="497" t="s">
        <v>33473</v>
      </c>
      <c r="FW71" s="497" t="s">
        <v>29304</v>
      </c>
      <c r="FX71" s="497">
        <v>1</v>
      </c>
      <c r="FY71" s="497" t="s">
        <v>29529</v>
      </c>
      <c r="FZ71" s="497" t="s">
        <v>4</v>
      </c>
      <c r="GA71" s="497" t="s">
        <v>4</v>
      </c>
      <c r="GB71" s="497" t="s">
        <v>4</v>
      </c>
      <c r="GC71" s="497" t="s">
        <v>4</v>
      </c>
      <c r="GD71" s="497" t="s">
        <v>29451</v>
      </c>
      <c r="GE71" s="497" t="s">
        <v>4</v>
      </c>
      <c r="GF71" s="497" t="s">
        <v>4</v>
      </c>
      <c r="GG71" s="497" t="s">
        <v>4</v>
      </c>
      <c r="GH71" s="497" t="s">
        <v>4</v>
      </c>
      <c r="GI71" s="497" t="s">
        <v>4</v>
      </c>
      <c r="GJ71" s="497" t="s">
        <v>4</v>
      </c>
      <c r="GK71" s="497" t="s">
        <v>4</v>
      </c>
      <c r="GL71" s="497" t="s">
        <v>4</v>
      </c>
      <c r="GM71" s="497" t="s">
        <v>4</v>
      </c>
      <c r="GN71" s="497" t="s">
        <v>4</v>
      </c>
      <c r="GO71" s="497" t="s">
        <v>4</v>
      </c>
      <c r="GP71" s="497" t="s">
        <v>4</v>
      </c>
      <c r="GQ71" s="497" t="s">
        <v>4</v>
      </c>
      <c r="GR71" s="497" t="s">
        <v>4</v>
      </c>
      <c r="GS71" s="497" t="s">
        <v>4</v>
      </c>
      <c r="GT71" s="497" t="s">
        <v>29698</v>
      </c>
      <c r="GU71" s="497" t="s">
        <v>4</v>
      </c>
      <c r="GV71" s="494">
        <v>5</v>
      </c>
      <c r="GW71" s="497" t="s">
        <v>29325</v>
      </c>
      <c r="GX71" s="497" t="s">
        <v>29309</v>
      </c>
      <c r="GY71" s="497" t="s">
        <v>4</v>
      </c>
      <c r="GZ71" s="497" t="s">
        <v>4</v>
      </c>
      <c r="HA71" s="497" t="s">
        <v>4</v>
      </c>
      <c r="HB71" s="497" t="s">
        <v>4</v>
      </c>
      <c r="HC71" s="497" t="s">
        <v>4</v>
      </c>
      <c r="HD71" s="497" t="s">
        <v>4</v>
      </c>
      <c r="HE71" s="497" t="s">
        <v>4</v>
      </c>
      <c r="HF71" s="497" t="s">
        <v>4</v>
      </c>
      <c r="HG71" s="497" t="s">
        <v>2</v>
      </c>
      <c r="HH71" s="497" t="s">
        <v>4</v>
      </c>
      <c r="HI71" s="497" t="s">
        <v>4</v>
      </c>
      <c r="HJ71" s="497" t="s">
        <v>4</v>
      </c>
      <c r="HK71" s="494" t="s">
        <v>4</v>
      </c>
      <c r="HL71" s="497" t="s">
        <v>35489</v>
      </c>
      <c r="HM71" s="497" t="s">
        <v>2</v>
      </c>
      <c r="HN71" s="497" t="s">
        <v>4</v>
      </c>
      <c r="HO71" s="497" t="s">
        <v>16</v>
      </c>
      <c r="HP71" s="497" t="s">
        <v>35490</v>
      </c>
      <c r="HQ71" s="497" t="s">
        <v>35491</v>
      </c>
      <c r="HR71" s="497" t="s">
        <v>35492</v>
      </c>
      <c r="HS71" s="497" t="s">
        <v>35493</v>
      </c>
      <c r="HT71" s="500" t="s">
        <v>35481</v>
      </c>
    </row>
    <row r="72" spans="1:228" s="570" customFormat="1" ht="30.2" customHeight="1" x14ac:dyDescent="0.25">
      <c r="A72" s="759"/>
      <c r="B72" s="496">
        <v>227</v>
      </c>
      <c r="C72" s="496" t="s">
        <v>2627</v>
      </c>
      <c r="D72" s="497" t="s">
        <v>35853</v>
      </c>
      <c r="E72" s="497" t="s">
        <v>30786</v>
      </c>
      <c r="F72" s="497" t="s">
        <v>7</v>
      </c>
      <c r="G72" s="497" t="s">
        <v>35854</v>
      </c>
      <c r="H72" s="497">
        <v>0</v>
      </c>
      <c r="I72" s="497">
        <v>2099.9989999999998</v>
      </c>
      <c r="J72" s="497" t="s">
        <v>29319</v>
      </c>
      <c r="K72" s="497" t="s">
        <v>4</v>
      </c>
      <c r="L72" s="497" t="s">
        <v>35855</v>
      </c>
      <c r="M72" s="497">
        <v>772412745</v>
      </c>
      <c r="N72" s="497" t="s">
        <v>5</v>
      </c>
      <c r="O72" s="497" t="s">
        <v>31590</v>
      </c>
      <c r="P72" s="497" t="s">
        <v>4</v>
      </c>
      <c r="Q72" s="497">
        <v>5</v>
      </c>
      <c r="R72" s="497" t="s">
        <v>7</v>
      </c>
      <c r="S72" s="497" t="s">
        <v>31549</v>
      </c>
      <c r="T72" s="497" t="s">
        <v>4</v>
      </c>
      <c r="U72" s="497" t="s">
        <v>7</v>
      </c>
      <c r="V72" s="497" t="s">
        <v>7</v>
      </c>
      <c r="W72" s="497" t="s">
        <v>4</v>
      </c>
      <c r="X72" s="497" t="s">
        <v>7</v>
      </c>
      <c r="Y72" s="497" t="s">
        <v>4</v>
      </c>
      <c r="Z72" s="497" t="s">
        <v>4</v>
      </c>
      <c r="AA72" s="241" t="str">
        <f>IF(OR(U72="yes",Z72&gt;'SDG outcome'!$C$39),"yes","no")</f>
        <v>yes</v>
      </c>
      <c r="AB72" s="521" t="str">
        <f t="shared" si="0"/>
        <v>NA</v>
      </c>
      <c r="AC72" s="527" t="str">
        <f>IF(AND('SMS p2'!AA238="no",AND(Z72&gt;='SDG outcome'!$B$28,Z72&lt;'SDG outcome'!$C$39)),Z72-'SDG outcome'!$B$28,"")</f>
        <v/>
      </c>
      <c r="AD72" s="497" t="s">
        <v>4</v>
      </c>
      <c r="AE72" s="497" t="s">
        <v>4</v>
      </c>
      <c r="AF72" s="497" t="s">
        <v>4</v>
      </c>
      <c r="AG72" s="497" t="s">
        <v>4</v>
      </c>
      <c r="AH72" s="497" t="s">
        <v>4</v>
      </c>
      <c r="AI72" s="497" t="s">
        <v>4</v>
      </c>
      <c r="AJ72" s="497" t="s">
        <v>4</v>
      </c>
      <c r="AK72" s="497" t="s">
        <v>29290</v>
      </c>
      <c r="AL72" s="497" t="s">
        <v>29694</v>
      </c>
      <c r="AM72" s="497" t="s">
        <v>4</v>
      </c>
      <c r="AN72" s="497" t="s">
        <v>4</v>
      </c>
      <c r="AO72" s="497" t="s">
        <v>31599</v>
      </c>
      <c r="AP72" s="497" t="s">
        <v>4</v>
      </c>
      <c r="AQ72" s="497" t="s">
        <v>31537</v>
      </c>
      <c r="AR72" s="497" t="s">
        <v>4</v>
      </c>
      <c r="AS72" s="497" t="s">
        <v>31538</v>
      </c>
      <c r="AT72" s="497" t="s">
        <v>4</v>
      </c>
      <c r="AU72" s="497" t="s">
        <v>7</v>
      </c>
      <c r="AV72" s="497" t="s">
        <v>4</v>
      </c>
      <c r="AW72" s="497" t="s">
        <v>4</v>
      </c>
      <c r="AX72" s="497" t="s">
        <v>7</v>
      </c>
      <c r="AY72" s="497" t="s">
        <v>6</v>
      </c>
      <c r="AZ72" s="497" t="s">
        <v>4</v>
      </c>
      <c r="BA72" s="497" t="s">
        <v>31540</v>
      </c>
      <c r="BB72" s="497" t="s">
        <v>22</v>
      </c>
      <c r="BC72" s="497" t="s">
        <v>4</v>
      </c>
      <c r="BD72" s="497" t="s">
        <v>22</v>
      </c>
      <c r="BE72" s="497" t="s">
        <v>4</v>
      </c>
      <c r="BF72" s="497" t="s">
        <v>31542</v>
      </c>
      <c r="BG72" s="497" t="s">
        <v>35856</v>
      </c>
      <c r="BH72" s="497" t="s">
        <v>31616</v>
      </c>
      <c r="BI72" s="497">
        <v>2</v>
      </c>
      <c r="BJ72" s="497">
        <v>120</v>
      </c>
      <c r="BK72" s="497" t="s">
        <v>7</v>
      </c>
      <c r="BL72" s="497" t="s">
        <v>6</v>
      </c>
      <c r="BM72" s="494" t="s">
        <v>4</v>
      </c>
      <c r="BN72" s="497" t="s">
        <v>31429</v>
      </c>
      <c r="BO72" s="497">
        <v>2</v>
      </c>
      <c r="BP72" s="497">
        <v>40</v>
      </c>
      <c r="BQ72" s="497" t="s">
        <v>31426</v>
      </c>
      <c r="BR72" s="499" t="s">
        <v>33361</v>
      </c>
      <c r="BS72" s="497" t="s">
        <v>4</v>
      </c>
      <c r="BT72" s="497">
        <v>3</v>
      </c>
      <c r="BU72" s="494" cm="1">
        <f t="array" ref="BU72">_xlfn.IFS(BQ72="Foreword vehicle",BT72*0,BQ72="Human wastes",BT72*0,BS72="Jerrycans",BT72*$BT$4,BQ72="Number of Basins",BT72*$BT$5,BQ72="Number of Buckets",BT72*$BS$6,BQ72="Number of Kgs",BT72*$BT$7,BQ72="Number of spades",BT72*$BT$8,BQ72="Number of wheelbarrows",BT72*$BT$9,BS72="Septic Tank",BT72*0)</f>
        <v>70.5</v>
      </c>
      <c r="BV72" s="494">
        <f>Table15[[#This Row],[Calculation: Conversion of metric to Kg manure feeding (Columns: BP, BQ, BR)]]*Table15[[#This Row],[Number of times used to feed biodigester]]</f>
        <v>141</v>
      </c>
      <c r="BW72" s="495" cm="1">
        <f t="array" ref="BW72">_xlfn.IFS(BN72="Number of times per day (1 to 3)",BV72/$BW$3,BN72="Number of times per week (1 to 6)",BV72/$BW$4,BN72="Number of times per Month (1 to 3)",BV72/$BW$5)</f>
        <v>20.142857142857142</v>
      </c>
      <c r="BX72" s="497" t="s">
        <v>22</v>
      </c>
      <c r="BY72" s="497" t="s">
        <v>4</v>
      </c>
      <c r="BZ72" s="497" t="s">
        <v>2</v>
      </c>
      <c r="CA72" s="497" t="s">
        <v>4</v>
      </c>
      <c r="CB72" s="497" t="s">
        <v>4</v>
      </c>
      <c r="CC72" s="497" t="s">
        <v>4</v>
      </c>
      <c r="CD72" s="497" t="s">
        <v>7</v>
      </c>
      <c r="CE72" s="497" t="s">
        <v>35857</v>
      </c>
      <c r="CF72" s="497" t="s">
        <v>4</v>
      </c>
      <c r="CG72" s="497" t="s">
        <v>31604</v>
      </c>
      <c r="CH72" s="497">
        <v>2</v>
      </c>
      <c r="CI72" s="497">
        <v>0</v>
      </c>
      <c r="CJ72" s="497">
        <v>0</v>
      </c>
      <c r="CK72" s="497">
        <v>0</v>
      </c>
      <c r="CL72" s="497">
        <v>0</v>
      </c>
      <c r="CM72" s="497">
        <v>0</v>
      </c>
      <c r="CN72" s="497">
        <v>0</v>
      </c>
      <c r="CO72" s="497">
        <v>0</v>
      </c>
      <c r="CP72" s="497">
        <v>0</v>
      </c>
      <c r="CQ72" s="497">
        <v>0</v>
      </c>
      <c r="CR72" s="497">
        <f>IF(Table15[[#This Row],[Is your biodigester working?]]="yes",CO72/'SDG outcome'!$C$9*CP72*CQ72,"")</f>
        <v>0</v>
      </c>
      <c r="CS72" s="497">
        <v>100</v>
      </c>
      <c r="CT72" s="500">
        <v>0</v>
      </c>
      <c r="CU72" s="496" t="s">
        <v>4</v>
      </c>
      <c r="CV72" s="497" t="s">
        <v>4</v>
      </c>
      <c r="CW72" s="500" t="s">
        <v>4</v>
      </c>
      <c r="CX72" s="496" t="s">
        <v>4</v>
      </c>
      <c r="CY72" s="497" t="s">
        <v>4</v>
      </c>
      <c r="CZ72" s="500" t="s">
        <v>4</v>
      </c>
      <c r="DA72" s="496" t="s">
        <v>4</v>
      </c>
      <c r="DB72" s="497" t="s">
        <v>4</v>
      </c>
      <c r="DC72" s="497" t="s">
        <v>4</v>
      </c>
      <c r="DD72" s="497" t="s">
        <v>4</v>
      </c>
      <c r="DE72" s="497" t="s">
        <v>4</v>
      </c>
      <c r="DF72" s="497" t="s">
        <v>4</v>
      </c>
      <c r="DG72" s="497" t="s">
        <v>4</v>
      </c>
      <c r="DH72" s="497" t="s">
        <v>4</v>
      </c>
      <c r="DI72" s="497" t="s">
        <v>4</v>
      </c>
      <c r="DJ72" s="497" t="s">
        <v>4</v>
      </c>
      <c r="DK72" s="497" t="s">
        <v>4</v>
      </c>
      <c r="DL72" s="497" t="s">
        <v>4</v>
      </c>
      <c r="DM72" s="497" t="s">
        <v>4</v>
      </c>
      <c r="DN72" s="497">
        <v>4</v>
      </c>
      <c r="DO72" s="497" t="s">
        <v>2</v>
      </c>
      <c r="DP72" s="497" t="s">
        <v>29292</v>
      </c>
      <c r="DQ72" s="497" t="s">
        <v>4</v>
      </c>
      <c r="DR72" s="497" t="s">
        <v>29294</v>
      </c>
      <c r="DS72" s="494" t="s">
        <v>4</v>
      </c>
      <c r="DT72" s="497" t="s">
        <v>29294</v>
      </c>
      <c r="DU72" s="494" t="s">
        <v>4</v>
      </c>
      <c r="DV72" s="500" t="s">
        <v>29508</v>
      </c>
      <c r="DW72" s="496" t="s">
        <v>4</v>
      </c>
      <c r="DX72" s="497" t="s">
        <v>4</v>
      </c>
      <c r="DY72" s="497" t="s">
        <v>4</v>
      </c>
      <c r="DZ72" s="497" t="s">
        <v>4</v>
      </c>
      <c r="EA72" s="497" t="s">
        <v>4</v>
      </c>
      <c r="EB72" s="497" t="s">
        <v>4</v>
      </c>
      <c r="EC72" s="497" t="s">
        <v>4</v>
      </c>
      <c r="ED72" s="497">
        <v>100</v>
      </c>
      <c r="EE72" s="497" t="s">
        <v>26</v>
      </c>
      <c r="EF72" s="497" t="s">
        <v>4</v>
      </c>
      <c r="EG72" s="497" t="s">
        <v>4</v>
      </c>
      <c r="EH72" s="497" t="s">
        <v>4</v>
      </c>
      <c r="EI72" s="497">
        <v>100</v>
      </c>
      <c r="EJ72" s="497" t="s">
        <v>4</v>
      </c>
      <c r="EK72" s="497" t="s">
        <v>4</v>
      </c>
      <c r="EL72" s="497" t="s">
        <v>4</v>
      </c>
      <c r="EM72" s="497">
        <v>20</v>
      </c>
      <c r="EN72" s="497" t="s">
        <v>4</v>
      </c>
      <c r="EO72" s="497" t="s">
        <v>4</v>
      </c>
      <c r="EP72" s="497" t="s">
        <v>4</v>
      </c>
      <c r="EQ72" s="497" t="s">
        <v>29296</v>
      </c>
      <c r="ER72" s="497">
        <v>100</v>
      </c>
      <c r="ES72" s="497" t="s">
        <v>4</v>
      </c>
      <c r="ET72" s="497" t="s">
        <v>4</v>
      </c>
      <c r="EU72" s="497" t="s">
        <v>4</v>
      </c>
      <c r="EV72" s="497" t="s">
        <v>4</v>
      </c>
      <c r="EW72" s="497">
        <v>1</v>
      </c>
      <c r="EX72" s="497" t="s">
        <v>7</v>
      </c>
      <c r="EY72" s="497">
        <v>100</v>
      </c>
      <c r="EZ72" s="239">
        <f t="shared" si="2"/>
        <v>1</v>
      </c>
      <c r="FA72" s="497" t="s">
        <v>33472</v>
      </c>
      <c r="FB72" s="497" t="s">
        <v>29298</v>
      </c>
      <c r="FC72" s="497">
        <v>36</v>
      </c>
      <c r="FD72" s="497" t="s">
        <v>2</v>
      </c>
      <c r="FE72" s="497" t="s">
        <v>4</v>
      </c>
      <c r="FF72" s="497" t="s">
        <v>4</v>
      </c>
      <c r="FG72" s="497" t="s">
        <v>7</v>
      </c>
      <c r="FH72" s="497" t="s">
        <v>29555</v>
      </c>
      <c r="FI72" s="497" t="s">
        <v>4</v>
      </c>
      <c r="FJ72" s="497" t="s">
        <v>35858</v>
      </c>
      <c r="FK72" s="497" t="s">
        <v>4</v>
      </c>
      <c r="FL72" s="497" t="s">
        <v>4</v>
      </c>
      <c r="FM72" s="497" t="s">
        <v>4</v>
      </c>
      <c r="FN72" s="494" t="s">
        <v>4</v>
      </c>
      <c r="FO72" s="497" t="s">
        <v>4</v>
      </c>
      <c r="FP72" s="497" t="s">
        <v>2</v>
      </c>
      <c r="FQ72" s="497" t="s">
        <v>4</v>
      </c>
      <c r="FR72" s="497" t="s">
        <v>4</v>
      </c>
      <c r="FS72" s="497" t="s">
        <v>2</v>
      </c>
      <c r="FT72" s="497" t="s">
        <v>7</v>
      </c>
      <c r="FU72" s="497" t="s">
        <v>29302</v>
      </c>
      <c r="FV72" s="497" t="s">
        <v>35859</v>
      </c>
      <c r="FW72" s="497" t="s">
        <v>4</v>
      </c>
      <c r="FX72" s="497">
        <v>0</v>
      </c>
      <c r="FY72" s="497" t="s">
        <v>4</v>
      </c>
      <c r="FZ72" s="497" t="s">
        <v>4</v>
      </c>
      <c r="GA72" s="497" t="s">
        <v>4</v>
      </c>
      <c r="GB72" s="497" t="s">
        <v>4</v>
      </c>
      <c r="GC72" s="497" t="s">
        <v>4</v>
      </c>
      <c r="GD72" s="497" t="s">
        <v>4</v>
      </c>
      <c r="GE72" s="497" t="s">
        <v>4</v>
      </c>
      <c r="GF72" s="497" t="s">
        <v>4</v>
      </c>
      <c r="GG72" s="497" t="s">
        <v>4</v>
      </c>
      <c r="GH72" s="497" t="s">
        <v>4</v>
      </c>
      <c r="GI72" s="497" t="s">
        <v>29304</v>
      </c>
      <c r="GJ72" s="497" t="s">
        <v>29882</v>
      </c>
      <c r="GK72" s="497" t="s">
        <v>29306</v>
      </c>
      <c r="GL72" s="497" t="s">
        <v>35860</v>
      </c>
      <c r="GM72" s="497" t="s">
        <v>35706</v>
      </c>
      <c r="GN72" s="497" t="s">
        <v>4</v>
      </c>
      <c r="GO72" s="497" t="s">
        <v>4</v>
      </c>
      <c r="GP72" s="497" t="s">
        <v>4</v>
      </c>
      <c r="GQ72" s="497" t="s">
        <v>4</v>
      </c>
      <c r="GR72" s="497" t="s">
        <v>4</v>
      </c>
      <c r="GS72" s="497" t="s">
        <v>4</v>
      </c>
      <c r="GT72" s="497" t="s">
        <v>30516</v>
      </c>
      <c r="GU72" s="497" t="s">
        <v>4</v>
      </c>
      <c r="GV72" s="494">
        <v>3</v>
      </c>
      <c r="GW72" s="497" t="s">
        <v>7</v>
      </c>
      <c r="GX72" s="497" t="s">
        <v>29837</v>
      </c>
      <c r="GY72" s="497" t="s">
        <v>4</v>
      </c>
      <c r="GZ72" s="497" t="s">
        <v>4</v>
      </c>
      <c r="HA72" s="497" t="s">
        <v>4</v>
      </c>
      <c r="HB72" s="497" t="s">
        <v>4</v>
      </c>
      <c r="HC72" s="497" t="s">
        <v>4</v>
      </c>
      <c r="HD72" s="497" t="s">
        <v>4</v>
      </c>
      <c r="HE72" s="497" t="s">
        <v>4</v>
      </c>
      <c r="HF72" s="497" t="s">
        <v>4</v>
      </c>
      <c r="HG72" s="497" t="s">
        <v>2</v>
      </c>
      <c r="HH72" s="497" t="s">
        <v>4</v>
      </c>
      <c r="HI72" s="497" t="s">
        <v>4</v>
      </c>
      <c r="HJ72" s="497" t="s">
        <v>4</v>
      </c>
      <c r="HK72" s="494" t="s">
        <v>4</v>
      </c>
      <c r="HL72" s="497" t="s">
        <v>33474</v>
      </c>
      <c r="HM72" s="497" t="s">
        <v>2</v>
      </c>
      <c r="HN72" s="497" t="s">
        <v>4</v>
      </c>
      <c r="HO72" s="497" t="s">
        <v>16</v>
      </c>
      <c r="HP72" s="497" t="s">
        <v>35861</v>
      </c>
      <c r="HQ72" s="497" t="s">
        <v>35862</v>
      </c>
      <c r="HR72" s="497" t="s">
        <v>35863</v>
      </c>
      <c r="HS72" s="497" t="s">
        <v>35864</v>
      </c>
      <c r="HT72" s="500" t="s">
        <v>35853</v>
      </c>
    </row>
    <row r="73" spans="1:228" s="570" customFormat="1" ht="30.2" customHeight="1" x14ac:dyDescent="0.25">
      <c r="A73" s="759"/>
      <c r="B73" s="496">
        <v>179</v>
      </c>
      <c r="C73" s="496" t="s">
        <v>17900</v>
      </c>
      <c r="D73" s="497" t="s">
        <v>35360</v>
      </c>
      <c r="E73" s="497" t="s">
        <v>30638</v>
      </c>
      <c r="F73" s="497" t="s">
        <v>7</v>
      </c>
      <c r="G73" s="497" t="s">
        <v>35361</v>
      </c>
      <c r="H73" s="497">
        <v>2035.9113769999999</v>
      </c>
      <c r="I73" s="497">
        <v>4.2880000000000003</v>
      </c>
      <c r="J73" s="497" t="s">
        <v>29288</v>
      </c>
      <c r="K73" s="497" t="s">
        <v>4</v>
      </c>
      <c r="L73" s="497" t="s">
        <v>35362</v>
      </c>
      <c r="M73" s="497">
        <v>787596777</v>
      </c>
      <c r="N73" s="497" t="s">
        <v>3</v>
      </c>
      <c r="O73" s="497" t="s">
        <v>31598</v>
      </c>
      <c r="P73" s="497" t="s">
        <v>4</v>
      </c>
      <c r="Q73" s="497">
        <v>6</v>
      </c>
      <c r="R73" s="497" t="s">
        <v>7</v>
      </c>
      <c r="S73" s="497" t="s">
        <v>31535</v>
      </c>
      <c r="T73" s="497" t="s">
        <v>4</v>
      </c>
      <c r="U73" s="497" t="s">
        <v>7</v>
      </c>
      <c r="V73" s="497" t="s">
        <v>7</v>
      </c>
      <c r="W73" s="497" t="s">
        <v>4</v>
      </c>
      <c r="X73" s="497" t="s">
        <v>7</v>
      </c>
      <c r="Y73" s="497" t="s">
        <v>4</v>
      </c>
      <c r="Z73" s="497" t="s">
        <v>4</v>
      </c>
      <c r="AA73" s="241" t="str">
        <f>IF(OR(U73="yes",Z73&gt;'SDG outcome'!$C$39),"yes","no")</f>
        <v>yes</v>
      </c>
      <c r="AB73" s="521" t="str">
        <f t="shared" si="0"/>
        <v>NA</v>
      </c>
      <c r="AC73" s="527" t="str">
        <f>IF(AND('SMS p2'!AA191="no",AND(Z73&gt;='SDG outcome'!$B$28,Z73&lt;'SDG outcome'!$C$39)),Z73-'SDG outcome'!$B$28,"")</f>
        <v/>
      </c>
      <c r="AD73" s="497" t="s">
        <v>4</v>
      </c>
      <c r="AE73" s="497" t="s">
        <v>4</v>
      </c>
      <c r="AF73" s="497" t="s">
        <v>4</v>
      </c>
      <c r="AG73" s="497" t="s">
        <v>4</v>
      </c>
      <c r="AH73" s="497" t="s">
        <v>4</v>
      </c>
      <c r="AI73" s="497" t="s">
        <v>4</v>
      </c>
      <c r="AJ73" s="497" t="s">
        <v>4</v>
      </c>
      <c r="AK73" s="497" t="s">
        <v>29290</v>
      </c>
      <c r="AL73" s="497" t="s">
        <v>29694</v>
      </c>
      <c r="AM73" s="497" t="s">
        <v>4</v>
      </c>
      <c r="AN73" s="497" t="s">
        <v>4</v>
      </c>
      <c r="AO73" s="497" t="s">
        <v>31536</v>
      </c>
      <c r="AP73" s="497" t="s">
        <v>4</v>
      </c>
      <c r="AQ73" s="497" t="s">
        <v>31537</v>
      </c>
      <c r="AR73" s="497" t="s">
        <v>4</v>
      </c>
      <c r="AS73" s="497" t="s">
        <v>31538</v>
      </c>
      <c r="AT73" s="497" t="s">
        <v>4</v>
      </c>
      <c r="AU73" s="497" t="s">
        <v>2</v>
      </c>
      <c r="AV73" s="497" t="s">
        <v>31581</v>
      </c>
      <c r="AW73" s="497" t="s">
        <v>4</v>
      </c>
      <c r="AX73" s="497" t="s">
        <v>7</v>
      </c>
      <c r="AY73" s="497" t="s">
        <v>11</v>
      </c>
      <c r="AZ73" s="497" t="s">
        <v>4</v>
      </c>
      <c r="BA73" s="497" t="s">
        <v>31619</v>
      </c>
      <c r="BB73" s="497" t="s">
        <v>4</v>
      </c>
      <c r="BC73" s="497" t="s">
        <v>4</v>
      </c>
      <c r="BD73" s="497" t="s">
        <v>4</v>
      </c>
      <c r="BE73" s="497" t="s">
        <v>4</v>
      </c>
      <c r="BF73" s="497" t="s">
        <v>4</v>
      </c>
      <c r="BG73" s="497" t="s">
        <v>35363</v>
      </c>
      <c r="BH73" s="497" t="s">
        <v>31544</v>
      </c>
      <c r="BI73" s="497">
        <v>2</v>
      </c>
      <c r="BJ73" s="497" t="s">
        <v>4</v>
      </c>
      <c r="BK73" s="497" t="s">
        <v>7</v>
      </c>
      <c r="BL73" s="497" t="s">
        <v>6</v>
      </c>
      <c r="BM73" s="497" t="s">
        <v>4</v>
      </c>
      <c r="BN73" s="497" t="s">
        <v>31425</v>
      </c>
      <c r="BO73" s="497">
        <v>3</v>
      </c>
      <c r="BP73" s="497">
        <v>15</v>
      </c>
      <c r="BQ73" s="497" t="s">
        <v>31434</v>
      </c>
      <c r="BR73" s="499" t="s">
        <v>33332</v>
      </c>
      <c r="BS73" s="497" t="s">
        <v>4</v>
      </c>
      <c r="BT73" s="497">
        <v>3</v>
      </c>
      <c r="BU73" s="494" cm="1">
        <f t="array" ref="BU73">_xlfn.IFS(BQ73="Foreword vehicle",BT73*0,BQ73="Human wastes",BT73*0,BS73="Jerrycans",BT73*$BT$4,BQ73="Number of Basins",BT73*$BT$5,BQ73="Number of Buckets",BT73*$BT$6,BQ73="Number of Kgs",BT73*$BT$7,BQ73="Number of spades",BT73*$BT$8,BQ73="Number of wheelbarrows",BT73*$BT$9,BS73="Septic Tank",BT73*0)</f>
        <v>48</v>
      </c>
      <c r="BV73" s="494">
        <f>Table15[[#This Row],[Calculation: Conversion of metric to Kg manure feeding (Columns: BP, BQ, BR)]]*Table15[[#This Row],[Number of times used to feed biodigester]]</f>
        <v>144</v>
      </c>
      <c r="BW73" s="495" cm="1">
        <f t="array" ref="BW73">_xlfn.IFS(BN73="Number of times per day (1 to 3)",BV73/$BW$3,BN73="Number of times per week (1 to 6)",BV73/$BW$4,BN73="Number of times per Month (1 to 3)",BV73/$BW$5)</f>
        <v>144</v>
      </c>
      <c r="BX73" s="497" t="s">
        <v>31541</v>
      </c>
      <c r="BY73" s="497" t="s">
        <v>4</v>
      </c>
      <c r="BZ73" s="497" t="s">
        <v>2</v>
      </c>
      <c r="CA73" s="497" t="s">
        <v>4</v>
      </c>
      <c r="CB73" s="497" t="s">
        <v>4</v>
      </c>
      <c r="CC73" s="497" t="s">
        <v>4</v>
      </c>
      <c r="CD73" s="497" t="s">
        <v>7</v>
      </c>
      <c r="CE73" s="497" t="s">
        <v>35364</v>
      </c>
      <c r="CF73" s="497" t="s">
        <v>4</v>
      </c>
      <c r="CG73" s="497" t="s">
        <v>31604</v>
      </c>
      <c r="CH73" s="497">
        <v>2</v>
      </c>
      <c r="CI73" s="497">
        <v>0</v>
      </c>
      <c r="CJ73" s="497">
        <v>0</v>
      </c>
      <c r="CK73" s="497">
        <v>0</v>
      </c>
      <c r="CL73" s="497">
        <v>0</v>
      </c>
      <c r="CM73" s="497">
        <v>0</v>
      </c>
      <c r="CN73" s="497">
        <v>0</v>
      </c>
      <c r="CO73" s="497">
        <v>0</v>
      </c>
      <c r="CP73" s="497">
        <v>0</v>
      </c>
      <c r="CQ73" s="497">
        <v>0</v>
      </c>
      <c r="CR73" s="497">
        <f>IF(Table15[[#This Row],[Is your biodigester working?]]="yes",CO73/'SDG outcome'!$C$9*CP73*CQ73,"")</f>
        <v>0</v>
      </c>
      <c r="CS73" s="497">
        <v>100</v>
      </c>
      <c r="CT73" s="500">
        <v>0</v>
      </c>
      <c r="CU73" s="496" t="s">
        <v>4</v>
      </c>
      <c r="CV73" s="497" t="s">
        <v>4</v>
      </c>
      <c r="CW73" s="500" t="s">
        <v>4</v>
      </c>
      <c r="CX73" s="496" t="s">
        <v>4</v>
      </c>
      <c r="CY73" s="497" t="s">
        <v>4</v>
      </c>
      <c r="CZ73" s="500" t="s">
        <v>4</v>
      </c>
      <c r="DA73" s="496" t="s">
        <v>4</v>
      </c>
      <c r="DB73" s="497" t="s">
        <v>4</v>
      </c>
      <c r="DC73" s="497" t="s">
        <v>4</v>
      </c>
      <c r="DD73" s="497" t="s">
        <v>4</v>
      </c>
      <c r="DE73" s="497" t="s">
        <v>4</v>
      </c>
      <c r="DF73" s="497" t="s">
        <v>4</v>
      </c>
      <c r="DG73" s="497" t="s">
        <v>4</v>
      </c>
      <c r="DH73" s="497" t="s">
        <v>4</v>
      </c>
      <c r="DI73" s="497" t="s">
        <v>4</v>
      </c>
      <c r="DJ73" s="497" t="s">
        <v>4</v>
      </c>
      <c r="DK73" s="497" t="s">
        <v>4</v>
      </c>
      <c r="DL73" s="497" t="s">
        <v>4</v>
      </c>
      <c r="DM73" s="497" t="s">
        <v>4</v>
      </c>
      <c r="DN73" s="497">
        <v>2</v>
      </c>
      <c r="DO73" s="497" t="s">
        <v>2</v>
      </c>
      <c r="DP73" s="497" t="s">
        <v>29292</v>
      </c>
      <c r="DQ73" s="497" t="s">
        <v>4</v>
      </c>
      <c r="DR73" s="497" t="s">
        <v>29293</v>
      </c>
      <c r="DS73" s="494">
        <v>60000</v>
      </c>
      <c r="DT73" s="497" t="s">
        <v>29294</v>
      </c>
      <c r="DU73" s="494" t="s">
        <v>4</v>
      </c>
      <c r="DV73" s="500" t="s">
        <v>29295</v>
      </c>
      <c r="DW73" s="496">
        <v>100</v>
      </c>
      <c r="DX73" s="497" t="s">
        <v>29296</v>
      </c>
      <c r="DY73" s="497">
        <v>100</v>
      </c>
      <c r="DZ73" s="497" t="s">
        <v>4</v>
      </c>
      <c r="EA73" s="497" t="s">
        <v>4</v>
      </c>
      <c r="EB73" s="497" t="s">
        <v>4</v>
      </c>
      <c r="EC73" s="497" t="s">
        <v>4</v>
      </c>
      <c r="ED73" s="497" t="s">
        <v>4</v>
      </c>
      <c r="EE73" s="497" t="s">
        <v>4</v>
      </c>
      <c r="EF73" s="497" t="s">
        <v>4</v>
      </c>
      <c r="EG73" s="497" t="s">
        <v>4</v>
      </c>
      <c r="EH73" s="497" t="s">
        <v>4</v>
      </c>
      <c r="EI73" s="497" t="s">
        <v>4</v>
      </c>
      <c r="EJ73" s="497" t="s">
        <v>4</v>
      </c>
      <c r="EK73" s="497" t="s">
        <v>4</v>
      </c>
      <c r="EL73" s="497" t="s">
        <v>4</v>
      </c>
      <c r="EM73" s="497" t="s">
        <v>4</v>
      </c>
      <c r="EN73" s="497" t="s">
        <v>4</v>
      </c>
      <c r="EO73" s="497" t="s">
        <v>4</v>
      </c>
      <c r="EP73" s="497" t="s">
        <v>4</v>
      </c>
      <c r="EQ73" s="497" t="s">
        <v>4</v>
      </c>
      <c r="ER73" s="497" t="s">
        <v>4</v>
      </c>
      <c r="ES73" s="497" t="s">
        <v>4</v>
      </c>
      <c r="ET73" s="497" t="s">
        <v>4</v>
      </c>
      <c r="EU73" s="497" t="s">
        <v>4</v>
      </c>
      <c r="EV73" s="497" t="s">
        <v>4</v>
      </c>
      <c r="EW73" s="497">
        <v>1.5</v>
      </c>
      <c r="EX73" s="497" t="s">
        <v>7</v>
      </c>
      <c r="EY73" s="497">
        <v>66.666600000000003</v>
      </c>
      <c r="EZ73" s="239">
        <f t="shared" si="2"/>
        <v>0.99999899999999997</v>
      </c>
      <c r="FA73" s="497" t="s">
        <v>29463</v>
      </c>
      <c r="FB73" s="497" t="s">
        <v>29298</v>
      </c>
      <c r="FC73" s="497">
        <v>36</v>
      </c>
      <c r="FD73" s="497" t="s">
        <v>2</v>
      </c>
      <c r="FE73" s="497" t="s">
        <v>4</v>
      </c>
      <c r="FF73" s="497" t="s">
        <v>4</v>
      </c>
      <c r="FG73" s="497" t="s">
        <v>2</v>
      </c>
      <c r="FH73" s="497" t="s">
        <v>4</v>
      </c>
      <c r="FI73" s="497" t="s">
        <v>4</v>
      </c>
      <c r="FJ73" s="497" t="s">
        <v>4</v>
      </c>
      <c r="FK73" s="497" t="s">
        <v>4</v>
      </c>
      <c r="FL73" s="497" t="s">
        <v>4</v>
      </c>
      <c r="FM73" s="497" t="s">
        <v>4</v>
      </c>
      <c r="FN73" s="494" t="s">
        <v>4</v>
      </c>
      <c r="FO73" s="497" t="s">
        <v>4</v>
      </c>
      <c r="FP73" s="497" t="s">
        <v>7</v>
      </c>
      <c r="FQ73" s="497" t="s">
        <v>29301</v>
      </c>
      <c r="FR73" s="497" t="s">
        <v>4</v>
      </c>
      <c r="FS73" s="497" t="s">
        <v>7</v>
      </c>
      <c r="FT73" s="497" t="s">
        <v>7</v>
      </c>
      <c r="FU73" s="497" t="s">
        <v>29302</v>
      </c>
      <c r="FV73" s="497" t="s">
        <v>35365</v>
      </c>
      <c r="FW73" s="497" t="s">
        <v>29304</v>
      </c>
      <c r="FX73" s="497">
        <v>1.5</v>
      </c>
      <c r="FY73" s="497" t="s">
        <v>29305</v>
      </c>
      <c r="FZ73" s="497" t="s">
        <v>30642</v>
      </c>
      <c r="GA73" s="497" t="s">
        <v>4</v>
      </c>
      <c r="GB73" s="497" t="s">
        <v>4</v>
      </c>
      <c r="GC73" s="497" t="s">
        <v>4</v>
      </c>
      <c r="GD73" s="497" t="s">
        <v>4</v>
      </c>
      <c r="GE73" s="497" t="s">
        <v>4</v>
      </c>
      <c r="GF73" s="497" t="s">
        <v>4</v>
      </c>
      <c r="GG73" s="497" t="s">
        <v>4</v>
      </c>
      <c r="GH73" s="497" t="s">
        <v>4</v>
      </c>
      <c r="GI73" s="497" t="s">
        <v>4</v>
      </c>
      <c r="GJ73" s="497" t="s">
        <v>4</v>
      </c>
      <c r="GK73" s="497" t="s">
        <v>4</v>
      </c>
      <c r="GL73" s="497" t="s">
        <v>4</v>
      </c>
      <c r="GM73" s="497" t="s">
        <v>4</v>
      </c>
      <c r="GN73" s="497" t="s">
        <v>4</v>
      </c>
      <c r="GO73" s="497" t="s">
        <v>4</v>
      </c>
      <c r="GP73" s="497" t="s">
        <v>4</v>
      </c>
      <c r="GQ73" s="497" t="s">
        <v>4</v>
      </c>
      <c r="GR73" s="497" t="s">
        <v>4</v>
      </c>
      <c r="GS73" s="497" t="s">
        <v>4</v>
      </c>
      <c r="GT73" s="497" t="s">
        <v>29698</v>
      </c>
      <c r="GU73" s="497" t="s">
        <v>4</v>
      </c>
      <c r="GV73" s="494">
        <v>10</v>
      </c>
      <c r="GW73" s="497" t="s">
        <v>2</v>
      </c>
      <c r="GX73" s="497" t="s">
        <v>29309</v>
      </c>
      <c r="GY73" s="497" t="s">
        <v>4</v>
      </c>
      <c r="GZ73" s="497" t="s">
        <v>4</v>
      </c>
      <c r="HA73" s="497" t="s">
        <v>4</v>
      </c>
      <c r="HB73" s="497" t="s">
        <v>4</v>
      </c>
      <c r="HC73" s="497" t="s">
        <v>4</v>
      </c>
      <c r="HD73" s="497" t="s">
        <v>4</v>
      </c>
      <c r="HE73" s="497" t="s">
        <v>4</v>
      </c>
      <c r="HF73" s="497" t="s">
        <v>4</v>
      </c>
      <c r="HG73" s="497" t="s">
        <v>7</v>
      </c>
      <c r="HH73" s="497" t="s">
        <v>11</v>
      </c>
      <c r="HI73" s="497" t="s">
        <v>4</v>
      </c>
      <c r="HJ73" s="497" t="s">
        <v>29375</v>
      </c>
      <c r="HK73" s="494" t="s">
        <v>4</v>
      </c>
      <c r="HL73" s="497" t="s">
        <v>35366</v>
      </c>
      <c r="HM73" s="497" t="s">
        <v>2</v>
      </c>
      <c r="HN73" s="497" t="s">
        <v>4</v>
      </c>
      <c r="HO73" s="497" t="s">
        <v>35367</v>
      </c>
      <c r="HP73" s="497" t="s">
        <v>35368</v>
      </c>
      <c r="HQ73" s="497" t="s">
        <v>35369</v>
      </c>
      <c r="HR73" s="497" t="s">
        <v>35370</v>
      </c>
      <c r="HS73" s="497" t="s">
        <v>35371</v>
      </c>
      <c r="HT73" s="500" t="s">
        <v>35360</v>
      </c>
    </row>
    <row r="74" spans="1:228" s="570" customFormat="1" ht="30.2" customHeight="1" x14ac:dyDescent="0.25">
      <c r="A74" s="759"/>
      <c r="B74" s="496">
        <v>10</v>
      </c>
      <c r="C74" s="496" t="s">
        <v>28132</v>
      </c>
      <c r="D74" s="497" t="s">
        <v>33451</v>
      </c>
      <c r="E74" s="497" t="s">
        <v>29286</v>
      </c>
      <c r="F74" s="497" t="s">
        <v>7</v>
      </c>
      <c r="G74" s="497" t="s">
        <v>33452</v>
      </c>
      <c r="H74" s="497">
        <v>0</v>
      </c>
      <c r="I74" s="497">
        <v>500</v>
      </c>
      <c r="J74" s="497" t="s">
        <v>29288</v>
      </c>
      <c r="K74" s="497" t="s">
        <v>4</v>
      </c>
      <c r="L74" s="497" t="s">
        <v>33453</v>
      </c>
      <c r="M74" s="497">
        <v>775939447</v>
      </c>
      <c r="N74" s="497" t="s">
        <v>3</v>
      </c>
      <c r="O74" s="497" t="s">
        <v>31438</v>
      </c>
      <c r="P74" s="497">
        <v>69</v>
      </c>
      <c r="Q74" s="497">
        <v>5</v>
      </c>
      <c r="R74" s="497" t="s">
        <v>7</v>
      </c>
      <c r="S74" s="497" t="s">
        <v>31588</v>
      </c>
      <c r="T74" s="497" t="s">
        <v>4</v>
      </c>
      <c r="U74" s="497" t="s">
        <v>7</v>
      </c>
      <c r="V74" s="497" t="s">
        <v>7</v>
      </c>
      <c r="W74" s="497" t="s">
        <v>4</v>
      </c>
      <c r="X74" s="497" t="s">
        <v>7</v>
      </c>
      <c r="Y74" s="497" t="s">
        <v>4</v>
      </c>
      <c r="Z74" s="497" t="s">
        <v>4</v>
      </c>
      <c r="AA74" s="241" t="str">
        <f>IF(OR(U74="yes",Z74&gt;'SDG outcome'!$C$39),"yes","no")</f>
        <v>yes</v>
      </c>
      <c r="AB74" s="521" t="str">
        <f t="shared" si="0"/>
        <v>NA</v>
      </c>
      <c r="AC74" s="527" t="str">
        <f>IF(AND('SMS p2'!AA22="no",AND(Z74&gt;='SDG outcome'!$B$28,Z74&lt;'SDG outcome'!$C$39)),Z74-'SDG outcome'!$B$28,"")</f>
        <v/>
      </c>
      <c r="AD74" s="497" t="s">
        <v>4</v>
      </c>
      <c r="AE74" s="497" t="s">
        <v>4</v>
      </c>
      <c r="AF74" s="497" t="s">
        <v>4</v>
      </c>
      <c r="AG74" s="497" t="s">
        <v>4</v>
      </c>
      <c r="AH74" s="497" t="s">
        <v>4</v>
      </c>
      <c r="AI74" s="497" t="s">
        <v>7</v>
      </c>
      <c r="AJ74" s="497" t="s">
        <v>4</v>
      </c>
      <c r="AK74" s="497" t="s">
        <v>29290</v>
      </c>
      <c r="AL74" s="497" t="s">
        <v>29694</v>
      </c>
      <c r="AM74" s="497" t="s">
        <v>4</v>
      </c>
      <c r="AN74" s="497" t="s">
        <v>4</v>
      </c>
      <c r="AO74" s="497" t="s">
        <v>31536</v>
      </c>
      <c r="AP74" s="497" t="s">
        <v>4</v>
      </c>
      <c r="AQ74" s="497" t="s">
        <v>31537</v>
      </c>
      <c r="AR74" s="497" t="s">
        <v>4</v>
      </c>
      <c r="AS74" s="497" t="s">
        <v>31779</v>
      </c>
      <c r="AT74" s="497" t="s">
        <v>4</v>
      </c>
      <c r="AU74" s="497" t="s">
        <v>7</v>
      </c>
      <c r="AV74" s="497" t="s">
        <v>4</v>
      </c>
      <c r="AW74" s="497" t="s">
        <v>4</v>
      </c>
      <c r="AX74" s="497" t="s">
        <v>2</v>
      </c>
      <c r="AY74" s="497" t="s">
        <v>4</v>
      </c>
      <c r="AZ74" s="497" t="s">
        <v>4</v>
      </c>
      <c r="BA74" s="497" t="s">
        <v>31557</v>
      </c>
      <c r="BB74" s="497" t="s">
        <v>4</v>
      </c>
      <c r="BC74" s="497" t="s">
        <v>4</v>
      </c>
      <c r="BD74" s="497" t="s">
        <v>4</v>
      </c>
      <c r="BE74" s="497" t="s">
        <v>4</v>
      </c>
      <c r="BF74" s="497" t="s">
        <v>4</v>
      </c>
      <c r="BG74" s="497" t="s">
        <v>4</v>
      </c>
      <c r="BH74" s="497" t="s">
        <v>4</v>
      </c>
      <c r="BI74" s="497" t="s">
        <v>4</v>
      </c>
      <c r="BJ74" s="497" t="s">
        <v>4</v>
      </c>
      <c r="BK74" s="497" t="s">
        <v>7</v>
      </c>
      <c r="BL74" s="497" t="s">
        <v>6</v>
      </c>
      <c r="BM74" s="497" t="s">
        <v>4</v>
      </c>
      <c r="BN74" s="497" t="s">
        <v>31425</v>
      </c>
      <c r="BO74" s="497">
        <v>1</v>
      </c>
      <c r="BP74" s="497">
        <v>30</v>
      </c>
      <c r="BQ74" s="497" t="s">
        <v>31435</v>
      </c>
      <c r="BR74" s="499" t="s">
        <v>33361</v>
      </c>
      <c r="BS74" s="497" t="s">
        <v>4</v>
      </c>
      <c r="BT74" s="497">
        <v>1</v>
      </c>
      <c r="BU74" s="494" cm="1">
        <f t="array" ref="BU74">_xlfn.IFS(BQ74="Foreword vehicle",BT74*0,BQ74="Human wastes",BT74*0,BS74="Jerrycans",BT74*$BT$4,BQ74="Number of Basins",BT74*$BT$5,BQ74="Number of Buckets",BT74*$BT$6,BQ74="Number of Kgs",BT74*$BT$7,BQ74="Number of spades",BT74*$BT$8,BQ74="Number of wheelbarrows",BT74*$BS$9,BS74="Septic Tank",BT74*0)</f>
        <v>82.5</v>
      </c>
      <c r="BV74" s="494">
        <f>Table15[[#This Row],[Calculation: Conversion of metric to Kg manure feeding (Columns: BP, BQ, BR)]]*Table15[[#This Row],[Number of times used to feed biodigester]]</f>
        <v>82.5</v>
      </c>
      <c r="BW74" s="495" cm="1">
        <f t="array" ref="BW74">_xlfn.IFS(BN74="Number of times per day (1 to 3)",BV74/$BW$3,BN74="Number of times per week (1 to 6)",BV74/$BW$4,BN74="Number of times per Month (1 to 3)",BV74/$BW$5)</f>
        <v>82.5</v>
      </c>
      <c r="BX74" s="497" t="s">
        <v>31650</v>
      </c>
      <c r="BY74" s="497" t="s">
        <v>4</v>
      </c>
      <c r="BZ74" s="497" t="s">
        <v>2</v>
      </c>
      <c r="CA74" s="497" t="s">
        <v>4</v>
      </c>
      <c r="CB74" s="497" t="s">
        <v>4</v>
      </c>
      <c r="CC74" s="497" t="s">
        <v>4</v>
      </c>
      <c r="CD74" s="497" t="s">
        <v>7</v>
      </c>
      <c r="CE74" s="497" t="s">
        <v>33454</v>
      </c>
      <c r="CF74" s="497" t="s">
        <v>4</v>
      </c>
      <c r="CG74" s="497" t="s">
        <v>31724</v>
      </c>
      <c r="CH74" s="497">
        <v>0</v>
      </c>
      <c r="CI74" s="497">
        <v>6</v>
      </c>
      <c r="CJ74" s="497">
        <v>0</v>
      </c>
      <c r="CK74" s="497">
        <v>0</v>
      </c>
      <c r="CL74" s="497">
        <v>0</v>
      </c>
      <c r="CM74" s="497">
        <v>10</v>
      </c>
      <c r="CN74" s="497">
        <v>0</v>
      </c>
      <c r="CO74" s="497">
        <v>0</v>
      </c>
      <c r="CP74" s="497">
        <v>0</v>
      </c>
      <c r="CQ74" s="497">
        <v>0</v>
      </c>
      <c r="CR74" s="497">
        <f>IF(Table15[[#This Row],[Is your biodigester working?]]="yes",CO74/'SDG outcome'!$C$9*CP74*CQ74,"")</f>
        <v>0</v>
      </c>
      <c r="CS74" s="497" t="s">
        <v>4</v>
      </c>
      <c r="CT74" s="500" t="s">
        <v>4</v>
      </c>
      <c r="CU74" s="496" t="s">
        <v>4</v>
      </c>
      <c r="CV74" s="497">
        <v>100</v>
      </c>
      <c r="CW74" s="500">
        <v>0</v>
      </c>
      <c r="CX74" s="496" t="s">
        <v>4</v>
      </c>
      <c r="CY74" s="497" t="s">
        <v>4</v>
      </c>
      <c r="CZ74" s="500" t="s">
        <v>4</v>
      </c>
      <c r="DA74" s="496" t="s">
        <v>4</v>
      </c>
      <c r="DB74" s="497" t="s">
        <v>4</v>
      </c>
      <c r="DC74" s="497" t="s">
        <v>4</v>
      </c>
      <c r="DD74" s="497" t="s">
        <v>4</v>
      </c>
      <c r="DE74" s="497">
        <v>0</v>
      </c>
      <c r="DF74" s="497">
        <v>100</v>
      </c>
      <c r="DG74" s="497" t="s">
        <v>33455</v>
      </c>
      <c r="DH74" s="497" t="s">
        <v>4</v>
      </c>
      <c r="DI74" s="497" t="s">
        <v>4</v>
      </c>
      <c r="DJ74" s="497" t="s">
        <v>4</v>
      </c>
      <c r="DK74" s="497" t="s">
        <v>4</v>
      </c>
      <c r="DL74" s="497" t="s">
        <v>4</v>
      </c>
      <c r="DM74" s="497" t="s">
        <v>4</v>
      </c>
      <c r="DN74" s="497">
        <v>6</v>
      </c>
      <c r="DO74" s="497" t="s">
        <v>2</v>
      </c>
      <c r="DP74" s="497" t="s">
        <v>29292</v>
      </c>
      <c r="DQ74" s="497" t="s">
        <v>4</v>
      </c>
      <c r="DR74" s="497" t="s">
        <v>29293</v>
      </c>
      <c r="DS74" s="494">
        <v>30000</v>
      </c>
      <c r="DT74" s="497" t="s">
        <v>29293</v>
      </c>
      <c r="DU74" s="494">
        <v>0</v>
      </c>
      <c r="DV74" s="500" t="s">
        <v>33456</v>
      </c>
      <c r="DW74" s="496" t="s">
        <v>4</v>
      </c>
      <c r="DX74" s="497" t="s">
        <v>4</v>
      </c>
      <c r="DY74" s="497" t="s">
        <v>4</v>
      </c>
      <c r="DZ74" s="497" t="s">
        <v>4</v>
      </c>
      <c r="EA74" s="497" t="s">
        <v>4</v>
      </c>
      <c r="EB74" s="497" t="s">
        <v>4</v>
      </c>
      <c r="EC74" s="497" t="s">
        <v>4</v>
      </c>
      <c r="ED74" s="497">
        <v>70</v>
      </c>
      <c r="EE74" s="497" t="s">
        <v>33457</v>
      </c>
      <c r="EF74" s="497" t="s">
        <v>4</v>
      </c>
      <c r="EG74" s="497" t="s">
        <v>4</v>
      </c>
      <c r="EH74" s="497">
        <v>50</v>
      </c>
      <c r="EI74" s="497">
        <v>30</v>
      </c>
      <c r="EJ74" s="497" t="s">
        <v>4</v>
      </c>
      <c r="EK74" s="497">
        <v>20</v>
      </c>
      <c r="EL74" s="497" t="s">
        <v>4</v>
      </c>
      <c r="EM74" s="497">
        <v>30</v>
      </c>
      <c r="EN74" s="497">
        <v>30</v>
      </c>
      <c r="EO74" s="497" t="s">
        <v>4</v>
      </c>
      <c r="EP74" s="497" t="s">
        <v>4</v>
      </c>
      <c r="EQ74" s="497" t="s">
        <v>13</v>
      </c>
      <c r="ER74" s="497" t="s">
        <v>4</v>
      </c>
      <c r="ES74" s="497" t="s">
        <v>4</v>
      </c>
      <c r="ET74" s="497" t="s">
        <v>4</v>
      </c>
      <c r="EU74" s="497" t="s">
        <v>4</v>
      </c>
      <c r="EV74" s="497">
        <v>100</v>
      </c>
      <c r="EW74" s="497">
        <v>1</v>
      </c>
      <c r="EX74" s="497" t="s">
        <v>30270</v>
      </c>
      <c r="EY74" s="497">
        <v>90</v>
      </c>
      <c r="EZ74" s="239">
        <f t="shared" si="2"/>
        <v>0.9</v>
      </c>
      <c r="FA74" s="497" t="s">
        <v>30136</v>
      </c>
      <c r="FB74" s="497" t="s">
        <v>29298</v>
      </c>
      <c r="FC74" s="497">
        <v>36</v>
      </c>
      <c r="FD74" s="497" t="s">
        <v>2</v>
      </c>
      <c r="FE74" s="497" t="s">
        <v>4</v>
      </c>
      <c r="FF74" s="497" t="s">
        <v>4</v>
      </c>
      <c r="FG74" s="497" t="s">
        <v>2</v>
      </c>
      <c r="FH74" s="497" t="s">
        <v>4</v>
      </c>
      <c r="FI74" s="497" t="s">
        <v>4</v>
      </c>
      <c r="FJ74" s="497" t="s">
        <v>4</v>
      </c>
      <c r="FK74" s="497" t="s">
        <v>4</v>
      </c>
      <c r="FL74" s="497" t="s">
        <v>4</v>
      </c>
      <c r="FM74" s="497" t="s">
        <v>4</v>
      </c>
      <c r="FN74" s="494" t="s">
        <v>4</v>
      </c>
      <c r="FO74" s="497" t="s">
        <v>4</v>
      </c>
      <c r="FP74" s="497" t="s">
        <v>7</v>
      </c>
      <c r="FQ74" s="497" t="s">
        <v>29301</v>
      </c>
      <c r="FR74" s="497" t="s">
        <v>4</v>
      </c>
      <c r="FS74" s="497" t="s">
        <v>7</v>
      </c>
      <c r="FT74" s="497" t="s">
        <v>2</v>
      </c>
      <c r="FU74" s="497" t="s">
        <v>4</v>
      </c>
      <c r="FV74" s="497" t="s">
        <v>4</v>
      </c>
      <c r="FW74" s="497" t="s">
        <v>29304</v>
      </c>
      <c r="FX74" s="497">
        <v>1</v>
      </c>
      <c r="FY74" s="497" t="s">
        <v>29396</v>
      </c>
      <c r="FZ74" s="497" t="s">
        <v>4</v>
      </c>
      <c r="GA74" s="497" t="s">
        <v>4</v>
      </c>
      <c r="GB74" s="497" t="s">
        <v>29397</v>
      </c>
      <c r="GC74" s="497" t="s">
        <v>4</v>
      </c>
      <c r="GD74" s="497" t="s">
        <v>4</v>
      </c>
      <c r="GE74" s="497" t="s">
        <v>4</v>
      </c>
      <c r="GF74" s="497" t="s">
        <v>4</v>
      </c>
      <c r="GG74" s="497" t="s">
        <v>4</v>
      </c>
      <c r="GH74" s="497" t="s">
        <v>4</v>
      </c>
      <c r="GI74" s="497" t="s">
        <v>4</v>
      </c>
      <c r="GJ74" s="497" t="s">
        <v>4</v>
      </c>
      <c r="GK74" s="497" t="s">
        <v>4</v>
      </c>
      <c r="GL74" s="497" t="s">
        <v>4</v>
      </c>
      <c r="GM74" s="497" t="s">
        <v>4</v>
      </c>
      <c r="GN74" s="497" t="s">
        <v>4</v>
      </c>
      <c r="GO74" s="497" t="s">
        <v>4</v>
      </c>
      <c r="GP74" s="497" t="s">
        <v>4</v>
      </c>
      <c r="GQ74" s="497" t="s">
        <v>4</v>
      </c>
      <c r="GR74" s="497" t="s">
        <v>4</v>
      </c>
      <c r="GS74" s="497" t="s">
        <v>4</v>
      </c>
      <c r="GT74" s="497" t="s">
        <v>30644</v>
      </c>
      <c r="GU74" s="497" t="s">
        <v>4</v>
      </c>
      <c r="GV74" s="494">
        <v>200</v>
      </c>
      <c r="GW74" s="497" t="s">
        <v>7</v>
      </c>
      <c r="GX74" s="497" t="s">
        <v>29837</v>
      </c>
      <c r="GY74" s="497" t="s">
        <v>4</v>
      </c>
      <c r="GZ74" s="497" t="s">
        <v>4</v>
      </c>
      <c r="HA74" s="497" t="s">
        <v>4</v>
      </c>
      <c r="HB74" s="497" t="s">
        <v>4</v>
      </c>
      <c r="HC74" s="497" t="s">
        <v>4</v>
      </c>
      <c r="HD74" s="497" t="s">
        <v>4</v>
      </c>
      <c r="HE74" s="497" t="s">
        <v>4</v>
      </c>
      <c r="HF74" s="497" t="s">
        <v>4</v>
      </c>
      <c r="HG74" s="497" t="s">
        <v>2</v>
      </c>
      <c r="HH74" s="497" t="s">
        <v>4</v>
      </c>
      <c r="HI74" s="497" t="s">
        <v>4</v>
      </c>
      <c r="HJ74" s="497" t="s">
        <v>4</v>
      </c>
      <c r="HK74" s="494" t="s">
        <v>4</v>
      </c>
      <c r="HL74" s="497" t="s">
        <v>33458</v>
      </c>
      <c r="HM74" s="497" t="s">
        <v>7</v>
      </c>
      <c r="HN74" s="497" t="s">
        <v>33459</v>
      </c>
      <c r="HO74" s="497" t="s">
        <v>16</v>
      </c>
      <c r="HP74" s="497" t="s">
        <v>33460</v>
      </c>
      <c r="HQ74" s="497" t="s">
        <v>33461</v>
      </c>
      <c r="HR74" s="497" t="s">
        <v>33462</v>
      </c>
      <c r="HS74" s="497" t="s">
        <v>16</v>
      </c>
      <c r="HT74" s="500" t="s">
        <v>33451</v>
      </c>
    </row>
    <row r="75" spans="1:228" s="570" customFormat="1" ht="30.2" customHeight="1" x14ac:dyDescent="0.25">
      <c r="A75" s="759"/>
      <c r="B75" s="496">
        <v>65</v>
      </c>
      <c r="C75" s="517" t="s">
        <v>28044</v>
      </c>
      <c r="D75" s="501" t="s">
        <v>34102</v>
      </c>
      <c r="E75" s="501" t="s">
        <v>29799</v>
      </c>
      <c r="F75" s="501" t="s">
        <v>7</v>
      </c>
      <c r="G75" s="501" t="s">
        <v>34103</v>
      </c>
      <c r="H75" s="501">
        <v>1189.377686</v>
      </c>
      <c r="I75" s="501">
        <v>4.0298939999999996</v>
      </c>
      <c r="J75" s="501" t="s">
        <v>29319</v>
      </c>
      <c r="K75" s="501" t="s">
        <v>4</v>
      </c>
      <c r="L75" s="501" t="s">
        <v>34104</v>
      </c>
      <c r="M75" s="501">
        <v>772572827</v>
      </c>
      <c r="N75" s="501" t="s">
        <v>30992</v>
      </c>
      <c r="O75" s="501" t="s">
        <v>31590</v>
      </c>
      <c r="P75" s="501" t="s">
        <v>4</v>
      </c>
      <c r="Q75" s="501">
        <v>7</v>
      </c>
      <c r="R75" s="501" t="s">
        <v>7</v>
      </c>
      <c r="S75" s="501" t="s">
        <v>31588</v>
      </c>
      <c r="T75" s="501" t="s">
        <v>4</v>
      </c>
      <c r="U75" s="501" t="s">
        <v>7</v>
      </c>
      <c r="V75" s="501" t="s">
        <v>7</v>
      </c>
      <c r="W75" s="501" t="s">
        <v>4</v>
      </c>
      <c r="X75" s="501" t="s">
        <v>7</v>
      </c>
      <c r="Y75" s="501" t="s">
        <v>4</v>
      </c>
      <c r="Z75" s="501" t="s">
        <v>4</v>
      </c>
      <c r="AA75" s="241" t="str">
        <f>IF(OR(U75="yes",Z75&gt;'SDG outcome'!$C$39),"yes","no")</f>
        <v>yes</v>
      </c>
      <c r="AB75" s="522" t="str">
        <f t="shared" si="0"/>
        <v>NA</v>
      </c>
      <c r="AC75" s="528" t="str">
        <f>IF(AND('SMS p2'!AA77="no",AND(Z75&gt;='SDG outcome'!$B$28,Z75&lt;'SDG outcome'!$C$39)),Z75-'SDG outcome'!$B$28,"")</f>
        <v/>
      </c>
      <c r="AD75" s="501" t="s">
        <v>4</v>
      </c>
      <c r="AE75" s="501" t="s">
        <v>4</v>
      </c>
      <c r="AF75" s="501" t="s">
        <v>4</v>
      </c>
      <c r="AG75" s="501" t="s">
        <v>4</v>
      </c>
      <c r="AH75" s="501" t="s">
        <v>4</v>
      </c>
      <c r="AI75" s="501" t="s">
        <v>4</v>
      </c>
      <c r="AJ75" s="501" t="s">
        <v>4</v>
      </c>
      <c r="AK75" s="501" t="s">
        <v>29290</v>
      </c>
      <c r="AL75" s="501" t="s">
        <v>29694</v>
      </c>
      <c r="AM75" s="501" t="s">
        <v>4</v>
      </c>
      <c r="AN75" s="501" t="s">
        <v>4</v>
      </c>
      <c r="AO75" s="501" t="s">
        <v>31536</v>
      </c>
      <c r="AP75" s="501" t="s">
        <v>4</v>
      </c>
      <c r="AQ75" s="501" t="s">
        <v>31537</v>
      </c>
      <c r="AR75" s="501" t="s">
        <v>4</v>
      </c>
      <c r="AS75" s="501" t="s">
        <v>31538</v>
      </c>
      <c r="AT75" s="501" t="s">
        <v>4</v>
      </c>
      <c r="AU75" s="501" t="s">
        <v>7</v>
      </c>
      <c r="AV75" s="501" t="s">
        <v>4</v>
      </c>
      <c r="AW75" s="501" t="s">
        <v>4</v>
      </c>
      <c r="AX75" s="501" t="s">
        <v>7</v>
      </c>
      <c r="AY75" s="501" t="s">
        <v>6</v>
      </c>
      <c r="AZ75" s="501" t="s">
        <v>4</v>
      </c>
      <c r="BA75" s="501" t="s">
        <v>31563</v>
      </c>
      <c r="BB75" s="501" t="s">
        <v>14</v>
      </c>
      <c r="BC75" s="501" t="s">
        <v>4</v>
      </c>
      <c r="BD75" s="501" t="s">
        <v>31762</v>
      </c>
      <c r="BE75" s="501" t="s">
        <v>4</v>
      </c>
      <c r="BF75" s="501" t="s">
        <v>31640</v>
      </c>
      <c r="BG75" s="501" t="s">
        <v>34105</v>
      </c>
      <c r="BH75" s="501" t="s">
        <v>31544</v>
      </c>
      <c r="BI75" s="501">
        <v>3</v>
      </c>
      <c r="BJ75" s="501">
        <v>40</v>
      </c>
      <c r="BK75" s="501" t="s">
        <v>7</v>
      </c>
      <c r="BL75" s="501" t="s">
        <v>6</v>
      </c>
      <c r="BM75" s="497" t="s">
        <v>4</v>
      </c>
      <c r="BN75" s="501" t="s">
        <v>31429</v>
      </c>
      <c r="BO75" s="501">
        <v>2</v>
      </c>
      <c r="BP75" s="501">
        <v>35</v>
      </c>
      <c r="BQ75" s="501" t="s">
        <v>31435</v>
      </c>
      <c r="BR75" s="499" t="s">
        <v>33332</v>
      </c>
      <c r="BS75" s="501" t="s">
        <v>4</v>
      </c>
      <c r="BT75" s="501">
        <v>2</v>
      </c>
      <c r="BU75" s="502" cm="1">
        <f t="array" ref="BU75">_xlfn.IFS(BQ75="Foreword vehicle",BT75*0,BQ75="Human wastes",BT75*0,BS75="Jerrycans",BT75*$BT$4,BQ75="Number of Basins",BT75*$BT$5,BQ75="Number of Buckets",BT75*$BT$6,BQ75="Number of Kgs",BT75*$BT$7,BQ75="Number of spades",BT75*$BT$8,BQ75="Number of wheelbarrows",BT75*$BT$9,BS75="Septic Tank",BT75*0)</f>
        <v>141</v>
      </c>
      <c r="BV75" s="502">
        <f>Table15[[#This Row],[Calculation: Conversion of metric to Kg manure feeding (Columns: BP, BQ, BR)]]*Table15[[#This Row],[Number of times used to feed biodigester]]</f>
        <v>282</v>
      </c>
      <c r="BW75" s="503" cm="1">
        <f t="array" ref="BW75">_xlfn.IFS(BN75="Number of times per day (1 to 3)",BV75/$BW$3,BN75="Number of times per week (1 to 6)",BV75/$BW$4,BN75="Number of times per Month (1 to 3)",BV75/$BW$5)</f>
        <v>40.285714285714285</v>
      </c>
      <c r="BX75" s="501" t="s">
        <v>31650</v>
      </c>
      <c r="BY75" s="501" t="s">
        <v>4</v>
      </c>
      <c r="BZ75" s="501" t="s">
        <v>7</v>
      </c>
      <c r="CA75" s="501" t="s">
        <v>31651</v>
      </c>
      <c r="CB75" s="501" t="s">
        <v>4</v>
      </c>
      <c r="CC75" s="501">
        <v>12</v>
      </c>
      <c r="CD75" s="501" t="s">
        <v>7</v>
      </c>
      <c r="CE75" s="501" t="s">
        <v>34106</v>
      </c>
      <c r="CF75" s="501" t="s">
        <v>4</v>
      </c>
      <c r="CG75" s="501" t="s">
        <v>31585</v>
      </c>
      <c r="CH75" s="501">
        <v>6</v>
      </c>
      <c r="CI75" s="501">
        <v>0</v>
      </c>
      <c r="CJ75" s="501">
        <v>0</v>
      </c>
      <c r="CK75" s="501">
        <v>0</v>
      </c>
      <c r="CL75" s="501">
        <v>5</v>
      </c>
      <c r="CM75" s="501">
        <v>50</v>
      </c>
      <c r="CN75" s="501">
        <v>0</v>
      </c>
      <c r="CO75" s="501">
        <v>0</v>
      </c>
      <c r="CP75" s="501">
        <v>0</v>
      </c>
      <c r="CQ75" s="501">
        <v>0</v>
      </c>
      <c r="CR75" s="501">
        <f>IF(Table15[[#This Row],[Is your biodigester working?]]="yes",CO75/'SDG outcome'!$C$9*CP75*CQ75,"")</f>
        <v>0</v>
      </c>
      <c r="CS75" s="501">
        <v>30</v>
      </c>
      <c r="CT75" s="519">
        <v>70</v>
      </c>
      <c r="CU75" s="517" t="s">
        <v>34107</v>
      </c>
      <c r="CV75" s="501" t="s">
        <v>4</v>
      </c>
      <c r="CW75" s="519" t="s">
        <v>4</v>
      </c>
      <c r="CX75" s="517" t="s">
        <v>4</v>
      </c>
      <c r="CY75" s="501" t="s">
        <v>4</v>
      </c>
      <c r="CZ75" s="519" t="s">
        <v>4</v>
      </c>
      <c r="DA75" s="517" t="s">
        <v>4</v>
      </c>
      <c r="DB75" s="501" t="s">
        <v>4</v>
      </c>
      <c r="DC75" s="501" t="s">
        <v>4</v>
      </c>
      <c r="DD75" s="501" t="s">
        <v>4</v>
      </c>
      <c r="DE75" s="501">
        <v>0</v>
      </c>
      <c r="DF75" s="501">
        <v>100</v>
      </c>
      <c r="DG75" s="501" t="s">
        <v>34108</v>
      </c>
      <c r="DH75" s="501" t="s">
        <v>4</v>
      </c>
      <c r="DI75" s="501" t="s">
        <v>4</v>
      </c>
      <c r="DJ75" s="501" t="s">
        <v>4</v>
      </c>
      <c r="DK75" s="501">
        <v>0</v>
      </c>
      <c r="DL75" s="501">
        <v>100</v>
      </c>
      <c r="DM75" s="501" t="s">
        <v>34109</v>
      </c>
      <c r="DN75" s="501">
        <v>0.5</v>
      </c>
      <c r="DO75" s="501" t="s">
        <v>2</v>
      </c>
      <c r="DP75" s="501" t="s">
        <v>29292</v>
      </c>
      <c r="DQ75" s="501" t="s">
        <v>4</v>
      </c>
      <c r="DR75" s="501" t="s">
        <v>29294</v>
      </c>
      <c r="DS75" s="502" t="s">
        <v>4</v>
      </c>
      <c r="DT75" s="501" t="s">
        <v>29293</v>
      </c>
      <c r="DU75" s="502">
        <v>60000</v>
      </c>
      <c r="DV75" s="519" t="s">
        <v>29295</v>
      </c>
      <c r="DW75" s="517">
        <v>100</v>
      </c>
      <c r="DX75" s="501" t="s">
        <v>29296</v>
      </c>
      <c r="DY75" s="501">
        <v>100</v>
      </c>
      <c r="DZ75" s="501" t="s">
        <v>4</v>
      </c>
      <c r="EA75" s="501" t="s">
        <v>4</v>
      </c>
      <c r="EB75" s="501" t="s">
        <v>4</v>
      </c>
      <c r="EC75" s="501" t="s">
        <v>4</v>
      </c>
      <c r="ED75" s="501" t="s">
        <v>4</v>
      </c>
      <c r="EE75" s="501" t="s">
        <v>4</v>
      </c>
      <c r="EF75" s="501" t="s">
        <v>4</v>
      </c>
      <c r="EG75" s="501" t="s">
        <v>4</v>
      </c>
      <c r="EH75" s="501" t="s">
        <v>4</v>
      </c>
      <c r="EI75" s="501" t="s">
        <v>4</v>
      </c>
      <c r="EJ75" s="501" t="s">
        <v>4</v>
      </c>
      <c r="EK75" s="501" t="s">
        <v>4</v>
      </c>
      <c r="EL75" s="501" t="s">
        <v>4</v>
      </c>
      <c r="EM75" s="501" t="s">
        <v>4</v>
      </c>
      <c r="EN75" s="501" t="s">
        <v>4</v>
      </c>
      <c r="EO75" s="501" t="s">
        <v>4</v>
      </c>
      <c r="EP75" s="501" t="s">
        <v>4</v>
      </c>
      <c r="EQ75" s="501" t="s">
        <v>4</v>
      </c>
      <c r="ER75" s="501" t="s">
        <v>4</v>
      </c>
      <c r="ES75" s="501" t="s">
        <v>4</v>
      </c>
      <c r="ET75" s="501" t="s">
        <v>4</v>
      </c>
      <c r="EU75" s="501" t="s">
        <v>4</v>
      </c>
      <c r="EV75" s="501" t="s">
        <v>4</v>
      </c>
      <c r="EW75" s="501">
        <v>2.8328611898016995</v>
      </c>
      <c r="EX75" s="501" t="s">
        <v>7</v>
      </c>
      <c r="EY75" s="501">
        <v>30</v>
      </c>
      <c r="EZ75" s="239">
        <f t="shared" si="2"/>
        <v>0.84985835694050993</v>
      </c>
      <c r="FA75" s="501" t="s">
        <v>34110</v>
      </c>
      <c r="FB75" s="501" t="s">
        <v>29298</v>
      </c>
      <c r="FC75" s="501">
        <v>120</v>
      </c>
      <c r="FD75" s="501" t="s">
        <v>7</v>
      </c>
      <c r="FE75" s="501" t="s">
        <v>29445</v>
      </c>
      <c r="FF75" s="501" t="s">
        <v>4</v>
      </c>
      <c r="FG75" s="501" t="s">
        <v>7</v>
      </c>
      <c r="FH75" s="501" t="s">
        <v>29445</v>
      </c>
      <c r="FI75" s="501" t="s">
        <v>4</v>
      </c>
      <c r="FJ75" s="501" t="s">
        <v>29300</v>
      </c>
      <c r="FK75" s="501" t="s">
        <v>4</v>
      </c>
      <c r="FL75" s="501" t="s">
        <v>29292</v>
      </c>
      <c r="FM75" s="501" t="s">
        <v>29294</v>
      </c>
      <c r="FN75" s="502" t="s">
        <v>4</v>
      </c>
      <c r="FO75" s="501" t="s">
        <v>4</v>
      </c>
      <c r="FP75" s="501" t="s">
        <v>2</v>
      </c>
      <c r="FQ75" s="501" t="s">
        <v>4</v>
      </c>
      <c r="FR75" s="501" t="s">
        <v>4</v>
      </c>
      <c r="FS75" s="501" t="s">
        <v>7</v>
      </c>
      <c r="FT75" s="501" t="s">
        <v>2</v>
      </c>
      <c r="FU75" s="501" t="s">
        <v>4</v>
      </c>
      <c r="FV75" s="501" t="s">
        <v>4</v>
      </c>
      <c r="FW75" s="501" t="s">
        <v>29304</v>
      </c>
      <c r="FX75" s="501">
        <v>2</v>
      </c>
      <c r="FY75" s="501" t="s">
        <v>29449</v>
      </c>
      <c r="FZ75" s="501" t="s">
        <v>29306</v>
      </c>
      <c r="GA75" s="501" t="s">
        <v>4</v>
      </c>
      <c r="GB75" s="501" t="s">
        <v>4</v>
      </c>
      <c r="GC75" s="501" t="s">
        <v>4</v>
      </c>
      <c r="GD75" s="501" t="s">
        <v>29451</v>
      </c>
      <c r="GE75" s="501" t="s">
        <v>4</v>
      </c>
      <c r="GF75" s="501" t="s">
        <v>4</v>
      </c>
      <c r="GG75" s="501" t="s">
        <v>4</v>
      </c>
      <c r="GH75" s="501" t="s">
        <v>4</v>
      </c>
      <c r="GI75" s="501" t="s">
        <v>29304</v>
      </c>
      <c r="GJ75" s="501" t="s">
        <v>13</v>
      </c>
      <c r="GK75" s="501" t="s">
        <v>4</v>
      </c>
      <c r="GL75" s="501" t="s">
        <v>4</v>
      </c>
      <c r="GM75" s="501" t="s">
        <v>4</v>
      </c>
      <c r="GN75" s="501" t="s">
        <v>4</v>
      </c>
      <c r="GO75" s="501" t="s">
        <v>4</v>
      </c>
      <c r="GP75" s="501" t="s">
        <v>4</v>
      </c>
      <c r="GQ75" s="501" t="s">
        <v>34111</v>
      </c>
      <c r="GR75" s="501" t="s">
        <v>4</v>
      </c>
      <c r="GS75" s="501" t="s">
        <v>4</v>
      </c>
      <c r="GT75" s="501" t="s">
        <v>29354</v>
      </c>
      <c r="GU75" s="501" t="s">
        <v>4</v>
      </c>
      <c r="GV75" s="502">
        <v>10</v>
      </c>
      <c r="GW75" s="501" t="s">
        <v>2</v>
      </c>
      <c r="GX75" s="501" t="s">
        <v>29309</v>
      </c>
      <c r="GY75" s="501" t="s">
        <v>4</v>
      </c>
      <c r="GZ75" s="501" t="s">
        <v>4</v>
      </c>
      <c r="HA75" s="501" t="s">
        <v>4</v>
      </c>
      <c r="HB75" s="501" t="s">
        <v>4</v>
      </c>
      <c r="HC75" s="501" t="s">
        <v>4</v>
      </c>
      <c r="HD75" s="501" t="s">
        <v>4</v>
      </c>
      <c r="HE75" s="501" t="s">
        <v>4</v>
      </c>
      <c r="HF75" s="501" t="s">
        <v>4</v>
      </c>
      <c r="HG75" s="501" t="s">
        <v>2</v>
      </c>
      <c r="HH75" s="501" t="s">
        <v>4</v>
      </c>
      <c r="HI75" s="501" t="s">
        <v>4</v>
      </c>
      <c r="HJ75" s="501" t="s">
        <v>4</v>
      </c>
      <c r="HK75" s="494" t="s">
        <v>4</v>
      </c>
      <c r="HL75" s="501" t="s">
        <v>33474</v>
      </c>
      <c r="HM75" s="501" t="s">
        <v>2</v>
      </c>
      <c r="HN75" s="501" t="s">
        <v>4</v>
      </c>
      <c r="HO75" s="501" t="s">
        <v>16</v>
      </c>
      <c r="HP75" s="501" t="s">
        <v>34112</v>
      </c>
      <c r="HQ75" s="501" t="s">
        <v>34113</v>
      </c>
      <c r="HR75" s="501" t="s">
        <v>34114</v>
      </c>
      <c r="HS75" s="501" t="s">
        <v>34115</v>
      </c>
      <c r="HT75" s="519" t="s">
        <v>34102</v>
      </c>
    </row>
    <row r="76" spans="1:228" s="570" customFormat="1" ht="30.2" customHeight="1" x14ac:dyDescent="0.25">
      <c r="A76" s="759"/>
      <c r="B76" s="496">
        <v>146</v>
      </c>
      <c r="C76" s="496" t="s">
        <v>664</v>
      </c>
      <c r="D76" s="497" t="s">
        <v>35001</v>
      </c>
      <c r="E76" s="497" t="s">
        <v>83</v>
      </c>
      <c r="F76" s="497" t="s">
        <v>7</v>
      </c>
      <c r="G76" s="497" t="s">
        <v>35002</v>
      </c>
      <c r="H76" s="497">
        <v>1132.058</v>
      </c>
      <c r="I76" s="497">
        <v>3.0294509999999999</v>
      </c>
      <c r="J76" s="497" t="s">
        <v>29288</v>
      </c>
      <c r="K76" s="497" t="s">
        <v>4</v>
      </c>
      <c r="L76" s="497" t="s">
        <v>35003</v>
      </c>
      <c r="M76" s="497">
        <v>782496722</v>
      </c>
      <c r="N76" s="497" t="s">
        <v>3</v>
      </c>
      <c r="O76" s="497" t="s">
        <v>31438</v>
      </c>
      <c r="P76" s="497">
        <v>64</v>
      </c>
      <c r="Q76" s="497">
        <v>10</v>
      </c>
      <c r="R76" s="497" t="s">
        <v>7</v>
      </c>
      <c r="S76" s="497" t="s">
        <v>31549</v>
      </c>
      <c r="T76" s="497" t="s">
        <v>4</v>
      </c>
      <c r="U76" s="497" t="s">
        <v>7</v>
      </c>
      <c r="V76" s="497" t="s">
        <v>7</v>
      </c>
      <c r="W76" s="497" t="s">
        <v>4</v>
      </c>
      <c r="X76" s="497" t="s">
        <v>7</v>
      </c>
      <c r="Y76" s="497" t="s">
        <v>4</v>
      </c>
      <c r="Z76" s="497" t="s">
        <v>4</v>
      </c>
      <c r="AA76" s="241" t="str">
        <f>IF(OR(U76="yes",Z76&gt;'SDG outcome'!$C$39),"yes","no")</f>
        <v>yes</v>
      </c>
      <c r="AB76" s="521" t="str">
        <f t="shared" si="0"/>
        <v>NA</v>
      </c>
      <c r="AC76" s="527" t="str">
        <f>IF(AND('SMS p2'!AA158="no",AND(Z76&gt;='SDG outcome'!$B$28,Z76&lt;'SDG outcome'!$C$39)),Z76-'SDG outcome'!$B$28,"")</f>
        <v/>
      </c>
      <c r="AD76" s="497" t="s">
        <v>4</v>
      </c>
      <c r="AE76" s="497" t="s">
        <v>4</v>
      </c>
      <c r="AF76" s="497" t="s">
        <v>4</v>
      </c>
      <c r="AG76" s="497" t="s">
        <v>4</v>
      </c>
      <c r="AH76" s="497" t="s">
        <v>4</v>
      </c>
      <c r="AI76" s="497" t="s">
        <v>4</v>
      </c>
      <c r="AJ76" s="497" t="s">
        <v>4</v>
      </c>
      <c r="AK76" s="497" t="s">
        <v>29290</v>
      </c>
      <c r="AL76" s="497" t="s">
        <v>29694</v>
      </c>
      <c r="AM76" s="497" t="s">
        <v>4</v>
      </c>
      <c r="AN76" s="497" t="s">
        <v>4</v>
      </c>
      <c r="AO76" s="497" t="s">
        <v>31536</v>
      </c>
      <c r="AP76" s="497" t="s">
        <v>4</v>
      </c>
      <c r="AQ76" s="497" t="s">
        <v>31537</v>
      </c>
      <c r="AR76" s="497" t="s">
        <v>4</v>
      </c>
      <c r="AS76" s="497" t="s">
        <v>31538</v>
      </c>
      <c r="AT76" s="497" t="s">
        <v>4</v>
      </c>
      <c r="AU76" s="497" t="s">
        <v>7</v>
      </c>
      <c r="AV76" s="497" t="s">
        <v>4</v>
      </c>
      <c r="AW76" s="497" t="s">
        <v>4</v>
      </c>
      <c r="AX76" s="497" t="s">
        <v>7</v>
      </c>
      <c r="AY76" s="497" t="s">
        <v>11</v>
      </c>
      <c r="AZ76" s="497" t="s">
        <v>4</v>
      </c>
      <c r="BA76" s="497" t="s">
        <v>31619</v>
      </c>
      <c r="BB76" s="497" t="s">
        <v>4</v>
      </c>
      <c r="BC76" s="497" t="s">
        <v>4</v>
      </c>
      <c r="BD76" s="497" t="s">
        <v>4</v>
      </c>
      <c r="BE76" s="497" t="s">
        <v>4</v>
      </c>
      <c r="BF76" s="497" t="s">
        <v>4</v>
      </c>
      <c r="BG76" s="497" t="s">
        <v>4</v>
      </c>
      <c r="BH76" s="497" t="s">
        <v>4</v>
      </c>
      <c r="BI76" s="497" t="s">
        <v>4</v>
      </c>
      <c r="BJ76" s="497" t="s">
        <v>4</v>
      </c>
      <c r="BK76" s="497" t="s">
        <v>7</v>
      </c>
      <c r="BL76" s="497" t="s">
        <v>6</v>
      </c>
      <c r="BM76" s="497" t="s">
        <v>4</v>
      </c>
      <c r="BN76" s="497" t="s">
        <v>31425</v>
      </c>
      <c r="BO76" s="497">
        <v>1</v>
      </c>
      <c r="BP76" s="497">
        <v>30</v>
      </c>
      <c r="BQ76" s="497" t="s">
        <v>31435</v>
      </c>
      <c r="BR76" s="499" t="s">
        <v>33361</v>
      </c>
      <c r="BS76" s="497" t="s">
        <v>4</v>
      </c>
      <c r="BT76" s="497">
        <v>2</v>
      </c>
      <c r="BU76" s="494" cm="1">
        <f t="array" ref="BU76">_xlfn.IFS(BQ76="Foreword vehicle",BT76*0,BQ76="Human wastes",BT76*0,BS76="Jerrycans",BT76*$BT$4,BQ76="Number of Basins",BT76*$BT$5,BQ76="Number of Buckets",BT76*$BT$6,BQ76="Number of Kgs",BT76*$BT$7,BQ76="Number of spades",BT76*$BT$8,BQ76="Number of wheelbarrows",BT76*$BS$9,BS76="Septic Tank",BT76*0)</f>
        <v>165</v>
      </c>
      <c r="BV76" s="494">
        <f>Table15[[#This Row],[Calculation: Conversion of metric to Kg manure feeding (Columns: BP, BQ, BR)]]*Table15[[#This Row],[Number of times used to feed biodigester]]</f>
        <v>165</v>
      </c>
      <c r="BW76" s="495" cm="1">
        <f t="array" ref="BW76">_xlfn.IFS(BN76="Number of times per day (1 to 3)",BV76/$BW$3,BN76="Number of times per week (1 to 6)",BV76/$BW$4,BN76="Number of times per Month (1 to 3)",BV76/$BW$5)</f>
        <v>165</v>
      </c>
      <c r="BX76" s="497" t="s">
        <v>22</v>
      </c>
      <c r="BY76" s="497" t="s">
        <v>4</v>
      </c>
      <c r="BZ76" s="497" t="s">
        <v>2</v>
      </c>
      <c r="CA76" s="497" t="s">
        <v>4</v>
      </c>
      <c r="CB76" s="497" t="s">
        <v>4</v>
      </c>
      <c r="CC76" s="497" t="s">
        <v>4</v>
      </c>
      <c r="CD76" s="497" t="s">
        <v>7</v>
      </c>
      <c r="CE76" s="497" t="s">
        <v>35004</v>
      </c>
      <c r="CF76" s="497" t="s">
        <v>4</v>
      </c>
      <c r="CG76" s="497" t="s">
        <v>31604</v>
      </c>
      <c r="CH76" s="497">
        <v>3</v>
      </c>
      <c r="CI76" s="497">
        <v>0</v>
      </c>
      <c r="CJ76" s="497">
        <v>0</v>
      </c>
      <c r="CK76" s="497">
        <v>0</v>
      </c>
      <c r="CL76" s="497">
        <v>0</v>
      </c>
      <c r="CM76" s="497">
        <v>0</v>
      </c>
      <c r="CN76" s="497">
        <v>0</v>
      </c>
      <c r="CO76" s="497">
        <v>0</v>
      </c>
      <c r="CP76" s="497">
        <v>0</v>
      </c>
      <c r="CQ76" s="497">
        <v>0</v>
      </c>
      <c r="CR76" s="497">
        <f>IF(Table15[[#This Row],[Is your biodigester working?]]="yes",CO76/'SDG outcome'!$C$9*CP76*CQ76,"")</f>
        <v>0</v>
      </c>
      <c r="CS76" s="497">
        <v>100</v>
      </c>
      <c r="CT76" s="500">
        <v>0</v>
      </c>
      <c r="CU76" s="496" t="s">
        <v>4</v>
      </c>
      <c r="CV76" s="497" t="s">
        <v>4</v>
      </c>
      <c r="CW76" s="500" t="s">
        <v>4</v>
      </c>
      <c r="CX76" s="496" t="s">
        <v>4</v>
      </c>
      <c r="CY76" s="497" t="s">
        <v>4</v>
      </c>
      <c r="CZ76" s="500" t="s">
        <v>4</v>
      </c>
      <c r="DA76" s="496" t="s">
        <v>4</v>
      </c>
      <c r="DB76" s="497" t="s">
        <v>4</v>
      </c>
      <c r="DC76" s="497" t="s">
        <v>4</v>
      </c>
      <c r="DD76" s="497" t="s">
        <v>4</v>
      </c>
      <c r="DE76" s="497" t="s">
        <v>4</v>
      </c>
      <c r="DF76" s="497" t="s">
        <v>4</v>
      </c>
      <c r="DG76" s="497" t="s">
        <v>4</v>
      </c>
      <c r="DH76" s="497" t="s">
        <v>4</v>
      </c>
      <c r="DI76" s="497" t="s">
        <v>4</v>
      </c>
      <c r="DJ76" s="497" t="s">
        <v>4</v>
      </c>
      <c r="DK76" s="497" t="s">
        <v>4</v>
      </c>
      <c r="DL76" s="497" t="s">
        <v>4</v>
      </c>
      <c r="DM76" s="497" t="s">
        <v>4</v>
      </c>
      <c r="DN76" s="497">
        <v>5</v>
      </c>
      <c r="DO76" s="497" t="s">
        <v>7</v>
      </c>
      <c r="DP76" s="497" t="s">
        <v>29292</v>
      </c>
      <c r="DQ76" s="497" t="s">
        <v>4</v>
      </c>
      <c r="DR76" s="497" t="s">
        <v>29293</v>
      </c>
      <c r="DS76" s="494">
        <v>6000</v>
      </c>
      <c r="DT76" s="497" t="s">
        <v>29293</v>
      </c>
      <c r="DU76" s="494">
        <v>0</v>
      </c>
      <c r="DV76" s="500" t="s">
        <v>29295</v>
      </c>
      <c r="DW76" s="496">
        <v>100</v>
      </c>
      <c r="DX76" s="497" t="s">
        <v>29296</v>
      </c>
      <c r="DY76" s="497">
        <v>100</v>
      </c>
      <c r="DZ76" s="497" t="s">
        <v>4</v>
      </c>
      <c r="EA76" s="497" t="s">
        <v>4</v>
      </c>
      <c r="EB76" s="497" t="s">
        <v>4</v>
      </c>
      <c r="EC76" s="497" t="s">
        <v>4</v>
      </c>
      <c r="ED76" s="497" t="s">
        <v>4</v>
      </c>
      <c r="EE76" s="497" t="s">
        <v>4</v>
      </c>
      <c r="EF76" s="497" t="s">
        <v>4</v>
      </c>
      <c r="EG76" s="497" t="s">
        <v>4</v>
      </c>
      <c r="EH76" s="497" t="s">
        <v>4</v>
      </c>
      <c r="EI76" s="497" t="s">
        <v>4</v>
      </c>
      <c r="EJ76" s="497" t="s">
        <v>4</v>
      </c>
      <c r="EK76" s="497" t="s">
        <v>4</v>
      </c>
      <c r="EL76" s="497" t="s">
        <v>4</v>
      </c>
      <c r="EM76" s="497" t="s">
        <v>4</v>
      </c>
      <c r="EN76" s="497" t="s">
        <v>4</v>
      </c>
      <c r="EO76" s="497" t="s">
        <v>4</v>
      </c>
      <c r="EP76" s="497" t="s">
        <v>4</v>
      </c>
      <c r="EQ76" s="497" t="s">
        <v>4</v>
      </c>
      <c r="ER76" s="497" t="s">
        <v>4</v>
      </c>
      <c r="ES76" s="497" t="s">
        <v>4</v>
      </c>
      <c r="ET76" s="497" t="s">
        <v>4</v>
      </c>
      <c r="EU76" s="497" t="s">
        <v>4</v>
      </c>
      <c r="EV76" s="497" t="s">
        <v>4</v>
      </c>
      <c r="EW76" s="497">
        <v>1.2140833670578712</v>
      </c>
      <c r="EX76" s="497" t="s">
        <v>7</v>
      </c>
      <c r="EY76" s="497">
        <v>70</v>
      </c>
      <c r="EZ76" s="239">
        <f t="shared" si="2"/>
        <v>0.84985835694050993</v>
      </c>
      <c r="FA76" s="497" t="s">
        <v>33472</v>
      </c>
      <c r="FB76" s="497" t="s">
        <v>29298</v>
      </c>
      <c r="FC76" s="497">
        <v>120</v>
      </c>
      <c r="FD76" s="497" t="s">
        <v>2</v>
      </c>
      <c r="FE76" s="497" t="s">
        <v>4</v>
      </c>
      <c r="FF76" s="497" t="s">
        <v>4</v>
      </c>
      <c r="FG76" s="497" t="s">
        <v>2</v>
      </c>
      <c r="FH76" s="497" t="s">
        <v>4</v>
      </c>
      <c r="FI76" s="497" t="s">
        <v>4</v>
      </c>
      <c r="FJ76" s="497" t="s">
        <v>4</v>
      </c>
      <c r="FK76" s="497" t="s">
        <v>4</v>
      </c>
      <c r="FL76" s="497" t="s">
        <v>4</v>
      </c>
      <c r="FM76" s="497" t="s">
        <v>4</v>
      </c>
      <c r="FN76" s="494" t="s">
        <v>4</v>
      </c>
      <c r="FO76" s="497" t="s">
        <v>4</v>
      </c>
      <c r="FP76" s="497" t="s">
        <v>2</v>
      </c>
      <c r="FQ76" s="497" t="s">
        <v>4</v>
      </c>
      <c r="FR76" s="497" t="s">
        <v>4</v>
      </c>
      <c r="FS76" s="497" t="s">
        <v>7</v>
      </c>
      <c r="FT76" s="497" t="s">
        <v>7</v>
      </c>
      <c r="FU76" s="497" t="s">
        <v>29302</v>
      </c>
      <c r="FV76" s="497" t="s">
        <v>33825</v>
      </c>
      <c r="FW76" s="497" t="s">
        <v>29304</v>
      </c>
      <c r="FX76" s="497">
        <v>3</v>
      </c>
      <c r="FY76" s="497" t="s">
        <v>29305</v>
      </c>
      <c r="FZ76" s="497" t="s">
        <v>29306</v>
      </c>
      <c r="GA76" s="497" t="s">
        <v>4</v>
      </c>
      <c r="GB76" s="497" t="s">
        <v>4</v>
      </c>
      <c r="GC76" s="497" t="s">
        <v>4</v>
      </c>
      <c r="GD76" s="497" t="s">
        <v>4</v>
      </c>
      <c r="GE76" s="497" t="s">
        <v>4</v>
      </c>
      <c r="GF76" s="497" t="s">
        <v>4</v>
      </c>
      <c r="GG76" s="497" t="s">
        <v>4</v>
      </c>
      <c r="GH76" s="497" t="s">
        <v>4</v>
      </c>
      <c r="GI76" s="497" t="s">
        <v>4</v>
      </c>
      <c r="GJ76" s="497" t="s">
        <v>4</v>
      </c>
      <c r="GK76" s="497" t="s">
        <v>4</v>
      </c>
      <c r="GL76" s="497" t="s">
        <v>4</v>
      </c>
      <c r="GM76" s="497" t="s">
        <v>4</v>
      </c>
      <c r="GN76" s="497" t="s">
        <v>4</v>
      </c>
      <c r="GO76" s="497" t="s">
        <v>4</v>
      </c>
      <c r="GP76" s="497" t="s">
        <v>4</v>
      </c>
      <c r="GQ76" s="497" t="s">
        <v>4</v>
      </c>
      <c r="GR76" s="497" t="s">
        <v>4</v>
      </c>
      <c r="GS76" s="497" t="s">
        <v>4</v>
      </c>
      <c r="GT76" s="497" t="s">
        <v>29452</v>
      </c>
      <c r="GU76" s="497" t="s">
        <v>4</v>
      </c>
      <c r="GV76" s="494">
        <v>5</v>
      </c>
      <c r="GW76" s="497" t="s">
        <v>2</v>
      </c>
      <c r="GX76" s="497" t="s">
        <v>29837</v>
      </c>
      <c r="GY76" s="497" t="s">
        <v>4</v>
      </c>
      <c r="GZ76" s="497" t="s">
        <v>4</v>
      </c>
      <c r="HA76" s="497" t="s">
        <v>4</v>
      </c>
      <c r="HB76" s="497" t="s">
        <v>4</v>
      </c>
      <c r="HC76" s="497" t="s">
        <v>4</v>
      </c>
      <c r="HD76" s="497" t="s">
        <v>4</v>
      </c>
      <c r="HE76" s="497" t="s">
        <v>4</v>
      </c>
      <c r="HF76" s="497" t="s">
        <v>4</v>
      </c>
      <c r="HG76" s="497" t="s">
        <v>2</v>
      </c>
      <c r="HH76" s="497" t="s">
        <v>4</v>
      </c>
      <c r="HI76" s="497" t="s">
        <v>4</v>
      </c>
      <c r="HJ76" s="497" t="s">
        <v>4</v>
      </c>
      <c r="HK76" s="494" t="s">
        <v>4</v>
      </c>
      <c r="HL76" s="497" t="s">
        <v>34953</v>
      </c>
      <c r="HM76" s="497" t="s">
        <v>2</v>
      </c>
      <c r="HN76" s="497" t="s">
        <v>4</v>
      </c>
      <c r="HO76" s="497" t="s">
        <v>16</v>
      </c>
      <c r="HP76" s="497" t="s">
        <v>35005</v>
      </c>
      <c r="HQ76" s="497" t="s">
        <v>35006</v>
      </c>
      <c r="HR76" s="497" t="s">
        <v>35007</v>
      </c>
      <c r="HS76" s="497" t="s">
        <v>16</v>
      </c>
      <c r="HT76" s="500" t="s">
        <v>35001</v>
      </c>
    </row>
    <row r="77" spans="1:228" s="570" customFormat="1" ht="30.2" customHeight="1" x14ac:dyDescent="0.25">
      <c r="A77" s="759"/>
      <c r="B77" s="496">
        <v>248</v>
      </c>
      <c r="C77" s="496" t="s">
        <v>33066</v>
      </c>
      <c r="D77" s="497" t="s">
        <v>36084</v>
      </c>
      <c r="E77" s="497" t="s">
        <v>35998</v>
      </c>
      <c r="F77" s="497" t="s">
        <v>7</v>
      </c>
      <c r="G77" s="497" t="s">
        <v>36085</v>
      </c>
      <c r="H77" s="497">
        <v>1173.702</v>
      </c>
      <c r="I77" s="497">
        <v>1.487822</v>
      </c>
      <c r="J77" s="497" t="s">
        <v>29288</v>
      </c>
      <c r="K77" s="497" t="s">
        <v>4</v>
      </c>
      <c r="L77" s="497" t="s">
        <v>36086</v>
      </c>
      <c r="M77" s="497">
        <v>773194306</v>
      </c>
      <c r="N77" s="497" t="s">
        <v>3</v>
      </c>
      <c r="O77" s="497" t="s">
        <v>31438</v>
      </c>
      <c r="P77" s="497">
        <v>59</v>
      </c>
      <c r="Q77" s="497">
        <v>8</v>
      </c>
      <c r="R77" s="497" t="s">
        <v>7</v>
      </c>
      <c r="S77" s="497" t="s">
        <v>31535</v>
      </c>
      <c r="T77" s="497" t="s">
        <v>4</v>
      </c>
      <c r="U77" s="497" t="s">
        <v>7</v>
      </c>
      <c r="V77" s="497" t="s">
        <v>7</v>
      </c>
      <c r="W77" s="497" t="s">
        <v>4</v>
      </c>
      <c r="X77" s="497" t="s">
        <v>7</v>
      </c>
      <c r="Y77" s="497" t="s">
        <v>4</v>
      </c>
      <c r="Z77" s="497" t="s">
        <v>4</v>
      </c>
      <c r="AA77" s="241" t="str">
        <f>IF(OR(U77="yes",Z77&gt;'SDG outcome'!$C$39),"yes","no")</f>
        <v>yes</v>
      </c>
      <c r="AB77" s="521" t="str">
        <f t="shared" ref="AB77:AB140" si="3">IF(AA77="no","",W77)</f>
        <v>NA</v>
      </c>
      <c r="AC77" s="527" t="str">
        <f>IF(AND('SMS p2'!AA259="no",AND(Z77&gt;='SDG outcome'!$B$28,Z77&lt;'SDG outcome'!$C$39)),Z77-'SDG outcome'!$B$28,"")</f>
        <v/>
      </c>
      <c r="AD77" s="497" t="s">
        <v>4</v>
      </c>
      <c r="AE77" s="497" t="s">
        <v>4</v>
      </c>
      <c r="AF77" s="497" t="s">
        <v>4</v>
      </c>
      <c r="AG77" s="497" t="s">
        <v>4</v>
      </c>
      <c r="AH77" s="497" t="s">
        <v>4</v>
      </c>
      <c r="AI77" s="497" t="s">
        <v>4</v>
      </c>
      <c r="AJ77" s="497" t="s">
        <v>4</v>
      </c>
      <c r="AK77" s="497" t="s">
        <v>29290</v>
      </c>
      <c r="AL77" s="497" t="s">
        <v>29694</v>
      </c>
      <c r="AM77" s="497" t="s">
        <v>4</v>
      </c>
      <c r="AN77" s="497" t="s">
        <v>4</v>
      </c>
      <c r="AO77" s="497" t="s">
        <v>31536</v>
      </c>
      <c r="AP77" s="497" t="s">
        <v>4</v>
      </c>
      <c r="AQ77" s="497" t="s">
        <v>31537</v>
      </c>
      <c r="AR77" s="497" t="s">
        <v>4</v>
      </c>
      <c r="AS77" s="497" t="s">
        <v>31538</v>
      </c>
      <c r="AT77" s="497" t="s">
        <v>4</v>
      </c>
      <c r="AU77" s="497" t="s">
        <v>2</v>
      </c>
      <c r="AV77" s="497" t="s">
        <v>33847</v>
      </c>
      <c r="AW77" s="497" t="s">
        <v>4</v>
      </c>
      <c r="AX77" s="497" t="s">
        <v>2</v>
      </c>
      <c r="AY77" s="497" t="s">
        <v>4</v>
      </c>
      <c r="AZ77" s="497" t="s">
        <v>4</v>
      </c>
      <c r="BA77" s="497" t="s">
        <v>31563</v>
      </c>
      <c r="BB77" s="497" t="s">
        <v>14</v>
      </c>
      <c r="BC77" s="497" t="s">
        <v>4</v>
      </c>
      <c r="BD77" s="497" t="s">
        <v>31541</v>
      </c>
      <c r="BE77" s="497" t="s">
        <v>4</v>
      </c>
      <c r="BF77" s="497" t="s">
        <v>31542</v>
      </c>
      <c r="BG77" s="497" t="s">
        <v>36087</v>
      </c>
      <c r="BH77" s="497" t="s">
        <v>31566</v>
      </c>
      <c r="BI77" s="497">
        <v>2</v>
      </c>
      <c r="BJ77" s="497">
        <v>60</v>
      </c>
      <c r="BK77" s="497" t="s">
        <v>7</v>
      </c>
      <c r="BL77" s="497" t="s">
        <v>6</v>
      </c>
      <c r="BM77" s="497" t="s">
        <v>4</v>
      </c>
      <c r="BN77" s="497" t="s">
        <v>31429</v>
      </c>
      <c r="BO77" s="497">
        <v>3</v>
      </c>
      <c r="BP77" s="497">
        <v>30</v>
      </c>
      <c r="BQ77" s="497" t="s">
        <v>31434</v>
      </c>
      <c r="BR77" s="499" t="s">
        <v>33332</v>
      </c>
      <c r="BS77" s="497" t="s">
        <v>4</v>
      </c>
      <c r="BT77" s="497">
        <v>5</v>
      </c>
      <c r="BU77" s="494" cm="1">
        <f t="array" ref="BU77">_xlfn.IFS(BQ77="Foreword vehicle",BT77*0,BQ77="Human wastes",BT77*0,BS77="Jerrycans",BT77*$BT$4,BQ77="Number of Basins",BT77*$BT$5,BQ77="Number of Buckets",BT77*$BT$6,BQ77="Number of Kgs",BT77*$BT$7,BQ77="Number of spades",BT77*$BT$8,BQ77="Number of wheelbarrows",BT77*$BT$9,BS77="Septic Tank",BT77*0)</f>
        <v>80</v>
      </c>
      <c r="BV77" s="494">
        <f>Table15[[#This Row],[Calculation: Conversion of metric to Kg manure feeding (Columns: BP, BQ, BR)]]*Table15[[#This Row],[Number of times used to feed biodigester]]</f>
        <v>240</v>
      </c>
      <c r="BW77" s="495" cm="1">
        <f t="array" ref="BW77">_xlfn.IFS(BN77="Number of times per day (1 to 3)",BV77/$BW$3,BN77="Number of times per week (1 to 6)",BV77/$BW$4,BN77="Number of times per Month (1 to 3)",BV77/$BW$5)</f>
        <v>34.285714285714285</v>
      </c>
      <c r="BX77" s="497" t="s">
        <v>31552</v>
      </c>
      <c r="BY77" s="497" t="s">
        <v>4</v>
      </c>
      <c r="BZ77" s="497" t="s">
        <v>2</v>
      </c>
      <c r="CA77" s="497" t="s">
        <v>4</v>
      </c>
      <c r="CB77" s="497" t="s">
        <v>4</v>
      </c>
      <c r="CC77" s="497" t="s">
        <v>4</v>
      </c>
      <c r="CD77" s="497" t="s">
        <v>7</v>
      </c>
      <c r="CE77" s="497" t="s">
        <v>36088</v>
      </c>
      <c r="CF77" s="497" t="s">
        <v>4</v>
      </c>
      <c r="CG77" s="497" t="s">
        <v>31604</v>
      </c>
      <c r="CH77" s="497">
        <v>2</v>
      </c>
      <c r="CI77" s="497">
        <v>0</v>
      </c>
      <c r="CJ77" s="497">
        <v>0</v>
      </c>
      <c r="CK77" s="497">
        <v>0</v>
      </c>
      <c r="CL77" s="497">
        <v>0</v>
      </c>
      <c r="CM77" s="497">
        <v>0</v>
      </c>
      <c r="CN77" s="497">
        <v>0</v>
      </c>
      <c r="CO77" s="497">
        <v>0</v>
      </c>
      <c r="CP77" s="497">
        <v>0</v>
      </c>
      <c r="CQ77" s="497">
        <v>0</v>
      </c>
      <c r="CR77" s="497">
        <f>IF(Table15[[#This Row],[Is your biodigester working?]]="yes",CO77/'SDG outcome'!$C$9*CP77*CQ77,"")</f>
        <v>0</v>
      </c>
      <c r="CS77" s="497">
        <v>100</v>
      </c>
      <c r="CT77" s="500">
        <v>0</v>
      </c>
      <c r="CU77" s="496" t="s">
        <v>4</v>
      </c>
      <c r="CV77" s="497" t="s">
        <v>4</v>
      </c>
      <c r="CW77" s="500" t="s">
        <v>4</v>
      </c>
      <c r="CX77" s="496" t="s">
        <v>4</v>
      </c>
      <c r="CY77" s="497" t="s">
        <v>4</v>
      </c>
      <c r="CZ77" s="500" t="s">
        <v>4</v>
      </c>
      <c r="DA77" s="496" t="s">
        <v>4</v>
      </c>
      <c r="DB77" s="497" t="s">
        <v>4</v>
      </c>
      <c r="DC77" s="497" t="s">
        <v>4</v>
      </c>
      <c r="DD77" s="497" t="s">
        <v>4</v>
      </c>
      <c r="DE77" s="497" t="s">
        <v>4</v>
      </c>
      <c r="DF77" s="497" t="s">
        <v>4</v>
      </c>
      <c r="DG77" s="497" t="s">
        <v>4</v>
      </c>
      <c r="DH77" s="497" t="s">
        <v>4</v>
      </c>
      <c r="DI77" s="497" t="s">
        <v>4</v>
      </c>
      <c r="DJ77" s="497" t="s">
        <v>4</v>
      </c>
      <c r="DK77" s="497" t="s">
        <v>4</v>
      </c>
      <c r="DL77" s="497" t="s">
        <v>4</v>
      </c>
      <c r="DM77" s="497" t="s">
        <v>4</v>
      </c>
      <c r="DN77" s="497">
        <v>2</v>
      </c>
      <c r="DO77" s="497" t="s">
        <v>7</v>
      </c>
      <c r="DP77" s="497" t="s">
        <v>29292</v>
      </c>
      <c r="DQ77" s="497" t="s">
        <v>4</v>
      </c>
      <c r="DR77" s="497" t="s">
        <v>29294</v>
      </c>
      <c r="DS77" s="494" t="s">
        <v>4</v>
      </c>
      <c r="DT77" s="497" t="s">
        <v>29294</v>
      </c>
      <c r="DU77" s="494" t="s">
        <v>4</v>
      </c>
      <c r="DV77" s="500" t="s">
        <v>29295</v>
      </c>
      <c r="DW77" s="496">
        <v>100</v>
      </c>
      <c r="DX77" s="497" t="s">
        <v>29296</v>
      </c>
      <c r="DY77" s="497">
        <v>100</v>
      </c>
      <c r="DZ77" s="497" t="s">
        <v>4</v>
      </c>
      <c r="EA77" s="497" t="s">
        <v>4</v>
      </c>
      <c r="EB77" s="497" t="s">
        <v>4</v>
      </c>
      <c r="EC77" s="497" t="s">
        <v>4</v>
      </c>
      <c r="ED77" s="497" t="s">
        <v>4</v>
      </c>
      <c r="EE77" s="497" t="s">
        <v>4</v>
      </c>
      <c r="EF77" s="497" t="s">
        <v>4</v>
      </c>
      <c r="EG77" s="497" t="s">
        <v>4</v>
      </c>
      <c r="EH77" s="497" t="s">
        <v>4</v>
      </c>
      <c r="EI77" s="497" t="s">
        <v>4</v>
      </c>
      <c r="EJ77" s="497" t="s">
        <v>4</v>
      </c>
      <c r="EK77" s="497" t="s">
        <v>4</v>
      </c>
      <c r="EL77" s="497" t="s">
        <v>4</v>
      </c>
      <c r="EM77" s="497" t="s">
        <v>4</v>
      </c>
      <c r="EN77" s="497" t="s">
        <v>4</v>
      </c>
      <c r="EO77" s="497" t="s">
        <v>4</v>
      </c>
      <c r="EP77" s="497" t="s">
        <v>4</v>
      </c>
      <c r="EQ77" s="497" t="s">
        <v>4</v>
      </c>
      <c r="ER77" s="497" t="s">
        <v>4</v>
      </c>
      <c r="ES77" s="497" t="s">
        <v>4</v>
      </c>
      <c r="ET77" s="497" t="s">
        <v>4</v>
      </c>
      <c r="EU77" s="497" t="s">
        <v>4</v>
      </c>
      <c r="EV77" s="497" t="s">
        <v>4</v>
      </c>
      <c r="EW77" s="497">
        <v>1.2140833670578712</v>
      </c>
      <c r="EX77" s="497" t="s">
        <v>7</v>
      </c>
      <c r="EY77" s="497">
        <v>70</v>
      </c>
      <c r="EZ77" s="239">
        <f t="shared" si="2"/>
        <v>0.84985835694050993</v>
      </c>
      <c r="FA77" s="497" t="s">
        <v>36089</v>
      </c>
      <c r="FB77" s="497" t="s">
        <v>29298</v>
      </c>
      <c r="FC77" s="497">
        <v>86</v>
      </c>
      <c r="FD77" s="497" t="s">
        <v>7</v>
      </c>
      <c r="FE77" s="497" t="s">
        <v>29299</v>
      </c>
      <c r="FF77" s="497" t="s">
        <v>4</v>
      </c>
      <c r="FG77" s="497" t="s">
        <v>2</v>
      </c>
      <c r="FH77" s="497" t="s">
        <v>4</v>
      </c>
      <c r="FI77" s="497" t="s">
        <v>4</v>
      </c>
      <c r="FJ77" s="497" t="s">
        <v>4</v>
      </c>
      <c r="FK77" s="497" t="s">
        <v>4</v>
      </c>
      <c r="FL77" s="497" t="s">
        <v>4</v>
      </c>
      <c r="FM77" s="497" t="s">
        <v>4</v>
      </c>
      <c r="FN77" s="494" t="s">
        <v>4</v>
      </c>
      <c r="FO77" s="497" t="s">
        <v>4</v>
      </c>
      <c r="FP77" s="497" t="s">
        <v>2</v>
      </c>
      <c r="FQ77" s="497" t="s">
        <v>4</v>
      </c>
      <c r="FR77" s="497" t="s">
        <v>4</v>
      </c>
      <c r="FS77" s="497" t="s">
        <v>7</v>
      </c>
      <c r="FT77" s="497" t="s">
        <v>2</v>
      </c>
      <c r="FU77" s="497" t="s">
        <v>4</v>
      </c>
      <c r="FV77" s="497" t="s">
        <v>4</v>
      </c>
      <c r="FW77" s="497" t="s">
        <v>29433</v>
      </c>
      <c r="FX77" s="497">
        <v>0</v>
      </c>
      <c r="FY77" s="497" t="s">
        <v>4</v>
      </c>
      <c r="FZ77" s="497" t="s">
        <v>4</v>
      </c>
      <c r="GA77" s="497" t="s">
        <v>4</v>
      </c>
      <c r="GB77" s="497" t="s">
        <v>4</v>
      </c>
      <c r="GC77" s="497" t="s">
        <v>4</v>
      </c>
      <c r="GD77" s="497" t="s">
        <v>4</v>
      </c>
      <c r="GE77" s="497" t="s">
        <v>4</v>
      </c>
      <c r="GF77" s="497" t="s">
        <v>4</v>
      </c>
      <c r="GG77" s="497" t="s">
        <v>29353</v>
      </c>
      <c r="GH77" s="497" t="s">
        <v>4</v>
      </c>
      <c r="GI77" s="497" t="s">
        <v>4</v>
      </c>
      <c r="GJ77" s="497" t="s">
        <v>4</v>
      </c>
      <c r="GK77" s="497" t="s">
        <v>4</v>
      </c>
      <c r="GL77" s="497" t="s">
        <v>4</v>
      </c>
      <c r="GM77" s="497" t="s">
        <v>4</v>
      </c>
      <c r="GN77" s="497" t="s">
        <v>4</v>
      </c>
      <c r="GO77" s="497" t="s">
        <v>4</v>
      </c>
      <c r="GP77" s="497" t="s">
        <v>4</v>
      </c>
      <c r="GQ77" s="497" t="s">
        <v>4</v>
      </c>
      <c r="GR77" s="497" t="s">
        <v>4</v>
      </c>
      <c r="GS77" s="497" t="s">
        <v>4</v>
      </c>
      <c r="GT77" s="497" t="s">
        <v>29307</v>
      </c>
      <c r="GU77" s="497" t="s">
        <v>36090</v>
      </c>
      <c r="GV77" s="494">
        <v>1000</v>
      </c>
      <c r="GW77" s="497" t="s">
        <v>2</v>
      </c>
      <c r="GX77" s="497" t="s">
        <v>29309</v>
      </c>
      <c r="GY77" s="497" t="s">
        <v>4</v>
      </c>
      <c r="GZ77" s="497" t="s">
        <v>4</v>
      </c>
      <c r="HA77" s="497" t="s">
        <v>4</v>
      </c>
      <c r="HB77" s="497" t="s">
        <v>4</v>
      </c>
      <c r="HC77" s="497" t="s">
        <v>4</v>
      </c>
      <c r="HD77" s="497" t="s">
        <v>4</v>
      </c>
      <c r="HE77" s="497" t="s">
        <v>4</v>
      </c>
      <c r="HF77" s="497" t="s">
        <v>4</v>
      </c>
      <c r="HG77" s="497" t="s">
        <v>2</v>
      </c>
      <c r="HH77" s="497" t="s">
        <v>4</v>
      </c>
      <c r="HI77" s="497" t="s">
        <v>4</v>
      </c>
      <c r="HJ77" s="497" t="s">
        <v>4</v>
      </c>
      <c r="HK77" s="494" t="s">
        <v>4</v>
      </c>
      <c r="HL77" s="497" t="s">
        <v>36091</v>
      </c>
      <c r="HM77" s="497" t="s">
        <v>7</v>
      </c>
      <c r="HN77" s="497" t="s">
        <v>36092</v>
      </c>
      <c r="HO77" s="497" t="s">
        <v>16</v>
      </c>
      <c r="HP77" s="497" t="s">
        <v>36093</v>
      </c>
      <c r="HQ77" s="497" t="s">
        <v>36094</v>
      </c>
      <c r="HR77" s="497" t="s">
        <v>36095</v>
      </c>
      <c r="HS77" s="497" t="s">
        <v>36096</v>
      </c>
      <c r="HT77" s="500" t="s">
        <v>36097</v>
      </c>
    </row>
    <row r="78" spans="1:228" s="570" customFormat="1" ht="30.2" customHeight="1" x14ac:dyDescent="0.25">
      <c r="A78" s="759"/>
      <c r="B78" s="496">
        <v>16</v>
      </c>
      <c r="C78" s="496" t="s">
        <v>24287</v>
      </c>
      <c r="D78" s="497" t="s">
        <v>33520</v>
      </c>
      <c r="E78" s="497" t="s">
        <v>52</v>
      </c>
      <c r="F78" s="497" t="s">
        <v>7</v>
      </c>
      <c r="G78" s="497" t="s">
        <v>33521</v>
      </c>
      <c r="H78" s="497">
        <v>1447.951172</v>
      </c>
      <c r="I78" s="497">
        <v>4.4602979999999999</v>
      </c>
      <c r="J78" s="497" t="s">
        <v>29288</v>
      </c>
      <c r="K78" s="497" t="s">
        <v>4</v>
      </c>
      <c r="L78" s="497" t="s">
        <v>33522</v>
      </c>
      <c r="M78" s="497">
        <v>702331774</v>
      </c>
      <c r="N78" s="497" t="s">
        <v>3</v>
      </c>
      <c r="O78" s="497" t="s">
        <v>31598</v>
      </c>
      <c r="P78" s="497" t="s">
        <v>4</v>
      </c>
      <c r="Q78" s="497">
        <v>4</v>
      </c>
      <c r="R78" s="497" t="s">
        <v>7</v>
      </c>
      <c r="S78" s="497" t="s">
        <v>31535</v>
      </c>
      <c r="T78" s="497" t="s">
        <v>4</v>
      </c>
      <c r="U78" s="497" t="s">
        <v>7</v>
      </c>
      <c r="V78" s="497" t="s">
        <v>2</v>
      </c>
      <c r="W78" s="497">
        <v>21</v>
      </c>
      <c r="X78" s="497" t="s">
        <v>7</v>
      </c>
      <c r="Y78" s="497" t="s">
        <v>4</v>
      </c>
      <c r="Z78" s="497" t="s">
        <v>4</v>
      </c>
      <c r="AA78" s="241" t="str">
        <f>IF(OR(U78="yes",Z78&gt;'SDG outcome'!$C$39),"yes","no")</f>
        <v>yes</v>
      </c>
      <c r="AB78" s="521">
        <f t="shared" si="3"/>
        <v>21</v>
      </c>
      <c r="AC78" s="527" t="str">
        <f>IF(AND('SMS p2'!AA28="no",AND(Z78&gt;='SDG outcome'!$B$28,Z78&lt;'SDG outcome'!$C$39)),Z78-'SDG outcome'!$B$28,"")</f>
        <v/>
      </c>
      <c r="AD78" s="497" t="s">
        <v>4</v>
      </c>
      <c r="AE78" s="497" t="s">
        <v>4</v>
      </c>
      <c r="AF78" s="497" t="s">
        <v>4</v>
      </c>
      <c r="AG78" s="497" t="s">
        <v>4</v>
      </c>
      <c r="AH78" s="497" t="s">
        <v>4</v>
      </c>
      <c r="AI78" s="497" t="s">
        <v>4</v>
      </c>
      <c r="AJ78" s="497" t="s">
        <v>4</v>
      </c>
      <c r="AK78" s="497" t="s">
        <v>29290</v>
      </c>
      <c r="AL78" s="497" t="s">
        <v>29694</v>
      </c>
      <c r="AM78" s="497" t="s">
        <v>4</v>
      </c>
      <c r="AN78" s="497" t="s">
        <v>4</v>
      </c>
      <c r="AO78" s="497" t="s">
        <v>31536</v>
      </c>
      <c r="AP78" s="497" t="s">
        <v>4</v>
      </c>
      <c r="AQ78" s="497" t="s">
        <v>31537</v>
      </c>
      <c r="AR78" s="497" t="s">
        <v>4</v>
      </c>
      <c r="AS78" s="497" t="s">
        <v>31538</v>
      </c>
      <c r="AT78" s="497" t="s">
        <v>4</v>
      </c>
      <c r="AU78" s="497" t="s">
        <v>7</v>
      </c>
      <c r="AV78" s="497" t="s">
        <v>4</v>
      </c>
      <c r="AW78" s="497" t="s">
        <v>4</v>
      </c>
      <c r="AX78" s="497" t="s">
        <v>7</v>
      </c>
      <c r="AY78" s="497" t="s">
        <v>6</v>
      </c>
      <c r="AZ78" s="497" t="s">
        <v>4</v>
      </c>
      <c r="BA78" s="497" t="s">
        <v>31563</v>
      </c>
      <c r="BB78" s="497" t="s">
        <v>22</v>
      </c>
      <c r="BC78" s="497" t="s">
        <v>4</v>
      </c>
      <c r="BD78" s="497" t="s">
        <v>31564</v>
      </c>
      <c r="BE78" s="497" t="s">
        <v>4</v>
      </c>
      <c r="BF78" s="497" t="s">
        <v>31542</v>
      </c>
      <c r="BG78" s="497" t="s">
        <v>33523</v>
      </c>
      <c r="BH78" s="497" t="s">
        <v>31632</v>
      </c>
      <c r="BI78" s="497">
        <v>6</v>
      </c>
      <c r="BJ78" s="497">
        <v>140</v>
      </c>
      <c r="BK78" s="497" t="s">
        <v>7</v>
      </c>
      <c r="BL78" s="497" t="s">
        <v>11</v>
      </c>
      <c r="BM78" s="497" t="s">
        <v>4</v>
      </c>
      <c r="BN78" s="497" t="s">
        <v>31425</v>
      </c>
      <c r="BO78" s="497">
        <v>1</v>
      </c>
      <c r="BP78" s="497">
        <v>60</v>
      </c>
      <c r="BQ78" s="497" t="s">
        <v>31435</v>
      </c>
      <c r="BR78" s="499" t="s">
        <v>33332</v>
      </c>
      <c r="BS78" s="497" t="s">
        <v>4</v>
      </c>
      <c r="BT78" s="497">
        <v>2</v>
      </c>
      <c r="BU78" s="494" cm="1">
        <f t="array" ref="BU78">_xlfn.IFS(BQ78="Foreword vehicle",BT78*0,BQ78="Human wastes",BT78*0,BS78="Jerrycans",BT78*$BT$4,BQ78="Number of Basins",BT78*$BT$5,BQ78="Number of Buckets",BT78*$BT$6,BQ78="Number of Kgs",BT78*$BT$7,BQ78="Number of spades",BT78*$BT$8,BQ78="Number of wheelbarrows",BT78*$BT$9,BS78="Septic Tank",BT78*0)</f>
        <v>141</v>
      </c>
      <c r="BV78" s="494">
        <f>Table15[[#This Row],[Calculation: Conversion of metric to Kg manure feeding (Columns: BP, BQ, BR)]]*Table15[[#This Row],[Number of times used to feed biodigester]]</f>
        <v>141</v>
      </c>
      <c r="BW78" s="495" cm="1">
        <f t="array" ref="BW78">_xlfn.IFS(BN78="Number of times per day (1 to 3)",BV78/$BW$3,BN78="Number of times per week (1 to 6)",BV78/$BW$4,BN78="Number of times per Month (1 to 3)",BV78/$BW$5)</f>
        <v>141</v>
      </c>
      <c r="BX78" s="497" t="s">
        <v>22</v>
      </c>
      <c r="BY78" s="497" t="s">
        <v>4</v>
      </c>
      <c r="BZ78" s="497" t="s">
        <v>2</v>
      </c>
      <c r="CA78" s="497" t="s">
        <v>4</v>
      </c>
      <c r="CB78" s="497" t="s">
        <v>4</v>
      </c>
      <c r="CC78" s="497" t="s">
        <v>4</v>
      </c>
      <c r="CD78" s="497" t="s">
        <v>7</v>
      </c>
      <c r="CE78" s="497" t="s">
        <v>33524</v>
      </c>
      <c r="CF78" s="497" t="s">
        <v>4</v>
      </c>
      <c r="CG78" s="497" t="s">
        <v>33525</v>
      </c>
      <c r="CH78" s="497">
        <v>0</v>
      </c>
      <c r="CI78" s="497">
        <v>10</v>
      </c>
      <c r="CJ78" s="497">
        <v>4</v>
      </c>
      <c r="CK78" s="497">
        <v>0</v>
      </c>
      <c r="CL78" s="497">
        <v>8</v>
      </c>
      <c r="CM78" s="497">
        <v>0</v>
      </c>
      <c r="CN78" s="497">
        <v>0</v>
      </c>
      <c r="CO78" s="497">
        <v>0</v>
      </c>
      <c r="CP78" s="497">
        <v>0</v>
      </c>
      <c r="CQ78" s="497">
        <v>0</v>
      </c>
      <c r="CR78" s="497">
        <f>IF(Table15[[#This Row],[Is your biodigester working?]]="yes",CO78/'SDG outcome'!$C$9*CP78*CQ78,"")</f>
        <v>0</v>
      </c>
      <c r="CS78" s="497" t="s">
        <v>4</v>
      </c>
      <c r="CT78" s="500" t="s">
        <v>4</v>
      </c>
      <c r="CU78" s="496" t="s">
        <v>4</v>
      </c>
      <c r="CV78" s="497">
        <v>66</v>
      </c>
      <c r="CW78" s="500">
        <v>34</v>
      </c>
      <c r="CX78" s="496" t="s">
        <v>33526</v>
      </c>
      <c r="CY78" s="497" t="s">
        <v>4</v>
      </c>
      <c r="CZ78" s="500" t="s">
        <v>4</v>
      </c>
      <c r="DA78" s="496" t="s">
        <v>4</v>
      </c>
      <c r="DB78" s="497">
        <v>0</v>
      </c>
      <c r="DC78" s="497">
        <v>100</v>
      </c>
      <c r="DD78" s="497" t="s">
        <v>33527</v>
      </c>
      <c r="DE78" s="497" t="s">
        <v>4</v>
      </c>
      <c r="DF78" s="497" t="s">
        <v>4</v>
      </c>
      <c r="DG78" s="497" t="s">
        <v>4</v>
      </c>
      <c r="DH78" s="497" t="s">
        <v>4</v>
      </c>
      <c r="DI78" s="497" t="s">
        <v>4</v>
      </c>
      <c r="DJ78" s="497" t="s">
        <v>4</v>
      </c>
      <c r="DK78" s="497">
        <v>0</v>
      </c>
      <c r="DL78" s="497">
        <v>100</v>
      </c>
      <c r="DM78" s="497" t="s">
        <v>33528</v>
      </c>
      <c r="DN78" s="497">
        <v>2</v>
      </c>
      <c r="DO78" s="497" t="s">
        <v>7</v>
      </c>
      <c r="DP78" s="497" t="s">
        <v>29375</v>
      </c>
      <c r="DQ78" s="497" t="s">
        <v>4</v>
      </c>
      <c r="DR78" s="497" t="s">
        <v>4</v>
      </c>
      <c r="DS78" s="494" t="s">
        <v>4</v>
      </c>
      <c r="DT78" s="497" t="s">
        <v>29293</v>
      </c>
      <c r="DU78" s="494">
        <v>250000</v>
      </c>
      <c r="DV78" s="500" t="s">
        <v>29442</v>
      </c>
      <c r="DW78" s="496">
        <v>70</v>
      </c>
      <c r="DX78" s="497" t="s">
        <v>29336</v>
      </c>
      <c r="DY78" s="497">
        <v>90</v>
      </c>
      <c r="DZ78" s="497" t="s">
        <v>4</v>
      </c>
      <c r="EA78" s="497">
        <v>10</v>
      </c>
      <c r="EB78" s="497" t="s">
        <v>4</v>
      </c>
      <c r="EC78" s="497" t="s">
        <v>4</v>
      </c>
      <c r="ED78" s="497">
        <v>30</v>
      </c>
      <c r="EE78" s="497" t="s">
        <v>30667</v>
      </c>
      <c r="EF78" s="497" t="s">
        <v>4</v>
      </c>
      <c r="EG78" s="497" t="s">
        <v>4</v>
      </c>
      <c r="EH78" s="497">
        <v>100</v>
      </c>
      <c r="EI78" s="497" t="s">
        <v>4</v>
      </c>
      <c r="EJ78" s="497" t="s">
        <v>4</v>
      </c>
      <c r="EK78" s="497" t="s">
        <v>4</v>
      </c>
      <c r="EL78" s="497" t="s">
        <v>4</v>
      </c>
      <c r="EM78" s="497">
        <v>21</v>
      </c>
      <c r="EN78" s="497" t="s">
        <v>4</v>
      </c>
      <c r="EO78" s="497" t="s">
        <v>4</v>
      </c>
      <c r="EP78" s="497" t="s">
        <v>4</v>
      </c>
      <c r="EQ78" s="497" t="s">
        <v>30460</v>
      </c>
      <c r="ER78" s="497">
        <v>70</v>
      </c>
      <c r="ES78" s="497">
        <v>30</v>
      </c>
      <c r="ET78" s="497" t="s">
        <v>4</v>
      </c>
      <c r="EU78" s="497" t="s">
        <v>4</v>
      </c>
      <c r="EV78" s="497" t="s">
        <v>4</v>
      </c>
      <c r="EW78" s="497">
        <v>4.05</v>
      </c>
      <c r="EX78" s="497" t="s">
        <v>7</v>
      </c>
      <c r="EY78" s="497">
        <v>20</v>
      </c>
      <c r="EZ78" s="239">
        <f t="shared" si="2"/>
        <v>0.81</v>
      </c>
      <c r="FA78" s="497" t="s">
        <v>33529</v>
      </c>
      <c r="FB78" s="497" t="s">
        <v>29298</v>
      </c>
      <c r="FC78" s="497">
        <v>48</v>
      </c>
      <c r="FD78" s="497" t="s">
        <v>2</v>
      </c>
      <c r="FE78" s="497" t="s">
        <v>4</v>
      </c>
      <c r="FF78" s="497" t="s">
        <v>4</v>
      </c>
      <c r="FG78" s="497" t="s">
        <v>2</v>
      </c>
      <c r="FH78" s="497" t="s">
        <v>4</v>
      </c>
      <c r="FI78" s="497" t="s">
        <v>4</v>
      </c>
      <c r="FJ78" s="497" t="s">
        <v>4</v>
      </c>
      <c r="FK78" s="497" t="s">
        <v>4</v>
      </c>
      <c r="FL78" s="497" t="s">
        <v>4</v>
      </c>
      <c r="FM78" s="497" t="s">
        <v>4</v>
      </c>
      <c r="FN78" s="494" t="s">
        <v>4</v>
      </c>
      <c r="FO78" s="497" t="s">
        <v>4</v>
      </c>
      <c r="FP78" s="497" t="s">
        <v>2</v>
      </c>
      <c r="FQ78" s="497" t="s">
        <v>4</v>
      </c>
      <c r="FR78" s="497" t="s">
        <v>4</v>
      </c>
      <c r="FS78" s="497" t="s">
        <v>2</v>
      </c>
      <c r="FT78" s="497" t="s">
        <v>7</v>
      </c>
      <c r="FU78" s="497" t="s">
        <v>29302</v>
      </c>
      <c r="FV78" s="497" t="s">
        <v>33530</v>
      </c>
      <c r="FW78" s="497" t="s">
        <v>29304</v>
      </c>
      <c r="FX78" s="497">
        <v>0.5</v>
      </c>
      <c r="FY78" s="497" t="s">
        <v>29305</v>
      </c>
      <c r="FZ78" s="497" t="s">
        <v>29306</v>
      </c>
      <c r="GA78" s="497" t="s">
        <v>4</v>
      </c>
      <c r="GB78" s="497" t="s">
        <v>4</v>
      </c>
      <c r="GC78" s="497" t="s">
        <v>4</v>
      </c>
      <c r="GD78" s="497" t="s">
        <v>4</v>
      </c>
      <c r="GE78" s="497" t="s">
        <v>4</v>
      </c>
      <c r="GF78" s="497" t="s">
        <v>4</v>
      </c>
      <c r="GG78" s="497" t="s">
        <v>4</v>
      </c>
      <c r="GH78" s="497" t="s">
        <v>4</v>
      </c>
      <c r="GI78" s="497" t="s">
        <v>4</v>
      </c>
      <c r="GJ78" s="497" t="s">
        <v>4</v>
      </c>
      <c r="GK78" s="497" t="s">
        <v>4</v>
      </c>
      <c r="GL78" s="497" t="s">
        <v>4</v>
      </c>
      <c r="GM78" s="497" t="s">
        <v>4</v>
      </c>
      <c r="GN78" s="497" t="s">
        <v>4</v>
      </c>
      <c r="GO78" s="497" t="s">
        <v>4</v>
      </c>
      <c r="GP78" s="497" t="s">
        <v>4</v>
      </c>
      <c r="GQ78" s="497" t="s">
        <v>4</v>
      </c>
      <c r="GR78" s="497" t="s">
        <v>4</v>
      </c>
      <c r="GS78" s="497" t="s">
        <v>4</v>
      </c>
      <c r="GT78" s="497" t="s">
        <v>29354</v>
      </c>
      <c r="GU78" s="497" t="s">
        <v>4</v>
      </c>
      <c r="GV78" s="494">
        <v>2</v>
      </c>
      <c r="GW78" s="497" t="s">
        <v>2</v>
      </c>
      <c r="GX78" s="497" t="s">
        <v>29480</v>
      </c>
      <c r="GY78" s="497" t="s">
        <v>4</v>
      </c>
      <c r="GZ78" s="497" t="s">
        <v>4</v>
      </c>
      <c r="HA78" s="497" t="s">
        <v>4</v>
      </c>
      <c r="HB78" s="497" t="s">
        <v>4</v>
      </c>
      <c r="HC78" s="497" t="s">
        <v>4</v>
      </c>
      <c r="HD78" s="497" t="s">
        <v>4</v>
      </c>
      <c r="HE78" s="497" t="s">
        <v>4</v>
      </c>
      <c r="HF78" s="497" t="s">
        <v>4</v>
      </c>
      <c r="HG78" s="497" t="s">
        <v>2</v>
      </c>
      <c r="HH78" s="497" t="s">
        <v>4</v>
      </c>
      <c r="HI78" s="497" t="s">
        <v>4</v>
      </c>
      <c r="HJ78" s="497" t="s">
        <v>4</v>
      </c>
      <c r="HK78" s="494" t="s">
        <v>4</v>
      </c>
      <c r="HL78" s="497" t="s">
        <v>33474</v>
      </c>
      <c r="HM78" s="497" t="s">
        <v>2</v>
      </c>
      <c r="HN78" s="497" t="s">
        <v>4</v>
      </c>
      <c r="HO78" s="497" t="s">
        <v>16</v>
      </c>
      <c r="HP78" s="497" t="s">
        <v>33531</v>
      </c>
      <c r="HQ78" s="497" t="s">
        <v>33532</v>
      </c>
      <c r="HR78" s="497" t="s">
        <v>33533</v>
      </c>
      <c r="HS78" s="497" t="s">
        <v>16</v>
      </c>
      <c r="HT78" s="500" t="s">
        <v>33534</v>
      </c>
    </row>
    <row r="79" spans="1:228" s="570" customFormat="1" ht="30.2" customHeight="1" x14ac:dyDescent="0.25">
      <c r="A79" s="759"/>
      <c r="B79" s="496">
        <v>59</v>
      </c>
      <c r="C79" s="496" t="s">
        <v>2358</v>
      </c>
      <c r="D79" s="497" t="s">
        <v>34034</v>
      </c>
      <c r="E79" s="497" t="s">
        <v>29799</v>
      </c>
      <c r="F79" s="497" t="s">
        <v>7</v>
      </c>
      <c r="G79" s="497" t="s">
        <v>34035</v>
      </c>
      <c r="H79" s="497">
        <v>1231.8935550000001</v>
      </c>
      <c r="I79" s="497">
        <v>4.7561730000000004</v>
      </c>
      <c r="J79" s="497" t="s">
        <v>29288</v>
      </c>
      <c r="K79" s="497" t="s">
        <v>4</v>
      </c>
      <c r="L79" s="497" t="s">
        <v>34036</v>
      </c>
      <c r="M79" s="497">
        <v>772592260</v>
      </c>
      <c r="N79" s="497" t="s">
        <v>3</v>
      </c>
      <c r="O79" s="497" t="s">
        <v>31590</v>
      </c>
      <c r="P79" s="497" t="s">
        <v>4</v>
      </c>
      <c r="Q79" s="497">
        <v>9</v>
      </c>
      <c r="R79" s="497" t="s">
        <v>7</v>
      </c>
      <c r="S79" s="497" t="s">
        <v>31549</v>
      </c>
      <c r="T79" s="497" t="s">
        <v>4</v>
      </c>
      <c r="U79" s="497" t="s">
        <v>7</v>
      </c>
      <c r="V79" s="497" t="s">
        <v>7</v>
      </c>
      <c r="W79" s="497" t="s">
        <v>4</v>
      </c>
      <c r="X79" s="497" t="s">
        <v>7</v>
      </c>
      <c r="Y79" s="497" t="s">
        <v>4</v>
      </c>
      <c r="Z79" s="497" t="s">
        <v>4</v>
      </c>
      <c r="AA79" s="241" t="str">
        <f>IF(OR(U79="yes",Z79&gt;'SDG outcome'!$C$39),"yes","no")</f>
        <v>yes</v>
      </c>
      <c r="AB79" s="521" t="str">
        <f t="shared" si="3"/>
        <v>NA</v>
      </c>
      <c r="AC79" s="527" t="str">
        <f>IF(AND('SMS p2'!AA71="no",AND(Z79&gt;='SDG outcome'!$B$28,Z79&lt;'SDG outcome'!$C$39)),Z79-'SDG outcome'!$B$28,"")</f>
        <v/>
      </c>
      <c r="AD79" s="497" t="s">
        <v>4</v>
      </c>
      <c r="AE79" s="497" t="s">
        <v>4</v>
      </c>
      <c r="AF79" s="497" t="s">
        <v>4</v>
      </c>
      <c r="AG79" s="497" t="s">
        <v>4</v>
      </c>
      <c r="AH79" s="497" t="s">
        <v>4</v>
      </c>
      <c r="AI79" s="497" t="s">
        <v>4</v>
      </c>
      <c r="AJ79" s="497" t="s">
        <v>4</v>
      </c>
      <c r="AK79" s="497" t="s">
        <v>29290</v>
      </c>
      <c r="AL79" s="497" t="s">
        <v>29694</v>
      </c>
      <c r="AM79" s="497" t="s">
        <v>4</v>
      </c>
      <c r="AN79" s="497" t="s">
        <v>4</v>
      </c>
      <c r="AO79" s="497" t="s">
        <v>31605</v>
      </c>
      <c r="AP79" s="497" t="s">
        <v>4</v>
      </c>
      <c r="AQ79" s="497" t="s">
        <v>31743</v>
      </c>
      <c r="AR79" s="497" t="s">
        <v>4</v>
      </c>
      <c r="AS79" s="497" t="s">
        <v>31538</v>
      </c>
      <c r="AT79" s="497" t="s">
        <v>4</v>
      </c>
      <c r="AU79" s="497" t="s">
        <v>7</v>
      </c>
      <c r="AV79" s="497" t="s">
        <v>4</v>
      </c>
      <c r="AW79" s="497" t="s">
        <v>4</v>
      </c>
      <c r="AX79" s="497" t="s">
        <v>7</v>
      </c>
      <c r="AY79" s="497" t="s">
        <v>6</v>
      </c>
      <c r="AZ79" s="497" t="s">
        <v>4</v>
      </c>
      <c r="BA79" s="497" t="s">
        <v>31563</v>
      </c>
      <c r="BB79" s="497" t="s">
        <v>14</v>
      </c>
      <c r="BC79" s="497" t="s">
        <v>4</v>
      </c>
      <c r="BD79" s="501" t="s">
        <v>22</v>
      </c>
      <c r="BE79" s="497" t="s">
        <v>4</v>
      </c>
      <c r="BF79" s="497" t="s">
        <v>31542</v>
      </c>
      <c r="BG79" s="497" t="s">
        <v>34037</v>
      </c>
      <c r="BH79" s="497" t="s">
        <v>31544</v>
      </c>
      <c r="BI79" s="497">
        <v>3</v>
      </c>
      <c r="BJ79" s="497">
        <v>40</v>
      </c>
      <c r="BK79" s="497" t="s">
        <v>7</v>
      </c>
      <c r="BL79" s="497" t="s">
        <v>6</v>
      </c>
      <c r="BM79" s="497" t="s">
        <v>4</v>
      </c>
      <c r="BN79" s="497" t="s">
        <v>31425</v>
      </c>
      <c r="BO79" s="497">
        <v>1</v>
      </c>
      <c r="BP79" s="497">
        <v>30</v>
      </c>
      <c r="BQ79" s="497" t="s">
        <v>31426</v>
      </c>
      <c r="BR79" s="499" t="s">
        <v>33332</v>
      </c>
      <c r="BS79" s="497" t="s">
        <v>4</v>
      </c>
      <c r="BT79" s="497">
        <v>3</v>
      </c>
      <c r="BU79" s="494" cm="1">
        <f t="array" ref="BU79">_xlfn.IFS(BQ79="Foreword vehicle",BT79*0,BQ79="Human wastes",BT79*0,BS79="Jerrycans",BT79*$BT$4,BQ79="Number of Basins",BT79*$BT$5,BQ79="Number of Buckets",BT79*$BT$6,BQ79="Number of Kgs",BT79*$BT$7,BQ79="Number of spades",BT79*$BT$8,BQ79="Number of wheelbarrows",BT79*$BT$9,BS79="Septic Tank",BT79*0)</f>
        <v>69</v>
      </c>
      <c r="BV79" s="494">
        <f>Table15[[#This Row],[Calculation: Conversion of metric to Kg manure feeding (Columns: BP, BQ, BR)]]*Table15[[#This Row],[Number of times used to feed biodigester]]</f>
        <v>69</v>
      </c>
      <c r="BW79" s="495" cm="1">
        <f t="array" ref="BW79">_xlfn.IFS(BN79="Number of times per day (1 to 3)",BV79/$BW$3,BN79="Number of times per week (1 to 6)",BV79/$BW$4,BN79="Number of times per Month (1 to 3)",BV79/$BW$5)</f>
        <v>69</v>
      </c>
      <c r="BX79" s="497" t="s">
        <v>22</v>
      </c>
      <c r="BY79" s="497" t="s">
        <v>4</v>
      </c>
      <c r="BZ79" s="497" t="s">
        <v>2</v>
      </c>
      <c r="CA79" s="497" t="s">
        <v>4</v>
      </c>
      <c r="CB79" s="497" t="s">
        <v>4</v>
      </c>
      <c r="CC79" s="497" t="s">
        <v>4</v>
      </c>
      <c r="CD79" s="497" t="s">
        <v>7</v>
      </c>
      <c r="CE79" s="497" t="s">
        <v>34038</v>
      </c>
      <c r="CF79" s="497" t="s">
        <v>4</v>
      </c>
      <c r="CG79" s="497" t="s">
        <v>31604</v>
      </c>
      <c r="CH79" s="497">
        <v>9</v>
      </c>
      <c r="CI79" s="497">
        <v>0</v>
      </c>
      <c r="CJ79" s="497">
        <v>0</v>
      </c>
      <c r="CK79" s="497">
        <v>0</v>
      </c>
      <c r="CL79" s="497">
        <v>0</v>
      </c>
      <c r="CM79" s="497">
        <v>0</v>
      </c>
      <c r="CN79" s="497">
        <v>0</v>
      </c>
      <c r="CO79" s="497">
        <v>0</v>
      </c>
      <c r="CP79" s="497">
        <v>0</v>
      </c>
      <c r="CQ79" s="497">
        <v>0</v>
      </c>
      <c r="CR79" s="497">
        <f>IF(Table15[[#This Row],[Is your biodigester working?]]="yes",CO79/'SDG outcome'!$C$9*CP79*CQ79,"")</f>
        <v>0</v>
      </c>
      <c r="CS79" s="497">
        <v>80</v>
      </c>
      <c r="CT79" s="500">
        <v>20</v>
      </c>
      <c r="CU79" s="496" t="s">
        <v>34039</v>
      </c>
      <c r="CV79" s="497" t="s">
        <v>4</v>
      </c>
      <c r="CW79" s="500" t="s">
        <v>4</v>
      </c>
      <c r="CX79" s="496" t="s">
        <v>4</v>
      </c>
      <c r="CY79" s="497" t="s">
        <v>4</v>
      </c>
      <c r="CZ79" s="500" t="s">
        <v>4</v>
      </c>
      <c r="DA79" s="496" t="s">
        <v>4</v>
      </c>
      <c r="DB79" s="497" t="s">
        <v>4</v>
      </c>
      <c r="DC79" s="497" t="s">
        <v>4</v>
      </c>
      <c r="DD79" s="497" t="s">
        <v>4</v>
      </c>
      <c r="DE79" s="497" t="s">
        <v>4</v>
      </c>
      <c r="DF79" s="497" t="s">
        <v>4</v>
      </c>
      <c r="DG79" s="497" t="s">
        <v>4</v>
      </c>
      <c r="DH79" s="497" t="s">
        <v>4</v>
      </c>
      <c r="DI79" s="497" t="s">
        <v>4</v>
      </c>
      <c r="DJ79" s="497" t="s">
        <v>4</v>
      </c>
      <c r="DK79" s="497" t="s">
        <v>4</v>
      </c>
      <c r="DL79" s="497" t="s">
        <v>4</v>
      </c>
      <c r="DM79" s="497" t="s">
        <v>4</v>
      </c>
      <c r="DN79" s="497">
        <v>0.67</v>
      </c>
      <c r="DO79" s="497" t="s">
        <v>7</v>
      </c>
      <c r="DP79" s="497" t="s">
        <v>29292</v>
      </c>
      <c r="DQ79" s="497" t="s">
        <v>4</v>
      </c>
      <c r="DR79" s="497" t="s">
        <v>29294</v>
      </c>
      <c r="DS79" s="494" t="s">
        <v>4</v>
      </c>
      <c r="DT79" s="497" t="s">
        <v>29294</v>
      </c>
      <c r="DU79" s="494" t="s">
        <v>4</v>
      </c>
      <c r="DV79" s="500" t="s">
        <v>29508</v>
      </c>
      <c r="DW79" s="496" t="s">
        <v>4</v>
      </c>
      <c r="DX79" s="497" t="s">
        <v>4</v>
      </c>
      <c r="DY79" s="497" t="s">
        <v>4</v>
      </c>
      <c r="DZ79" s="497" t="s">
        <v>4</v>
      </c>
      <c r="EA79" s="497" t="s">
        <v>4</v>
      </c>
      <c r="EB79" s="497" t="s">
        <v>4</v>
      </c>
      <c r="EC79" s="497" t="s">
        <v>4</v>
      </c>
      <c r="ED79" s="497">
        <v>100</v>
      </c>
      <c r="EE79" s="497" t="s">
        <v>29719</v>
      </c>
      <c r="EF79" s="497" t="s">
        <v>4</v>
      </c>
      <c r="EG79" s="497" t="s">
        <v>4</v>
      </c>
      <c r="EH79" s="497" t="s">
        <v>4</v>
      </c>
      <c r="EI79" s="497" t="s">
        <v>4</v>
      </c>
      <c r="EJ79" s="497">
        <v>100</v>
      </c>
      <c r="EK79" s="497" t="s">
        <v>4</v>
      </c>
      <c r="EL79" s="497" t="s">
        <v>4</v>
      </c>
      <c r="EM79" s="497">
        <v>10</v>
      </c>
      <c r="EN79" s="497" t="s">
        <v>4</v>
      </c>
      <c r="EO79" s="497" t="s">
        <v>4</v>
      </c>
      <c r="EP79" s="497" t="s">
        <v>4</v>
      </c>
      <c r="EQ79" s="497" t="s">
        <v>29296</v>
      </c>
      <c r="ER79" s="497">
        <v>100</v>
      </c>
      <c r="ES79" s="497" t="s">
        <v>4</v>
      </c>
      <c r="ET79" s="497" t="s">
        <v>4</v>
      </c>
      <c r="EU79" s="497" t="s">
        <v>4</v>
      </c>
      <c r="EV79" s="497" t="s">
        <v>4</v>
      </c>
      <c r="EW79" s="497">
        <v>4.0469445568595708</v>
      </c>
      <c r="EX79" s="497" t="s">
        <v>7</v>
      </c>
      <c r="EY79" s="497">
        <v>20</v>
      </c>
      <c r="EZ79" s="239">
        <f t="shared" si="2"/>
        <v>0.80938891137191415</v>
      </c>
      <c r="FA79" s="497" t="s">
        <v>34040</v>
      </c>
      <c r="FB79" s="497" t="s">
        <v>29298</v>
      </c>
      <c r="FC79" s="497">
        <v>151</v>
      </c>
      <c r="FD79" s="497" t="s">
        <v>7</v>
      </c>
      <c r="FE79" s="497" t="s">
        <v>29492</v>
      </c>
      <c r="FF79" s="497" t="s">
        <v>4</v>
      </c>
      <c r="FG79" s="497" t="s">
        <v>7</v>
      </c>
      <c r="FH79" s="497" t="s">
        <v>29492</v>
      </c>
      <c r="FI79" s="497" t="s">
        <v>4</v>
      </c>
      <c r="FJ79" s="497" t="s">
        <v>33996</v>
      </c>
      <c r="FK79" s="497" t="s">
        <v>4</v>
      </c>
      <c r="FL79" s="497" t="s">
        <v>29292</v>
      </c>
      <c r="FM79" s="497" t="s">
        <v>29294</v>
      </c>
      <c r="FN79" s="494" t="s">
        <v>4</v>
      </c>
      <c r="FO79" s="497" t="s">
        <v>4</v>
      </c>
      <c r="FP79" s="497" t="s">
        <v>2</v>
      </c>
      <c r="FQ79" s="497" t="s">
        <v>4</v>
      </c>
      <c r="FR79" s="497" t="s">
        <v>4</v>
      </c>
      <c r="FS79" s="497" t="s">
        <v>2</v>
      </c>
      <c r="FT79" s="497" t="s">
        <v>7</v>
      </c>
      <c r="FU79" s="497" t="s">
        <v>29302</v>
      </c>
      <c r="FV79" s="497" t="s">
        <v>34041</v>
      </c>
      <c r="FW79" s="497" t="s">
        <v>29304</v>
      </c>
      <c r="FX79" s="497">
        <v>4</v>
      </c>
      <c r="FY79" s="497" t="s">
        <v>34042</v>
      </c>
      <c r="FZ79" s="497" t="s">
        <v>29306</v>
      </c>
      <c r="GA79" s="497" t="s">
        <v>29466</v>
      </c>
      <c r="GB79" s="497" t="s">
        <v>4</v>
      </c>
      <c r="GC79" s="497" t="s">
        <v>4</v>
      </c>
      <c r="GD79" s="497" t="s">
        <v>29451</v>
      </c>
      <c r="GE79" s="497" t="s">
        <v>4</v>
      </c>
      <c r="GF79" s="497" t="s">
        <v>4</v>
      </c>
      <c r="GG79" s="497" t="s">
        <v>4</v>
      </c>
      <c r="GH79" s="497" t="s">
        <v>4</v>
      </c>
      <c r="GI79" s="497" t="s">
        <v>4</v>
      </c>
      <c r="GJ79" s="497" t="s">
        <v>4</v>
      </c>
      <c r="GK79" s="497" t="s">
        <v>4</v>
      </c>
      <c r="GL79" s="497" t="s">
        <v>4</v>
      </c>
      <c r="GM79" s="497" t="s">
        <v>4</v>
      </c>
      <c r="GN79" s="497" t="s">
        <v>4</v>
      </c>
      <c r="GO79" s="497" t="s">
        <v>4</v>
      </c>
      <c r="GP79" s="497" t="s">
        <v>4</v>
      </c>
      <c r="GQ79" s="497" t="s">
        <v>4</v>
      </c>
      <c r="GR79" s="497" t="s">
        <v>4</v>
      </c>
      <c r="GS79" s="497" t="s">
        <v>4</v>
      </c>
      <c r="GT79" s="497" t="s">
        <v>29307</v>
      </c>
      <c r="GU79" s="497" t="s">
        <v>34043</v>
      </c>
      <c r="GV79" s="494">
        <v>6</v>
      </c>
      <c r="GW79" s="497" t="s">
        <v>7</v>
      </c>
      <c r="GX79" s="497" t="s">
        <v>29480</v>
      </c>
      <c r="GY79" s="497" t="s">
        <v>4</v>
      </c>
      <c r="GZ79" s="497" t="s">
        <v>4</v>
      </c>
      <c r="HA79" s="497" t="s">
        <v>4</v>
      </c>
      <c r="HB79" s="497" t="s">
        <v>4</v>
      </c>
      <c r="HC79" s="497" t="s">
        <v>4</v>
      </c>
      <c r="HD79" s="497" t="s">
        <v>4</v>
      </c>
      <c r="HE79" s="497" t="s">
        <v>4</v>
      </c>
      <c r="HF79" s="497" t="s">
        <v>4</v>
      </c>
      <c r="HG79" s="497" t="s">
        <v>2</v>
      </c>
      <c r="HH79" s="497" t="s">
        <v>4</v>
      </c>
      <c r="HI79" s="497" t="s">
        <v>4</v>
      </c>
      <c r="HJ79" s="497" t="s">
        <v>4</v>
      </c>
      <c r="HK79" s="494" t="s">
        <v>4</v>
      </c>
      <c r="HL79" s="497" t="s">
        <v>34044</v>
      </c>
      <c r="HM79" s="497" t="s">
        <v>2</v>
      </c>
      <c r="HN79" s="497" t="s">
        <v>4</v>
      </c>
      <c r="HO79" s="497" t="s">
        <v>16</v>
      </c>
      <c r="HP79" s="497" t="s">
        <v>34045</v>
      </c>
      <c r="HQ79" s="497" t="s">
        <v>34046</v>
      </c>
      <c r="HR79" s="497" t="s">
        <v>34047</v>
      </c>
      <c r="HS79" s="497" t="s">
        <v>16</v>
      </c>
      <c r="HT79" s="500" t="s">
        <v>34048</v>
      </c>
    </row>
    <row r="80" spans="1:228" s="570" customFormat="1" ht="30.2" customHeight="1" x14ac:dyDescent="0.25">
      <c r="A80" s="759"/>
      <c r="B80" s="496">
        <v>137</v>
      </c>
      <c r="C80" s="496" t="s">
        <v>32669</v>
      </c>
      <c r="D80" s="497" t="s">
        <v>34902</v>
      </c>
      <c r="E80" s="497" t="s">
        <v>83</v>
      </c>
      <c r="F80" s="497" t="s">
        <v>7</v>
      </c>
      <c r="G80" s="497" t="s">
        <v>34903</v>
      </c>
      <c r="H80" s="497">
        <v>1193.434</v>
      </c>
      <c r="I80" s="497">
        <v>1.3169919999999999</v>
      </c>
      <c r="J80" s="497" t="s">
        <v>29319</v>
      </c>
      <c r="K80" s="497" t="s">
        <v>4</v>
      </c>
      <c r="L80" s="497" t="s">
        <v>34904</v>
      </c>
      <c r="M80" s="497">
        <v>759442570</v>
      </c>
      <c r="N80" s="497" t="s">
        <v>3</v>
      </c>
      <c r="O80" s="497" t="s">
        <v>31598</v>
      </c>
      <c r="P80" s="497" t="s">
        <v>4</v>
      </c>
      <c r="Q80" s="497">
        <v>10</v>
      </c>
      <c r="R80" s="497" t="s">
        <v>7</v>
      </c>
      <c r="S80" s="497" t="s">
        <v>31535</v>
      </c>
      <c r="T80" s="497" t="s">
        <v>4</v>
      </c>
      <c r="U80" s="497" t="s">
        <v>7</v>
      </c>
      <c r="V80" s="497" t="s">
        <v>7</v>
      </c>
      <c r="W80" s="497" t="s">
        <v>4</v>
      </c>
      <c r="X80" s="497" t="s">
        <v>7</v>
      </c>
      <c r="Y80" s="497" t="s">
        <v>4</v>
      </c>
      <c r="Z80" s="497" t="s">
        <v>4</v>
      </c>
      <c r="AA80" s="241" t="str">
        <f>IF(OR(U80="yes",Z80&gt;'SDG outcome'!$C$39),"yes","no")</f>
        <v>yes</v>
      </c>
      <c r="AB80" s="521" t="str">
        <f t="shared" si="3"/>
        <v>NA</v>
      </c>
      <c r="AC80" s="527" t="str">
        <f>IF(AND('SMS p2'!AA149="no",AND(Z80&gt;='SDG outcome'!$B$28,Z80&lt;'SDG outcome'!$C$39)),Z80-'SDG outcome'!$B$28,"")</f>
        <v/>
      </c>
      <c r="AD80" s="497" t="s">
        <v>4</v>
      </c>
      <c r="AE80" s="497" t="s">
        <v>4</v>
      </c>
      <c r="AF80" s="497" t="s">
        <v>4</v>
      </c>
      <c r="AG80" s="497" t="s">
        <v>4</v>
      </c>
      <c r="AH80" s="497" t="s">
        <v>4</v>
      </c>
      <c r="AI80" s="497" t="s">
        <v>4</v>
      </c>
      <c r="AJ80" s="497" t="s">
        <v>4</v>
      </c>
      <c r="AK80" s="497" t="s">
        <v>29290</v>
      </c>
      <c r="AL80" s="497" t="s">
        <v>29291</v>
      </c>
      <c r="AM80" s="497" t="s">
        <v>4</v>
      </c>
      <c r="AN80" s="497" t="s">
        <v>4</v>
      </c>
      <c r="AO80" s="497" t="s">
        <v>31718</v>
      </c>
      <c r="AP80" s="497" t="s">
        <v>4</v>
      </c>
      <c r="AQ80" s="497" t="s">
        <v>31600</v>
      </c>
      <c r="AR80" s="497" t="s">
        <v>4</v>
      </c>
      <c r="AS80" s="497" t="s">
        <v>31538</v>
      </c>
      <c r="AT80" s="497" t="s">
        <v>4</v>
      </c>
      <c r="AU80" s="497" t="s">
        <v>2</v>
      </c>
      <c r="AV80" s="497" t="s">
        <v>31581</v>
      </c>
      <c r="AW80" s="497" t="s">
        <v>4</v>
      </c>
      <c r="AX80" s="497" t="s">
        <v>2</v>
      </c>
      <c r="AY80" s="497" t="s">
        <v>4</v>
      </c>
      <c r="AZ80" s="497" t="s">
        <v>4</v>
      </c>
      <c r="BA80" s="497" t="s">
        <v>31563</v>
      </c>
      <c r="BB80" s="497" t="s">
        <v>22</v>
      </c>
      <c r="BC80" s="497" t="s">
        <v>4</v>
      </c>
      <c r="BD80" s="501" t="s">
        <v>31541</v>
      </c>
      <c r="BE80" s="497" t="s">
        <v>4</v>
      </c>
      <c r="BF80" s="497" t="s">
        <v>31542</v>
      </c>
      <c r="BG80" s="497" t="s">
        <v>34905</v>
      </c>
      <c r="BH80" s="497" t="s">
        <v>31544</v>
      </c>
      <c r="BI80" s="497">
        <v>4</v>
      </c>
      <c r="BJ80" s="497">
        <v>120</v>
      </c>
      <c r="BK80" s="497" t="s">
        <v>7</v>
      </c>
      <c r="BL80" s="497" t="s">
        <v>11</v>
      </c>
      <c r="BM80" s="497" t="s">
        <v>4</v>
      </c>
      <c r="BN80" s="497" t="s">
        <v>31425</v>
      </c>
      <c r="BO80" s="497">
        <v>1</v>
      </c>
      <c r="BP80" s="497">
        <v>15</v>
      </c>
      <c r="BQ80" s="497" t="s">
        <v>31426</v>
      </c>
      <c r="BR80" s="499" t="s">
        <v>33332</v>
      </c>
      <c r="BS80" s="497" t="s">
        <v>4</v>
      </c>
      <c r="BT80" s="497">
        <v>3</v>
      </c>
      <c r="BU80" s="494" cm="1">
        <f t="array" ref="BU80">_xlfn.IFS(BQ80="Foreword vehicle",BT80*0,BQ80="Human wastes",BT80*0,BS80="Jerrycans",BT80*$BT$4,BQ80="Number of Basins",BT80*$BT$5,BQ80="Number of Buckets",BT80*$BT$6,BQ80="Number of Kgs",BT80*$BT$7,BQ80="Number of spades",BT80*$BT$8,BQ80="Number of wheelbarrows",BT80*$BT$9,BS80="Septic Tank",BT80*0)</f>
        <v>69</v>
      </c>
      <c r="BV80" s="494">
        <f>Table15[[#This Row],[Calculation: Conversion of metric to Kg manure feeding (Columns: BP, BQ, BR)]]*Table15[[#This Row],[Number of times used to feed biodigester]]</f>
        <v>69</v>
      </c>
      <c r="BW80" s="495" cm="1">
        <f t="array" ref="BW80">_xlfn.IFS(BN80="Number of times per day (1 to 3)",BV80/$BW$3,BN80="Number of times per week (1 to 6)",BV80/$BW$4,BN80="Number of times per Month (1 to 3)",BV80/$BW$5)</f>
        <v>69</v>
      </c>
      <c r="BX80" s="497" t="s">
        <v>22</v>
      </c>
      <c r="BY80" s="497" t="s">
        <v>4</v>
      </c>
      <c r="BZ80" s="497" t="s">
        <v>2</v>
      </c>
      <c r="CA80" s="497" t="s">
        <v>4</v>
      </c>
      <c r="CB80" s="497" t="s">
        <v>4</v>
      </c>
      <c r="CC80" s="497" t="s">
        <v>4</v>
      </c>
      <c r="CD80" s="497" t="s">
        <v>7</v>
      </c>
      <c r="CE80" s="497" t="s">
        <v>34906</v>
      </c>
      <c r="CF80" s="497" t="s">
        <v>4</v>
      </c>
      <c r="CG80" s="497" t="s">
        <v>31604</v>
      </c>
      <c r="CH80" s="497">
        <v>15</v>
      </c>
      <c r="CI80" s="497">
        <v>0</v>
      </c>
      <c r="CJ80" s="497">
        <v>0</v>
      </c>
      <c r="CK80" s="497">
        <v>0</v>
      </c>
      <c r="CL80" s="497">
        <v>0</v>
      </c>
      <c r="CM80" s="497">
        <v>0</v>
      </c>
      <c r="CN80" s="497">
        <v>0</v>
      </c>
      <c r="CO80" s="497">
        <v>0</v>
      </c>
      <c r="CP80" s="497">
        <v>0</v>
      </c>
      <c r="CQ80" s="497">
        <v>0</v>
      </c>
      <c r="CR80" s="497">
        <f>IF(Table15[[#This Row],[Is your biodigester working?]]="yes",CO80/'SDG outcome'!$C$9*CP80*CQ80,"")</f>
        <v>0</v>
      </c>
      <c r="CS80" s="497">
        <v>50</v>
      </c>
      <c r="CT80" s="500">
        <v>50</v>
      </c>
      <c r="CU80" s="496" t="s">
        <v>33730</v>
      </c>
      <c r="CV80" s="497" t="s">
        <v>4</v>
      </c>
      <c r="CW80" s="500" t="s">
        <v>4</v>
      </c>
      <c r="CX80" s="496" t="s">
        <v>4</v>
      </c>
      <c r="CY80" s="497" t="s">
        <v>4</v>
      </c>
      <c r="CZ80" s="500" t="s">
        <v>4</v>
      </c>
      <c r="DA80" s="496" t="s">
        <v>4</v>
      </c>
      <c r="DB80" s="497" t="s">
        <v>4</v>
      </c>
      <c r="DC80" s="497" t="s">
        <v>4</v>
      </c>
      <c r="DD80" s="497" t="s">
        <v>4</v>
      </c>
      <c r="DE80" s="497" t="s">
        <v>4</v>
      </c>
      <c r="DF80" s="497" t="s">
        <v>4</v>
      </c>
      <c r="DG80" s="497" t="s">
        <v>4</v>
      </c>
      <c r="DH80" s="497" t="s">
        <v>4</v>
      </c>
      <c r="DI80" s="497" t="s">
        <v>4</v>
      </c>
      <c r="DJ80" s="497" t="s">
        <v>4</v>
      </c>
      <c r="DK80" s="497" t="s">
        <v>4</v>
      </c>
      <c r="DL80" s="497" t="s">
        <v>4</v>
      </c>
      <c r="DM80" s="497" t="s">
        <v>4</v>
      </c>
      <c r="DN80" s="497">
        <v>6</v>
      </c>
      <c r="DO80" s="497" t="s">
        <v>7</v>
      </c>
      <c r="DP80" s="497" t="s">
        <v>29375</v>
      </c>
      <c r="DQ80" s="497" t="s">
        <v>4</v>
      </c>
      <c r="DR80" s="497" t="s">
        <v>4</v>
      </c>
      <c r="DS80" s="494" t="s">
        <v>4</v>
      </c>
      <c r="DT80" s="497" t="s">
        <v>29294</v>
      </c>
      <c r="DU80" s="494" t="s">
        <v>4</v>
      </c>
      <c r="DV80" s="500" t="s">
        <v>29295</v>
      </c>
      <c r="DW80" s="496">
        <v>100</v>
      </c>
      <c r="DX80" s="497" t="s">
        <v>29296</v>
      </c>
      <c r="DY80" s="497">
        <v>100</v>
      </c>
      <c r="DZ80" s="497" t="s">
        <v>4</v>
      </c>
      <c r="EA80" s="497" t="s">
        <v>4</v>
      </c>
      <c r="EB80" s="497" t="s">
        <v>4</v>
      </c>
      <c r="EC80" s="497" t="s">
        <v>4</v>
      </c>
      <c r="ED80" s="497" t="s">
        <v>4</v>
      </c>
      <c r="EE80" s="497" t="s">
        <v>4</v>
      </c>
      <c r="EF80" s="497" t="s">
        <v>4</v>
      </c>
      <c r="EG80" s="497" t="s">
        <v>4</v>
      </c>
      <c r="EH80" s="497" t="s">
        <v>4</v>
      </c>
      <c r="EI80" s="497" t="s">
        <v>4</v>
      </c>
      <c r="EJ80" s="497" t="s">
        <v>4</v>
      </c>
      <c r="EK80" s="497" t="s">
        <v>4</v>
      </c>
      <c r="EL80" s="497" t="s">
        <v>4</v>
      </c>
      <c r="EM80" s="497" t="s">
        <v>4</v>
      </c>
      <c r="EN80" s="497" t="s">
        <v>4</v>
      </c>
      <c r="EO80" s="497" t="s">
        <v>4</v>
      </c>
      <c r="EP80" s="497" t="s">
        <v>4</v>
      </c>
      <c r="EQ80" s="497" t="s">
        <v>4</v>
      </c>
      <c r="ER80" s="497" t="s">
        <v>4</v>
      </c>
      <c r="ES80" s="497" t="s">
        <v>4</v>
      </c>
      <c r="ET80" s="497" t="s">
        <v>4</v>
      </c>
      <c r="EU80" s="497" t="s">
        <v>4</v>
      </c>
      <c r="EV80" s="497" t="s">
        <v>4</v>
      </c>
      <c r="EW80" s="497">
        <v>4.0469445568595708</v>
      </c>
      <c r="EX80" s="497" t="s">
        <v>7</v>
      </c>
      <c r="EY80" s="497">
        <v>20</v>
      </c>
      <c r="EZ80" s="239">
        <f t="shared" ref="EZ80:EZ111" si="4">IF(OR(EW80="NA","DNA"),"",EW80*EY80)/100</f>
        <v>0.80938891137191415</v>
      </c>
      <c r="FA80" s="497" t="s">
        <v>34907</v>
      </c>
      <c r="FB80" s="497" t="s">
        <v>29298</v>
      </c>
      <c r="FC80" s="497">
        <v>14</v>
      </c>
      <c r="FD80" s="497" t="s">
        <v>7</v>
      </c>
      <c r="FE80" s="497" t="s">
        <v>29299</v>
      </c>
      <c r="FF80" s="497" t="s">
        <v>4</v>
      </c>
      <c r="FG80" s="497" t="s">
        <v>2</v>
      </c>
      <c r="FH80" s="497" t="s">
        <v>4</v>
      </c>
      <c r="FI80" s="497" t="s">
        <v>4</v>
      </c>
      <c r="FJ80" s="497" t="s">
        <v>4</v>
      </c>
      <c r="FK80" s="497" t="s">
        <v>4</v>
      </c>
      <c r="FL80" s="497" t="s">
        <v>4</v>
      </c>
      <c r="FM80" s="497" t="s">
        <v>4</v>
      </c>
      <c r="FN80" s="494" t="s">
        <v>4</v>
      </c>
      <c r="FO80" s="497" t="s">
        <v>4</v>
      </c>
      <c r="FP80" s="497" t="s">
        <v>7</v>
      </c>
      <c r="FQ80" s="497" t="s">
        <v>29301</v>
      </c>
      <c r="FR80" s="497" t="s">
        <v>4</v>
      </c>
      <c r="FS80" s="497" t="s">
        <v>7</v>
      </c>
      <c r="FT80" s="497" t="s">
        <v>7</v>
      </c>
      <c r="FU80" s="497" t="s">
        <v>29302</v>
      </c>
      <c r="FV80" s="497" t="s">
        <v>33473</v>
      </c>
      <c r="FW80" s="497" t="s">
        <v>29304</v>
      </c>
      <c r="FX80" s="497">
        <v>2</v>
      </c>
      <c r="FY80" s="497" t="s">
        <v>4</v>
      </c>
      <c r="FZ80" s="497" t="s">
        <v>4</v>
      </c>
      <c r="GA80" s="497" t="s">
        <v>4</v>
      </c>
      <c r="GB80" s="497" t="s">
        <v>4</v>
      </c>
      <c r="GC80" s="497" t="s">
        <v>4</v>
      </c>
      <c r="GD80" s="497" t="s">
        <v>4</v>
      </c>
      <c r="GE80" s="497" t="s">
        <v>4</v>
      </c>
      <c r="GF80" s="497" t="s">
        <v>34908</v>
      </c>
      <c r="GG80" s="497" t="s">
        <v>4</v>
      </c>
      <c r="GH80" s="497" t="s">
        <v>4</v>
      </c>
      <c r="GI80" s="497" t="s">
        <v>4</v>
      </c>
      <c r="GJ80" s="497" t="s">
        <v>4</v>
      </c>
      <c r="GK80" s="497" t="s">
        <v>4</v>
      </c>
      <c r="GL80" s="497" t="s">
        <v>4</v>
      </c>
      <c r="GM80" s="497" t="s">
        <v>4</v>
      </c>
      <c r="GN80" s="497" t="s">
        <v>4</v>
      </c>
      <c r="GO80" s="497" t="s">
        <v>4</v>
      </c>
      <c r="GP80" s="497" t="s">
        <v>4</v>
      </c>
      <c r="GQ80" s="497" t="s">
        <v>4</v>
      </c>
      <c r="GR80" s="497" t="s">
        <v>4</v>
      </c>
      <c r="GS80" s="497" t="s">
        <v>4</v>
      </c>
      <c r="GT80" s="497" t="s">
        <v>29354</v>
      </c>
      <c r="GU80" s="497" t="s">
        <v>4</v>
      </c>
      <c r="GV80" s="494">
        <v>5</v>
      </c>
      <c r="GW80" s="497" t="s">
        <v>2</v>
      </c>
      <c r="GX80" s="497" t="s">
        <v>29480</v>
      </c>
      <c r="GY80" s="497" t="s">
        <v>4</v>
      </c>
      <c r="GZ80" s="497" t="s">
        <v>4</v>
      </c>
      <c r="HA80" s="497" t="s">
        <v>4</v>
      </c>
      <c r="HB80" s="497" t="s">
        <v>4</v>
      </c>
      <c r="HC80" s="497" t="s">
        <v>4</v>
      </c>
      <c r="HD80" s="497" t="s">
        <v>4</v>
      </c>
      <c r="HE80" s="497" t="s">
        <v>4</v>
      </c>
      <c r="HF80" s="497" t="s">
        <v>4</v>
      </c>
      <c r="HG80" s="497" t="s">
        <v>2</v>
      </c>
      <c r="HH80" s="497" t="s">
        <v>4</v>
      </c>
      <c r="HI80" s="497" t="s">
        <v>4</v>
      </c>
      <c r="HJ80" s="497" t="s">
        <v>4</v>
      </c>
      <c r="HK80" s="494" t="s">
        <v>4</v>
      </c>
      <c r="HL80" s="497" t="s">
        <v>34909</v>
      </c>
      <c r="HM80" s="497" t="s">
        <v>2</v>
      </c>
      <c r="HN80" s="497" t="s">
        <v>4</v>
      </c>
      <c r="HO80" s="497" t="s">
        <v>34910</v>
      </c>
      <c r="HP80" s="497" t="s">
        <v>34911</v>
      </c>
      <c r="HQ80" s="497" t="s">
        <v>34912</v>
      </c>
      <c r="HR80" s="497" t="s">
        <v>34913</v>
      </c>
      <c r="HS80" s="497" t="s">
        <v>16</v>
      </c>
      <c r="HT80" s="500" t="s">
        <v>34902</v>
      </c>
    </row>
    <row r="81" spans="1:228" s="570" customFormat="1" ht="30.2" customHeight="1" x14ac:dyDescent="0.25">
      <c r="A81" s="759"/>
      <c r="B81" s="496">
        <v>199</v>
      </c>
      <c r="C81" s="496" t="s">
        <v>17750</v>
      </c>
      <c r="D81" s="497" t="s">
        <v>35583</v>
      </c>
      <c r="E81" s="497" t="s">
        <v>35495</v>
      </c>
      <c r="F81" s="497" t="s">
        <v>7</v>
      </c>
      <c r="G81" s="497" t="s">
        <v>35584</v>
      </c>
      <c r="H81" s="497">
        <v>1111.3</v>
      </c>
      <c r="I81" s="497">
        <v>5</v>
      </c>
      <c r="J81" s="497" t="s">
        <v>29319</v>
      </c>
      <c r="K81" s="497" t="s">
        <v>4</v>
      </c>
      <c r="L81" s="497" t="s">
        <v>35585</v>
      </c>
      <c r="M81" s="497">
        <v>703255109</v>
      </c>
      <c r="N81" s="497" t="s">
        <v>5</v>
      </c>
      <c r="O81" s="497" t="s">
        <v>31438</v>
      </c>
      <c r="P81" s="497">
        <v>75</v>
      </c>
      <c r="Q81" s="497">
        <v>10</v>
      </c>
      <c r="R81" s="497" t="s">
        <v>7</v>
      </c>
      <c r="S81" s="497" t="s">
        <v>31535</v>
      </c>
      <c r="T81" s="497" t="s">
        <v>4</v>
      </c>
      <c r="U81" s="497" t="s">
        <v>7</v>
      </c>
      <c r="V81" s="497" t="s">
        <v>7</v>
      </c>
      <c r="W81" s="497" t="s">
        <v>4</v>
      </c>
      <c r="X81" s="497" t="s">
        <v>7</v>
      </c>
      <c r="Y81" s="497" t="s">
        <v>4</v>
      </c>
      <c r="Z81" s="497" t="s">
        <v>4</v>
      </c>
      <c r="AA81" s="241" t="str">
        <f>IF(OR(U81="yes",Z81&gt;'SDG outcome'!$C$39),"yes","no")</f>
        <v>yes</v>
      </c>
      <c r="AB81" s="521" t="str">
        <f t="shared" si="3"/>
        <v>NA</v>
      </c>
      <c r="AC81" s="527" t="str">
        <f>IF(AND('SMS p2'!AA211="no",AND(Z81&gt;='SDG outcome'!$B$28,Z81&lt;'SDG outcome'!$C$39)),Z81-'SDG outcome'!$B$28,"")</f>
        <v/>
      </c>
      <c r="AD81" s="497" t="s">
        <v>4</v>
      </c>
      <c r="AE81" s="497" t="s">
        <v>4</v>
      </c>
      <c r="AF81" s="497" t="s">
        <v>4</v>
      </c>
      <c r="AG81" s="497" t="s">
        <v>4</v>
      </c>
      <c r="AH81" s="497" t="s">
        <v>4</v>
      </c>
      <c r="AI81" s="497" t="s">
        <v>4</v>
      </c>
      <c r="AJ81" s="497" t="s">
        <v>4</v>
      </c>
      <c r="AK81" s="497" t="s">
        <v>29290</v>
      </c>
      <c r="AL81" s="497" t="s">
        <v>29291</v>
      </c>
      <c r="AM81" s="497" t="s">
        <v>4</v>
      </c>
      <c r="AN81" s="497" t="s">
        <v>4</v>
      </c>
      <c r="AO81" s="497" t="s">
        <v>31599</v>
      </c>
      <c r="AP81" s="497" t="s">
        <v>4</v>
      </c>
      <c r="AQ81" s="497" t="s">
        <v>31600</v>
      </c>
      <c r="AR81" s="497" t="s">
        <v>4</v>
      </c>
      <c r="AS81" s="497" t="s">
        <v>31538</v>
      </c>
      <c r="AT81" s="497" t="s">
        <v>4</v>
      </c>
      <c r="AU81" s="497" t="s">
        <v>7</v>
      </c>
      <c r="AV81" s="497" t="s">
        <v>4</v>
      </c>
      <c r="AW81" s="497" t="s">
        <v>4</v>
      </c>
      <c r="AX81" s="497" t="s">
        <v>2</v>
      </c>
      <c r="AY81" s="497" t="s">
        <v>4</v>
      </c>
      <c r="AZ81" s="497" t="s">
        <v>4</v>
      </c>
      <c r="BA81" s="497" t="s">
        <v>31557</v>
      </c>
      <c r="BB81" s="497" t="s">
        <v>4</v>
      </c>
      <c r="BC81" s="497" t="s">
        <v>4</v>
      </c>
      <c r="BD81" s="501" t="s">
        <v>4</v>
      </c>
      <c r="BE81" s="497" t="s">
        <v>4</v>
      </c>
      <c r="BF81" s="497" t="s">
        <v>4</v>
      </c>
      <c r="BG81" s="497" t="s">
        <v>4</v>
      </c>
      <c r="BH81" s="497" t="s">
        <v>4</v>
      </c>
      <c r="BI81" s="497" t="s">
        <v>4</v>
      </c>
      <c r="BJ81" s="497" t="s">
        <v>4</v>
      </c>
      <c r="BK81" s="497" t="s">
        <v>7</v>
      </c>
      <c r="BL81" s="497" t="s">
        <v>6</v>
      </c>
      <c r="BM81" s="497" t="s">
        <v>4</v>
      </c>
      <c r="BN81" s="497" t="s">
        <v>31425</v>
      </c>
      <c r="BO81" s="497">
        <v>1</v>
      </c>
      <c r="BP81" s="497">
        <v>45</v>
      </c>
      <c r="BQ81" s="497" t="s">
        <v>31435</v>
      </c>
      <c r="BR81" s="499" t="s">
        <v>33361</v>
      </c>
      <c r="BS81" s="497" t="s">
        <v>4</v>
      </c>
      <c r="BT81" s="497">
        <v>1</v>
      </c>
      <c r="BU81" s="494" cm="1">
        <f t="array" ref="BU81">_xlfn.IFS(BQ81="Foreword vehicle",BT81*0,BQ81="Human wastes",BT81*0,BS81="Jerrycans",BT81*$BT$4,BQ81="Number of Basins",BT81*$BT$5,BQ81="Number of Buckets",BT81*$BT$6,BQ81="Number of Kgs",BT81*$BT$7,BQ81="Number of spades",BT81*$BT$8,BQ81="Number of wheelbarrows",BT81*$BS$9,BS81="Septic Tank",BT81*0)</f>
        <v>82.5</v>
      </c>
      <c r="BV81" s="494">
        <f>Table15[[#This Row],[Calculation: Conversion of metric to Kg manure feeding (Columns: BP, BQ, BR)]]*Table15[[#This Row],[Number of times used to feed biodigester]]</f>
        <v>82.5</v>
      </c>
      <c r="BW81" s="495" cm="1">
        <f t="array" ref="BW81">_xlfn.IFS(BN81="Number of times per day (1 to 3)",BV81/$BW$3,BN81="Number of times per week (1 to 6)",BV81/$BW$4,BN81="Number of times per Month (1 to 3)",BV81/$BW$5)</f>
        <v>82.5</v>
      </c>
      <c r="BX81" s="497" t="s">
        <v>31552</v>
      </c>
      <c r="BY81" s="497" t="s">
        <v>4</v>
      </c>
      <c r="BZ81" s="497" t="s">
        <v>2</v>
      </c>
      <c r="CA81" s="497" t="s">
        <v>4</v>
      </c>
      <c r="CB81" s="497" t="s">
        <v>4</v>
      </c>
      <c r="CC81" s="497" t="s">
        <v>4</v>
      </c>
      <c r="CD81" s="497" t="s">
        <v>7</v>
      </c>
      <c r="CE81" s="497" t="s">
        <v>35586</v>
      </c>
      <c r="CF81" s="497" t="s">
        <v>4</v>
      </c>
      <c r="CG81" s="497" t="s">
        <v>33363</v>
      </c>
      <c r="CH81" s="497">
        <v>0</v>
      </c>
      <c r="CI81" s="497">
        <v>12</v>
      </c>
      <c r="CJ81" s="497">
        <v>0</v>
      </c>
      <c r="CK81" s="497">
        <v>0</v>
      </c>
      <c r="CL81" s="497">
        <v>0</v>
      </c>
      <c r="CM81" s="497">
        <v>200</v>
      </c>
      <c r="CN81" s="497">
        <v>18</v>
      </c>
      <c r="CO81" s="497">
        <v>111</v>
      </c>
      <c r="CP81" s="497">
        <v>2</v>
      </c>
      <c r="CQ81" s="497">
        <v>9</v>
      </c>
      <c r="CR81" s="497">
        <f>IF(Table15[[#This Row],[Is your biodigester working?]]="yes",CO81/'SDG outcome'!$C$9*CP81*CQ81,"")</f>
        <v>5.7579250720461097</v>
      </c>
      <c r="CS81" s="497" t="s">
        <v>4</v>
      </c>
      <c r="CT81" s="500" t="s">
        <v>4</v>
      </c>
      <c r="CU81" s="496" t="s">
        <v>4</v>
      </c>
      <c r="CV81" s="497">
        <v>75</v>
      </c>
      <c r="CW81" s="500">
        <v>25</v>
      </c>
      <c r="CX81" s="496" t="s">
        <v>35587</v>
      </c>
      <c r="CY81" s="497">
        <v>0</v>
      </c>
      <c r="CZ81" s="500">
        <v>100</v>
      </c>
      <c r="DA81" s="496" t="s">
        <v>35588</v>
      </c>
      <c r="DB81" s="497" t="s">
        <v>4</v>
      </c>
      <c r="DC81" s="497" t="s">
        <v>4</v>
      </c>
      <c r="DD81" s="497" t="s">
        <v>4</v>
      </c>
      <c r="DE81" s="497">
        <v>0</v>
      </c>
      <c r="DF81" s="497">
        <v>100</v>
      </c>
      <c r="DG81" s="497" t="s">
        <v>35589</v>
      </c>
      <c r="DH81" s="497" t="s">
        <v>4</v>
      </c>
      <c r="DI81" s="497" t="s">
        <v>4</v>
      </c>
      <c r="DJ81" s="497" t="s">
        <v>4</v>
      </c>
      <c r="DK81" s="497" t="s">
        <v>4</v>
      </c>
      <c r="DL81" s="497" t="s">
        <v>4</v>
      </c>
      <c r="DM81" s="497" t="s">
        <v>4</v>
      </c>
      <c r="DN81" s="497">
        <v>1</v>
      </c>
      <c r="DO81" s="497" t="s">
        <v>7</v>
      </c>
      <c r="DP81" s="497" t="s">
        <v>29292</v>
      </c>
      <c r="DQ81" s="497" t="s">
        <v>4</v>
      </c>
      <c r="DR81" s="497" t="s">
        <v>29293</v>
      </c>
      <c r="DS81" s="494">
        <v>3000</v>
      </c>
      <c r="DT81" s="497" t="s">
        <v>29293</v>
      </c>
      <c r="DU81" s="494">
        <v>20000</v>
      </c>
      <c r="DV81" s="500" t="s">
        <v>29508</v>
      </c>
      <c r="DW81" s="496" t="s">
        <v>4</v>
      </c>
      <c r="DX81" s="497" t="s">
        <v>4</v>
      </c>
      <c r="DY81" s="497" t="s">
        <v>4</v>
      </c>
      <c r="DZ81" s="497" t="s">
        <v>4</v>
      </c>
      <c r="EA81" s="497" t="s">
        <v>4</v>
      </c>
      <c r="EB81" s="497" t="s">
        <v>4</v>
      </c>
      <c r="EC81" s="497" t="s">
        <v>4</v>
      </c>
      <c r="ED81" s="497">
        <v>100</v>
      </c>
      <c r="EE81" s="497" t="s">
        <v>30667</v>
      </c>
      <c r="EF81" s="497" t="s">
        <v>4</v>
      </c>
      <c r="EG81" s="497" t="s">
        <v>4</v>
      </c>
      <c r="EH81" s="497">
        <v>100</v>
      </c>
      <c r="EI81" s="497" t="s">
        <v>4</v>
      </c>
      <c r="EJ81" s="497" t="s">
        <v>4</v>
      </c>
      <c r="EK81" s="497" t="s">
        <v>4</v>
      </c>
      <c r="EL81" s="497" t="s">
        <v>4</v>
      </c>
      <c r="EM81" s="497">
        <v>30</v>
      </c>
      <c r="EN81" s="497" t="s">
        <v>4</v>
      </c>
      <c r="EO81" s="497" t="s">
        <v>4</v>
      </c>
      <c r="EP81" s="497" t="s">
        <v>4</v>
      </c>
      <c r="EQ81" s="497" t="s">
        <v>29695</v>
      </c>
      <c r="ER81" s="497">
        <v>60</v>
      </c>
      <c r="ES81" s="497" t="s">
        <v>4</v>
      </c>
      <c r="ET81" s="497" t="s">
        <v>4</v>
      </c>
      <c r="EU81" s="497">
        <v>40</v>
      </c>
      <c r="EV81" s="497" t="s">
        <v>4</v>
      </c>
      <c r="EW81" s="497">
        <v>4.0469445568595708</v>
      </c>
      <c r="EX81" s="497" t="s">
        <v>7</v>
      </c>
      <c r="EY81" s="497">
        <v>20</v>
      </c>
      <c r="EZ81" s="239">
        <f t="shared" si="4"/>
        <v>0.80938891137191415</v>
      </c>
      <c r="FA81" s="497" t="s">
        <v>35590</v>
      </c>
      <c r="FB81" s="497" t="s">
        <v>29298</v>
      </c>
      <c r="FC81" s="497">
        <v>48</v>
      </c>
      <c r="FD81" s="497" t="s">
        <v>2</v>
      </c>
      <c r="FE81" s="497" t="s">
        <v>4</v>
      </c>
      <c r="FF81" s="497" t="s">
        <v>4</v>
      </c>
      <c r="FG81" s="497" t="s">
        <v>2</v>
      </c>
      <c r="FH81" s="497" t="s">
        <v>4</v>
      </c>
      <c r="FI81" s="497" t="s">
        <v>4</v>
      </c>
      <c r="FJ81" s="497" t="s">
        <v>4</v>
      </c>
      <c r="FK81" s="497" t="s">
        <v>4</v>
      </c>
      <c r="FL81" s="497" t="s">
        <v>4</v>
      </c>
      <c r="FM81" s="497" t="s">
        <v>4</v>
      </c>
      <c r="FN81" s="494" t="s">
        <v>4</v>
      </c>
      <c r="FO81" s="497" t="s">
        <v>4</v>
      </c>
      <c r="FP81" s="497" t="s">
        <v>7</v>
      </c>
      <c r="FQ81" s="497" t="s">
        <v>29301</v>
      </c>
      <c r="FR81" s="497" t="s">
        <v>4</v>
      </c>
      <c r="FS81" s="497" t="s">
        <v>7</v>
      </c>
      <c r="FT81" s="497" t="s">
        <v>7</v>
      </c>
      <c r="FU81" s="497" t="s">
        <v>29302</v>
      </c>
      <c r="FV81" s="497" t="s">
        <v>35591</v>
      </c>
      <c r="FW81" s="497" t="s">
        <v>4</v>
      </c>
      <c r="FX81" s="497">
        <v>0</v>
      </c>
      <c r="FY81" s="497" t="s">
        <v>4</v>
      </c>
      <c r="FZ81" s="497" t="s">
        <v>4</v>
      </c>
      <c r="GA81" s="497" t="s">
        <v>4</v>
      </c>
      <c r="GB81" s="497" t="s">
        <v>4</v>
      </c>
      <c r="GC81" s="497" t="s">
        <v>4</v>
      </c>
      <c r="GD81" s="497" t="s">
        <v>4</v>
      </c>
      <c r="GE81" s="497" t="s">
        <v>4</v>
      </c>
      <c r="GF81" s="497" t="s">
        <v>4</v>
      </c>
      <c r="GG81" s="497" t="s">
        <v>4</v>
      </c>
      <c r="GH81" s="497" t="s">
        <v>4</v>
      </c>
      <c r="GI81" s="497" t="s">
        <v>29304</v>
      </c>
      <c r="GJ81" s="497" t="s">
        <v>29882</v>
      </c>
      <c r="GK81" s="497" t="s">
        <v>29306</v>
      </c>
      <c r="GL81" s="497" t="s">
        <v>30820</v>
      </c>
      <c r="GM81" s="497" t="s">
        <v>30273</v>
      </c>
      <c r="GN81" s="497" t="s">
        <v>4</v>
      </c>
      <c r="GO81" s="497" t="s">
        <v>4</v>
      </c>
      <c r="GP81" s="497" t="s">
        <v>4</v>
      </c>
      <c r="GQ81" s="497" t="s">
        <v>4</v>
      </c>
      <c r="GR81" s="497" t="s">
        <v>4</v>
      </c>
      <c r="GS81" s="497" t="s">
        <v>4</v>
      </c>
      <c r="GT81" s="497" t="s">
        <v>35592</v>
      </c>
      <c r="GU81" s="497" t="s">
        <v>4</v>
      </c>
      <c r="GV81" s="494">
        <v>4</v>
      </c>
      <c r="GW81" s="497" t="s">
        <v>2</v>
      </c>
      <c r="GX81" s="497" t="s">
        <v>29309</v>
      </c>
      <c r="GY81" s="497" t="s">
        <v>4</v>
      </c>
      <c r="GZ81" s="497" t="s">
        <v>4</v>
      </c>
      <c r="HA81" s="497" t="s">
        <v>4</v>
      </c>
      <c r="HB81" s="497" t="s">
        <v>4</v>
      </c>
      <c r="HC81" s="497" t="s">
        <v>4</v>
      </c>
      <c r="HD81" s="497" t="s">
        <v>4</v>
      </c>
      <c r="HE81" s="497" t="s">
        <v>4</v>
      </c>
      <c r="HF81" s="497" t="s">
        <v>4</v>
      </c>
      <c r="HG81" s="497" t="s">
        <v>2</v>
      </c>
      <c r="HH81" s="497" t="s">
        <v>4</v>
      </c>
      <c r="HI81" s="497" t="s">
        <v>4</v>
      </c>
      <c r="HJ81" s="497" t="s">
        <v>4</v>
      </c>
      <c r="HK81" s="494" t="s">
        <v>4</v>
      </c>
      <c r="HL81" s="497" t="s">
        <v>35593</v>
      </c>
      <c r="HM81" s="497" t="s">
        <v>2</v>
      </c>
      <c r="HN81" s="497" t="s">
        <v>4</v>
      </c>
      <c r="HO81" s="497" t="s">
        <v>35594</v>
      </c>
      <c r="HP81" s="497" t="s">
        <v>35595</v>
      </c>
      <c r="HQ81" s="497" t="s">
        <v>35596</v>
      </c>
      <c r="HR81" s="497" t="s">
        <v>35597</v>
      </c>
      <c r="HS81" s="497" t="s">
        <v>35598</v>
      </c>
      <c r="HT81" s="500" t="s">
        <v>35583</v>
      </c>
    </row>
    <row r="82" spans="1:228" s="570" customFormat="1" ht="30.2" customHeight="1" x14ac:dyDescent="0.25">
      <c r="A82" s="759"/>
      <c r="B82" s="496">
        <v>201</v>
      </c>
      <c r="C82" s="496" t="s">
        <v>18044</v>
      </c>
      <c r="D82" s="497" t="s">
        <v>35616</v>
      </c>
      <c r="E82" s="497" t="s">
        <v>35495</v>
      </c>
      <c r="F82" s="497" t="s">
        <v>7</v>
      </c>
      <c r="G82" s="497" t="s">
        <v>35617</v>
      </c>
      <c r="H82" s="497">
        <v>1205</v>
      </c>
      <c r="I82" s="497">
        <v>4.8</v>
      </c>
      <c r="J82" s="497" t="s">
        <v>29389</v>
      </c>
      <c r="K82" s="497" t="s">
        <v>22</v>
      </c>
      <c r="L82" s="497" t="s">
        <v>35618</v>
      </c>
      <c r="M82" s="497">
        <v>770525422</v>
      </c>
      <c r="N82" s="497" t="s">
        <v>5</v>
      </c>
      <c r="O82" s="497" t="s">
        <v>31438</v>
      </c>
      <c r="P82" s="497">
        <v>39</v>
      </c>
      <c r="Q82" s="497">
        <v>6</v>
      </c>
      <c r="R82" s="497" t="s">
        <v>7</v>
      </c>
      <c r="S82" s="497" t="s">
        <v>31588</v>
      </c>
      <c r="T82" s="497" t="s">
        <v>4</v>
      </c>
      <c r="U82" s="497" t="s">
        <v>7</v>
      </c>
      <c r="V82" s="497" t="s">
        <v>7</v>
      </c>
      <c r="W82" s="497" t="s">
        <v>4</v>
      </c>
      <c r="X82" s="497" t="s">
        <v>7</v>
      </c>
      <c r="Y82" s="497" t="s">
        <v>4</v>
      </c>
      <c r="Z82" s="497" t="s">
        <v>4</v>
      </c>
      <c r="AA82" s="241" t="str">
        <f>IF(OR(U82="yes",Z82&gt;'SDG outcome'!$C$39),"yes","no")</f>
        <v>yes</v>
      </c>
      <c r="AB82" s="521" t="str">
        <f t="shared" si="3"/>
        <v>NA</v>
      </c>
      <c r="AC82" s="527" t="str">
        <f>IF(AND('SMS p2'!AA213="no",AND(Z82&gt;='SDG outcome'!$B$28,Z82&lt;'SDG outcome'!$C$39)),Z82-'SDG outcome'!$B$28,"")</f>
        <v/>
      </c>
      <c r="AD82" s="497" t="s">
        <v>4</v>
      </c>
      <c r="AE82" s="497" t="s">
        <v>4</v>
      </c>
      <c r="AF82" s="497" t="s">
        <v>4</v>
      </c>
      <c r="AG82" s="497" t="s">
        <v>4</v>
      </c>
      <c r="AH82" s="497" t="s">
        <v>4</v>
      </c>
      <c r="AI82" s="497" t="s">
        <v>4</v>
      </c>
      <c r="AJ82" s="497" t="s">
        <v>4</v>
      </c>
      <c r="AK82" s="497" t="s">
        <v>29290</v>
      </c>
      <c r="AL82" s="497" t="s">
        <v>29291</v>
      </c>
      <c r="AM82" s="497" t="s">
        <v>4</v>
      </c>
      <c r="AN82" s="497" t="s">
        <v>4</v>
      </c>
      <c r="AO82" s="497" t="s">
        <v>31536</v>
      </c>
      <c r="AP82" s="497" t="s">
        <v>4</v>
      </c>
      <c r="AQ82" s="497" t="s">
        <v>31600</v>
      </c>
      <c r="AR82" s="497" t="s">
        <v>4</v>
      </c>
      <c r="AS82" s="497" t="s">
        <v>31538</v>
      </c>
      <c r="AT82" s="497" t="s">
        <v>4</v>
      </c>
      <c r="AU82" s="497" t="s">
        <v>7</v>
      </c>
      <c r="AV82" s="497" t="s">
        <v>4</v>
      </c>
      <c r="AW82" s="497" t="s">
        <v>4</v>
      </c>
      <c r="AX82" s="497" t="s">
        <v>2</v>
      </c>
      <c r="AY82" s="497" t="s">
        <v>4</v>
      </c>
      <c r="AZ82" s="497" t="s">
        <v>4</v>
      </c>
      <c r="BA82" s="497" t="s">
        <v>31563</v>
      </c>
      <c r="BB82" s="497" t="s">
        <v>22</v>
      </c>
      <c r="BC82" s="497" t="s">
        <v>4</v>
      </c>
      <c r="BD82" s="497" t="s">
        <v>31564</v>
      </c>
      <c r="BE82" s="497" t="s">
        <v>4</v>
      </c>
      <c r="BF82" s="497" t="s">
        <v>31542</v>
      </c>
      <c r="BG82" s="497" t="s">
        <v>35619</v>
      </c>
      <c r="BH82" s="497" t="s">
        <v>31566</v>
      </c>
      <c r="BI82" s="497">
        <v>1</v>
      </c>
      <c r="BJ82" s="497">
        <v>180</v>
      </c>
      <c r="BK82" s="497" t="s">
        <v>7</v>
      </c>
      <c r="BL82" s="497" t="s">
        <v>6</v>
      </c>
      <c r="BM82" s="497" t="s">
        <v>4</v>
      </c>
      <c r="BN82" s="497" t="s">
        <v>31425</v>
      </c>
      <c r="BO82" s="497">
        <v>1</v>
      </c>
      <c r="BP82" s="497">
        <v>30</v>
      </c>
      <c r="BQ82" s="497" t="s">
        <v>31426</v>
      </c>
      <c r="BR82" s="499" t="s">
        <v>33332</v>
      </c>
      <c r="BS82" s="497" t="s">
        <v>4</v>
      </c>
      <c r="BT82" s="497">
        <v>2</v>
      </c>
      <c r="BU82" s="494" cm="1">
        <f t="array" ref="BU82">_xlfn.IFS(BQ82="Foreword vehicle",BT82*0,BQ82="Human wastes",BT82*0,BS82="Jerrycans",BT82*$BT$4,BQ82="Number of Basins",BT82*$BT$5,BQ82="Number of Buckets",BT82*$BT$6,BQ82="Number of Kgs",BT82*$BT$7,BQ82="Number of spades",BT82*$BT$8,BQ82="Number of wheelbarrows",BT82*$BT$9,BS82="Septic Tank",BT82*0)</f>
        <v>46</v>
      </c>
      <c r="BV82" s="494">
        <f>Table15[[#This Row],[Calculation: Conversion of metric to Kg manure feeding (Columns: BP, BQ, BR)]]*Table15[[#This Row],[Number of times used to feed biodigester]]</f>
        <v>46</v>
      </c>
      <c r="BW82" s="495" cm="1">
        <f t="array" ref="BW82">_xlfn.IFS(BN82="Number of times per day (1 to 3)",BV82/$BW$3,BN82="Number of times per week (1 to 6)",BV82/$BW$4,BN82="Number of times per Month (1 to 3)",BV82/$BW$5)</f>
        <v>46</v>
      </c>
      <c r="BX82" s="497" t="s">
        <v>22</v>
      </c>
      <c r="BY82" s="497" t="s">
        <v>4</v>
      </c>
      <c r="BZ82" s="497" t="s">
        <v>2</v>
      </c>
      <c r="CA82" s="497" t="s">
        <v>4</v>
      </c>
      <c r="CB82" s="497" t="s">
        <v>4</v>
      </c>
      <c r="CC82" s="497" t="s">
        <v>4</v>
      </c>
      <c r="CD82" s="497" t="s">
        <v>7</v>
      </c>
      <c r="CE82" s="497" t="s">
        <v>35620</v>
      </c>
      <c r="CF82" s="497" t="s">
        <v>4</v>
      </c>
      <c r="CG82" s="497" t="s">
        <v>35621</v>
      </c>
      <c r="CH82" s="497">
        <v>4</v>
      </c>
      <c r="CI82" s="497">
        <v>0</v>
      </c>
      <c r="CJ82" s="497">
        <v>0</v>
      </c>
      <c r="CK82" s="497">
        <v>0</v>
      </c>
      <c r="CL82" s="497">
        <v>0</v>
      </c>
      <c r="CM82" s="497">
        <v>0</v>
      </c>
      <c r="CN82" s="497">
        <v>5</v>
      </c>
      <c r="CO82" s="497">
        <v>113</v>
      </c>
      <c r="CP82" s="497">
        <v>2</v>
      </c>
      <c r="CQ82" s="497">
        <v>7</v>
      </c>
      <c r="CR82" s="497">
        <f>IF(Table15[[#This Row],[Is your biodigester working?]]="yes",CO82/'SDG outcome'!$C$9*CP82*CQ82,"")</f>
        <v>4.5590778097982705</v>
      </c>
      <c r="CS82" s="497">
        <v>100</v>
      </c>
      <c r="CT82" s="500">
        <v>0</v>
      </c>
      <c r="CU82" s="496" t="s">
        <v>4</v>
      </c>
      <c r="CV82" s="497" t="s">
        <v>4</v>
      </c>
      <c r="CW82" s="500" t="s">
        <v>4</v>
      </c>
      <c r="CX82" s="496" t="s">
        <v>4</v>
      </c>
      <c r="CY82" s="497">
        <v>0</v>
      </c>
      <c r="CZ82" s="500">
        <v>100</v>
      </c>
      <c r="DA82" s="496" t="s">
        <v>35622</v>
      </c>
      <c r="DB82" s="497" t="s">
        <v>4</v>
      </c>
      <c r="DC82" s="497" t="s">
        <v>4</v>
      </c>
      <c r="DD82" s="497" t="s">
        <v>4</v>
      </c>
      <c r="DE82" s="497" t="s">
        <v>4</v>
      </c>
      <c r="DF82" s="497" t="s">
        <v>4</v>
      </c>
      <c r="DG82" s="497" t="s">
        <v>4</v>
      </c>
      <c r="DH82" s="497" t="s">
        <v>4</v>
      </c>
      <c r="DI82" s="497" t="s">
        <v>4</v>
      </c>
      <c r="DJ82" s="497" t="s">
        <v>4</v>
      </c>
      <c r="DK82" s="497" t="s">
        <v>4</v>
      </c>
      <c r="DL82" s="497" t="s">
        <v>4</v>
      </c>
      <c r="DM82" s="497" t="s">
        <v>4</v>
      </c>
      <c r="DN82" s="497">
        <v>6</v>
      </c>
      <c r="DO82" s="497" t="s">
        <v>2</v>
      </c>
      <c r="DP82" s="497" t="s">
        <v>29292</v>
      </c>
      <c r="DQ82" s="497" t="s">
        <v>4</v>
      </c>
      <c r="DR82" s="497" t="s">
        <v>29293</v>
      </c>
      <c r="DS82" s="494">
        <v>90000</v>
      </c>
      <c r="DT82" s="497" t="s">
        <v>29293</v>
      </c>
      <c r="DU82" s="494">
        <v>0</v>
      </c>
      <c r="DV82" s="500" t="s">
        <v>29295</v>
      </c>
      <c r="DW82" s="496">
        <v>100</v>
      </c>
      <c r="DX82" s="497" t="s">
        <v>29296</v>
      </c>
      <c r="DY82" s="497">
        <v>100</v>
      </c>
      <c r="DZ82" s="497" t="s">
        <v>4</v>
      </c>
      <c r="EA82" s="497" t="s">
        <v>4</v>
      </c>
      <c r="EB82" s="497" t="s">
        <v>4</v>
      </c>
      <c r="EC82" s="497" t="s">
        <v>4</v>
      </c>
      <c r="ED82" s="497" t="s">
        <v>4</v>
      </c>
      <c r="EE82" s="497" t="s">
        <v>4</v>
      </c>
      <c r="EF82" s="497" t="s">
        <v>4</v>
      </c>
      <c r="EG82" s="497" t="s">
        <v>4</v>
      </c>
      <c r="EH82" s="497" t="s">
        <v>4</v>
      </c>
      <c r="EI82" s="497" t="s">
        <v>4</v>
      </c>
      <c r="EJ82" s="497" t="s">
        <v>4</v>
      </c>
      <c r="EK82" s="497" t="s">
        <v>4</v>
      </c>
      <c r="EL82" s="497" t="s">
        <v>4</v>
      </c>
      <c r="EM82" s="497" t="s">
        <v>4</v>
      </c>
      <c r="EN82" s="497" t="s">
        <v>4</v>
      </c>
      <c r="EO82" s="497" t="s">
        <v>4</v>
      </c>
      <c r="EP82" s="497" t="s">
        <v>4</v>
      </c>
      <c r="EQ82" s="497" t="s">
        <v>4</v>
      </c>
      <c r="ER82" s="497" t="s">
        <v>4</v>
      </c>
      <c r="ES82" s="497" t="s">
        <v>4</v>
      </c>
      <c r="ET82" s="497" t="s">
        <v>4</v>
      </c>
      <c r="EU82" s="497" t="s">
        <v>4</v>
      </c>
      <c r="EV82" s="497" t="s">
        <v>4</v>
      </c>
      <c r="EW82" s="497">
        <v>4.0469445568595708</v>
      </c>
      <c r="EX82" s="497" t="s">
        <v>7</v>
      </c>
      <c r="EY82" s="497">
        <v>20</v>
      </c>
      <c r="EZ82" s="239">
        <f t="shared" si="4"/>
        <v>0.80938891137191415</v>
      </c>
      <c r="FA82" s="497" t="s">
        <v>35623</v>
      </c>
      <c r="FB82" s="497" t="s">
        <v>35624</v>
      </c>
      <c r="FC82" s="497">
        <v>22</v>
      </c>
      <c r="FD82" s="497" t="s">
        <v>2</v>
      </c>
      <c r="FE82" s="497" t="s">
        <v>4</v>
      </c>
      <c r="FF82" s="497" t="s">
        <v>4</v>
      </c>
      <c r="FG82" s="497" t="s">
        <v>2</v>
      </c>
      <c r="FH82" s="497" t="s">
        <v>4</v>
      </c>
      <c r="FI82" s="497" t="s">
        <v>4</v>
      </c>
      <c r="FJ82" s="497" t="s">
        <v>4</v>
      </c>
      <c r="FK82" s="497" t="s">
        <v>4</v>
      </c>
      <c r="FL82" s="497" t="s">
        <v>4</v>
      </c>
      <c r="FM82" s="497" t="s">
        <v>4</v>
      </c>
      <c r="FN82" s="494" t="s">
        <v>4</v>
      </c>
      <c r="FO82" s="497" t="s">
        <v>4</v>
      </c>
      <c r="FP82" s="497" t="s">
        <v>2</v>
      </c>
      <c r="FQ82" s="497" t="s">
        <v>4</v>
      </c>
      <c r="FR82" s="497" t="s">
        <v>4</v>
      </c>
      <c r="FS82" s="497" t="s">
        <v>2</v>
      </c>
      <c r="FT82" s="497" t="s">
        <v>7</v>
      </c>
      <c r="FU82" s="497" t="s">
        <v>29816</v>
      </c>
      <c r="FV82" s="497" t="s">
        <v>35625</v>
      </c>
      <c r="FW82" s="497" t="s">
        <v>4</v>
      </c>
      <c r="FX82" s="497">
        <v>0</v>
      </c>
      <c r="FY82" s="497" t="s">
        <v>4</v>
      </c>
      <c r="FZ82" s="497" t="s">
        <v>4</v>
      </c>
      <c r="GA82" s="497" t="s">
        <v>4</v>
      </c>
      <c r="GB82" s="497" t="s">
        <v>4</v>
      </c>
      <c r="GC82" s="497" t="s">
        <v>4</v>
      </c>
      <c r="GD82" s="497" t="s">
        <v>4</v>
      </c>
      <c r="GE82" s="497" t="s">
        <v>4</v>
      </c>
      <c r="GF82" s="497" t="s">
        <v>4</v>
      </c>
      <c r="GG82" s="497" t="s">
        <v>4</v>
      </c>
      <c r="GH82" s="497" t="s">
        <v>4</v>
      </c>
      <c r="GI82" s="497" t="s">
        <v>29304</v>
      </c>
      <c r="GJ82" s="497" t="s">
        <v>30052</v>
      </c>
      <c r="GK82" s="497" t="s">
        <v>29306</v>
      </c>
      <c r="GL82" s="497" t="s">
        <v>4</v>
      </c>
      <c r="GM82" s="497" t="s">
        <v>30821</v>
      </c>
      <c r="GN82" s="497" t="s">
        <v>4</v>
      </c>
      <c r="GO82" s="497" t="s">
        <v>4</v>
      </c>
      <c r="GP82" s="497" t="s">
        <v>4</v>
      </c>
      <c r="GQ82" s="497" t="s">
        <v>4</v>
      </c>
      <c r="GR82" s="497" t="s">
        <v>4</v>
      </c>
      <c r="GS82" s="497" t="s">
        <v>4</v>
      </c>
      <c r="GT82" s="497" t="s">
        <v>33412</v>
      </c>
      <c r="GU82" s="497" t="s">
        <v>4</v>
      </c>
      <c r="GV82" s="494">
        <v>10</v>
      </c>
      <c r="GW82" s="497" t="s">
        <v>2</v>
      </c>
      <c r="GX82" s="497" t="s">
        <v>29309</v>
      </c>
      <c r="GY82" s="497" t="s">
        <v>4</v>
      </c>
      <c r="GZ82" s="497" t="s">
        <v>4</v>
      </c>
      <c r="HA82" s="497" t="s">
        <v>4</v>
      </c>
      <c r="HB82" s="497" t="s">
        <v>4</v>
      </c>
      <c r="HC82" s="497" t="s">
        <v>4</v>
      </c>
      <c r="HD82" s="497" t="s">
        <v>4</v>
      </c>
      <c r="HE82" s="497" t="s">
        <v>4</v>
      </c>
      <c r="HF82" s="497" t="s">
        <v>4</v>
      </c>
      <c r="HG82" s="497" t="s">
        <v>2</v>
      </c>
      <c r="HH82" s="497" t="s">
        <v>4</v>
      </c>
      <c r="HI82" s="497" t="s">
        <v>4</v>
      </c>
      <c r="HJ82" s="497" t="s">
        <v>4</v>
      </c>
      <c r="HK82" s="494" t="s">
        <v>4</v>
      </c>
      <c r="HL82" s="497" t="s">
        <v>35626</v>
      </c>
      <c r="HM82" s="497" t="s">
        <v>2</v>
      </c>
      <c r="HN82" s="497" t="s">
        <v>4</v>
      </c>
      <c r="HO82" s="497" t="s">
        <v>30883</v>
      </c>
      <c r="HP82" s="497" t="s">
        <v>35627</v>
      </c>
      <c r="HQ82" s="497" t="s">
        <v>35628</v>
      </c>
      <c r="HR82" s="497" t="s">
        <v>35629</v>
      </c>
      <c r="HS82" s="497" t="s">
        <v>35630</v>
      </c>
      <c r="HT82" s="500" t="s">
        <v>35616</v>
      </c>
    </row>
    <row r="83" spans="1:228" s="570" customFormat="1" ht="30.2" customHeight="1" x14ac:dyDescent="0.25">
      <c r="A83" s="759"/>
      <c r="B83" s="496">
        <v>195</v>
      </c>
      <c r="C83" s="496" t="s">
        <v>12064</v>
      </c>
      <c r="D83" s="497" t="s">
        <v>35526</v>
      </c>
      <c r="E83" s="497" t="s">
        <v>35495</v>
      </c>
      <c r="F83" s="497" t="s">
        <v>7</v>
      </c>
      <c r="G83" s="497" t="s">
        <v>35527</v>
      </c>
      <c r="H83" s="497">
        <v>1147.2</v>
      </c>
      <c r="I83" s="497">
        <v>4.8</v>
      </c>
      <c r="J83" s="497" t="s">
        <v>29389</v>
      </c>
      <c r="K83" s="497" t="s">
        <v>22</v>
      </c>
      <c r="L83" s="497" t="s">
        <v>35528</v>
      </c>
      <c r="M83" s="497">
        <v>742483067</v>
      </c>
      <c r="N83" s="497" t="s">
        <v>5</v>
      </c>
      <c r="O83" s="497" t="s">
        <v>31438</v>
      </c>
      <c r="P83" s="497">
        <v>25</v>
      </c>
      <c r="Q83" s="497">
        <v>5</v>
      </c>
      <c r="R83" s="497" t="s">
        <v>7</v>
      </c>
      <c r="S83" s="497" t="s">
        <v>31588</v>
      </c>
      <c r="T83" s="497" t="s">
        <v>4</v>
      </c>
      <c r="U83" s="497" t="s">
        <v>7</v>
      </c>
      <c r="V83" s="497" t="s">
        <v>7</v>
      </c>
      <c r="W83" s="497" t="s">
        <v>4</v>
      </c>
      <c r="X83" s="497" t="s">
        <v>2</v>
      </c>
      <c r="Y83" s="497" t="s">
        <v>35529</v>
      </c>
      <c r="Z83" s="497" t="s">
        <v>4</v>
      </c>
      <c r="AA83" s="241" t="str">
        <f>IF(OR(U83="yes",Z83&gt;'SDG outcome'!$C$39),"yes","no")</f>
        <v>yes</v>
      </c>
      <c r="AB83" s="521" t="str">
        <f t="shared" si="3"/>
        <v>NA</v>
      </c>
      <c r="AC83" s="527" t="str">
        <f>IF(AND('SMS p2'!AA207="no",AND(Z83&gt;='SDG outcome'!$B$28,Z83&lt;'SDG outcome'!$C$39)),Z83-'SDG outcome'!$B$28,"")</f>
        <v/>
      </c>
      <c r="AD83" s="497" t="s">
        <v>4</v>
      </c>
      <c r="AE83" s="497" t="s">
        <v>4</v>
      </c>
      <c r="AF83" s="497" t="s">
        <v>4</v>
      </c>
      <c r="AG83" s="497" t="s">
        <v>4</v>
      </c>
      <c r="AH83" s="497" t="s">
        <v>4</v>
      </c>
      <c r="AI83" s="497" t="s">
        <v>4</v>
      </c>
      <c r="AJ83" s="497" t="s">
        <v>4</v>
      </c>
      <c r="AK83" s="497" t="s">
        <v>8</v>
      </c>
      <c r="AL83" s="497" t="s">
        <v>35530</v>
      </c>
      <c r="AM83" s="497" t="s">
        <v>4</v>
      </c>
      <c r="AN83" s="497" t="s">
        <v>35531</v>
      </c>
      <c r="AO83" s="497" t="s">
        <v>31599</v>
      </c>
      <c r="AP83" s="497" t="s">
        <v>4</v>
      </c>
      <c r="AQ83" s="497" t="s">
        <v>31537</v>
      </c>
      <c r="AR83" s="497" t="s">
        <v>4</v>
      </c>
      <c r="AS83" s="497" t="s">
        <v>13</v>
      </c>
      <c r="AT83" s="497" t="s">
        <v>35532</v>
      </c>
      <c r="AU83" s="497" t="s">
        <v>7</v>
      </c>
      <c r="AV83" s="497" t="s">
        <v>4</v>
      </c>
      <c r="AW83" s="497" t="s">
        <v>4</v>
      </c>
      <c r="AX83" s="497" t="s">
        <v>2</v>
      </c>
      <c r="AY83" s="497" t="s">
        <v>4</v>
      </c>
      <c r="AZ83" s="497" t="s">
        <v>4</v>
      </c>
      <c r="BA83" s="497" t="s">
        <v>31563</v>
      </c>
      <c r="BB83" s="497" t="s">
        <v>22</v>
      </c>
      <c r="BC83" s="497" t="s">
        <v>4</v>
      </c>
      <c r="BD83" s="497" t="s">
        <v>35533</v>
      </c>
      <c r="BE83" s="497" t="s">
        <v>4</v>
      </c>
      <c r="BF83" s="497" t="s">
        <v>31542</v>
      </c>
      <c r="BG83" s="497" t="s">
        <v>35534</v>
      </c>
      <c r="BH83" s="497" t="s">
        <v>31566</v>
      </c>
      <c r="BI83" s="497">
        <v>1</v>
      </c>
      <c r="BJ83" s="497">
        <v>120</v>
      </c>
      <c r="BK83" s="497" t="s">
        <v>7</v>
      </c>
      <c r="BL83" s="497" t="s">
        <v>6</v>
      </c>
      <c r="BM83" s="497" t="s">
        <v>4</v>
      </c>
      <c r="BN83" s="497" t="s">
        <v>31425</v>
      </c>
      <c r="BO83" s="497">
        <v>2</v>
      </c>
      <c r="BP83" s="497">
        <v>15</v>
      </c>
      <c r="BQ83" s="497" t="s">
        <v>31435</v>
      </c>
      <c r="BR83" s="499" t="s">
        <v>33361</v>
      </c>
      <c r="BS83" s="497" t="s">
        <v>4</v>
      </c>
      <c r="BT83" s="497">
        <v>2</v>
      </c>
      <c r="BU83" s="494" cm="1">
        <f t="array" ref="BU83">_xlfn.IFS(BQ83="Foreword vehicle",BT83*0,BQ83="Human wastes",BT83*0,BS83="Jerrycans",BT83*$BT$4,BQ83="Number of Basins",BT83*$BT$5,BQ83="Number of Buckets",BT83*$BT$6,BQ83="Number of Kgs",BT83*$BT$7,BQ83="Number of spades",BT83*$BT$8,BQ83="Number of wheelbarrows",BT83*$BS$9,BS83="Septic Tank",BT83*0)</f>
        <v>165</v>
      </c>
      <c r="BV83" s="494">
        <f>Table15[[#This Row],[Calculation: Conversion of metric to Kg manure feeding (Columns: BP, BQ, BR)]]*Table15[[#This Row],[Number of times used to feed biodigester]]</f>
        <v>330</v>
      </c>
      <c r="BW83" s="495" cm="1">
        <f t="array" ref="BW83">_xlfn.IFS(BN83="Number of times per day (1 to 3)",BV83/$BW$3,BN83="Number of times per week (1 to 6)",BV83/$BW$4,BN83="Number of times per Month (1 to 3)",BV83/$BW$5)</f>
        <v>330</v>
      </c>
      <c r="BX83" s="497" t="s">
        <v>22</v>
      </c>
      <c r="BY83" s="497" t="s">
        <v>4</v>
      </c>
      <c r="BZ83" s="497" t="s">
        <v>2</v>
      </c>
      <c r="CA83" s="497" t="s">
        <v>4</v>
      </c>
      <c r="CB83" s="497" t="s">
        <v>4</v>
      </c>
      <c r="CC83" s="497" t="s">
        <v>4</v>
      </c>
      <c r="CD83" s="497" t="s">
        <v>7</v>
      </c>
      <c r="CE83" s="497" t="s">
        <v>35535</v>
      </c>
      <c r="CF83" s="497" t="s">
        <v>4</v>
      </c>
      <c r="CG83" s="497" t="s">
        <v>35536</v>
      </c>
      <c r="CH83" s="497">
        <v>14</v>
      </c>
      <c r="CI83" s="497">
        <v>0</v>
      </c>
      <c r="CJ83" s="497">
        <v>0</v>
      </c>
      <c r="CK83" s="497">
        <v>0</v>
      </c>
      <c r="CL83" s="497">
        <v>12</v>
      </c>
      <c r="CM83" s="497">
        <v>50</v>
      </c>
      <c r="CN83" s="497">
        <v>0</v>
      </c>
      <c r="CO83" s="497">
        <v>0</v>
      </c>
      <c r="CP83" s="497">
        <v>0</v>
      </c>
      <c r="CQ83" s="497">
        <v>0</v>
      </c>
      <c r="CR83" s="497">
        <f>IF(Table15[[#This Row],[Is your biodigester working?]]="yes",CO83/'SDG outcome'!$C$9*CP83*CQ83,"")</f>
        <v>0</v>
      </c>
      <c r="CS83" s="497">
        <v>100</v>
      </c>
      <c r="CT83" s="500">
        <v>0</v>
      </c>
      <c r="CU83" s="496" t="s">
        <v>4</v>
      </c>
      <c r="CV83" s="497" t="s">
        <v>4</v>
      </c>
      <c r="CW83" s="500" t="s">
        <v>4</v>
      </c>
      <c r="CX83" s="496" t="s">
        <v>4</v>
      </c>
      <c r="CY83" s="497" t="s">
        <v>4</v>
      </c>
      <c r="CZ83" s="500" t="s">
        <v>4</v>
      </c>
      <c r="DA83" s="496" t="s">
        <v>4</v>
      </c>
      <c r="DB83" s="497" t="s">
        <v>4</v>
      </c>
      <c r="DC83" s="497" t="s">
        <v>4</v>
      </c>
      <c r="DD83" s="497" t="s">
        <v>4</v>
      </c>
      <c r="DE83" s="497">
        <v>0</v>
      </c>
      <c r="DF83" s="497">
        <v>100</v>
      </c>
      <c r="DG83" s="497" t="s">
        <v>35537</v>
      </c>
      <c r="DH83" s="497" t="s">
        <v>4</v>
      </c>
      <c r="DI83" s="497" t="s">
        <v>4</v>
      </c>
      <c r="DJ83" s="497" t="s">
        <v>4</v>
      </c>
      <c r="DK83" s="497">
        <v>0</v>
      </c>
      <c r="DL83" s="497">
        <v>100</v>
      </c>
      <c r="DM83" s="497" t="s">
        <v>35538</v>
      </c>
      <c r="DN83" s="497" t="s">
        <v>4</v>
      </c>
      <c r="DO83" s="497" t="s">
        <v>2</v>
      </c>
      <c r="DP83" s="497" t="s">
        <v>29375</v>
      </c>
      <c r="DQ83" s="497" t="s">
        <v>4</v>
      </c>
      <c r="DR83" s="497" t="s">
        <v>4</v>
      </c>
      <c r="DS83" s="494" t="s">
        <v>4</v>
      </c>
      <c r="DT83" s="497" t="s">
        <v>29293</v>
      </c>
      <c r="DU83" s="494">
        <v>50000</v>
      </c>
      <c r="DV83" s="500" t="s">
        <v>29295</v>
      </c>
      <c r="DW83" s="496">
        <v>100</v>
      </c>
      <c r="DX83" s="497" t="s">
        <v>29296</v>
      </c>
      <c r="DY83" s="497">
        <v>100</v>
      </c>
      <c r="DZ83" s="497" t="s">
        <v>4</v>
      </c>
      <c r="EA83" s="497" t="s">
        <v>4</v>
      </c>
      <c r="EB83" s="497" t="s">
        <v>4</v>
      </c>
      <c r="EC83" s="497" t="s">
        <v>4</v>
      </c>
      <c r="ED83" s="497" t="s">
        <v>4</v>
      </c>
      <c r="EE83" s="497" t="s">
        <v>4</v>
      </c>
      <c r="EF83" s="497" t="s">
        <v>4</v>
      </c>
      <c r="EG83" s="497" t="s">
        <v>4</v>
      </c>
      <c r="EH83" s="497" t="s">
        <v>4</v>
      </c>
      <c r="EI83" s="497" t="s">
        <v>4</v>
      </c>
      <c r="EJ83" s="497" t="s">
        <v>4</v>
      </c>
      <c r="EK83" s="497" t="s">
        <v>4</v>
      </c>
      <c r="EL83" s="497" t="s">
        <v>4</v>
      </c>
      <c r="EM83" s="497" t="s">
        <v>4</v>
      </c>
      <c r="EN83" s="497" t="s">
        <v>4</v>
      </c>
      <c r="EO83" s="497" t="s">
        <v>4</v>
      </c>
      <c r="EP83" s="497" t="s">
        <v>4</v>
      </c>
      <c r="EQ83" s="497" t="s">
        <v>4</v>
      </c>
      <c r="ER83" s="497" t="s">
        <v>4</v>
      </c>
      <c r="ES83" s="497" t="s">
        <v>4</v>
      </c>
      <c r="ET83" s="497" t="s">
        <v>4</v>
      </c>
      <c r="EU83" s="497" t="s">
        <v>4</v>
      </c>
      <c r="EV83" s="497" t="s">
        <v>4</v>
      </c>
      <c r="EW83" s="497">
        <v>3.6422501011736137</v>
      </c>
      <c r="EX83" s="497" t="s">
        <v>7</v>
      </c>
      <c r="EY83" s="497">
        <v>22</v>
      </c>
      <c r="EZ83" s="239">
        <f t="shared" si="4"/>
        <v>0.80129502225819504</v>
      </c>
      <c r="FA83" s="497" t="s">
        <v>35539</v>
      </c>
      <c r="FB83" s="497" t="s">
        <v>29298</v>
      </c>
      <c r="FC83" s="497">
        <v>144</v>
      </c>
      <c r="FD83" s="497" t="s">
        <v>2</v>
      </c>
      <c r="FE83" s="497" t="s">
        <v>4</v>
      </c>
      <c r="FF83" s="497" t="s">
        <v>4</v>
      </c>
      <c r="FG83" s="497" t="s">
        <v>2</v>
      </c>
      <c r="FH83" s="497" t="s">
        <v>4</v>
      </c>
      <c r="FI83" s="497" t="s">
        <v>4</v>
      </c>
      <c r="FJ83" s="497" t="s">
        <v>4</v>
      </c>
      <c r="FK83" s="497" t="s">
        <v>4</v>
      </c>
      <c r="FL83" s="497" t="s">
        <v>4</v>
      </c>
      <c r="FM83" s="497" t="s">
        <v>4</v>
      </c>
      <c r="FN83" s="494" t="s">
        <v>4</v>
      </c>
      <c r="FO83" s="497" t="s">
        <v>4</v>
      </c>
      <c r="FP83" s="497" t="s">
        <v>2</v>
      </c>
      <c r="FQ83" s="497" t="s">
        <v>4</v>
      </c>
      <c r="FR83" s="497" t="s">
        <v>4</v>
      </c>
      <c r="FS83" s="497" t="s">
        <v>2</v>
      </c>
      <c r="FT83" s="497" t="s">
        <v>2</v>
      </c>
      <c r="FU83" s="497" t="s">
        <v>4</v>
      </c>
      <c r="FV83" s="497" t="s">
        <v>4</v>
      </c>
      <c r="FW83" s="497" t="s">
        <v>4</v>
      </c>
      <c r="FX83" s="497">
        <v>0</v>
      </c>
      <c r="FY83" s="497" t="s">
        <v>4</v>
      </c>
      <c r="FZ83" s="497" t="s">
        <v>4</v>
      </c>
      <c r="GA83" s="497" t="s">
        <v>4</v>
      </c>
      <c r="GB83" s="497" t="s">
        <v>4</v>
      </c>
      <c r="GC83" s="497" t="s">
        <v>4</v>
      </c>
      <c r="GD83" s="497" t="s">
        <v>4</v>
      </c>
      <c r="GE83" s="497" t="s">
        <v>4</v>
      </c>
      <c r="GF83" s="497" t="s">
        <v>4</v>
      </c>
      <c r="GG83" s="497" t="s">
        <v>4</v>
      </c>
      <c r="GH83" s="497" t="s">
        <v>4</v>
      </c>
      <c r="GI83" s="497" t="s">
        <v>29433</v>
      </c>
      <c r="GJ83" s="497" t="s">
        <v>4</v>
      </c>
      <c r="GK83" s="497" t="s">
        <v>4</v>
      </c>
      <c r="GL83" s="497" t="s">
        <v>4</v>
      </c>
      <c r="GM83" s="497" t="s">
        <v>4</v>
      </c>
      <c r="GN83" s="497" t="s">
        <v>4</v>
      </c>
      <c r="GO83" s="497" t="s">
        <v>4</v>
      </c>
      <c r="GP83" s="497" t="s">
        <v>4</v>
      </c>
      <c r="GQ83" s="497" t="s">
        <v>4</v>
      </c>
      <c r="GR83" s="497" t="s">
        <v>13</v>
      </c>
      <c r="GS83" s="497" t="s">
        <v>35540</v>
      </c>
      <c r="GT83" s="497" t="s">
        <v>35541</v>
      </c>
      <c r="GU83" s="497" t="s">
        <v>4</v>
      </c>
      <c r="GV83" s="494">
        <v>20</v>
      </c>
      <c r="GW83" s="497" t="s">
        <v>29325</v>
      </c>
      <c r="GX83" s="497" t="s">
        <v>29309</v>
      </c>
      <c r="GY83" s="497" t="s">
        <v>4</v>
      </c>
      <c r="GZ83" s="497" t="s">
        <v>4</v>
      </c>
      <c r="HA83" s="497" t="s">
        <v>4</v>
      </c>
      <c r="HB83" s="497" t="s">
        <v>4</v>
      </c>
      <c r="HC83" s="497" t="s">
        <v>4</v>
      </c>
      <c r="HD83" s="497" t="s">
        <v>4</v>
      </c>
      <c r="HE83" s="497" t="s">
        <v>4</v>
      </c>
      <c r="HF83" s="497" t="s">
        <v>4</v>
      </c>
      <c r="HG83" s="497" t="s">
        <v>2</v>
      </c>
      <c r="HH83" s="497" t="s">
        <v>4</v>
      </c>
      <c r="HI83" s="497" t="s">
        <v>4</v>
      </c>
      <c r="HJ83" s="497" t="s">
        <v>4</v>
      </c>
      <c r="HK83" s="494" t="s">
        <v>4</v>
      </c>
      <c r="HL83" s="497" t="s">
        <v>35542</v>
      </c>
      <c r="HM83" s="497" t="s">
        <v>7</v>
      </c>
      <c r="HN83" s="497" t="s">
        <v>35543</v>
      </c>
      <c r="HO83" s="497" t="s">
        <v>35544</v>
      </c>
      <c r="HP83" s="497" t="s">
        <v>35545</v>
      </c>
      <c r="HQ83" s="497" t="s">
        <v>35546</v>
      </c>
      <c r="HR83" s="497" t="s">
        <v>35547</v>
      </c>
      <c r="HS83" s="497" t="s">
        <v>16</v>
      </c>
      <c r="HT83" s="500" t="s">
        <v>35526</v>
      </c>
    </row>
    <row r="84" spans="1:228" s="570" customFormat="1" ht="30.2" customHeight="1" x14ac:dyDescent="0.25">
      <c r="A84" s="759"/>
      <c r="B84" s="496">
        <v>11</v>
      </c>
      <c r="C84" s="496" t="s">
        <v>24656</v>
      </c>
      <c r="D84" s="497" t="s">
        <v>33463</v>
      </c>
      <c r="E84" s="497" t="s">
        <v>52</v>
      </c>
      <c r="F84" s="497" t="s">
        <v>7</v>
      </c>
      <c r="G84" s="497" t="s">
        <v>33464</v>
      </c>
      <c r="H84" s="497">
        <v>1674.9</v>
      </c>
      <c r="I84" s="497">
        <v>4.7</v>
      </c>
      <c r="J84" s="497" t="s">
        <v>29349</v>
      </c>
      <c r="K84" s="497" t="s">
        <v>4</v>
      </c>
      <c r="L84" s="497" t="s">
        <v>33465</v>
      </c>
      <c r="M84" s="497">
        <v>772396479</v>
      </c>
      <c r="N84" s="497" t="s">
        <v>3</v>
      </c>
      <c r="O84" s="497" t="s">
        <v>31590</v>
      </c>
      <c r="P84" s="497" t="s">
        <v>4</v>
      </c>
      <c r="Q84" s="497">
        <v>9</v>
      </c>
      <c r="R84" s="497" t="s">
        <v>7</v>
      </c>
      <c r="S84" s="497" t="s">
        <v>31535</v>
      </c>
      <c r="T84" s="497" t="s">
        <v>4</v>
      </c>
      <c r="U84" s="497" t="s">
        <v>7</v>
      </c>
      <c r="V84" s="497" t="s">
        <v>7</v>
      </c>
      <c r="W84" s="497" t="s">
        <v>4</v>
      </c>
      <c r="X84" s="497" t="s">
        <v>7</v>
      </c>
      <c r="Y84" s="497" t="s">
        <v>4</v>
      </c>
      <c r="Z84" s="497" t="s">
        <v>4</v>
      </c>
      <c r="AA84" s="241" t="str">
        <f>IF(OR(U84="yes",Z84&gt;'SDG outcome'!$C$39),"yes","no")</f>
        <v>yes</v>
      </c>
      <c r="AB84" s="521" t="str">
        <f t="shared" si="3"/>
        <v>NA</v>
      </c>
      <c r="AC84" s="527" t="str">
        <f>IF(AND('SMS p2'!AA23="no",AND(Z84&gt;='SDG outcome'!$B$28,Z84&lt;'SDG outcome'!$C$39)),Z84-'SDG outcome'!$B$28,"")</f>
        <v/>
      </c>
      <c r="AD84" s="497" t="s">
        <v>4</v>
      </c>
      <c r="AE84" s="497" t="s">
        <v>4</v>
      </c>
      <c r="AF84" s="497" t="s">
        <v>4</v>
      </c>
      <c r="AG84" s="497" t="s">
        <v>4</v>
      </c>
      <c r="AH84" s="497" t="s">
        <v>4</v>
      </c>
      <c r="AI84" s="497" t="s">
        <v>4</v>
      </c>
      <c r="AJ84" s="497" t="s">
        <v>4</v>
      </c>
      <c r="AK84" s="497" t="s">
        <v>29290</v>
      </c>
      <c r="AL84" s="497" t="s">
        <v>29291</v>
      </c>
      <c r="AM84" s="497" t="s">
        <v>4</v>
      </c>
      <c r="AN84" s="497" t="s">
        <v>4</v>
      </c>
      <c r="AO84" s="497" t="s">
        <v>31605</v>
      </c>
      <c r="AP84" s="497" t="s">
        <v>4</v>
      </c>
      <c r="AQ84" s="497" t="s">
        <v>31600</v>
      </c>
      <c r="AR84" s="497" t="s">
        <v>4</v>
      </c>
      <c r="AS84" s="497" t="s">
        <v>33466</v>
      </c>
      <c r="AT84" s="497" t="s">
        <v>16</v>
      </c>
      <c r="AU84" s="497" t="s">
        <v>2</v>
      </c>
      <c r="AV84" s="497" t="s">
        <v>31581</v>
      </c>
      <c r="AW84" s="497" t="s">
        <v>4</v>
      </c>
      <c r="AX84" s="497" t="s">
        <v>2</v>
      </c>
      <c r="AY84" s="497" t="s">
        <v>4</v>
      </c>
      <c r="AZ84" s="497" t="s">
        <v>4</v>
      </c>
      <c r="BA84" s="497" t="s">
        <v>31563</v>
      </c>
      <c r="BB84" s="497" t="s">
        <v>22</v>
      </c>
      <c r="BC84" s="497" t="s">
        <v>4</v>
      </c>
      <c r="BD84" s="501" t="s">
        <v>31564</v>
      </c>
      <c r="BE84" s="497" t="s">
        <v>4</v>
      </c>
      <c r="BF84" s="497" t="s">
        <v>31542</v>
      </c>
      <c r="BG84" s="497" t="s">
        <v>33467</v>
      </c>
      <c r="BH84" s="497" t="s">
        <v>31632</v>
      </c>
      <c r="BI84" s="497">
        <v>8</v>
      </c>
      <c r="BJ84" s="497">
        <v>120</v>
      </c>
      <c r="BK84" s="497" t="s">
        <v>7</v>
      </c>
      <c r="BL84" s="497" t="s">
        <v>6</v>
      </c>
      <c r="BM84" s="497" t="s">
        <v>4</v>
      </c>
      <c r="BN84" s="497" t="s">
        <v>31429</v>
      </c>
      <c r="BO84" s="497">
        <v>1</v>
      </c>
      <c r="BP84" s="497">
        <v>60</v>
      </c>
      <c r="BQ84" s="497" t="s">
        <v>31435</v>
      </c>
      <c r="BR84" s="499" t="s">
        <v>33332</v>
      </c>
      <c r="BS84" s="497" t="s">
        <v>4</v>
      </c>
      <c r="BT84" s="497">
        <v>2</v>
      </c>
      <c r="BU84" s="494" cm="1">
        <f t="array" ref="BU84">_xlfn.IFS(BQ84="Foreword vehicle",BT84*0,BQ84="Human wastes",BT84*0,BS84="Jerrycans",BT84*$BT$4,BQ84="Number of Basins",BT84*$BT$5,BQ84="Number of Buckets",BT84*$BT$6,BQ84="Number of Kgs",BT84*$BT$7,BQ84="Number of spades",BT84*$BT$8,BQ84="Number of wheelbarrows",BT84*$BT$9,BS84="Septic Tank",BT84*0)</f>
        <v>141</v>
      </c>
      <c r="BV84" s="494">
        <f>Table15[[#This Row],[Calculation: Conversion of metric to Kg manure feeding (Columns: BP, BQ, BR)]]*Table15[[#This Row],[Number of times used to feed biodigester]]</f>
        <v>141</v>
      </c>
      <c r="BW84" s="495" cm="1">
        <f t="array" ref="BW84">_xlfn.IFS(BN84="Number of times per day (1 to 3)",BV84/$BW$3,BN84="Number of times per week (1 to 6)",BV84/$BW$4,BN84="Number of times per Month (1 to 3)",BV84/$BW$5)</f>
        <v>20.142857142857142</v>
      </c>
      <c r="BX84" s="497" t="s">
        <v>22</v>
      </c>
      <c r="BY84" s="497" t="s">
        <v>4</v>
      </c>
      <c r="BZ84" s="497" t="s">
        <v>2</v>
      </c>
      <c r="CA84" s="497" t="s">
        <v>4</v>
      </c>
      <c r="CB84" s="497" t="s">
        <v>4</v>
      </c>
      <c r="CC84" s="497" t="s">
        <v>4</v>
      </c>
      <c r="CD84" s="497" t="s">
        <v>7</v>
      </c>
      <c r="CE84" s="497" t="s">
        <v>33468</v>
      </c>
      <c r="CF84" s="497" t="s">
        <v>4</v>
      </c>
      <c r="CG84" s="497" t="s">
        <v>31585</v>
      </c>
      <c r="CH84" s="497">
        <v>4</v>
      </c>
      <c r="CI84" s="497">
        <v>0</v>
      </c>
      <c r="CJ84" s="497">
        <v>0</v>
      </c>
      <c r="CK84" s="497">
        <v>0</v>
      </c>
      <c r="CL84" s="497">
        <v>10</v>
      </c>
      <c r="CM84" s="497">
        <v>30</v>
      </c>
      <c r="CN84" s="497">
        <v>0</v>
      </c>
      <c r="CO84" s="497">
        <v>0</v>
      </c>
      <c r="CP84" s="497">
        <v>0</v>
      </c>
      <c r="CQ84" s="497">
        <v>0</v>
      </c>
      <c r="CR84" s="497">
        <f>IF(Table15[[#This Row],[Is your biodigester working?]]="yes",CO84/'SDG outcome'!$C$9*CP84*CQ84,"")</f>
        <v>0</v>
      </c>
      <c r="CS84" s="497">
        <v>10</v>
      </c>
      <c r="CT84" s="500">
        <v>90</v>
      </c>
      <c r="CU84" s="496" t="s">
        <v>33469</v>
      </c>
      <c r="CV84" s="497" t="s">
        <v>4</v>
      </c>
      <c r="CW84" s="500" t="s">
        <v>4</v>
      </c>
      <c r="CX84" s="496" t="s">
        <v>4</v>
      </c>
      <c r="CY84" s="497" t="s">
        <v>4</v>
      </c>
      <c r="CZ84" s="500" t="s">
        <v>4</v>
      </c>
      <c r="DA84" s="496" t="s">
        <v>4</v>
      </c>
      <c r="DB84" s="497" t="s">
        <v>4</v>
      </c>
      <c r="DC84" s="497" t="s">
        <v>4</v>
      </c>
      <c r="DD84" s="497" t="s">
        <v>4</v>
      </c>
      <c r="DE84" s="497">
        <v>0</v>
      </c>
      <c r="DF84" s="497">
        <v>100</v>
      </c>
      <c r="DG84" s="497" t="s">
        <v>33470</v>
      </c>
      <c r="DH84" s="497" t="s">
        <v>4</v>
      </c>
      <c r="DI84" s="497" t="s">
        <v>4</v>
      </c>
      <c r="DJ84" s="497" t="s">
        <v>4</v>
      </c>
      <c r="DK84" s="497">
        <v>0</v>
      </c>
      <c r="DL84" s="497">
        <v>100</v>
      </c>
      <c r="DM84" s="497" t="s">
        <v>33471</v>
      </c>
      <c r="DN84" s="497">
        <v>1.5</v>
      </c>
      <c r="DO84" s="497" t="s">
        <v>2</v>
      </c>
      <c r="DP84" s="497" t="s">
        <v>29375</v>
      </c>
      <c r="DQ84" s="497" t="s">
        <v>4</v>
      </c>
      <c r="DR84" s="497" t="s">
        <v>4</v>
      </c>
      <c r="DS84" s="494" t="s">
        <v>4</v>
      </c>
      <c r="DT84" s="497" t="s">
        <v>29293</v>
      </c>
      <c r="DU84" s="494">
        <v>20000</v>
      </c>
      <c r="DV84" s="500" t="s">
        <v>29508</v>
      </c>
      <c r="DW84" s="496" t="s">
        <v>4</v>
      </c>
      <c r="DX84" s="497" t="s">
        <v>4</v>
      </c>
      <c r="DY84" s="497" t="s">
        <v>4</v>
      </c>
      <c r="DZ84" s="497" t="s">
        <v>4</v>
      </c>
      <c r="EA84" s="497" t="s">
        <v>4</v>
      </c>
      <c r="EB84" s="497" t="s">
        <v>4</v>
      </c>
      <c r="EC84" s="497" t="s">
        <v>4</v>
      </c>
      <c r="ED84" s="497">
        <v>100</v>
      </c>
      <c r="EE84" s="497" t="s">
        <v>26</v>
      </c>
      <c r="EF84" s="497" t="s">
        <v>4</v>
      </c>
      <c r="EG84" s="497" t="s">
        <v>4</v>
      </c>
      <c r="EH84" s="497" t="s">
        <v>4</v>
      </c>
      <c r="EI84" s="497">
        <v>100</v>
      </c>
      <c r="EJ84" s="497" t="s">
        <v>4</v>
      </c>
      <c r="EK84" s="497" t="s">
        <v>4</v>
      </c>
      <c r="EL84" s="497" t="s">
        <v>4</v>
      </c>
      <c r="EM84" s="497">
        <v>30</v>
      </c>
      <c r="EN84" s="497" t="s">
        <v>4</v>
      </c>
      <c r="EO84" s="497" t="s">
        <v>4</v>
      </c>
      <c r="EP84" s="497" t="s">
        <v>4</v>
      </c>
      <c r="EQ84" s="497" t="s">
        <v>29296</v>
      </c>
      <c r="ER84" s="497">
        <v>100</v>
      </c>
      <c r="ES84" s="497" t="s">
        <v>4</v>
      </c>
      <c r="ET84" s="497" t="s">
        <v>4</v>
      </c>
      <c r="EU84" s="497" t="s">
        <v>4</v>
      </c>
      <c r="EV84" s="497" t="s">
        <v>4</v>
      </c>
      <c r="EW84" s="497">
        <v>3.24</v>
      </c>
      <c r="EX84" s="497" t="s">
        <v>7</v>
      </c>
      <c r="EY84" s="497">
        <v>20</v>
      </c>
      <c r="EZ84" s="239">
        <f t="shared" si="4"/>
        <v>0.64800000000000013</v>
      </c>
      <c r="FA84" s="497" t="s">
        <v>33472</v>
      </c>
      <c r="FB84" s="497" t="s">
        <v>29298</v>
      </c>
      <c r="FC84" s="497">
        <v>48</v>
      </c>
      <c r="FD84" s="497" t="s">
        <v>2</v>
      </c>
      <c r="FE84" s="497" t="s">
        <v>4</v>
      </c>
      <c r="FF84" s="497" t="s">
        <v>4</v>
      </c>
      <c r="FG84" s="497" t="s">
        <v>2</v>
      </c>
      <c r="FH84" s="497" t="s">
        <v>4</v>
      </c>
      <c r="FI84" s="497" t="s">
        <v>4</v>
      </c>
      <c r="FJ84" s="497" t="s">
        <v>4</v>
      </c>
      <c r="FK84" s="497" t="s">
        <v>4</v>
      </c>
      <c r="FL84" s="497" t="s">
        <v>4</v>
      </c>
      <c r="FM84" s="497" t="s">
        <v>4</v>
      </c>
      <c r="FN84" s="494" t="s">
        <v>4</v>
      </c>
      <c r="FO84" s="497" t="s">
        <v>4</v>
      </c>
      <c r="FP84" s="497" t="s">
        <v>2</v>
      </c>
      <c r="FQ84" s="497" t="s">
        <v>4</v>
      </c>
      <c r="FR84" s="497" t="s">
        <v>4</v>
      </c>
      <c r="FS84" s="497" t="s">
        <v>2</v>
      </c>
      <c r="FT84" s="497" t="s">
        <v>7</v>
      </c>
      <c r="FU84" s="497" t="s">
        <v>29302</v>
      </c>
      <c r="FV84" s="497" t="s">
        <v>33473</v>
      </c>
      <c r="FW84" s="497" t="s">
        <v>29304</v>
      </c>
      <c r="FX84" s="497">
        <v>0.33</v>
      </c>
      <c r="FY84" s="497" t="s">
        <v>29940</v>
      </c>
      <c r="FZ84" s="497" t="s">
        <v>4</v>
      </c>
      <c r="GA84" s="497" t="s">
        <v>29556</v>
      </c>
      <c r="GB84" s="497" t="s">
        <v>4</v>
      </c>
      <c r="GC84" s="497" t="s">
        <v>4</v>
      </c>
      <c r="GD84" s="497" t="s">
        <v>4</v>
      </c>
      <c r="GE84" s="497" t="s">
        <v>4</v>
      </c>
      <c r="GF84" s="497" t="s">
        <v>4</v>
      </c>
      <c r="GG84" s="497" t="s">
        <v>4</v>
      </c>
      <c r="GH84" s="497" t="s">
        <v>4</v>
      </c>
      <c r="GI84" s="497" t="s">
        <v>4</v>
      </c>
      <c r="GJ84" s="497" t="s">
        <v>4</v>
      </c>
      <c r="GK84" s="497" t="s">
        <v>4</v>
      </c>
      <c r="GL84" s="497" t="s">
        <v>4</v>
      </c>
      <c r="GM84" s="497" t="s">
        <v>4</v>
      </c>
      <c r="GN84" s="497" t="s">
        <v>4</v>
      </c>
      <c r="GO84" s="497" t="s">
        <v>4</v>
      </c>
      <c r="GP84" s="497" t="s">
        <v>4</v>
      </c>
      <c r="GQ84" s="497" t="s">
        <v>4</v>
      </c>
      <c r="GR84" s="497" t="s">
        <v>4</v>
      </c>
      <c r="GS84" s="497" t="s">
        <v>4</v>
      </c>
      <c r="GT84" s="497" t="s">
        <v>29452</v>
      </c>
      <c r="GU84" s="497" t="s">
        <v>4</v>
      </c>
      <c r="GV84" s="494">
        <v>2</v>
      </c>
      <c r="GW84" s="497" t="s">
        <v>29325</v>
      </c>
      <c r="GX84" s="497" t="s">
        <v>29309</v>
      </c>
      <c r="GY84" s="497" t="s">
        <v>4</v>
      </c>
      <c r="GZ84" s="497" t="s">
        <v>4</v>
      </c>
      <c r="HA84" s="497" t="s">
        <v>4</v>
      </c>
      <c r="HB84" s="497" t="s">
        <v>4</v>
      </c>
      <c r="HC84" s="497" t="s">
        <v>4</v>
      </c>
      <c r="HD84" s="497" t="s">
        <v>4</v>
      </c>
      <c r="HE84" s="497" t="s">
        <v>4</v>
      </c>
      <c r="HF84" s="497" t="s">
        <v>4</v>
      </c>
      <c r="HG84" s="497" t="s">
        <v>2</v>
      </c>
      <c r="HH84" s="497" t="s">
        <v>4</v>
      </c>
      <c r="HI84" s="497" t="s">
        <v>4</v>
      </c>
      <c r="HJ84" s="497" t="s">
        <v>4</v>
      </c>
      <c r="HK84" s="494" t="s">
        <v>4</v>
      </c>
      <c r="HL84" s="497" t="s">
        <v>33474</v>
      </c>
      <c r="HM84" s="497" t="s">
        <v>2</v>
      </c>
      <c r="HN84" s="497" t="s">
        <v>4</v>
      </c>
      <c r="HO84" s="497" t="s">
        <v>33475</v>
      </c>
      <c r="HP84" s="497" t="s">
        <v>33476</v>
      </c>
      <c r="HQ84" s="497" t="s">
        <v>33477</v>
      </c>
      <c r="HR84" s="497" t="s">
        <v>33478</v>
      </c>
      <c r="HS84" s="497" t="s">
        <v>33479</v>
      </c>
      <c r="HT84" s="500" t="s">
        <v>33480</v>
      </c>
    </row>
    <row r="85" spans="1:228" s="570" customFormat="1" ht="30.2" customHeight="1" x14ac:dyDescent="0.25">
      <c r="A85" s="759"/>
      <c r="B85" s="496">
        <v>24</v>
      </c>
      <c r="C85" s="496" t="s">
        <v>24932</v>
      </c>
      <c r="D85" s="497" t="s">
        <v>33616</v>
      </c>
      <c r="E85" s="497" t="s">
        <v>33583</v>
      </c>
      <c r="F85" s="497" t="s">
        <v>7</v>
      </c>
      <c r="G85" s="497" t="s">
        <v>33617</v>
      </c>
      <c r="H85" s="497">
        <v>1614.4</v>
      </c>
      <c r="I85" s="497">
        <v>5.2</v>
      </c>
      <c r="J85" s="497" t="s">
        <v>29288</v>
      </c>
      <c r="K85" s="497" t="s">
        <v>4</v>
      </c>
      <c r="L85" s="497" t="s">
        <v>33618</v>
      </c>
      <c r="M85" s="497">
        <v>703641818</v>
      </c>
      <c r="N85" s="497" t="s">
        <v>3</v>
      </c>
      <c r="O85" s="497" t="s">
        <v>31590</v>
      </c>
      <c r="P85" s="497" t="s">
        <v>4</v>
      </c>
      <c r="Q85" s="497">
        <v>10</v>
      </c>
      <c r="R85" s="497" t="s">
        <v>7</v>
      </c>
      <c r="S85" s="497" t="s">
        <v>31588</v>
      </c>
      <c r="T85" s="497" t="s">
        <v>4</v>
      </c>
      <c r="U85" s="497" t="s">
        <v>7</v>
      </c>
      <c r="V85" s="497" t="s">
        <v>7</v>
      </c>
      <c r="W85" s="497" t="s">
        <v>4</v>
      </c>
      <c r="X85" s="497" t="s">
        <v>7</v>
      </c>
      <c r="Y85" s="497" t="s">
        <v>4</v>
      </c>
      <c r="Z85" s="497" t="s">
        <v>4</v>
      </c>
      <c r="AA85" s="241" t="str">
        <f>IF(OR(U85="yes",Z85&gt;'SDG outcome'!$C$39),"yes","no")</f>
        <v>yes</v>
      </c>
      <c r="AB85" s="521" t="str">
        <f t="shared" si="3"/>
        <v>NA</v>
      </c>
      <c r="AC85" s="527" t="str">
        <f>IF(AND('SMS p2'!AA36="no",AND(Z85&gt;='SDG outcome'!$B$28,Z85&lt;'SDG outcome'!$C$39)),Z85-'SDG outcome'!$B$28,"")</f>
        <v/>
      </c>
      <c r="AD85" s="497" t="s">
        <v>4</v>
      </c>
      <c r="AE85" s="497" t="s">
        <v>4</v>
      </c>
      <c r="AF85" s="497" t="s">
        <v>4</v>
      </c>
      <c r="AG85" s="497" t="s">
        <v>4</v>
      </c>
      <c r="AH85" s="497" t="s">
        <v>4</v>
      </c>
      <c r="AI85" s="497" t="s">
        <v>4</v>
      </c>
      <c r="AJ85" s="497" t="s">
        <v>4</v>
      </c>
      <c r="AK85" s="497" t="s">
        <v>29290</v>
      </c>
      <c r="AL85" s="497" t="s">
        <v>29694</v>
      </c>
      <c r="AM85" s="497" t="s">
        <v>4</v>
      </c>
      <c r="AN85" s="497" t="s">
        <v>4</v>
      </c>
      <c r="AO85" s="497" t="s">
        <v>31536</v>
      </c>
      <c r="AP85" s="497" t="s">
        <v>4</v>
      </c>
      <c r="AQ85" s="497" t="s">
        <v>31537</v>
      </c>
      <c r="AR85" s="497" t="s">
        <v>4</v>
      </c>
      <c r="AS85" s="497" t="s">
        <v>31538</v>
      </c>
      <c r="AT85" s="497" t="s">
        <v>4</v>
      </c>
      <c r="AU85" s="497" t="s">
        <v>7</v>
      </c>
      <c r="AV85" s="497" t="s">
        <v>4</v>
      </c>
      <c r="AW85" s="497" t="s">
        <v>4</v>
      </c>
      <c r="AX85" s="497" t="s">
        <v>2</v>
      </c>
      <c r="AY85" s="497" t="s">
        <v>4</v>
      </c>
      <c r="AZ85" s="497" t="s">
        <v>4</v>
      </c>
      <c r="BA85" s="497" t="s">
        <v>31563</v>
      </c>
      <c r="BB85" s="497" t="s">
        <v>14</v>
      </c>
      <c r="BC85" s="497" t="s">
        <v>4</v>
      </c>
      <c r="BD85" s="497" t="s">
        <v>31541</v>
      </c>
      <c r="BE85" s="497" t="s">
        <v>4</v>
      </c>
      <c r="BF85" s="497" t="s">
        <v>31542</v>
      </c>
      <c r="BG85" s="497" t="s">
        <v>33619</v>
      </c>
      <c r="BH85" s="497" t="s">
        <v>31544</v>
      </c>
      <c r="BI85" s="497">
        <v>3</v>
      </c>
      <c r="BJ85" s="497">
        <v>60</v>
      </c>
      <c r="BK85" s="497" t="s">
        <v>7</v>
      </c>
      <c r="BL85" s="497" t="s">
        <v>6</v>
      </c>
      <c r="BM85" s="497" t="s">
        <v>4</v>
      </c>
      <c r="BN85" s="497" t="s">
        <v>31425</v>
      </c>
      <c r="BO85" s="497">
        <v>2</v>
      </c>
      <c r="BP85" s="497">
        <v>60</v>
      </c>
      <c r="BQ85" s="497" t="s">
        <v>31426</v>
      </c>
      <c r="BR85" s="499" t="s">
        <v>33332</v>
      </c>
      <c r="BS85" s="497" t="s">
        <v>4</v>
      </c>
      <c r="BT85" s="497">
        <v>4</v>
      </c>
      <c r="BU85" s="494" cm="1">
        <f t="array" ref="BU85">_xlfn.IFS(BQ85="Foreword vehicle",BT85*0,BQ85="Human wastes",BT85*0,BS85="Jerrycans",BT85*$BT$4,BQ85="Number of Basins",BT85*$BT$5,BQ85="Number of Buckets",BT85*$BT$6,BQ85="Number of Kgs",BT85*$BT$7,BQ85="Number of spades",BT85*$BT$8,BQ85="Number of wheelbarrows",BT85*$BT$9,BS85="Septic Tank",BT85*0)</f>
        <v>92</v>
      </c>
      <c r="BV85" s="494">
        <f>Table15[[#This Row],[Calculation: Conversion of metric to Kg manure feeding (Columns: BP, BQ, BR)]]*Table15[[#This Row],[Number of times used to feed biodigester]]</f>
        <v>184</v>
      </c>
      <c r="BW85" s="495" cm="1">
        <f t="array" ref="BW85">_xlfn.IFS(BN85="Number of times per day (1 to 3)",BV85/$BW$3,BN85="Number of times per week (1 to 6)",BV85/$BW$4,BN85="Number of times per Month (1 to 3)",BV85/$BW$5)</f>
        <v>184</v>
      </c>
      <c r="BX85" s="497" t="s">
        <v>22</v>
      </c>
      <c r="BY85" s="497" t="s">
        <v>4</v>
      </c>
      <c r="BZ85" s="497" t="s">
        <v>2</v>
      </c>
      <c r="CA85" s="497" t="s">
        <v>4</v>
      </c>
      <c r="CB85" s="497" t="s">
        <v>4</v>
      </c>
      <c r="CC85" s="497" t="s">
        <v>4</v>
      </c>
      <c r="CD85" s="497" t="s">
        <v>7</v>
      </c>
      <c r="CE85" s="497" t="s">
        <v>33620</v>
      </c>
      <c r="CF85" s="497" t="s">
        <v>4</v>
      </c>
      <c r="CG85" s="497" t="s">
        <v>31604</v>
      </c>
      <c r="CH85" s="497">
        <v>4</v>
      </c>
      <c r="CI85" s="497">
        <v>0</v>
      </c>
      <c r="CJ85" s="497">
        <v>0</v>
      </c>
      <c r="CK85" s="497">
        <v>0</v>
      </c>
      <c r="CL85" s="497">
        <v>0</v>
      </c>
      <c r="CM85" s="497">
        <v>0</v>
      </c>
      <c r="CN85" s="497">
        <v>0</v>
      </c>
      <c r="CO85" s="497">
        <v>0</v>
      </c>
      <c r="CP85" s="497">
        <v>0</v>
      </c>
      <c r="CQ85" s="497">
        <v>0</v>
      </c>
      <c r="CR85" s="497">
        <f>IF(Table15[[#This Row],[Is your biodigester working?]]="yes",CO85/'SDG outcome'!$C$9*CP85*CQ85,"")</f>
        <v>0</v>
      </c>
      <c r="CS85" s="497">
        <v>100</v>
      </c>
      <c r="CT85" s="500">
        <v>0</v>
      </c>
      <c r="CU85" s="496" t="s">
        <v>4</v>
      </c>
      <c r="CV85" s="497" t="s">
        <v>4</v>
      </c>
      <c r="CW85" s="500" t="s">
        <v>4</v>
      </c>
      <c r="CX85" s="496" t="s">
        <v>4</v>
      </c>
      <c r="CY85" s="497" t="s">
        <v>4</v>
      </c>
      <c r="CZ85" s="500" t="s">
        <v>4</v>
      </c>
      <c r="DA85" s="496" t="s">
        <v>4</v>
      </c>
      <c r="DB85" s="497" t="s">
        <v>4</v>
      </c>
      <c r="DC85" s="497" t="s">
        <v>4</v>
      </c>
      <c r="DD85" s="497" t="s">
        <v>4</v>
      </c>
      <c r="DE85" s="497" t="s">
        <v>4</v>
      </c>
      <c r="DF85" s="497" t="s">
        <v>4</v>
      </c>
      <c r="DG85" s="497" t="s">
        <v>4</v>
      </c>
      <c r="DH85" s="497" t="s">
        <v>4</v>
      </c>
      <c r="DI85" s="497" t="s">
        <v>4</v>
      </c>
      <c r="DJ85" s="497" t="s">
        <v>4</v>
      </c>
      <c r="DK85" s="497" t="s">
        <v>4</v>
      </c>
      <c r="DL85" s="497" t="s">
        <v>4</v>
      </c>
      <c r="DM85" s="497" t="s">
        <v>4</v>
      </c>
      <c r="DN85" s="497">
        <v>3</v>
      </c>
      <c r="DO85" s="497" t="s">
        <v>2</v>
      </c>
      <c r="DP85" s="497" t="s">
        <v>29292</v>
      </c>
      <c r="DQ85" s="497" t="s">
        <v>4</v>
      </c>
      <c r="DR85" s="497" t="s">
        <v>29294</v>
      </c>
      <c r="DS85" s="494" t="s">
        <v>4</v>
      </c>
      <c r="DT85" s="497" t="s">
        <v>29293</v>
      </c>
      <c r="DU85" s="494">
        <v>200000</v>
      </c>
      <c r="DV85" s="500" t="s">
        <v>29295</v>
      </c>
      <c r="DW85" s="496">
        <v>100</v>
      </c>
      <c r="DX85" s="497" t="s">
        <v>30460</v>
      </c>
      <c r="DY85" s="497">
        <v>80</v>
      </c>
      <c r="DZ85" s="497">
        <v>20</v>
      </c>
      <c r="EA85" s="497" t="s">
        <v>4</v>
      </c>
      <c r="EB85" s="497" t="s">
        <v>4</v>
      </c>
      <c r="EC85" s="497" t="s">
        <v>4</v>
      </c>
      <c r="ED85" s="497" t="s">
        <v>4</v>
      </c>
      <c r="EE85" s="497" t="s">
        <v>4</v>
      </c>
      <c r="EF85" s="497" t="s">
        <v>4</v>
      </c>
      <c r="EG85" s="497" t="s">
        <v>4</v>
      </c>
      <c r="EH85" s="497" t="s">
        <v>4</v>
      </c>
      <c r="EI85" s="497" t="s">
        <v>4</v>
      </c>
      <c r="EJ85" s="497" t="s">
        <v>4</v>
      </c>
      <c r="EK85" s="497" t="s">
        <v>4</v>
      </c>
      <c r="EL85" s="497" t="s">
        <v>4</v>
      </c>
      <c r="EM85" s="497" t="s">
        <v>4</v>
      </c>
      <c r="EN85" s="497" t="s">
        <v>4</v>
      </c>
      <c r="EO85" s="497" t="s">
        <v>4</v>
      </c>
      <c r="EP85" s="497" t="s">
        <v>4</v>
      </c>
      <c r="EQ85" s="497" t="s">
        <v>4</v>
      </c>
      <c r="ER85" s="497" t="s">
        <v>4</v>
      </c>
      <c r="ES85" s="497" t="s">
        <v>4</v>
      </c>
      <c r="ET85" s="497" t="s">
        <v>4</v>
      </c>
      <c r="EU85" s="497" t="s">
        <v>4</v>
      </c>
      <c r="EV85" s="497" t="s">
        <v>4</v>
      </c>
      <c r="EW85" s="497">
        <v>0.81</v>
      </c>
      <c r="EX85" s="497" t="s">
        <v>7</v>
      </c>
      <c r="EY85" s="497">
        <v>75</v>
      </c>
      <c r="EZ85" s="239">
        <f t="shared" si="4"/>
        <v>0.60750000000000004</v>
      </c>
      <c r="FA85" s="497" t="s">
        <v>33621</v>
      </c>
      <c r="FB85" s="497" t="s">
        <v>29298</v>
      </c>
      <c r="FC85" s="497">
        <v>36</v>
      </c>
      <c r="FD85" s="497" t="s">
        <v>2</v>
      </c>
      <c r="FE85" s="497" t="s">
        <v>4</v>
      </c>
      <c r="FF85" s="497" t="s">
        <v>4</v>
      </c>
      <c r="FG85" s="497" t="s">
        <v>2</v>
      </c>
      <c r="FH85" s="497" t="s">
        <v>4</v>
      </c>
      <c r="FI85" s="497" t="s">
        <v>4</v>
      </c>
      <c r="FJ85" s="497" t="s">
        <v>4</v>
      </c>
      <c r="FK85" s="497" t="s">
        <v>4</v>
      </c>
      <c r="FL85" s="497" t="s">
        <v>4</v>
      </c>
      <c r="FM85" s="497" t="s">
        <v>4</v>
      </c>
      <c r="FN85" s="494" t="s">
        <v>4</v>
      </c>
      <c r="FO85" s="497" t="s">
        <v>4</v>
      </c>
      <c r="FP85" s="497" t="s">
        <v>2</v>
      </c>
      <c r="FQ85" s="497" t="s">
        <v>4</v>
      </c>
      <c r="FR85" s="497" t="s">
        <v>4</v>
      </c>
      <c r="FS85" s="497" t="s">
        <v>7</v>
      </c>
      <c r="FT85" s="497" t="s">
        <v>7</v>
      </c>
      <c r="FU85" s="497" t="s">
        <v>29302</v>
      </c>
      <c r="FV85" s="497" t="s">
        <v>33473</v>
      </c>
      <c r="FW85" s="497" t="s">
        <v>29304</v>
      </c>
      <c r="FX85" s="497" t="s">
        <v>31347</v>
      </c>
      <c r="FY85" s="497" t="s">
        <v>29396</v>
      </c>
      <c r="FZ85" s="497" t="s">
        <v>4</v>
      </c>
      <c r="GA85" s="497" t="s">
        <v>4</v>
      </c>
      <c r="GB85" s="497" t="s">
        <v>29397</v>
      </c>
      <c r="GC85" s="497" t="s">
        <v>4</v>
      </c>
      <c r="GD85" s="497" t="s">
        <v>4</v>
      </c>
      <c r="GE85" s="497" t="s">
        <v>4</v>
      </c>
      <c r="GF85" s="497" t="s">
        <v>4</v>
      </c>
      <c r="GG85" s="497" t="s">
        <v>4</v>
      </c>
      <c r="GH85" s="497" t="s">
        <v>4</v>
      </c>
      <c r="GI85" s="497" t="s">
        <v>4</v>
      </c>
      <c r="GJ85" s="497" t="s">
        <v>4</v>
      </c>
      <c r="GK85" s="497" t="s">
        <v>4</v>
      </c>
      <c r="GL85" s="497" t="s">
        <v>4</v>
      </c>
      <c r="GM85" s="497" t="s">
        <v>4</v>
      </c>
      <c r="GN85" s="497" t="s">
        <v>4</v>
      </c>
      <c r="GO85" s="497" t="s">
        <v>4</v>
      </c>
      <c r="GP85" s="497" t="s">
        <v>4</v>
      </c>
      <c r="GQ85" s="497" t="s">
        <v>4</v>
      </c>
      <c r="GR85" s="497" t="s">
        <v>4</v>
      </c>
      <c r="GS85" s="497" t="s">
        <v>4</v>
      </c>
      <c r="GT85" s="497" t="s">
        <v>29354</v>
      </c>
      <c r="GU85" s="497" t="s">
        <v>4</v>
      </c>
      <c r="GV85" s="494">
        <v>10</v>
      </c>
      <c r="GW85" s="497" t="s">
        <v>2</v>
      </c>
      <c r="GX85" s="497" t="s">
        <v>29837</v>
      </c>
      <c r="GY85" s="497" t="s">
        <v>4</v>
      </c>
      <c r="GZ85" s="497" t="s">
        <v>4</v>
      </c>
      <c r="HA85" s="497" t="s">
        <v>4</v>
      </c>
      <c r="HB85" s="497" t="s">
        <v>4</v>
      </c>
      <c r="HC85" s="497" t="s">
        <v>4</v>
      </c>
      <c r="HD85" s="497" t="s">
        <v>4</v>
      </c>
      <c r="HE85" s="497" t="s">
        <v>4</v>
      </c>
      <c r="HF85" s="497" t="s">
        <v>4</v>
      </c>
      <c r="HG85" s="497" t="s">
        <v>2</v>
      </c>
      <c r="HH85" s="497" t="s">
        <v>4</v>
      </c>
      <c r="HI85" s="497" t="s">
        <v>4</v>
      </c>
      <c r="HJ85" s="497" t="s">
        <v>4</v>
      </c>
      <c r="HK85" s="494" t="s">
        <v>4</v>
      </c>
      <c r="HL85" s="497" t="s">
        <v>33622</v>
      </c>
      <c r="HM85" s="497" t="s">
        <v>7</v>
      </c>
      <c r="HN85" s="497" t="s">
        <v>33623</v>
      </c>
      <c r="HO85" s="497" t="s">
        <v>33624</v>
      </c>
      <c r="HP85" s="497" t="s">
        <v>33625</v>
      </c>
      <c r="HQ85" s="497" t="s">
        <v>33626</v>
      </c>
      <c r="HR85" s="497" t="s">
        <v>33627</v>
      </c>
      <c r="HS85" s="497" t="s">
        <v>33628</v>
      </c>
      <c r="HT85" s="500" t="s">
        <v>33629</v>
      </c>
    </row>
    <row r="86" spans="1:228" s="570" customFormat="1" ht="30.2" customHeight="1" x14ac:dyDescent="0.25">
      <c r="A86" s="759"/>
      <c r="B86" s="496">
        <v>262</v>
      </c>
      <c r="C86" s="496" t="s">
        <v>8602</v>
      </c>
      <c r="D86" s="497" t="s">
        <v>36215</v>
      </c>
      <c r="E86" s="497" t="s">
        <v>30002</v>
      </c>
      <c r="F86" s="497" t="s">
        <v>7</v>
      </c>
      <c r="G86" s="497" t="s">
        <v>36216</v>
      </c>
      <c r="H86" s="497">
        <v>1141.5999999999999</v>
      </c>
      <c r="I86" s="497">
        <v>4.5999999999999996</v>
      </c>
      <c r="J86" s="497" t="s">
        <v>29349</v>
      </c>
      <c r="K86" s="497" t="s">
        <v>4</v>
      </c>
      <c r="L86" s="497" t="s">
        <v>36217</v>
      </c>
      <c r="M86" s="497">
        <v>704847585</v>
      </c>
      <c r="N86" s="497" t="s">
        <v>5</v>
      </c>
      <c r="O86" s="497" t="s">
        <v>31590</v>
      </c>
      <c r="P86" s="497" t="s">
        <v>4</v>
      </c>
      <c r="Q86" s="497">
        <v>8</v>
      </c>
      <c r="R86" s="497" t="s">
        <v>7</v>
      </c>
      <c r="S86" s="497" t="s">
        <v>31562</v>
      </c>
      <c r="T86" s="497" t="s">
        <v>4</v>
      </c>
      <c r="U86" s="497" t="s">
        <v>7</v>
      </c>
      <c r="V86" s="497" t="s">
        <v>7</v>
      </c>
      <c r="W86" s="497" t="s">
        <v>4</v>
      </c>
      <c r="X86" s="497" t="s">
        <v>7</v>
      </c>
      <c r="Y86" s="497" t="s">
        <v>4</v>
      </c>
      <c r="Z86" s="497" t="s">
        <v>4</v>
      </c>
      <c r="AA86" s="241" t="str">
        <f>IF(OR(U86="yes",Z86&gt;'SDG outcome'!$C$39),"yes","no")</f>
        <v>yes</v>
      </c>
      <c r="AB86" s="521" t="str">
        <f t="shared" si="3"/>
        <v>NA</v>
      </c>
      <c r="AC86" s="527" t="str">
        <f>IF(AND('SMS p2'!AA272="no",AND(Z86&gt;='SDG outcome'!$B$28,Z86&lt;'SDG outcome'!$C$39)),Z86-'SDG outcome'!$B$28,"")</f>
        <v/>
      </c>
      <c r="AD86" s="497" t="s">
        <v>4</v>
      </c>
      <c r="AE86" s="497" t="s">
        <v>4</v>
      </c>
      <c r="AF86" s="497" t="s">
        <v>4</v>
      </c>
      <c r="AG86" s="497" t="s">
        <v>4</v>
      </c>
      <c r="AH86" s="497" t="s">
        <v>4</v>
      </c>
      <c r="AI86" s="497" t="s">
        <v>4</v>
      </c>
      <c r="AJ86" s="498" t="s">
        <v>4</v>
      </c>
      <c r="AK86" s="497" t="s">
        <v>29290</v>
      </c>
      <c r="AL86" s="497" t="s">
        <v>29694</v>
      </c>
      <c r="AM86" s="498" t="s">
        <v>4</v>
      </c>
      <c r="AN86" s="498" t="s">
        <v>4</v>
      </c>
      <c r="AO86" s="497" t="s">
        <v>31718</v>
      </c>
      <c r="AP86" s="498" t="s">
        <v>4</v>
      </c>
      <c r="AQ86" s="497" t="s">
        <v>31600</v>
      </c>
      <c r="AR86" s="498" t="s">
        <v>4</v>
      </c>
      <c r="AS86" s="497" t="s">
        <v>31601</v>
      </c>
      <c r="AT86" s="498" t="s">
        <v>4</v>
      </c>
      <c r="AU86" s="497" t="s">
        <v>7</v>
      </c>
      <c r="AV86" s="498" t="s">
        <v>4</v>
      </c>
      <c r="AW86" s="498" t="s">
        <v>4</v>
      </c>
      <c r="AX86" s="497" t="s">
        <v>7</v>
      </c>
      <c r="AY86" s="497" t="s">
        <v>11</v>
      </c>
      <c r="AZ86" s="498" t="s">
        <v>4</v>
      </c>
      <c r="BA86" s="497" t="s">
        <v>31619</v>
      </c>
      <c r="BB86" s="497" t="s">
        <v>31552</v>
      </c>
      <c r="BC86" s="498" t="s">
        <v>4</v>
      </c>
      <c r="BD86" s="497" t="s">
        <v>22</v>
      </c>
      <c r="BE86" s="498" t="s">
        <v>4</v>
      </c>
      <c r="BF86" s="497" t="s">
        <v>31542</v>
      </c>
      <c r="BG86" s="497" t="s">
        <v>36218</v>
      </c>
      <c r="BH86" s="497" t="s">
        <v>31616</v>
      </c>
      <c r="BI86" s="497">
        <v>1</v>
      </c>
      <c r="BJ86" s="497">
        <v>120</v>
      </c>
      <c r="BK86" s="497" t="s">
        <v>7</v>
      </c>
      <c r="BL86" s="497" t="s">
        <v>11</v>
      </c>
      <c r="BM86" s="497" t="s">
        <v>4</v>
      </c>
      <c r="BN86" s="497" t="s">
        <v>31425</v>
      </c>
      <c r="BO86" s="497">
        <v>1</v>
      </c>
      <c r="BP86" s="497">
        <v>60</v>
      </c>
      <c r="BQ86" s="497" t="s">
        <v>31435</v>
      </c>
      <c r="BR86" s="499" t="s">
        <v>33332</v>
      </c>
      <c r="BS86" s="497" t="s">
        <v>4</v>
      </c>
      <c r="BT86" s="497">
        <v>2</v>
      </c>
      <c r="BU86" s="494" cm="1">
        <f t="array" ref="BU86">_xlfn.IFS(BQ86="Foreword vehicle",BT86*0,BQ86="Human wastes",BT86*0,BS86="Jerrycans",BT86*$BT$4,BQ86="Number of Basins",BT86*$BT$5,BQ86="Number of Buckets",BT86*$BT$6,BQ86="Number of Kgs",BT86*$BT$7,BQ86="Number of spades",BT86*$BT$8,BQ86="Number of wheelbarrows",BT86*$BT$9,BS86="Septic Tank",BT86*0)</f>
        <v>141</v>
      </c>
      <c r="BV86" s="497">
        <f>Table15[[#This Row],[Calculation: Conversion of metric to Kg manure feeding (Columns: BP, BQ, BR)]]*Table15[[#This Row],[Number of times used to feed biodigester]]</f>
        <v>141</v>
      </c>
      <c r="BW86" s="495" cm="1">
        <f t="array" ref="BW86">_xlfn.IFS(BN86="Number of times per day (1 to 3)",BV86/$BW$3,BN86="Number of times per week (1 to 6)",BV86/$BW$4,BN86="Number of times per Month (1 to 3)",BV86/$BW$5)</f>
        <v>141</v>
      </c>
      <c r="BX86" s="497" t="s">
        <v>22</v>
      </c>
      <c r="BY86" s="497" t="s">
        <v>4</v>
      </c>
      <c r="BZ86" s="497" t="s">
        <v>2</v>
      </c>
      <c r="CA86" s="497" t="s">
        <v>4</v>
      </c>
      <c r="CB86" s="497" t="s">
        <v>4</v>
      </c>
      <c r="CC86" s="497" t="s">
        <v>4</v>
      </c>
      <c r="CD86" s="497" t="s">
        <v>7</v>
      </c>
      <c r="CE86" s="497" t="s">
        <v>36219</v>
      </c>
      <c r="CF86" s="497" t="s">
        <v>4</v>
      </c>
      <c r="CG86" s="497" t="s">
        <v>31634</v>
      </c>
      <c r="CH86" s="497">
        <v>4</v>
      </c>
      <c r="CI86" s="497">
        <v>0</v>
      </c>
      <c r="CJ86" s="497">
        <v>0</v>
      </c>
      <c r="CK86" s="497">
        <v>0</v>
      </c>
      <c r="CL86" s="497">
        <v>13</v>
      </c>
      <c r="CM86" s="497">
        <v>0</v>
      </c>
      <c r="CN86" s="497">
        <v>0</v>
      </c>
      <c r="CO86" s="497">
        <v>0</v>
      </c>
      <c r="CP86" s="497">
        <v>0</v>
      </c>
      <c r="CQ86" s="497">
        <v>0</v>
      </c>
      <c r="CR86" s="497">
        <f>IF(Table15[[#This Row],[Is your biodigester working?]]="yes",CO86/'SDG outcome'!$C$9*CP86*CQ86,"")</f>
        <v>0</v>
      </c>
      <c r="CS86" s="497">
        <v>80</v>
      </c>
      <c r="CT86" s="500">
        <v>20</v>
      </c>
      <c r="CU86" s="496" t="s">
        <v>36220</v>
      </c>
      <c r="CV86" s="497" t="s">
        <v>4</v>
      </c>
      <c r="CW86" s="500" t="s">
        <v>4</v>
      </c>
      <c r="CX86" s="496" t="s">
        <v>4</v>
      </c>
      <c r="CY86" s="497" t="s">
        <v>4</v>
      </c>
      <c r="CZ86" s="500" t="s">
        <v>4</v>
      </c>
      <c r="DA86" s="496" t="s">
        <v>4</v>
      </c>
      <c r="DB86" s="497" t="s">
        <v>4</v>
      </c>
      <c r="DC86" s="497" t="s">
        <v>4</v>
      </c>
      <c r="DD86" s="497" t="s">
        <v>4</v>
      </c>
      <c r="DE86" s="497" t="s">
        <v>4</v>
      </c>
      <c r="DF86" s="497" t="s">
        <v>4</v>
      </c>
      <c r="DG86" s="497" t="s">
        <v>4</v>
      </c>
      <c r="DH86" s="497" t="s">
        <v>4</v>
      </c>
      <c r="DI86" s="497" t="s">
        <v>4</v>
      </c>
      <c r="DJ86" s="497" t="s">
        <v>4</v>
      </c>
      <c r="DK86" s="497">
        <v>0</v>
      </c>
      <c r="DL86" s="497">
        <v>100</v>
      </c>
      <c r="DM86" s="497" t="s">
        <v>36221</v>
      </c>
      <c r="DN86" s="497">
        <v>2</v>
      </c>
      <c r="DO86" s="497" t="s">
        <v>2</v>
      </c>
      <c r="DP86" s="497" t="s">
        <v>29292</v>
      </c>
      <c r="DQ86" s="497" t="s">
        <v>4</v>
      </c>
      <c r="DR86" s="497" t="s">
        <v>29293</v>
      </c>
      <c r="DS86" s="494">
        <v>2000</v>
      </c>
      <c r="DT86" s="497" t="s">
        <v>29293</v>
      </c>
      <c r="DU86" s="494">
        <v>0</v>
      </c>
      <c r="DV86" s="500" t="s">
        <v>29295</v>
      </c>
      <c r="DW86" s="496">
        <v>100</v>
      </c>
      <c r="DX86" s="497" t="s">
        <v>29296</v>
      </c>
      <c r="DY86" s="497">
        <v>100</v>
      </c>
      <c r="DZ86" s="497" t="s">
        <v>4</v>
      </c>
      <c r="EA86" s="497" t="s">
        <v>4</v>
      </c>
      <c r="EB86" s="497" t="s">
        <v>4</v>
      </c>
      <c r="EC86" s="497" t="s">
        <v>4</v>
      </c>
      <c r="ED86" s="497" t="s">
        <v>4</v>
      </c>
      <c r="EE86" s="497" t="s">
        <v>4</v>
      </c>
      <c r="EF86" s="497" t="s">
        <v>4</v>
      </c>
      <c r="EG86" s="497" t="s">
        <v>4</v>
      </c>
      <c r="EH86" s="497" t="s">
        <v>4</v>
      </c>
      <c r="EI86" s="497" t="s">
        <v>4</v>
      </c>
      <c r="EJ86" s="497" t="s">
        <v>4</v>
      </c>
      <c r="EK86" s="497" t="s">
        <v>4</v>
      </c>
      <c r="EL86" s="497" t="s">
        <v>4</v>
      </c>
      <c r="EM86" s="497" t="s">
        <v>4</v>
      </c>
      <c r="EN86" s="497" t="s">
        <v>4</v>
      </c>
      <c r="EO86" s="497" t="s">
        <v>4</v>
      </c>
      <c r="EP86" s="497" t="s">
        <v>4</v>
      </c>
      <c r="EQ86" s="497" t="s">
        <v>4</v>
      </c>
      <c r="ER86" s="497" t="s">
        <v>4</v>
      </c>
      <c r="ES86" s="497" t="s">
        <v>4</v>
      </c>
      <c r="ET86" s="497" t="s">
        <v>4</v>
      </c>
      <c r="EU86" s="497" t="s">
        <v>4</v>
      </c>
      <c r="EV86" s="497" t="s">
        <v>4</v>
      </c>
      <c r="EW86" s="497">
        <v>1.6187778227438283</v>
      </c>
      <c r="EX86" s="497" t="s">
        <v>7</v>
      </c>
      <c r="EY86" s="497">
        <v>37.5</v>
      </c>
      <c r="EZ86" s="239">
        <f t="shared" si="4"/>
        <v>0.60704168352893562</v>
      </c>
      <c r="FA86" s="497" t="s">
        <v>36222</v>
      </c>
      <c r="FB86" s="497" t="s">
        <v>29298</v>
      </c>
      <c r="FC86" s="497">
        <v>28</v>
      </c>
      <c r="FD86" s="497" t="s">
        <v>7</v>
      </c>
      <c r="FE86" s="497" t="s">
        <v>29555</v>
      </c>
      <c r="FF86" s="497" t="s">
        <v>4</v>
      </c>
      <c r="FG86" s="497" t="s">
        <v>7</v>
      </c>
      <c r="FH86" s="497" t="s">
        <v>29393</v>
      </c>
      <c r="FI86" s="497" t="s">
        <v>4</v>
      </c>
      <c r="FJ86" s="497" t="s">
        <v>29477</v>
      </c>
      <c r="FK86" s="497" t="s">
        <v>4</v>
      </c>
      <c r="FL86" s="497" t="s">
        <v>4</v>
      </c>
      <c r="FM86" s="497" t="s">
        <v>4</v>
      </c>
      <c r="FN86" s="497" t="s">
        <v>4</v>
      </c>
      <c r="FO86" s="497" t="s">
        <v>4</v>
      </c>
      <c r="FP86" s="497" t="s">
        <v>2</v>
      </c>
      <c r="FQ86" s="497" t="s">
        <v>4</v>
      </c>
      <c r="FR86" s="497" t="s">
        <v>4</v>
      </c>
      <c r="FS86" s="497" t="s">
        <v>7</v>
      </c>
      <c r="FT86" s="497" t="s">
        <v>2</v>
      </c>
      <c r="FU86" s="497" t="s">
        <v>4</v>
      </c>
      <c r="FV86" s="497" t="s">
        <v>4</v>
      </c>
      <c r="FW86" s="497" t="s">
        <v>4</v>
      </c>
      <c r="FX86" s="497">
        <v>0</v>
      </c>
      <c r="FY86" s="497" t="s">
        <v>4</v>
      </c>
      <c r="FZ86" s="497" t="s">
        <v>4</v>
      </c>
      <c r="GA86" s="497" t="s">
        <v>4</v>
      </c>
      <c r="GB86" s="497" t="s">
        <v>4</v>
      </c>
      <c r="GC86" s="497" t="s">
        <v>4</v>
      </c>
      <c r="GD86" s="497" t="s">
        <v>4</v>
      </c>
      <c r="GE86" s="497" t="s">
        <v>4</v>
      </c>
      <c r="GF86" s="497" t="s">
        <v>4</v>
      </c>
      <c r="GG86" s="497" t="s">
        <v>4</v>
      </c>
      <c r="GH86" s="497" t="s">
        <v>4</v>
      </c>
      <c r="GI86" s="497" t="s">
        <v>29304</v>
      </c>
      <c r="GJ86" s="497" t="s">
        <v>29305</v>
      </c>
      <c r="GK86" s="497" t="s">
        <v>29306</v>
      </c>
      <c r="GL86" s="497" t="s">
        <v>4</v>
      </c>
      <c r="GM86" s="497" t="s">
        <v>4</v>
      </c>
      <c r="GN86" s="497" t="s">
        <v>4</v>
      </c>
      <c r="GO86" s="497" t="s">
        <v>4</v>
      </c>
      <c r="GP86" s="497" t="s">
        <v>4</v>
      </c>
      <c r="GQ86" s="497" t="s">
        <v>4</v>
      </c>
      <c r="GR86" s="497" t="s">
        <v>4</v>
      </c>
      <c r="GS86" s="497" t="s">
        <v>4</v>
      </c>
      <c r="GT86" s="497" t="s">
        <v>30448</v>
      </c>
      <c r="GU86" s="497" t="s">
        <v>4</v>
      </c>
      <c r="GV86" s="494">
        <v>5</v>
      </c>
      <c r="GW86" s="497" t="s">
        <v>2</v>
      </c>
      <c r="GX86" s="497" t="s">
        <v>29309</v>
      </c>
      <c r="GY86" s="497" t="s">
        <v>4</v>
      </c>
      <c r="GZ86" s="497" t="s">
        <v>4</v>
      </c>
      <c r="HA86" s="497" t="s">
        <v>4</v>
      </c>
      <c r="HB86" s="497" t="s">
        <v>4</v>
      </c>
      <c r="HC86" s="497" t="s">
        <v>4</v>
      </c>
      <c r="HD86" s="497" t="s">
        <v>4</v>
      </c>
      <c r="HE86" s="497" t="s">
        <v>4</v>
      </c>
      <c r="HF86" s="497" t="s">
        <v>4</v>
      </c>
      <c r="HG86" s="497" t="s">
        <v>2</v>
      </c>
      <c r="HH86" s="497" t="s">
        <v>4</v>
      </c>
      <c r="HI86" s="497" t="s">
        <v>4</v>
      </c>
      <c r="HJ86" s="497" t="s">
        <v>4</v>
      </c>
      <c r="HK86" s="494" t="s">
        <v>4</v>
      </c>
      <c r="HL86" s="497" t="s">
        <v>36223</v>
      </c>
      <c r="HM86" s="497" t="s">
        <v>7</v>
      </c>
      <c r="HN86" s="497" t="s">
        <v>36224</v>
      </c>
      <c r="HO86" s="497" t="s">
        <v>36225</v>
      </c>
      <c r="HP86" s="497" t="s">
        <v>36226</v>
      </c>
      <c r="HQ86" s="497" t="s">
        <v>36227</v>
      </c>
      <c r="HR86" s="497" t="s">
        <v>36228</v>
      </c>
      <c r="HS86" s="497" t="s">
        <v>36229</v>
      </c>
      <c r="HT86" s="500" t="s">
        <v>36230</v>
      </c>
    </row>
    <row r="87" spans="1:228" s="570" customFormat="1" ht="30.2" customHeight="1" x14ac:dyDescent="0.25">
      <c r="A87" s="759"/>
      <c r="B87" s="496">
        <v>23</v>
      </c>
      <c r="C87" s="496" t="s">
        <v>27624</v>
      </c>
      <c r="D87" s="497" t="s">
        <v>33603</v>
      </c>
      <c r="E87" s="497" t="s">
        <v>33583</v>
      </c>
      <c r="F87" s="497" t="s">
        <v>7</v>
      </c>
      <c r="G87" s="497" t="s">
        <v>33604</v>
      </c>
      <c r="H87" s="497">
        <v>1403.7</v>
      </c>
      <c r="I87" s="497">
        <v>4.9000000000000004</v>
      </c>
      <c r="J87" s="497" t="s">
        <v>29319</v>
      </c>
      <c r="K87" s="497" t="s">
        <v>4</v>
      </c>
      <c r="L87" s="497" t="s">
        <v>22736</v>
      </c>
      <c r="M87" s="497">
        <v>787798230</v>
      </c>
      <c r="N87" s="497" t="s">
        <v>5</v>
      </c>
      <c r="O87" s="497" t="s">
        <v>31590</v>
      </c>
      <c r="P87" s="497" t="s">
        <v>4</v>
      </c>
      <c r="Q87" s="497">
        <v>10</v>
      </c>
      <c r="R87" s="497" t="s">
        <v>7</v>
      </c>
      <c r="S87" s="497" t="s">
        <v>31588</v>
      </c>
      <c r="T87" s="497" t="s">
        <v>4</v>
      </c>
      <c r="U87" s="497" t="s">
        <v>7</v>
      </c>
      <c r="V87" s="497" t="s">
        <v>7</v>
      </c>
      <c r="W87" s="497" t="s">
        <v>4</v>
      </c>
      <c r="X87" s="497" t="s">
        <v>7</v>
      </c>
      <c r="Y87" s="497" t="s">
        <v>4</v>
      </c>
      <c r="Z87" s="497" t="s">
        <v>4</v>
      </c>
      <c r="AA87" s="241" t="str">
        <f>IF(OR(U87="yes",Z87&gt;'SDG outcome'!$C$39),"yes","no")</f>
        <v>yes</v>
      </c>
      <c r="AB87" s="521" t="str">
        <f t="shared" si="3"/>
        <v>NA</v>
      </c>
      <c r="AC87" s="527" t="str">
        <f>IF(AND('SMS p2'!AA35="no",AND(Z87&gt;='SDG outcome'!$B$28,Z87&lt;'SDG outcome'!$C$39)),Z87-'SDG outcome'!$B$28,"")</f>
        <v/>
      </c>
      <c r="AD87" s="497" t="s">
        <v>4</v>
      </c>
      <c r="AE87" s="497" t="s">
        <v>4</v>
      </c>
      <c r="AF87" s="497" t="s">
        <v>4</v>
      </c>
      <c r="AG87" s="497" t="s">
        <v>4</v>
      </c>
      <c r="AH87" s="497" t="s">
        <v>4</v>
      </c>
      <c r="AI87" s="497" t="s">
        <v>4</v>
      </c>
      <c r="AJ87" s="497" t="s">
        <v>4</v>
      </c>
      <c r="AK87" s="497" t="s">
        <v>29290</v>
      </c>
      <c r="AL87" s="497" t="s">
        <v>29694</v>
      </c>
      <c r="AM87" s="497" t="s">
        <v>4</v>
      </c>
      <c r="AN87" s="497" t="s">
        <v>4</v>
      </c>
      <c r="AO87" s="497" t="s">
        <v>31536</v>
      </c>
      <c r="AP87" s="497" t="s">
        <v>4</v>
      </c>
      <c r="AQ87" s="497" t="s">
        <v>31537</v>
      </c>
      <c r="AR87" s="497" t="s">
        <v>4</v>
      </c>
      <c r="AS87" s="497" t="s">
        <v>13</v>
      </c>
      <c r="AT87" s="497" t="s">
        <v>33605</v>
      </c>
      <c r="AU87" s="497" t="s">
        <v>2</v>
      </c>
      <c r="AV87" s="497" t="s">
        <v>31581</v>
      </c>
      <c r="AW87" s="497" t="s">
        <v>4</v>
      </c>
      <c r="AX87" s="497" t="s">
        <v>2</v>
      </c>
      <c r="AY87" s="497" t="s">
        <v>4</v>
      </c>
      <c r="AZ87" s="497" t="s">
        <v>4</v>
      </c>
      <c r="BA87" s="497" t="s">
        <v>31563</v>
      </c>
      <c r="BB87" s="497" t="s">
        <v>22</v>
      </c>
      <c r="BC87" s="497" t="s">
        <v>4</v>
      </c>
      <c r="BD87" s="497" t="s">
        <v>14</v>
      </c>
      <c r="BE87" s="497" t="s">
        <v>4</v>
      </c>
      <c r="BF87" s="497" t="s">
        <v>31542</v>
      </c>
      <c r="BG87" s="497" t="s">
        <v>33606</v>
      </c>
      <c r="BH87" s="497" t="s">
        <v>31616</v>
      </c>
      <c r="BI87" s="497">
        <v>1</v>
      </c>
      <c r="BJ87" s="497">
        <v>720</v>
      </c>
      <c r="BK87" s="497" t="s">
        <v>7</v>
      </c>
      <c r="BL87" s="497" t="s">
        <v>6</v>
      </c>
      <c r="BM87" s="497" t="s">
        <v>4</v>
      </c>
      <c r="BN87" s="497" t="s">
        <v>31425</v>
      </c>
      <c r="BO87" s="497">
        <v>1</v>
      </c>
      <c r="BP87" s="497">
        <v>30</v>
      </c>
      <c r="BQ87" s="497" t="s">
        <v>31434</v>
      </c>
      <c r="BR87" s="499" t="s">
        <v>33332</v>
      </c>
      <c r="BS87" s="497" t="s">
        <v>4</v>
      </c>
      <c r="BT87" s="497">
        <v>2</v>
      </c>
      <c r="BU87" s="494" cm="1">
        <f t="array" ref="BU87">_xlfn.IFS(BQ87="Foreword vehicle",BT87*0,BQ87="Human wastes",BT87*0,BS87="Jerrycans",BT87*$BT$4,BQ87="Number of Basins",BT87*$BT$5,BQ87="Number of Buckets",BT87*$BT$6,BQ87="Number of Kgs",BT87*$BT$7,BQ87="Number of spades",BT87*$BT$8,BQ87="Number of wheelbarrows",BT87*$BT$9,BS87="Septic Tank",BT87*0)</f>
        <v>32</v>
      </c>
      <c r="BV87" s="494">
        <f>Table15[[#This Row],[Calculation: Conversion of metric to Kg manure feeding (Columns: BP, BQ, BR)]]*Table15[[#This Row],[Number of times used to feed biodigester]]</f>
        <v>32</v>
      </c>
      <c r="BW87" s="495" cm="1">
        <f t="array" ref="BW87">_xlfn.IFS(BN87="Number of times per day (1 to 3)",BV87/$BW$3,BN87="Number of times per week (1 to 6)",BV87/$BW$4,BN87="Number of times per Month (1 to 3)",BV87/$BW$5)</f>
        <v>32</v>
      </c>
      <c r="BX87" s="497" t="s">
        <v>22</v>
      </c>
      <c r="BY87" s="497" t="s">
        <v>4</v>
      </c>
      <c r="BZ87" s="497" t="s">
        <v>7</v>
      </c>
      <c r="CA87" s="497" t="s">
        <v>31721</v>
      </c>
      <c r="CB87" s="497" t="s">
        <v>4</v>
      </c>
      <c r="CC87" s="497">
        <v>12</v>
      </c>
      <c r="CD87" s="497" t="s">
        <v>7</v>
      </c>
      <c r="CE87" s="497" t="s">
        <v>33607</v>
      </c>
      <c r="CF87" s="497" t="s">
        <v>4</v>
      </c>
      <c r="CG87" s="497" t="s">
        <v>31705</v>
      </c>
      <c r="CH87" s="497">
        <v>0</v>
      </c>
      <c r="CI87" s="497">
        <v>5</v>
      </c>
      <c r="CJ87" s="497">
        <v>0</v>
      </c>
      <c r="CK87" s="497">
        <v>0</v>
      </c>
      <c r="CL87" s="497">
        <v>0</v>
      </c>
      <c r="CM87" s="497">
        <v>0</v>
      </c>
      <c r="CN87" s="497">
        <v>0</v>
      </c>
      <c r="CO87" s="497">
        <v>0</v>
      </c>
      <c r="CP87" s="497">
        <v>0</v>
      </c>
      <c r="CQ87" s="497">
        <v>0</v>
      </c>
      <c r="CR87" s="497">
        <f>IF(Table15[[#This Row],[Is your biodigester working?]]="yes",CO87/'SDG outcome'!$C$9*CP87*CQ87,"")</f>
        <v>0</v>
      </c>
      <c r="CS87" s="497" t="s">
        <v>4</v>
      </c>
      <c r="CT87" s="500" t="s">
        <v>4</v>
      </c>
      <c r="CU87" s="496" t="s">
        <v>4</v>
      </c>
      <c r="CV87" s="497">
        <v>100</v>
      </c>
      <c r="CW87" s="500">
        <v>0</v>
      </c>
      <c r="CX87" s="496" t="s">
        <v>4</v>
      </c>
      <c r="CY87" s="497" t="s">
        <v>4</v>
      </c>
      <c r="CZ87" s="500" t="s">
        <v>4</v>
      </c>
      <c r="DA87" s="496" t="s">
        <v>4</v>
      </c>
      <c r="DB87" s="497" t="s">
        <v>4</v>
      </c>
      <c r="DC87" s="497" t="s">
        <v>4</v>
      </c>
      <c r="DD87" s="497" t="s">
        <v>4</v>
      </c>
      <c r="DE87" s="497" t="s">
        <v>4</v>
      </c>
      <c r="DF87" s="497" t="s">
        <v>4</v>
      </c>
      <c r="DG87" s="497" t="s">
        <v>4</v>
      </c>
      <c r="DH87" s="497" t="s">
        <v>4</v>
      </c>
      <c r="DI87" s="497" t="s">
        <v>4</v>
      </c>
      <c r="DJ87" s="497" t="s">
        <v>4</v>
      </c>
      <c r="DK87" s="497" t="s">
        <v>4</v>
      </c>
      <c r="DL87" s="497" t="s">
        <v>4</v>
      </c>
      <c r="DM87" s="497" t="s">
        <v>4</v>
      </c>
      <c r="DN87" s="497">
        <v>1</v>
      </c>
      <c r="DO87" s="497" t="s">
        <v>7</v>
      </c>
      <c r="DP87" s="497" t="s">
        <v>29292</v>
      </c>
      <c r="DQ87" s="497" t="s">
        <v>4</v>
      </c>
      <c r="DR87" s="497" t="s">
        <v>29294</v>
      </c>
      <c r="DS87" s="494" t="s">
        <v>4</v>
      </c>
      <c r="DT87" s="497" t="s">
        <v>29293</v>
      </c>
      <c r="DU87" s="494">
        <v>30000</v>
      </c>
      <c r="DV87" s="500" t="s">
        <v>29295</v>
      </c>
      <c r="DW87" s="496">
        <v>100</v>
      </c>
      <c r="DX87" s="497" t="s">
        <v>29296</v>
      </c>
      <c r="DY87" s="497">
        <v>100</v>
      </c>
      <c r="DZ87" s="497" t="s">
        <v>4</v>
      </c>
      <c r="EA87" s="497" t="s">
        <v>4</v>
      </c>
      <c r="EB87" s="497" t="s">
        <v>4</v>
      </c>
      <c r="EC87" s="497" t="s">
        <v>4</v>
      </c>
      <c r="ED87" s="497" t="s">
        <v>4</v>
      </c>
      <c r="EE87" s="497" t="s">
        <v>4</v>
      </c>
      <c r="EF87" s="497" t="s">
        <v>4</v>
      </c>
      <c r="EG87" s="497" t="s">
        <v>4</v>
      </c>
      <c r="EH87" s="497" t="s">
        <v>4</v>
      </c>
      <c r="EI87" s="497" t="s">
        <v>4</v>
      </c>
      <c r="EJ87" s="497" t="s">
        <v>4</v>
      </c>
      <c r="EK87" s="497" t="s">
        <v>4</v>
      </c>
      <c r="EL87" s="497" t="s">
        <v>4</v>
      </c>
      <c r="EM87" s="497" t="s">
        <v>4</v>
      </c>
      <c r="EN87" s="497" t="s">
        <v>4</v>
      </c>
      <c r="EO87" s="497" t="s">
        <v>4</v>
      </c>
      <c r="EP87" s="497" t="s">
        <v>4</v>
      </c>
      <c r="EQ87" s="497" t="s">
        <v>4</v>
      </c>
      <c r="ER87" s="497" t="s">
        <v>4</v>
      </c>
      <c r="ES87" s="497" t="s">
        <v>4</v>
      </c>
      <c r="ET87" s="497" t="s">
        <v>4</v>
      </c>
      <c r="EU87" s="497" t="s">
        <v>4</v>
      </c>
      <c r="EV87" s="497" t="s">
        <v>4</v>
      </c>
      <c r="EW87" s="497">
        <v>1.21</v>
      </c>
      <c r="EX87" s="497" t="s">
        <v>7</v>
      </c>
      <c r="EY87" s="497">
        <v>50</v>
      </c>
      <c r="EZ87" s="239">
        <f t="shared" si="4"/>
        <v>0.60499999999999998</v>
      </c>
      <c r="FA87" s="497" t="s">
        <v>33608</v>
      </c>
      <c r="FB87" s="497" t="s">
        <v>29298</v>
      </c>
      <c r="FC87" s="497">
        <v>84</v>
      </c>
      <c r="FD87" s="497" t="s">
        <v>2</v>
      </c>
      <c r="FE87" s="497" t="s">
        <v>4</v>
      </c>
      <c r="FF87" s="497" t="s">
        <v>4</v>
      </c>
      <c r="FG87" s="497" t="s">
        <v>7</v>
      </c>
      <c r="FH87" s="497" t="s">
        <v>29492</v>
      </c>
      <c r="FI87" s="497" t="s">
        <v>4</v>
      </c>
      <c r="FJ87" s="497" t="s">
        <v>29477</v>
      </c>
      <c r="FK87" s="497" t="s">
        <v>4</v>
      </c>
      <c r="FL87" s="497" t="s">
        <v>29375</v>
      </c>
      <c r="FM87" s="497" t="s">
        <v>4</v>
      </c>
      <c r="FN87" s="494" t="s">
        <v>4</v>
      </c>
      <c r="FO87" s="497" t="s">
        <v>4</v>
      </c>
      <c r="FP87" s="497" t="s">
        <v>2</v>
      </c>
      <c r="FQ87" s="497" t="s">
        <v>4</v>
      </c>
      <c r="FR87" s="497" t="s">
        <v>4</v>
      </c>
      <c r="FS87" s="497" t="s">
        <v>7</v>
      </c>
      <c r="FT87" s="497" t="s">
        <v>7</v>
      </c>
      <c r="FU87" s="497" t="s">
        <v>29302</v>
      </c>
      <c r="FV87" s="497" t="s">
        <v>33473</v>
      </c>
      <c r="FW87" s="497" t="s">
        <v>4</v>
      </c>
      <c r="FX87" s="497">
        <v>0</v>
      </c>
      <c r="FY87" s="497" t="s">
        <v>4</v>
      </c>
      <c r="FZ87" s="497" t="s">
        <v>4</v>
      </c>
      <c r="GA87" s="497" t="s">
        <v>4</v>
      </c>
      <c r="GB87" s="497" t="s">
        <v>4</v>
      </c>
      <c r="GC87" s="497" t="s">
        <v>4</v>
      </c>
      <c r="GD87" s="497" t="s">
        <v>4</v>
      </c>
      <c r="GE87" s="497" t="s">
        <v>4</v>
      </c>
      <c r="GF87" s="497" t="s">
        <v>4</v>
      </c>
      <c r="GG87" s="497" t="s">
        <v>4</v>
      </c>
      <c r="GH87" s="497" t="s">
        <v>4</v>
      </c>
      <c r="GI87" s="497" t="s">
        <v>29304</v>
      </c>
      <c r="GJ87" s="497" t="s">
        <v>29940</v>
      </c>
      <c r="GK87" s="497" t="s">
        <v>4</v>
      </c>
      <c r="GL87" s="497" t="s">
        <v>29556</v>
      </c>
      <c r="GM87" s="497" t="s">
        <v>4</v>
      </c>
      <c r="GN87" s="497" t="s">
        <v>4</v>
      </c>
      <c r="GO87" s="497" t="s">
        <v>4</v>
      </c>
      <c r="GP87" s="497" t="s">
        <v>4</v>
      </c>
      <c r="GQ87" s="497" t="s">
        <v>4</v>
      </c>
      <c r="GR87" s="497" t="s">
        <v>4</v>
      </c>
      <c r="GS87" s="497" t="s">
        <v>4</v>
      </c>
      <c r="GT87" s="497" t="s">
        <v>29354</v>
      </c>
      <c r="GU87" s="497" t="s">
        <v>4</v>
      </c>
      <c r="GV87" s="494">
        <v>30</v>
      </c>
      <c r="GW87" s="497" t="s">
        <v>2</v>
      </c>
      <c r="GX87" s="497" t="s">
        <v>29837</v>
      </c>
      <c r="GY87" s="497" t="s">
        <v>4</v>
      </c>
      <c r="GZ87" s="497" t="s">
        <v>4</v>
      </c>
      <c r="HA87" s="497" t="s">
        <v>4</v>
      </c>
      <c r="HB87" s="497" t="s">
        <v>4</v>
      </c>
      <c r="HC87" s="497" t="s">
        <v>4</v>
      </c>
      <c r="HD87" s="497" t="s">
        <v>4</v>
      </c>
      <c r="HE87" s="497" t="s">
        <v>4</v>
      </c>
      <c r="HF87" s="497" t="s">
        <v>4</v>
      </c>
      <c r="HG87" s="497" t="s">
        <v>2</v>
      </c>
      <c r="HH87" s="497" t="s">
        <v>4</v>
      </c>
      <c r="HI87" s="497" t="s">
        <v>4</v>
      </c>
      <c r="HJ87" s="497" t="s">
        <v>4</v>
      </c>
      <c r="HK87" s="494" t="s">
        <v>4</v>
      </c>
      <c r="HL87" s="497" t="s">
        <v>33609</v>
      </c>
      <c r="HM87" s="497" t="s">
        <v>7</v>
      </c>
      <c r="HN87" s="497" t="s">
        <v>33610</v>
      </c>
      <c r="HO87" s="497" t="s">
        <v>33611</v>
      </c>
      <c r="HP87" s="497" t="s">
        <v>33612</v>
      </c>
      <c r="HQ87" s="497" t="s">
        <v>33613</v>
      </c>
      <c r="HR87" s="497" t="s">
        <v>33614</v>
      </c>
      <c r="HS87" s="497" t="s">
        <v>33615</v>
      </c>
      <c r="HT87" s="500" t="s">
        <v>33603</v>
      </c>
    </row>
    <row r="88" spans="1:228" s="570" customFormat="1" ht="30.2" customHeight="1" x14ac:dyDescent="0.25">
      <c r="A88" s="759"/>
      <c r="B88" s="496">
        <v>76</v>
      </c>
      <c r="C88" s="496" t="s">
        <v>620</v>
      </c>
      <c r="D88" s="497" t="s">
        <v>34235</v>
      </c>
      <c r="E88" s="497" t="s">
        <v>30002</v>
      </c>
      <c r="F88" s="497" t="s">
        <v>7</v>
      </c>
      <c r="G88" s="497" t="s">
        <v>34236</v>
      </c>
      <c r="H88" s="497">
        <v>1166.8</v>
      </c>
      <c r="I88" s="497">
        <v>5</v>
      </c>
      <c r="J88" s="497" t="s">
        <v>29288</v>
      </c>
      <c r="K88" s="497" t="s">
        <v>4</v>
      </c>
      <c r="L88" s="497" t="s">
        <v>34237</v>
      </c>
      <c r="M88" s="497">
        <v>772038238</v>
      </c>
      <c r="N88" s="497" t="s">
        <v>3</v>
      </c>
      <c r="O88" s="497" t="s">
        <v>31438</v>
      </c>
      <c r="P88" s="497">
        <v>58</v>
      </c>
      <c r="Q88" s="497">
        <v>16</v>
      </c>
      <c r="R88" s="497" t="s">
        <v>7</v>
      </c>
      <c r="S88" s="497" t="s">
        <v>31535</v>
      </c>
      <c r="T88" s="497" t="s">
        <v>4</v>
      </c>
      <c r="U88" s="497" t="s">
        <v>7</v>
      </c>
      <c r="V88" s="497" t="s">
        <v>7</v>
      </c>
      <c r="W88" s="497" t="s">
        <v>4</v>
      </c>
      <c r="X88" s="497" t="s">
        <v>7</v>
      </c>
      <c r="Y88" s="497" t="s">
        <v>4</v>
      </c>
      <c r="Z88" s="497" t="s">
        <v>4</v>
      </c>
      <c r="AA88" s="241" t="str">
        <f>IF(OR(U88="yes",Z88&gt;'SDG outcome'!$C$39),"yes","no")</f>
        <v>yes</v>
      </c>
      <c r="AB88" s="521" t="str">
        <f t="shared" si="3"/>
        <v>NA</v>
      </c>
      <c r="AC88" s="527" t="str">
        <f>IF(AND('SMS p2'!AA88="no",AND(Z88&gt;='SDG outcome'!$B$28,Z88&lt;'SDG outcome'!$C$39)),Z88-'SDG outcome'!$B$28,"")</f>
        <v/>
      </c>
      <c r="AD88" s="497" t="s">
        <v>4</v>
      </c>
      <c r="AE88" s="497" t="s">
        <v>4</v>
      </c>
      <c r="AF88" s="497" t="s">
        <v>4</v>
      </c>
      <c r="AG88" s="497" t="s">
        <v>4</v>
      </c>
      <c r="AH88" s="497" t="s">
        <v>4</v>
      </c>
      <c r="AI88" s="497" t="s">
        <v>4</v>
      </c>
      <c r="AJ88" s="497" t="s">
        <v>4</v>
      </c>
      <c r="AK88" s="497" t="s">
        <v>29290</v>
      </c>
      <c r="AL88" s="497" t="s">
        <v>29694</v>
      </c>
      <c r="AM88" s="497" t="s">
        <v>4</v>
      </c>
      <c r="AN88" s="497" t="s">
        <v>4</v>
      </c>
      <c r="AO88" s="497" t="s">
        <v>31718</v>
      </c>
      <c r="AP88" s="497" t="s">
        <v>4</v>
      </c>
      <c r="AQ88" s="497" t="s">
        <v>31600</v>
      </c>
      <c r="AR88" s="497" t="s">
        <v>4</v>
      </c>
      <c r="AS88" s="497" t="s">
        <v>31601</v>
      </c>
      <c r="AT88" s="497" t="s">
        <v>4</v>
      </c>
      <c r="AU88" s="497" t="s">
        <v>7</v>
      </c>
      <c r="AV88" s="497" t="s">
        <v>4</v>
      </c>
      <c r="AW88" s="497" t="s">
        <v>4</v>
      </c>
      <c r="AX88" s="497" t="s">
        <v>7</v>
      </c>
      <c r="AY88" s="497" t="s">
        <v>11</v>
      </c>
      <c r="AZ88" s="497" t="s">
        <v>4</v>
      </c>
      <c r="BA88" s="497" t="s">
        <v>31563</v>
      </c>
      <c r="BB88" s="497" t="s">
        <v>14</v>
      </c>
      <c r="BC88" s="497" t="s">
        <v>4</v>
      </c>
      <c r="BD88" s="497" t="s">
        <v>4</v>
      </c>
      <c r="BE88" s="497" t="s">
        <v>4</v>
      </c>
      <c r="BF88" s="497" t="s">
        <v>31542</v>
      </c>
      <c r="BG88" s="497" t="s">
        <v>34238</v>
      </c>
      <c r="BH88" s="497" t="s">
        <v>31544</v>
      </c>
      <c r="BI88" s="497">
        <v>2</v>
      </c>
      <c r="BJ88" s="497">
        <v>120</v>
      </c>
      <c r="BK88" s="497" t="s">
        <v>7</v>
      </c>
      <c r="BL88" s="497" t="s">
        <v>6</v>
      </c>
      <c r="BM88" s="497" t="s">
        <v>4</v>
      </c>
      <c r="BN88" s="497" t="s">
        <v>31429</v>
      </c>
      <c r="BO88" s="497">
        <v>4</v>
      </c>
      <c r="BP88" s="497">
        <v>45</v>
      </c>
      <c r="BQ88" s="497" t="s">
        <v>31434</v>
      </c>
      <c r="BR88" s="499" t="s">
        <v>33361</v>
      </c>
      <c r="BS88" s="497" t="s">
        <v>4</v>
      </c>
      <c r="BT88" s="497">
        <v>5</v>
      </c>
      <c r="BU88" s="494" cm="1">
        <f t="array" ref="BU88">_xlfn.IFS(BQ88="Foreword vehicle",BT88*0,BQ88="Human wastes",BT88*0,BS88="Jerrycans",BT88*$BT$4,BQ88="Number of Basins",BT88*$BS$5,BQ88="Number of Buckets",BT88*$BT$6,BQ88="Number of Kgs",BT88*$BT$7,BQ88="Number of spades",BT88*$BT$8,BQ88="Number of wheelbarrows",BT88*$BT$9,BS88="Septic Tank",BT88*0)</f>
        <v>105</v>
      </c>
      <c r="BV88" s="494">
        <f>Table15[[#This Row],[Calculation: Conversion of metric to Kg manure feeding (Columns: BP, BQ, BR)]]*Table15[[#This Row],[Number of times used to feed biodigester]]</f>
        <v>420</v>
      </c>
      <c r="BW88" s="495" cm="1">
        <f t="array" ref="BW88">_xlfn.IFS(BN88="Number of times per day (1 to 3)",BV88/$BW$3,BN88="Number of times per week (1 to 6)",BV88/$BW$4,BN88="Number of times per Month (1 to 3)",BV88/$BW$5)</f>
        <v>60</v>
      </c>
      <c r="BX88" s="497" t="s">
        <v>31650</v>
      </c>
      <c r="BY88" s="497" t="s">
        <v>4</v>
      </c>
      <c r="BZ88" s="497" t="s">
        <v>2</v>
      </c>
      <c r="CA88" s="497" t="s">
        <v>4</v>
      </c>
      <c r="CB88" s="497" t="s">
        <v>4</v>
      </c>
      <c r="CC88" s="497" t="s">
        <v>4</v>
      </c>
      <c r="CD88" s="497" t="s">
        <v>7</v>
      </c>
      <c r="CE88" s="497" t="s">
        <v>34239</v>
      </c>
      <c r="CF88" s="497" t="s">
        <v>4</v>
      </c>
      <c r="CG88" s="497" t="s">
        <v>31747</v>
      </c>
      <c r="CH88" s="497">
        <v>2</v>
      </c>
      <c r="CI88" s="497">
        <v>0</v>
      </c>
      <c r="CJ88" s="497">
        <v>15</v>
      </c>
      <c r="CK88" s="497">
        <v>0</v>
      </c>
      <c r="CL88" s="497">
        <v>0</v>
      </c>
      <c r="CM88" s="497">
        <v>0</v>
      </c>
      <c r="CN88" s="497">
        <v>0</v>
      </c>
      <c r="CO88" s="497">
        <v>0</v>
      </c>
      <c r="CP88" s="497">
        <v>0</v>
      </c>
      <c r="CQ88" s="497">
        <v>0</v>
      </c>
      <c r="CR88" s="497">
        <f>IF(Table15[[#This Row],[Is your biodigester working?]]="yes",CO88/'SDG outcome'!$C$9*CP88*CQ88,"")</f>
        <v>0</v>
      </c>
      <c r="CS88" s="497">
        <v>100</v>
      </c>
      <c r="CT88" s="500">
        <v>0</v>
      </c>
      <c r="CU88" s="496" t="s">
        <v>4</v>
      </c>
      <c r="CV88" s="497" t="s">
        <v>4</v>
      </c>
      <c r="CW88" s="500" t="s">
        <v>4</v>
      </c>
      <c r="CX88" s="496" t="s">
        <v>4</v>
      </c>
      <c r="CY88" s="497" t="s">
        <v>4</v>
      </c>
      <c r="CZ88" s="500" t="s">
        <v>4</v>
      </c>
      <c r="DA88" s="496" t="s">
        <v>4</v>
      </c>
      <c r="DB88" s="497">
        <v>20</v>
      </c>
      <c r="DC88" s="497">
        <v>80</v>
      </c>
      <c r="DD88" s="497" t="s">
        <v>34240</v>
      </c>
      <c r="DE88" s="497" t="s">
        <v>4</v>
      </c>
      <c r="DF88" s="497" t="s">
        <v>4</v>
      </c>
      <c r="DG88" s="497" t="s">
        <v>4</v>
      </c>
      <c r="DH88" s="497" t="s">
        <v>4</v>
      </c>
      <c r="DI88" s="497" t="s">
        <v>4</v>
      </c>
      <c r="DJ88" s="497" t="s">
        <v>4</v>
      </c>
      <c r="DK88" s="497" t="s">
        <v>4</v>
      </c>
      <c r="DL88" s="497" t="s">
        <v>4</v>
      </c>
      <c r="DM88" s="497" t="s">
        <v>4</v>
      </c>
      <c r="DN88" s="497">
        <v>3</v>
      </c>
      <c r="DO88" s="497" t="s">
        <v>2</v>
      </c>
      <c r="DP88" s="497" t="s">
        <v>29292</v>
      </c>
      <c r="DQ88" s="497" t="s">
        <v>4</v>
      </c>
      <c r="DR88" s="497" t="s">
        <v>29294</v>
      </c>
      <c r="DS88" s="494" t="s">
        <v>4</v>
      </c>
      <c r="DT88" s="497" t="s">
        <v>29293</v>
      </c>
      <c r="DU88" s="494">
        <v>120000</v>
      </c>
      <c r="DV88" s="500" t="s">
        <v>29442</v>
      </c>
      <c r="DW88" s="496">
        <v>60</v>
      </c>
      <c r="DX88" s="497" t="s">
        <v>29296</v>
      </c>
      <c r="DY88" s="497">
        <v>100</v>
      </c>
      <c r="DZ88" s="497" t="s">
        <v>4</v>
      </c>
      <c r="EA88" s="497" t="s">
        <v>4</v>
      </c>
      <c r="EB88" s="497" t="s">
        <v>4</v>
      </c>
      <c r="EC88" s="497" t="s">
        <v>4</v>
      </c>
      <c r="ED88" s="497">
        <v>40</v>
      </c>
      <c r="EE88" s="497" t="s">
        <v>31012</v>
      </c>
      <c r="EF88" s="497" t="s">
        <v>4</v>
      </c>
      <c r="EG88" s="497" t="s">
        <v>4</v>
      </c>
      <c r="EH88" s="497" t="s">
        <v>4</v>
      </c>
      <c r="EI88" s="497" t="s">
        <v>4</v>
      </c>
      <c r="EJ88" s="497" t="s">
        <v>4</v>
      </c>
      <c r="EK88" s="497">
        <v>100</v>
      </c>
      <c r="EL88" s="497" t="s">
        <v>4</v>
      </c>
      <c r="EM88" s="497">
        <v>90</v>
      </c>
      <c r="EN88" s="497" t="s">
        <v>4</v>
      </c>
      <c r="EO88" s="497" t="s">
        <v>4</v>
      </c>
      <c r="EP88" s="497" t="s">
        <v>4</v>
      </c>
      <c r="EQ88" s="497" t="s">
        <v>29296</v>
      </c>
      <c r="ER88" s="497">
        <v>100</v>
      </c>
      <c r="ES88" s="497" t="s">
        <v>4</v>
      </c>
      <c r="ET88" s="497" t="s">
        <v>4</v>
      </c>
      <c r="EU88" s="497" t="s">
        <v>4</v>
      </c>
      <c r="EV88" s="497" t="s">
        <v>4</v>
      </c>
      <c r="EW88" s="497">
        <v>0.60704168352893562</v>
      </c>
      <c r="EX88" s="497" t="s">
        <v>7</v>
      </c>
      <c r="EY88" s="497">
        <v>83.3</v>
      </c>
      <c r="EZ88" s="239">
        <f t="shared" si="4"/>
        <v>0.50566572237960339</v>
      </c>
      <c r="FA88" s="497" t="s">
        <v>34241</v>
      </c>
      <c r="FB88" s="497" t="s">
        <v>29298</v>
      </c>
      <c r="FC88" s="497">
        <v>124</v>
      </c>
      <c r="FD88" s="497" t="s">
        <v>7</v>
      </c>
      <c r="FE88" s="497" t="s">
        <v>29555</v>
      </c>
      <c r="FF88" s="497" t="s">
        <v>4</v>
      </c>
      <c r="FG88" s="497" t="s">
        <v>7</v>
      </c>
      <c r="FH88" s="497" t="s">
        <v>29555</v>
      </c>
      <c r="FI88" s="497" t="s">
        <v>4</v>
      </c>
      <c r="FJ88" s="497" t="s">
        <v>29300</v>
      </c>
      <c r="FK88" s="497" t="s">
        <v>4</v>
      </c>
      <c r="FL88" s="497" t="s">
        <v>4</v>
      </c>
      <c r="FM88" s="497" t="s">
        <v>4</v>
      </c>
      <c r="FN88" s="494" t="s">
        <v>4</v>
      </c>
      <c r="FO88" s="497" t="s">
        <v>4</v>
      </c>
      <c r="FP88" s="497" t="s">
        <v>2</v>
      </c>
      <c r="FQ88" s="497" t="s">
        <v>4</v>
      </c>
      <c r="FR88" s="497" t="s">
        <v>4</v>
      </c>
      <c r="FS88" s="497" t="s">
        <v>7</v>
      </c>
      <c r="FT88" s="497" t="s">
        <v>7</v>
      </c>
      <c r="FU88" s="497" t="s">
        <v>29302</v>
      </c>
      <c r="FV88" s="497" t="s">
        <v>34242</v>
      </c>
      <c r="FW88" s="497" t="s">
        <v>29304</v>
      </c>
      <c r="FX88" s="497">
        <v>4</v>
      </c>
      <c r="FY88" s="497" t="s">
        <v>30052</v>
      </c>
      <c r="FZ88" s="497" t="s">
        <v>29306</v>
      </c>
      <c r="GA88" s="497" t="s">
        <v>4</v>
      </c>
      <c r="GB88" s="497" t="s">
        <v>29397</v>
      </c>
      <c r="GC88" s="497" t="s">
        <v>4</v>
      </c>
      <c r="GD88" s="497" t="s">
        <v>4</v>
      </c>
      <c r="GE88" s="497" t="s">
        <v>4</v>
      </c>
      <c r="GF88" s="497" t="s">
        <v>4</v>
      </c>
      <c r="GG88" s="497" t="s">
        <v>4</v>
      </c>
      <c r="GH88" s="497" t="s">
        <v>4</v>
      </c>
      <c r="GI88" s="497" t="s">
        <v>4</v>
      </c>
      <c r="GJ88" s="497" t="s">
        <v>4</v>
      </c>
      <c r="GK88" s="497" t="s">
        <v>4</v>
      </c>
      <c r="GL88" s="497" t="s">
        <v>4</v>
      </c>
      <c r="GM88" s="497" t="s">
        <v>4</v>
      </c>
      <c r="GN88" s="497" t="s">
        <v>4</v>
      </c>
      <c r="GO88" s="497" t="s">
        <v>4</v>
      </c>
      <c r="GP88" s="497" t="s">
        <v>4</v>
      </c>
      <c r="GQ88" s="497" t="s">
        <v>4</v>
      </c>
      <c r="GR88" s="497" t="s">
        <v>4</v>
      </c>
      <c r="GS88" s="497" t="s">
        <v>4</v>
      </c>
      <c r="GT88" s="497" t="s">
        <v>29452</v>
      </c>
      <c r="GU88" s="497" t="s">
        <v>4</v>
      </c>
      <c r="GV88" s="494">
        <v>30</v>
      </c>
      <c r="GW88" s="497" t="s">
        <v>2</v>
      </c>
      <c r="GX88" s="497" t="s">
        <v>29309</v>
      </c>
      <c r="GY88" s="497" t="s">
        <v>4</v>
      </c>
      <c r="GZ88" s="497" t="s">
        <v>4</v>
      </c>
      <c r="HA88" s="497" t="s">
        <v>4</v>
      </c>
      <c r="HB88" s="497" t="s">
        <v>4</v>
      </c>
      <c r="HC88" s="497" t="s">
        <v>4</v>
      </c>
      <c r="HD88" s="497" t="s">
        <v>4</v>
      </c>
      <c r="HE88" s="497" t="s">
        <v>4</v>
      </c>
      <c r="HF88" s="497" t="s">
        <v>4</v>
      </c>
      <c r="HG88" s="497" t="s">
        <v>2</v>
      </c>
      <c r="HH88" s="497" t="s">
        <v>4</v>
      </c>
      <c r="HI88" s="497" t="s">
        <v>4</v>
      </c>
      <c r="HJ88" s="497" t="s">
        <v>4</v>
      </c>
      <c r="HK88" s="494" t="s">
        <v>4</v>
      </c>
      <c r="HL88" s="497" t="s">
        <v>34243</v>
      </c>
      <c r="HM88" s="497" t="s">
        <v>7</v>
      </c>
      <c r="HN88" s="497" t="s">
        <v>34244</v>
      </c>
      <c r="HO88" s="497" t="s">
        <v>34245</v>
      </c>
      <c r="HP88" s="497" t="s">
        <v>34246</v>
      </c>
      <c r="HQ88" s="497" t="s">
        <v>34247</v>
      </c>
      <c r="HR88" s="497" t="s">
        <v>34248</v>
      </c>
      <c r="HS88" s="497" t="s">
        <v>34249</v>
      </c>
      <c r="HT88" s="500" t="s">
        <v>34235</v>
      </c>
    </row>
    <row r="89" spans="1:228" s="570" customFormat="1" ht="30.2" customHeight="1" x14ac:dyDescent="0.25">
      <c r="A89" s="759"/>
      <c r="B89" s="496">
        <v>3</v>
      </c>
      <c r="C89" s="517" t="s">
        <v>18779</v>
      </c>
      <c r="D89" s="501" t="s">
        <v>33357</v>
      </c>
      <c r="E89" s="501" t="s">
        <v>29286</v>
      </c>
      <c r="F89" s="501" t="s">
        <v>7</v>
      </c>
      <c r="G89" s="501" t="s">
        <v>33358</v>
      </c>
      <c r="H89" s="501">
        <v>1131.8710000000001</v>
      </c>
      <c r="I89" s="501">
        <v>0.72578399999999998</v>
      </c>
      <c r="J89" s="501" t="s">
        <v>29288</v>
      </c>
      <c r="K89" s="497" t="s">
        <v>4</v>
      </c>
      <c r="L89" s="501" t="s">
        <v>18780</v>
      </c>
      <c r="M89" s="501">
        <v>774722649</v>
      </c>
      <c r="N89" s="501" t="s">
        <v>3</v>
      </c>
      <c r="O89" s="501" t="s">
        <v>31438</v>
      </c>
      <c r="P89" s="501">
        <v>42</v>
      </c>
      <c r="Q89" s="501">
        <v>2</v>
      </c>
      <c r="R89" s="501" t="s">
        <v>7</v>
      </c>
      <c r="S89" s="501" t="s">
        <v>31562</v>
      </c>
      <c r="T89" s="501" t="s">
        <v>4</v>
      </c>
      <c r="U89" s="501" t="s">
        <v>7</v>
      </c>
      <c r="V89" s="501" t="s">
        <v>7</v>
      </c>
      <c r="W89" s="501" t="s">
        <v>4</v>
      </c>
      <c r="X89" s="501" t="s">
        <v>7</v>
      </c>
      <c r="Y89" s="501" t="s">
        <v>4</v>
      </c>
      <c r="Z89" s="501" t="s">
        <v>4</v>
      </c>
      <c r="AA89" s="241" t="str">
        <f>IF(OR(U89="yes",Z89&gt;'SDG outcome'!$C$39),"yes","no")</f>
        <v>yes</v>
      </c>
      <c r="AB89" s="522" t="str">
        <f t="shared" si="3"/>
        <v>NA</v>
      </c>
      <c r="AC89" s="528" t="str">
        <f>IF(AND('SMS p2'!AA15="no",AND(Z89&gt;='SDG outcome'!$B$28,Z89&lt;'SDG outcome'!$C$39)),Z89-'SDG outcome'!$B$28,"")</f>
        <v/>
      </c>
      <c r="AD89" s="501" t="s">
        <v>4</v>
      </c>
      <c r="AE89" s="501" t="s">
        <v>4</v>
      </c>
      <c r="AF89" s="501" t="s">
        <v>4</v>
      </c>
      <c r="AG89" s="501" t="s">
        <v>4</v>
      </c>
      <c r="AH89" s="501" t="s">
        <v>4</v>
      </c>
      <c r="AI89" s="501" t="s">
        <v>4</v>
      </c>
      <c r="AJ89" s="501" t="s">
        <v>4</v>
      </c>
      <c r="AK89" s="501" t="s">
        <v>29290</v>
      </c>
      <c r="AL89" s="501" t="s">
        <v>29291</v>
      </c>
      <c r="AM89" s="501" t="s">
        <v>4</v>
      </c>
      <c r="AN89" s="501" t="s">
        <v>4</v>
      </c>
      <c r="AO89" s="501" t="s">
        <v>31536</v>
      </c>
      <c r="AP89" s="501" t="s">
        <v>4</v>
      </c>
      <c r="AQ89" s="501" t="s">
        <v>31537</v>
      </c>
      <c r="AR89" s="501" t="s">
        <v>4</v>
      </c>
      <c r="AS89" s="501" t="s">
        <v>13</v>
      </c>
      <c r="AT89" s="501" t="s">
        <v>33359</v>
      </c>
      <c r="AU89" s="501" t="s">
        <v>7</v>
      </c>
      <c r="AV89" s="501" t="s">
        <v>4</v>
      </c>
      <c r="AW89" s="501" t="s">
        <v>4</v>
      </c>
      <c r="AX89" s="501" t="s">
        <v>7</v>
      </c>
      <c r="AY89" s="501" t="s">
        <v>11</v>
      </c>
      <c r="AZ89" s="501" t="s">
        <v>4</v>
      </c>
      <c r="BA89" s="501" t="s">
        <v>31557</v>
      </c>
      <c r="BB89" s="501" t="s">
        <v>31541</v>
      </c>
      <c r="BC89" s="501" t="s">
        <v>4</v>
      </c>
      <c r="BD89" s="501" t="s">
        <v>31564</v>
      </c>
      <c r="BE89" s="501" t="s">
        <v>4</v>
      </c>
      <c r="BF89" s="501" t="s">
        <v>31542</v>
      </c>
      <c r="BG89" s="501" t="s">
        <v>33360</v>
      </c>
      <c r="BH89" s="501" t="s">
        <v>31544</v>
      </c>
      <c r="BI89" s="501">
        <v>1</v>
      </c>
      <c r="BJ89" s="501">
        <v>20</v>
      </c>
      <c r="BK89" s="501" t="s">
        <v>7</v>
      </c>
      <c r="BL89" s="501" t="s">
        <v>11</v>
      </c>
      <c r="BM89" s="497" t="s">
        <v>4</v>
      </c>
      <c r="BN89" s="501" t="s">
        <v>31429</v>
      </c>
      <c r="BO89" s="501">
        <v>3</v>
      </c>
      <c r="BP89" s="501">
        <v>20</v>
      </c>
      <c r="BQ89" s="501" t="s">
        <v>31434</v>
      </c>
      <c r="BR89" s="499" t="s">
        <v>33361</v>
      </c>
      <c r="BS89" s="501" t="s">
        <v>4</v>
      </c>
      <c r="BT89" s="501">
        <v>2</v>
      </c>
      <c r="BU89" s="502" cm="1">
        <f t="array" ref="BU89">_xlfn.IFS(BQ89="Foreword vehicle",BT89*0,BQ89="Human wastes",BT89*0,BS89="Jerrycans",BT89*$BT$4,BQ89="Number of Basins",BT89*$BS$5,BQ89="Number of Buckets",BT89*$BT$6,BQ89="Number of Kgs",BT89*$BT$7,BQ89="Number of spades",BT89*$BT$8,BQ89="Number of wheelbarrows",BT89*$BT$9,BS89="Septic Tank",BT89*0)</f>
        <v>42</v>
      </c>
      <c r="BV89" s="502">
        <f>Table15[[#This Row],[Calculation: Conversion of metric to Kg manure feeding (Columns: BP, BQ, BR)]]*Table15[[#This Row],[Number of times used to feed biodigester]]</f>
        <v>126</v>
      </c>
      <c r="BW89" s="503" cm="1">
        <f t="array" ref="BW89">_xlfn.IFS(BN89="Number of times per day (1 to 3)",BV89/$BW$3,BN89="Number of times per week (1 to 6)",BV89/$BW$4,BN89="Number of times per Month (1 to 3)",BV89/$BW$5)</f>
        <v>18</v>
      </c>
      <c r="BX89" s="501" t="s">
        <v>31541</v>
      </c>
      <c r="BY89" s="501" t="s">
        <v>4</v>
      </c>
      <c r="BZ89" s="501" t="s">
        <v>2</v>
      </c>
      <c r="CA89" s="501" t="s">
        <v>4</v>
      </c>
      <c r="CB89" s="501" t="s">
        <v>4</v>
      </c>
      <c r="CC89" s="501" t="s">
        <v>4</v>
      </c>
      <c r="CD89" s="501" t="s">
        <v>7</v>
      </c>
      <c r="CE89" s="501" t="s">
        <v>33362</v>
      </c>
      <c r="CF89" s="501" t="s">
        <v>4</v>
      </c>
      <c r="CG89" s="501" t="s">
        <v>33363</v>
      </c>
      <c r="CH89" s="501">
        <v>0</v>
      </c>
      <c r="CI89" s="501">
        <v>5</v>
      </c>
      <c r="CJ89" s="501">
        <v>0</v>
      </c>
      <c r="CK89" s="501">
        <v>0</v>
      </c>
      <c r="CL89" s="501">
        <v>0</v>
      </c>
      <c r="CM89" s="501">
        <v>30</v>
      </c>
      <c r="CN89" s="501">
        <v>4</v>
      </c>
      <c r="CO89" s="501">
        <v>122</v>
      </c>
      <c r="CP89" s="501">
        <v>2</v>
      </c>
      <c r="CQ89" s="501">
        <v>10</v>
      </c>
      <c r="CR89" s="501">
        <f>IF(Table15[[#This Row],[Is your biodigester working?]]="yes",CO89/'SDG outcome'!$C$9*CP89*CQ89,"")</f>
        <v>7.0317002881844379</v>
      </c>
      <c r="CS89" s="501" t="s">
        <v>4</v>
      </c>
      <c r="CT89" s="519" t="s">
        <v>4</v>
      </c>
      <c r="CU89" s="517" t="s">
        <v>4</v>
      </c>
      <c r="CV89" s="501">
        <v>100</v>
      </c>
      <c r="CW89" s="519">
        <v>0</v>
      </c>
      <c r="CX89" s="517" t="s">
        <v>4</v>
      </c>
      <c r="CY89" s="501">
        <v>0</v>
      </c>
      <c r="CZ89" s="519">
        <v>100</v>
      </c>
      <c r="DA89" s="517" t="s">
        <v>33364</v>
      </c>
      <c r="DB89" s="501" t="s">
        <v>4</v>
      </c>
      <c r="DC89" s="501" t="s">
        <v>4</v>
      </c>
      <c r="DD89" s="501" t="s">
        <v>4</v>
      </c>
      <c r="DE89" s="501">
        <v>0</v>
      </c>
      <c r="DF89" s="501">
        <v>100</v>
      </c>
      <c r="DG89" s="501" t="s">
        <v>33365</v>
      </c>
      <c r="DH89" s="501" t="s">
        <v>4</v>
      </c>
      <c r="DI89" s="501" t="s">
        <v>4</v>
      </c>
      <c r="DJ89" s="501" t="s">
        <v>4</v>
      </c>
      <c r="DK89" s="501" t="s">
        <v>4</v>
      </c>
      <c r="DL89" s="501" t="s">
        <v>4</v>
      </c>
      <c r="DM89" s="501" t="s">
        <v>4</v>
      </c>
      <c r="DN89" s="501">
        <v>2</v>
      </c>
      <c r="DO89" s="501" t="s">
        <v>7</v>
      </c>
      <c r="DP89" s="501" t="s">
        <v>29292</v>
      </c>
      <c r="DQ89" s="501" t="s">
        <v>4</v>
      </c>
      <c r="DR89" s="501" t="s">
        <v>29293</v>
      </c>
      <c r="DS89" s="502">
        <v>15000</v>
      </c>
      <c r="DT89" s="501" t="s">
        <v>29294</v>
      </c>
      <c r="DU89" s="502" t="s">
        <v>4</v>
      </c>
      <c r="DV89" s="519" t="s">
        <v>29295</v>
      </c>
      <c r="DW89" s="517">
        <v>100</v>
      </c>
      <c r="DX89" s="501" t="s">
        <v>29296</v>
      </c>
      <c r="DY89" s="501">
        <v>100</v>
      </c>
      <c r="DZ89" s="501" t="s">
        <v>4</v>
      </c>
      <c r="EA89" s="501" t="s">
        <v>4</v>
      </c>
      <c r="EB89" s="501" t="s">
        <v>4</v>
      </c>
      <c r="EC89" s="501" t="s">
        <v>4</v>
      </c>
      <c r="ED89" s="501" t="s">
        <v>4</v>
      </c>
      <c r="EE89" s="501" t="s">
        <v>4</v>
      </c>
      <c r="EF89" s="501" t="s">
        <v>4</v>
      </c>
      <c r="EG89" s="501" t="s">
        <v>4</v>
      </c>
      <c r="EH89" s="501" t="s">
        <v>4</v>
      </c>
      <c r="EI89" s="501" t="s">
        <v>4</v>
      </c>
      <c r="EJ89" s="501" t="s">
        <v>4</v>
      </c>
      <c r="EK89" s="501" t="s">
        <v>4</v>
      </c>
      <c r="EL89" s="501" t="s">
        <v>4</v>
      </c>
      <c r="EM89" s="501" t="s">
        <v>4</v>
      </c>
      <c r="EN89" s="501" t="s">
        <v>4</v>
      </c>
      <c r="EO89" s="501" t="s">
        <v>4</v>
      </c>
      <c r="EP89" s="501" t="s">
        <v>4</v>
      </c>
      <c r="EQ89" s="501" t="s">
        <v>4</v>
      </c>
      <c r="ER89" s="501" t="s">
        <v>4</v>
      </c>
      <c r="ES89" s="501" t="s">
        <v>4</v>
      </c>
      <c r="ET89" s="501" t="s">
        <v>4</v>
      </c>
      <c r="EU89" s="501" t="s">
        <v>4</v>
      </c>
      <c r="EV89" s="501" t="s">
        <v>4</v>
      </c>
      <c r="EW89" s="501">
        <v>1</v>
      </c>
      <c r="EX89" s="501" t="s">
        <v>7</v>
      </c>
      <c r="EY89" s="501">
        <v>50</v>
      </c>
      <c r="EZ89" s="239">
        <f t="shared" si="4"/>
        <v>0.5</v>
      </c>
      <c r="FA89" s="501" t="s">
        <v>33366</v>
      </c>
      <c r="FB89" s="501" t="s">
        <v>29298</v>
      </c>
      <c r="FC89" s="501">
        <v>120</v>
      </c>
      <c r="FD89" s="501" t="s">
        <v>2</v>
      </c>
      <c r="FE89" s="501" t="s">
        <v>4</v>
      </c>
      <c r="FF89" s="501" t="s">
        <v>4</v>
      </c>
      <c r="FG89" s="501" t="s">
        <v>2</v>
      </c>
      <c r="FH89" s="501" t="s">
        <v>4</v>
      </c>
      <c r="FI89" s="501" t="s">
        <v>4</v>
      </c>
      <c r="FJ89" s="501" t="s">
        <v>4</v>
      </c>
      <c r="FK89" s="501" t="s">
        <v>4</v>
      </c>
      <c r="FL89" s="501" t="s">
        <v>4</v>
      </c>
      <c r="FM89" s="501" t="s">
        <v>4</v>
      </c>
      <c r="FN89" s="502" t="s">
        <v>4</v>
      </c>
      <c r="FO89" s="501" t="s">
        <v>4</v>
      </c>
      <c r="FP89" s="501" t="s">
        <v>7</v>
      </c>
      <c r="FQ89" s="501" t="s">
        <v>29301</v>
      </c>
      <c r="FR89" s="501" t="s">
        <v>4</v>
      </c>
      <c r="FS89" s="501" t="s">
        <v>7</v>
      </c>
      <c r="FT89" s="501" t="s">
        <v>2</v>
      </c>
      <c r="FU89" s="501" t="s">
        <v>4</v>
      </c>
      <c r="FV89" s="501" t="s">
        <v>4</v>
      </c>
      <c r="FW89" s="501" t="s">
        <v>29304</v>
      </c>
      <c r="FX89" s="501">
        <v>0.5</v>
      </c>
      <c r="FY89" s="501" t="s">
        <v>29305</v>
      </c>
      <c r="FZ89" s="501" t="s">
        <v>29323</v>
      </c>
      <c r="GA89" s="501" t="s">
        <v>4</v>
      </c>
      <c r="GB89" s="501" t="s">
        <v>4</v>
      </c>
      <c r="GC89" s="501" t="s">
        <v>4</v>
      </c>
      <c r="GD89" s="501" t="s">
        <v>4</v>
      </c>
      <c r="GE89" s="501" t="s">
        <v>4</v>
      </c>
      <c r="GF89" s="501" t="s">
        <v>4</v>
      </c>
      <c r="GG89" s="501" t="s">
        <v>4</v>
      </c>
      <c r="GH89" s="501" t="s">
        <v>4</v>
      </c>
      <c r="GI89" s="501" t="s">
        <v>4</v>
      </c>
      <c r="GJ89" s="501" t="s">
        <v>4</v>
      </c>
      <c r="GK89" s="501" t="s">
        <v>4</v>
      </c>
      <c r="GL89" s="501" t="s">
        <v>4</v>
      </c>
      <c r="GM89" s="501" t="s">
        <v>4</v>
      </c>
      <c r="GN89" s="501" t="s">
        <v>4</v>
      </c>
      <c r="GO89" s="501" t="s">
        <v>4</v>
      </c>
      <c r="GP89" s="501" t="s">
        <v>4</v>
      </c>
      <c r="GQ89" s="501" t="s">
        <v>4</v>
      </c>
      <c r="GR89" s="501" t="s">
        <v>4</v>
      </c>
      <c r="GS89" s="501" t="s">
        <v>4</v>
      </c>
      <c r="GT89" s="501" t="s">
        <v>29354</v>
      </c>
      <c r="GU89" s="501" t="s">
        <v>4</v>
      </c>
      <c r="GV89" s="502">
        <v>500</v>
      </c>
      <c r="GW89" s="501" t="s">
        <v>7</v>
      </c>
      <c r="GX89" s="501" t="s">
        <v>29837</v>
      </c>
      <c r="GY89" s="501" t="s">
        <v>4</v>
      </c>
      <c r="GZ89" s="501" t="s">
        <v>4</v>
      </c>
      <c r="HA89" s="501" t="s">
        <v>4</v>
      </c>
      <c r="HB89" s="501" t="s">
        <v>4</v>
      </c>
      <c r="HC89" s="501" t="s">
        <v>4</v>
      </c>
      <c r="HD89" s="501" t="s">
        <v>4</v>
      </c>
      <c r="HE89" s="501" t="s">
        <v>4</v>
      </c>
      <c r="HF89" s="501" t="s">
        <v>4</v>
      </c>
      <c r="HG89" s="501" t="s">
        <v>2</v>
      </c>
      <c r="HH89" s="501" t="s">
        <v>4</v>
      </c>
      <c r="HI89" s="501" t="s">
        <v>4</v>
      </c>
      <c r="HJ89" s="501" t="s">
        <v>4</v>
      </c>
      <c r="HK89" s="494" t="s">
        <v>4</v>
      </c>
      <c r="HL89" s="501" t="s">
        <v>33367</v>
      </c>
      <c r="HM89" s="501" t="s">
        <v>7</v>
      </c>
      <c r="HN89" s="501" t="s">
        <v>33368</v>
      </c>
      <c r="HO89" s="501" t="s">
        <v>16</v>
      </c>
      <c r="HP89" s="501" t="s">
        <v>33369</v>
      </c>
      <c r="HQ89" s="501" t="s">
        <v>33370</v>
      </c>
      <c r="HR89" s="501" t="s">
        <v>33371</v>
      </c>
      <c r="HS89" s="501" t="s">
        <v>33372</v>
      </c>
      <c r="HT89" s="519" t="s">
        <v>33357</v>
      </c>
    </row>
    <row r="90" spans="1:228" s="570" customFormat="1" ht="30.2" customHeight="1" x14ac:dyDescent="0.25">
      <c r="A90" s="759"/>
      <c r="B90" s="496">
        <v>149</v>
      </c>
      <c r="C90" s="496" t="s">
        <v>1382</v>
      </c>
      <c r="D90" s="497" t="s">
        <v>35025</v>
      </c>
      <c r="E90" s="497" t="s">
        <v>83</v>
      </c>
      <c r="F90" s="497" t="s">
        <v>7</v>
      </c>
      <c r="G90" s="497" t="s">
        <v>35026</v>
      </c>
      <c r="H90" s="497">
        <v>1231</v>
      </c>
      <c r="I90" s="497">
        <v>11.306929</v>
      </c>
      <c r="J90" s="497" t="s">
        <v>29319</v>
      </c>
      <c r="K90" s="497" t="s">
        <v>4</v>
      </c>
      <c r="L90" s="497" t="s">
        <v>35027</v>
      </c>
      <c r="M90" s="497">
        <v>772500242</v>
      </c>
      <c r="N90" s="497" t="s">
        <v>3</v>
      </c>
      <c r="O90" s="497" t="s">
        <v>31438</v>
      </c>
      <c r="P90" s="497">
        <v>90</v>
      </c>
      <c r="Q90" s="497">
        <v>3</v>
      </c>
      <c r="R90" s="497" t="s">
        <v>7</v>
      </c>
      <c r="S90" s="497" t="s">
        <v>31535</v>
      </c>
      <c r="T90" s="497" t="s">
        <v>4</v>
      </c>
      <c r="U90" s="497" t="s">
        <v>7</v>
      </c>
      <c r="V90" s="497" t="s">
        <v>7</v>
      </c>
      <c r="W90" s="497" t="s">
        <v>4</v>
      </c>
      <c r="X90" s="497" t="s">
        <v>7</v>
      </c>
      <c r="Y90" s="497" t="s">
        <v>4</v>
      </c>
      <c r="Z90" s="497" t="s">
        <v>4</v>
      </c>
      <c r="AA90" s="241" t="str">
        <f>IF(OR(U90="yes",Z90&gt;'SDG outcome'!$C$39),"yes","no")</f>
        <v>yes</v>
      </c>
      <c r="AB90" s="521" t="str">
        <f t="shared" si="3"/>
        <v>NA</v>
      </c>
      <c r="AC90" s="527" t="str">
        <f>IF(AND('SMS p2'!AA161="no",AND(Z90&gt;='SDG outcome'!$B$28,Z90&lt;'SDG outcome'!$C$39)),Z90-'SDG outcome'!$B$28,"")</f>
        <v/>
      </c>
      <c r="AD90" s="497" t="s">
        <v>4</v>
      </c>
      <c r="AE90" s="497" t="s">
        <v>4</v>
      </c>
      <c r="AF90" s="497" t="s">
        <v>4</v>
      </c>
      <c r="AG90" s="497" t="s">
        <v>4</v>
      </c>
      <c r="AH90" s="497" t="s">
        <v>4</v>
      </c>
      <c r="AI90" s="497" t="s">
        <v>4</v>
      </c>
      <c r="AJ90" s="497" t="s">
        <v>4</v>
      </c>
      <c r="AK90" s="497" t="s">
        <v>29290</v>
      </c>
      <c r="AL90" s="497" t="s">
        <v>29291</v>
      </c>
      <c r="AM90" s="497" t="s">
        <v>4</v>
      </c>
      <c r="AN90" s="497" t="s">
        <v>4</v>
      </c>
      <c r="AO90" s="497" t="s">
        <v>31536</v>
      </c>
      <c r="AP90" s="497" t="s">
        <v>4</v>
      </c>
      <c r="AQ90" s="497" t="s">
        <v>31537</v>
      </c>
      <c r="AR90" s="497" t="s">
        <v>4</v>
      </c>
      <c r="AS90" s="497" t="s">
        <v>31538</v>
      </c>
      <c r="AT90" s="497" t="s">
        <v>4</v>
      </c>
      <c r="AU90" s="497" t="s">
        <v>2</v>
      </c>
      <c r="AV90" s="497" t="s">
        <v>31581</v>
      </c>
      <c r="AW90" s="497" t="s">
        <v>4</v>
      </c>
      <c r="AX90" s="497" t="s">
        <v>2</v>
      </c>
      <c r="AY90" s="497" t="s">
        <v>4</v>
      </c>
      <c r="AZ90" s="497" t="s">
        <v>4</v>
      </c>
      <c r="BA90" s="497" t="s">
        <v>31563</v>
      </c>
      <c r="BB90" s="497" t="s">
        <v>22</v>
      </c>
      <c r="BC90" s="497" t="s">
        <v>4</v>
      </c>
      <c r="BD90" s="497" t="s">
        <v>31564</v>
      </c>
      <c r="BE90" s="497" t="s">
        <v>4</v>
      </c>
      <c r="BF90" s="497" t="s">
        <v>31542</v>
      </c>
      <c r="BG90" s="497" t="s">
        <v>33714</v>
      </c>
      <c r="BH90" s="497" t="s">
        <v>31544</v>
      </c>
      <c r="BI90" s="497">
        <v>3</v>
      </c>
      <c r="BJ90" s="497">
        <v>120</v>
      </c>
      <c r="BK90" s="497" t="s">
        <v>7</v>
      </c>
      <c r="BL90" s="497" t="s">
        <v>6</v>
      </c>
      <c r="BM90" s="497" t="s">
        <v>4</v>
      </c>
      <c r="BN90" s="497" t="s">
        <v>31425</v>
      </c>
      <c r="BO90" s="497">
        <v>1</v>
      </c>
      <c r="BP90" s="497">
        <v>30</v>
      </c>
      <c r="BQ90" s="497" t="s">
        <v>31434</v>
      </c>
      <c r="BR90" s="499" t="s">
        <v>33332</v>
      </c>
      <c r="BS90" s="497" t="s">
        <v>4</v>
      </c>
      <c r="BT90" s="497">
        <v>1</v>
      </c>
      <c r="BU90" s="494" cm="1">
        <f t="array" ref="BU90">_xlfn.IFS(BQ90="Foreword vehicle",BT90*0,BQ90="Human wastes",BT90*0,BS90="Jerrycans",BT90*$BT$4,BQ90="Number of Basins",BT90*$BT$5,BQ90="Number of Buckets",BT90*$BT$6,BQ90="Number of Kgs",BT90*$BT$7,BQ90="Number of spades",BT90*$BT$8,BQ90="Number of wheelbarrows",BT90*$BT$9,BS90="Septic Tank",BT90*0)</f>
        <v>16</v>
      </c>
      <c r="BV90" s="494">
        <f>Table15[[#This Row],[Calculation: Conversion of metric to Kg manure feeding (Columns: BP, BQ, BR)]]*Table15[[#This Row],[Number of times used to feed biodigester]]</f>
        <v>16</v>
      </c>
      <c r="BW90" s="495" cm="1">
        <f t="array" ref="BW90">_xlfn.IFS(BN90="Number of times per day (1 to 3)",BV90/$BW$3,BN90="Number of times per week (1 to 6)",BV90/$BW$4,BN90="Number of times per Month (1 to 3)",BV90/$BW$5)</f>
        <v>16</v>
      </c>
      <c r="BX90" s="497" t="s">
        <v>22</v>
      </c>
      <c r="BY90" s="497" t="s">
        <v>4</v>
      </c>
      <c r="BZ90" s="497" t="s">
        <v>2</v>
      </c>
      <c r="CA90" s="497" t="s">
        <v>4</v>
      </c>
      <c r="CB90" s="497" t="s">
        <v>4</v>
      </c>
      <c r="CC90" s="497" t="s">
        <v>4</v>
      </c>
      <c r="CD90" s="497" t="s">
        <v>7</v>
      </c>
      <c r="CE90" s="497" t="s">
        <v>35028</v>
      </c>
      <c r="CF90" s="497" t="s">
        <v>4</v>
      </c>
      <c r="CG90" s="497" t="s">
        <v>31698</v>
      </c>
      <c r="CH90" s="497">
        <v>0</v>
      </c>
      <c r="CI90" s="497">
        <v>0</v>
      </c>
      <c r="CJ90" s="497">
        <v>0</v>
      </c>
      <c r="CK90" s="497">
        <v>0</v>
      </c>
      <c r="CL90" s="497">
        <v>0</v>
      </c>
      <c r="CM90" s="497">
        <v>0</v>
      </c>
      <c r="CN90" s="497">
        <v>0</v>
      </c>
      <c r="CO90" s="497">
        <v>0</v>
      </c>
      <c r="CP90" s="497">
        <v>0</v>
      </c>
      <c r="CQ90" s="497">
        <v>0</v>
      </c>
      <c r="CR90" s="497">
        <f>IF(Table15[[#This Row],[Is your biodigester working?]]="yes",CO90/'SDG outcome'!$C$9*CP90*CQ90,"")</f>
        <v>0</v>
      </c>
      <c r="CS90" s="497" t="s">
        <v>4</v>
      </c>
      <c r="CT90" s="500" t="s">
        <v>4</v>
      </c>
      <c r="CU90" s="496" t="s">
        <v>4</v>
      </c>
      <c r="CV90" s="497" t="s">
        <v>4</v>
      </c>
      <c r="CW90" s="500" t="s">
        <v>4</v>
      </c>
      <c r="CX90" s="496" t="s">
        <v>4</v>
      </c>
      <c r="CY90" s="497" t="s">
        <v>4</v>
      </c>
      <c r="CZ90" s="500" t="s">
        <v>4</v>
      </c>
      <c r="DA90" s="496" t="s">
        <v>4</v>
      </c>
      <c r="DB90" s="497" t="s">
        <v>4</v>
      </c>
      <c r="DC90" s="497" t="s">
        <v>4</v>
      </c>
      <c r="DD90" s="497" t="s">
        <v>4</v>
      </c>
      <c r="DE90" s="497" t="s">
        <v>4</v>
      </c>
      <c r="DF90" s="497" t="s">
        <v>4</v>
      </c>
      <c r="DG90" s="497" t="s">
        <v>4</v>
      </c>
      <c r="DH90" s="497" t="s">
        <v>4</v>
      </c>
      <c r="DI90" s="497" t="s">
        <v>4</v>
      </c>
      <c r="DJ90" s="497" t="s">
        <v>4</v>
      </c>
      <c r="DK90" s="497" t="s">
        <v>4</v>
      </c>
      <c r="DL90" s="497" t="s">
        <v>4</v>
      </c>
      <c r="DM90" s="497" t="s">
        <v>4</v>
      </c>
      <c r="DN90" s="497">
        <v>5</v>
      </c>
      <c r="DO90" s="497" t="s">
        <v>7</v>
      </c>
      <c r="DP90" s="497" t="s">
        <v>29292</v>
      </c>
      <c r="DQ90" s="497" t="s">
        <v>4</v>
      </c>
      <c r="DR90" s="497" t="s">
        <v>29294</v>
      </c>
      <c r="DS90" s="494" t="s">
        <v>4</v>
      </c>
      <c r="DT90" s="497" t="s">
        <v>29294</v>
      </c>
      <c r="DU90" s="494" t="s">
        <v>4</v>
      </c>
      <c r="DV90" s="500" t="s">
        <v>29295</v>
      </c>
      <c r="DW90" s="496">
        <v>100</v>
      </c>
      <c r="DX90" s="497" t="s">
        <v>29296</v>
      </c>
      <c r="DY90" s="497">
        <v>100</v>
      </c>
      <c r="DZ90" s="497" t="s">
        <v>4</v>
      </c>
      <c r="EA90" s="497" t="s">
        <v>4</v>
      </c>
      <c r="EB90" s="497" t="s">
        <v>4</v>
      </c>
      <c r="EC90" s="497" t="s">
        <v>4</v>
      </c>
      <c r="ED90" s="497" t="s">
        <v>4</v>
      </c>
      <c r="EE90" s="497" t="s">
        <v>4</v>
      </c>
      <c r="EF90" s="497" t="s">
        <v>4</v>
      </c>
      <c r="EG90" s="497" t="s">
        <v>4</v>
      </c>
      <c r="EH90" s="497" t="s">
        <v>4</v>
      </c>
      <c r="EI90" s="497" t="s">
        <v>4</v>
      </c>
      <c r="EJ90" s="497" t="s">
        <v>4</v>
      </c>
      <c r="EK90" s="497" t="s">
        <v>4</v>
      </c>
      <c r="EL90" s="497" t="s">
        <v>4</v>
      </c>
      <c r="EM90" s="497" t="s">
        <v>4</v>
      </c>
      <c r="EN90" s="497" t="s">
        <v>4</v>
      </c>
      <c r="EO90" s="497" t="s">
        <v>4</v>
      </c>
      <c r="EP90" s="497" t="s">
        <v>4</v>
      </c>
      <c r="EQ90" s="497" t="s">
        <v>4</v>
      </c>
      <c r="ER90" s="497" t="s">
        <v>4</v>
      </c>
      <c r="ES90" s="497" t="s">
        <v>4</v>
      </c>
      <c r="ET90" s="497" t="s">
        <v>4</v>
      </c>
      <c r="EU90" s="497" t="s">
        <v>4</v>
      </c>
      <c r="EV90" s="497" t="s">
        <v>4</v>
      </c>
      <c r="EW90" s="497">
        <v>2.4281667341157425</v>
      </c>
      <c r="EX90" s="497" t="s">
        <v>7</v>
      </c>
      <c r="EY90" s="497">
        <v>20</v>
      </c>
      <c r="EZ90" s="239">
        <f t="shared" si="4"/>
        <v>0.48563334682314846</v>
      </c>
      <c r="FA90" s="497" t="s">
        <v>35029</v>
      </c>
      <c r="FB90" s="497" t="s">
        <v>29298</v>
      </c>
      <c r="FC90" s="497">
        <v>120</v>
      </c>
      <c r="FD90" s="497" t="s">
        <v>7</v>
      </c>
      <c r="FE90" s="497" t="s">
        <v>29299</v>
      </c>
      <c r="FF90" s="497" t="s">
        <v>4</v>
      </c>
      <c r="FG90" s="497" t="s">
        <v>2</v>
      </c>
      <c r="FH90" s="497" t="s">
        <v>4</v>
      </c>
      <c r="FI90" s="497" t="s">
        <v>4</v>
      </c>
      <c r="FJ90" s="497" t="s">
        <v>4</v>
      </c>
      <c r="FK90" s="497" t="s">
        <v>4</v>
      </c>
      <c r="FL90" s="497" t="s">
        <v>4</v>
      </c>
      <c r="FM90" s="497" t="s">
        <v>4</v>
      </c>
      <c r="FN90" s="494" t="s">
        <v>4</v>
      </c>
      <c r="FO90" s="497" t="s">
        <v>4</v>
      </c>
      <c r="FP90" s="497" t="s">
        <v>2</v>
      </c>
      <c r="FQ90" s="497" t="s">
        <v>4</v>
      </c>
      <c r="FR90" s="497" t="s">
        <v>4</v>
      </c>
      <c r="FS90" s="497" t="s">
        <v>7</v>
      </c>
      <c r="FT90" s="497" t="s">
        <v>7</v>
      </c>
      <c r="FU90" s="497" t="s">
        <v>29302</v>
      </c>
      <c r="FV90" s="497" t="s">
        <v>35030</v>
      </c>
      <c r="FW90" s="497" t="s">
        <v>29304</v>
      </c>
      <c r="FX90" s="497">
        <v>2</v>
      </c>
      <c r="FY90" s="497" t="s">
        <v>13</v>
      </c>
      <c r="FZ90" s="497" t="s">
        <v>4</v>
      </c>
      <c r="GA90" s="497" t="s">
        <v>4</v>
      </c>
      <c r="GB90" s="497" t="s">
        <v>4</v>
      </c>
      <c r="GC90" s="497" t="s">
        <v>4</v>
      </c>
      <c r="GD90" s="497" t="s">
        <v>4</v>
      </c>
      <c r="GE90" s="497" t="s">
        <v>4</v>
      </c>
      <c r="GF90" s="497" t="s">
        <v>35031</v>
      </c>
      <c r="GG90" s="497" t="s">
        <v>4</v>
      </c>
      <c r="GH90" s="497" t="s">
        <v>4</v>
      </c>
      <c r="GI90" s="497" t="s">
        <v>4</v>
      </c>
      <c r="GJ90" s="497" t="s">
        <v>4</v>
      </c>
      <c r="GK90" s="497" t="s">
        <v>4</v>
      </c>
      <c r="GL90" s="497" t="s">
        <v>4</v>
      </c>
      <c r="GM90" s="497" t="s">
        <v>4</v>
      </c>
      <c r="GN90" s="497" t="s">
        <v>4</v>
      </c>
      <c r="GO90" s="497" t="s">
        <v>4</v>
      </c>
      <c r="GP90" s="497" t="s">
        <v>4</v>
      </c>
      <c r="GQ90" s="497" t="s">
        <v>4</v>
      </c>
      <c r="GR90" s="497" t="s">
        <v>4</v>
      </c>
      <c r="GS90" s="497" t="s">
        <v>4</v>
      </c>
      <c r="GT90" s="497" t="s">
        <v>29354</v>
      </c>
      <c r="GU90" s="497" t="s">
        <v>4</v>
      </c>
      <c r="GV90" s="494">
        <v>20</v>
      </c>
      <c r="GW90" s="497" t="s">
        <v>2</v>
      </c>
      <c r="GX90" s="497" t="s">
        <v>29309</v>
      </c>
      <c r="GY90" s="497" t="s">
        <v>4</v>
      </c>
      <c r="GZ90" s="497" t="s">
        <v>4</v>
      </c>
      <c r="HA90" s="497" t="s">
        <v>4</v>
      </c>
      <c r="HB90" s="497" t="s">
        <v>4</v>
      </c>
      <c r="HC90" s="497" t="s">
        <v>4</v>
      </c>
      <c r="HD90" s="497" t="s">
        <v>4</v>
      </c>
      <c r="HE90" s="497" t="s">
        <v>4</v>
      </c>
      <c r="HF90" s="497" t="s">
        <v>4</v>
      </c>
      <c r="HG90" s="497" t="s">
        <v>2</v>
      </c>
      <c r="HH90" s="497" t="s">
        <v>4</v>
      </c>
      <c r="HI90" s="497" t="s">
        <v>4</v>
      </c>
      <c r="HJ90" s="497" t="s">
        <v>4</v>
      </c>
      <c r="HK90" s="494" t="s">
        <v>4</v>
      </c>
      <c r="HL90" s="497" t="s">
        <v>35032</v>
      </c>
      <c r="HM90" s="497" t="s">
        <v>7</v>
      </c>
      <c r="HN90" s="497" t="s">
        <v>35033</v>
      </c>
      <c r="HO90" s="497" t="s">
        <v>16</v>
      </c>
      <c r="HP90" s="497" t="s">
        <v>35034</v>
      </c>
      <c r="HQ90" s="497" t="s">
        <v>35035</v>
      </c>
      <c r="HR90" s="497" t="s">
        <v>35036</v>
      </c>
      <c r="HS90" s="497" t="s">
        <v>35037</v>
      </c>
      <c r="HT90" s="500" t="s">
        <v>35025</v>
      </c>
    </row>
    <row r="91" spans="1:228" s="570" customFormat="1" ht="30.2" customHeight="1" x14ac:dyDescent="0.25">
      <c r="A91" s="759"/>
      <c r="B91" s="496">
        <v>242</v>
      </c>
      <c r="C91" s="496" t="s">
        <v>14727</v>
      </c>
      <c r="D91" s="497" t="s">
        <v>36019</v>
      </c>
      <c r="E91" s="497" t="s">
        <v>35998</v>
      </c>
      <c r="F91" s="497" t="s">
        <v>7</v>
      </c>
      <c r="G91" s="497" t="s">
        <v>36020</v>
      </c>
      <c r="H91" s="497">
        <v>1197.326</v>
      </c>
      <c r="I91" s="497">
        <v>3.6157170000000001</v>
      </c>
      <c r="J91" s="497" t="s">
        <v>29319</v>
      </c>
      <c r="K91" s="497" t="s">
        <v>4</v>
      </c>
      <c r="L91" s="497" t="s">
        <v>36021</v>
      </c>
      <c r="M91" s="497">
        <v>778274499</v>
      </c>
      <c r="N91" s="497" t="s">
        <v>5</v>
      </c>
      <c r="O91" s="497" t="s">
        <v>31438</v>
      </c>
      <c r="P91" s="497">
        <v>53</v>
      </c>
      <c r="Q91" s="497">
        <v>5</v>
      </c>
      <c r="R91" s="497" t="s">
        <v>7</v>
      </c>
      <c r="S91" s="497" t="s">
        <v>31588</v>
      </c>
      <c r="T91" s="497" t="s">
        <v>4</v>
      </c>
      <c r="U91" s="497" t="s">
        <v>7</v>
      </c>
      <c r="V91" s="497" t="s">
        <v>7</v>
      </c>
      <c r="W91" s="497" t="s">
        <v>4</v>
      </c>
      <c r="X91" s="497" t="s">
        <v>7</v>
      </c>
      <c r="Y91" s="497" t="s">
        <v>4</v>
      </c>
      <c r="Z91" s="497" t="s">
        <v>4</v>
      </c>
      <c r="AA91" s="241" t="str">
        <f>IF(OR(U91="yes",Z91&gt;'SDG outcome'!$C$39),"yes","no")</f>
        <v>yes</v>
      </c>
      <c r="AB91" s="521" t="str">
        <f t="shared" si="3"/>
        <v>NA</v>
      </c>
      <c r="AC91" s="527" t="str">
        <f>IF(AND('SMS p2'!AA253="no",AND(Z91&gt;='SDG outcome'!$B$28,Z91&lt;'SDG outcome'!$C$39)),Z91-'SDG outcome'!$B$28,"")</f>
        <v/>
      </c>
      <c r="AD91" s="497" t="s">
        <v>4</v>
      </c>
      <c r="AE91" s="497" t="s">
        <v>4</v>
      </c>
      <c r="AF91" s="497" t="s">
        <v>4</v>
      </c>
      <c r="AG91" s="497" t="s">
        <v>4</v>
      </c>
      <c r="AH91" s="497" t="s">
        <v>4</v>
      </c>
      <c r="AI91" s="497" t="s">
        <v>4</v>
      </c>
      <c r="AJ91" s="497" t="s">
        <v>4</v>
      </c>
      <c r="AK91" s="497" t="s">
        <v>29290</v>
      </c>
      <c r="AL91" s="497" t="s">
        <v>29694</v>
      </c>
      <c r="AM91" s="497" t="s">
        <v>4</v>
      </c>
      <c r="AN91" s="497" t="s">
        <v>4</v>
      </c>
      <c r="AO91" s="497" t="s">
        <v>31536</v>
      </c>
      <c r="AP91" s="497" t="s">
        <v>4</v>
      </c>
      <c r="AQ91" s="497" t="s">
        <v>31537</v>
      </c>
      <c r="AR91" s="497" t="s">
        <v>4</v>
      </c>
      <c r="AS91" s="497" t="s">
        <v>31779</v>
      </c>
      <c r="AT91" s="497" t="s">
        <v>4</v>
      </c>
      <c r="AU91" s="497" t="s">
        <v>7</v>
      </c>
      <c r="AV91" s="497" t="s">
        <v>4</v>
      </c>
      <c r="AW91" s="497" t="s">
        <v>4</v>
      </c>
      <c r="AX91" s="497" t="s">
        <v>2</v>
      </c>
      <c r="AY91" s="497" t="s">
        <v>4</v>
      </c>
      <c r="AZ91" s="497" t="s">
        <v>4</v>
      </c>
      <c r="BA91" s="497" t="s">
        <v>31563</v>
      </c>
      <c r="BB91" s="497" t="s">
        <v>31541</v>
      </c>
      <c r="BC91" s="497" t="s">
        <v>4</v>
      </c>
      <c r="BD91" s="497" t="s">
        <v>36022</v>
      </c>
      <c r="BE91" s="497" t="s">
        <v>4</v>
      </c>
      <c r="BF91" s="497" t="s">
        <v>31542</v>
      </c>
      <c r="BG91" s="497" t="s">
        <v>36023</v>
      </c>
      <c r="BH91" s="497" t="s">
        <v>31616</v>
      </c>
      <c r="BI91" s="497">
        <v>2</v>
      </c>
      <c r="BJ91" s="497">
        <v>120</v>
      </c>
      <c r="BK91" s="497" t="s">
        <v>7</v>
      </c>
      <c r="BL91" s="497" t="s">
        <v>6</v>
      </c>
      <c r="BM91" s="497" t="s">
        <v>4</v>
      </c>
      <c r="BN91" s="497" t="s">
        <v>31429</v>
      </c>
      <c r="BO91" s="497">
        <v>2</v>
      </c>
      <c r="BP91" s="497">
        <v>45</v>
      </c>
      <c r="BQ91" s="497" t="s">
        <v>31434</v>
      </c>
      <c r="BR91" s="499" t="s">
        <v>33332</v>
      </c>
      <c r="BS91" s="497" t="s">
        <v>4</v>
      </c>
      <c r="BT91" s="497">
        <v>2</v>
      </c>
      <c r="BU91" s="494" cm="1">
        <f t="array" ref="BU91">_xlfn.IFS(BQ91="Foreword vehicle",BT91*0,BQ91="Human wastes",BT91*0,BS91="Jerrycans",BT91*$BT$4,BQ91="Number of Basins",BT91*$BT$5,BQ91="Number of Buckets",BT91*$BT$6,BQ91="Number of Kgs",BT91*$BT$7,BQ91="Number of spades",BT91*$BT$8,BQ91="Number of wheelbarrows",BT91*$BT$9,BS91="Septic Tank",BT91*0)</f>
        <v>32</v>
      </c>
      <c r="BV91" s="494">
        <f>Table15[[#This Row],[Calculation: Conversion of metric to Kg manure feeding (Columns: BP, BQ, BR)]]*Table15[[#This Row],[Number of times used to feed biodigester]]</f>
        <v>64</v>
      </c>
      <c r="BW91" s="495" cm="1">
        <f t="array" ref="BW91">_xlfn.IFS(BN91="Number of times per day (1 to 3)",BV91/$BW$3,BN91="Number of times per week (1 to 6)",BV91/$BW$4,BN91="Number of times per Month (1 to 3)",BV91/$BW$5)</f>
        <v>9.1428571428571423</v>
      </c>
      <c r="BX91" s="497" t="s">
        <v>31552</v>
      </c>
      <c r="BY91" s="497" t="s">
        <v>4</v>
      </c>
      <c r="BZ91" s="497" t="s">
        <v>2</v>
      </c>
      <c r="CA91" s="497" t="s">
        <v>4</v>
      </c>
      <c r="CB91" s="497" t="s">
        <v>4</v>
      </c>
      <c r="CC91" s="497" t="s">
        <v>4</v>
      </c>
      <c r="CD91" s="497" t="s">
        <v>7</v>
      </c>
      <c r="CE91" s="497" t="s">
        <v>36024</v>
      </c>
      <c r="CF91" s="497" t="s">
        <v>4</v>
      </c>
      <c r="CG91" s="497" t="s">
        <v>31604</v>
      </c>
      <c r="CH91" s="497">
        <v>2</v>
      </c>
      <c r="CI91" s="497">
        <v>0</v>
      </c>
      <c r="CJ91" s="497">
        <v>0</v>
      </c>
      <c r="CK91" s="497">
        <v>0</v>
      </c>
      <c r="CL91" s="497">
        <v>0</v>
      </c>
      <c r="CM91" s="497">
        <v>0</v>
      </c>
      <c r="CN91" s="497">
        <v>0</v>
      </c>
      <c r="CO91" s="497">
        <v>0</v>
      </c>
      <c r="CP91" s="497">
        <v>0</v>
      </c>
      <c r="CQ91" s="497">
        <v>0</v>
      </c>
      <c r="CR91" s="497">
        <f>IF(Table15[[#This Row],[Is your biodigester working?]]="yes",CO91/'SDG outcome'!$C$9*CP91*CQ91,"")</f>
        <v>0</v>
      </c>
      <c r="CS91" s="497">
        <v>100</v>
      </c>
      <c r="CT91" s="500">
        <v>0</v>
      </c>
      <c r="CU91" s="496" t="s">
        <v>4</v>
      </c>
      <c r="CV91" s="497" t="s">
        <v>4</v>
      </c>
      <c r="CW91" s="500" t="s">
        <v>4</v>
      </c>
      <c r="CX91" s="496" t="s">
        <v>4</v>
      </c>
      <c r="CY91" s="497" t="s">
        <v>4</v>
      </c>
      <c r="CZ91" s="500" t="s">
        <v>4</v>
      </c>
      <c r="DA91" s="496" t="s">
        <v>4</v>
      </c>
      <c r="DB91" s="497" t="s">
        <v>4</v>
      </c>
      <c r="DC91" s="497" t="s">
        <v>4</v>
      </c>
      <c r="DD91" s="497" t="s">
        <v>4</v>
      </c>
      <c r="DE91" s="497" t="s">
        <v>4</v>
      </c>
      <c r="DF91" s="497" t="s">
        <v>4</v>
      </c>
      <c r="DG91" s="497" t="s">
        <v>4</v>
      </c>
      <c r="DH91" s="497" t="s">
        <v>4</v>
      </c>
      <c r="DI91" s="497" t="s">
        <v>4</v>
      </c>
      <c r="DJ91" s="497" t="s">
        <v>4</v>
      </c>
      <c r="DK91" s="497" t="s">
        <v>4</v>
      </c>
      <c r="DL91" s="497" t="s">
        <v>4</v>
      </c>
      <c r="DM91" s="497" t="s">
        <v>4</v>
      </c>
      <c r="DN91" s="497">
        <v>2</v>
      </c>
      <c r="DO91" s="497" t="s">
        <v>2</v>
      </c>
      <c r="DP91" s="497" t="s">
        <v>29292</v>
      </c>
      <c r="DQ91" s="497" t="s">
        <v>4</v>
      </c>
      <c r="DR91" s="497" t="s">
        <v>29294</v>
      </c>
      <c r="DS91" s="494" t="s">
        <v>4</v>
      </c>
      <c r="DT91" s="497" t="s">
        <v>29294</v>
      </c>
      <c r="DU91" s="494" t="s">
        <v>4</v>
      </c>
      <c r="DV91" s="500" t="s">
        <v>29508</v>
      </c>
      <c r="DW91" s="496" t="s">
        <v>4</v>
      </c>
      <c r="DX91" s="497" t="s">
        <v>4</v>
      </c>
      <c r="DY91" s="497" t="s">
        <v>4</v>
      </c>
      <c r="DZ91" s="497" t="s">
        <v>4</v>
      </c>
      <c r="EA91" s="497" t="s">
        <v>4</v>
      </c>
      <c r="EB91" s="497" t="s">
        <v>4</v>
      </c>
      <c r="EC91" s="497" t="s">
        <v>4</v>
      </c>
      <c r="ED91" s="497">
        <v>100</v>
      </c>
      <c r="EE91" s="497" t="s">
        <v>35132</v>
      </c>
      <c r="EF91" s="497" t="s">
        <v>4</v>
      </c>
      <c r="EG91" s="497" t="s">
        <v>4</v>
      </c>
      <c r="EH91" s="497">
        <v>30</v>
      </c>
      <c r="EI91" s="497" t="s">
        <v>4</v>
      </c>
      <c r="EJ91" s="497" t="s">
        <v>4</v>
      </c>
      <c r="EK91" s="497" t="s">
        <v>4</v>
      </c>
      <c r="EL91" s="497">
        <v>70</v>
      </c>
      <c r="EM91" s="497">
        <v>90</v>
      </c>
      <c r="EN91" s="497" t="s">
        <v>4</v>
      </c>
      <c r="EO91" s="497" t="s">
        <v>4</v>
      </c>
      <c r="EP91" s="497" t="s">
        <v>4</v>
      </c>
      <c r="EQ91" s="497" t="s">
        <v>29296</v>
      </c>
      <c r="ER91" s="497">
        <v>100</v>
      </c>
      <c r="ES91" s="497" t="s">
        <v>4</v>
      </c>
      <c r="ET91" s="497" t="s">
        <v>4</v>
      </c>
      <c r="EU91" s="497" t="s">
        <v>4</v>
      </c>
      <c r="EV91" s="497" t="s">
        <v>4</v>
      </c>
      <c r="EW91" s="497">
        <v>0.80938891137191415</v>
      </c>
      <c r="EX91" s="497" t="s">
        <v>7</v>
      </c>
      <c r="EY91" s="497">
        <v>60</v>
      </c>
      <c r="EZ91" s="239">
        <f t="shared" si="4"/>
        <v>0.48563334682314846</v>
      </c>
      <c r="FA91" s="497" t="s">
        <v>36025</v>
      </c>
      <c r="FB91" s="497" t="s">
        <v>29298</v>
      </c>
      <c r="FC91" s="497">
        <v>96</v>
      </c>
      <c r="FD91" s="497" t="s">
        <v>7</v>
      </c>
      <c r="FE91" s="497" t="s">
        <v>29393</v>
      </c>
      <c r="FF91" s="497" t="s">
        <v>4</v>
      </c>
      <c r="FG91" s="497" t="s">
        <v>2</v>
      </c>
      <c r="FH91" s="497" t="s">
        <v>4</v>
      </c>
      <c r="FI91" s="497" t="s">
        <v>4</v>
      </c>
      <c r="FJ91" s="497" t="s">
        <v>4</v>
      </c>
      <c r="FK91" s="497" t="s">
        <v>4</v>
      </c>
      <c r="FL91" s="497" t="s">
        <v>4</v>
      </c>
      <c r="FM91" s="497" t="s">
        <v>4</v>
      </c>
      <c r="FN91" s="494" t="s">
        <v>4</v>
      </c>
      <c r="FO91" s="497" t="s">
        <v>4</v>
      </c>
      <c r="FP91" s="497" t="s">
        <v>2</v>
      </c>
      <c r="FQ91" s="497" t="s">
        <v>4</v>
      </c>
      <c r="FR91" s="497" t="s">
        <v>4</v>
      </c>
      <c r="FS91" s="497" t="s">
        <v>7</v>
      </c>
      <c r="FT91" s="497" t="s">
        <v>7</v>
      </c>
      <c r="FU91" s="497" t="s">
        <v>29302</v>
      </c>
      <c r="FV91" s="497" t="s">
        <v>30678</v>
      </c>
      <c r="FW91" s="497" t="s">
        <v>4</v>
      </c>
      <c r="FX91" s="497">
        <v>0</v>
      </c>
      <c r="FY91" s="497" t="s">
        <v>4</v>
      </c>
      <c r="FZ91" s="497" t="s">
        <v>4</v>
      </c>
      <c r="GA91" s="497" t="s">
        <v>4</v>
      </c>
      <c r="GB91" s="497" t="s">
        <v>4</v>
      </c>
      <c r="GC91" s="497" t="s">
        <v>4</v>
      </c>
      <c r="GD91" s="497" t="s">
        <v>4</v>
      </c>
      <c r="GE91" s="497" t="s">
        <v>4</v>
      </c>
      <c r="GF91" s="497" t="s">
        <v>4</v>
      </c>
      <c r="GG91" s="497" t="s">
        <v>4</v>
      </c>
      <c r="GH91" s="497" t="s">
        <v>4</v>
      </c>
      <c r="GI91" s="497" t="s">
        <v>29304</v>
      </c>
      <c r="GJ91" s="497" t="s">
        <v>29940</v>
      </c>
      <c r="GK91" s="497" t="s">
        <v>4</v>
      </c>
      <c r="GL91" s="497" t="s">
        <v>29941</v>
      </c>
      <c r="GM91" s="497" t="s">
        <v>4</v>
      </c>
      <c r="GN91" s="497" t="s">
        <v>4</v>
      </c>
      <c r="GO91" s="497" t="s">
        <v>4</v>
      </c>
      <c r="GP91" s="497" t="s">
        <v>4</v>
      </c>
      <c r="GQ91" s="497" t="s">
        <v>4</v>
      </c>
      <c r="GR91" s="497" t="s">
        <v>4</v>
      </c>
      <c r="GS91" s="497" t="s">
        <v>4</v>
      </c>
      <c r="GT91" s="497" t="s">
        <v>29354</v>
      </c>
      <c r="GU91" s="497" t="s">
        <v>4</v>
      </c>
      <c r="GV91" s="494">
        <v>1000</v>
      </c>
      <c r="GW91" s="497" t="s">
        <v>7</v>
      </c>
      <c r="GX91" s="497" t="s">
        <v>29309</v>
      </c>
      <c r="GY91" s="497" t="s">
        <v>4</v>
      </c>
      <c r="GZ91" s="497" t="s">
        <v>4</v>
      </c>
      <c r="HA91" s="497" t="s">
        <v>4</v>
      </c>
      <c r="HB91" s="497" t="s">
        <v>4</v>
      </c>
      <c r="HC91" s="497" t="s">
        <v>4</v>
      </c>
      <c r="HD91" s="497" t="s">
        <v>4</v>
      </c>
      <c r="HE91" s="497" t="s">
        <v>4</v>
      </c>
      <c r="HF91" s="497" t="s">
        <v>4</v>
      </c>
      <c r="HG91" s="497" t="s">
        <v>2</v>
      </c>
      <c r="HH91" s="497" t="s">
        <v>4</v>
      </c>
      <c r="HI91" s="497" t="s">
        <v>4</v>
      </c>
      <c r="HJ91" s="497" t="s">
        <v>4</v>
      </c>
      <c r="HK91" s="494" t="s">
        <v>4</v>
      </c>
      <c r="HL91" s="497" t="s">
        <v>33474</v>
      </c>
      <c r="HM91" s="497" t="s">
        <v>7</v>
      </c>
      <c r="HN91" s="497" t="s">
        <v>36026</v>
      </c>
      <c r="HO91" s="497" t="s">
        <v>16</v>
      </c>
      <c r="HP91" s="497" t="s">
        <v>36027</v>
      </c>
      <c r="HQ91" s="497" t="s">
        <v>36028</v>
      </c>
      <c r="HR91" s="497" t="s">
        <v>36029</v>
      </c>
      <c r="HS91" s="497" t="s">
        <v>36030</v>
      </c>
      <c r="HT91" s="500" t="s">
        <v>34186</v>
      </c>
    </row>
    <row r="92" spans="1:228" s="570" customFormat="1" ht="30.2" customHeight="1" x14ac:dyDescent="0.25">
      <c r="A92" s="759"/>
      <c r="B92" s="496">
        <v>31</v>
      </c>
      <c r="C92" s="496" t="s">
        <v>27906</v>
      </c>
      <c r="D92" s="497" t="s">
        <v>33701</v>
      </c>
      <c r="E92" s="497" t="s">
        <v>33583</v>
      </c>
      <c r="F92" s="497" t="s">
        <v>7</v>
      </c>
      <c r="G92" s="497" t="s">
        <v>33702</v>
      </c>
      <c r="H92" s="497">
        <v>1578.8</v>
      </c>
      <c r="I92" s="497">
        <v>4.8</v>
      </c>
      <c r="J92" s="497" t="s">
        <v>29319</v>
      </c>
      <c r="K92" s="497" t="s">
        <v>4</v>
      </c>
      <c r="L92" s="497" t="s">
        <v>33703</v>
      </c>
      <c r="M92" s="497">
        <v>772420721</v>
      </c>
      <c r="N92" s="497" t="s">
        <v>5</v>
      </c>
      <c r="O92" s="497" t="s">
        <v>31438</v>
      </c>
      <c r="P92" s="497">
        <v>95</v>
      </c>
      <c r="Q92" s="497">
        <v>6</v>
      </c>
      <c r="R92" s="497" t="s">
        <v>7</v>
      </c>
      <c r="S92" s="497" t="s">
        <v>31588</v>
      </c>
      <c r="T92" s="497" t="s">
        <v>4</v>
      </c>
      <c r="U92" s="497" t="s">
        <v>7</v>
      </c>
      <c r="V92" s="497" t="s">
        <v>7</v>
      </c>
      <c r="W92" s="497" t="s">
        <v>4</v>
      </c>
      <c r="X92" s="497" t="s">
        <v>7</v>
      </c>
      <c r="Y92" s="497" t="s">
        <v>4</v>
      </c>
      <c r="Z92" s="497" t="s">
        <v>4</v>
      </c>
      <c r="AA92" s="241" t="str">
        <f>IF(OR(U92="yes",Z92&gt;'SDG outcome'!$C$39),"yes","no")</f>
        <v>yes</v>
      </c>
      <c r="AB92" s="521" t="str">
        <f t="shared" si="3"/>
        <v>NA</v>
      </c>
      <c r="AC92" s="527" t="str">
        <f>IF(AND('SMS p2'!AA43="no",AND(Z92&gt;='SDG outcome'!$B$28,Z92&lt;'SDG outcome'!$C$39)),Z92-'SDG outcome'!$B$28,"")</f>
        <v/>
      </c>
      <c r="AD92" s="497" t="s">
        <v>4</v>
      </c>
      <c r="AE92" s="497" t="s">
        <v>4</v>
      </c>
      <c r="AF92" s="497" t="s">
        <v>4</v>
      </c>
      <c r="AG92" s="497" t="s">
        <v>4</v>
      </c>
      <c r="AH92" s="497" t="s">
        <v>4</v>
      </c>
      <c r="AI92" s="497" t="s">
        <v>4</v>
      </c>
      <c r="AJ92" s="497" t="s">
        <v>4</v>
      </c>
      <c r="AK92" s="497" t="s">
        <v>29290</v>
      </c>
      <c r="AL92" s="497" t="s">
        <v>29291</v>
      </c>
      <c r="AM92" s="497" t="s">
        <v>4</v>
      </c>
      <c r="AN92" s="497" t="s">
        <v>4</v>
      </c>
      <c r="AO92" s="497" t="s">
        <v>31536</v>
      </c>
      <c r="AP92" s="497" t="s">
        <v>4</v>
      </c>
      <c r="AQ92" s="497" t="s">
        <v>31537</v>
      </c>
      <c r="AR92" s="497" t="s">
        <v>4</v>
      </c>
      <c r="AS92" s="497" t="s">
        <v>31538</v>
      </c>
      <c r="AT92" s="497" t="s">
        <v>4</v>
      </c>
      <c r="AU92" s="497" t="s">
        <v>2</v>
      </c>
      <c r="AV92" s="497" t="s">
        <v>31581</v>
      </c>
      <c r="AW92" s="497" t="s">
        <v>4</v>
      </c>
      <c r="AX92" s="497" t="s">
        <v>2</v>
      </c>
      <c r="AY92" s="497" t="s">
        <v>4</v>
      </c>
      <c r="AZ92" s="497" t="s">
        <v>4</v>
      </c>
      <c r="BA92" s="497" t="s">
        <v>31557</v>
      </c>
      <c r="BB92" s="497" t="s">
        <v>4</v>
      </c>
      <c r="BC92" s="497" t="s">
        <v>4</v>
      </c>
      <c r="BD92" s="501" t="s">
        <v>4</v>
      </c>
      <c r="BE92" s="497" t="s">
        <v>4</v>
      </c>
      <c r="BF92" s="497" t="s">
        <v>4</v>
      </c>
      <c r="BG92" s="497" t="s">
        <v>4</v>
      </c>
      <c r="BH92" s="497" t="s">
        <v>4</v>
      </c>
      <c r="BI92" s="497" t="s">
        <v>4</v>
      </c>
      <c r="BJ92" s="497" t="s">
        <v>4</v>
      </c>
      <c r="BK92" s="497" t="s">
        <v>7</v>
      </c>
      <c r="BL92" s="497" t="s">
        <v>6</v>
      </c>
      <c r="BM92" s="497" t="s">
        <v>4</v>
      </c>
      <c r="BN92" s="497" t="s">
        <v>31425</v>
      </c>
      <c r="BO92" s="497">
        <v>1</v>
      </c>
      <c r="BP92" s="497">
        <v>60</v>
      </c>
      <c r="BQ92" s="497" t="s">
        <v>31434</v>
      </c>
      <c r="BR92" s="499" t="s">
        <v>33332</v>
      </c>
      <c r="BS92" s="497" t="s">
        <v>4</v>
      </c>
      <c r="BT92" s="497">
        <v>4</v>
      </c>
      <c r="BU92" s="494" cm="1">
        <f t="array" ref="BU92">_xlfn.IFS(BQ92="Foreword vehicle",BT92*0,BQ92="Human wastes",BT92*0,BS92="Jerrycans",BT92*$BT$4,BQ92="Number of Basins",BT92*$BT$5,BQ92="Number of Buckets",BT92*$BT$6,BQ92="Number of Kgs",BT92*$BT$7,BQ92="Number of spades",BT92*$BT$8,BQ92="Number of wheelbarrows",BT92*$BT$9,BS92="Septic Tank",BT92*0)</f>
        <v>64</v>
      </c>
      <c r="BV92" s="494">
        <f>Table15[[#This Row],[Calculation: Conversion of metric to Kg manure feeding (Columns: BP, BQ, BR)]]*Table15[[#This Row],[Number of times used to feed biodigester]]</f>
        <v>64</v>
      </c>
      <c r="BW92" s="495" cm="1">
        <f t="array" ref="BW92">_xlfn.IFS(BN92="Number of times per day (1 to 3)",BV92/$BW$3,BN92="Number of times per week (1 to 6)",BV92/$BW$4,BN92="Number of times per Month (1 to 3)",BV92/$BW$5)</f>
        <v>64</v>
      </c>
      <c r="BX92" s="497" t="s">
        <v>22</v>
      </c>
      <c r="BY92" s="497" t="s">
        <v>4</v>
      </c>
      <c r="BZ92" s="497" t="s">
        <v>2</v>
      </c>
      <c r="CA92" s="497" t="s">
        <v>4</v>
      </c>
      <c r="CB92" s="497" t="s">
        <v>4</v>
      </c>
      <c r="CC92" s="497" t="s">
        <v>4</v>
      </c>
      <c r="CD92" s="497" t="s">
        <v>7</v>
      </c>
      <c r="CE92" s="497" t="s">
        <v>33704</v>
      </c>
      <c r="CF92" s="497" t="s">
        <v>4</v>
      </c>
      <c r="CG92" s="497" t="s">
        <v>31604</v>
      </c>
      <c r="CH92" s="497">
        <v>8</v>
      </c>
      <c r="CI92" s="497">
        <v>0</v>
      </c>
      <c r="CJ92" s="497">
        <v>0</v>
      </c>
      <c r="CK92" s="497">
        <v>0</v>
      </c>
      <c r="CL92" s="497">
        <v>0</v>
      </c>
      <c r="CM92" s="497">
        <v>0</v>
      </c>
      <c r="CN92" s="497">
        <v>0</v>
      </c>
      <c r="CO92" s="497">
        <v>0</v>
      </c>
      <c r="CP92" s="497">
        <v>0</v>
      </c>
      <c r="CQ92" s="497">
        <v>0</v>
      </c>
      <c r="CR92" s="497">
        <f>IF(Table15[[#This Row],[Is your biodigester working?]]="yes",CO92/'SDG outcome'!$C$9*CP92*CQ92,"")</f>
        <v>0</v>
      </c>
      <c r="CS92" s="497">
        <v>100</v>
      </c>
      <c r="CT92" s="500">
        <v>0</v>
      </c>
      <c r="CU92" s="496" t="s">
        <v>4</v>
      </c>
      <c r="CV92" s="497" t="s">
        <v>4</v>
      </c>
      <c r="CW92" s="500" t="s">
        <v>4</v>
      </c>
      <c r="CX92" s="496" t="s">
        <v>4</v>
      </c>
      <c r="CY92" s="497" t="s">
        <v>4</v>
      </c>
      <c r="CZ92" s="500" t="s">
        <v>4</v>
      </c>
      <c r="DA92" s="496" t="s">
        <v>4</v>
      </c>
      <c r="DB92" s="497" t="s">
        <v>4</v>
      </c>
      <c r="DC92" s="497" t="s">
        <v>4</v>
      </c>
      <c r="DD92" s="497" t="s">
        <v>4</v>
      </c>
      <c r="DE92" s="497" t="s">
        <v>4</v>
      </c>
      <c r="DF92" s="497" t="s">
        <v>4</v>
      </c>
      <c r="DG92" s="497" t="s">
        <v>4</v>
      </c>
      <c r="DH92" s="497" t="s">
        <v>4</v>
      </c>
      <c r="DI92" s="497" t="s">
        <v>4</v>
      </c>
      <c r="DJ92" s="497" t="s">
        <v>4</v>
      </c>
      <c r="DK92" s="497" t="s">
        <v>4</v>
      </c>
      <c r="DL92" s="497" t="s">
        <v>4</v>
      </c>
      <c r="DM92" s="497" t="s">
        <v>4</v>
      </c>
      <c r="DN92" s="497">
        <v>6</v>
      </c>
      <c r="DO92" s="497" t="s">
        <v>7</v>
      </c>
      <c r="DP92" s="497" t="s">
        <v>29292</v>
      </c>
      <c r="DQ92" s="497" t="s">
        <v>4</v>
      </c>
      <c r="DR92" s="497" t="s">
        <v>29294</v>
      </c>
      <c r="DS92" s="494" t="s">
        <v>4</v>
      </c>
      <c r="DT92" s="497" t="s">
        <v>29294</v>
      </c>
      <c r="DU92" s="494" t="s">
        <v>4</v>
      </c>
      <c r="DV92" s="500" t="s">
        <v>29295</v>
      </c>
      <c r="DW92" s="496">
        <v>100</v>
      </c>
      <c r="DX92" s="497" t="s">
        <v>29296</v>
      </c>
      <c r="DY92" s="497">
        <v>100</v>
      </c>
      <c r="DZ92" s="497" t="s">
        <v>4</v>
      </c>
      <c r="EA92" s="497" t="s">
        <v>4</v>
      </c>
      <c r="EB92" s="497" t="s">
        <v>4</v>
      </c>
      <c r="EC92" s="497" t="s">
        <v>4</v>
      </c>
      <c r="ED92" s="497" t="s">
        <v>4</v>
      </c>
      <c r="EE92" s="497" t="s">
        <v>4</v>
      </c>
      <c r="EF92" s="497" t="s">
        <v>4</v>
      </c>
      <c r="EG92" s="497" t="s">
        <v>4</v>
      </c>
      <c r="EH92" s="497" t="s">
        <v>4</v>
      </c>
      <c r="EI92" s="497" t="s">
        <v>4</v>
      </c>
      <c r="EJ92" s="497" t="s">
        <v>4</v>
      </c>
      <c r="EK92" s="497" t="s">
        <v>4</v>
      </c>
      <c r="EL92" s="497" t="s">
        <v>4</v>
      </c>
      <c r="EM92" s="497" t="s">
        <v>4</v>
      </c>
      <c r="EN92" s="497" t="s">
        <v>4</v>
      </c>
      <c r="EO92" s="497" t="s">
        <v>4</v>
      </c>
      <c r="EP92" s="497" t="s">
        <v>4</v>
      </c>
      <c r="EQ92" s="497" t="s">
        <v>4</v>
      </c>
      <c r="ER92" s="497" t="s">
        <v>4</v>
      </c>
      <c r="ES92" s="497" t="s">
        <v>4</v>
      </c>
      <c r="ET92" s="497" t="s">
        <v>4</v>
      </c>
      <c r="EU92" s="497" t="s">
        <v>4</v>
      </c>
      <c r="EV92" s="497" t="s">
        <v>4</v>
      </c>
      <c r="EW92" s="497">
        <v>2.42</v>
      </c>
      <c r="EX92" s="497" t="s">
        <v>7</v>
      </c>
      <c r="EY92" s="497">
        <v>20</v>
      </c>
      <c r="EZ92" s="239">
        <f t="shared" si="4"/>
        <v>0.48399999999999999</v>
      </c>
      <c r="FA92" s="497" t="s">
        <v>30136</v>
      </c>
      <c r="FB92" s="497" t="s">
        <v>29298</v>
      </c>
      <c r="FC92" s="497">
        <v>156</v>
      </c>
      <c r="FD92" s="497" t="s">
        <v>2</v>
      </c>
      <c r="FE92" s="497" t="s">
        <v>4</v>
      </c>
      <c r="FF92" s="497" t="s">
        <v>4</v>
      </c>
      <c r="FG92" s="497" t="s">
        <v>2</v>
      </c>
      <c r="FH92" s="497" t="s">
        <v>4</v>
      </c>
      <c r="FI92" s="497" t="s">
        <v>4</v>
      </c>
      <c r="FJ92" s="497" t="s">
        <v>4</v>
      </c>
      <c r="FK92" s="497" t="s">
        <v>4</v>
      </c>
      <c r="FL92" s="497" t="s">
        <v>4</v>
      </c>
      <c r="FM92" s="497" t="s">
        <v>4</v>
      </c>
      <c r="FN92" s="494" t="s">
        <v>4</v>
      </c>
      <c r="FO92" s="497" t="s">
        <v>4</v>
      </c>
      <c r="FP92" s="497" t="s">
        <v>2</v>
      </c>
      <c r="FQ92" s="497" t="s">
        <v>4</v>
      </c>
      <c r="FR92" s="497" t="s">
        <v>4</v>
      </c>
      <c r="FS92" s="497" t="s">
        <v>2</v>
      </c>
      <c r="FT92" s="497" t="s">
        <v>7</v>
      </c>
      <c r="FU92" s="497" t="s">
        <v>29816</v>
      </c>
      <c r="FV92" s="497" t="s">
        <v>33473</v>
      </c>
      <c r="FW92" s="497" t="s">
        <v>4</v>
      </c>
      <c r="FX92" s="497">
        <v>0</v>
      </c>
      <c r="FY92" s="497" t="s">
        <v>4</v>
      </c>
      <c r="FZ92" s="497" t="s">
        <v>4</v>
      </c>
      <c r="GA92" s="497" t="s">
        <v>4</v>
      </c>
      <c r="GB92" s="497" t="s">
        <v>4</v>
      </c>
      <c r="GC92" s="497" t="s">
        <v>4</v>
      </c>
      <c r="GD92" s="497" t="s">
        <v>4</v>
      </c>
      <c r="GE92" s="497" t="s">
        <v>4</v>
      </c>
      <c r="GF92" s="497" t="s">
        <v>4</v>
      </c>
      <c r="GG92" s="497" t="s">
        <v>4</v>
      </c>
      <c r="GH92" s="497" t="s">
        <v>4</v>
      </c>
      <c r="GI92" s="497" t="s">
        <v>29304</v>
      </c>
      <c r="GJ92" s="497" t="s">
        <v>29940</v>
      </c>
      <c r="GK92" s="497" t="s">
        <v>4</v>
      </c>
      <c r="GL92" s="497" t="s">
        <v>29941</v>
      </c>
      <c r="GM92" s="497" t="s">
        <v>4</v>
      </c>
      <c r="GN92" s="497" t="s">
        <v>4</v>
      </c>
      <c r="GO92" s="497" t="s">
        <v>4</v>
      </c>
      <c r="GP92" s="497" t="s">
        <v>4</v>
      </c>
      <c r="GQ92" s="497" t="s">
        <v>4</v>
      </c>
      <c r="GR92" s="497" t="s">
        <v>4</v>
      </c>
      <c r="GS92" s="497" t="s">
        <v>4</v>
      </c>
      <c r="GT92" s="497" t="s">
        <v>29354</v>
      </c>
      <c r="GU92" s="497" t="s">
        <v>4</v>
      </c>
      <c r="GV92" s="494">
        <v>20</v>
      </c>
      <c r="GW92" s="497" t="s">
        <v>2</v>
      </c>
      <c r="GX92" s="497" t="s">
        <v>29837</v>
      </c>
      <c r="GY92" s="497" t="s">
        <v>4</v>
      </c>
      <c r="GZ92" s="497" t="s">
        <v>4</v>
      </c>
      <c r="HA92" s="497" t="s">
        <v>4</v>
      </c>
      <c r="HB92" s="497" t="s">
        <v>4</v>
      </c>
      <c r="HC92" s="497" t="s">
        <v>4</v>
      </c>
      <c r="HD92" s="497" t="s">
        <v>4</v>
      </c>
      <c r="HE92" s="497" t="s">
        <v>4</v>
      </c>
      <c r="HF92" s="497" t="s">
        <v>4</v>
      </c>
      <c r="HG92" s="497" t="s">
        <v>2</v>
      </c>
      <c r="HH92" s="497" t="s">
        <v>4</v>
      </c>
      <c r="HI92" s="497" t="s">
        <v>4</v>
      </c>
      <c r="HJ92" s="497" t="s">
        <v>4</v>
      </c>
      <c r="HK92" s="494" t="s">
        <v>4</v>
      </c>
      <c r="HL92" s="497" t="s">
        <v>33705</v>
      </c>
      <c r="HM92" s="497" t="s">
        <v>7</v>
      </c>
      <c r="HN92" s="497" t="s">
        <v>33706</v>
      </c>
      <c r="HO92" s="497" t="s">
        <v>33707</v>
      </c>
      <c r="HP92" s="497" t="s">
        <v>33708</v>
      </c>
      <c r="HQ92" s="497" t="s">
        <v>33709</v>
      </c>
      <c r="HR92" s="497" t="s">
        <v>33710</v>
      </c>
      <c r="HS92" s="497" t="s">
        <v>16</v>
      </c>
      <c r="HT92" s="500" t="s">
        <v>33701</v>
      </c>
    </row>
    <row r="93" spans="1:228" s="570" customFormat="1" ht="30.2" customHeight="1" x14ac:dyDescent="0.25">
      <c r="A93" s="759"/>
      <c r="B93" s="496">
        <v>175</v>
      </c>
      <c r="C93" s="496" t="s">
        <v>17008</v>
      </c>
      <c r="D93" s="497" t="s">
        <v>35309</v>
      </c>
      <c r="E93" s="497" t="s">
        <v>35222</v>
      </c>
      <c r="F93" s="497" t="s">
        <v>7</v>
      </c>
      <c r="G93" s="497" t="s">
        <v>35310</v>
      </c>
      <c r="H93" s="497">
        <v>0</v>
      </c>
      <c r="I93" s="497">
        <v>2000</v>
      </c>
      <c r="J93" s="497" t="s">
        <v>29319</v>
      </c>
      <c r="K93" s="497" t="s">
        <v>4</v>
      </c>
      <c r="L93" s="497" t="s">
        <v>35311</v>
      </c>
      <c r="M93" s="497">
        <v>777601231</v>
      </c>
      <c r="N93" s="497" t="s">
        <v>5</v>
      </c>
      <c r="O93" s="497" t="s">
        <v>31598</v>
      </c>
      <c r="P93" s="497" t="s">
        <v>4</v>
      </c>
      <c r="Q93" s="497">
        <v>5</v>
      </c>
      <c r="R93" s="497" t="s">
        <v>7</v>
      </c>
      <c r="S93" s="497" t="s">
        <v>31588</v>
      </c>
      <c r="T93" s="497" t="s">
        <v>4</v>
      </c>
      <c r="U93" s="497" t="s">
        <v>7</v>
      </c>
      <c r="V93" s="497" t="s">
        <v>7</v>
      </c>
      <c r="W93" s="497" t="s">
        <v>4</v>
      </c>
      <c r="X93" s="497" t="s">
        <v>7</v>
      </c>
      <c r="Y93" s="497" t="s">
        <v>4</v>
      </c>
      <c r="Z93" s="497" t="s">
        <v>4</v>
      </c>
      <c r="AA93" s="241" t="str">
        <f>IF(OR(U93="yes",Z93&gt;'SDG outcome'!$C$39),"yes","no")</f>
        <v>yes</v>
      </c>
      <c r="AB93" s="521" t="str">
        <f t="shared" si="3"/>
        <v>NA</v>
      </c>
      <c r="AC93" s="527" t="str">
        <f>IF(AND('SMS p2'!AA187="no",AND(Z93&gt;='SDG outcome'!$B$28,Z93&lt;'SDG outcome'!$C$39)),Z93-'SDG outcome'!$B$28,"")</f>
        <v/>
      </c>
      <c r="AD93" s="497" t="s">
        <v>4</v>
      </c>
      <c r="AE93" s="497" t="s">
        <v>4</v>
      </c>
      <c r="AF93" s="497" t="s">
        <v>4</v>
      </c>
      <c r="AG93" s="497" t="s">
        <v>4</v>
      </c>
      <c r="AH93" s="497" t="s">
        <v>4</v>
      </c>
      <c r="AI93" s="497" t="s">
        <v>4</v>
      </c>
      <c r="AJ93" s="497" t="s">
        <v>4</v>
      </c>
      <c r="AK93" s="497" t="s">
        <v>29290</v>
      </c>
      <c r="AL93" s="497" t="s">
        <v>29291</v>
      </c>
      <c r="AM93" s="497" t="s">
        <v>4</v>
      </c>
      <c r="AN93" s="497" t="s">
        <v>4</v>
      </c>
      <c r="AO93" s="497" t="s">
        <v>31536</v>
      </c>
      <c r="AP93" s="497" t="s">
        <v>4</v>
      </c>
      <c r="AQ93" s="497" t="s">
        <v>31537</v>
      </c>
      <c r="AR93" s="497" t="s">
        <v>4</v>
      </c>
      <c r="AS93" s="497" t="s">
        <v>31538</v>
      </c>
      <c r="AT93" s="497" t="s">
        <v>4</v>
      </c>
      <c r="AU93" s="497" t="s">
        <v>7</v>
      </c>
      <c r="AV93" s="497" t="s">
        <v>4</v>
      </c>
      <c r="AW93" s="497" t="s">
        <v>4</v>
      </c>
      <c r="AX93" s="497" t="s">
        <v>7</v>
      </c>
      <c r="AY93" s="497" t="s">
        <v>53</v>
      </c>
      <c r="AZ93" s="497" t="s">
        <v>4</v>
      </c>
      <c r="BA93" s="497" t="s">
        <v>31619</v>
      </c>
      <c r="BB93" s="497" t="s">
        <v>4</v>
      </c>
      <c r="BC93" s="497" t="s">
        <v>4</v>
      </c>
      <c r="BD93" s="497" t="s">
        <v>4</v>
      </c>
      <c r="BE93" s="497" t="s">
        <v>4</v>
      </c>
      <c r="BF93" s="497" t="s">
        <v>4</v>
      </c>
      <c r="BG93" s="497" t="s">
        <v>4</v>
      </c>
      <c r="BH93" s="497" t="s">
        <v>4</v>
      </c>
      <c r="BI93" s="497" t="s">
        <v>4</v>
      </c>
      <c r="BJ93" s="497" t="s">
        <v>4</v>
      </c>
      <c r="BK93" s="497" t="s">
        <v>7</v>
      </c>
      <c r="BL93" s="497" t="s">
        <v>6</v>
      </c>
      <c r="BM93" s="497" t="s">
        <v>4</v>
      </c>
      <c r="BN93" s="497" t="s">
        <v>31429</v>
      </c>
      <c r="BO93" s="497">
        <v>4</v>
      </c>
      <c r="BP93" s="497">
        <v>10</v>
      </c>
      <c r="BQ93" s="497" t="s">
        <v>13</v>
      </c>
      <c r="BR93" s="499" t="s">
        <v>33361</v>
      </c>
      <c r="BS93" s="497" t="s">
        <v>31431</v>
      </c>
      <c r="BT93" s="497">
        <v>3</v>
      </c>
      <c r="BU93" s="494" cm="1">
        <f t="array" ref="BU93">_xlfn.IFS(BQ93="Foreword vehicle",BT93*0,BQ93="Human wastes",BT93*0,BS93="Jerrycans",BT93*$BS$4,BQ93="Number of Basins",BT93*$BT$5,BQ93="Number of Buckets",BT93*$BT$6,BQ93="Number of Kgs",BT93*$BT$7,BQ93="Number of spades",BT93*$BT$8,BQ93="Number of wheelbarrows",BT93*$BT$9,BS93="Septic Tank",BT93*0)</f>
        <v>69</v>
      </c>
      <c r="BV93" s="494">
        <f>Table15[[#This Row],[Calculation: Conversion of metric to Kg manure feeding (Columns: BP, BQ, BR)]]*Table15[[#This Row],[Number of times used to feed biodigester]]</f>
        <v>276</v>
      </c>
      <c r="BW93" s="495" cm="1">
        <f t="array" ref="BW93">_xlfn.IFS(BN93="Number of times per day (1 to 3)",BV93/$BW$3,BN93="Number of times per week (1 to 6)",BV93/$BW$4,BN93="Number of times per Month (1 to 3)",BV93/$BW$5)</f>
        <v>39.428571428571431</v>
      </c>
      <c r="BX93" s="497" t="s">
        <v>31552</v>
      </c>
      <c r="BY93" s="497" t="s">
        <v>4</v>
      </c>
      <c r="BZ93" s="497" t="s">
        <v>2</v>
      </c>
      <c r="CA93" s="497" t="s">
        <v>4</v>
      </c>
      <c r="CB93" s="497" t="s">
        <v>4</v>
      </c>
      <c r="CC93" s="497" t="s">
        <v>4</v>
      </c>
      <c r="CD93" s="497" t="s">
        <v>7</v>
      </c>
      <c r="CE93" s="497" t="s">
        <v>35312</v>
      </c>
      <c r="CF93" s="497" t="s">
        <v>4</v>
      </c>
      <c r="CG93" s="497" t="s">
        <v>31728</v>
      </c>
      <c r="CH93" s="497">
        <v>0</v>
      </c>
      <c r="CI93" s="497">
        <v>1</v>
      </c>
      <c r="CJ93" s="497">
        <v>12</v>
      </c>
      <c r="CK93" s="497">
        <v>0</v>
      </c>
      <c r="CL93" s="497">
        <v>0</v>
      </c>
      <c r="CM93" s="497">
        <v>0</v>
      </c>
      <c r="CN93" s="497">
        <v>0</v>
      </c>
      <c r="CO93" s="497">
        <v>0</v>
      </c>
      <c r="CP93" s="497">
        <v>0</v>
      </c>
      <c r="CQ93" s="497">
        <v>0</v>
      </c>
      <c r="CR93" s="497">
        <f>IF(Table15[[#This Row],[Is your biodigester working?]]="yes",CO93/'SDG outcome'!$C$9*CP93*CQ93,"")</f>
        <v>0</v>
      </c>
      <c r="CS93" s="497" t="s">
        <v>4</v>
      </c>
      <c r="CT93" s="500" t="s">
        <v>4</v>
      </c>
      <c r="CU93" s="496" t="s">
        <v>4</v>
      </c>
      <c r="CV93" s="497">
        <v>100</v>
      </c>
      <c r="CW93" s="500">
        <v>0</v>
      </c>
      <c r="CX93" s="496" t="s">
        <v>4</v>
      </c>
      <c r="CY93" s="497" t="s">
        <v>4</v>
      </c>
      <c r="CZ93" s="500" t="s">
        <v>4</v>
      </c>
      <c r="DA93" s="496" t="s">
        <v>4</v>
      </c>
      <c r="DB93" s="497">
        <v>0</v>
      </c>
      <c r="DC93" s="497">
        <v>100</v>
      </c>
      <c r="DD93" s="497" t="s">
        <v>35313</v>
      </c>
      <c r="DE93" s="497" t="s">
        <v>4</v>
      </c>
      <c r="DF93" s="497" t="s">
        <v>4</v>
      </c>
      <c r="DG93" s="497" t="s">
        <v>4</v>
      </c>
      <c r="DH93" s="497" t="s">
        <v>4</v>
      </c>
      <c r="DI93" s="497" t="s">
        <v>4</v>
      </c>
      <c r="DJ93" s="497" t="s">
        <v>4</v>
      </c>
      <c r="DK93" s="497" t="s">
        <v>4</v>
      </c>
      <c r="DL93" s="497" t="s">
        <v>4</v>
      </c>
      <c r="DM93" s="497" t="s">
        <v>4</v>
      </c>
      <c r="DN93" s="497">
        <v>1</v>
      </c>
      <c r="DO93" s="497" t="s">
        <v>7</v>
      </c>
      <c r="DP93" s="497" t="s">
        <v>29292</v>
      </c>
      <c r="DQ93" s="497" t="s">
        <v>4</v>
      </c>
      <c r="DR93" s="497" t="s">
        <v>29293</v>
      </c>
      <c r="DS93" s="494">
        <v>70000</v>
      </c>
      <c r="DT93" s="497" t="s">
        <v>29293</v>
      </c>
      <c r="DU93" s="494">
        <v>0</v>
      </c>
      <c r="DV93" s="500" t="s">
        <v>29295</v>
      </c>
      <c r="DW93" s="496">
        <v>100</v>
      </c>
      <c r="DX93" s="497" t="s">
        <v>33993</v>
      </c>
      <c r="DY93" s="497">
        <v>50</v>
      </c>
      <c r="DZ93" s="497">
        <v>20</v>
      </c>
      <c r="EA93" s="497">
        <v>30</v>
      </c>
      <c r="EB93" s="497" t="s">
        <v>4</v>
      </c>
      <c r="EC93" s="497" t="s">
        <v>4</v>
      </c>
      <c r="ED93" s="497" t="s">
        <v>4</v>
      </c>
      <c r="EE93" s="497" t="s">
        <v>4</v>
      </c>
      <c r="EF93" s="497" t="s">
        <v>4</v>
      </c>
      <c r="EG93" s="497" t="s">
        <v>4</v>
      </c>
      <c r="EH93" s="497" t="s">
        <v>4</v>
      </c>
      <c r="EI93" s="497" t="s">
        <v>4</v>
      </c>
      <c r="EJ93" s="497" t="s">
        <v>4</v>
      </c>
      <c r="EK93" s="497" t="s">
        <v>4</v>
      </c>
      <c r="EL93" s="497" t="s">
        <v>4</v>
      </c>
      <c r="EM93" s="497" t="s">
        <v>4</v>
      </c>
      <c r="EN93" s="497" t="s">
        <v>4</v>
      </c>
      <c r="EO93" s="497" t="s">
        <v>4</v>
      </c>
      <c r="EP93" s="497" t="s">
        <v>4</v>
      </c>
      <c r="EQ93" s="497" t="s">
        <v>4</v>
      </c>
      <c r="ER93" s="497" t="s">
        <v>4</v>
      </c>
      <c r="ES93" s="497" t="s">
        <v>4</v>
      </c>
      <c r="ET93" s="497" t="s">
        <v>4</v>
      </c>
      <c r="EU93" s="497" t="s">
        <v>4</v>
      </c>
      <c r="EV93" s="497" t="s">
        <v>4</v>
      </c>
      <c r="EW93" s="497">
        <v>0.60704168352893562</v>
      </c>
      <c r="EX93" s="497" t="s">
        <v>7</v>
      </c>
      <c r="EY93" s="497">
        <v>75</v>
      </c>
      <c r="EZ93" s="239">
        <f t="shared" si="4"/>
        <v>0.45528126264670171</v>
      </c>
      <c r="FA93" s="497" t="s">
        <v>35314</v>
      </c>
      <c r="FB93" s="497" t="s">
        <v>29298</v>
      </c>
      <c r="FC93" s="497">
        <v>60</v>
      </c>
      <c r="FD93" s="497" t="s">
        <v>7</v>
      </c>
      <c r="FE93" s="497" t="s">
        <v>29492</v>
      </c>
      <c r="FF93" s="497" t="s">
        <v>4</v>
      </c>
      <c r="FG93" s="497" t="s">
        <v>2</v>
      </c>
      <c r="FH93" s="497" t="s">
        <v>4</v>
      </c>
      <c r="FI93" s="497" t="s">
        <v>4</v>
      </c>
      <c r="FJ93" s="497" t="s">
        <v>4</v>
      </c>
      <c r="FK93" s="497" t="s">
        <v>4</v>
      </c>
      <c r="FL93" s="497" t="s">
        <v>29292</v>
      </c>
      <c r="FM93" s="497" t="s">
        <v>29293</v>
      </c>
      <c r="FN93" s="494">
        <v>100000</v>
      </c>
      <c r="FO93" s="497" t="s">
        <v>4</v>
      </c>
      <c r="FP93" s="497" t="s">
        <v>7</v>
      </c>
      <c r="FQ93" s="497" t="s">
        <v>29301</v>
      </c>
      <c r="FR93" s="497" t="s">
        <v>4</v>
      </c>
      <c r="FS93" s="497" t="s">
        <v>7</v>
      </c>
      <c r="FT93" s="497" t="s">
        <v>7</v>
      </c>
      <c r="FU93" s="497" t="s">
        <v>29302</v>
      </c>
      <c r="FV93" s="497" t="s">
        <v>30692</v>
      </c>
      <c r="FW93" s="497" t="s">
        <v>4</v>
      </c>
      <c r="FX93" s="497">
        <v>0</v>
      </c>
      <c r="FY93" s="497" t="s">
        <v>4</v>
      </c>
      <c r="FZ93" s="497" t="s">
        <v>4</v>
      </c>
      <c r="GA93" s="497" t="s">
        <v>4</v>
      </c>
      <c r="GB93" s="497" t="s">
        <v>4</v>
      </c>
      <c r="GC93" s="497" t="s">
        <v>4</v>
      </c>
      <c r="GD93" s="497" t="s">
        <v>4</v>
      </c>
      <c r="GE93" s="497" t="s">
        <v>4</v>
      </c>
      <c r="GF93" s="497" t="s">
        <v>4</v>
      </c>
      <c r="GG93" s="497" t="s">
        <v>4</v>
      </c>
      <c r="GH93" s="497" t="s">
        <v>4</v>
      </c>
      <c r="GI93" s="497" t="s">
        <v>29304</v>
      </c>
      <c r="GJ93" s="497" t="s">
        <v>29305</v>
      </c>
      <c r="GK93" s="497" t="s">
        <v>29306</v>
      </c>
      <c r="GL93" s="497" t="s">
        <v>4</v>
      </c>
      <c r="GM93" s="497" t="s">
        <v>4</v>
      </c>
      <c r="GN93" s="497" t="s">
        <v>4</v>
      </c>
      <c r="GO93" s="497" t="s">
        <v>4</v>
      </c>
      <c r="GP93" s="497" t="s">
        <v>4</v>
      </c>
      <c r="GQ93" s="497" t="s">
        <v>4</v>
      </c>
      <c r="GR93" s="497" t="s">
        <v>4</v>
      </c>
      <c r="GS93" s="497" t="s">
        <v>4</v>
      </c>
      <c r="GT93" s="497" t="s">
        <v>29410</v>
      </c>
      <c r="GU93" s="497" t="s">
        <v>4</v>
      </c>
      <c r="GV93" s="494">
        <v>3</v>
      </c>
      <c r="GW93" s="497" t="s">
        <v>2</v>
      </c>
      <c r="GX93" s="497" t="s">
        <v>29837</v>
      </c>
      <c r="GY93" s="497" t="s">
        <v>4</v>
      </c>
      <c r="GZ93" s="497" t="s">
        <v>4</v>
      </c>
      <c r="HA93" s="497" t="s">
        <v>4</v>
      </c>
      <c r="HB93" s="497" t="s">
        <v>4</v>
      </c>
      <c r="HC93" s="497" t="s">
        <v>4</v>
      </c>
      <c r="HD93" s="497" t="s">
        <v>4</v>
      </c>
      <c r="HE93" s="497" t="s">
        <v>4</v>
      </c>
      <c r="HF93" s="497" t="s">
        <v>4</v>
      </c>
      <c r="HG93" s="497" t="s">
        <v>2</v>
      </c>
      <c r="HH93" s="497" t="s">
        <v>4</v>
      </c>
      <c r="HI93" s="497" t="s">
        <v>4</v>
      </c>
      <c r="HJ93" s="497" t="s">
        <v>4</v>
      </c>
      <c r="HK93" s="494" t="s">
        <v>4</v>
      </c>
      <c r="HL93" s="497" t="s">
        <v>35315</v>
      </c>
      <c r="HM93" s="497" t="s">
        <v>7</v>
      </c>
      <c r="HN93" s="497" t="s">
        <v>35316</v>
      </c>
      <c r="HO93" s="497" t="s">
        <v>35317</v>
      </c>
      <c r="HP93" s="497" t="s">
        <v>35318</v>
      </c>
      <c r="HQ93" s="497" t="s">
        <v>35319</v>
      </c>
      <c r="HR93" s="497" t="s">
        <v>35320</v>
      </c>
      <c r="HS93" s="497" t="s">
        <v>35321</v>
      </c>
      <c r="HT93" s="500" t="s">
        <v>35322</v>
      </c>
    </row>
    <row r="94" spans="1:228" s="570" customFormat="1" ht="30.2" customHeight="1" x14ac:dyDescent="0.25">
      <c r="A94" s="759"/>
      <c r="B94" s="496">
        <v>202</v>
      </c>
      <c r="C94" s="496" t="s">
        <v>15161</v>
      </c>
      <c r="D94" s="497" t="s">
        <v>35631</v>
      </c>
      <c r="E94" s="497" t="s">
        <v>35495</v>
      </c>
      <c r="F94" s="497" t="s">
        <v>7</v>
      </c>
      <c r="G94" s="497" t="s">
        <v>35632</v>
      </c>
      <c r="H94" s="497">
        <v>1142.8</v>
      </c>
      <c r="I94" s="497">
        <v>4.5</v>
      </c>
      <c r="J94" s="497" t="s">
        <v>29288</v>
      </c>
      <c r="K94" s="497" t="s">
        <v>4</v>
      </c>
      <c r="L94" s="497" t="s">
        <v>15162</v>
      </c>
      <c r="M94" s="497">
        <v>771454909</v>
      </c>
      <c r="N94" s="497" t="s">
        <v>3</v>
      </c>
      <c r="O94" s="497" t="s">
        <v>31438</v>
      </c>
      <c r="P94" s="497">
        <v>50</v>
      </c>
      <c r="Q94" s="497">
        <v>15</v>
      </c>
      <c r="R94" s="497" t="s">
        <v>7</v>
      </c>
      <c r="S94" s="497" t="s">
        <v>31588</v>
      </c>
      <c r="T94" s="497" t="s">
        <v>4</v>
      </c>
      <c r="U94" s="497" t="s">
        <v>7</v>
      </c>
      <c r="V94" s="497" t="s">
        <v>7</v>
      </c>
      <c r="W94" s="497" t="s">
        <v>4</v>
      </c>
      <c r="X94" s="497" t="s">
        <v>7</v>
      </c>
      <c r="Y94" s="497" t="s">
        <v>4</v>
      </c>
      <c r="Z94" s="497" t="s">
        <v>4</v>
      </c>
      <c r="AA94" s="241" t="str">
        <f>IF(OR(U94="yes",Z94&gt;'SDG outcome'!$C$39),"yes","no")</f>
        <v>yes</v>
      </c>
      <c r="AB94" s="521" t="str">
        <f t="shared" si="3"/>
        <v>NA</v>
      </c>
      <c r="AC94" s="527" t="str">
        <f>IF(AND('SMS p2'!AA214="no",AND(Z94&gt;='SDG outcome'!$B$28,Z94&lt;'SDG outcome'!$C$39)),Z94-'SDG outcome'!$B$28,"")</f>
        <v/>
      </c>
      <c r="AD94" s="497" t="s">
        <v>4</v>
      </c>
      <c r="AE94" s="497" t="s">
        <v>4</v>
      </c>
      <c r="AF94" s="497" t="s">
        <v>4</v>
      </c>
      <c r="AG94" s="497" t="s">
        <v>4</v>
      </c>
      <c r="AH94" s="497" t="s">
        <v>4</v>
      </c>
      <c r="AI94" s="497" t="s">
        <v>4</v>
      </c>
      <c r="AJ94" s="497" t="s">
        <v>4</v>
      </c>
      <c r="AK94" s="497" t="s">
        <v>29290</v>
      </c>
      <c r="AL94" s="497" t="s">
        <v>29291</v>
      </c>
      <c r="AM94" s="497" t="s">
        <v>4</v>
      </c>
      <c r="AN94" s="497" t="s">
        <v>4</v>
      </c>
      <c r="AO94" s="497" t="s">
        <v>31599</v>
      </c>
      <c r="AP94" s="497" t="s">
        <v>4</v>
      </c>
      <c r="AQ94" s="497" t="s">
        <v>31537</v>
      </c>
      <c r="AR94" s="497" t="s">
        <v>4</v>
      </c>
      <c r="AS94" s="497" t="s">
        <v>31538</v>
      </c>
      <c r="AT94" s="497" t="s">
        <v>4</v>
      </c>
      <c r="AU94" s="497" t="s">
        <v>7</v>
      </c>
      <c r="AV94" s="497" t="s">
        <v>4</v>
      </c>
      <c r="AW94" s="497" t="s">
        <v>4</v>
      </c>
      <c r="AX94" s="497" t="s">
        <v>7</v>
      </c>
      <c r="AY94" s="497" t="s">
        <v>11</v>
      </c>
      <c r="AZ94" s="497" t="s">
        <v>4</v>
      </c>
      <c r="BA94" s="497" t="s">
        <v>31563</v>
      </c>
      <c r="BB94" s="497" t="s">
        <v>31541</v>
      </c>
      <c r="BC94" s="497" t="s">
        <v>4</v>
      </c>
      <c r="BD94" s="497" t="s">
        <v>35633</v>
      </c>
      <c r="BE94" s="497" t="s">
        <v>4</v>
      </c>
      <c r="BF94" s="497" t="s">
        <v>31542</v>
      </c>
      <c r="BG94" s="497" t="s">
        <v>35634</v>
      </c>
      <c r="BH94" s="497" t="s">
        <v>31616</v>
      </c>
      <c r="BI94" s="497">
        <v>2</v>
      </c>
      <c r="BJ94" s="497">
        <v>240</v>
      </c>
      <c r="BK94" s="497" t="s">
        <v>7</v>
      </c>
      <c r="BL94" s="497" t="s">
        <v>6</v>
      </c>
      <c r="BM94" s="497" t="s">
        <v>4</v>
      </c>
      <c r="BN94" s="497" t="s">
        <v>31425</v>
      </c>
      <c r="BO94" s="497">
        <v>1</v>
      </c>
      <c r="BP94" s="497">
        <v>10</v>
      </c>
      <c r="BQ94" s="497" t="s">
        <v>31434</v>
      </c>
      <c r="BR94" s="499" t="s">
        <v>33361</v>
      </c>
      <c r="BS94" s="497" t="s">
        <v>4</v>
      </c>
      <c r="BT94" s="497">
        <v>1</v>
      </c>
      <c r="BU94" s="494" cm="1">
        <f t="array" ref="BU94">_xlfn.IFS(BQ94="Foreword vehicle",BT94*0,BQ94="Human wastes",BT94*0,BS94="Jerrycans",BT94*$BT$4,BQ94="Number of Basins",BT94*$BS$5,BQ94="Number of Buckets",BT94*$BT$6,BQ94="Number of Kgs",BT94*$BT$7,BQ94="Number of spades",BT94*$BT$8,BQ94="Number of wheelbarrows",BT94*$BT$9,BS94="Septic Tank",BT94*0)</f>
        <v>21</v>
      </c>
      <c r="BV94" s="494">
        <f>Table15[[#This Row],[Calculation: Conversion of metric to Kg manure feeding (Columns: BP, BQ, BR)]]*Table15[[#This Row],[Number of times used to feed biodigester]]</f>
        <v>21</v>
      </c>
      <c r="BW94" s="495" cm="1">
        <f t="array" ref="BW94">_xlfn.IFS(BN94="Number of times per day (1 to 3)",BV94/$BW$3,BN94="Number of times per week (1 to 6)",BV94/$BW$4,BN94="Number of times per Month (1 to 3)",BV94/$BW$5)</f>
        <v>21</v>
      </c>
      <c r="BX94" s="497" t="s">
        <v>31541</v>
      </c>
      <c r="BY94" s="497" t="s">
        <v>4</v>
      </c>
      <c r="BZ94" s="497" t="s">
        <v>2</v>
      </c>
      <c r="CA94" s="497" t="s">
        <v>4</v>
      </c>
      <c r="CB94" s="497" t="s">
        <v>4</v>
      </c>
      <c r="CC94" s="497" t="s">
        <v>4</v>
      </c>
      <c r="CD94" s="497" t="s">
        <v>7</v>
      </c>
      <c r="CE94" s="497" t="s">
        <v>35635</v>
      </c>
      <c r="CF94" s="497" t="s">
        <v>4</v>
      </c>
      <c r="CG94" s="497" t="s">
        <v>33334</v>
      </c>
      <c r="CH94" s="497">
        <v>0</v>
      </c>
      <c r="CI94" s="497">
        <v>3</v>
      </c>
      <c r="CJ94" s="497">
        <v>0</v>
      </c>
      <c r="CK94" s="497">
        <v>0</v>
      </c>
      <c r="CL94" s="497">
        <v>4</v>
      </c>
      <c r="CM94" s="497">
        <v>60</v>
      </c>
      <c r="CN94" s="497">
        <v>0</v>
      </c>
      <c r="CO94" s="497">
        <v>0</v>
      </c>
      <c r="CP94" s="497">
        <v>0</v>
      </c>
      <c r="CQ94" s="497">
        <v>0</v>
      </c>
      <c r="CR94" s="497">
        <f>IF(Table15[[#This Row],[Is your biodigester working?]]="yes",CO94/'SDG outcome'!$C$9*CP94*CQ94,"")</f>
        <v>0</v>
      </c>
      <c r="CS94" s="497" t="s">
        <v>4</v>
      </c>
      <c r="CT94" s="500" t="s">
        <v>4</v>
      </c>
      <c r="CU94" s="496" t="s">
        <v>4</v>
      </c>
      <c r="CV94" s="497">
        <v>100</v>
      </c>
      <c r="CW94" s="500">
        <v>0</v>
      </c>
      <c r="CX94" s="496" t="s">
        <v>4</v>
      </c>
      <c r="CY94" s="497" t="s">
        <v>4</v>
      </c>
      <c r="CZ94" s="500" t="s">
        <v>4</v>
      </c>
      <c r="DA94" s="496" t="s">
        <v>4</v>
      </c>
      <c r="DB94" s="497" t="s">
        <v>4</v>
      </c>
      <c r="DC94" s="497" t="s">
        <v>4</v>
      </c>
      <c r="DD94" s="497" t="s">
        <v>4</v>
      </c>
      <c r="DE94" s="497">
        <v>0</v>
      </c>
      <c r="DF94" s="497">
        <v>100</v>
      </c>
      <c r="DG94" s="497" t="s">
        <v>35636</v>
      </c>
      <c r="DH94" s="497" t="s">
        <v>4</v>
      </c>
      <c r="DI94" s="497" t="s">
        <v>4</v>
      </c>
      <c r="DJ94" s="497" t="s">
        <v>4</v>
      </c>
      <c r="DK94" s="497">
        <v>0</v>
      </c>
      <c r="DL94" s="497">
        <v>100</v>
      </c>
      <c r="DM94" s="497" t="s">
        <v>35637</v>
      </c>
      <c r="DN94" s="497">
        <v>2</v>
      </c>
      <c r="DO94" s="497" t="s">
        <v>2</v>
      </c>
      <c r="DP94" s="497" t="s">
        <v>29292</v>
      </c>
      <c r="DQ94" s="497" t="s">
        <v>4</v>
      </c>
      <c r="DR94" s="497" t="s">
        <v>29293</v>
      </c>
      <c r="DS94" s="494">
        <v>36000</v>
      </c>
      <c r="DT94" s="497" t="s">
        <v>29293</v>
      </c>
      <c r="DU94" s="494">
        <v>0</v>
      </c>
      <c r="DV94" s="500" t="s">
        <v>29508</v>
      </c>
      <c r="DW94" s="496" t="s">
        <v>4</v>
      </c>
      <c r="DX94" s="497" t="s">
        <v>4</v>
      </c>
      <c r="DY94" s="497" t="s">
        <v>4</v>
      </c>
      <c r="DZ94" s="497" t="s">
        <v>4</v>
      </c>
      <c r="EA94" s="497" t="s">
        <v>4</v>
      </c>
      <c r="EB94" s="497" t="s">
        <v>4</v>
      </c>
      <c r="EC94" s="497" t="s">
        <v>4</v>
      </c>
      <c r="ED94" s="497">
        <v>100</v>
      </c>
      <c r="EE94" s="497" t="s">
        <v>30667</v>
      </c>
      <c r="EF94" s="497" t="s">
        <v>4</v>
      </c>
      <c r="EG94" s="497" t="s">
        <v>4</v>
      </c>
      <c r="EH94" s="497">
        <v>100</v>
      </c>
      <c r="EI94" s="497" t="s">
        <v>4</v>
      </c>
      <c r="EJ94" s="497" t="s">
        <v>4</v>
      </c>
      <c r="EK94" s="497" t="s">
        <v>4</v>
      </c>
      <c r="EL94" s="497" t="s">
        <v>4</v>
      </c>
      <c r="EM94" s="497">
        <v>90</v>
      </c>
      <c r="EN94" s="497" t="s">
        <v>4</v>
      </c>
      <c r="EO94" s="497" t="s">
        <v>4</v>
      </c>
      <c r="EP94" s="497" t="s">
        <v>4</v>
      </c>
      <c r="EQ94" s="497" t="s">
        <v>29695</v>
      </c>
      <c r="ER94" s="497">
        <v>50</v>
      </c>
      <c r="ES94" s="497" t="s">
        <v>4</v>
      </c>
      <c r="ET94" s="497" t="s">
        <v>4</v>
      </c>
      <c r="EU94" s="497">
        <v>50</v>
      </c>
      <c r="EV94" s="497" t="s">
        <v>4</v>
      </c>
      <c r="EW94" s="497">
        <v>0.80938891137191415</v>
      </c>
      <c r="EX94" s="497" t="s">
        <v>30901</v>
      </c>
      <c r="EY94" s="497">
        <v>50</v>
      </c>
      <c r="EZ94" s="239">
        <f t="shared" si="4"/>
        <v>0.40469445568595708</v>
      </c>
      <c r="FA94" s="497" t="s">
        <v>35638</v>
      </c>
      <c r="FB94" s="497" t="s">
        <v>29298</v>
      </c>
      <c r="FC94" s="497">
        <v>24</v>
      </c>
      <c r="FD94" s="497" t="s">
        <v>2</v>
      </c>
      <c r="FE94" s="497" t="s">
        <v>4</v>
      </c>
      <c r="FF94" s="497" t="s">
        <v>4</v>
      </c>
      <c r="FG94" s="497" t="s">
        <v>2</v>
      </c>
      <c r="FH94" s="497" t="s">
        <v>4</v>
      </c>
      <c r="FI94" s="497" t="s">
        <v>4</v>
      </c>
      <c r="FJ94" s="497" t="s">
        <v>4</v>
      </c>
      <c r="FK94" s="497" t="s">
        <v>4</v>
      </c>
      <c r="FL94" s="497" t="s">
        <v>4</v>
      </c>
      <c r="FM94" s="497" t="s">
        <v>4</v>
      </c>
      <c r="FN94" s="494" t="s">
        <v>4</v>
      </c>
      <c r="FO94" s="497" t="s">
        <v>4</v>
      </c>
      <c r="FP94" s="497" t="s">
        <v>2</v>
      </c>
      <c r="FQ94" s="497" t="s">
        <v>4</v>
      </c>
      <c r="FR94" s="497" t="s">
        <v>4</v>
      </c>
      <c r="FS94" s="497" t="s">
        <v>2</v>
      </c>
      <c r="FT94" s="497" t="s">
        <v>2</v>
      </c>
      <c r="FU94" s="497" t="s">
        <v>4</v>
      </c>
      <c r="FV94" s="497" t="s">
        <v>4</v>
      </c>
      <c r="FW94" s="497" t="s">
        <v>29304</v>
      </c>
      <c r="FX94" s="497">
        <v>6</v>
      </c>
      <c r="FY94" s="497" t="s">
        <v>30052</v>
      </c>
      <c r="FZ94" s="497" t="s">
        <v>29306</v>
      </c>
      <c r="GA94" s="497" t="s">
        <v>4</v>
      </c>
      <c r="GB94" s="497" t="s">
        <v>30338</v>
      </c>
      <c r="GC94" s="497" t="s">
        <v>4</v>
      </c>
      <c r="GD94" s="497" t="s">
        <v>4</v>
      </c>
      <c r="GE94" s="497" t="s">
        <v>4</v>
      </c>
      <c r="GF94" s="497" t="s">
        <v>4</v>
      </c>
      <c r="GG94" s="497" t="s">
        <v>4</v>
      </c>
      <c r="GH94" s="497" t="s">
        <v>4</v>
      </c>
      <c r="GI94" s="497" t="s">
        <v>4</v>
      </c>
      <c r="GJ94" s="497" t="s">
        <v>4</v>
      </c>
      <c r="GK94" s="497" t="s">
        <v>4</v>
      </c>
      <c r="GL94" s="497" t="s">
        <v>4</v>
      </c>
      <c r="GM94" s="497" t="s">
        <v>4</v>
      </c>
      <c r="GN94" s="497" t="s">
        <v>4</v>
      </c>
      <c r="GO94" s="497" t="s">
        <v>4</v>
      </c>
      <c r="GP94" s="497" t="s">
        <v>4</v>
      </c>
      <c r="GQ94" s="497" t="s">
        <v>4</v>
      </c>
      <c r="GR94" s="497" t="s">
        <v>4</v>
      </c>
      <c r="GS94" s="497" t="s">
        <v>4</v>
      </c>
      <c r="GT94" s="497" t="s">
        <v>29467</v>
      </c>
      <c r="GU94" s="497" t="s">
        <v>4</v>
      </c>
      <c r="GV94" s="494">
        <v>50</v>
      </c>
      <c r="GW94" s="497" t="s">
        <v>2</v>
      </c>
      <c r="GX94" s="497" t="s">
        <v>29309</v>
      </c>
      <c r="GY94" s="497" t="s">
        <v>4</v>
      </c>
      <c r="GZ94" s="497" t="s">
        <v>4</v>
      </c>
      <c r="HA94" s="497" t="s">
        <v>4</v>
      </c>
      <c r="HB94" s="497" t="s">
        <v>4</v>
      </c>
      <c r="HC94" s="497" t="s">
        <v>4</v>
      </c>
      <c r="HD94" s="497" t="s">
        <v>4</v>
      </c>
      <c r="HE94" s="497" t="s">
        <v>4</v>
      </c>
      <c r="HF94" s="497" t="s">
        <v>4</v>
      </c>
      <c r="HG94" s="497" t="s">
        <v>2</v>
      </c>
      <c r="HH94" s="497" t="s">
        <v>4</v>
      </c>
      <c r="HI94" s="497" t="s">
        <v>4</v>
      </c>
      <c r="HJ94" s="497" t="s">
        <v>4</v>
      </c>
      <c r="HK94" s="494" t="s">
        <v>4</v>
      </c>
      <c r="HL94" s="497" t="s">
        <v>35639</v>
      </c>
      <c r="HM94" s="497" t="s">
        <v>7</v>
      </c>
      <c r="HN94" s="497" t="s">
        <v>35640</v>
      </c>
      <c r="HO94" s="497" t="s">
        <v>30883</v>
      </c>
      <c r="HP94" s="497" t="s">
        <v>35641</v>
      </c>
      <c r="HQ94" s="497" t="s">
        <v>35642</v>
      </c>
      <c r="HR94" s="497" t="s">
        <v>35643</v>
      </c>
      <c r="HS94" s="497" t="s">
        <v>35644</v>
      </c>
      <c r="HT94" s="500" t="s">
        <v>35631</v>
      </c>
    </row>
    <row r="95" spans="1:228" s="570" customFormat="1" ht="30.2" customHeight="1" x14ac:dyDescent="0.25">
      <c r="A95" s="759"/>
      <c r="B95" s="496">
        <v>198</v>
      </c>
      <c r="C95" s="496" t="s">
        <v>17599</v>
      </c>
      <c r="D95" s="497" t="s">
        <v>35571</v>
      </c>
      <c r="E95" s="497" t="s">
        <v>35495</v>
      </c>
      <c r="F95" s="497" t="s">
        <v>7</v>
      </c>
      <c r="G95" s="497" t="s">
        <v>35572</v>
      </c>
      <c r="H95" s="497">
        <v>1162.0999999999999</v>
      </c>
      <c r="I95" s="497">
        <v>5</v>
      </c>
      <c r="J95" s="497" t="s">
        <v>29319</v>
      </c>
      <c r="K95" s="497" t="s">
        <v>4</v>
      </c>
      <c r="L95" s="497" t="s">
        <v>35573</v>
      </c>
      <c r="M95" s="497">
        <v>758987859</v>
      </c>
      <c r="N95" s="497" t="s">
        <v>5</v>
      </c>
      <c r="O95" s="497" t="s">
        <v>31438</v>
      </c>
      <c r="P95" s="497">
        <v>49</v>
      </c>
      <c r="Q95" s="497">
        <v>3</v>
      </c>
      <c r="R95" s="497" t="s">
        <v>7</v>
      </c>
      <c r="S95" s="497" t="s">
        <v>31588</v>
      </c>
      <c r="T95" s="497" t="s">
        <v>4</v>
      </c>
      <c r="U95" s="497" t="s">
        <v>7</v>
      </c>
      <c r="V95" s="497" t="s">
        <v>7</v>
      </c>
      <c r="W95" s="497" t="s">
        <v>4</v>
      </c>
      <c r="X95" s="497" t="s">
        <v>7</v>
      </c>
      <c r="Y95" s="497" t="s">
        <v>4</v>
      </c>
      <c r="Z95" s="497" t="s">
        <v>4</v>
      </c>
      <c r="AA95" s="241" t="str">
        <f>IF(OR(U95="yes",Z95&gt;'SDG outcome'!$C$39),"yes","no")</f>
        <v>yes</v>
      </c>
      <c r="AB95" s="521" t="str">
        <f t="shared" si="3"/>
        <v>NA</v>
      </c>
      <c r="AC95" s="527" t="str">
        <f>IF(AND('SMS p2'!AA210="no",AND(Z95&gt;='SDG outcome'!$B$28,Z95&lt;'SDG outcome'!$C$39)),Z95-'SDG outcome'!$B$28,"")</f>
        <v/>
      </c>
      <c r="AD95" s="497" t="s">
        <v>4</v>
      </c>
      <c r="AE95" s="497" t="s">
        <v>4</v>
      </c>
      <c r="AF95" s="497" t="s">
        <v>4</v>
      </c>
      <c r="AG95" s="497" t="s">
        <v>4</v>
      </c>
      <c r="AH95" s="497" t="s">
        <v>4</v>
      </c>
      <c r="AI95" s="497" t="s">
        <v>4</v>
      </c>
      <c r="AJ95" s="501" t="s">
        <v>4</v>
      </c>
      <c r="AK95" s="497" t="s">
        <v>29290</v>
      </c>
      <c r="AL95" s="497" t="s">
        <v>29291</v>
      </c>
      <c r="AM95" s="497" t="s">
        <v>4</v>
      </c>
      <c r="AN95" s="497" t="s">
        <v>4</v>
      </c>
      <c r="AO95" s="497" t="s">
        <v>31536</v>
      </c>
      <c r="AP95" s="497" t="s">
        <v>4</v>
      </c>
      <c r="AQ95" s="497" t="s">
        <v>31600</v>
      </c>
      <c r="AR95" s="497" t="s">
        <v>4</v>
      </c>
      <c r="AS95" s="497" t="s">
        <v>31647</v>
      </c>
      <c r="AT95" s="497" t="s">
        <v>4</v>
      </c>
      <c r="AU95" s="497" t="s">
        <v>7</v>
      </c>
      <c r="AV95" s="497" t="s">
        <v>4</v>
      </c>
      <c r="AW95" s="497" t="s">
        <v>4</v>
      </c>
      <c r="AX95" s="497" t="s">
        <v>2</v>
      </c>
      <c r="AY95" s="497" t="s">
        <v>4</v>
      </c>
      <c r="AZ95" s="497" t="s">
        <v>4</v>
      </c>
      <c r="BA95" s="497" t="s">
        <v>4</v>
      </c>
      <c r="BB95" s="497" t="s">
        <v>4</v>
      </c>
      <c r="BC95" s="497" t="s">
        <v>4</v>
      </c>
      <c r="BD95" s="497" t="s">
        <v>4</v>
      </c>
      <c r="BE95" s="497" t="s">
        <v>4</v>
      </c>
      <c r="BF95" s="497" t="s">
        <v>4</v>
      </c>
      <c r="BG95" s="497" t="s">
        <v>4</v>
      </c>
      <c r="BH95" s="497" t="s">
        <v>4</v>
      </c>
      <c r="BI95" s="497" t="s">
        <v>4</v>
      </c>
      <c r="BJ95" s="497" t="s">
        <v>4</v>
      </c>
      <c r="BK95" s="497" t="s">
        <v>2</v>
      </c>
      <c r="BL95" s="497" t="s">
        <v>4</v>
      </c>
      <c r="BM95" s="497" t="s">
        <v>4</v>
      </c>
      <c r="BN95" s="497" t="s">
        <v>31425</v>
      </c>
      <c r="BO95" s="497">
        <v>1</v>
      </c>
      <c r="BP95" s="497">
        <v>20</v>
      </c>
      <c r="BQ95" s="497" t="s">
        <v>31426</v>
      </c>
      <c r="BR95" s="499" t="s">
        <v>33361</v>
      </c>
      <c r="BS95" s="497" t="s">
        <v>4</v>
      </c>
      <c r="BT95" s="497">
        <v>2</v>
      </c>
      <c r="BU95" s="494" cm="1">
        <f t="array" ref="BU95">_xlfn.IFS(BQ95="Foreword vehicle",BT95*0,BQ95="Human wastes",BT95*0,BS95="Jerrycans",BT95*$BT$4,BQ95="Number of Basins",BT95*$BT$5,BQ95="Number of Buckets",BT95*$BS$6,BQ95="Number of Kgs",BT95*$BT$7,BQ95="Number of spades",BT95*$BT$8,BQ95="Number of wheelbarrows",BT95*$BT$9,BS95="Septic Tank",BT95*0)</f>
        <v>47</v>
      </c>
      <c r="BV95" s="494">
        <f>Table15[[#This Row],[Calculation: Conversion of metric to Kg manure feeding (Columns: BP, BQ, BR)]]*Table15[[#This Row],[Number of times used to feed biodigester]]</f>
        <v>47</v>
      </c>
      <c r="BW95" s="495" cm="1">
        <f t="array" ref="BW95">_xlfn.IFS(BN95="Number of times per day (1 to 3)",BV95/$BW$3,BN95="Number of times per week (1 to 6)",BV95/$BW$4,BN95="Number of times per Month (1 to 3)",BV95/$BW$5)</f>
        <v>47</v>
      </c>
      <c r="BX95" s="497" t="s">
        <v>22</v>
      </c>
      <c r="BY95" s="497" t="s">
        <v>4</v>
      </c>
      <c r="BZ95" s="497" t="s">
        <v>2</v>
      </c>
      <c r="CA95" s="497" t="s">
        <v>4</v>
      </c>
      <c r="CB95" s="497" t="s">
        <v>4</v>
      </c>
      <c r="CC95" s="497" t="s">
        <v>4</v>
      </c>
      <c r="CD95" s="497" t="s">
        <v>7</v>
      </c>
      <c r="CE95" s="497" t="s">
        <v>35574</v>
      </c>
      <c r="CF95" s="497" t="s">
        <v>4</v>
      </c>
      <c r="CG95" s="497" t="s">
        <v>31604</v>
      </c>
      <c r="CH95" s="497">
        <v>5</v>
      </c>
      <c r="CI95" s="497">
        <v>0</v>
      </c>
      <c r="CJ95" s="497">
        <v>0</v>
      </c>
      <c r="CK95" s="497">
        <v>0</v>
      </c>
      <c r="CL95" s="497">
        <v>0</v>
      </c>
      <c r="CM95" s="497">
        <v>0</v>
      </c>
      <c r="CN95" s="497">
        <v>0</v>
      </c>
      <c r="CO95" s="497">
        <v>0</v>
      </c>
      <c r="CP95" s="497">
        <v>0</v>
      </c>
      <c r="CQ95" s="497">
        <v>0</v>
      </c>
      <c r="CR95" s="497">
        <f>IF(Table15[[#This Row],[Is your biodigester working?]]="yes",CO95/'SDG outcome'!$C$9*CP95*CQ95,"")</f>
        <v>0</v>
      </c>
      <c r="CS95" s="497">
        <v>60</v>
      </c>
      <c r="CT95" s="500">
        <v>40</v>
      </c>
      <c r="CU95" s="496" t="s">
        <v>35575</v>
      </c>
      <c r="CV95" s="497" t="s">
        <v>4</v>
      </c>
      <c r="CW95" s="500" t="s">
        <v>4</v>
      </c>
      <c r="CX95" s="496" t="s">
        <v>4</v>
      </c>
      <c r="CY95" s="497" t="s">
        <v>4</v>
      </c>
      <c r="CZ95" s="500" t="s">
        <v>4</v>
      </c>
      <c r="DA95" s="496" t="s">
        <v>4</v>
      </c>
      <c r="DB95" s="497" t="s">
        <v>4</v>
      </c>
      <c r="DC95" s="497" t="s">
        <v>4</v>
      </c>
      <c r="DD95" s="497" t="s">
        <v>4</v>
      </c>
      <c r="DE95" s="497" t="s">
        <v>4</v>
      </c>
      <c r="DF95" s="497" t="s">
        <v>4</v>
      </c>
      <c r="DG95" s="497" t="s">
        <v>4</v>
      </c>
      <c r="DH95" s="497" t="s">
        <v>4</v>
      </c>
      <c r="DI95" s="497" t="s">
        <v>4</v>
      </c>
      <c r="DJ95" s="497" t="s">
        <v>4</v>
      </c>
      <c r="DK95" s="497" t="s">
        <v>4</v>
      </c>
      <c r="DL95" s="497" t="s">
        <v>4</v>
      </c>
      <c r="DM95" s="497" t="s">
        <v>4</v>
      </c>
      <c r="DN95" s="497">
        <v>5</v>
      </c>
      <c r="DO95" s="497" t="s">
        <v>7</v>
      </c>
      <c r="DP95" s="497" t="s">
        <v>29292</v>
      </c>
      <c r="DQ95" s="497" t="s">
        <v>4</v>
      </c>
      <c r="DR95" s="497" t="s">
        <v>29293</v>
      </c>
      <c r="DS95" s="494">
        <v>40000</v>
      </c>
      <c r="DT95" s="497" t="s">
        <v>29294</v>
      </c>
      <c r="DU95" s="494" t="s">
        <v>4</v>
      </c>
      <c r="DV95" s="500" t="s">
        <v>33456</v>
      </c>
      <c r="DW95" s="496" t="s">
        <v>4</v>
      </c>
      <c r="DX95" s="497" t="s">
        <v>4</v>
      </c>
      <c r="DY95" s="497" t="s">
        <v>4</v>
      </c>
      <c r="DZ95" s="497" t="s">
        <v>4</v>
      </c>
      <c r="EA95" s="497" t="s">
        <v>4</v>
      </c>
      <c r="EB95" s="497" t="s">
        <v>4</v>
      </c>
      <c r="EC95" s="497" t="s">
        <v>4</v>
      </c>
      <c r="ED95" s="497">
        <v>40</v>
      </c>
      <c r="EE95" s="497" t="s">
        <v>30667</v>
      </c>
      <c r="EF95" s="497" t="s">
        <v>4</v>
      </c>
      <c r="EG95" s="497" t="s">
        <v>4</v>
      </c>
      <c r="EH95" s="497">
        <v>100</v>
      </c>
      <c r="EI95" s="497" t="s">
        <v>4</v>
      </c>
      <c r="EJ95" s="497" t="s">
        <v>4</v>
      </c>
      <c r="EK95" s="497" t="s">
        <v>4</v>
      </c>
      <c r="EL95" s="497" t="s">
        <v>4</v>
      </c>
      <c r="EM95" s="497">
        <v>30</v>
      </c>
      <c r="EN95" s="497">
        <v>60</v>
      </c>
      <c r="EO95" s="497" t="s">
        <v>4</v>
      </c>
      <c r="EP95" s="497" t="s">
        <v>4</v>
      </c>
      <c r="EQ95" s="497" t="s">
        <v>29296</v>
      </c>
      <c r="ER95" s="497">
        <v>100</v>
      </c>
      <c r="ES95" s="497" t="s">
        <v>4</v>
      </c>
      <c r="ET95" s="497" t="s">
        <v>4</v>
      </c>
      <c r="EU95" s="497" t="s">
        <v>4</v>
      </c>
      <c r="EV95" s="497" t="s">
        <v>4</v>
      </c>
      <c r="EW95" s="497">
        <v>2.0234722784297854</v>
      </c>
      <c r="EX95" s="497" t="s">
        <v>29802</v>
      </c>
      <c r="EY95" s="497">
        <v>20</v>
      </c>
      <c r="EZ95" s="239">
        <f t="shared" si="4"/>
        <v>0.40469445568595708</v>
      </c>
      <c r="FA95" s="497" t="s">
        <v>35576</v>
      </c>
      <c r="FB95" s="497" t="s">
        <v>29298</v>
      </c>
      <c r="FC95" s="497">
        <v>6</v>
      </c>
      <c r="FD95" s="497" t="s">
        <v>2</v>
      </c>
      <c r="FE95" s="497" t="s">
        <v>4</v>
      </c>
      <c r="FF95" s="497" t="s">
        <v>4</v>
      </c>
      <c r="FG95" s="497" t="s">
        <v>2</v>
      </c>
      <c r="FH95" s="497" t="s">
        <v>4</v>
      </c>
      <c r="FI95" s="497" t="s">
        <v>4</v>
      </c>
      <c r="FJ95" s="497" t="s">
        <v>4</v>
      </c>
      <c r="FK95" s="497" t="s">
        <v>4</v>
      </c>
      <c r="FL95" s="497" t="s">
        <v>4</v>
      </c>
      <c r="FM95" s="497" t="s">
        <v>4</v>
      </c>
      <c r="FN95" s="494" t="s">
        <v>4</v>
      </c>
      <c r="FO95" s="497" t="s">
        <v>4</v>
      </c>
      <c r="FP95" s="497" t="s">
        <v>2</v>
      </c>
      <c r="FQ95" s="497" t="s">
        <v>4</v>
      </c>
      <c r="FR95" s="497" t="s">
        <v>4</v>
      </c>
      <c r="FS95" s="497" t="s">
        <v>7</v>
      </c>
      <c r="FT95" s="497" t="s">
        <v>2</v>
      </c>
      <c r="FU95" s="497" t="s">
        <v>4</v>
      </c>
      <c r="FV95" s="497" t="s">
        <v>4</v>
      </c>
      <c r="FW95" s="497" t="s">
        <v>4</v>
      </c>
      <c r="FX95" s="497">
        <v>0</v>
      </c>
      <c r="FY95" s="497" t="s">
        <v>4</v>
      </c>
      <c r="FZ95" s="497" t="s">
        <v>4</v>
      </c>
      <c r="GA95" s="497" t="s">
        <v>4</v>
      </c>
      <c r="GB95" s="497" t="s">
        <v>4</v>
      </c>
      <c r="GC95" s="497" t="s">
        <v>4</v>
      </c>
      <c r="GD95" s="497" t="s">
        <v>4</v>
      </c>
      <c r="GE95" s="497" t="s">
        <v>4</v>
      </c>
      <c r="GF95" s="497" t="s">
        <v>4</v>
      </c>
      <c r="GG95" s="497" t="s">
        <v>4</v>
      </c>
      <c r="GH95" s="497" t="s">
        <v>4</v>
      </c>
      <c r="GI95" s="497" t="s">
        <v>29304</v>
      </c>
      <c r="GJ95" s="497" t="s">
        <v>29478</v>
      </c>
      <c r="GK95" s="497" t="s">
        <v>29306</v>
      </c>
      <c r="GL95" s="497" t="s">
        <v>35577</v>
      </c>
      <c r="GM95" s="497" t="s">
        <v>4</v>
      </c>
      <c r="GN95" s="497" t="s">
        <v>4</v>
      </c>
      <c r="GO95" s="497" t="s">
        <v>4</v>
      </c>
      <c r="GP95" s="497" t="s">
        <v>4</v>
      </c>
      <c r="GQ95" s="497" t="s">
        <v>4</v>
      </c>
      <c r="GR95" s="497" t="s">
        <v>4</v>
      </c>
      <c r="GS95" s="497" t="s">
        <v>4</v>
      </c>
      <c r="GT95" s="497" t="s">
        <v>30211</v>
      </c>
      <c r="GU95" s="497" t="s">
        <v>4</v>
      </c>
      <c r="GV95" s="494">
        <v>6</v>
      </c>
      <c r="GW95" s="497" t="s">
        <v>2</v>
      </c>
      <c r="GX95" s="497" t="s">
        <v>29837</v>
      </c>
      <c r="GY95" s="497" t="s">
        <v>4</v>
      </c>
      <c r="GZ95" s="497" t="s">
        <v>4</v>
      </c>
      <c r="HA95" s="497" t="s">
        <v>4</v>
      </c>
      <c r="HB95" s="497" t="s">
        <v>4</v>
      </c>
      <c r="HC95" s="497" t="s">
        <v>4</v>
      </c>
      <c r="HD95" s="497" t="s">
        <v>4</v>
      </c>
      <c r="HE95" s="497" t="s">
        <v>4</v>
      </c>
      <c r="HF95" s="497" t="s">
        <v>4</v>
      </c>
      <c r="HG95" s="497" t="s">
        <v>2</v>
      </c>
      <c r="HH95" s="497" t="s">
        <v>4</v>
      </c>
      <c r="HI95" s="497" t="s">
        <v>4</v>
      </c>
      <c r="HJ95" s="497" t="s">
        <v>4</v>
      </c>
      <c r="HK95" s="494" t="s">
        <v>4</v>
      </c>
      <c r="HL95" s="497" t="s">
        <v>35578</v>
      </c>
      <c r="HM95" s="497" t="s">
        <v>2</v>
      </c>
      <c r="HN95" s="497" t="s">
        <v>4</v>
      </c>
      <c r="HO95" s="497" t="s">
        <v>35579</v>
      </c>
      <c r="HP95" s="497" t="s">
        <v>35580</v>
      </c>
      <c r="HQ95" s="497" t="s">
        <v>35581</v>
      </c>
      <c r="HR95" s="497" t="s">
        <v>35582</v>
      </c>
      <c r="HS95" s="497" t="s">
        <v>16</v>
      </c>
      <c r="HT95" s="500" t="s">
        <v>35571</v>
      </c>
    </row>
    <row r="96" spans="1:228" s="570" customFormat="1" ht="30.2" customHeight="1" x14ac:dyDescent="0.25">
      <c r="A96" s="759"/>
      <c r="B96" s="496">
        <v>200</v>
      </c>
      <c r="C96" s="496" t="s">
        <v>32608</v>
      </c>
      <c r="D96" s="497" t="s">
        <v>35599</v>
      </c>
      <c r="E96" s="497" t="s">
        <v>35495</v>
      </c>
      <c r="F96" s="497" t="s">
        <v>7</v>
      </c>
      <c r="G96" s="497" t="s">
        <v>35600</v>
      </c>
      <c r="H96" s="497">
        <v>1257.2</v>
      </c>
      <c r="I96" s="497">
        <v>5</v>
      </c>
      <c r="J96" s="497" t="s">
        <v>29389</v>
      </c>
      <c r="K96" s="497" t="s">
        <v>22</v>
      </c>
      <c r="L96" s="497" t="s">
        <v>35601</v>
      </c>
      <c r="M96" s="497">
        <v>757797112</v>
      </c>
      <c r="N96" s="497" t="s">
        <v>5</v>
      </c>
      <c r="O96" s="497" t="s">
        <v>31590</v>
      </c>
      <c r="P96" s="497" t="s">
        <v>4</v>
      </c>
      <c r="Q96" s="497">
        <v>5</v>
      </c>
      <c r="R96" s="497" t="s">
        <v>7</v>
      </c>
      <c r="S96" s="497" t="s">
        <v>31535</v>
      </c>
      <c r="T96" s="497" t="s">
        <v>4</v>
      </c>
      <c r="U96" s="497" t="s">
        <v>7</v>
      </c>
      <c r="V96" s="497" t="s">
        <v>7</v>
      </c>
      <c r="W96" s="497" t="s">
        <v>4</v>
      </c>
      <c r="X96" s="497" t="s">
        <v>7</v>
      </c>
      <c r="Y96" s="497" t="s">
        <v>4</v>
      </c>
      <c r="Z96" s="497" t="s">
        <v>4</v>
      </c>
      <c r="AA96" s="241" t="str">
        <f>IF(OR(U96="yes",Z96&gt;'SDG outcome'!$C$39),"yes","no")</f>
        <v>yes</v>
      </c>
      <c r="AB96" s="521" t="str">
        <f t="shared" si="3"/>
        <v>NA</v>
      </c>
      <c r="AC96" s="527" t="str">
        <f>IF(AND('SMS p2'!AA212="no",AND(Z96&gt;='SDG outcome'!$B$28,Z96&lt;'SDG outcome'!$C$39)),Z96-'SDG outcome'!$B$28,"")</f>
        <v/>
      </c>
      <c r="AD96" s="497" t="s">
        <v>4</v>
      </c>
      <c r="AE96" s="497" t="s">
        <v>4</v>
      </c>
      <c r="AF96" s="497" t="s">
        <v>4</v>
      </c>
      <c r="AG96" s="497" t="s">
        <v>4</v>
      </c>
      <c r="AH96" s="497" t="s">
        <v>4</v>
      </c>
      <c r="AI96" s="497" t="s">
        <v>4</v>
      </c>
      <c r="AJ96" s="497" t="s">
        <v>4</v>
      </c>
      <c r="AK96" s="497" t="s">
        <v>29290</v>
      </c>
      <c r="AL96" s="497" t="s">
        <v>29291</v>
      </c>
      <c r="AM96" s="497" t="s">
        <v>4</v>
      </c>
      <c r="AN96" s="497" t="s">
        <v>4</v>
      </c>
      <c r="AO96" s="497" t="s">
        <v>31599</v>
      </c>
      <c r="AP96" s="497" t="s">
        <v>4</v>
      </c>
      <c r="AQ96" s="497" t="s">
        <v>31600</v>
      </c>
      <c r="AR96" s="497" t="s">
        <v>4</v>
      </c>
      <c r="AS96" s="497" t="s">
        <v>31538</v>
      </c>
      <c r="AT96" s="497" t="s">
        <v>4</v>
      </c>
      <c r="AU96" s="497" t="s">
        <v>7</v>
      </c>
      <c r="AV96" s="497" t="s">
        <v>4</v>
      </c>
      <c r="AW96" s="497" t="s">
        <v>4</v>
      </c>
      <c r="AX96" s="497" t="s">
        <v>7</v>
      </c>
      <c r="AY96" s="497" t="s">
        <v>6</v>
      </c>
      <c r="AZ96" s="497" t="s">
        <v>4</v>
      </c>
      <c r="BA96" s="497" t="s">
        <v>31557</v>
      </c>
      <c r="BB96" s="497" t="s">
        <v>31541</v>
      </c>
      <c r="BC96" s="497" t="s">
        <v>4</v>
      </c>
      <c r="BD96" s="497" t="s">
        <v>31564</v>
      </c>
      <c r="BE96" s="497" t="s">
        <v>4</v>
      </c>
      <c r="BF96" s="497" t="s">
        <v>31542</v>
      </c>
      <c r="BG96" s="497" t="s">
        <v>35602</v>
      </c>
      <c r="BH96" s="497" t="s">
        <v>31616</v>
      </c>
      <c r="BI96" s="497">
        <v>1</v>
      </c>
      <c r="BJ96" s="497">
        <v>60</v>
      </c>
      <c r="BK96" s="497" t="s">
        <v>7</v>
      </c>
      <c r="BL96" s="497" t="s">
        <v>6</v>
      </c>
      <c r="BM96" s="497" t="s">
        <v>4</v>
      </c>
      <c r="BN96" s="497" t="s">
        <v>31425</v>
      </c>
      <c r="BO96" s="497">
        <v>1</v>
      </c>
      <c r="BP96" s="497">
        <v>30</v>
      </c>
      <c r="BQ96" s="497" t="s">
        <v>31426</v>
      </c>
      <c r="BR96" s="499" t="s">
        <v>33361</v>
      </c>
      <c r="BS96" s="497" t="s">
        <v>4</v>
      </c>
      <c r="BT96" s="497">
        <v>2</v>
      </c>
      <c r="BU96" s="494" cm="1">
        <f t="array" ref="BU96">_xlfn.IFS(BQ96="Foreword vehicle",BT96*0,BQ96="Human wastes",BT96*0,BS96="Jerrycans",BT96*$BT$4,BQ96="Number of Basins",BT96*$BT$5,BQ96="Number of Buckets",BT96*$BS$6,BQ96="Number of Kgs",BT96*$BT$7,BQ96="Number of spades",BT96*$BT$8,BQ96="Number of wheelbarrows",BT96*$BT$9,BS96="Septic Tank",BT96*0)</f>
        <v>47</v>
      </c>
      <c r="BV96" s="494">
        <f>Table15[[#This Row],[Calculation: Conversion of metric to Kg manure feeding (Columns: BP, BQ, BR)]]*Table15[[#This Row],[Number of times used to feed biodigester]]</f>
        <v>47</v>
      </c>
      <c r="BW96" s="495" cm="1">
        <f t="array" ref="BW96">_xlfn.IFS(BN96="Number of times per day (1 to 3)",BV96/$BW$3,BN96="Number of times per week (1 to 6)",BV96/$BW$4,BN96="Number of times per Month (1 to 3)",BV96/$BW$5)</f>
        <v>47</v>
      </c>
      <c r="BX96" s="497" t="s">
        <v>22</v>
      </c>
      <c r="BY96" s="497" t="s">
        <v>4</v>
      </c>
      <c r="BZ96" s="497" t="s">
        <v>2</v>
      </c>
      <c r="CA96" s="497" t="s">
        <v>4</v>
      </c>
      <c r="CB96" s="497" t="s">
        <v>4</v>
      </c>
      <c r="CC96" s="497" t="s">
        <v>4</v>
      </c>
      <c r="CD96" s="497" t="s">
        <v>7</v>
      </c>
      <c r="CE96" s="497" t="s">
        <v>35603</v>
      </c>
      <c r="CF96" s="497" t="s">
        <v>4</v>
      </c>
      <c r="CG96" s="497" t="s">
        <v>31578</v>
      </c>
      <c r="CH96" s="497">
        <v>5</v>
      </c>
      <c r="CI96" s="497">
        <v>0</v>
      </c>
      <c r="CJ96" s="497">
        <v>0</v>
      </c>
      <c r="CK96" s="497">
        <v>0</v>
      </c>
      <c r="CL96" s="497">
        <v>0</v>
      </c>
      <c r="CM96" s="497">
        <v>5</v>
      </c>
      <c r="CN96" s="497">
        <v>0</v>
      </c>
      <c r="CO96" s="497">
        <v>0</v>
      </c>
      <c r="CP96" s="497">
        <v>0</v>
      </c>
      <c r="CQ96" s="497">
        <v>0</v>
      </c>
      <c r="CR96" s="497">
        <f>IF(Table15[[#This Row],[Is your biodigester working?]]="yes",CO96/'SDG outcome'!$C$9*CP96*CQ96,"")</f>
        <v>0</v>
      </c>
      <c r="CS96" s="497">
        <v>60</v>
      </c>
      <c r="CT96" s="500">
        <v>40</v>
      </c>
      <c r="CU96" s="496" t="s">
        <v>35604</v>
      </c>
      <c r="CV96" s="497" t="s">
        <v>4</v>
      </c>
      <c r="CW96" s="500" t="s">
        <v>4</v>
      </c>
      <c r="CX96" s="496" t="s">
        <v>4</v>
      </c>
      <c r="CY96" s="497" t="s">
        <v>4</v>
      </c>
      <c r="CZ96" s="500" t="s">
        <v>4</v>
      </c>
      <c r="DA96" s="496" t="s">
        <v>4</v>
      </c>
      <c r="DB96" s="497" t="s">
        <v>4</v>
      </c>
      <c r="DC96" s="497" t="s">
        <v>4</v>
      </c>
      <c r="DD96" s="497" t="s">
        <v>4</v>
      </c>
      <c r="DE96" s="497">
        <v>0</v>
      </c>
      <c r="DF96" s="497">
        <v>100</v>
      </c>
      <c r="DG96" s="497" t="s">
        <v>35605</v>
      </c>
      <c r="DH96" s="497" t="s">
        <v>4</v>
      </c>
      <c r="DI96" s="497" t="s">
        <v>4</v>
      </c>
      <c r="DJ96" s="497" t="s">
        <v>4</v>
      </c>
      <c r="DK96" s="497" t="s">
        <v>4</v>
      </c>
      <c r="DL96" s="497" t="s">
        <v>4</v>
      </c>
      <c r="DM96" s="497" t="s">
        <v>4</v>
      </c>
      <c r="DN96" s="497">
        <v>3</v>
      </c>
      <c r="DO96" s="497" t="s">
        <v>2</v>
      </c>
      <c r="DP96" s="497" t="s">
        <v>29292</v>
      </c>
      <c r="DQ96" s="497" t="s">
        <v>4</v>
      </c>
      <c r="DR96" s="497" t="s">
        <v>29293</v>
      </c>
      <c r="DS96" s="494">
        <v>50000</v>
      </c>
      <c r="DT96" s="497" t="s">
        <v>29293</v>
      </c>
      <c r="DU96" s="494">
        <v>0</v>
      </c>
      <c r="DV96" s="500" t="s">
        <v>29442</v>
      </c>
      <c r="DW96" s="496">
        <v>10</v>
      </c>
      <c r="DX96" s="497" t="s">
        <v>35606</v>
      </c>
      <c r="DY96" s="497">
        <v>90</v>
      </c>
      <c r="DZ96" s="497" t="s">
        <v>4</v>
      </c>
      <c r="EA96" s="497">
        <v>10</v>
      </c>
      <c r="EB96" s="497" t="s">
        <v>4</v>
      </c>
      <c r="EC96" s="497" t="s">
        <v>4</v>
      </c>
      <c r="ED96" s="497">
        <v>90</v>
      </c>
      <c r="EE96" s="497" t="s">
        <v>30667</v>
      </c>
      <c r="EF96" s="497" t="s">
        <v>4</v>
      </c>
      <c r="EG96" s="497" t="s">
        <v>4</v>
      </c>
      <c r="EH96" s="497">
        <v>100</v>
      </c>
      <c r="EI96" s="497" t="s">
        <v>4</v>
      </c>
      <c r="EJ96" s="497" t="s">
        <v>4</v>
      </c>
      <c r="EK96" s="497" t="s">
        <v>4</v>
      </c>
      <c r="EL96" s="497" t="s">
        <v>4</v>
      </c>
      <c r="EM96" s="497">
        <v>30</v>
      </c>
      <c r="EN96" s="497" t="s">
        <v>4</v>
      </c>
      <c r="EO96" s="497" t="s">
        <v>4</v>
      </c>
      <c r="EP96" s="497" t="s">
        <v>4</v>
      </c>
      <c r="EQ96" s="497" t="s">
        <v>29296</v>
      </c>
      <c r="ER96" s="497">
        <v>100</v>
      </c>
      <c r="ES96" s="497" t="s">
        <v>4</v>
      </c>
      <c r="ET96" s="497" t="s">
        <v>4</v>
      </c>
      <c r="EU96" s="497" t="s">
        <v>4</v>
      </c>
      <c r="EV96" s="497" t="s">
        <v>4</v>
      </c>
      <c r="EW96" s="497">
        <v>0.80938891137191415</v>
      </c>
      <c r="EX96" s="497" t="s">
        <v>7</v>
      </c>
      <c r="EY96" s="497">
        <v>50</v>
      </c>
      <c r="EZ96" s="239">
        <f t="shared" si="4"/>
        <v>0.40469445568595708</v>
      </c>
      <c r="FA96" s="497" t="s">
        <v>35607</v>
      </c>
      <c r="FB96" s="497" t="s">
        <v>29298</v>
      </c>
      <c r="FC96" s="497">
        <v>12</v>
      </c>
      <c r="FD96" s="497" t="s">
        <v>2</v>
      </c>
      <c r="FE96" s="497" t="s">
        <v>4</v>
      </c>
      <c r="FF96" s="497" t="s">
        <v>4</v>
      </c>
      <c r="FG96" s="497" t="s">
        <v>2</v>
      </c>
      <c r="FH96" s="497" t="s">
        <v>4</v>
      </c>
      <c r="FI96" s="497" t="s">
        <v>4</v>
      </c>
      <c r="FJ96" s="497" t="s">
        <v>4</v>
      </c>
      <c r="FK96" s="497" t="s">
        <v>4</v>
      </c>
      <c r="FL96" s="497" t="s">
        <v>4</v>
      </c>
      <c r="FM96" s="497" t="s">
        <v>4</v>
      </c>
      <c r="FN96" s="494" t="s">
        <v>4</v>
      </c>
      <c r="FO96" s="497" t="s">
        <v>4</v>
      </c>
      <c r="FP96" s="497" t="s">
        <v>2</v>
      </c>
      <c r="FQ96" s="497" t="s">
        <v>4</v>
      </c>
      <c r="FR96" s="497" t="s">
        <v>4</v>
      </c>
      <c r="FS96" s="497" t="s">
        <v>2</v>
      </c>
      <c r="FT96" s="497" t="s">
        <v>7</v>
      </c>
      <c r="FU96" s="497" t="s">
        <v>29302</v>
      </c>
      <c r="FV96" s="497" t="s">
        <v>35608</v>
      </c>
      <c r="FW96" s="497" t="s">
        <v>4</v>
      </c>
      <c r="FX96" s="497">
        <v>0</v>
      </c>
      <c r="FY96" s="497" t="s">
        <v>4</v>
      </c>
      <c r="FZ96" s="497" t="s">
        <v>4</v>
      </c>
      <c r="GA96" s="497" t="s">
        <v>4</v>
      </c>
      <c r="GB96" s="497" t="s">
        <v>4</v>
      </c>
      <c r="GC96" s="497" t="s">
        <v>4</v>
      </c>
      <c r="GD96" s="497" t="s">
        <v>4</v>
      </c>
      <c r="GE96" s="497" t="s">
        <v>4</v>
      </c>
      <c r="GF96" s="497" t="s">
        <v>4</v>
      </c>
      <c r="GG96" s="497" t="s">
        <v>4</v>
      </c>
      <c r="GH96" s="497" t="s">
        <v>4</v>
      </c>
      <c r="GI96" s="497" t="s">
        <v>29304</v>
      </c>
      <c r="GJ96" s="497" t="s">
        <v>29449</v>
      </c>
      <c r="GK96" s="497" t="s">
        <v>29306</v>
      </c>
      <c r="GL96" s="497" t="s">
        <v>4</v>
      </c>
      <c r="GM96" s="497" t="s">
        <v>4</v>
      </c>
      <c r="GN96" s="497" t="s">
        <v>4</v>
      </c>
      <c r="GO96" s="497" t="s">
        <v>29451</v>
      </c>
      <c r="GP96" s="497" t="s">
        <v>4</v>
      </c>
      <c r="GQ96" s="497" t="s">
        <v>4</v>
      </c>
      <c r="GR96" s="497" t="s">
        <v>4</v>
      </c>
      <c r="GS96" s="497" t="s">
        <v>4</v>
      </c>
      <c r="GT96" s="497" t="s">
        <v>35609</v>
      </c>
      <c r="GU96" s="497" t="s">
        <v>4</v>
      </c>
      <c r="GV96" s="494">
        <v>2</v>
      </c>
      <c r="GW96" s="497" t="s">
        <v>2</v>
      </c>
      <c r="GX96" s="497" t="s">
        <v>29309</v>
      </c>
      <c r="GY96" s="497" t="s">
        <v>4</v>
      </c>
      <c r="GZ96" s="497" t="s">
        <v>4</v>
      </c>
      <c r="HA96" s="497" t="s">
        <v>4</v>
      </c>
      <c r="HB96" s="497" t="s">
        <v>4</v>
      </c>
      <c r="HC96" s="497" t="s">
        <v>4</v>
      </c>
      <c r="HD96" s="497" t="s">
        <v>4</v>
      </c>
      <c r="HE96" s="497" t="s">
        <v>4</v>
      </c>
      <c r="HF96" s="497" t="s">
        <v>4</v>
      </c>
      <c r="HG96" s="497" t="s">
        <v>2</v>
      </c>
      <c r="HH96" s="497" t="s">
        <v>4</v>
      </c>
      <c r="HI96" s="497" t="s">
        <v>4</v>
      </c>
      <c r="HJ96" s="497" t="s">
        <v>4</v>
      </c>
      <c r="HK96" s="494" t="s">
        <v>4</v>
      </c>
      <c r="HL96" s="497" t="s">
        <v>33474</v>
      </c>
      <c r="HM96" s="497" t="s">
        <v>7</v>
      </c>
      <c r="HN96" s="497" t="s">
        <v>35610</v>
      </c>
      <c r="HO96" s="497" t="s">
        <v>35611</v>
      </c>
      <c r="HP96" s="497" t="s">
        <v>35612</v>
      </c>
      <c r="HQ96" s="497" t="s">
        <v>35613</v>
      </c>
      <c r="HR96" s="497" t="s">
        <v>35614</v>
      </c>
      <c r="HS96" s="497" t="s">
        <v>35615</v>
      </c>
      <c r="HT96" s="500" t="s">
        <v>35599</v>
      </c>
    </row>
    <row r="97" spans="1:228" s="570" customFormat="1" ht="30.2" customHeight="1" x14ac:dyDescent="0.25">
      <c r="A97" s="759"/>
      <c r="B97" s="496">
        <v>230</v>
      </c>
      <c r="C97" s="496" t="s">
        <v>42</v>
      </c>
      <c r="D97" s="497" t="s">
        <v>35883</v>
      </c>
      <c r="E97" s="497" t="s">
        <v>30866</v>
      </c>
      <c r="F97" s="497" t="s">
        <v>7</v>
      </c>
      <c r="G97" s="497" t="s">
        <v>35884</v>
      </c>
      <c r="H97" s="497">
        <v>1591.2</v>
      </c>
      <c r="I97" s="497">
        <v>5</v>
      </c>
      <c r="J97" s="497" t="s">
        <v>29288</v>
      </c>
      <c r="K97" s="497" t="s">
        <v>4</v>
      </c>
      <c r="L97" s="497" t="s">
        <v>35885</v>
      </c>
      <c r="M97" s="497">
        <v>703086899</v>
      </c>
      <c r="N97" s="497" t="s">
        <v>3</v>
      </c>
      <c r="O97" s="497" t="s">
        <v>31590</v>
      </c>
      <c r="P97" s="497" t="s">
        <v>4</v>
      </c>
      <c r="Q97" s="497">
        <v>6</v>
      </c>
      <c r="R97" s="497" t="s">
        <v>7</v>
      </c>
      <c r="S97" s="497" t="s">
        <v>31549</v>
      </c>
      <c r="T97" s="497" t="s">
        <v>4</v>
      </c>
      <c r="U97" s="497" t="s">
        <v>7</v>
      </c>
      <c r="V97" s="497" t="s">
        <v>7</v>
      </c>
      <c r="W97" s="497" t="s">
        <v>4</v>
      </c>
      <c r="X97" s="497" t="s">
        <v>7</v>
      </c>
      <c r="Y97" s="497" t="s">
        <v>4</v>
      </c>
      <c r="Z97" s="497" t="s">
        <v>4</v>
      </c>
      <c r="AA97" s="241" t="str">
        <f>IF(OR(U97="yes",Z97&gt;'SDG outcome'!$C$39),"yes","no")</f>
        <v>yes</v>
      </c>
      <c r="AB97" s="521" t="str">
        <f t="shared" si="3"/>
        <v>NA</v>
      </c>
      <c r="AC97" s="527" t="str">
        <f>IF(AND('SMS p2'!AA241="no",AND(Z97&gt;='SDG outcome'!$B$28,Z97&lt;'SDG outcome'!$C$39)),Z97-'SDG outcome'!$B$28,"")</f>
        <v/>
      </c>
      <c r="AD97" s="497" t="s">
        <v>4</v>
      </c>
      <c r="AE97" s="497" t="s">
        <v>4</v>
      </c>
      <c r="AF97" s="497" t="s">
        <v>4</v>
      </c>
      <c r="AG97" s="497" t="s">
        <v>4</v>
      </c>
      <c r="AH97" s="497" t="s">
        <v>4</v>
      </c>
      <c r="AI97" s="497" t="s">
        <v>4</v>
      </c>
      <c r="AJ97" s="497" t="s">
        <v>4</v>
      </c>
      <c r="AK97" s="497" t="s">
        <v>29290</v>
      </c>
      <c r="AL97" s="497" t="s">
        <v>29694</v>
      </c>
      <c r="AM97" s="497" t="s">
        <v>4</v>
      </c>
      <c r="AN97" s="497" t="s">
        <v>4</v>
      </c>
      <c r="AO97" s="497" t="s">
        <v>31536</v>
      </c>
      <c r="AP97" s="497" t="s">
        <v>4</v>
      </c>
      <c r="AQ97" s="497" t="s">
        <v>31537</v>
      </c>
      <c r="AR97" s="497" t="s">
        <v>4</v>
      </c>
      <c r="AS97" s="497" t="s">
        <v>31538</v>
      </c>
      <c r="AT97" s="497" t="s">
        <v>4</v>
      </c>
      <c r="AU97" s="497" t="s">
        <v>7</v>
      </c>
      <c r="AV97" s="497" t="s">
        <v>4</v>
      </c>
      <c r="AW97" s="497" t="s">
        <v>4</v>
      </c>
      <c r="AX97" s="497" t="s">
        <v>7</v>
      </c>
      <c r="AY97" s="497" t="s">
        <v>11</v>
      </c>
      <c r="AZ97" s="497" t="s">
        <v>4</v>
      </c>
      <c r="BA97" s="497" t="s">
        <v>31563</v>
      </c>
      <c r="BB97" s="497" t="s">
        <v>22</v>
      </c>
      <c r="BC97" s="497" t="s">
        <v>4</v>
      </c>
      <c r="BD97" s="497" t="s">
        <v>31564</v>
      </c>
      <c r="BE97" s="497" t="s">
        <v>4</v>
      </c>
      <c r="BF97" s="497" t="s">
        <v>31542</v>
      </c>
      <c r="BG97" s="497" t="s">
        <v>35886</v>
      </c>
      <c r="BH97" s="497" t="s">
        <v>31616</v>
      </c>
      <c r="BI97" s="497">
        <v>2</v>
      </c>
      <c r="BJ97" s="497">
        <v>180</v>
      </c>
      <c r="BK97" s="497" t="s">
        <v>7</v>
      </c>
      <c r="BL97" s="497" t="s">
        <v>6</v>
      </c>
      <c r="BM97" s="497" t="s">
        <v>4</v>
      </c>
      <c r="BN97" s="497" t="s">
        <v>31425</v>
      </c>
      <c r="BO97" s="497">
        <v>1</v>
      </c>
      <c r="BP97" s="497">
        <v>45</v>
      </c>
      <c r="BQ97" s="497" t="s">
        <v>31435</v>
      </c>
      <c r="BR97" s="499" t="s">
        <v>33361</v>
      </c>
      <c r="BS97" s="497" t="s">
        <v>4</v>
      </c>
      <c r="BT97" s="497">
        <v>2</v>
      </c>
      <c r="BU97" s="494" cm="1">
        <f t="array" ref="BU97">_xlfn.IFS(BQ97="Foreword vehicle",BT97*0,BQ97="Human wastes",BT97*0,BS97="Jerrycans",BT97*$BT$4,BQ97="Number of Basins",BT97*$BT$5,BQ97="Number of Buckets",BT97*$BT$6,BQ97="Number of Kgs",BT97*$BT$7,BQ97="Number of spades",BT97*$BT$8,BQ97="Number of wheelbarrows",BT97*$BS$9,BS97="Septic Tank",BT97*0)</f>
        <v>165</v>
      </c>
      <c r="BV97" s="494">
        <f>Table15[[#This Row],[Calculation: Conversion of metric to Kg manure feeding (Columns: BP, BQ, BR)]]*Table15[[#This Row],[Number of times used to feed biodigester]]</f>
        <v>165</v>
      </c>
      <c r="BW97" s="495" cm="1">
        <f t="array" ref="BW97">_xlfn.IFS(BN97="Number of times per day (1 to 3)",BV97/$BW$3,BN97="Number of times per week (1 to 6)",BV97/$BW$4,BN97="Number of times per Month (1 to 3)",BV97/$BW$5)</f>
        <v>165</v>
      </c>
      <c r="BX97" s="497" t="s">
        <v>22</v>
      </c>
      <c r="BY97" s="497" t="s">
        <v>4</v>
      </c>
      <c r="BZ97" s="497" t="s">
        <v>2</v>
      </c>
      <c r="CA97" s="497" t="s">
        <v>4</v>
      </c>
      <c r="CB97" s="497" t="s">
        <v>4</v>
      </c>
      <c r="CC97" s="497" t="s">
        <v>4</v>
      </c>
      <c r="CD97" s="497" t="s">
        <v>7</v>
      </c>
      <c r="CE97" s="497" t="s">
        <v>35887</v>
      </c>
      <c r="CF97" s="497" t="s">
        <v>4</v>
      </c>
      <c r="CG97" s="497" t="s">
        <v>31604</v>
      </c>
      <c r="CH97" s="497">
        <v>54</v>
      </c>
      <c r="CI97" s="497">
        <v>0</v>
      </c>
      <c r="CJ97" s="497">
        <v>0</v>
      </c>
      <c r="CK97" s="497">
        <v>0</v>
      </c>
      <c r="CL97" s="497">
        <v>0</v>
      </c>
      <c r="CM97" s="497">
        <v>0</v>
      </c>
      <c r="CN97" s="497">
        <v>0</v>
      </c>
      <c r="CO97" s="497">
        <v>0</v>
      </c>
      <c r="CP97" s="497">
        <v>0</v>
      </c>
      <c r="CQ97" s="497">
        <v>0</v>
      </c>
      <c r="CR97" s="497">
        <f>IF(Table15[[#This Row],[Is your biodigester working?]]="yes",CO97/'SDG outcome'!$C$9*CP97*CQ97,"")</f>
        <v>0</v>
      </c>
      <c r="CS97" s="497">
        <v>60</v>
      </c>
      <c r="CT97" s="500">
        <v>40</v>
      </c>
      <c r="CU97" s="496" t="s">
        <v>33850</v>
      </c>
      <c r="CV97" s="497" t="s">
        <v>4</v>
      </c>
      <c r="CW97" s="500" t="s">
        <v>4</v>
      </c>
      <c r="CX97" s="496" t="s">
        <v>4</v>
      </c>
      <c r="CY97" s="497" t="s">
        <v>4</v>
      </c>
      <c r="CZ97" s="500" t="s">
        <v>4</v>
      </c>
      <c r="DA97" s="496" t="s">
        <v>4</v>
      </c>
      <c r="DB97" s="497" t="s">
        <v>4</v>
      </c>
      <c r="DC97" s="497" t="s">
        <v>4</v>
      </c>
      <c r="DD97" s="497" t="s">
        <v>4</v>
      </c>
      <c r="DE97" s="497" t="s">
        <v>4</v>
      </c>
      <c r="DF97" s="497" t="s">
        <v>4</v>
      </c>
      <c r="DG97" s="497" t="s">
        <v>4</v>
      </c>
      <c r="DH97" s="497" t="s">
        <v>4</v>
      </c>
      <c r="DI97" s="497" t="s">
        <v>4</v>
      </c>
      <c r="DJ97" s="497" t="s">
        <v>4</v>
      </c>
      <c r="DK97" s="497" t="s">
        <v>4</v>
      </c>
      <c r="DL97" s="497" t="s">
        <v>4</v>
      </c>
      <c r="DM97" s="497" t="s">
        <v>4</v>
      </c>
      <c r="DN97" s="497">
        <v>2</v>
      </c>
      <c r="DO97" s="497" t="s">
        <v>7</v>
      </c>
      <c r="DP97" s="497" t="s">
        <v>29292</v>
      </c>
      <c r="DQ97" s="497" t="s">
        <v>4</v>
      </c>
      <c r="DR97" s="497" t="s">
        <v>29294</v>
      </c>
      <c r="DS97" s="494" t="s">
        <v>4</v>
      </c>
      <c r="DT97" s="497" t="s">
        <v>29293</v>
      </c>
      <c r="DU97" s="494">
        <v>70000</v>
      </c>
      <c r="DV97" s="500" t="s">
        <v>29295</v>
      </c>
      <c r="DW97" s="496">
        <v>100</v>
      </c>
      <c r="DX97" s="497" t="s">
        <v>29296</v>
      </c>
      <c r="DY97" s="497">
        <v>100</v>
      </c>
      <c r="DZ97" s="497" t="s">
        <v>4</v>
      </c>
      <c r="EA97" s="497" t="s">
        <v>4</v>
      </c>
      <c r="EB97" s="497" t="s">
        <v>4</v>
      </c>
      <c r="EC97" s="497" t="s">
        <v>4</v>
      </c>
      <c r="ED97" s="497" t="s">
        <v>4</v>
      </c>
      <c r="EE97" s="497" t="s">
        <v>4</v>
      </c>
      <c r="EF97" s="497" t="s">
        <v>4</v>
      </c>
      <c r="EG97" s="497" t="s">
        <v>4</v>
      </c>
      <c r="EH97" s="497" t="s">
        <v>4</v>
      </c>
      <c r="EI97" s="497" t="s">
        <v>4</v>
      </c>
      <c r="EJ97" s="497" t="s">
        <v>4</v>
      </c>
      <c r="EK97" s="497" t="s">
        <v>4</v>
      </c>
      <c r="EL97" s="497" t="s">
        <v>4</v>
      </c>
      <c r="EM97" s="497" t="s">
        <v>4</v>
      </c>
      <c r="EN97" s="497" t="s">
        <v>4</v>
      </c>
      <c r="EO97" s="497" t="s">
        <v>4</v>
      </c>
      <c r="EP97" s="497" t="s">
        <v>4</v>
      </c>
      <c r="EQ97" s="497" t="s">
        <v>4</v>
      </c>
      <c r="ER97" s="497" t="s">
        <v>4</v>
      </c>
      <c r="ES97" s="497" t="s">
        <v>4</v>
      </c>
      <c r="ET97" s="497" t="s">
        <v>4</v>
      </c>
      <c r="EU97" s="497" t="s">
        <v>4</v>
      </c>
      <c r="EV97" s="497" t="s">
        <v>4</v>
      </c>
      <c r="EW97" s="497">
        <v>10</v>
      </c>
      <c r="EX97" s="497" t="s">
        <v>7</v>
      </c>
      <c r="EY97" s="497">
        <v>4</v>
      </c>
      <c r="EZ97" s="239">
        <f t="shared" si="4"/>
        <v>0.4</v>
      </c>
      <c r="FA97" s="497" t="s">
        <v>35888</v>
      </c>
      <c r="FB97" s="497" t="s">
        <v>29298</v>
      </c>
      <c r="FC97" s="497">
        <v>82</v>
      </c>
      <c r="FD97" s="497" t="s">
        <v>7</v>
      </c>
      <c r="FE97" s="497" t="s">
        <v>29393</v>
      </c>
      <c r="FF97" s="497" t="s">
        <v>4</v>
      </c>
      <c r="FG97" s="497" t="s">
        <v>2</v>
      </c>
      <c r="FH97" s="497" t="s">
        <v>4</v>
      </c>
      <c r="FI97" s="497" t="s">
        <v>4</v>
      </c>
      <c r="FJ97" s="497" t="s">
        <v>4</v>
      </c>
      <c r="FK97" s="497" t="s">
        <v>4</v>
      </c>
      <c r="FL97" s="497" t="s">
        <v>4</v>
      </c>
      <c r="FM97" s="497" t="s">
        <v>4</v>
      </c>
      <c r="FN97" s="494" t="s">
        <v>4</v>
      </c>
      <c r="FO97" s="497" t="s">
        <v>4</v>
      </c>
      <c r="FP97" s="497" t="s">
        <v>2</v>
      </c>
      <c r="FQ97" s="497" t="s">
        <v>4</v>
      </c>
      <c r="FR97" s="497" t="s">
        <v>4</v>
      </c>
      <c r="FS97" s="497" t="s">
        <v>2</v>
      </c>
      <c r="FT97" s="497" t="s">
        <v>2</v>
      </c>
      <c r="FU97" s="497" t="s">
        <v>4</v>
      </c>
      <c r="FV97" s="497" t="s">
        <v>4</v>
      </c>
      <c r="FW97" s="497" t="s">
        <v>29304</v>
      </c>
      <c r="FX97" s="497">
        <v>0.5</v>
      </c>
      <c r="FY97" s="497" t="s">
        <v>29529</v>
      </c>
      <c r="FZ97" s="497" t="s">
        <v>4</v>
      </c>
      <c r="GA97" s="497" t="s">
        <v>4</v>
      </c>
      <c r="GB97" s="497" t="s">
        <v>4</v>
      </c>
      <c r="GC97" s="497" t="s">
        <v>4</v>
      </c>
      <c r="GD97" s="497" t="s">
        <v>29451</v>
      </c>
      <c r="GE97" s="497" t="s">
        <v>4</v>
      </c>
      <c r="GF97" s="497" t="s">
        <v>4</v>
      </c>
      <c r="GG97" s="497" t="s">
        <v>4</v>
      </c>
      <c r="GH97" s="497" t="s">
        <v>4</v>
      </c>
      <c r="GI97" s="497" t="s">
        <v>4</v>
      </c>
      <c r="GJ97" s="497" t="s">
        <v>4</v>
      </c>
      <c r="GK97" s="497" t="s">
        <v>4</v>
      </c>
      <c r="GL97" s="497" t="s">
        <v>4</v>
      </c>
      <c r="GM97" s="497" t="s">
        <v>4</v>
      </c>
      <c r="GN97" s="497" t="s">
        <v>4</v>
      </c>
      <c r="GO97" s="497" t="s">
        <v>4</v>
      </c>
      <c r="GP97" s="497" t="s">
        <v>4</v>
      </c>
      <c r="GQ97" s="497" t="s">
        <v>4</v>
      </c>
      <c r="GR97" s="497" t="s">
        <v>4</v>
      </c>
      <c r="GS97" s="497" t="s">
        <v>4</v>
      </c>
      <c r="GT97" s="497" t="s">
        <v>29698</v>
      </c>
      <c r="GU97" s="497" t="s">
        <v>4</v>
      </c>
      <c r="GV97" s="494">
        <v>20</v>
      </c>
      <c r="GW97" s="497" t="s">
        <v>2</v>
      </c>
      <c r="GX97" s="497" t="s">
        <v>29309</v>
      </c>
      <c r="GY97" s="497" t="s">
        <v>4</v>
      </c>
      <c r="GZ97" s="497" t="s">
        <v>4</v>
      </c>
      <c r="HA97" s="497" t="s">
        <v>4</v>
      </c>
      <c r="HB97" s="497" t="s">
        <v>4</v>
      </c>
      <c r="HC97" s="497" t="s">
        <v>4</v>
      </c>
      <c r="HD97" s="497" t="s">
        <v>4</v>
      </c>
      <c r="HE97" s="497" t="s">
        <v>4</v>
      </c>
      <c r="HF97" s="497" t="s">
        <v>4</v>
      </c>
      <c r="HG97" s="497" t="s">
        <v>2</v>
      </c>
      <c r="HH97" s="497" t="s">
        <v>4</v>
      </c>
      <c r="HI97" s="497" t="s">
        <v>4</v>
      </c>
      <c r="HJ97" s="497" t="s">
        <v>4</v>
      </c>
      <c r="HK97" s="494" t="s">
        <v>4</v>
      </c>
      <c r="HL97" s="497" t="s">
        <v>35889</v>
      </c>
      <c r="HM97" s="497" t="s">
        <v>7</v>
      </c>
      <c r="HN97" s="497" t="s">
        <v>35890</v>
      </c>
      <c r="HO97" s="497" t="s">
        <v>16</v>
      </c>
      <c r="HP97" s="497" t="s">
        <v>35891</v>
      </c>
      <c r="HQ97" s="497" t="s">
        <v>35892</v>
      </c>
      <c r="HR97" s="497" t="s">
        <v>35893</v>
      </c>
      <c r="HS97" s="497" t="s">
        <v>35894</v>
      </c>
      <c r="HT97" s="500" t="s">
        <v>35883</v>
      </c>
    </row>
    <row r="98" spans="1:228" s="570" customFormat="1" ht="30.2" customHeight="1" x14ac:dyDescent="0.25">
      <c r="A98" s="759"/>
      <c r="B98" s="496">
        <v>144</v>
      </c>
      <c r="C98" s="496" t="s">
        <v>7862</v>
      </c>
      <c r="D98" s="497" t="s">
        <v>34975</v>
      </c>
      <c r="E98" s="497" t="s">
        <v>83</v>
      </c>
      <c r="F98" s="497" t="s">
        <v>7</v>
      </c>
      <c r="G98" s="497" t="s">
        <v>34976</v>
      </c>
      <c r="H98" s="497">
        <v>1175.376</v>
      </c>
      <c r="I98" s="497">
        <v>1.0403560000000001</v>
      </c>
      <c r="J98" s="497" t="s">
        <v>29288</v>
      </c>
      <c r="K98" s="497" t="s">
        <v>4</v>
      </c>
      <c r="L98" s="497" t="s">
        <v>34977</v>
      </c>
      <c r="M98" s="497">
        <v>701461032</v>
      </c>
      <c r="N98" s="497" t="s">
        <v>3</v>
      </c>
      <c r="O98" s="497" t="s">
        <v>31438</v>
      </c>
      <c r="P98" s="497">
        <v>67</v>
      </c>
      <c r="Q98" s="497">
        <v>12</v>
      </c>
      <c r="R98" s="497" t="s">
        <v>7</v>
      </c>
      <c r="S98" s="497" t="s">
        <v>31535</v>
      </c>
      <c r="T98" s="497" t="s">
        <v>4</v>
      </c>
      <c r="U98" s="497" t="s">
        <v>7</v>
      </c>
      <c r="V98" s="497" t="s">
        <v>7</v>
      </c>
      <c r="W98" s="497" t="s">
        <v>4</v>
      </c>
      <c r="X98" s="497" t="s">
        <v>7</v>
      </c>
      <c r="Y98" s="497" t="s">
        <v>4</v>
      </c>
      <c r="Z98" s="497" t="s">
        <v>4</v>
      </c>
      <c r="AA98" s="241" t="str">
        <f>IF(OR(U98="yes",Z98&gt;'SDG outcome'!$C$39),"yes","no")</f>
        <v>yes</v>
      </c>
      <c r="AB98" s="521" t="str">
        <f t="shared" si="3"/>
        <v>NA</v>
      </c>
      <c r="AC98" s="527" t="str">
        <f>IF(AND('SMS p2'!AA156="no",AND(Z98&gt;='SDG outcome'!$B$28,Z98&lt;'SDG outcome'!$C$39)),Z98-'SDG outcome'!$B$28,"")</f>
        <v/>
      </c>
      <c r="AD98" s="497" t="s">
        <v>4</v>
      </c>
      <c r="AE98" s="497" t="s">
        <v>4</v>
      </c>
      <c r="AF98" s="497" t="s">
        <v>4</v>
      </c>
      <c r="AG98" s="497" t="s">
        <v>4</v>
      </c>
      <c r="AH98" s="497" t="s">
        <v>4</v>
      </c>
      <c r="AI98" s="497" t="s">
        <v>4</v>
      </c>
      <c r="AJ98" s="497" t="s">
        <v>4</v>
      </c>
      <c r="AK98" s="497" t="s">
        <v>29290</v>
      </c>
      <c r="AL98" s="497" t="s">
        <v>29694</v>
      </c>
      <c r="AM98" s="497" t="s">
        <v>4</v>
      </c>
      <c r="AN98" s="497" t="s">
        <v>4</v>
      </c>
      <c r="AO98" s="497" t="s">
        <v>31536</v>
      </c>
      <c r="AP98" s="497" t="s">
        <v>4</v>
      </c>
      <c r="AQ98" s="497" t="s">
        <v>31600</v>
      </c>
      <c r="AR98" s="497" t="s">
        <v>4</v>
      </c>
      <c r="AS98" s="497" t="s">
        <v>31538</v>
      </c>
      <c r="AT98" s="497" t="s">
        <v>4</v>
      </c>
      <c r="AU98" s="497" t="s">
        <v>7</v>
      </c>
      <c r="AV98" s="497" t="s">
        <v>4</v>
      </c>
      <c r="AW98" s="497" t="s">
        <v>4</v>
      </c>
      <c r="AX98" s="497" t="s">
        <v>7</v>
      </c>
      <c r="AY98" s="497" t="s">
        <v>11</v>
      </c>
      <c r="AZ98" s="497" t="s">
        <v>4</v>
      </c>
      <c r="BA98" s="497" t="s">
        <v>31619</v>
      </c>
      <c r="BB98" s="497" t="s">
        <v>4</v>
      </c>
      <c r="BC98" s="497" t="s">
        <v>4</v>
      </c>
      <c r="BD98" s="497" t="s">
        <v>4</v>
      </c>
      <c r="BE98" s="497" t="s">
        <v>4</v>
      </c>
      <c r="BF98" s="497" t="s">
        <v>4</v>
      </c>
      <c r="BG98" s="497" t="s">
        <v>4</v>
      </c>
      <c r="BH98" s="497" t="s">
        <v>4</v>
      </c>
      <c r="BI98" s="497" t="s">
        <v>4</v>
      </c>
      <c r="BJ98" s="497" t="s">
        <v>4</v>
      </c>
      <c r="BK98" s="497" t="s">
        <v>7</v>
      </c>
      <c r="BL98" s="497" t="s">
        <v>6</v>
      </c>
      <c r="BM98" s="497" t="s">
        <v>4</v>
      </c>
      <c r="BN98" s="497" t="s">
        <v>31425</v>
      </c>
      <c r="BO98" s="497">
        <v>1</v>
      </c>
      <c r="BP98" s="497">
        <v>30</v>
      </c>
      <c r="BQ98" s="497" t="s">
        <v>31426</v>
      </c>
      <c r="BR98" s="499" t="s">
        <v>33361</v>
      </c>
      <c r="BS98" s="497" t="s">
        <v>4</v>
      </c>
      <c r="BT98" s="497">
        <v>4</v>
      </c>
      <c r="BU98" s="494" cm="1">
        <f t="array" ref="BU98">_xlfn.IFS(BQ98="Foreword vehicle",BT98*0,BQ98="Human wastes",BT98*0,BS98="Jerrycans",BT98*$BT$4,BQ98="Number of Basins",BT98*$BT$5,BQ98="Number of Buckets",BT98*$BS$6,BQ98="Number of Kgs",BT98*$BT$7,BQ98="Number of spades",BT98*$BT$8,BQ98="Number of wheelbarrows",BT98*$BT$9,BS98="Septic Tank",BT98*0)</f>
        <v>94</v>
      </c>
      <c r="BV98" s="494">
        <f>Table15[[#This Row],[Calculation: Conversion of metric to Kg manure feeding (Columns: BP, BQ, BR)]]*Table15[[#This Row],[Number of times used to feed biodigester]]</f>
        <v>94</v>
      </c>
      <c r="BW98" s="495" cm="1">
        <f t="array" ref="BW98">_xlfn.IFS(BN98="Number of times per day (1 to 3)",BV98/$BW$3,BN98="Number of times per week (1 to 6)",BV98/$BW$4,BN98="Number of times per Month (1 to 3)",BV98/$BW$5)</f>
        <v>94</v>
      </c>
      <c r="BX98" s="497" t="s">
        <v>22</v>
      </c>
      <c r="BY98" s="497" t="s">
        <v>4</v>
      </c>
      <c r="BZ98" s="497" t="s">
        <v>2</v>
      </c>
      <c r="CA98" s="497" t="s">
        <v>4</v>
      </c>
      <c r="CB98" s="497" t="s">
        <v>4</v>
      </c>
      <c r="CC98" s="497" t="s">
        <v>4</v>
      </c>
      <c r="CD98" s="497" t="s">
        <v>7</v>
      </c>
      <c r="CE98" s="497" t="s">
        <v>34978</v>
      </c>
      <c r="CF98" s="497" t="s">
        <v>4</v>
      </c>
      <c r="CG98" s="497" t="s">
        <v>31604</v>
      </c>
      <c r="CH98" s="497">
        <v>25</v>
      </c>
      <c r="CI98" s="497">
        <v>0</v>
      </c>
      <c r="CJ98" s="497">
        <v>0</v>
      </c>
      <c r="CK98" s="497">
        <v>0</v>
      </c>
      <c r="CL98" s="497">
        <v>0</v>
      </c>
      <c r="CM98" s="497">
        <v>0</v>
      </c>
      <c r="CN98" s="497">
        <v>0</v>
      </c>
      <c r="CO98" s="497">
        <v>0</v>
      </c>
      <c r="CP98" s="497">
        <v>0</v>
      </c>
      <c r="CQ98" s="497">
        <v>0</v>
      </c>
      <c r="CR98" s="497">
        <f>IF(Table15[[#This Row],[Is your biodigester working?]]="yes",CO98/'SDG outcome'!$C$9*CP98*CQ98,"")</f>
        <v>0</v>
      </c>
      <c r="CS98" s="497">
        <v>40</v>
      </c>
      <c r="CT98" s="500">
        <v>60</v>
      </c>
      <c r="CU98" s="496" t="s">
        <v>34979</v>
      </c>
      <c r="CV98" s="497" t="s">
        <v>4</v>
      </c>
      <c r="CW98" s="500" t="s">
        <v>4</v>
      </c>
      <c r="CX98" s="496" t="s">
        <v>4</v>
      </c>
      <c r="CY98" s="497" t="s">
        <v>4</v>
      </c>
      <c r="CZ98" s="500" t="s">
        <v>4</v>
      </c>
      <c r="DA98" s="496" t="s">
        <v>4</v>
      </c>
      <c r="DB98" s="497" t="s">
        <v>4</v>
      </c>
      <c r="DC98" s="497" t="s">
        <v>4</v>
      </c>
      <c r="DD98" s="497" t="s">
        <v>4</v>
      </c>
      <c r="DE98" s="497" t="s">
        <v>4</v>
      </c>
      <c r="DF98" s="497" t="s">
        <v>4</v>
      </c>
      <c r="DG98" s="497" t="s">
        <v>4</v>
      </c>
      <c r="DH98" s="497" t="s">
        <v>4</v>
      </c>
      <c r="DI98" s="497" t="s">
        <v>4</v>
      </c>
      <c r="DJ98" s="497" t="s">
        <v>4</v>
      </c>
      <c r="DK98" s="497" t="s">
        <v>4</v>
      </c>
      <c r="DL98" s="497" t="s">
        <v>4</v>
      </c>
      <c r="DM98" s="497" t="s">
        <v>4</v>
      </c>
      <c r="DN98" s="497">
        <v>4</v>
      </c>
      <c r="DO98" s="497" t="s">
        <v>7</v>
      </c>
      <c r="DP98" s="497" t="s">
        <v>29292</v>
      </c>
      <c r="DQ98" s="497" t="s">
        <v>4</v>
      </c>
      <c r="DR98" s="497" t="s">
        <v>29293</v>
      </c>
      <c r="DS98" s="494">
        <v>33000</v>
      </c>
      <c r="DT98" s="497" t="s">
        <v>29294</v>
      </c>
      <c r="DU98" s="494" t="s">
        <v>4</v>
      </c>
      <c r="DV98" s="500" t="s">
        <v>29295</v>
      </c>
      <c r="DW98" s="496">
        <v>100</v>
      </c>
      <c r="DX98" s="497" t="s">
        <v>29296</v>
      </c>
      <c r="DY98" s="497">
        <v>100</v>
      </c>
      <c r="DZ98" s="497" t="s">
        <v>4</v>
      </c>
      <c r="EA98" s="497" t="s">
        <v>4</v>
      </c>
      <c r="EB98" s="497" t="s">
        <v>4</v>
      </c>
      <c r="EC98" s="497" t="s">
        <v>4</v>
      </c>
      <c r="ED98" s="497" t="s">
        <v>4</v>
      </c>
      <c r="EE98" s="497" t="s">
        <v>4</v>
      </c>
      <c r="EF98" s="497" t="s">
        <v>4</v>
      </c>
      <c r="EG98" s="497" t="s">
        <v>4</v>
      </c>
      <c r="EH98" s="497" t="s">
        <v>4</v>
      </c>
      <c r="EI98" s="497" t="s">
        <v>4</v>
      </c>
      <c r="EJ98" s="497" t="s">
        <v>4</v>
      </c>
      <c r="EK98" s="497" t="s">
        <v>4</v>
      </c>
      <c r="EL98" s="497" t="s">
        <v>4</v>
      </c>
      <c r="EM98" s="497" t="s">
        <v>4</v>
      </c>
      <c r="EN98" s="497" t="s">
        <v>4</v>
      </c>
      <c r="EO98" s="497" t="s">
        <v>4</v>
      </c>
      <c r="EP98" s="497" t="s">
        <v>4</v>
      </c>
      <c r="EQ98" s="497" t="s">
        <v>4</v>
      </c>
      <c r="ER98" s="497" t="s">
        <v>4</v>
      </c>
      <c r="ES98" s="497" t="s">
        <v>4</v>
      </c>
      <c r="ET98" s="497" t="s">
        <v>4</v>
      </c>
      <c r="EU98" s="497" t="s">
        <v>4</v>
      </c>
      <c r="EV98" s="497" t="s">
        <v>4</v>
      </c>
      <c r="EW98" s="497">
        <v>0.40469445568595708</v>
      </c>
      <c r="EX98" s="497" t="s">
        <v>7</v>
      </c>
      <c r="EY98" s="497">
        <v>80</v>
      </c>
      <c r="EZ98" s="239">
        <f t="shared" si="4"/>
        <v>0.32375556454876564</v>
      </c>
      <c r="FA98" s="497" t="s">
        <v>34980</v>
      </c>
      <c r="FB98" s="497" t="s">
        <v>29298</v>
      </c>
      <c r="FC98" s="497">
        <v>60</v>
      </c>
      <c r="FD98" s="497" t="s">
        <v>7</v>
      </c>
      <c r="FE98" s="497" t="s">
        <v>29299</v>
      </c>
      <c r="FF98" s="497" t="s">
        <v>4</v>
      </c>
      <c r="FG98" s="497" t="s">
        <v>7</v>
      </c>
      <c r="FH98" s="497" t="s">
        <v>29299</v>
      </c>
      <c r="FI98" s="497" t="s">
        <v>4</v>
      </c>
      <c r="FJ98" s="497" t="s">
        <v>13</v>
      </c>
      <c r="FK98" s="497" t="s">
        <v>34981</v>
      </c>
      <c r="FL98" s="497" t="s">
        <v>4</v>
      </c>
      <c r="FM98" s="497" t="s">
        <v>4</v>
      </c>
      <c r="FN98" s="494" t="s">
        <v>4</v>
      </c>
      <c r="FO98" s="497" t="s">
        <v>4</v>
      </c>
      <c r="FP98" s="497" t="s">
        <v>2</v>
      </c>
      <c r="FQ98" s="497" t="s">
        <v>4</v>
      </c>
      <c r="FR98" s="497" t="s">
        <v>4</v>
      </c>
      <c r="FS98" s="497" t="s">
        <v>7</v>
      </c>
      <c r="FT98" s="497" t="s">
        <v>7</v>
      </c>
      <c r="FU98" s="497" t="s">
        <v>29302</v>
      </c>
      <c r="FV98" s="497" t="s">
        <v>34982</v>
      </c>
      <c r="FW98" s="497" t="s">
        <v>29304</v>
      </c>
      <c r="FX98" s="497">
        <v>2</v>
      </c>
      <c r="FY98" s="497" t="s">
        <v>29305</v>
      </c>
      <c r="FZ98" s="497" t="s">
        <v>29306</v>
      </c>
      <c r="GA98" s="497" t="s">
        <v>4</v>
      </c>
      <c r="GB98" s="497" t="s">
        <v>4</v>
      </c>
      <c r="GC98" s="497" t="s">
        <v>4</v>
      </c>
      <c r="GD98" s="497" t="s">
        <v>4</v>
      </c>
      <c r="GE98" s="497" t="s">
        <v>4</v>
      </c>
      <c r="GF98" s="497" t="s">
        <v>4</v>
      </c>
      <c r="GG98" s="497" t="s">
        <v>4</v>
      </c>
      <c r="GH98" s="497" t="s">
        <v>4</v>
      </c>
      <c r="GI98" s="497" t="s">
        <v>4</v>
      </c>
      <c r="GJ98" s="497" t="s">
        <v>4</v>
      </c>
      <c r="GK98" s="497" t="s">
        <v>4</v>
      </c>
      <c r="GL98" s="497" t="s">
        <v>4</v>
      </c>
      <c r="GM98" s="497" t="s">
        <v>4</v>
      </c>
      <c r="GN98" s="497" t="s">
        <v>4</v>
      </c>
      <c r="GO98" s="497" t="s">
        <v>4</v>
      </c>
      <c r="GP98" s="497" t="s">
        <v>4</v>
      </c>
      <c r="GQ98" s="497" t="s">
        <v>4</v>
      </c>
      <c r="GR98" s="497" t="s">
        <v>4</v>
      </c>
      <c r="GS98" s="497" t="s">
        <v>4</v>
      </c>
      <c r="GT98" s="497" t="s">
        <v>29452</v>
      </c>
      <c r="GU98" s="497" t="s">
        <v>4</v>
      </c>
      <c r="GV98" s="494">
        <v>5</v>
      </c>
      <c r="GW98" s="497" t="s">
        <v>2</v>
      </c>
      <c r="GX98" s="497" t="s">
        <v>29309</v>
      </c>
      <c r="GY98" s="497" t="s">
        <v>4</v>
      </c>
      <c r="GZ98" s="497" t="s">
        <v>4</v>
      </c>
      <c r="HA98" s="497" t="s">
        <v>4</v>
      </c>
      <c r="HB98" s="497" t="s">
        <v>4</v>
      </c>
      <c r="HC98" s="497" t="s">
        <v>4</v>
      </c>
      <c r="HD98" s="497" t="s">
        <v>4</v>
      </c>
      <c r="HE98" s="497" t="s">
        <v>4</v>
      </c>
      <c r="HF98" s="497" t="s">
        <v>4</v>
      </c>
      <c r="HG98" s="497" t="s">
        <v>2</v>
      </c>
      <c r="HH98" s="497" t="s">
        <v>4</v>
      </c>
      <c r="HI98" s="497" t="s">
        <v>4</v>
      </c>
      <c r="HJ98" s="497" t="s">
        <v>4</v>
      </c>
      <c r="HK98" s="494" t="s">
        <v>4</v>
      </c>
      <c r="HL98" s="497" t="s">
        <v>34983</v>
      </c>
      <c r="HM98" s="497" t="s">
        <v>7</v>
      </c>
      <c r="HN98" s="497" t="s">
        <v>34984</v>
      </c>
      <c r="HO98" s="497" t="s">
        <v>16</v>
      </c>
      <c r="HP98" s="497" t="s">
        <v>34985</v>
      </c>
      <c r="HQ98" s="497" t="s">
        <v>34986</v>
      </c>
      <c r="HR98" s="497" t="s">
        <v>34987</v>
      </c>
      <c r="HS98" s="497" t="s">
        <v>34988</v>
      </c>
      <c r="HT98" s="500" t="s">
        <v>34975</v>
      </c>
    </row>
    <row r="99" spans="1:228" s="570" customFormat="1" ht="30.2" customHeight="1" x14ac:dyDescent="0.25">
      <c r="A99" s="759"/>
      <c r="B99" s="496">
        <v>236</v>
      </c>
      <c r="C99" s="496" t="s">
        <v>25299</v>
      </c>
      <c r="D99" s="497" t="s">
        <v>35955</v>
      </c>
      <c r="E99" s="497" t="s">
        <v>30866</v>
      </c>
      <c r="F99" s="497" t="s">
        <v>7</v>
      </c>
      <c r="G99" s="497" t="s">
        <v>35956</v>
      </c>
      <c r="H99" s="497">
        <v>1469.8</v>
      </c>
      <c r="I99" s="497">
        <v>5</v>
      </c>
      <c r="J99" s="497" t="s">
        <v>29389</v>
      </c>
      <c r="K99" s="497" t="s">
        <v>33816</v>
      </c>
      <c r="L99" s="497" t="s">
        <v>35957</v>
      </c>
      <c r="M99" s="497">
        <v>778991867</v>
      </c>
      <c r="N99" s="497" t="s">
        <v>5</v>
      </c>
      <c r="O99" s="497" t="s">
        <v>31598</v>
      </c>
      <c r="P99" s="497" t="s">
        <v>4</v>
      </c>
      <c r="Q99" s="497">
        <v>4</v>
      </c>
      <c r="R99" s="497" t="s">
        <v>7</v>
      </c>
      <c r="S99" s="497" t="s">
        <v>31549</v>
      </c>
      <c r="T99" s="497" t="s">
        <v>4</v>
      </c>
      <c r="U99" s="497" t="s">
        <v>7</v>
      </c>
      <c r="V99" s="497" t="s">
        <v>7</v>
      </c>
      <c r="W99" s="497" t="s">
        <v>4</v>
      </c>
      <c r="X99" s="497" t="s">
        <v>7</v>
      </c>
      <c r="Y99" s="497" t="s">
        <v>4</v>
      </c>
      <c r="Z99" s="497" t="s">
        <v>4</v>
      </c>
      <c r="AA99" s="241" t="str">
        <f>IF(OR(U99="yes",Z99&gt;'SDG outcome'!$C$39),"yes","no")</f>
        <v>yes</v>
      </c>
      <c r="AB99" s="521" t="str">
        <f t="shared" si="3"/>
        <v>NA</v>
      </c>
      <c r="AC99" s="527" t="str">
        <f>IF(AND('SMS p2'!AA247="no",AND(Z99&gt;='SDG outcome'!$B$28,Z99&lt;'SDG outcome'!$C$39)),Z99-'SDG outcome'!$B$28,"")</f>
        <v/>
      </c>
      <c r="AD99" s="497" t="s">
        <v>4</v>
      </c>
      <c r="AE99" s="497" t="s">
        <v>4</v>
      </c>
      <c r="AF99" s="497" t="s">
        <v>4</v>
      </c>
      <c r="AG99" s="497" t="s">
        <v>4</v>
      </c>
      <c r="AH99" s="497" t="s">
        <v>4</v>
      </c>
      <c r="AI99" s="497" t="s">
        <v>4</v>
      </c>
      <c r="AJ99" s="497" t="s">
        <v>4</v>
      </c>
      <c r="AK99" s="497" t="s">
        <v>29290</v>
      </c>
      <c r="AL99" s="497" t="s">
        <v>29694</v>
      </c>
      <c r="AM99" s="497" t="s">
        <v>4</v>
      </c>
      <c r="AN99" s="497" t="s">
        <v>4</v>
      </c>
      <c r="AO99" s="497" t="s">
        <v>31718</v>
      </c>
      <c r="AP99" s="497" t="s">
        <v>4</v>
      </c>
      <c r="AQ99" s="497" t="s">
        <v>31600</v>
      </c>
      <c r="AR99" s="497" t="s">
        <v>4</v>
      </c>
      <c r="AS99" s="497" t="s">
        <v>31538</v>
      </c>
      <c r="AT99" s="497" t="s">
        <v>4</v>
      </c>
      <c r="AU99" s="497" t="s">
        <v>7</v>
      </c>
      <c r="AV99" s="497" t="s">
        <v>4</v>
      </c>
      <c r="AW99" s="497" t="s">
        <v>4</v>
      </c>
      <c r="AX99" s="497" t="s">
        <v>7</v>
      </c>
      <c r="AY99" s="497" t="s">
        <v>6</v>
      </c>
      <c r="AZ99" s="497" t="s">
        <v>4</v>
      </c>
      <c r="BA99" s="497" t="s">
        <v>31563</v>
      </c>
      <c r="BB99" s="497" t="s">
        <v>22</v>
      </c>
      <c r="BC99" s="497" t="s">
        <v>4</v>
      </c>
      <c r="BD99" s="497" t="s">
        <v>31564</v>
      </c>
      <c r="BE99" s="497" t="s">
        <v>4</v>
      </c>
      <c r="BF99" s="497" t="s">
        <v>31542</v>
      </c>
      <c r="BG99" s="497" t="s">
        <v>35958</v>
      </c>
      <c r="BH99" s="497" t="s">
        <v>31616</v>
      </c>
      <c r="BI99" s="497">
        <v>1</v>
      </c>
      <c r="BJ99" s="497">
        <v>180</v>
      </c>
      <c r="BK99" s="497" t="s">
        <v>7</v>
      </c>
      <c r="BL99" s="497" t="s">
        <v>6</v>
      </c>
      <c r="BM99" s="497" t="s">
        <v>4</v>
      </c>
      <c r="BN99" s="497" t="s">
        <v>31425</v>
      </c>
      <c r="BO99" s="497">
        <v>1</v>
      </c>
      <c r="BP99" s="497">
        <v>30</v>
      </c>
      <c r="BQ99" s="497" t="s">
        <v>31435</v>
      </c>
      <c r="BR99" s="499" t="s">
        <v>33332</v>
      </c>
      <c r="BS99" s="497" t="s">
        <v>4</v>
      </c>
      <c r="BT99" s="497">
        <v>2</v>
      </c>
      <c r="BU99" s="494" cm="1">
        <f t="array" ref="BU99">_xlfn.IFS(BQ99="Foreword vehicle",BT99*0,BQ99="Human wastes",BT99*0,BS99="Jerrycans",BT99*$BT$4,BQ99="Number of Basins",BT99*$BT$5,BQ99="Number of Buckets",BT99*$BT$6,BQ99="Number of Kgs",BT99*$BT$7,BQ99="Number of spades",BT99*$BT$8,BQ99="Number of wheelbarrows",BT99*$BT$9,BS99="Septic Tank",BT99*0)</f>
        <v>141</v>
      </c>
      <c r="BV99" s="494">
        <f>Table15[[#This Row],[Calculation: Conversion of metric to Kg manure feeding (Columns: BP, BQ, BR)]]*Table15[[#This Row],[Number of times used to feed biodigester]]</f>
        <v>141</v>
      </c>
      <c r="BW99" s="495" cm="1">
        <f t="array" ref="BW99">_xlfn.IFS(BN99="Number of times per day (1 to 3)",BV99/$BW$3,BN99="Number of times per week (1 to 6)",BV99/$BW$4,BN99="Number of times per Month (1 to 3)",BV99/$BW$5)</f>
        <v>141</v>
      </c>
      <c r="BX99" s="497" t="s">
        <v>22</v>
      </c>
      <c r="BY99" s="497" t="s">
        <v>4</v>
      </c>
      <c r="BZ99" s="497" t="s">
        <v>2</v>
      </c>
      <c r="CA99" s="497" t="s">
        <v>4</v>
      </c>
      <c r="CB99" s="497" t="s">
        <v>4</v>
      </c>
      <c r="CC99" s="497" t="s">
        <v>4</v>
      </c>
      <c r="CD99" s="497" t="s">
        <v>7</v>
      </c>
      <c r="CE99" s="497" t="s">
        <v>35959</v>
      </c>
      <c r="CF99" s="497" t="s">
        <v>4</v>
      </c>
      <c r="CG99" s="497" t="s">
        <v>31604</v>
      </c>
      <c r="CH99" s="497">
        <v>20</v>
      </c>
      <c r="CI99" s="497">
        <v>0</v>
      </c>
      <c r="CJ99" s="497">
        <v>0</v>
      </c>
      <c r="CK99" s="497">
        <v>0</v>
      </c>
      <c r="CL99" s="497">
        <v>0</v>
      </c>
      <c r="CM99" s="497">
        <v>0</v>
      </c>
      <c r="CN99" s="497">
        <v>0</v>
      </c>
      <c r="CO99" s="497">
        <v>0</v>
      </c>
      <c r="CP99" s="497">
        <v>0</v>
      </c>
      <c r="CQ99" s="497">
        <v>0</v>
      </c>
      <c r="CR99" s="497">
        <f>IF(Table15[[#This Row],[Is your biodigester working?]]="yes",CO99/'SDG outcome'!$C$9*CP99*CQ99,"")</f>
        <v>0</v>
      </c>
      <c r="CS99" s="497">
        <v>70</v>
      </c>
      <c r="CT99" s="500">
        <v>30</v>
      </c>
      <c r="CU99" s="496" t="s">
        <v>35960</v>
      </c>
      <c r="CV99" s="497" t="s">
        <v>4</v>
      </c>
      <c r="CW99" s="500" t="s">
        <v>4</v>
      </c>
      <c r="CX99" s="496" t="s">
        <v>4</v>
      </c>
      <c r="CY99" s="497" t="s">
        <v>4</v>
      </c>
      <c r="CZ99" s="500" t="s">
        <v>4</v>
      </c>
      <c r="DA99" s="496" t="s">
        <v>4</v>
      </c>
      <c r="DB99" s="497" t="s">
        <v>4</v>
      </c>
      <c r="DC99" s="497" t="s">
        <v>4</v>
      </c>
      <c r="DD99" s="497" t="s">
        <v>4</v>
      </c>
      <c r="DE99" s="497" t="s">
        <v>4</v>
      </c>
      <c r="DF99" s="497" t="s">
        <v>4</v>
      </c>
      <c r="DG99" s="497" t="s">
        <v>4</v>
      </c>
      <c r="DH99" s="497" t="s">
        <v>4</v>
      </c>
      <c r="DI99" s="497" t="s">
        <v>4</v>
      </c>
      <c r="DJ99" s="497" t="s">
        <v>4</v>
      </c>
      <c r="DK99" s="497" t="s">
        <v>4</v>
      </c>
      <c r="DL99" s="497" t="s">
        <v>4</v>
      </c>
      <c r="DM99" s="497" t="s">
        <v>4</v>
      </c>
      <c r="DN99" s="497">
        <v>7</v>
      </c>
      <c r="DO99" s="497" t="s">
        <v>7</v>
      </c>
      <c r="DP99" s="497" t="s">
        <v>29292</v>
      </c>
      <c r="DQ99" s="497" t="s">
        <v>4</v>
      </c>
      <c r="DR99" s="497" t="s">
        <v>29294</v>
      </c>
      <c r="DS99" s="494" t="s">
        <v>4</v>
      </c>
      <c r="DT99" s="497" t="s">
        <v>29294</v>
      </c>
      <c r="DU99" s="494" t="s">
        <v>4</v>
      </c>
      <c r="DV99" s="500" t="s">
        <v>29295</v>
      </c>
      <c r="DW99" s="496">
        <v>100</v>
      </c>
      <c r="DX99" s="497" t="s">
        <v>29296</v>
      </c>
      <c r="DY99" s="497">
        <v>100</v>
      </c>
      <c r="DZ99" s="497" t="s">
        <v>4</v>
      </c>
      <c r="EA99" s="497" t="s">
        <v>4</v>
      </c>
      <c r="EB99" s="497" t="s">
        <v>4</v>
      </c>
      <c r="EC99" s="497" t="s">
        <v>4</v>
      </c>
      <c r="ED99" s="497" t="s">
        <v>4</v>
      </c>
      <c r="EE99" s="497" t="s">
        <v>4</v>
      </c>
      <c r="EF99" s="497" t="s">
        <v>4</v>
      </c>
      <c r="EG99" s="497" t="s">
        <v>4</v>
      </c>
      <c r="EH99" s="497" t="s">
        <v>4</v>
      </c>
      <c r="EI99" s="497" t="s">
        <v>4</v>
      </c>
      <c r="EJ99" s="497" t="s">
        <v>4</v>
      </c>
      <c r="EK99" s="497" t="s">
        <v>4</v>
      </c>
      <c r="EL99" s="497" t="s">
        <v>4</v>
      </c>
      <c r="EM99" s="497" t="s">
        <v>4</v>
      </c>
      <c r="EN99" s="497" t="s">
        <v>4</v>
      </c>
      <c r="EO99" s="497" t="s">
        <v>4</v>
      </c>
      <c r="EP99" s="497" t="s">
        <v>4</v>
      </c>
      <c r="EQ99" s="497" t="s">
        <v>4</v>
      </c>
      <c r="ER99" s="497" t="s">
        <v>4</v>
      </c>
      <c r="ES99" s="497" t="s">
        <v>4</v>
      </c>
      <c r="ET99" s="497" t="s">
        <v>4</v>
      </c>
      <c r="EU99" s="497" t="s">
        <v>4</v>
      </c>
      <c r="EV99" s="497" t="s">
        <v>4</v>
      </c>
      <c r="EW99" s="497">
        <v>8</v>
      </c>
      <c r="EX99" s="497" t="s">
        <v>7</v>
      </c>
      <c r="EY99" s="497">
        <v>4</v>
      </c>
      <c r="EZ99" s="239">
        <f t="shared" si="4"/>
        <v>0.32</v>
      </c>
      <c r="FA99" s="497" t="s">
        <v>29803</v>
      </c>
      <c r="FB99" s="497" t="s">
        <v>29298</v>
      </c>
      <c r="FC99" s="497">
        <v>4</v>
      </c>
      <c r="FD99" s="497" t="s">
        <v>7</v>
      </c>
      <c r="FE99" s="497" t="s">
        <v>29393</v>
      </c>
      <c r="FF99" s="497" t="s">
        <v>4</v>
      </c>
      <c r="FG99" s="497" t="s">
        <v>2</v>
      </c>
      <c r="FH99" s="497" t="s">
        <v>4</v>
      </c>
      <c r="FI99" s="497" t="s">
        <v>4</v>
      </c>
      <c r="FJ99" s="497" t="s">
        <v>4</v>
      </c>
      <c r="FK99" s="497" t="s">
        <v>4</v>
      </c>
      <c r="FL99" s="497" t="s">
        <v>4</v>
      </c>
      <c r="FM99" s="497" t="s">
        <v>4</v>
      </c>
      <c r="FN99" s="494" t="s">
        <v>4</v>
      </c>
      <c r="FO99" s="497" t="s">
        <v>4</v>
      </c>
      <c r="FP99" s="497" t="s">
        <v>2</v>
      </c>
      <c r="FQ99" s="497" t="s">
        <v>4</v>
      </c>
      <c r="FR99" s="497" t="s">
        <v>4</v>
      </c>
      <c r="FS99" s="497" t="s">
        <v>2</v>
      </c>
      <c r="FT99" s="497" t="s">
        <v>7</v>
      </c>
      <c r="FU99" s="497" t="s">
        <v>29302</v>
      </c>
      <c r="FV99" s="497" t="s">
        <v>33553</v>
      </c>
      <c r="FW99" s="497" t="s">
        <v>4</v>
      </c>
      <c r="FX99" s="497">
        <v>0</v>
      </c>
      <c r="FY99" s="497" t="s">
        <v>4</v>
      </c>
      <c r="FZ99" s="497" t="s">
        <v>4</v>
      </c>
      <c r="GA99" s="497" t="s">
        <v>4</v>
      </c>
      <c r="GB99" s="497" t="s">
        <v>4</v>
      </c>
      <c r="GC99" s="497" t="s">
        <v>4</v>
      </c>
      <c r="GD99" s="497" t="s">
        <v>4</v>
      </c>
      <c r="GE99" s="497" t="s">
        <v>4</v>
      </c>
      <c r="GF99" s="497" t="s">
        <v>4</v>
      </c>
      <c r="GG99" s="497" t="s">
        <v>4</v>
      </c>
      <c r="GH99" s="497" t="s">
        <v>4</v>
      </c>
      <c r="GI99" s="497" t="s">
        <v>29304</v>
      </c>
      <c r="GJ99" s="497" t="s">
        <v>29305</v>
      </c>
      <c r="GK99" s="497" t="s">
        <v>29306</v>
      </c>
      <c r="GL99" s="497" t="s">
        <v>4</v>
      </c>
      <c r="GM99" s="497" t="s">
        <v>4</v>
      </c>
      <c r="GN99" s="497" t="s">
        <v>4</v>
      </c>
      <c r="GO99" s="497" t="s">
        <v>4</v>
      </c>
      <c r="GP99" s="497" t="s">
        <v>4</v>
      </c>
      <c r="GQ99" s="497" t="s">
        <v>4</v>
      </c>
      <c r="GR99" s="497" t="s">
        <v>4</v>
      </c>
      <c r="GS99" s="497" t="s">
        <v>4</v>
      </c>
      <c r="GT99" s="497" t="s">
        <v>29354</v>
      </c>
      <c r="GU99" s="497" t="s">
        <v>4</v>
      </c>
      <c r="GV99" s="494">
        <v>100</v>
      </c>
      <c r="GW99" s="497" t="s">
        <v>29325</v>
      </c>
      <c r="GX99" s="497" t="s">
        <v>29309</v>
      </c>
      <c r="GY99" s="497" t="s">
        <v>4</v>
      </c>
      <c r="GZ99" s="497" t="s">
        <v>4</v>
      </c>
      <c r="HA99" s="497" t="s">
        <v>4</v>
      </c>
      <c r="HB99" s="497" t="s">
        <v>4</v>
      </c>
      <c r="HC99" s="497" t="s">
        <v>4</v>
      </c>
      <c r="HD99" s="497" t="s">
        <v>4</v>
      </c>
      <c r="HE99" s="497" t="s">
        <v>4</v>
      </c>
      <c r="HF99" s="497" t="s">
        <v>4</v>
      </c>
      <c r="HG99" s="497" t="s">
        <v>2</v>
      </c>
      <c r="HH99" s="497" t="s">
        <v>4</v>
      </c>
      <c r="HI99" s="497" t="s">
        <v>4</v>
      </c>
      <c r="HJ99" s="497" t="s">
        <v>4</v>
      </c>
      <c r="HK99" s="494" t="s">
        <v>4</v>
      </c>
      <c r="HL99" s="497" t="s">
        <v>4</v>
      </c>
      <c r="HM99" s="497" t="s">
        <v>2</v>
      </c>
      <c r="HN99" s="497" t="s">
        <v>4</v>
      </c>
      <c r="HO99" s="497" t="s">
        <v>16</v>
      </c>
      <c r="HP99" s="497" t="s">
        <v>35961</v>
      </c>
      <c r="HQ99" s="497" t="s">
        <v>35962</v>
      </c>
      <c r="HR99" s="497" t="s">
        <v>35963</v>
      </c>
      <c r="HS99" s="497" t="s">
        <v>35964</v>
      </c>
      <c r="HT99" s="500" t="s">
        <v>35955</v>
      </c>
    </row>
    <row r="100" spans="1:228" s="570" customFormat="1" ht="30.2" customHeight="1" x14ac:dyDescent="0.25">
      <c r="A100" s="759"/>
      <c r="B100" s="496">
        <v>67</v>
      </c>
      <c r="C100" s="496" t="s">
        <v>2700</v>
      </c>
      <c r="D100" s="497" t="s">
        <v>34127</v>
      </c>
      <c r="E100" s="497" t="s">
        <v>29799</v>
      </c>
      <c r="F100" s="497" t="s">
        <v>7</v>
      </c>
      <c r="G100" s="497" t="s">
        <v>34128</v>
      </c>
      <c r="H100" s="497">
        <v>1169.8402100000001</v>
      </c>
      <c r="I100" s="497">
        <v>7.9080589999999997</v>
      </c>
      <c r="J100" s="497" t="s">
        <v>29288</v>
      </c>
      <c r="K100" s="497" t="s">
        <v>4</v>
      </c>
      <c r="L100" s="497" t="s">
        <v>34129</v>
      </c>
      <c r="M100" s="497">
        <v>787663591</v>
      </c>
      <c r="N100" s="497" t="s">
        <v>3</v>
      </c>
      <c r="O100" s="497" t="s">
        <v>31590</v>
      </c>
      <c r="P100" s="497" t="s">
        <v>4</v>
      </c>
      <c r="Q100" s="497">
        <v>6</v>
      </c>
      <c r="R100" s="497" t="s">
        <v>7</v>
      </c>
      <c r="S100" s="497" t="s">
        <v>31549</v>
      </c>
      <c r="T100" s="497" t="s">
        <v>4</v>
      </c>
      <c r="U100" s="497" t="s">
        <v>7</v>
      </c>
      <c r="V100" s="497" t="s">
        <v>7</v>
      </c>
      <c r="W100" s="497" t="s">
        <v>4</v>
      </c>
      <c r="X100" s="497" t="s">
        <v>7</v>
      </c>
      <c r="Y100" s="497" t="s">
        <v>4</v>
      </c>
      <c r="Z100" s="497" t="s">
        <v>4</v>
      </c>
      <c r="AA100" s="241" t="str">
        <f>IF(OR(U100="yes",Z100&gt;'SDG outcome'!$C$39),"yes","no")</f>
        <v>yes</v>
      </c>
      <c r="AB100" s="521" t="str">
        <f t="shared" si="3"/>
        <v>NA</v>
      </c>
      <c r="AC100" s="527" t="str">
        <f>IF(AND('SMS p2'!AA79="no",AND(Z100&gt;='SDG outcome'!$B$28,Z100&lt;'SDG outcome'!$C$39)),Z100-'SDG outcome'!$B$28,"")</f>
        <v/>
      </c>
      <c r="AD100" s="497" t="s">
        <v>4</v>
      </c>
      <c r="AE100" s="497" t="s">
        <v>4</v>
      </c>
      <c r="AF100" s="497" t="s">
        <v>4</v>
      </c>
      <c r="AG100" s="497" t="s">
        <v>4</v>
      </c>
      <c r="AH100" s="497" t="s">
        <v>4</v>
      </c>
      <c r="AI100" s="497" t="s">
        <v>4</v>
      </c>
      <c r="AJ100" s="501" t="s">
        <v>4</v>
      </c>
      <c r="AK100" s="497" t="s">
        <v>29290</v>
      </c>
      <c r="AL100" s="497" t="s">
        <v>29291</v>
      </c>
      <c r="AM100" s="497" t="s">
        <v>4</v>
      </c>
      <c r="AN100" s="497" t="s">
        <v>4</v>
      </c>
      <c r="AO100" s="497" t="s">
        <v>31536</v>
      </c>
      <c r="AP100" s="497" t="s">
        <v>4</v>
      </c>
      <c r="AQ100" s="497" t="s">
        <v>31537</v>
      </c>
      <c r="AR100" s="497" t="s">
        <v>4</v>
      </c>
      <c r="AS100" s="497" t="s">
        <v>31538</v>
      </c>
      <c r="AT100" s="497" t="s">
        <v>4</v>
      </c>
      <c r="AU100" s="497" t="s">
        <v>7</v>
      </c>
      <c r="AV100" s="497" t="s">
        <v>4</v>
      </c>
      <c r="AW100" s="497" t="s">
        <v>4</v>
      </c>
      <c r="AX100" s="497" t="s">
        <v>7</v>
      </c>
      <c r="AY100" s="497" t="s">
        <v>6</v>
      </c>
      <c r="AZ100" s="497" t="s">
        <v>4</v>
      </c>
      <c r="BA100" s="497" t="s">
        <v>31563</v>
      </c>
      <c r="BB100" s="497" t="s">
        <v>14</v>
      </c>
      <c r="BC100" s="497" t="s">
        <v>4</v>
      </c>
      <c r="BD100" s="497" t="s">
        <v>31564</v>
      </c>
      <c r="BE100" s="497" t="s">
        <v>4</v>
      </c>
      <c r="BF100" s="497" t="s">
        <v>31542</v>
      </c>
      <c r="BG100" s="497" t="s">
        <v>34130</v>
      </c>
      <c r="BH100" s="497" t="s">
        <v>31544</v>
      </c>
      <c r="BI100" s="497">
        <v>4</v>
      </c>
      <c r="BJ100" s="497">
        <v>80</v>
      </c>
      <c r="BK100" s="497" t="s">
        <v>7</v>
      </c>
      <c r="BL100" s="497" t="s">
        <v>6</v>
      </c>
      <c r="BM100" s="497" t="s">
        <v>4</v>
      </c>
      <c r="BN100" s="497" t="s">
        <v>31425</v>
      </c>
      <c r="BO100" s="497">
        <v>3</v>
      </c>
      <c r="BP100" s="497">
        <v>30</v>
      </c>
      <c r="BQ100" s="497" t="s">
        <v>31433</v>
      </c>
      <c r="BR100" s="499" t="s">
        <v>33332</v>
      </c>
      <c r="BS100" s="497" t="s">
        <v>4</v>
      </c>
      <c r="BT100" s="497">
        <v>7</v>
      </c>
      <c r="BU100" s="494" cm="1">
        <f t="array" ref="BU100">_xlfn.IFS(BQ100="Foreword vehicle",BT100*0,BQ100="Human wastes",BT100*0,BS100="Jerrycans",BT100*$BT$4,BQ100="Number of Basins",BT100*$BT$5,BQ100="Number of Buckets",BT100*$BT$6,BQ100="Number of Kgs",BT100*$BT$7,BQ100="Number of spades",BT100*$BT$8,BQ100="Number of wheelbarrows",BT100*$BT$9,BS100="Septic Tank",BT100*0)</f>
        <v>21</v>
      </c>
      <c r="BV100" s="494">
        <f>Table15[[#This Row],[Calculation: Conversion of metric to Kg manure feeding (Columns: BP, BQ, BR)]]*Table15[[#This Row],[Number of times used to feed biodigester]]</f>
        <v>63</v>
      </c>
      <c r="BW100" s="495" cm="1">
        <f t="array" ref="BW100">_xlfn.IFS(BN100="Number of times per day (1 to 3)",BV100/$BW$3,BN100="Number of times per week (1 to 6)",BV100/$BW$4,BN100="Number of times per Month (1 to 3)",BV100/$BW$5)</f>
        <v>63</v>
      </c>
      <c r="BX100" s="497" t="s">
        <v>31650</v>
      </c>
      <c r="BY100" s="497" t="s">
        <v>4</v>
      </c>
      <c r="BZ100" s="497" t="s">
        <v>2</v>
      </c>
      <c r="CA100" s="497" t="s">
        <v>4</v>
      </c>
      <c r="CB100" s="497" t="s">
        <v>4</v>
      </c>
      <c r="CC100" s="497" t="s">
        <v>4</v>
      </c>
      <c r="CD100" s="497" t="s">
        <v>7</v>
      </c>
      <c r="CE100" s="497" t="s">
        <v>34131</v>
      </c>
      <c r="CF100" s="497" t="s">
        <v>4</v>
      </c>
      <c r="CG100" s="497" t="s">
        <v>31604</v>
      </c>
      <c r="CH100" s="497">
        <v>3</v>
      </c>
      <c r="CI100" s="497">
        <v>0</v>
      </c>
      <c r="CJ100" s="497">
        <v>0</v>
      </c>
      <c r="CK100" s="497">
        <v>0</v>
      </c>
      <c r="CL100" s="497">
        <v>0</v>
      </c>
      <c r="CM100" s="497">
        <v>0</v>
      </c>
      <c r="CN100" s="497">
        <v>0</v>
      </c>
      <c r="CO100" s="497">
        <v>0</v>
      </c>
      <c r="CP100" s="497">
        <v>0</v>
      </c>
      <c r="CQ100" s="497">
        <v>0</v>
      </c>
      <c r="CR100" s="497">
        <f>IF(Table15[[#This Row],[Is your biodigester working?]]="yes",CO100/'SDG outcome'!$C$9*CP100*CQ100,"")</f>
        <v>0</v>
      </c>
      <c r="CS100" s="497">
        <v>80</v>
      </c>
      <c r="CT100" s="500">
        <v>20</v>
      </c>
      <c r="CU100" s="496" t="s">
        <v>34132</v>
      </c>
      <c r="CV100" s="497" t="s">
        <v>4</v>
      </c>
      <c r="CW100" s="500" t="s">
        <v>4</v>
      </c>
      <c r="CX100" s="496" t="s">
        <v>4</v>
      </c>
      <c r="CY100" s="497" t="s">
        <v>4</v>
      </c>
      <c r="CZ100" s="500" t="s">
        <v>4</v>
      </c>
      <c r="DA100" s="496" t="s">
        <v>4</v>
      </c>
      <c r="DB100" s="497" t="s">
        <v>4</v>
      </c>
      <c r="DC100" s="497" t="s">
        <v>4</v>
      </c>
      <c r="DD100" s="497" t="s">
        <v>4</v>
      </c>
      <c r="DE100" s="497" t="s">
        <v>4</v>
      </c>
      <c r="DF100" s="497" t="s">
        <v>4</v>
      </c>
      <c r="DG100" s="497" t="s">
        <v>4</v>
      </c>
      <c r="DH100" s="497" t="s">
        <v>4</v>
      </c>
      <c r="DI100" s="497" t="s">
        <v>4</v>
      </c>
      <c r="DJ100" s="497" t="s">
        <v>4</v>
      </c>
      <c r="DK100" s="497" t="s">
        <v>4</v>
      </c>
      <c r="DL100" s="497" t="s">
        <v>4</v>
      </c>
      <c r="DM100" s="497" t="s">
        <v>4</v>
      </c>
      <c r="DN100" s="497">
        <v>0.4</v>
      </c>
      <c r="DO100" s="497" t="s">
        <v>2</v>
      </c>
      <c r="DP100" s="497" t="s">
        <v>29292</v>
      </c>
      <c r="DQ100" s="497" t="s">
        <v>4</v>
      </c>
      <c r="DR100" s="497" t="s">
        <v>29294</v>
      </c>
      <c r="DS100" s="494" t="s">
        <v>4</v>
      </c>
      <c r="DT100" s="497" t="s">
        <v>29293</v>
      </c>
      <c r="DU100" s="494">
        <v>0</v>
      </c>
      <c r="DV100" s="500" t="s">
        <v>29295</v>
      </c>
      <c r="DW100" s="496">
        <v>100</v>
      </c>
      <c r="DX100" s="497" t="s">
        <v>29296</v>
      </c>
      <c r="DY100" s="497">
        <v>100</v>
      </c>
      <c r="DZ100" s="497" t="s">
        <v>4</v>
      </c>
      <c r="EA100" s="497" t="s">
        <v>4</v>
      </c>
      <c r="EB100" s="497" t="s">
        <v>4</v>
      </c>
      <c r="EC100" s="497" t="s">
        <v>4</v>
      </c>
      <c r="ED100" s="497" t="s">
        <v>4</v>
      </c>
      <c r="EE100" s="497" t="s">
        <v>4</v>
      </c>
      <c r="EF100" s="497" t="s">
        <v>4</v>
      </c>
      <c r="EG100" s="497" t="s">
        <v>4</v>
      </c>
      <c r="EH100" s="497" t="s">
        <v>4</v>
      </c>
      <c r="EI100" s="497" t="s">
        <v>4</v>
      </c>
      <c r="EJ100" s="497" t="s">
        <v>4</v>
      </c>
      <c r="EK100" s="497" t="s">
        <v>4</v>
      </c>
      <c r="EL100" s="497" t="s">
        <v>4</v>
      </c>
      <c r="EM100" s="497" t="s">
        <v>4</v>
      </c>
      <c r="EN100" s="497" t="s">
        <v>4</v>
      </c>
      <c r="EO100" s="497" t="s">
        <v>4</v>
      </c>
      <c r="EP100" s="497" t="s">
        <v>4</v>
      </c>
      <c r="EQ100" s="497" t="s">
        <v>4</v>
      </c>
      <c r="ER100" s="497" t="s">
        <v>4</v>
      </c>
      <c r="ES100" s="497" t="s">
        <v>4</v>
      </c>
      <c r="ET100" s="497" t="s">
        <v>4</v>
      </c>
      <c r="EU100" s="497" t="s">
        <v>4</v>
      </c>
      <c r="EV100" s="497" t="s">
        <v>4</v>
      </c>
      <c r="EW100" s="497">
        <v>0.60704168352893562</v>
      </c>
      <c r="EX100" s="497" t="s">
        <v>7</v>
      </c>
      <c r="EY100" s="497">
        <v>50</v>
      </c>
      <c r="EZ100" s="239">
        <f t="shared" si="4"/>
        <v>0.30352084176446781</v>
      </c>
      <c r="FA100" s="497" t="s">
        <v>34133</v>
      </c>
      <c r="FB100" s="497" t="s">
        <v>29298</v>
      </c>
      <c r="FC100" s="497">
        <v>144</v>
      </c>
      <c r="FD100" s="497" t="s">
        <v>7</v>
      </c>
      <c r="FE100" s="497" t="s">
        <v>29393</v>
      </c>
      <c r="FF100" s="497" t="s">
        <v>4</v>
      </c>
      <c r="FG100" s="497" t="s">
        <v>2</v>
      </c>
      <c r="FH100" s="497" t="s">
        <v>4</v>
      </c>
      <c r="FI100" s="497" t="s">
        <v>4</v>
      </c>
      <c r="FJ100" s="497" t="s">
        <v>4</v>
      </c>
      <c r="FK100" s="497" t="s">
        <v>4</v>
      </c>
      <c r="FL100" s="497" t="s">
        <v>4</v>
      </c>
      <c r="FM100" s="497" t="s">
        <v>4</v>
      </c>
      <c r="FN100" s="494" t="s">
        <v>4</v>
      </c>
      <c r="FO100" s="497" t="s">
        <v>4</v>
      </c>
      <c r="FP100" s="497" t="s">
        <v>7</v>
      </c>
      <c r="FQ100" s="497" t="s">
        <v>29301</v>
      </c>
      <c r="FR100" s="497" t="s">
        <v>4</v>
      </c>
      <c r="FS100" s="497" t="s">
        <v>7</v>
      </c>
      <c r="FT100" s="497" t="s">
        <v>7</v>
      </c>
      <c r="FU100" s="497" t="s">
        <v>29302</v>
      </c>
      <c r="FV100" s="497" t="s">
        <v>33825</v>
      </c>
      <c r="FW100" s="497" t="s">
        <v>29304</v>
      </c>
      <c r="FX100" s="497">
        <v>2</v>
      </c>
      <c r="FY100" s="497" t="s">
        <v>29882</v>
      </c>
      <c r="FZ100" s="497" t="s">
        <v>29306</v>
      </c>
      <c r="GA100" s="497" t="s">
        <v>29479</v>
      </c>
      <c r="GB100" s="497" t="s">
        <v>29397</v>
      </c>
      <c r="GC100" s="497" t="s">
        <v>4</v>
      </c>
      <c r="GD100" s="497" t="s">
        <v>4</v>
      </c>
      <c r="GE100" s="497" t="s">
        <v>4</v>
      </c>
      <c r="GF100" s="497" t="s">
        <v>4</v>
      </c>
      <c r="GG100" s="497" t="s">
        <v>4</v>
      </c>
      <c r="GH100" s="497" t="s">
        <v>4</v>
      </c>
      <c r="GI100" s="497" t="s">
        <v>4</v>
      </c>
      <c r="GJ100" s="497" t="s">
        <v>4</v>
      </c>
      <c r="GK100" s="497" t="s">
        <v>4</v>
      </c>
      <c r="GL100" s="497" t="s">
        <v>4</v>
      </c>
      <c r="GM100" s="497" t="s">
        <v>4</v>
      </c>
      <c r="GN100" s="497" t="s">
        <v>4</v>
      </c>
      <c r="GO100" s="497" t="s">
        <v>4</v>
      </c>
      <c r="GP100" s="497" t="s">
        <v>4</v>
      </c>
      <c r="GQ100" s="497" t="s">
        <v>4</v>
      </c>
      <c r="GR100" s="497" t="s">
        <v>4</v>
      </c>
      <c r="GS100" s="497" t="s">
        <v>4</v>
      </c>
      <c r="GT100" s="497" t="s">
        <v>29467</v>
      </c>
      <c r="GU100" s="497" t="s">
        <v>4</v>
      </c>
      <c r="GV100" s="494">
        <v>9</v>
      </c>
      <c r="GW100" s="497" t="s">
        <v>7</v>
      </c>
      <c r="GX100" s="497" t="s">
        <v>29309</v>
      </c>
      <c r="GY100" s="497" t="s">
        <v>4</v>
      </c>
      <c r="GZ100" s="497" t="s">
        <v>4</v>
      </c>
      <c r="HA100" s="497" t="s">
        <v>4</v>
      </c>
      <c r="HB100" s="497" t="s">
        <v>4</v>
      </c>
      <c r="HC100" s="497" t="s">
        <v>4</v>
      </c>
      <c r="HD100" s="497" t="s">
        <v>4</v>
      </c>
      <c r="HE100" s="497" t="s">
        <v>4</v>
      </c>
      <c r="HF100" s="497" t="s">
        <v>4</v>
      </c>
      <c r="HG100" s="497" t="s">
        <v>2</v>
      </c>
      <c r="HH100" s="497" t="s">
        <v>4</v>
      </c>
      <c r="HI100" s="497" t="s">
        <v>4</v>
      </c>
      <c r="HJ100" s="497" t="s">
        <v>4</v>
      </c>
      <c r="HK100" s="494" t="s">
        <v>4</v>
      </c>
      <c r="HL100" s="497" t="s">
        <v>4</v>
      </c>
      <c r="HM100" s="497" t="s">
        <v>2</v>
      </c>
      <c r="HN100" s="497" t="s">
        <v>4</v>
      </c>
      <c r="HO100" s="497" t="s">
        <v>16</v>
      </c>
      <c r="HP100" s="497" t="s">
        <v>34134</v>
      </c>
      <c r="HQ100" s="497" t="s">
        <v>34135</v>
      </c>
      <c r="HR100" s="497" t="s">
        <v>34136</v>
      </c>
      <c r="HS100" s="497" t="s">
        <v>34137</v>
      </c>
      <c r="HT100" s="500" t="s">
        <v>34127</v>
      </c>
    </row>
    <row r="101" spans="1:228" s="570" customFormat="1" ht="30.2" customHeight="1" x14ac:dyDescent="0.25">
      <c r="A101" s="759"/>
      <c r="B101" s="496">
        <v>94</v>
      </c>
      <c r="C101" s="517" t="s">
        <v>22953</v>
      </c>
      <c r="D101" s="501" t="s">
        <v>34417</v>
      </c>
      <c r="E101" s="501" t="s">
        <v>70</v>
      </c>
      <c r="F101" s="501" t="s">
        <v>7</v>
      </c>
      <c r="G101" s="501" t="s">
        <v>34418</v>
      </c>
      <c r="H101" s="501">
        <v>1294.0999999999999</v>
      </c>
      <c r="I101" s="501">
        <v>4.8</v>
      </c>
      <c r="J101" s="501" t="s">
        <v>29319</v>
      </c>
      <c r="K101" s="501" t="s">
        <v>4</v>
      </c>
      <c r="L101" s="501" t="s">
        <v>22954</v>
      </c>
      <c r="M101" s="501">
        <v>782655226</v>
      </c>
      <c r="N101" s="501" t="s">
        <v>5</v>
      </c>
      <c r="O101" s="501" t="s">
        <v>31438</v>
      </c>
      <c r="P101" s="501">
        <v>65</v>
      </c>
      <c r="Q101" s="501">
        <v>7</v>
      </c>
      <c r="R101" s="501" t="s">
        <v>7</v>
      </c>
      <c r="S101" s="501" t="s">
        <v>31549</v>
      </c>
      <c r="T101" s="501" t="s">
        <v>4</v>
      </c>
      <c r="U101" s="501" t="s">
        <v>7</v>
      </c>
      <c r="V101" s="501" t="s">
        <v>7</v>
      </c>
      <c r="W101" s="501" t="s">
        <v>4</v>
      </c>
      <c r="X101" s="501" t="s">
        <v>7</v>
      </c>
      <c r="Y101" s="501" t="s">
        <v>4</v>
      </c>
      <c r="Z101" s="501" t="s">
        <v>4</v>
      </c>
      <c r="AA101" s="241" t="str">
        <f>IF(OR(U101="yes",Z101&gt;'SDG outcome'!$C$39),"yes","no")</f>
        <v>yes</v>
      </c>
      <c r="AB101" s="522" t="str">
        <f t="shared" si="3"/>
        <v>NA</v>
      </c>
      <c r="AC101" s="528" t="str">
        <f>IF(AND('SMS p2'!AA106="no",AND(Z101&gt;='SDG outcome'!$B$28,Z101&lt;'SDG outcome'!$C$39)),Z101-'SDG outcome'!$B$28,"")</f>
        <v/>
      </c>
      <c r="AD101" s="501" t="s">
        <v>4</v>
      </c>
      <c r="AE101" s="501" t="s">
        <v>4</v>
      </c>
      <c r="AF101" s="501" t="s">
        <v>4</v>
      </c>
      <c r="AG101" s="501" t="s">
        <v>4</v>
      </c>
      <c r="AH101" s="501" t="s">
        <v>4</v>
      </c>
      <c r="AI101" s="501" t="s">
        <v>4</v>
      </c>
      <c r="AJ101" s="501" t="s">
        <v>4</v>
      </c>
      <c r="AK101" s="501" t="s">
        <v>29290</v>
      </c>
      <c r="AL101" s="501" t="s">
        <v>29694</v>
      </c>
      <c r="AM101" s="501" t="s">
        <v>4</v>
      </c>
      <c r="AN101" s="501" t="s">
        <v>4</v>
      </c>
      <c r="AO101" s="501" t="s">
        <v>31536</v>
      </c>
      <c r="AP101" s="501" t="s">
        <v>4</v>
      </c>
      <c r="AQ101" s="501" t="s">
        <v>31537</v>
      </c>
      <c r="AR101" s="501" t="s">
        <v>4</v>
      </c>
      <c r="AS101" s="501" t="s">
        <v>31538</v>
      </c>
      <c r="AT101" s="501" t="s">
        <v>4</v>
      </c>
      <c r="AU101" s="501" t="s">
        <v>7</v>
      </c>
      <c r="AV101" s="501" t="s">
        <v>4</v>
      </c>
      <c r="AW101" s="501" t="s">
        <v>4</v>
      </c>
      <c r="AX101" s="501" t="s">
        <v>7</v>
      </c>
      <c r="AY101" s="501" t="s">
        <v>6</v>
      </c>
      <c r="AZ101" s="501" t="s">
        <v>4</v>
      </c>
      <c r="BA101" s="501" t="s">
        <v>31563</v>
      </c>
      <c r="BB101" s="501" t="s">
        <v>22</v>
      </c>
      <c r="BC101" s="501" t="s">
        <v>4</v>
      </c>
      <c r="BD101" s="501" t="s">
        <v>14</v>
      </c>
      <c r="BE101" s="501" t="s">
        <v>4</v>
      </c>
      <c r="BF101" s="501" t="s">
        <v>31542</v>
      </c>
      <c r="BG101" s="501" t="s">
        <v>34419</v>
      </c>
      <c r="BH101" s="501" t="s">
        <v>31544</v>
      </c>
      <c r="BI101" s="501">
        <v>3</v>
      </c>
      <c r="BJ101" s="501">
        <v>560</v>
      </c>
      <c r="BK101" s="501" t="s">
        <v>7</v>
      </c>
      <c r="BL101" s="501" t="s">
        <v>6</v>
      </c>
      <c r="BM101" s="497" t="s">
        <v>4</v>
      </c>
      <c r="BN101" s="501" t="s">
        <v>31429</v>
      </c>
      <c r="BO101" s="501">
        <v>3</v>
      </c>
      <c r="BP101" s="501">
        <v>60</v>
      </c>
      <c r="BQ101" s="501" t="s">
        <v>31434</v>
      </c>
      <c r="BR101" s="499" t="s">
        <v>33361</v>
      </c>
      <c r="BS101" s="501" t="s">
        <v>4</v>
      </c>
      <c r="BT101" s="501">
        <v>2</v>
      </c>
      <c r="BU101" s="502" cm="1">
        <f t="array" ref="BU101">_xlfn.IFS(BQ101="Foreword vehicle",BT101*0,BQ101="Human wastes",BT101*0,BS101="Jerrycans",BT101*$BT$4,BQ101="Number of Basins",BT101*$BS$5,BQ101="Number of Buckets",BT101*$BT$6,BQ101="Number of Kgs",BT101*$BT$7,BQ101="Number of spades",BT101*$BT$8,BQ101="Number of wheelbarrows",BT101*$BT$9,BS101="Septic Tank",BT101*0)</f>
        <v>42</v>
      </c>
      <c r="BV101" s="502">
        <f>Table15[[#This Row],[Calculation: Conversion of metric to Kg manure feeding (Columns: BP, BQ, BR)]]*Table15[[#This Row],[Number of times used to feed biodigester]]</f>
        <v>126</v>
      </c>
      <c r="BW101" s="503" cm="1">
        <f t="array" ref="BW101">_xlfn.IFS(BN101="Number of times per day (1 to 3)",BV101/$BW$3,BN101="Number of times per week (1 to 6)",BV101/$BW$4,BN101="Number of times per Month (1 to 3)",BV101/$BW$5)</f>
        <v>18</v>
      </c>
      <c r="BX101" s="501" t="s">
        <v>22</v>
      </c>
      <c r="BY101" s="501" t="s">
        <v>4</v>
      </c>
      <c r="BZ101" s="501" t="s">
        <v>2</v>
      </c>
      <c r="CA101" s="501" t="s">
        <v>4</v>
      </c>
      <c r="CB101" s="501" t="s">
        <v>4</v>
      </c>
      <c r="CC101" s="501" t="s">
        <v>4</v>
      </c>
      <c r="CD101" s="501" t="s">
        <v>7</v>
      </c>
      <c r="CE101" s="501" t="s">
        <v>34420</v>
      </c>
      <c r="CF101" s="501" t="s">
        <v>4</v>
      </c>
      <c r="CG101" s="501" t="s">
        <v>31634</v>
      </c>
      <c r="CH101" s="501">
        <v>7</v>
      </c>
      <c r="CI101" s="501">
        <v>0</v>
      </c>
      <c r="CJ101" s="501">
        <v>0</v>
      </c>
      <c r="CK101" s="501">
        <v>0</v>
      </c>
      <c r="CL101" s="501">
        <v>6</v>
      </c>
      <c r="CM101" s="501">
        <v>0</v>
      </c>
      <c r="CN101" s="501">
        <v>0</v>
      </c>
      <c r="CO101" s="501">
        <v>0</v>
      </c>
      <c r="CP101" s="501">
        <v>0</v>
      </c>
      <c r="CQ101" s="501">
        <v>0</v>
      </c>
      <c r="CR101" s="501">
        <f>IF(Table15[[#This Row],[Is your biodigester working?]]="yes",CO101/'SDG outcome'!$C$9*CP101*CQ101,"")</f>
        <v>0</v>
      </c>
      <c r="CS101" s="501">
        <v>30</v>
      </c>
      <c r="CT101" s="519">
        <v>70</v>
      </c>
      <c r="CU101" s="517" t="s">
        <v>34421</v>
      </c>
      <c r="CV101" s="501" t="s">
        <v>4</v>
      </c>
      <c r="CW101" s="519" t="s">
        <v>4</v>
      </c>
      <c r="CX101" s="517" t="s">
        <v>4</v>
      </c>
      <c r="CY101" s="501" t="s">
        <v>4</v>
      </c>
      <c r="CZ101" s="519" t="s">
        <v>4</v>
      </c>
      <c r="DA101" s="517" t="s">
        <v>4</v>
      </c>
      <c r="DB101" s="501" t="s">
        <v>4</v>
      </c>
      <c r="DC101" s="501" t="s">
        <v>4</v>
      </c>
      <c r="DD101" s="501" t="s">
        <v>4</v>
      </c>
      <c r="DE101" s="501" t="s">
        <v>4</v>
      </c>
      <c r="DF101" s="501" t="s">
        <v>4</v>
      </c>
      <c r="DG101" s="501" t="s">
        <v>4</v>
      </c>
      <c r="DH101" s="501" t="s">
        <v>4</v>
      </c>
      <c r="DI101" s="501" t="s">
        <v>4</v>
      </c>
      <c r="DJ101" s="501" t="s">
        <v>4</v>
      </c>
      <c r="DK101" s="501">
        <v>0</v>
      </c>
      <c r="DL101" s="501">
        <v>100</v>
      </c>
      <c r="DM101" s="501" t="s">
        <v>34422</v>
      </c>
      <c r="DN101" s="501">
        <v>1.5</v>
      </c>
      <c r="DO101" s="501" t="s">
        <v>7</v>
      </c>
      <c r="DP101" s="501" t="s">
        <v>29292</v>
      </c>
      <c r="DQ101" s="501" t="s">
        <v>4</v>
      </c>
      <c r="DR101" s="501" t="s">
        <v>29293</v>
      </c>
      <c r="DS101" s="502">
        <v>50000</v>
      </c>
      <c r="DT101" s="501" t="s">
        <v>29293</v>
      </c>
      <c r="DU101" s="502">
        <v>0</v>
      </c>
      <c r="DV101" s="519" t="s">
        <v>29295</v>
      </c>
      <c r="DW101" s="517">
        <v>100</v>
      </c>
      <c r="DX101" s="501" t="s">
        <v>29296</v>
      </c>
      <c r="DY101" s="501">
        <v>100</v>
      </c>
      <c r="DZ101" s="501" t="s">
        <v>4</v>
      </c>
      <c r="EA101" s="501" t="s">
        <v>4</v>
      </c>
      <c r="EB101" s="501" t="s">
        <v>4</v>
      </c>
      <c r="EC101" s="501" t="s">
        <v>4</v>
      </c>
      <c r="ED101" s="501" t="s">
        <v>4</v>
      </c>
      <c r="EE101" s="501" t="s">
        <v>4</v>
      </c>
      <c r="EF101" s="501" t="s">
        <v>4</v>
      </c>
      <c r="EG101" s="501" t="s">
        <v>4</v>
      </c>
      <c r="EH101" s="501" t="s">
        <v>4</v>
      </c>
      <c r="EI101" s="501" t="s">
        <v>4</v>
      </c>
      <c r="EJ101" s="501" t="s">
        <v>4</v>
      </c>
      <c r="EK101" s="501" t="s">
        <v>4</v>
      </c>
      <c r="EL101" s="501" t="s">
        <v>4</v>
      </c>
      <c r="EM101" s="501" t="s">
        <v>4</v>
      </c>
      <c r="EN101" s="501" t="s">
        <v>4</v>
      </c>
      <c r="EO101" s="501" t="s">
        <v>4</v>
      </c>
      <c r="EP101" s="501" t="s">
        <v>4</v>
      </c>
      <c r="EQ101" s="501" t="s">
        <v>4</v>
      </c>
      <c r="ER101" s="501" t="s">
        <v>4</v>
      </c>
      <c r="ES101" s="501" t="s">
        <v>4</v>
      </c>
      <c r="ET101" s="501" t="s">
        <v>4</v>
      </c>
      <c r="EU101" s="501" t="s">
        <v>4</v>
      </c>
      <c r="EV101" s="501" t="s">
        <v>4</v>
      </c>
      <c r="EW101" s="501">
        <v>5</v>
      </c>
      <c r="EX101" s="501" t="s">
        <v>7</v>
      </c>
      <c r="EY101" s="501">
        <v>5</v>
      </c>
      <c r="EZ101" s="239">
        <f t="shared" si="4"/>
        <v>0.25</v>
      </c>
      <c r="FA101" s="501" t="s">
        <v>34423</v>
      </c>
      <c r="FB101" s="501" t="s">
        <v>29298</v>
      </c>
      <c r="FC101" s="501">
        <v>60</v>
      </c>
      <c r="FD101" s="501" t="s">
        <v>7</v>
      </c>
      <c r="FE101" s="501" t="s">
        <v>29376</v>
      </c>
      <c r="FF101" s="501" t="s">
        <v>34424</v>
      </c>
      <c r="FG101" s="501" t="s">
        <v>7</v>
      </c>
      <c r="FH101" s="501" t="s">
        <v>29393</v>
      </c>
      <c r="FI101" s="501" t="s">
        <v>4</v>
      </c>
      <c r="FJ101" s="501" t="s">
        <v>29300</v>
      </c>
      <c r="FK101" s="501" t="s">
        <v>4</v>
      </c>
      <c r="FL101" s="501" t="s">
        <v>4</v>
      </c>
      <c r="FM101" s="501" t="s">
        <v>4</v>
      </c>
      <c r="FN101" s="502" t="s">
        <v>4</v>
      </c>
      <c r="FO101" s="501" t="s">
        <v>4</v>
      </c>
      <c r="FP101" s="501" t="s">
        <v>2</v>
      </c>
      <c r="FQ101" s="501" t="s">
        <v>4</v>
      </c>
      <c r="FR101" s="501" t="s">
        <v>4</v>
      </c>
      <c r="FS101" s="501" t="s">
        <v>7</v>
      </c>
      <c r="FT101" s="501" t="s">
        <v>2</v>
      </c>
      <c r="FU101" s="501" t="s">
        <v>4</v>
      </c>
      <c r="FV101" s="501" t="s">
        <v>4</v>
      </c>
      <c r="FW101" s="501" t="s">
        <v>4</v>
      </c>
      <c r="FX101" s="501">
        <v>0</v>
      </c>
      <c r="FY101" s="501" t="s">
        <v>4</v>
      </c>
      <c r="FZ101" s="501" t="s">
        <v>4</v>
      </c>
      <c r="GA101" s="501" t="s">
        <v>4</v>
      </c>
      <c r="GB101" s="501" t="s">
        <v>4</v>
      </c>
      <c r="GC101" s="501" t="s">
        <v>4</v>
      </c>
      <c r="GD101" s="501" t="s">
        <v>4</v>
      </c>
      <c r="GE101" s="501" t="s">
        <v>4</v>
      </c>
      <c r="GF101" s="501" t="s">
        <v>4</v>
      </c>
      <c r="GG101" s="501" t="s">
        <v>4</v>
      </c>
      <c r="GH101" s="501" t="s">
        <v>4</v>
      </c>
      <c r="GI101" s="501" t="s">
        <v>29304</v>
      </c>
      <c r="GJ101" s="501" t="s">
        <v>29529</v>
      </c>
      <c r="GK101" s="501" t="s">
        <v>4</v>
      </c>
      <c r="GL101" s="501" t="s">
        <v>4</v>
      </c>
      <c r="GM101" s="501" t="s">
        <v>4</v>
      </c>
      <c r="GN101" s="501" t="s">
        <v>4</v>
      </c>
      <c r="GO101" s="501" t="s">
        <v>29451</v>
      </c>
      <c r="GP101" s="501" t="s">
        <v>4</v>
      </c>
      <c r="GQ101" s="501" t="s">
        <v>4</v>
      </c>
      <c r="GR101" s="501" t="s">
        <v>4</v>
      </c>
      <c r="GS101" s="501" t="s">
        <v>4</v>
      </c>
      <c r="GT101" s="501" t="s">
        <v>29452</v>
      </c>
      <c r="GU101" s="501" t="s">
        <v>4</v>
      </c>
      <c r="GV101" s="502">
        <v>15</v>
      </c>
      <c r="GW101" s="501" t="s">
        <v>2</v>
      </c>
      <c r="GX101" s="501" t="s">
        <v>29309</v>
      </c>
      <c r="GY101" s="501" t="s">
        <v>4</v>
      </c>
      <c r="GZ101" s="501" t="s">
        <v>4</v>
      </c>
      <c r="HA101" s="501" t="s">
        <v>4</v>
      </c>
      <c r="HB101" s="501" t="s">
        <v>4</v>
      </c>
      <c r="HC101" s="501" t="s">
        <v>4</v>
      </c>
      <c r="HD101" s="501" t="s">
        <v>4</v>
      </c>
      <c r="HE101" s="501" t="s">
        <v>4</v>
      </c>
      <c r="HF101" s="501" t="s">
        <v>4</v>
      </c>
      <c r="HG101" s="501" t="s">
        <v>4</v>
      </c>
      <c r="HH101" s="501" t="s">
        <v>4</v>
      </c>
      <c r="HI101" s="501" t="s">
        <v>4</v>
      </c>
      <c r="HJ101" s="501" t="s">
        <v>4</v>
      </c>
      <c r="HK101" s="494" t="s">
        <v>4</v>
      </c>
      <c r="HL101" s="501" t="s">
        <v>34425</v>
      </c>
      <c r="HM101" s="501" t="s">
        <v>2</v>
      </c>
      <c r="HN101" s="501" t="s">
        <v>4</v>
      </c>
      <c r="HO101" s="501" t="s">
        <v>16</v>
      </c>
      <c r="HP101" s="501" t="s">
        <v>34426</v>
      </c>
      <c r="HQ101" s="501" t="s">
        <v>34427</v>
      </c>
      <c r="HR101" s="501" t="s">
        <v>34428</v>
      </c>
      <c r="HS101" s="501" t="s">
        <v>34429</v>
      </c>
      <c r="HT101" s="519" t="s">
        <v>34417</v>
      </c>
    </row>
    <row r="102" spans="1:228" s="570" customFormat="1" ht="30.2" customHeight="1" x14ac:dyDescent="0.25">
      <c r="A102" s="759"/>
      <c r="B102" s="496">
        <v>140</v>
      </c>
      <c r="C102" s="496" t="s">
        <v>9120</v>
      </c>
      <c r="D102" s="497" t="s">
        <v>34933</v>
      </c>
      <c r="E102" s="497" t="s">
        <v>83</v>
      </c>
      <c r="F102" s="497" t="s">
        <v>7</v>
      </c>
      <c r="G102" s="497" t="s">
        <v>34934</v>
      </c>
      <c r="H102" s="497">
        <v>1093.434</v>
      </c>
      <c r="I102" s="497">
        <v>3.3029989999999998</v>
      </c>
      <c r="J102" s="497" t="s">
        <v>29288</v>
      </c>
      <c r="K102" s="497" t="s">
        <v>4</v>
      </c>
      <c r="L102" s="497" t="s">
        <v>34935</v>
      </c>
      <c r="M102" s="497">
        <v>757692143</v>
      </c>
      <c r="N102" s="497" t="s">
        <v>3</v>
      </c>
      <c r="O102" s="497" t="s">
        <v>31598</v>
      </c>
      <c r="P102" s="497" t="s">
        <v>4</v>
      </c>
      <c r="Q102" s="497">
        <v>7</v>
      </c>
      <c r="R102" s="497" t="s">
        <v>7</v>
      </c>
      <c r="S102" s="497" t="s">
        <v>31535</v>
      </c>
      <c r="T102" s="497" t="s">
        <v>4</v>
      </c>
      <c r="U102" s="497" t="s">
        <v>7</v>
      </c>
      <c r="V102" s="497" t="s">
        <v>7</v>
      </c>
      <c r="W102" s="497" t="s">
        <v>4</v>
      </c>
      <c r="X102" s="497" t="s">
        <v>7</v>
      </c>
      <c r="Y102" s="497" t="s">
        <v>4</v>
      </c>
      <c r="Z102" s="497" t="s">
        <v>4</v>
      </c>
      <c r="AA102" s="241" t="str">
        <f>IF(OR(U102="yes",Z102&gt;'SDG outcome'!$C$39),"yes","no")</f>
        <v>yes</v>
      </c>
      <c r="AB102" s="521" t="str">
        <f t="shared" si="3"/>
        <v>NA</v>
      </c>
      <c r="AC102" s="527" t="str">
        <f>IF(AND('SMS p2'!AA152="no",AND(Z102&gt;='SDG outcome'!$B$28,Z102&lt;'SDG outcome'!$C$39)),Z102-'SDG outcome'!$B$28,"")</f>
        <v/>
      </c>
      <c r="AD102" s="497" t="s">
        <v>4</v>
      </c>
      <c r="AE102" s="497" t="s">
        <v>4</v>
      </c>
      <c r="AF102" s="497" t="s">
        <v>4</v>
      </c>
      <c r="AG102" s="497" t="s">
        <v>4</v>
      </c>
      <c r="AH102" s="497" t="s">
        <v>4</v>
      </c>
      <c r="AI102" s="497" t="s">
        <v>4</v>
      </c>
      <c r="AJ102" s="497" t="s">
        <v>4</v>
      </c>
      <c r="AK102" s="497" t="s">
        <v>29290</v>
      </c>
      <c r="AL102" s="497" t="s">
        <v>29694</v>
      </c>
      <c r="AM102" s="497" t="s">
        <v>4</v>
      </c>
      <c r="AN102" s="497" t="s">
        <v>4</v>
      </c>
      <c r="AO102" s="497" t="s">
        <v>31536</v>
      </c>
      <c r="AP102" s="497" t="s">
        <v>4</v>
      </c>
      <c r="AQ102" s="497" t="s">
        <v>31537</v>
      </c>
      <c r="AR102" s="497" t="s">
        <v>4</v>
      </c>
      <c r="AS102" s="497" t="s">
        <v>31538</v>
      </c>
      <c r="AT102" s="497" t="s">
        <v>4</v>
      </c>
      <c r="AU102" s="497" t="s">
        <v>7</v>
      </c>
      <c r="AV102" s="497" t="s">
        <v>4</v>
      </c>
      <c r="AW102" s="497" t="s">
        <v>4</v>
      </c>
      <c r="AX102" s="497" t="s">
        <v>2</v>
      </c>
      <c r="AY102" s="497" t="s">
        <v>4</v>
      </c>
      <c r="AZ102" s="497" t="s">
        <v>4</v>
      </c>
      <c r="BA102" s="497" t="s">
        <v>4</v>
      </c>
      <c r="BB102" s="497" t="s">
        <v>4</v>
      </c>
      <c r="BC102" s="497" t="s">
        <v>4</v>
      </c>
      <c r="BD102" s="497" t="s">
        <v>4</v>
      </c>
      <c r="BE102" s="497" t="s">
        <v>4</v>
      </c>
      <c r="BF102" s="497" t="s">
        <v>4</v>
      </c>
      <c r="BG102" s="497" t="s">
        <v>4</v>
      </c>
      <c r="BH102" s="497" t="s">
        <v>4</v>
      </c>
      <c r="BI102" s="497" t="s">
        <v>4</v>
      </c>
      <c r="BJ102" s="497" t="s">
        <v>4</v>
      </c>
      <c r="BK102" s="497" t="s">
        <v>7</v>
      </c>
      <c r="BL102" s="497" t="s">
        <v>6</v>
      </c>
      <c r="BM102" s="497" t="s">
        <v>4</v>
      </c>
      <c r="BN102" s="497" t="s">
        <v>31425</v>
      </c>
      <c r="BO102" s="497">
        <v>1</v>
      </c>
      <c r="BP102" s="497">
        <v>30</v>
      </c>
      <c r="BQ102" s="497" t="s">
        <v>31426</v>
      </c>
      <c r="BR102" s="499" t="s">
        <v>33332</v>
      </c>
      <c r="BS102" s="497" t="s">
        <v>4</v>
      </c>
      <c r="BT102" s="497">
        <v>2</v>
      </c>
      <c r="BU102" s="494" cm="1">
        <f t="array" ref="BU102">_xlfn.IFS(BQ102="Foreword vehicle",BT102*0,BQ102="Human wastes",BT102*0,BS102="Jerrycans",BT102*$BT$4,BQ102="Number of Basins",BT102*$BT$5,BQ102="Number of Buckets",BT102*$BT$6,BQ102="Number of Kgs",BT102*$BT$7,BQ102="Number of spades",BT102*$BT$8,BQ102="Number of wheelbarrows",BT102*$BT$9,BS102="Septic Tank",BT102*0)</f>
        <v>46</v>
      </c>
      <c r="BV102" s="494">
        <f>Table15[[#This Row],[Calculation: Conversion of metric to Kg manure feeding (Columns: BP, BQ, BR)]]*Table15[[#This Row],[Number of times used to feed biodigester]]</f>
        <v>46</v>
      </c>
      <c r="BW102" s="495" cm="1">
        <f t="array" ref="BW102">_xlfn.IFS(BN102="Number of times per day (1 to 3)",BV102/$BW$3,BN102="Number of times per week (1 to 6)",BV102/$BW$4,BN102="Number of times per Month (1 to 3)",BV102/$BW$5)</f>
        <v>46</v>
      </c>
      <c r="BX102" s="497" t="s">
        <v>22</v>
      </c>
      <c r="BY102" s="497" t="s">
        <v>4</v>
      </c>
      <c r="BZ102" s="497" t="s">
        <v>2</v>
      </c>
      <c r="CA102" s="497" t="s">
        <v>4</v>
      </c>
      <c r="CB102" s="497" t="s">
        <v>4</v>
      </c>
      <c r="CC102" s="497" t="s">
        <v>4</v>
      </c>
      <c r="CD102" s="497" t="s">
        <v>7</v>
      </c>
      <c r="CE102" s="497" t="s">
        <v>34936</v>
      </c>
      <c r="CF102" s="497" t="s">
        <v>4</v>
      </c>
      <c r="CG102" s="497" t="s">
        <v>31604</v>
      </c>
      <c r="CH102" s="497">
        <v>2</v>
      </c>
      <c r="CI102" s="497">
        <v>0</v>
      </c>
      <c r="CJ102" s="497">
        <v>0</v>
      </c>
      <c r="CK102" s="497">
        <v>0</v>
      </c>
      <c r="CL102" s="497">
        <v>0</v>
      </c>
      <c r="CM102" s="497">
        <v>0</v>
      </c>
      <c r="CN102" s="497">
        <v>0</v>
      </c>
      <c r="CO102" s="497">
        <v>0</v>
      </c>
      <c r="CP102" s="497">
        <v>0</v>
      </c>
      <c r="CQ102" s="497">
        <v>0</v>
      </c>
      <c r="CR102" s="497">
        <f>IF(Table15[[#This Row],[Is your biodigester working?]]="yes",CO102/'SDG outcome'!$C$9*CP102*CQ102,"")</f>
        <v>0</v>
      </c>
      <c r="CS102" s="497">
        <v>100</v>
      </c>
      <c r="CT102" s="500">
        <v>0</v>
      </c>
      <c r="CU102" s="496" t="s">
        <v>4</v>
      </c>
      <c r="CV102" s="497" t="s">
        <v>4</v>
      </c>
      <c r="CW102" s="500" t="s">
        <v>4</v>
      </c>
      <c r="CX102" s="496" t="s">
        <v>4</v>
      </c>
      <c r="CY102" s="497" t="s">
        <v>4</v>
      </c>
      <c r="CZ102" s="500" t="s">
        <v>4</v>
      </c>
      <c r="DA102" s="496" t="s">
        <v>4</v>
      </c>
      <c r="DB102" s="497" t="s">
        <v>4</v>
      </c>
      <c r="DC102" s="497" t="s">
        <v>4</v>
      </c>
      <c r="DD102" s="497" t="s">
        <v>4</v>
      </c>
      <c r="DE102" s="497" t="s">
        <v>4</v>
      </c>
      <c r="DF102" s="497" t="s">
        <v>4</v>
      </c>
      <c r="DG102" s="497" t="s">
        <v>4</v>
      </c>
      <c r="DH102" s="497" t="s">
        <v>4</v>
      </c>
      <c r="DI102" s="497" t="s">
        <v>4</v>
      </c>
      <c r="DJ102" s="497" t="s">
        <v>4</v>
      </c>
      <c r="DK102" s="497" t="s">
        <v>4</v>
      </c>
      <c r="DL102" s="497" t="s">
        <v>4</v>
      </c>
      <c r="DM102" s="497" t="s">
        <v>4</v>
      </c>
      <c r="DN102" s="497">
        <v>1</v>
      </c>
      <c r="DO102" s="497" t="s">
        <v>7</v>
      </c>
      <c r="DP102" s="497" t="s">
        <v>29375</v>
      </c>
      <c r="DQ102" s="497" t="s">
        <v>4</v>
      </c>
      <c r="DR102" s="497" t="s">
        <v>4</v>
      </c>
      <c r="DS102" s="494" t="s">
        <v>4</v>
      </c>
      <c r="DT102" s="497" t="s">
        <v>29294</v>
      </c>
      <c r="DU102" s="494" t="s">
        <v>4</v>
      </c>
      <c r="DV102" s="500" t="s">
        <v>29295</v>
      </c>
      <c r="DW102" s="496">
        <v>100</v>
      </c>
      <c r="DX102" s="497" t="s">
        <v>29296</v>
      </c>
      <c r="DY102" s="497">
        <v>100</v>
      </c>
      <c r="DZ102" s="497" t="s">
        <v>4</v>
      </c>
      <c r="EA102" s="497" t="s">
        <v>4</v>
      </c>
      <c r="EB102" s="497" t="s">
        <v>4</v>
      </c>
      <c r="EC102" s="497" t="s">
        <v>4</v>
      </c>
      <c r="ED102" s="497" t="s">
        <v>4</v>
      </c>
      <c r="EE102" s="497" t="s">
        <v>4</v>
      </c>
      <c r="EF102" s="497" t="s">
        <v>4</v>
      </c>
      <c r="EG102" s="497" t="s">
        <v>4</v>
      </c>
      <c r="EH102" s="497" t="s">
        <v>4</v>
      </c>
      <c r="EI102" s="497" t="s">
        <v>4</v>
      </c>
      <c r="EJ102" s="497" t="s">
        <v>4</v>
      </c>
      <c r="EK102" s="497" t="s">
        <v>4</v>
      </c>
      <c r="EL102" s="497" t="s">
        <v>4</v>
      </c>
      <c r="EM102" s="497" t="s">
        <v>4</v>
      </c>
      <c r="EN102" s="497" t="s">
        <v>4</v>
      </c>
      <c r="EO102" s="497" t="s">
        <v>4</v>
      </c>
      <c r="EP102" s="497" t="s">
        <v>4</v>
      </c>
      <c r="EQ102" s="497" t="s">
        <v>4</v>
      </c>
      <c r="ER102" s="497" t="s">
        <v>4</v>
      </c>
      <c r="ES102" s="497" t="s">
        <v>4</v>
      </c>
      <c r="ET102" s="497" t="s">
        <v>4</v>
      </c>
      <c r="EU102" s="497" t="s">
        <v>4</v>
      </c>
      <c r="EV102" s="497" t="s">
        <v>4</v>
      </c>
      <c r="EW102" s="497">
        <v>0.20234722784297854</v>
      </c>
      <c r="EX102" s="497" t="s">
        <v>7</v>
      </c>
      <c r="EY102" s="497">
        <v>100</v>
      </c>
      <c r="EZ102" s="239">
        <f t="shared" si="4"/>
        <v>0.20234722784297854</v>
      </c>
      <c r="FA102" s="497" t="s">
        <v>30136</v>
      </c>
      <c r="FB102" s="497" t="s">
        <v>29298</v>
      </c>
      <c r="FC102" s="497">
        <v>36</v>
      </c>
      <c r="FD102" s="497" t="s">
        <v>7</v>
      </c>
      <c r="FE102" s="497" t="s">
        <v>29393</v>
      </c>
      <c r="FF102" s="497" t="s">
        <v>4</v>
      </c>
      <c r="FG102" s="497" t="s">
        <v>2</v>
      </c>
      <c r="FH102" s="497" t="s">
        <v>4</v>
      </c>
      <c r="FI102" s="497" t="s">
        <v>4</v>
      </c>
      <c r="FJ102" s="497" t="s">
        <v>4</v>
      </c>
      <c r="FK102" s="497" t="s">
        <v>4</v>
      </c>
      <c r="FL102" s="497" t="s">
        <v>4</v>
      </c>
      <c r="FM102" s="497" t="s">
        <v>4</v>
      </c>
      <c r="FN102" s="494" t="s">
        <v>4</v>
      </c>
      <c r="FO102" s="497" t="s">
        <v>4</v>
      </c>
      <c r="FP102" s="497" t="s">
        <v>2</v>
      </c>
      <c r="FQ102" s="497" t="s">
        <v>4</v>
      </c>
      <c r="FR102" s="497" t="s">
        <v>4</v>
      </c>
      <c r="FS102" s="497" t="s">
        <v>2</v>
      </c>
      <c r="FT102" s="497" t="s">
        <v>7</v>
      </c>
      <c r="FU102" s="497" t="s">
        <v>29302</v>
      </c>
      <c r="FV102" s="497" t="s">
        <v>34937</v>
      </c>
      <c r="FW102" s="497" t="s">
        <v>29433</v>
      </c>
      <c r="FX102" s="497">
        <v>0</v>
      </c>
      <c r="FY102" s="497" t="s">
        <v>4</v>
      </c>
      <c r="FZ102" s="497" t="s">
        <v>4</v>
      </c>
      <c r="GA102" s="497" t="s">
        <v>4</v>
      </c>
      <c r="GB102" s="497" t="s">
        <v>4</v>
      </c>
      <c r="GC102" s="497" t="s">
        <v>4</v>
      </c>
      <c r="GD102" s="497" t="s">
        <v>4</v>
      </c>
      <c r="GE102" s="497" t="s">
        <v>4</v>
      </c>
      <c r="GF102" s="497" t="s">
        <v>4</v>
      </c>
      <c r="GG102" s="497" t="s">
        <v>13</v>
      </c>
      <c r="GH102" s="497" t="s">
        <v>34938</v>
      </c>
      <c r="GI102" s="497" t="s">
        <v>4</v>
      </c>
      <c r="GJ102" s="497" t="s">
        <v>4</v>
      </c>
      <c r="GK102" s="497" t="s">
        <v>4</v>
      </c>
      <c r="GL102" s="497" t="s">
        <v>4</v>
      </c>
      <c r="GM102" s="497" t="s">
        <v>4</v>
      </c>
      <c r="GN102" s="497" t="s">
        <v>4</v>
      </c>
      <c r="GO102" s="497" t="s">
        <v>4</v>
      </c>
      <c r="GP102" s="497" t="s">
        <v>4</v>
      </c>
      <c r="GQ102" s="497" t="s">
        <v>4</v>
      </c>
      <c r="GR102" s="497" t="s">
        <v>4</v>
      </c>
      <c r="GS102" s="497" t="s">
        <v>4</v>
      </c>
      <c r="GT102" s="497" t="s">
        <v>29354</v>
      </c>
      <c r="GU102" s="497" t="s">
        <v>4</v>
      </c>
      <c r="GV102" s="494">
        <v>10</v>
      </c>
      <c r="GW102" s="497" t="s">
        <v>2</v>
      </c>
      <c r="GX102" s="497" t="s">
        <v>29309</v>
      </c>
      <c r="GY102" s="497" t="s">
        <v>4</v>
      </c>
      <c r="GZ102" s="497" t="s">
        <v>4</v>
      </c>
      <c r="HA102" s="497" t="s">
        <v>4</v>
      </c>
      <c r="HB102" s="497" t="s">
        <v>4</v>
      </c>
      <c r="HC102" s="497" t="s">
        <v>4</v>
      </c>
      <c r="HD102" s="497" t="s">
        <v>4</v>
      </c>
      <c r="HE102" s="497" t="s">
        <v>4</v>
      </c>
      <c r="HF102" s="497" t="s">
        <v>4</v>
      </c>
      <c r="HG102" s="497" t="s">
        <v>2</v>
      </c>
      <c r="HH102" s="497" t="s">
        <v>4</v>
      </c>
      <c r="HI102" s="497" t="s">
        <v>4</v>
      </c>
      <c r="HJ102" s="497" t="s">
        <v>4</v>
      </c>
      <c r="HK102" s="494" t="s">
        <v>4</v>
      </c>
      <c r="HL102" s="497" t="s">
        <v>34939</v>
      </c>
      <c r="HM102" s="497" t="s">
        <v>7</v>
      </c>
      <c r="HN102" s="497" t="s">
        <v>34940</v>
      </c>
      <c r="HO102" s="497" t="s">
        <v>34941</v>
      </c>
      <c r="HP102" s="497" t="s">
        <v>34942</v>
      </c>
      <c r="HQ102" s="497" t="s">
        <v>34943</v>
      </c>
      <c r="HR102" s="497" t="s">
        <v>34944</v>
      </c>
      <c r="HS102" s="497" t="s">
        <v>34945</v>
      </c>
      <c r="HT102" s="500" t="s">
        <v>34933</v>
      </c>
    </row>
    <row r="103" spans="1:228" s="570" customFormat="1" ht="30.2" customHeight="1" x14ac:dyDescent="0.25">
      <c r="A103" s="759"/>
      <c r="B103" s="496">
        <v>141</v>
      </c>
      <c r="C103" s="496" t="s">
        <v>7061</v>
      </c>
      <c r="D103" s="497" t="s">
        <v>34946</v>
      </c>
      <c r="E103" s="497" t="s">
        <v>83</v>
      </c>
      <c r="F103" s="497" t="s">
        <v>7</v>
      </c>
      <c r="G103" s="497" t="s">
        <v>34947</v>
      </c>
      <c r="H103" s="497">
        <v>1194.759</v>
      </c>
      <c r="I103" s="497">
        <v>1.4937689999999999</v>
      </c>
      <c r="J103" s="497" t="s">
        <v>29288</v>
      </c>
      <c r="K103" s="497" t="s">
        <v>4</v>
      </c>
      <c r="L103" s="497" t="s">
        <v>34948</v>
      </c>
      <c r="M103" s="497">
        <v>775179686</v>
      </c>
      <c r="N103" s="497" t="s">
        <v>3</v>
      </c>
      <c r="O103" s="497" t="s">
        <v>31598</v>
      </c>
      <c r="P103" s="497" t="s">
        <v>4</v>
      </c>
      <c r="Q103" s="497">
        <v>13</v>
      </c>
      <c r="R103" s="497" t="s">
        <v>7</v>
      </c>
      <c r="S103" s="497" t="s">
        <v>31549</v>
      </c>
      <c r="T103" s="497" t="s">
        <v>4</v>
      </c>
      <c r="U103" s="497" t="s">
        <v>7</v>
      </c>
      <c r="V103" s="497" t="s">
        <v>7</v>
      </c>
      <c r="W103" s="497" t="s">
        <v>4</v>
      </c>
      <c r="X103" s="497" t="s">
        <v>7</v>
      </c>
      <c r="Y103" s="497" t="s">
        <v>4</v>
      </c>
      <c r="Z103" s="497" t="s">
        <v>4</v>
      </c>
      <c r="AA103" s="241" t="str">
        <f>IF(OR(U103="yes",Z103&gt;'SDG outcome'!$C$39),"yes","no")</f>
        <v>yes</v>
      </c>
      <c r="AB103" s="521" t="str">
        <f t="shared" si="3"/>
        <v>NA</v>
      </c>
      <c r="AC103" s="527" t="str">
        <f>IF(AND('SMS p2'!AA153="no",AND(Z103&gt;='SDG outcome'!$B$28,Z103&lt;'SDG outcome'!$C$39)),Z103-'SDG outcome'!$B$28,"")</f>
        <v/>
      </c>
      <c r="AD103" s="497" t="s">
        <v>4</v>
      </c>
      <c r="AE103" s="497" t="s">
        <v>4</v>
      </c>
      <c r="AF103" s="497" t="s">
        <v>4</v>
      </c>
      <c r="AG103" s="497" t="s">
        <v>4</v>
      </c>
      <c r="AH103" s="497" t="s">
        <v>4</v>
      </c>
      <c r="AI103" s="497" t="s">
        <v>4</v>
      </c>
      <c r="AJ103" s="497" t="s">
        <v>4</v>
      </c>
      <c r="AK103" s="497" t="s">
        <v>29290</v>
      </c>
      <c r="AL103" s="497" t="s">
        <v>29291</v>
      </c>
      <c r="AM103" s="497" t="s">
        <v>4</v>
      </c>
      <c r="AN103" s="497" t="s">
        <v>4</v>
      </c>
      <c r="AO103" s="497" t="s">
        <v>31536</v>
      </c>
      <c r="AP103" s="497" t="s">
        <v>4</v>
      </c>
      <c r="AQ103" s="497" t="s">
        <v>13</v>
      </c>
      <c r="AR103" s="497">
        <v>3</v>
      </c>
      <c r="AS103" s="497" t="s">
        <v>31538</v>
      </c>
      <c r="AT103" s="497" t="s">
        <v>4</v>
      </c>
      <c r="AU103" s="497" t="s">
        <v>7</v>
      </c>
      <c r="AV103" s="497" t="s">
        <v>4</v>
      </c>
      <c r="AW103" s="497" t="s">
        <v>4</v>
      </c>
      <c r="AX103" s="497" t="s">
        <v>7</v>
      </c>
      <c r="AY103" s="497" t="s">
        <v>28</v>
      </c>
      <c r="AZ103" s="497" t="s">
        <v>4</v>
      </c>
      <c r="BA103" s="497" t="s">
        <v>4</v>
      </c>
      <c r="BB103" s="497" t="s">
        <v>4</v>
      </c>
      <c r="BC103" s="497" t="s">
        <v>4</v>
      </c>
      <c r="BD103" s="497" t="s">
        <v>4</v>
      </c>
      <c r="BE103" s="497" t="s">
        <v>4</v>
      </c>
      <c r="BF103" s="497" t="s">
        <v>4</v>
      </c>
      <c r="BG103" s="497" t="s">
        <v>4</v>
      </c>
      <c r="BH103" s="497" t="s">
        <v>4</v>
      </c>
      <c r="BI103" s="497" t="s">
        <v>4</v>
      </c>
      <c r="BJ103" s="497" t="s">
        <v>4</v>
      </c>
      <c r="BK103" s="497" t="s">
        <v>7</v>
      </c>
      <c r="BL103" s="497" t="s">
        <v>6</v>
      </c>
      <c r="BM103" s="497" t="s">
        <v>4</v>
      </c>
      <c r="BN103" s="497" t="s">
        <v>31429</v>
      </c>
      <c r="BO103" s="497">
        <v>3</v>
      </c>
      <c r="BP103" s="497">
        <v>30</v>
      </c>
      <c r="BQ103" s="497" t="s">
        <v>31435</v>
      </c>
      <c r="BR103" s="499" t="s">
        <v>33361</v>
      </c>
      <c r="BS103" s="497" t="s">
        <v>4</v>
      </c>
      <c r="BT103" s="497">
        <v>2</v>
      </c>
      <c r="BU103" s="494" cm="1">
        <f t="array" ref="BU103">_xlfn.IFS(BQ103="Foreword vehicle",BT103*0,BQ103="Human wastes",BT103*0,BS103="Jerrycans",BT103*$BT$4,BQ103="Number of Basins",BT103*$BT$5,BQ103="Number of Buckets",BT103*$BT$6,BQ103="Number of Kgs",BT103*$BT$7,BQ103="Number of spades",BT103*$BT$8,BQ103="Number of wheelbarrows",BT103*$BS$9,BS103="Septic Tank",BT103*0)</f>
        <v>165</v>
      </c>
      <c r="BV103" s="494">
        <f>Table15[[#This Row],[Calculation: Conversion of metric to Kg manure feeding (Columns: BP, BQ, BR)]]*Table15[[#This Row],[Number of times used to feed biodigester]]</f>
        <v>495</v>
      </c>
      <c r="BW103" s="495" cm="1">
        <f t="array" ref="BW103">_xlfn.IFS(BN103="Number of times per day (1 to 3)",BV103/$BW$3,BN103="Number of times per week (1 to 6)",BV103/$BW$4,BN103="Number of times per Month (1 to 3)",BV103/$BW$5)</f>
        <v>70.714285714285708</v>
      </c>
      <c r="BX103" s="497" t="s">
        <v>22</v>
      </c>
      <c r="BY103" s="497" t="s">
        <v>4</v>
      </c>
      <c r="BZ103" s="497" t="s">
        <v>2</v>
      </c>
      <c r="CA103" s="497" t="s">
        <v>4</v>
      </c>
      <c r="CB103" s="497" t="s">
        <v>4</v>
      </c>
      <c r="CC103" s="497" t="s">
        <v>4</v>
      </c>
      <c r="CD103" s="497" t="s">
        <v>7</v>
      </c>
      <c r="CE103" s="497" t="s">
        <v>34949</v>
      </c>
      <c r="CF103" s="497" t="s">
        <v>4</v>
      </c>
      <c r="CG103" s="497" t="s">
        <v>31604</v>
      </c>
      <c r="CH103" s="497">
        <v>4</v>
      </c>
      <c r="CI103" s="497">
        <v>0</v>
      </c>
      <c r="CJ103" s="497">
        <v>0</v>
      </c>
      <c r="CK103" s="497">
        <v>0</v>
      </c>
      <c r="CL103" s="497">
        <v>0</v>
      </c>
      <c r="CM103" s="497">
        <v>0</v>
      </c>
      <c r="CN103" s="497">
        <v>0</v>
      </c>
      <c r="CO103" s="497">
        <v>0</v>
      </c>
      <c r="CP103" s="497">
        <v>0</v>
      </c>
      <c r="CQ103" s="497">
        <v>0</v>
      </c>
      <c r="CR103" s="497">
        <f>IF(Table15[[#This Row],[Is your biodigester working?]]="yes",CO103/'SDG outcome'!$C$9*CP103*CQ103,"")</f>
        <v>0</v>
      </c>
      <c r="CS103" s="497">
        <v>80</v>
      </c>
      <c r="CT103" s="500">
        <v>20</v>
      </c>
      <c r="CU103" s="496" t="s">
        <v>33850</v>
      </c>
      <c r="CV103" s="497" t="s">
        <v>4</v>
      </c>
      <c r="CW103" s="500" t="s">
        <v>4</v>
      </c>
      <c r="CX103" s="496" t="s">
        <v>4</v>
      </c>
      <c r="CY103" s="497" t="s">
        <v>4</v>
      </c>
      <c r="CZ103" s="500" t="s">
        <v>4</v>
      </c>
      <c r="DA103" s="496" t="s">
        <v>4</v>
      </c>
      <c r="DB103" s="497" t="s">
        <v>4</v>
      </c>
      <c r="DC103" s="497" t="s">
        <v>4</v>
      </c>
      <c r="DD103" s="497" t="s">
        <v>4</v>
      </c>
      <c r="DE103" s="497" t="s">
        <v>4</v>
      </c>
      <c r="DF103" s="497" t="s">
        <v>4</v>
      </c>
      <c r="DG103" s="497" t="s">
        <v>4</v>
      </c>
      <c r="DH103" s="497" t="s">
        <v>4</v>
      </c>
      <c r="DI103" s="497" t="s">
        <v>4</v>
      </c>
      <c r="DJ103" s="497" t="s">
        <v>4</v>
      </c>
      <c r="DK103" s="497" t="s">
        <v>4</v>
      </c>
      <c r="DL103" s="497" t="s">
        <v>4</v>
      </c>
      <c r="DM103" s="497" t="s">
        <v>4</v>
      </c>
      <c r="DN103" s="497">
        <v>6</v>
      </c>
      <c r="DO103" s="497" t="s">
        <v>7</v>
      </c>
      <c r="DP103" s="497" t="s">
        <v>29292</v>
      </c>
      <c r="DQ103" s="497" t="s">
        <v>4</v>
      </c>
      <c r="DR103" s="497" t="s">
        <v>29294</v>
      </c>
      <c r="DS103" s="494" t="s">
        <v>4</v>
      </c>
      <c r="DT103" s="497" t="s">
        <v>29294</v>
      </c>
      <c r="DU103" s="494" t="s">
        <v>4</v>
      </c>
      <c r="DV103" s="500" t="s">
        <v>29295</v>
      </c>
      <c r="DW103" s="496">
        <v>100</v>
      </c>
      <c r="DX103" s="497" t="s">
        <v>34950</v>
      </c>
      <c r="DY103" s="497">
        <v>85</v>
      </c>
      <c r="DZ103" s="497" t="s">
        <v>4</v>
      </c>
      <c r="EA103" s="497">
        <v>5</v>
      </c>
      <c r="EB103" s="497">
        <v>10</v>
      </c>
      <c r="EC103" s="497" t="s">
        <v>4</v>
      </c>
      <c r="ED103" s="497" t="s">
        <v>4</v>
      </c>
      <c r="EE103" s="497" t="s">
        <v>4</v>
      </c>
      <c r="EF103" s="497" t="s">
        <v>4</v>
      </c>
      <c r="EG103" s="497" t="s">
        <v>4</v>
      </c>
      <c r="EH103" s="497" t="s">
        <v>4</v>
      </c>
      <c r="EI103" s="497" t="s">
        <v>4</v>
      </c>
      <c r="EJ103" s="497" t="s">
        <v>4</v>
      </c>
      <c r="EK103" s="497" t="s">
        <v>4</v>
      </c>
      <c r="EL103" s="497" t="s">
        <v>4</v>
      </c>
      <c r="EM103" s="497" t="s">
        <v>4</v>
      </c>
      <c r="EN103" s="497" t="s">
        <v>4</v>
      </c>
      <c r="EO103" s="497" t="s">
        <v>4</v>
      </c>
      <c r="EP103" s="497" t="s">
        <v>4</v>
      </c>
      <c r="EQ103" s="497" t="s">
        <v>4</v>
      </c>
      <c r="ER103" s="497" t="s">
        <v>4</v>
      </c>
      <c r="ES103" s="497" t="s">
        <v>4</v>
      </c>
      <c r="ET103" s="497" t="s">
        <v>4</v>
      </c>
      <c r="EU103" s="497" t="s">
        <v>4</v>
      </c>
      <c r="EV103" s="497" t="s">
        <v>4</v>
      </c>
      <c r="EW103" s="497">
        <v>0.40469445568595708</v>
      </c>
      <c r="EX103" s="497" t="s">
        <v>7</v>
      </c>
      <c r="EY103" s="497">
        <v>50</v>
      </c>
      <c r="EZ103" s="239">
        <f t="shared" si="4"/>
        <v>0.20234722784297854</v>
      </c>
      <c r="FA103" s="497" t="s">
        <v>34951</v>
      </c>
      <c r="FB103" s="497" t="s">
        <v>29298</v>
      </c>
      <c r="FC103" s="497">
        <v>60</v>
      </c>
      <c r="FD103" s="497" t="s">
        <v>7</v>
      </c>
      <c r="FE103" s="497" t="s">
        <v>29299</v>
      </c>
      <c r="FF103" s="497" t="s">
        <v>4</v>
      </c>
      <c r="FG103" s="497" t="s">
        <v>7</v>
      </c>
      <c r="FH103" s="497" t="s">
        <v>29299</v>
      </c>
      <c r="FI103" s="497" t="s">
        <v>4</v>
      </c>
      <c r="FJ103" s="497" t="s">
        <v>29477</v>
      </c>
      <c r="FK103" s="497" t="s">
        <v>4</v>
      </c>
      <c r="FL103" s="497" t="s">
        <v>4</v>
      </c>
      <c r="FM103" s="497" t="s">
        <v>4</v>
      </c>
      <c r="FN103" s="494" t="s">
        <v>4</v>
      </c>
      <c r="FO103" s="497" t="s">
        <v>4</v>
      </c>
      <c r="FP103" s="497" t="s">
        <v>2</v>
      </c>
      <c r="FQ103" s="497" t="s">
        <v>4</v>
      </c>
      <c r="FR103" s="497" t="s">
        <v>4</v>
      </c>
      <c r="FS103" s="497" t="s">
        <v>7</v>
      </c>
      <c r="FT103" s="497" t="s">
        <v>7</v>
      </c>
      <c r="FU103" s="497" t="s">
        <v>29302</v>
      </c>
      <c r="FV103" s="497" t="s">
        <v>34952</v>
      </c>
      <c r="FW103" s="497" t="s">
        <v>29304</v>
      </c>
      <c r="FX103" s="497">
        <v>2</v>
      </c>
      <c r="FY103" s="497" t="s">
        <v>29305</v>
      </c>
      <c r="FZ103" s="497" t="s">
        <v>29306</v>
      </c>
      <c r="GA103" s="497" t="s">
        <v>4</v>
      </c>
      <c r="GB103" s="497" t="s">
        <v>4</v>
      </c>
      <c r="GC103" s="497" t="s">
        <v>4</v>
      </c>
      <c r="GD103" s="497" t="s">
        <v>4</v>
      </c>
      <c r="GE103" s="497" t="s">
        <v>4</v>
      </c>
      <c r="GF103" s="497" t="s">
        <v>4</v>
      </c>
      <c r="GG103" s="497" t="s">
        <v>4</v>
      </c>
      <c r="GH103" s="497" t="s">
        <v>4</v>
      </c>
      <c r="GI103" s="497" t="s">
        <v>4</v>
      </c>
      <c r="GJ103" s="497" t="s">
        <v>4</v>
      </c>
      <c r="GK103" s="497" t="s">
        <v>4</v>
      </c>
      <c r="GL103" s="497" t="s">
        <v>4</v>
      </c>
      <c r="GM103" s="497" t="s">
        <v>4</v>
      </c>
      <c r="GN103" s="497" t="s">
        <v>4</v>
      </c>
      <c r="GO103" s="497" t="s">
        <v>4</v>
      </c>
      <c r="GP103" s="497" t="s">
        <v>4</v>
      </c>
      <c r="GQ103" s="497" t="s">
        <v>4</v>
      </c>
      <c r="GR103" s="497" t="s">
        <v>4</v>
      </c>
      <c r="GS103" s="497" t="s">
        <v>4</v>
      </c>
      <c r="GT103" s="497" t="s">
        <v>29354</v>
      </c>
      <c r="GU103" s="497" t="s">
        <v>4</v>
      </c>
      <c r="GV103" s="494">
        <v>5</v>
      </c>
      <c r="GW103" s="497" t="s">
        <v>2</v>
      </c>
      <c r="GX103" s="497" t="s">
        <v>29837</v>
      </c>
      <c r="GY103" s="497" t="s">
        <v>4</v>
      </c>
      <c r="GZ103" s="497" t="s">
        <v>4</v>
      </c>
      <c r="HA103" s="497" t="s">
        <v>4</v>
      </c>
      <c r="HB103" s="497" t="s">
        <v>4</v>
      </c>
      <c r="HC103" s="497" t="s">
        <v>4</v>
      </c>
      <c r="HD103" s="497" t="s">
        <v>4</v>
      </c>
      <c r="HE103" s="497" t="s">
        <v>4</v>
      </c>
      <c r="HF103" s="497" t="s">
        <v>4</v>
      </c>
      <c r="HG103" s="497" t="s">
        <v>2</v>
      </c>
      <c r="HH103" s="497" t="s">
        <v>4</v>
      </c>
      <c r="HI103" s="497" t="s">
        <v>4</v>
      </c>
      <c r="HJ103" s="497" t="s">
        <v>4</v>
      </c>
      <c r="HK103" s="494" t="s">
        <v>4</v>
      </c>
      <c r="HL103" s="497" t="s">
        <v>34953</v>
      </c>
      <c r="HM103" s="497" t="s">
        <v>2</v>
      </c>
      <c r="HN103" s="497" t="s">
        <v>4</v>
      </c>
      <c r="HO103" s="497" t="s">
        <v>16</v>
      </c>
      <c r="HP103" s="497" t="s">
        <v>34954</v>
      </c>
      <c r="HQ103" s="497" t="s">
        <v>34955</v>
      </c>
      <c r="HR103" s="497" t="s">
        <v>34956</v>
      </c>
      <c r="HS103" s="497" t="s">
        <v>34957</v>
      </c>
      <c r="HT103" s="500" t="s">
        <v>34946</v>
      </c>
    </row>
    <row r="104" spans="1:228" s="570" customFormat="1" ht="30.2" customHeight="1" x14ac:dyDescent="0.25">
      <c r="A104" s="759"/>
      <c r="B104" s="496">
        <v>164</v>
      </c>
      <c r="C104" s="496" t="s">
        <v>8203</v>
      </c>
      <c r="D104" s="497" t="s">
        <v>35182</v>
      </c>
      <c r="E104" s="497" t="s">
        <v>35057</v>
      </c>
      <c r="F104" s="497" t="s">
        <v>7</v>
      </c>
      <c r="G104" s="497" t="s">
        <v>35183</v>
      </c>
      <c r="H104" s="497">
        <v>1145.8110349999999</v>
      </c>
      <c r="I104" s="497">
        <v>3.790092</v>
      </c>
      <c r="J104" s="497" t="s">
        <v>29319</v>
      </c>
      <c r="K104" s="497" t="s">
        <v>4</v>
      </c>
      <c r="L104" s="497" t="s">
        <v>35184</v>
      </c>
      <c r="M104" s="497">
        <v>772909448</v>
      </c>
      <c r="N104" s="497" t="s">
        <v>5</v>
      </c>
      <c r="O104" s="497" t="s">
        <v>31590</v>
      </c>
      <c r="P104" s="497" t="s">
        <v>4</v>
      </c>
      <c r="Q104" s="497">
        <v>7</v>
      </c>
      <c r="R104" s="497" t="s">
        <v>7</v>
      </c>
      <c r="S104" s="497" t="s">
        <v>31535</v>
      </c>
      <c r="T104" s="497" t="s">
        <v>4</v>
      </c>
      <c r="U104" s="497" t="s">
        <v>7</v>
      </c>
      <c r="V104" s="497" t="s">
        <v>7</v>
      </c>
      <c r="W104" s="497" t="s">
        <v>4</v>
      </c>
      <c r="X104" s="497" t="s">
        <v>7</v>
      </c>
      <c r="Y104" s="497" t="s">
        <v>4</v>
      </c>
      <c r="Z104" s="497" t="s">
        <v>4</v>
      </c>
      <c r="AA104" s="241" t="str">
        <f>IF(OR(U104="yes",Z104&gt;'SDG outcome'!$C$39),"yes","no")</f>
        <v>yes</v>
      </c>
      <c r="AB104" s="521" t="str">
        <f t="shared" si="3"/>
        <v>NA</v>
      </c>
      <c r="AC104" s="527" t="str">
        <f>IF(AND('SMS p2'!AA176="no",AND(Z104&gt;='SDG outcome'!$B$28,Z104&lt;'SDG outcome'!$C$39)),Z104-'SDG outcome'!$B$28,"")</f>
        <v/>
      </c>
      <c r="AD104" s="497" t="s">
        <v>4</v>
      </c>
      <c r="AE104" s="497" t="s">
        <v>4</v>
      </c>
      <c r="AF104" s="497" t="s">
        <v>4</v>
      </c>
      <c r="AG104" s="497" t="s">
        <v>4</v>
      </c>
      <c r="AH104" s="497" t="s">
        <v>4</v>
      </c>
      <c r="AI104" s="497" t="s">
        <v>4</v>
      </c>
      <c r="AJ104" s="497" t="s">
        <v>4</v>
      </c>
      <c r="AK104" s="497" t="s">
        <v>29290</v>
      </c>
      <c r="AL104" s="497" t="s">
        <v>29291</v>
      </c>
      <c r="AM104" s="497" t="s">
        <v>4</v>
      </c>
      <c r="AN104" s="497" t="s">
        <v>4</v>
      </c>
      <c r="AO104" s="497" t="s">
        <v>31536</v>
      </c>
      <c r="AP104" s="497" t="s">
        <v>4</v>
      </c>
      <c r="AQ104" s="497" t="s">
        <v>31537</v>
      </c>
      <c r="AR104" s="497" t="s">
        <v>4</v>
      </c>
      <c r="AS104" s="497" t="s">
        <v>31538</v>
      </c>
      <c r="AT104" s="497" t="s">
        <v>4</v>
      </c>
      <c r="AU104" s="497" t="s">
        <v>7</v>
      </c>
      <c r="AV104" s="497" t="s">
        <v>4</v>
      </c>
      <c r="AW104" s="497" t="s">
        <v>4</v>
      </c>
      <c r="AX104" s="497" t="s">
        <v>2</v>
      </c>
      <c r="AY104" s="497" t="s">
        <v>4</v>
      </c>
      <c r="AZ104" s="497" t="s">
        <v>4</v>
      </c>
      <c r="BA104" s="497" t="s">
        <v>4</v>
      </c>
      <c r="BB104" s="497" t="s">
        <v>4</v>
      </c>
      <c r="BC104" s="497" t="s">
        <v>4</v>
      </c>
      <c r="BD104" s="497" t="s">
        <v>4</v>
      </c>
      <c r="BE104" s="497" t="s">
        <v>4</v>
      </c>
      <c r="BF104" s="497" t="s">
        <v>4</v>
      </c>
      <c r="BG104" s="497" t="s">
        <v>4</v>
      </c>
      <c r="BH104" s="497" t="s">
        <v>4</v>
      </c>
      <c r="BI104" s="497" t="s">
        <v>4</v>
      </c>
      <c r="BJ104" s="497" t="s">
        <v>4</v>
      </c>
      <c r="BK104" s="497" t="s">
        <v>7</v>
      </c>
      <c r="BL104" s="497" t="s">
        <v>11</v>
      </c>
      <c r="BM104" s="497" t="s">
        <v>4</v>
      </c>
      <c r="BN104" s="497" t="s">
        <v>31429</v>
      </c>
      <c r="BO104" s="497">
        <v>3</v>
      </c>
      <c r="BP104" s="497">
        <v>30</v>
      </c>
      <c r="BQ104" s="497" t="s">
        <v>31435</v>
      </c>
      <c r="BR104" s="499" t="s">
        <v>33332</v>
      </c>
      <c r="BS104" s="497" t="s">
        <v>4</v>
      </c>
      <c r="BT104" s="497">
        <v>1</v>
      </c>
      <c r="BU104" s="494" cm="1">
        <f t="array" ref="BU104">_xlfn.IFS(BQ104="Foreword vehicle",BT104*0,BQ104="Human wastes",BT104*0,BS104="Jerrycans",BT104*$BT$4,BQ104="Number of Basins",BT104*$BT$5,BQ104="Number of Buckets",BT104*$BT$6,BQ104="Number of Kgs",BT104*$BT$7,BQ104="Number of spades",BT104*$BT$8,BQ104="Number of wheelbarrows",BT104*$BT$9,BS104="Septic Tank",BT104*0)</f>
        <v>70.5</v>
      </c>
      <c r="BV104" s="494">
        <f>Table15[[#This Row],[Calculation: Conversion of metric to Kg manure feeding (Columns: BP, BQ, BR)]]*Table15[[#This Row],[Number of times used to feed biodigester]]</f>
        <v>211.5</v>
      </c>
      <c r="BW104" s="495" cm="1">
        <f t="array" ref="BW104">_xlfn.IFS(BN104="Number of times per day (1 to 3)",BV104/$BW$3,BN104="Number of times per week (1 to 6)",BV104/$BW$4,BN104="Number of times per Month (1 to 3)",BV104/$BW$5)</f>
        <v>30.214285714285715</v>
      </c>
      <c r="BX104" s="497" t="s">
        <v>22</v>
      </c>
      <c r="BY104" s="497" t="s">
        <v>4</v>
      </c>
      <c r="BZ104" s="497" t="s">
        <v>2</v>
      </c>
      <c r="CA104" s="497" t="s">
        <v>4</v>
      </c>
      <c r="CB104" s="497" t="s">
        <v>4</v>
      </c>
      <c r="CC104" s="497" t="s">
        <v>4</v>
      </c>
      <c r="CD104" s="497" t="s">
        <v>7</v>
      </c>
      <c r="CE104" s="497" t="s">
        <v>35185</v>
      </c>
      <c r="CF104" s="497" t="s">
        <v>4</v>
      </c>
      <c r="CG104" s="497" t="s">
        <v>31634</v>
      </c>
      <c r="CH104" s="497">
        <v>9</v>
      </c>
      <c r="CI104" s="497">
        <v>0</v>
      </c>
      <c r="CJ104" s="497">
        <v>0</v>
      </c>
      <c r="CK104" s="497">
        <v>0</v>
      </c>
      <c r="CL104" s="497">
        <v>5</v>
      </c>
      <c r="CM104" s="497">
        <v>0</v>
      </c>
      <c r="CN104" s="497">
        <v>0</v>
      </c>
      <c r="CO104" s="497">
        <v>0</v>
      </c>
      <c r="CP104" s="497">
        <v>0</v>
      </c>
      <c r="CQ104" s="497">
        <v>0</v>
      </c>
      <c r="CR104" s="497">
        <f>IF(Table15[[#This Row],[Is your biodigester working?]]="yes",CO104/'SDG outcome'!$C$9*CP104*CQ104,"")</f>
        <v>0</v>
      </c>
      <c r="CS104" s="497">
        <v>25</v>
      </c>
      <c r="CT104" s="500">
        <v>75</v>
      </c>
      <c r="CU104" s="496" t="s">
        <v>35186</v>
      </c>
      <c r="CV104" s="497" t="s">
        <v>4</v>
      </c>
      <c r="CW104" s="500" t="s">
        <v>4</v>
      </c>
      <c r="CX104" s="496" t="s">
        <v>4</v>
      </c>
      <c r="CY104" s="497" t="s">
        <v>4</v>
      </c>
      <c r="CZ104" s="500" t="s">
        <v>4</v>
      </c>
      <c r="DA104" s="496" t="s">
        <v>4</v>
      </c>
      <c r="DB104" s="497" t="s">
        <v>4</v>
      </c>
      <c r="DC104" s="497" t="s">
        <v>4</v>
      </c>
      <c r="DD104" s="497" t="s">
        <v>4</v>
      </c>
      <c r="DE104" s="497" t="s">
        <v>4</v>
      </c>
      <c r="DF104" s="497" t="s">
        <v>4</v>
      </c>
      <c r="DG104" s="497" t="s">
        <v>4</v>
      </c>
      <c r="DH104" s="497" t="s">
        <v>4</v>
      </c>
      <c r="DI104" s="497" t="s">
        <v>4</v>
      </c>
      <c r="DJ104" s="497" t="s">
        <v>4</v>
      </c>
      <c r="DK104" s="497">
        <v>0</v>
      </c>
      <c r="DL104" s="497">
        <v>100</v>
      </c>
      <c r="DM104" s="497" t="s">
        <v>35187</v>
      </c>
      <c r="DN104" s="497">
        <v>3</v>
      </c>
      <c r="DO104" s="497" t="s">
        <v>2</v>
      </c>
      <c r="DP104" s="497" t="s">
        <v>29292</v>
      </c>
      <c r="DQ104" s="497" t="s">
        <v>4</v>
      </c>
      <c r="DR104" s="497" t="s">
        <v>29294</v>
      </c>
      <c r="DS104" s="494" t="s">
        <v>4</v>
      </c>
      <c r="DT104" s="497" t="s">
        <v>29294</v>
      </c>
      <c r="DU104" s="494" t="s">
        <v>4</v>
      </c>
      <c r="DV104" s="500" t="s">
        <v>29508</v>
      </c>
      <c r="DW104" s="496" t="s">
        <v>4</v>
      </c>
      <c r="DX104" s="497" t="s">
        <v>4</v>
      </c>
      <c r="DY104" s="497" t="s">
        <v>4</v>
      </c>
      <c r="DZ104" s="497" t="s">
        <v>4</v>
      </c>
      <c r="EA104" s="497" t="s">
        <v>4</v>
      </c>
      <c r="EB104" s="497" t="s">
        <v>4</v>
      </c>
      <c r="EC104" s="497" t="s">
        <v>4</v>
      </c>
      <c r="ED104" s="497">
        <v>100</v>
      </c>
      <c r="EE104" s="497" t="s">
        <v>26</v>
      </c>
      <c r="EF104" s="497" t="s">
        <v>4</v>
      </c>
      <c r="EG104" s="497" t="s">
        <v>4</v>
      </c>
      <c r="EH104" s="497" t="s">
        <v>4</v>
      </c>
      <c r="EI104" s="497">
        <v>100</v>
      </c>
      <c r="EJ104" s="497" t="s">
        <v>4</v>
      </c>
      <c r="EK104" s="497" t="s">
        <v>4</v>
      </c>
      <c r="EL104" s="497" t="s">
        <v>4</v>
      </c>
      <c r="EM104" s="497">
        <v>14</v>
      </c>
      <c r="EN104" s="497" t="s">
        <v>4</v>
      </c>
      <c r="EO104" s="497" t="s">
        <v>4</v>
      </c>
      <c r="EP104" s="497" t="s">
        <v>4</v>
      </c>
      <c r="EQ104" s="497" t="s">
        <v>29296</v>
      </c>
      <c r="ER104" s="497">
        <v>100</v>
      </c>
      <c r="ES104" s="497" t="s">
        <v>4</v>
      </c>
      <c r="ET104" s="497" t="s">
        <v>4</v>
      </c>
      <c r="EU104" s="497" t="s">
        <v>4</v>
      </c>
      <c r="EV104" s="497" t="s">
        <v>4</v>
      </c>
      <c r="EW104" s="497">
        <v>0.40469445568595708</v>
      </c>
      <c r="EX104" s="497" t="s">
        <v>7</v>
      </c>
      <c r="EY104" s="497">
        <v>50</v>
      </c>
      <c r="EZ104" s="239">
        <f t="shared" si="4"/>
        <v>0.20234722784297854</v>
      </c>
      <c r="FA104" s="497" t="s">
        <v>35188</v>
      </c>
      <c r="FB104" s="497" t="s">
        <v>29298</v>
      </c>
      <c r="FC104" s="497">
        <v>24</v>
      </c>
      <c r="FD104" s="497" t="s">
        <v>2</v>
      </c>
      <c r="FE104" s="497" t="s">
        <v>4</v>
      </c>
      <c r="FF104" s="497" t="s">
        <v>4</v>
      </c>
      <c r="FG104" s="497" t="s">
        <v>2</v>
      </c>
      <c r="FH104" s="497" t="s">
        <v>4</v>
      </c>
      <c r="FI104" s="497" t="s">
        <v>4</v>
      </c>
      <c r="FJ104" s="497" t="s">
        <v>4</v>
      </c>
      <c r="FK104" s="497" t="s">
        <v>4</v>
      </c>
      <c r="FL104" s="497" t="s">
        <v>4</v>
      </c>
      <c r="FM104" s="497" t="s">
        <v>4</v>
      </c>
      <c r="FN104" s="494" t="s">
        <v>4</v>
      </c>
      <c r="FO104" s="497" t="s">
        <v>4</v>
      </c>
      <c r="FP104" s="497" t="s">
        <v>2</v>
      </c>
      <c r="FQ104" s="497" t="s">
        <v>4</v>
      </c>
      <c r="FR104" s="497" t="s">
        <v>4</v>
      </c>
      <c r="FS104" s="497" t="s">
        <v>7</v>
      </c>
      <c r="FT104" s="497" t="s">
        <v>2</v>
      </c>
      <c r="FU104" s="497" t="s">
        <v>4</v>
      </c>
      <c r="FV104" s="497" t="s">
        <v>4</v>
      </c>
      <c r="FW104" s="497" t="s">
        <v>4</v>
      </c>
      <c r="FX104" s="497">
        <v>0</v>
      </c>
      <c r="FY104" s="497" t="s">
        <v>4</v>
      </c>
      <c r="FZ104" s="497" t="s">
        <v>4</v>
      </c>
      <c r="GA104" s="497" t="s">
        <v>4</v>
      </c>
      <c r="GB104" s="497" t="s">
        <v>4</v>
      </c>
      <c r="GC104" s="497" t="s">
        <v>4</v>
      </c>
      <c r="GD104" s="497" t="s">
        <v>4</v>
      </c>
      <c r="GE104" s="497" t="s">
        <v>4</v>
      </c>
      <c r="GF104" s="497" t="s">
        <v>4</v>
      </c>
      <c r="GG104" s="497" t="s">
        <v>4</v>
      </c>
      <c r="GH104" s="497" t="s">
        <v>4</v>
      </c>
      <c r="GI104" s="497" t="s">
        <v>29304</v>
      </c>
      <c r="GJ104" s="497" t="s">
        <v>29940</v>
      </c>
      <c r="GK104" s="497" t="s">
        <v>4</v>
      </c>
      <c r="GL104" s="497" t="s">
        <v>29556</v>
      </c>
      <c r="GM104" s="497" t="s">
        <v>4</v>
      </c>
      <c r="GN104" s="497" t="s">
        <v>4</v>
      </c>
      <c r="GO104" s="497" t="s">
        <v>4</v>
      </c>
      <c r="GP104" s="497" t="s">
        <v>4</v>
      </c>
      <c r="GQ104" s="497" t="s">
        <v>4</v>
      </c>
      <c r="GR104" s="497" t="s">
        <v>4</v>
      </c>
      <c r="GS104" s="497" t="s">
        <v>4</v>
      </c>
      <c r="GT104" s="497" t="s">
        <v>29452</v>
      </c>
      <c r="GU104" s="497" t="s">
        <v>4</v>
      </c>
      <c r="GV104" s="494">
        <v>20</v>
      </c>
      <c r="GW104" s="497" t="s">
        <v>29325</v>
      </c>
      <c r="GX104" s="497" t="s">
        <v>29480</v>
      </c>
      <c r="GY104" s="497" t="s">
        <v>4</v>
      </c>
      <c r="GZ104" s="497" t="s">
        <v>4</v>
      </c>
      <c r="HA104" s="497" t="s">
        <v>4</v>
      </c>
      <c r="HB104" s="497" t="s">
        <v>4</v>
      </c>
      <c r="HC104" s="497" t="s">
        <v>4</v>
      </c>
      <c r="HD104" s="497" t="s">
        <v>4</v>
      </c>
      <c r="HE104" s="497" t="s">
        <v>4</v>
      </c>
      <c r="HF104" s="497" t="s">
        <v>4</v>
      </c>
      <c r="HG104" s="497" t="s">
        <v>2</v>
      </c>
      <c r="HH104" s="497" t="s">
        <v>4</v>
      </c>
      <c r="HI104" s="497" t="s">
        <v>4</v>
      </c>
      <c r="HJ104" s="497" t="s">
        <v>4</v>
      </c>
      <c r="HK104" s="494" t="s">
        <v>4</v>
      </c>
      <c r="HL104" s="497" t="s">
        <v>35189</v>
      </c>
      <c r="HM104" s="497" t="s">
        <v>7</v>
      </c>
      <c r="HN104" s="497" t="s">
        <v>35190</v>
      </c>
      <c r="HO104" s="497" t="s">
        <v>35191</v>
      </c>
      <c r="HP104" s="497" t="s">
        <v>35192</v>
      </c>
      <c r="HQ104" s="497" t="s">
        <v>35193</v>
      </c>
      <c r="HR104" s="497" t="s">
        <v>35194</v>
      </c>
      <c r="HS104" s="497" t="s">
        <v>16</v>
      </c>
      <c r="HT104" s="500" t="s">
        <v>35195</v>
      </c>
    </row>
    <row r="105" spans="1:228" s="570" customFormat="1" ht="30.2" customHeight="1" x14ac:dyDescent="0.25">
      <c r="A105" s="759"/>
      <c r="B105" s="496">
        <v>71</v>
      </c>
      <c r="C105" s="496" t="s">
        <v>7854</v>
      </c>
      <c r="D105" s="497" t="s">
        <v>34048</v>
      </c>
      <c r="E105" s="497" t="s">
        <v>29799</v>
      </c>
      <c r="F105" s="497" t="s">
        <v>7</v>
      </c>
      <c r="G105" s="497" t="s">
        <v>34176</v>
      </c>
      <c r="H105" s="497">
        <v>1222.8125</v>
      </c>
      <c r="I105" s="497">
        <v>4.8585419999999999</v>
      </c>
      <c r="J105" s="497" t="s">
        <v>29349</v>
      </c>
      <c r="K105" s="497" t="s">
        <v>4</v>
      </c>
      <c r="L105" s="497" t="s">
        <v>34177</v>
      </c>
      <c r="M105" s="497">
        <v>773810955</v>
      </c>
      <c r="N105" s="497" t="s">
        <v>5</v>
      </c>
      <c r="O105" s="497" t="s">
        <v>31590</v>
      </c>
      <c r="P105" s="497" t="s">
        <v>4</v>
      </c>
      <c r="Q105" s="497">
        <v>2</v>
      </c>
      <c r="R105" s="497" t="s">
        <v>7</v>
      </c>
      <c r="S105" s="497" t="s">
        <v>31549</v>
      </c>
      <c r="T105" s="497" t="s">
        <v>4</v>
      </c>
      <c r="U105" s="497" t="s">
        <v>7</v>
      </c>
      <c r="V105" s="497" t="s">
        <v>7</v>
      </c>
      <c r="W105" s="497" t="s">
        <v>4</v>
      </c>
      <c r="X105" s="497" t="s">
        <v>7</v>
      </c>
      <c r="Y105" s="497" t="s">
        <v>4</v>
      </c>
      <c r="Z105" s="497" t="s">
        <v>4</v>
      </c>
      <c r="AA105" s="241" t="str">
        <f>IF(OR(U105="yes",Z105&gt;'SDG outcome'!$C$39),"yes","no")</f>
        <v>yes</v>
      </c>
      <c r="AB105" s="521" t="str">
        <f t="shared" si="3"/>
        <v>NA</v>
      </c>
      <c r="AC105" s="527" t="str">
        <f>IF(AND('SMS p2'!AA83="no",AND(Z105&gt;='SDG outcome'!$B$28,Z105&lt;'SDG outcome'!$C$39)),Z105-'SDG outcome'!$B$28,"")</f>
        <v/>
      </c>
      <c r="AD105" s="497" t="s">
        <v>4</v>
      </c>
      <c r="AE105" s="497" t="s">
        <v>4</v>
      </c>
      <c r="AF105" s="497" t="s">
        <v>4</v>
      </c>
      <c r="AG105" s="497" t="s">
        <v>4</v>
      </c>
      <c r="AH105" s="497" t="s">
        <v>4</v>
      </c>
      <c r="AI105" s="497" t="s">
        <v>4</v>
      </c>
      <c r="AJ105" s="501" t="s">
        <v>4</v>
      </c>
      <c r="AK105" s="497" t="s">
        <v>29290</v>
      </c>
      <c r="AL105" s="497" t="s">
        <v>29694</v>
      </c>
      <c r="AM105" s="497" t="s">
        <v>4</v>
      </c>
      <c r="AN105" s="497" t="s">
        <v>4</v>
      </c>
      <c r="AO105" s="497" t="s">
        <v>31536</v>
      </c>
      <c r="AP105" s="497" t="s">
        <v>4</v>
      </c>
      <c r="AQ105" s="497" t="s">
        <v>31537</v>
      </c>
      <c r="AR105" s="497" t="s">
        <v>4</v>
      </c>
      <c r="AS105" s="497" t="s">
        <v>31538</v>
      </c>
      <c r="AT105" s="497" t="s">
        <v>4</v>
      </c>
      <c r="AU105" s="497" t="s">
        <v>7</v>
      </c>
      <c r="AV105" s="497" t="s">
        <v>4</v>
      </c>
      <c r="AW105" s="497" t="s">
        <v>4</v>
      </c>
      <c r="AX105" s="497" t="s">
        <v>2</v>
      </c>
      <c r="AY105" s="497" t="s">
        <v>4</v>
      </c>
      <c r="AZ105" s="497" t="s">
        <v>4</v>
      </c>
      <c r="BA105" s="497" t="s">
        <v>4</v>
      </c>
      <c r="BB105" s="497" t="s">
        <v>4</v>
      </c>
      <c r="BC105" s="497" t="s">
        <v>4</v>
      </c>
      <c r="BD105" s="497" t="s">
        <v>4</v>
      </c>
      <c r="BE105" s="497" t="s">
        <v>4</v>
      </c>
      <c r="BF105" s="497" t="s">
        <v>4</v>
      </c>
      <c r="BG105" s="497" t="s">
        <v>4</v>
      </c>
      <c r="BH105" s="497" t="s">
        <v>4</v>
      </c>
      <c r="BI105" s="497" t="s">
        <v>4</v>
      </c>
      <c r="BJ105" s="497" t="s">
        <v>4</v>
      </c>
      <c r="BK105" s="497" t="s">
        <v>7</v>
      </c>
      <c r="BL105" s="497" t="s">
        <v>76</v>
      </c>
      <c r="BM105" s="497" t="s">
        <v>4</v>
      </c>
      <c r="BN105" s="497" t="s">
        <v>31425</v>
      </c>
      <c r="BO105" s="497">
        <v>1</v>
      </c>
      <c r="BP105" s="497">
        <v>20</v>
      </c>
      <c r="BQ105" s="497" t="s">
        <v>31426</v>
      </c>
      <c r="BR105" s="499" t="s">
        <v>33332</v>
      </c>
      <c r="BS105" s="497" t="s">
        <v>4</v>
      </c>
      <c r="BT105" s="497">
        <v>2</v>
      </c>
      <c r="BU105" s="494" cm="1">
        <f t="array" ref="BU105">_xlfn.IFS(BQ105="Foreword vehicle",BT105*0,BQ105="Human wastes",BT105*0,BS105="Jerrycans",BT105*$BT$4,BQ105="Number of Basins",BT105*$BT$5,BQ105="Number of Buckets",BT105*$BT$6,BQ105="Number of Kgs",BT105*$BT$7,BQ105="Number of spades",BT105*$BT$8,BQ105="Number of wheelbarrows",BT105*$BT$9,BS105="Septic Tank",BT105*0)</f>
        <v>46</v>
      </c>
      <c r="BV105" s="494">
        <f>Table15[[#This Row],[Calculation: Conversion of metric to Kg manure feeding (Columns: BP, BQ, BR)]]*Table15[[#This Row],[Number of times used to feed biodigester]]</f>
        <v>46</v>
      </c>
      <c r="BW105" s="495" cm="1">
        <f t="array" ref="BW105">_xlfn.IFS(BN105="Number of times per day (1 to 3)",BV105/$BW$3,BN105="Number of times per week (1 to 6)",BV105/$BW$4,BN105="Number of times per Month (1 to 3)",BV105/$BW$5)</f>
        <v>46</v>
      </c>
      <c r="BX105" s="497" t="s">
        <v>31650</v>
      </c>
      <c r="BY105" s="497" t="s">
        <v>4</v>
      </c>
      <c r="BZ105" s="497" t="s">
        <v>2</v>
      </c>
      <c r="CA105" s="497" t="s">
        <v>4</v>
      </c>
      <c r="CB105" s="497" t="s">
        <v>4</v>
      </c>
      <c r="CC105" s="497" t="s">
        <v>4</v>
      </c>
      <c r="CD105" s="497" t="s">
        <v>7</v>
      </c>
      <c r="CE105" s="497" t="s">
        <v>34178</v>
      </c>
      <c r="CF105" s="497" t="s">
        <v>4</v>
      </c>
      <c r="CG105" s="497" t="s">
        <v>31698</v>
      </c>
      <c r="CH105" s="497">
        <v>0</v>
      </c>
      <c r="CI105" s="497">
        <v>0</v>
      </c>
      <c r="CJ105" s="497">
        <v>0</v>
      </c>
      <c r="CK105" s="497">
        <v>0</v>
      </c>
      <c r="CL105" s="497">
        <v>0</v>
      </c>
      <c r="CM105" s="497">
        <v>0</v>
      </c>
      <c r="CN105" s="497">
        <v>0</v>
      </c>
      <c r="CO105" s="497">
        <v>0</v>
      </c>
      <c r="CP105" s="497">
        <v>0</v>
      </c>
      <c r="CQ105" s="497">
        <v>0</v>
      </c>
      <c r="CR105" s="497">
        <f>IF(Table15[[#This Row],[Is your biodigester working?]]="yes",CO105/'SDG outcome'!$C$9*CP105*CQ105,"")</f>
        <v>0</v>
      </c>
      <c r="CS105" s="497" t="s">
        <v>4</v>
      </c>
      <c r="CT105" s="500" t="s">
        <v>4</v>
      </c>
      <c r="CU105" s="496" t="s">
        <v>4</v>
      </c>
      <c r="CV105" s="497" t="s">
        <v>4</v>
      </c>
      <c r="CW105" s="500" t="s">
        <v>4</v>
      </c>
      <c r="CX105" s="496" t="s">
        <v>4</v>
      </c>
      <c r="CY105" s="497" t="s">
        <v>4</v>
      </c>
      <c r="CZ105" s="500" t="s">
        <v>4</v>
      </c>
      <c r="DA105" s="496" t="s">
        <v>4</v>
      </c>
      <c r="DB105" s="497" t="s">
        <v>4</v>
      </c>
      <c r="DC105" s="497" t="s">
        <v>4</v>
      </c>
      <c r="DD105" s="497" t="s">
        <v>4</v>
      </c>
      <c r="DE105" s="497" t="s">
        <v>4</v>
      </c>
      <c r="DF105" s="497" t="s">
        <v>4</v>
      </c>
      <c r="DG105" s="497" t="s">
        <v>4</v>
      </c>
      <c r="DH105" s="497" t="s">
        <v>4</v>
      </c>
      <c r="DI105" s="497" t="s">
        <v>4</v>
      </c>
      <c r="DJ105" s="497" t="s">
        <v>4</v>
      </c>
      <c r="DK105" s="497" t="s">
        <v>4</v>
      </c>
      <c r="DL105" s="497" t="s">
        <v>4</v>
      </c>
      <c r="DM105" s="497" t="s">
        <v>4</v>
      </c>
      <c r="DN105" s="497">
        <v>1</v>
      </c>
      <c r="DO105" s="497" t="s">
        <v>2</v>
      </c>
      <c r="DP105" s="497" t="s">
        <v>29292</v>
      </c>
      <c r="DQ105" s="497" t="s">
        <v>4</v>
      </c>
      <c r="DR105" s="497" t="s">
        <v>29294</v>
      </c>
      <c r="DS105" s="494" t="s">
        <v>4</v>
      </c>
      <c r="DT105" s="497" t="s">
        <v>29293</v>
      </c>
      <c r="DU105" s="494">
        <v>0</v>
      </c>
      <c r="DV105" s="500" t="s">
        <v>29295</v>
      </c>
      <c r="DW105" s="496">
        <v>100</v>
      </c>
      <c r="DX105" s="497" t="s">
        <v>29296</v>
      </c>
      <c r="DY105" s="497">
        <v>100</v>
      </c>
      <c r="DZ105" s="497" t="s">
        <v>4</v>
      </c>
      <c r="EA105" s="497" t="s">
        <v>4</v>
      </c>
      <c r="EB105" s="497" t="s">
        <v>4</v>
      </c>
      <c r="EC105" s="497" t="s">
        <v>4</v>
      </c>
      <c r="ED105" s="497" t="s">
        <v>4</v>
      </c>
      <c r="EE105" s="497" t="s">
        <v>4</v>
      </c>
      <c r="EF105" s="497" t="s">
        <v>4</v>
      </c>
      <c r="EG105" s="497" t="s">
        <v>4</v>
      </c>
      <c r="EH105" s="497" t="s">
        <v>4</v>
      </c>
      <c r="EI105" s="497" t="s">
        <v>4</v>
      </c>
      <c r="EJ105" s="497" t="s">
        <v>4</v>
      </c>
      <c r="EK105" s="497" t="s">
        <v>4</v>
      </c>
      <c r="EL105" s="497" t="s">
        <v>4</v>
      </c>
      <c r="EM105" s="497" t="s">
        <v>4</v>
      </c>
      <c r="EN105" s="497" t="s">
        <v>4</v>
      </c>
      <c r="EO105" s="497" t="s">
        <v>4</v>
      </c>
      <c r="EP105" s="497" t="s">
        <v>4</v>
      </c>
      <c r="EQ105" s="497" t="s">
        <v>4</v>
      </c>
      <c r="ER105" s="497" t="s">
        <v>4</v>
      </c>
      <c r="ES105" s="497" t="s">
        <v>4</v>
      </c>
      <c r="ET105" s="497" t="s">
        <v>4</v>
      </c>
      <c r="EU105" s="497" t="s">
        <v>4</v>
      </c>
      <c r="EV105" s="497" t="s">
        <v>4</v>
      </c>
      <c r="EW105" s="497">
        <v>0.40469445568595708</v>
      </c>
      <c r="EX105" s="497" t="s">
        <v>7</v>
      </c>
      <c r="EY105" s="497">
        <v>40</v>
      </c>
      <c r="EZ105" s="239">
        <f t="shared" si="4"/>
        <v>0.16187778227438282</v>
      </c>
      <c r="FA105" s="497" t="s">
        <v>34179</v>
      </c>
      <c r="FB105" s="497" t="s">
        <v>29298</v>
      </c>
      <c r="FC105" s="497">
        <v>60</v>
      </c>
      <c r="FD105" s="497" t="s">
        <v>2</v>
      </c>
      <c r="FE105" s="497" t="s">
        <v>4</v>
      </c>
      <c r="FF105" s="497" t="s">
        <v>4</v>
      </c>
      <c r="FG105" s="497" t="s">
        <v>2</v>
      </c>
      <c r="FH105" s="497" t="s">
        <v>4</v>
      </c>
      <c r="FI105" s="497" t="s">
        <v>4</v>
      </c>
      <c r="FJ105" s="497" t="s">
        <v>4</v>
      </c>
      <c r="FK105" s="497" t="s">
        <v>4</v>
      </c>
      <c r="FL105" s="497" t="s">
        <v>4</v>
      </c>
      <c r="FM105" s="497" t="s">
        <v>4</v>
      </c>
      <c r="FN105" s="494" t="s">
        <v>4</v>
      </c>
      <c r="FO105" s="497" t="s">
        <v>4</v>
      </c>
      <c r="FP105" s="497" t="s">
        <v>2</v>
      </c>
      <c r="FQ105" s="497" t="s">
        <v>4</v>
      </c>
      <c r="FR105" s="497" t="s">
        <v>4</v>
      </c>
      <c r="FS105" s="497" t="s">
        <v>7</v>
      </c>
      <c r="FT105" s="497" t="s">
        <v>2</v>
      </c>
      <c r="FU105" s="497" t="s">
        <v>4</v>
      </c>
      <c r="FV105" s="497" t="s">
        <v>4</v>
      </c>
      <c r="FW105" s="497" t="s">
        <v>4</v>
      </c>
      <c r="FX105" s="497">
        <v>0</v>
      </c>
      <c r="FY105" s="497" t="s">
        <v>4</v>
      </c>
      <c r="FZ105" s="497" t="s">
        <v>4</v>
      </c>
      <c r="GA105" s="497" t="s">
        <v>4</v>
      </c>
      <c r="GB105" s="497" t="s">
        <v>4</v>
      </c>
      <c r="GC105" s="497" t="s">
        <v>4</v>
      </c>
      <c r="GD105" s="497" t="s">
        <v>4</v>
      </c>
      <c r="GE105" s="497" t="s">
        <v>4</v>
      </c>
      <c r="GF105" s="497" t="s">
        <v>4</v>
      </c>
      <c r="GG105" s="497" t="s">
        <v>4</v>
      </c>
      <c r="GH105" s="497" t="s">
        <v>4</v>
      </c>
      <c r="GI105" s="497" t="s">
        <v>29304</v>
      </c>
      <c r="GJ105" s="497" t="s">
        <v>34180</v>
      </c>
      <c r="GK105" s="497" t="s">
        <v>4</v>
      </c>
      <c r="GL105" s="497" t="s">
        <v>4</v>
      </c>
      <c r="GM105" s="497" t="s">
        <v>4</v>
      </c>
      <c r="GN105" s="497" t="s">
        <v>33384</v>
      </c>
      <c r="GO105" s="497" t="s">
        <v>29451</v>
      </c>
      <c r="GP105" s="497" t="s">
        <v>4</v>
      </c>
      <c r="GQ105" s="497" t="s">
        <v>4</v>
      </c>
      <c r="GR105" s="497" t="s">
        <v>4</v>
      </c>
      <c r="GS105" s="497" t="s">
        <v>4</v>
      </c>
      <c r="GT105" s="497" t="s">
        <v>29354</v>
      </c>
      <c r="GU105" s="497" t="s">
        <v>4</v>
      </c>
      <c r="GV105" s="494">
        <v>2</v>
      </c>
      <c r="GW105" s="497" t="s">
        <v>29325</v>
      </c>
      <c r="GX105" s="497" t="s">
        <v>29480</v>
      </c>
      <c r="GY105" s="497" t="s">
        <v>4</v>
      </c>
      <c r="GZ105" s="497" t="s">
        <v>4</v>
      </c>
      <c r="HA105" s="497" t="s">
        <v>4</v>
      </c>
      <c r="HB105" s="497" t="s">
        <v>4</v>
      </c>
      <c r="HC105" s="497" t="s">
        <v>4</v>
      </c>
      <c r="HD105" s="497" t="s">
        <v>4</v>
      </c>
      <c r="HE105" s="497" t="s">
        <v>4</v>
      </c>
      <c r="HF105" s="497" t="s">
        <v>4</v>
      </c>
      <c r="HG105" s="497" t="s">
        <v>2</v>
      </c>
      <c r="HH105" s="497" t="s">
        <v>4</v>
      </c>
      <c r="HI105" s="497" t="s">
        <v>4</v>
      </c>
      <c r="HJ105" s="497" t="s">
        <v>4</v>
      </c>
      <c r="HK105" s="494" t="s">
        <v>4</v>
      </c>
      <c r="HL105" s="497" t="s">
        <v>34181</v>
      </c>
      <c r="HM105" s="497" t="s">
        <v>2</v>
      </c>
      <c r="HN105" s="497" t="s">
        <v>4</v>
      </c>
      <c r="HO105" s="497" t="s">
        <v>16</v>
      </c>
      <c r="HP105" s="497" t="s">
        <v>34182</v>
      </c>
      <c r="HQ105" s="497" t="s">
        <v>34183</v>
      </c>
      <c r="HR105" s="497" t="s">
        <v>34184</v>
      </c>
      <c r="HS105" s="497" t="s">
        <v>16</v>
      </c>
      <c r="HT105" s="500" t="s">
        <v>34185</v>
      </c>
    </row>
    <row r="106" spans="1:228" s="570" customFormat="1" ht="30.2" customHeight="1" x14ac:dyDescent="0.25">
      <c r="A106" s="759"/>
      <c r="B106" s="496">
        <v>232</v>
      </c>
      <c r="C106" s="496" t="s">
        <v>24783</v>
      </c>
      <c r="D106" s="497" t="s">
        <v>35910</v>
      </c>
      <c r="E106" s="497" t="s">
        <v>30866</v>
      </c>
      <c r="F106" s="497" t="s">
        <v>7</v>
      </c>
      <c r="G106" s="497" t="s">
        <v>35911</v>
      </c>
      <c r="H106" s="497">
        <v>1612.6</v>
      </c>
      <c r="I106" s="497">
        <v>5</v>
      </c>
      <c r="J106" s="497" t="s">
        <v>29319</v>
      </c>
      <c r="K106" s="497" t="s">
        <v>4</v>
      </c>
      <c r="L106" s="497" t="s">
        <v>35912</v>
      </c>
      <c r="M106" s="497">
        <v>789193853</v>
      </c>
      <c r="N106" s="497" t="s">
        <v>5</v>
      </c>
      <c r="O106" s="497" t="s">
        <v>31438</v>
      </c>
      <c r="P106" s="497">
        <v>62</v>
      </c>
      <c r="Q106" s="497">
        <v>5</v>
      </c>
      <c r="R106" s="497" t="s">
        <v>7</v>
      </c>
      <c r="S106" s="497" t="s">
        <v>31535</v>
      </c>
      <c r="T106" s="497" t="s">
        <v>4</v>
      </c>
      <c r="U106" s="497" t="s">
        <v>7</v>
      </c>
      <c r="V106" s="497" t="s">
        <v>7</v>
      </c>
      <c r="W106" s="497" t="s">
        <v>4</v>
      </c>
      <c r="X106" s="497" t="s">
        <v>7</v>
      </c>
      <c r="Y106" s="497" t="s">
        <v>4</v>
      </c>
      <c r="Z106" s="497" t="s">
        <v>4</v>
      </c>
      <c r="AA106" s="241" t="str">
        <f>IF(OR(U106="yes",Z106&gt;'SDG outcome'!$C$39),"yes","no")</f>
        <v>yes</v>
      </c>
      <c r="AB106" s="521" t="str">
        <f t="shared" si="3"/>
        <v>NA</v>
      </c>
      <c r="AC106" s="527" t="str">
        <f>IF(AND('SMS p2'!AA243="no",AND(Z106&gt;='SDG outcome'!$B$28,Z106&lt;'SDG outcome'!$C$39)),Z106-'SDG outcome'!$B$28,"")</f>
        <v/>
      </c>
      <c r="AD106" s="497" t="s">
        <v>4</v>
      </c>
      <c r="AE106" s="497" t="s">
        <v>4</v>
      </c>
      <c r="AF106" s="497" t="s">
        <v>4</v>
      </c>
      <c r="AG106" s="497" t="s">
        <v>4</v>
      </c>
      <c r="AH106" s="497" t="s">
        <v>4</v>
      </c>
      <c r="AI106" s="497" t="s">
        <v>4</v>
      </c>
      <c r="AJ106" s="497" t="s">
        <v>4</v>
      </c>
      <c r="AK106" s="497" t="s">
        <v>29290</v>
      </c>
      <c r="AL106" s="497" t="s">
        <v>29694</v>
      </c>
      <c r="AM106" s="497" t="s">
        <v>4</v>
      </c>
      <c r="AN106" s="497" t="s">
        <v>4</v>
      </c>
      <c r="AO106" s="497" t="s">
        <v>31536</v>
      </c>
      <c r="AP106" s="497" t="s">
        <v>4</v>
      </c>
      <c r="AQ106" s="497" t="s">
        <v>31537</v>
      </c>
      <c r="AR106" s="497" t="s">
        <v>4</v>
      </c>
      <c r="AS106" s="497" t="s">
        <v>31538</v>
      </c>
      <c r="AT106" s="497" t="s">
        <v>4</v>
      </c>
      <c r="AU106" s="497" t="s">
        <v>7</v>
      </c>
      <c r="AV106" s="497" t="s">
        <v>4</v>
      </c>
      <c r="AW106" s="497" t="s">
        <v>4</v>
      </c>
      <c r="AX106" s="497" t="s">
        <v>7</v>
      </c>
      <c r="AY106" s="497" t="s">
        <v>11</v>
      </c>
      <c r="AZ106" s="497" t="s">
        <v>4</v>
      </c>
      <c r="BA106" s="497" t="s">
        <v>31563</v>
      </c>
      <c r="BB106" s="497" t="s">
        <v>22</v>
      </c>
      <c r="BC106" s="497" t="s">
        <v>4</v>
      </c>
      <c r="BD106" s="497" t="s">
        <v>31552</v>
      </c>
      <c r="BE106" s="497" t="s">
        <v>4</v>
      </c>
      <c r="BF106" s="497" t="s">
        <v>31542</v>
      </c>
      <c r="BG106" s="497" t="s">
        <v>35913</v>
      </c>
      <c r="BH106" s="497" t="s">
        <v>31616</v>
      </c>
      <c r="BI106" s="497">
        <v>1</v>
      </c>
      <c r="BJ106" s="497">
        <v>240</v>
      </c>
      <c r="BK106" s="497" t="s">
        <v>7</v>
      </c>
      <c r="BL106" s="497" t="s">
        <v>6</v>
      </c>
      <c r="BM106" s="497" t="s">
        <v>4</v>
      </c>
      <c r="BN106" s="497" t="s">
        <v>31429</v>
      </c>
      <c r="BO106" s="497">
        <v>2</v>
      </c>
      <c r="BP106" s="497">
        <v>50</v>
      </c>
      <c r="BQ106" s="497" t="s">
        <v>31434</v>
      </c>
      <c r="BR106" s="499" t="s">
        <v>33332</v>
      </c>
      <c r="BS106" s="497" t="s">
        <v>4</v>
      </c>
      <c r="BT106" s="497">
        <v>3</v>
      </c>
      <c r="BU106" s="494" cm="1">
        <f t="array" ref="BU106">_xlfn.IFS(BQ106="Foreword vehicle",BT106*0,BQ106="Human wastes",BT106*0,BS106="Jerrycans",BT106*$BT$4,BQ106="Number of Basins",BT106*$BT$5,BQ106="Number of Buckets",BT106*$BT$6,BQ106="Number of Kgs",BT106*$BT$7,BQ106="Number of spades",BT106*$BT$8,BQ106="Number of wheelbarrows",BT106*$BT$9,BS106="Septic Tank",BT106*0)</f>
        <v>48</v>
      </c>
      <c r="BV106" s="494">
        <f>Table15[[#This Row],[Calculation: Conversion of metric to Kg manure feeding (Columns: BP, BQ, BR)]]*Table15[[#This Row],[Number of times used to feed biodigester]]</f>
        <v>96</v>
      </c>
      <c r="BW106" s="495" cm="1">
        <f t="array" ref="BW106">_xlfn.IFS(BN106="Number of times per day (1 to 3)",BV106/$BW$3,BN106="Number of times per week (1 to 6)",BV106/$BW$4,BN106="Number of times per Month (1 to 3)",BV106/$BW$5)</f>
        <v>13.714285714285714</v>
      </c>
      <c r="BX106" s="497" t="s">
        <v>22</v>
      </c>
      <c r="BY106" s="497" t="s">
        <v>4</v>
      </c>
      <c r="BZ106" s="497" t="s">
        <v>2</v>
      </c>
      <c r="CA106" s="497" t="s">
        <v>4</v>
      </c>
      <c r="CB106" s="497" t="s">
        <v>4</v>
      </c>
      <c r="CC106" s="497" t="s">
        <v>4</v>
      </c>
      <c r="CD106" s="497" t="s">
        <v>7</v>
      </c>
      <c r="CE106" s="497" t="s">
        <v>35914</v>
      </c>
      <c r="CF106" s="497" t="s">
        <v>4</v>
      </c>
      <c r="CG106" s="497" t="s">
        <v>31604</v>
      </c>
      <c r="CH106" s="497">
        <v>20</v>
      </c>
      <c r="CI106" s="497">
        <v>0</v>
      </c>
      <c r="CJ106" s="497">
        <v>0</v>
      </c>
      <c r="CK106" s="497">
        <v>0</v>
      </c>
      <c r="CL106" s="497">
        <v>0</v>
      </c>
      <c r="CM106" s="497">
        <v>0</v>
      </c>
      <c r="CN106" s="497">
        <v>0</v>
      </c>
      <c r="CO106" s="497">
        <v>0</v>
      </c>
      <c r="CP106" s="497">
        <v>0</v>
      </c>
      <c r="CQ106" s="497">
        <v>0</v>
      </c>
      <c r="CR106" s="497">
        <f>IF(Table15[[#This Row],[Is your biodigester working?]]="yes",CO106/'SDG outcome'!$C$9*CP106*CQ106,"")</f>
        <v>0</v>
      </c>
      <c r="CS106" s="497">
        <v>60</v>
      </c>
      <c r="CT106" s="500">
        <v>40</v>
      </c>
      <c r="CU106" s="496" t="s">
        <v>35915</v>
      </c>
      <c r="CV106" s="497" t="s">
        <v>4</v>
      </c>
      <c r="CW106" s="500" t="s">
        <v>4</v>
      </c>
      <c r="CX106" s="496" t="s">
        <v>4</v>
      </c>
      <c r="CY106" s="497" t="s">
        <v>4</v>
      </c>
      <c r="CZ106" s="500" t="s">
        <v>4</v>
      </c>
      <c r="DA106" s="496" t="s">
        <v>4</v>
      </c>
      <c r="DB106" s="497" t="s">
        <v>4</v>
      </c>
      <c r="DC106" s="497" t="s">
        <v>4</v>
      </c>
      <c r="DD106" s="497" t="s">
        <v>4</v>
      </c>
      <c r="DE106" s="497" t="s">
        <v>4</v>
      </c>
      <c r="DF106" s="497" t="s">
        <v>4</v>
      </c>
      <c r="DG106" s="497" t="s">
        <v>4</v>
      </c>
      <c r="DH106" s="497" t="s">
        <v>4</v>
      </c>
      <c r="DI106" s="497" t="s">
        <v>4</v>
      </c>
      <c r="DJ106" s="497" t="s">
        <v>4</v>
      </c>
      <c r="DK106" s="497" t="s">
        <v>4</v>
      </c>
      <c r="DL106" s="497" t="s">
        <v>4</v>
      </c>
      <c r="DM106" s="497" t="s">
        <v>4</v>
      </c>
      <c r="DN106" s="497">
        <v>2</v>
      </c>
      <c r="DO106" s="497" t="s">
        <v>7</v>
      </c>
      <c r="DP106" s="497" t="s">
        <v>29292</v>
      </c>
      <c r="DQ106" s="497" t="s">
        <v>4</v>
      </c>
      <c r="DR106" s="497" t="s">
        <v>29294</v>
      </c>
      <c r="DS106" s="494" t="s">
        <v>4</v>
      </c>
      <c r="DT106" s="497" t="s">
        <v>29294</v>
      </c>
      <c r="DU106" s="494" t="s">
        <v>4</v>
      </c>
      <c r="DV106" s="500" t="s">
        <v>29295</v>
      </c>
      <c r="DW106" s="496">
        <v>100</v>
      </c>
      <c r="DX106" s="497" t="s">
        <v>29296</v>
      </c>
      <c r="DY106" s="497">
        <v>100</v>
      </c>
      <c r="DZ106" s="497" t="s">
        <v>4</v>
      </c>
      <c r="EA106" s="497" t="s">
        <v>4</v>
      </c>
      <c r="EB106" s="497" t="s">
        <v>4</v>
      </c>
      <c r="EC106" s="497" t="s">
        <v>4</v>
      </c>
      <c r="ED106" s="497" t="s">
        <v>4</v>
      </c>
      <c r="EE106" s="497" t="s">
        <v>4</v>
      </c>
      <c r="EF106" s="497" t="s">
        <v>4</v>
      </c>
      <c r="EG106" s="497" t="s">
        <v>4</v>
      </c>
      <c r="EH106" s="497" t="s">
        <v>4</v>
      </c>
      <c r="EI106" s="497" t="s">
        <v>4</v>
      </c>
      <c r="EJ106" s="497" t="s">
        <v>4</v>
      </c>
      <c r="EK106" s="497" t="s">
        <v>4</v>
      </c>
      <c r="EL106" s="497" t="s">
        <v>4</v>
      </c>
      <c r="EM106" s="497" t="s">
        <v>4</v>
      </c>
      <c r="EN106" s="497" t="s">
        <v>4</v>
      </c>
      <c r="EO106" s="497" t="s">
        <v>4</v>
      </c>
      <c r="EP106" s="497" t="s">
        <v>4</v>
      </c>
      <c r="EQ106" s="497" t="s">
        <v>4</v>
      </c>
      <c r="ER106" s="497" t="s">
        <v>4</v>
      </c>
      <c r="ES106" s="497" t="s">
        <v>4</v>
      </c>
      <c r="ET106" s="497" t="s">
        <v>4</v>
      </c>
      <c r="EU106" s="497" t="s">
        <v>4</v>
      </c>
      <c r="EV106" s="497" t="s">
        <v>4</v>
      </c>
      <c r="EW106" s="497">
        <v>4</v>
      </c>
      <c r="EX106" s="497" t="s">
        <v>7</v>
      </c>
      <c r="EY106" s="497">
        <v>3</v>
      </c>
      <c r="EZ106" s="239">
        <f t="shared" si="4"/>
        <v>0.12</v>
      </c>
      <c r="FA106" s="497" t="s">
        <v>35916</v>
      </c>
      <c r="FB106" s="497" t="s">
        <v>29298</v>
      </c>
      <c r="FC106" s="497">
        <v>60</v>
      </c>
      <c r="FD106" s="497" t="s">
        <v>7</v>
      </c>
      <c r="FE106" s="497" t="s">
        <v>29393</v>
      </c>
      <c r="FF106" s="497" t="s">
        <v>4</v>
      </c>
      <c r="FG106" s="497" t="s">
        <v>7</v>
      </c>
      <c r="FH106" s="497" t="s">
        <v>29393</v>
      </c>
      <c r="FI106" s="497" t="s">
        <v>4</v>
      </c>
      <c r="FJ106" s="497" t="s">
        <v>13</v>
      </c>
      <c r="FK106" s="497" t="s">
        <v>35917</v>
      </c>
      <c r="FL106" s="497" t="s">
        <v>4</v>
      </c>
      <c r="FM106" s="497" t="s">
        <v>4</v>
      </c>
      <c r="FN106" s="494" t="s">
        <v>4</v>
      </c>
      <c r="FO106" s="497" t="s">
        <v>4</v>
      </c>
      <c r="FP106" s="497" t="s">
        <v>2</v>
      </c>
      <c r="FQ106" s="497" t="s">
        <v>4</v>
      </c>
      <c r="FR106" s="497" t="s">
        <v>4</v>
      </c>
      <c r="FS106" s="497" t="s">
        <v>2</v>
      </c>
      <c r="FT106" s="497" t="s">
        <v>2</v>
      </c>
      <c r="FU106" s="497" t="s">
        <v>4</v>
      </c>
      <c r="FV106" s="497" t="s">
        <v>4</v>
      </c>
      <c r="FW106" s="497" t="s">
        <v>4</v>
      </c>
      <c r="FX106" s="497">
        <v>0</v>
      </c>
      <c r="FY106" s="497" t="s">
        <v>4</v>
      </c>
      <c r="FZ106" s="497" t="s">
        <v>4</v>
      </c>
      <c r="GA106" s="497" t="s">
        <v>4</v>
      </c>
      <c r="GB106" s="497" t="s">
        <v>4</v>
      </c>
      <c r="GC106" s="497" t="s">
        <v>4</v>
      </c>
      <c r="GD106" s="497" t="s">
        <v>4</v>
      </c>
      <c r="GE106" s="497" t="s">
        <v>4</v>
      </c>
      <c r="GF106" s="497" t="s">
        <v>4</v>
      </c>
      <c r="GG106" s="497" t="s">
        <v>4</v>
      </c>
      <c r="GH106" s="497" t="s">
        <v>4</v>
      </c>
      <c r="GI106" s="497" t="s">
        <v>29304</v>
      </c>
      <c r="GJ106" s="497" t="s">
        <v>29940</v>
      </c>
      <c r="GK106" s="497" t="s">
        <v>4</v>
      </c>
      <c r="GL106" s="497" t="s">
        <v>29941</v>
      </c>
      <c r="GM106" s="497" t="s">
        <v>4</v>
      </c>
      <c r="GN106" s="497" t="s">
        <v>4</v>
      </c>
      <c r="GO106" s="497" t="s">
        <v>4</v>
      </c>
      <c r="GP106" s="497" t="s">
        <v>4</v>
      </c>
      <c r="GQ106" s="497" t="s">
        <v>4</v>
      </c>
      <c r="GR106" s="497" t="s">
        <v>4</v>
      </c>
      <c r="GS106" s="497" t="s">
        <v>4</v>
      </c>
      <c r="GT106" s="497" t="s">
        <v>29354</v>
      </c>
      <c r="GU106" s="497" t="s">
        <v>4</v>
      </c>
      <c r="GV106" s="494">
        <v>10</v>
      </c>
      <c r="GW106" s="497" t="s">
        <v>2</v>
      </c>
      <c r="GX106" s="497" t="s">
        <v>29309</v>
      </c>
      <c r="GY106" s="497" t="s">
        <v>4</v>
      </c>
      <c r="GZ106" s="497" t="s">
        <v>4</v>
      </c>
      <c r="HA106" s="497" t="s">
        <v>4</v>
      </c>
      <c r="HB106" s="497" t="s">
        <v>4</v>
      </c>
      <c r="HC106" s="497" t="s">
        <v>4</v>
      </c>
      <c r="HD106" s="497" t="s">
        <v>4</v>
      </c>
      <c r="HE106" s="497" t="s">
        <v>4</v>
      </c>
      <c r="HF106" s="497" t="s">
        <v>4</v>
      </c>
      <c r="HG106" s="497" t="s">
        <v>2</v>
      </c>
      <c r="HH106" s="497" t="s">
        <v>4</v>
      </c>
      <c r="HI106" s="497" t="s">
        <v>4</v>
      </c>
      <c r="HJ106" s="497" t="s">
        <v>4</v>
      </c>
      <c r="HK106" s="494" t="s">
        <v>4</v>
      </c>
      <c r="HL106" s="497" t="s">
        <v>33474</v>
      </c>
      <c r="HM106" s="497" t="s">
        <v>2</v>
      </c>
      <c r="HN106" s="497" t="s">
        <v>4</v>
      </c>
      <c r="HO106" s="497" t="s">
        <v>16</v>
      </c>
      <c r="HP106" s="497" t="s">
        <v>35918</v>
      </c>
      <c r="HQ106" s="497" t="s">
        <v>35919</v>
      </c>
      <c r="HR106" s="497" t="s">
        <v>35920</v>
      </c>
      <c r="HS106" s="497" t="s">
        <v>35921</v>
      </c>
      <c r="HT106" s="500" t="s">
        <v>35910</v>
      </c>
    </row>
    <row r="107" spans="1:228" s="570" customFormat="1" ht="30.2" customHeight="1" x14ac:dyDescent="0.25">
      <c r="A107" s="759"/>
      <c r="B107" s="496">
        <v>174</v>
      </c>
      <c r="C107" s="496" t="s">
        <v>14497</v>
      </c>
      <c r="D107" s="497" t="s">
        <v>35297</v>
      </c>
      <c r="E107" s="497" t="s">
        <v>35222</v>
      </c>
      <c r="F107" s="497" t="s">
        <v>7</v>
      </c>
      <c r="G107" s="497" t="s">
        <v>35298</v>
      </c>
      <c r="H107" s="497">
        <v>0</v>
      </c>
      <c r="I107" s="497">
        <v>1200</v>
      </c>
      <c r="J107" s="497" t="s">
        <v>29288</v>
      </c>
      <c r="K107" s="497" t="s">
        <v>4</v>
      </c>
      <c r="L107" s="497" t="s">
        <v>35299</v>
      </c>
      <c r="M107" s="497">
        <v>704467867</v>
      </c>
      <c r="N107" s="497" t="s">
        <v>3</v>
      </c>
      <c r="O107" s="497" t="s">
        <v>31598</v>
      </c>
      <c r="P107" s="497" t="s">
        <v>4</v>
      </c>
      <c r="Q107" s="497">
        <v>15</v>
      </c>
      <c r="R107" s="497" t="s">
        <v>7</v>
      </c>
      <c r="S107" s="497" t="s">
        <v>31549</v>
      </c>
      <c r="T107" s="497" t="s">
        <v>4</v>
      </c>
      <c r="U107" s="497" t="s">
        <v>7</v>
      </c>
      <c r="V107" s="497" t="s">
        <v>7</v>
      </c>
      <c r="W107" s="497" t="s">
        <v>4</v>
      </c>
      <c r="X107" s="497" t="s">
        <v>7</v>
      </c>
      <c r="Y107" s="497" t="s">
        <v>4</v>
      </c>
      <c r="Z107" s="497" t="s">
        <v>4</v>
      </c>
      <c r="AA107" s="241" t="str">
        <f>IF(OR(U107="yes",Z107&gt;'SDG outcome'!$C$39),"yes","no")</f>
        <v>yes</v>
      </c>
      <c r="AB107" s="521" t="str">
        <f t="shared" si="3"/>
        <v>NA</v>
      </c>
      <c r="AC107" s="527" t="str">
        <f>IF(AND('SMS p2'!AA186="no",AND(Z107&gt;='SDG outcome'!$B$28,Z107&lt;'SDG outcome'!$C$39)),Z107-'SDG outcome'!$B$28,"")</f>
        <v/>
      </c>
      <c r="AD107" s="497" t="s">
        <v>4</v>
      </c>
      <c r="AE107" s="497" t="s">
        <v>4</v>
      </c>
      <c r="AF107" s="497" t="s">
        <v>4</v>
      </c>
      <c r="AG107" s="497" t="s">
        <v>4</v>
      </c>
      <c r="AH107" s="497" t="s">
        <v>4</v>
      </c>
      <c r="AI107" s="497" t="s">
        <v>4</v>
      </c>
      <c r="AJ107" s="497" t="s">
        <v>4</v>
      </c>
      <c r="AK107" s="497" t="s">
        <v>29290</v>
      </c>
      <c r="AL107" s="497" t="s">
        <v>29694</v>
      </c>
      <c r="AM107" s="497" t="s">
        <v>4</v>
      </c>
      <c r="AN107" s="497" t="s">
        <v>4</v>
      </c>
      <c r="AO107" s="497" t="s">
        <v>31536</v>
      </c>
      <c r="AP107" s="497" t="s">
        <v>4</v>
      </c>
      <c r="AQ107" s="497" t="s">
        <v>31537</v>
      </c>
      <c r="AR107" s="497" t="s">
        <v>4</v>
      </c>
      <c r="AS107" s="497" t="s">
        <v>31538</v>
      </c>
      <c r="AT107" s="497" t="s">
        <v>4</v>
      </c>
      <c r="AU107" s="497" t="s">
        <v>7</v>
      </c>
      <c r="AV107" s="497" t="s">
        <v>4</v>
      </c>
      <c r="AW107" s="497" t="s">
        <v>4</v>
      </c>
      <c r="AX107" s="497" t="s">
        <v>2</v>
      </c>
      <c r="AY107" s="497" t="s">
        <v>4</v>
      </c>
      <c r="AZ107" s="497" t="s">
        <v>4</v>
      </c>
      <c r="BA107" s="497" t="s">
        <v>31563</v>
      </c>
      <c r="BB107" s="497" t="s">
        <v>31541</v>
      </c>
      <c r="BC107" s="497" t="s">
        <v>4</v>
      </c>
      <c r="BD107" s="497" t="s">
        <v>35300</v>
      </c>
      <c r="BE107" s="497" t="s">
        <v>4</v>
      </c>
      <c r="BF107" s="497" t="s">
        <v>31542</v>
      </c>
      <c r="BG107" s="497" t="s">
        <v>35301</v>
      </c>
      <c r="BH107" s="497" t="s">
        <v>31566</v>
      </c>
      <c r="BI107" s="497">
        <v>1</v>
      </c>
      <c r="BJ107" s="497">
        <v>160</v>
      </c>
      <c r="BK107" s="497" t="s">
        <v>7</v>
      </c>
      <c r="BL107" s="497" t="s">
        <v>6</v>
      </c>
      <c r="BM107" s="497" t="s">
        <v>4</v>
      </c>
      <c r="BN107" s="497" t="s">
        <v>31429</v>
      </c>
      <c r="BO107" s="497">
        <v>3</v>
      </c>
      <c r="BP107" s="497">
        <v>60</v>
      </c>
      <c r="BQ107" s="497" t="s">
        <v>31434</v>
      </c>
      <c r="BR107" s="499" t="s">
        <v>33332</v>
      </c>
      <c r="BS107" s="497" t="s">
        <v>4</v>
      </c>
      <c r="BT107" s="497">
        <v>2</v>
      </c>
      <c r="BU107" s="494" cm="1">
        <f t="array" ref="BU107">_xlfn.IFS(BQ107="Foreword vehicle",BT107*0,BQ107="Human wastes",BT107*0,BS107="Jerrycans",BT107*$BT$4,BQ107="Number of Basins",BT107*$BT$5,BQ107="Number of Buckets",BT107*$BT$6,BQ107="Number of Kgs",BT107*$BT$7,BQ107="Number of spades",BT107*$BT$8,BQ107="Number of wheelbarrows",BT107*$BT$9,BS107="Septic Tank",BT107*0)</f>
        <v>32</v>
      </c>
      <c r="BV107" s="494">
        <f>Table15[[#This Row],[Calculation: Conversion of metric to Kg manure feeding (Columns: BP, BQ, BR)]]*Table15[[#This Row],[Number of times used to feed biodigester]]</f>
        <v>96</v>
      </c>
      <c r="BW107" s="495" cm="1">
        <f t="array" ref="BW107">_xlfn.IFS(BN107="Number of times per day (1 to 3)",BV107/$BW$3,BN107="Number of times per week (1 to 6)",BV107/$BW$4,BN107="Number of times per Month (1 to 3)",BV107/$BW$5)</f>
        <v>13.714285714285714</v>
      </c>
      <c r="BX107" s="497" t="s">
        <v>31541</v>
      </c>
      <c r="BY107" s="497" t="s">
        <v>4</v>
      </c>
      <c r="BZ107" s="497" t="s">
        <v>2</v>
      </c>
      <c r="CA107" s="497" t="s">
        <v>4</v>
      </c>
      <c r="CB107" s="497" t="s">
        <v>4</v>
      </c>
      <c r="CC107" s="497" t="s">
        <v>4</v>
      </c>
      <c r="CD107" s="497" t="s">
        <v>7</v>
      </c>
      <c r="CE107" s="497" t="s">
        <v>35302</v>
      </c>
      <c r="CF107" s="497" t="s">
        <v>4</v>
      </c>
      <c r="CG107" s="497" t="s">
        <v>31705</v>
      </c>
      <c r="CH107" s="497">
        <v>0</v>
      </c>
      <c r="CI107" s="497">
        <v>5</v>
      </c>
      <c r="CJ107" s="497">
        <v>0</v>
      </c>
      <c r="CK107" s="497">
        <v>0</v>
      </c>
      <c r="CL107" s="497">
        <v>0</v>
      </c>
      <c r="CM107" s="497">
        <v>0</v>
      </c>
      <c r="CN107" s="497">
        <v>0</v>
      </c>
      <c r="CO107" s="497">
        <v>0</v>
      </c>
      <c r="CP107" s="497">
        <v>0</v>
      </c>
      <c r="CQ107" s="497">
        <v>0</v>
      </c>
      <c r="CR107" s="497">
        <f>IF(Table15[[#This Row],[Is your biodigester working?]]="yes",CO107/'SDG outcome'!$C$9*CP107*CQ107,"")</f>
        <v>0</v>
      </c>
      <c r="CS107" s="497" t="s">
        <v>4</v>
      </c>
      <c r="CT107" s="500" t="s">
        <v>4</v>
      </c>
      <c r="CU107" s="496" t="s">
        <v>4</v>
      </c>
      <c r="CV107" s="497">
        <v>100</v>
      </c>
      <c r="CW107" s="500">
        <v>0</v>
      </c>
      <c r="CX107" s="496" t="s">
        <v>4</v>
      </c>
      <c r="CY107" s="497" t="s">
        <v>4</v>
      </c>
      <c r="CZ107" s="500" t="s">
        <v>4</v>
      </c>
      <c r="DA107" s="496" t="s">
        <v>4</v>
      </c>
      <c r="DB107" s="497" t="s">
        <v>4</v>
      </c>
      <c r="DC107" s="497" t="s">
        <v>4</v>
      </c>
      <c r="DD107" s="497" t="s">
        <v>4</v>
      </c>
      <c r="DE107" s="497" t="s">
        <v>4</v>
      </c>
      <c r="DF107" s="497" t="s">
        <v>4</v>
      </c>
      <c r="DG107" s="497" t="s">
        <v>4</v>
      </c>
      <c r="DH107" s="497" t="s">
        <v>4</v>
      </c>
      <c r="DI107" s="497" t="s">
        <v>4</v>
      </c>
      <c r="DJ107" s="497" t="s">
        <v>4</v>
      </c>
      <c r="DK107" s="497" t="s">
        <v>4</v>
      </c>
      <c r="DL107" s="497" t="s">
        <v>4</v>
      </c>
      <c r="DM107" s="497" t="s">
        <v>4</v>
      </c>
      <c r="DN107" s="497">
        <v>1</v>
      </c>
      <c r="DO107" s="497" t="s">
        <v>2</v>
      </c>
      <c r="DP107" s="497" t="s">
        <v>29292</v>
      </c>
      <c r="DQ107" s="497" t="s">
        <v>4</v>
      </c>
      <c r="DR107" s="497" t="s">
        <v>29294</v>
      </c>
      <c r="DS107" s="494" t="s">
        <v>4</v>
      </c>
      <c r="DT107" s="497" t="s">
        <v>29294</v>
      </c>
      <c r="DU107" s="494" t="s">
        <v>4</v>
      </c>
      <c r="DV107" s="500" t="s">
        <v>29295</v>
      </c>
      <c r="DW107" s="496">
        <v>100</v>
      </c>
      <c r="DX107" s="497" t="s">
        <v>29296</v>
      </c>
      <c r="DY107" s="497">
        <v>100</v>
      </c>
      <c r="DZ107" s="497" t="s">
        <v>4</v>
      </c>
      <c r="EA107" s="497" t="s">
        <v>4</v>
      </c>
      <c r="EB107" s="497" t="s">
        <v>4</v>
      </c>
      <c r="EC107" s="497" t="s">
        <v>4</v>
      </c>
      <c r="ED107" s="497" t="s">
        <v>4</v>
      </c>
      <c r="EE107" s="497" t="s">
        <v>4</v>
      </c>
      <c r="EF107" s="497" t="s">
        <v>4</v>
      </c>
      <c r="EG107" s="497" t="s">
        <v>4</v>
      </c>
      <c r="EH107" s="497" t="s">
        <v>4</v>
      </c>
      <c r="EI107" s="497" t="s">
        <v>4</v>
      </c>
      <c r="EJ107" s="497" t="s">
        <v>4</v>
      </c>
      <c r="EK107" s="497" t="s">
        <v>4</v>
      </c>
      <c r="EL107" s="497" t="s">
        <v>4</v>
      </c>
      <c r="EM107" s="497" t="s">
        <v>4</v>
      </c>
      <c r="EN107" s="497" t="s">
        <v>4</v>
      </c>
      <c r="EO107" s="497" t="s">
        <v>4</v>
      </c>
      <c r="EP107" s="497" t="s">
        <v>4</v>
      </c>
      <c r="EQ107" s="497" t="s">
        <v>4</v>
      </c>
      <c r="ER107" s="497" t="s">
        <v>4</v>
      </c>
      <c r="ES107" s="497" t="s">
        <v>4</v>
      </c>
      <c r="ET107" s="497" t="s">
        <v>4</v>
      </c>
      <c r="EU107" s="497" t="s">
        <v>4</v>
      </c>
      <c r="EV107" s="497" t="s">
        <v>4</v>
      </c>
      <c r="EW107" s="497">
        <v>0.20234722784297854</v>
      </c>
      <c r="EX107" s="497" t="s">
        <v>7</v>
      </c>
      <c r="EY107" s="497">
        <v>50</v>
      </c>
      <c r="EZ107" s="239">
        <f t="shared" si="4"/>
        <v>0.10117361392148927</v>
      </c>
      <c r="FA107" s="497" t="s">
        <v>35303</v>
      </c>
      <c r="FB107" s="497" t="s">
        <v>29298</v>
      </c>
      <c r="FC107" s="497">
        <v>12</v>
      </c>
      <c r="FD107" s="497" t="s">
        <v>2</v>
      </c>
      <c r="FE107" s="497" t="s">
        <v>4</v>
      </c>
      <c r="FF107" s="497" t="s">
        <v>4</v>
      </c>
      <c r="FG107" s="497" t="s">
        <v>2</v>
      </c>
      <c r="FH107" s="497" t="s">
        <v>4</v>
      </c>
      <c r="FI107" s="497" t="s">
        <v>4</v>
      </c>
      <c r="FJ107" s="497" t="s">
        <v>4</v>
      </c>
      <c r="FK107" s="497" t="s">
        <v>4</v>
      </c>
      <c r="FL107" s="497" t="s">
        <v>4</v>
      </c>
      <c r="FM107" s="497" t="s">
        <v>4</v>
      </c>
      <c r="FN107" s="494" t="s">
        <v>4</v>
      </c>
      <c r="FO107" s="497" t="s">
        <v>4</v>
      </c>
      <c r="FP107" s="497" t="s">
        <v>2</v>
      </c>
      <c r="FQ107" s="497" t="s">
        <v>4</v>
      </c>
      <c r="FR107" s="497" t="s">
        <v>4</v>
      </c>
      <c r="FS107" s="497" t="s">
        <v>7</v>
      </c>
      <c r="FT107" s="497" t="s">
        <v>7</v>
      </c>
      <c r="FU107" s="497" t="s">
        <v>29302</v>
      </c>
      <c r="FV107" s="497" t="s">
        <v>33473</v>
      </c>
      <c r="FW107" s="497" t="s">
        <v>29304</v>
      </c>
      <c r="FX107" s="497">
        <v>2</v>
      </c>
      <c r="FY107" s="497" t="s">
        <v>29396</v>
      </c>
      <c r="FZ107" s="497" t="s">
        <v>4</v>
      </c>
      <c r="GA107" s="497" t="s">
        <v>4</v>
      </c>
      <c r="GB107" s="497" t="s">
        <v>29397</v>
      </c>
      <c r="GC107" s="497" t="s">
        <v>4</v>
      </c>
      <c r="GD107" s="497" t="s">
        <v>4</v>
      </c>
      <c r="GE107" s="497" t="s">
        <v>4</v>
      </c>
      <c r="GF107" s="497" t="s">
        <v>4</v>
      </c>
      <c r="GG107" s="497" t="s">
        <v>4</v>
      </c>
      <c r="GH107" s="497" t="s">
        <v>4</v>
      </c>
      <c r="GI107" s="497" t="s">
        <v>4</v>
      </c>
      <c r="GJ107" s="497" t="s">
        <v>4</v>
      </c>
      <c r="GK107" s="497" t="s">
        <v>4</v>
      </c>
      <c r="GL107" s="497" t="s">
        <v>4</v>
      </c>
      <c r="GM107" s="497" t="s">
        <v>4</v>
      </c>
      <c r="GN107" s="497" t="s">
        <v>4</v>
      </c>
      <c r="GO107" s="497" t="s">
        <v>4</v>
      </c>
      <c r="GP107" s="497" t="s">
        <v>4</v>
      </c>
      <c r="GQ107" s="497" t="s">
        <v>4</v>
      </c>
      <c r="GR107" s="497" t="s">
        <v>4</v>
      </c>
      <c r="GS107" s="497" t="s">
        <v>4</v>
      </c>
      <c r="GT107" s="497" t="s">
        <v>29452</v>
      </c>
      <c r="GU107" s="497" t="s">
        <v>4</v>
      </c>
      <c r="GV107" s="494">
        <v>3</v>
      </c>
      <c r="GW107" s="497" t="s">
        <v>7</v>
      </c>
      <c r="GX107" s="497" t="s">
        <v>29309</v>
      </c>
      <c r="GY107" s="497" t="s">
        <v>4</v>
      </c>
      <c r="GZ107" s="497" t="s">
        <v>4</v>
      </c>
      <c r="HA107" s="497" t="s">
        <v>4</v>
      </c>
      <c r="HB107" s="497" t="s">
        <v>4</v>
      </c>
      <c r="HC107" s="497" t="s">
        <v>4</v>
      </c>
      <c r="HD107" s="497" t="s">
        <v>4</v>
      </c>
      <c r="HE107" s="497" t="s">
        <v>4</v>
      </c>
      <c r="HF107" s="497" t="s">
        <v>4</v>
      </c>
      <c r="HG107" s="497" t="s">
        <v>2</v>
      </c>
      <c r="HH107" s="497" t="s">
        <v>4</v>
      </c>
      <c r="HI107" s="497" t="s">
        <v>4</v>
      </c>
      <c r="HJ107" s="497" t="s">
        <v>4</v>
      </c>
      <c r="HK107" s="494" t="s">
        <v>4</v>
      </c>
      <c r="HL107" s="497" t="s">
        <v>35304</v>
      </c>
      <c r="HM107" s="497" t="s">
        <v>2</v>
      </c>
      <c r="HN107" s="497" t="s">
        <v>4</v>
      </c>
      <c r="HO107" s="497" t="s">
        <v>16</v>
      </c>
      <c r="HP107" s="497" t="s">
        <v>35305</v>
      </c>
      <c r="HQ107" s="497" t="s">
        <v>35306</v>
      </c>
      <c r="HR107" s="497" t="s">
        <v>35307</v>
      </c>
      <c r="HS107" s="497" t="s">
        <v>35308</v>
      </c>
      <c r="HT107" s="500" t="s">
        <v>33981</v>
      </c>
    </row>
    <row r="108" spans="1:228" s="570" customFormat="1" ht="30.2" customHeight="1" x14ac:dyDescent="0.25">
      <c r="A108" s="759"/>
      <c r="B108" s="496">
        <v>171</v>
      </c>
      <c r="C108" s="496" t="s">
        <v>15491</v>
      </c>
      <c r="D108" s="497" t="s">
        <v>35264</v>
      </c>
      <c r="E108" s="497" t="s">
        <v>35222</v>
      </c>
      <c r="F108" s="497" t="s">
        <v>7</v>
      </c>
      <c r="G108" s="497" t="s">
        <v>35265</v>
      </c>
      <c r="H108" s="497">
        <v>0</v>
      </c>
      <c r="I108" s="497">
        <v>1000</v>
      </c>
      <c r="J108" s="497" t="s">
        <v>29288</v>
      </c>
      <c r="K108" s="497" t="s">
        <v>4</v>
      </c>
      <c r="L108" s="497" t="s">
        <v>35266</v>
      </c>
      <c r="M108" s="497">
        <v>782209860</v>
      </c>
      <c r="N108" s="497" t="s">
        <v>3</v>
      </c>
      <c r="O108" s="497" t="s">
        <v>31598</v>
      </c>
      <c r="P108" s="497" t="s">
        <v>4</v>
      </c>
      <c r="Q108" s="497">
        <v>6</v>
      </c>
      <c r="R108" s="497" t="s">
        <v>7</v>
      </c>
      <c r="S108" s="497" t="s">
        <v>31549</v>
      </c>
      <c r="T108" s="497" t="s">
        <v>4</v>
      </c>
      <c r="U108" s="497" t="s">
        <v>7</v>
      </c>
      <c r="V108" s="497" t="s">
        <v>7</v>
      </c>
      <c r="W108" s="497" t="s">
        <v>4</v>
      </c>
      <c r="X108" s="497" t="s">
        <v>7</v>
      </c>
      <c r="Y108" s="497" t="s">
        <v>4</v>
      </c>
      <c r="Z108" s="497" t="s">
        <v>4</v>
      </c>
      <c r="AA108" s="241" t="str">
        <f>IF(OR(U108="yes",Z108&gt;'SDG outcome'!$C$39),"yes","no")</f>
        <v>yes</v>
      </c>
      <c r="AB108" s="521" t="str">
        <f t="shared" si="3"/>
        <v>NA</v>
      </c>
      <c r="AC108" s="527" t="str">
        <f>IF(AND('SMS p2'!AA183="no",AND(Z108&gt;='SDG outcome'!$B$28,Z108&lt;'SDG outcome'!$C$39)),Z108-'SDG outcome'!$B$28,"")</f>
        <v/>
      </c>
      <c r="AD108" s="497" t="s">
        <v>4</v>
      </c>
      <c r="AE108" s="497" t="s">
        <v>4</v>
      </c>
      <c r="AF108" s="497" t="s">
        <v>4</v>
      </c>
      <c r="AG108" s="497" t="s">
        <v>4</v>
      </c>
      <c r="AH108" s="497" t="s">
        <v>4</v>
      </c>
      <c r="AI108" s="497" t="s">
        <v>4</v>
      </c>
      <c r="AJ108" s="497" t="s">
        <v>4</v>
      </c>
      <c r="AK108" s="497" t="s">
        <v>29290</v>
      </c>
      <c r="AL108" s="497" t="s">
        <v>29291</v>
      </c>
      <c r="AM108" s="497" t="s">
        <v>4</v>
      </c>
      <c r="AN108" s="497" t="s">
        <v>4</v>
      </c>
      <c r="AO108" s="497" t="s">
        <v>31536</v>
      </c>
      <c r="AP108" s="497" t="s">
        <v>4</v>
      </c>
      <c r="AQ108" s="497" t="s">
        <v>31537</v>
      </c>
      <c r="AR108" s="497" t="s">
        <v>4</v>
      </c>
      <c r="AS108" s="497" t="s">
        <v>31538</v>
      </c>
      <c r="AT108" s="497" t="s">
        <v>4</v>
      </c>
      <c r="AU108" s="497" t="s">
        <v>7</v>
      </c>
      <c r="AV108" s="497" t="s">
        <v>4</v>
      </c>
      <c r="AW108" s="497" t="s">
        <v>4</v>
      </c>
      <c r="AX108" s="497" t="s">
        <v>2</v>
      </c>
      <c r="AY108" s="497" t="s">
        <v>4</v>
      </c>
      <c r="AZ108" s="497" t="s">
        <v>4</v>
      </c>
      <c r="BA108" s="497" t="s">
        <v>31563</v>
      </c>
      <c r="BB108" s="497" t="s">
        <v>31541</v>
      </c>
      <c r="BC108" s="497" t="s">
        <v>4</v>
      </c>
      <c r="BD108" s="501" t="s">
        <v>31564</v>
      </c>
      <c r="BE108" s="497" t="s">
        <v>4</v>
      </c>
      <c r="BF108" s="497" t="s">
        <v>31591</v>
      </c>
      <c r="BG108" s="497" t="s">
        <v>35267</v>
      </c>
      <c r="BH108" s="497" t="s">
        <v>31616</v>
      </c>
      <c r="BI108" s="497">
        <v>1</v>
      </c>
      <c r="BJ108" s="497">
        <v>300</v>
      </c>
      <c r="BK108" s="497" t="s">
        <v>7</v>
      </c>
      <c r="BL108" s="497" t="s">
        <v>6</v>
      </c>
      <c r="BM108" s="497" t="s">
        <v>4</v>
      </c>
      <c r="BN108" s="497" t="s">
        <v>31429</v>
      </c>
      <c r="BO108" s="497">
        <v>1</v>
      </c>
      <c r="BP108" s="497">
        <v>120</v>
      </c>
      <c r="BQ108" s="497" t="s">
        <v>31434</v>
      </c>
      <c r="BR108" s="499" t="s">
        <v>33332</v>
      </c>
      <c r="BS108" s="497" t="s">
        <v>4</v>
      </c>
      <c r="BT108" s="497">
        <v>2</v>
      </c>
      <c r="BU108" s="494" cm="1">
        <f t="array" ref="BU108">_xlfn.IFS(BQ108="Foreword vehicle",BT108*0,BQ108="Human wastes",BT108*0,BS108="Jerrycans",BT108*$BT$4,BQ108="Number of Basins",BT108*$BT$5,BQ108="Number of Buckets",BT108*$BT$6,BQ108="Number of Kgs",BT108*$BT$7,BQ108="Number of spades",BT108*$BT$8,BQ108="Number of wheelbarrows",BT108*$BT$9,BS108="Septic Tank",BT108*0)</f>
        <v>32</v>
      </c>
      <c r="BV108" s="494">
        <f>Table15[[#This Row],[Calculation: Conversion of metric to Kg manure feeding (Columns: BP, BQ, BR)]]*Table15[[#This Row],[Number of times used to feed biodigester]]</f>
        <v>32</v>
      </c>
      <c r="BW108" s="495" cm="1">
        <f t="array" ref="BW108">_xlfn.IFS(BN108="Number of times per day (1 to 3)",BV108/$BW$3,BN108="Number of times per week (1 to 6)",BV108/$BW$4,BN108="Number of times per Month (1 to 3)",BV108/$BW$5)</f>
        <v>4.5714285714285712</v>
      </c>
      <c r="BX108" s="497" t="s">
        <v>31541</v>
      </c>
      <c r="BY108" s="497" t="s">
        <v>4</v>
      </c>
      <c r="BZ108" s="497" t="s">
        <v>2</v>
      </c>
      <c r="CA108" s="497" t="s">
        <v>4</v>
      </c>
      <c r="CB108" s="497" t="s">
        <v>4</v>
      </c>
      <c r="CC108" s="497" t="s">
        <v>4</v>
      </c>
      <c r="CD108" s="497" t="s">
        <v>7</v>
      </c>
      <c r="CE108" s="497" t="s">
        <v>33468</v>
      </c>
      <c r="CF108" s="497" t="s">
        <v>4</v>
      </c>
      <c r="CG108" s="497" t="s">
        <v>31698</v>
      </c>
      <c r="CH108" s="497">
        <v>0</v>
      </c>
      <c r="CI108" s="497">
        <v>0</v>
      </c>
      <c r="CJ108" s="497">
        <v>0</v>
      </c>
      <c r="CK108" s="497">
        <v>0</v>
      </c>
      <c r="CL108" s="497">
        <v>0</v>
      </c>
      <c r="CM108" s="497">
        <v>0</v>
      </c>
      <c r="CN108" s="497">
        <v>0</v>
      </c>
      <c r="CO108" s="497">
        <v>0</v>
      </c>
      <c r="CP108" s="497">
        <v>0</v>
      </c>
      <c r="CQ108" s="497">
        <v>0</v>
      </c>
      <c r="CR108" s="497">
        <f>IF(Table15[[#This Row],[Is your biodigester working?]]="yes",CO108/'SDG outcome'!$C$9*CP108*CQ108,"")</f>
        <v>0</v>
      </c>
      <c r="CS108" s="497" t="s">
        <v>4</v>
      </c>
      <c r="CT108" s="500" t="s">
        <v>4</v>
      </c>
      <c r="CU108" s="496" t="s">
        <v>4</v>
      </c>
      <c r="CV108" s="497" t="s">
        <v>4</v>
      </c>
      <c r="CW108" s="500" t="s">
        <v>4</v>
      </c>
      <c r="CX108" s="496" t="s">
        <v>4</v>
      </c>
      <c r="CY108" s="497" t="s">
        <v>4</v>
      </c>
      <c r="CZ108" s="500" t="s">
        <v>4</v>
      </c>
      <c r="DA108" s="496" t="s">
        <v>4</v>
      </c>
      <c r="DB108" s="497" t="s">
        <v>4</v>
      </c>
      <c r="DC108" s="497" t="s">
        <v>4</v>
      </c>
      <c r="DD108" s="497" t="s">
        <v>4</v>
      </c>
      <c r="DE108" s="497" t="s">
        <v>4</v>
      </c>
      <c r="DF108" s="497" t="s">
        <v>4</v>
      </c>
      <c r="DG108" s="497" t="s">
        <v>4</v>
      </c>
      <c r="DH108" s="497" t="s">
        <v>4</v>
      </c>
      <c r="DI108" s="497" t="s">
        <v>4</v>
      </c>
      <c r="DJ108" s="497" t="s">
        <v>4</v>
      </c>
      <c r="DK108" s="497" t="s">
        <v>4</v>
      </c>
      <c r="DL108" s="497" t="s">
        <v>4</v>
      </c>
      <c r="DM108" s="497" t="s">
        <v>4</v>
      </c>
      <c r="DN108" s="497">
        <v>1</v>
      </c>
      <c r="DO108" s="497" t="s">
        <v>7</v>
      </c>
      <c r="DP108" s="497" t="s">
        <v>29292</v>
      </c>
      <c r="DQ108" s="497" t="s">
        <v>4</v>
      </c>
      <c r="DR108" s="497" t="s">
        <v>29294</v>
      </c>
      <c r="DS108" s="494" t="s">
        <v>4</v>
      </c>
      <c r="DT108" s="497" t="s">
        <v>29293</v>
      </c>
      <c r="DU108" s="494">
        <v>0</v>
      </c>
      <c r="DV108" s="500" t="s">
        <v>29295</v>
      </c>
      <c r="DW108" s="496">
        <v>100</v>
      </c>
      <c r="DX108" s="497" t="s">
        <v>29296</v>
      </c>
      <c r="DY108" s="497">
        <v>100</v>
      </c>
      <c r="DZ108" s="497" t="s">
        <v>4</v>
      </c>
      <c r="EA108" s="497" t="s">
        <v>4</v>
      </c>
      <c r="EB108" s="497" t="s">
        <v>4</v>
      </c>
      <c r="EC108" s="497" t="s">
        <v>4</v>
      </c>
      <c r="ED108" s="497" t="s">
        <v>4</v>
      </c>
      <c r="EE108" s="497" t="s">
        <v>4</v>
      </c>
      <c r="EF108" s="497" t="s">
        <v>4</v>
      </c>
      <c r="EG108" s="497" t="s">
        <v>4</v>
      </c>
      <c r="EH108" s="497" t="s">
        <v>4</v>
      </c>
      <c r="EI108" s="497" t="s">
        <v>4</v>
      </c>
      <c r="EJ108" s="497" t="s">
        <v>4</v>
      </c>
      <c r="EK108" s="497" t="s">
        <v>4</v>
      </c>
      <c r="EL108" s="497" t="s">
        <v>4</v>
      </c>
      <c r="EM108" s="497" t="s">
        <v>4</v>
      </c>
      <c r="EN108" s="497" t="s">
        <v>4</v>
      </c>
      <c r="EO108" s="497" t="s">
        <v>4</v>
      </c>
      <c r="EP108" s="497" t="s">
        <v>4</v>
      </c>
      <c r="EQ108" s="497" t="s">
        <v>4</v>
      </c>
      <c r="ER108" s="497" t="s">
        <v>4</v>
      </c>
      <c r="ES108" s="497" t="s">
        <v>4</v>
      </c>
      <c r="ET108" s="497" t="s">
        <v>4</v>
      </c>
      <c r="EU108" s="497" t="s">
        <v>4</v>
      </c>
      <c r="EV108" s="497" t="s">
        <v>4</v>
      </c>
      <c r="EW108" s="497">
        <v>0.20234722784297854</v>
      </c>
      <c r="EX108" s="497" t="s">
        <v>7</v>
      </c>
      <c r="EY108" s="497">
        <v>33.299999999999997</v>
      </c>
      <c r="EZ108" s="239">
        <f t="shared" si="4"/>
        <v>6.7381626871711842E-2</v>
      </c>
      <c r="FA108" s="497" t="s">
        <v>35268</v>
      </c>
      <c r="FB108" s="497" t="s">
        <v>29298</v>
      </c>
      <c r="FC108" s="497">
        <v>12</v>
      </c>
      <c r="FD108" s="497" t="s">
        <v>2</v>
      </c>
      <c r="FE108" s="497" t="s">
        <v>4</v>
      </c>
      <c r="FF108" s="497" t="s">
        <v>4</v>
      </c>
      <c r="FG108" s="497" t="s">
        <v>2</v>
      </c>
      <c r="FH108" s="497" t="s">
        <v>4</v>
      </c>
      <c r="FI108" s="497" t="s">
        <v>4</v>
      </c>
      <c r="FJ108" s="497" t="s">
        <v>4</v>
      </c>
      <c r="FK108" s="497" t="s">
        <v>4</v>
      </c>
      <c r="FL108" s="497" t="s">
        <v>4</v>
      </c>
      <c r="FM108" s="497" t="s">
        <v>4</v>
      </c>
      <c r="FN108" s="494" t="s">
        <v>4</v>
      </c>
      <c r="FO108" s="497" t="s">
        <v>4</v>
      </c>
      <c r="FP108" s="497" t="s">
        <v>2</v>
      </c>
      <c r="FQ108" s="497" t="s">
        <v>4</v>
      </c>
      <c r="FR108" s="497" t="s">
        <v>4</v>
      </c>
      <c r="FS108" s="497" t="s">
        <v>7</v>
      </c>
      <c r="FT108" s="497" t="s">
        <v>2</v>
      </c>
      <c r="FU108" s="497" t="s">
        <v>4</v>
      </c>
      <c r="FV108" s="497" t="s">
        <v>4</v>
      </c>
      <c r="FW108" s="497" t="s">
        <v>29433</v>
      </c>
      <c r="FX108" s="497">
        <v>0</v>
      </c>
      <c r="FY108" s="497" t="s">
        <v>4</v>
      </c>
      <c r="FZ108" s="497" t="s">
        <v>4</v>
      </c>
      <c r="GA108" s="497" t="s">
        <v>4</v>
      </c>
      <c r="GB108" s="497" t="s">
        <v>4</v>
      </c>
      <c r="GC108" s="497" t="s">
        <v>4</v>
      </c>
      <c r="GD108" s="497" t="s">
        <v>4</v>
      </c>
      <c r="GE108" s="497" t="s">
        <v>4</v>
      </c>
      <c r="GF108" s="497" t="s">
        <v>4</v>
      </c>
      <c r="GG108" s="497" t="s">
        <v>13</v>
      </c>
      <c r="GH108" s="497" t="s">
        <v>35269</v>
      </c>
      <c r="GI108" s="497" t="s">
        <v>4</v>
      </c>
      <c r="GJ108" s="497" t="s">
        <v>4</v>
      </c>
      <c r="GK108" s="497" t="s">
        <v>4</v>
      </c>
      <c r="GL108" s="497" t="s">
        <v>4</v>
      </c>
      <c r="GM108" s="497" t="s">
        <v>4</v>
      </c>
      <c r="GN108" s="497" t="s">
        <v>4</v>
      </c>
      <c r="GO108" s="497" t="s">
        <v>4</v>
      </c>
      <c r="GP108" s="497" t="s">
        <v>4</v>
      </c>
      <c r="GQ108" s="497" t="s">
        <v>4</v>
      </c>
      <c r="GR108" s="497" t="s">
        <v>4</v>
      </c>
      <c r="GS108" s="497" t="s">
        <v>4</v>
      </c>
      <c r="GT108" s="497" t="s">
        <v>29847</v>
      </c>
      <c r="GU108" s="497" t="s">
        <v>4</v>
      </c>
      <c r="GV108" s="494">
        <v>20</v>
      </c>
      <c r="GW108" s="497" t="s">
        <v>7</v>
      </c>
      <c r="GX108" s="497" t="s">
        <v>29309</v>
      </c>
      <c r="GY108" s="497" t="s">
        <v>4</v>
      </c>
      <c r="GZ108" s="497" t="s">
        <v>4</v>
      </c>
      <c r="HA108" s="497" t="s">
        <v>4</v>
      </c>
      <c r="HB108" s="497" t="s">
        <v>4</v>
      </c>
      <c r="HC108" s="497" t="s">
        <v>4</v>
      </c>
      <c r="HD108" s="497" t="s">
        <v>4</v>
      </c>
      <c r="HE108" s="497" t="s">
        <v>4</v>
      </c>
      <c r="HF108" s="497" t="s">
        <v>4</v>
      </c>
      <c r="HG108" s="497" t="s">
        <v>2</v>
      </c>
      <c r="HH108" s="497" t="s">
        <v>4</v>
      </c>
      <c r="HI108" s="497" t="s">
        <v>4</v>
      </c>
      <c r="HJ108" s="497" t="s">
        <v>4</v>
      </c>
      <c r="HK108" s="494" t="s">
        <v>4</v>
      </c>
      <c r="HL108" s="497" t="s">
        <v>35270</v>
      </c>
      <c r="HM108" s="497" t="s">
        <v>7</v>
      </c>
      <c r="HN108" s="497" t="s">
        <v>35271</v>
      </c>
      <c r="HO108" s="497" t="s">
        <v>35272</v>
      </c>
      <c r="HP108" s="497" t="s">
        <v>35273</v>
      </c>
      <c r="HQ108" s="497" t="s">
        <v>35274</v>
      </c>
      <c r="HR108" s="497" t="s">
        <v>35275</v>
      </c>
      <c r="HS108" s="497" t="s">
        <v>35276</v>
      </c>
      <c r="HT108" s="500" t="s">
        <v>35277</v>
      </c>
    </row>
    <row r="109" spans="1:228" s="570" customFormat="1" ht="30.2" customHeight="1" x14ac:dyDescent="0.25">
      <c r="A109" s="759"/>
      <c r="B109" s="496">
        <v>151</v>
      </c>
      <c r="C109" s="496" t="s">
        <v>435</v>
      </c>
      <c r="D109" s="497" t="s">
        <v>35046</v>
      </c>
      <c r="E109" s="497" t="s">
        <v>83</v>
      </c>
      <c r="F109" s="497" t="s">
        <v>7</v>
      </c>
      <c r="G109" s="497" t="s">
        <v>35047</v>
      </c>
      <c r="H109" s="497">
        <v>1222.385</v>
      </c>
      <c r="I109" s="497">
        <v>1.2376609999999999</v>
      </c>
      <c r="J109" s="497" t="s">
        <v>29319</v>
      </c>
      <c r="K109" s="497" t="s">
        <v>4</v>
      </c>
      <c r="L109" s="497" t="s">
        <v>35048</v>
      </c>
      <c r="M109" s="497">
        <v>702427848</v>
      </c>
      <c r="N109" s="497" t="s">
        <v>3</v>
      </c>
      <c r="O109" s="497" t="s">
        <v>31598</v>
      </c>
      <c r="P109" s="497" t="s">
        <v>4</v>
      </c>
      <c r="Q109" s="497">
        <v>5</v>
      </c>
      <c r="R109" s="497" t="s">
        <v>7</v>
      </c>
      <c r="S109" s="497" t="s">
        <v>31549</v>
      </c>
      <c r="T109" s="497" t="s">
        <v>4</v>
      </c>
      <c r="U109" s="497" t="s">
        <v>7</v>
      </c>
      <c r="V109" s="497" t="s">
        <v>7</v>
      </c>
      <c r="W109" s="497" t="s">
        <v>4</v>
      </c>
      <c r="X109" s="497" t="s">
        <v>7</v>
      </c>
      <c r="Y109" s="497" t="s">
        <v>4</v>
      </c>
      <c r="Z109" s="497" t="s">
        <v>4</v>
      </c>
      <c r="AA109" s="241" t="str">
        <f>IF(OR(U109="yes",Z109&gt;'SDG outcome'!$C$39),"yes","no")</f>
        <v>yes</v>
      </c>
      <c r="AB109" s="521" t="str">
        <f t="shared" si="3"/>
        <v>NA</v>
      </c>
      <c r="AC109" s="527" t="str">
        <f>IF(AND('SMS p2'!AA163="no",AND(Z109&gt;='SDG outcome'!$B$28,Z109&lt;'SDG outcome'!$C$39)),Z109-'SDG outcome'!$B$28,"")</f>
        <v/>
      </c>
      <c r="AD109" s="497" t="s">
        <v>4</v>
      </c>
      <c r="AE109" s="497" t="s">
        <v>4</v>
      </c>
      <c r="AF109" s="497" t="s">
        <v>4</v>
      </c>
      <c r="AG109" s="497" t="s">
        <v>4</v>
      </c>
      <c r="AH109" s="497" t="s">
        <v>4</v>
      </c>
      <c r="AI109" s="497" t="s">
        <v>4</v>
      </c>
      <c r="AJ109" s="501" t="s">
        <v>4</v>
      </c>
      <c r="AK109" s="497" t="s">
        <v>29290</v>
      </c>
      <c r="AL109" s="497" t="s">
        <v>29694</v>
      </c>
      <c r="AM109" s="497" t="s">
        <v>4</v>
      </c>
      <c r="AN109" s="497" t="s">
        <v>4</v>
      </c>
      <c r="AO109" s="497" t="s">
        <v>31536</v>
      </c>
      <c r="AP109" s="497" t="s">
        <v>4</v>
      </c>
      <c r="AQ109" s="497" t="s">
        <v>31600</v>
      </c>
      <c r="AR109" s="497" t="s">
        <v>4</v>
      </c>
      <c r="AS109" s="497" t="s">
        <v>31538</v>
      </c>
      <c r="AT109" s="497" t="s">
        <v>4</v>
      </c>
      <c r="AU109" s="497" t="s">
        <v>7</v>
      </c>
      <c r="AV109" s="497" t="s">
        <v>4</v>
      </c>
      <c r="AW109" s="497" t="s">
        <v>4</v>
      </c>
      <c r="AX109" s="497" t="s">
        <v>7</v>
      </c>
      <c r="AY109" s="497" t="s">
        <v>6</v>
      </c>
      <c r="AZ109" s="497" t="s">
        <v>4</v>
      </c>
      <c r="BA109" s="497" t="s">
        <v>31557</v>
      </c>
      <c r="BB109" s="497" t="s">
        <v>4</v>
      </c>
      <c r="BC109" s="497" t="s">
        <v>4</v>
      </c>
      <c r="BD109" s="497" t="s">
        <v>4</v>
      </c>
      <c r="BE109" s="497" t="s">
        <v>4</v>
      </c>
      <c r="BF109" s="497" t="s">
        <v>4</v>
      </c>
      <c r="BG109" s="497" t="s">
        <v>4</v>
      </c>
      <c r="BH109" s="497" t="s">
        <v>4</v>
      </c>
      <c r="BI109" s="497" t="s">
        <v>4</v>
      </c>
      <c r="BJ109" s="497" t="s">
        <v>4</v>
      </c>
      <c r="BK109" s="497" t="s">
        <v>7</v>
      </c>
      <c r="BL109" s="497" t="s">
        <v>6</v>
      </c>
      <c r="BM109" s="497" t="s">
        <v>4</v>
      </c>
      <c r="BN109" s="497" t="s">
        <v>31425</v>
      </c>
      <c r="BO109" s="497">
        <v>1</v>
      </c>
      <c r="BP109" s="497">
        <v>30</v>
      </c>
      <c r="BQ109" s="497" t="s">
        <v>31434</v>
      </c>
      <c r="BR109" s="499" t="s">
        <v>33361</v>
      </c>
      <c r="BS109" s="497" t="s">
        <v>4</v>
      </c>
      <c r="BT109" s="497">
        <v>3</v>
      </c>
      <c r="BU109" s="494" cm="1">
        <f t="array" ref="BU109">_xlfn.IFS(BQ109="Foreword vehicle",BT109*0,BQ109="Human wastes",BT109*0,BS109="Jerrycans",BT109*$BT$4,BQ109="Number of Basins",BT109*$BS$5,BQ109="Number of Buckets",BT109*$BT$6,BQ109="Number of Kgs",BT109*$BT$7,BQ109="Number of spades",BT109*$BT$8,BQ109="Number of wheelbarrows",BT109*$BT$9,BS109="Septic Tank",BT109*0)</f>
        <v>63</v>
      </c>
      <c r="BV109" s="494">
        <f>Table15[[#This Row],[Calculation: Conversion of metric to Kg manure feeding (Columns: BP, BQ, BR)]]*Table15[[#This Row],[Number of times used to feed biodigester]]</f>
        <v>63</v>
      </c>
      <c r="BW109" s="495" cm="1">
        <f t="array" ref="BW109">_xlfn.IFS(BN109="Number of times per day (1 to 3)",BV109/$BW$3,BN109="Number of times per week (1 to 6)",BV109/$BW$4,BN109="Number of times per Month (1 to 3)",BV109/$BW$5)</f>
        <v>63</v>
      </c>
      <c r="BX109" s="497" t="s">
        <v>31552</v>
      </c>
      <c r="BY109" s="497" t="s">
        <v>4</v>
      </c>
      <c r="BZ109" s="497" t="s">
        <v>2</v>
      </c>
      <c r="CA109" s="497" t="s">
        <v>4</v>
      </c>
      <c r="CB109" s="497" t="s">
        <v>4</v>
      </c>
      <c r="CC109" s="497" t="s">
        <v>4</v>
      </c>
      <c r="CD109" s="497" t="s">
        <v>7</v>
      </c>
      <c r="CE109" s="497" t="s">
        <v>35049</v>
      </c>
      <c r="CF109" s="497" t="s">
        <v>4</v>
      </c>
      <c r="CG109" s="497" t="s">
        <v>31604</v>
      </c>
      <c r="CH109" s="497">
        <v>2</v>
      </c>
      <c r="CI109" s="497">
        <v>0</v>
      </c>
      <c r="CJ109" s="497">
        <v>0</v>
      </c>
      <c r="CK109" s="497">
        <v>0</v>
      </c>
      <c r="CL109" s="497">
        <v>0</v>
      </c>
      <c r="CM109" s="497">
        <v>0</v>
      </c>
      <c r="CN109" s="497">
        <v>0</v>
      </c>
      <c r="CO109" s="497">
        <v>0</v>
      </c>
      <c r="CP109" s="497">
        <v>0</v>
      </c>
      <c r="CQ109" s="497">
        <v>0</v>
      </c>
      <c r="CR109" s="497">
        <f>IF(Table15[[#This Row],[Is your biodigester working?]]="yes",CO109/'SDG outcome'!$C$9*CP109*CQ109,"")</f>
        <v>0</v>
      </c>
      <c r="CS109" s="497">
        <v>100</v>
      </c>
      <c r="CT109" s="500">
        <v>0</v>
      </c>
      <c r="CU109" s="496" t="s">
        <v>4</v>
      </c>
      <c r="CV109" s="497" t="s">
        <v>4</v>
      </c>
      <c r="CW109" s="500" t="s">
        <v>4</v>
      </c>
      <c r="CX109" s="496" t="s">
        <v>4</v>
      </c>
      <c r="CY109" s="497" t="s">
        <v>4</v>
      </c>
      <c r="CZ109" s="500" t="s">
        <v>4</v>
      </c>
      <c r="DA109" s="496" t="s">
        <v>4</v>
      </c>
      <c r="DB109" s="497" t="s">
        <v>4</v>
      </c>
      <c r="DC109" s="497" t="s">
        <v>4</v>
      </c>
      <c r="DD109" s="497" t="s">
        <v>4</v>
      </c>
      <c r="DE109" s="497" t="s">
        <v>4</v>
      </c>
      <c r="DF109" s="497" t="s">
        <v>4</v>
      </c>
      <c r="DG109" s="497" t="s">
        <v>4</v>
      </c>
      <c r="DH109" s="497" t="s">
        <v>4</v>
      </c>
      <c r="DI109" s="497" t="s">
        <v>4</v>
      </c>
      <c r="DJ109" s="497" t="s">
        <v>4</v>
      </c>
      <c r="DK109" s="497" t="s">
        <v>4</v>
      </c>
      <c r="DL109" s="497" t="s">
        <v>4</v>
      </c>
      <c r="DM109" s="497" t="s">
        <v>4</v>
      </c>
      <c r="DN109" s="497">
        <v>6</v>
      </c>
      <c r="DO109" s="497" t="s">
        <v>7</v>
      </c>
      <c r="DP109" s="497" t="s">
        <v>29292</v>
      </c>
      <c r="DQ109" s="497" t="s">
        <v>4</v>
      </c>
      <c r="DR109" s="497" t="s">
        <v>29293</v>
      </c>
      <c r="DS109" s="494">
        <v>60000</v>
      </c>
      <c r="DT109" s="497" t="s">
        <v>29294</v>
      </c>
      <c r="DU109" s="494" t="s">
        <v>4</v>
      </c>
      <c r="DV109" s="500" t="s">
        <v>29295</v>
      </c>
      <c r="DW109" s="496">
        <v>100</v>
      </c>
      <c r="DX109" s="497" t="s">
        <v>29296</v>
      </c>
      <c r="DY109" s="497">
        <v>100</v>
      </c>
      <c r="DZ109" s="497" t="s">
        <v>4</v>
      </c>
      <c r="EA109" s="497" t="s">
        <v>4</v>
      </c>
      <c r="EB109" s="497" t="s">
        <v>4</v>
      </c>
      <c r="EC109" s="497" t="s">
        <v>4</v>
      </c>
      <c r="ED109" s="497" t="s">
        <v>4</v>
      </c>
      <c r="EE109" s="497" t="s">
        <v>4</v>
      </c>
      <c r="EF109" s="497" t="s">
        <v>4</v>
      </c>
      <c r="EG109" s="497" t="s">
        <v>4</v>
      </c>
      <c r="EH109" s="497" t="s">
        <v>4</v>
      </c>
      <c r="EI109" s="497" t="s">
        <v>4</v>
      </c>
      <c r="EJ109" s="497" t="s">
        <v>4</v>
      </c>
      <c r="EK109" s="497" t="s">
        <v>4</v>
      </c>
      <c r="EL109" s="497" t="s">
        <v>4</v>
      </c>
      <c r="EM109" s="497" t="s">
        <v>4</v>
      </c>
      <c r="EN109" s="497" t="s">
        <v>4</v>
      </c>
      <c r="EO109" s="497" t="s">
        <v>4</v>
      </c>
      <c r="EP109" s="497" t="s">
        <v>4</v>
      </c>
      <c r="EQ109" s="497" t="s">
        <v>4</v>
      </c>
      <c r="ER109" s="497" t="s">
        <v>4</v>
      </c>
      <c r="ES109" s="497" t="s">
        <v>4</v>
      </c>
      <c r="ET109" s="497" t="s">
        <v>4</v>
      </c>
      <c r="EU109" s="497" t="s">
        <v>4</v>
      </c>
      <c r="EV109" s="497" t="s">
        <v>4</v>
      </c>
      <c r="EW109" s="497">
        <v>2.5</v>
      </c>
      <c r="EX109" s="497" t="s">
        <v>7</v>
      </c>
      <c r="EY109" s="497">
        <v>2</v>
      </c>
      <c r="EZ109" s="239">
        <f t="shared" si="4"/>
        <v>0.05</v>
      </c>
      <c r="FA109" s="497" t="s">
        <v>35050</v>
      </c>
      <c r="FB109" s="497" t="s">
        <v>29298</v>
      </c>
      <c r="FC109" s="497">
        <v>144</v>
      </c>
      <c r="FD109" s="497" t="s">
        <v>7</v>
      </c>
      <c r="FE109" s="497" t="s">
        <v>29299</v>
      </c>
      <c r="FF109" s="497" t="s">
        <v>4</v>
      </c>
      <c r="FG109" s="497" t="s">
        <v>2</v>
      </c>
      <c r="FH109" s="497" t="s">
        <v>4</v>
      </c>
      <c r="FI109" s="497" t="s">
        <v>4</v>
      </c>
      <c r="FJ109" s="497" t="s">
        <v>4</v>
      </c>
      <c r="FK109" s="497" t="s">
        <v>4</v>
      </c>
      <c r="FL109" s="497" t="s">
        <v>4</v>
      </c>
      <c r="FM109" s="497" t="s">
        <v>4</v>
      </c>
      <c r="FN109" s="494" t="s">
        <v>4</v>
      </c>
      <c r="FO109" s="497" t="s">
        <v>4</v>
      </c>
      <c r="FP109" s="497" t="s">
        <v>2</v>
      </c>
      <c r="FQ109" s="497" t="s">
        <v>4</v>
      </c>
      <c r="FR109" s="497" t="s">
        <v>4</v>
      </c>
      <c r="FS109" s="497" t="s">
        <v>7</v>
      </c>
      <c r="FT109" s="497" t="s">
        <v>7</v>
      </c>
      <c r="FU109" s="497" t="s">
        <v>29302</v>
      </c>
      <c r="FV109" s="497" t="s">
        <v>35051</v>
      </c>
      <c r="FW109" s="497" t="s">
        <v>29304</v>
      </c>
      <c r="FX109" s="497">
        <v>2</v>
      </c>
      <c r="FY109" s="497" t="s">
        <v>29305</v>
      </c>
      <c r="FZ109" s="497" t="s">
        <v>29306</v>
      </c>
      <c r="GA109" s="497" t="s">
        <v>4</v>
      </c>
      <c r="GB109" s="497" t="s">
        <v>4</v>
      </c>
      <c r="GC109" s="497" t="s">
        <v>4</v>
      </c>
      <c r="GD109" s="497" t="s">
        <v>4</v>
      </c>
      <c r="GE109" s="497" t="s">
        <v>4</v>
      </c>
      <c r="GF109" s="497" t="s">
        <v>4</v>
      </c>
      <c r="GG109" s="497" t="s">
        <v>4</v>
      </c>
      <c r="GH109" s="497" t="s">
        <v>4</v>
      </c>
      <c r="GI109" s="497" t="s">
        <v>4</v>
      </c>
      <c r="GJ109" s="497" t="s">
        <v>4</v>
      </c>
      <c r="GK109" s="497" t="s">
        <v>4</v>
      </c>
      <c r="GL109" s="497" t="s">
        <v>4</v>
      </c>
      <c r="GM109" s="497" t="s">
        <v>4</v>
      </c>
      <c r="GN109" s="497" t="s">
        <v>4</v>
      </c>
      <c r="GO109" s="497" t="s">
        <v>4</v>
      </c>
      <c r="GP109" s="497" t="s">
        <v>4</v>
      </c>
      <c r="GQ109" s="497" t="s">
        <v>4</v>
      </c>
      <c r="GR109" s="497" t="s">
        <v>4</v>
      </c>
      <c r="GS109" s="497" t="s">
        <v>4</v>
      </c>
      <c r="GT109" s="497" t="s">
        <v>29354</v>
      </c>
      <c r="GU109" s="497" t="s">
        <v>4</v>
      </c>
      <c r="GV109" s="494">
        <v>5</v>
      </c>
      <c r="GW109" s="497" t="s">
        <v>2</v>
      </c>
      <c r="GX109" s="497" t="s">
        <v>29309</v>
      </c>
      <c r="GY109" s="497" t="s">
        <v>4</v>
      </c>
      <c r="GZ109" s="497" t="s">
        <v>4</v>
      </c>
      <c r="HA109" s="497" t="s">
        <v>4</v>
      </c>
      <c r="HB109" s="497" t="s">
        <v>4</v>
      </c>
      <c r="HC109" s="497" t="s">
        <v>4</v>
      </c>
      <c r="HD109" s="497" t="s">
        <v>4</v>
      </c>
      <c r="HE109" s="497" t="s">
        <v>4</v>
      </c>
      <c r="HF109" s="497" t="s">
        <v>4</v>
      </c>
      <c r="HG109" s="497" t="s">
        <v>2</v>
      </c>
      <c r="HH109" s="497" t="s">
        <v>4</v>
      </c>
      <c r="HI109" s="497" t="s">
        <v>4</v>
      </c>
      <c r="HJ109" s="497" t="s">
        <v>4</v>
      </c>
      <c r="HK109" s="494" t="s">
        <v>4</v>
      </c>
      <c r="HL109" s="497" t="s">
        <v>33474</v>
      </c>
      <c r="HM109" s="497" t="s">
        <v>2</v>
      </c>
      <c r="HN109" s="497" t="s">
        <v>4</v>
      </c>
      <c r="HO109" s="497" t="s">
        <v>16</v>
      </c>
      <c r="HP109" s="497" t="s">
        <v>35052</v>
      </c>
      <c r="HQ109" s="497" t="s">
        <v>35053</v>
      </c>
      <c r="HR109" s="497" t="s">
        <v>35054</v>
      </c>
      <c r="HS109" s="497" t="s">
        <v>35055</v>
      </c>
      <c r="HT109" s="500" t="s">
        <v>35046</v>
      </c>
    </row>
    <row r="110" spans="1:228" s="570" customFormat="1" ht="30.2" customHeight="1" x14ac:dyDescent="0.25">
      <c r="A110" s="759"/>
      <c r="B110" s="496">
        <v>73</v>
      </c>
      <c r="C110" s="496" t="s">
        <v>8162</v>
      </c>
      <c r="D110" s="497" t="s">
        <v>34197</v>
      </c>
      <c r="E110" s="497" t="s">
        <v>29799</v>
      </c>
      <c r="F110" s="497" t="s">
        <v>7</v>
      </c>
      <c r="G110" s="497" t="s">
        <v>34198</v>
      </c>
      <c r="H110" s="497">
        <v>1188.135254</v>
      </c>
      <c r="I110" s="497">
        <v>8.013738</v>
      </c>
      <c r="J110" s="497" t="s">
        <v>29288</v>
      </c>
      <c r="K110" s="497" t="s">
        <v>4</v>
      </c>
      <c r="L110" s="497" t="s">
        <v>34199</v>
      </c>
      <c r="M110" s="497">
        <v>773223334</v>
      </c>
      <c r="N110" s="497" t="s">
        <v>3</v>
      </c>
      <c r="O110" s="497" t="s">
        <v>31590</v>
      </c>
      <c r="P110" s="497" t="s">
        <v>4</v>
      </c>
      <c r="Q110" s="497">
        <v>3</v>
      </c>
      <c r="R110" s="497" t="s">
        <v>7</v>
      </c>
      <c r="S110" s="497" t="s">
        <v>31549</v>
      </c>
      <c r="T110" s="497" t="s">
        <v>4</v>
      </c>
      <c r="U110" s="497" t="s">
        <v>7</v>
      </c>
      <c r="V110" s="497" t="s">
        <v>7</v>
      </c>
      <c r="W110" s="497" t="s">
        <v>4</v>
      </c>
      <c r="X110" s="497" t="s">
        <v>7</v>
      </c>
      <c r="Y110" s="497" t="s">
        <v>4</v>
      </c>
      <c r="Z110" s="497" t="s">
        <v>4</v>
      </c>
      <c r="AA110" s="241" t="str">
        <f>IF(OR(U110="yes",Z110&gt;'SDG outcome'!$C$39),"yes","no")</f>
        <v>yes</v>
      </c>
      <c r="AB110" s="521" t="str">
        <f t="shared" si="3"/>
        <v>NA</v>
      </c>
      <c r="AC110" s="527" t="str">
        <f>IF(AND('SMS p2'!AA85="no",AND(Z110&gt;='SDG outcome'!$B$28,Z110&lt;'SDG outcome'!$C$39)),Z110-'SDG outcome'!$B$28,"")</f>
        <v/>
      </c>
      <c r="AD110" s="497" t="s">
        <v>4</v>
      </c>
      <c r="AE110" s="497" t="s">
        <v>4</v>
      </c>
      <c r="AF110" s="497" t="s">
        <v>4</v>
      </c>
      <c r="AG110" s="497" t="s">
        <v>4</v>
      </c>
      <c r="AH110" s="497" t="s">
        <v>4</v>
      </c>
      <c r="AI110" s="497" t="s">
        <v>4</v>
      </c>
      <c r="AJ110" s="497" t="s">
        <v>4</v>
      </c>
      <c r="AK110" s="497" t="s">
        <v>29290</v>
      </c>
      <c r="AL110" s="497" t="s">
        <v>29694</v>
      </c>
      <c r="AM110" s="497" t="s">
        <v>4</v>
      </c>
      <c r="AN110" s="497" t="s">
        <v>4</v>
      </c>
      <c r="AO110" s="497" t="s">
        <v>31536</v>
      </c>
      <c r="AP110" s="497" t="s">
        <v>4</v>
      </c>
      <c r="AQ110" s="497" t="s">
        <v>31537</v>
      </c>
      <c r="AR110" s="497" t="s">
        <v>4</v>
      </c>
      <c r="AS110" s="497" t="s">
        <v>34200</v>
      </c>
      <c r="AT110" s="497" t="s">
        <v>4</v>
      </c>
      <c r="AU110" s="497" t="s">
        <v>7</v>
      </c>
      <c r="AV110" s="497" t="s">
        <v>4</v>
      </c>
      <c r="AW110" s="497" t="s">
        <v>4</v>
      </c>
      <c r="AX110" s="497" t="s">
        <v>7</v>
      </c>
      <c r="AY110" s="497" t="s">
        <v>6</v>
      </c>
      <c r="AZ110" s="497" t="s">
        <v>4</v>
      </c>
      <c r="BA110" s="497" t="s">
        <v>31563</v>
      </c>
      <c r="BB110" s="497" t="s">
        <v>31541</v>
      </c>
      <c r="BC110" s="497" t="s">
        <v>4</v>
      </c>
      <c r="BD110" s="497" t="s">
        <v>14</v>
      </c>
      <c r="BE110" s="497" t="s">
        <v>4</v>
      </c>
      <c r="BF110" s="497" t="s">
        <v>31542</v>
      </c>
      <c r="BG110" s="497" t="s">
        <v>34201</v>
      </c>
      <c r="BH110" s="497" t="s">
        <v>31544</v>
      </c>
      <c r="BI110" s="497">
        <v>2</v>
      </c>
      <c r="BJ110" s="497">
        <v>30</v>
      </c>
      <c r="BK110" s="497" t="s">
        <v>7</v>
      </c>
      <c r="BL110" s="497" t="s">
        <v>6</v>
      </c>
      <c r="BM110" s="497" t="s">
        <v>4</v>
      </c>
      <c r="BN110" s="497" t="s">
        <v>31429</v>
      </c>
      <c r="BO110" s="497">
        <v>3</v>
      </c>
      <c r="BP110" s="497">
        <v>30</v>
      </c>
      <c r="BQ110" s="497" t="s">
        <v>13</v>
      </c>
      <c r="BR110" s="499" t="s">
        <v>33332</v>
      </c>
      <c r="BS110" s="497" t="s">
        <v>31431</v>
      </c>
      <c r="BT110" s="497">
        <v>6</v>
      </c>
      <c r="BU110" s="494" cm="1">
        <f t="array" ref="BU110">_xlfn.IFS(BQ110="Foreword vehicle",BT110*0,BQ110="Human wastes",BT110*0,BS110="Jerrycans",BT110*$BT$4,BQ110="Number of Basins",BT110*$BT$5,BQ110="Number of Buckets",BT110*$BT$6,BQ110="Number of Kgs",BT110*$BT$7,BQ110="Number of spades",BT110*$BT$8,BQ110="Number of wheelbarrows",BT110*$BT$9,BS110="Septic Tank",BT110*0)</f>
        <v>108</v>
      </c>
      <c r="BV110" s="494">
        <f>Table15[[#This Row],[Calculation: Conversion of metric to Kg manure feeding (Columns: BP, BQ, BR)]]*Table15[[#This Row],[Number of times used to feed biodigester]]</f>
        <v>324</v>
      </c>
      <c r="BW110" s="495" cm="1">
        <f t="array" ref="BW110">_xlfn.IFS(BN110="Number of times per day (1 to 3)",BV110/$BW$3,BN110="Number of times per week (1 to 6)",BV110/$BW$4,BN110="Number of times per Month (1 to 3)",BV110/$BW$5)</f>
        <v>46.285714285714285</v>
      </c>
      <c r="BX110" s="497" t="s">
        <v>31541</v>
      </c>
      <c r="BY110" s="497" t="s">
        <v>4</v>
      </c>
      <c r="BZ110" s="497" t="s">
        <v>2</v>
      </c>
      <c r="CA110" s="497" t="s">
        <v>4</v>
      </c>
      <c r="CB110" s="497" t="s">
        <v>4</v>
      </c>
      <c r="CC110" s="497" t="s">
        <v>4</v>
      </c>
      <c r="CD110" s="497" t="s">
        <v>7</v>
      </c>
      <c r="CE110" s="497" t="s">
        <v>34202</v>
      </c>
      <c r="CF110" s="497" t="s">
        <v>4</v>
      </c>
      <c r="CG110" s="497" t="s">
        <v>31604</v>
      </c>
      <c r="CH110" s="497">
        <v>3</v>
      </c>
      <c r="CI110" s="497">
        <v>0</v>
      </c>
      <c r="CJ110" s="497">
        <v>0</v>
      </c>
      <c r="CK110" s="497">
        <v>0</v>
      </c>
      <c r="CL110" s="497">
        <v>0</v>
      </c>
      <c r="CM110" s="497">
        <v>0</v>
      </c>
      <c r="CN110" s="497">
        <v>0</v>
      </c>
      <c r="CO110" s="497">
        <v>0</v>
      </c>
      <c r="CP110" s="497">
        <v>0</v>
      </c>
      <c r="CQ110" s="497">
        <v>0</v>
      </c>
      <c r="CR110" s="497">
        <f>IF(Table15[[#This Row],[Is your biodigester working?]]="yes",CO110/'SDG outcome'!$C$9*CP110*CQ110,"")</f>
        <v>0</v>
      </c>
      <c r="CS110" s="497">
        <v>80</v>
      </c>
      <c r="CT110" s="500">
        <v>20</v>
      </c>
      <c r="CU110" s="496" t="s">
        <v>34203</v>
      </c>
      <c r="CV110" s="497" t="s">
        <v>4</v>
      </c>
      <c r="CW110" s="500" t="s">
        <v>4</v>
      </c>
      <c r="CX110" s="496" t="s">
        <v>4</v>
      </c>
      <c r="CY110" s="497" t="s">
        <v>4</v>
      </c>
      <c r="CZ110" s="500" t="s">
        <v>4</v>
      </c>
      <c r="DA110" s="496" t="s">
        <v>4</v>
      </c>
      <c r="DB110" s="497" t="s">
        <v>4</v>
      </c>
      <c r="DC110" s="497" t="s">
        <v>4</v>
      </c>
      <c r="DD110" s="497" t="s">
        <v>4</v>
      </c>
      <c r="DE110" s="497" t="s">
        <v>4</v>
      </c>
      <c r="DF110" s="497" t="s">
        <v>4</v>
      </c>
      <c r="DG110" s="497" t="s">
        <v>4</v>
      </c>
      <c r="DH110" s="497" t="s">
        <v>4</v>
      </c>
      <c r="DI110" s="497" t="s">
        <v>4</v>
      </c>
      <c r="DJ110" s="497" t="s">
        <v>4</v>
      </c>
      <c r="DK110" s="497" t="s">
        <v>4</v>
      </c>
      <c r="DL110" s="497" t="s">
        <v>4</v>
      </c>
      <c r="DM110" s="497" t="s">
        <v>4</v>
      </c>
      <c r="DN110" s="497">
        <v>0.5</v>
      </c>
      <c r="DO110" s="497" t="s">
        <v>2</v>
      </c>
      <c r="DP110" s="497" t="s">
        <v>29292</v>
      </c>
      <c r="DQ110" s="497" t="s">
        <v>4</v>
      </c>
      <c r="DR110" s="497" t="s">
        <v>29294</v>
      </c>
      <c r="DS110" s="494" t="s">
        <v>4</v>
      </c>
      <c r="DT110" s="497" t="s">
        <v>29293</v>
      </c>
      <c r="DU110" s="494">
        <v>0</v>
      </c>
      <c r="DV110" s="500" t="s">
        <v>29508</v>
      </c>
      <c r="DW110" s="496" t="s">
        <v>4</v>
      </c>
      <c r="DX110" s="497" t="s">
        <v>4</v>
      </c>
      <c r="DY110" s="497" t="s">
        <v>4</v>
      </c>
      <c r="DZ110" s="497" t="s">
        <v>4</v>
      </c>
      <c r="EA110" s="497" t="s">
        <v>4</v>
      </c>
      <c r="EB110" s="497" t="s">
        <v>4</v>
      </c>
      <c r="EC110" s="497" t="s">
        <v>4</v>
      </c>
      <c r="ED110" s="497">
        <v>100</v>
      </c>
      <c r="EE110" s="497" t="s">
        <v>30667</v>
      </c>
      <c r="EF110" s="497" t="s">
        <v>4</v>
      </c>
      <c r="EG110" s="497" t="s">
        <v>4</v>
      </c>
      <c r="EH110" s="497">
        <v>100</v>
      </c>
      <c r="EI110" s="497" t="s">
        <v>4</v>
      </c>
      <c r="EJ110" s="497" t="s">
        <v>4</v>
      </c>
      <c r="EK110" s="497" t="s">
        <v>4</v>
      </c>
      <c r="EL110" s="497" t="s">
        <v>4</v>
      </c>
      <c r="EM110" s="497">
        <v>14</v>
      </c>
      <c r="EN110" s="497" t="s">
        <v>4</v>
      </c>
      <c r="EO110" s="497" t="s">
        <v>4</v>
      </c>
      <c r="EP110" s="497" t="s">
        <v>4</v>
      </c>
      <c r="EQ110" s="497" t="s">
        <v>29296</v>
      </c>
      <c r="ER110" s="497">
        <v>100</v>
      </c>
      <c r="ES110" s="497" t="s">
        <v>4</v>
      </c>
      <c r="ET110" s="497" t="s">
        <v>4</v>
      </c>
      <c r="EU110" s="497" t="s">
        <v>4</v>
      </c>
      <c r="EV110" s="497" t="s">
        <v>4</v>
      </c>
      <c r="EW110" s="497">
        <v>4.5999999999999999E-2</v>
      </c>
      <c r="EX110" s="497" t="s">
        <v>7</v>
      </c>
      <c r="EY110" s="497">
        <v>100</v>
      </c>
      <c r="EZ110" s="239">
        <f t="shared" si="4"/>
        <v>4.5999999999999999E-2</v>
      </c>
      <c r="FA110" s="497" t="s">
        <v>34204</v>
      </c>
      <c r="FB110" s="497" t="s">
        <v>29298</v>
      </c>
      <c r="FC110" s="497">
        <v>48</v>
      </c>
      <c r="FD110" s="497" t="s">
        <v>2</v>
      </c>
      <c r="FE110" s="497" t="s">
        <v>4</v>
      </c>
      <c r="FF110" s="497" t="s">
        <v>4</v>
      </c>
      <c r="FG110" s="497" t="s">
        <v>2</v>
      </c>
      <c r="FH110" s="497" t="s">
        <v>4</v>
      </c>
      <c r="FI110" s="497" t="s">
        <v>4</v>
      </c>
      <c r="FJ110" s="497" t="s">
        <v>4</v>
      </c>
      <c r="FK110" s="497" t="s">
        <v>4</v>
      </c>
      <c r="FL110" s="497" t="s">
        <v>4</v>
      </c>
      <c r="FM110" s="497" t="s">
        <v>4</v>
      </c>
      <c r="FN110" s="494" t="s">
        <v>4</v>
      </c>
      <c r="FO110" s="497" t="s">
        <v>4</v>
      </c>
      <c r="FP110" s="497" t="s">
        <v>2</v>
      </c>
      <c r="FQ110" s="497" t="s">
        <v>4</v>
      </c>
      <c r="FR110" s="497" t="s">
        <v>4</v>
      </c>
      <c r="FS110" s="497" t="s">
        <v>7</v>
      </c>
      <c r="FT110" s="497" t="s">
        <v>2</v>
      </c>
      <c r="FU110" s="497" t="s">
        <v>4</v>
      </c>
      <c r="FV110" s="497" t="s">
        <v>4</v>
      </c>
      <c r="FW110" s="497" t="s">
        <v>29304</v>
      </c>
      <c r="FX110" s="497">
        <v>2</v>
      </c>
      <c r="FY110" s="497" t="s">
        <v>29449</v>
      </c>
      <c r="FZ110" s="497" t="s">
        <v>29323</v>
      </c>
      <c r="GA110" s="497" t="s">
        <v>4</v>
      </c>
      <c r="GB110" s="497" t="s">
        <v>4</v>
      </c>
      <c r="GC110" s="497" t="s">
        <v>4</v>
      </c>
      <c r="GD110" s="497" t="s">
        <v>29451</v>
      </c>
      <c r="GE110" s="497" t="s">
        <v>4</v>
      </c>
      <c r="GF110" s="497" t="s">
        <v>4</v>
      </c>
      <c r="GG110" s="497" t="s">
        <v>4</v>
      </c>
      <c r="GH110" s="497" t="s">
        <v>4</v>
      </c>
      <c r="GI110" s="497" t="s">
        <v>4</v>
      </c>
      <c r="GJ110" s="497" t="s">
        <v>4</v>
      </c>
      <c r="GK110" s="497" t="s">
        <v>4</v>
      </c>
      <c r="GL110" s="497" t="s">
        <v>4</v>
      </c>
      <c r="GM110" s="497" t="s">
        <v>4</v>
      </c>
      <c r="GN110" s="497" t="s">
        <v>4</v>
      </c>
      <c r="GO110" s="497" t="s">
        <v>4</v>
      </c>
      <c r="GP110" s="497" t="s">
        <v>4</v>
      </c>
      <c r="GQ110" s="497" t="s">
        <v>4</v>
      </c>
      <c r="GR110" s="497" t="s">
        <v>4</v>
      </c>
      <c r="GS110" s="497" t="s">
        <v>4</v>
      </c>
      <c r="GT110" s="497" t="s">
        <v>29452</v>
      </c>
      <c r="GU110" s="497" t="s">
        <v>4</v>
      </c>
      <c r="GV110" s="494">
        <v>3</v>
      </c>
      <c r="GW110" s="497" t="s">
        <v>29325</v>
      </c>
      <c r="GX110" s="497" t="s">
        <v>29480</v>
      </c>
      <c r="GY110" s="497" t="s">
        <v>4</v>
      </c>
      <c r="GZ110" s="497" t="s">
        <v>4</v>
      </c>
      <c r="HA110" s="497" t="s">
        <v>4</v>
      </c>
      <c r="HB110" s="497" t="s">
        <v>4</v>
      </c>
      <c r="HC110" s="497" t="s">
        <v>4</v>
      </c>
      <c r="HD110" s="497" t="s">
        <v>4</v>
      </c>
      <c r="HE110" s="497" t="s">
        <v>4</v>
      </c>
      <c r="HF110" s="497" t="s">
        <v>4</v>
      </c>
      <c r="HG110" s="497" t="s">
        <v>2</v>
      </c>
      <c r="HH110" s="497" t="s">
        <v>4</v>
      </c>
      <c r="HI110" s="497" t="s">
        <v>4</v>
      </c>
      <c r="HJ110" s="497" t="s">
        <v>4</v>
      </c>
      <c r="HK110" s="494" t="s">
        <v>4</v>
      </c>
      <c r="HL110" s="497" t="s">
        <v>34205</v>
      </c>
      <c r="HM110" s="497" t="s">
        <v>7</v>
      </c>
      <c r="HN110" s="497" t="s">
        <v>34206</v>
      </c>
      <c r="HO110" s="497" t="s">
        <v>16</v>
      </c>
      <c r="HP110" s="497" t="s">
        <v>34207</v>
      </c>
      <c r="HQ110" s="497" t="s">
        <v>34208</v>
      </c>
      <c r="HR110" s="497" t="s">
        <v>34209</v>
      </c>
      <c r="HS110" s="497" t="s">
        <v>16</v>
      </c>
      <c r="HT110" s="500" t="s">
        <v>34210</v>
      </c>
    </row>
    <row r="111" spans="1:228" s="570" customFormat="1" ht="30.2" customHeight="1" x14ac:dyDescent="0.25">
      <c r="A111" s="759"/>
      <c r="B111" s="496">
        <v>6</v>
      </c>
      <c r="C111" s="496" t="s">
        <v>28210</v>
      </c>
      <c r="D111" s="497" t="s">
        <v>33403</v>
      </c>
      <c r="E111" s="497" t="s">
        <v>29286</v>
      </c>
      <c r="F111" s="497" t="s">
        <v>7</v>
      </c>
      <c r="G111" s="497" t="s">
        <v>33404</v>
      </c>
      <c r="H111" s="497">
        <v>1103.508</v>
      </c>
      <c r="I111" s="497">
        <v>1.1381300000000001</v>
      </c>
      <c r="J111" s="497" t="s">
        <v>29288</v>
      </c>
      <c r="K111" s="497" t="s">
        <v>4</v>
      </c>
      <c r="L111" s="497" t="s">
        <v>33405</v>
      </c>
      <c r="M111" s="497">
        <v>785515227</v>
      </c>
      <c r="N111" s="497" t="s">
        <v>3</v>
      </c>
      <c r="O111" s="497" t="s">
        <v>31438</v>
      </c>
      <c r="P111" s="497">
        <v>65</v>
      </c>
      <c r="Q111" s="497">
        <v>14</v>
      </c>
      <c r="R111" s="497" t="s">
        <v>7</v>
      </c>
      <c r="S111" s="497" t="s">
        <v>31549</v>
      </c>
      <c r="T111" s="497" t="s">
        <v>4</v>
      </c>
      <c r="U111" s="497" t="s">
        <v>7</v>
      </c>
      <c r="V111" s="497" t="s">
        <v>7</v>
      </c>
      <c r="W111" s="497" t="s">
        <v>4</v>
      </c>
      <c r="X111" s="497" t="s">
        <v>7</v>
      </c>
      <c r="Y111" s="497" t="s">
        <v>4</v>
      </c>
      <c r="Z111" s="497" t="s">
        <v>4</v>
      </c>
      <c r="AA111" s="241" t="str">
        <f>IF(OR(U111="yes",Z111&gt;'SDG outcome'!$C$39),"yes","no")</f>
        <v>yes</v>
      </c>
      <c r="AB111" s="521" t="str">
        <f t="shared" si="3"/>
        <v>NA</v>
      </c>
      <c r="AC111" s="527" t="str">
        <f>IF(AND('SMS p2'!AA18="no",AND(Z111&gt;='SDG outcome'!$B$28,Z111&lt;'SDG outcome'!$C$39)),Z111-'SDG outcome'!$B$28,"")</f>
        <v/>
      </c>
      <c r="AD111" s="497" t="s">
        <v>4</v>
      </c>
      <c r="AE111" s="497" t="s">
        <v>4</v>
      </c>
      <c r="AF111" s="497" t="s">
        <v>4</v>
      </c>
      <c r="AG111" s="497" t="s">
        <v>4</v>
      </c>
      <c r="AH111" s="497" t="s">
        <v>4</v>
      </c>
      <c r="AI111" s="497" t="s">
        <v>4</v>
      </c>
      <c r="AJ111" s="497" t="s">
        <v>4</v>
      </c>
      <c r="AK111" s="497" t="s">
        <v>29290</v>
      </c>
      <c r="AL111" s="497" t="s">
        <v>29291</v>
      </c>
      <c r="AM111" s="497" t="s">
        <v>4</v>
      </c>
      <c r="AN111" s="497" t="s">
        <v>4</v>
      </c>
      <c r="AO111" s="497" t="s">
        <v>31718</v>
      </c>
      <c r="AP111" s="497" t="s">
        <v>4</v>
      </c>
      <c r="AQ111" s="497" t="s">
        <v>31600</v>
      </c>
      <c r="AR111" s="497" t="s">
        <v>4</v>
      </c>
      <c r="AS111" s="497" t="s">
        <v>31538</v>
      </c>
      <c r="AT111" s="497" t="s">
        <v>4</v>
      </c>
      <c r="AU111" s="497" t="s">
        <v>7</v>
      </c>
      <c r="AV111" s="497" t="s">
        <v>4</v>
      </c>
      <c r="AW111" s="497" t="s">
        <v>4</v>
      </c>
      <c r="AX111" s="497" t="s">
        <v>7</v>
      </c>
      <c r="AY111" s="497" t="s">
        <v>6</v>
      </c>
      <c r="AZ111" s="497" t="s">
        <v>4</v>
      </c>
      <c r="BA111" s="497" t="s">
        <v>31619</v>
      </c>
      <c r="BB111" s="497" t="s">
        <v>31541</v>
      </c>
      <c r="BC111" s="497" t="s">
        <v>4</v>
      </c>
      <c r="BD111" s="497" t="s">
        <v>31564</v>
      </c>
      <c r="BE111" s="497" t="s">
        <v>4</v>
      </c>
      <c r="BF111" s="497" t="s">
        <v>31542</v>
      </c>
      <c r="BG111" s="497" t="s">
        <v>33406</v>
      </c>
      <c r="BH111" s="497" t="s">
        <v>31632</v>
      </c>
      <c r="BI111" s="497">
        <v>2</v>
      </c>
      <c r="BJ111" s="497">
        <v>180</v>
      </c>
      <c r="BK111" s="497" t="s">
        <v>2</v>
      </c>
      <c r="BL111" s="497" t="s">
        <v>4</v>
      </c>
      <c r="BM111" s="497" t="s">
        <v>4</v>
      </c>
      <c r="BN111" s="497" t="s">
        <v>31425</v>
      </c>
      <c r="BO111" s="497">
        <v>1</v>
      </c>
      <c r="BP111" s="497">
        <v>30</v>
      </c>
      <c r="BQ111" s="497" t="s">
        <v>31426</v>
      </c>
      <c r="BR111" s="499" t="s">
        <v>33361</v>
      </c>
      <c r="BS111" s="497" t="s">
        <v>4</v>
      </c>
      <c r="BT111" s="497">
        <v>3</v>
      </c>
      <c r="BU111" s="494" cm="1">
        <f t="array" ref="BU111">_xlfn.IFS(BQ111="Foreword vehicle",BT111*0,BQ111="Human wastes",BT111*0,BS111="Jerrycans",BT111*$BT$4,BQ111="Number of Basins",BT111*$BT$5,BQ111="Number of Buckets",BT111*$BS$6,BQ111="Number of Kgs",BT111*$BT$7,BQ111="Number of spades",BT111*$BT$8,BQ111="Number of wheelbarrows",BT111*$BT$9,BS111="Septic Tank",BT111*0)</f>
        <v>70.5</v>
      </c>
      <c r="BV111" s="494">
        <f>Table15[[#This Row],[Calculation: Conversion of metric to Kg manure feeding (Columns: BP, BQ, BR)]]*Table15[[#This Row],[Number of times used to feed biodigester]]</f>
        <v>70.5</v>
      </c>
      <c r="BW111" s="495" cm="1">
        <f t="array" ref="BW111">_xlfn.IFS(BN111="Number of times per day (1 to 3)",BV111/$BW$3,BN111="Number of times per week (1 to 6)",BV111/$BW$4,BN111="Number of times per Month (1 to 3)",BV111/$BW$5)</f>
        <v>70.5</v>
      </c>
      <c r="BX111" s="497" t="s">
        <v>22</v>
      </c>
      <c r="BY111" s="497" t="s">
        <v>4</v>
      </c>
      <c r="BZ111" s="497" t="s">
        <v>2</v>
      </c>
      <c r="CA111" s="497" t="s">
        <v>4</v>
      </c>
      <c r="CB111" s="497" t="s">
        <v>4</v>
      </c>
      <c r="CC111" s="497" t="s">
        <v>4</v>
      </c>
      <c r="CD111" s="497" t="s">
        <v>7</v>
      </c>
      <c r="CE111" s="497" t="s">
        <v>33407</v>
      </c>
      <c r="CF111" s="497" t="s">
        <v>4</v>
      </c>
      <c r="CG111" s="497" t="s">
        <v>33363</v>
      </c>
      <c r="CH111" s="497">
        <v>0</v>
      </c>
      <c r="CI111" s="497">
        <v>4</v>
      </c>
      <c r="CJ111" s="497">
        <v>0</v>
      </c>
      <c r="CK111" s="497">
        <v>0</v>
      </c>
      <c r="CL111" s="497">
        <v>0</v>
      </c>
      <c r="CM111" s="497">
        <v>350</v>
      </c>
      <c r="CN111" s="497">
        <v>7</v>
      </c>
      <c r="CO111" s="497">
        <v>204</v>
      </c>
      <c r="CP111" s="497">
        <v>2</v>
      </c>
      <c r="CQ111" s="497">
        <v>96</v>
      </c>
      <c r="CR111" s="497">
        <f>IF(Table15[[#This Row],[Is your biodigester working?]]="yes",CO111/'SDG outcome'!$C$9*CP111*CQ111,"")</f>
        <v>112.87608069164264</v>
      </c>
      <c r="CS111" s="497" t="s">
        <v>4</v>
      </c>
      <c r="CT111" s="500" t="s">
        <v>4</v>
      </c>
      <c r="CU111" s="496" t="s">
        <v>4</v>
      </c>
      <c r="CV111" s="497">
        <v>100</v>
      </c>
      <c r="CW111" s="500">
        <v>0</v>
      </c>
      <c r="CX111" s="496" t="s">
        <v>4</v>
      </c>
      <c r="CY111" s="497">
        <v>100</v>
      </c>
      <c r="CZ111" s="500">
        <v>0</v>
      </c>
      <c r="DA111" s="496" t="s">
        <v>4</v>
      </c>
      <c r="DB111" s="497" t="s">
        <v>4</v>
      </c>
      <c r="DC111" s="497" t="s">
        <v>4</v>
      </c>
      <c r="DD111" s="497" t="s">
        <v>4</v>
      </c>
      <c r="DE111" s="497">
        <v>0</v>
      </c>
      <c r="DF111" s="497">
        <v>100</v>
      </c>
      <c r="DG111" s="497" t="s">
        <v>33408</v>
      </c>
      <c r="DH111" s="497" t="s">
        <v>4</v>
      </c>
      <c r="DI111" s="497" t="s">
        <v>4</v>
      </c>
      <c r="DJ111" s="497" t="s">
        <v>4</v>
      </c>
      <c r="DK111" s="497" t="s">
        <v>4</v>
      </c>
      <c r="DL111" s="497" t="s">
        <v>4</v>
      </c>
      <c r="DM111" s="497" t="s">
        <v>4</v>
      </c>
      <c r="DN111" s="497">
        <v>4</v>
      </c>
      <c r="DO111" s="497" t="s">
        <v>2</v>
      </c>
      <c r="DP111" s="497" t="s">
        <v>29292</v>
      </c>
      <c r="DQ111" s="497" t="s">
        <v>4</v>
      </c>
      <c r="DR111" s="497" t="s">
        <v>29293</v>
      </c>
      <c r="DS111" s="494">
        <v>130000</v>
      </c>
      <c r="DT111" s="497" t="s">
        <v>29293</v>
      </c>
      <c r="DU111" s="494">
        <v>300000</v>
      </c>
      <c r="DV111" s="500" t="s">
        <v>29508</v>
      </c>
      <c r="DW111" s="496" t="s">
        <v>4</v>
      </c>
      <c r="DX111" s="497" t="s">
        <v>4</v>
      </c>
      <c r="DY111" s="497" t="s">
        <v>4</v>
      </c>
      <c r="DZ111" s="497" t="s">
        <v>4</v>
      </c>
      <c r="EA111" s="497" t="s">
        <v>4</v>
      </c>
      <c r="EB111" s="497" t="s">
        <v>4</v>
      </c>
      <c r="EC111" s="497" t="s">
        <v>4</v>
      </c>
      <c r="ED111" s="497">
        <v>100</v>
      </c>
      <c r="EE111" s="497" t="s">
        <v>33409</v>
      </c>
      <c r="EF111" s="497" t="s">
        <v>4</v>
      </c>
      <c r="EG111" s="497" t="s">
        <v>4</v>
      </c>
      <c r="EH111" s="497">
        <v>50</v>
      </c>
      <c r="EI111" s="497" t="s">
        <v>4</v>
      </c>
      <c r="EJ111" s="497" t="s">
        <v>4</v>
      </c>
      <c r="EK111" s="497">
        <v>50</v>
      </c>
      <c r="EL111" s="497" t="s">
        <v>4</v>
      </c>
      <c r="EM111" s="497">
        <v>30</v>
      </c>
      <c r="EN111" s="497" t="s">
        <v>4</v>
      </c>
      <c r="EO111" s="497" t="s">
        <v>4</v>
      </c>
      <c r="EP111" s="497" t="s">
        <v>4</v>
      </c>
      <c r="EQ111" s="497" t="s">
        <v>29296</v>
      </c>
      <c r="ER111" s="497">
        <v>100</v>
      </c>
      <c r="ES111" s="497" t="s">
        <v>4</v>
      </c>
      <c r="ET111" s="497" t="s">
        <v>4</v>
      </c>
      <c r="EU111" s="497" t="s">
        <v>4</v>
      </c>
      <c r="EV111" s="497" t="s">
        <v>4</v>
      </c>
      <c r="EW111" s="497">
        <v>4</v>
      </c>
      <c r="EX111" s="497" t="s">
        <v>7</v>
      </c>
      <c r="EY111" s="497">
        <v>0.75</v>
      </c>
      <c r="EZ111" s="239">
        <f t="shared" si="4"/>
        <v>0.03</v>
      </c>
      <c r="FA111" s="497" t="s">
        <v>33410</v>
      </c>
      <c r="FB111" s="497" t="s">
        <v>29298</v>
      </c>
      <c r="FC111" s="497">
        <v>108</v>
      </c>
      <c r="FD111" s="497" t="s">
        <v>7</v>
      </c>
      <c r="FE111" s="497" t="s">
        <v>29299</v>
      </c>
      <c r="FF111" s="497" t="s">
        <v>4</v>
      </c>
      <c r="FG111" s="497" t="s">
        <v>7</v>
      </c>
      <c r="FH111" s="497" t="s">
        <v>29393</v>
      </c>
      <c r="FI111" s="497" t="s">
        <v>4</v>
      </c>
      <c r="FJ111" s="497" t="s">
        <v>13</v>
      </c>
      <c r="FK111" s="497" t="s">
        <v>33411</v>
      </c>
      <c r="FL111" s="497" t="s">
        <v>4</v>
      </c>
      <c r="FM111" s="497" t="s">
        <v>4</v>
      </c>
      <c r="FN111" s="494" t="s">
        <v>4</v>
      </c>
      <c r="FO111" s="497" t="s">
        <v>4</v>
      </c>
      <c r="FP111" s="497" t="s">
        <v>7</v>
      </c>
      <c r="FQ111" s="497" t="s">
        <v>29301</v>
      </c>
      <c r="FR111" s="497" t="s">
        <v>4</v>
      </c>
      <c r="FS111" s="497" t="s">
        <v>7</v>
      </c>
      <c r="FT111" s="497" t="s">
        <v>2</v>
      </c>
      <c r="FU111" s="497" t="s">
        <v>4</v>
      </c>
      <c r="FV111" s="497" t="s">
        <v>4</v>
      </c>
      <c r="FW111" s="497" t="s">
        <v>29304</v>
      </c>
      <c r="FX111" s="497">
        <v>2</v>
      </c>
      <c r="FY111" s="497" t="s">
        <v>29305</v>
      </c>
      <c r="FZ111" s="497" t="s">
        <v>29306</v>
      </c>
      <c r="GA111" s="497" t="s">
        <v>4</v>
      </c>
      <c r="GB111" s="497" t="s">
        <v>4</v>
      </c>
      <c r="GC111" s="497" t="s">
        <v>4</v>
      </c>
      <c r="GD111" s="497" t="s">
        <v>4</v>
      </c>
      <c r="GE111" s="497" t="s">
        <v>4</v>
      </c>
      <c r="GF111" s="497" t="s">
        <v>4</v>
      </c>
      <c r="GG111" s="497" t="s">
        <v>4</v>
      </c>
      <c r="GH111" s="497" t="s">
        <v>4</v>
      </c>
      <c r="GI111" s="497" t="s">
        <v>4</v>
      </c>
      <c r="GJ111" s="497" t="s">
        <v>4</v>
      </c>
      <c r="GK111" s="497" t="s">
        <v>4</v>
      </c>
      <c r="GL111" s="497" t="s">
        <v>4</v>
      </c>
      <c r="GM111" s="497" t="s">
        <v>4</v>
      </c>
      <c r="GN111" s="497" t="s">
        <v>4</v>
      </c>
      <c r="GO111" s="497" t="s">
        <v>4</v>
      </c>
      <c r="GP111" s="497" t="s">
        <v>4</v>
      </c>
      <c r="GQ111" s="497" t="s">
        <v>4</v>
      </c>
      <c r="GR111" s="497" t="s">
        <v>4</v>
      </c>
      <c r="GS111" s="497" t="s">
        <v>4</v>
      </c>
      <c r="GT111" s="497" t="s">
        <v>33412</v>
      </c>
      <c r="GU111" s="497" t="s">
        <v>4</v>
      </c>
      <c r="GV111" s="494">
        <v>50</v>
      </c>
      <c r="GW111" s="497" t="s">
        <v>7</v>
      </c>
      <c r="GX111" s="497" t="s">
        <v>29837</v>
      </c>
      <c r="GY111" s="497" t="s">
        <v>4</v>
      </c>
      <c r="GZ111" s="497" t="s">
        <v>4</v>
      </c>
      <c r="HA111" s="497" t="s">
        <v>4</v>
      </c>
      <c r="HB111" s="497" t="s">
        <v>4</v>
      </c>
      <c r="HC111" s="497" t="s">
        <v>4</v>
      </c>
      <c r="HD111" s="497" t="s">
        <v>4</v>
      </c>
      <c r="HE111" s="497" t="s">
        <v>4</v>
      </c>
      <c r="HF111" s="497" t="s">
        <v>4</v>
      </c>
      <c r="HG111" s="497" t="s">
        <v>2</v>
      </c>
      <c r="HH111" s="497" t="s">
        <v>4</v>
      </c>
      <c r="HI111" s="497" t="s">
        <v>4</v>
      </c>
      <c r="HJ111" s="497" t="s">
        <v>4</v>
      </c>
      <c r="HK111" s="494" t="s">
        <v>4</v>
      </c>
      <c r="HL111" s="497" t="s">
        <v>33413</v>
      </c>
      <c r="HM111" s="497" t="s">
        <v>7</v>
      </c>
      <c r="HN111" s="497" t="s">
        <v>33414</v>
      </c>
      <c r="HO111" s="497" t="s">
        <v>33415</v>
      </c>
      <c r="HP111" s="497" t="s">
        <v>33416</v>
      </c>
      <c r="HQ111" s="497" t="s">
        <v>33417</v>
      </c>
      <c r="HR111" s="497" t="s">
        <v>33418</v>
      </c>
      <c r="HS111" s="497" t="s">
        <v>33419</v>
      </c>
      <c r="HT111" s="500" t="s">
        <v>33403</v>
      </c>
    </row>
    <row r="112" spans="1:228" s="570" customFormat="1" ht="30.2" customHeight="1" x14ac:dyDescent="0.25">
      <c r="A112" s="759"/>
      <c r="B112" s="496">
        <v>4</v>
      </c>
      <c r="C112" s="496" t="s">
        <v>18879</v>
      </c>
      <c r="D112" s="497" t="s">
        <v>33373</v>
      </c>
      <c r="E112" s="497" t="s">
        <v>29286</v>
      </c>
      <c r="F112" s="497" t="s">
        <v>7</v>
      </c>
      <c r="G112" s="497" t="s">
        <v>33374</v>
      </c>
      <c r="H112" s="497">
        <v>1122.97</v>
      </c>
      <c r="I112" s="497">
        <v>1.251754</v>
      </c>
      <c r="J112" s="497" t="s">
        <v>29319</v>
      </c>
      <c r="K112" s="497" t="s">
        <v>4</v>
      </c>
      <c r="L112" s="497" t="s">
        <v>33375</v>
      </c>
      <c r="M112" s="497">
        <v>766364598</v>
      </c>
      <c r="N112" s="497" t="s">
        <v>5</v>
      </c>
      <c r="O112" s="497" t="s">
        <v>31438</v>
      </c>
      <c r="P112" s="497">
        <v>52</v>
      </c>
      <c r="Q112" s="497">
        <v>13</v>
      </c>
      <c r="R112" s="497" t="s">
        <v>7</v>
      </c>
      <c r="S112" s="497" t="s">
        <v>31549</v>
      </c>
      <c r="T112" s="497" t="s">
        <v>4</v>
      </c>
      <c r="U112" s="497" t="s">
        <v>7</v>
      </c>
      <c r="V112" s="497" t="s">
        <v>2</v>
      </c>
      <c r="W112" s="497">
        <v>3</v>
      </c>
      <c r="X112" s="497" t="s">
        <v>7</v>
      </c>
      <c r="Y112" s="497" t="s">
        <v>4</v>
      </c>
      <c r="Z112" s="497" t="s">
        <v>4</v>
      </c>
      <c r="AA112" s="241" t="str">
        <f>IF(OR(U112="yes",Z112&gt;'SDG outcome'!$C$39),"yes","no")</f>
        <v>yes</v>
      </c>
      <c r="AB112" s="521">
        <f t="shared" si="3"/>
        <v>3</v>
      </c>
      <c r="AC112" s="527" t="str">
        <f>IF(AND('SMS p2'!AA16="no",AND(Z112&gt;='SDG outcome'!$B$28,Z112&lt;'SDG outcome'!$C$39)),Z112-'SDG outcome'!$B$28,"")</f>
        <v/>
      </c>
      <c r="AD112" s="497" t="s">
        <v>4</v>
      </c>
      <c r="AE112" s="497" t="s">
        <v>4</v>
      </c>
      <c r="AF112" s="497" t="s">
        <v>4</v>
      </c>
      <c r="AG112" s="497" t="s">
        <v>4</v>
      </c>
      <c r="AH112" s="497" t="s">
        <v>4</v>
      </c>
      <c r="AI112" s="497" t="s">
        <v>4</v>
      </c>
      <c r="AJ112" s="497" t="s">
        <v>4</v>
      </c>
      <c r="AK112" s="497" t="s">
        <v>29290</v>
      </c>
      <c r="AL112" s="497" t="s">
        <v>29291</v>
      </c>
      <c r="AM112" s="497" t="s">
        <v>4</v>
      </c>
      <c r="AN112" s="497" t="s">
        <v>4</v>
      </c>
      <c r="AO112" s="497" t="s">
        <v>31536</v>
      </c>
      <c r="AP112" s="497" t="s">
        <v>4</v>
      </c>
      <c r="AQ112" s="497" t="s">
        <v>31537</v>
      </c>
      <c r="AR112" s="497" t="s">
        <v>4</v>
      </c>
      <c r="AS112" s="497" t="s">
        <v>13</v>
      </c>
      <c r="AT112" s="497" t="s">
        <v>33376</v>
      </c>
      <c r="AU112" s="497" t="s">
        <v>2</v>
      </c>
      <c r="AV112" s="497" t="s">
        <v>31581</v>
      </c>
      <c r="AW112" s="497" t="s">
        <v>4</v>
      </c>
      <c r="AX112" s="497" t="s">
        <v>7</v>
      </c>
      <c r="AY112" s="497" t="s">
        <v>6</v>
      </c>
      <c r="AZ112" s="497" t="s">
        <v>4</v>
      </c>
      <c r="BA112" s="497" t="s">
        <v>31557</v>
      </c>
      <c r="BB112" s="497" t="s">
        <v>31552</v>
      </c>
      <c r="BC112" s="497" t="s">
        <v>4</v>
      </c>
      <c r="BD112" s="497" t="s">
        <v>31564</v>
      </c>
      <c r="BE112" s="497" t="s">
        <v>4</v>
      </c>
      <c r="BF112" s="497" t="s">
        <v>31542</v>
      </c>
      <c r="BG112" s="497" t="s">
        <v>33377</v>
      </c>
      <c r="BH112" s="497" t="s">
        <v>31544</v>
      </c>
      <c r="BI112" s="497">
        <v>2</v>
      </c>
      <c r="BJ112" s="497">
        <v>30</v>
      </c>
      <c r="BK112" s="497" t="s">
        <v>7</v>
      </c>
      <c r="BL112" s="497" t="s">
        <v>11</v>
      </c>
      <c r="BM112" s="497" t="s">
        <v>4</v>
      </c>
      <c r="BN112" s="497" t="s">
        <v>31425</v>
      </c>
      <c r="BO112" s="497">
        <v>1</v>
      </c>
      <c r="BP112" s="497">
        <v>30</v>
      </c>
      <c r="BQ112" s="497" t="s">
        <v>31435</v>
      </c>
      <c r="BR112" s="499" t="s">
        <v>33361</v>
      </c>
      <c r="BS112" s="497" t="s">
        <v>4</v>
      </c>
      <c r="BT112" s="497">
        <v>1</v>
      </c>
      <c r="BU112" s="494" cm="1">
        <f t="array" ref="BU112">_xlfn.IFS(BQ112="Foreword vehicle",BT112*0,BQ112="Human wastes",BT112*0,BS112="Jerrycans",BT112*$BT$4,BQ112="Number of Basins",BT112*$BT$5,BQ112="Number of Buckets",BT112*$BT$6,BQ112="Number of Kgs",BT112*$BT$7,BQ112="Number of spades",BT112*$BT$8,BQ112="Number of wheelbarrows",BT112*$BS$9,BS112="Septic Tank",BT112*0)</f>
        <v>82.5</v>
      </c>
      <c r="BV112" s="494">
        <f>Table15[[#This Row],[Calculation: Conversion of metric to Kg manure feeding (Columns: BP, BQ, BR)]]*Table15[[#This Row],[Number of times used to feed biodigester]]</f>
        <v>82.5</v>
      </c>
      <c r="BW112" s="495" cm="1">
        <f t="array" ref="BW112">_xlfn.IFS(BN112="Number of times per day (1 to 3)",BV112/$BW$3,BN112="Number of times per week (1 to 6)",BV112/$BW$4,BN112="Number of times per Month (1 to 3)",BV112/$BW$5)</f>
        <v>82.5</v>
      </c>
      <c r="BX112" s="497" t="s">
        <v>31552</v>
      </c>
      <c r="BY112" s="497" t="s">
        <v>4</v>
      </c>
      <c r="BZ112" s="497" t="s">
        <v>2</v>
      </c>
      <c r="CA112" s="497" t="s">
        <v>4</v>
      </c>
      <c r="CB112" s="497" t="s">
        <v>4</v>
      </c>
      <c r="CC112" s="497" t="s">
        <v>4</v>
      </c>
      <c r="CD112" s="497" t="s">
        <v>7</v>
      </c>
      <c r="CE112" s="497" t="s">
        <v>33378</v>
      </c>
      <c r="CF112" s="497" t="s">
        <v>4</v>
      </c>
      <c r="CG112" s="497" t="s">
        <v>33379</v>
      </c>
      <c r="CH112" s="497">
        <v>0</v>
      </c>
      <c r="CI112" s="497">
        <v>0</v>
      </c>
      <c r="CJ112" s="497">
        <v>0</v>
      </c>
      <c r="CK112" s="497">
        <v>0</v>
      </c>
      <c r="CL112" s="497">
        <v>0</v>
      </c>
      <c r="CM112" s="497">
        <v>194</v>
      </c>
      <c r="CN112" s="497">
        <v>10</v>
      </c>
      <c r="CO112" s="497">
        <v>180</v>
      </c>
      <c r="CP112" s="497">
        <v>2</v>
      </c>
      <c r="CQ112" s="497">
        <v>42</v>
      </c>
      <c r="CR112" s="497">
        <f>IF(Table15[[#This Row],[Is your biodigester working?]]="yes",CO112/'SDG outcome'!$C$9*CP112*CQ112,"")</f>
        <v>43.573487031700289</v>
      </c>
      <c r="CS112" s="497" t="s">
        <v>4</v>
      </c>
      <c r="CT112" s="500" t="s">
        <v>4</v>
      </c>
      <c r="CU112" s="496" t="s">
        <v>4</v>
      </c>
      <c r="CV112" s="497" t="s">
        <v>4</v>
      </c>
      <c r="CW112" s="500" t="s">
        <v>4</v>
      </c>
      <c r="CX112" s="496" t="s">
        <v>4</v>
      </c>
      <c r="CY112" s="497">
        <v>100</v>
      </c>
      <c r="CZ112" s="500">
        <v>0</v>
      </c>
      <c r="DA112" s="496" t="s">
        <v>4</v>
      </c>
      <c r="DB112" s="497" t="s">
        <v>4</v>
      </c>
      <c r="DC112" s="497" t="s">
        <v>4</v>
      </c>
      <c r="DD112" s="497" t="s">
        <v>4</v>
      </c>
      <c r="DE112" s="497">
        <v>0</v>
      </c>
      <c r="DF112" s="497">
        <v>100</v>
      </c>
      <c r="DG112" s="497" t="s">
        <v>33380</v>
      </c>
      <c r="DH112" s="497" t="s">
        <v>4</v>
      </c>
      <c r="DI112" s="497" t="s">
        <v>4</v>
      </c>
      <c r="DJ112" s="497" t="s">
        <v>4</v>
      </c>
      <c r="DK112" s="497" t="s">
        <v>4</v>
      </c>
      <c r="DL112" s="497" t="s">
        <v>4</v>
      </c>
      <c r="DM112" s="497" t="s">
        <v>4</v>
      </c>
      <c r="DN112" s="497">
        <v>2</v>
      </c>
      <c r="DO112" s="497" t="s">
        <v>2</v>
      </c>
      <c r="DP112" s="497" t="s">
        <v>29292</v>
      </c>
      <c r="DQ112" s="497" t="s">
        <v>4</v>
      </c>
      <c r="DR112" s="497" t="s">
        <v>29293</v>
      </c>
      <c r="DS112" s="494">
        <v>10000</v>
      </c>
      <c r="DT112" s="497" t="s">
        <v>29293</v>
      </c>
      <c r="DU112" s="494">
        <v>0</v>
      </c>
      <c r="DV112" s="500" t="s">
        <v>29295</v>
      </c>
      <c r="DW112" s="496">
        <v>100</v>
      </c>
      <c r="DX112" s="497" t="s">
        <v>29296</v>
      </c>
      <c r="DY112" s="497">
        <v>100</v>
      </c>
      <c r="DZ112" s="497" t="s">
        <v>4</v>
      </c>
      <c r="EA112" s="497" t="s">
        <v>4</v>
      </c>
      <c r="EB112" s="497" t="s">
        <v>4</v>
      </c>
      <c r="EC112" s="497" t="s">
        <v>4</v>
      </c>
      <c r="ED112" s="497" t="s">
        <v>4</v>
      </c>
      <c r="EE112" s="497" t="s">
        <v>4</v>
      </c>
      <c r="EF112" s="497" t="s">
        <v>4</v>
      </c>
      <c r="EG112" s="497" t="s">
        <v>4</v>
      </c>
      <c r="EH112" s="497" t="s">
        <v>4</v>
      </c>
      <c r="EI112" s="497" t="s">
        <v>4</v>
      </c>
      <c r="EJ112" s="497" t="s">
        <v>4</v>
      </c>
      <c r="EK112" s="497" t="s">
        <v>4</v>
      </c>
      <c r="EL112" s="497" t="s">
        <v>4</v>
      </c>
      <c r="EM112" s="497" t="s">
        <v>4</v>
      </c>
      <c r="EN112" s="497" t="s">
        <v>4</v>
      </c>
      <c r="EO112" s="497" t="s">
        <v>4</v>
      </c>
      <c r="EP112" s="497" t="s">
        <v>4</v>
      </c>
      <c r="EQ112" s="497" t="s">
        <v>4</v>
      </c>
      <c r="ER112" s="497" t="s">
        <v>4</v>
      </c>
      <c r="ES112" s="497" t="s">
        <v>4</v>
      </c>
      <c r="ET112" s="497" t="s">
        <v>4</v>
      </c>
      <c r="EU112" s="497" t="s">
        <v>4</v>
      </c>
      <c r="EV112" s="497" t="s">
        <v>4</v>
      </c>
      <c r="EW112" s="497">
        <v>2</v>
      </c>
      <c r="EX112" s="497" t="s">
        <v>7</v>
      </c>
      <c r="EY112" s="497">
        <v>0.3</v>
      </c>
      <c r="EZ112" s="239">
        <f t="shared" ref="EZ112:EZ113" si="5">IF(OR(EW112="NA","DNA"),"",EW112*EY112)/100</f>
        <v>6.0000000000000001E-3</v>
      </c>
      <c r="FA112" s="497" t="s">
        <v>33381</v>
      </c>
      <c r="FB112" s="497" t="s">
        <v>29298</v>
      </c>
      <c r="FC112" s="497">
        <v>70</v>
      </c>
      <c r="FD112" s="497" t="s">
        <v>7</v>
      </c>
      <c r="FE112" s="497" t="s">
        <v>29393</v>
      </c>
      <c r="FF112" s="497" t="s">
        <v>4</v>
      </c>
      <c r="FG112" s="497" t="s">
        <v>7</v>
      </c>
      <c r="FH112" s="497" t="s">
        <v>29393</v>
      </c>
      <c r="FI112" s="497" t="s">
        <v>4</v>
      </c>
      <c r="FJ112" s="497" t="s">
        <v>13</v>
      </c>
      <c r="FK112" s="497" t="s">
        <v>33382</v>
      </c>
      <c r="FL112" s="497" t="s">
        <v>4</v>
      </c>
      <c r="FM112" s="497" t="s">
        <v>4</v>
      </c>
      <c r="FN112" s="494" t="s">
        <v>4</v>
      </c>
      <c r="FO112" s="497" t="s">
        <v>4</v>
      </c>
      <c r="FP112" s="497" t="s">
        <v>7</v>
      </c>
      <c r="FQ112" s="497" t="s">
        <v>29301</v>
      </c>
      <c r="FR112" s="497" t="s">
        <v>4</v>
      </c>
      <c r="FS112" s="497" t="s">
        <v>7</v>
      </c>
      <c r="FT112" s="497" t="s">
        <v>7</v>
      </c>
      <c r="FU112" s="497" t="s">
        <v>29302</v>
      </c>
      <c r="FV112" s="497" t="s">
        <v>33383</v>
      </c>
      <c r="FW112" s="497" t="s">
        <v>4</v>
      </c>
      <c r="FX112" s="497">
        <v>0</v>
      </c>
      <c r="FY112" s="497" t="s">
        <v>4</v>
      </c>
      <c r="FZ112" s="497" t="s">
        <v>4</v>
      </c>
      <c r="GA112" s="497" t="s">
        <v>4</v>
      </c>
      <c r="GB112" s="497" t="s">
        <v>4</v>
      </c>
      <c r="GC112" s="497" t="s">
        <v>4</v>
      </c>
      <c r="GD112" s="497" t="s">
        <v>4</v>
      </c>
      <c r="GE112" s="497" t="s">
        <v>4</v>
      </c>
      <c r="GF112" s="497" t="s">
        <v>4</v>
      </c>
      <c r="GG112" s="497" t="s">
        <v>4</v>
      </c>
      <c r="GH112" s="497" t="s">
        <v>4</v>
      </c>
      <c r="GI112" s="497" t="s">
        <v>29304</v>
      </c>
      <c r="GJ112" s="497" t="s">
        <v>30052</v>
      </c>
      <c r="GK112" s="497" t="s">
        <v>29450</v>
      </c>
      <c r="GL112" s="497" t="s">
        <v>4</v>
      </c>
      <c r="GM112" s="497" t="s">
        <v>33384</v>
      </c>
      <c r="GN112" s="497" t="s">
        <v>4</v>
      </c>
      <c r="GO112" s="497" t="s">
        <v>4</v>
      </c>
      <c r="GP112" s="497" t="s">
        <v>4</v>
      </c>
      <c r="GQ112" s="497" t="s">
        <v>4</v>
      </c>
      <c r="GR112" s="497" t="s">
        <v>4</v>
      </c>
      <c r="GS112" s="497" t="s">
        <v>4</v>
      </c>
      <c r="GT112" s="497" t="s">
        <v>33385</v>
      </c>
      <c r="GU112" s="497" t="s">
        <v>4</v>
      </c>
      <c r="GV112" s="494">
        <v>20</v>
      </c>
      <c r="GW112" s="497" t="s">
        <v>7</v>
      </c>
      <c r="GX112" s="497" t="s">
        <v>29837</v>
      </c>
      <c r="GY112" s="497" t="s">
        <v>4</v>
      </c>
      <c r="GZ112" s="497" t="s">
        <v>4</v>
      </c>
      <c r="HA112" s="497" t="s">
        <v>4</v>
      </c>
      <c r="HB112" s="497" t="s">
        <v>4</v>
      </c>
      <c r="HC112" s="497" t="s">
        <v>4</v>
      </c>
      <c r="HD112" s="497" t="s">
        <v>4</v>
      </c>
      <c r="HE112" s="497" t="s">
        <v>4</v>
      </c>
      <c r="HF112" s="497" t="s">
        <v>4</v>
      </c>
      <c r="HG112" s="497" t="s">
        <v>2</v>
      </c>
      <c r="HH112" s="497" t="s">
        <v>4</v>
      </c>
      <c r="HI112" s="497" t="s">
        <v>4</v>
      </c>
      <c r="HJ112" s="497" t="s">
        <v>4</v>
      </c>
      <c r="HK112" s="494" t="s">
        <v>4</v>
      </c>
      <c r="HL112" s="497" t="s">
        <v>33386</v>
      </c>
      <c r="HM112" s="497" t="s">
        <v>7</v>
      </c>
      <c r="HN112" s="497" t="s">
        <v>33387</v>
      </c>
      <c r="HO112" s="497" t="s">
        <v>16</v>
      </c>
      <c r="HP112" s="497" t="s">
        <v>33388</v>
      </c>
      <c r="HQ112" s="497" t="s">
        <v>33389</v>
      </c>
      <c r="HR112" s="497" t="s">
        <v>33390</v>
      </c>
      <c r="HS112" s="497" t="s">
        <v>33391</v>
      </c>
      <c r="HT112" s="500" t="s">
        <v>33373</v>
      </c>
    </row>
    <row r="113" spans="1:228" s="570" customFormat="1" ht="30.2" customHeight="1" x14ac:dyDescent="0.25">
      <c r="A113" s="759"/>
      <c r="B113" s="496">
        <v>68</v>
      </c>
      <c r="C113" s="496" t="s">
        <v>5633</v>
      </c>
      <c r="D113" s="497" t="s">
        <v>34138</v>
      </c>
      <c r="E113" s="497" t="s">
        <v>29799</v>
      </c>
      <c r="F113" s="497" t="s">
        <v>7</v>
      </c>
      <c r="G113" s="497" t="s">
        <v>34139</v>
      </c>
      <c r="H113" s="497">
        <v>1180.2979740000001</v>
      </c>
      <c r="I113" s="497">
        <v>4.8979520000000001</v>
      </c>
      <c r="J113" s="497" t="s">
        <v>29288</v>
      </c>
      <c r="K113" s="497" t="s">
        <v>4</v>
      </c>
      <c r="L113" s="497" t="s">
        <v>5634</v>
      </c>
      <c r="M113" s="497">
        <v>772582657</v>
      </c>
      <c r="N113" s="497" t="s">
        <v>3</v>
      </c>
      <c r="O113" s="497" t="s">
        <v>31590</v>
      </c>
      <c r="P113" s="497" t="s">
        <v>4</v>
      </c>
      <c r="Q113" s="497">
        <v>4</v>
      </c>
      <c r="R113" s="497" t="s">
        <v>7</v>
      </c>
      <c r="S113" s="497" t="s">
        <v>31588</v>
      </c>
      <c r="T113" s="497" t="s">
        <v>4</v>
      </c>
      <c r="U113" s="497" t="s">
        <v>7</v>
      </c>
      <c r="V113" s="497" t="s">
        <v>7</v>
      </c>
      <c r="W113" s="497" t="s">
        <v>4</v>
      </c>
      <c r="X113" s="497" t="s">
        <v>7</v>
      </c>
      <c r="Y113" s="497" t="s">
        <v>4</v>
      </c>
      <c r="Z113" s="497" t="s">
        <v>4</v>
      </c>
      <c r="AA113" s="241" t="str">
        <f>IF(OR(U113="yes",Z113&gt;'SDG outcome'!$C$39),"yes","no")</f>
        <v>yes</v>
      </c>
      <c r="AB113" s="521" t="str">
        <f t="shared" si="3"/>
        <v>NA</v>
      </c>
      <c r="AC113" s="527" t="str">
        <f>IF(AND('SMS p2'!AA80="no",AND(Z113&gt;='SDG outcome'!$B$28,Z113&lt;'SDG outcome'!$C$39)),Z113-'SDG outcome'!$B$28,"")</f>
        <v/>
      </c>
      <c r="AD113" s="497" t="s">
        <v>4</v>
      </c>
      <c r="AE113" s="497" t="s">
        <v>4</v>
      </c>
      <c r="AF113" s="497" t="s">
        <v>4</v>
      </c>
      <c r="AG113" s="497" t="s">
        <v>4</v>
      </c>
      <c r="AH113" s="497" t="s">
        <v>4</v>
      </c>
      <c r="AI113" s="497" t="s">
        <v>4</v>
      </c>
      <c r="AJ113" s="497" t="s">
        <v>4</v>
      </c>
      <c r="AK113" s="497" t="s">
        <v>29290</v>
      </c>
      <c r="AL113" s="497" t="s">
        <v>29291</v>
      </c>
      <c r="AM113" s="497" t="s">
        <v>4</v>
      </c>
      <c r="AN113" s="497" t="s">
        <v>4</v>
      </c>
      <c r="AO113" s="497" t="s">
        <v>31536</v>
      </c>
      <c r="AP113" s="497" t="s">
        <v>4</v>
      </c>
      <c r="AQ113" s="497" t="s">
        <v>31537</v>
      </c>
      <c r="AR113" s="497" t="s">
        <v>4</v>
      </c>
      <c r="AS113" s="497" t="s">
        <v>34140</v>
      </c>
      <c r="AT113" s="497" t="s">
        <v>34141</v>
      </c>
      <c r="AU113" s="497" t="s">
        <v>7</v>
      </c>
      <c r="AV113" s="497" t="s">
        <v>4</v>
      </c>
      <c r="AW113" s="497" t="s">
        <v>4</v>
      </c>
      <c r="AX113" s="497" t="s">
        <v>7</v>
      </c>
      <c r="AY113" s="497" t="s">
        <v>6</v>
      </c>
      <c r="AZ113" s="497" t="s">
        <v>4</v>
      </c>
      <c r="BA113" s="497" t="s">
        <v>31563</v>
      </c>
      <c r="BB113" s="497" t="s">
        <v>22</v>
      </c>
      <c r="BC113" s="497" t="s">
        <v>4</v>
      </c>
      <c r="BD113" s="497" t="s">
        <v>31564</v>
      </c>
      <c r="BE113" s="497" t="s">
        <v>4</v>
      </c>
      <c r="BF113" s="497" t="s">
        <v>31542</v>
      </c>
      <c r="BG113" s="497" t="s">
        <v>34142</v>
      </c>
      <c r="BH113" s="497" t="s">
        <v>31616</v>
      </c>
      <c r="BI113" s="497">
        <v>1</v>
      </c>
      <c r="BJ113" s="497">
        <v>240</v>
      </c>
      <c r="BK113" s="497" t="s">
        <v>7</v>
      </c>
      <c r="BL113" s="497" t="s">
        <v>6</v>
      </c>
      <c r="BM113" s="497" t="s">
        <v>4</v>
      </c>
      <c r="BN113" s="497" t="s">
        <v>31429</v>
      </c>
      <c r="BO113" s="497">
        <v>2</v>
      </c>
      <c r="BP113" s="497">
        <v>25</v>
      </c>
      <c r="BQ113" s="497" t="s">
        <v>13</v>
      </c>
      <c r="BR113" s="499" t="s">
        <v>33332</v>
      </c>
      <c r="BS113" s="497" t="s">
        <v>31431</v>
      </c>
      <c r="BT113" s="497">
        <v>9</v>
      </c>
      <c r="BU113" s="494" cm="1">
        <f t="array" ref="BU113">_xlfn.IFS(BQ113="Foreword vehicle",BT113*0,BQ113="Human wastes",BT113*0,BS113="Jerrycans",BT113*$BT$4,BQ113="Number of Basins",BT113*$BT$5,BQ113="Number of Buckets",BT113*$BT$6,BQ113="Number of Kgs",BT113*$BT$7,BQ113="Number of spades",BT113*$BT$8,BQ113="Number of wheelbarrows",BT113*$BT$9,BS113="Septic Tank",BT113*0)</f>
        <v>162</v>
      </c>
      <c r="BV113" s="494">
        <f>Table15[[#This Row],[Calculation: Conversion of metric to Kg manure feeding (Columns: BP, BQ, BR)]]*Table15[[#This Row],[Number of times used to feed biodigester]]</f>
        <v>324</v>
      </c>
      <c r="BW113" s="495" cm="1">
        <f t="array" ref="BW113">_xlfn.IFS(BN113="Number of times per day (1 to 3)",BV113/$BW$3,BN113="Number of times per week (1 to 6)",BV113/$BW$4,BN113="Number of times per Month (1 to 3)",BV113/$BW$5)</f>
        <v>46.285714285714285</v>
      </c>
      <c r="BX113" s="497" t="s">
        <v>22</v>
      </c>
      <c r="BY113" s="497" t="s">
        <v>4</v>
      </c>
      <c r="BZ113" s="497" t="s">
        <v>2</v>
      </c>
      <c r="CA113" s="497" t="s">
        <v>4</v>
      </c>
      <c r="CB113" s="497" t="s">
        <v>4</v>
      </c>
      <c r="CC113" s="497" t="s">
        <v>4</v>
      </c>
      <c r="CD113" s="497" t="s">
        <v>7</v>
      </c>
      <c r="CE113" s="497" t="s">
        <v>34143</v>
      </c>
      <c r="CF113" s="497" t="s">
        <v>4</v>
      </c>
      <c r="CG113" s="497" t="s">
        <v>34144</v>
      </c>
      <c r="CH113" s="497">
        <v>1</v>
      </c>
      <c r="CI113" s="497">
        <v>0</v>
      </c>
      <c r="CJ113" s="497">
        <v>0</v>
      </c>
      <c r="CK113" s="497">
        <v>1</v>
      </c>
      <c r="CL113" s="497">
        <v>0</v>
      </c>
      <c r="CM113" s="497">
        <v>0</v>
      </c>
      <c r="CN113" s="497">
        <v>6</v>
      </c>
      <c r="CO113" s="497">
        <v>180</v>
      </c>
      <c r="CP113" s="497">
        <v>2</v>
      </c>
      <c r="CQ113" s="497">
        <v>6</v>
      </c>
      <c r="CR113" s="497">
        <f>IF(Table15[[#This Row],[Is your biodigester working?]]="yes",CO113/'SDG outcome'!$C$9*CP113*CQ113,"")</f>
        <v>6.2247838616714697</v>
      </c>
      <c r="CS113" s="497">
        <v>100</v>
      </c>
      <c r="CT113" s="500">
        <v>0</v>
      </c>
      <c r="CU113" s="496" t="s">
        <v>4</v>
      </c>
      <c r="CV113" s="497" t="s">
        <v>4</v>
      </c>
      <c r="CW113" s="500" t="s">
        <v>4</v>
      </c>
      <c r="CX113" s="496" t="s">
        <v>4</v>
      </c>
      <c r="CY113" s="497">
        <v>0</v>
      </c>
      <c r="CZ113" s="500">
        <v>100</v>
      </c>
      <c r="DA113" s="496" t="s">
        <v>34145</v>
      </c>
      <c r="DB113" s="497" t="s">
        <v>4</v>
      </c>
      <c r="DC113" s="497" t="s">
        <v>4</v>
      </c>
      <c r="DD113" s="497" t="s">
        <v>4</v>
      </c>
      <c r="DE113" s="497" t="s">
        <v>4</v>
      </c>
      <c r="DF113" s="497" t="s">
        <v>4</v>
      </c>
      <c r="DG113" s="497" t="s">
        <v>4</v>
      </c>
      <c r="DH113" s="497">
        <v>0</v>
      </c>
      <c r="DI113" s="497">
        <v>100</v>
      </c>
      <c r="DJ113" s="497" t="s">
        <v>34146</v>
      </c>
      <c r="DK113" s="497" t="s">
        <v>4</v>
      </c>
      <c r="DL113" s="497" t="s">
        <v>4</v>
      </c>
      <c r="DM113" s="497" t="s">
        <v>4</v>
      </c>
      <c r="DN113" s="497">
        <v>0.5</v>
      </c>
      <c r="DO113" s="497" t="s">
        <v>2</v>
      </c>
      <c r="DP113" s="497" t="s">
        <v>29292</v>
      </c>
      <c r="DQ113" s="497" t="s">
        <v>4</v>
      </c>
      <c r="DR113" s="497" t="s">
        <v>29294</v>
      </c>
      <c r="DS113" s="494" t="s">
        <v>4</v>
      </c>
      <c r="DT113" s="497" t="s">
        <v>29293</v>
      </c>
      <c r="DU113" s="494">
        <v>0</v>
      </c>
      <c r="DV113" s="500" t="s">
        <v>29295</v>
      </c>
      <c r="DW113" s="496">
        <v>100</v>
      </c>
      <c r="DX113" s="497" t="s">
        <v>29296</v>
      </c>
      <c r="DY113" s="497">
        <v>100</v>
      </c>
      <c r="DZ113" s="497" t="s">
        <v>4</v>
      </c>
      <c r="EA113" s="497" t="s">
        <v>4</v>
      </c>
      <c r="EB113" s="497" t="s">
        <v>4</v>
      </c>
      <c r="EC113" s="497" t="s">
        <v>4</v>
      </c>
      <c r="ED113" s="497" t="s">
        <v>4</v>
      </c>
      <c r="EE113" s="497" t="s">
        <v>4</v>
      </c>
      <c r="EF113" s="497" t="s">
        <v>4</v>
      </c>
      <c r="EG113" s="497" t="s">
        <v>4</v>
      </c>
      <c r="EH113" s="497" t="s">
        <v>4</v>
      </c>
      <c r="EI113" s="497" t="s">
        <v>4</v>
      </c>
      <c r="EJ113" s="497" t="s">
        <v>4</v>
      </c>
      <c r="EK113" s="497" t="s">
        <v>4</v>
      </c>
      <c r="EL113" s="497" t="s">
        <v>4</v>
      </c>
      <c r="EM113" s="497" t="s">
        <v>4</v>
      </c>
      <c r="EN113" s="497" t="s">
        <v>4</v>
      </c>
      <c r="EO113" s="497" t="s">
        <v>4</v>
      </c>
      <c r="EP113" s="497" t="s">
        <v>4</v>
      </c>
      <c r="EQ113" s="497" t="s">
        <v>4</v>
      </c>
      <c r="ER113" s="497" t="s">
        <v>4</v>
      </c>
      <c r="ES113" s="497" t="s">
        <v>4</v>
      </c>
      <c r="ET113" s="497" t="s">
        <v>4</v>
      </c>
      <c r="EU113" s="497" t="s">
        <v>4</v>
      </c>
      <c r="EV113" s="497" t="s">
        <v>4</v>
      </c>
      <c r="EW113" s="497">
        <v>0.60704168352893562</v>
      </c>
      <c r="EX113" s="497" t="s">
        <v>7</v>
      </c>
      <c r="EY113" s="497">
        <v>0.16</v>
      </c>
      <c r="EZ113" s="239">
        <f t="shared" si="5"/>
        <v>9.7126669364629701E-4</v>
      </c>
      <c r="FA113" s="497" t="s">
        <v>34147</v>
      </c>
      <c r="FB113" s="497" t="s">
        <v>29298</v>
      </c>
      <c r="FC113" s="497">
        <v>108</v>
      </c>
      <c r="FD113" s="497" t="s">
        <v>7</v>
      </c>
      <c r="FE113" s="497" t="s">
        <v>29393</v>
      </c>
      <c r="FF113" s="497" t="s">
        <v>4</v>
      </c>
      <c r="FG113" s="497" t="s">
        <v>2</v>
      </c>
      <c r="FH113" s="497" t="s">
        <v>4</v>
      </c>
      <c r="FI113" s="497" t="s">
        <v>4</v>
      </c>
      <c r="FJ113" s="497" t="s">
        <v>4</v>
      </c>
      <c r="FK113" s="497" t="s">
        <v>4</v>
      </c>
      <c r="FL113" s="497" t="s">
        <v>4</v>
      </c>
      <c r="FM113" s="497" t="s">
        <v>4</v>
      </c>
      <c r="FN113" s="494" t="s">
        <v>4</v>
      </c>
      <c r="FO113" s="497" t="s">
        <v>4</v>
      </c>
      <c r="FP113" s="497" t="s">
        <v>2</v>
      </c>
      <c r="FQ113" s="497" t="s">
        <v>4</v>
      </c>
      <c r="FR113" s="497" t="s">
        <v>4</v>
      </c>
      <c r="FS113" s="497" t="s">
        <v>7</v>
      </c>
      <c r="FT113" s="497" t="s">
        <v>7</v>
      </c>
      <c r="FU113" s="497" t="s">
        <v>29302</v>
      </c>
      <c r="FV113" s="497" t="s">
        <v>34148</v>
      </c>
      <c r="FW113" s="497" t="s">
        <v>29304</v>
      </c>
      <c r="FX113" s="497">
        <v>3</v>
      </c>
      <c r="FY113" s="497" t="s">
        <v>29449</v>
      </c>
      <c r="FZ113" s="497" t="s">
        <v>29339</v>
      </c>
      <c r="GA113" s="497" t="s">
        <v>4</v>
      </c>
      <c r="GB113" s="497" t="s">
        <v>4</v>
      </c>
      <c r="GC113" s="497" t="s">
        <v>4</v>
      </c>
      <c r="GD113" s="497" t="s">
        <v>29451</v>
      </c>
      <c r="GE113" s="497" t="s">
        <v>4</v>
      </c>
      <c r="GF113" s="497" t="s">
        <v>4</v>
      </c>
      <c r="GG113" s="497" t="s">
        <v>4</v>
      </c>
      <c r="GH113" s="497" t="s">
        <v>4</v>
      </c>
      <c r="GI113" s="497" t="s">
        <v>4</v>
      </c>
      <c r="GJ113" s="497" t="s">
        <v>4</v>
      </c>
      <c r="GK113" s="497" t="s">
        <v>4</v>
      </c>
      <c r="GL113" s="497" t="s">
        <v>4</v>
      </c>
      <c r="GM113" s="497" t="s">
        <v>4</v>
      </c>
      <c r="GN113" s="497" t="s">
        <v>4</v>
      </c>
      <c r="GO113" s="497" t="s">
        <v>4</v>
      </c>
      <c r="GP113" s="497" t="s">
        <v>4</v>
      </c>
      <c r="GQ113" s="497" t="s">
        <v>4</v>
      </c>
      <c r="GR113" s="497" t="s">
        <v>4</v>
      </c>
      <c r="GS113" s="497" t="s">
        <v>4</v>
      </c>
      <c r="GT113" s="497" t="s">
        <v>29354</v>
      </c>
      <c r="GU113" s="497" t="s">
        <v>4</v>
      </c>
      <c r="GV113" s="494">
        <v>6</v>
      </c>
      <c r="GW113" s="497" t="s">
        <v>2</v>
      </c>
      <c r="GX113" s="497" t="s">
        <v>29309</v>
      </c>
      <c r="GY113" s="497" t="s">
        <v>4</v>
      </c>
      <c r="GZ113" s="497" t="s">
        <v>4</v>
      </c>
      <c r="HA113" s="497" t="s">
        <v>4</v>
      </c>
      <c r="HB113" s="497" t="s">
        <v>4</v>
      </c>
      <c r="HC113" s="497" t="s">
        <v>4</v>
      </c>
      <c r="HD113" s="497" t="s">
        <v>4</v>
      </c>
      <c r="HE113" s="497" t="s">
        <v>4</v>
      </c>
      <c r="HF113" s="497" t="s">
        <v>4</v>
      </c>
      <c r="HG113" s="497" t="s">
        <v>2</v>
      </c>
      <c r="HH113" s="497" t="s">
        <v>4</v>
      </c>
      <c r="HI113" s="497" t="s">
        <v>4</v>
      </c>
      <c r="HJ113" s="497" t="s">
        <v>4</v>
      </c>
      <c r="HK113" s="494" t="s">
        <v>4</v>
      </c>
      <c r="HL113" s="497" t="s">
        <v>34149</v>
      </c>
      <c r="HM113" s="497" t="s">
        <v>2</v>
      </c>
      <c r="HN113" s="497" t="s">
        <v>4</v>
      </c>
      <c r="HO113" s="497" t="s">
        <v>34150</v>
      </c>
      <c r="HP113" s="497" t="s">
        <v>34151</v>
      </c>
      <c r="HQ113" s="497" t="s">
        <v>34152</v>
      </c>
      <c r="HR113" s="497" t="s">
        <v>34153</v>
      </c>
      <c r="HS113" s="497" t="s">
        <v>16</v>
      </c>
      <c r="HT113" s="500" t="s">
        <v>34138</v>
      </c>
    </row>
    <row r="114" spans="1:228" s="570" customFormat="1" ht="30.2" customHeight="1" x14ac:dyDescent="0.25">
      <c r="A114" s="759"/>
      <c r="B114" s="496">
        <v>25</v>
      </c>
      <c r="C114" s="496" t="s">
        <v>32579</v>
      </c>
      <c r="D114" s="497" t="s">
        <v>33630</v>
      </c>
      <c r="E114" s="497" t="s">
        <v>33583</v>
      </c>
      <c r="F114" s="497" t="s">
        <v>7</v>
      </c>
      <c r="G114" s="497" t="s">
        <v>33631</v>
      </c>
      <c r="H114" s="497">
        <v>1386.4</v>
      </c>
      <c r="I114" s="497">
        <v>5</v>
      </c>
      <c r="J114" s="497" t="s">
        <v>29319</v>
      </c>
      <c r="K114" s="497" t="s">
        <v>4</v>
      </c>
      <c r="L114" s="497" t="s">
        <v>33632</v>
      </c>
      <c r="M114" s="497">
        <v>781488646</v>
      </c>
      <c r="N114" s="497" t="s">
        <v>5</v>
      </c>
      <c r="O114" s="497" t="s">
        <v>31590</v>
      </c>
      <c r="P114" s="497" t="s">
        <v>4</v>
      </c>
      <c r="Q114" s="497">
        <v>8</v>
      </c>
      <c r="R114" s="497" t="s">
        <v>7</v>
      </c>
      <c r="S114" s="497" t="s">
        <v>31588</v>
      </c>
      <c r="T114" s="497" t="s">
        <v>4</v>
      </c>
      <c r="U114" s="497" t="s">
        <v>7</v>
      </c>
      <c r="V114" s="497" t="s">
        <v>7</v>
      </c>
      <c r="W114" s="497" t="s">
        <v>4</v>
      </c>
      <c r="X114" s="497" t="s">
        <v>7</v>
      </c>
      <c r="Y114" s="497" t="s">
        <v>4</v>
      </c>
      <c r="Z114" s="497" t="s">
        <v>4</v>
      </c>
      <c r="AA114" s="241" t="str">
        <f>IF(OR(U114="yes",Z114&gt;'SDG outcome'!$C$39),"yes","no")</f>
        <v>yes</v>
      </c>
      <c r="AB114" s="521" t="str">
        <f t="shared" si="3"/>
        <v>NA</v>
      </c>
      <c r="AC114" s="527" t="str">
        <f>IF(AND('SMS p2'!AA37="no",AND(Z114&gt;='SDG outcome'!$B$28,Z114&lt;'SDG outcome'!$C$39)),Z114-'SDG outcome'!$B$28,"")</f>
        <v/>
      </c>
      <c r="AD114" s="497" t="s">
        <v>4</v>
      </c>
      <c r="AE114" s="497" t="s">
        <v>4</v>
      </c>
      <c r="AF114" s="497" t="s">
        <v>4</v>
      </c>
      <c r="AG114" s="497" t="s">
        <v>4</v>
      </c>
      <c r="AH114" s="497" t="s">
        <v>4</v>
      </c>
      <c r="AI114" s="497" t="s">
        <v>4</v>
      </c>
      <c r="AJ114" s="497" t="s">
        <v>4</v>
      </c>
      <c r="AK114" s="497" t="s">
        <v>29290</v>
      </c>
      <c r="AL114" s="497" t="s">
        <v>29694</v>
      </c>
      <c r="AM114" s="497" t="s">
        <v>4</v>
      </c>
      <c r="AN114" s="497" t="s">
        <v>4</v>
      </c>
      <c r="AO114" s="497" t="s">
        <v>31536</v>
      </c>
      <c r="AP114" s="497" t="s">
        <v>4</v>
      </c>
      <c r="AQ114" s="497" t="s">
        <v>31537</v>
      </c>
      <c r="AR114" s="497" t="s">
        <v>4</v>
      </c>
      <c r="AS114" s="497" t="s">
        <v>31538</v>
      </c>
      <c r="AT114" s="497" t="s">
        <v>4</v>
      </c>
      <c r="AU114" s="497" t="s">
        <v>7</v>
      </c>
      <c r="AV114" s="497" t="s">
        <v>4</v>
      </c>
      <c r="AW114" s="497" t="s">
        <v>4</v>
      </c>
      <c r="AX114" s="497" t="s">
        <v>2</v>
      </c>
      <c r="AY114" s="497" t="s">
        <v>4</v>
      </c>
      <c r="AZ114" s="497" t="s">
        <v>4</v>
      </c>
      <c r="BA114" s="497" t="s">
        <v>31563</v>
      </c>
      <c r="BB114" s="497" t="s">
        <v>22</v>
      </c>
      <c r="BC114" s="497" t="s">
        <v>4</v>
      </c>
      <c r="BD114" s="497" t="s">
        <v>31541</v>
      </c>
      <c r="BE114" s="497" t="s">
        <v>4</v>
      </c>
      <c r="BF114" s="497" t="s">
        <v>31542</v>
      </c>
      <c r="BG114" s="497" t="s">
        <v>33633</v>
      </c>
      <c r="BH114" s="497" t="s">
        <v>31544</v>
      </c>
      <c r="BI114" s="497">
        <v>1</v>
      </c>
      <c r="BJ114" s="497">
        <v>60</v>
      </c>
      <c r="BK114" s="497" t="s">
        <v>7</v>
      </c>
      <c r="BL114" s="497" t="s">
        <v>6</v>
      </c>
      <c r="BM114" s="497" t="s">
        <v>4</v>
      </c>
      <c r="BN114" s="497" t="s">
        <v>31425</v>
      </c>
      <c r="BO114" s="497" t="s">
        <v>4</v>
      </c>
      <c r="BP114" s="497" t="s">
        <v>4</v>
      </c>
      <c r="BQ114" s="497" t="s">
        <v>13</v>
      </c>
      <c r="BR114" s="499" t="s">
        <v>4</v>
      </c>
      <c r="BS114" s="497" t="s">
        <v>33634</v>
      </c>
      <c r="BT114" s="497">
        <v>0</v>
      </c>
      <c r="BU114" s="494" cm="1">
        <f t="array" ref="BU114">_xlfn.IFS(BQ114="Foreword vehicle",BT114*0,BQ114="Human wastes",BT114*0,BS114="Jerrycans",BT114*$BT$4,BQ114="Number of Basins",BT114*$BT$5,BQ114="Number of Buckets",BT114*$BT$6,BQ114="Number of Kgs",BT114*$BT$7,BQ114="Number of spades",BT114*$BT$8,BQ114="Number of wheelbarrows",BT114*$BT$9,BS114="Septic Tank",BT114*0)</f>
        <v>0</v>
      </c>
      <c r="BV114" s="494" t="e" vm="1">
        <f>Table15[[#This Row],[Calculation: Conversion of metric to Kg manure feeding (Columns: BP, BQ, BR)]]*Table15[[#This Row],[Number of times used to feed biodigester]]</f>
        <v>#VALUE!</v>
      </c>
      <c r="BW114" s="495">
        <v>0</v>
      </c>
      <c r="BX114" s="497" t="s">
        <v>4</v>
      </c>
      <c r="BY114" s="497" t="s">
        <v>4</v>
      </c>
      <c r="BZ114" s="497" t="s">
        <v>2</v>
      </c>
      <c r="CA114" s="497" t="s">
        <v>4</v>
      </c>
      <c r="CB114" s="497" t="s">
        <v>4</v>
      </c>
      <c r="CC114" s="497" t="s">
        <v>4</v>
      </c>
      <c r="CD114" s="497" t="s">
        <v>7</v>
      </c>
      <c r="CE114" s="497" t="s">
        <v>33635</v>
      </c>
      <c r="CF114" s="497" t="s">
        <v>4</v>
      </c>
      <c r="CG114" s="497" t="s">
        <v>31698</v>
      </c>
      <c r="CH114" s="497">
        <v>0</v>
      </c>
      <c r="CI114" s="497">
        <v>0</v>
      </c>
      <c r="CJ114" s="497">
        <v>0</v>
      </c>
      <c r="CK114" s="497">
        <v>0</v>
      </c>
      <c r="CL114" s="497">
        <v>0</v>
      </c>
      <c r="CM114" s="497">
        <v>0</v>
      </c>
      <c r="CN114" s="497">
        <v>0</v>
      </c>
      <c r="CO114" s="497">
        <v>0</v>
      </c>
      <c r="CP114" s="497">
        <v>0</v>
      </c>
      <c r="CQ114" s="497">
        <v>0</v>
      </c>
      <c r="CR114" s="497">
        <f>IF(Table15[[#This Row],[Is your biodigester working?]]="yes",CO114/'SDG outcome'!$C$9*CP114*CQ114,"")</f>
        <v>0</v>
      </c>
      <c r="CS114" s="497" t="s">
        <v>4</v>
      </c>
      <c r="CT114" s="500" t="s">
        <v>4</v>
      </c>
      <c r="CU114" s="496" t="s">
        <v>4</v>
      </c>
      <c r="CV114" s="497" t="s">
        <v>4</v>
      </c>
      <c r="CW114" s="500" t="s">
        <v>4</v>
      </c>
      <c r="CX114" s="496" t="s">
        <v>4</v>
      </c>
      <c r="CY114" s="497" t="s">
        <v>4</v>
      </c>
      <c r="CZ114" s="500" t="s">
        <v>4</v>
      </c>
      <c r="DA114" s="496" t="s">
        <v>4</v>
      </c>
      <c r="DB114" s="497" t="s">
        <v>4</v>
      </c>
      <c r="DC114" s="497" t="s">
        <v>4</v>
      </c>
      <c r="DD114" s="497" t="s">
        <v>4</v>
      </c>
      <c r="DE114" s="497" t="s">
        <v>4</v>
      </c>
      <c r="DF114" s="497" t="s">
        <v>4</v>
      </c>
      <c r="DG114" s="497" t="s">
        <v>4</v>
      </c>
      <c r="DH114" s="497" t="s">
        <v>4</v>
      </c>
      <c r="DI114" s="497" t="s">
        <v>4</v>
      </c>
      <c r="DJ114" s="497" t="s">
        <v>4</v>
      </c>
      <c r="DK114" s="497" t="s">
        <v>4</v>
      </c>
      <c r="DL114" s="497" t="s">
        <v>4</v>
      </c>
      <c r="DM114" s="497" t="s">
        <v>4</v>
      </c>
      <c r="DN114" s="497">
        <v>0.7</v>
      </c>
      <c r="DO114" s="497" t="s">
        <v>7</v>
      </c>
      <c r="DP114" s="497" t="s">
        <v>29292</v>
      </c>
      <c r="DQ114" s="497" t="s">
        <v>4</v>
      </c>
      <c r="DR114" s="497" t="s">
        <v>29294</v>
      </c>
      <c r="DS114" s="494" t="s">
        <v>4</v>
      </c>
      <c r="DT114" s="497" t="s">
        <v>29293</v>
      </c>
      <c r="DU114" s="494">
        <v>0</v>
      </c>
      <c r="DV114" s="500" t="s">
        <v>30537</v>
      </c>
      <c r="DW114" s="496" t="s">
        <v>4</v>
      </c>
      <c r="DX114" s="497" t="s">
        <v>4</v>
      </c>
      <c r="DY114" s="497" t="s">
        <v>4</v>
      </c>
      <c r="DZ114" s="497" t="s">
        <v>4</v>
      </c>
      <c r="EA114" s="497" t="s">
        <v>4</v>
      </c>
      <c r="EB114" s="497" t="s">
        <v>4</v>
      </c>
      <c r="EC114" s="497" t="s">
        <v>4</v>
      </c>
      <c r="ED114" s="497" t="s">
        <v>4</v>
      </c>
      <c r="EE114" s="497" t="s">
        <v>4</v>
      </c>
      <c r="EF114" s="497" t="s">
        <v>4</v>
      </c>
      <c r="EG114" s="497" t="s">
        <v>4</v>
      </c>
      <c r="EH114" s="497" t="s">
        <v>4</v>
      </c>
      <c r="EI114" s="497" t="s">
        <v>4</v>
      </c>
      <c r="EJ114" s="497" t="s">
        <v>4</v>
      </c>
      <c r="EK114" s="497" t="s">
        <v>4</v>
      </c>
      <c r="EL114" s="497" t="s">
        <v>4</v>
      </c>
      <c r="EM114" s="497" t="s">
        <v>4</v>
      </c>
      <c r="EN114" s="497">
        <v>100</v>
      </c>
      <c r="EO114" s="497" t="s">
        <v>4</v>
      </c>
      <c r="EP114" s="497" t="s">
        <v>4</v>
      </c>
      <c r="EQ114" s="497" t="s">
        <v>4</v>
      </c>
      <c r="ER114" s="497" t="s">
        <v>4</v>
      </c>
      <c r="ES114" s="497" t="s">
        <v>4</v>
      </c>
      <c r="ET114" s="497" t="s">
        <v>4</v>
      </c>
      <c r="EU114" s="497" t="s">
        <v>4</v>
      </c>
      <c r="EV114" s="497" t="s">
        <v>4</v>
      </c>
      <c r="EW114" s="497">
        <v>0.1</v>
      </c>
      <c r="EX114" s="497" t="s">
        <v>33636</v>
      </c>
      <c r="EY114" s="497" t="s">
        <v>4</v>
      </c>
      <c r="EZ114" s="239"/>
      <c r="FA114" s="497" t="s">
        <v>4</v>
      </c>
      <c r="FB114" s="497" t="s">
        <v>4</v>
      </c>
      <c r="FC114" s="497" t="s">
        <v>4</v>
      </c>
      <c r="FD114" s="497" t="s">
        <v>4</v>
      </c>
      <c r="FE114" s="497" t="s">
        <v>4</v>
      </c>
      <c r="FF114" s="497" t="s">
        <v>4</v>
      </c>
      <c r="FG114" s="497" t="s">
        <v>4</v>
      </c>
      <c r="FH114" s="497" t="s">
        <v>4</v>
      </c>
      <c r="FI114" s="497" t="s">
        <v>4</v>
      </c>
      <c r="FJ114" s="497" t="s">
        <v>4</v>
      </c>
      <c r="FK114" s="497" t="s">
        <v>4</v>
      </c>
      <c r="FL114" s="497" t="s">
        <v>4</v>
      </c>
      <c r="FM114" s="497" t="s">
        <v>4</v>
      </c>
      <c r="FN114" s="494" t="s">
        <v>4</v>
      </c>
      <c r="FO114" s="497" t="s">
        <v>4</v>
      </c>
      <c r="FP114" s="497" t="s">
        <v>2</v>
      </c>
      <c r="FQ114" s="497" t="s">
        <v>4</v>
      </c>
      <c r="FR114" s="497" t="s">
        <v>4</v>
      </c>
      <c r="FS114" s="497" t="s">
        <v>7</v>
      </c>
      <c r="FT114" s="497" t="s">
        <v>7</v>
      </c>
      <c r="FU114" s="497" t="s">
        <v>30538</v>
      </c>
      <c r="FV114" s="497" t="s">
        <v>33637</v>
      </c>
      <c r="FW114" s="497" t="s">
        <v>4</v>
      </c>
      <c r="FX114" s="497">
        <v>0</v>
      </c>
      <c r="FY114" s="497" t="s">
        <v>4</v>
      </c>
      <c r="FZ114" s="497" t="s">
        <v>4</v>
      </c>
      <c r="GA114" s="497" t="s">
        <v>4</v>
      </c>
      <c r="GB114" s="497" t="s">
        <v>4</v>
      </c>
      <c r="GC114" s="497" t="s">
        <v>4</v>
      </c>
      <c r="GD114" s="497" t="s">
        <v>4</v>
      </c>
      <c r="GE114" s="497" t="s">
        <v>4</v>
      </c>
      <c r="GF114" s="497" t="s">
        <v>4</v>
      </c>
      <c r="GG114" s="497" t="s">
        <v>4</v>
      </c>
      <c r="GH114" s="497" t="s">
        <v>4</v>
      </c>
      <c r="GI114" s="497" t="s">
        <v>29304</v>
      </c>
      <c r="GJ114" s="497" t="s">
        <v>29305</v>
      </c>
      <c r="GK114" s="497" t="s">
        <v>29339</v>
      </c>
      <c r="GL114" s="497" t="s">
        <v>4</v>
      </c>
      <c r="GM114" s="497" t="s">
        <v>4</v>
      </c>
      <c r="GN114" s="497" t="s">
        <v>4</v>
      </c>
      <c r="GO114" s="497" t="s">
        <v>4</v>
      </c>
      <c r="GP114" s="497" t="s">
        <v>4</v>
      </c>
      <c r="GQ114" s="497" t="s">
        <v>4</v>
      </c>
      <c r="GR114" s="497" t="s">
        <v>4</v>
      </c>
      <c r="GS114" s="497" t="s">
        <v>4</v>
      </c>
      <c r="GT114" s="497" t="s">
        <v>31388</v>
      </c>
      <c r="GU114" s="497" t="s">
        <v>4</v>
      </c>
      <c r="GV114" s="494">
        <v>5</v>
      </c>
      <c r="GW114" s="497" t="s">
        <v>2</v>
      </c>
      <c r="GX114" s="497" t="s">
        <v>29837</v>
      </c>
      <c r="GY114" s="497" t="s">
        <v>4</v>
      </c>
      <c r="GZ114" s="497" t="s">
        <v>4</v>
      </c>
      <c r="HA114" s="497" t="s">
        <v>4</v>
      </c>
      <c r="HB114" s="497" t="s">
        <v>4</v>
      </c>
      <c r="HC114" s="497" t="s">
        <v>4</v>
      </c>
      <c r="HD114" s="497" t="s">
        <v>4</v>
      </c>
      <c r="HE114" s="497" t="s">
        <v>4</v>
      </c>
      <c r="HF114" s="497" t="s">
        <v>4</v>
      </c>
      <c r="HG114" s="497" t="s">
        <v>2</v>
      </c>
      <c r="HH114" s="497" t="s">
        <v>4</v>
      </c>
      <c r="HI114" s="497" t="s">
        <v>4</v>
      </c>
      <c r="HJ114" s="497" t="s">
        <v>4</v>
      </c>
      <c r="HK114" s="494" t="s">
        <v>4</v>
      </c>
      <c r="HL114" s="497" t="s">
        <v>33638</v>
      </c>
      <c r="HM114" s="497" t="s">
        <v>2</v>
      </c>
      <c r="HN114" s="497" t="s">
        <v>4</v>
      </c>
      <c r="HO114" s="497" t="s">
        <v>33639</v>
      </c>
      <c r="HP114" s="497" t="s">
        <v>33640</v>
      </c>
      <c r="HQ114" s="497" t="s">
        <v>33641</v>
      </c>
      <c r="HR114" s="497" t="s">
        <v>33642</v>
      </c>
      <c r="HS114" s="497" t="s">
        <v>33643</v>
      </c>
      <c r="HT114" s="500" t="s">
        <v>33630</v>
      </c>
    </row>
    <row r="115" spans="1:228" s="570" customFormat="1" ht="30.2" customHeight="1" x14ac:dyDescent="0.25">
      <c r="A115" s="759"/>
      <c r="B115" s="496">
        <v>26</v>
      </c>
      <c r="C115" s="496" t="s">
        <v>21143</v>
      </c>
      <c r="D115" s="497" t="s">
        <v>33644</v>
      </c>
      <c r="E115" s="497" t="s">
        <v>33583</v>
      </c>
      <c r="F115" s="497" t="s">
        <v>7</v>
      </c>
      <c r="G115" s="497" t="s">
        <v>33645</v>
      </c>
      <c r="H115" s="497">
        <v>1349.7</v>
      </c>
      <c r="I115" s="497">
        <v>4.9000000000000004</v>
      </c>
      <c r="J115" s="497" t="s">
        <v>29319</v>
      </c>
      <c r="K115" s="497" t="s">
        <v>4</v>
      </c>
      <c r="L115" s="497" t="s">
        <v>33646</v>
      </c>
      <c r="M115" s="497">
        <v>772824267</v>
      </c>
      <c r="N115" s="497" t="s">
        <v>5</v>
      </c>
      <c r="O115" s="497" t="s">
        <v>31590</v>
      </c>
      <c r="P115" s="497" t="s">
        <v>4</v>
      </c>
      <c r="Q115" s="497">
        <v>10</v>
      </c>
      <c r="R115" s="497" t="s">
        <v>7</v>
      </c>
      <c r="S115" s="497" t="s">
        <v>31588</v>
      </c>
      <c r="T115" s="497" t="s">
        <v>4</v>
      </c>
      <c r="U115" s="497" t="s">
        <v>7</v>
      </c>
      <c r="V115" s="497" t="s">
        <v>7</v>
      </c>
      <c r="W115" s="497" t="s">
        <v>4</v>
      </c>
      <c r="X115" s="497" t="s">
        <v>7</v>
      </c>
      <c r="Y115" s="497" t="s">
        <v>4</v>
      </c>
      <c r="Z115" s="497" t="s">
        <v>4</v>
      </c>
      <c r="AA115" s="241" t="str">
        <f>IF(OR(U115="yes",Z115&gt;'SDG outcome'!$C$39),"yes","no")</f>
        <v>yes</v>
      </c>
      <c r="AB115" s="521" t="str">
        <f t="shared" si="3"/>
        <v>NA</v>
      </c>
      <c r="AC115" s="527" t="str">
        <f>IF(AND('SMS p2'!AA38="no",AND(Z115&gt;='SDG outcome'!$B$28,Z115&lt;'SDG outcome'!$C$39)),Z115-'SDG outcome'!$B$28,"")</f>
        <v/>
      </c>
      <c r="AD115" s="497" t="s">
        <v>4</v>
      </c>
      <c r="AE115" s="497" t="s">
        <v>4</v>
      </c>
      <c r="AF115" s="497" t="s">
        <v>4</v>
      </c>
      <c r="AG115" s="497" t="s">
        <v>4</v>
      </c>
      <c r="AH115" s="497" t="s">
        <v>4</v>
      </c>
      <c r="AI115" s="497" t="s">
        <v>4</v>
      </c>
      <c r="AJ115" s="497" t="s">
        <v>4</v>
      </c>
      <c r="AK115" s="497" t="s">
        <v>29290</v>
      </c>
      <c r="AL115" s="497" t="s">
        <v>29694</v>
      </c>
      <c r="AM115" s="497" t="s">
        <v>4</v>
      </c>
      <c r="AN115" s="497" t="s">
        <v>4</v>
      </c>
      <c r="AO115" s="497" t="s">
        <v>31536</v>
      </c>
      <c r="AP115" s="497" t="s">
        <v>4</v>
      </c>
      <c r="AQ115" s="497" t="s">
        <v>31537</v>
      </c>
      <c r="AR115" s="497" t="s">
        <v>4</v>
      </c>
      <c r="AS115" s="497" t="s">
        <v>31538</v>
      </c>
      <c r="AT115" s="497" t="s">
        <v>4</v>
      </c>
      <c r="AU115" s="497" t="s">
        <v>7</v>
      </c>
      <c r="AV115" s="497" t="s">
        <v>4</v>
      </c>
      <c r="AW115" s="497" t="s">
        <v>4</v>
      </c>
      <c r="AX115" s="497" t="s">
        <v>2</v>
      </c>
      <c r="AY115" s="497" t="s">
        <v>4</v>
      </c>
      <c r="AZ115" s="497" t="s">
        <v>4</v>
      </c>
      <c r="BA115" s="497" t="s">
        <v>31563</v>
      </c>
      <c r="BB115" s="497" t="s">
        <v>22</v>
      </c>
      <c r="BC115" s="497" t="s">
        <v>4</v>
      </c>
      <c r="BD115" s="497" t="s">
        <v>14</v>
      </c>
      <c r="BE115" s="497" t="s">
        <v>4</v>
      </c>
      <c r="BF115" s="497" t="s">
        <v>31542</v>
      </c>
      <c r="BG115" s="497" t="s">
        <v>33647</v>
      </c>
      <c r="BH115" s="497" t="s">
        <v>31544</v>
      </c>
      <c r="BI115" s="497">
        <v>2</v>
      </c>
      <c r="BJ115" s="497">
        <v>120</v>
      </c>
      <c r="BK115" s="497" t="s">
        <v>7</v>
      </c>
      <c r="BL115" s="497" t="s">
        <v>6</v>
      </c>
      <c r="BM115" s="497" t="s">
        <v>4</v>
      </c>
      <c r="BN115" s="497" t="s">
        <v>31425</v>
      </c>
      <c r="BO115" s="497">
        <v>1</v>
      </c>
      <c r="BP115" s="497">
        <v>60</v>
      </c>
      <c r="BQ115" s="497" t="s">
        <v>31434</v>
      </c>
      <c r="BR115" s="499" t="s">
        <v>33332</v>
      </c>
      <c r="BS115" s="497" t="s">
        <v>4</v>
      </c>
      <c r="BT115" s="497">
        <v>2</v>
      </c>
      <c r="BU115" s="494" cm="1">
        <f t="array" ref="BU115">_xlfn.IFS(BQ115="Foreword vehicle",BT115*0,BQ115="Human wastes",BT115*0,BS115="Jerrycans",BT115*$BT$4,BQ115="Number of Basins",BT115*$BT$5,BQ115="Number of Buckets",BT115*$BT$6,BQ115="Number of Kgs",BT115*$BT$7,BQ115="Number of spades",BT115*$BT$8,BQ115="Number of wheelbarrows",BT115*$BT$9,BS115="Septic Tank",BT115*0)</f>
        <v>32</v>
      </c>
      <c r="BV115" s="494">
        <f>Table15[[#This Row],[Calculation: Conversion of metric to Kg manure feeding (Columns: BP, BQ, BR)]]*Table15[[#This Row],[Number of times used to feed biodigester]]</f>
        <v>32</v>
      </c>
      <c r="BW115" s="495" cm="1">
        <f t="array" ref="BW115">_xlfn.IFS(BN115="Number of times per day (1 to 3)",BV115/$BW$3,BN115="Number of times per week (1 to 6)",BV115/$BW$4,BN115="Number of times per Month (1 to 3)",BV115/$BW$5)</f>
        <v>32</v>
      </c>
      <c r="BX115" s="497" t="s">
        <v>31552</v>
      </c>
      <c r="BY115" s="497" t="s">
        <v>4</v>
      </c>
      <c r="BZ115" s="497" t="s">
        <v>2</v>
      </c>
      <c r="CA115" s="497" t="s">
        <v>4</v>
      </c>
      <c r="CB115" s="497" t="s">
        <v>4</v>
      </c>
      <c r="CC115" s="497" t="s">
        <v>4</v>
      </c>
      <c r="CD115" s="497" t="s">
        <v>7</v>
      </c>
      <c r="CE115" s="497" t="s">
        <v>33648</v>
      </c>
      <c r="CF115" s="497" t="s">
        <v>4</v>
      </c>
      <c r="CG115" s="497" t="s">
        <v>31705</v>
      </c>
      <c r="CH115" s="497">
        <v>0</v>
      </c>
      <c r="CI115" s="497">
        <v>10</v>
      </c>
      <c r="CJ115" s="497">
        <v>0</v>
      </c>
      <c r="CK115" s="497">
        <v>0</v>
      </c>
      <c r="CL115" s="497">
        <v>0</v>
      </c>
      <c r="CM115" s="497">
        <v>0</v>
      </c>
      <c r="CN115" s="497">
        <v>0</v>
      </c>
      <c r="CO115" s="497">
        <v>0</v>
      </c>
      <c r="CP115" s="497">
        <v>0</v>
      </c>
      <c r="CQ115" s="497">
        <v>0</v>
      </c>
      <c r="CR115" s="497">
        <f>IF(Table15[[#This Row],[Is your biodigester working?]]="yes",CO115/'SDG outcome'!$C$9*CP115*CQ115,"")</f>
        <v>0</v>
      </c>
      <c r="CS115" s="497" t="s">
        <v>4</v>
      </c>
      <c r="CT115" s="500" t="s">
        <v>4</v>
      </c>
      <c r="CU115" s="496" t="s">
        <v>4</v>
      </c>
      <c r="CV115" s="497">
        <v>100</v>
      </c>
      <c r="CW115" s="500">
        <v>0</v>
      </c>
      <c r="CX115" s="496" t="s">
        <v>4</v>
      </c>
      <c r="CY115" s="497" t="s">
        <v>4</v>
      </c>
      <c r="CZ115" s="500" t="s">
        <v>4</v>
      </c>
      <c r="DA115" s="496" t="s">
        <v>4</v>
      </c>
      <c r="DB115" s="497" t="s">
        <v>4</v>
      </c>
      <c r="DC115" s="497" t="s">
        <v>4</v>
      </c>
      <c r="DD115" s="497" t="s">
        <v>4</v>
      </c>
      <c r="DE115" s="497" t="s">
        <v>4</v>
      </c>
      <c r="DF115" s="497" t="s">
        <v>4</v>
      </c>
      <c r="DG115" s="497" t="s">
        <v>4</v>
      </c>
      <c r="DH115" s="497" t="s">
        <v>4</v>
      </c>
      <c r="DI115" s="497" t="s">
        <v>4</v>
      </c>
      <c r="DJ115" s="497" t="s">
        <v>4</v>
      </c>
      <c r="DK115" s="497" t="s">
        <v>4</v>
      </c>
      <c r="DL115" s="497" t="s">
        <v>4</v>
      </c>
      <c r="DM115" s="497" t="s">
        <v>4</v>
      </c>
      <c r="DN115" s="497">
        <v>2</v>
      </c>
      <c r="DO115" s="497" t="s">
        <v>2</v>
      </c>
      <c r="DP115" s="497" t="s">
        <v>29292</v>
      </c>
      <c r="DQ115" s="497" t="s">
        <v>4</v>
      </c>
      <c r="DR115" s="497" t="s">
        <v>29294</v>
      </c>
      <c r="DS115" s="494" t="s">
        <v>4</v>
      </c>
      <c r="DT115" s="497" t="s">
        <v>29294</v>
      </c>
      <c r="DU115" s="494" t="s">
        <v>4</v>
      </c>
      <c r="DV115" s="500" t="s">
        <v>29295</v>
      </c>
      <c r="DW115" s="496">
        <v>100</v>
      </c>
      <c r="DX115" s="497" t="s">
        <v>30063</v>
      </c>
      <c r="DY115" s="497">
        <v>70</v>
      </c>
      <c r="DZ115" s="497" t="s">
        <v>4</v>
      </c>
      <c r="EA115" s="497" t="s">
        <v>4</v>
      </c>
      <c r="EB115" s="497">
        <v>30</v>
      </c>
      <c r="EC115" s="497" t="s">
        <v>4</v>
      </c>
      <c r="ED115" s="497" t="s">
        <v>4</v>
      </c>
      <c r="EE115" s="497" t="s">
        <v>4</v>
      </c>
      <c r="EF115" s="497" t="s">
        <v>4</v>
      </c>
      <c r="EG115" s="497" t="s">
        <v>4</v>
      </c>
      <c r="EH115" s="497" t="s">
        <v>4</v>
      </c>
      <c r="EI115" s="497" t="s">
        <v>4</v>
      </c>
      <c r="EJ115" s="497" t="s">
        <v>4</v>
      </c>
      <c r="EK115" s="497" t="s">
        <v>4</v>
      </c>
      <c r="EL115" s="497" t="s">
        <v>4</v>
      </c>
      <c r="EM115" s="497" t="s">
        <v>4</v>
      </c>
      <c r="EN115" s="497" t="s">
        <v>4</v>
      </c>
      <c r="EO115" s="497" t="s">
        <v>4</v>
      </c>
      <c r="EP115" s="497" t="s">
        <v>4</v>
      </c>
      <c r="EQ115" s="497" t="s">
        <v>4</v>
      </c>
      <c r="ER115" s="497" t="s">
        <v>4</v>
      </c>
      <c r="ES115" s="497" t="s">
        <v>4</v>
      </c>
      <c r="ET115" s="497" t="s">
        <v>4</v>
      </c>
      <c r="EU115" s="497" t="s">
        <v>4</v>
      </c>
      <c r="EV115" s="497" t="s">
        <v>4</v>
      </c>
      <c r="EW115" s="497" t="s">
        <v>33649</v>
      </c>
      <c r="EX115" s="497" t="s">
        <v>7</v>
      </c>
      <c r="EY115" s="497">
        <v>20</v>
      </c>
      <c r="EZ115" s="239"/>
      <c r="FA115" s="497" t="s">
        <v>33650</v>
      </c>
      <c r="FB115" s="497" t="s">
        <v>29298</v>
      </c>
      <c r="FC115" s="497">
        <v>96</v>
      </c>
      <c r="FD115" s="497" t="s">
        <v>2</v>
      </c>
      <c r="FE115" s="497" t="s">
        <v>4</v>
      </c>
      <c r="FF115" s="497" t="s">
        <v>4</v>
      </c>
      <c r="FG115" s="497" t="s">
        <v>2</v>
      </c>
      <c r="FH115" s="497" t="s">
        <v>4</v>
      </c>
      <c r="FI115" s="497" t="s">
        <v>4</v>
      </c>
      <c r="FJ115" s="497" t="s">
        <v>4</v>
      </c>
      <c r="FK115" s="497" t="s">
        <v>4</v>
      </c>
      <c r="FL115" s="497" t="s">
        <v>4</v>
      </c>
      <c r="FM115" s="497" t="s">
        <v>4</v>
      </c>
      <c r="FN115" s="494" t="s">
        <v>4</v>
      </c>
      <c r="FO115" s="497" t="s">
        <v>4</v>
      </c>
      <c r="FP115" s="497" t="s">
        <v>2</v>
      </c>
      <c r="FQ115" s="497" t="s">
        <v>4</v>
      </c>
      <c r="FR115" s="497" t="s">
        <v>4</v>
      </c>
      <c r="FS115" s="497" t="s">
        <v>7</v>
      </c>
      <c r="FT115" s="497" t="s">
        <v>7</v>
      </c>
      <c r="FU115" s="497" t="s">
        <v>29302</v>
      </c>
      <c r="FV115" s="497" t="s">
        <v>33473</v>
      </c>
      <c r="FW115" s="497" t="s">
        <v>4</v>
      </c>
      <c r="FX115" s="497">
        <v>0</v>
      </c>
      <c r="FY115" s="497" t="s">
        <v>4</v>
      </c>
      <c r="FZ115" s="497" t="s">
        <v>4</v>
      </c>
      <c r="GA115" s="497" t="s">
        <v>4</v>
      </c>
      <c r="GB115" s="497" t="s">
        <v>4</v>
      </c>
      <c r="GC115" s="497" t="s">
        <v>4</v>
      </c>
      <c r="GD115" s="497" t="s">
        <v>4</v>
      </c>
      <c r="GE115" s="497" t="s">
        <v>4</v>
      </c>
      <c r="GF115" s="497" t="s">
        <v>4</v>
      </c>
      <c r="GG115" s="497" t="s">
        <v>4</v>
      </c>
      <c r="GH115" s="497" t="s">
        <v>4</v>
      </c>
      <c r="GI115" s="497" t="s">
        <v>29304</v>
      </c>
      <c r="GJ115" s="497" t="s">
        <v>29396</v>
      </c>
      <c r="GK115" s="497" t="s">
        <v>4</v>
      </c>
      <c r="GL115" s="497" t="s">
        <v>4</v>
      </c>
      <c r="GM115" s="497" t="s">
        <v>30273</v>
      </c>
      <c r="GN115" s="497" t="s">
        <v>4</v>
      </c>
      <c r="GO115" s="497" t="s">
        <v>4</v>
      </c>
      <c r="GP115" s="497" t="s">
        <v>4</v>
      </c>
      <c r="GQ115" s="497" t="s">
        <v>4</v>
      </c>
      <c r="GR115" s="497" t="s">
        <v>4</v>
      </c>
      <c r="GS115" s="497" t="s">
        <v>4</v>
      </c>
      <c r="GT115" s="497" t="s">
        <v>29354</v>
      </c>
      <c r="GU115" s="497" t="s">
        <v>4</v>
      </c>
      <c r="GV115" s="494">
        <v>10</v>
      </c>
      <c r="GW115" s="497" t="s">
        <v>2</v>
      </c>
      <c r="GX115" s="497" t="s">
        <v>29837</v>
      </c>
      <c r="GY115" s="497" t="s">
        <v>4</v>
      </c>
      <c r="GZ115" s="497" t="s">
        <v>4</v>
      </c>
      <c r="HA115" s="497" t="s">
        <v>4</v>
      </c>
      <c r="HB115" s="497" t="s">
        <v>4</v>
      </c>
      <c r="HC115" s="497" t="s">
        <v>4</v>
      </c>
      <c r="HD115" s="497" t="s">
        <v>4</v>
      </c>
      <c r="HE115" s="497" t="s">
        <v>4</v>
      </c>
      <c r="HF115" s="497" t="s">
        <v>4</v>
      </c>
      <c r="HG115" s="497" t="s">
        <v>2</v>
      </c>
      <c r="HH115" s="497" t="s">
        <v>4</v>
      </c>
      <c r="HI115" s="497" t="s">
        <v>4</v>
      </c>
      <c r="HJ115" s="497" t="s">
        <v>4</v>
      </c>
      <c r="HK115" s="494" t="s">
        <v>4</v>
      </c>
      <c r="HL115" s="497" t="s">
        <v>33651</v>
      </c>
      <c r="HM115" s="497" t="s">
        <v>7</v>
      </c>
      <c r="HN115" s="497" t="s">
        <v>33652</v>
      </c>
      <c r="HO115" s="497" t="s">
        <v>33653</v>
      </c>
      <c r="HP115" s="497" t="s">
        <v>33654</v>
      </c>
      <c r="HQ115" s="497" t="s">
        <v>33655</v>
      </c>
      <c r="HR115" s="497" t="s">
        <v>33656</v>
      </c>
      <c r="HS115" s="497" t="s">
        <v>33657</v>
      </c>
      <c r="HT115" s="500" t="s">
        <v>33658</v>
      </c>
    </row>
    <row r="116" spans="1:228" s="570" customFormat="1" ht="30.2" customHeight="1" x14ac:dyDescent="0.25">
      <c r="A116" s="759"/>
      <c r="B116" s="496">
        <v>27</v>
      </c>
      <c r="C116" s="496" t="s">
        <v>27948</v>
      </c>
      <c r="D116" s="497" t="s">
        <v>33659</v>
      </c>
      <c r="E116" s="497" t="s">
        <v>33583</v>
      </c>
      <c r="F116" s="497" t="s">
        <v>7</v>
      </c>
      <c r="G116" s="497" t="s">
        <v>33660</v>
      </c>
      <c r="H116" s="497">
        <v>1439</v>
      </c>
      <c r="I116" s="497">
        <v>4.9000000000000004</v>
      </c>
      <c r="J116" s="497" t="s">
        <v>29288</v>
      </c>
      <c r="K116" s="497" t="s">
        <v>4</v>
      </c>
      <c r="L116" s="497" t="s">
        <v>33661</v>
      </c>
      <c r="M116" s="497">
        <v>775065594</v>
      </c>
      <c r="N116" s="497" t="s">
        <v>3</v>
      </c>
      <c r="O116" s="497" t="s">
        <v>31598</v>
      </c>
      <c r="P116" s="497" t="s">
        <v>4</v>
      </c>
      <c r="Q116" s="497">
        <v>4</v>
      </c>
      <c r="R116" s="497" t="s">
        <v>7</v>
      </c>
      <c r="S116" s="497" t="s">
        <v>31588</v>
      </c>
      <c r="T116" s="497" t="s">
        <v>4</v>
      </c>
      <c r="U116" s="497" t="s">
        <v>7</v>
      </c>
      <c r="V116" s="497" t="s">
        <v>2</v>
      </c>
      <c r="W116" s="497">
        <v>2</v>
      </c>
      <c r="X116" s="497" t="s">
        <v>7</v>
      </c>
      <c r="Y116" s="497" t="s">
        <v>4</v>
      </c>
      <c r="Z116" s="497" t="s">
        <v>4</v>
      </c>
      <c r="AA116" s="241" t="str">
        <f>IF(OR(U116="yes",Z116&gt;'SDG outcome'!$C$39),"yes","no")</f>
        <v>yes</v>
      </c>
      <c r="AB116" s="521">
        <f t="shared" si="3"/>
        <v>2</v>
      </c>
      <c r="AC116" s="527" t="str">
        <f>IF(AND('SMS p2'!AA39="no",AND(Z116&gt;='SDG outcome'!$B$28,Z116&lt;'SDG outcome'!$C$39)),Z116-'SDG outcome'!$B$28,"")</f>
        <v/>
      </c>
      <c r="AD116" s="497" t="s">
        <v>4</v>
      </c>
      <c r="AE116" s="497" t="s">
        <v>4</v>
      </c>
      <c r="AF116" s="497" t="s">
        <v>4</v>
      </c>
      <c r="AG116" s="497" t="s">
        <v>4</v>
      </c>
      <c r="AH116" s="497" t="s">
        <v>4</v>
      </c>
      <c r="AI116" s="497" t="s">
        <v>4</v>
      </c>
      <c r="AJ116" s="497" t="s">
        <v>4</v>
      </c>
      <c r="AK116" s="497" t="s">
        <v>29290</v>
      </c>
      <c r="AL116" s="497" t="s">
        <v>29694</v>
      </c>
      <c r="AM116" s="497" t="s">
        <v>4</v>
      </c>
      <c r="AN116" s="497" t="s">
        <v>4</v>
      </c>
      <c r="AO116" s="497" t="s">
        <v>31536</v>
      </c>
      <c r="AP116" s="497" t="s">
        <v>4</v>
      </c>
      <c r="AQ116" s="497" t="s">
        <v>31537</v>
      </c>
      <c r="AR116" s="497" t="s">
        <v>4</v>
      </c>
      <c r="AS116" s="497" t="s">
        <v>31538</v>
      </c>
      <c r="AT116" s="497" t="s">
        <v>4</v>
      </c>
      <c r="AU116" s="497" t="s">
        <v>7</v>
      </c>
      <c r="AV116" s="497" t="s">
        <v>4</v>
      </c>
      <c r="AW116" s="497" t="s">
        <v>4</v>
      </c>
      <c r="AX116" s="497" t="s">
        <v>2</v>
      </c>
      <c r="AY116" s="497" t="s">
        <v>4</v>
      </c>
      <c r="AZ116" s="497" t="s">
        <v>4</v>
      </c>
      <c r="BA116" s="497" t="s">
        <v>31557</v>
      </c>
      <c r="BB116" s="497" t="s">
        <v>4</v>
      </c>
      <c r="BC116" s="497" t="s">
        <v>4</v>
      </c>
      <c r="BD116" s="497" t="s">
        <v>4</v>
      </c>
      <c r="BE116" s="497" t="s">
        <v>4</v>
      </c>
      <c r="BF116" s="497" t="s">
        <v>4</v>
      </c>
      <c r="BG116" s="497" t="s">
        <v>4</v>
      </c>
      <c r="BH116" s="497" t="s">
        <v>4</v>
      </c>
      <c r="BI116" s="497" t="s">
        <v>4</v>
      </c>
      <c r="BJ116" s="497" t="s">
        <v>4</v>
      </c>
      <c r="BK116" s="497" t="s">
        <v>7</v>
      </c>
      <c r="BL116" s="497" t="s">
        <v>6</v>
      </c>
      <c r="BM116" s="497" t="s">
        <v>4</v>
      </c>
      <c r="BN116" s="497" t="s">
        <v>31425</v>
      </c>
      <c r="BO116" s="497">
        <v>1</v>
      </c>
      <c r="BP116" s="497">
        <v>45</v>
      </c>
      <c r="BQ116" s="497" t="s">
        <v>31434</v>
      </c>
      <c r="BR116" s="499" t="s">
        <v>33332</v>
      </c>
      <c r="BS116" s="497" t="s">
        <v>4</v>
      </c>
      <c r="BT116" s="497">
        <v>2</v>
      </c>
      <c r="BU116" s="494" cm="1">
        <f t="array" ref="BU116">_xlfn.IFS(BQ116="Foreword vehicle",BT116*0,BQ116="Human wastes",BT116*0,BS116="Jerrycans",BT116*$BT$4,BQ116="Number of Basins",BT116*$BT$5,BQ116="Number of Buckets",BT116*$BT$6,BQ116="Number of Kgs",BT116*$BT$7,BQ116="Number of spades",BT116*$BT$8,BQ116="Number of wheelbarrows",BT116*$BT$9,BS116="Septic Tank",BT116*0)</f>
        <v>32</v>
      </c>
      <c r="BV116" s="494">
        <f>Table15[[#This Row],[Calculation: Conversion of metric to Kg manure feeding (Columns: BP, BQ, BR)]]*Table15[[#This Row],[Number of times used to feed biodigester]]</f>
        <v>32</v>
      </c>
      <c r="BW116" s="495" cm="1">
        <f t="array" ref="BW116">_xlfn.IFS(BN116="Number of times per day (1 to 3)",BV116/$BW$3,BN116="Number of times per week (1 to 6)",BV116/$BW$4,BN116="Number of times per Month (1 to 3)",BV116/$BW$5)</f>
        <v>32</v>
      </c>
      <c r="BX116" s="497" t="s">
        <v>22</v>
      </c>
      <c r="BY116" s="497" t="s">
        <v>4</v>
      </c>
      <c r="BZ116" s="497" t="s">
        <v>2</v>
      </c>
      <c r="CA116" s="497" t="s">
        <v>4</v>
      </c>
      <c r="CB116" s="497" t="s">
        <v>4</v>
      </c>
      <c r="CC116" s="497" t="s">
        <v>4</v>
      </c>
      <c r="CD116" s="497" t="s">
        <v>7</v>
      </c>
      <c r="CE116" s="497" t="s">
        <v>33662</v>
      </c>
      <c r="CF116" s="497" t="s">
        <v>4</v>
      </c>
      <c r="CG116" s="497" t="s">
        <v>31604</v>
      </c>
      <c r="CH116" s="497">
        <v>3</v>
      </c>
      <c r="CI116" s="497">
        <v>0</v>
      </c>
      <c r="CJ116" s="497">
        <v>0</v>
      </c>
      <c r="CK116" s="497">
        <v>0</v>
      </c>
      <c r="CL116" s="497">
        <v>0</v>
      </c>
      <c r="CM116" s="497">
        <v>0</v>
      </c>
      <c r="CN116" s="497">
        <v>0</v>
      </c>
      <c r="CO116" s="497">
        <v>0</v>
      </c>
      <c r="CP116" s="497">
        <v>0</v>
      </c>
      <c r="CQ116" s="497">
        <v>0</v>
      </c>
      <c r="CR116" s="497">
        <f>IF(Table15[[#This Row],[Is your biodigester working?]]="yes",CO116/'SDG outcome'!$C$9*CP116*CQ116,"")</f>
        <v>0</v>
      </c>
      <c r="CS116" s="497">
        <v>100</v>
      </c>
      <c r="CT116" s="500">
        <v>0</v>
      </c>
      <c r="CU116" s="496" t="s">
        <v>4</v>
      </c>
      <c r="CV116" s="497" t="s">
        <v>4</v>
      </c>
      <c r="CW116" s="500" t="s">
        <v>4</v>
      </c>
      <c r="CX116" s="496" t="s">
        <v>4</v>
      </c>
      <c r="CY116" s="497" t="s">
        <v>4</v>
      </c>
      <c r="CZ116" s="500" t="s">
        <v>4</v>
      </c>
      <c r="DA116" s="496" t="s">
        <v>4</v>
      </c>
      <c r="DB116" s="497" t="s">
        <v>4</v>
      </c>
      <c r="DC116" s="497" t="s">
        <v>4</v>
      </c>
      <c r="DD116" s="497" t="s">
        <v>4</v>
      </c>
      <c r="DE116" s="497" t="s">
        <v>4</v>
      </c>
      <c r="DF116" s="497" t="s">
        <v>4</v>
      </c>
      <c r="DG116" s="497" t="s">
        <v>4</v>
      </c>
      <c r="DH116" s="497" t="s">
        <v>4</v>
      </c>
      <c r="DI116" s="497" t="s">
        <v>4</v>
      </c>
      <c r="DJ116" s="497" t="s">
        <v>4</v>
      </c>
      <c r="DK116" s="497" t="s">
        <v>4</v>
      </c>
      <c r="DL116" s="497" t="s">
        <v>4</v>
      </c>
      <c r="DM116" s="497" t="s">
        <v>4</v>
      </c>
      <c r="DN116" s="497">
        <v>2</v>
      </c>
      <c r="DO116" s="497" t="s">
        <v>2</v>
      </c>
      <c r="DP116" s="497" t="s">
        <v>29292</v>
      </c>
      <c r="DQ116" s="497" t="s">
        <v>4</v>
      </c>
      <c r="DR116" s="497" t="s">
        <v>29294</v>
      </c>
      <c r="DS116" s="494" t="s">
        <v>4</v>
      </c>
      <c r="DT116" s="497" t="s">
        <v>29294</v>
      </c>
      <c r="DU116" s="494" t="s">
        <v>4</v>
      </c>
      <c r="DV116" s="500" t="s">
        <v>29295</v>
      </c>
      <c r="DW116" s="496">
        <v>100</v>
      </c>
      <c r="DX116" s="497" t="s">
        <v>29296</v>
      </c>
      <c r="DY116" s="497">
        <v>100</v>
      </c>
      <c r="DZ116" s="497" t="s">
        <v>4</v>
      </c>
      <c r="EA116" s="497" t="s">
        <v>4</v>
      </c>
      <c r="EB116" s="497" t="s">
        <v>4</v>
      </c>
      <c r="EC116" s="497" t="s">
        <v>4</v>
      </c>
      <c r="ED116" s="497" t="s">
        <v>4</v>
      </c>
      <c r="EE116" s="497" t="s">
        <v>4</v>
      </c>
      <c r="EF116" s="497" t="s">
        <v>4</v>
      </c>
      <c r="EG116" s="497" t="s">
        <v>4</v>
      </c>
      <c r="EH116" s="497" t="s">
        <v>4</v>
      </c>
      <c r="EI116" s="497" t="s">
        <v>4</v>
      </c>
      <c r="EJ116" s="497" t="s">
        <v>4</v>
      </c>
      <c r="EK116" s="497" t="s">
        <v>4</v>
      </c>
      <c r="EL116" s="497" t="s">
        <v>4</v>
      </c>
      <c r="EM116" s="497" t="s">
        <v>4</v>
      </c>
      <c r="EN116" s="497" t="s">
        <v>4</v>
      </c>
      <c r="EO116" s="497" t="s">
        <v>4</v>
      </c>
      <c r="EP116" s="497" t="s">
        <v>4</v>
      </c>
      <c r="EQ116" s="497" t="s">
        <v>4</v>
      </c>
      <c r="ER116" s="497" t="s">
        <v>4</v>
      </c>
      <c r="ES116" s="497" t="s">
        <v>4</v>
      </c>
      <c r="ET116" s="497" t="s">
        <v>4</v>
      </c>
      <c r="EU116" s="497" t="s">
        <v>4</v>
      </c>
      <c r="EV116" s="497" t="s">
        <v>4</v>
      </c>
      <c r="EW116" s="497" t="s">
        <v>33649</v>
      </c>
      <c r="EX116" s="497" t="s">
        <v>7</v>
      </c>
      <c r="EY116" s="497">
        <v>75</v>
      </c>
      <c r="EZ116" s="239"/>
      <c r="FA116" s="497" t="s">
        <v>33663</v>
      </c>
      <c r="FB116" s="497" t="s">
        <v>29298</v>
      </c>
      <c r="FC116" s="497">
        <v>84</v>
      </c>
      <c r="FD116" s="497" t="s">
        <v>7</v>
      </c>
      <c r="FE116" s="497" t="s">
        <v>29393</v>
      </c>
      <c r="FF116" s="497" t="s">
        <v>4</v>
      </c>
      <c r="FG116" s="497" t="s">
        <v>7</v>
      </c>
      <c r="FH116" s="497" t="s">
        <v>29393</v>
      </c>
      <c r="FI116" s="497" t="s">
        <v>4</v>
      </c>
      <c r="FJ116" s="497" t="s">
        <v>29300</v>
      </c>
      <c r="FK116" s="497" t="s">
        <v>4</v>
      </c>
      <c r="FL116" s="497" t="s">
        <v>29375</v>
      </c>
      <c r="FM116" s="497" t="s">
        <v>4</v>
      </c>
      <c r="FN116" s="494" t="s">
        <v>4</v>
      </c>
      <c r="FO116" s="497" t="s">
        <v>4</v>
      </c>
      <c r="FP116" s="497" t="s">
        <v>2</v>
      </c>
      <c r="FQ116" s="497" t="s">
        <v>4</v>
      </c>
      <c r="FR116" s="497" t="s">
        <v>4</v>
      </c>
      <c r="FS116" s="497" t="s">
        <v>7</v>
      </c>
      <c r="FT116" s="497" t="s">
        <v>7</v>
      </c>
      <c r="FU116" s="497" t="s">
        <v>29302</v>
      </c>
      <c r="FV116" s="497" t="s">
        <v>33473</v>
      </c>
      <c r="FW116" s="497" t="s">
        <v>29304</v>
      </c>
      <c r="FX116" s="497" t="s">
        <v>31347</v>
      </c>
      <c r="FY116" s="497" t="s">
        <v>33664</v>
      </c>
      <c r="FZ116" s="497" t="s">
        <v>4</v>
      </c>
      <c r="GA116" s="497" t="s">
        <v>29466</v>
      </c>
      <c r="GB116" s="497" t="s">
        <v>29498</v>
      </c>
      <c r="GC116" s="497" t="s">
        <v>4</v>
      </c>
      <c r="GD116" s="497" t="s">
        <v>4</v>
      </c>
      <c r="GE116" s="497" t="s">
        <v>4</v>
      </c>
      <c r="GF116" s="497" t="s">
        <v>4</v>
      </c>
      <c r="GG116" s="497" t="s">
        <v>4</v>
      </c>
      <c r="GH116" s="497" t="s">
        <v>4</v>
      </c>
      <c r="GI116" s="497" t="s">
        <v>4</v>
      </c>
      <c r="GJ116" s="497" t="s">
        <v>4</v>
      </c>
      <c r="GK116" s="497" t="s">
        <v>4</v>
      </c>
      <c r="GL116" s="497" t="s">
        <v>4</v>
      </c>
      <c r="GM116" s="497" t="s">
        <v>4</v>
      </c>
      <c r="GN116" s="497" t="s">
        <v>4</v>
      </c>
      <c r="GO116" s="497" t="s">
        <v>4</v>
      </c>
      <c r="GP116" s="497" t="s">
        <v>4</v>
      </c>
      <c r="GQ116" s="497" t="s">
        <v>4</v>
      </c>
      <c r="GR116" s="497" t="s">
        <v>4</v>
      </c>
      <c r="GS116" s="497" t="s">
        <v>4</v>
      </c>
      <c r="GT116" s="497" t="s">
        <v>29410</v>
      </c>
      <c r="GU116" s="497" t="s">
        <v>4</v>
      </c>
      <c r="GV116" s="494">
        <v>10</v>
      </c>
      <c r="GW116" s="497" t="s">
        <v>2</v>
      </c>
      <c r="GX116" s="497" t="s">
        <v>29837</v>
      </c>
      <c r="GY116" s="497" t="s">
        <v>4</v>
      </c>
      <c r="GZ116" s="497" t="s">
        <v>4</v>
      </c>
      <c r="HA116" s="497" t="s">
        <v>4</v>
      </c>
      <c r="HB116" s="497" t="s">
        <v>4</v>
      </c>
      <c r="HC116" s="497" t="s">
        <v>4</v>
      </c>
      <c r="HD116" s="497" t="s">
        <v>4</v>
      </c>
      <c r="HE116" s="497" t="s">
        <v>4</v>
      </c>
      <c r="HF116" s="497" t="s">
        <v>4</v>
      </c>
      <c r="HG116" s="497" t="s">
        <v>2</v>
      </c>
      <c r="HH116" s="497" t="s">
        <v>4</v>
      </c>
      <c r="HI116" s="497" t="s">
        <v>4</v>
      </c>
      <c r="HJ116" s="497" t="s">
        <v>4</v>
      </c>
      <c r="HK116" s="494" t="s">
        <v>4</v>
      </c>
      <c r="HL116" s="497" t="s">
        <v>33665</v>
      </c>
      <c r="HM116" s="497" t="s">
        <v>2</v>
      </c>
      <c r="HN116" s="497" t="s">
        <v>4</v>
      </c>
      <c r="HO116" s="497" t="s">
        <v>33666</v>
      </c>
      <c r="HP116" s="497" t="s">
        <v>33667</v>
      </c>
      <c r="HQ116" s="497" t="s">
        <v>33668</v>
      </c>
      <c r="HR116" s="497" t="s">
        <v>33669</v>
      </c>
      <c r="HS116" s="497" t="s">
        <v>33670</v>
      </c>
      <c r="HT116" s="500" t="s">
        <v>33659</v>
      </c>
    </row>
    <row r="117" spans="1:228" s="570" customFormat="1" ht="30.2" customHeight="1" x14ac:dyDescent="0.25">
      <c r="A117" s="759"/>
      <c r="B117" s="496">
        <v>32</v>
      </c>
      <c r="C117" s="496" t="s">
        <v>19828</v>
      </c>
      <c r="D117" s="497" t="s">
        <v>33711</v>
      </c>
      <c r="E117" s="497" t="s">
        <v>33583</v>
      </c>
      <c r="F117" s="497" t="s">
        <v>7</v>
      </c>
      <c r="G117" s="497" t="s">
        <v>33712</v>
      </c>
      <c r="H117" s="497">
        <v>1499.4</v>
      </c>
      <c r="I117" s="497">
        <v>5.6</v>
      </c>
      <c r="J117" s="497" t="s">
        <v>29319</v>
      </c>
      <c r="K117" s="497" t="s">
        <v>4</v>
      </c>
      <c r="L117" s="497" t="s">
        <v>33713</v>
      </c>
      <c r="M117" s="497">
        <v>784524842</v>
      </c>
      <c r="N117" s="497" t="s">
        <v>5</v>
      </c>
      <c r="O117" s="497" t="s">
        <v>31438</v>
      </c>
      <c r="P117" s="497">
        <v>63</v>
      </c>
      <c r="Q117" s="497">
        <v>6</v>
      </c>
      <c r="R117" s="497" t="s">
        <v>7</v>
      </c>
      <c r="S117" s="497" t="s">
        <v>31588</v>
      </c>
      <c r="T117" s="497" t="s">
        <v>4</v>
      </c>
      <c r="U117" s="497" t="s">
        <v>7</v>
      </c>
      <c r="V117" s="497" t="s">
        <v>7</v>
      </c>
      <c r="W117" s="497" t="s">
        <v>4</v>
      </c>
      <c r="X117" s="497" t="s">
        <v>7</v>
      </c>
      <c r="Y117" s="497" t="s">
        <v>4</v>
      </c>
      <c r="Z117" s="497" t="s">
        <v>4</v>
      </c>
      <c r="AA117" s="241" t="str">
        <f>IF(OR(U117="yes",Z117&gt;'SDG outcome'!$C$39),"yes","no")</f>
        <v>yes</v>
      </c>
      <c r="AB117" s="521" t="str">
        <f t="shared" si="3"/>
        <v>NA</v>
      </c>
      <c r="AC117" s="527" t="str">
        <f>IF(AND('SMS p2'!AA44="no",AND(Z117&gt;='SDG outcome'!$B$28,Z117&lt;'SDG outcome'!$C$39)),Z117-'SDG outcome'!$B$28,"")</f>
        <v/>
      </c>
      <c r="AD117" s="497" t="s">
        <v>4</v>
      </c>
      <c r="AE117" s="497" t="s">
        <v>4</v>
      </c>
      <c r="AF117" s="497" t="s">
        <v>4</v>
      </c>
      <c r="AG117" s="497" t="s">
        <v>4</v>
      </c>
      <c r="AH117" s="497" t="s">
        <v>4</v>
      </c>
      <c r="AI117" s="497" t="s">
        <v>4</v>
      </c>
      <c r="AJ117" s="497" t="s">
        <v>4</v>
      </c>
      <c r="AK117" s="497" t="s">
        <v>29290</v>
      </c>
      <c r="AL117" s="497" t="s">
        <v>29694</v>
      </c>
      <c r="AM117" s="497" t="s">
        <v>4</v>
      </c>
      <c r="AN117" s="497" t="s">
        <v>4</v>
      </c>
      <c r="AO117" s="497" t="s">
        <v>31536</v>
      </c>
      <c r="AP117" s="497" t="s">
        <v>4</v>
      </c>
      <c r="AQ117" s="497" t="s">
        <v>31537</v>
      </c>
      <c r="AR117" s="497" t="s">
        <v>4</v>
      </c>
      <c r="AS117" s="497" t="s">
        <v>31538</v>
      </c>
      <c r="AT117" s="497" t="s">
        <v>4</v>
      </c>
      <c r="AU117" s="497" t="s">
        <v>2</v>
      </c>
      <c r="AV117" s="497" t="s">
        <v>31581</v>
      </c>
      <c r="AW117" s="497" t="s">
        <v>4</v>
      </c>
      <c r="AX117" s="497" t="s">
        <v>2</v>
      </c>
      <c r="AY117" s="497" t="s">
        <v>4</v>
      </c>
      <c r="AZ117" s="497" t="s">
        <v>4</v>
      </c>
      <c r="BA117" s="497" t="s">
        <v>31563</v>
      </c>
      <c r="BB117" s="497" t="s">
        <v>31541</v>
      </c>
      <c r="BC117" s="497" t="s">
        <v>4</v>
      </c>
      <c r="BD117" s="497" t="s">
        <v>14</v>
      </c>
      <c r="BE117" s="497" t="s">
        <v>4</v>
      </c>
      <c r="BF117" s="497" t="s">
        <v>31542</v>
      </c>
      <c r="BG117" s="497" t="s">
        <v>33714</v>
      </c>
      <c r="BH117" s="497" t="s">
        <v>31544</v>
      </c>
      <c r="BI117" s="497">
        <v>4</v>
      </c>
      <c r="BJ117" s="497">
        <v>60</v>
      </c>
      <c r="BK117" s="497" t="s">
        <v>7</v>
      </c>
      <c r="BL117" s="497" t="s">
        <v>6</v>
      </c>
      <c r="BM117" s="497" t="s">
        <v>4</v>
      </c>
      <c r="BN117" s="497" t="s">
        <v>31429</v>
      </c>
      <c r="BO117" s="497">
        <v>2</v>
      </c>
      <c r="BP117" s="497">
        <v>45</v>
      </c>
      <c r="BQ117" s="497" t="s">
        <v>31435</v>
      </c>
      <c r="BR117" s="499" t="s">
        <v>33332</v>
      </c>
      <c r="BS117" s="497" t="s">
        <v>4</v>
      </c>
      <c r="BT117" s="497">
        <v>5</v>
      </c>
      <c r="BU117" s="494" cm="1">
        <f t="array" ref="BU117">_xlfn.IFS(BQ117="Foreword vehicle",BT117*0,BQ117="Human wastes",BT117*0,BS117="Jerrycans",BT117*$BT$4,BQ117="Number of Basins",BT117*$BT$5,BQ117="Number of Buckets",BT117*$BT$6,BQ117="Number of Kgs",BT117*$BT$7,BQ117="Number of spades",BT117*$BT$8,BQ117="Number of wheelbarrows",BT117*$BT$9,BS117="Septic Tank",BT117*0)</f>
        <v>352.5</v>
      </c>
      <c r="BV117" s="494">
        <f>Table15[[#This Row],[Calculation: Conversion of metric to Kg manure feeding (Columns: BP, BQ, BR)]]*Table15[[#This Row],[Number of times used to feed biodigester]]</f>
        <v>705</v>
      </c>
      <c r="BW117" s="495" cm="1">
        <f t="array" ref="BW117">_xlfn.IFS(BN117="Number of times per day (1 to 3)",BV117/$BW$3,BN117="Number of times per week (1 to 6)",BV117/$BW$4,BN117="Number of times per Month (1 to 3)",BV117/$BW$5)</f>
        <v>100.71428571428571</v>
      </c>
      <c r="BX117" s="497" t="s">
        <v>31541</v>
      </c>
      <c r="BY117" s="497" t="s">
        <v>4</v>
      </c>
      <c r="BZ117" s="497" t="s">
        <v>2</v>
      </c>
      <c r="CA117" s="497" t="s">
        <v>4</v>
      </c>
      <c r="CB117" s="497" t="s">
        <v>4</v>
      </c>
      <c r="CC117" s="497" t="s">
        <v>4</v>
      </c>
      <c r="CD117" s="497" t="s">
        <v>7</v>
      </c>
      <c r="CE117" s="497" t="s">
        <v>33715</v>
      </c>
      <c r="CF117" s="497" t="s">
        <v>4</v>
      </c>
      <c r="CG117" s="497" t="s">
        <v>31705</v>
      </c>
      <c r="CH117" s="497">
        <v>0</v>
      </c>
      <c r="CI117" s="497">
        <v>2</v>
      </c>
      <c r="CJ117" s="497">
        <v>0</v>
      </c>
      <c r="CK117" s="497">
        <v>0</v>
      </c>
      <c r="CL117" s="497">
        <v>0</v>
      </c>
      <c r="CM117" s="497">
        <v>0</v>
      </c>
      <c r="CN117" s="497">
        <v>0</v>
      </c>
      <c r="CO117" s="497">
        <v>0</v>
      </c>
      <c r="CP117" s="497">
        <v>0</v>
      </c>
      <c r="CQ117" s="497">
        <v>0</v>
      </c>
      <c r="CR117" s="497">
        <f>IF(Table15[[#This Row],[Is your biodigester working?]]="yes",CO117/'SDG outcome'!$C$9*CP117*CQ117,"")</f>
        <v>0</v>
      </c>
      <c r="CS117" s="497" t="s">
        <v>4</v>
      </c>
      <c r="CT117" s="500" t="s">
        <v>4</v>
      </c>
      <c r="CU117" s="496" t="s">
        <v>4</v>
      </c>
      <c r="CV117" s="497">
        <v>100</v>
      </c>
      <c r="CW117" s="500">
        <v>0</v>
      </c>
      <c r="CX117" s="496" t="s">
        <v>4</v>
      </c>
      <c r="CY117" s="497" t="s">
        <v>4</v>
      </c>
      <c r="CZ117" s="500" t="s">
        <v>4</v>
      </c>
      <c r="DA117" s="496" t="s">
        <v>4</v>
      </c>
      <c r="DB117" s="497" t="s">
        <v>4</v>
      </c>
      <c r="DC117" s="497" t="s">
        <v>4</v>
      </c>
      <c r="DD117" s="497" t="s">
        <v>4</v>
      </c>
      <c r="DE117" s="497" t="s">
        <v>4</v>
      </c>
      <c r="DF117" s="497" t="s">
        <v>4</v>
      </c>
      <c r="DG117" s="497" t="s">
        <v>4</v>
      </c>
      <c r="DH117" s="497" t="s">
        <v>4</v>
      </c>
      <c r="DI117" s="497" t="s">
        <v>4</v>
      </c>
      <c r="DJ117" s="497" t="s">
        <v>4</v>
      </c>
      <c r="DK117" s="497" t="s">
        <v>4</v>
      </c>
      <c r="DL117" s="497" t="s">
        <v>4</v>
      </c>
      <c r="DM117" s="497" t="s">
        <v>4</v>
      </c>
      <c r="DN117" s="497">
        <v>1.5</v>
      </c>
      <c r="DO117" s="497" t="s">
        <v>2</v>
      </c>
      <c r="DP117" s="497" t="s">
        <v>29292</v>
      </c>
      <c r="DQ117" s="497" t="s">
        <v>4</v>
      </c>
      <c r="DR117" s="497" t="s">
        <v>29294</v>
      </c>
      <c r="DS117" s="494" t="s">
        <v>4</v>
      </c>
      <c r="DT117" s="497" t="s">
        <v>29293</v>
      </c>
      <c r="DU117" s="494">
        <v>150000</v>
      </c>
      <c r="DV117" s="500" t="s">
        <v>29295</v>
      </c>
      <c r="DW117" s="496">
        <v>100</v>
      </c>
      <c r="DX117" s="497" t="s">
        <v>29296</v>
      </c>
      <c r="DY117" s="497">
        <v>100</v>
      </c>
      <c r="DZ117" s="497" t="s">
        <v>4</v>
      </c>
      <c r="EA117" s="497" t="s">
        <v>4</v>
      </c>
      <c r="EB117" s="497" t="s">
        <v>4</v>
      </c>
      <c r="EC117" s="497" t="s">
        <v>4</v>
      </c>
      <c r="ED117" s="497" t="s">
        <v>4</v>
      </c>
      <c r="EE117" s="497" t="s">
        <v>4</v>
      </c>
      <c r="EF117" s="497" t="s">
        <v>4</v>
      </c>
      <c r="EG117" s="497" t="s">
        <v>4</v>
      </c>
      <c r="EH117" s="497" t="s">
        <v>4</v>
      </c>
      <c r="EI117" s="497" t="s">
        <v>4</v>
      </c>
      <c r="EJ117" s="497" t="s">
        <v>4</v>
      </c>
      <c r="EK117" s="497" t="s">
        <v>4</v>
      </c>
      <c r="EL117" s="497" t="s">
        <v>4</v>
      </c>
      <c r="EM117" s="497" t="s">
        <v>4</v>
      </c>
      <c r="EN117" s="497" t="s">
        <v>4</v>
      </c>
      <c r="EO117" s="497" t="s">
        <v>4</v>
      </c>
      <c r="EP117" s="497" t="s">
        <v>4</v>
      </c>
      <c r="EQ117" s="497" t="s">
        <v>4</v>
      </c>
      <c r="ER117" s="497" t="s">
        <v>4</v>
      </c>
      <c r="ES117" s="497" t="s">
        <v>4</v>
      </c>
      <c r="ET117" s="497" t="s">
        <v>4</v>
      </c>
      <c r="EU117" s="497" t="s">
        <v>4</v>
      </c>
      <c r="EV117" s="497" t="s">
        <v>4</v>
      </c>
      <c r="EW117" s="497" t="s">
        <v>33649</v>
      </c>
      <c r="EX117" s="497" t="s">
        <v>7</v>
      </c>
      <c r="EY117" s="497">
        <v>25</v>
      </c>
      <c r="EZ117" s="239"/>
      <c r="FA117" s="497" t="s">
        <v>33716</v>
      </c>
      <c r="FB117" s="497" t="s">
        <v>29298</v>
      </c>
      <c r="FC117" s="497">
        <v>168</v>
      </c>
      <c r="FD117" s="497" t="s">
        <v>7</v>
      </c>
      <c r="FE117" s="497" t="s">
        <v>29393</v>
      </c>
      <c r="FF117" s="497" t="s">
        <v>4</v>
      </c>
      <c r="FG117" s="497" t="s">
        <v>7</v>
      </c>
      <c r="FH117" s="497" t="s">
        <v>29492</v>
      </c>
      <c r="FI117" s="497" t="s">
        <v>4</v>
      </c>
      <c r="FJ117" s="497" t="s">
        <v>29477</v>
      </c>
      <c r="FK117" s="497" t="s">
        <v>4</v>
      </c>
      <c r="FL117" s="497" t="s">
        <v>29292</v>
      </c>
      <c r="FM117" s="497" t="s">
        <v>29294</v>
      </c>
      <c r="FN117" s="494" t="s">
        <v>4</v>
      </c>
      <c r="FO117" s="497" t="s">
        <v>4</v>
      </c>
      <c r="FP117" s="497" t="s">
        <v>2</v>
      </c>
      <c r="FQ117" s="497" t="s">
        <v>4</v>
      </c>
      <c r="FR117" s="497" t="s">
        <v>4</v>
      </c>
      <c r="FS117" s="497" t="s">
        <v>7</v>
      </c>
      <c r="FT117" s="497" t="s">
        <v>7</v>
      </c>
      <c r="FU117" s="497" t="s">
        <v>29302</v>
      </c>
      <c r="FV117" s="497" t="s">
        <v>33473</v>
      </c>
      <c r="FW117" s="497" t="s">
        <v>4</v>
      </c>
      <c r="FX117" s="497">
        <v>0</v>
      </c>
      <c r="FY117" s="497" t="s">
        <v>4</v>
      </c>
      <c r="FZ117" s="497" t="s">
        <v>4</v>
      </c>
      <c r="GA117" s="497" t="s">
        <v>4</v>
      </c>
      <c r="GB117" s="497" t="s">
        <v>4</v>
      </c>
      <c r="GC117" s="497" t="s">
        <v>4</v>
      </c>
      <c r="GD117" s="497" t="s">
        <v>4</v>
      </c>
      <c r="GE117" s="497" t="s">
        <v>4</v>
      </c>
      <c r="GF117" s="497" t="s">
        <v>4</v>
      </c>
      <c r="GG117" s="497" t="s">
        <v>4</v>
      </c>
      <c r="GH117" s="497" t="s">
        <v>4</v>
      </c>
      <c r="GI117" s="497" t="s">
        <v>29304</v>
      </c>
      <c r="GJ117" s="497" t="s">
        <v>29882</v>
      </c>
      <c r="GK117" s="497" t="s">
        <v>29306</v>
      </c>
      <c r="GL117" s="497" t="s">
        <v>30337</v>
      </c>
      <c r="GM117" s="497" t="s">
        <v>30273</v>
      </c>
      <c r="GN117" s="497" t="s">
        <v>4</v>
      </c>
      <c r="GO117" s="497" t="s">
        <v>4</v>
      </c>
      <c r="GP117" s="497" t="s">
        <v>4</v>
      </c>
      <c r="GQ117" s="497" t="s">
        <v>4</v>
      </c>
      <c r="GR117" s="497" t="s">
        <v>4</v>
      </c>
      <c r="GS117" s="497" t="s">
        <v>4</v>
      </c>
      <c r="GT117" s="497" t="s">
        <v>29698</v>
      </c>
      <c r="GU117" s="497" t="s">
        <v>4</v>
      </c>
      <c r="GV117" s="494">
        <v>25</v>
      </c>
      <c r="GW117" s="497" t="s">
        <v>2</v>
      </c>
      <c r="GX117" s="497" t="s">
        <v>29837</v>
      </c>
      <c r="GY117" s="497" t="s">
        <v>4</v>
      </c>
      <c r="GZ117" s="497" t="s">
        <v>4</v>
      </c>
      <c r="HA117" s="497" t="s">
        <v>4</v>
      </c>
      <c r="HB117" s="497" t="s">
        <v>4</v>
      </c>
      <c r="HC117" s="497" t="s">
        <v>4</v>
      </c>
      <c r="HD117" s="497" t="s">
        <v>4</v>
      </c>
      <c r="HE117" s="497" t="s">
        <v>4</v>
      </c>
      <c r="HF117" s="497" t="s">
        <v>4</v>
      </c>
      <c r="HG117" s="497" t="s">
        <v>2</v>
      </c>
      <c r="HH117" s="497" t="s">
        <v>4</v>
      </c>
      <c r="HI117" s="497" t="s">
        <v>4</v>
      </c>
      <c r="HJ117" s="497" t="s">
        <v>4</v>
      </c>
      <c r="HK117" s="494" t="s">
        <v>4</v>
      </c>
      <c r="HL117" s="497" t="s">
        <v>33717</v>
      </c>
      <c r="HM117" s="497" t="s">
        <v>7</v>
      </c>
      <c r="HN117" s="497" t="s">
        <v>33718</v>
      </c>
      <c r="HO117" s="497" t="s">
        <v>33719</v>
      </c>
      <c r="HP117" s="497" t="s">
        <v>33720</v>
      </c>
      <c r="HQ117" s="497" t="s">
        <v>33721</v>
      </c>
      <c r="HR117" s="497" t="s">
        <v>33722</v>
      </c>
      <c r="HS117" s="497" t="s">
        <v>33723</v>
      </c>
      <c r="HT117" s="500" t="s">
        <v>33711</v>
      </c>
    </row>
    <row r="118" spans="1:228" s="570" customFormat="1" ht="30.2" customHeight="1" x14ac:dyDescent="0.25">
      <c r="A118" s="759"/>
      <c r="B118" s="496">
        <v>33</v>
      </c>
      <c r="C118" s="496" t="s">
        <v>18909</v>
      </c>
      <c r="D118" s="497" t="s">
        <v>33724</v>
      </c>
      <c r="E118" s="497" t="s">
        <v>33725</v>
      </c>
      <c r="F118" s="497" t="s">
        <v>7</v>
      </c>
      <c r="G118" s="497" t="s">
        <v>33726</v>
      </c>
      <c r="H118" s="497">
        <v>1035.310669</v>
      </c>
      <c r="I118" s="497">
        <v>4.2880000000000003</v>
      </c>
      <c r="J118" s="497" t="s">
        <v>29389</v>
      </c>
      <c r="K118" s="497" t="s">
        <v>22</v>
      </c>
      <c r="L118" s="497" t="s">
        <v>33727</v>
      </c>
      <c r="M118" s="497">
        <v>783872898</v>
      </c>
      <c r="N118" s="497" t="s">
        <v>5</v>
      </c>
      <c r="O118" s="497" t="s">
        <v>31438</v>
      </c>
      <c r="P118" s="497">
        <v>31</v>
      </c>
      <c r="Q118" s="497">
        <v>7</v>
      </c>
      <c r="R118" s="497" t="s">
        <v>7</v>
      </c>
      <c r="S118" s="497" t="s">
        <v>31549</v>
      </c>
      <c r="T118" s="497" t="s">
        <v>4</v>
      </c>
      <c r="U118" s="497" t="s">
        <v>7</v>
      </c>
      <c r="V118" s="497" t="s">
        <v>7</v>
      </c>
      <c r="W118" s="497" t="s">
        <v>4</v>
      </c>
      <c r="X118" s="497" t="s">
        <v>7</v>
      </c>
      <c r="Y118" s="497" t="s">
        <v>4</v>
      </c>
      <c r="Z118" s="497" t="s">
        <v>4</v>
      </c>
      <c r="AA118" s="241" t="str">
        <f>IF(OR(U118="yes",Z118&gt;'SDG outcome'!$C$39),"yes","no")</f>
        <v>yes</v>
      </c>
      <c r="AB118" s="521" t="str">
        <f t="shared" si="3"/>
        <v>NA</v>
      </c>
      <c r="AC118" s="527" t="str">
        <f>IF(AND('SMS p2'!AA45="no",AND(Z118&gt;='SDG outcome'!$B$28,Z118&lt;'SDG outcome'!$C$39)),Z118-'SDG outcome'!$B$28,"")</f>
        <v/>
      </c>
      <c r="AD118" s="497" t="s">
        <v>4</v>
      </c>
      <c r="AE118" s="497" t="s">
        <v>4</v>
      </c>
      <c r="AF118" s="497" t="s">
        <v>4</v>
      </c>
      <c r="AG118" s="497" t="s">
        <v>4</v>
      </c>
      <c r="AH118" s="497" t="s">
        <v>4</v>
      </c>
      <c r="AI118" s="497" t="s">
        <v>4</v>
      </c>
      <c r="AJ118" s="497" t="s">
        <v>4</v>
      </c>
      <c r="AK118" s="497" t="s">
        <v>29290</v>
      </c>
      <c r="AL118" s="497" t="s">
        <v>29694</v>
      </c>
      <c r="AM118" s="497" t="s">
        <v>4</v>
      </c>
      <c r="AN118" s="497" t="s">
        <v>4</v>
      </c>
      <c r="AO118" s="497" t="s">
        <v>31536</v>
      </c>
      <c r="AP118" s="497" t="s">
        <v>4</v>
      </c>
      <c r="AQ118" s="497" t="s">
        <v>31537</v>
      </c>
      <c r="AR118" s="497" t="s">
        <v>4</v>
      </c>
      <c r="AS118" s="497" t="s">
        <v>31538</v>
      </c>
      <c r="AT118" s="497" t="s">
        <v>4</v>
      </c>
      <c r="AU118" s="497" t="s">
        <v>7</v>
      </c>
      <c r="AV118" s="497" t="s">
        <v>4</v>
      </c>
      <c r="AW118" s="497" t="s">
        <v>4</v>
      </c>
      <c r="AX118" s="497" t="s">
        <v>7</v>
      </c>
      <c r="AY118" s="497" t="s">
        <v>11</v>
      </c>
      <c r="AZ118" s="497" t="s">
        <v>4</v>
      </c>
      <c r="BA118" s="497" t="s">
        <v>31563</v>
      </c>
      <c r="BB118" s="497" t="s">
        <v>22</v>
      </c>
      <c r="BC118" s="497" t="s">
        <v>4</v>
      </c>
      <c r="BD118" s="497" t="s">
        <v>14</v>
      </c>
      <c r="BE118" s="497" t="s">
        <v>4</v>
      </c>
      <c r="BF118" s="497" t="s">
        <v>31542</v>
      </c>
      <c r="BG118" s="497" t="s">
        <v>33728</v>
      </c>
      <c r="BH118" s="497" t="s">
        <v>31616</v>
      </c>
      <c r="BI118" s="497">
        <v>1</v>
      </c>
      <c r="BJ118" s="497">
        <v>1200</v>
      </c>
      <c r="BK118" s="497" t="s">
        <v>7</v>
      </c>
      <c r="BL118" s="497" t="s">
        <v>6</v>
      </c>
      <c r="BM118" s="497" t="s">
        <v>16</v>
      </c>
      <c r="BN118" s="497" t="s">
        <v>31429</v>
      </c>
      <c r="BO118" s="497">
        <v>2</v>
      </c>
      <c r="BP118" s="497">
        <v>120</v>
      </c>
      <c r="BQ118" s="497" t="s">
        <v>31435</v>
      </c>
      <c r="BR118" s="499" t="s">
        <v>33361</v>
      </c>
      <c r="BS118" s="497" t="s">
        <v>4</v>
      </c>
      <c r="BT118" s="497">
        <v>6</v>
      </c>
      <c r="BU118" s="494" cm="1">
        <f t="array" ref="BU118">_xlfn.IFS(BQ118="Foreword vehicle",BT118*0,BQ118="Human wastes",BT118*0,BS118="Jerrycans",BT118*$BT$4,BQ118="Number of Basins",BT118*$BT$5,BQ118="Number of Buckets",BT118*$BT$6,BQ118="Number of Kgs",BT118*$BT$7,BQ118="Number of spades",BT118*$BT$8,BQ118="Number of wheelbarrows",BT118*$BS$9,BS118="Septic Tank",BT118*0)</f>
        <v>495</v>
      </c>
      <c r="BV118" s="494">
        <f>Table15[[#This Row],[Calculation: Conversion of metric to Kg manure feeding (Columns: BP, BQ, BR)]]*Table15[[#This Row],[Number of times used to feed biodigester]]</f>
        <v>990</v>
      </c>
      <c r="BW118" s="495" cm="1">
        <f t="array" ref="BW118">_xlfn.IFS(BN118="Number of times per day (1 to 3)",BV118/$BW$3,BN118="Number of times per week (1 to 6)",BV118/$BW$4,BN118="Number of times per Month (1 to 3)",BV118/$BW$5)</f>
        <v>141.42857142857142</v>
      </c>
      <c r="BX118" s="497" t="s">
        <v>22</v>
      </c>
      <c r="BY118" s="497" t="s">
        <v>4</v>
      </c>
      <c r="BZ118" s="497" t="s">
        <v>2</v>
      </c>
      <c r="CA118" s="497" t="s">
        <v>4</v>
      </c>
      <c r="CB118" s="497" t="s">
        <v>4</v>
      </c>
      <c r="CC118" s="497" t="s">
        <v>4</v>
      </c>
      <c r="CD118" s="497" t="s">
        <v>7</v>
      </c>
      <c r="CE118" s="497" t="s">
        <v>33729</v>
      </c>
      <c r="CF118" s="497" t="s">
        <v>4</v>
      </c>
      <c r="CG118" s="497" t="s">
        <v>33434</v>
      </c>
      <c r="CH118" s="497">
        <v>140</v>
      </c>
      <c r="CI118" s="497">
        <v>30</v>
      </c>
      <c r="CJ118" s="497">
        <v>0</v>
      </c>
      <c r="CK118" s="497">
        <v>80</v>
      </c>
      <c r="CL118" s="497">
        <v>20</v>
      </c>
      <c r="CM118" s="497">
        <v>25</v>
      </c>
      <c r="CN118" s="497">
        <v>0</v>
      </c>
      <c r="CO118" s="497">
        <v>0</v>
      </c>
      <c r="CP118" s="497">
        <v>0</v>
      </c>
      <c r="CQ118" s="497">
        <v>0</v>
      </c>
      <c r="CR118" s="497">
        <f>IF(Table15[[#This Row],[Is your biodigester working?]]="yes",CO118/'SDG outcome'!$C$9*CP118*CQ118,"")</f>
        <v>0</v>
      </c>
      <c r="CS118" s="497">
        <v>40</v>
      </c>
      <c r="CT118" s="500">
        <v>60</v>
      </c>
      <c r="CU118" s="496" t="s">
        <v>33730</v>
      </c>
      <c r="CV118" s="497">
        <v>40</v>
      </c>
      <c r="CW118" s="500">
        <v>60</v>
      </c>
      <c r="CX118" s="496" t="s">
        <v>33731</v>
      </c>
      <c r="CY118" s="497" t="s">
        <v>4</v>
      </c>
      <c r="CZ118" s="500" t="s">
        <v>4</v>
      </c>
      <c r="DA118" s="496" t="s">
        <v>4</v>
      </c>
      <c r="DB118" s="497" t="s">
        <v>4</v>
      </c>
      <c r="DC118" s="497" t="s">
        <v>4</v>
      </c>
      <c r="DD118" s="497" t="s">
        <v>4</v>
      </c>
      <c r="DE118" s="497">
        <v>0</v>
      </c>
      <c r="DF118" s="497">
        <v>100</v>
      </c>
      <c r="DG118" s="497" t="s">
        <v>33732</v>
      </c>
      <c r="DH118" s="497">
        <v>40</v>
      </c>
      <c r="DI118" s="497">
        <v>60</v>
      </c>
      <c r="DJ118" s="497" t="s">
        <v>33733</v>
      </c>
      <c r="DK118" s="497">
        <v>40</v>
      </c>
      <c r="DL118" s="497">
        <v>60</v>
      </c>
      <c r="DM118" s="497" t="s">
        <v>33734</v>
      </c>
      <c r="DN118" s="497">
        <v>4</v>
      </c>
      <c r="DO118" s="497" t="s">
        <v>7</v>
      </c>
      <c r="DP118" s="497" t="s">
        <v>29292</v>
      </c>
      <c r="DQ118" s="497" t="s">
        <v>4</v>
      </c>
      <c r="DR118" s="497" t="s">
        <v>29294</v>
      </c>
      <c r="DS118" s="494" t="s">
        <v>4</v>
      </c>
      <c r="DT118" s="497" t="s">
        <v>29294</v>
      </c>
      <c r="DU118" s="494" t="s">
        <v>4</v>
      </c>
      <c r="DV118" s="500" t="s">
        <v>29442</v>
      </c>
      <c r="DW118" s="496">
        <v>40</v>
      </c>
      <c r="DX118" s="497" t="s">
        <v>30690</v>
      </c>
      <c r="DY118" s="497">
        <v>60</v>
      </c>
      <c r="DZ118" s="497" t="s">
        <v>4</v>
      </c>
      <c r="EA118" s="497" t="s">
        <v>4</v>
      </c>
      <c r="EB118" s="497" t="s">
        <v>4</v>
      </c>
      <c r="EC118" s="497">
        <v>40</v>
      </c>
      <c r="ED118" s="497">
        <v>60</v>
      </c>
      <c r="EE118" s="497" t="s">
        <v>33735</v>
      </c>
      <c r="EF118" s="497" t="s">
        <v>4</v>
      </c>
      <c r="EG118" s="497" t="s">
        <v>4</v>
      </c>
      <c r="EH118" s="497">
        <v>40</v>
      </c>
      <c r="EI118" s="497">
        <v>60</v>
      </c>
      <c r="EJ118" s="497" t="s">
        <v>4</v>
      </c>
      <c r="EK118" s="497" t="s">
        <v>4</v>
      </c>
      <c r="EL118" s="497" t="s">
        <v>4</v>
      </c>
      <c r="EM118" s="497">
        <v>30</v>
      </c>
      <c r="EN118" s="497" t="s">
        <v>4</v>
      </c>
      <c r="EO118" s="497" t="s">
        <v>4</v>
      </c>
      <c r="EP118" s="497" t="s">
        <v>4</v>
      </c>
      <c r="EQ118" s="497" t="s">
        <v>29296</v>
      </c>
      <c r="ER118" s="497">
        <v>100</v>
      </c>
      <c r="ES118" s="497" t="s">
        <v>4</v>
      </c>
      <c r="ET118" s="497" t="s">
        <v>4</v>
      </c>
      <c r="EU118" s="497" t="s">
        <v>4</v>
      </c>
      <c r="EV118" s="497" t="s">
        <v>4</v>
      </c>
      <c r="EW118" s="497" t="s">
        <v>33649</v>
      </c>
      <c r="EX118" s="497" t="s">
        <v>7</v>
      </c>
      <c r="EY118" s="497" t="s">
        <v>33736</v>
      </c>
      <c r="EZ118" s="239"/>
      <c r="FA118" s="497" t="s">
        <v>33737</v>
      </c>
      <c r="FB118" s="497" t="s">
        <v>29298</v>
      </c>
      <c r="FC118" s="497">
        <v>36</v>
      </c>
      <c r="FD118" s="497" t="s">
        <v>2</v>
      </c>
      <c r="FE118" s="497" t="s">
        <v>4</v>
      </c>
      <c r="FF118" s="497" t="s">
        <v>4</v>
      </c>
      <c r="FG118" s="497" t="s">
        <v>2</v>
      </c>
      <c r="FH118" s="497" t="s">
        <v>4</v>
      </c>
      <c r="FI118" s="497" t="s">
        <v>4</v>
      </c>
      <c r="FJ118" s="497" t="s">
        <v>4</v>
      </c>
      <c r="FK118" s="497" t="s">
        <v>4</v>
      </c>
      <c r="FL118" s="497" t="s">
        <v>4</v>
      </c>
      <c r="FM118" s="497" t="s">
        <v>4</v>
      </c>
      <c r="FN118" s="494" t="s">
        <v>4</v>
      </c>
      <c r="FO118" s="497" t="s">
        <v>4</v>
      </c>
      <c r="FP118" s="497" t="s">
        <v>2</v>
      </c>
      <c r="FQ118" s="497" t="s">
        <v>4</v>
      </c>
      <c r="FR118" s="497" t="s">
        <v>4</v>
      </c>
      <c r="FS118" s="497" t="s">
        <v>7</v>
      </c>
      <c r="FT118" s="497" t="s">
        <v>7</v>
      </c>
      <c r="FU118" s="497" t="s">
        <v>29302</v>
      </c>
      <c r="FV118" s="497" t="s">
        <v>33473</v>
      </c>
      <c r="FW118" s="497" t="s">
        <v>4</v>
      </c>
      <c r="FX118" s="497">
        <v>0</v>
      </c>
      <c r="FY118" s="497" t="s">
        <v>4</v>
      </c>
      <c r="FZ118" s="497" t="s">
        <v>4</v>
      </c>
      <c r="GA118" s="497" t="s">
        <v>4</v>
      </c>
      <c r="GB118" s="497" t="s">
        <v>4</v>
      </c>
      <c r="GC118" s="497" t="s">
        <v>4</v>
      </c>
      <c r="GD118" s="497" t="s">
        <v>4</v>
      </c>
      <c r="GE118" s="497" t="s">
        <v>4</v>
      </c>
      <c r="GF118" s="497" t="s">
        <v>4</v>
      </c>
      <c r="GG118" s="497" t="s">
        <v>4</v>
      </c>
      <c r="GH118" s="497" t="s">
        <v>4</v>
      </c>
      <c r="GI118" s="497" t="s">
        <v>29304</v>
      </c>
      <c r="GJ118" s="497" t="s">
        <v>29529</v>
      </c>
      <c r="GK118" s="497" t="s">
        <v>4</v>
      </c>
      <c r="GL118" s="497" t="s">
        <v>4</v>
      </c>
      <c r="GM118" s="497" t="s">
        <v>4</v>
      </c>
      <c r="GN118" s="497" t="s">
        <v>4</v>
      </c>
      <c r="GO118" s="497" t="s">
        <v>29451</v>
      </c>
      <c r="GP118" s="497" t="s">
        <v>4</v>
      </c>
      <c r="GQ118" s="497" t="s">
        <v>4</v>
      </c>
      <c r="GR118" s="497" t="s">
        <v>4</v>
      </c>
      <c r="GS118" s="497" t="s">
        <v>4</v>
      </c>
      <c r="GT118" s="497" t="s">
        <v>29354</v>
      </c>
      <c r="GU118" s="497" t="s">
        <v>4</v>
      </c>
      <c r="GV118" s="494">
        <v>15</v>
      </c>
      <c r="GW118" s="497" t="s">
        <v>29325</v>
      </c>
      <c r="GX118" s="497" t="s">
        <v>29309</v>
      </c>
      <c r="GY118" s="497" t="s">
        <v>4</v>
      </c>
      <c r="GZ118" s="497" t="s">
        <v>4</v>
      </c>
      <c r="HA118" s="497" t="s">
        <v>4</v>
      </c>
      <c r="HB118" s="497" t="s">
        <v>4</v>
      </c>
      <c r="HC118" s="497" t="s">
        <v>4</v>
      </c>
      <c r="HD118" s="497" t="s">
        <v>4</v>
      </c>
      <c r="HE118" s="497" t="s">
        <v>4</v>
      </c>
      <c r="HF118" s="497" t="s">
        <v>4</v>
      </c>
      <c r="HG118" s="497" t="s">
        <v>2</v>
      </c>
      <c r="HH118" s="497" t="s">
        <v>4</v>
      </c>
      <c r="HI118" s="497" t="s">
        <v>4</v>
      </c>
      <c r="HJ118" s="497" t="s">
        <v>4</v>
      </c>
      <c r="HK118" s="494" t="s">
        <v>4</v>
      </c>
      <c r="HL118" s="497" t="s">
        <v>33474</v>
      </c>
      <c r="HM118" s="497" t="s">
        <v>7</v>
      </c>
      <c r="HN118" s="497" t="s">
        <v>33738</v>
      </c>
      <c r="HO118" s="497" t="s">
        <v>16</v>
      </c>
      <c r="HP118" s="497" t="s">
        <v>33739</v>
      </c>
      <c r="HQ118" s="497" t="s">
        <v>33740</v>
      </c>
      <c r="HR118" s="497" t="s">
        <v>33741</v>
      </c>
      <c r="HS118" s="497" t="s">
        <v>16</v>
      </c>
      <c r="HT118" s="500" t="s">
        <v>33724</v>
      </c>
    </row>
    <row r="119" spans="1:228" s="570" customFormat="1" ht="30.2" customHeight="1" x14ac:dyDescent="0.25">
      <c r="A119" s="759"/>
      <c r="B119" s="496">
        <v>42</v>
      </c>
      <c r="C119" s="496" t="s">
        <v>18902</v>
      </c>
      <c r="D119" s="497" t="s">
        <v>33814</v>
      </c>
      <c r="E119" s="497" t="s">
        <v>33725</v>
      </c>
      <c r="F119" s="497" t="s">
        <v>7</v>
      </c>
      <c r="G119" s="497" t="s">
        <v>33815</v>
      </c>
      <c r="H119" s="497">
        <v>1092.928711</v>
      </c>
      <c r="I119" s="497">
        <v>4.2880000000000003</v>
      </c>
      <c r="J119" s="497" t="s">
        <v>29389</v>
      </c>
      <c r="K119" s="497" t="s">
        <v>33816</v>
      </c>
      <c r="L119" s="497" t="s">
        <v>33817</v>
      </c>
      <c r="M119" s="497">
        <v>770759863</v>
      </c>
      <c r="N119" s="497" t="s">
        <v>5</v>
      </c>
      <c r="O119" s="497" t="s">
        <v>31438</v>
      </c>
      <c r="P119" s="497">
        <v>34</v>
      </c>
      <c r="Q119" s="497">
        <v>7</v>
      </c>
      <c r="R119" s="497" t="s">
        <v>7</v>
      </c>
      <c r="S119" s="497" t="s">
        <v>31588</v>
      </c>
      <c r="T119" s="497" t="s">
        <v>4</v>
      </c>
      <c r="U119" s="497" t="s">
        <v>7</v>
      </c>
      <c r="V119" s="497" t="s">
        <v>7</v>
      </c>
      <c r="W119" s="497" t="s">
        <v>4</v>
      </c>
      <c r="X119" s="497" t="s">
        <v>7</v>
      </c>
      <c r="Y119" s="497" t="s">
        <v>4</v>
      </c>
      <c r="Z119" s="497" t="s">
        <v>4</v>
      </c>
      <c r="AA119" s="241" t="str">
        <f>IF(OR(U119="yes",Z119&gt;'SDG outcome'!$C$39),"yes","no")</f>
        <v>yes</v>
      </c>
      <c r="AB119" s="521" t="str">
        <f t="shared" si="3"/>
        <v>NA</v>
      </c>
      <c r="AC119" s="527" t="str">
        <f>IF(AND('SMS p2'!AA54="no",AND(Z119&gt;='SDG outcome'!$B$28,Z119&lt;'SDG outcome'!$C$39)),Z119-'SDG outcome'!$B$28,"")</f>
        <v/>
      </c>
      <c r="AD119" s="497" t="s">
        <v>4</v>
      </c>
      <c r="AE119" s="497" t="s">
        <v>4</v>
      </c>
      <c r="AF119" s="497" t="s">
        <v>4</v>
      </c>
      <c r="AG119" s="497" t="s">
        <v>4</v>
      </c>
      <c r="AH119" s="497" t="s">
        <v>4</v>
      </c>
      <c r="AI119" s="497" t="s">
        <v>4</v>
      </c>
      <c r="AJ119" s="497" t="s">
        <v>4</v>
      </c>
      <c r="AK119" s="497" t="s">
        <v>29290</v>
      </c>
      <c r="AL119" s="497" t="s">
        <v>29694</v>
      </c>
      <c r="AM119" s="497" t="s">
        <v>4</v>
      </c>
      <c r="AN119" s="497" t="s">
        <v>4</v>
      </c>
      <c r="AO119" s="497" t="s">
        <v>31536</v>
      </c>
      <c r="AP119" s="497" t="s">
        <v>4</v>
      </c>
      <c r="AQ119" s="497" t="s">
        <v>31537</v>
      </c>
      <c r="AR119" s="497" t="s">
        <v>4</v>
      </c>
      <c r="AS119" s="497" t="s">
        <v>31538</v>
      </c>
      <c r="AT119" s="497" t="s">
        <v>4</v>
      </c>
      <c r="AU119" s="497" t="s">
        <v>7</v>
      </c>
      <c r="AV119" s="497" t="s">
        <v>4</v>
      </c>
      <c r="AW119" s="497" t="s">
        <v>4</v>
      </c>
      <c r="AX119" s="497" t="s">
        <v>2</v>
      </c>
      <c r="AY119" s="497" t="s">
        <v>4</v>
      </c>
      <c r="AZ119" s="497" t="s">
        <v>4</v>
      </c>
      <c r="BA119" s="497" t="s">
        <v>31563</v>
      </c>
      <c r="BB119" s="497" t="s">
        <v>22</v>
      </c>
      <c r="BC119" s="497" t="s">
        <v>4</v>
      </c>
      <c r="BD119" s="497" t="s">
        <v>31564</v>
      </c>
      <c r="BE119" s="497" t="s">
        <v>4</v>
      </c>
      <c r="BF119" s="497" t="s">
        <v>31542</v>
      </c>
      <c r="BG119" s="497" t="s">
        <v>33818</v>
      </c>
      <c r="BH119" s="497" t="s">
        <v>31566</v>
      </c>
      <c r="BI119" s="497">
        <v>1</v>
      </c>
      <c r="BJ119" s="497">
        <v>45</v>
      </c>
      <c r="BK119" s="497" t="s">
        <v>7</v>
      </c>
      <c r="BL119" s="497" t="s">
        <v>6</v>
      </c>
      <c r="BM119" s="497" t="s">
        <v>4</v>
      </c>
      <c r="BN119" s="497" t="s">
        <v>31425</v>
      </c>
      <c r="BO119" s="497">
        <v>1</v>
      </c>
      <c r="BP119" s="497">
        <v>30</v>
      </c>
      <c r="BQ119" s="497" t="s">
        <v>31435</v>
      </c>
      <c r="BR119" s="499" t="s">
        <v>33361</v>
      </c>
      <c r="BS119" s="497" t="s">
        <v>4</v>
      </c>
      <c r="BT119" s="497">
        <v>3</v>
      </c>
      <c r="BU119" s="494" cm="1">
        <f t="array" ref="BU119">_xlfn.IFS(BQ119="Foreword vehicle",BT119*0,BQ119="Human wastes",BT119*0,BS119="Jerrycans",BT119*$BT$4,BQ119="Number of Basins",BT119*$BT$5,BQ119="Number of Buckets",BT119*$BT$6,BQ119="Number of Kgs",BT119*$BT$7,BQ119="Number of spades",BT119*$BT$8,BQ119="Number of wheelbarrows",BT119*$BS$9,BS119="Septic Tank",BT119*0)</f>
        <v>247.5</v>
      </c>
      <c r="BV119" s="494">
        <f>Table15[[#This Row],[Calculation: Conversion of metric to Kg manure feeding (Columns: BP, BQ, BR)]]*Table15[[#This Row],[Number of times used to feed biodigester]]</f>
        <v>247.5</v>
      </c>
      <c r="BW119" s="495" cm="1">
        <f t="array" ref="BW119">_xlfn.IFS(BN119="Number of times per day (1 to 3)",BV119/$BW$3,BN119="Number of times per week (1 to 6)",BV119/$BW$4,BN119="Number of times per Month (1 to 3)",BV119/$BW$5)</f>
        <v>247.5</v>
      </c>
      <c r="BX119" s="497" t="s">
        <v>22</v>
      </c>
      <c r="BY119" s="497" t="s">
        <v>4</v>
      </c>
      <c r="BZ119" s="497" t="s">
        <v>2</v>
      </c>
      <c r="CA119" s="497" t="s">
        <v>4</v>
      </c>
      <c r="CB119" s="497" t="s">
        <v>4</v>
      </c>
      <c r="CC119" s="497" t="s">
        <v>4</v>
      </c>
      <c r="CD119" s="497" t="s">
        <v>7</v>
      </c>
      <c r="CE119" s="497" t="s">
        <v>33819</v>
      </c>
      <c r="CF119" s="497" t="s">
        <v>4</v>
      </c>
      <c r="CG119" s="497" t="s">
        <v>33820</v>
      </c>
      <c r="CH119" s="497">
        <v>9</v>
      </c>
      <c r="CI119" s="497">
        <v>0</v>
      </c>
      <c r="CJ119" s="497">
        <v>0</v>
      </c>
      <c r="CK119" s="497">
        <v>0</v>
      </c>
      <c r="CL119" s="497">
        <v>11</v>
      </c>
      <c r="CM119" s="497">
        <v>224</v>
      </c>
      <c r="CN119" s="497">
        <v>13</v>
      </c>
      <c r="CO119" s="497">
        <v>120</v>
      </c>
      <c r="CP119" s="497">
        <v>2</v>
      </c>
      <c r="CQ119" s="497">
        <v>8</v>
      </c>
      <c r="CR119" s="497">
        <f>IF(Table15[[#This Row],[Is your biodigester working?]]="yes",CO119/'SDG outcome'!$C$9*CP119*CQ119,"")</f>
        <v>5.53314121037464</v>
      </c>
      <c r="CS119" s="497">
        <v>100</v>
      </c>
      <c r="CT119" s="500">
        <v>0</v>
      </c>
      <c r="CU119" s="496" t="s">
        <v>4</v>
      </c>
      <c r="CV119" s="497" t="s">
        <v>4</v>
      </c>
      <c r="CW119" s="500" t="s">
        <v>4</v>
      </c>
      <c r="CX119" s="496" t="s">
        <v>4</v>
      </c>
      <c r="CY119" s="497">
        <v>0</v>
      </c>
      <c r="CZ119" s="500">
        <v>100</v>
      </c>
      <c r="DA119" s="496" t="s">
        <v>33821</v>
      </c>
      <c r="DB119" s="497" t="s">
        <v>4</v>
      </c>
      <c r="DC119" s="497" t="s">
        <v>4</v>
      </c>
      <c r="DD119" s="497" t="s">
        <v>4</v>
      </c>
      <c r="DE119" s="497">
        <v>0</v>
      </c>
      <c r="DF119" s="497">
        <v>100</v>
      </c>
      <c r="DG119" s="497" t="s">
        <v>33822</v>
      </c>
      <c r="DH119" s="497" t="s">
        <v>4</v>
      </c>
      <c r="DI119" s="497" t="s">
        <v>4</v>
      </c>
      <c r="DJ119" s="497" t="s">
        <v>4</v>
      </c>
      <c r="DK119" s="497">
        <v>0</v>
      </c>
      <c r="DL119" s="497">
        <v>100</v>
      </c>
      <c r="DM119" s="497" t="s">
        <v>33823</v>
      </c>
      <c r="DN119" s="497">
        <v>1.4</v>
      </c>
      <c r="DO119" s="497" t="s">
        <v>7</v>
      </c>
      <c r="DP119" s="497" t="s">
        <v>29292</v>
      </c>
      <c r="DQ119" s="497" t="s">
        <v>4</v>
      </c>
      <c r="DR119" s="497" t="s">
        <v>29294</v>
      </c>
      <c r="DS119" s="494" t="s">
        <v>4</v>
      </c>
      <c r="DT119" s="497" t="s">
        <v>29294</v>
      </c>
      <c r="DU119" s="494" t="s">
        <v>4</v>
      </c>
      <c r="DV119" s="500" t="s">
        <v>29508</v>
      </c>
      <c r="DW119" s="496" t="s">
        <v>4</v>
      </c>
      <c r="DX119" s="497" t="s">
        <v>4</v>
      </c>
      <c r="DY119" s="497" t="s">
        <v>4</v>
      </c>
      <c r="DZ119" s="497" t="s">
        <v>4</v>
      </c>
      <c r="EA119" s="497" t="s">
        <v>4</v>
      </c>
      <c r="EB119" s="497" t="s">
        <v>4</v>
      </c>
      <c r="EC119" s="497" t="s">
        <v>4</v>
      </c>
      <c r="ED119" s="497">
        <v>100</v>
      </c>
      <c r="EE119" s="497" t="s">
        <v>30667</v>
      </c>
      <c r="EF119" s="497" t="s">
        <v>4</v>
      </c>
      <c r="EG119" s="497" t="s">
        <v>4</v>
      </c>
      <c r="EH119" s="497">
        <v>100</v>
      </c>
      <c r="EI119" s="497" t="s">
        <v>4</v>
      </c>
      <c r="EJ119" s="497" t="s">
        <v>4</v>
      </c>
      <c r="EK119" s="497" t="s">
        <v>4</v>
      </c>
      <c r="EL119" s="497" t="s">
        <v>4</v>
      </c>
      <c r="EM119" s="497">
        <v>30</v>
      </c>
      <c r="EN119" s="497" t="s">
        <v>4</v>
      </c>
      <c r="EO119" s="497" t="s">
        <v>4</v>
      </c>
      <c r="EP119" s="497" t="s">
        <v>4</v>
      </c>
      <c r="EQ119" s="497" t="s">
        <v>29695</v>
      </c>
      <c r="ER119" s="497">
        <v>80</v>
      </c>
      <c r="ES119" s="497" t="s">
        <v>4</v>
      </c>
      <c r="ET119" s="497" t="s">
        <v>4</v>
      </c>
      <c r="EU119" s="497">
        <v>20</v>
      </c>
      <c r="EV119" s="497" t="s">
        <v>4</v>
      </c>
      <c r="EW119" s="497">
        <v>6.4751112909753132</v>
      </c>
      <c r="EX119" s="497" t="s">
        <v>7</v>
      </c>
      <c r="EY119" s="497" t="s">
        <v>33736</v>
      </c>
      <c r="EZ119" s="239"/>
      <c r="FA119" s="497" t="s">
        <v>33824</v>
      </c>
      <c r="FB119" s="497" t="s">
        <v>29298</v>
      </c>
      <c r="FC119" s="497">
        <v>8</v>
      </c>
      <c r="FD119" s="497" t="s">
        <v>7</v>
      </c>
      <c r="FE119" s="497" t="s">
        <v>29492</v>
      </c>
      <c r="FF119" s="497" t="s">
        <v>4</v>
      </c>
      <c r="FG119" s="497" t="s">
        <v>2</v>
      </c>
      <c r="FH119" s="497" t="s">
        <v>4</v>
      </c>
      <c r="FI119" s="497" t="s">
        <v>4</v>
      </c>
      <c r="FJ119" s="497" t="s">
        <v>4</v>
      </c>
      <c r="FK119" s="497" t="s">
        <v>4</v>
      </c>
      <c r="FL119" s="497" t="s">
        <v>29292</v>
      </c>
      <c r="FM119" s="497" t="s">
        <v>29294</v>
      </c>
      <c r="FN119" s="494" t="s">
        <v>4</v>
      </c>
      <c r="FO119" s="497" t="s">
        <v>4</v>
      </c>
      <c r="FP119" s="497" t="s">
        <v>2</v>
      </c>
      <c r="FQ119" s="497" t="s">
        <v>4</v>
      </c>
      <c r="FR119" s="497" t="s">
        <v>4</v>
      </c>
      <c r="FS119" s="497" t="s">
        <v>7</v>
      </c>
      <c r="FT119" s="497" t="s">
        <v>7</v>
      </c>
      <c r="FU119" s="497" t="s">
        <v>29302</v>
      </c>
      <c r="FV119" s="497" t="s">
        <v>33825</v>
      </c>
      <c r="FW119" s="497" t="s">
        <v>4</v>
      </c>
      <c r="FX119" s="497">
        <v>0</v>
      </c>
      <c r="FY119" s="497" t="s">
        <v>4</v>
      </c>
      <c r="FZ119" s="497" t="s">
        <v>4</v>
      </c>
      <c r="GA119" s="497" t="s">
        <v>4</v>
      </c>
      <c r="GB119" s="497" t="s">
        <v>4</v>
      </c>
      <c r="GC119" s="497" t="s">
        <v>4</v>
      </c>
      <c r="GD119" s="497" t="s">
        <v>4</v>
      </c>
      <c r="GE119" s="497" t="s">
        <v>4</v>
      </c>
      <c r="GF119" s="497" t="s">
        <v>4</v>
      </c>
      <c r="GG119" s="497" t="s">
        <v>4</v>
      </c>
      <c r="GH119" s="497" t="s">
        <v>4</v>
      </c>
      <c r="GI119" s="497" t="s">
        <v>29433</v>
      </c>
      <c r="GJ119" s="497" t="s">
        <v>4</v>
      </c>
      <c r="GK119" s="497" t="s">
        <v>4</v>
      </c>
      <c r="GL119" s="497" t="s">
        <v>4</v>
      </c>
      <c r="GM119" s="497" t="s">
        <v>4</v>
      </c>
      <c r="GN119" s="497" t="s">
        <v>4</v>
      </c>
      <c r="GO119" s="497" t="s">
        <v>4</v>
      </c>
      <c r="GP119" s="497" t="s">
        <v>4</v>
      </c>
      <c r="GQ119" s="497" t="s">
        <v>4</v>
      </c>
      <c r="GR119" s="497" t="s">
        <v>13</v>
      </c>
      <c r="GS119" s="497" t="s">
        <v>33826</v>
      </c>
      <c r="GT119" s="497" t="s">
        <v>29452</v>
      </c>
      <c r="GU119" s="497" t="s">
        <v>4</v>
      </c>
      <c r="GV119" s="494">
        <v>1</v>
      </c>
      <c r="GW119" s="497" t="s">
        <v>29325</v>
      </c>
      <c r="GX119" s="497" t="s">
        <v>29480</v>
      </c>
      <c r="GY119" s="497" t="s">
        <v>4</v>
      </c>
      <c r="GZ119" s="497" t="s">
        <v>4</v>
      </c>
      <c r="HA119" s="497" t="s">
        <v>4</v>
      </c>
      <c r="HB119" s="497" t="s">
        <v>4</v>
      </c>
      <c r="HC119" s="497" t="s">
        <v>4</v>
      </c>
      <c r="HD119" s="497" t="s">
        <v>4</v>
      </c>
      <c r="HE119" s="497" t="s">
        <v>4</v>
      </c>
      <c r="HF119" s="497" t="s">
        <v>4</v>
      </c>
      <c r="HG119" s="497" t="s">
        <v>2</v>
      </c>
      <c r="HH119" s="497" t="s">
        <v>4</v>
      </c>
      <c r="HI119" s="497" t="s">
        <v>4</v>
      </c>
      <c r="HJ119" s="497" t="s">
        <v>4</v>
      </c>
      <c r="HK119" s="494" t="s">
        <v>4</v>
      </c>
      <c r="HL119" s="497" t="s">
        <v>33474</v>
      </c>
      <c r="HM119" s="497" t="s">
        <v>2</v>
      </c>
      <c r="HN119" s="497" t="s">
        <v>4</v>
      </c>
      <c r="HO119" s="497" t="s">
        <v>33827</v>
      </c>
      <c r="HP119" s="497" t="s">
        <v>33828</v>
      </c>
      <c r="HQ119" s="497" t="s">
        <v>33829</v>
      </c>
      <c r="HR119" s="497" t="s">
        <v>33830</v>
      </c>
      <c r="HS119" s="497" t="s">
        <v>16</v>
      </c>
      <c r="HT119" s="500" t="s">
        <v>33814</v>
      </c>
    </row>
    <row r="120" spans="1:228" s="570" customFormat="1" ht="30.2" customHeight="1" x14ac:dyDescent="0.25">
      <c r="A120" s="759"/>
      <c r="B120" s="496">
        <v>44</v>
      </c>
      <c r="C120" s="496" t="s">
        <v>18351</v>
      </c>
      <c r="D120" s="497" t="s">
        <v>33844</v>
      </c>
      <c r="E120" s="497" t="s">
        <v>33725</v>
      </c>
      <c r="F120" s="497" t="s">
        <v>7</v>
      </c>
      <c r="G120" s="497" t="s">
        <v>33845</v>
      </c>
      <c r="H120" s="497">
        <v>1071.5473629999999</v>
      </c>
      <c r="I120" s="497">
        <v>4.2880000000000003</v>
      </c>
      <c r="J120" s="497" t="s">
        <v>29319</v>
      </c>
      <c r="K120" s="497" t="s">
        <v>4</v>
      </c>
      <c r="L120" s="497" t="s">
        <v>33846</v>
      </c>
      <c r="M120" s="497">
        <v>782510747</v>
      </c>
      <c r="N120" s="497" t="s">
        <v>5</v>
      </c>
      <c r="O120" s="497" t="s">
        <v>31438</v>
      </c>
      <c r="P120" s="497">
        <v>43</v>
      </c>
      <c r="Q120" s="497">
        <v>6</v>
      </c>
      <c r="R120" s="497" t="s">
        <v>7</v>
      </c>
      <c r="S120" s="497" t="s">
        <v>31588</v>
      </c>
      <c r="T120" s="497" t="s">
        <v>4</v>
      </c>
      <c r="U120" s="497" t="s">
        <v>7</v>
      </c>
      <c r="V120" s="497" t="s">
        <v>7</v>
      </c>
      <c r="W120" s="497" t="s">
        <v>4</v>
      </c>
      <c r="X120" s="497" t="s">
        <v>7</v>
      </c>
      <c r="Y120" s="497" t="s">
        <v>4</v>
      </c>
      <c r="Z120" s="497" t="s">
        <v>4</v>
      </c>
      <c r="AA120" s="241" t="str">
        <f>IF(OR(U120="yes",Z120&gt;'SDG outcome'!$C$39),"yes","no")</f>
        <v>yes</v>
      </c>
      <c r="AB120" s="521" t="str">
        <f t="shared" si="3"/>
        <v>NA</v>
      </c>
      <c r="AC120" s="527" t="str">
        <f>IF(AND('SMS p2'!AA56="no",AND(Z120&gt;='SDG outcome'!$B$28,Z120&lt;'SDG outcome'!$C$39)),Z120-'SDG outcome'!$B$28,"")</f>
        <v/>
      </c>
      <c r="AD120" s="497" t="s">
        <v>4</v>
      </c>
      <c r="AE120" s="497" t="s">
        <v>4</v>
      </c>
      <c r="AF120" s="497" t="s">
        <v>4</v>
      </c>
      <c r="AG120" s="497" t="s">
        <v>4</v>
      </c>
      <c r="AH120" s="497" t="s">
        <v>4</v>
      </c>
      <c r="AI120" s="497" t="s">
        <v>4</v>
      </c>
      <c r="AJ120" s="497" t="s">
        <v>4</v>
      </c>
      <c r="AK120" s="497" t="s">
        <v>29290</v>
      </c>
      <c r="AL120" s="497" t="s">
        <v>29694</v>
      </c>
      <c r="AM120" s="497" t="s">
        <v>4</v>
      </c>
      <c r="AN120" s="497" t="s">
        <v>4</v>
      </c>
      <c r="AO120" s="497" t="s">
        <v>31536</v>
      </c>
      <c r="AP120" s="497" t="s">
        <v>4</v>
      </c>
      <c r="AQ120" s="497" t="s">
        <v>31537</v>
      </c>
      <c r="AR120" s="497" t="s">
        <v>4</v>
      </c>
      <c r="AS120" s="497" t="s">
        <v>31538</v>
      </c>
      <c r="AT120" s="497" t="s">
        <v>4</v>
      </c>
      <c r="AU120" s="497" t="s">
        <v>2</v>
      </c>
      <c r="AV120" s="497" t="s">
        <v>33847</v>
      </c>
      <c r="AW120" s="497" t="s">
        <v>4</v>
      </c>
      <c r="AX120" s="497" t="s">
        <v>7</v>
      </c>
      <c r="AY120" s="497" t="s">
        <v>11</v>
      </c>
      <c r="AZ120" s="497" t="s">
        <v>4</v>
      </c>
      <c r="BA120" s="497" t="s">
        <v>31563</v>
      </c>
      <c r="BB120" s="497" t="s">
        <v>31552</v>
      </c>
      <c r="BC120" s="497" t="s">
        <v>4</v>
      </c>
      <c r="BD120" s="497" t="s">
        <v>31541</v>
      </c>
      <c r="BE120" s="497" t="s">
        <v>4</v>
      </c>
      <c r="BF120" s="497" t="s">
        <v>31542</v>
      </c>
      <c r="BG120" s="497" t="s">
        <v>33848</v>
      </c>
      <c r="BH120" s="497" t="s">
        <v>31544</v>
      </c>
      <c r="BI120" s="497">
        <v>2</v>
      </c>
      <c r="BJ120" s="497">
        <v>60</v>
      </c>
      <c r="BK120" s="497" t="s">
        <v>7</v>
      </c>
      <c r="BL120" s="497" t="s">
        <v>6</v>
      </c>
      <c r="BM120" s="497" t="s">
        <v>4</v>
      </c>
      <c r="BN120" s="497" t="s">
        <v>31429</v>
      </c>
      <c r="BO120" s="497">
        <v>2</v>
      </c>
      <c r="BP120" s="497">
        <v>30</v>
      </c>
      <c r="BQ120" s="497" t="s">
        <v>31435</v>
      </c>
      <c r="BR120" s="499" t="s">
        <v>33361</v>
      </c>
      <c r="BS120" s="497" t="s">
        <v>4</v>
      </c>
      <c r="BT120" s="497">
        <v>1</v>
      </c>
      <c r="BU120" s="494" cm="1">
        <f t="array" ref="BU120">_xlfn.IFS(BQ120="Foreword vehicle",BT120*0,BQ120="Human wastes",BT120*0,BS120="Jerrycans",BT120*$BT$4,BQ120="Number of Basins",BT120*$BT$5,BQ120="Number of Buckets",BT120*$BT$6,BQ120="Number of Kgs",BT120*$BT$7,BQ120="Number of spades",BT120*$BT$8,BQ120="Number of wheelbarrows",BT120*$BS$9,BS120="Septic Tank",BT120*0)</f>
        <v>82.5</v>
      </c>
      <c r="BV120" s="494">
        <f>Table15[[#This Row],[Calculation: Conversion of metric to Kg manure feeding (Columns: BP, BQ, BR)]]*Table15[[#This Row],[Number of times used to feed biodigester]]</f>
        <v>165</v>
      </c>
      <c r="BW120" s="495" cm="1">
        <f t="array" ref="BW120">_xlfn.IFS(BN120="Number of times per day (1 to 3)",BV120/$BW$3,BN120="Number of times per week (1 to 6)",BV120/$BW$4,BN120="Number of times per Month (1 to 3)",BV120/$BW$5)</f>
        <v>23.571428571428573</v>
      </c>
      <c r="BX120" s="497" t="s">
        <v>31552</v>
      </c>
      <c r="BY120" s="497" t="s">
        <v>4</v>
      </c>
      <c r="BZ120" s="497" t="s">
        <v>2</v>
      </c>
      <c r="CA120" s="497" t="s">
        <v>4</v>
      </c>
      <c r="CB120" s="497" t="s">
        <v>4</v>
      </c>
      <c r="CC120" s="497" t="s">
        <v>4</v>
      </c>
      <c r="CD120" s="497" t="s">
        <v>7</v>
      </c>
      <c r="CE120" s="497" t="s">
        <v>33849</v>
      </c>
      <c r="CF120" s="497" t="s">
        <v>4</v>
      </c>
      <c r="CG120" s="497" t="s">
        <v>31604</v>
      </c>
      <c r="CH120" s="497">
        <v>4</v>
      </c>
      <c r="CI120" s="497">
        <v>0</v>
      </c>
      <c r="CJ120" s="497">
        <v>0</v>
      </c>
      <c r="CK120" s="497">
        <v>0</v>
      </c>
      <c r="CL120" s="497">
        <v>0</v>
      </c>
      <c r="CM120" s="497">
        <v>0</v>
      </c>
      <c r="CN120" s="497">
        <v>0</v>
      </c>
      <c r="CO120" s="497">
        <v>0</v>
      </c>
      <c r="CP120" s="497">
        <v>0</v>
      </c>
      <c r="CQ120" s="497">
        <v>0</v>
      </c>
      <c r="CR120" s="497">
        <f>IF(Table15[[#This Row],[Is your biodigester working?]]="yes",CO120/'SDG outcome'!$C$9*CP120*CQ120,"")</f>
        <v>0</v>
      </c>
      <c r="CS120" s="497">
        <v>70</v>
      </c>
      <c r="CT120" s="500">
        <v>30</v>
      </c>
      <c r="CU120" s="496" t="s">
        <v>33850</v>
      </c>
      <c r="CV120" s="497" t="s">
        <v>4</v>
      </c>
      <c r="CW120" s="500" t="s">
        <v>4</v>
      </c>
      <c r="CX120" s="496" t="s">
        <v>4</v>
      </c>
      <c r="CY120" s="497" t="s">
        <v>4</v>
      </c>
      <c r="CZ120" s="500" t="s">
        <v>4</v>
      </c>
      <c r="DA120" s="496" t="s">
        <v>4</v>
      </c>
      <c r="DB120" s="497" t="s">
        <v>4</v>
      </c>
      <c r="DC120" s="497" t="s">
        <v>4</v>
      </c>
      <c r="DD120" s="497" t="s">
        <v>4</v>
      </c>
      <c r="DE120" s="497" t="s">
        <v>4</v>
      </c>
      <c r="DF120" s="497" t="s">
        <v>4</v>
      </c>
      <c r="DG120" s="497" t="s">
        <v>4</v>
      </c>
      <c r="DH120" s="497" t="s">
        <v>4</v>
      </c>
      <c r="DI120" s="497" t="s">
        <v>4</v>
      </c>
      <c r="DJ120" s="497" t="s">
        <v>4</v>
      </c>
      <c r="DK120" s="497" t="s">
        <v>4</v>
      </c>
      <c r="DL120" s="497" t="s">
        <v>4</v>
      </c>
      <c r="DM120" s="497" t="s">
        <v>4</v>
      </c>
      <c r="DN120" s="497">
        <v>1.3</v>
      </c>
      <c r="DO120" s="497" t="s">
        <v>7</v>
      </c>
      <c r="DP120" s="497" t="s">
        <v>29292</v>
      </c>
      <c r="DQ120" s="497" t="s">
        <v>4</v>
      </c>
      <c r="DR120" s="497" t="s">
        <v>29294</v>
      </c>
      <c r="DS120" s="494" t="s">
        <v>4</v>
      </c>
      <c r="DT120" s="497" t="s">
        <v>29294</v>
      </c>
      <c r="DU120" s="494" t="s">
        <v>4</v>
      </c>
      <c r="DV120" s="500" t="s">
        <v>29295</v>
      </c>
      <c r="DW120" s="496">
        <v>100</v>
      </c>
      <c r="DX120" s="497" t="s">
        <v>29296</v>
      </c>
      <c r="DY120" s="497">
        <v>100</v>
      </c>
      <c r="DZ120" s="497" t="s">
        <v>4</v>
      </c>
      <c r="EA120" s="497" t="s">
        <v>4</v>
      </c>
      <c r="EB120" s="497" t="s">
        <v>4</v>
      </c>
      <c r="EC120" s="497" t="s">
        <v>4</v>
      </c>
      <c r="ED120" s="497" t="s">
        <v>4</v>
      </c>
      <c r="EE120" s="497" t="s">
        <v>4</v>
      </c>
      <c r="EF120" s="497" t="s">
        <v>4</v>
      </c>
      <c r="EG120" s="497" t="s">
        <v>4</v>
      </c>
      <c r="EH120" s="497" t="s">
        <v>4</v>
      </c>
      <c r="EI120" s="497" t="s">
        <v>4</v>
      </c>
      <c r="EJ120" s="497" t="s">
        <v>4</v>
      </c>
      <c r="EK120" s="497" t="s">
        <v>4</v>
      </c>
      <c r="EL120" s="497" t="s">
        <v>4</v>
      </c>
      <c r="EM120" s="497" t="s">
        <v>4</v>
      </c>
      <c r="EN120" s="497" t="s">
        <v>4</v>
      </c>
      <c r="EO120" s="497" t="s">
        <v>4</v>
      </c>
      <c r="EP120" s="497" t="s">
        <v>4</v>
      </c>
      <c r="EQ120" s="497" t="s">
        <v>4</v>
      </c>
      <c r="ER120" s="497" t="s">
        <v>4</v>
      </c>
      <c r="ES120" s="497" t="s">
        <v>4</v>
      </c>
      <c r="ET120" s="497" t="s">
        <v>4</v>
      </c>
      <c r="EU120" s="497" t="s">
        <v>4</v>
      </c>
      <c r="EV120" s="497" t="s">
        <v>4</v>
      </c>
      <c r="EW120" s="497" t="s">
        <v>33649</v>
      </c>
      <c r="EX120" s="497" t="s">
        <v>7</v>
      </c>
      <c r="EY120" s="497">
        <v>100</v>
      </c>
      <c r="EZ120" s="239"/>
      <c r="FA120" s="497" t="s">
        <v>33851</v>
      </c>
      <c r="FB120" s="497" t="s">
        <v>29298</v>
      </c>
      <c r="FC120" s="497">
        <v>60</v>
      </c>
      <c r="FD120" s="497" t="s">
        <v>2</v>
      </c>
      <c r="FE120" s="497" t="s">
        <v>4</v>
      </c>
      <c r="FF120" s="497" t="s">
        <v>4</v>
      </c>
      <c r="FG120" s="497" t="s">
        <v>2</v>
      </c>
      <c r="FH120" s="497" t="s">
        <v>4</v>
      </c>
      <c r="FI120" s="497" t="s">
        <v>4</v>
      </c>
      <c r="FJ120" s="497" t="s">
        <v>4</v>
      </c>
      <c r="FK120" s="497" t="s">
        <v>4</v>
      </c>
      <c r="FL120" s="497" t="s">
        <v>4</v>
      </c>
      <c r="FM120" s="497" t="s">
        <v>4</v>
      </c>
      <c r="FN120" s="494" t="s">
        <v>4</v>
      </c>
      <c r="FO120" s="497" t="s">
        <v>4</v>
      </c>
      <c r="FP120" s="497" t="s">
        <v>2</v>
      </c>
      <c r="FQ120" s="497" t="s">
        <v>4</v>
      </c>
      <c r="FR120" s="497" t="s">
        <v>4</v>
      </c>
      <c r="FS120" s="497" t="s">
        <v>2</v>
      </c>
      <c r="FT120" s="497" t="s">
        <v>2</v>
      </c>
      <c r="FU120" s="497" t="s">
        <v>4</v>
      </c>
      <c r="FV120" s="497" t="s">
        <v>4</v>
      </c>
      <c r="FW120" s="497" t="s">
        <v>4</v>
      </c>
      <c r="FX120" s="497">
        <v>0</v>
      </c>
      <c r="FY120" s="497" t="s">
        <v>4</v>
      </c>
      <c r="FZ120" s="497" t="s">
        <v>4</v>
      </c>
      <c r="GA120" s="497" t="s">
        <v>4</v>
      </c>
      <c r="GB120" s="497" t="s">
        <v>4</v>
      </c>
      <c r="GC120" s="497" t="s">
        <v>4</v>
      </c>
      <c r="GD120" s="497" t="s">
        <v>4</v>
      </c>
      <c r="GE120" s="497" t="s">
        <v>4</v>
      </c>
      <c r="GF120" s="497" t="s">
        <v>4</v>
      </c>
      <c r="GG120" s="497" t="s">
        <v>4</v>
      </c>
      <c r="GH120" s="497" t="s">
        <v>4</v>
      </c>
      <c r="GI120" s="497" t="s">
        <v>29433</v>
      </c>
      <c r="GJ120" s="497" t="s">
        <v>4</v>
      </c>
      <c r="GK120" s="497" t="s">
        <v>4</v>
      </c>
      <c r="GL120" s="497" t="s">
        <v>4</v>
      </c>
      <c r="GM120" s="497" t="s">
        <v>4</v>
      </c>
      <c r="GN120" s="497" t="s">
        <v>4</v>
      </c>
      <c r="GO120" s="497" t="s">
        <v>4</v>
      </c>
      <c r="GP120" s="497" t="s">
        <v>4</v>
      </c>
      <c r="GQ120" s="497" t="s">
        <v>4</v>
      </c>
      <c r="GR120" s="497" t="s">
        <v>13</v>
      </c>
      <c r="GS120" s="497" t="s">
        <v>33852</v>
      </c>
      <c r="GT120" s="497" t="s">
        <v>29452</v>
      </c>
      <c r="GU120" s="497" t="s">
        <v>4</v>
      </c>
      <c r="GV120" s="494">
        <v>5</v>
      </c>
      <c r="GW120" s="497" t="s">
        <v>2</v>
      </c>
      <c r="GX120" s="497" t="s">
        <v>29309</v>
      </c>
      <c r="GY120" s="497" t="s">
        <v>4</v>
      </c>
      <c r="GZ120" s="497" t="s">
        <v>4</v>
      </c>
      <c r="HA120" s="497" t="s">
        <v>4</v>
      </c>
      <c r="HB120" s="497" t="s">
        <v>4</v>
      </c>
      <c r="HC120" s="497" t="s">
        <v>4</v>
      </c>
      <c r="HD120" s="497" t="s">
        <v>4</v>
      </c>
      <c r="HE120" s="497" t="s">
        <v>4</v>
      </c>
      <c r="HF120" s="497" t="s">
        <v>4</v>
      </c>
      <c r="HG120" s="497" t="s">
        <v>2</v>
      </c>
      <c r="HH120" s="497" t="s">
        <v>4</v>
      </c>
      <c r="HI120" s="497" t="s">
        <v>4</v>
      </c>
      <c r="HJ120" s="497" t="s">
        <v>4</v>
      </c>
      <c r="HK120" s="494" t="s">
        <v>4</v>
      </c>
      <c r="HL120" s="497" t="s">
        <v>33853</v>
      </c>
      <c r="HM120" s="497" t="s">
        <v>7</v>
      </c>
      <c r="HN120" s="497" t="s">
        <v>33854</v>
      </c>
      <c r="HO120" s="497" t="s">
        <v>16</v>
      </c>
      <c r="HP120" s="497" t="s">
        <v>33855</v>
      </c>
      <c r="HQ120" s="497" t="s">
        <v>33856</v>
      </c>
      <c r="HR120" s="497" t="s">
        <v>33857</v>
      </c>
      <c r="HS120" s="497" t="s">
        <v>16</v>
      </c>
      <c r="HT120" s="500" t="s">
        <v>33844</v>
      </c>
    </row>
    <row r="121" spans="1:228" s="570" customFormat="1" ht="30.2" customHeight="1" x14ac:dyDescent="0.25">
      <c r="A121" s="759"/>
      <c r="B121" s="496">
        <v>69</v>
      </c>
      <c r="C121" s="496" t="s">
        <v>8333</v>
      </c>
      <c r="D121" s="497" t="s">
        <v>34154</v>
      </c>
      <c r="E121" s="497" t="s">
        <v>29799</v>
      </c>
      <c r="F121" s="497" t="s">
        <v>7</v>
      </c>
      <c r="G121" s="497" t="s">
        <v>34155</v>
      </c>
      <c r="H121" s="497">
        <v>1235.1843260000001</v>
      </c>
      <c r="I121" s="497">
        <v>4.5065119999999999</v>
      </c>
      <c r="J121" s="497" t="s">
        <v>29319</v>
      </c>
      <c r="K121" s="497" t="s">
        <v>4</v>
      </c>
      <c r="L121" s="497" t="s">
        <v>34156</v>
      </c>
      <c r="M121" s="497">
        <v>777723262</v>
      </c>
      <c r="N121" s="497" t="s">
        <v>30992</v>
      </c>
      <c r="O121" s="497" t="s">
        <v>31590</v>
      </c>
      <c r="P121" s="497" t="s">
        <v>4</v>
      </c>
      <c r="Q121" s="497">
        <v>20</v>
      </c>
      <c r="R121" s="497" t="s">
        <v>7</v>
      </c>
      <c r="S121" s="497" t="s">
        <v>31535</v>
      </c>
      <c r="T121" s="497" t="s">
        <v>4</v>
      </c>
      <c r="U121" s="497" t="s">
        <v>7</v>
      </c>
      <c r="V121" s="497" t="s">
        <v>7</v>
      </c>
      <c r="W121" s="497" t="s">
        <v>4</v>
      </c>
      <c r="X121" s="497" t="s">
        <v>7</v>
      </c>
      <c r="Y121" s="497" t="s">
        <v>4</v>
      </c>
      <c r="Z121" s="497" t="s">
        <v>4</v>
      </c>
      <c r="AA121" s="241" t="str">
        <f>IF(OR(U121="yes",Z121&gt;'SDG outcome'!$C$39),"yes","no")</f>
        <v>yes</v>
      </c>
      <c r="AB121" s="521" t="str">
        <f t="shared" si="3"/>
        <v>NA</v>
      </c>
      <c r="AC121" s="527" t="str">
        <f>IF(AND('SMS p2'!AA81="no",AND(Z121&gt;='SDG outcome'!$B$28,Z121&lt;'SDG outcome'!$C$39)),Z121-'SDG outcome'!$B$28,"")</f>
        <v/>
      </c>
      <c r="AD121" s="497" t="s">
        <v>4</v>
      </c>
      <c r="AE121" s="497" t="s">
        <v>4</v>
      </c>
      <c r="AF121" s="497" t="s">
        <v>4</v>
      </c>
      <c r="AG121" s="497" t="s">
        <v>4</v>
      </c>
      <c r="AH121" s="497" t="s">
        <v>4</v>
      </c>
      <c r="AI121" s="497" t="s">
        <v>4</v>
      </c>
      <c r="AJ121" s="497" t="s">
        <v>4</v>
      </c>
      <c r="AK121" s="497" t="s">
        <v>29290</v>
      </c>
      <c r="AL121" s="497" t="s">
        <v>29694</v>
      </c>
      <c r="AM121" s="497" t="s">
        <v>4</v>
      </c>
      <c r="AN121" s="497" t="s">
        <v>4</v>
      </c>
      <c r="AO121" s="497" t="s">
        <v>31536</v>
      </c>
      <c r="AP121" s="497" t="s">
        <v>4</v>
      </c>
      <c r="AQ121" s="497" t="s">
        <v>31537</v>
      </c>
      <c r="AR121" s="497" t="s">
        <v>4</v>
      </c>
      <c r="AS121" s="497" t="s">
        <v>34140</v>
      </c>
      <c r="AT121" s="497" t="s">
        <v>34157</v>
      </c>
      <c r="AU121" s="497" t="s">
        <v>7</v>
      </c>
      <c r="AV121" s="497" t="s">
        <v>4</v>
      </c>
      <c r="AW121" s="497" t="s">
        <v>4</v>
      </c>
      <c r="AX121" s="497" t="s">
        <v>7</v>
      </c>
      <c r="AY121" s="497" t="s">
        <v>6</v>
      </c>
      <c r="AZ121" s="497" t="s">
        <v>4</v>
      </c>
      <c r="BA121" s="497" t="s">
        <v>31563</v>
      </c>
      <c r="BB121" s="497" t="s">
        <v>22</v>
      </c>
      <c r="BC121" s="497" t="s">
        <v>4</v>
      </c>
      <c r="BD121" s="497" t="s">
        <v>31564</v>
      </c>
      <c r="BE121" s="497" t="s">
        <v>4</v>
      </c>
      <c r="BF121" s="497" t="s">
        <v>31542</v>
      </c>
      <c r="BG121" s="497" t="s">
        <v>34158</v>
      </c>
      <c r="BH121" s="497" t="s">
        <v>31544</v>
      </c>
      <c r="BI121" s="497">
        <v>1</v>
      </c>
      <c r="BJ121" s="497">
        <v>60</v>
      </c>
      <c r="BK121" s="497" t="s">
        <v>7</v>
      </c>
      <c r="BL121" s="497" t="s">
        <v>6</v>
      </c>
      <c r="BM121" s="497" t="s">
        <v>4</v>
      </c>
      <c r="BN121" s="497" t="s">
        <v>31429</v>
      </c>
      <c r="BO121" s="497">
        <v>3</v>
      </c>
      <c r="BP121" s="497">
        <v>30</v>
      </c>
      <c r="BQ121" s="497" t="s">
        <v>31435</v>
      </c>
      <c r="BR121" s="499" t="s">
        <v>33332</v>
      </c>
      <c r="BS121" s="497" t="s">
        <v>4</v>
      </c>
      <c r="BT121" s="497">
        <v>4</v>
      </c>
      <c r="BU121" s="494" cm="1">
        <f t="array" ref="BU121">_xlfn.IFS(BQ121="Foreword vehicle",BT121*0,BQ121="Human wastes",BT121*0,BS121="Jerrycans",BT121*$BT$4,BQ121="Number of Basins",BT121*$BT$5,BQ121="Number of Buckets",BT121*$BT$6,BQ121="Number of Kgs",BT121*$BT$7,BQ121="Number of spades",BT121*$BT$8,BQ121="Number of wheelbarrows",BT121*$BT$9,BS121="Septic Tank",BT121*0)</f>
        <v>282</v>
      </c>
      <c r="BV121" s="494">
        <f>Table15[[#This Row],[Calculation: Conversion of metric to Kg manure feeding (Columns: BP, BQ, BR)]]*Table15[[#This Row],[Number of times used to feed biodigester]]</f>
        <v>846</v>
      </c>
      <c r="BW121" s="495" cm="1">
        <f t="array" ref="BW121">_xlfn.IFS(BN121="Number of times per day (1 to 3)",BV121/$BW$3,BN121="Number of times per week (1 to 6)",BV121/$BW$4,BN121="Number of times per Month (1 to 3)",BV121/$BW$5)</f>
        <v>120.85714285714286</v>
      </c>
      <c r="BX121" s="497" t="s">
        <v>22</v>
      </c>
      <c r="BY121" s="497" t="s">
        <v>4</v>
      </c>
      <c r="BZ121" s="497" t="s">
        <v>2</v>
      </c>
      <c r="CA121" s="497" t="s">
        <v>4</v>
      </c>
      <c r="CB121" s="497" t="s">
        <v>4</v>
      </c>
      <c r="CC121" s="497" t="s">
        <v>4</v>
      </c>
      <c r="CD121" s="497" t="s">
        <v>7</v>
      </c>
      <c r="CE121" s="497" t="s">
        <v>34159</v>
      </c>
      <c r="CF121" s="497" t="s">
        <v>4</v>
      </c>
      <c r="CG121" s="497" t="s">
        <v>31683</v>
      </c>
      <c r="CH121" s="497">
        <v>20</v>
      </c>
      <c r="CI121" s="497">
        <v>69</v>
      </c>
      <c r="CJ121" s="497">
        <v>0</v>
      </c>
      <c r="CK121" s="497">
        <v>0</v>
      </c>
      <c r="CL121" s="497">
        <v>0</v>
      </c>
      <c r="CM121" s="497">
        <v>0</v>
      </c>
      <c r="CN121" s="497">
        <v>0</v>
      </c>
      <c r="CO121" s="497">
        <v>0</v>
      </c>
      <c r="CP121" s="497">
        <v>0</v>
      </c>
      <c r="CQ121" s="497">
        <v>0</v>
      </c>
      <c r="CR121" s="497">
        <f>IF(Table15[[#This Row],[Is your biodigester working?]]="yes",CO121/'SDG outcome'!$C$9*CP121*CQ121,"")</f>
        <v>0</v>
      </c>
      <c r="CS121" s="497">
        <v>50</v>
      </c>
      <c r="CT121" s="500">
        <v>50</v>
      </c>
      <c r="CU121" s="496" t="s">
        <v>34160</v>
      </c>
      <c r="CV121" s="497">
        <v>50</v>
      </c>
      <c r="CW121" s="500">
        <v>50</v>
      </c>
      <c r="CX121" s="496" t="s">
        <v>34161</v>
      </c>
      <c r="CY121" s="497" t="s">
        <v>4</v>
      </c>
      <c r="CZ121" s="500" t="s">
        <v>4</v>
      </c>
      <c r="DA121" s="496" t="s">
        <v>4</v>
      </c>
      <c r="DB121" s="497" t="s">
        <v>4</v>
      </c>
      <c r="DC121" s="497" t="s">
        <v>4</v>
      </c>
      <c r="DD121" s="497" t="s">
        <v>4</v>
      </c>
      <c r="DE121" s="497" t="s">
        <v>4</v>
      </c>
      <c r="DF121" s="497" t="s">
        <v>4</v>
      </c>
      <c r="DG121" s="497" t="s">
        <v>4</v>
      </c>
      <c r="DH121" s="497" t="s">
        <v>4</v>
      </c>
      <c r="DI121" s="497" t="s">
        <v>4</v>
      </c>
      <c r="DJ121" s="497" t="s">
        <v>4</v>
      </c>
      <c r="DK121" s="497" t="s">
        <v>4</v>
      </c>
      <c r="DL121" s="497" t="s">
        <v>4</v>
      </c>
      <c r="DM121" s="497" t="s">
        <v>4</v>
      </c>
      <c r="DN121" s="497">
        <v>0.67</v>
      </c>
      <c r="DO121" s="497" t="s">
        <v>2</v>
      </c>
      <c r="DP121" s="497" t="s">
        <v>29375</v>
      </c>
      <c r="DQ121" s="497" t="s">
        <v>4</v>
      </c>
      <c r="DR121" s="497" t="s">
        <v>4</v>
      </c>
      <c r="DS121" s="494" t="s">
        <v>4</v>
      </c>
      <c r="DT121" s="497" t="s">
        <v>29294</v>
      </c>
      <c r="DU121" s="494" t="s">
        <v>4</v>
      </c>
      <c r="DV121" s="500" t="s">
        <v>29442</v>
      </c>
      <c r="DW121" s="496">
        <v>70</v>
      </c>
      <c r="DX121" s="497" t="s">
        <v>30460</v>
      </c>
      <c r="DY121" s="497">
        <v>80</v>
      </c>
      <c r="DZ121" s="497">
        <v>20</v>
      </c>
      <c r="EA121" s="497" t="s">
        <v>4</v>
      </c>
      <c r="EB121" s="497" t="s">
        <v>4</v>
      </c>
      <c r="EC121" s="497" t="s">
        <v>4</v>
      </c>
      <c r="ED121" s="497">
        <v>30</v>
      </c>
      <c r="EE121" s="497" t="s">
        <v>30667</v>
      </c>
      <c r="EF121" s="497" t="s">
        <v>4</v>
      </c>
      <c r="EG121" s="497" t="s">
        <v>4</v>
      </c>
      <c r="EH121" s="497">
        <v>100</v>
      </c>
      <c r="EI121" s="497" t="s">
        <v>4</v>
      </c>
      <c r="EJ121" s="497" t="s">
        <v>4</v>
      </c>
      <c r="EK121" s="497" t="s">
        <v>4</v>
      </c>
      <c r="EL121" s="497" t="s">
        <v>4</v>
      </c>
      <c r="EM121" s="497">
        <v>14</v>
      </c>
      <c r="EN121" s="497" t="s">
        <v>4</v>
      </c>
      <c r="EO121" s="497" t="s">
        <v>4</v>
      </c>
      <c r="EP121" s="497" t="s">
        <v>4</v>
      </c>
      <c r="EQ121" s="497" t="s">
        <v>30460</v>
      </c>
      <c r="ER121" s="497">
        <v>90</v>
      </c>
      <c r="ES121" s="497">
        <v>10</v>
      </c>
      <c r="ET121" s="497" t="s">
        <v>4</v>
      </c>
      <c r="EU121" s="497" t="s">
        <v>4</v>
      </c>
      <c r="EV121" s="497" t="s">
        <v>4</v>
      </c>
      <c r="EW121" s="497">
        <v>24.281667341157423</v>
      </c>
      <c r="EX121" s="497" t="s">
        <v>7</v>
      </c>
      <c r="EY121" s="497" t="s">
        <v>33649</v>
      </c>
      <c r="EZ121" s="239"/>
      <c r="FA121" s="497" t="s">
        <v>34162</v>
      </c>
      <c r="FB121" s="497" t="s">
        <v>29298</v>
      </c>
      <c r="FC121" s="497">
        <v>48</v>
      </c>
      <c r="FD121" s="497" t="s">
        <v>7</v>
      </c>
      <c r="FE121" s="497" t="s">
        <v>29393</v>
      </c>
      <c r="FF121" s="497" t="s">
        <v>4</v>
      </c>
      <c r="FG121" s="497" t="s">
        <v>2</v>
      </c>
      <c r="FH121" s="497" t="s">
        <v>4</v>
      </c>
      <c r="FI121" s="497" t="s">
        <v>4</v>
      </c>
      <c r="FJ121" s="497" t="s">
        <v>4</v>
      </c>
      <c r="FK121" s="497" t="s">
        <v>4</v>
      </c>
      <c r="FL121" s="497" t="s">
        <v>4</v>
      </c>
      <c r="FM121" s="497" t="s">
        <v>4</v>
      </c>
      <c r="FN121" s="494" t="s">
        <v>4</v>
      </c>
      <c r="FO121" s="497" t="s">
        <v>4</v>
      </c>
      <c r="FP121" s="497" t="s">
        <v>2</v>
      </c>
      <c r="FQ121" s="497" t="s">
        <v>4</v>
      </c>
      <c r="FR121" s="497" t="s">
        <v>4</v>
      </c>
      <c r="FS121" s="497" t="s">
        <v>7</v>
      </c>
      <c r="FT121" s="497" t="s">
        <v>2</v>
      </c>
      <c r="FU121" s="497" t="s">
        <v>4</v>
      </c>
      <c r="FV121" s="497" t="s">
        <v>4</v>
      </c>
      <c r="FW121" s="497" t="s">
        <v>29304</v>
      </c>
      <c r="FX121" s="497">
        <v>2</v>
      </c>
      <c r="FY121" s="497" t="s">
        <v>29529</v>
      </c>
      <c r="FZ121" s="497" t="s">
        <v>4</v>
      </c>
      <c r="GA121" s="497" t="s">
        <v>4</v>
      </c>
      <c r="GB121" s="497" t="s">
        <v>4</v>
      </c>
      <c r="GC121" s="497" t="s">
        <v>4</v>
      </c>
      <c r="GD121" s="497" t="s">
        <v>29451</v>
      </c>
      <c r="GE121" s="497" t="s">
        <v>4</v>
      </c>
      <c r="GF121" s="497" t="s">
        <v>4</v>
      </c>
      <c r="GG121" s="497" t="s">
        <v>4</v>
      </c>
      <c r="GH121" s="497" t="s">
        <v>4</v>
      </c>
      <c r="GI121" s="497" t="s">
        <v>29304</v>
      </c>
      <c r="GJ121" s="497" t="s">
        <v>29449</v>
      </c>
      <c r="GK121" s="497" t="s">
        <v>29306</v>
      </c>
      <c r="GL121" s="497" t="s">
        <v>4</v>
      </c>
      <c r="GM121" s="497" t="s">
        <v>4</v>
      </c>
      <c r="GN121" s="497" t="s">
        <v>4</v>
      </c>
      <c r="GO121" s="497" t="s">
        <v>29451</v>
      </c>
      <c r="GP121" s="497" t="s">
        <v>4</v>
      </c>
      <c r="GQ121" s="497" t="s">
        <v>4</v>
      </c>
      <c r="GR121" s="497" t="s">
        <v>4</v>
      </c>
      <c r="GS121" s="497" t="s">
        <v>4</v>
      </c>
      <c r="GT121" s="497" t="s">
        <v>29847</v>
      </c>
      <c r="GU121" s="497" t="s">
        <v>4</v>
      </c>
      <c r="GV121" s="494">
        <v>3</v>
      </c>
      <c r="GW121" s="497" t="s">
        <v>2</v>
      </c>
      <c r="GX121" s="497" t="s">
        <v>29309</v>
      </c>
      <c r="GY121" s="497" t="s">
        <v>4</v>
      </c>
      <c r="GZ121" s="497" t="s">
        <v>4</v>
      </c>
      <c r="HA121" s="497" t="s">
        <v>4</v>
      </c>
      <c r="HB121" s="497" t="s">
        <v>4</v>
      </c>
      <c r="HC121" s="497" t="s">
        <v>4</v>
      </c>
      <c r="HD121" s="497" t="s">
        <v>4</v>
      </c>
      <c r="HE121" s="497" t="s">
        <v>4</v>
      </c>
      <c r="HF121" s="497" t="s">
        <v>4</v>
      </c>
      <c r="HG121" s="497" t="s">
        <v>2</v>
      </c>
      <c r="HH121" s="497" t="s">
        <v>4</v>
      </c>
      <c r="HI121" s="497" t="s">
        <v>4</v>
      </c>
      <c r="HJ121" s="497" t="s">
        <v>4</v>
      </c>
      <c r="HK121" s="494" t="s">
        <v>4</v>
      </c>
      <c r="HL121" s="497" t="s">
        <v>34163</v>
      </c>
      <c r="HM121" s="497" t="s">
        <v>2</v>
      </c>
      <c r="HN121" s="497" t="s">
        <v>4</v>
      </c>
      <c r="HO121" s="497" t="s">
        <v>16</v>
      </c>
      <c r="HP121" s="497" t="s">
        <v>34164</v>
      </c>
      <c r="HQ121" s="497" t="s">
        <v>34165</v>
      </c>
      <c r="HR121" s="497" t="s">
        <v>34166</v>
      </c>
      <c r="HS121" s="497" t="s">
        <v>16</v>
      </c>
      <c r="HT121" s="500" t="s">
        <v>34154</v>
      </c>
    </row>
    <row r="122" spans="1:228" s="570" customFormat="1" ht="30.2" customHeight="1" x14ac:dyDescent="0.25">
      <c r="A122" s="759"/>
      <c r="B122" s="496">
        <v>72</v>
      </c>
      <c r="C122" s="496" t="s">
        <v>1977</v>
      </c>
      <c r="D122" s="497" t="s">
        <v>34186</v>
      </c>
      <c r="E122" s="497" t="s">
        <v>29799</v>
      </c>
      <c r="F122" s="497" t="s">
        <v>7</v>
      </c>
      <c r="G122" s="497" t="s">
        <v>34187</v>
      </c>
      <c r="H122" s="497">
        <v>1191.2926030000001</v>
      </c>
      <c r="I122" s="497">
        <v>4.8650190000000002</v>
      </c>
      <c r="J122" s="497" t="s">
        <v>29319</v>
      </c>
      <c r="K122" s="497" t="s">
        <v>4</v>
      </c>
      <c r="L122" s="497" t="s">
        <v>34188</v>
      </c>
      <c r="M122" s="497">
        <v>754079149</v>
      </c>
      <c r="N122" s="497" t="s">
        <v>5</v>
      </c>
      <c r="O122" s="497" t="s">
        <v>31590</v>
      </c>
      <c r="P122" s="497" t="s">
        <v>4</v>
      </c>
      <c r="Q122" s="497">
        <v>8</v>
      </c>
      <c r="R122" s="497" t="s">
        <v>7</v>
      </c>
      <c r="S122" s="497" t="s">
        <v>31549</v>
      </c>
      <c r="T122" s="497" t="s">
        <v>4</v>
      </c>
      <c r="U122" s="497" t="s">
        <v>7</v>
      </c>
      <c r="V122" s="497" t="s">
        <v>7</v>
      </c>
      <c r="W122" s="497" t="s">
        <v>4</v>
      </c>
      <c r="X122" s="497" t="s">
        <v>7</v>
      </c>
      <c r="Y122" s="497" t="s">
        <v>4</v>
      </c>
      <c r="Z122" s="497" t="s">
        <v>4</v>
      </c>
      <c r="AA122" s="241" t="str">
        <f>IF(OR(U122="yes",Z122&gt;'SDG outcome'!$C$39),"yes","no")</f>
        <v>yes</v>
      </c>
      <c r="AB122" s="521" t="str">
        <f t="shared" si="3"/>
        <v>NA</v>
      </c>
      <c r="AC122" s="527" t="str">
        <f>IF(AND('SMS p2'!AA84="no",AND(Z122&gt;='SDG outcome'!$B$28,Z122&lt;'SDG outcome'!$C$39)),Z122-'SDG outcome'!$B$28,"")</f>
        <v/>
      </c>
      <c r="AD122" s="497" t="s">
        <v>4</v>
      </c>
      <c r="AE122" s="497" t="s">
        <v>4</v>
      </c>
      <c r="AF122" s="497" t="s">
        <v>4</v>
      </c>
      <c r="AG122" s="497" t="s">
        <v>4</v>
      </c>
      <c r="AH122" s="497" t="s">
        <v>4</v>
      </c>
      <c r="AI122" s="497" t="s">
        <v>4</v>
      </c>
      <c r="AJ122" s="497" t="s">
        <v>4</v>
      </c>
      <c r="AK122" s="497" t="s">
        <v>29290</v>
      </c>
      <c r="AL122" s="497" t="s">
        <v>29291</v>
      </c>
      <c r="AM122" s="497" t="s">
        <v>4</v>
      </c>
      <c r="AN122" s="497" t="s">
        <v>4</v>
      </c>
      <c r="AO122" s="497" t="s">
        <v>31536</v>
      </c>
      <c r="AP122" s="497" t="s">
        <v>4</v>
      </c>
      <c r="AQ122" s="497" t="s">
        <v>31537</v>
      </c>
      <c r="AR122" s="497" t="s">
        <v>4</v>
      </c>
      <c r="AS122" s="497" t="s">
        <v>34189</v>
      </c>
      <c r="AT122" s="497" t="s">
        <v>4</v>
      </c>
      <c r="AU122" s="497" t="s">
        <v>7</v>
      </c>
      <c r="AV122" s="497" t="s">
        <v>4</v>
      </c>
      <c r="AW122" s="497" t="s">
        <v>4</v>
      </c>
      <c r="AX122" s="497" t="s">
        <v>2</v>
      </c>
      <c r="AY122" s="497" t="s">
        <v>4</v>
      </c>
      <c r="AZ122" s="497" t="s">
        <v>4</v>
      </c>
      <c r="BA122" s="497" t="s">
        <v>31563</v>
      </c>
      <c r="BB122" s="497" t="s">
        <v>14</v>
      </c>
      <c r="BC122" s="497" t="s">
        <v>4</v>
      </c>
      <c r="BD122" s="497" t="s">
        <v>31564</v>
      </c>
      <c r="BE122" s="497" t="s">
        <v>4</v>
      </c>
      <c r="BF122" s="497" t="s">
        <v>31640</v>
      </c>
      <c r="BG122" s="497" t="s">
        <v>34190</v>
      </c>
      <c r="BH122" s="497" t="s">
        <v>31544</v>
      </c>
      <c r="BI122" s="497">
        <v>3</v>
      </c>
      <c r="BJ122" s="497">
        <v>50</v>
      </c>
      <c r="BK122" s="497" t="s">
        <v>7</v>
      </c>
      <c r="BL122" s="497" t="s">
        <v>6</v>
      </c>
      <c r="BM122" s="497" t="s">
        <v>4</v>
      </c>
      <c r="BN122" s="497" t="s">
        <v>31425</v>
      </c>
      <c r="BO122" s="497">
        <v>1</v>
      </c>
      <c r="BP122" s="497">
        <v>50</v>
      </c>
      <c r="BQ122" s="497" t="s">
        <v>31434</v>
      </c>
      <c r="BR122" s="499" t="s">
        <v>33332</v>
      </c>
      <c r="BS122" s="497" t="s">
        <v>4</v>
      </c>
      <c r="BT122" s="497">
        <v>1</v>
      </c>
      <c r="BU122" s="494" cm="1">
        <f t="array" ref="BU122">_xlfn.IFS(BQ122="Foreword vehicle",BT122*0,BQ122="Human wastes",BT122*0,BS122="Jerrycans",BT122*$BT$4,BQ122="Number of Basins",BT122*$BT$5,BQ122="Number of Buckets",BT122*$BT$6,BQ122="Number of Kgs",BT122*$BT$7,BQ122="Number of spades",BT122*$BT$8,BQ122="Number of wheelbarrows",BT122*$BT$9,BS122="Septic Tank",BT122*0)</f>
        <v>16</v>
      </c>
      <c r="BV122" s="494">
        <f>Table15[[#This Row],[Calculation: Conversion of metric to Kg manure feeding (Columns: BP, BQ, BR)]]*Table15[[#This Row],[Number of times used to feed biodigester]]</f>
        <v>16</v>
      </c>
      <c r="BW122" s="495" cm="1">
        <f t="array" ref="BW122">_xlfn.IFS(BN122="Number of times per day (1 to 3)",BV122/$BW$3,BN122="Number of times per week (1 to 6)",BV122/$BW$4,BN122="Number of times per Month (1 to 3)",BV122/$BW$5)</f>
        <v>16</v>
      </c>
      <c r="BX122" s="497" t="s">
        <v>31650</v>
      </c>
      <c r="BY122" s="497" t="s">
        <v>4</v>
      </c>
      <c r="BZ122" s="497" t="s">
        <v>2</v>
      </c>
      <c r="CA122" s="497" t="s">
        <v>4</v>
      </c>
      <c r="CB122" s="497" t="s">
        <v>4</v>
      </c>
      <c r="CC122" s="497" t="s">
        <v>4</v>
      </c>
      <c r="CD122" s="497" t="s">
        <v>7</v>
      </c>
      <c r="CE122" s="497" t="s">
        <v>34191</v>
      </c>
      <c r="CF122" s="497" t="s">
        <v>4</v>
      </c>
      <c r="CG122" s="497" t="s">
        <v>31604</v>
      </c>
      <c r="CH122" s="497">
        <v>20</v>
      </c>
      <c r="CI122" s="497">
        <v>0</v>
      </c>
      <c r="CJ122" s="497">
        <v>0</v>
      </c>
      <c r="CK122" s="497">
        <v>0</v>
      </c>
      <c r="CL122" s="497">
        <v>0</v>
      </c>
      <c r="CM122" s="497">
        <v>0</v>
      </c>
      <c r="CN122" s="497">
        <v>0</v>
      </c>
      <c r="CO122" s="497">
        <v>0</v>
      </c>
      <c r="CP122" s="497">
        <v>0</v>
      </c>
      <c r="CQ122" s="497">
        <v>0</v>
      </c>
      <c r="CR122" s="497">
        <f>IF(Table15[[#This Row],[Is your biodigester working?]]="yes",CO122/'SDG outcome'!$C$9*CP122*CQ122,"")</f>
        <v>0</v>
      </c>
      <c r="CS122" s="497">
        <v>20</v>
      </c>
      <c r="CT122" s="500">
        <v>80</v>
      </c>
      <c r="CU122" s="496" t="s">
        <v>34192</v>
      </c>
      <c r="CV122" s="497" t="s">
        <v>4</v>
      </c>
      <c r="CW122" s="500" t="s">
        <v>4</v>
      </c>
      <c r="CX122" s="496" t="s">
        <v>4</v>
      </c>
      <c r="CY122" s="497" t="s">
        <v>4</v>
      </c>
      <c r="CZ122" s="500" t="s">
        <v>4</v>
      </c>
      <c r="DA122" s="496" t="s">
        <v>4</v>
      </c>
      <c r="DB122" s="497" t="s">
        <v>4</v>
      </c>
      <c r="DC122" s="497" t="s">
        <v>4</v>
      </c>
      <c r="DD122" s="497" t="s">
        <v>4</v>
      </c>
      <c r="DE122" s="497" t="s">
        <v>4</v>
      </c>
      <c r="DF122" s="497" t="s">
        <v>4</v>
      </c>
      <c r="DG122" s="497" t="s">
        <v>4</v>
      </c>
      <c r="DH122" s="497" t="s">
        <v>4</v>
      </c>
      <c r="DI122" s="497" t="s">
        <v>4</v>
      </c>
      <c r="DJ122" s="497" t="s">
        <v>4</v>
      </c>
      <c r="DK122" s="497" t="s">
        <v>4</v>
      </c>
      <c r="DL122" s="497" t="s">
        <v>4</v>
      </c>
      <c r="DM122" s="497" t="s">
        <v>4</v>
      </c>
      <c r="DN122" s="497">
        <v>0.5</v>
      </c>
      <c r="DO122" s="497" t="s">
        <v>2</v>
      </c>
      <c r="DP122" s="497" t="s">
        <v>29375</v>
      </c>
      <c r="DQ122" s="497" t="s">
        <v>4</v>
      </c>
      <c r="DR122" s="497" t="s">
        <v>4</v>
      </c>
      <c r="DS122" s="494" t="s">
        <v>4</v>
      </c>
      <c r="DT122" s="497" t="s">
        <v>29294</v>
      </c>
      <c r="DU122" s="494" t="s">
        <v>4</v>
      </c>
      <c r="DV122" s="500" t="s">
        <v>29508</v>
      </c>
      <c r="DW122" s="496" t="s">
        <v>4</v>
      </c>
      <c r="DX122" s="497" t="s">
        <v>4</v>
      </c>
      <c r="DY122" s="497" t="s">
        <v>4</v>
      </c>
      <c r="DZ122" s="497" t="s">
        <v>4</v>
      </c>
      <c r="EA122" s="497" t="s">
        <v>4</v>
      </c>
      <c r="EB122" s="497" t="s">
        <v>4</v>
      </c>
      <c r="EC122" s="497" t="s">
        <v>4</v>
      </c>
      <c r="ED122" s="497">
        <v>100</v>
      </c>
      <c r="EE122" s="497" t="s">
        <v>29719</v>
      </c>
      <c r="EF122" s="497" t="s">
        <v>4</v>
      </c>
      <c r="EG122" s="497" t="s">
        <v>4</v>
      </c>
      <c r="EH122" s="497" t="s">
        <v>4</v>
      </c>
      <c r="EI122" s="497" t="s">
        <v>4</v>
      </c>
      <c r="EJ122" s="497">
        <v>100</v>
      </c>
      <c r="EK122" s="497" t="s">
        <v>4</v>
      </c>
      <c r="EL122" s="497" t="s">
        <v>4</v>
      </c>
      <c r="EM122" s="497">
        <v>10</v>
      </c>
      <c r="EN122" s="497" t="s">
        <v>4</v>
      </c>
      <c r="EO122" s="497" t="s">
        <v>4</v>
      </c>
      <c r="EP122" s="497" t="s">
        <v>4</v>
      </c>
      <c r="EQ122" s="497" t="s">
        <v>29296</v>
      </c>
      <c r="ER122" s="497">
        <v>100</v>
      </c>
      <c r="ES122" s="497" t="s">
        <v>4</v>
      </c>
      <c r="ET122" s="497" t="s">
        <v>4</v>
      </c>
      <c r="EU122" s="497" t="s">
        <v>4</v>
      </c>
      <c r="EV122" s="497" t="s">
        <v>4</v>
      </c>
      <c r="EW122" s="497" t="s">
        <v>33649</v>
      </c>
      <c r="EX122" s="497" t="s">
        <v>7</v>
      </c>
      <c r="EY122" s="497">
        <v>10</v>
      </c>
      <c r="EZ122" s="239"/>
      <c r="FA122" s="497" t="s">
        <v>29431</v>
      </c>
      <c r="FB122" s="497" t="s">
        <v>29298</v>
      </c>
      <c r="FC122" s="497">
        <v>156</v>
      </c>
      <c r="FD122" s="497" t="s">
        <v>7</v>
      </c>
      <c r="FE122" s="497" t="s">
        <v>29555</v>
      </c>
      <c r="FF122" s="497" t="s">
        <v>4</v>
      </c>
      <c r="FG122" s="497" t="s">
        <v>2</v>
      </c>
      <c r="FH122" s="497" t="s">
        <v>4</v>
      </c>
      <c r="FI122" s="497" t="s">
        <v>4</v>
      </c>
      <c r="FJ122" s="497" t="s">
        <v>4</v>
      </c>
      <c r="FK122" s="497" t="s">
        <v>4</v>
      </c>
      <c r="FL122" s="497" t="s">
        <v>4</v>
      </c>
      <c r="FM122" s="497" t="s">
        <v>4</v>
      </c>
      <c r="FN122" s="494" t="s">
        <v>4</v>
      </c>
      <c r="FO122" s="497" t="s">
        <v>4</v>
      </c>
      <c r="FP122" s="497" t="s">
        <v>2</v>
      </c>
      <c r="FQ122" s="497" t="s">
        <v>4</v>
      </c>
      <c r="FR122" s="497" t="s">
        <v>4</v>
      </c>
      <c r="FS122" s="497" t="s">
        <v>7</v>
      </c>
      <c r="FT122" s="497" t="s">
        <v>2</v>
      </c>
      <c r="FU122" s="497" t="s">
        <v>4</v>
      </c>
      <c r="FV122" s="497" t="s">
        <v>4</v>
      </c>
      <c r="FW122" s="497" t="s">
        <v>4</v>
      </c>
      <c r="FX122" s="497">
        <v>0</v>
      </c>
      <c r="FY122" s="497" t="s">
        <v>4</v>
      </c>
      <c r="FZ122" s="497" t="s">
        <v>4</v>
      </c>
      <c r="GA122" s="497" t="s">
        <v>4</v>
      </c>
      <c r="GB122" s="497" t="s">
        <v>4</v>
      </c>
      <c r="GC122" s="497" t="s">
        <v>4</v>
      </c>
      <c r="GD122" s="497" t="s">
        <v>4</v>
      </c>
      <c r="GE122" s="497" t="s">
        <v>4</v>
      </c>
      <c r="GF122" s="497" t="s">
        <v>4</v>
      </c>
      <c r="GG122" s="497" t="s">
        <v>4</v>
      </c>
      <c r="GH122" s="497" t="s">
        <v>4</v>
      </c>
      <c r="GI122" s="497" t="s">
        <v>29304</v>
      </c>
      <c r="GJ122" s="497" t="s">
        <v>34042</v>
      </c>
      <c r="GK122" s="497" t="s">
        <v>29306</v>
      </c>
      <c r="GL122" s="497" t="s">
        <v>29556</v>
      </c>
      <c r="GM122" s="497" t="s">
        <v>4</v>
      </c>
      <c r="GN122" s="497" t="s">
        <v>4</v>
      </c>
      <c r="GO122" s="497" t="s">
        <v>29451</v>
      </c>
      <c r="GP122" s="497" t="s">
        <v>4</v>
      </c>
      <c r="GQ122" s="497" t="s">
        <v>4</v>
      </c>
      <c r="GR122" s="497" t="s">
        <v>4</v>
      </c>
      <c r="GS122" s="497" t="s">
        <v>4</v>
      </c>
      <c r="GT122" s="497" t="s">
        <v>29452</v>
      </c>
      <c r="GU122" s="497" t="s">
        <v>4</v>
      </c>
      <c r="GV122" s="494">
        <v>4</v>
      </c>
      <c r="GW122" s="497" t="s">
        <v>29325</v>
      </c>
      <c r="GX122" s="497" t="s">
        <v>29480</v>
      </c>
      <c r="GY122" s="497" t="s">
        <v>4</v>
      </c>
      <c r="GZ122" s="497" t="s">
        <v>4</v>
      </c>
      <c r="HA122" s="497" t="s">
        <v>4</v>
      </c>
      <c r="HB122" s="497" t="s">
        <v>4</v>
      </c>
      <c r="HC122" s="497" t="s">
        <v>4</v>
      </c>
      <c r="HD122" s="497" t="s">
        <v>4</v>
      </c>
      <c r="HE122" s="497" t="s">
        <v>4</v>
      </c>
      <c r="HF122" s="497" t="s">
        <v>4</v>
      </c>
      <c r="HG122" s="497" t="s">
        <v>2</v>
      </c>
      <c r="HH122" s="497" t="s">
        <v>4</v>
      </c>
      <c r="HI122" s="497" t="s">
        <v>4</v>
      </c>
      <c r="HJ122" s="497" t="s">
        <v>4</v>
      </c>
      <c r="HK122" s="494" t="s">
        <v>4</v>
      </c>
      <c r="HL122" s="497" t="s">
        <v>33474</v>
      </c>
      <c r="HM122" s="497" t="s">
        <v>7</v>
      </c>
      <c r="HN122" s="497" t="s">
        <v>34193</v>
      </c>
      <c r="HO122" s="497" t="s">
        <v>16</v>
      </c>
      <c r="HP122" s="497" t="s">
        <v>34194</v>
      </c>
      <c r="HQ122" s="497" t="s">
        <v>34195</v>
      </c>
      <c r="HR122" s="497" t="s">
        <v>34196</v>
      </c>
      <c r="HS122" s="497" t="s">
        <v>16</v>
      </c>
      <c r="HT122" s="500" t="s">
        <v>34186</v>
      </c>
    </row>
    <row r="123" spans="1:228" s="570" customFormat="1" ht="30.2" customHeight="1" x14ac:dyDescent="0.25">
      <c r="A123" s="759"/>
      <c r="B123" s="496">
        <v>155</v>
      </c>
      <c r="C123" s="496" t="s">
        <v>6940</v>
      </c>
      <c r="D123" s="497" t="s">
        <v>34186</v>
      </c>
      <c r="E123" s="497" t="s">
        <v>35057</v>
      </c>
      <c r="F123" s="497" t="s">
        <v>7</v>
      </c>
      <c r="G123" s="497" t="s">
        <v>35084</v>
      </c>
      <c r="H123" s="497">
        <v>1147.3876949999999</v>
      </c>
      <c r="I123" s="497">
        <v>4.9910240000000003</v>
      </c>
      <c r="J123" s="497" t="s">
        <v>29288</v>
      </c>
      <c r="K123" s="497" t="s">
        <v>4</v>
      </c>
      <c r="L123" s="497" t="s">
        <v>35085</v>
      </c>
      <c r="M123" s="497">
        <v>705358483</v>
      </c>
      <c r="N123" s="497" t="s">
        <v>3</v>
      </c>
      <c r="O123" s="497" t="s">
        <v>31590</v>
      </c>
      <c r="P123" s="497" t="s">
        <v>4</v>
      </c>
      <c r="Q123" s="497">
        <v>10</v>
      </c>
      <c r="R123" s="497" t="s">
        <v>7</v>
      </c>
      <c r="S123" s="497" t="s">
        <v>31588</v>
      </c>
      <c r="T123" s="497" t="s">
        <v>4</v>
      </c>
      <c r="U123" s="497" t="s">
        <v>7</v>
      </c>
      <c r="V123" s="497" t="s">
        <v>7</v>
      </c>
      <c r="W123" s="497" t="s">
        <v>4</v>
      </c>
      <c r="X123" s="497" t="s">
        <v>7</v>
      </c>
      <c r="Y123" s="497" t="s">
        <v>4</v>
      </c>
      <c r="Z123" s="497" t="s">
        <v>4</v>
      </c>
      <c r="AA123" s="241" t="str">
        <f>IF(OR(U123="yes",Z123&gt;'SDG outcome'!$C$39),"yes","no")</f>
        <v>yes</v>
      </c>
      <c r="AB123" s="521" t="str">
        <f t="shared" si="3"/>
        <v>NA</v>
      </c>
      <c r="AC123" s="527" t="str">
        <f>IF(AND('SMS p2'!AA167="no",AND(Z123&gt;='SDG outcome'!$B$28,Z123&lt;'SDG outcome'!$C$39)),Z123-'SDG outcome'!$B$28,"")</f>
        <v/>
      </c>
      <c r="AD123" s="497" t="s">
        <v>4</v>
      </c>
      <c r="AE123" s="497" t="s">
        <v>4</v>
      </c>
      <c r="AF123" s="497" t="s">
        <v>4</v>
      </c>
      <c r="AG123" s="497" t="s">
        <v>4</v>
      </c>
      <c r="AH123" s="497" t="s">
        <v>4</v>
      </c>
      <c r="AI123" s="497" t="s">
        <v>4</v>
      </c>
      <c r="AJ123" s="497" t="s">
        <v>4</v>
      </c>
      <c r="AK123" s="497" t="s">
        <v>29290</v>
      </c>
      <c r="AL123" s="497" t="s">
        <v>29291</v>
      </c>
      <c r="AM123" s="497" t="s">
        <v>4</v>
      </c>
      <c r="AN123" s="497" t="s">
        <v>4</v>
      </c>
      <c r="AO123" s="497" t="s">
        <v>31599</v>
      </c>
      <c r="AP123" s="497" t="s">
        <v>4</v>
      </c>
      <c r="AQ123" s="497" t="s">
        <v>31600</v>
      </c>
      <c r="AR123" s="497" t="s">
        <v>4</v>
      </c>
      <c r="AS123" s="497" t="s">
        <v>31538</v>
      </c>
      <c r="AT123" s="497" t="s">
        <v>4</v>
      </c>
      <c r="AU123" s="497" t="s">
        <v>7</v>
      </c>
      <c r="AV123" s="497" t="s">
        <v>4</v>
      </c>
      <c r="AW123" s="497" t="s">
        <v>4</v>
      </c>
      <c r="AX123" s="497" t="s">
        <v>7</v>
      </c>
      <c r="AY123" s="497" t="s">
        <v>11</v>
      </c>
      <c r="AZ123" s="497" t="s">
        <v>4</v>
      </c>
      <c r="BA123" s="497" t="s">
        <v>31540</v>
      </c>
      <c r="BB123" s="497" t="s">
        <v>22</v>
      </c>
      <c r="BC123" s="497" t="s">
        <v>4</v>
      </c>
      <c r="BD123" s="497" t="s">
        <v>14</v>
      </c>
      <c r="BE123" s="497" t="s">
        <v>4</v>
      </c>
      <c r="BF123" s="497" t="s">
        <v>31542</v>
      </c>
      <c r="BG123" s="497" t="s">
        <v>35086</v>
      </c>
      <c r="BH123" s="497" t="s">
        <v>31616</v>
      </c>
      <c r="BI123" s="497">
        <v>3</v>
      </c>
      <c r="BJ123" s="497">
        <v>120</v>
      </c>
      <c r="BK123" s="497" t="s">
        <v>7</v>
      </c>
      <c r="BL123" s="497" t="s">
        <v>6</v>
      </c>
      <c r="BM123" s="497" t="s">
        <v>4</v>
      </c>
      <c r="BN123" s="497" t="s">
        <v>31425</v>
      </c>
      <c r="BO123" s="497">
        <v>1</v>
      </c>
      <c r="BP123" s="497">
        <v>90</v>
      </c>
      <c r="BQ123" s="497" t="s">
        <v>31426</v>
      </c>
      <c r="BR123" s="499" t="s">
        <v>33332</v>
      </c>
      <c r="BS123" s="497" t="s">
        <v>4</v>
      </c>
      <c r="BT123" s="497">
        <v>3</v>
      </c>
      <c r="BU123" s="494" cm="1">
        <f t="array" ref="BU123">_xlfn.IFS(BQ123="Foreword vehicle",BT123*0,BQ123="Human wastes",BT123*0,BS123="Jerrycans",BT123*$BT$4,BQ123="Number of Basins",BT123*$BT$5,BQ123="Number of Buckets",BT123*$BT$6,BQ123="Number of Kgs",BT123*$BT$7,BQ123="Number of spades",BT123*$BT$8,BQ123="Number of wheelbarrows",BT123*$BT$9,BS123="Septic Tank",BT123*0)</f>
        <v>69</v>
      </c>
      <c r="BV123" s="494">
        <f>Table15[[#This Row],[Calculation: Conversion of metric to Kg manure feeding (Columns: BP, BQ, BR)]]*Table15[[#This Row],[Number of times used to feed biodigester]]</f>
        <v>69</v>
      </c>
      <c r="BW123" s="495" cm="1">
        <f t="array" ref="BW123">_xlfn.IFS(BN123="Number of times per day (1 to 3)",BV123/$BW$3,BN123="Number of times per week (1 to 6)",BV123/$BW$4,BN123="Number of times per Month (1 to 3)",BV123/$BW$5)</f>
        <v>69</v>
      </c>
      <c r="BX123" s="497" t="s">
        <v>22</v>
      </c>
      <c r="BY123" s="497" t="s">
        <v>4</v>
      </c>
      <c r="BZ123" s="497" t="s">
        <v>2</v>
      </c>
      <c r="CA123" s="497" t="s">
        <v>4</v>
      </c>
      <c r="CB123" s="497" t="s">
        <v>4</v>
      </c>
      <c r="CC123" s="497" t="s">
        <v>4</v>
      </c>
      <c r="CD123" s="497" t="s">
        <v>7</v>
      </c>
      <c r="CE123" s="497" t="s">
        <v>35087</v>
      </c>
      <c r="CF123" s="497" t="s">
        <v>4</v>
      </c>
      <c r="CG123" s="497" t="s">
        <v>31578</v>
      </c>
      <c r="CH123" s="497">
        <v>3</v>
      </c>
      <c r="CI123" s="497">
        <v>0</v>
      </c>
      <c r="CJ123" s="497">
        <v>0</v>
      </c>
      <c r="CK123" s="497">
        <v>0</v>
      </c>
      <c r="CL123" s="497">
        <v>0</v>
      </c>
      <c r="CM123" s="497">
        <v>500</v>
      </c>
      <c r="CN123" s="497">
        <v>0</v>
      </c>
      <c r="CO123" s="497">
        <v>0</v>
      </c>
      <c r="CP123" s="497">
        <v>0</v>
      </c>
      <c r="CQ123" s="497">
        <v>0</v>
      </c>
      <c r="CR123" s="497">
        <f>IF(Table15[[#This Row],[Is your biodigester working?]]="yes",CO123/'SDG outcome'!$C$9*CP123*CQ123,"")</f>
        <v>0</v>
      </c>
      <c r="CS123" s="497">
        <v>80</v>
      </c>
      <c r="CT123" s="500">
        <v>20</v>
      </c>
      <c r="CU123" s="496" t="s">
        <v>35088</v>
      </c>
      <c r="CV123" s="497" t="s">
        <v>4</v>
      </c>
      <c r="CW123" s="500" t="s">
        <v>4</v>
      </c>
      <c r="CX123" s="496" t="s">
        <v>4</v>
      </c>
      <c r="CY123" s="497" t="s">
        <v>4</v>
      </c>
      <c r="CZ123" s="500" t="s">
        <v>4</v>
      </c>
      <c r="DA123" s="496" t="s">
        <v>4</v>
      </c>
      <c r="DB123" s="497" t="s">
        <v>4</v>
      </c>
      <c r="DC123" s="497" t="s">
        <v>4</v>
      </c>
      <c r="DD123" s="497" t="s">
        <v>4</v>
      </c>
      <c r="DE123" s="497">
        <v>0</v>
      </c>
      <c r="DF123" s="497">
        <v>100</v>
      </c>
      <c r="DG123" s="497" t="s">
        <v>35089</v>
      </c>
      <c r="DH123" s="497" t="s">
        <v>4</v>
      </c>
      <c r="DI123" s="497" t="s">
        <v>4</v>
      </c>
      <c r="DJ123" s="497" t="s">
        <v>4</v>
      </c>
      <c r="DK123" s="497" t="s">
        <v>4</v>
      </c>
      <c r="DL123" s="497" t="s">
        <v>4</v>
      </c>
      <c r="DM123" s="497" t="s">
        <v>4</v>
      </c>
      <c r="DN123" s="497">
        <v>6</v>
      </c>
      <c r="DO123" s="497" t="s">
        <v>2</v>
      </c>
      <c r="DP123" s="497" t="s">
        <v>29292</v>
      </c>
      <c r="DQ123" s="497" t="s">
        <v>4</v>
      </c>
      <c r="DR123" s="497" t="s">
        <v>29294</v>
      </c>
      <c r="DS123" s="494" t="s">
        <v>4</v>
      </c>
      <c r="DT123" s="497" t="s">
        <v>29293</v>
      </c>
      <c r="DU123" s="494">
        <v>0</v>
      </c>
      <c r="DV123" s="500" t="s">
        <v>29508</v>
      </c>
      <c r="DW123" s="496" t="s">
        <v>4</v>
      </c>
      <c r="DX123" s="497" t="s">
        <v>4</v>
      </c>
      <c r="DY123" s="497" t="s">
        <v>4</v>
      </c>
      <c r="DZ123" s="497" t="s">
        <v>4</v>
      </c>
      <c r="EA123" s="497" t="s">
        <v>4</v>
      </c>
      <c r="EB123" s="497" t="s">
        <v>4</v>
      </c>
      <c r="EC123" s="497" t="s">
        <v>4</v>
      </c>
      <c r="ED123" s="497">
        <v>100</v>
      </c>
      <c r="EE123" s="497" t="s">
        <v>30667</v>
      </c>
      <c r="EF123" s="497" t="s">
        <v>4</v>
      </c>
      <c r="EG123" s="497" t="s">
        <v>4</v>
      </c>
      <c r="EH123" s="497">
        <v>100</v>
      </c>
      <c r="EI123" s="497" t="s">
        <v>4</v>
      </c>
      <c r="EJ123" s="497" t="s">
        <v>4</v>
      </c>
      <c r="EK123" s="497" t="s">
        <v>4</v>
      </c>
      <c r="EL123" s="497" t="s">
        <v>4</v>
      </c>
      <c r="EM123" s="497">
        <v>30</v>
      </c>
      <c r="EN123" s="497" t="s">
        <v>4</v>
      </c>
      <c r="EO123" s="497" t="s">
        <v>4</v>
      </c>
      <c r="EP123" s="497" t="s">
        <v>4</v>
      </c>
      <c r="EQ123" s="497" t="s">
        <v>29695</v>
      </c>
      <c r="ER123" s="497">
        <v>80</v>
      </c>
      <c r="ES123" s="497" t="s">
        <v>4</v>
      </c>
      <c r="ET123" s="497" t="s">
        <v>4</v>
      </c>
      <c r="EU123" s="497">
        <v>20</v>
      </c>
      <c r="EV123" s="497" t="s">
        <v>4</v>
      </c>
      <c r="EW123" s="497" t="s">
        <v>33649</v>
      </c>
      <c r="EX123" s="497" t="s">
        <v>7</v>
      </c>
      <c r="EY123" s="497">
        <v>50</v>
      </c>
      <c r="EZ123" s="239"/>
      <c r="FA123" s="497" t="s">
        <v>35090</v>
      </c>
      <c r="FB123" s="497" t="s">
        <v>29298</v>
      </c>
      <c r="FC123" s="497">
        <v>57</v>
      </c>
      <c r="FD123" s="497" t="s">
        <v>7</v>
      </c>
      <c r="FE123" s="497" t="s">
        <v>29393</v>
      </c>
      <c r="FF123" s="497" t="s">
        <v>4</v>
      </c>
      <c r="FG123" s="497" t="s">
        <v>2</v>
      </c>
      <c r="FH123" s="497" t="s">
        <v>4</v>
      </c>
      <c r="FI123" s="497" t="s">
        <v>4</v>
      </c>
      <c r="FJ123" s="497" t="s">
        <v>4</v>
      </c>
      <c r="FK123" s="497" t="s">
        <v>4</v>
      </c>
      <c r="FL123" s="497" t="s">
        <v>4</v>
      </c>
      <c r="FM123" s="497" t="s">
        <v>4</v>
      </c>
      <c r="FN123" s="494" t="s">
        <v>4</v>
      </c>
      <c r="FO123" s="497" t="s">
        <v>4</v>
      </c>
      <c r="FP123" s="497" t="s">
        <v>7</v>
      </c>
      <c r="FQ123" s="497" t="s">
        <v>29301</v>
      </c>
      <c r="FR123" s="497" t="s">
        <v>4</v>
      </c>
      <c r="FS123" s="497" t="s">
        <v>7</v>
      </c>
      <c r="FT123" s="497" t="s">
        <v>2</v>
      </c>
      <c r="FU123" s="497" t="s">
        <v>4</v>
      </c>
      <c r="FV123" s="497" t="s">
        <v>4</v>
      </c>
      <c r="FW123" s="497" t="s">
        <v>29304</v>
      </c>
      <c r="FX123" s="497">
        <v>3</v>
      </c>
      <c r="FY123" s="497" t="s">
        <v>29305</v>
      </c>
      <c r="FZ123" s="497" t="s">
        <v>29306</v>
      </c>
      <c r="GA123" s="497" t="s">
        <v>4</v>
      </c>
      <c r="GB123" s="497" t="s">
        <v>4</v>
      </c>
      <c r="GC123" s="497" t="s">
        <v>4</v>
      </c>
      <c r="GD123" s="497" t="s">
        <v>4</v>
      </c>
      <c r="GE123" s="497" t="s">
        <v>4</v>
      </c>
      <c r="GF123" s="497" t="s">
        <v>4</v>
      </c>
      <c r="GG123" s="497" t="s">
        <v>4</v>
      </c>
      <c r="GH123" s="497" t="s">
        <v>4</v>
      </c>
      <c r="GI123" s="497" t="s">
        <v>4</v>
      </c>
      <c r="GJ123" s="497" t="s">
        <v>4</v>
      </c>
      <c r="GK123" s="497" t="s">
        <v>4</v>
      </c>
      <c r="GL123" s="497" t="s">
        <v>4</v>
      </c>
      <c r="GM123" s="497" t="s">
        <v>4</v>
      </c>
      <c r="GN123" s="497" t="s">
        <v>4</v>
      </c>
      <c r="GO123" s="497" t="s">
        <v>4</v>
      </c>
      <c r="GP123" s="497" t="s">
        <v>4</v>
      </c>
      <c r="GQ123" s="497" t="s">
        <v>4</v>
      </c>
      <c r="GR123" s="497" t="s">
        <v>4</v>
      </c>
      <c r="GS123" s="497" t="s">
        <v>4</v>
      </c>
      <c r="GT123" s="497" t="s">
        <v>29354</v>
      </c>
      <c r="GU123" s="497" t="s">
        <v>4</v>
      </c>
      <c r="GV123" s="494">
        <v>10</v>
      </c>
      <c r="GW123" s="497" t="s">
        <v>29325</v>
      </c>
      <c r="GX123" s="497" t="s">
        <v>29309</v>
      </c>
      <c r="GY123" s="497" t="s">
        <v>4</v>
      </c>
      <c r="GZ123" s="497" t="s">
        <v>4</v>
      </c>
      <c r="HA123" s="497" t="s">
        <v>4</v>
      </c>
      <c r="HB123" s="497" t="s">
        <v>4</v>
      </c>
      <c r="HC123" s="497" t="s">
        <v>4</v>
      </c>
      <c r="HD123" s="497" t="s">
        <v>4</v>
      </c>
      <c r="HE123" s="497" t="s">
        <v>4</v>
      </c>
      <c r="HF123" s="497" t="s">
        <v>4</v>
      </c>
      <c r="HG123" s="497" t="s">
        <v>2</v>
      </c>
      <c r="HH123" s="497" t="s">
        <v>4</v>
      </c>
      <c r="HI123" s="497" t="s">
        <v>4</v>
      </c>
      <c r="HJ123" s="497" t="s">
        <v>4</v>
      </c>
      <c r="HK123" s="494" t="s">
        <v>4</v>
      </c>
      <c r="HL123" s="497" t="s">
        <v>35091</v>
      </c>
      <c r="HM123" s="497" t="s">
        <v>2</v>
      </c>
      <c r="HN123" s="497" t="s">
        <v>4</v>
      </c>
      <c r="HO123" s="497" t="s">
        <v>35092</v>
      </c>
      <c r="HP123" s="497" t="s">
        <v>35093</v>
      </c>
      <c r="HQ123" s="497" t="s">
        <v>35094</v>
      </c>
      <c r="HR123" s="497" t="s">
        <v>35095</v>
      </c>
      <c r="HS123" s="497" t="s">
        <v>16</v>
      </c>
      <c r="HT123" s="500" t="s">
        <v>35096</v>
      </c>
    </row>
    <row r="124" spans="1:228" s="570" customFormat="1" ht="30.2" customHeight="1" x14ac:dyDescent="0.25">
      <c r="A124" s="759"/>
      <c r="B124" s="496">
        <v>158</v>
      </c>
      <c r="C124" s="496" t="s">
        <v>4764</v>
      </c>
      <c r="D124" s="497" t="s">
        <v>33492</v>
      </c>
      <c r="E124" s="497" t="s">
        <v>35057</v>
      </c>
      <c r="F124" s="497" t="s">
        <v>7</v>
      </c>
      <c r="G124" s="497" t="s">
        <v>35115</v>
      </c>
      <c r="H124" s="497">
        <v>1162.7285159999999</v>
      </c>
      <c r="I124" s="497">
        <v>3.9127320000000001</v>
      </c>
      <c r="J124" s="497" t="s">
        <v>29319</v>
      </c>
      <c r="K124" s="497" t="s">
        <v>4</v>
      </c>
      <c r="L124" s="497" t="s">
        <v>35116</v>
      </c>
      <c r="M124" s="497">
        <v>787948411</v>
      </c>
      <c r="N124" s="497" t="s">
        <v>5</v>
      </c>
      <c r="O124" s="497" t="s">
        <v>31590</v>
      </c>
      <c r="P124" s="497" t="s">
        <v>4</v>
      </c>
      <c r="Q124" s="497">
        <v>6</v>
      </c>
      <c r="R124" s="497" t="s">
        <v>7</v>
      </c>
      <c r="S124" s="497" t="s">
        <v>31549</v>
      </c>
      <c r="T124" s="497" t="s">
        <v>4</v>
      </c>
      <c r="U124" s="497" t="s">
        <v>7</v>
      </c>
      <c r="V124" s="497" t="s">
        <v>7</v>
      </c>
      <c r="W124" s="497" t="s">
        <v>4</v>
      </c>
      <c r="X124" s="497" t="s">
        <v>7</v>
      </c>
      <c r="Y124" s="497" t="s">
        <v>4</v>
      </c>
      <c r="Z124" s="497" t="s">
        <v>4</v>
      </c>
      <c r="AA124" s="241" t="str">
        <f>IF(OR(U124="yes",Z124&gt;'SDG outcome'!$C$39),"yes","no")</f>
        <v>yes</v>
      </c>
      <c r="AB124" s="521" t="str">
        <f t="shared" si="3"/>
        <v>NA</v>
      </c>
      <c r="AC124" s="527" t="str">
        <f>IF(AND('SMS p2'!AA170="no",AND(Z124&gt;='SDG outcome'!$B$28,Z124&lt;'SDG outcome'!$C$39)),Z124-'SDG outcome'!$B$28,"")</f>
        <v/>
      </c>
      <c r="AD124" s="497" t="s">
        <v>4</v>
      </c>
      <c r="AE124" s="497" t="s">
        <v>4</v>
      </c>
      <c r="AF124" s="497" t="s">
        <v>4</v>
      </c>
      <c r="AG124" s="497" t="s">
        <v>4</v>
      </c>
      <c r="AH124" s="497" t="s">
        <v>4</v>
      </c>
      <c r="AI124" s="497" t="s">
        <v>4</v>
      </c>
      <c r="AJ124" s="497" t="s">
        <v>4</v>
      </c>
      <c r="AK124" s="497" t="s">
        <v>29290</v>
      </c>
      <c r="AL124" s="497" t="s">
        <v>29291</v>
      </c>
      <c r="AM124" s="497" t="s">
        <v>4</v>
      </c>
      <c r="AN124" s="497" t="s">
        <v>4</v>
      </c>
      <c r="AO124" s="497" t="s">
        <v>31605</v>
      </c>
      <c r="AP124" s="497" t="s">
        <v>4</v>
      </c>
      <c r="AQ124" s="497" t="s">
        <v>31743</v>
      </c>
      <c r="AR124" s="497" t="s">
        <v>4</v>
      </c>
      <c r="AS124" s="497" t="s">
        <v>31538</v>
      </c>
      <c r="AT124" s="497" t="s">
        <v>4</v>
      </c>
      <c r="AU124" s="497" t="s">
        <v>7</v>
      </c>
      <c r="AV124" s="497" t="s">
        <v>4</v>
      </c>
      <c r="AW124" s="497" t="s">
        <v>4</v>
      </c>
      <c r="AX124" s="497" t="s">
        <v>2</v>
      </c>
      <c r="AY124" s="497" t="s">
        <v>4</v>
      </c>
      <c r="AZ124" s="497" t="s">
        <v>4</v>
      </c>
      <c r="BA124" s="497" t="s">
        <v>31540</v>
      </c>
      <c r="BB124" s="497" t="s">
        <v>22</v>
      </c>
      <c r="BC124" s="497" t="s">
        <v>4</v>
      </c>
      <c r="BD124" s="497" t="s">
        <v>4</v>
      </c>
      <c r="BE124" s="497" t="s">
        <v>4</v>
      </c>
      <c r="BF124" s="497" t="s">
        <v>31542</v>
      </c>
      <c r="BG124" s="497" t="s">
        <v>35117</v>
      </c>
      <c r="BH124" s="497" t="s">
        <v>31616</v>
      </c>
      <c r="BI124" s="497">
        <v>2</v>
      </c>
      <c r="BJ124" s="497">
        <v>120</v>
      </c>
      <c r="BK124" s="497" t="s">
        <v>7</v>
      </c>
      <c r="BL124" s="497" t="s">
        <v>6</v>
      </c>
      <c r="BM124" s="497" t="s">
        <v>4</v>
      </c>
      <c r="BN124" s="497" t="s">
        <v>31429</v>
      </c>
      <c r="BO124" s="497">
        <v>3</v>
      </c>
      <c r="BP124" s="497">
        <v>60</v>
      </c>
      <c r="BQ124" s="497" t="s">
        <v>31426</v>
      </c>
      <c r="BR124" s="499" t="s">
        <v>33332</v>
      </c>
      <c r="BS124" s="497" t="s">
        <v>4</v>
      </c>
      <c r="BT124" s="497">
        <v>3</v>
      </c>
      <c r="BU124" s="494" cm="1">
        <f t="array" ref="BU124">_xlfn.IFS(BQ124="Foreword vehicle",BT124*0,BQ124="Human wastes",BT124*0,BS124="Jerrycans",BT124*$BT$4,BQ124="Number of Basins",BT124*$BT$5,BQ124="Number of Buckets",BT124*$BT$6,BQ124="Number of Kgs",BT124*$BT$7,BQ124="Number of spades",BT124*$BT$8,BQ124="Number of wheelbarrows",BT124*$BT$9,BS124="Septic Tank",BT124*0)</f>
        <v>69</v>
      </c>
      <c r="BV124" s="494">
        <f>Table15[[#This Row],[Calculation: Conversion of metric to Kg manure feeding (Columns: BP, BQ, BR)]]*Table15[[#This Row],[Number of times used to feed biodigester]]</f>
        <v>207</v>
      </c>
      <c r="BW124" s="495" cm="1">
        <f t="array" ref="BW124">_xlfn.IFS(BN124="Number of times per day (1 to 3)",BV124/$BW$3,BN124="Number of times per week (1 to 6)",BV124/$BW$4,BN124="Number of times per Month (1 to 3)",BV124/$BW$5)</f>
        <v>29.571428571428573</v>
      </c>
      <c r="BX124" s="497" t="s">
        <v>22</v>
      </c>
      <c r="BY124" s="497" t="s">
        <v>4</v>
      </c>
      <c r="BZ124" s="497" t="s">
        <v>2</v>
      </c>
      <c r="CA124" s="497" t="s">
        <v>4</v>
      </c>
      <c r="CB124" s="497" t="s">
        <v>4</v>
      </c>
      <c r="CC124" s="497" t="s">
        <v>4</v>
      </c>
      <c r="CD124" s="497" t="s">
        <v>7</v>
      </c>
      <c r="CE124" s="497" t="s">
        <v>35118</v>
      </c>
      <c r="CF124" s="497" t="s">
        <v>4</v>
      </c>
      <c r="CG124" s="497" t="s">
        <v>31634</v>
      </c>
      <c r="CH124" s="497">
        <v>18</v>
      </c>
      <c r="CI124" s="497">
        <v>0</v>
      </c>
      <c r="CJ124" s="497">
        <v>0</v>
      </c>
      <c r="CK124" s="497">
        <v>0</v>
      </c>
      <c r="CL124" s="497">
        <v>9</v>
      </c>
      <c r="CM124" s="497">
        <v>0</v>
      </c>
      <c r="CN124" s="497">
        <v>0</v>
      </c>
      <c r="CO124" s="497">
        <v>0</v>
      </c>
      <c r="CP124" s="497">
        <v>0</v>
      </c>
      <c r="CQ124" s="497">
        <v>0</v>
      </c>
      <c r="CR124" s="497">
        <f>IF(Table15[[#This Row],[Is your biodigester working?]]="yes",CO124/'SDG outcome'!$C$9*CP124*CQ124,"")</f>
        <v>0</v>
      </c>
      <c r="CS124" s="497">
        <v>33</v>
      </c>
      <c r="CT124" s="500">
        <v>67</v>
      </c>
      <c r="CU124" s="496" t="s">
        <v>35119</v>
      </c>
      <c r="CV124" s="497" t="s">
        <v>4</v>
      </c>
      <c r="CW124" s="500" t="s">
        <v>4</v>
      </c>
      <c r="CX124" s="496" t="s">
        <v>4</v>
      </c>
      <c r="CY124" s="497" t="s">
        <v>4</v>
      </c>
      <c r="CZ124" s="500" t="s">
        <v>4</v>
      </c>
      <c r="DA124" s="496" t="s">
        <v>4</v>
      </c>
      <c r="DB124" s="497" t="s">
        <v>4</v>
      </c>
      <c r="DC124" s="497" t="s">
        <v>4</v>
      </c>
      <c r="DD124" s="497" t="s">
        <v>4</v>
      </c>
      <c r="DE124" s="497" t="s">
        <v>4</v>
      </c>
      <c r="DF124" s="497" t="s">
        <v>4</v>
      </c>
      <c r="DG124" s="497" t="s">
        <v>4</v>
      </c>
      <c r="DH124" s="497" t="s">
        <v>4</v>
      </c>
      <c r="DI124" s="497" t="s">
        <v>4</v>
      </c>
      <c r="DJ124" s="497" t="s">
        <v>4</v>
      </c>
      <c r="DK124" s="497">
        <v>0</v>
      </c>
      <c r="DL124" s="497">
        <v>100</v>
      </c>
      <c r="DM124" s="497" t="s">
        <v>35120</v>
      </c>
      <c r="DN124" s="497">
        <v>7</v>
      </c>
      <c r="DO124" s="497" t="s">
        <v>2</v>
      </c>
      <c r="DP124" s="497" t="s">
        <v>29375</v>
      </c>
      <c r="DQ124" s="497" t="s">
        <v>4</v>
      </c>
      <c r="DR124" s="497" t="s">
        <v>4</v>
      </c>
      <c r="DS124" s="494" t="s">
        <v>4</v>
      </c>
      <c r="DT124" s="497" t="s">
        <v>29294</v>
      </c>
      <c r="DU124" s="494" t="s">
        <v>4</v>
      </c>
      <c r="DV124" s="500" t="s">
        <v>29508</v>
      </c>
      <c r="DW124" s="496" t="s">
        <v>4</v>
      </c>
      <c r="DX124" s="497" t="s">
        <v>4</v>
      </c>
      <c r="DY124" s="497" t="s">
        <v>4</v>
      </c>
      <c r="DZ124" s="497" t="s">
        <v>4</v>
      </c>
      <c r="EA124" s="497" t="s">
        <v>4</v>
      </c>
      <c r="EB124" s="497" t="s">
        <v>4</v>
      </c>
      <c r="EC124" s="497" t="s">
        <v>4</v>
      </c>
      <c r="ED124" s="497">
        <v>100</v>
      </c>
      <c r="EE124" s="497" t="s">
        <v>30667</v>
      </c>
      <c r="EF124" s="497" t="s">
        <v>4</v>
      </c>
      <c r="EG124" s="497" t="s">
        <v>4</v>
      </c>
      <c r="EH124" s="497">
        <v>100</v>
      </c>
      <c r="EI124" s="497" t="s">
        <v>4</v>
      </c>
      <c r="EJ124" s="497" t="s">
        <v>4</v>
      </c>
      <c r="EK124" s="497" t="s">
        <v>4</v>
      </c>
      <c r="EL124" s="497" t="s">
        <v>4</v>
      </c>
      <c r="EM124" s="497">
        <v>45</v>
      </c>
      <c r="EN124" s="497" t="s">
        <v>4</v>
      </c>
      <c r="EO124" s="497" t="s">
        <v>4</v>
      </c>
      <c r="EP124" s="497" t="s">
        <v>4</v>
      </c>
      <c r="EQ124" s="497" t="s">
        <v>30076</v>
      </c>
      <c r="ER124" s="497" t="s">
        <v>4</v>
      </c>
      <c r="ES124" s="497" t="s">
        <v>4</v>
      </c>
      <c r="ET124" s="497" t="s">
        <v>4</v>
      </c>
      <c r="EU124" s="497">
        <v>100</v>
      </c>
      <c r="EV124" s="497" t="s">
        <v>4</v>
      </c>
      <c r="EW124" s="497">
        <v>8.0938891137191415</v>
      </c>
      <c r="EX124" s="497" t="s">
        <v>35121</v>
      </c>
      <c r="EY124" s="497" t="s">
        <v>4</v>
      </c>
      <c r="EZ124" s="239"/>
      <c r="FA124" s="497" t="s">
        <v>4</v>
      </c>
      <c r="FB124" s="497" t="s">
        <v>4</v>
      </c>
      <c r="FC124" s="497" t="s">
        <v>4</v>
      </c>
      <c r="FD124" s="497" t="s">
        <v>4</v>
      </c>
      <c r="FE124" s="497" t="s">
        <v>4</v>
      </c>
      <c r="FF124" s="497" t="s">
        <v>4</v>
      </c>
      <c r="FG124" s="497" t="s">
        <v>4</v>
      </c>
      <c r="FH124" s="497" t="s">
        <v>4</v>
      </c>
      <c r="FI124" s="497" t="s">
        <v>4</v>
      </c>
      <c r="FJ124" s="497" t="s">
        <v>4</v>
      </c>
      <c r="FK124" s="497" t="s">
        <v>4</v>
      </c>
      <c r="FL124" s="497" t="s">
        <v>4</v>
      </c>
      <c r="FM124" s="497" t="s">
        <v>4</v>
      </c>
      <c r="FN124" s="494" t="s">
        <v>4</v>
      </c>
      <c r="FO124" s="497" t="s">
        <v>4</v>
      </c>
      <c r="FP124" s="497" t="s">
        <v>2</v>
      </c>
      <c r="FQ124" s="497" t="s">
        <v>4</v>
      </c>
      <c r="FR124" s="497" t="s">
        <v>4</v>
      </c>
      <c r="FS124" s="497" t="s">
        <v>7</v>
      </c>
      <c r="FT124" s="497" t="s">
        <v>2</v>
      </c>
      <c r="FU124" s="497" t="s">
        <v>4</v>
      </c>
      <c r="FV124" s="497" t="s">
        <v>4</v>
      </c>
      <c r="FW124" s="497" t="s">
        <v>4</v>
      </c>
      <c r="FX124" s="497">
        <v>0</v>
      </c>
      <c r="FY124" s="497" t="s">
        <v>4</v>
      </c>
      <c r="FZ124" s="497" t="s">
        <v>4</v>
      </c>
      <c r="GA124" s="497" t="s">
        <v>4</v>
      </c>
      <c r="GB124" s="497" t="s">
        <v>4</v>
      </c>
      <c r="GC124" s="497" t="s">
        <v>4</v>
      </c>
      <c r="GD124" s="497" t="s">
        <v>4</v>
      </c>
      <c r="GE124" s="497" t="s">
        <v>4</v>
      </c>
      <c r="GF124" s="497" t="s">
        <v>4</v>
      </c>
      <c r="GG124" s="497" t="s">
        <v>4</v>
      </c>
      <c r="GH124" s="497" t="s">
        <v>4</v>
      </c>
      <c r="GI124" s="497" t="s">
        <v>29304</v>
      </c>
      <c r="GJ124" s="497" t="s">
        <v>29305</v>
      </c>
      <c r="GK124" s="497" t="s">
        <v>29306</v>
      </c>
      <c r="GL124" s="497" t="s">
        <v>4</v>
      </c>
      <c r="GM124" s="497" t="s">
        <v>4</v>
      </c>
      <c r="GN124" s="497" t="s">
        <v>4</v>
      </c>
      <c r="GO124" s="497" t="s">
        <v>4</v>
      </c>
      <c r="GP124" s="497" t="s">
        <v>4</v>
      </c>
      <c r="GQ124" s="497" t="s">
        <v>4</v>
      </c>
      <c r="GR124" s="497" t="s">
        <v>4</v>
      </c>
      <c r="GS124" s="497" t="s">
        <v>4</v>
      </c>
      <c r="GT124" s="497" t="s">
        <v>29452</v>
      </c>
      <c r="GU124" s="497" t="s">
        <v>4</v>
      </c>
      <c r="GV124" s="494">
        <v>25</v>
      </c>
      <c r="GW124" s="497" t="s">
        <v>29325</v>
      </c>
      <c r="GX124" s="497" t="s">
        <v>29837</v>
      </c>
      <c r="GY124" s="497" t="s">
        <v>4</v>
      </c>
      <c r="GZ124" s="497" t="s">
        <v>4</v>
      </c>
      <c r="HA124" s="497" t="s">
        <v>4</v>
      </c>
      <c r="HB124" s="497" t="s">
        <v>4</v>
      </c>
      <c r="HC124" s="497" t="s">
        <v>4</v>
      </c>
      <c r="HD124" s="497" t="s">
        <v>4</v>
      </c>
      <c r="HE124" s="497" t="s">
        <v>4</v>
      </c>
      <c r="HF124" s="497" t="s">
        <v>4</v>
      </c>
      <c r="HG124" s="497" t="s">
        <v>2</v>
      </c>
      <c r="HH124" s="497" t="s">
        <v>4</v>
      </c>
      <c r="HI124" s="497" t="s">
        <v>4</v>
      </c>
      <c r="HJ124" s="497" t="s">
        <v>4</v>
      </c>
      <c r="HK124" s="494" t="s">
        <v>4</v>
      </c>
      <c r="HL124" s="497" t="s">
        <v>35122</v>
      </c>
      <c r="HM124" s="497" t="s">
        <v>2</v>
      </c>
      <c r="HN124" s="497" t="s">
        <v>4</v>
      </c>
      <c r="HO124" s="497" t="s">
        <v>35123</v>
      </c>
      <c r="HP124" s="497" t="s">
        <v>35124</v>
      </c>
      <c r="HQ124" s="497" t="s">
        <v>35125</v>
      </c>
      <c r="HR124" s="497" t="s">
        <v>35126</v>
      </c>
      <c r="HS124" s="497" t="s">
        <v>16</v>
      </c>
      <c r="HT124" s="500" t="s">
        <v>35127</v>
      </c>
    </row>
    <row r="125" spans="1:228" s="570" customFormat="1" ht="30.2" customHeight="1" x14ac:dyDescent="0.25">
      <c r="A125" s="759"/>
      <c r="B125" s="496">
        <v>160</v>
      </c>
      <c r="C125" s="496" t="s">
        <v>27996</v>
      </c>
      <c r="D125" s="497" t="s">
        <v>35139</v>
      </c>
      <c r="E125" s="497" t="s">
        <v>35057</v>
      </c>
      <c r="F125" s="497" t="s">
        <v>7</v>
      </c>
      <c r="G125" s="497" t="s">
        <v>35140</v>
      </c>
      <c r="H125" s="497">
        <v>1186.871948</v>
      </c>
      <c r="I125" s="497">
        <v>4.7765199999999997</v>
      </c>
      <c r="J125" s="497" t="s">
        <v>29319</v>
      </c>
      <c r="K125" s="497" t="s">
        <v>4</v>
      </c>
      <c r="L125" s="497" t="s">
        <v>3517</v>
      </c>
      <c r="M125" s="497">
        <v>785025438</v>
      </c>
      <c r="N125" s="497" t="s">
        <v>5</v>
      </c>
      <c r="O125" s="497" t="s">
        <v>31590</v>
      </c>
      <c r="P125" s="497" t="s">
        <v>4</v>
      </c>
      <c r="Q125" s="497">
        <v>2</v>
      </c>
      <c r="R125" s="497" t="s">
        <v>7</v>
      </c>
      <c r="S125" s="497" t="s">
        <v>31588</v>
      </c>
      <c r="T125" s="497" t="s">
        <v>4</v>
      </c>
      <c r="U125" s="497" t="s">
        <v>7</v>
      </c>
      <c r="V125" s="497" t="s">
        <v>7</v>
      </c>
      <c r="W125" s="497" t="s">
        <v>4</v>
      </c>
      <c r="X125" s="497" t="s">
        <v>7</v>
      </c>
      <c r="Y125" s="497" t="s">
        <v>4</v>
      </c>
      <c r="Z125" s="497" t="s">
        <v>4</v>
      </c>
      <c r="AA125" s="241" t="str">
        <f>IF(OR(U125="yes",Z125&gt;'SDG outcome'!$C$39),"yes","no")</f>
        <v>yes</v>
      </c>
      <c r="AB125" s="521" t="str">
        <f t="shared" si="3"/>
        <v>NA</v>
      </c>
      <c r="AC125" s="527" t="str">
        <f>IF(AND('SMS p2'!AA172="no",AND(Z125&gt;='SDG outcome'!$B$28,Z125&lt;'SDG outcome'!$C$39)),Z125-'SDG outcome'!$B$28,"")</f>
        <v/>
      </c>
      <c r="AD125" s="497" t="s">
        <v>4</v>
      </c>
      <c r="AE125" s="497" t="s">
        <v>4</v>
      </c>
      <c r="AF125" s="497" t="s">
        <v>4</v>
      </c>
      <c r="AG125" s="497" t="s">
        <v>4</v>
      </c>
      <c r="AH125" s="497" t="s">
        <v>4</v>
      </c>
      <c r="AI125" s="497" t="s">
        <v>4</v>
      </c>
      <c r="AJ125" s="497" t="s">
        <v>4</v>
      </c>
      <c r="AK125" s="497" t="s">
        <v>29290</v>
      </c>
      <c r="AL125" s="497" t="s">
        <v>29291</v>
      </c>
      <c r="AM125" s="497" t="s">
        <v>4</v>
      </c>
      <c r="AN125" s="497" t="s">
        <v>4</v>
      </c>
      <c r="AO125" s="497" t="s">
        <v>31536</v>
      </c>
      <c r="AP125" s="497" t="s">
        <v>4</v>
      </c>
      <c r="AQ125" s="497" t="s">
        <v>31537</v>
      </c>
      <c r="AR125" s="497" t="s">
        <v>4</v>
      </c>
      <c r="AS125" s="497" t="s">
        <v>31538</v>
      </c>
      <c r="AT125" s="497" t="s">
        <v>4</v>
      </c>
      <c r="AU125" s="497" t="s">
        <v>7</v>
      </c>
      <c r="AV125" s="497" t="s">
        <v>4</v>
      </c>
      <c r="AW125" s="497" t="s">
        <v>4</v>
      </c>
      <c r="AX125" s="497" t="s">
        <v>2</v>
      </c>
      <c r="AY125" s="497" t="s">
        <v>4</v>
      </c>
      <c r="AZ125" s="497" t="s">
        <v>4</v>
      </c>
      <c r="BA125" s="497" t="s">
        <v>31540</v>
      </c>
      <c r="BB125" s="497" t="s">
        <v>31552</v>
      </c>
      <c r="BC125" s="497" t="s">
        <v>4</v>
      </c>
      <c r="BD125" s="497" t="s">
        <v>14</v>
      </c>
      <c r="BE125" s="497" t="s">
        <v>4</v>
      </c>
      <c r="BF125" s="497" t="s">
        <v>31542</v>
      </c>
      <c r="BG125" s="497" t="s">
        <v>35141</v>
      </c>
      <c r="BH125" s="497" t="s">
        <v>31544</v>
      </c>
      <c r="BI125" s="497">
        <v>1</v>
      </c>
      <c r="BJ125" s="497">
        <v>120</v>
      </c>
      <c r="BK125" s="497" t="s">
        <v>7</v>
      </c>
      <c r="BL125" s="497" t="s">
        <v>6</v>
      </c>
      <c r="BM125" s="497" t="s">
        <v>4</v>
      </c>
      <c r="BN125" s="497" t="s">
        <v>31429</v>
      </c>
      <c r="BO125" s="497">
        <v>1</v>
      </c>
      <c r="BP125" s="497">
        <v>30</v>
      </c>
      <c r="BQ125" s="497" t="s">
        <v>31434</v>
      </c>
      <c r="BR125" s="499" t="s">
        <v>33332</v>
      </c>
      <c r="BS125" s="497" t="s">
        <v>4</v>
      </c>
      <c r="BT125" s="497">
        <v>3</v>
      </c>
      <c r="BU125" s="494" cm="1">
        <f t="array" ref="BU125">_xlfn.IFS(BQ125="Foreword vehicle",BT125*0,BQ125="Human wastes",BT125*0,BS125="Jerrycans",BT125*$BT$4,BQ125="Number of Basins",BT125*$BT$5,BQ125="Number of Buckets",BT125*$BT$6,BQ125="Number of Kgs",BT125*$BT$7,BQ125="Number of spades",BT125*$BT$8,BQ125="Number of wheelbarrows",BT125*$BT$9,BS125="Septic Tank",BT125*0)</f>
        <v>48</v>
      </c>
      <c r="BV125" s="494">
        <f>Table15[[#This Row],[Calculation: Conversion of metric to Kg manure feeding (Columns: BP, BQ, BR)]]*Table15[[#This Row],[Number of times used to feed biodigester]]</f>
        <v>48</v>
      </c>
      <c r="BW125" s="495" cm="1">
        <f t="array" ref="BW125">_xlfn.IFS(BN125="Number of times per day (1 to 3)",BV125/$BW$3,BN125="Number of times per week (1 to 6)",BV125/$BW$4,BN125="Number of times per Month (1 to 3)",BV125/$BW$5)</f>
        <v>6.8571428571428568</v>
      </c>
      <c r="BX125" s="497" t="s">
        <v>31552</v>
      </c>
      <c r="BY125" s="497" t="s">
        <v>4</v>
      </c>
      <c r="BZ125" s="497" t="s">
        <v>2</v>
      </c>
      <c r="CA125" s="497" t="s">
        <v>4</v>
      </c>
      <c r="CB125" s="497" t="s">
        <v>4</v>
      </c>
      <c r="CC125" s="497" t="s">
        <v>4</v>
      </c>
      <c r="CD125" s="497" t="s">
        <v>7</v>
      </c>
      <c r="CE125" s="497" t="s">
        <v>35142</v>
      </c>
      <c r="CF125" s="497" t="s">
        <v>4</v>
      </c>
      <c r="CG125" s="497" t="s">
        <v>31634</v>
      </c>
      <c r="CH125" s="497">
        <v>2</v>
      </c>
      <c r="CI125" s="497">
        <v>0</v>
      </c>
      <c r="CJ125" s="497">
        <v>0</v>
      </c>
      <c r="CK125" s="497">
        <v>0</v>
      </c>
      <c r="CL125" s="497">
        <v>3</v>
      </c>
      <c r="CM125" s="497">
        <v>0</v>
      </c>
      <c r="CN125" s="497">
        <v>0</v>
      </c>
      <c r="CO125" s="497">
        <v>0</v>
      </c>
      <c r="CP125" s="497">
        <v>0</v>
      </c>
      <c r="CQ125" s="497">
        <v>0</v>
      </c>
      <c r="CR125" s="497">
        <f>IF(Table15[[#This Row],[Is your biodigester working?]]="yes",CO125/'SDG outcome'!$C$9*CP125*CQ125,"")</f>
        <v>0</v>
      </c>
      <c r="CS125" s="497">
        <v>43</v>
      </c>
      <c r="CT125" s="500">
        <v>57</v>
      </c>
      <c r="CU125" s="496" t="s">
        <v>35143</v>
      </c>
      <c r="CV125" s="497" t="s">
        <v>4</v>
      </c>
      <c r="CW125" s="500" t="s">
        <v>4</v>
      </c>
      <c r="CX125" s="496" t="s">
        <v>4</v>
      </c>
      <c r="CY125" s="497" t="s">
        <v>4</v>
      </c>
      <c r="CZ125" s="500" t="s">
        <v>4</v>
      </c>
      <c r="DA125" s="496" t="s">
        <v>4</v>
      </c>
      <c r="DB125" s="497" t="s">
        <v>4</v>
      </c>
      <c r="DC125" s="497" t="s">
        <v>4</v>
      </c>
      <c r="DD125" s="497" t="s">
        <v>4</v>
      </c>
      <c r="DE125" s="497" t="s">
        <v>4</v>
      </c>
      <c r="DF125" s="497" t="s">
        <v>4</v>
      </c>
      <c r="DG125" s="497" t="s">
        <v>4</v>
      </c>
      <c r="DH125" s="497" t="s">
        <v>4</v>
      </c>
      <c r="DI125" s="497" t="s">
        <v>4</v>
      </c>
      <c r="DJ125" s="497" t="s">
        <v>4</v>
      </c>
      <c r="DK125" s="497">
        <v>0</v>
      </c>
      <c r="DL125" s="497">
        <v>100</v>
      </c>
      <c r="DM125" s="497" t="s">
        <v>35144</v>
      </c>
      <c r="DN125" s="497">
        <v>2</v>
      </c>
      <c r="DO125" s="497" t="s">
        <v>2</v>
      </c>
      <c r="DP125" s="497" t="s">
        <v>29375</v>
      </c>
      <c r="DQ125" s="497" t="s">
        <v>4</v>
      </c>
      <c r="DR125" s="497" t="s">
        <v>4</v>
      </c>
      <c r="DS125" s="494" t="s">
        <v>4</v>
      </c>
      <c r="DT125" s="497" t="s">
        <v>29293</v>
      </c>
      <c r="DU125" s="494">
        <v>0</v>
      </c>
      <c r="DV125" s="500" t="s">
        <v>29508</v>
      </c>
      <c r="DW125" s="496" t="s">
        <v>4</v>
      </c>
      <c r="DX125" s="497" t="s">
        <v>4</v>
      </c>
      <c r="DY125" s="497" t="s">
        <v>4</v>
      </c>
      <c r="DZ125" s="497" t="s">
        <v>4</v>
      </c>
      <c r="EA125" s="497" t="s">
        <v>4</v>
      </c>
      <c r="EB125" s="497" t="s">
        <v>4</v>
      </c>
      <c r="EC125" s="497" t="s">
        <v>4</v>
      </c>
      <c r="ED125" s="497">
        <v>100</v>
      </c>
      <c r="EE125" s="497" t="s">
        <v>26</v>
      </c>
      <c r="EF125" s="497" t="s">
        <v>4</v>
      </c>
      <c r="EG125" s="497" t="s">
        <v>4</v>
      </c>
      <c r="EH125" s="497" t="s">
        <v>4</v>
      </c>
      <c r="EI125" s="497">
        <v>100</v>
      </c>
      <c r="EJ125" s="497" t="s">
        <v>4</v>
      </c>
      <c r="EK125" s="497" t="s">
        <v>4</v>
      </c>
      <c r="EL125" s="497" t="s">
        <v>4</v>
      </c>
      <c r="EM125" s="497">
        <v>30</v>
      </c>
      <c r="EN125" s="497" t="s">
        <v>4</v>
      </c>
      <c r="EO125" s="497" t="s">
        <v>4</v>
      </c>
      <c r="EP125" s="497" t="s">
        <v>4</v>
      </c>
      <c r="EQ125" s="497" t="s">
        <v>29296</v>
      </c>
      <c r="ER125" s="497">
        <v>100</v>
      </c>
      <c r="ES125" s="497" t="s">
        <v>4</v>
      </c>
      <c r="ET125" s="497" t="s">
        <v>4</v>
      </c>
      <c r="EU125" s="497" t="s">
        <v>4</v>
      </c>
      <c r="EV125" s="497" t="s">
        <v>4</v>
      </c>
      <c r="EW125" s="497" t="s">
        <v>33649</v>
      </c>
      <c r="EX125" s="497" t="s">
        <v>7</v>
      </c>
      <c r="EY125" s="497">
        <v>75</v>
      </c>
      <c r="EZ125" s="239"/>
      <c r="FA125" s="497" t="s">
        <v>35145</v>
      </c>
      <c r="FB125" s="497" t="s">
        <v>29298</v>
      </c>
      <c r="FC125" s="497">
        <v>100</v>
      </c>
      <c r="FD125" s="497" t="s">
        <v>7</v>
      </c>
      <c r="FE125" s="497" t="s">
        <v>29393</v>
      </c>
      <c r="FF125" s="497" t="s">
        <v>4</v>
      </c>
      <c r="FG125" s="497" t="s">
        <v>2</v>
      </c>
      <c r="FH125" s="497" t="s">
        <v>4</v>
      </c>
      <c r="FI125" s="497" t="s">
        <v>4</v>
      </c>
      <c r="FJ125" s="497" t="s">
        <v>4</v>
      </c>
      <c r="FK125" s="497" t="s">
        <v>4</v>
      </c>
      <c r="FL125" s="497" t="s">
        <v>4</v>
      </c>
      <c r="FM125" s="497" t="s">
        <v>4</v>
      </c>
      <c r="FN125" s="494" t="s">
        <v>4</v>
      </c>
      <c r="FO125" s="497" t="s">
        <v>4</v>
      </c>
      <c r="FP125" s="497" t="s">
        <v>2</v>
      </c>
      <c r="FQ125" s="497" t="s">
        <v>4</v>
      </c>
      <c r="FR125" s="497" t="s">
        <v>4</v>
      </c>
      <c r="FS125" s="497" t="s">
        <v>7</v>
      </c>
      <c r="FT125" s="497" t="s">
        <v>2</v>
      </c>
      <c r="FU125" s="497" t="s">
        <v>4</v>
      </c>
      <c r="FV125" s="497" t="s">
        <v>4</v>
      </c>
      <c r="FW125" s="497" t="s">
        <v>4</v>
      </c>
      <c r="FX125" s="497">
        <v>0</v>
      </c>
      <c r="FY125" s="497" t="s">
        <v>4</v>
      </c>
      <c r="FZ125" s="497" t="s">
        <v>4</v>
      </c>
      <c r="GA125" s="497" t="s">
        <v>4</v>
      </c>
      <c r="GB125" s="497" t="s">
        <v>4</v>
      </c>
      <c r="GC125" s="497" t="s">
        <v>4</v>
      </c>
      <c r="GD125" s="497" t="s">
        <v>4</v>
      </c>
      <c r="GE125" s="497" t="s">
        <v>4</v>
      </c>
      <c r="GF125" s="497" t="s">
        <v>4</v>
      </c>
      <c r="GG125" s="497" t="s">
        <v>4</v>
      </c>
      <c r="GH125" s="497" t="s">
        <v>4</v>
      </c>
      <c r="GI125" s="497" t="s">
        <v>29304</v>
      </c>
      <c r="GJ125" s="497" t="s">
        <v>29305</v>
      </c>
      <c r="GK125" s="497" t="s">
        <v>29306</v>
      </c>
      <c r="GL125" s="497" t="s">
        <v>4</v>
      </c>
      <c r="GM125" s="497" t="s">
        <v>4</v>
      </c>
      <c r="GN125" s="497" t="s">
        <v>4</v>
      </c>
      <c r="GO125" s="497" t="s">
        <v>4</v>
      </c>
      <c r="GP125" s="497" t="s">
        <v>4</v>
      </c>
      <c r="GQ125" s="497" t="s">
        <v>4</v>
      </c>
      <c r="GR125" s="497" t="s">
        <v>4</v>
      </c>
      <c r="GS125" s="497" t="s">
        <v>4</v>
      </c>
      <c r="GT125" s="497" t="s">
        <v>29452</v>
      </c>
      <c r="GU125" s="497" t="s">
        <v>4</v>
      </c>
      <c r="GV125" s="494">
        <v>5</v>
      </c>
      <c r="GW125" s="497" t="s">
        <v>29325</v>
      </c>
      <c r="GX125" s="497" t="s">
        <v>29309</v>
      </c>
      <c r="GY125" s="497" t="s">
        <v>4</v>
      </c>
      <c r="GZ125" s="497" t="s">
        <v>4</v>
      </c>
      <c r="HA125" s="497" t="s">
        <v>4</v>
      </c>
      <c r="HB125" s="497" t="s">
        <v>4</v>
      </c>
      <c r="HC125" s="497" t="s">
        <v>4</v>
      </c>
      <c r="HD125" s="497" t="s">
        <v>4</v>
      </c>
      <c r="HE125" s="497" t="s">
        <v>4</v>
      </c>
      <c r="HF125" s="497" t="s">
        <v>4</v>
      </c>
      <c r="HG125" s="497" t="s">
        <v>2</v>
      </c>
      <c r="HH125" s="497" t="s">
        <v>4</v>
      </c>
      <c r="HI125" s="497" t="s">
        <v>4</v>
      </c>
      <c r="HJ125" s="497" t="s">
        <v>4</v>
      </c>
      <c r="HK125" s="494" t="s">
        <v>4</v>
      </c>
      <c r="HL125" s="497" t="s">
        <v>35146</v>
      </c>
      <c r="HM125" s="497" t="s">
        <v>7</v>
      </c>
      <c r="HN125" s="497" t="s">
        <v>35147</v>
      </c>
      <c r="HO125" s="497" t="s">
        <v>35148</v>
      </c>
      <c r="HP125" s="497" t="s">
        <v>35149</v>
      </c>
      <c r="HQ125" s="497" t="s">
        <v>35150</v>
      </c>
      <c r="HR125" s="497" t="s">
        <v>35151</v>
      </c>
      <c r="HS125" s="497" t="s">
        <v>16</v>
      </c>
      <c r="HT125" s="500" t="s">
        <v>35152</v>
      </c>
    </row>
    <row r="126" spans="1:228" s="570" customFormat="1" ht="30.2" customHeight="1" x14ac:dyDescent="0.25">
      <c r="A126" s="759"/>
      <c r="B126" s="496">
        <v>161</v>
      </c>
      <c r="C126" s="496" t="s">
        <v>7682</v>
      </c>
      <c r="D126" s="497" t="s">
        <v>35153</v>
      </c>
      <c r="E126" s="497" t="s">
        <v>35057</v>
      </c>
      <c r="F126" s="497" t="s">
        <v>7</v>
      </c>
      <c r="G126" s="497" t="s">
        <v>35154</v>
      </c>
      <c r="H126" s="497">
        <v>1179.4316409999999</v>
      </c>
      <c r="I126" s="497">
        <v>4.3128279999999997</v>
      </c>
      <c r="J126" s="497" t="s">
        <v>29319</v>
      </c>
      <c r="K126" s="497" t="s">
        <v>4</v>
      </c>
      <c r="L126" s="497" t="s">
        <v>35155</v>
      </c>
      <c r="M126" s="497">
        <v>772560281</v>
      </c>
      <c r="N126" s="497" t="s">
        <v>5</v>
      </c>
      <c r="O126" s="497" t="s">
        <v>31590</v>
      </c>
      <c r="P126" s="497" t="s">
        <v>4</v>
      </c>
      <c r="Q126" s="497">
        <v>14</v>
      </c>
      <c r="R126" s="497" t="s">
        <v>7</v>
      </c>
      <c r="S126" s="497" t="s">
        <v>31588</v>
      </c>
      <c r="T126" s="497" t="s">
        <v>4</v>
      </c>
      <c r="U126" s="497" t="s">
        <v>7</v>
      </c>
      <c r="V126" s="497" t="s">
        <v>7</v>
      </c>
      <c r="W126" s="497" t="s">
        <v>4</v>
      </c>
      <c r="X126" s="497" t="s">
        <v>7</v>
      </c>
      <c r="Y126" s="497" t="s">
        <v>4</v>
      </c>
      <c r="Z126" s="497" t="s">
        <v>4</v>
      </c>
      <c r="AA126" s="241" t="str">
        <f>IF(OR(U126="yes",Z126&gt;'SDG outcome'!$C$39),"yes","no")</f>
        <v>yes</v>
      </c>
      <c r="AB126" s="521" t="str">
        <f t="shared" si="3"/>
        <v>NA</v>
      </c>
      <c r="AC126" s="527" t="str">
        <f>IF(AND('SMS p2'!AA173="no",AND(Z126&gt;='SDG outcome'!$B$28,Z126&lt;'SDG outcome'!$C$39)),Z126-'SDG outcome'!$B$28,"")</f>
        <v/>
      </c>
      <c r="AD126" s="497" t="s">
        <v>4</v>
      </c>
      <c r="AE126" s="497" t="s">
        <v>4</v>
      </c>
      <c r="AF126" s="497" t="s">
        <v>4</v>
      </c>
      <c r="AG126" s="497" t="s">
        <v>4</v>
      </c>
      <c r="AH126" s="497" t="s">
        <v>4</v>
      </c>
      <c r="AI126" s="497" t="s">
        <v>4</v>
      </c>
      <c r="AJ126" s="497" t="s">
        <v>4</v>
      </c>
      <c r="AK126" s="497" t="s">
        <v>29290</v>
      </c>
      <c r="AL126" s="497" t="s">
        <v>29291</v>
      </c>
      <c r="AM126" s="497" t="s">
        <v>4</v>
      </c>
      <c r="AN126" s="497" t="s">
        <v>4</v>
      </c>
      <c r="AO126" s="497" t="s">
        <v>31536</v>
      </c>
      <c r="AP126" s="497" t="s">
        <v>4</v>
      </c>
      <c r="AQ126" s="497" t="s">
        <v>31537</v>
      </c>
      <c r="AR126" s="497" t="s">
        <v>4</v>
      </c>
      <c r="AS126" s="497" t="s">
        <v>31538</v>
      </c>
      <c r="AT126" s="497" t="s">
        <v>4</v>
      </c>
      <c r="AU126" s="497" t="s">
        <v>2</v>
      </c>
      <c r="AV126" s="497" t="s">
        <v>31581</v>
      </c>
      <c r="AW126" s="497" t="s">
        <v>4</v>
      </c>
      <c r="AX126" s="497" t="s">
        <v>7</v>
      </c>
      <c r="AY126" s="497" t="s">
        <v>11</v>
      </c>
      <c r="AZ126" s="497" t="s">
        <v>4</v>
      </c>
      <c r="BA126" s="497" t="s">
        <v>31557</v>
      </c>
      <c r="BB126" s="497" t="s">
        <v>22</v>
      </c>
      <c r="BC126" s="497" t="s">
        <v>4</v>
      </c>
      <c r="BD126" s="497" t="s">
        <v>31564</v>
      </c>
      <c r="BE126" s="497" t="s">
        <v>4</v>
      </c>
      <c r="BF126" s="497" t="s">
        <v>31542</v>
      </c>
      <c r="BG126" s="497" t="s">
        <v>35156</v>
      </c>
      <c r="BH126" s="497" t="s">
        <v>31544</v>
      </c>
      <c r="BI126" s="497">
        <v>1</v>
      </c>
      <c r="BJ126" s="497">
        <v>60</v>
      </c>
      <c r="BK126" s="497" t="s">
        <v>7</v>
      </c>
      <c r="BL126" s="497" t="s">
        <v>6</v>
      </c>
      <c r="BM126" s="497" t="s">
        <v>4</v>
      </c>
      <c r="BN126" s="497" t="s">
        <v>31429</v>
      </c>
      <c r="BO126" s="497">
        <v>1</v>
      </c>
      <c r="BP126" s="497">
        <v>90</v>
      </c>
      <c r="BQ126" s="497" t="s">
        <v>31426</v>
      </c>
      <c r="BR126" s="499" t="s">
        <v>33332</v>
      </c>
      <c r="BS126" s="497" t="s">
        <v>4</v>
      </c>
      <c r="BT126" s="497">
        <v>3</v>
      </c>
      <c r="BU126" s="494" cm="1">
        <f t="array" ref="BU126">_xlfn.IFS(BQ126="Foreword vehicle",BT126*0,BQ126="Human wastes",BT126*0,BS126="Jerrycans",BT126*$BT$4,BQ126="Number of Basins",BT126*$BT$5,BQ126="Number of Buckets",BT126*$BT$6,BQ126="Number of Kgs",BT126*$BT$7,BQ126="Number of spades",BT126*$BT$8,BQ126="Number of wheelbarrows",BT126*$BT$9,BS126="Septic Tank",BT126*0)</f>
        <v>69</v>
      </c>
      <c r="BV126" s="494">
        <f>Table15[[#This Row],[Calculation: Conversion of metric to Kg manure feeding (Columns: BP, BQ, BR)]]*Table15[[#This Row],[Number of times used to feed biodigester]]</f>
        <v>69</v>
      </c>
      <c r="BW126" s="495" cm="1">
        <f t="array" ref="BW126">_xlfn.IFS(BN126="Number of times per day (1 to 3)",BV126/$BW$3,BN126="Number of times per week (1 to 6)",BV126/$BW$4,BN126="Number of times per Month (1 to 3)",BV126/$BW$5)</f>
        <v>9.8571428571428577</v>
      </c>
      <c r="BX126" s="497" t="s">
        <v>22</v>
      </c>
      <c r="BY126" s="497" t="s">
        <v>4</v>
      </c>
      <c r="BZ126" s="497" t="s">
        <v>2</v>
      </c>
      <c r="CA126" s="497" t="s">
        <v>4</v>
      </c>
      <c r="CB126" s="497" t="s">
        <v>4</v>
      </c>
      <c r="CC126" s="497" t="s">
        <v>4</v>
      </c>
      <c r="CD126" s="497" t="s">
        <v>7</v>
      </c>
      <c r="CE126" s="497" t="s">
        <v>35157</v>
      </c>
      <c r="CF126" s="497" t="s">
        <v>4</v>
      </c>
      <c r="CG126" s="497" t="s">
        <v>31705</v>
      </c>
      <c r="CH126" s="497">
        <v>0</v>
      </c>
      <c r="CI126" s="497">
        <v>5</v>
      </c>
      <c r="CJ126" s="497">
        <v>0</v>
      </c>
      <c r="CK126" s="497">
        <v>0</v>
      </c>
      <c r="CL126" s="497">
        <v>0</v>
      </c>
      <c r="CM126" s="497">
        <v>0</v>
      </c>
      <c r="CN126" s="497">
        <v>0</v>
      </c>
      <c r="CO126" s="497">
        <v>0</v>
      </c>
      <c r="CP126" s="497">
        <v>0</v>
      </c>
      <c r="CQ126" s="497">
        <v>0</v>
      </c>
      <c r="CR126" s="497">
        <f>IF(Table15[[#This Row],[Is your biodigester working?]]="yes",CO126/'SDG outcome'!$C$9*CP126*CQ126,"")</f>
        <v>0</v>
      </c>
      <c r="CS126" s="497" t="s">
        <v>4</v>
      </c>
      <c r="CT126" s="500" t="s">
        <v>4</v>
      </c>
      <c r="CU126" s="496" t="s">
        <v>4</v>
      </c>
      <c r="CV126" s="497">
        <v>100</v>
      </c>
      <c r="CW126" s="500">
        <v>0</v>
      </c>
      <c r="CX126" s="496" t="s">
        <v>4</v>
      </c>
      <c r="CY126" s="497" t="s">
        <v>4</v>
      </c>
      <c r="CZ126" s="500" t="s">
        <v>4</v>
      </c>
      <c r="DA126" s="496" t="s">
        <v>4</v>
      </c>
      <c r="DB126" s="497" t="s">
        <v>4</v>
      </c>
      <c r="DC126" s="497" t="s">
        <v>4</v>
      </c>
      <c r="DD126" s="497" t="s">
        <v>4</v>
      </c>
      <c r="DE126" s="497" t="s">
        <v>4</v>
      </c>
      <c r="DF126" s="497" t="s">
        <v>4</v>
      </c>
      <c r="DG126" s="497" t="s">
        <v>4</v>
      </c>
      <c r="DH126" s="497" t="s">
        <v>4</v>
      </c>
      <c r="DI126" s="497" t="s">
        <v>4</v>
      </c>
      <c r="DJ126" s="497" t="s">
        <v>4</v>
      </c>
      <c r="DK126" s="497" t="s">
        <v>4</v>
      </c>
      <c r="DL126" s="497" t="s">
        <v>4</v>
      </c>
      <c r="DM126" s="497" t="s">
        <v>4</v>
      </c>
      <c r="DN126" s="497">
        <v>2</v>
      </c>
      <c r="DO126" s="497" t="s">
        <v>2</v>
      </c>
      <c r="DP126" s="497" t="s">
        <v>29292</v>
      </c>
      <c r="DQ126" s="497" t="s">
        <v>4</v>
      </c>
      <c r="DR126" s="497" t="s">
        <v>29294</v>
      </c>
      <c r="DS126" s="494" t="s">
        <v>4</v>
      </c>
      <c r="DT126" s="497" t="s">
        <v>29293</v>
      </c>
      <c r="DU126" s="494">
        <v>0</v>
      </c>
      <c r="DV126" s="500" t="s">
        <v>29508</v>
      </c>
      <c r="DW126" s="496" t="s">
        <v>4</v>
      </c>
      <c r="DX126" s="497" t="s">
        <v>4</v>
      </c>
      <c r="DY126" s="497" t="s">
        <v>4</v>
      </c>
      <c r="DZ126" s="497" t="s">
        <v>4</v>
      </c>
      <c r="EA126" s="497" t="s">
        <v>4</v>
      </c>
      <c r="EB126" s="497" t="s">
        <v>4</v>
      </c>
      <c r="EC126" s="497" t="s">
        <v>4</v>
      </c>
      <c r="ED126" s="497">
        <v>100</v>
      </c>
      <c r="EE126" s="497" t="s">
        <v>26</v>
      </c>
      <c r="EF126" s="497" t="s">
        <v>4</v>
      </c>
      <c r="EG126" s="497" t="s">
        <v>4</v>
      </c>
      <c r="EH126" s="497" t="s">
        <v>4</v>
      </c>
      <c r="EI126" s="497">
        <v>100</v>
      </c>
      <c r="EJ126" s="497" t="s">
        <v>4</v>
      </c>
      <c r="EK126" s="497" t="s">
        <v>4</v>
      </c>
      <c r="EL126" s="497" t="s">
        <v>4</v>
      </c>
      <c r="EM126" s="497">
        <v>30</v>
      </c>
      <c r="EN126" s="497" t="s">
        <v>4</v>
      </c>
      <c r="EO126" s="497" t="s">
        <v>4</v>
      </c>
      <c r="EP126" s="497" t="s">
        <v>4</v>
      </c>
      <c r="EQ126" s="497" t="s">
        <v>29296</v>
      </c>
      <c r="ER126" s="497">
        <v>100</v>
      </c>
      <c r="ES126" s="497" t="s">
        <v>4</v>
      </c>
      <c r="ET126" s="497" t="s">
        <v>4</v>
      </c>
      <c r="EU126" s="497" t="s">
        <v>4</v>
      </c>
      <c r="EV126" s="497" t="s">
        <v>4</v>
      </c>
      <c r="EW126" s="497" t="s">
        <v>33649</v>
      </c>
      <c r="EX126" s="497" t="s">
        <v>7</v>
      </c>
      <c r="EY126" s="497">
        <v>50</v>
      </c>
      <c r="EZ126" s="239"/>
      <c r="FA126" s="497" t="s">
        <v>35158</v>
      </c>
      <c r="FB126" s="497" t="s">
        <v>29298</v>
      </c>
      <c r="FC126" s="497">
        <v>57</v>
      </c>
      <c r="FD126" s="497" t="s">
        <v>7</v>
      </c>
      <c r="FE126" s="497" t="s">
        <v>29393</v>
      </c>
      <c r="FF126" s="497" t="s">
        <v>4</v>
      </c>
      <c r="FG126" s="497" t="s">
        <v>2</v>
      </c>
      <c r="FH126" s="497" t="s">
        <v>4</v>
      </c>
      <c r="FI126" s="497" t="s">
        <v>4</v>
      </c>
      <c r="FJ126" s="497" t="s">
        <v>4</v>
      </c>
      <c r="FK126" s="497" t="s">
        <v>4</v>
      </c>
      <c r="FL126" s="497" t="s">
        <v>4</v>
      </c>
      <c r="FM126" s="497" t="s">
        <v>4</v>
      </c>
      <c r="FN126" s="494" t="s">
        <v>4</v>
      </c>
      <c r="FO126" s="497" t="s">
        <v>4</v>
      </c>
      <c r="FP126" s="497" t="s">
        <v>2</v>
      </c>
      <c r="FQ126" s="497" t="s">
        <v>4</v>
      </c>
      <c r="FR126" s="497" t="s">
        <v>4</v>
      </c>
      <c r="FS126" s="497" t="s">
        <v>7</v>
      </c>
      <c r="FT126" s="497" t="s">
        <v>2</v>
      </c>
      <c r="FU126" s="497" t="s">
        <v>4</v>
      </c>
      <c r="FV126" s="497" t="s">
        <v>4</v>
      </c>
      <c r="FW126" s="497" t="s">
        <v>4</v>
      </c>
      <c r="FX126" s="497">
        <v>0</v>
      </c>
      <c r="FY126" s="497" t="s">
        <v>4</v>
      </c>
      <c r="FZ126" s="497" t="s">
        <v>4</v>
      </c>
      <c r="GA126" s="497" t="s">
        <v>4</v>
      </c>
      <c r="GB126" s="497" t="s">
        <v>4</v>
      </c>
      <c r="GC126" s="497" t="s">
        <v>4</v>
      </c>
      <c r="GD126" s="497" t="s">
        <v>4</v>
      </c>
      <c r="GE126" s="497" t="s">
        <v>4</v>
      </c>
      <c r="GF126" s="497" t="s">
        <v>4</v>
      </c>
      <c r="GG126" s="497" t="s">
        <v>4</v>
      </c>
      <c r="GH126" s="497" t="s">
        <v>4</v>
      </c>
      <c r="GI126" s="497" t="s">
        <v>29304</v>
      </c>
      <c r="GJ126" s="497" t="s">
        <v>29529</v>
      </c>
      <c r="GK126" s="497" t="s">
        <v>4</v>
      </c>
      <c r="GL126" s="497" t="s">
        <v>4</v>
      </c>
      <c r="GM126" s="497" t="s">
        <v>4</v>
      </c>
      <c r="GN126" s="497" t="s">
        <v>4</v>
      </c>
      <c r="GO126" s="497" t="s">
        <v>29451</v>
      </c>
      <c r="GP126" s="497" t="s">
        <v>4</v>
      </c>
      <c r="GQ126" s="497" t="s">
        <v>4</v>
      </c>
      <c r="GR126" s="497" t="s">
        <v>4</v>
      </c>
      <c r="GS126" s="497" t="s">
        <v>4</v>
      </c>
      <c r="GT126" s="497" t="s">
        <v>29452</v>
      </c>
      <c r="GU126" s="497" t="s">
        <v>4</v>
      </c>
      <c r="GV126" s="494">
        <v>6</v>
      </c>
      <c r="GW126" s="497" t="s">
        <v>29325</v>
      </c>
      <c r="GX126" s="497" t="s">
        <v>29309</v>
      </c>
      <c r="GY126" s="497" t="s">
        <v>4</v>
      </c>
      <c r="GZ126" s="497" t="s">
        <v>4</v>
      </c>
      <c r="HA126" s="497" t="s">
        <v>4</v>
      </c>
      <c r="HB126" s="497" t="s">
        <v>4</v>
      </c>
      <c r="HC126" s="497" t="s">
        <v>4</v>
      </c>
      <c r="HD126" s="497" t="s">
        <v>4</v>
      </c>
      <c r="HE126" s="497" t="s">
        <v>4</v>
      </c>
      <c r="HF126" s="497" t="s">
        <v>4</v>
      </c>
      <c r="HG126" s="497" t="s">
        <v>2</v>
      </c>
      <c r="HH126" s="497" t="s">
        <v>4</v>
      </c>
      <c r="HI126" s="497" t="s">
        <v>4</v>
      </c>
      <c r="HJ126" s="497" t="s">
        <v>4</v>
      </c>
      <c r="HK126" s="494" t="s">
        <v>4</v>
      </c>
      <c r="HL126" s="497" t="s">
        <v>35159</v>
      </c>
      <c r="HM126" s="497" t="s">
        <v>2</v>
      </c>
      <c r="HN126" s="497" t="s">
        <v>4</v>
      </c>
      <c r="HO126" s="497" t="s">
        <v>35160</v>
      </c>
      <c r="HP126" s="497" t="s">
        <v>35161</v>
      </c>
      <c r="HQ126" s="497" t="s">
        <v>35162</v>
      </c>
      <c r="HR126" s="497" t="s">
        <v>35163</v>
      </c>
      <c r="HS126" s="497" t="s">
        <v>35164</v>
      </c>
      <c r="HT126" s="500" t="s">
        <v>35165</v>
      </c>
    </row>
    <row r="127" spans="1:228" s="570" customFormat="1" ht="30.2" customHeight="1" x14ac:dyDescent="0.25">
      <c r="A127" s="759"/>
      <c r="B127" s="496">
        <v>166</v>
      </c>
      <c r="C127" s="496" t="s">
        <v>451</v>
      </c>
      <c r="D127" s="497" t="s">
        <v>35208</v>
      </c>
      <c r="E127" s="497" t="s">
        <v>35057</v>
      </c>
      <c r="F127" s="497" t="s">
        <v>7</v>
      </c>
      <c r="G127" s="497" t="s">
        <v>35209</v>
      </c>
      <c r="H127" s="497">
        <v>1132.337524</v>
      </c>
      <c r="I127" s="497">
        <v>3.790092</v>
      </c>
      <c r="J127" s="497" t="s">
        <v>29288</v>
      </c>
      <c r="K127" s="497" t="s">
        <v>4</v>
      </c>
      <c r="L127" s="497" t="s">
        <v>35210</v>
      </c>
      <c r="M127" s="497">
        <v>706311670</v>
      </c>
      <c r="N127" s="497" t="s">
        <v>3</v>
      </c>
      <c r="O127" s="497" t="s">
        <v>31438</v>
      </c>
      <c r="P127" s="497">
        <v>69</v>
      </c>
      <c r="Q127" s="497">
        <v>6</v>
      </c>
      <c r="R127" s="497" t="s">
        <v>7</v>
      </c>
      <c r="S127" s="497" t="s">
        <v>31588</v>
      </c>
      <c r="T127" s="497" t="s">
        <v>4</v>
      </c>
      <c r="U127" s="497" t="s">
        <v>7</v>
      </c>
      <c r="V127" s="497" t="s">
        <v>7</v>
      </c>
      <c r="W127" s="497" t="s">
        <v>4</v>
      </c>
      <c r="X127" s="497" t="s">
        <v>7</v>
      </c>
      <c r="Y127" s="497" t="s">
        <v>4</v>
      </c>
      <c r="Z127" s="497" t="s">
        <v>4</v>
      </c>
      <c r="AA127" s="241" t="str">
        <f>IF(OR(U127="yes",Z127&gt;'SDG outcome'!$C$39),"yes","no")</f>
        <v>yes</v>
      </c>
      <c r="AB127" s="521" t="str">
        <f t="shared" si="3"/>
        <v>NA</v>
      </c>
      <c r="AC127" s="527" t="str">
        <f>IF(AND('SMS p2'!AA178="no",AND(Z127&gt;='SDG outcome'!$B$28,Z127&lt;'SDG outcome'!$C$39)),Z127-'SDG outcome'!$B$28,"")</f>
        <v/>
      </c>
      <c r="AD127" s="497" t="s">
        <v>4</v>
      </c>
      <c r="AE127" s="497" t="s">
        <v>4</v>
      </c>
      <c r="AF127" s="497" t="s">
        <v>4</v>
      </c>
      <c r="AG127" s="497" t="s">
        <v>4</v>
      </c>
      <c r="AH127" s="497" t="s">
        <v>4</v>
      </c>
      <c r="AI127" s="497" t="s">
        <v>4</v>
      </c>
      <c r="AJ127" s="497" t="s">
        <v>4</v>
      </c>
      <c r="AK127" s="497" t="s">
        <v>29290</v>
      </c>
      <c r="AL127" s="497" t="s">
        <v>29291</v>
      </c>
      <c r="AM127" s="497" t="s">
        <v>4</v>
      </c>
      <c r="AN127" s="497" t="s">
        <v>4</v>
      </c>
      <c r="AO127" s="497" t="s">
        <v>31536</v>
      </c>
      <c r="AP127" s="497" t="s">
        <v>4</v>
      </c>
      <c r="AQ127" s="497" t="s">
        <v>31537</v>
      </c>
      <c r="AR127" s="497" t="s">
        <v>4</v>
      </c>
      <c r="AS127" s="497" t="s">
        <v>31538</v>
      </c>
      <c r="AT127" s="497" t="s">
        <v>4</v>
      </c>
      <c r="AU127" s="497" t="s">
        <v>2</v>
      </c>
      <c r="AV127" s="497" t="s">
        <v>31581</v>
      </c>
      <c r="AW127" s="497" t="s">
        <v>4</v>
      </c>
      <c r="AX127" s="497" t="s">
        <v>2</v>
      </c>
      <c r="AY127" s="497" t="s">
        <v>4</v>
      </c>
      <c r="AZ127" s="497" t="s">
        <v>4</v>
      </c>
      <c r="BA127" s="497" t="s">
        <v>31557</v>
      </c>
      <c r="BB127" s="497" t="s">
        <v>4</v>
      </c>
      <c r="BC127" s="497" t="s">
        <v>4</v>
      </c>
      <c r="BD127" s="501" t="s">
        <v>4</v>
      </c>
      <c r="BE127" s="497" t="s">
        <v>4</v>
      </c>
      <c r="BF127" s="497" t="s">
        <v>4</v>
      </c>
      <c r="BG127" s="497" t="s">
        <v>4</v>
      </c>
      <c r="BH127" s="497" t="s">
        <v>4</v>
      </c>
      <c r="BI127" s="497" t="s">
        <v>4</v>
      </c>
      <c r="BJ127" s="497" t="s">
        <v>4</v>
      </c>
      <c r="BK127" s="497" t="s">
        <v>7</v>
      </c>
      <c r="BL127" s="497" t="s">
        <v>6</v>
      </c>
      <c r="BM127" s="497" t="s">
        <v>4</v>
      </c>
      <c r="BN127" s="497" t="s">
        <v>31425</v>
      </c>
      <c r="BO127" s="497">
        <v>1</v>
      </c>
      <c r="BP127" s="497">
        <v>30</v>
      </c>
      <c r="BQ127" s="497" t="s">
        <v>31435</v>
      </c>
      <c r="BR127" s="499" t="s">
        <v>33361</v>
      </c>
      <c r="BS127" s="497" t="s">
        <v>4</v>
      </c>
      <c r="BT127" s="497">
        <v>1</v>
      </c>
      <c r="BU127" s="494" cm="1">
        <f t="array" ref="BU127">_xlfn.IFS(BQ127="Foreword vehicle",BT127*0,BQ127="Human wastes",BT127*0,BS127="Jerrycans",BT127*$BT$4,BQ127="Number of Basins",BT127*$BT$5,BQ127="Number of Buckets",BT127*$BT$6,BQ127="Number of Kgs",BT127*$BT$7,BQ127="Number of spades",BT127*$BT$8,BQ127="Number of wheelbarrows",BT127*$BS$9,BS127="Septic Tank",BT127*0)</f>
        <v>82.5</v>
      </c>
      <c r="BV127" s="494">
        <f>Table15[[#This Row],[Calculation: Conversion of metric to Kg manure feeding (Columns: BP, BQ, BR)]]*Table15[[#This Row],[Number of times used to feed biodigester]]</f>
        <v>82.5</v>
      </c>
      <c r="BW127" s="495" cm="1">
        <f t="array" ref="BW127">_xlfn.IFS(BN127="Number of times per day (1 to 3)",BV127/$BW$3,BN127="Number of times per week (1 to 6)",BV127/$BW$4,BN127="Number of times per Month (1 to 3)",BV127/$BW$5)</f>
        <v>82.5</v>
      </c>
      <c r="BX127" s="497" t="s">
        <v>22</v>
      </c>
      <c r="BY127" s="497" t="s">
        <v>4</v>
      </c>
      <c r="BZ127" s="497" t="s">
        <v>2</v>
      </c>
      <c r="CA127" s="497" t="s">
        <v>4</v>
      </c>
      <c r="CB127" s="497" t="s">
        <v>4</v>
      </c>
      <c r="CC127" s="497" t="s">
        <v>4</v>
      </c>
      <c r="CD127" s="497" t="s">
        <v>7</v>
      </c>
      <c r="CE127" s="497" t="s">
        <v>35211</v>
      </c>
      <c r="CF127" s="497" t="s">
        <v>4</v>
      </c>
      <c r="CG127" s="497" t="s">
        <v>31604</v>
      </c>
      <c r="CH127" s="497">
        <v>2</v>
      </c>
      <c r="CI127" s="497">
        <v>0</v>
      </c>
      <c r="CJ127" s="497">
        <v>0</v>
      </c>
      <c r="CK127" s="497">
        <v>0</v>
      </c>
      <c r="CL127" s="497">
        <v>0</v>
      </c>
      <c r="CM127" s="497">
        <v>0</v>
      </c>
      <c r="CN127" s="497">
        <v>0</v>
      </c>
      <c r="CO127" s="497">
        <v>0</v>
      </c>
      <c r="CP127" s="497">
        <v>0</v>
      </c>
      <c r="CQ127" s="497">
        <v>0</v>
      </c>
      <c r="CR127" s="497">
        <f>IF(Table15[[#This Row],[Is your biodigester working?]]="yes",CO127/'SDG outcome'!$C$9*CP127*CQ127,"")</f>
        <v>0</v>
      </c>
      <c r="CS127" s="497">
        <v>50</v>
      </c>
      <c r="CT127" s="500">
        <v>50</v>
      </c>
      <c r="CU127" s="496" t="s">
        <v>35212</v>
      </c>
      <c r="CV127" s="497" t="s">
        <v>4</v>
      </c>
      <c r="CW127" s="500" t="s">
        <v>4</v>
      </c>
      <c r="CX127" s="496" t="s">
        <v>4</v>
      </c>
      <c r="CY127" s="497" t="s">
        <v>4</v>
      </c>
      <c r="CZ127" s="500" t="s">
        <v>4</v>
      </c>
      <c r="DA127" s="496" t="s">
        <v>4</v>
      </c>
      <c r="DB127" s="497" t="s">
        <v>4</v>
      </c>
      <c r="DC127" s="497" t="s">
        <v>4</v>
      </c>
      <c r="DD127" s="497" t="s">
        <v>4</v>
      </c>
      <c r="DE127" s="497" t="s">
        <v>4</v>
      </c>
      <c r="DF127" s="497" t="s">
        <v>4</v>
      </c>
      <c r="DG127" s="497" t="s">
        <v>4</v>
      </c>
      <c r="DH127" s="497" t="s">
        <v>4</v>
      </c>
      <c r="DI127" s="497" t="s">
        <v>4</v>
      </c>
      <c r="DJ127" s="497" t="s">
        <v>4</v>
      </c>
      <c r="DK127" s="497" t="s">
        <v>4</v>
      </c>
      <c r="DL127" s="497" t="s">
        <v>4</v>
      </c>
      <c r="DM127" s="497" t="s">
        <v>4</v>
      </c>
      <c r="DN127" s="497">
        <v>2</v>
      </c>
      <c r="DO127" s="497" t="s">
        <v>2</v>
      </c>
      <c r="DP127" s="497" t="s">
        <v>29292</v>
      </c>
      <c r="DQ127" s="497" t="s">
        <v>4</v>
      </c>
      <c r="DR127" s="497" t="s">
        <v>29294</v>
      </c>
      <c r="DS127" s="494" t="s">
        <v>4</v>
      </c>
      <c r="DT127" s="497" t="s">
        <v>29293</v>
      </c>
      <c r="DU127" s="494">
        <v>0</v>
      </c>
      <c r="DV127" s="500" t="s">
        <v>29508</v>
      </c>
      <c r="DW127" s="496" t="s">
        <v>4</v>
      </c>
      <c r="DX127" s="497" t="s">
        <v>4</v>
      </c>
      <c r="DY127" s="497" t="s">
        <v>4</v>
      </c>
      <c r="DZ127" s="497" t="s">
        <v>4</v>
      </c>
      <c r="EA127" s="497" t="s">
        <v>4</v>
      </c>
      <c r="EB127" s="497" t="s">
        <v>4</v>
      </c>
      <c r="EC127" s="497" t="s">
        <v>4</v>
      </c>
      <c r="ED127" s="497">
        <v>100</v>
      </c>
      <c r="EE127" s="497" t="s">
        <v>26</v>
      </c>
      <c r="EF127" s="497" t="s">
        <v>4</v>
      </c>
      <c r="EG127" s="497" t="s">
        <v>4</v>
      </c>
      <c r="EH127" s="497" t="s">
        <v>4</v>
      </c>
      <c r="EI127" s="497">
        <v>100</v>
      </c>
      <c r="EJ127" s="497" t="s">
        <v>4</v>
      </c>
      <c r="EK127" s="497" t="s">
        <v>4</v>
      </c>
      <c r="EL127" s="497" t="s">
        <v>4</v>
      </c>
      <c r="EM127" s="497">
        <v>30</v>
      </c>
      <c r="EN127" s="497" t="s">
        <v>4</v>
      </c>
      <c r="EO127" s="497" t="s">
        <v>4</v>
      </c>
      <c r="EP127" s="497" t="s">
        <v>4</v>
      </c>
      <c r="EQ127" s="497" t="s">
        <v>29296</v>
      </c>
      <c r="ER127" s="497">
        <v>100</v>
      </c>
      <c r="ES127" s="497" t="s">
        <v>4</v>
      </c>
      <c r="ET127" s="497" t="s">
        <v>4</v>
      </c>
      <c r="EU127" s="497" t="s">
        <v>4</v>
      </c>
      <c r="EV127" s="497" t="s">
        <v>4</v>
      </c>
      <c r="EW127" s="497" t="s">
        <v>33649</v>
      </c>
      <c r="EX127" s="497" t="s">
        <v>7</v>
      </c>
      <c r="EY127" s="497">
        <v>75</v>
      </c>
      <c r="EZ127" s="239"/>
      <c r="FA127" s="497" t="s">
        <v>35213</v>
      </c>
      <c r="FB127" s="497" t="s">
        <v>29298</v>
      </c>
      <c r="FC127" s="497">
        <v>159</v>
      </c>
      <c r="FD127" s="497" t="s">
        <v>2</v>
      </c>
      <c r="FE127" s="497" t="s">
        <v>4</v>
      </c>
      <c r="FF127" s="497" t="s">
        <v>4</v>
      </c>
      <c r="FG127" s="497" t="s">
        <v>2</v>
      </c>
      <c r="FH127" s="497" t="s">
        <v>4</v>
      </c>
      <c r="FI127" s="497" t="s">
        <v>4</v>
      </c>
      <c r="FJ127" s="497" t="s">
        <v>4</v>
      </c>
      <c r="FK127" s="497" t="s">
        <v>4</v>
      </c>
      <c r="FL127" s="497" t="s">
        <v>4</v>
      </c>
      <c r="FM127" s="497" t="s">
        <v>4</v>
      </c>
      <c r="FN127" s="494" t="s">
        <v>4</v>
      </c>
      <c r="FO127" s="497" t="s">
        <v>4</v>
      </c>
      <c r="FP127" s="497" t="s">
        <v>2</v>
      </c>
      <c r="FQ127" s="497" t="s">
        <v>4</v>
      </c>
      <c r="FR127" s="497" t="s">
        <v>4</v>
      </c>
      <c r="FS127" s="497" t="s">
        <v>7</v>
      </c>
      <c r="FT127" s="497" t="s">
        <v>2</v>
      </c>
      <c r="FU127" s="497" t="s">
        <v>4</v>
      </c>
      <c r="FV127" s="497" t="s">
        <v>4</v>
      </c>
      <c r="FW127" s="497" t="s">
        <v>29304</v>
      </c>
      <c r="FX127" s="497">
        <v>2</v>
      </c>
      <c r="FY127" s="497" t="s">
        <v>35214</v>
      </c>
      <c r="FZ127" s="497" t="s">
        <v>4</v>
      </c>
      <c r="GA127" s="497" t="s">
        <v>4</v>
      </c>
      <c r="GB127" s="497" t="s">
        <v>29498</v>
      </c>
      <c r="GC127" s="497" t="s">
        <v>4</v>
      </c>
      <c r="GD127" s="497" t="s">
        <v>29451</v>
      </c>
      <c r="GE127" s="497" t="s">
        <v>4</v>
      </c>
      <c r="GF127" s="497" t="s">
        <v>4</v>
      </c>
      <c r="GG127" s="497" t="s">
        <v>4</v>
      </c>
      <c r="GH127" s="497" t="s">
        <v>4</v>
      </c>
      <c r="GI127" s="497" t="s">
        <v>4</v>
      </c>
      <c r="GJ127" s="497" t="s">
        <v>4</v>
      </c>
      <c r="GK127" s="497" t="s">
        <v>4</v>
      </c>
      <c r="GL127" s="497" t="s">
        <v>4</v>
      </c>
      <c r="GM127" s="497" t="s">
        <v>4</v>
      </c>
      <c r="GN127" s="497" t="s">
        <v>4</v>
      </c>
      <c r="GO127" s="497" t="s">
        <v>4</v>
      </c>
      <c r="GP127" s="497" t="s">
        <v>4</v>
      </c>
      <c r="GQ127" s="497" t="s">
        <v>4</v>
      </c>
      <c r="GR127" s="497" t="s">
        <v>4</v>
      </c>
      <c r="GS127" s="497" t="s">
        <v>4</v>
      </c>
      <c r="GT127" s="497" t="s">
        <v>29354</v>
      </c>
      <c r="GU127" s="497" t="s">
        <v>4</v>
      </c>
      <c r="GV127" s="494">
        <v>1</v>
      </c>
      <c r="GW127" s="497" t="s">
        <v>29325</v>
      </c>
      <c r="GX127" s="497" t="s">
        <v>29309</v>
      </c>
      <c r="GY127" s="497" t="s">
        <v>4</v>
      </c>
      <c r="GZ127" s="497" t="s">
        <v>4</v>
      </c>
      <c r="HA127" s="497" t="s">
        <v>4</v>
      </c>
      <c r="HB127" s="497" t="s">
        <v>4</v>
      </c>
      <c r="HC127" s="497" t="s">
        <v>4</v>
      </c>
      <c r="HD127" s="497" t="s">
        <v>4</v>
      </c>
      <c r="HE127" s="497" t="s">
        <v>4</v>
      </c>
      <c r="HF127" s="497" t="s">
        <v>4</v>
      </c>
      <c r="HG127" s="497" t="s">
        <v>2</v>
      </c>
      <c r="HH127" s="497" t="s">
        <v>4</v>
      </c>
      <c r="HI127" s="497" t="s">
        <v>4</v>
      </c>
      <c r="HJ127" s="497" t="s">
        <v>4</v>
      </c>
      <c r="HK127" s="494" t="s">
        <v>4</v>
      </c>
      <c r="HL127" s="497" t="s">
        <v>35215</v>
      </c>
      <c r="HM127" s="497" t="s">
        <v>2</v>
      </c>
      <c r="HN127" s="497" t="s">
        <v>4</v>
      </c>
      <c r="HO127" s="497" t="s">
        <v>35216</v>
      </c>
      <c r="HP127" s="497" t="s">
        <v>35217</v>
      </c>
      <c r="HQ127" s="497" t="s">
        <v>35218</v>
      </c>
      <c r="HR127" s="497" t="s">
        <v>35219</v>
      </c>
      <c r="HS127" s="497" t="s">
        <v>16</v>
      </c>
      <c r="HT127" s="500" t="s">
        <v>35220</v>
      </c>
    </row>
    <row r="128" spans="1:228" s="570" customFormat="1" ht="30.2" customHeight="1" x14ac:dyDescent="0.25">
      <c r="A128" s="759"/>
      <c r="B128" s="496">
        <v>231</v>
      </c>
      <c r="C128" s="496" t="s">
        <v>25802</v>
      </c>
      <c r="D128" s="497" t="s">
        <v>35895</v>
      </c>
      <c r="E128" s="497" t="s">
        <v>30866</v>
      </c>
      <c r="F128" s="497" t="s">
        <v>7</v>
      </c>
      <c r="G128" s="497" t="s">
        <v>35896</v>
      </c>
      <c r="H128" s="497">
        <v>0</v>
      </c>
      <c r="I128" s="497">
        <v>2400</v>
      </c>
      <c r="J128" s="497" t="s">
        <v>29389</v>
      </c>
      <c r="K128" s="497" t="s">
        <v>33816</v>
      </c>
      <c r="L128" s="497" t="s">
        <v>35897</v>
      </c>
      <c r="M128" s="497">
        <v>783289191</v>
      </c>
      <c r="N128" s="497" t="s">
        <v>5</v>
      </c>
      <c r="O128" s="497" t="s">
        <v>31590</v>
      </c>
      <c r="P128" s="497" t="s">
        <v>4</v>
      </c>
      <c r="Q128" s="497">
        <v>14</v>
      </c>
      <c r="R128" s="497" t="s">
        <v>7</v>
      </c>
      <c r="S128" s="497" t="s">
        <v>31549</v>
      </c>
      <c r="T128" s="497" t="s">
        <v>4</v>
      </c>
      <c r="U128" s="497" t="s">
        <v>7</v>
      </c>
      <c r="V128" s="497" t="s">
        <v>7</v>
      </c>
      <c r="W128" s="497" t="s">
        <v>4</v>
      </c>
      <c r="X128" s="497" t="s">
        <v>7</v>
      </c>
      <c r="Y128" s="497" t="s">
        <v>4</v>
      </c>
      <c r="Z128" s="497" t="s">
        <v>4</v>
      </c>
      <c r="AA128" s="241" t="str">
        <f>IF(OR(U128="yes",Z128&gt;'SDG outcome'!$C$39),"yes","no")</f>
        <v>yes</v>
      </c>
      <c r="AB128" s="521" t="str">
        <f t="shared" si="3"/>
        <v>NA</v>
      </c>
      <c r="AC128" s="527" t="str">
        <f>IF(AND('SMS p2'!AA242="no",AND(Z128&gt;='SDG outcome'!$B$28,Z128&lt;'SDG outcome'!$C$39)),Z128-'SDG outcome'!$B$28,"")</f>
        <v/>
      </c>
      <c r="AD128" s="497" t="s">
        <v>4</v>
      </c>
      <c r="AE128" s="497" t="s">
        <v>4</v>
      </c>
      <c r="AF128" s="497" t="s">
        <v>4</v>
      </c>
      <c r="AG128" s="497" t="s">
        <v>4</v>
      </c>
      <c r="AH128" s="497" t="s">
        <v>4</v>
      </c>
      <c r="AI128" s="497" t="s">
        <v>4</v>
      </c>
      <c r="AJ128" s="497" t="s">
        <v>4</v>
      </c>
      <c r="AK128" s="497" t="s">
        <v>35898</v>
      </c>
      <c r="AL128" s="497" t="s">
        <v>29694</v>
      </c>
      <c r="AM128" s="497" t="s">
        <v>29490</v>
      </c>
      <c r="AN128" s="497" t="s">
        <v>35899</v>
      </c>
      <c r="AO128" s="497" t="s">
        <v>31536</v>
      </c>
      <c r="AP128" s="497" t="s">
        <v>4</v>
      </c>
      <c r="AQ128" s="497" t="s">
        <v>31537</v>
      </c>
      <c r="AR128" s="497" t="s">
        <v>4</v>
      </c>
      <c r="AS128" s="497" t="s">
        <v>31538</v>
      </c>
      <c r="AT128" s="497" t="s">
        <v>4</v>
      </c>
      <c r="AU128" s="497" t="s">
        <v>7</v>
      </c>
      <c r="AV128" s="497" t="s">
        <v>4</v>
      </c>
      <c r="AW128" s="497" t="s">
        <v>4</v>
      </c>
      <c r="AX128" s="497" t="s">
        <v>7</v>
      </c>
      <c r="AY128" s="497" t="s">
        <v>35900</v>
      </c>
      <c r="AZ128" s="497" t="s">
        <v>4</v>
      </c>
      <c r="BA128" s="497" t="s">
        <v>31557</v>
      </c>
      <c r="BB128" s="497" t="s">
        <v>35901</v>
      </c>
      <c r="BC128" s="497" t="s">
        <v>4</v>
      </c>
      <c r="BD128" s="497" t="s">
        <v>31564</v>
      </c>
      <c r="BE128" s="497" t="s">
        <v>4</v>
      </c>
      <c r="BF128" s="497" t="s">
        <v>31542</v>
      </c>
      <c r="BG128" s="497" t="s">
        <v>35902</v>
      </c>
      <c r="BH128" s="497" t="s">
        <v>31544</v>
      </c>
      <c r="BI128" s="497">
        <v>1</v>
      </c>
      <c r="BJ128" s="497">
        <v>60</v>
      </c>
      <c r="BK128" s="497" t="s">
        <v>7</v>
      </c>
      <c r="BL128" s="497" t="s">
        <v>6</v>
      </c>
      <c r="BM128" s="497" t="s">
        <v>4</v>
      </c>
      <c r="BN128" s="497" t="s">
        <v>31429</v>
      </c>
      <c r="BO128" s="497">
        <v>3</v>
      </c>
      <c r="BP128" s="497">
        <v>40</v>
      </c>
      <c r="BQ128" s="497" t="s">
        <v>31426</v>
      </c>
      <c r="BR128" s="499" t="s">
        <v>33361</v>
      </c>
      <c r="BS128" s="497" t="s">
        <v>4</v>
      </c>
      <c r="BT128" s="497">
        <v>3</v>
      </c>
      <c r="BU128" s="494" cm="1">
        <f t="array" ref="BU128">_xlfn.IFS(BQ128="Foreword vehicle",BT128*0,BQ128="Human wastes",BT128*0,BS128="Jerrycans",BT128*$BT$4,BQ128="Number of Basins",BT128*$BT$5,BQ128="Number of Buckets",BT128*$BS$6,BQ128="Number of Kgs",BT128*$BT$7,BQ128="Number of spades",BT128*$BT$8,BQ128="Number of wheelbarrows",BT128*$BT$9,BS128="Septic Tank",BT128*0)</f>
        <v>70.5</v>
      </c>
      <c r="BV128" s="494">
        <f>Table15[[#This Row],[Calculation: Conversion of metric to Kg manure feeding (Columns: BP, BQ, BR)]]*Table15[[#This Row],[Number of times used to feed biodigester]]</f>
        <v>211.5</v>
      </c>
      <c r="BW128" s="495" cm="1">
        <f t="array" ref="BW128">_xlfn.IFS(BN128="Number of times per day (1 to 3)",BV128/$BW$3,BN128="Number of times per week (1 to 6)",BV128/$BW$4,BN128="Number of times per Month (1 to 3)",BV128/$BW$5)</f>
        <v>30.214285714285715</v>
      </c>
      <c r="BX128" s="497" t="s">
        <v>22</v>
      </c>
      <c r="BY128" s="497" t="s">
        <v>4</v>
      </c>
      <c r="BZ128" s="497" t="s">
        <v>2</v>
      </c>
      <c r="CA128" s="497" t="s">
        <v>4</v>
      </c>
      <c r="CB128" s="497" t="s">
        <v>4</v>
      </c>
      <c r="CC128" s="497" t="s">
        <v>4</v>
      </c>
      <c r="CD128" s="497" t="s">
        <v>7</v>
      </c>
      <c r="CE128" s="497" t="s">
        <v>35903</v>
      </c>
      <c r="CF128" s="497" t="s">
        <v>4</v>
      </c>
      <c r="CG128" s="497" t="s">
        <v>31604</v>
      </c>
      <c r="CH128" s="497">
        <v>2</v>
      </c>
      <c r="CI128" s="497">
        <v>0</v>
      </c>
      <c r="CJ128" s="497">
        <v>0</v>
      </c>
      <c r="CK128" s="497">
        <v>0</v>
      </c>
      <c r="CL128" s="497">
        <v>0</v>
      </c>
      <c r="CM128" s="497">
        <v>0</v>
      </c>
      <c r="CN128" s="497">
        <v>0</v>
      </c>
      <c r="CO128" s="497">
        <v>0</v>
      </c>
      <c r="CP128" s="497">
        <v>0</v>
      </c>
      <c r="CQ128" s="497">
        <v>0</v>
      </c>
      <c r="CR128" s="497">
        <f>IF(Table15[[#This Row],[Is your biodigester working?]]="yes",CO128/'SDG outcome'!$C$9*CP128*CQ128,"")</f>
        <v>0</v>
      </c>
      <c r="CS128" s="497">
        <v>100</v>
      </c>
      <c r="CT128" s="500">
        <v>0</v>
      </c>
      <c r="CU128" s="496" t="s">
        <v>4</v>
      </c>
      <c r="CV128" s="497" t="s">
        <v>4</v>
      </c>
      <c r="CW128" s="500" t="s">
        <v>4</v>
      </c>
      <c r="CX128" s="496" t="s">
        <v>4</v>
      </c>
      <c r="CY128" s="497" t="s">
        <v>4</v>
      </c>
      <c r="CZ128" s="500" t="s">
        <v>4</v>
      </c>
      <c r="DA128" s="496" t="s">
        <v>4</v>
      </c>
      <c r="DB128" s="497" t="s">
        <v>4</v>
      </c>
      <c r="DC128" s="497" t="s">
        <v>4</v>
      </c>
      <c r="DD128" s="497" t="s">
        <v>4</v>
      </c>
      <c r="DE128" s="497" t="s">
        <v>4</v>
      </c>
      <c r="DF128" s="497" t="s">
        <v>4</v>
      </c>
      <c r="DG128" s="497" t="s">
        <v>4</v>
      </c>
      <c r="DH128" s="497" t="s">
        <v>4</v>
      </c>
      <c r="DI128" s="497" t="s">
        <v>4</v>
      </c>
      <c r="DJ128" s="497" t="s">
        <v>4</v>
      </c>
      <c r="DK128" s="497" t="s">
        <v>4</v>
      </c>
      <c r="DL128" s="497" t="s">
        <v>4</v>
      </c>
      <c r="DM128" s="497" t="s">
        <v>4</v>
      </c>
      <c r="DN128" s="497">
        <v>6</v>
      </c>
      <c r="DO128" s="497" t="s">
        <v>7</v>
      </c>
      <c r="DP128" s="497" t="s">
        <v>29292</v>
      </c>
      <c r="DQ128" s="497" t="s">
        <v>4</v>
      </c>
      <c r="DR128" s="497" t="s">
        <v>29294</v>
      </c>
      <c r="DS128" s="494" t="s">
        <v>4</v>
      </c>
      <c r="DT128" s="497" t="s">
        <v>29294</v>
      </c>
      <c r="DU128" s="494" t="s">
        <v>4</v>
      </c>
      <c r="DV128" s="500" t="s">
        <v>29295</v>
      </c>
      <c r="DW128" s="496">
        <v>100</v>
      </c>
      <c r="DX128" s="497" t="s">
        <v>29296</v>
      </c>
      <c r="DY128" s="497">
        <v>100</v>
      </c>
      <c r="DZ128" s="497" t="s">
        <v>4</v>
      </c>
      <c r="EA128" s="497" t="s">
        <v>4</v>
      </c>
      <c r="EB128" s="497" t="s">
        <v>4</v>
      </c>
      <c r="EC128" s="497" t="s">
        <v>4</v>
      </c>
      <c r="ED128" s="497" t="s">
        <v>4</v>
      </c>
      <c r="EE128" s="497" t="s">
        <v>4</v>
      </c>
      <c r="EF128" s="497" t="s">
        <v>4</v>
      </c>
      <c r="EG128" s="497" t="s">
        <v>4</v>
      </c>
      <c r="EH128" s="497" t="s">
        <v>4</v>
      </c>
      <c r="EI128" s="497" t="s">
        <v>4</v>
      </c>
      <c r="EJ128" s="497" t="s">
        <v>4</v>
      </c>
      <c r="EK128" s="497" t="s">
        <v>4</v>
      </c>
      <c r="EL128" s="497" t="s">
        <v>4</v>
      </c>
      <c r="EM128" s="497" t="s">
        <v>4</v>
      </c>
      <c r="EN128" s="497" t="s">
        <v>4</v>
      </c>
      <c r="EO128" s="497" t="s">
        <v>4</v>
      </c>
      <c r="EP128" s="497" t="s">
        <v>4</v>
      </c>
      <c r="EQ128" s="497" t="s">
        <v>4</v>
      </c>
      <c r="ER128" s="497" t="s">
        <v>4</v>
      </c>
      <c r="ES128" s="497" t="s">
        <v>4</v>
      </c>
      <c r="ET128" s="497" t="s">
        <v>4</v>
      </c>
      <c r="EU128" s="497" t="s">
        <v>4</v>
      </c>
      <c r="EV128" s="497" t="s">
        <v>4</v>
      </c>
      <c r="EW128" s="497" t="s">
        <v>9</v>
      </c>
      <c r="EX128" s="497" t="s">
        <v>7</v>
      </c>
      <c r="EY128" s="497">
        <v>40</v>
      </c>
      <c r="EZ128" s="239"/>
      <c r="FA128" s="497" t="s">
        <v>30364</v>
      </c>
      <c r="FB128" s="497" t="s">
        <v>29298</v>
      </c>
      <c r="FC128" s="497">
        <v>48</v>
      </c>
      <c r="FD128" s="497" t="s">
        <v>7</v>
      </c>
      <c r="FE128" s="497" t="s">
        <v>29393</v>
      </c>
      <c r="FF128" s="497" t="s">
        <v>4</v>
      </c>
      <c r="FG128" s="497" t="s">
        <v>2</v>
      </c>
      <c r="FH128" s="497" t="s">
        <v>4</v>
      </c>
      <c r="FI128" s="497" t="s">
        <v>4</v>
      </c>
      <c r="FJ128" s="497" t="s">
        <v>4</v>
      </c>
      <c r="FK128" s="497" t="s">
        <v>4</v>
      </c>
      <c r="FL128" s="497" t="s">
        <v>4</v>
      </c>
      <c r="FM128" s="497" t="s">
        <v>4</v>
      </c>
      <c r="FN128" s="494" t="s">
        <v>4</v>
      </c>
      <c r="FO128" s="497" t="s">
        <v>4</v>
      </c>
      <c r="FP128" s="497" t="s">
        <v>2</v>
      </c>
      <c r="FQ128" s="497" t="s">
        <v>4</v>
      </c>
      <c r="FR128" s="497" t="s">
        <v>4</v>
      </c>
      <c r="FS128" s="497" t="s">
        <v>2</v>
      </c>
      <c r="FT128" s="497" t="s">
        <v>7</v>
      </c>
      <c r="FU128" s="497" t="s">
        <v>29302</v>
      </c>
      <c r="FV128" s="497" t="s">
        <v>33553</v>
      </c>
      <c r="FW128" s="497" t="s">
        <v>4</v>
      </c>
      <c r="FX128" s="497">
        <v>0</v>
      </c>
      <c r="FY128" s="497" t="s">
        <v>4</v>
      </c>
      <c r="FZ128" s="497" t="s">
        <v>4</v>
      </c>
      <c r="GA128" s="497" t="s">
        <v>4</v>
      </c>
      <c r="GB128" s="497" t="s">
        <v>4</v>
      </c>
      <c r="GC128" s="497" t="s">
        <v>4</v>
      </c>
      <c r="GD128" s="497" t="s">
        <v>4</v>
      </c>
      <c r="GE128" s="497" t="s">
        <v>4</v>
      </c>
      <c r="GF128" s="497" t="s">
        <v>4</v>
      </c>
      <c r="GG128" s="497" t="s">
        <v>4</v>
      </c>
      <c r="GH128" s="497" t="s">
        <v>4</v>
      </c>
      <c r="GI128" s="497" t="s">
        <v>29433</v>
      </c>
      <c r="GJ128" s="497" t="s">
        <v>4</v>
      </c>
      <c r="GK128" s="497" t="s">
        <v>4</v>
      </c>
      <c r="GL128" s="497" t="s">
        <v>4</v>
      </c>
      <c r="GM128" s="497" t="s">
        <v>4</v>
      </c>
      <c r="GN128" s="497" t="s">
        <v>4</v>
      </c>
      <c r="GO128" s="497" t="s">
        <v>4</v>
      </c>
      <c r="GP128" s="497" t="s">
        <v>4</v>
      </c>
      <c r="GQ128" s="497" t="s">
        <v>4</v>
      </c>
      <c r="GR128" s="497" t="s">
        <v>13</v>
      </c>
      <c r="GS128" s="497" t="s">
        <v>35904</v>
      </c>
      <c r="GT128" s="497" t="s">
        <v>29467</v>
      </c>
      <c r="GU128" s="497" t="s">
        <v>4</v>
      </c>
      <c r="GV128" s="494">
        <v>10</v>
      </c>
      <c r="GW128" s="497" t="s">
        <v>2</v>
      </c>
      <c r="GX128" s="497" t="s">
        <v>29309</v>
      </c>
      <c r="GY128" s="497" t="s">
        <v>4</v>
      </c>
      <c r="GZ128" s="497" t="s">
        <v>4</v>
      </c>
      <c r="HA128" s="497" t="s">
        <v>4</v>
      </c>
      <c r="HB128" s="497" t="s">
        <v>4</v>
      </c>
      <c r="HC128" s="497" t="s">
        <v>4</v>
      </c>
      <c r="HD128" s="497" t="s">
        <v>4</v>
      </c>
      <c r="HE128" s="497" t="s">
        <v>4</v>
      </c>
      <c r="HF128" s="497" t="s">
        <v>4</v>
      </c>
      <c r="HG128" s="497" t="s">
        <v>2</v>
      </c>
      <c r="HH128" s="497" t="s">
        <v>4</v>
      </c>
      <c r="HI128" s="497" t="s">
        <v>4</v>
      </c>
      <c r="HJ128" s="497" t="s">
        <v>4</v>
      </c>
      <c r="HK128" s="494" t="s">
        <v>4</v>
      </c>
      <c r="HL128" s="497" t="s">
        <v>4</v>
      </c>
      <c r="HM128" s="497" t="s">
        <v>2</v>
      </c>
      <c r="HN128" s="497" t="s">
        <v>4</v>
      </c>
      <c r="HO128" s="497" t="s">
        <v>35905</v>
      </c>
      <c r="HP128" s="497" t="s">
        <v>35906</v>
      </c>
      <c r="HQ128" s="497" t="s">
        <v>35907</v>
      </c>
      <c r="HR128" s="497" t="s">
        <v>35908</v>
      </c>
      <c r="HS128" s="497" t="s">
        <v>35909</v>
      </c>
      <c r="HT128" s="500" t="s">
        <v>35895</v>
      </c>
    </row>
    <row r="129" spans="1:228" s="570" customFormat="1" ht="30.2" customHeight="1" x14ac:dyDescent="0.25">
      <c r="A129" s="759"/>
      <c r="B129" s="496">
        <v>235</v>
      </c>
      <c r="C129" s="496" t="s">
        <v>26965</v>
      </c>
      <c r="D129" s="497" t="s">
        <v>35941</v>
      </c>
      <c r="E129" s="497" t="s">
        <v>30866</v>
      </c>
      <c r="F129" s="497" t="s">
        <v>7</v>
      </c>
      <c r="G129" s="497" t="s">
        <v>35942</v>
      </c>
      <c r="H129" s="497">
        <v>1615.4</v>
      </c>
      <c r="I129" s="497">
        <v>4.9000000000000004</v>
      </c>
      <c r="J129" s="497" t="s">
        <v>29319</v>
      </c>
      <c r="K129" s="497" t="s">
        <v>4</v>
      </c>
      <c r="L129" s="497" t="s">
        <v>35943</v>
      </c>
      <c r="M129" s="497">
        <v>772407271</v>
      </c>
      <c r="N129" s="497" t="s">
        <v>5</v>
      </c>
      <c r="O129" s="497" t="s">
        <v>31590</v>
      </c>
      <c r="P129" s="497" t="s">
        <v>4</v>
      </c>
      <c r="Q129" s="497">
        <v>4</v>
      </c>
      <c r="R129" s="497" t="s">
        <v>7</v>
      </c>
      <c r="S129" s="497" t="s">
        <v>31549</v>
      </c>
      <c r="T129" s="497" t="s">
        <v>4</v>
      </c>
      <c r="U129" s="497" t="s">
        <v>7</v>
      </c>
      <c r="V129" s="497" t="s">
        <v>7</v>
      </c>
      <c r="W129" s="497" t="s">
        <v>4</v>
      </c>
      <c r="X129" s="497" t="s">
        <v>7</v>
      </c>
      <c r="Y129" s="497" t="s">
        <v>4</v>
      </c>
      <c r="Z129" s="497" t="s">
        <v>4</v>
      </c>
      <c r="AA129" s="241" t="str">
        <f>IF(OR(U129="yes",Z129&gt;'SDG outcome'!$C$39),"yes","no")</f>
        <v>yes</v>
      </c>
      <c r="AB129" s="521" t="str">
        <f t="shared" si="3"/>
        <v>NA</v>
      </c>
      <c r="AC129" s="527" t="str">
        <f>IF(AND('SMS p2'!AA246="no",AND(Z129&gt;='SDG outcome'!$B$28,Z129&lt;'SDG outcome'!$C$39)),Z129-'SDG outcome'!$B$28,"")</f>
        <v/>
      </c>
      <c r="AD129" s="497" t="s">
        <v>4</v>
      </c>
      <c r="AE129" s="497" t="s">
        <v>4</v>
      </c>
      <c r="AF129" s="497" t="s">
        <v>4</v>
      </c>
      <c r="AG129" s="497" t="s">
        <v>4</v>
      </c>
      <c r="AH129" s="497" t="s">
        <v>4</v>
      </c>
      <c r="AI129" s="497" t="s">
        <v>4</v>
      </c>
      <c r="AJ129" s="497" t="s">
        <v>4</v>
      </c>
      <c r="AK129" s="497" t="s">
        <v>29290</v>
      </c>
      <c r="AL129" s="497" t="s">
        <v>29694</v>
      </c>
      <c r="AM129" s="497" t="s">
        <v>4</v>
      </c>
      <c r="AN129" s="497" t="s">
        <v>4</v>
      </c>
      <c r="AO129" s="497" t="s">
        <v>31536</v>
      </c>
      <c r="AP129" s="497" t="s">
        <v>4</v>
      </c>
      <c r="AQ129" s="497" t="s">
        <v>31537</v>
      </c>
      <c r="AR129" s="497" t="s">
        <v>4</v>
      </c>
      <c r="AS129" s="497" t="s">
        <v>31538</v>
      </c>
      <c r="AT129" s="497" t="s">
        <v>4</v>
      </c>
      <c r="AU129" s="497" t="s">
        <v>7</v>
      </c>
      <c r="AV129" s="497" t="s">
        <v>4</v>
      </c>
      <c r="AW129" s="497" t="s">
        <v>4</v>
      </c>
      <c r="AX129" s="497" t="s">
        <v>7</v>
      </c>
      <c r="AY129" s="497" t="s">
        <v>76</v>
      </c>
      <c r="AZ129" s="497" t="s">
        <v>4</v>
      </c>
      <c r="BA129" s="497" t="s">
        <v>31563</v>
      </c>
      <c r="BB129" s="497" t="s">
        <v>22</v>
      </c>
      <c r="BC129" s="497" t="s">
        <v>4</v>
      </c>
      <c r="BD129" s="497" t="s">
        <v>31564</v>
      </c>
      <c r="BE129" s="497" t="s">
        <v>4</v>
      </c>
      <c r="BF129" s="497" t="s">
        <v>31542</v>
      </c>
      <c r="BG129" s="497" t="s">
        <v>35944</v>
      </c>
      <c r="BH129" s="497" t="s">
        <v>31616</v>
      </c>
      <c r="BI129" s="497">
        <v>2</v>
      </c>
      <c r="BJ129" s="497">
        <v>120</v>
      </c>
      <c r="BK129" s="497" t="s">
        <v>7</v>
      </c>
      <c r="BL129" s="497" t="s">
        <v>6</v>
      </c>
      <c r="BM129" s="497" t="s">
        <v>4</v>
      </c>
      <c r="BN129" s="497" t="s">
        <v>31425</v>
      </c>
      <c r="BO129" s="497">
        <v>1</v>
      </c>
      <c r="BP129" s="497">
        <v>50</v>
      </c>
      <c r="BQ129" s="497" t="s">
        <v>31435</v>
      </c>
      <c r="BR129" s="499" t="s">
        <v>33332</v>
      </c>
      <c r="BS129" s="497" t="s">
        <v>4</v>
      </c>
      <c r="BT129" s="497">
        <v>2</v>
      </c>
      <c r="BU129" s="494" cm="1">
        <f t="array" ref="BU129">_xlfn.IFS(BQ129="Foreword vehicle",BT129*0,BQ129="Human wastes",BT129*0,BS129="Jerrycans",BT129*$BT$4,BQ129="Number of Basins",BT129*$BT$5,BQ129="Number of Buckets",BT129*$BT$6,BQ129="Number of Kgs",BT129*$BT$7,BQ129="Number of spades",BT129*$BT$8,BQ129="Number of wheelbarrows",BT129*$BT$9,BS129="Septic Tank",BT129*0)</f>
        <v>141</v>
      </c>
      <c r="BV129" s="494">
        <f>Table15[[#This Row],[Calculation: Conversion of metric to Kg manure feeding (Columns: BP, BQ, BR)]]*Table15[[#This Row],[Number of times used to feed biodigester]]</f>
        <v>141</v>
      </c>
      <c r="BW129" s="495" cm="1">
        <f t="array" ref="BW129">_xlfn.IFS(BN129="Number of times per day (1 to 3)",BV129/$BW$3,BN129="Number of times per week (1 to 6)",BV129/$BW$4,BN129="Number of times per Month (1 to 3)",BV129/$BW$5)</f>
        <v>141</v>
      </c>
      <c r="BX129" s="497" t="s">
        <v>22</v>
      </c>
      <c r="BY129" s="497" t="s">
        <v>4</v>
      </c>
      <c r="BZ129" s="497" t="s">
        <v>2</v>
      </c>
      <c r="CA129" s="497" t="s">
        <v>4</v>
      </c>
      <c r="CB129" s="497" t="s">
        <v>4</v>
      </c>
      <c r="CC129" s="497" t="s">
        <v>4</v>
      </c>
      <c r="CD129" s="497" t="s">
        <v>7</v>
      </c>
      <c r="CE129" s="497" t="s">
        <v>35945</v>
      </c>
      <c r="CF129" s="497" t="s">
        <v>4</v>
      </c>
      <c r="CG129" s="497" t="s">
        <v>31604</v>
      </c>
      <c r="CH129" s="497">
        <v>4</v>
      </c>
      <c r="CI129" s="497">
        <v>0</v>
      </c>
      <c r="CJ129" s="497">
        <v>0</v>
      </c>
      <c r="CK129" s="497">
        <v>0</v>
      </c>
      <c r="CL129" s="497">
        <v>0</v>
      </c>
      <c r="CM129" s="497">
        <v>0</v>
      </c>
      <c r="CN129" s="497">
        <v>0</v>
      </c>
      <c r="CO129" s="497">
        <v>0</v>
      </c>
      <c r="CP129" s="497">
        <v>0</v>
      </c>
      <c r="CQ129" s="497">
        <v>0</v>
      </c>
      <c r="CR129" s="497">
        <f>IF(Table15[[#This Row],[Is your biodigester working?]]="yes",CO129/'SDG outcome'!$C$9*CP129*CQ129,"")</f>
        <v>0</v>
      </c>
      <c r="CS129" s="497">
        <v>30</v>
      </c>
      <c r="CT129" s="500">
        <v>70</v>
      </c>
      <c r="CU129" s="496" t="s">
        <v>35946</v>
      </c>
      <c r="CV129" s="497" t="s">
        <v>4</v>
      </c>
      <c r="CW129" s="500" t="s">
        <v>4</v>
      </c>
      <c r="CX129" s="496" t="s">
        <v>4</v>
      </c>
      <c r="CY129" s="497" t="s">
        <v>4</v>
      </c>
      <c r="CZ129" s="500" t="s">
        <v>4</v>
      </c>
      <c r="DA129" s="496" t="s">
        <v>4</v>
      </c>
      <c r="DB129" s="497" t="s">
        <v>4</v>
      </c>
      <c r="DC129" s="497" t="s">
        <v>4</v>
      </c>
      <c r="DD129" s="497" t="s">
        <v>4</v>
      </c>
      <c r="DE129" s="497" t="s">
        <v>4</v>
      </c>
      <c r="DF129" s="497" t="s">
        <v>4</v>
      </c>
      <c r="DG129" s="497" t="s">
        <v>4</v>
      </c>
      <c r="DH129" s="497" t="s">
        <v>4</v>
      </c>
      <c r="DI129" s="497" t="s">
        <v>4</v>
      </c>
      <c r="DJ129" s="497" t="s">
        <v>4</v>
      </c>
      <c r="DK129" s="497" t="s">
        <v>4</v>
      </c>
      <c r="DL129" s="497" t="s">
        <v>4</v>
      </c>
      <c r="DM129" s="497" t="s">
        <v>4</v>
      </c>
      <c r="DN129" s="497">
        <v>4</v>
      </c>
      <c r="DO129" s="497" t="s">
        <v>7</v>
      </c>
      <c r="DP129" s="497" t="s">
        <v>29292</v>
      </c>
      <c r="DQ129" s="497" t="s">
        <v>4</v>
      </c>
      <c r="DR129" s="497" t="s">
        <v>29294</v>
      </c>
      <c r="DS129" s="494" t="s">
        <v>4</v>
      </c>
      <c r="DT129" s="497" t="s">
        <v>29294</v>
      </c>
      <c r="DU129" s="494" t="s">
        <v>4</v>
      </c>
      <c r="DV129" s="500" t="s">
        <v>29295</v>
      </c>
      <c r="DW129" s="496">
        <v>100</v>
      </c>
      <c r="DX129" s="497" t="s">
        <v>29296</v>
      </c>
      <c r="DY129" s="497">
        <v>100</v>
      </c>
      <c r="DZ129" s="497" t="s">
        <v>4</v>
      </c>
      <c r="EA129" s="497" t="s">
        <v>4</v>
      </c>
      <c r="EB129" s="497" t="s">
        <v>4</v>
      </c>
      <c r="EC129" s="497" t="s">
        <v>4</v>
      </c>
      <c r="ED129" s="497" t="s">
        <v>4</v>
      </c>
      <c r="EE129" s="497" t="s">
        <v>4</v>
      </c>
      <c r="EF129" s="497" t="s">
        <v>4</v>
      </c>
      <c r="EG129" s="497" t="s">
        <v>4</v>
      </c>
      <c r="EH129" s="497" t="s">
        <v>4</v>
      </c>
      <c r="EI129" s="497" t="s">
        <v>4</v>
      </c>
      <c r="EJ129" s="497" t="s">
        <v>4</v>
      </c>
      <c r="EK129" s="497" t="s">
        <v>4</v>
      </c>
      <c r="EL129" s="497" t="s">
        <v>4</v>
      </c>
      <c r="EM129" s="497" t="s">
        <v>4</v>
      </c>
      <c r="EN129" s="497" t="s">
        <v>4</v>
      </c>
      <c r="EO129" s="497" t="s">
        <v>4</v>
      </c>
      <c r="EP129" s="497" t="s">
        <v>4</v>
      </c>
      <c r="EQ129" s="497" t="s">
        <v>4</v>
      </c>
      <c r="ER129" s="497" t="s">
        <v>4</v>
      </c>
      <c r="ES129" s="497" t="s">
        <v>4</v>
      </c>
      <c r="ET129" s="497" t="s">
        <v>4</v>
      </c>
      <c r="EU129" s="497" t="s">
        <v>4</v>
      </c>
      <c r="EV129" s="497" t="s">
        <v>4</v>
      </c>
      <c r="EW129" s="497" t="s">
        <v>9</v>
      </c>
      <c r="EX129" s="497" t="s">
        <v>7</v>
      </c>
      <c r="EY129" s="497">
        <v>20</v>
      </c>
      <c r="EZ129" s="239"/>
      <c r="FA129" s="497" t="s">
        <v>35947</v>
      </c>
      <c r="FB129" s="497" t="s">
        <v>29298</v>
      </c>
      <c r="FC129" s="497">
        <v>8</v>
      </c>
      <c r="FD129" s="497" t="s">
        <v>2</v>
      </c>
      <c r="FE129" s="497" t="s">
        <v>4</v>
      </c>
      <c r="FF129" s="497" t="s">
        <v>4</v>
      </c>
      <c r="FG129" s="497" t="s">
        <v>2</v>
      </c>
      <c r="FH129" s="497" t="s">
        <v>4</v>
      </c>
      <c r="FI129" s="497" t="s">
        <v>4</v>
      </c>
      <c r="FJ129" s="497" t="s">
        <v>4</v>
      </c>
      <c r="FK129" s="497" t="s">
        <v>4</v>
      </c>
      <c r="FL129" s="497" t="s">
        <v>4</v>
      </c>
      <c r="FM129" s="497" t="s">
        <v>4</v>
      </c>
      <c r="FN129" s="494" t="s">
        <v>4</v>
      </c>
      <c r="FO129" s="497" t="s">
        <v>4</v>
      </c>
      <c r="FP129" s="497" t="s">
        <v>2</v>
      </c>
      <c r="FQ129" s="497" t="s">
        <v>4</v>
      </c>
      <c r="FR129" s="497" t="s">
        <v>4</v>
      </c>
      <c r="FS129" s="497" t="s">
        <v>2</v>
      </c>
      <c r="FT129" s="497" t="s">
        <v>2</v>
      </c>
      <c r="FU129" s="497" t="s">
        <v>4</v>
      </c>
      <c r="FV129" s="497" t="s">
        <v>4</v>
      </c>
      <c r="FW129" s="497" t="s">
        <v>4</v>
      </c>
      <c r="FX129" s="497">
        <v>0</v>
      </c>
      <c r="FY129" s="497" t="s">
        <v>4</v>
      </c>
      <c r="FZ129" s="497" t="s">
        <v>4</v>
      </c>
      <c r="GA129" s="497" t="s">
        <v>4</v>
      </c>
      <c r="GB129" s="497" t="s">
        <v>4</v>
      </c>
      <c r="GC129" s="497" t="s">
        <v>4</v>
      </c>
      <c r="GD129" s="497" t="s">
        <v>4</v>
      </c>
      <c r="GE129" s="497" t="s">
        <v>4</v>
      </c>
      <c r="GF129" s="497" t="s">
        <v>4</v>
      </c>
      <c r="GG129" s="497" t="s">
        <v>4</v>
      </c>
      <c r="GH129" s="497" t="s">
        <v>4</v>
      </c>
      <c r="GI129" s="497" t="s">
        <v>29304</v>
      </c>
      <c r="GJ129" s="497" t="s">
        <v>29305</v>
      </c>
      <c r="GK129" s="497" t="s">
        <v>29306</v>
      </c>
      <c r="GL129" s="497" t="s">
        <v>4</v>
      </c>
      <c r="GM129" s="497" t="s">
        <v>4</v>
      </c>
      <c r="GN129" s="497" t="s">
        <v>4</v>
      </c>
      <c r="GO129" s="497" t="s">
        <v>4</v>
      </c>
      <c r="GP129" s="497" t="s">
        <v>4</v>
      </c>
      <c r="GQ129" s="497" t="s">
        <v>4</v>
      </c>
      <c r="GR129" s="497" t="s">
        <v>4</v>
      </c>
      <c r="GS129" s="497" t="s">
        <v>4</v>
      </c>
      <c r="GT129" s="497" t="s">
        <v>29354</v>
      </c>
      <c r="GU129" s="497" t="s">
        <v>4</v>
      </c>
      <c r="GV129" s="494">
        <v>80</v>
      </c>
      <c r="GW129" s="497" t="s">
        <v>2</v>
      </c>
      <c r="GX129" s="497" t="s">
        <v>29309</v>
      </c>
      <c r="GY129" s="497" t="s">
        <v>4</v>
      </c>
      <c r="GZ129" s="497" t="s">
        <v>4</v>
      </c>
      <c r="HA129" s="497" t="s">
        <v>4</v>
      </c>
      <c r="HB129" s="497" t="s">
        <v>4</v>
      </c>
      <c r="HC129" s="497" t="s">
        <v>4</v>
      </c>
      <c r="HD129" s="497" t="s">
        <v>4</v>
      </c>
      <c r="HE129" s="497" t="s">
        <v>4</v>
      </c>
      <c r="HF129" s="497" t="s">
        <v>4</v>
      </c>
      <c r="HG129" s="497" t="s">
        <v>2</v>
      </c>
      <c r="HH129" s="497" t="s">
        <v>4</v>
      </c>
      <c r="HI129" s="497" t="s">
        <v>4</v>
      </c>
      <c r="HJ129" s="497" t="s">
        <v>4</v>
      </c>
      <c r="HK129" s="494" t="s">
        <v>4</v>
      </c>
      <c r="HL129" s="497" t="s">
        <v>35948</v>
      </c>
      <c r="HM129" s="497" t="s">
        <v>7</v>
      </c>
      <c r="HN129" s="497" t="s">
        <v>35949</v>
      </c>
      <c r="HO129" s="497" t="s">
        <v>35950</v>
      </c>
      <c r="HP129" s="497" t="s">
        <v>35951</v>
      </c>
      <c r="HQ129" s="497" t="s">
        <v>35952</v>
      </c>
      <c r="HR129" s="497" t="s">
        <v>35953</v>
      </c>
      <c r="HS129" s="497" t="s">
        <v>35954</v>
      </c>
      <c r="HT129" s="500" t="s">
        <v>33442</v>
      </c>
    </row>
    <row r="130" spans="1:228" s="570" customFormat="1" ht="30.2" customHeight="1" x14ac:dyDescent="0.25">
      <c r="A130" s="759"/>
      <c r="B130" s="496">
        <v>237</v>
      </c>
      <c r="C130" s="496" t="s">
        <v>28400</v>
      </c>
      <c r="D130" s="497" t="s">
        <v>35965</v>
      </c>
      <c r="E130" s="497" t="s">
        <v>30866</v>
      </c>
      <c r="F130" s="497" t="s">
        <v>7</v>
      </c>
      <c r="G130" s="497" t="s">
        <v>35966</v>
      </c>
      <c r="H130" s="497">
        <v>1589.4</v>
      </c>
      <c r="I130" s="497">
        <v>4.9000000000000004</v>
      </c>
      <c r="J130" s="497" t="s">
        <v>29389</v>
      </c>
      <c r="K130" s="497" t="s">
        <v>34008</v>
      </c>
      <c r="L130" s="497" t="s">
        <v>35967</v>
      </c>
      <c r="M130" s="497">
        <v>772611567</v>
      </c>
      <c r="N130" s="497" t="s">
        <v>5</v>
      </c>
      <c r="O130" s="497" t="s">
        <v>31590</v>
      </c>
      <c r="P130" s="497" t="s">
        <v>4</v>
      </c>
      <c r="Q130" s="497">
        <v>7</v>
      </c>
      <c r="R130" s="497" t="s">
        <v>7</v>
      </c>
      <c r="S130" s="497" t="s">
        <v>31549</v>
      </c>
      <c r="T130" s="497" t="s">
        <v>4</v>
      </c>
      <c r="U130" s="497" t="s">
        <v>7</v>
      </c>
      <c r="V130" s="497" t="s">
        <v>7</v>
      </c>
      <c r="W130" s="497" t="s">
        <v>4</v>
      </c>
      <c r="X130" s="497" t="s">
        <v>7</v>
      </c>
      <c r="Y130" s="497" t="s">
        <v>4</v>
      </c>
      <c r="Z130" s="497" t="s">
        <v>4</v>
      </c>
      <c r="AA130" s="241" t="str">
        <f>IF(OR(U130="yes",Z130&gt;'SDG outcome'!$C$39),"yes","no")</f>
        <v>yes</v>
      </c>
      <c r="AB130" s="521" t="str">
        <f t="shared" si="3"/>
        <v>NA</v>
      </c>
      <c r="AC130" s="527" t="str">
        <f>IF(AND('SMS p2'!AA248="no",AND(Z130&gt;='SDG outcome'!$B$28,Z130&lt;'SDG outcome'!$C$39)),Z130-'SDG outcome'!$B$28,"")</f>
        <v/>
      </c>
      <c r="AD130" s="497" t="s">
        <v>4</v>
      </c>
      <c r="AE130" s="497" t="s">
        <v>4</v>
      </c>
      <c r="AF130" s="497" t="s">
        <v>4</v>
      </c>
      <c r="AG130" s="497" t="s">
        <v>4</v>
      </c>
      <c r="AH130" s="497" t="s">
        <v>4</v>
      </c>
      <c r="AI130" s="497" t="s">
        <v>4</v>
      </c>
      <c r="AJ130" s="497" t="s">
        <v>4</v>
      </c>
      <c r="AK130" s="497" t="s">
        <v>29290</v>
      </c>
      <c r="AL130" s="497" t="s">
        <v>29694</v>
      </c>
      <c r="AM130" s="497" t="s">
        <v>4</v>
      </c>
      <c r="AN130" s="497" t="s">
        <v>4</v>
      </c>
      <c r="AO130" s="497" t="s">
        <v>31718</v>
      </c>
      <c r="AP130" s="497" t="s">
        <v>4</v>
      </c>
      <c r="AQ130" s="497" t="s">
        <v>31600</v>
      </c>
      <c r="AR130" s="497" t="s">
        <v>4</v>
      </c>
      <c r="AS130" s="497" t="s">
        <v>31538</v>
      </c>
      <c r="AT130" s="497" t="s">
        <v>4</v>
      </c>
      <c r="AU130" s="497" t="s">
        <v>7</v>
      </c>
      <c r="AV130" s="497" t="s">
        <v>4</v>
      </c>
      <c r="AW130" s="497" t="s">
        <v>4</v>
      </c>
      <c r="AX130" s="497" t="s">
        <v>7</v>
      </c>
      <c r="AY130" s="497" t="s">
        <v>6</v>
      </c>
      <c r="AZ130" s="497" t="s">
        <v>4</v>
      </c>
      <c r="BA130" s="497" t="s">
        <v>31563</v>
      </c>
      <c r="BB130" s="497" t="s">
        <v>22</v>
      </c>
      <c r="BC130" s="497" t="s">
        <v>4</v>
      </c>
      <c r="BD130" s="497" t="s">
        <v>31564</v>
      </c>
      <c r="BE130" s="497" t="s">
        <v>4</v>
      </c>
      <c r="BF130" s="497" t="s">
        <v>31542</v>
      </c>
      <c r="BG130" s="497" t="s">
        <v>35968</v>
      </c>
      <c r="BH130" s="497" t="s">
        <v>31616</v>
      </c>
      <c r="BI130" s="497">
        <v>2</v>
      </c>
      <c r="BJ130" s="497">
        <v>180</v>
      </c>
      <c r="BK130" s="497" t="s">
        <v>7</v>
      </c>
      <c r="BL130" s="497" t="s">
        <v>6</v>
      </c>
      <c r="BM130" s="497" t="s">
        <v>4</v>
      </c>
      <c r="BN130" s="497" t="s">
        <v>31425</v>
      </c>
      <c r="BO130" s="497">
        <v>1</v>
      </c>
      <c r="BP130" s="497">
        <v>45</v>
      </c>
      <c r="BQ130" s="497" t="s">
        <v>31435</v>
      </c>
      <c r="BR130" s="499" t="s">
        <v>33361</v>
      </c>
      <c r="BS130" s="497" t="s">
        <v>4</v>
      </c>
      <c r="BT130" s="497">
        <v>2</v>
      </c>
      <c r="BU130" s="494" cm="1">
        <f t="array" ref="BU130">_xlfn.IFS(BQ130="Foreword vehicle",BT130*0,BQ130="Human wastes",BT130*0,BS130="Jerrycans",BT130*$BT$4,BQ130="Number of Basins",BT130*$BT$5,BQ130="Number of Buckets",BT130*$BT$6,BQ130="Number of Kgs",BT130*$BT$7,BQ130="Number of spades",BT130*$BT$8,BQ130="Number of wheelbarrows",BT130*$BS$9,BS130="Septic Tank",BT130*0)</f>
        <v>165</v>
      </c>
      <c r="BV130" s="494">
        <f>Table15[[#This Row],[Calculation: Conversion of metric to Kg manure feeding (Columns: BP, BQ, BR)]]*Table15[[#This Row],[Number of times used to feed biodigester]]</f>
        <v>165</v>
      </c>
      <c r="BW130" s="495" cm="1">
        <f t="array" ref="BW130">_xlfn.IFS(BN130="Number of times per day (1 to 3)",BV130/$BW$3,BN130="Number of times per week (1 to 6)",BV130/$BW$4,BN130="Number of times per Month (1 to 3)",BV130/$BW$5)</f>
        <v>165</v>
      </c>
      <c r="BX130" s="497" t="s">
        <v>22</v>
      </c>
      <c r="BY130" s="497" t="s">
        <v>4</v>
      </c>
      <c r="BZ130" s="497" t="s">
        <v>2</v>
      </c>
      <c r="CA130" s="497" t="s">
        <v>4</v>
      </c>
      <c r="CB130" s="497" t="s">
        <v>4</v>
      </c>
      <c r="CC130" s="497" t="s">
        <v>4</v>
      </c>
      <c r="CD130" s="497" t="s">
        <v>7</v>
      </c>
      <c r="CE130" s="497" t="s">
        <v>35969</v>
      </c>
      <c r="CF130" s="497" t="s">
        <v>4</v>
      </c>
      <c r="CG130" s="497" t="s">
        <v>31604</v>
      </c>
      <c r="CH130" s="497">
        <v>20</v>
      </c>
      <c r="CI130" s="497">
        <v>0</v>
      </c>
      <c r="CJ130" s="497">
        <v>0</v>
      </c>
      <c r="CK130" s="497">
        <v>0</v>
      </c>
      <c r="CL130" s="497">
        <v>0</v>
      </c>
      <c r="CM130" s="497">
        <v>0</v>
      </c>
      <c r="CN130" s="497">
        <v>0</v>
      </c>
      <c r="CO130" s="497">
        <v>0</v>
      </c>
      <c r="CP130" s="497">
        <v>0</v>
      </c>
      <c r="CQ130" s="497">
        <v>0</v>
      </c>
      <c r="CR130" s="497">
        <f>IF(Table15[[#This Row],[Is your biodigester working?]]="yes",CO130/'SDG outcome'!$C$9*CP130*CQ130,"")</f>
        <v>0</v>
      </c>
      <c r="CS130" s="497">
        <v>60</v>
      </c>
      <c r="CT130" s="500">
        <v>40</v>
      </c>
      <c r="CU130" s="496" t="s">
        <v>35970</v>
      </c>
      <c r="CV130" s="497" t="s">
        <v>4</v>
      </c>
      <c r="CW130" s="500" t="s">
        <v>4</v>
      </c>
      <c r="CX130" s="496" t="s">
        <v>4</v>
      </c>
      <c r="CY130" s="497" t="s">
        <v>4</v>
      </c>
      <c r="CZ130" s="500" t="s">
        <v>4</v>
      </c>
      <c r="DA130" s="496" t="s">
        <v>4</v>
      </c>
      <c r="DB130" s="497" t="s">
        <v>4</v>
      </c>
      <c r="DC130" s="497" t="s">
        <v>4</v>
      </c>
      <c r="DD130" s="497" t="s">
        <v>4</v>
      </c>
      <c r="DE130" s="497" t="s">
        <v>4</v>
      </c>
      <c r="DF130" s="497" t="s">
        <v>4</v>
      </c>
      <c r="DG130" s="497" t="s">
        <v>4</v>
      </c>
      <c r="DH130" s="497" t="s">
        <v>4</v>
      </c>
      <c r="DI130" s="497" t="s">
        <v>4</v>
      </c>
      <c r="DJ130" s="497" t="s">
        <v>4</v>
      </c>
      <c r="DK130" s="497" t="s">
        <v>4</v>
      </c>
      <c r="DL130" s="497" t="s">
        <v>4</v>
      </c>
      <c r="DM130" s="497" t="s">
        <v>4</v>
      </c>
      <c r="DN130" s="497">
        <v>5</v>
      </c>
      <c r="DO130" s="497" t="s">
        <v>7</v>
      </c>
      <c r="DP130" s="497" t="s">
        <v>29292</v>
      </c>
      <c r="DQ130" s="497" t="s">
        <v>4</v>
      </c>
      <c r="DR130" s="497" t="s">
        <v>29293</v>
      </c>
      <c r="DS130" s="494">
        <v>60000</v>
      </c>
      <c r="DT130" s="497" t="s">
        <v>29294</v>
      </c>
      <c r="DU130" s="494" t="s">
        <v>4</v>
      </c>
      <c r="DV130" s="500" t="s">
        <v>29295</v>
      </c>
      <c r="DW130" s="496">
        <v>100</v>
      </c>
      <c r="DX130" s="497" t="s">
        <v>29296</v>
      </c>
      <c r="DY130" s="497">
        <v>100</v>
      </c>
      <c r="DZ130" s="497" t="s">
        <v>4</v>
      </c>
      <c r="EA130" s="497" t="s">
        <v>4</v>
      </c>
      <c r="EB130" s="497" t="s">
        <v>4</v>
      </c>
      <c r="EC130" s="497" t="s">
        <v>4</v>
      </c>
      <c r="ED130" s="497" t="s">
        <v>4</v>
      </c>
      <c r="EE130" s="497" t="s">
        <v>4</v>
      </c>
      <c r="EF130" s="497" t="s">
        <v>4</v>
      </c>
      <c r="EG130" s="497" t="s">
        <v>4</v>
      </c>
      <c r="EH130" s="497" t="s">
        <v>4</v>
      </c>
      <c r="EI130" s="497" t="s">
        <v>4</v>
      </c>
      <c r="EJ130" s="497" t="s">
        <v>4</v>
      </c>
      <c r="EK130" s="497" t="s">
        <v>4</v>
      </c>
      <c r="EL130" s="497" t="s">
        <v>4</v>
      </c>
      <c r="EM130" s="497" t="s">
        <v>4</v>
      </c>
      <c r="EN130" s="497" t="s">
        <v>4</v>
      </c>
      <c r="EO130" s="497" t="s">
        <v>4</v>
      </c>
      <c r="EP130" s="497" t="s">
        <v>4</v>
      </c>
      <c r="EQ130" s="497" t="s">
        <v>4</v>
      </c>
      <c r="ER130" s="497" t="s">
        <v>4</v>
      </c>
      <c r="ES130" s="497" t="s">
        <v>4</v>
      </c>
      <c r="ET130" s="497" t="s">
        <v>4</v>
      </c>
      <c r="EU130" s="497" t="s">
        <v>4</v>
      </c>
      <c r="EV130" s="497" t="s">
        <v>4</v>
      </c>
      <c r="EW130" s="497" t="s">
        <v>9</v>
      </c>
      <c r="EX130" s="497" t="s">
        <v>7</v>
      </c>
      <c r="EY130" s="497">
        <v>20</v>
      </c>
      <c r="EZ130" s="239"/>
      <c r="FA130" s="497" t="s">
        <v>30364</v>
      </c>
      <c r="FB130" s="497" t="s">
        <v>29298</v>
      </c>
      <c r="FC130" s="497">
        <v>320</v>
      </c>
      <c r="FD130" s="497" t="s">
        <v>7</v>
      </c>
      <c r="FE130" s="497" t="s">
        <v>29393</v>
      </c>
      <c r="FF130" s="497" t="s">
        <v>4</v>
      </c>
      <c r="FG130" s="497" t="s">
        <v>2</v>
      </c>
      <c r="FH130" s="497" t="s">
        <v>4</v>
      </c>
      <c r="FI130" s="497" t="s">
        <v>4</v>
      </c>
      <c r="FJ130" s="497" t="s">
        <v>4</v>
      </c>
      <c r="FK130" s="497" t="s">
        <v>4</v>
      </c>
      <c r="FL130" s="497" t="s">
        <v>4</v>
      </c>
      <c r="FM130" s="497" t="s">
        <v>4</v>
      </c>
      <c r="FN130" s="494" t="s">
        <v>4</v>
      </c>
      <c r="FO130" s="497" t="s">
        <v>4</v>
      </c>
      <c r="FP130" s="497" t="s">
        <v>2</v>
      </c>
      <c r="FQ130" s="497" t="s">
        <v>4</v>
      </c>
      <c r="FR130" s="497" t="s">
        <v>4</v>
      </c>
      <c r="FS130" s="497" t="s">
        <v>2</v>
      </c>
      <c r="FT130" s="497" t="s">
        <v>2</v>
      </c>
      <c r="FU130" s="497" t="s">
        <v>4</v>
      </c>
      <c r="FV130" s="497" t="s">
        <v>4</v>
      </c>
      <c r="FW130" s="497" t="s">
        <v>4</v>
      </c>
      <c r="FX130" s="497">
        <v>0</v>
      </c>
      <c r="FY130" s="497" t="s">
        <v>4</v>
      </c>
      <c r="FZ130" s="497" t="s">
        <v>4</v>
      </c>
      <c r="GA130" s="497" t="s">
        <v>4</v>
      </c>
      <c r="GB130" s="497" t="s">
        <v>4</v>
      </c>
      <c r="GC130" s="497" t="s">
        <v>4</v>
      </c>
      <c r="GD130" s="497" t="s">
        <v>4</v>
      </c>
      <c r="GE130" s="497" t="s">
        <v>4</v>
      </c>
      <c r="GF130" s="497" t="s">
        <v>4</v>
      </c>
      <c r="GG130" s="497" t="s">
        <v>4</v>
      </c>
      <c r="GH130" s="497" t="s">
        <v>4</v>
      </c>
      <c r="GI130" s="497" t="s">
        <v>29304</v>
      </c>
      <c r="GJ130" s="497" t="s">
        <v>29305</v>
      </c>
      <c r="GK130" s="497" t="s">
        <v>29306</v>
      </c>
      <c r="GL130" s="497" t="s">
        <v>4</v>
      </c>
      <c r="GM130" s="497" t="s">
        <v>4</v>
      </c>
      <c r="GN130" s="497" t="s">
        <v>4</v>
      </c>
      <c r="GO130" s="497" t="s">
        <v>4</v>
      </c>
      <c r="GP130" s="497" t="s">
        <v>4</v>
      </c>
      <c r="GQ130" s="497" t="s">
        <v>4</v>
      </c>
      <c r="GR130" s="497" t="s">
        <v>4</v>
      </c>
      <c r="GS130" s="497" t="s">
        <v>4</v>
      </c>
      <c r="GT130" s="497" t="s">
        <v>29354</v>
      </c>
      <c r="GU130" s="497" t="s">
        <v>4</v>
      </c>
      <c r="GV130" s="494">
        <v>80</v>
      </c>
      <c r="GW130" s="497" t="s">
        <v>2</v>
      </c>
      <c r="GX130" s="497" t="s">
        <v>29309</v>
      </c>
      <c r="GY130" s="497" t="s">
        <v>4</v>
      </c>
      <c r="GZ130" s="497" t="s">
        <v>4</v>
      </c>
      <c r="HA130" s="497" t="s">
        <v>4</v>
      </c>
      <c r="HB130" s="497" t="s">
        <v>4</v>
      </c>
      <c r="HC130" s="497" t="s">
        <v>4</v>
      </c>
      <c r="HD130" s="497" t="s">
        <v>4</v>
      </c>
      <c r="HE130" s="497" t="s">
        <v>4</v>
      </c>
      <c r="HF130" s="497" t="s">
        <v>4</v>
      </c>
      <c r="HG130" s="497" t="s">
        <v>2</v>
      </c>
      <c r="HH130" s="497" t="s">
        <v>4</v>
      </c>
      <c r="HI130" s="497" t="s">
        <v>4</v>
      </c>
      <c r="HJ130" s="497" t="s">
        <v>4</v>
      </c>
      <c r="HK130" s="494" t="s">
        <v>4</v>
      </c>
      <c r="HL130" s="497" t="s">
        <v>35971</v>
      </c>
      <c r="HM130" s="497" t="s">
        <v>2</v>
      </c>
      <c r="HN130" s="497" t="s">
        <v>4</v>
      </c>
      <c r="HO130" s="497" t="s">
        <v>16</v>
      </c>
      <c r="HP130" s="497" t="s">
        <v>35972</v>
      </c>
      <c r="HQ130" s="497" t="s">
        <v>35973</v>
      </c>
      <c r="HR130" s="497" t="s">
        <v>35974</v>
      </c>
      <c r="HS130" s="497" t="s">
        <v>16</v>
      </c>
      <c r="HT130" s="500" t="s">
        <v>35975</v>
      </c>
    </row>
    <row r="131" spans="1:228" s="570" customFormat="1" ht="30.2" customHeight="1" x14ac:dyDescent="0.25">
      <c r="A131" s="759"/>
      <c r="B131" s="496">
        <v>38</v>
      </c>
      <c r="C131" s="496" t="s">
        <v>19590</v>
      </c>
      <c r="D131" s="497" t="s">
        <v>33773</v>
      </c>
      <c r="E131" s="497" t="s">
        <v>33725</v>
      </c>
      <c r="F131" s="497" t="s">
        <v>7</v>
      </c>
      <c r="G131" s="497" t="s">
        <v>33774</v>
      </c>
      <c r="H131" s="497">
        <v>1111.3710940000001</v>
      </c>
      <c r="I131" s="497">
        <v>4.2880000000000003</v>
      </c>
      <c r="J131" s="497" t="s">
        <v>29288</v>
      </c>
      <c r="K131" s="497" t="s">
        <v>4</v>
      </c>
      <c r="L131" s="497" t="s">
        <v>33775</v>
      </c>
      <c r="M131" s="497">
        <v>782312484</v>
      </c>
      <c r="N131" s="497" t="s">
        <v>3</v>
      </c>
      <c r="O131" s="497" t="s">
        <v>31438</v>
      </c>
      <c r="P131" s="497">
        <v>54</v>
      </c>
      <c r="Q131" s="497">
        <v>6</v>
      </c>
      <c r="R131" s="497" t="s">
        <v>7</v>
      </c>
      <c r="S131" s="497" t="s">
        <v>31588</v>
      </c>
      <c r="T131" s="497" t="s">
        <v>4</v>
      </c>
      <c r="U131" s="497" t="s">
        <v>7</v>
      </c>
      <c r="V131" s="497" t="s">
        <v>7</v>
      </c>
      <c r="W131" s="497" t="s">
        <v>4</v>
      </c>
      <c r="X131" s="497" t="s">
        <v>7</v>
      </c>
      <c r="Y131" s="497" t="s">
        <v>4</v>
      </c>
      <c r="Z131" s="497" t="s">
        <v>4</v>
      </c>
      <c r="AA131" s="241" t="str">
        <f>IF(OR(U131="yes",Z131&gt;'SDG outcome'!$C$39),"yes","no")</f>
        <v>yes</v>
      </c>
      <c r="AB131" s="521" t="str">
        <f t="shared" si="3"/>
        <v>NA</v>
      </c>
      <c r="AC131" s="527" t="str">
        <f>IF(AND('SMS p2'!AA50="no",AND(Z131&gt;='SDG outcome'!$B$28,Z131&lt;'SDG outcome'!$C$39)),Z131-'SDG outcome'!$B$28,"")</f>
        <v/>
      </c>
      <c r="AD131" s="497" t="s">
        <v>4</v>
      </c>
      <c r="AE131" s="497" t="s">
        <v>4</v>
      </c>
      <c r="AF131" s="497" t="s">
        <v>4</v>
      </c>
      <c r="AG131" s="497" t="s">
        <v>4</v>
      </c>
      <c r="AH131" s="497" t="s">
        <v>4</v>
      </c>
      <c r="AI131" s="497" t="s">
        <v>4</v>
      </c>
      <c r="AJ131" s="497" t="s">
        <v>4</v>
      </c>
      <c r="AK131" s="497" t="s">
        <v>29290</v>
      </c>
      <c r="AL131" s="497" t="s">
        <v>29694</v>
      </c>
      <c r="AM131" s="497" t="s">
        <v>4</v>
      </c>
      <c r="AN131" s="497" t="s">
        <v>4</v>
      </c>
      <c r="AO131" s="497" t="s">
        <v>31605</v>
      </c>
      <c r="AP131" s="497" t="s">
        <v>4</v>
      </c>
      <c r="AQ131" s="497" t="s">
        <v>31600</v>
      </c>
      <c r="AR131" s="497" t="s">
        <v>4</v>
      </c>
      <c r="AS131" s="497" t="s">
        <v>31538</v>
      </c>
      <c r="AT131" s="497" t="s">
        <v>4</v>
      </c>
      <c r="AU131" s="497" t="s">
        <v>7</v>
      </c>
      <c r="AV131" s="497" t="s">
        <v>4</v>
      </c>
      <c r="AW131" s="497" t="s">
        <v>4</v>
      </c>
      <c r="AX131" s="497" t="s">
        <v>2</v>
      </c>
      <c r="AY131" s="497" t="s">
        <v>4</v>
      </c>
      <c r="AZ131" s="497" t="s">
        <v>4</v>
      </c>
      <c r="BA131" s="497" t="s">
        <v>4</v>
      </c>
      <c r="BB131" s="497" t="s">
        <v>4</v>
      </c>
      <c r="BC131" s="497" t="s">
        <v>4</v>
      </c>
      <c r="BD131" s="497" t="s">
        <v>4</v>
      </c>
      <c r="BE131" s="497" t="s">
        <v>4</v>
      </c>
      <c r="BF131" s="497" t="s">
        <v>4</v>
      </c>
      <c r="BG131" s="497" t="s">
        <v>4</v>
      </c>
      <c r="BH131" s="497" t="s">
        <v>4</v>
      </c>
      <c r="BI131" s="497" t="s">
        <v>4</v>
      </c>
      <c r="BJ131" s="497" t="s">
        <v>4</v>
      </c>
      <c r="BK131" s="497" t="s">
        <v>7</v>
      </c>
      <c r="BL131" s="497" t="s">
        <v>6</v>
      </c>
      <c r="BM131" s="497" t="s">
        <v>4</v>
      </c>
      <c r="BN131" s="497" t="s">
        <v>31425</v>
      </c>
      <c r="BO131" s="497">
        <v>1</v>
      </c>
      <c r="BP131" s="497">
        <v>15</v>
      </c>
      <c r="BQ131" s="497" t="s">
        <v>31434</v>
      </c>
      <c r="BR131" s="499" t="s">
        <v>33332</v>
      </c>
      <c r="BS131" s="497" t="s">
        <v>4</v>
      </c>
      <c r="BT131" s="497">
        <v>2</v>
      </c>
      <c r="BU131" s="494" cm="1">
        <f t="array" ref="BU131">_xlfn.IFS(BQ131="Foreword vehicle",BT131*0,BQ131="Human wastes",BT131*0,BS131="Jerrycans",BT131*$BT$4,BQ131="Number of Basins",BT131*$BT$5,BQ131="Number of Buckets",BT131*$BT$6,BQ131="Number of Kgs",BT131*$BT$7,BQ131="Number of spades",BT131*$BT$8,BQ131="Number of wheelbarrows",BT131*$BT$9,BS131="Septic Tank",BT131*0)</f>
        <v>32</v>
      </c>
      <c r="BV131" s="494">
        <f>Table15[[#This Row],[Calculation: Conversion of metric to Kg manure feeding (Columns: BP, BQ, BR)]]*Table15[[#This Row],[Number of times used to feed biodigester]]</f>
        <v>32</v>
      </c>
      <c r="BW131" s="495" cm="1">
        <f t="array" ref="BW131">_xlfn.IFS(BN131="Number of times per day (1 to 3)",BV131/$BW$3,BN131="Number of times per week (1 to 6)",BV131/$BW$4,BN131="Number of times per Month (1 to 3)",BV131/$BW$5)</f>
        <v>32</v>
      </c>
      <c r="BX131" s="497" t="s">
        <v>31650</v>
      </c>
      <c r="BY131" s="497" t="s">
        <v>4</v>
      </c>
      <c r="BZ131" s="497" t="s">
        <v>2</v>
      </c>
      <c r="CA131" s="497" t="s">
        <v>4</v>
      </c>
      <c r="CB131" s="497" t="s">
        <v>4</v>
      </c>
      <c r="CC131" s="497" t="s">
        <v>4</v>
      </c>
      <c r="CD131" s="497" t="s">
        <v>7</v>
      </c>
      <c r="CE131" s="497" t="s">
        <v>33776</v>
      </c>
      <c r="CF131" s="497" t="s">
        <v>4</v>
      </c>
      <c r="CG131" s="497" t="s">
        <v>31724</v>
      </c>
      <c r="CH131" s="497">
        <v>0</v>
      </c>
      <c r="CI131" s="497">
        <v>2</v>
      </c>
      <c r="CJ131" s="497">
        <v>0</v>
      </c>
      <c r="CK131" s="497">
        <v>0</v>
      </c>
      <c r="CL131" s="497">
        <v>0</v>
      </c>
      <c r="CM131" s="497">
        <v>30</v>
      </c>
      <c r="CN131" s="497">
        <v>0</v>
      </c>
      <c r="CO131" s="497">
        <v>0</v>
      </c>
      <c r="CP131" s="497">
        <v>0</v>
      </c>
      <c r="CQ131" s="497">
        <v>0</v>
      </c>
      <c r="CR131" s="497">
        <f>IF(Table15[[#This Row],[Is your biodigester working?]]="yes",CO131/'SDG outcome'!$C$9*CP131*CQ131,"")</f>
        <v>0</v>
      </c>
      <c r="CS131" s="497" t="s">
        <v>4</v>
      </c>
      <c r="CT131" s="500" t="s">
        <v>4</v>
      </c>
      <c r="CU131" s="496" t="s">
        <v>4</v>
      </c>
      <c r="CV131" s="497">
        <v>100</v>
      </c>
      <c r="CW131" s="500">
        <v>0</v>
      </c>
      <c r="CX131" s="496" t="s">
        <v>4</v>
      </c>
      <c r="CY131" s="497" t="s">
        <v>4</v>
      </c>
      <c r="CZ131" s="500" t="s">
        <v>4</v>
      </c>
      <c r="DA131" s="496" t="s">
        <v>4</v>
      </c>
      <c r="DB131" s="497" t="s">
        <v>4</v>
      </c>
      <c r="DC131" s="497" t="s">
        <v>4</v>
      </c>
      <c r="DD131" s="497" t="s">
        <v>4</v>
      </c>
      <c r="DE131" s="497">
        <v>100</v>
      </c>
      <c r="DF131" s="497">
        <v>0</v>
      </c>
      <c r="DG131" s="497" t="s">
        <v>4</v>
      </c>
      <c r="DH131" s="497" t="s">
        <v>4</v>
      </c>
      <c r="DI131" s="497" t="s">
        <v>4</v>
      </c>
      <c r="DJ131" s="497" t="s">
        <v>4</v>
      </c>
      <c r="DK131" s="497" t="s">
        <v>4</v>
      </c>
      <c r="DL131" s="497" t="s">
        <v>4</v>
      </c>
      <c r="DM131" s="497" t="s">
        <v>4</v>
      </c>
      <c r="DN131" s="497">
        <v>2.2999999999999998</v>
      </c>
      <c r="DO131" s="497" t="s">
        <v>2</v>
      </c>
      <c r="DP131" s="497" t="s">
        <v>29292</v>
      </c>
      <c r="DQ131" s="497" t="s">
        <v>4</v>
      </c>
      <c r="DR131" s="497" t="s">
        <v>29294</v>
      </c>
      <c r="DS131" s="494" t="s">
        <v>4</v>
      </c>
      <c r="DT131" s="497" t="s">
        <v>29294</v>
      </c>
      <c r="DU131" s="494" t="s">
        <v>4</v>
      </c>
      <c r="DV131" s="500" t="s">
        <v>29508</v>
      </c>
      <c r="DW131" s="496" t="s">
        <v>4</v>
      </c>
      <c r="DX131" s="497" t="s">
        <v>4</v>
      </c>
      <c r="DY131" s="497" t="s">
        <v>4</v>
      </c>
      <c r="DZ131" s="497" t="s">
        <v>4</v>
      </c>
      <c r="EA131" s="497" t="s">
        <v>4</v>
      </c>
      <c r="EB131" s="497" t="s">
        <v>4</v>
      </c>
      <c r="EC131" s="497" t="s">
        <v>4</v>
      </c>
      <c r="ED131" s="497">
        <v>100</v>
      </c>
      <c r="EE131" s="497" t="s">
        <v>30667</v>
      </c>
      <c r="EF131" s="497" t="s">
        <v>4</v>
      </c>
      <c r="EG131" s="497" t="s">
        <v>4</v>
      </c>
      <c r="EH131" s="497">
        <v>100</v>
      </c>
      <c r="EI131" s="497" t="s">
        <v>4</v>
      </c>
      <c r="EJ131" s="497" t="s">
        <v>4</v>
      </c>
      <c r="EK131" s="497" t="s">
        <v>4</v>
      </c>
      <c r="EL131" s="497" t="s">
        <v>4</v>
      </c>
      <c r="EM131" s="497">
        <v>180</v>
      </c>
      <c r="EN131" s="497" t="s">
        <v>4</v>
      </c>
      <c r="EO131" s="497" t="s">
        <v>4</v>
      </c>
      <c r="EP131" s="497" t="s">
        <v>4</v>
      </c>
      <c r="EQ131" s="497" t="s">
        <v>13</v>
      </c>
      <c r="ER131" s="497" t="s">
        <v>4</v>
      </c>
      <c r="ES131" s="497" t="s">
        <v>4</v>
      </c>
      <c r="ET131" s="497" t="s">
        <v>4</v>
      </c>
      <c r="EU131" s="497" t="s">
        <v>4</v>
      </c>
      <c r="EV131" s="497">
        <v>100</v>
      </c>
      <c r="EW131" s="497" t="s">
        <v>9</v>
      </c>
      <c r="EX131" s="497" t="s">
        <v>30668</v>
      </c>
      <c r="EY131" s="497" t="s">
        <v>4</v>
      </c>
      <c r="EZ131" s="239"/>
      <c r="FA131" s="497" t="s">
        <v>4</v>
      </c>
      <c r="FB131" s="497" t="s">
        <v>4</v>
      </c>
      <c r="FC131" s="497" t="s">
        <v>4</v>
      </c>
      <c r="FD131" s="497" t="s">
        <v>4</v>
      </c>
      <c r="FE131" s="497" t="s">
        <v>4</v>
      </c>
      <c r="FF131" s="497" t="s">
        <v>4</v>
      </c>
      <c r="FG131" s="497" t="s">
        <v>4</v>
      </c>
      <c r="FH131" s="497" t="s">
        <v>4</v>
      </c>
      <c r="FI131" s="497" t="s">
        <v>4</v>
      </c>
      <c r="FJ131" s="497" t="s">
        <v>4</v>
      </c>
      <c r="FK131" s="497" t="s">
        <v>4</v>
      </c>
      <c r="FL131" s="497" t="s">
        <v>4</v>
      </c>
      <c r="FM131" s="497" t="s">
        <v>4</v>
      </c>
      <c r="FN131" s="494" t="s">
        <v>4</v>
      </c>
      <c r="FO131" s="497" t="s">
        <v>4</v>
      </c>
      <c r="FP131" s="497" t="s">
        <v>2</v>
      </c>
      <c r="FQ131" s="497" t="s">
        <v>4</v>
      </c>
      <c r="FR131" s="497" t="s">
        <v>4</v>
      </c>
      <c r="FS131" s="497" t="s">
        <v>7</v>
      </c>
      <c r="FT131" s="497" t="s">
        <v>2</v>
      </c>
      <c r="FU131" s="497" t="s">
        <v>4</v>
      </c>
      <c r="FV131" s="497" t="s">
        <v>4</v>
      </c>
      <c r="FW131" s="497" t="s">
        <v>29304</v>
      </c>
      <c r="FX131" s="497" t="s">
        <v>31347</v>
      </c>
      <c r="FY131" s="497" t="s">
        <v>30052</v>
      </c>
      <c r="FZ131" s="497" t="s">
        <v>30642</v>
      </c>
      <c r="GA131" s="497" t="s">
        <v>4</v>
      </c>
      <c r="GB131" s="497" t="s">
        <v>29397</v>
      </c>
      <c r="GC131" s="497" t="s">
        <v>4</v>
      </c>
      <c r="GD131" s="497" t="s">
        <v>4</v>
      </c>
      <c r="GE131" s="497" t="s">
        <v>4</v>
      </c>
      <c r="GF131" s="497" t="s">
        <v>4</v>
      </c>
      <c r="GG131" s="497" t="s">
        <v>4</v>
      </c>
      <c r="GH131" s="497" t="s">
        <v>4</v>
      </c>
      <c r="GI131" s="497" t="s">
        <v>4</v>
      </c>
      <c r="GJ131" s="497" t="s">
        <v>4</v>
      </c>
      <c r="GK131" s="497" t="s">
        <v>4</v>
      </c>
      <c r="GL131" s="497" t="s">
        <v>4</v>
      </c>
      <c r="GM131" s="497" t="s">
        <v>4</v>
      </c>
      <c r="GN131" s="497" t="s">
        <v>4</v>
      </c>
      <c r="GO131" s="497" t="s">
        <v>4</v>
      </c>
      <c r="GP131" s="497" t="s">
        <v>4</v>
      </c>
      <c r="GQ131" s="497" t="s">
        <v>4</v>
      </c>
      <c r="GR131" s="497" t="s">
        <v>4</v>
      </c>
      <c r="GS131" s="497" t="s">
        <v>4</v>
      </c>
      <c r="GT131" s="497" t="s">
        <v>29452</v>
      </c>
      <c r="GU131" s="497" t="s">
        <v>4</v>
      </c>
      <c r="GV131" s="494">
        <v>10</v>
      </c>
      <c r="GW131" s="497" t="s">
        <v>2</v>
      </c>
      <c r="GX131" s="497" t="s">
        <v>29309</v>
      </c>
      <c r="GY131" s="497" t="s">
        <v>4</v>
      </c>
      <c r="GZ131" s="497" t="s">
        <v>4</v>
      </c>
      <c r="HA131" s="497" t="s">
        <v>4</v>
      </c>
      <c r="HB131" s="497" t="s">
        <v>4</v>
      </c>
      <c r="HC131" s="497" t="s">
        <v>4</v>
      </c>
      <c r="HD131" s="497" t="s">
        <v>4</v>
      </c>
      <c r="HE131" s="497" t="s">
        <v>4</v>
      </c>
      <c r="HF131" s="497" t="s">
        <v>4</v>
      </c>
      <c r="HG131" s="497" t="s">
        <v>2</v>
      </c>
      <c r="HH131" s="497" t="s">
        <v>4</v>
      </c>
      <c r="HI131" s="497" t="s">
        <v>4</v>
      </c>
      <c r="HJ131" s="497" t="s">
        <v>4</v>
      </c>
      <c r="HK131" s="494" t="s">
        <v>4</v>
      </c>
      <c r="HL131" s="497" t="s">
        <v>33474</v>
      </c>
      <c r="HM131" s="497" t="s">
        <v>7</v>
      </c>
      <c r="HN131" s="497" t="s">
        <v>33777</v>
      </c>
      <c r="HO131" s="497" t="s">
        <v>33778</v>
      </c>
      <c r="HP131" s="497" t="s">
        <v>33779</v>
      </c>
      <c r="HQ131" s="497" t="s">
        <v>33780</v>
      </c>
      <c r="HR131" s="497" t="s">
        <v>33781</v>
      </c>
      <c r="HS131" s="497" t="s">
        <v>33782</v>
      </c>
      <c r="HT131" s="500" t="s">
        <v>33773</v>
      </c>
    </row>
    <row r="132" spans="1:228" s="570" customFormat="1" ht="30.2" customHeight="1" x14ac:dyDescent="0.25">
      <c r="A132" s="759"/>
      <c r="B132" s="496">
        <v>39</v>
      </c>
      <c r="C132" s="496" t="s">
        <v>19263</v>
      </c>
      <c r="D132" s="497" t="s">
        <v>33783</v>
      </c>
      <c r="E132" s="497" t="s">
        <v>33725</v>
      </c>
      <c r="F132" s="497" t="s">
        <v>7</v>
      </c>
      <c r="G132" s="497" t="s">
        <v>33784</v>
      </c>
      <c r="H132" s="497">
        <v>1090.271606</v>
      </c>
      <c r="I132" s="497">
        <v>4.2880000000000003</v>
      </c>
      <c r="J132" s="497" t="s">
        <v>29389</v>
      </c>
      <c r="K132" s="497" t="s">
        <v>33785</v>
      </c>
      <c r="L132" s="497" t="s">
        <v>33786</v>
      </c>
      <c r="M132" s="497">
        <v>776225382</v>
      </c>
      <c r="N132" s="497" t="s">
        <v>3</v>
      </c>
      <c r="O132" s="497" t="s">
        <v>31590</v>
      </c>
      <c r="P132" s="497" t="s">
        <v>4</v>
      </c>
      <c r="Q132" s="497">
        <v>8</v>
      </c>
      <c r="R132" s="497" t="s">
        <v>7</v>
      </c>
      <c r="S132" s="497" t="s">
        <v>31588</v>
      </c>
      <c r="T132" s="497" t="s">
        <v>4</v>
      </c>
      <c r="U132" s="497" t="s">
        <v>7</v>
      </c>
      <c r="V132" s="497" t="s">
        <v>7</v>
      </c>
      <c r="W132" s="497" t="s">
        <v>4</v>
      </c>
      <c r="X132" s="497" t="s">
        <v>7</v>
      </c>
      <c r="Y132" s="497" t="s">
        <v>4</v>
      </c>
      <c r="Z132" s="497" t="s">
        <v>4</v>
      </c>
      <c r="AA132" s="241" t="str">
        <f>IF(OR(U132="yes",Z132&gt;'SDG outcome'!$C$39),"yes","no")</f>
        <v>yes</v>
      </c>
      <c r="AB132" s="521" t="str">
        <f t="shared" si="3"/>
        <v>NA</v>
      </c>
      <c r="AC132" s="527" t="str">
        <f>IF(AND('SMS p2'!AA51="no",AND(Z132&gt;='SDG outcome'!$B$28,Z132&lt;'SDG outcome'!$C$39)),Z132-'SDG outcome'!$B$28,"")</f>
        <v/>
      </c>
      <c r="AD132" s="497" t="s">
        <v>4</v>
      </c>
      <c r="AE132" s="497" t="s">
        <v>4</v>
      </c>
      <c r="AF132" s="497" t="s">
        <v>4</v>
      </c>
      <c r="AG132" s="497" t="s">
        <v>4</v>
      </c>
      <c r="AH132" s="497" t="s">
        <v>4</v>
      </c>
      <c r="AI132" s="497" t="s">
        <v>4</v>
      </c>
      <c r="AJ132" s="497" t="s">
        <v>4</v>
      </c>
      <c r="AK132" s="497" t="s">
        <v>29290</v>
      </c>
      <c r="AL132" s="497" t="s">
        <v>29694</v>
      </c>
      <c r="AM132" s="497" t="s">
        <v>4</v>
      </c>
      <c r="AN132" s="497" t="s">
        <v>4</v>
      </c>
      <c r="AO132" s="497" t="s">
        <v>31605</v>
      </c>
      <c r="AP132" s="497" t="s">
        <v>4</v>
      </c>
      <c r="AQ132" s="497" t="s">
        <v>31600</v>
      </c>
      <c r="AR132" s="497" t="s">
        <v>4</v>
      </c>
      <c r="AS132" s="497" t="s">
        <v>31538</v>
      </c>
      <c r="AT132" s="497" t="s">
        <v>4</v>
      </c>
      <c r="AU132" s="497" t="s">
        <v>7</v>
      </c>
      <c r="AV132" s="497" t="s">
        <v>4</v>
      </c>
      <c r="AW132" s="497" t="s">
        <v>4</v>
      </c>
      <c r="AX132" s="497" t="s">
        <v>2</v>
      </c>
      <c r="AY132" s="497" t="s">
        <v>4</v>
      </c>
      <c r="AZ132" s="497" t="s">
        <v>4</v>
      </c>
      <c r="BA132" s="497" t="s">
        <v>4</v>
      </c>
      <c r="BB132" s="497" t="s">
        <v>4</v>
      </c>
      <c r="BC132" s="497" t="s">
        <v>4</v>
      </c>
      <c r="BD132" s="497" t="s">
        <v>4</v>
      </c>
      <c r="BE132" s="497" t="s">
        <v>4</v>
      </c>
      <c r="BF132" s="497" t="s">
        <v>4</v>
      </c>
      <c r="BG132" s="497" t="s">
        <v>4</v>
      </c>
      <c r="BH132" s="497" t="s">
        <v>4</v>
      </c>
      <c r="BI132" s="497" t="s">
        <v>4</v>
      </c>
      <c r="BJ132" s="497" t="s">
        <v>4</v>
      </c>
      <c r="BK132" s="497" t="s">
        <v>7</v>
      </c>
      <c r="BL132" s="497" t="s">
        <v>11</v>
      </c>
      <c r="BM132" s="497" t="s">
        <v>4</v>
      </c>
      <c r="BN132" s="497" t="s">
        <v>31425</v>
      </c>
      <c r="BO132" s="497">
        <v>1</v>
      </c>
      <c r="BP132" s="497">
        <v>20</v>
      </c>
      <c r="BQ132" s="497" t="s">
        <v>31435</v>
      </c>
      <c r="BR132" s="499" t="s">
        <v>33361</v>
      </c>
      <c r="BS132" s="497" t="s">
        <v>4</v>
      </c>
      <c r="BT132" s="497">
        <v>1</v>
      </c>
      <c r="BU132" s="494" cm="1">
        <f t="array" ref="BU132">_xlfn.IFS(BQ132="Foreword vehicle",BT132*0,BQ132="Human wastes",BT132*0,BS132="Jerrycans",BT132*$BT$4,BQ132="Number of Basins",BT132*$BT$5,BQ132="Number of Buckets",BT132*$BT$6,BQ132="Number of Kgs",BT132*$BT$7,BQ132="Number of spades",BT132*$BT$8,BQ132="Number of wheelbarrows",BT132*$BS$9,BS132="Septic Tank",BT132*0)</f>
        <v>82.5</v>
      </c>
      <c r="BV132" s="494">
        <f>Table15[[#This Row],[Calculation: Conversion of metric to Kg manure feeding (Columns: BP, BQ, BR)]]*Table15[[#This Row],[Number of times used to feed biodigester]]</f>
        <v>82.5</v>
      </c>
      <c r="BW132" s="495" cm="1">
        <f t="array" ref="BW132">_xlfn.IFS(BN132="Number of times per day (1 to 3)",BV132/$BW$3,BN132="Number of times per week (1 to 6)",BV132/$BW$4,BN132="Number of times per Month (1 to 3)",BV132/$BW$5)</f>
        <v>82.5</v>
      </c>
      <c r="BX132" s="497" t="s">
        <v>22</v>
      </c>
      <c r="BY132" s="497" t="s">
        <v>4</v>
      </c>
      <c r="BZ132" s="497" t="s">
        <v>2</v>
      </c>
      <c r="CA132" s="497" t="s">
        <v>4</v>
      </c>
      <c r="CB132" s="497" t="s">
        <v>4</v>
      </c>
      <c r="CC132" s="497" t="s">
        <v>4</v>
      </c>
      <c r="CD132" s="497" t="s">
        <v>7</v>
      </c>
      <c r="CE132" s="497" t="s">
        <v>33787</v>
      </c>
      <c r="CF132" s="497" t="s">
        <v>4</v>
      </c>
      <c r="CG132" s="497" t="s">
        <v>31585</v>
      </c>
      <c r="CH132" s="497">
        <v>5</v>
      </c>
      <c r="CI132" s="497">
        <v>0</v>
      </c>
      <c r="CJ132" s="497">
        <v>0</v>
      </c>
      <c r="CK132" s="497">
        <v>0</v>
      </c>
      <c r="CL132" s="497">
        <v>3</v>
      </c>
      <c r="CM132" s="497">
        <v>20</v>
      </c>
      <c r="CN132" s="497">
        <v>0</v>
      </c>
      <c r="CO132" s="497">
        <v>0</v>
      </c>
      <c r="CP132" s="497">
        <v>0</v>
      </c>
      <c r="CQ132" s="497">
        <v>0</v>
      </c>
      <c r="CR132" s="497">
        <f>IF(Table15[[#This Row],[Is your biodigester working?]]="yes",CO132/'SDG outcome'!$C$9*CP132*CQ132,"")</f>
        <v>0</v>
      </c>
      <c r="CS132" s="497">
        <v>80</v>
      </c>
      <c r="CT132" s="500">
        <v>20</v>
      </c>
      <c r="CU132" s="496" t="s">
        <v>33788</v>
      </c>
      <c r="CV132" s="497" t="s">
        <v>4</v>
      </c>
      <c r="CW132" s="500" t="s">
        <v>4</v>
      </c>
      <c r="CX132" s="496" t="s">
        <v>4</v>
      </c>
      <c r="CY132" s="497" t="s">
        <v>4</v>
      </c>
      <c r="CZ132" s="500" t="s">
        <v>4</v>
      </c>
      <c r="DA132" s="496" t="s">
        <v>4</v>
      </c>
      <c r="DB132" s="497" t="s">
        <v>4</v>
      </c>
      <c r="DC132" s="497" t="s">
        <v>4</v>
      </c>
      <c r="DD132" s="497" t="s">
        <v>4</v>
      </c>
      <c r="DE132" s="497">
        <v>0</v>
      </c>
      <c r="DF132" s="497">
        <v>100</v>
      </c>
      <c r="DG132" s="497" t="s">
        <v>33789</v>
      </c>
      <c r="DH132" s="497" t="s">
        <v>4</v>
      </c>
      <c r="DI132" s="497" t="s">
        <v>4</v>
      </c>
      <c r="DJ132" s="497" t="s">
        <v>4</v>
      </c>
      <c r="DK132" s="497">
        <v>0</v>
      </c>
      <c r="DL132" s="497">
        <v>100</v>
      </c>
      <c r="DM132" s="497" t="s">
        <v>33790</v>
      </c>
      <c r="DN132" s="497">
        <v>2.2999999999999998</v>
      </c>
      <c r="DO132" s="497" t="s">
        <v>7</v>
      </c>
      <c r="DP132" s="497" t="s">
        <v>29292</v>
      </c>
      <c r="DQ132" s="497" t="s">
        <v>4</v>
      </c>
      <c r="DR132" s="497" t="s">
        <v>29293</v>
      </c>
      <c r="DS132" s="494">
        <v>120000</v>
      </c>
      <c r="DT132" s="497" t="s">
        <v>29294</v>
      </c>
      <c r="DU132" s="494" t="s">
        <v>4</v>
      </c>
      <c r="DV132" s="500" t="s">
        <v>29295</v>
      </c>
      <c r="DW132" s="496">
        <v>100</v>
      </c>
      <c r="DX132" s="497" t="s">
        <v>30063</v>
      </c>
      <c r="DY132" s="497">
        <v>70</v>
      </c>
      <c r="DZ132" s="497" t="s">
        <v>4</v>
      </c>
      <c r="EA132" s="497" t="s">
        <v>4</v>
      </c>
      <c r="EB132" s="497">
        <v>30</v>
      </c>
      <c r="EC132" s="497" t="s">
        <v>4</v>
      </c>
      <c r="ED132" s="497" t="s">
        <v>4</v>
      </c>
      <c r="EE132" s="497" t="s">
        <v>4</v>
      </c>
      <c r="EF132" s="497" t="s">
        <v>4</v>
      </c>
      <c r="EG132" s="497" t="s">
        <v>4</v>
      </c>
      <c r="EH132" s="497" t="s">
        <v>4</v>
      </c>
      <c r="EI132" s="497" t="s">
        <v>4</v>
      </c>
      <c r="EJ132" s="497" t="s">
        <v>4</v>
      </c>
      <c r="EK132" s="497" t="s">
        <v>4</v>
      </c>
      <c r="EL132" s="497" t="s">
        <v>4</v>
      </c>
      <c r="EM132" s="497" t="s">
        <v>4</v>
      </c>
      <c r="EN132" s="497" t="s">
        <v>4</v>
      </c>
      <c r="EO132" s="497" t="s">
        <v>4</v>
      </c>
      <c r="EP132" s="497" t="s">
        <v>4</v>
      </c>
      <c r="EQ132" s="497" t="s">
        <v>4</v>
      </c>
      <c r="ER132" s="497" t="s">
        <v>4</v>
      </c>
      <c r="ES132" s="497" t="s">
        <v>4</v>
      </c>
      <c r="ET132" s="497" t="s">
        <v>4</v>
      </c>
      <c r="EU132" s="497" t="s">
        <v>4</v>
      </c>
      <c r="EV132" s="497" t="s">
        <v>4</v>
      </c>
      <c r="EW132" s="497" t="s">
        <v>33649</v>
      </c>
      <c r="EX132" s="497" t="s">
        <v>7</v>
      </c>
      <c r="EY132" s="497" t="s">
        <v>33736</v>
      </c>
      <c r="EZ132" s="239"/>
      <c r="FA132" s="497" t="s">
        <v>33791</v>
      </c>
      <c r="FB132" s="497" t="s">
        <v>29298</v>
      </c>
      <c r="FC132" s="497">
        <v>12</v>
      </c>
      <c r="FD132" s="497" t="s">
        <v>2</v>
      </c>
      <c r="FE132" s="497" t="s">
        <v>4</v>
      </c>
      <c r="FF132" s="497" t="s">
        <v>4</v>
      </c>
      <c r="FG132" s="497" t="s">
        <v>2</v>
      </c>
      <c r="FH132" s="497" t="s">
        <v>4</v>
      </c>
      <c r="FI132" s="497" t="s">
        <v>4</v>
      </c>
      <c r="FJ132" s="497" t="s">
        <v>4</v>
      </c>
      <c r="FK132" s="497" t="s">
        <v>4</v>
      </c>
      <c r="FL132" s="497" t="s">
        <v>4</v>
      </c>
      <c r="FM132" s="497" t="s">
        <v>4</v>
      </c>
      <c r="FN132" s="494" t="s">
        <v>4</v>
      </c>
      <c r="FO132" s="497" t="s">
        <v>4</v>
      </c>
      <c r="FP132" s="497" t="s">
        <v>7</v>
      </c>
      <c r="FQ132" s="497" t="s">
        <v>29301</v>
      </c>
      <c r="FR132" s="497" t="s">
        <v>4</v>
      </c>
      <c r="FS132" s="497" t="s">
        <v>7</v>
      </c>
      <c r="FT132" s="497" t="s">
        <v>2</v>
      </c>
      <c r="FU132" s="497" t="s">
        <v>4</v>
      </c>
      <c r="FV132" s="497" t="s">
        <v>4</v>
      </c>
      <c r="FW132" s="497" t="s">
        <v>29304</v>
      </c>
      <c r="FX132" s="497">
        <v>0.5</v>
      </c>
      <c r="FY132" s="497" t="s">
        <v>29529</v>
      </c>
      <c r="FZ132" s="497" t="s">
        <v>4</v>
      </c>
      <c r="GA132" s="497" t="s">
        <v>4</v>
      </c>
      <c r="GB132" s="497" t="s">
        <v>4</v>
      </c>
      <c r="GC132" s="497" t="s">
        <v>4</v>
      </c>
      <c r="GD132" s="497" t="s">
        <v>29451</v>
      </c>
      <c r="GE132" s="497" t="s">
        <v>4</v>
      </c>
      <c r="GF132" s="497" t="s">
        <v>4</v>
      </c>
      <c r="GG132" s="497" t="s">
        <v>4</v>
      </c>
      <c r="GH132" s="497" t="s">
        <v>4</v>
      </c>
      <c r="GI132" s="497" t="s">
        <v>4</v>
      </c>
      <c r="GJ132" s="497" t="s">
        <v>4</v>
      </c>
      <c r="GK132" s="497" t="s">
        <v>4</v>
      </c>
      <c r="GL132" s="497" t="s">
        <v>4</v>
      </c>
      <c r="GM132" s="497" t="s">
        <v>4</v>
      </c>
      <c r="GN132" s="497" t="s">
        <v>4</v>
      </c>
      <c r="GO132" s="497" t="s">
        <v>4</v>
      </c>
      <c r="GP132" s="497" t="s">
        <v>4</v>
      </c>
      <c r="GQ132" s="497" t="s">
        <v>4</v>
      </c>
      <c r="GR132" s="497" t="s">
        <v>4</v>
      </c>
      <c r="GS132" s="497" t="s">
        <v>4</v>
      </c>
      <c r="GT132" s="497" t="s">
        <v>29354</v>
      </c>
      <c r="GU132" s="497" t="s">
        <v>4</v>
      </c>
      <c r="GV132" s="494">
        <v>20</v>
      </c>
      <c r="GW132" s="497" t="s">
        <v>29325</v>
      </c>
      <c r="GX132" s="497" t="s">
        <v>29309</v>
      </c>
      <c r="GY132" s="497" t="s">
        <v>4</v>
      </c>
      <c r="GZ132" s="497" t="s">
        <v>4</v>
      </c>
      <c r="HA132" s="497" t="s">
        <v>4</v>
      </c>
      <c r="HB132" s="497" t="s">
        <v>4</v>
      </c>
      <c r="HC132" s="497" t="s">
        <v>4</v>
      </c>
      <c r="HD132" s="497" t="s">
        <v>4</v>
      </c>
      <c r="HE132" s="497" t="s">
        <v>4</v>
      </c>
      <c r="HF132" s="497" t="s">
        <v>4</v>
      </c>
      <c r="HG132" s="497" t="s">
        <v>2</v>
      </c>
      <c r="HH132" s="497" t="s">
        <v>4</v>
      </c>
      <c r="HI132" s="497" t="s">
        <v>4</v>
      </c>
      <c r="HJ132" s="497" t="s">
        <v>4</v>
      </c>
      <c r="HK132" s="494" t="s">
        <v>4</v>
      </c>
      <c r="HL132" s="497" t="s">
        <v>33474</v>
      </c>
      <c r="HM132" s="497" t="s">
        <v>2</v>
      </c>
      <c r="HN132" s="497" t="s">
        <v>4</v>
      </c>
      <c r="HO132" s="497" t="s">
        <v>33792</v>
      </c>
      <c r="HP132" s="497" t="s">
        <v>33793</v>
      </c>
      <c r="HQ132" s="497" t="s">
        <v>33794</v>
      </c>
      <c r="HR132" s="497" t="s">
        <v>33795</v>
      </c>
      <c r="HS132" s="497" t="s">
        <v>33796</v>
      </c>
      <c r="HT132" s="500" t="s">
        <v>33783</v>
      </c>
    </row>
    <row r="133" spans="1:228" s="570" customFormat="1" ht="30.2" customHeight="1" x14ac:dyDescent="0.25">
      <c r="A133" s="759"/>
      <c r="B133" s="496">
        <v>40</v>
      </c>
      <c r="C133" s="496" t="s">
        <v>18734</v>
      </c>
      <c r="D133" s="497" t="s">
        <v>33581</v>
      </c>
      <c r="E133" s="497" t="s">
        <v>33725</v>
      </c>
      <c r="F133" s="497" t="s">
        <v>7</v>
      </c>
      <c r="G133" s="497" t="s">
        <v>33797</v>
      </c>
      <c r="H133" s="497">
        <v>1111.9716800000001</v>
      </c>
      <c r="I133" s="497">
        <v>4.2880000000000003</v>
      </c>
      <c r="J133" s="497" t="s">
        <v>29288</v>
      </c>
      <c r="K133" s="497" t="s">
        <v>4</v>
      </c>
      <c r="L133" s="497" t="s">
        <v>33798</v>
      </c>
      <c r="M133" s="497">
        <v>777104042</v>
      </c>
      <c r="N133" s="497" t="s">
        <v>3</v>
      </c>
      <c r="O133" s="497" t="s">
        <v>31598</v>
      </c>
      <c r="P133" s="497" t="s">
        <v>4</v>
      </c>
      <c r="Q133" s="497">
        <v>12</v>
      </c>
      <c r="R133" s="497" t="s">
        <v>7</v>
      </c>
      <c r="S133" s="497" t="s">
        <v>31549</v>
      </c>
      <c r="T133" s="497" t="s">
        <v>4</v>
      </c>
      <c r="U133" s="497" t="s">
        <v>7</v>
      </c>
      <c r="V133" s="497" t="s">
        <v>7</v>
      </c>
      <c r="W133" s="497" t="s">
        <v>4</v>
      </c>
      <c r="X133" s="497" t="s">
        <v>7</v>
      </c>
      <c r="Y133" s="497" t="s">
        <v>4</v>
      </c>
      <c r="Z133" s="497" t="s">
        <v>4</v>
      </c>
      <c r="AA133" s="241" t="str">
        <f>IF(OR(U133="yes",Z133&gt;'SDG outcome'!$C$39),"yes","no")</f>
        <v>yes</v>
      </c>
      <c r="AB133" s="521" t="str">
        <f t="shared" si="3"/>
        <v>NA</v>
      </c>
      <c r="AC133" s="527" t="str">
        <f>IF(AND('SMS p2'!AA52="no",AND(Z133&gt;='SDG outcome'!$B$28,Z133&lt;'SDG outcome'!$C$39)),Z133-'SDG outcome'!$B$28,"")</f>
        <v/>
      </c>
      <c r="AD133" s="497" t="s">
        <v>4</v>
      </c>
      <c r="AE133" s="497" t="s">
        <v>4</v>
      </c>
      <c r="AF133" s="497" t="s">
        <v>4</v>
      </c>
      <c r="AG133" s="497" t="s">
        <v>4</v>
      </c>
      <c r="AH133" s="497" t="s">
        <v>4</v>
      </c>
      <c r="AI133" s="497" t="s">
        <v>4</v>
      </c>
      <c r="AJ133" s="497" t="s">
        <v>4</v>
      </c>
      <c r="AK133" s="497" t="s">
        <v>29290</v>
      </c>
      <c r="AL133" s="497" t="s">
        <v>29694</v>
      </c>
      <c r="AM133" s="497" t="s">
        <v>4</v>
      </c>
      <c r="AN133" s="497" t="s">
        <v>4</v>
      </c>
      <c r="AO133" s="497" t="s">
        <v>31536</v>
      </c>
      <c r="AP133" s="497" t="s">
        <v>4</v>
      </c>
      <c r="AQ133" s="497" t="s">
        <v>31537</v>
      </c>
      <c r="AR133" s="497" t="s">
        <v>4</v>
      </c>
      <c r="AS133" s="497" t="s">
        <v>31538</v>
      </c>
      <c r="AT133" s="497" t="s">
        <v>4</v>
      </c>
      <c r="AU133" s="497" t="s">
        <v>7</v>
      </c>
      <c r="AV133" s="497" t="s">
        <v>4</v>
      </c>
      <c r="AW133" s="497" t="s">
        <v>4</v>
      </c>
      <c r="AX133" s="497" t="s">
        <v>2</v>
      </c>
      <c r="AY133" s="497" t="s">
        <v>4</v>
      </c>
      <c r="AZ133" s="497" t="s">
        <v>4</v>
      </c>
      <c r="BA133" s="497" t="s">
        <v>4</v>
      </c>
      <c r="BB133" s="497" t="s">
        <v>4</v>
      </c>
      <c r="BC133" s="497" t="s">
        <v>4</v>
      </c>
      <c r="BD133" s="501" t="s">
        <v>4</v>
      </c>
      <c r="BE133" s="497" t="s">
        <v>4</v>
      </c>
      <c r="BF133" s="497" t="s">
        <v>4</v>
      </c>
      <c r="BG133" s="497" t="s">
        <v>4</v>
      </c>
      <c r="BH133" s="497" t="s">
        <v>4</v>
      </c>
      <c r="BI133" s="497" t="s">
        <v>4</v>
      </c>
      <c r="BJ133" s="497" t="s">
        <v>4</v>
      </c>
      <c r="BK133" s="497" t="s">
        <v>7</v>
      </c>
      <c r="BL133" s="497" t="s">
        <v>11</v>
      </c>
      <c r="BM133" s="497" t="s">
        <v>4</v>
      </c>
      <c r="BN133" s="497" t="s">
        <v>31425</v>
      </c>
      <c r="BO133" s="497">
        <v>1</v>
      </c>
      <c r="BP133" s="497">
        <v>45</v>
      </c>
      <c r="BQ133" s="497" t="s">
        <v>31426</v>
      </c>
      <c r="BR133" s="499" t="s">
        <v>33361</v>
      </c>
      <c r="BS133" s="497" t="s">
        <v>4</v>
      </c>
      <c r="BT133" s="497">
        <v>3</v>
      </c>
      <c r="BU133" s="494" cm="1">
        <f t="array" ref="BU133">_xlfn.IFS(BQ133="Foreword vehicle",BT133*0,BQ133="Human wastes",BT133*0,BS133="Jerrycans",BT133*$BT$4,BQ133="Number of Basins",BT133*$BT$5,BQ133="Number of Buckets",BT133*$BS$6,BQ133="Number of Kgs",BT133*$BT$7,BQ133="Number of spades",BT133*$BT$8,BQ133="Number of wheelbarrows",BT133*$BT$9,BS133="Septic Tank",BT133*0)</f>
        <v>70.5</v>
      </c>
      <c r="BV133" s="494">
        <f>Table15[[#This Row],[Calculation: Conversion of metric to Kg manure feeding (Columns: BP, BQ, BR)]]*Table15[[#This Row],[Number of times used to feed biodigester]]</f>
        <v>70.5</v>
      </c>
      <c r="BW133" s="495" cm="1">
        <f t="array" ref="BW133">_xlfn.IFS(BN133="Number of times per day (1 to 3)",BV133/$BW$3,BN133="Number of times per week (1 to 6)",BV133/$BW$4,BN133="Number of times per Month (1 to 3)",BV133/$BW$5)</f>
        <v>70.5</v>
      </c>
      <c r="BX133" s="497" t="s">
        <v>31541</v>
      </c>
      <c r="BY133" s="497" t="s">
        <v>4</v>
      </c>
      <c r="BZ133" s="497" t="s">
        <v>7</v>
      </c>
      <c r="CA133" s="497" t="s">
        <v>33799</v>
      </c>
      <c r="CB133" s="497" t="s">
        <v>4</v>
      </c>
      <c r="CC133" s="497">
        <v>6</v>
      </c>
      <c r="CD133" s="497" t="s">
        <v>7</v>
      </c>
      <c r="CE133" s="497" t="s">
        <v>33468</v>
      </c>
      <c r="CF133" s="497" t="s">
        <v>4</v>
      </c>
      <c r="CG133" s="497" t="s">
        <v>31919</v>
      </c>
      <c r="CH133" s="497">
        <v>3</v>
      </c>
      <c r="CI133" s="497">
        <v>4</v>
      </c>
      <c r="CJ133" s="497">
        <v>0</v>
      </c>
      <c r="CK133" s="497">
        <v>0</v>
      </c>
      <c r="CL133" s="497">
        <v>12</v>
      </c>
      <c r="CM133" s="497">
        <v>0</v>
      </c>
      <c r="CN133" s="497">
        <v>0</v>
      </c>
      <c r="CO133" s="497">
        <v>0</v>
      </c>
      <c r="CP133" s="497">
        <v>0</v>
      </c>
      <c r="CQ133" s="497">
        <v>0</v>
      </c>
      <c r="CR133" s="497">
        <f>IF(Table15[[#This Row],[Is your biodigester working?]]="yes",CO133/'SDG outcome'!$C$9*CP133*CQ133,"")</f>
        <v>0</v>
      </c>
      <c r="CS133" s="497">
        <v>80</v>
      </c>
      <c r="CT133" s="500">
        <v>20</v>
      </c>
      <c r="CU133" s="496" t="s">
        <v>33800</v>
      </c>
      <c r="CV133" s="497">
        <v>80</v>
      </c>
      <c r="CW133" s="500">
        <v>20</v>
      </c>
      <c r="CX133" s="496" t="s">
        <v>33800</v>
      </c>
      <c r="CY133" s="497" t="s">
        <v>4</v>
      </c>
      <c r="CZ133" s="500" t="s">
        <v>4</v>
      </c>
      <c r="DA133" s="496" t="s">
        <v>4</v>
      </c>
      <c r="DB133" s="497" t="s">
        <v>4</v>
      </c>
      <c r="DC133" s="497" t="s">
        <v>4</v>
      </c>
      <c r="DD133" s="497" t="s">
        <v>4</v>
      </c>
      <c r="DE133" s="497" t="s">
        <v>4</v>
      </c>
      <c r="DF133" s="497" t="s">
        <v>4</v>
      </c>
      <c r="DG133" s="497" t="s">
        <v>4</v>
      </c>
      <c r="DH133" s="497" t="s">
        <v>4</v>
      </c>
      <c r="DI133" s="497" t="s">
        <v>4</v>
      </c>
      <c r="DJ133" s="497" t="s">
        <v>4</v>
      </c>
      <c r="DK133" s="497">
        <v>0</v>
      </c>
      <c r="DL133" s="497">
        <v>100</v>
      </c>
      <c r="DM133" s="497" t="s">
        <v>33801</v>
      </c>
      <c r="DN133" s="497">
        <v>3</v>
      </c>
      <c r="DO133" s="497" t="s">
        <v>2</v>
      </c>
      <c r="DP133" s="497" t="s">
        <v>29292</v>
      </c>
      <c r="DQ133" s="497" t="s">
        <v>4</v>
      </c>
      <c r="DR133" s="497" t="s">
        <v>29293</v>
      </c>
      <c r="DS133" s="494">
        <v>30000</v>
      </c>
      <c r="DT133" s="497" t="s">
        <v>29294</v>
      </c>
      <c r="DU133" s="494" t="s">
        <v>4</v>
      </c>
      <c r="DV133" s="500" t="s">
        <v>29295</v>
      </c>
      <c r="DW133" s="496">
        <v>100</v>
      </c>
      <c r="DX133" s="497" t="s">
        <v>30063</v>
      </c>
      <c r="DY133" s="497">
        <v>70</v>
      </c>
      <c r="DZ133" s="497" t="s">
        <v>4</v>
      </c>
      <c r="EA133" s="497" t="s">
        <v>4</v>
      </c>
      <c r="EB133" s="497">
        <v>30</v>
      </c>
      <c r="EC133" s="497" t="s">
        <v>4</v>
      </c>
      <c r="ED133" s="497" t="s">
        <v>4</v>
      </c>
      <c r="EE133" s="497" t="s">
        <v>4</v>
      </c>
      <c r="EF133" s="497" t="s">
        <v>4</v>
      </c>
      <c r="EG133" s="497" t="s">
        <v>4</v>
      </c>
      <c r="EH133" s="497" t="s">
        <v>4</v>
      </c>
      <c r="EI133" s="497" t="s">
        <v>4</v>
      </c>
      <c r="EJ133" s="497" t="s">
        <v>4</v>
      </c>
      <c r="EK133" s="497" t="s">
        <v>4</v>
      </c>
      <c r="EL133" s="497" t="s">
        <v>4</v>
      </c>
      <c r="EM133" s="497" t="s">
        <v>4</v>
      </c>
      <c r="EN133" s="497" t="s">
        <v>4</v>
      </c>
      <c r="EO133" s="497" t="s">
        <v>4</v>
      </c>
      <c r="EP133" s="497" t="s">
        <v>4</v>
      </c>
      <c r="EQ133" s="497" t="s">
        <v>4</v>
      </c>
      <c r="ER133" s="497" t="s">
        <v>4</v>
      </c>
      <c r="ES133" s="497" t="s">
        <v>4</v>
      </c>
      <c r="ET133" s="497" t="s">
        <v>4</v>
      </c>
      <c r="EU133" s="497" t="s">
        <v>4</v>
      </c>
      <c r="EV133" s="497" t="s">
        <v>4</v>
      </c>
      <c r="EW133" s="497">
        <v>0.40469445568595708</v>
      </c>
      <c r="EX133" s="497" t="s">
        <v>7</v>
      </c>
      <c r="EY133" s="497" t="s">
        <v>33736</v>
      </c>
      <c r="EZ133" s="239"/>
      <c r="FA133" s="497" t="s">
        <v>30136</v>
      </c>
      <c r="FB133" s="497" t="s">
        <v>29298</v>
      </c>
      <c r="FC133" s="497">
        <v>12</v>
      </c>
      <c r="FD133" s="497" t="s">
        <v>7</v>
      </c>
      <c r="FE133" s="497" t="s">
        <v>29492</v>
      </c>
      <c r="FF133" s="497" t="s">
        <v>4</v>
      </c>
      <c r="FG133" s="497" t="s">
        <v>2</v>
      </c>
      <c r="FH133" s="497" t="s">
        <v>4</v>
      </c>
      <c r="FI133" s="497" t="s">
        <v>4</v>
      </c>
      <c r="FJ133" s="497" t="s">
        <v>4</v>
      </c>
      <c r="FK133" s="497" t="s">
        <v>4</v>
      </c>
      <c r="FL133" s="497" t="s">
        <v>29292</v>
      </c>
      <c r="FM133" s="497" t="s">
        <v>29294</v>
      </c>
      <c r="FN133" s="494" t="s">
        <v>4</v>
      </c>
      <c r="FO133" s="497" t="s">
        <v>4</v>
      </c>
      <c r="FP133" s="497" t="s">
        <v>2</v>
      </c>
      <c r="FQ133" s="497" t="s">
        <v>4</v>
      </c>
      <c r="FR133" s="497" t="s">
        <v>4</v>
      </c>
      <c r="FS133" s="497" t="s">
        <v>7</v>
      </c>
      <c r="FT133" s="497" t="s">
        <v>2</v>
      </c>
      <c r="FU133" s="497" t="s">
        <v>4</v>
      </c>
      <c r="FV133" s="497" t="s">
        <v>4</v>
      </c>
      <c r="FW133" s="497" t="s">
        <v>29304</v>
      </c>
      <c r="FX133" s="497" t="s">
        <v>31347</v>
      </c>
      <c r="FY133" s="497" t="s">
        <v>29396</v>
      </c>
      <c r="FZ133" s="497" t="s">
        <v>4</v>
      </c>
      <c r="GA133" s="497" t="s">
        <v>4</v>
      </c>
      <c r="GB133" s="497" t="s">
        <v>29397</v>
      </c>
      <c r="GC133" s="497" t="s">
        <v>4</v>
      </c>
      <c r="GD133" s="497" t="s">
        <v>4</v>
      </c>
      <c r="GE133" s="497" t="s">
        <v>4</v>
      </c>
      <c r="GF133" s="497" t="s">
        <v>4</v>
      </c>
      <c r="GG133" s="497" t="s">
        <v>4</v>
      </c>
      <c r="GH133" s="497" t="s">
        <v>4</v>
      </c>
      <c r="GI133" s="497" t="s">
        <v>4</v>
      </c>
      <c r="GJ133" s="497" t="s">
        <v>4</v>
      </c>
      <c r="GK133" s="497" t="s">
        <v>4</v>
      </c>
      <c r="GL133" s="497" t="s">
        <v>4</v>
      </c>
      <c r="GM133" s="497" t="s">
        <v>4</v>
      </c>
      <c r="GN133" s="497" t="s">
        <v>4</v>
      </c>
      <c r="GO133" s="497" t="s">
        <v>4</v>
      </c>
      <c r="GP133" s="497" t="s">
        <v>4</v>
      </c>
      <c r="GQ133" s="497" t="s">
        <v>4</v>
      </c>
      <c r="GR133" s="497" t="s">
        <v>4</v>
      </c>
      <c r="GS133" s="497" t="s">
        <v>4</v>
      </c>
      <c r="GT133" s="497" t="s">
        <v>29452</v>
      </c>
      <c r="GU133" s="497" t="s">
        <v>4</v>
      </c>
      <c r="GV133" s="494">
        <v>15</v>
      </c>
      <c r="GW133" s="497" t="s">
        <v>2</v>
      </c>
      <c r="GX133" s="497" t="s">
        <v>29837</v>
      </c>
      <c r="GY133" s="497" t="s">
        <v>4</v>
      </c>
      <c r="GZ133" s="497" t="s">
        <v>4</v>
      </c>
      <c r="HA133" s="497" t="s">
        <v>4</v>
      </c>
      <c r="HB133" s="497" t="s">
        <v>4</v>
      </c>
      <c r="HC133" s="497" t="s">
        <v>4</v>
      </c>
      <c r="HD133" s="497" t="s">
        <v>4</v>
      </c>
      <c r="HE133" s="497" t="s">
        <v>4</v>
      </c>
      <c r="HF133" s="497" t="s">
        <v>4</v>
      </c>
      <c r="HG133" s="497" t="s">
        <v>2</v>
      </c>
      <c r="HH133" s="497" t="s">
        <v>4</v>
      </c>
      <c r="HI133" s="497" t="s">
        <v>4</v>
      </c>
      <c r="HJ133" s="497" t="s">
        <v>4</v>
      </c>
      <c r="HK133" s="494" t="s">
        <v>4</v>
      </c>
      <c r="HL133" s="497" t="s">
        <v>33474</v>
      </c>
      <c r="HM133" s="497" t="s">
        <v>7</v>
      </c>
      <c r="HN133" s="497" t="s">
        <v>33802</v>
      </c>
      <c r="HO133" s="497" t="s">
        <v>16</v>
      </c>
      <c r="HP133" s="497" t="s">
        <v>33803</v>
      </c>
      <c r="HQ133" s="497" t="s">
        <v>33804</v>
      </c>
      <c r="HR133" s="497" t="s">
        <v>33805</v>
      </c>
      <c r="HS133" s="497" t="s">
        <v>16</v>
      </c>
      <c r="HT133" s="500" t="s">
        <v>33581</v>
      </c>
    </row>
    <row r="134" spans="1:228" s="570" customFormat="1" ht="30.2" customHeight="1" x14ac:dyDescent="0.25">
      <c r="A134" s="759"/>
      <c r="B134" s="496">
        <v>43</v>
      </c>
      <c r="C134" s="496" t="s">
        <v>19125</v>
      </c>
      <c r="D134" s="497" t="s">
        <v>33831</v>
      </c>
      <c r="E134" s="497" t="s">
        <v>33725</v>
      </c>
      <c r="F134" s="497" t="s">
        <v>7</v>
      </c>
      <c r="G134" s="497" t="s">
        <v>33832</v>
      </c>
      <c r="H134" s="497">
        <v>1076.162842</v>
      </c>
      <c r="I134" s="497">
        <v>3.2160000000000002</v>
      </c>
      <c r="J134" s="497" t="s">
        <v>29319</v>
      </c>
      <c r="K134" s="497" t="s">
        <v>4</v>
      </c>
      <c r="L134" s="497" t="s">
        <v>19126</v>
      </c>
      <c r="M134" s="497">
        <v>772845885</v>
      </c>
      <c r="N134" s="497" t="s">
        <v>5</v>
      </c>
      <c r="O134" s="497" t="s">
        <v>31438</v>
      </c>
      <c r="P134" s="497">
        <v>49</v>
      </c>
      <c r="Q134" s="497">
        <v>10</v>
      </c>
      <c r="R134" s="497" t="s">
        <v>7</v>
      </c>
      <c r="S134" s="497" t="s">
        <v>31535</v>
      </c>
      <c r="T134" s="497" t="s">
        <v>4</v>
      </c>
      <c r="U134" s="497" t="s">
        <v>7</v>
      </c>
      <c r="V134" s="497" t="s">
        <v>7</v>
      </c>
      <c r="W134" s="497" t="s">
        <v>4</v>
      </c>
      <c r="X134" s="497" t="s">
        <v>7</v>
      </c>
      <c r="Y134" s="497" t="s">
        <v>4</v>
      </c>
      <c r="Z134" s="497" t="s">
        <v>4</v>
      </c>
      <c r="AA134" s="241" t="str">
        <f>IF(OR(U134="yes",Z134&gt;'SDG outcome'!$C$39),"yes","no")</f>
        <v>yes</v>
      </c>
      <c r="AB134" s="521" t="str">
        <f t="shared" si="3"/>
        <v>NA</v>
      </c>
      <c r="AC134" s="527" t="str">
        <f>IF(AND('SMS p2'!AA55="no",AND(Z134&gt;='SDG outcome'!$B$28,Z134&lt;'SDG outcome'!$C$39)),Z134-'SDG outcome'!$B$28,"")</f>
        <v/>
      </c>
      <c r="AD134" s="497" t="s">
        <v>4</v>
      </c>
      <c r="AE134" s="497" t="s">
        <v>4</v>
      </c>
      <c r="AF134" s="497" t="s">
        <v>4</v>
      </c>
      <c r="AG134" s="497" t="s">
        <v>4</v>
      </c>
      <c r="AH134" s="497" t="s">
        <v>4</v>
      </c>
      <c r="AI134" s="497" t="s">
        <v>4</v>
      </c>
      <c r="AJ134" s="497" t="s">
        <v>4</v>
      </c>
      <c r="AK134" s="497" t="s">
        <v>29290</v>
      </c>
      <c r="AL134" s="497" t="s">
        <v>29694</v>
      </c>
      <c r="AM134" s="497" t="s">
        <v>4</v>
      </c>
      <c r="AN134" s="497" t="s">
        <v>4</v>
      </c>
      <c r="AO134" s="497" t="s">
        <v>31536</v>
      </c>
      <c r="AP134" s="497" t="s">
        <v>4</v>
      </c>
      <c r="AQ134" s="497" t="s">
        <v>31537</v>
      </c>
      <c r="AR134" s="497" t="s">
        <v>4</v>
      </c>
      <c r="AS134" s="497" t="s">
        <v>31538</v>
      </c>
      <c r="AT134" s="497" t="s">
        <v>4</v>
      </c>
      <c r="AU134" s="497" t="s">
        <v>7</v>
      </c>
      <c r="AV134" s="497" t="s">
        <v>4</v>
      </c>
      <c r="AW134" s="497" t="s">
        <v>4</v>
      </c>
      <c r="AX134" s="497" t="s">
        <v>2</v>
      </c>
      <c r="AY134" s="497" t="s">
        <v>4</v>
      </c>
      <c r="AZ134" s="497" t="s">
        <v>4</v>
      </c>
      <c r="BA134" s="497" t="s">
        <v>4</v>
      </c>
      <c r="BB134" s="497" t="s">
        <v>4</v>
      </c>
      <c r="BC134" s="497" t="s">
        <v>4</v>
      </c>
      <c r="BD134" s="501" t="s">
        <v>4</v>
      </c>
      <c r="BE134" s="497" t="s">
        <v>4</v>
      </c>
      <c r="BF134" s="497" t="s">
        <v>4</v>
      </c>
      <c r="BG134" s="497" t="s">
        <v>4</v>
      </c>
      <c r="BH134" s="497" t="s">
        <v>4</v>
      </c>
      <c r="BI134" s="497" t="s">
        <v>4</v>
      </c>
      <c r="BJ134" s="497" t="s">
        <v>4</v>
      </c>
      <c r="BK134" s="497" t="s">
        <v>2</v>
      </c>
      <c r="BL134" s="497" t="s">
        <v>4</v>
      </c>
      <c r="BM134" s="497" t="s">
        <v>4</v>
      </c>
      <c r="BN134" s="497" t="s">
        <v>31429</v>
      </c>
      <c r="BO134" s="497">
        <v>1</v>
      </c>
      <c r="BP134" s="497">
        <v>60</v>
      </c>
      <c r="BQ134" s="497" t="s">
        <v>31435</v>
      </c>
      <c r="BR134" s="499" t="s">
        <v>33361</v>
      </c>
      <c r="BS134" s="497" t="s">
        <v>4</v>
      </c>
      <c r="BT134" s="497">
        <v>6</v>
      </c>
      <c r="BU134" s="494" cm="1">
        <f t="array" ref="BU134">_xlfn.IFS(BQ134="Foreword vehicle",BT134*0,BQ134="Human wastes",BT134*0,BS134="Jerrycans",BT134*$BT$4,BQ134="Number of Basins",BT134*$BT$5,BQ134="Number of Buckets",BT134*$BT$6,BQ134="Number of Kgs",BT134*$BT$7,BQ134="Number of spades",BT134*$BT$8,BQ134="Number of wheelbarrows",BT134*$BS$9,BS134="Septic Tank",BT134*0)</f>
        <v>495</v>
      </c>
      <c r="BV134" s="494">
        <f>Table15[[#This Row],[Calculation: Conversion of metric to Kg manure feeding (Columns: BP, BQ, BR)]]*Table15[[#This Row],[Number of times used to feed biodigester]]</f>
        <v>495</v>
      </c>
      <c r="BW134" s="495" cm="1">
        <f t="array" ref="BW134">_xlfn.IFS(BN134="Number of times per day (1 to 3)",BV134/$BW$3,BN134="Number of times per week (1 to 6)",BV134/$BW$4,BN134="Number of times per Month (1 to 3)",BV134/$BW$5)</f>
        <v>70.714285714285708</v>
      </c>
      <c r="BX134" s="497" t="s">
        <v>31552</v>
      </c>
      <c r="BY134" s="497" t="s">
        <v>4</v>
      </c>
      <c r="BZ134" s="497" t="s">
        <v>2</v>
      </c>
      <c r="CA134" s="497" t="s">
        <v>4</v>
      </c>
      <c r="CB134" s="497" t="s">
        <v>4</v>
      </c>
      <c r="CC134" s="497" t="s">
        <v>4</v>
      </c>
      <c r="CD134" s="497" t="s">
        <v>7</v>
      </c>
      <c r="CE134" s="497" t="s">
        <v>33833</v>
      </c>
      <c r="CF134" s="497" t="s">
        <v>4</v>
      </c>
      <c r="CG134" s="497" t="s">
        <v>31578</v>
      </c>
      <c r="CH134" s="497">
        <v>13</v>
      </c>
      <c r="CI134" s="497">
        <v>0</v>
      </c>
      <c r="CJ134" s="497">
        <v>0</v>
      </c>
      <c r="CK134" s="497">
        <v>0</v>
      </c>
      <c r="CL134" s="497">
        <v>0</v>
      </c>
      <c r="CM134" s="497">
        <v>20</v>
      </c>
      <c r="CN134" s="497">
        <v>0</v>
      </c>
      <c r="CO134" s="497">
        <v>0</v>
      </c>
      <c r="CP134" s="497">
        <v>0</v>
      </c>
      <c r="CQ134" s="497">
        <v>0</v>
      </c>
      <c r="CR134" s="497">
        <f>IF(Table15[[#This Row],[Is your biodigester working?]]="yes",CO134/'SDG outcome'!$C$9*CP134*CQ134,"")</f>
        <v>0</v>
      </c>
      <c r="CS134" s="497">
        <v>70</v>
      </c>
      <c r="CT134" s="500">
        <v>30</v>
      </c>
      <c r="CU134" s="496" t="s">
        <v>33834</v>
      </c>
      <c r="CV134" s="497" t="s">
        <v>4</v>
      </c>
      <c r="CW134" s="500" t="s">
        <v>4</v>
      </c>
      <c r="CX134" s="496" t="s">
        <v>4</v>
      </c>
      <c r="CY134" s="497" t="s">
        <v>4</v>
      </c>
      <c r="CZ134" s="500" t="s">
        <v>4</v>
      </c>
      <c r="DA134" s="496" t="s">
        <v>4</v>
      </c>
      <c r="DB134" s="497" t="s">
        <v>4</v>
      </c>
      <c r="DC134" s="497" t="s">
        <v>4</v>
      </c>
      <c r="DD134" s="497" t="s">
        <v>4</v>
      </c>
      <c r="DE134" s="497">
        <v>0</v>
      </c>
      <c r="DF134" s="497">
        <v>100</v>
      </c>
      <c r="DG134" s="497" t="s">
        <v>33835</v>
      </c>
      <c r="DH134" s="497" t="s">
        <v>4</v>
      </c>
      <c r="DI134" s="497" t="s">
        <v>4</v>
      </c>
      <c r="DJ134" s="497" t="s">
        <v>4</v>
      </c>
      <c r="DK134" s="497" t="s">
        <v>4</v>
      </c>
      <c r="DL134" s="497" t="s">
        <v>4</v>
      </c>
      <c r="DM134" s="497" t="s">
        <v>4</v>
      </c>
      <c r="DN134" s="497">
        <v>4.2</v>
      </c>
      <c r="DO134" s="497" t="s">
        <v>7</v>
      </c>
      <c r="DP134" s="497" t="s">
        <v>29292</v>
      </c>
      <c r="DQ134" s="497" t="s">
        <v>4</v>
      </c>
      <c r="DR134" s="497" t="s">
        <v>29293</v>
      </c>
      <c r="DS134" s="494">
        <v>120000</v>
      </c>
      <c r="DT134" s="497" t="s">
        <v>29294</v>
      </c>
      <c r="DU134" s="494" t="s">
        <v>4</v>
      </c>
      <c r="DV134" s="500" t="s">
        <v>29295</v>
      </c>
      <c r="DW134" s="496">
        <v>100</v>
      </c>
      <c r="DX134" s="497" t="s">
        <v>33836</v>
      </c>
      <c r="DY134" s="497" t="s">
        <v>4</v>
      </c>
      <c r="DZ134" s="497" t="s">
        <v>4</v>
      </c>
      <c r="EA134" s="497" t="s">
        <v>4</v>
      </c>
      <c r="EB134" s="497">
        <v>100</v>
      </c>
      <c r="EC134" s="497" t="s">
        <v>4</v>
      </c>
      <c r="ED134" s="497" t="s">
        <v>4</v>
      </c>
      <c r="EE134" s="497" t="s">
        <v>4</v>
      </c>
      <c r="EF134" s="497" t="s">
        <v>4</v>
      </c>
      <c r="EG134" s="497" t="s">
        <v>4</v>
      </c>
      <c r="EH134" s="497" t="s">
        <v>4</v>
      </c>
      <c r="EI134" s="497" t="s">
        <v>4</v>
      </c>
      <c r="EJ134" s="497" t="s">
        <v>4</v>
      </c>
      <c r="EK134" s="497" t="s">
        <v>4</v>
      </c>
      <c r="EL134" s="497" t="s">
        <v>4</v>
      </c>
      <c r="EM134" s="497" t="s">
        <v>4</v>
      </c>
      <c r="EN134" s="497" t="s">
        <v>4</v>
      </c>
      <c r="EO134" s="497" t="s">
        <v>4</v>
      </c>
      <c r="EP134" s="497" t="s">
        <v>4</v>
      </c>
      <c r="EQ134" s="497" t="s">
        <v>4</v>
      </c>
      <c r="ER134" s="497" t="s">
        <v>4</v>
      </c>
      <c r="ES134" s="497" t="s">
        <v>4</v>
      </c>
      <c r="ET134" s="497" t="s">
        <v>4</v>
      </c>
      <c r="EU134" s="497" t="s">
        <v>4</v>
      </c>
      <c r="EV134" s="497" t="s">
        <v>4</v>
      </c>
      <c r="EW134" s="497" t="s">
        <v>33649</v>
      </c>
      <c r="EX134" s="497" t="s">
        <v>33837</v>
      </c>
      <c r="EY134" s="497" t="s">
        <v>4</v>
      </c>
      <c r="EZ134" s="239"/>
      <c r="FA134" s="497" t="s">
        <v>4</v>
      </c>
      <c r="FB134" s="497" t="s">
        <v>4</v>
      </c>
      <c r="FC134" s="497" t="s">
        <v>4</v>
      </c>
      <c r="FD134" s="497" t="s">
        <v>4</v>
      </c>
      <c r="FE134" s="497" t="s">
        <v>4</v>
      </c>
      <c r="FF134" s="497" t="s">
        <v>4</v>
      </c>
      <c r="FG134" s="497" t="s">
        <v>4</v>
      </c>
      <c r="FH134" s="497" t="s">
        <v>4</v>
      </c>
      <c r="FI134" s="497" t="s">
        <v>4</v>
      </c>
      <c r="FJ134" s="497" t="s">
        <v>4</v>
      </c>
      <c r="FK134" s="497" t="s">
        <v>4</v>
      </c>
      <c r="FL134" s="497" t="s">
        <v>4</v>
      </c>
      <c r="FM134" s="497" t="s">
        <v>4</v>
      </c>
      <c r="FN134" s="494" t="s">
        <v>4</v>
      </c>
      <c r="FO134" s="497" t="s">
        <v>4</v>
      </c>
      <c r="FP134" s="497" t="s">
        <v>2</v>
      </c>
      <c r="FQ134" s="497" t="s">
        <v>4</v>
      </c>
      <c r="FR134" s="497" t="s">
        <v>4</v>
      </c>
      <c r="FS134" s="497" t="s">
        <v>7</v>
      </c>
      <c r="FT134" s="497" t="s">
        <v>2</v>
      </c>
      <c r="FU134" s="497" t="s">
        <v>4</v>
      </c>
      <c r="FV134" s="497" t="s">
        <v>4</v>
      </c>
      <c r="FW134" s="497" t="s">
        <v>4</v>
      </c>
      <c r="FX134" s="497">
        <v>0</v>
      </c>
      <c r="FY134" s="497" t="s">
        <v>4</v>
      </c>
      <c r="FZ134" s="497" t="s">
        <v>4</v>
      </c>
      <c r="GA134" s="497" t="s">
        <v>4</v>
      </c>
      <c r="GB134" s="497" t="s">
        <v>4</v>
      </c>
      <c r="GC134" s="497" t="s">
        <v>4</v>
      </c>
      <c r="GD134" s="497" t="s">
        <v>4</v>
      </c>
      <c r="GE134" s="497" t="s">
        <v>4</v>
      </c>
      <c r="GF134" s="497" t="s">
        <v>4</v>
      </c>
      <c r="GG134" s="497" t="s">
        <v>4</v>
      </c>
      <c r="GH134" s="497" t="s">
        <v>4</v>
      </c>
      <c r="GI134" s="497" t="s">
        <v>29304</v>
      </c>
      <c r="GJ134" s="497" t="s">
        <v>29305</v>
      </c>
      <c r="GK134" s="497" t="s">
        <v>29306</v>
      </c>
      <c r="GL134" s="497" t="s">
        <v>4</v>
      </c>
      <c r="GM134" s="497" t="s">
        <v>4</v>
      </c>
      <c r="GN134" s="497" t="s">
        <v>4</v>
      </c>
      <c r="GO134" s="497" t="s">
        <v>4</v>
      </c>
      <c r="GP134" s="497" t="s">
        <v>4</v>
      </c>
      <c r="GQ134" s="497" t="s">
        <v>4</v>
      </c>
      <c r="GR134" s="497" t="s">
        <v>4</v>
      </c>
      <c r="GS134" s="497" t="s">
        <v>4</v>
      </c>
      <c r="GT134" s="497" t="s">
        <v>29452</v>
      </c>
      <c r="GU134" s="497" t="s">
        <v>4</v>
      </c>
      <c r="GV134" s="494">
        <v>10</v>
      </c>
      <c r="GW134" s="497" t="s">
        <v>2</v>
      </c>
      <c r="GX134" s="497" t="s">
        <v>29837</v>
      </c>
      <c r="GY134" s="497" t="s">
        <v>4</v>
      </c>
      <c r="GZ134" s="497" t="s">
        <v>4</v>
      </c>
      <c r="HA134" s="497" t="s">
        <v>4</v>
      </c>
      <c r="HB134" s="497" t="s">
        <v>4</v>
      </c>
      <c r="HC134" s="497" t="s">
        <v>4</v>
      </c>
      <c r="HD134" s="497" t="s">
        <v>4</v>
      </c>
      <c r="HE134" s="497" t="s">
        <v>4</v>
      </c>
      <c r="HF134" s="497" t="s">
        <v>4</v>
      </c>
      <c r="HG134" s="497" t="s">
        <v>2</v>
      </c>
      <c r="HH134" s="497" t="s">
        <v>4</v>
      </c>
      <c r="HI134" s="497" t="s">
        <v>4</v>
      </c>
      <c r="HJ134" s="497" t="s">
        <v>4</v>
      </c>
      <c r="HK134" s="494" t="s">
        <v>4</v>
      </c>
      <c r="HL134" s="497" t="s">
        <v>33838</v>
      </c>
      <c r="HM134" s="497" t="s">
        <v>7</v>
      </c>
      <c r="HN134" s="497" t="s">
        <v>33839</v>
      </c>
      <c r="HO134" s="497" t="s">
        <v>33840</v>
      </c>
      <c r="HP134" s="497" t="s">
        <v>33841</v>
      </c>
      <c r="HQ134" s="497" t="s">
        <v>33842</v>
      </c>
      <c r="HR134" s="497" t="s">
        <v>33843</v>
      </c>
      <c r="HS134" s="497" t="s">
        <v>16</v>
      </c>
      <c r="HT134" s="500" t="s">
        <v>33831</v>
      </c>
    </row>
    <row r="135" spans="1:228" s="570" customFormat="1" ht="30.2" customHeight="1" x14ac:dyDescent="0.25">
      <c r="A135" s="759"/>
      <c r="B135" s="496">
        <v>74</v>
      </c>
      <c r="C135" s="496" t="s">
        <v>61</v>
      </c>
      <c r="D135" s="497" t="s">
        <v>34211</v>
      </c>
      <c r="E135" s="497" t="s">
        <v>30002</v>
      </c>
      <c r="F135" s="497" t="s">
        <v>7</v>
      </c>
      <c r="G135" s="497" t="s">
        <v>34212</v>
      </c>
      <c r="H135" s="497">
        <v>1173.5999999999999</v>
      </c>
      <c r="I135" s="497">
        <v>4.7</v>
      </c>
      <c r="J135" s="497" t="s">
        <v>29389</v>
      </c>
      <c r="K135" s="497" t="s">
        <v>33816</v>
      </c>
      <c r="L135" s="497" t="s">
        <v>34213</v>
      </c>
      <c r="M135" s="497">
        <v>744032347</v>
      </c>
      <c r="N135" s="497" t="s">
        <v>5</v>
      </c>
      <c r="O135" s="497" t="s">
        <v>31438</v>
      </c>
      <c r="P135" s="497">
        <v>30</v>
      </c>
      <c r="Q135" s="497">
        <v>1</v>
      </c>
      <c r="R135" s="497" t="s">
        <v>7</v>
      </c>
      <c r="S135" s="497" t="s">
        <v>31588</v>
      </c>
      <c r="T135" s="497" t="s">
        <v>4</v>
      </c>
      <c r="U135" s="497" t="s">
        <v>7</v>
      </c>
      <c r="V135" s="497" t="s">
        <v>7</v>
      </c>
      <c r="W135" s="497" t="s">
        <v>4</v>
      </c>
      <c r="X135" s="497" t="s">
        <v>7</v>
      </c>
      <c r="Y135" s="497" t="s">
        <v>4</v>
      </c>
      <c r="Z135" s="497" t="s">
        <v>4</v>
      </c>
      <c r="AA135" s="241" t="str">
        <f>IF(OR(U135="yes",Z135&gt;'SDG outcome'!$C$39),"yes","no")</f>
        <v>yes</v>
      </c>
      <c r="AB135" s="521" t="str">
        <f t="shared" si="3"/>
        <v>NA</v>
      </c>
      <c r="AC135" s="527" t="str">
        <f>IF(AND('SMS p2'!AA86="no",AND(Z135&gt;='SDG outcome'!$B$28,Z135&lt;'SDG outcome'!$C$39)),Z135-'SDG outcome'!$B$28,"")</f>
        <v/>
      </c>
      <c r="AD135" s="497" t="s">
        <v>4</v>
      </c>
      <c r="AE135" s="497" t="s">
        <v>4</v>
      </c>
      <c r="AF135" s="497" t="s">
        <v>4</v>
      </c>
      <c r="AG135" s="497" t="s">
        <v>4</v>
      </c>
      <c r="AH135" s="497" t="s">
        <v>4</v>
      </c>
      <c r="AI135" s="497" t="s">
        <v>4</v>
      </c>
      <c r="AJ135" s="497" t="s">
        <v>4</v>
      </c>
      <c r="AK135" s="497" t="s">
        <v>29290</v>
      </c>
      <c r="AL135" s="497" t="s">
        <v>29694</v>
      </c>
      <c r="AM135" s="497" t="s">
        <v>4</v>
      </c>
      <c r="AN135" s="497" t="s">
        <v>4</v>
      </c>
      <c r="AO135" s="497" t="s">
        <v>31718</v>
      </c>
      <c r="AP135" s="497" t="s">
        <v>4</v>
      </c>
      <c r="AQ135" s="497" t="s">
        <v>31537</v>
      </c>
      <c r="AR135" s="497" t="s">
        <v>4</v>
      </c>
      <c r="AS135" s="497" t="s">
        <v>31538</v>
      </c>
      <c r="AT135" s="497" t="s">
        <v>4</v>
      </c>
      <c r="AU135" s="497" t="s">
        <v>7</v>
      </c>
      <c r="AV135" s="497" t="s">
        <v>4</v>
      </c>
      <c r="AW135" s="497" t="s">
        <v>4</v>
      </c>
      <c r="AX135" s="497" t="s">
        <v>2</v>
      </c>
      <c r="AY135" s="497" t="s">
        <v>4</v>
      </c>
      <c r="AZ135" s="497" t="s">
        <v>4</v>
      </c>
      <c r="BA135" s="497" t="s">
        <v>4</v>
      </c>
      <c r="BB135" s="497" t="s">
        <v>4</v>
      </c>
      <c r="BC135" s="497" t="s">
        <v>4</v>
      </c>
      <c r="BD135" s="497" t="s">
        <v>4</v>
      </c>
      <c r="BE135" s="497" t="s">
        <v>4</v>
      </c>
      <c r="BF135" s="497" t="s">
        <v>4</v>
      </c>
      <c r="BG135" s="497" t="s">
        <v>4</v>
      </c>
      <c r="BH135" s="497" t="s">
        <v>4</v>
      </c>
      <c r="BI135" s="497" t="s">
        <v>4</v>
      </c>
      <c r="BJ135" s="497" t="s">
        <v>4</v>
      </c>
      <c r="BK135" s="497" t="s">
        <v>2</v>
      </c>
      <c r="BL135" s="497" t="s">
        <v>4</v>
      </c>
      <c r="BM135" s="497" t="s">
        <v>4</v>
      </c>
      <c r="BN135" s="497" t="s">
        <v>31425</v>
      </c>
      <c r="BO135" s="497">
        <v>1</v>
      </c>
      <c r="BP135" s="497">
        <v>90</v>
      </c>
      <c r="BQ135" s="497" t="s">
        <v>31426</v>
      </c>
      <c r="BR135" s="499" t="s">
        <v>33361</v>
      </c>
      <c r="BS135" s="497" t="s">
        <v>4</v>
      </c>
      <c r="BT135" s="497">
        <v>4</v>
      </c>
      <c r="BU135" s="494" cm="1">
        <f t="array" ref="BU135">_xlfn.IFS(BQ135="Foreword vehicle",BT135*0,BQ135="Human wastes",BT135*0,BS135="Jerrycans",BT135*$BT$4,BQ135="Number of Basins",BT135*$BT$5,BQ135="Number of Buckets",BT135*$BT$6,BQ135="Number of Kgs",BT135*$BT$7,BQ135="Number of spades",BT135*$BT$8,BQ135="Number of wheelbarrows",BT135*$BS$9,BS135="Septic Tank",BT135*0)</f>
        <v>92</v>
      </c>
      <c r="BV135" s="494">
        <f>Table15[[#This Row],[Calculation: Conversion of metric to Kg manure feeding (Columns: BP, BQ, BR)]]*Table15[[#This Row],[Number of times used to feed biodigester]]</f>
        <v>92</v>
      </c>
      <c r="BW135" s="495" cm="1">
        <f t="array" ref="BW135">_xlfn.IFS(BN135="Number of times per day (1 to 3)",BV135/$BW$3,BN135="Number of times per week (1 to 6)",BV135/$BW$4,BN135="Number of times per Month (1 to 3)",BV135/$BW$5)</f>
        <v>92</v>
      </c>
      <c r="BX135" s="497" t="s">
        <v>22</v>
      </c>
      <c r="BY135" s="497" t="s">
        <v>4</v>
      </c>
      <c r="BZ135" s="497" t="s">
        <v>2</v>
      </c>
      <c r="CA135" s="497" t="s">
        <v>4</v>
      </c>
      <c r="CB135" s="497" t="s">
        <v>4</v>
      </c>
      <c r="CC135" s="497" t="s">
        <v>4</v>
      </c>
      <c r="CD135" s="497" t="s">
        <v>7</v>
      </c>
      <c r="CE135" s="497" t="s">
        <v>34214</v>
      </c>
      <c r="CF135" s="497" t="s">
        <v>4</v>
      </c>
      <c r="CG135" s="497" t="s">
        <v>34215</v>
      </c>
      <c r="CH135" s="497">
        <v>0</v>
      </c>
      <c r="CI135" s="497">
        <v>0</v>
      </c>
      <c r="CJ135" s="497">
        <v>100</v>
      </c>
      <c r="CK135" s="497">
        <v>0</v>
      </c>
      <c r="CL135" s="497">
        <v>0</v>
      </c>
      <c r="CM135" s="497">
        <v>400</v>
      </c>
      <c r="CN135" s="497">
        <v>0</v>
      </c>
      <c r="CO135" s="497">
        <v>0</v>
      </c>
      <c r="CP135" s="497">
        <v>0</v>
      </c>
      <c r="CQ135" s="497">
        <v>0</v>
      </c>
      <c r="CR135" s="497">
        <f>IF(Table15[[#This Row],[Is your biodigester working?]]="yes",CO135/'SDG outcome'!$C$9*CP135*CQ135,"")</f>
        <v>0</v>
      </c>
      <c r="CS135" s="497" t="s">
        <v>4</v>
      </c>
      <c r="CT135" s="500" t="s">
        <v>4</v>
      </c>
      <c r="CU135" s="496" t="s">
        <v>4</v>
      </c>
      <c r="CV135" s="497" t="s">
        <v>4</v>
      </c>
      <c r="CW135" s="500" t="s">
        <v>4</v>
      </c>
      <c r="CX135" s="496" t="s">
        <v>4</v>
      </c>
      <c r="CY135" s="497" t="s">
        <v>4</v>
      </c>
      <c r="CZ135" s="500" t="s">
        <v>4</v>
      </c>
      <c r="DA135" s="496" t="s">
        <v>4</v>
      </c>
      <c r="DB135" s="497">
        <v>100</v>
      </c>
      <c r="DC135" s="497">
        <v>0</v>
      </c>
      <c r="DD135" s="497" t="s">
        <v>4</v>
      </c>
      <c r="DE135" s="497">
        <v>0</v>
      </c>
      <c r="DF135" s="497">
        <v>100</v>
      </c>
      <c r="DG135" s="497" t="s">
        <v>34216</v>
      </c>
      <c r="DH135" s="497" t="s">
        <v>4</v>
      </c>
      <c r="DI135" s="497" t="s">
        <v>4</v>
      </c>
      <c r="DJ135" s="497" t="s">
        <v>4</v>
      </c>
      <c r="DK135" s="497" t="s">
        <v>4</v>
      </c>
      <c r="DL135" s="497" t="s">
        <v>4</v>
      </c>
      <c r="DM135" s="497" t="s">
        <v>4</v>
      </c>
      <c r="DN135" s="497">
        <v>5</v>
      </c>
      <c r="DO135" s="497" t="s">
        <v>2</v>
      </c>
      <c r="DP135" s="497" t="s">
        <v>29292</v>
      </c>
      <c r="DQ135" s="497" t="s">
        <v>4</v>
      </c>
      <c r="DR135" s="497" t="s">
        <v>29294</v>
      </c>
      <c r="DS135" s="494" t="s">
        <v>4</v>
      </c>
      <c r="DT135" s="497" t="s">
        <v>29293</v>
      </c>
      <c r="DU135" s="494">
        <v>10416</v>
      </c>
      <c r="DV135" s="500" t="s">
        <v>29508</v>
      </c>
      <c r="DW135" s="496" t="s">
        <v>4</v>
      </c>
      <c r="DX135" s="497" t="s">
        <v>4</v>
      </c>
      <c r="DY135" s="497" t="s">
        <v>4</v>
      </c>
      <c r="DZ135" s="497" t="s">
        <v>4</v>
      </c>
      <c r="EA135" s="497" t="s">
        <v>4</v>
      </c>
      <c r="EB135" s="497" t="s">
        <v>4</v>
      </c>
      <c r="EC135" s="497" t="s">
        <v>4</v>
      </c>
      <c r="ED135" s="497">
        <v>100</v>
      </c>
      <c r="EE135" s="497" t="s">
        <v>30667</v>
      </c>
      <c r="EF135" s="497" t="s">
        <v>4</v>
      </c>
      <c r="EG135" s="497" t="s">
        <v>4</v>
      </c>
      <c r="EH135" s="497">
        <v>100</v>
      </c>
      <c r="EI135" s="497" t="s">
        <v>4</v>
      </c>
      <c r="EJ135" s="497" t="s">
        <v>4</v>
      </c>
      <c r="EK135" s="497" t="s">
        <v>4</v>
      </c>
      <c r="EL135" s="497" t="s">
        <v>4</v>
      </c>
      <c r="EM135" s="497">
        <v>24</v>
      </c>
      <c r="EN135" s="497" t="s">
        <v>4</v>
      </c>
      <c r="EO135" s="497" t="s">
        <v>4</v>
      </c>
      <c r="EP135" s="497" t="s">
        <v>4</v>
      </c>
      <c r="EQ135" s="497" t="s">
        <v>13</v>
      </c>
      <c r="ER135" s="497" t="s">
        <v>4</v>
      </c>
      <c r="ES135" s="497" t="s">
        <v>4</v>
      </c>
      <c r="ET135" s="497" t="s">
        <v>4</v>
      </c>
      <c r="EU135" s="497" t="s">
        <v>4</v>
      </c>
      <c r="EV135" s="497">
        <v>100</v>
      </c>
      <c r="EW135" s="497">
        <v>1</v>
      </c>
      <c r="EX135" s="497" t="s">
        <v>30668</v>
      </c>
      <c r="EY135" s="497" t="s">
        <v>4</v>
      </c>
      <c r="EZ135" s="239"/>
      <c r="FA135" s="497" t="s">
        <v>4</v>
      </c>
      <c r="FB135" s="497" t="s">
        <v>4</v>
      </c>
      <c r="FC135" s="497" t="s">
        <v>4</v>
      </c>
      <c r="FD135" s="497" t="s">
        <v>4</v>
      </c>
      <c r="FE135" s="497" t="s">
        <v>4</v>
      </c>
      <c r="FF135" s="497" t="s">
        <v>4</v>
      </c>
      <c r="FG135" s="497" t="s">
        <v>4</v>
      </c>
      <c r="FH135" s="497" t="s">
        <v>4</v>
      </c>
      <c r="FI135" s="497" t="s">
        <v>4</v>
      </c>
      <c r="FJ135" s="497" t="s">
        <v>4</v>
      </c>
      <c r="FK135" s="497" t="s">
        <v>4</v>
      </c>
      <c r="FL135" s="497" t="s">
        <v>4</v>
      </c>
      <c r="FM135" s="497" t="s">
        <v>4</v>
      </c>
      <c r="FN135" s="494" t="s">
        <v>4</v>
      </c>
      <c r="FO135" s="497" t="s">
        <v>4</v>
      </c>
      <c r="FP135" s="497" t="s">
        <v>2</v>
      </c>
      <c r="FQ135" s="497" t="s">
        <v>4</v>
      </c>
      <c r="FR135" s="497" t="s">
        <v>4</v>
      </c>
      <c r="FS135" s="497" t="s">
        <v>7</v>
      </c>
      <c r="FT135" s="497" t="s">
        <v>2</v>
      </c>
      <c r="FU135" s="497" t="s">
        <v>4</v>
      </c>
      <c r="FV135" s="497" t="s">
        <v>4</v>
      </c>
      <c r="FW135" s="497" t="s">
        <v>4</v>
      </c>
      <c r="FX135" s="497">
        <v>0</v>
      </c>
      <c r="FY135" s="497" t="s">
        <v>4</v>
      </c>
      <c r="FZ135" s="497" t="s">
        <v>4</v>
      </c>
      <c r="GA135" s="497" t="s">
        <v>4</v>
      </c>
      <c r="GB135" s="497" t="s">
        <v>4</v>
      </c>
      <c r="GC135" s="497" t="s">
        <v>4</v>
      </c>
      <c r="GD135" s="497" t="s">
        <v>4</v>
      </c>
      <c r="GE135" s="497" t="s">
        <v>4</v>
      </c>
      <c r="GF135" s="497" t="s">
        <v>4</v>
      </c>
      <c r="GG135" s="497" t="s">
        <v>4</v>
      </c>
      <c r="GH135" s="497" t="s">
        <v>4</v>
      </c>
      <c r="GI135" s="497" t="s">
        <v>29304</v>
      </c>
      <c r="GJ135" s="497" t="s">
        <v>29305</v>
      </c>
      <c r="GK135" s="497" t="s">
        <v>29306</v>
      </c>
      <c r="GL135" s="497" t="s">
        <v>4</v>
      </c>
      <c r="GM135" s="497" t="s">
        <v>4</v>
      </c>
      <c r="GN135" s="497" t="s">
        <v>4</v>
      </c>
      <c r="GO135" s="497" t="s">
        <v>4</v>
      </c>
      <c r="GP135" s="497" t="s">
        <v>4</v>
      </c>
      <c r="GQ135" s="497" t="s">
        <v>4</v>
      </c>
      <c r="GR135" s="497" t="s">
        <v>4</v>
      </c>
      <c r="GS135" s="497" t="s">
        <v>4</v>
      </c>
      <c r="GT135" s="497" t="s">
        <v>29847</v>
      </c>
      <c r="GU135" s="497" t="s">
        <v>4</v>
      </c>
      <c r="GV135" s="494">
        <v>50</v>
      </c>
      <c r="GW135" s="497" t="s">
        <v>29325</v>
      </c>
      <c r="GX135" s="497" t="s">
        <v>29837</v>
      </c>
      <c r="GY135" s="497" t="s">
        <v>4</v>
      </c>
      <c r="GZ135" s="497" t="s">
        <v>4</v>
      </c>
      <c r="HA135" s="497" t="s">
        <v>4</v>
      </c>
      <c r="HB135" s="497" t="s">
        <v>4</v>
      </c>
      <c r="HC135" s="497" t="s">
        <v>4</v>
      </c>
      <c r="HD135" s="497" t="s">
        <v>4</v>
      </c>
      <c r="HE135" s="497" t="s">
        <v>4</v>
      </c>
      <c r="HF135" s="497" t="s">
        <v>4</v>
      </c>
      <c r="HG135" s="497" t="s">
        <v>2</v>
      </c>
      <c r="HH135" s="497" t="s">
        <v>4</v>
      </c>
      <c r="HI135" s="497" t="s">
        <v>4</v>
      </c>
      <c r="HJ135" s="497" t="s">
        <v>4</v>
      </c>
      <c r="HK135" s="494" t="s">
        <v>4</v>
      </c>
      <c r="HL135" s="497" t="s">
        <v>34217</v>
      </c>
      <c r="HM135" s="497" t="s">
        <v>2</v>
      </c>
      <c r="HN135" s="497" t="s">
        <v>4</v>
      </c>
      <c r="HO135" s="497" t="s">
        <v>34218</v>
      </c>
      <c r="HP135" s="497" t="s">
        <v>34219</v>
      </c>
      <c r="HQ135" s="497" t="s">
        <v>34220</v>
      </c>
      <c r="HR135" s="497" t="s">
        <v>34221</v>
      </c>
      <c r="HS135" s="497" t="s">
        <v>34222</v>
      </c>
      <c r="HT135" s="500" t="s">
        <v>34211</v>
      </c>
    </row>
    <row r="136" spans="1:228" s="570" customFormat="1" ht="30.2" customHeight="1" x14ac:dyDescent="0.25">
      <c r="A136" s="759"/>
      <c r="B136" s="496">
        <v>139</v>
      </c>
      <c r="C136" s="496" t="s">
        <v>4363</v>
      </c>
      <c r="D136" s="497" t="s">
        <v>34923</v>
      </c>
      <c r="E136" s="497" t="s">
        <v>83</v>
      </c>
      <c r="F136" s="497" t="s">
        <v>7</v>
      </c>
      <c r="G136" s="497" t="s">
        <v>34924</v>
      </c>
      <c r="H136" s="497">
        <v>1188.5350000000001</v>
      </c>
      <c r="I136" s="497">
        <v>3.941608</v>
      </c>
      <c r="J136" s="497" t="s">
        <v>29319</v>
      </c>
      <c r="K136" s="497" t="s">
        <v>4</v>
      </c>
      <c r="L136" s="497" t="s">
        <v>34925</v>
      </c>
      <c r="M136" s="497">
        <v>772501102</v>
      </c>
      <c r="N136" s="497" t="s">
        <v>5</v>
      </c>
      <c r="O136" s="497" t="s">
        <v>31598</v>
      </c>
      <c r="P136" s="497" t="s">
        <v>4</v>
      </c>
      <c r="Q136" s="497">
        <v>4</v>
      </c>
      <c r="R136" s="497" t="s">
        <v>7</v>
      </c>
      <c r="S136" s="497" t="s">
        <v>31535</v>
      </c>
      <c r="T136" s="497" t="s">
        <v>4</v>
      </c>
      <c r="U136" s="497" t="s">
        <v>7</v>
      </c>
      <c r="V136" s="497" t="s">
        <v>7</v>
      </c>
      <c r="W136" s="497" t="s">
        <v>4</v>
      </c>
      <c r="X136" s="497" t="s">
        <v>7</v>
      </c>
      <c r="Y136" s="497" t="s">
        <v>4</v>
      </c>
      <c r="Z136" s="497" t="s">
        <v>4</v>
      </c>
      <c r="AA136" s="241" t="str">
        <f>IF(OR(U136="yes",Z136&gt;'SDG outcome'!$C$39),"yes","no")</f>
        <v>yes</v>
      </c>
      <c r="AB136" s="521" t="str">
        <f t="shared" si="3"/>
        <v>NA</v>
      </c>
      <c r="AC136" s="527" t="str">
        <f>IF(AND('SMS p2'!AA151="no",AND(Z136&gt;='SDG outcome'!$B$28,Z136&lt;'SDG outcome'!$C$39)),Z136-'SDG outcome'!$B$28,"")</f>
        <v/>
      </c>
      <c r="AD136" s="497" t="s">
        <v>4</v>
      </c>
      <c r="AE136" s="497" t="s">
        <v>4</v>
      </c>
      <c r="AF136" s="497" t="s">
        <v>4</v>
      </c>
      <c r="AG136" s="497" t="s">
        <v>4</v>
      </c>
      <c r="AH136" s="497" t="s">
        <v>4</v>
      </c>
      <c r="AI136" s="497" t="s">
        <v>4</v>
      </c>
      <c r="AJ136" s="497" t="s">
        <v>4</v>
      </c>
      <c r="AK136" s="497" t="s">
        <v>29290</v>
      </c>
      <c r="AL136" s="497" t="s">
        <v>29694</v>
      </c>
      <c r="AM136" s="497" t="s">
        <v>4</v>
      </c>
      <c r="AN136" s="497" t="s">
        <v>4</v>
      </c>
      <c r="AO136" s="497" t="s">
        <v>31718</v>
      </c>
      <c r="AP136" s="497" t="s">
        <v>4</v>
      </c>
      <c r="AQ136" s="497" t="s">
        <v>13</v>
      </c>
      <c r="AR136" s="497">
        <v>3</v>
      </c>
      <c r="AS136" s="497" t="s">
        <v>31538</v>
      </c>
      <c r="AT136" s="497" t="s">
        <v>4</v>
      </c>
      <c r="AU136" s="497" t="s">
        <v>7</v>
      </c>
      <c r="AV136" s="497" t="s">
        <v>4</v>
      </c>
      <c r="AW136" s="497" t="s">
        <v>4</v>
      </c>
      <c r="AX136" s="497" t="s">
        <v>2</v>
      </c>
      <c r="AY136" s="497" t="s">
        <v>4</v>
      </c>
      <c r="AZ136" s="497" t="s">
        <v>4</v>
      </c>
      <c r="BA136" s="497" t="s">
        <v>4</v>
      </c>
      <c r="BB136" s="497" t="s">
        <v>4</v>
      </c>
      <c r="BC136" s="497" t="s">
        <v>4</v>
      </c>
      <c r="BD136" s="501" t="s">
        <v>4</v>
      </c>
      <c r="BE136" s="497" t="s">
        <v>4</v>
      </c>
      <c r="BF136" s="497" t="s">
        <v>4</v>
      </c>
      <c r="BG136" s="497" t="s">
        <v>4</v>
      </c>
      <c r="BH136" s="497" t="s">
        <v>4</v>
      </c>
      <c r="BI136" s="497" t="s">
        <v>4</v>
      </c>
      <c r="BJ136" s="497" t="s">
        <v>4</v>
      </c>
      <c r="BK136" s="497" t="s">
        <v>7</v>
      </c>
      <c r="BL136" s="497" t="s">
        <v>6</v>
      </c>
      <c r="BM136" s="497" t="s">
        <v>4</v>
      </c>
      <c r="BN136" s="497" t="s">
        <v>31429</v>
      </c>
      <c r="BO136" s="497">
        <v>3</v>
      </c>
      <c r="BP136" s="497">
        <v>30</v>
      </c>
      <c r="BQ136" s="497" t="s">
        <v>31434</v>
      </c>
      <c r="BR136" s="499" t="s">
        <v>33361</v>
      </c>
      <c r="BS136" s="497" t="s">
        <v>4</v>
      </c>
      <c r="BT136" s="497">
        <v>5</v>
      </c>
      <c r="BU136" s="494" cm="1">
        <f t="array" ref="BU136">_xlfn.IFS(BQ136="Foreword vehicle",BT136*0,BQ136="Human wastes",BT136*0,BS136="Jerrycans",BT136*$BT$4,BQ136="Number of Basins",BT136*$BS$5,BQ136="Number of Buckets",BT136*$BT$6,BQ136="Number of Kgs",BT136*$BT$7,BQ136="Number of spades",BT136*$BT$8,BQ136="Number of wheelbarrows",BT136*$BT$9,BS136="Septic Tank",BT136*0)</f>
        <v>105</v>
      </c>
      <c r="BV136" s="494">
        <f>Table15[[#This Row],[Calculation: Conversion of metric to Kg manure feeding (Columns: BP, BQ, BR)]]*Table15[[#This Row],[Number of times used to feed biodigester]]</f>
        <v>315</v>
      </c>
      <c r="BW136" s="495" cm="1">
        <f t="array" ref="BW136">_xlfn.IFS(BN136="Number of times per day (1 to 3)",BV136/$BW$3,BN136="Number of times per week (1 to 6)",BV136/$BW$4,BN136="Number of times per Month (1 to 3)",BV136/$BW$5)</f>
        <v>45</v>
      </c>
      <c r="BX136" s="497" t="s">
        <v>22</v>
      </c>
      <c r="BY136" s="497" t="s">
        <v>4</v>
      </c>
      <c r="BZ136" s="497" t="s">
        <v>2</v>
      </c>
      <c r="CA136" s="497" t="s">
        <v>4</v>
      </c>
      <c r="CB136" s="497" t="s">
        <v>4</v>
      </c>
      <c r="CC136" s="497" t="s">
        <v>4</v>
      </c>
      <c r="CD136" s="497" t="s">
        <v>7</v>
      </c>
      <c r="CE136" s="497" t="s">
        <v>34926</v>
      </c>
      <c r="CF136" s="497" t="s">
        <v>4</v>
      </c>
      <c r="CG136" s="497" t="s">
        <v>31604</v>
      </c>
      <c r="CH136" s="497">
        <v>2</v>
      </c>
      <c r="CI136" s="497">
        <v>0</v>
      </c>
      <c r="CJ136" s="497">
        <v>0</v>
      </c>
      <c r="CK136" s="497">
        <v>0</v>
      </c>
      <c r="CL136" s="497">
        <v>0</v>
      </c>
      <c r="CM136" s="497">
        <v>0</v>
      </c>
      <c r="CN136" s="497">
        <v>0</v>
      </c>
      <c r="CO136" s="497">
        <v>0</v>
      </c>
      <c r="CP136" s="497">
        <v>0</v>
      </c>
      <c r="CQ136" s="497">
        <v>0</v>
      </c>
      <c r="CR136" s="497">
        <f>IF(Table15[[#This Row],[Is your biodigester working?]]="yes",CO136/'SDG outcome'!$C$9*CP136*CQ136,"")</f>
        <v>0</v>
      </c>
      <c r="CS136" s="497">
        <v>100</v>
      </c>
      <c r="CT136" s="500">
        <v>0</v>
      </c>
      <c r="CU136" s="496" t="s">
        <v>4</v>
      </c>
      <c r="CV136" s="497" t="s">
        <v>4</v>
      </c>
      <c r="CW136" s="500" t="s">
        <v>4</v>
      </c>
      <c r="CX136" s="496" t="s">
        <v>4</v>
      </c>
      <c r="CY136" s="497" t="s">
        <v>4</v>
      </c>
      <c r="CZ136" s="500" t="s">
        <v>4</v>
      </c>
      <c r="DA136" s="496" t="s">
        <v>4</v>
      </c>
      <c r="DB136" s="497" t="s">
        <v>4</v>
      </c>
      <c r="DC136" s="497" t="s">
        <v>4</v>
      </c>
      <c r="DD136" s="497" t="s">
        <v>4</v>
      </c>
      <c r="DE136" s="497" t="s">
        <v>4</v>
      </c>
      <c r="DF136" s="497" t="s">
        <v>4</v>
      </c>
      <c r="DG136" s="497" t="s">
        <v>4</v>
      </c>
      <c r="DH136" s="497" t="s">
        <v>4</v>
      </c>
      <c r="DI136" s="497" t="s">
        <v>4</v>
      </c>
      <c r="DJ136" s="497" t="s">
        <v>4</v>
      </c>
      <c r="DK136" s="497" t="s">
        <v>4</v>
      </c>
      <c r="DL136" s="497" t="s">
        <v>4</v>
      </c>
      <c r="DM136" s="497" t="s">
        <v>4</v>
      </c>
      <c r="DN136" s="497">
        <v>3</v>
      </c>
      <c r="DO136" s="497" t="s">
        <v>7</v>
      </c>
      <c r="DP136" s="497" t="s">
        <v>29292</v>
      </c>
      <c r="DQ136" s="497" t="s">
        <v>4</v>
      </c>
      <c r="DR136" s="497" t="s">
        <v>29294</v>
      </c>
      <c r="DS136" s="494" t="s">
        <v>4</v>
      </c>
      <c r="DT136" s="497" t="s">
        <v>29294</v>
      </c>
      <c r="DU136" s="494" t="s">
        <v>4</v>
      </c>
      <c r="DV136" s="500" t="s">
        <v>30537</v>
      </c>
      <c r="DW136" s="496" t="s">
        <v>4</v>
      </c>
      <c r="DX136" s="497" t="s">
        <v>4</v>
      </c>
      <c r="DY136" s="497" t="s">
        <v>4</v>
      </c>
      <c r="DZ136" s="497" t="s">
        <v>4</v>
      </c>
      <c r="EA136" s="497" t="s">
        <v>4</v>
      </c>
      <c r="EB136" s="497" t="s">
        <v>4</v>
      </c>
      <c r="EC136" s="497" t="s">
        <v>4</v>
      </c>
      <c r="ED136" s="497" t="s">
        <v>4</v>
      </c>
      <c r="EE136" s="497" t="s">
        <v>4</v>
      </c>
      <c r="EF136" s="497" t="s">
        <v>4</v>
      </c>
      <c r="EG136" s="497" t="s">
        <v>4</v>
      </c>
      <c r="EH136" s="497" t="s">
        <v>4</v>
      </c>
      <c r="EI136" s="497" t="s">
        <v>4</v>
      </c>
      <c r="EJ136" s="497" t="s">
        <v>4</v>
      </c>
      <c r="EK136" s="497" t="s">
        <v>4</v>
      </c>
      <c r="EL136" s="497" t="s">
        <v>4</v>
      </c>
      <c r="EM136" s="497" t="s">
        <v>4</v>
      </c>
      <c r="EN136" s="497">
        <v>100</v>
      </c>
      <c r="EO136" s="497" t="s">
        <v>4</v>
      </c>
      <c r="EP136" s="497" t="s">
        <v>4</v>
      </c>
      <c r="EQ136" s="497" t="s">
        <v>4</v>
      </c>
      <c r="ER136" s="497" t="s">
        <v>4</v>
      </c>
      <c r="ES136" s="497" t="s">
        <v>4</v>
      </c>
      <c r="ET136" s="497" t="s">
        <v>4</v>
      </c>
      <c r="EU136" s="497" t="s">
        <v>4</v>
      </c>
      <c r="EV136" s="497" t="s">
        <v>4</v>
      </c>
      <c r="EW136" s="497">
        <v>1</v>
      </c>
      <c r="EX136" s="497" t="s">
        <v>34927</v>
      </c>
      <c r="EY136" s="497" t="s">
        <v>4</v>
      </c>
      <c r="EZ136" s="239"/>
      <c r="FA136" s="497" t="s">
        <v>4</v>
      </c>
      <c r="FB136" s="497" t="s">
        <v>4</v>
      </c>
      <c r="FC136" s="497" t="s">
        <v>4</v>
      </c>
      <c r="FD136" s="497" t="s">
        <v>4</v>
      </c>
      <c r="FE136" s="497" t="s">
        <v>4</v>
      </c>
      <c r="FF136" s="497" t="s">
        <v>4</v>
      </c>
      <c r="FG136" s="497" t="s">
        <v>4</v>
      </c>
      <c r="FH136" s="497" t="s">
        <v>4</v>
      </c>
      <c r="FI136" s="497" t="s">
        <v>4</v>
      </c>
      <c r="FJ136" s="497" t="s">
        <v>4</v>
      </c>
      <c r="FK136" s="497" t="s">
        <v>4</v>
      </c>
      <c r="FL136" s="497" t="s">
        <v>4</v>
      </c>
      <c r="FM136" s="497" t="s">
        <v>4</v>
      </c>
      <c r="FN136" s="494" t="s">
        <v>4</v>
      </c>
      <c r="FO136" s="497" t="s">
        <v>4</v>
      </c>
      <c r="FP136" s="497" t="s">
        <v>2</v>
      </c>
      <c r="FQ136" s="497" t="s">
        <v>4</v>
      </c>
      <c r="FR136" s="497" t="s">
        <v>4</v>
      </c>
      <c r="FS136" s="497" t="s">
        <v>7</v>
      </c>
      <c r="FT136" s="497" t="s">
        <v>2</v>
      </c>
      <c r="FU136" s="497" t="s">
        <v>4</v>
      </c>
      <c r="FV136" s="497" t="s">
        <v>4</v>
      </c>
      <c r="FW136" s="497" t="s">
        <v>4</v>
      </c>
      <c r="FX136" s="497">
        <v>0</v>
      </c>
      <c r="FY136" s="497" t="s">
        <v>4</v>
      </c>
      <c r="FZ136" s="497" t="s">
        <v>4</v>
      </c>
      <c r="GA136" s="497" t="s">
        <v>4</v>
      </c>
      <c r="GB136" s="497" t="s">
        <v>4</v>
      </c>
      <c r="GC136" s="497" t="s">
        <v>4</v>
      </c>
      <c r="GD136" s="497" t="s">
        <v>4</v>
      </c>
      <c r="GE136" s="497" t="s">
        <v>4</v>
      </c>
      <c r="GF136" s="497" t="s">
        <v>4</v>
      </c>
      <c r="GG136" s="497" t="s">
        <v>4</v>
      </c>
      <c r="GH136" s="497" t="s">
        <v>4</v>
      </c>
      <c r="GI136" s="497" t="s">
        <v>29304</v>
      </c>
      <c r="GJ136" s="497" t="s">
        <v>29529</v>
      </c>
      <c r="GK136" s="497" t="s">
        <v>4</v>
      </c>
      <c r="GL136" s="497" t="s">
        <v>4</v>
      </c>
      <c r="GM136" s="497" t="s">
        <v>4</v>
      </c>
      <c r="GN136" s="497" t="s">
        <v>4</v>
      </c>
      <c r="GO136" s="497" t="s">
        <v>29451</v>
      </c>
      <c r="GP136" s="497" t="s">
        <v>4</v>
      </c>
      <c r="GQ136" s="497" t="s">
        <v>4</v>
      </c>
      <c r="GR136" s="497" t="s">
        <v>4</v>
      </c>
      <c r="GS136" s="497" t="s">
        <v>4</v>
      </c>
      <c r="GT136" s="497" t="s">
        <v>29354</v>
      </c>
      <c r="GU136" s="497" t="s">
        <v>4</v>
      </c>
      <c r="GV136" s="494">
        <v>10</v>
      </c>
      <c r="GW136" s="497" t="s">
        <v>2</v>
      </c>
      <c r="GX136" s="497" t="s">
        <v>29837</v>
      </c>
      <c r="GY136" s="497" t="s">
        <v>4</v>
      </c>
      <c r="GZ136" s="497" t="s">
        <v>4</v>
      </c>
      <c r="HA136" s="497" t="s">
        <v>4</v>
      </c>
      <c r="HB136" s="497" t="s">
        <v>4</v>
      </c>
      <c r="HC136" s="497" t="s">
        <v>4</v>
      </c>
      <c r="HD136" s="497" t="s">
        <v>4</v>
      </c>
      <c r="HE136" s="497" t="s">
        <v>4</v>
      </c>
      <c r="HF136" s="497" t="s">
        <v>4</v>
      </c>
      <c r="HG136" s="497" t="s">
        <v>2</v>
      </c>
      <c r="HH136" s="497" t="s">
        <v>4</v>
      </c>
      <c r="HI136" s="497" t="s">
        <v>4</v>
      </c>
      <c r="HJ136" s="497" t="s">
        <v>4</v>
      </c>
      <c r="HK136" s="494" t="s">
        <v>4</v>
      </c>
      <c r="HL136" s="497" t="s">
        <v>34928</v>
      </c>
      <c r="HM136" s="497" t="s">
        <v>2</v>
      </c>
      <c r="HN136" s="497" t="s">
        <v>4</v>
      </c>
      <c r="HO136" s="497" t="s">
        <v>34929</v>
      </c>
      <c r="HP136" s="497" t="s">
        <v>34930</v>
      </c>
      <c r="HQ136" s="497" t="s">
        <v>34931</v>
      </c>
      <c r="HR136" s="497" t="s">
        <v>34932</v>
      </c>
      <c r="HS136" s="497" t="s">
        <v>16</v>
      </c>
      <c r="HT136" s="500" t="s">
        <v>34923</v>
      </c>
    </row>
    <row r="137" spans="1:228" s="570" customFormat="1" ht="30.2" customHeight="1" x14ac:dyDescent="0.25">
      <c r="A137" s="759"/>
      <c r="B137" s="496">
        <v>159</v>
      </c>
      <c r="C137" s="496" t="s">
        <v>7845</v>
      </c>
      <c r="D137" s="497" t="s">
        <v>35128</v>
      </c>
      <c r="E137" s="497" t="s">
        <v>35057</v>
      </c>
      <c r="F137" s="497" t="s">
        <v>7</v>
      </c>
      <c r="G137" s="497" t="s">
        <v>35129</v>
      </c>
      <c r="H137" s="497">
        <v>1179.6585689999999</v>
      </c>
      <c r="I137" s="497">
        <v>4.4585229999999996</v>
      </c>
      <c r="J137" s="497" t="s">
        <v>29319</v>
      </c>
      <c r="K137" s="497" t="s">
        <v>4</v>
      </c>
      <c r="L137" s="497" t="s">
        <v>7846</v>
      </c>
      <c r="M137" s="497">
        <v>779180390</v>
      </c>
      <c r="N137" s="497" t="s">
        <v>5</v>
      </c>
      <c r="O137" s="497" t="s">
        <v>31590</v>
      </c>
      <c r="P137" s="497" t="s">
        <v>4</v>
      </c>
      <c r="Q137" s="497">
        <v>6</v>
      </c>
      <c r="R137" s="497" t="s">
        <v>7</v>
      </c>
      <c r="S137" s="497" t="s">
        <v>31535</v>
      </c>
      <c r="T137" s="497" t="s">
        <v>4</v>
      </c>
      <c r="U137" s="497" t="s">
        <v>7</v>
      </c>
      <c r="V137" s="497" t="s">
        <v>7</v>
      </c>
      <c r="W137" s="497" t="s">
        <v>4</v>
      </c>
      <c r="X137" s="497" t="s">
        <v>7</v>
      </c>
      <c r="Y137" s="497" t="s">
        <v>4</v>
      </c>
      <c r="Z137" s="497" t="s">
        <v>4</v>
      </c>
      <c r="AA137" s="241" t="str">
        <f>IF(OR(U137="yes",Z137&gt;'SDG outcome'!$C$39),"yes","no")</f>
        <v>yes</v>
      </c>
      <c r="AB137" s="521" t="str">
        <f t="shared" si="3"/>
        <v>NA</v>
      </c>
      <c r="AC137" s="527" t="str">
        <f>IF(AND('SMS p2'!AA171="no",AND(Z137&gt;='SDG outcome'!$B$28,Z137&lt;'SDG outcome'!$C$39)),Z137-'SDG outcome'!$B$28,"")</f>
        <v/>
      </c>
      <c r="AD137" s="497" t="s">
        <v>4</v>
      </c>
      <c r="AE137" s="497" t="s">
        <v>4</v>
      </c>
      <c r="AF137" s="497" t="s">
        <v>4</v>
      </c>
      <c r="AG137" s="497" t="s">
        <v>4</v>
      </c>
      <c r="AH137" s="497" t="s">
        <v>4</v>
      </c>
      <c r="AI137" s="497" t="s">
        <v>4</v>
      </c>
      <c r="AJ137" s="497" t="s">
        <v>4</v>
      </c>
      <c r="AK137" s="497" t="s">
        <v>29290</v>
      </c>
      <c r="AL137" s="497" t="s">
        <v>29291</v>
      </c>
      <c r="AM137" s="497" t="s">
        <v>4</v>
      </c>
      <c r="AN137" s="497" t="s">
        <v>4</v>
      </c>
      <c r="AO137" s="497" t="s">
        <v>31536</v>
      </c>
      <c r="AP137" s="497" t="s">
        <v>4</v>
      </c>
      <c r="AQ137" s="497" t="s">
        <v>31537</v>
      </c>
      <c r="AR137" s="497" t="s">
        <v>4</v>
      </c>
      <c r="AS137" s="497" t="s">
        <v>31538</v>
      </c>
      <c r="AT137" s="497" t="s">
        <v>4</v>
      </c>
      <c r="AU137" s="497" t="s">
        <v>7</v>
      </c>
      <c r="AV137" s="497" t="s">
        <v>4</v>
      </c>
      <c r="AW137" s="497" t="s">
        <v>4</v>
      </c>
      <c r="AX137" s="497" t="s">
        <v>2</v>
      </c>
      <c r="AY137" s="497" t="s">
        <v>4</v>
      </c>
      <c r="AZ137" s="497" t="s">
        <v>4</v>
      </c>
      <c r="BA137" s="497" t="s">
        <v>4</v>
      </c>
      <c r="BB137" s="497" t="s">
        <v>4</v>
      </c>
      <c r="BC137" s="497" t="s">
        <v>4</v>
      </c>
      <c r="BD137" s="497" t="s">
        <v>4</v>
      </c>
      <c r="BE137" s="497" t="s">
        <v>4</v>
      </c>
      <c r="BF137" s="497" t="s">
        <v>4</v>
      </c>
      <c r="BG137" s="497" t="s">
        <v>4</v>
      </c>
      <c r="BH137" s="497" t="s">
        <v>4</v>
      </c>
      <c r="BI137" s="497" t="s">
        <v>4</v>
      </c>
      <c r="BJ137" s="497" t="s">
        <v>4</v>
      </c>
      <c r="BK137" s="497" t="s">
        <v>7</v>
      </c>
      <c r="BL137" s="497" t="s">
        <v>11</v>
      </c>
      <c r="BM137" s="497" t="s">
        <v>4</v>
      </c>
      <c r="BN137" s="497" t="s">
        <v>31425</v>
      </c>
      <c r="BO137" s="497">
        <v>1</v>
      </c>
      <c r="BP137" s="497">
        <v>75</v>
      </c>
      <c r="BQ137" s="497" t="s">
        <v>31426</v>
      </c>
      <c r="BR137" s="499" t="s">
        <v>33332</v>
      </c>
      <c r="BS137" s="497" t="s">
        <v>4</v>
      </c>
      <c r="BT137" s="497">
        <v>2</v>
      </c>
      <c r="BU137" s="494" cm="1">
        <f t="array" ref="BU137">_xlfn.IFS(BQ137="Foreword vehicle",BT137*0,BQ137="Human wastes",BT137*0,BS137="Jerrycans",BT137*$BT$4,BQ137="Number of Basins",BT137*$BT$5,BQ137="Number of Buckets",BT137*$BT$6,BQ137="Number of Kgs",BT137*$BT$7,BQ137="Number of spades",BT137*$BT$8,BQ137="Number of wheelbarrows",BT137*$BT$9,BS137="Septic Tank",BT137*0)</f>
        <v>46</v>
      </c>
      <c r="BV137" s="494">
        <f>Table15[[#This Row],[Calculation: Conversion of metric to Kg manure feeding (Columns: BP, BQ, BR)]]*Table15[[#This Row],[Number of times used to feed biodigester]]</f>
        <v>46</v>
      </c>
      <c r="BW137" s="495" cm="1">
        <f t="array" ref="BW137">_xlfn.IFS(BN137="Number of times per day (1 to 3)",BV137/$BW$3,BN137="Number of times per week (1 to 6)",BV137/$BW$4,BN137="Number of times per Month (1 to 3)",BV137/$BW$5)</f>
        <v>46</v>
      </c>
      <c r="BX137" s="497" t="s">
        <v>22</v>
      </c>
      <c r="BY137" s="497" t="s">
        <v>4</v>
      </c>
      <c r="BZ137" s="497" t="s">
        <v>2</v>
      </c>
      <c r="CA137" s="497" t="s">
        <v>4</v>
      </c>
      <c r="CB137" s="497" t="s">
        <v>4</v>
      </c>
      <c r="CC137" s="497" t="s">
        <v>4</v>
      </c>
      <c r="CD137" s="497" t="s">
        <v>7</v>
      </c>
      <c r="CE137" s="497" t="s">
        <v>35130</v>
      </c>
      <c r="CF137" s="497" t="s">
        <v>4</v>
      </c>
      <c r="CG137" s="497" t="s">
        <v>31604</v>
      </c>
      <c r="CH137" s="497">
        <v>5</v>
      </c>
      <c r="CI137" s="497">
        <v>0</v>
      </c>
      <c r="CJ137" s="497">
        <v>0</v>
      </c>
      <c r="CK137" s="497">
        <v>0</v>
      </c>
      <c r="CL137" s="497">
        <v>0</v>
      </c>
      <c r="CM137" s="497">
        <v>0</v>
      </c>
      <c r="CN137" s="497">
        <v>0</v>
      </c>
      <c r="CO137" s="497">
        <v>0</v>
      </c>
      <c r="CP137" s="497">
        <v>0</v>
      </c>
      <c r="CQ137" s="497">
        <v>0</v>
      </c>
      <c r="CR137" s="497">
        <f>IF(Table15[[#This Row],[Is your biodigester working?]]="yes",CO137/'SDG outcome'!$C$9*CP137*CQ137,"")</f>
        <v>0</v>
      </c>
      <c r="CS137" s="497">
        <v>95</v>
      </c>
      <c r="CT137" s="500">
        <v>5</v>
      </c>
      <c r="CU137" s="496" t="s">
        <v>35131</v>
      </c>
      <c r="CV137" s="497" t="s">
        <v>4</v>
      </c>
      <c r="CW137" s="500" t="s">
        <v>4</v>
      </c>
      <c r="CX137" s="496" t="s">
        <v>4</v>
      </c>
      <c r="CY137" s="497" t="s">
        <v>4</v>
      </c>
      <c r="CZ137" s="500" t="s">
        <v>4</v>
      </c>
      <c r="DA137" s="496" t="s">
        <v>4</v>
      </c>
      <c r="DB137" s="497" t="s">
        <v>4</v>
      </c>
      <c r="DC137" s="497" t="s">
        <v>4</v>
      </c>
      <c r="DD137" s="497" t="s">
        <v>4</v>
      </c>
      <c r="DE137" s="497" t="s">
        <v>4</v>
      </c>
      <c r="DF137" s="497" t="s">
        <v>4</v>
      </c>
      <c r="DG137" s="497" t="s">
        <v>4</v>
      </c>
      <c r="DH137" s="497" t="s">
        <v>4</v>
      </c>
      <c r="DI137" s="497" t="s">
        <v>4</v>
      </c>
      <c r="DJ137" s="497" t="s">
        <v>4</v>
      </c>
      <c r="DK137" s="497" t="s">
        <v>4</v>
      </c>
      <c r="DL137" s="497" t="s">
        <v>4</v>
      </c>
      <c r="DM137" s="497" t="s">
        <v>4</v>
      </c>
      <c r="DN137" s="497">
        <v>4</v>
      </c>
      <c r="DO137" s="497" t="s">
        <v>7</v>
      </c>
      <c r="DP137" s="497" t="s">
        <v>29292</v>
      </c>
      <c r="DQ137" s="497" t="s">
        <v>4</v>
      </c>
      <c r="DR137" s="497" t="s">
        <v>29293</v>
      </c>
      <c r="DS137" s="494">
        <v>1000</v>
      </c>
      <c r="DT137" s="497" t="s">
        <v>29294</v>
      </c>
      <c r="DU137" s="494" t="s">
        <v>4</v>
      </c>
      <c r="DV137" s="500" t="s">
        <v>29508</v>
      </c>
      <c r="DW137" s="496" t="s">
        <v>4</v>
      </c>
      <c r="DX137" s="497" t="s">
        <v>4</v>
      </c>
      <c r="DY137" s="497" t="s">
        <v>4</v>
      </c>
      <c r="DZ137" s="497" t="s">
        <v>4</v>
      </c>
      <c r="EA137" s="497" t="s">
        <v>4</v>
      </c>
      <c r="EB137" s="497" t="s">
        <v>4</v>
      </c>
      <c r="EC137" s="497" t="s">
        <v>4</v>
      </c>
      <c r="ED137" s="497">
        <v>100</v>
      </c>
      <c r="EE137" s="497" t="s">
        <v>35132</v>
      </c>
      <c r="EF137" s="497" t="s">
        <v>4</v>
      </c>
      <c r="EG137" s="497" t="s">
        <v>4</v>
      </c>
      <c r="EH137" s="497">
        <v>40</v>
      </c>
      <c r="EI137" s="497" t="s">
        <v>4</v>
      </c>
      <c r="EJ137" s="497" t="s">
        <v>4</v>
      </c>
      <c r="EK137" s="497" t="s">
        <v>4</v>
      </c>
      <c r="EL137" s="497">
        <v>60</v>
      </c>
      <c r="EM137" s="497">
        <v>60</v>
      </c>
      <c r="EN137" s="497" t="s">
        <v>4</v>
      </c>
      <c r="EO137" s="497" t="s">
        <v>4</v>
      </c>
      <c r="EP137" s="497" t="s">
        <v>4</v>
      </c>
      <c r="EQ137" s="497" t="s">
        <v>35133</v>
      </c>
      <c r="ER137" s="497" t="s">
        <v>4</v>
      </c>
      <c r="ES137" s="497" t="s">
        <v>4</v>
      </c>
      <c r="ET137" s="497" t="s">
        <v>4</v>
      </c>
      <c r="EU137" s="497">
        <v>40</v>
      </c>
      <c r="EV137" s="497">
        <v>60</v>
      </c>
      <c r="EW137" s="497" t="s">
        <v>33649</v>
      </c>
      <c r="EX137" s="497" t="s">
        <v>35121</v>
      </c>
      <c r="EY137" s="497" t="s">
        <v>4</v>
      </c>
      <c r="EZ137" s="239"/>
      <c r="FA137" s="497" t="s">
        <v>4</v>
      </c>
      <c r="FB137" s="497" t="s">
        <v>4</v>
      </c>
      <c r="FC137" s="497" t="s">
        <v>4</v>
      </c>
      <c r="FD137" s="497" t="s">
        <v>4</v>
      </c>
      <c r="FE137" s="497" t="s">
        <v>4</v>
      </c>
      <c r="FF137" s="497" t="s">
        <v>4</v>
      </c>
      <c r="FG137" s="497" t="s">
        <v>4</v>
      </c>
      <c r="FH137" s="497" t="s">
        <v>4</v>
      </c>
      <c r="FI137" s="497" t="s">
        <v>4</v>
      </c>
      <c r="FJ137" s="497" t="s">
        <v>4</v>
      </c>
      <c r="FK137" s="497" t="s">
        <v>4</v>
      </c>
      <c r="FL137" s="497" t="s">
        <v>4</v>
      </c>
      <c r="FM137" s="497" t="s">
        <v>4</v>
      </c>
      <c r="FN137" s="494" t="s">
        <v>4</v>
      </c>
      <c r="FO137" s="497" t="s">
        <v>4</v>
      </c>
      <c r="FP137" s="497" t="s">
        <v>2</v>
      </c>
      <c r="FQ137" s="497" t="s">
        <v>4</v>
      </c>
      <c r="FR137" s="497" t="s">
        <v>4</v>
      </c>
      <c r="FS137" s="497" t="s">
        <v>7</v>
      </c>
      <c r="FT137" s="497" t="s">
        <v>2</v>
      </c>
      <c r="FU137" s="497" t="s">
        <v>4</v>
      </c>
      <c r="FV137" s="497" t="s">
        <v>4</v>
      </c>
      <c r="FW137" s="497" t="s">
        <v>4</v>
      </c>
      <c r="FX137" s="497">
        <v>0</v>
      </c>
      <c r="FY137" s="497" t="s">
        <v>4</v>
      </c>
      <c r="FZ137" s="497" t="s">
        <v>4</v>
      </c>
      <c r="GA137" s="497" t="s">
        <v>4</v>
      </c>
      <c r="GB137" s="497" t="s">
        <v>4</v>
      </c>
      <c r="GC137" s="497" t="s">
        <v>4</v>
      </c>
      <c r="GD137" s="497" t="s">
        <v>4</v>
      </c>
      <c r="GE137" s="497" t="s">
        <v>4</v>
      </c>
      <c r="GF137" s="497" t="s">
        <v>4</v>
      </c>
      <c r="GG137" s="497" t="s">
        <v>4</v>
      </c>
      <c r="GH137" s="497" t="s">
        <v>4</v>
      </c>
      <c r="GI137" s="497" t="s">
        <v>29304</v>
      </c>
      <c r="GJ137" s="497" t="s">
        <v>29396</v>
      </c>
      <c r="GK137" s="497" t="s">
        <v>4</v>
      </c>
      <c r="GL137" s="497" t="s">
        <v>4</v>
      </c>
      <c r="GM137" s="497" t="s">
        <v>30273</v>
      </c>
      <c r="GN137" s="497" t="s">
        <v>4</v>
      </c>
      <c r="GO137" s="497" t="s">
        <v>4</v>
      </c>
      <c r="GP137" s="497" t="s">
        <v>4</v>
      </c>
      <c r="GQ137" s="497" t="s">
        <v>4</v>
      </c>
      <c r="GR137" s="497" t="s">
        <v>4</v>
      </c>
      <c r="GS137" s="497" t="s">
        <v>4</v>
      </c>
      <c r="GT137" s="497" t="s">
        <v>29452</v>
      </c>
      <c r="GU137" s="497" t="s">
        <v>4</v>
      </c>
      <c r="GV137" s="494">
        <v>15</v>
      </c>
      <c r="GW137" s="497" t="s">
        <v>29325</v>
      </c>
      <c r="GX137" s="497" t="s">
        <v>29309</v>
      </c>
      <c r="GY137" s="497" t="s">
        <v>4</v>
      </c>
      <c r="GZ137" s="497" t="s">
        <v>4</v>
      </c>
      <c r="HA137" s="497" t="s">
        <v>4</v>
      </c>
      <c r="HB137" s="497" t="s">
        <v>4</v>
      </c>
      <c r="HC137" s="497" t="s">
        <v>4</v>
      </c>
      <c r="HD137" s="497" t="s">
        <v>4</v>
      </c>
      <c r="HE137" s="497" t="s">
        <v>4</v>
      </c>
      <c r="HF137" s="497" t="s">
        <v>4</v>
      </c>
      <c r="HG137" s="497" t="s">
        <v>2</v>
      </c>
      <c r="HH137" s="497" t="s">
        <v>4</v>
      </c>
      <c r="HI137" s="497" t="s">
        <v>4</v>
      </c>
      <c r="HJ137" s="497" t="s">
        <v>4</v>
      </c>
      <c r="HK137" s="494" t="s">
        <v>4</v>
      </c>
      <c r="HL137" s="497" t="s">
        <v>33474</v>
      </c>
      <c r="HM137" s="497" t="s">
        <v>2</v>
      </c>
      <c r="HN137" s="497" t="s">
        <v>4</v>
      </c>
      <c r="HO137" s="497" t="s">
        <v>35134</v>
      </c>
      <c r="HP137" s="497" t="s">
        <v>35135</v>
      </c>
      <c r="HQ137" s="497" t="s">
        <v>35136</v>
      </c>
      <c r="HR137" s="497" t="s">
        <v>35137</v>
      </c>
      <c r="HS137" s="497" t="s">
        <v>35138</v>
      </c>
      <c r="HT137" s="500" t="s">
        <v>34057</v>
      </c>
    </row>
    <row r="138" spans="1:228" s="570" customFormat="1" ht="30.2" customHeight="1" x14ac:dyDescent="0.25">
      <c r="A138" s="759"/>
      <c r="B138" s="496">
        <v>165</v>
      </c>
      <c r="C138" s="496" t="s">
        <v>8132</v>
      </c>
      <c r="D138" s="497" t="s">
        <v>35196</v>
      </c>
      <c r="E138" s="497" t="s">
        <v>35057</v>
      </c>
      <c r="F138" s="497" t="s">
        <v>7</v>
      </c>
      <c r="G138" s="497" t="s">
        <v>35197</v>
      </c>
      <c r="H138" s="497">
        <v>1161.3845209999999</v>
      </c>
      <c r="I138" s="497">
        <v>4.1305880000000004</v>
      </c>
      <c r="J138" s="497" t="s">
        <v>29319</v>
      </c>
      <c r="K138" s="497" t="s">
        <v>4</v>
      </c>
      <c r="L138" s="497" t="s">
        <v>35198</v>
      </c>
      <c r="M138" s="497">
        <v>752821697</v>
      </c>
      <c r="N138" s="497" t="s">
        <v>5</v>
      </c>
      <c r="O138" s="497" t="s">
        <v>31590</v>
      </c>
      <c r="P138" s="497" t="s">
        <v>4</v>
      </c>
      <c r="Q138" s="497">
        <v>8</v>
      </c>
      <c r="R138" s="497" t="s">
        <v>7</v>
      </c>
      <c r="S138" s="497" t="s">
        <v>31535</v>
      </c>
      <c r="T138" s="497" t="s">
        <v>4</v>
      </c>
      <c r="U138" s="497" t="s">
        <v>7</v>
      </c>
      <c r="V138" s="497" t="s">
        <v>7</v>
      </c>
      <c r="W138" s="497" t="s">
        <v>4</v>
      </c>
      <c r="X138" s="497" t="s">
        <v>7</v>
      </c>
      <c r="Y138" s="497" t="s">
        <v>4</v>
      </c>
      <c r="Z138" s="497" t="s">
        <v>4</v>
      </c>
      <c r="AA138" s="241" t="str">
        <f>IF(OR(U138="yes",Z138&gt;'SDG outcome'!$C$39),"yes","no")</f>
        <v>yes</v>
      </c>
      <c r="AB138" s="521" t="str">
        <f t="shared" si="3"/>
        <v>NA</v>
      </c>
      <c r="AC138" s="527" t="str">
        <f>IF(AND('SMS p2'!AA177="no",AND(Z138&gt;='SDG outcome'!$B$28,Z138&lt;'SDG outcome'!$C$39)),Z138-'SDG outcome'!$B$28,"")</f>
        <v/>
      </c>
      <c r="AD138" s="497" t="s">
        <v>4</v>
      </c>
      <c r="AE138" s="497" t="s">
        <v>4</v>
      </c>
      <c r="AF138" s="497" t="s">
        <v>4</v>
      </c>
      <c r="AG138" s="497" t="s">
        <v>4</v>
      </c>
      <c r="AH138" s="497" t="s">
        <v>4</v>
      </c>
      <c r="AI138" s="497" t="s">
        <v>4</v>
      </c>
      <c r="AJ138" s="497" t="s">
        <v>4</v>
      </c>
      <c r="AK138" s="497" t="s">
        <v>29290</v>
      </c>
      <c r="AL138" s="497" t="s">
        <v>29291</v>
      </c>
      <c r="AM138" s="497" t="s">
        <v>4</v>
      </c>
      <c r="AN138" s="497" t="s">
        <v>4</v>
      </c>
      <c r="AO138" s="497" t="s">
        <v>31718</v>
      </c>
      <c r="AP138" s="497" t="s">
        <v>4</v>
      </c>
      <c r="AQ138" s="497" t="s">
        <v>31600</v>
      </c>
      <c r="AR138" s="497" t="s">
        <v>4</v>
      </c>
      <c r="AS138" s="497" t="s">
        <v>31538</v>
      </c>
      <c r="AT138" s="497" t="s">
        <v>4</v>
      </c>
      <c r="AU138" s="497" t="s">
        <v>7</v>
      </c>
      <c r="AV138" s="497" t="s">
        <v>4</v>
      </c>
      <c r="AW138" s="497" t="s">
        <v>4</v>
      </c>
      <c r="AX138" s="497" t="s">
        <v>2</v>
      </c>
      <c r="AY138" s="497" t="s">
        <v>4</v>
      </c>
      <c r="AZ138" s="497" t="s">
        <v>4</v>
      </c>
      <c r="BA138" s="497" t="s">
        <v>4</v>
      </c>
      <c r="BB138" s="497" t="s">
        <v>4</v>
      </c>
      <c r="BC138" s="497" t="s">
        <v>4</v>
      </c>
      <c r="BD138" s="497" t="s">
        <v>4</v>
      </c>
      <c r="BE138" s="497" t="s">
        <v>4</v>
      </c>
      <c r="BF138" s="497" t="s">
        <v>4</v>
      </c>
      <c r="BG138" s="497" t="s">
        <v>4</v>
      </c>
      <c r="BH138" s="497" t="s">
        <v>4</v>
      </c>
      <c r="BI138" s="497" t="s">
        <v>4</v>
      </c>
      <c r="BJ138" s="497" t="s">
        <v>4</v>
      </c>
      <c r="BK138" s="497" t="s">
        <v>7</v>
      </c>
      <c r="BL138" s="497" t="s">
        <v>11</v>
      </c>
      <c r="BM138" s="497" t="s">
        <v>4</v>
      </c>
      <c r="BN138" s="497" t="s">
        <v>31425</v>
      </c>
      <c r="BO138" s="497">
        <v>1</v>
      </c>
      <c r="BP138" s="497">
        <v>40</v>
      </c>
      <c r="BQ138" s="497" t="s">
        <v>31435</v>
      </c>
      <c r="BR138" s="499" t="s">
        <v>33361</v>
      </c>
      <c r="BS138" s="497" t="s">
        <v>4</v>
      </c>
      <c r="BT138" s="497">
        <v>1</v>
      </c>
      <c r="BU138" s="494" cm="1">
        <f t="array" ref="BU138">_xlfn.IFS(BQ138="Foreword vehicle",BT138*0,BQ138="Human wastes",BT138*0,BS138="Jerrycans",BT138*$BT$4,BQ138="Number of Basins",BT138*$BT$5,BQ138="Number of Buckets",BT138*$BT$6,BQ138="Number of Kgs",BT138*$BT$7,BQ138="Number of spades",BT138*$BT$8,BQ138="Number of wheelbarrows",BT138*$BS$9,BS138="Septic Tank",BT138*0)</f>
        <v>82.5</v>
      </c>
      <c r="BV138" s="494">
        <f>Table15[[#This Row],[Calculation: Conversion of metric to Kg manure feeding (Columns: BP, BQ, BR)]]*Table15[[#This Row],[Number of times used to feed biodigester]]</f>
        <v>82.5</v>
      </c>
      <c r="BW138" s="495" cm="1">
        <f t="array" ref="BW138">_xlfn.IFS(BN138="Number of times per day (1 to 3)",BV138/$BW$3,BN138="Number of times per week (1 to 6)",BV138/$BW$4,BN138="Number of times per Month (1 to 3)",BV138/$BW$5)</f>
        <v>82.5</v>
      </c>
      <c r="BX138" s="497" t="s">
        <v>22</v>
      </c>
      <c r="BY138" s="497" t="s">
        <v>4</v>
      </c>
      <c r="BZ138" s="497" t="s">
        <v>2</v>
      </c>
      <c r="CA138" s="497" t="s">
        <v>4</v>
      </c>
      <c r="CB138" s="497" t="s">
        <v>4</v>
      </c>
      <c r="CC138" s="497" t="s">
        <v>4</v>
      </c>
      <c r="CD138" s="497" t="s">
        <v>7</v>
      </c>
      <c r="CE138" s="497" t="s">
        <v>35199</v>
      </c>
      <c r="CF138" s="497" t="s">
        <v>4</v>
      </c>
      <c r="CG138" s="497" t="s">
        <v>31604</v>
      </c>
      <c r="CH138" s="497">
        <v>12</v>
      </c>
      <c r="CI138" s="497">
        <v>0</v>
      </c>
      <c r="CJ138" s="497">
        <v>0</v>
      </c>
      <c r="CK138" s="497">
        <v>0</v>
      </c>
      <c r="CL138" s="497">
        <v>0</v>
      </c>
      <c r="CM138" s="497">
        <v>0</v>
      </c>
      <c r="CN138" s="497">
        <v>0</v>
      </c>
      <c r="CO138" s="497">
        <v>0</v>
      </c>
      <c r="CP138" s="497">
        <v>0</v>
      </c>
      <c r="CQ138" s="497">
        <v>0</v>
      </c>
      <c r="CR138" s="497">
        <f>IF(Table15[[#This Row],[Is your biodigester working?]]="yes",CO138/'SDG outcome'!$C$9*CP138*CQ138,"")</f>
        <v>0</v>
      </c>
      <c r="CS138" s="497">
        <v>20</v>
      </c>
      <c r="CT138" s="500">
        <v>80</v>
      </c>
      <c r="CU138" s="496" t="s">
        <v>35200</v>
      </c>
      <c r="CV138" s="497" t="s">
        <v>4</v>
      </c>
      <c r="CW138" s="500" t="s">
        <v>4</v>
      </c>
      <c r="CX138" s="496" t="s">
        <v>4</v>
      </c>
      <c r="CY138" s="497" t="s">
        <v>4</v>
      </c>
      <c r="CZ138" s="500" t="s">
        <v>4</v>
      </c>
      <c r="DA138" s="496" t="s">
        <v>4</v>
      </c>
      <c r="DB138" s="497" t="s">
        <v>4</v>
      </c>
      <c r="DC138" s="497" t="s">
        <v>4</v>
      </c>
      <c r="DD138" s="497" t="s">
        <v>4</v>
      </c>
      <c r="DE138" s="497" t="s">
        <v>4</v>
      </c>
      <c r="DF138" s="497" t="s">
        <v>4</v>
      </c>
      <c r="DG138" s="497" t="s">
        <v>4</v>
      </c>
      <c r="DH138" s="497" t="s">
        <v>4</v>
      </c>
      <c r="DI138" s="497" t="s">
        <v>4</v>
      </c>
      <c r="DJ138" s="497" t="s">
        <v>4</v>
      </c>
      <c r="DK138" s="497" t="s">
        <v>4</v>
      </c>
      <c r="DL138" s="497" t="s">
        <v>4</v>
      </c>
      <c r="DM138" s="497" t="s">
        <v>4</v>
      </c>
      <c r="DN138" s="497">
        <v>6</v>
      </c>
      <c r="DO138" s="497" t="s">
        <v>2</v>
      </c>
      <c r="DP138" s="497" t="s">
        <v>29292</v>
      </c>
      <c r="DQ138" s="497" t="s">
        <v>4</v>
      </c>
      <c r="DR138" s="497" t="s">
        <v>29294</v>
      </c>
      <c r="DS138" s="494" t="s">
        <v>4</v>
      </c>
      <c r="DT138" s="497" t="s">
        <v>29294</v>
      </c>
      <c r="DU138" s="494" t="s">
        <v>4</v>
      </c>
      <c r="DV138" s="500" t="s">
        <v>29295</v>
      </c>
      <c r="DW138" s="496">
        <v>100</v>
      </c>
      <c r="DX138" s="497" t="s">
        <v>29296</v>
      </c>
      <c r="DY138" s="497">
        <v>100</v>
      </c>
      <c r="DZ138" s="497" t="s">
        <v>4</v>
      </c>
      <c r="EA138" s="497" t="s">
        <v>4</v>
      </c>
      <c r="EB138" s="497" t="s">
        <v>4</v>
      </c>
      <c r="EC138" s="497" t="s">
        <v>4</v>
      </c>
      <c r="ED138" s="497" t="s">
        <v>4</v>
      </c>
      <c r="EE138" s="497" t="s">
        <v>4</v>
      </c>
      <c r="EF138" s="497" t="s">
        <v>4</v>
      </c>
      <c r="EG138" s="497" t="s">
        <v>4</v>
      </c>
      <c r="EH138" s="497" t="s">
        <v>4</v>
      </c>
      <c r="EI138" s="497" t="s">
        <v>4</v>
      </c>
      <c r="EJ138" s="497" t="s">
        <v>4</v>
      </c>
      <c r="EK138" s="497" t="s">
        <v>4</v>
      </c>
      <c r="EL138" s="497" t="s">
        <v>4</v>
      </c>
      <c r="EM138" s="497" t="s">
        <v>4</v>
      </c>
      <c r="EN138" s="497" t="s">
        <v>4</v>
      </c>
      <c r="EO138" s="497" t="s">
        <v>4</v>
      </c>
      <c r="EP138" s="497" t="s">
        <v>4</v>
      </c>
      <c r="EQ138" s="497" t="s">
        <v>4</v>
      </c>
      <c r="ER138" s="497" t="s">
        <v>4</v>
      </c>
      <c r="ES138" s="497" t="s">
        <v>4</v>
      </c>
      <c r="ET138" s="497" t="s">
        <v>4</v>
      </c>
      <c r="EU138" s="497" t="s">
        <v>4</v>
      </c>
      <c r="EV138" s="497" t="s">
        <v>4</v>
      </c>
      <c r="EW138" s="497" t="s">
        <v>33649</v>
      </c>
      <c r="EX138" s="497" t="s">
        <v>7</v>
      </c>
      <c r="EY138" s="497">
        <v>25</v>
      </c>
      <c r="EZ138" s="239"/>
      <c r="FA138" s="497" t="s">
        <v>35158</v>
      </c>
      <c r="FB138" s="497" t="s">
        <v>29298</v>
      </c>
      <c r="FC138" s="497">
        <v>36</v>
      </c>
      <c r="FD138" s="497" t="s">
        <v>7</v>
      </c>
      <c r="FE138" s="497" t="s">
        <v>29393</v>
      </c>
      <c r="FF138" s="497" t="s">
        <v>4</v>
      </c>
      <c r="FG138" s="497" t="s">
        <v>2</v>
      </c>
      <c r="FH138" s="497" t="s">
        <v>4</v>
      </c>
      <c r="FI138" s="497" t="s">
        <v>4</v>
      </c>
      <c r="FJ138" s="497" t="s">
        <v>4</v>
      </c>
      <c r="FK138" s="497" t="s">
        <v>4</v>
      </c>
      <c r="FL138" s="497" t="s">
        <v>4</v>
      </c>
      <c r="FM138" s="497" t="s">
        <v>4</v>
      </c>
      <c r="FN138" s="494" t="s">
        <v>4</v>
      </c>
      <c r="FO138" s="497" t="s">
        <v>4</v>
      </c>
      <c r="FP138" s="497" t="s">
        <v>2</v>
      </c>
      <c r="FQ138" s="497" t="s">
        <v>4</v>
      </c>
      <c r="FR138" s="497" t="s">
        <v>4</v>
      </c>
      <c r="FS138" s="497" t="s">
        <v>7</v>
      </c>
      <c r="FT138" s="497" t="s">
        <v>2</v>
      </c>
      <c r="FU138" s="497" t="s">
        <v>4</v>
      </c>
      <c r="FV138" s="497" t="s">
        <v>4</v>
      </c>
      <c r="FW138" s="497" t="s">
        <v>4</v>
      </c>
      <c r="FX138" s="497">
        <v>0</v>
      </c>
      <c r="FY138" s="497" t="s">
        <v>4</v>
      </c>
      <c r="FZ138" s="497" t="s">
        <v>4</v>
      </c>
      <c r="GA138" s="497" t="s">
        <v>4</v>
      </c>
      <c r="GB138" s="497" t="s">
        <v>4</v>
      </c>
      <c r="GC138" s="497" t="s">
        <v>4</v>
      </c>
      <c r="GD138" s="497" t="s">
        <v>4</v>
      </c>
      <c r="GE138" s="497" t="s">
        <v>4</v>
      </c>
      <c r="GF138" s="497" t="s">
        <v>4</v>
      </c>
      <c r="GG138" s="497" t="s">
        <v>4</v>
      </c>
      <c r="GH138" s="497" t="s">
        <v>4</v>
      </c>
      <c r="GI138" s="497" t="s">
        <v>29304</v>
      </c>
      <c r="GJ138" s="497" t="s">
        <v>29465</v>
      </c>
      <c r="GK138" s="497" t="s">
        <v>4</v>
      </c>
      <c r="GL138" s="497" t="s">
        <v>29941</v>
      </c>
      <c r="GM138" s="497" t="s">
        <v>4</v>
      </c>
      <c r="GN138" s="497" t="s">
        <v>4</v>
      </c>
      <c r="GO138" s="497" t="s">
        <v>29451</v>
      </c>
      <c r="GP138" s="497" t="s">
        <v>4</v>
      </c>
      <c r="GQ138" s="497" t="s">
        <v>4</v>
      </c>
      <c r="GR138" s="497" t="s">
        <v>4</v>
      </c>
      <c r="GS138" s="497" t="s">
        <v>4</v>
      </c>
      <c r="GT138" s="497" t="s">
        <v>29452</v>
      </c>
      <c r="GU138" s="497" t="s">
        <v>4</v>
      </c>
      <c r="GV138" s="494">
        <v>5</v>
      </c>
      <c r="GW138" s="497" t="s">
        <v>2</v>
      </c>
      <c r="GX138" s="497" t="s">
        <v>29837</v>
      </c>
      <c r="GY138" s="497" t="s">
        <v>4</v>
      </c>
      <c r="GZ138" s="497" t="s">
        <v>4</v>
      </c>
      <c r="HA138" s="497" t="s">
        <v>4</v>
      </c>
      <c r="HB138" s="497" t="s">
        <v>4</v>
      </c>
      <c r="HC138" s="497" t="s">
        <v>4</v>
      </c>
      <c r="HD138" s="497" t="s">
        <v>4</v>
      </c>
      <c r="HE138" s="497" t="s">
        <v>4</v>
      </c>
      <c r="HF138" s="497" t="s">
        <v>4</v>
      </c>
      <c r="HG138" s="497" t="s">
        <v>2</v>
      </c>
      <c r="HH138" s="497" t="s">
        <v>4</v>
      </c>
      <c r="HI138" s="497" t="s">
        <v>4</v>
      </c>
      <c r="HJ138" s="497" t="s">
        <v>4</v>
      </c>
      <c r="HK138" s="494" t="s">
        <v>4</v>
      </c>
      <c r="HL138" s="497" t="s">
        <v>35201</v>
      </c>
      <c r="HM138" s="497" t="s">
        <v>7</v>
      </c>
      <c r="HN138" s="497" t="s">
        <v>35202</v>
      </c>
      <c r="HO138" s="497" t="s">
        <v>35203</v>
      </c>
      <c r="HP138" s="497" t="s">
        <v>35204</v>
      </c>
      <c r="HQ138" s="497" t="s">
        <v>35205</v>
      </c>
      <c r="HR138" s="497" t="s">
        <v>35206</v>
      </c>
      <c r="HS138" s="497" t="s">
        <v>16</v>
      </c>
      <c r="HT138" s="500" t="s">
        <v>35207</v>
      </c>
    </row>
    <row r="139" spans="1:228" s="570" customFormat="1" ht="30.2" customHeight="1" x14ac:dyDescent="0.25">
      <c r="A139" s="759"/>
      <c r="B139" s="496">
        <v>177</v>
      </c>
      <c r="C139" s="496" t="s">
        <v>10</v>
      </c>
      <c r="D139" s="497" t="s">
        <v>35334</v>
      </c>
      <c r="E139" s="497" t="s">
        <v>35222</v>
      </c>
      <c r="F139" s="497" t="s">
        <v>7</v>
      </c>
      <c r="G139" s="497" t="s">
        <v>35335</v>
      </c>
      <c r="H139" s="497">
        <v>0</v>
      </c>
      <c r="I139" s="497">
        <v>800</v>
      </c>
      <c r="J139" s="497" t="s">
        <v>29389</v>
      </c>
      <c r="K139" s="497" t="s">
        <v>35336</v>
      </c>
      <c r="L139" s="497" t="s">
        <v>35337</v>
      </c>
      <c r="M139" s="497">
        <v>773226623</v>
      </c>
      <c r="N139" s="497" t="s">
        <v>3</v>
      </c>
      <c r="O139" s="497" t="s">
        <v>31590</v>
      </c>
      <c r="P139" s="497" t="s">
        <v>4</v>
      </c>
      <c r="Q139" s="497">
        <v>3</v>
      </c>
      <c r="R139" s="497" t="s">
        <v>7</v>
      </c>
      <c r="S139" s="497" t="s">
        <v>31588</v>
      </c>
      <c r="T139" s="497" t="s">
        <v>4</v>
      </c>
      <c r="U139" s="497" t="s">
        <v>7</v>
      </c>
      <c r="V139" s="497" t="s">
        <v>7</v>
      </c>
      <c r="W139" s="497" t="s">
        <v>4</v>
      </c>
      <c r="X139" s="497" t="s">
        <v>7</v>
      </c>
      <c r="Y139" s="497" t="s">
        <v>4</v>
      </c>
      <c r="Z139" s="497" t="s">
        <v>4</v>
      </c>
      <c r="AA139" s="241" t="str">
        <f>IF(OR(U139="yes",Z139&gt;'SDG outcome'!$C$39),"yes","no")</f>
        <v>yes</v>
      </c>
      <c r="AB139" s="521" t="str">
        <f t="shared" si="3"/>
        <v>NA</v>
      </c>
      <c r="AC139" s="527" t="str">
        <f>IF(AND('SMS p2'!AA189="no",AND(Z139&gt;='SDG outcome'!$B$28,Z139&lt;'SDG outcome'!$C$39)),Z139-'SDG outcome'!$B$28,"")</f>
        <v/>
      </c>
      <c r="AD139" s="497" t="s">
        <v>4</v>
      </c>
      <c r="AE139" s="497" t="s">
        <v>4</v>
      </c>
      <c r="AF139" s="497" t="s">
        <v>4</v>
      </c>
      <c r="AG139" s="497" t="s">
        <v>4</v>
      </c>
      <c r="AH139" s="497" t="s">
        <v>4</v>
      </c>
      <c r="AI139" s="497" t="s">
        <v>4</v>
      </c>
      <c r="AJ139" s="497" t="s">
        <v>4</v>
      </c>
      <c r="AK139" s="497" t="s">
        <v>29290</v>
      </c>
      <c r="AL139" s="497" t="s">
        <v>29291</v>
      </c>
      <c r="AM139" s="497" t="s">
        <v>4</v>
      </c>
      <c r="AN139" s="497" t="s">
        <v>4</v>
      </c>
      <c r="AO139" s="497" t="s">
        <v>31536</v>
      </c>
      <c r="AP139" s="497" t="s">
        <v>4</v>
      </c>
      <c r="AQ139" s="497" t="s">
        <v>31537</v>
      </c>
      <c r="AR139" s="497" t="s">
        <v>4</v>
      </c>
      <c r="AS139" s="497" t="s">
        <v>31538</v>
      </c>
      <c r="AT139" s="497" t="s">
        <v>4</v>
      </c>
      <c r="AU139" s="497" t="s">
        <v>2</v>
      </c>
      <c r="AV139" s="497" t="s">
        <v>13</v>
      </c>
      <c r="AW139" s="497" t="s">
        <v>35338</v>
      </c>
      <c r="AX139" s="497" t="s">
        <v>2</v>
      </c>
      <c r="AY139" s="497" t="s">
        <v>4</v>
      </c>
      <c r="AZ139" s="497" t="s">
        <v>4</v>
      </c>
      <c r="BA139" s="497" t="s">
        <v>4</v>
      </c>
      <c r="BB139" s="497" t="s">
        <v>4</v>
      </c>
      <c r="BC139" s="497" t="s">
        <v>4</v>
      </c>
      <c r="BD139" s="497" t="s">
        <v>4</v>
      </c>
      <c r="BE139" s="497" t="s">
        <v>4</v>
      </c>
      <c r="BF139" s="497" t="s">
        <v>4</v>
      </c>
      <c r="BG139" s="497" t="s">
        <v>4</v>
      </c>
      <c r="BH139" s="497" t="s">
        <v>4</v>
      </c>
      <c r="BI139" s="497" t="s">
        <v>4</v>
      </c>
      <c r="BJ139" s="497" t="s">
        <v>4</v>
      </c>
      <c r="BK139" s="497" t="s">
        <v>7</v>
      </c>
      <c r="BL139" s="497" t="s">
        <v>11</v>
      </c>
      <c r="BM139" s="497" t="s">
        <v>4</v>
      </c>
      <c r="BN139" s="497" t="s">
        <v>31429</v>
      </c>
      <c r="BO139" s="497">
        <v>2</v>
      </c>
      <c r="BP139" s="497">
        <v>30</v>
      </c>
      <c r="BQ139" s="497" t="s">
        <v>13</v>
      </c>
      <c r="BR139" s="499" t="s">
        <v>33332</v>
      </c>
      <c r="BS139" s="497" t="s">
        <v>31431</v>
      </c>
      <c r="BT139" s="497">
        <v>3</v>
      </c>
      <c r="BU139" s="494" cm="1">
        <f t="array" ref="BU139">_xlfn.IFS(BQ139="Foreword vehicle",BT139*0,BQ139="Human wastes",BT139*0,BS139="Jerrycans",BT139*$BT$4,BQ139="Number of Basins",BT139*$BT$5,BQ139="Number of Buckets",BT139*$BT$6,BQ139="Number of Kgs",BT139*$BT$7,BQ139="Number of spades",BT139*$BT$8,BQ139="Number of wheelbarrows",BT139*$BT$9,BS139="Septic Tank",BT139*0)</f>
        <v>54</v>
      </c>
      <c r="BV139" s="494">
        <f>Table15[[#This Row],[Calculation: Conversion of metric to Kg manure feeding (Columns: BP, BQ, BR)]]*Table15[[#This Row],[Number of times used to feed biodigester]]</f>
        <v>108</v>
      </c>
      <c r="BW139" s="495" cm="1">
        <f t="array" ref="BW139">_xlfn.IFS(BN139="Number of times per day (1 to 3)",BV139/$BW$3,BN139="Number of times per week (1 to 6)",BV139/$BW$4,BN139="Number of times per Month (1 to 3)",BV139/$BW$5)</f>
        <v>15.428571428571429</v>
      </c>
      <c r="BX139" s="497" t="s">
        <v>13</v>
      </c>
      <c r="BY139" s="497" t="s">
        <v>35339</v>
      </c>
      <c r="BZ139" s="497" t="s">
        <v>2</v>
      </c>
      <c r="CA139" s="497" t="s">
        <v>4</v>
      </c>
      <c r="CB139" s="497" t="s">
        <v>4</v>
      </c>
      <c r="CC139" s="497" t="s">
        <v>4</v>
      </c>
      <c r="CD139" s="497" t="s">
        <v>7</v>
      </c>
      <c r="CE139" s="497" t="s">
        <v>35340</v>
      </c>
      <c r="CF139" s="497" t="s">
        <v>4</v>
      </c>
      <c r="CG139" s="497" t="s">
        <v>31728</v>
      </c>
      <c r="CH139" s="497">
        <v>0</v>
      </c>
      <c r="CI139" s="497">
        <v>20</v>
      </c>
      <c r="CJ139" s="497">
        <v>16</v>
      </c>
      <c r="CK139" s="497">
        <v>0</v>
      </c>
      <c r="CL139" s="497">
        <v>0</v>
      </c>
      <c r="CM139" s="497">
        <v>0</v>
      </c>
      <c r="CN139" s="497">
        <v>0</v>
      </c>
      <c r="CO139" s="497">
        <v>0</v>
      </c>
      <c r="CP139" s="497">
        <v>0</v>
      </c>
      <c r="CQ139" s="497">
        <v>0</v>
      </c>
      <c r="CR139" s="497">
        <f>IF(Table15[[#This Row],[Is your biodigester working?]]="yes",CO139/'SDG outcome'!$C$9*CP139*CQ139,"")</f>
        <v>0</v>
      </c>
      <c r="CS139" s="497" t="s">
        <v>4</v>
      </c>
      <c r="CT139" s="500" t="s">
        <v>4</v>
      </c>
      <c r="CU139" s="496" t="s">
        <v>4</v>
      </c>
      <c r="CV139" s="497">
        <v>60</v>
      </c>
      <c r="CW139" s="500">
        <v>40</v>
      </c>
      <c r="CX139" s="496" t="s">
        <v>35341</v>
      </c>
      <c r="CY139" s="497" t="s">
        <v>4</v>
      </c>
      <c r="CZ139" s="500" t="s">
        <v>4</v>
      </c>
      <c r="DA139" s="496" t="s">
        <v>4</v>
      </c>
      <c r="DB139" s="497">
        <v>0</v>
      </c>
      <c r="DC139" s="497">
        <v>100</v>
      </c>
      <c r="DD139" s="497" t="s">
        <v>35342</v>
      </c>
      <c r="DE139" s="497" t="s">
        <v>4</v>
      </c>
      <c r="DF139" s="497" t="s">
        <v>4</v>
      </c>
      <c r="DG139" s="497" t="s">
        <v>4</v>
      </c>
      <c r="DH139" s="497" t="s">
        <v>4</v>
      </c>
      <c r="DI139" s="497" t="s">
        <v>4</v>
      </c>
      <c r="DJ139" s="497" t="s">
        <v>4</v>
      </c>
      <c r="DK139" s="497" t="s">
        <v>4</v>
      </c>
      <c r="DL139" s="497" t="s">
        <v>4</v>
      </c>
      <c r="DM139" s="497" t="s">
        <v>4</v>
      </c>
      <c r="DN139" s="497">
        <v>1</v>
      </c>
      <c r="DO139" s="497" t="s">
        <v>2</v>
      </c>
      <c r="DP139" s="497" t="s">
        <v>29292</v>
      </c>
      <c r="DQ139" s="497" t="s">
        <v>4</v>
      </c>
      <c r="DR139" s="497" t="s">
        <v>29293</v>
      </c>
      <c r="DS139" s="494">
        <v>50000</v>
      </c>
      <c r="DT139" s="497" t="s">
        <v>29294</v>
      </c>
      <c r="DU139" s="494" t="s">
        <v>4</v>
      </c>
      <c r="DV139" s="500" t="s">
        <v>29295</v>
      </c>
      <c r="DW139" s="496">
        <v>100</v>
      </c>
      <c r="DX139" s="497" t="s">
        <v>29296</v>
      </c>
      <c r="DY139" s="497">
        <v>100</v>
      </c>
      <c r="DZ139" s="497" t="s">
        <v>4</v>
      </c>
      <c r="EA139" s="497" t="s">
        <v>4</v>
      </c>
      <c r="EB139" s="497" t="s">
        <v>4</v>
      </c>
      <c r="EC139" s="497" t="s">
        <v>4</v>
      </c>
      <c r="ED139" s="497" t="s">
        <v>4</v>
      </c>
      <c r="EE139" s="497" t="s">
        <v>4</v>
      </c>
      <c r="EF139" s="497" t="s">
        <v>4</v>
      </c>
      <c r="EG139" s="497" t="s">
        <v>4</v>
      </c>
      <c r="EH139" s="497" t="s">
        <v>4</v>
      </c>
      <c r="EI139" s="497" t="s">
        <v>4</v>
      </c>
      <c r="EJ139" s="497" t="s">
        <v>4</v>
      </c>
      <c r="EK139" s="497" t="s">
        <v>4</v>
      </c>
      <c r="EL139" s="497" t="s">
        <v>4</v>
      </c>
      <c r="EM139" s="497" t="s">
        <v>4</v>
      </c>
      <c r="EN139" s="497" t="s">
        <v>4</v>
      </c>
      <c r="EO139" s="497" t="s">
        <v>4</v>
      </c>
      <c r="EP139" s="497" t="s">
        <v>4</v>
      </c>
      <c r="EQ139" s="497" t="s">
        <v>4</v>
      </c>
      <c r="ER139" s="497" t="s">
        <v>4</v>
      </c>
      <c r="ES139" s="497" t="s">
        <v>4</v>
      </c>
      <c r="ET139" s="497" t="s">
        <v>4</v>
      </c>
      <c r="EU139" s="497" t="s">
        <v>4</v>
      </c>
      <c r="EV139" s="497" t="s">
        <v>4</v>
      </c>
      <c r="EW139" s="497" t="s">
        <v>33649</v>
      </c>
      <c r="EX139" s="497" t="s">
        <v>7</v>
      </c>
      <c r="EY139" s="497" t="s">
        <v>33736</v>
      </c>
      <c r="EZ139" s="239"/>
      <c r="FA139" s="497" t="s">
        <v>35343</v>
      </c>
      <c r="FB139" s="497" t="s">
        <v>29298</v>
      </c>
      <c r="FC139" s="497">
        <v>12</v>
      </c>
      <c r="FD139" s="497" t="s">
        <v>7</v>
      </c>
      <c r="FE139" s="497" t="s">
        <v>29299</v>
      </c>
      <c r="FF139" s="497" t="s">
        <v>4</v>
      </c>
      <c r="FG139" s="497" t="s">
        <v>2</v>
      </c>
      <c r="FH139" s="497" t="s">
        <v>4</v>
      </c>
      <c r="FI139" s="497" t="s">
        <v>4</v>
      </c>
      <c r="FJ139" s="497" t="s">
        <v>4</v>
      </c>
      <c r="FK139" s="497" t="s">
        <v>4</v>
      </c>
      <c r="FL139" s="497" t="s">
        <v>4</v>
      </c>
      <c r="FM139" s="497" t="s">
        <v>4</v>
      </c>
      <c r="FN139" s="494" t="s">
        <v>4</v>
      </c>
      <c r="FO139" s="497" t="s">
        <v>4</v>
      </c>
      <c r="FP139" s="497" t="s">
        <v>2</v>
      </c>
      <c r="FQ139" s="497" t="s">
        <v>4</v>
      </c>
      <c r="FR139" s="497" t="s">
        <v>4</v>
      </c>
      <c r="FS139" s="497" t="s">
        <v>7</v>
      </c>
      <c r="FT139" s="497" t="s">
        <v>2</v>
      </c>
      <c r="FU139" s="497" t="s">
        <v>4</v>
      </c>
      <c r="FV139" s="497" t="s">
        <v>4</v>
      </c>
      <c r="FW139" s="497" t="s">
        <v>29304</v>
      </c>
      <c r="FX139" s="497">
        <v>2</v>
      </c>
      <c r="FY139" s="497" t="s">
        <v>13</v>
      </c>
      <c r="FZ139" s="497" t="s">
        <v>4</v>
      </c>
      <c r="GA139" s="497" t="s">
        <v>4</v>
      </c>
      <c r="GB139" s="497" t="s">
        <v>4</v>
      </c>
      <c r="GC139" s="497" t="s">
        <v>4</v>
      </c>
      <c r="GD139" s="497" t="s">
        <v>4</v>
      </c>
      <c r="GE139" s="497" t="s">
        <v>4</v>
      </c>
      <c r="GF139" s="497" t="s">
        <v>35344</v>
      </c>
      <c r="GG139" s="497" t="s">
        <v>4</v>
      </c>
      <c r="GH139" s="497" t="s">
        <v>4</v>
      </c>
      <c r="GI139" s="497" t="s">
        <v>4</v>
      </c>
      <c r="GJ139" s="497" t="s">
        <v>4</v>
      </c>
      <c r="GK139" s="497" t="s">
        <v>4</v>
      </c>
      <c r="GL139" s="497" t="s">
        <v>4</v>
      </c>
      <c r="GM139" s="497" t="s">
        <v>4</v>
      </c>
      <c r="GN139" s="497" t="s">
        <v>4</v>
      </c>
      <c r="GO139" s="497" t="s">
        <v>4</v>
      </c>
      <c r="GP139" s="497" t="s">
        <v>4</v>
      </c>
      <c r="GQ139" s="497" t="s">
        <v>4</v>
      </c>
      <c r="GR139" s="497" t="s">
        <v>4</v>
      </c>
      <c r="GS139" s="497" t="s">
        <v>4</v>
      </c>
      <c r="GT139" s="497" t="s">
        <v>29354</v>
      </c>
      <c r="GU139" s="497" t="s">
        <v>4</v>
      </c>
      <c r="GV139" s="494">
        <v>15</v>
      </c>
      <c r="GW139" s="497" t="s">
        <v>29325</v>
      </c>
      <c r="GX139" s="497" t="s">
        <v>29309</v>
      </c>
      <c r="GY139" s="497" t="s">
        <v>4</v>
      </c>
      <c r="GZ139" s="497" t="s">
        <v>4</v>
      </c>
      <c r="HA139" s="497" t="s">
        <v>4</v>
      </c>
      <c r="HB139" s="497" t="s">
        <v>4</v>
      </c>
      <c r="HC139" s="497" t="s">
        <v>4</v>
      </c>
      <c r="HD139" s="497" t="s">
        <v>4</v>
      </c>
      <c r="HE139" s="497" t="s">
        <v>4</v>
      </c>
      <c r="HF139" s="497" t="s">
        <v>4</v>
      </c>
      <c r="HG139" s="497" t="s">
        <v>2</v>
      </c>
      <c r="HH139" s="497" t="s">
        <v>4</v>
      </c>
      <c r="HI139" s="497" t="s">
        <v>4</v>
      </c>
      <c r="HJ139" s="497" t="s">
        <v>4</v>
      </c>
      <c r="HK139" s="494" t="s">
        <v>4</v>
      </c>
      <c r="HL139" s="497" t="s">
        <v>4</v>
      </c>
      <c r="HM139" s="497" t="s">
        <v>2</v>
      </c>
      <c r="HN139" s="497" t="s">
        <v>4</v>
      </c>
      <c r="HO139" s="497" t="s">
        <v>35345</v>
      </c>
      <c r="HP139" s="497" t="s">
        <v>35346</v>
      </c>
      <c r="HQ139" s="497" t="s">
        <v>35347</v>
      </c>
      <c r="HR139" s="497" t="s">
        <v>35348</v>
      </c>
      <c r="HS139" s="497" t="s">
        <v>35349</v>
      </c>
      <c r="HT139" s="500" t="s">
        <v>35350</v>
      </c>
    </row>
    <row r="140" spans="1:228" s="570" customFormat="1" ht="30.2" customHeight="1" x14ac:dyDescent="0.25">
      <c r="A140" s="759"/>
      <c r="B140" s="563">
        <v>99</v>
      </c>
      <c r="C140" s="563" t="s">
        <v>13320</v>
      </c>
      <c r="D140" s="564" t="s">
        <v>34467</v>
      </c>
      <c r="E140" s="564" t="s">
        <v>34457</v>
      </c>
      <c r="F140" s="564" t="s">
        <v>7</v>
      </c>
      <c r="G140" s="564" t="s">
        <v>34468</v>
      </c>
      <c r="H140" s="564">
        <v>1126.8</v>
      </c>
      <c r="I140" s="564">
        <v>2.5</v>
      </c>
      <c r="J140" s="564" t="s">
        <v>29389</v>
      </c>
      <c r="K140" s="564" t="s">
        <v>22</v>
      </c>
      <c r="L140" s="564" t="s">
        <v>34469</v>
      </c>
      <c r="M140" s="564">
        <v>753503584</v>
      </c>
      <c r="N140" s="564" t="s">
        <v>5</v>
      </c>
      <c r="O140" s="564" t="s">
        <v>31598</v>
      </c>
      <c r="P140" s="564" t="s">
        <v>4</v>
      </c>
      <c r="Q140" s="564">
        <v>9</v>
      </c>
      <c r="R140" s="564" t="s">
        <v>7</v>
      </c>
      <c r="S140" s="564" t="s">
        <v>31588</v>
      </c>
      <c r="T140" s="564" t="s">
        <v>4</v>
      </c>
      <c r="U140" s="564" t="s">
        <v>2</v>
      </c>
      <c r="V140" s="564" t="s">
        <v>4</v>
      </c>
      <c r="W140" s="564" t="s">
        <v>4</v>
      </c>
      <c r="X140" s="564" t="s">
        <v>4</v>
      </c>
      <c r="Y140" s="564" t="s">
        <v>4</v>
      </c>
      <c r="Z140" s="565">
        <v>45064</v>
      </c>
      <c r="AA140" s="557" t="str">
        <f>IF(OR(U140="yes",Z140&gt;'SDG outcome'!$C$39),"yes","no")</f>
        <v>no</v>
      </c>
      <c r="AB140" s="565" t="str">
        <f t="shared" si="3"/>
        <v/>
      </c>
      <c r="AC140" s="566" t="str">
        <f>IF(AND('SMS p2'!AA111="no",AND(Z140&gt;='SDG outcome'!$B$28,Z140&lt;'SDG outcome'!$C$39)),Z140-'SDG outcome'!$B$28,"")</f>
        <v/>
      </c>
      <c r="AD140" s="564" t="s">
        <v>31572</v>
      </c>
      <c r="AE140" s="564" t="s">
        <v>4</v>
      </c>
      <c r="AF140" s="564" t="s">
        <v>7</v>
      </c>
      <c r="AG140" s="564" t="s">
        <v>34470</v>
      </c>
      <c r="AH140" s="564" t="s">
        <v>4</v>
      </c>
      <c r="AI140" s="564" t="s">
        <v>7</v>
      </c>
      <c r="AJ140" s="565">
        <v>45647</v>
      </c>
      <c r="AK140" s="564" t="s">
        <v>4</v>
      </c>
      <c r="AL140" s="564"/>
      <c r="AM140" s="564"/>
      <c r="AN140" s="564"/>
      <c r="AO140" s="564"/>
      <c r="AP140" s="564"/>
      <c r="AQ140" s="564"/>
      <c r="AR140" s="564"/>
      <c r="AS140" s="564"/>
      <c r="AT140" s="564"/>
      <c r="AU140" s="564"/>
      <c r="AV140" s="564"/>
      <c r="AW140" s="564"/>
      <c r="AX140" s="564"/>
      <c r="AY140" s="564"/>
      <c r="AZ140" s="564"/>
      <c r="BA140" s="564"/>
      <c r="BB140" s="564"/>
      <c r="BC140" s="564"/>
      <c r="BD140" s="564"/>
      <c r="BE140" s="564"/>
      <c r="BF140" s="564"/>
      <c r="BG140" s="564"/>
      <c r="BH140" s="564"/>
      <c r="BI140" s="564"/>
      <c r="BJ140" s="564"/>
      <c r="BK140" s="564"/>
      <c r="BL140" s="564"/>
      <c r="BM140" s="564"/>
      <c r="BN140" s="564"/>
      <c r="BO140" s="564"/>
      <c r="BP140" s="564"/>
      <c r="BQ140" s="564"/>
      <c r="BR140" s="567"/>
      <c r="BS140" s="564"/>
      <c r="BT140" s="564"/>
      <c r="BU140" s="564"/>
      <c r="BV140" s="564"/>
      <c r="BW140" s="567"/>
      <c r="BX140" s="564"/>
      <c r="BY140" s="564"/>
      <c r="BZ140" s="564"/>
      <c r="CA140" s="564"/>
      <c r="CB140" s="564"/>
      <c r="CC140" s="564"/>
      <c r="CD140" s="564"/>
      <c r="CE140" s="564"/>
      <c r="CF140" s="564"/>
      <c r="CG140" s="564"/>
      <c r="CH140" s="564"/>
      <c r="CI140" s="564"/>
      <c r="CJ140" s="564"/>
      <c r="CK140" s="564"/>
      <c r="CL140" s="564"/>
      <c r="CM140" s="564"/>
      <c r="CN140" s="564"/>
      <c r="CO140" s="564"/>
      <c r="CP140" s="564"/>
      <c r="CQ140" s="564"/>
      <c r="CR140" s="564"/>
      <c r="CS140" s="564"/>
      <c r="CT140" s="568"/>
      <c r="CU140" s="563"/>
      <c r="CV140" s="564"/>
      <c r="CW140" s="568"/>
      <c r="CX140" s="563"/>
      <c r="CY140" s="564"/>
      <c r="CZ140" s="568"/>
      <c r="DA140" s="563"/>
      <c r="DB140" s="564"/>
      <c r="DC140" s="564"/>
      <c r="DD140" s="564"/>
      <c r="DE140" s="564"/>
      <c r="DF140" s="564"/>
      <c r="DG140" s="564"/>
      <c r="DH140" s="564"/>
      <c r="DI140" s="564"/>
      <c r="DJ140" s="564"/>
      <c r="DK140" s="564"/>
      <c r="DL140" s="564"/>
      <c r="DM140" s="564"/>
      <c r="DN140" s="564"/>
      <c r="DO140" s="564"/>
      <c r="DP140" s="564"/>
      <c r="DQ140" s="564"/>
      <c r="DR140" s="564"/>
      <c r="DS140" s="569"/>
      <c r="DT140" s="564"/>
      <c r="DU140" s="569"/>
      <c r="DV140" s="568"/>
      <c r="DW140" s="563"/>
      <c r="DX140" s="564"/>
      <c r="DY140" s="564"/>
      <c r="DZ140" s="564"/>
      <c r="EA140" s="564"/>
      <c r="EB140" s="564"/>
      <c r="EC140" s="564"/>
      <c r="ED140" s="564"/>
      <c r="EE140" s="564"/>
      <c r="EF140" s="564"/>
      <c r="EG140" s="564"/>
      <c r="EH140" s="564"/>
      <c r="EI140" s="564"/>
      <c r="EJ140" s="564"/>
      <c r="EK140" s="564"/>
      <c r="EL140" s="564"/>
      <c r="EM140" s="564"/>
      <c r="EN140" s="564"/>
      <c r="EO140" s="564"/>
      <c r="EP140" s="564"/>
      <c r="EQ140" s="564"/>
      <c r="ER140" s="564"/>
      <c r="ES140" s="564"/>
      <c r="ET140" s="564"/>
      <c r="EU140" s="564"/>
      <c r="EV140" s="564"/>
      <c r="EW140" s="564"/>
      <c r="EX140" s="564"/>
      <c r="EY140" s="564"/>
      <c r="EZ140" s="239"/>
      <c r="FA140" s="564"/>
      <c r="FB140" s="564"/>
      <c r="FC140" s="564"/>
      <c r="FD140" s="564"/>
      <c r="FE140" s="564"/>
      <c r="FF140" s="564"/>
      <c r="FG140" s="564"/>
      <c r="FH140" s="564"/>
      <c r="FI140" s="564"/>
      <c r="FJ140" s="564"/>
      <c r="FK140" s="564"/>
      <c r="FL140" s="564"/>
      <c r="FM140" s="564"/>
      <c r="FN140" s="569"/>
      <c r="FO140" s="564"/>
      <c r="FP140" s="564"/>
      <c r="FQ140" s="564"/>
      <c r="FR140" s="564"/>
      <c r="FS140" s="564"/>
      <c r="FT140" s="564"/>
      <c r="FU140" s="564"/>
      <c r="FV140" s="564"/>
      <c r="FW140" s="564"/>
      <c r="FX140" s="564"/>
      <c r="FY140" s="564"/>
      <c r="FZ140" s="564"/>
      <c r="GA140" s="564"/>
      <c r="GB140" s="564"/>
      <c r="GC140" s="564"/>
      <c r="GD140" s="564"/>
      <c r="GE140" s="564"/>
      <c r="GF140" s="564"/>
      <c r="GG140" s="564"/>
      <c r="GH140" s="564"/>
      <c r="GI140" s="564"/>
      <c r="GJ140" s="564"/>
      <c r="GK140" s="564"/>
      <c r="GL140" s="564"/>
      <c r="GM140" s="564"/>
      <c r="GN140" s="564"/>
      <c r="GO140" s="564"/>
      <c r="GP140" s="564"/>
      <c r="GQ140" s="564"/>
      <c r="GR140" s="564"/>
      <c r="GS140" s="564"/>
      <c r="GT140" s="564"/>
      <c r="GU140" s="564"/>
      <c r="GV140" s="569"/>
      <c r="GW140" s="564"/>
      <c r="GX140" s="564"/>
      <c r="GY140" s="564"/>
      <c r="GZ140" s="564"/>
      <c r="HA140" s="564"/>
      <c r="HB140" s="564"/>
      <c r="HC140" s="564"/>
      <c r="HD140" s="564"/>
      <c r="HE140" s="564"/>
      <c r="HF140" s="564"/>
      <c r="HG140" s="564"/>
      <c r="HH140" s="564"/>
      <c r="HI140" s="564"/>
      <c r="HJ140" s="564"/>
      <c r="HK140" s="569"/>
      <c r="HL140" s="564" t="s">
        <v>34471</v>
      </c>
      <c r="HM140" s="564" t="s">
        <v>7</v>
      </c>
      <c r="HN140" s="564" t="s">
        <v>34472</v>
      </c>
      <c r="HO140" s="564" t="s">
        <v>34473</v>
      </c>
      <c r="HP140" s="564" t="s">
        <v>34474</v>
      </c>
      <c r="HQ140" s="564" t="s">
        <v>34475</v>
      </c>
      <c r="HR140" s="564" t="s">
        <v>34476</v>
      </c>
      <c r="HS140" s="564" t="s">
        <v>34477</v>
      </c>
      <c r="HT140" s="568" t="s">
        <v>34467</v>
      </c>
    </row>
    <row r="141" spans="1:228" s="570" customFormat="1" ht="30.2" customHeight="1" x14ac:dyDescent="0.25">
      <c r="A141" s="759"/>
      <c r="B141" s="563">
        <v>29</v>
      </c>
      <c r="C141" s="563" t="s">
        <v>20403</v>
      </c>
      <c r="D141" s="564" t="s">
        <v>33680</v>
      </c>
      <c r="E141" s="564" t="s">
        <v>33583</v>
      </c>
      <c r="F141" s="564" t="s">
        <v>7</v>
      </c>
      <c r="G141" s="564" t="s">
        <v>33681</v>
      </c>
      <c r="H141" s="564">
        <v>1474.2</v>
      </c>
      <c r="I141" s="564">
        <v>5</v>
      </c>
      <c r="J141" s="564" t="s">
        <v>29288</v>
      </c>
      <c r="K141" s="564" t="s">
        <v>4</v>
      </c>
      <c r="L141" s="564" t="s">
        <v>33682</v>
      </c>
      <c r="M141" s="564">
        <v>782931818</v>
      </c>
      <c r="N141" s="564" t="s">
        <v>3</v>
      </c>
      <c r="O141" s="564" t="s">
        <v>31438</v>
      </c>
      <c r="P141" s="564">
        <v>72</v>
      </c>
      <c r="Q141" s="564">
        <v>10</v>
      </c>
      <c r="R141" s="564" t="s">
        <v>7</v>
      </c>
      <c r="S141" s="564" t="s">
        <v>31588</v>
      </c>
      <c r="T141" s="564" t="s">
        <v>4</v>
      </c>
      <c r="U141" s="564" t="s">
        <v>2</v>
      </c>
      <c r="V141" s="564" t="s">
        <v>4</v>
      </c>
      <c r="W141" s="564" t="s">
        <v>4</v>
      </c>
      <c r="X141" s="564" t="s">
        <v>4</v>
      </c>
      <c r="Y141" s="564" t="s">
        <v>4</v>
      </c>
      <c r="Z141" s="565">
        <v>44900</v>
      </c>
      <c r="AA141" s="557" t="str">
        <f>IF(OR(U141="yes",Z141&gt;'SDG outcome'!$C$39),"yes","no")</f>
        <v>no</v>
      </c>
      <c r="AB141" s="565" t="str">
        <f t="shared" ref="AB141:AB204" si="6">IF(AA141="no","",W141)</f>
        <v/>
      </c>
      <c r="AC141" s="566" t="str">
        <f>IF(AND('SMS p2'!AA41="no",AND(Z141&gt;='SDG outcome'!$B$28,Z141&lt;'SDG outcome'!$C$39)),Z141-'SDG outcome'!$B$28,"")</f>
        <v/>
      </c>
      <c r="AD141" s="564" t="s">
        <v>31572</v>
      </c>
      <c r="AE141" s="564" t="s">
        <v>4</v>
      </c>
      <c r="AF141" s="564" t="s">
        <v>7</v>
      </c>
      <c r="AG141" s="564" t="s">
        <v>33683</v>
      </c>
      <c r="AH141" s="564" t="s">
        <v>4</v>
      </c>
      <c r="AI141" s="564" t="s">
        <v>7</v>
      </c>
      <c r="AJ141" s="565">
        <v>45565</v>
      </c>
      <c r="AK141" s="564" t="s">
        <v>4</v>
      </c>
      <c r="AL141" s="564"/>
      <c r="AM141" s="564"/>
      <c r="AN141" s="564"/>
      <c r="AO141" s="564"/>
      <c r="AP141" s="564"/>
      <c r="AQ141" s="564"/>
      <c r="AR141" s="564"/>
      <c r="AS141" s="564"/>
      <c r="AT141" s="564"/>
      <c r="AU141" s="564"/>
      <c r="AV141" s="564"/>
      <c r="AW141" s="564"/>
      <c r="AX141" s="564"/>
      <c r="AY141" s="564"/>
      <c r="AZ141" s="564"/>
      <c r="BA141" s="564"/>
      <c r="BB141" s="564"/>
      <c r="BC141" s="564"/>
      <c r="BD141" s="564"/>
      <c r="BE141" s="564"/>
      <c r="BF141" s="564"/>
      <c r="BG141" s="564"/>
      <c r="BH141" s="564"/>
      <c r="BI141" s="564"/>
      <c r="BJ141" s="564"/>
      <c r="BK141" s="564"/>
      <c r="BL141" s="564"/>
      <c r="BM141" s="564"/>
      <c r="BN141" s="564"/>
      <c r="BO141" s="564"/>
      <c r="BP141" s="564"/>
      <c r="BQ141" s="564"/>
      <c r="BR141" s="567"/>
      <c r="BS141" s="564"/>
      <c r="BT141" s="564"/>
      <c r="BU141" s="564"/>
      <c r="BV141" s="564"/>
      <c r="BW141" s="567"/>
      <c r="BX141" s="564"/>
      <c r="BY141" s="564"/>
      <c r="BZ141" s="564"/>
      <c r="CA141" s="564"/>
      <c r="CB141" s="564"/>
      <c r="CC141" s="564"/>
      <c r="CD141" s="564"/>
      <c r="CE141" s="564"/>
      <c r="CF141" s="564"/>
      <c r="CG141" s="564"/>
      <c r="CH141" s="564"/>
      <c r="CI141" s="564"/>
      <c r="CJ141" s="564"/>
      <c r="CK141" s="564"/>
      <c r="CL141" s="564"/>
      <c r="CM141" s="564"/>
      <c r="CN141" s="564"/>
      <c r="CO141" s="564"/>
      <c r="CP141" s="564"/>
      <c r="CQ141" s="564"/>
      <c r="CR141" s="564"/>
      <c r="CS141" s="564"/>
      <c r="CT141" s="568"/>
      <c r="CU141" s="563"/>
      <c r="CV141" s="564"/>
      <c r="CW141" s="568"/>
      <c r="CX141" s="563"/>
      <c r="CY141" s="564"/>
      <c r="CZ141" s="568"/>
      <c r="DA141" s="563"/>
      <c r="DB141" s="564"/>
      <c r="DC141" s="564"/>
      <c r="DD141" s="564"/>
      <c r="DE141" s="564"/>
      <c r="DF141" s="564"/>
      <c r="DG141" s="564"/>
      <c r="DH141" s="564"/>
      <c r="DI141" s="564"/>
      <c r="DJ141" s="564"/>
      <c r="DK141" s="564"/>
      <c r="DL141" s="564"/>
      <c r="DM141" s="564"/>
      <c r="DN141" s="564"/>
      <c r="DO141" s="564"/>
      <c r="DP141" s="564"/>
      <c r="DQ141" s="564"/>
      <c r="DR141" s="564"/>
      <c r="DS141" s="569"/>
      <c r="DT141" s="564"/>
      <c r="DU141" s="569"/>
      <c r="DV141" s="568"/>
      <c r="DW141" s="563"/>
      <c r="DX141" s="564"/>
      <c r="DY141" s="564"/>
      <c r="DZ141" s="564"/>
      <c r="EA141" s="564"/>
      <c r="EB141" s="564"/>
      <c r="EC141" s="564"/>
      <c r="ED141" s="564"/>
      <c r="EE141" s="564"/>
      <c r="EF141" s="564"/>
      <c r="EG141" s="564"/>
      <c r="EH141" s="564"/>
      <c r="EI141" s="564"/>
      <c r="EJ141" s="564"/>
      <c r="EK141" s="564"/>
      <c r="EL141" s="564"/>
      <c r="EM141" s="564"/>
      <c r="EN141" s="564"/>
      <c r="EO141" s="564"/>
      <c r="EP141" s="564"/>
      <c r="EQ141" s="564"/>
      <c r="ER141" s="564"/>
      <c r="ES141" s="564"/>
      <c r="ET141" s="564"/>
      <c r="EU141" s="564"/>
      <c r="EV141" s="564"/>
      <c r="EW141" s="564"/>
      <c r="EX141" s="564"/>
      <c r="EY141" s="564"/>
      <c r="EZ141" s="239"/>
      <c r="FA141" s="564"/>
      <c r="FB141" s="564"/>
      <c r="FC141" s="564"/>
      <c r="FD141" s="564"/>
      <c r="FE141" s="564"/>
      <c r="FF141" s="564"/>
      <c r="FG141" s="564"/>
      <c r="FH141" s="564"/>
      <c r="FI141" s="564"/>
      <c r="FJ141" s="564"/>
      <c r="FK141" s="564"/>
      <c r="FL141" s="564"/>
      <c r="FM141" s="564"/>
      <c r="FN141" s="569"/>
      <c r="FO141" s="564"/>
      <c r="FP141" s="564"/>
      <c r="FQ141" s="564"/>
      <c r="FR141" s="564"/>
      <c r="FS141" s="564"/>
      <c r="FT141" s="564"/>
      <c r="FU141" s="564"/>
      <c r="FV141" s="564"/>
      <c r="FW141" s="564"/>
      <c r="FX141" s="564"/>
      <c r="FY141" s="564"/>
      <c r="FZ141" s="564"/>
      <c r="GA141" s="564"/>
      <c r="GB141" s="564"/>
      <c r="GC141" s="564"/>
      <c r="GD141" s="564"/>
      <c r="GE141" s="564"/>
      <c r="GF141" s="564"/>
      <c r="GG141" s="564"/>
      <c r="GH141" s="564"/>
      <c r="GI141" s="564"/>
      <c r="GJ141" s="564"/>
      <c r="GK141" s="564"/>
      <c r="GL141" s="564"/>
      <c r="GM141" s="564"/>
      <c r="GN141" s="564"/>
      <c r="GO141" s="564"/>
      <c r="GP141" s="564"/>
      <c r="GQ141" s="564"/>
      <c r="GR141" s="564"/>
      <c r="GS141" s="564"/>
      <c r="GT141" s="564"/>
      <c r="GU141" s="564"/>
      <c r="GV141" s="569"/>
      <c r="GW141" s="564"/>
      <c r="GX141" s="564"/>
      <c r="GY141" s="564"/>
      <c r="GZ141" s="564"/>
      <c r="HA141" s="564"/>
      <c r="HB141" s="564"/>
      <c r="HC141" s="564"/>
      <c r="HD141" s="564"/>
      <c r="HE141" s="564"/>
      <c r="HF141" s="564"/>
      <c r="HG141" s="564"/>
      <c r="HH141" s="564"/>
      <c r="HI141" s="564"/>
      <c r="HJ141" s="564"/>
      <c r="HK141" s="569"/>
      <c r="HL141" s="564" t="s">
        <v>33684</v>
      </c>
      <c r="HM141" s="564" t="s">
        <v>7</v>
      </c>
      <c r="HN141" s="564" t="s">
        <v>33685</v>
      </c>
      <c r="HO141" s="564" t="s">
        <v>33686</v>
      </c>
      <c r="HP141" s="564" t="s">
        <v>33687</v>
      </c>
      <c r="HQ141" s="564" t="s">
        <v>33688</v>
      </c>
      <c r="HR141" s="564" t="s">
        <v>33689</v>
      </c>
      <c r="HS141" s="564" t="s">
        <v>33690</v>
      </c>
      <c r="HT141" s="568" t="s">
        <v>33680</v>
      </c>
    </row>
    <row r="142" spans="1:228" s="570" customFormat="1" ht="30.2" customHeight="1" x14ac:dyDescent="0.25">
      <c r="A142" s="759"/>
      <c r="B142" s="563">
        <v>154</v>
      </c>
      <c r="C142" s="563" t="s">
        <v>28976</v>
      </c>
      <c r="D142" s="564" t="s">
        <v>35075</v>
      </c>
      <c r="E142" s="564" t="s">
        <v>35057</v>
      </c>
      <c r="F142" s="564" t="s">
        <v>7</v>
      </c>
      <c r="G142" s="564" t="s">
        <v>35076</v>
      </c>
      <c r="H142" s="564">
        <v>1163.1236570000001</v>
      </c>
      <c r="I142" s="564">
        <v>3.790092</v>
      </c>
      <c r="J142" s="564" t="s">
        <v>29319</v>
      </c>
      <c r="K142" s="564" t="s">
        <v>4</v>
      </c>
      <c r="L142" s="564" t="s">
        <v>6128</v>
      </c>
      <c r="M142" s="564">
        <v>782967820</v>
      </c>
      <c r="N142" s="564" t="s">
        <v>5</v>
      </c>
      <c r="O142" s="564" t="s">
        <v>31590</v>
      </c>
      <c r="P142" s="564" t="s">
        <v>4</v>
      </c>
      <c r="Q142" s="564">
        <v>4</v>
      </c>
      <c r="R142" s="564" t="s">
        <v>7</v>
      </c>
      <c r="S142" s="564" t="s">
        <v>31588</v>
      </c>
      <c r="T142" s="564" t="s">
        <v>4</v>
      </c>
      <c r="U142" s="564" t="s">
        <v>2</v>
      </c>
      <c r="V142" s="564" t="s">
        <v>4</v>
      </c>
      <c r="W142" s="564" t="s">
        <v>4</v>
      </c>
      <c r="X142" s="564" t="s">
        <v>4</v>
      </c>
      <c r="Y142" s="564" t="s">
        <v>4</v>
      </c>
      <c r="Z142" s="565">
        <v>45334</v>
      </c>
      <c r="AA142" s="557" t="str">
        <f>IF(OR(U142="yes",Z142&gt;'SDG outcome'!$C$39),"yes","no")</f>
        <v>no</v>
      </c>
      <c r="AB142" s="565" t="str">
        <f t="shared" si="6"/>
        <v/>
      </c>
      <c r="AC142" s="566">
        <f>IF(AND('SMS p2'!AA166="no",AND(Z142&gt;='SDG outcome'!$B$28,Z142&lt;'SDG outcome'!$C$39)),Z142-'SDG outcome'!$B$28,"")</f>
        <v>317</v>
      </c>
      <c r="AD142" s="564" t="s">
        <v>31572</v>
      </c>
      <c r="AE142" s="564" t="s">
        <v>4</v>
      </c>
      <c r="AF142" s="564" t="s">
        <v>7</v>
      </c>
      <c r="AG142" s="564" t="s">
        <v>35077</v>
      </c>
      <c r="AH142" s="564" t="s">
        <v>4</v>
      </c>
      <c r="AI142" s="564" t="s">
        <v>7</v>
      </c>
      <c r="AJ142" s="565">
        <v>45560</v>
      </c>
      <c r="AK142" s="564" t="s">
        <v>4</v>
      </c>
      <c r="AL142" s="564"/>
      <c r="AM142" s="564"/>
      <c r="AN142" s="564"/>
      <c r="AO142" s="564"/>
      <c r="AP142" s="564"/>
      <c r="AQ142" s="564"/>
      <c r="AR142" s="564"/>
      <c r="AS142" s="564"/>
      <c r="AT142" s="564"/>
      <c r="AU142" s="564"/>
      <c r="AV142" s="564"/>
      <c r="AW142" s="564"/>
      <c r="AX142" s="564"/>
      <c r="AY142" s="564"/>
      <c r="AZ142" s="564"/>
      <c r="BA142" s="564"/>
      <c r="BB142" s="564"/>
      <c r="BC142" s="564"/>
      <c r="BD142" s="571"/>
      <c r="BE142" s="564"/>
      <c r="BF142" s="564"/>
      <c r="BG142" s="564"/>
      <c r="BH142" s="564"/>
      <c r="BI142" s="564"/>
      <c r="BJ142" s="564"/>
      <c r="BK142" s="564"/>
      <c r="BL142" s="564"/>
      <c r="BM142" s="564"/>
      <c r="BN142" s="564"/>
      <c r="BO142" s="564"/>
      <c r="BP142" s="564"/>
      <c r="BQ142" s="564"/>
      <c r="BR142" s="567"/>
      <c r="BS142" s="564"/>
      <c r="BT142" s="564"/>
      <c r="BU142" s="564"/>
      <c r="BV142" s="564"/>
      <c r="BW142" s="567"/>
      <c r="BX142" s="564"/>
      <c r="BY142" s="564"/>
      <c r="BZ142" s="564"/>
      <c r="CA142" s="564"/>
      <c r="CB142" s="564"/>
      <c r="CC142" s="564"/>
      <c r="CD142" s="564"/>
      <c r="CE142" s="564"/>
      <c r="CF142" s="564"/>
      <c r="CG142" s="564"/>
      <c r="CH142" s="564"/>
      <c r="CI142" s="564"/>
      <c r="CJ142" s="564"/>
      <c r="CK142" s="564"/>
      <c r="CL142" s="564"/>
      <c r="CM142" s="564"/>
      <c r="CN142" s="564"/>
      <c r="CO142" s="564"/>
      <c r="CP142" s="564"/>
      <c r="CQ142" s="564"/>
      <c r="CR142" s="564"/>
      <c r="CS142" s="564"/>
      <c r="CT142" s="568"/>
      <c r="CU142" s="563"/>
      <c r="CV142" s="564"/>
      <c r="CW142" s="568"/>
      <c r="CX142" s="563"/>
      <c r="CY142" s="564"/>
      <c r="CZ142" s="568"/>
      <c r="DA142" s="563"/>
      <c r="DB142" s="564"/>
      <c r="DC142" s="564"/>
      <c r="DD142" s="564"/>
      <c r="DE142" s="564"/>
      <c r="DF142" s="564"/>
      <c r="DG142" s="564"/>
      <c r="DH142" s="564"/>
      <c r="DI142" s="564"/>
      <c r="DJ142" s="564"/>
      <c r="DK142" s="564"/>
      <c r="DL142" s="564"/>
      <c r="DM142" s="564"/>
      <c r="DN142" s="564"/>
      <c r="DO142" s="564"/>
      <c r="DP142" s="564"/>
      <c r="DQ142" s="564"/>
      <c r="DR142" s="564"/>
      <c r="DS142" s="569"/>
      <c r="DT142" s="564"/>
      <c r="DU142" s="569"/>
      <c r="DV142" s="568"/>
      <c r="DW142" s="563"/>
      <c r="DX142" s="564"/>
      <c r="DY142" s="564"/>
      <c r="DZ142" s="564"/>
      <c r="EA142" s="564"/>
      <c r="EB142" s="564"/>
      <c r="EC142" s="564"/>
      <c r="ED142" s="564"/>
      <c r="EE142" s="564"/>
      <c r="EF142" s="564"/>
      <c r="EG142" s="564"/>
      <c r="EH142" s="564"/>
      <c r="EI142" s="564"/>
      <c r="EJ142" s="564"/>
      <c r="EK142" s="564"/>
      <c r="EL142" s="564"/>
      <c r="EM142" s="564"/>
      <c r="EN142" s="564"/>
      <c r="EO142" s="564"/>
      <c r="EP142" s="564"/>
      <c r="EQ142" s="564"/>
      <c r="ER142" s="564"/>
      <c r="ES142" s="564"/>
      <c r="ET142" s="564"/>
      <c r="EU142" s="564"/>
      <c r="EV142" s="564"/>
      <c r="EW142" s="564"/>
      <c r="EX142" s="564"/>
      <c r="EY142" s="564"/>
      <c r="EZ142" s="239"/>
      <c r="FA142" s="564"/>
      <c r="FB142" s="564"/>
      <c r="FC142" s="564"/>
      <c r="FD142" s="564"/>
      <c r="FE142" s="564"/>
      <c r="FF142" s="564"/>
      <c r="FG142" s="564"/>
      <c r="FH142" s="564"/>
      <c r="FI142" s="564"/>
      <c r="FJ142" s="564"/>
      <c r="FK142" s="564"/>
      <c r="FL142" s="564"/>
      <c r="FM142" s="564"/>
      <c r="FN142" s="569"/>
      <c r="FO142" s="564"/>
      <c r="FP142" s="564"/>
      <c r="FQ142" s="564"/>
      <c r="FR142" s="564"/>
      <c r="FS142" s="564"/>
      <c r="FT142" s="564"/>
      <c r="FU142" s="564"/>
      <c r="FV142" s="564"/>
      <c r="FW142" s="564"/>
      <c r="FX142" s="564"/>
      <c r="FY142" s="564"/>
      <c r="FZ142" s="564"/>
      <c r="GA142" s="564"/>
      <c r="GB142" s="564"/>
      <c r="GC142" s="564"/>
      <c r="GD142" s="564"/>
      <c r="GE142" s="564"/>
      <c r="GF142" s="564"/>
      <c r="GG142" s="564"/>
      <c r="GH142" s="564"/>
      <c r="GI142" s="564"/>
      <c r="GJ142" s="564"/>
      <c r="GK142" s="564"/>
      <c r="GL142" s="564"/>
      <c r="GM142" s="564"/>
      <c r="GN142" s="564"/>
      <c r="GO142" s="564"/>
      <c r="GP142" s="564"/>
      <c r="GQ142" s="564"/>
      <c r="GR142" s="564"/>
      <c r="GS142" s="564"/>
      <c r="GT142" s="564"/>
      <c r="GU142" s="564"/>
      <c r="GV142" s="569"/>
      <c r="GW142" s="564"/>
      <c r="GX142" s="564"/>
      <c r="GY142" s="564"/>
      <c r="GZ142" s="564"/>
      <c r="HA142" s="564"/>
      <c r="HB142" s="564"/>
      <c r="HC142" s="564"/>
      <c r="HD142" s="564"/>
      <c r="HE142" s="564"/>
      <c r="HF142" s="564"/>
      <c r="HG142" s="564"/>
      <c r="HH142" s="564"/>
      <c r="HI142" s="564"/>
      <c r="HJ142" s="564"/>
      <c r="HK142" s="569"/>
      <c r="HL142" s="564" t="s">
        <v>35078</v>
      </c>
      <c r="HM142" s="564" t="s">
        <v>7</v>
      </c>
      <c r="HN142" s="564" t="s">
        <v>35079</v>
      </c>
      <c r="HO142" s="564" t="s">
        <v>35080</v>
      </c>
      <c r="HP142" s="564" t="s">
        <v>35081</v>
      </c>
      <c r="HQ142" s="564" t="s">
        <v>16</v>
      </c>
      <c r="HR142" s="564" t="s">
        <v>35082</v>
      </c>
      <c r="HS142" s="564" t="s">
        <v>16</v>
      </c>
      <c r="HT142" s="568" t="s">
        <v>35083</v>
      </c>
    </row>
    <row r="143" spans="1:228" s="570" customFormat="1" ht="30.2" customHeight="1" x14ac:dyDescent="0.25">
      <c r="A143" s="759"/>
      <c r="B143" s="563">
        <v>41</v>
      </c>
      <c r="C143" s="563" t="s">
        <v>18971</v>
      </c>
      <c r="D143" s="564" t="s">
        <v>33806</v>
      </c>
      <c r="E143" s="564" t="s">
        <v>33725</v>
      </c>
      <c r="F143" s="564" t="s">
        <v>7</v>
      </c>
      <c r="G143" s="564" t="s">
        <v>33807</v>
      </c>
      <c r="H143" s="564">
        <v>1087.0164789999999</v>
      </c>
      <c r="I143" s="564">
        <v>3.2160000000000002</v>
      </c>
      <c r="J143" s="564" t="s">
        <v>29319</v>
      </c>
      <c r="K143" s="564" t="s">
        <v>4</v>
      </c>
      <c r="L143" s="564" t="s">
        <v>33808</v>
      </c>
      <c r="M143" s="564">
        <v>773177335</v>
      </c>
      <c r="N143" s="564" t="s">
        <v>5</v>
      </c>
      <c r="O143" s="564" t="s">
        <v>31598</v>
      </c>
      <c r="P143" s="564" t="s">
        <v>4</v>
      </c>
      <c r="Q143" s="564">
        <v>7</v>
      </c>
      <c r="R143" s="564" t="s">
        <v>7</v>
      </c>
      <c r="S143" s="564" t="s">
        <v>31588</v>
      </c>
      <c r="T143" s="564" t="s">
        <v>4</v>
      </c>
      <c r="U143" s="564" t="s">
        <v>2</v>
      </c>
      <c r="V143" s="564" t="s">
        <v>4</v>
      </c>
      <c r="W143" s="564" t="s">
        <v>4</v>
      </c>
      <c r="X143" s="564" t="s">
        <v>4</v>
      </c>
      <c r="Y143" s="564" t="s">
        <v>4</v>
      </c>
      <c r="Z143" s="565">
        <v>45261</v>
      </c>
      <c r="AA143" s="557" t="str">
        <f>IF(OR(U143="yes",Z143&gt;'SDG outcome'!$C$39),"yes","no")</f>
        <v>no</v>
      </c>
      <c r="AB143" s="565" t="str">
        <f t="shared" si="6"/>
        <v/>
      </c>
      <c r="AC143" s="566" t="str">
        <f>IF(AND('SMS p2'!AA53="no",AND(Z143&gt;='SDG outcome'!$B$28,Z143&lt;'SDG outcome'!$C$39)),Z143-'SDG outcome'!$B$28,"")</f>
        <v/>
      </c>
      <c r="AD143" s="564" t="s">
        <v>31572</v>
      </c>
      <c r="AE143" s="564" t="s">
        <v>4</v>
      </c>
      <c r="AF143" s="564" t="s">
        <v>7</v>
      </c>
      <c r="AG143" s="564" t="s">
        <v>33809</v>
      </c>
      <c r="AH143" s="564" t="s">
        <v>4</v>
      </c>
      <c r="AI143" s="564" t="s">
        <v>7</v>
      </c>
      <c r="AJ143" s="574">
        <v>45658</v>
      </c>
      <c r="AK143" s="564" t="s">
        <v>4</v>
      </c>
      <c r="AL143" s="564"/>
      <c r="AM143" s="564"/>
      <c r="AN143" s="564"/>
      <c r="AO143" s="564"/>
      <c r="AP143" s="564"/>
      <c r="AQ143" s="564"/>
      <c r="AR143" s="564"/>
      <c r="AS143" s="564"/>
      <c r="AT143" s="564"/>
      <c r="AU143" s="564"/>
      <c r="AV143" s="564"/>
      <c r="AW143" s="564"/>
      <c r="AX143" s="564"/>
      <c r="AY143" s="564"/>
      <c r="AZ143" s="564"/>
      <c r="BA143" s="564"/>
      <c r="BB143" s="564"/>
      <c r="BC143" s="564"/>
      <c r="BD143" s="564"/>
      <c r="BE143" s="564"/>
      <c r="BF143" s="564"/>
      <c r="BG143" s="564"/>
      <c r="BH143" s="564"/>
      <c r="BI143" s="564"/>
      <c r="BJ143" s="564"/>
      <c r="BK143" s="564"/>
      <c r="BL143" s="564"/>
      <c r="BM143" s="564"/>
      <c r="BN143" s="564"/>
      <c r="BO143" s="564"/>
      <c r="BP143" s="564"/>
      <c r="BQ143" s="564"/>
      <c r="BR143" s="567"/>
      <c r="BS143" s="564"/>
      <c r="BT143" s="564"/>
      <c r="BU143" s="564"/>
      <c r="BV143" s="564"/>
      <c r="BW143" s="567"/>
      <c r="BX143" s="564"/>
      <c r="BY143" s="564"/>
      <c r="BZ143" s="564"/>
      <c r="CA143" s="564"/>
      <c r="CB143" s="564"/>
      <c r="CC143" s="564"/>
      <c r="CD143" s="564"/>
      <c r="CE143" s="564"/>
      <c r="CF143" s="564"/>
      <c r="CG143" s="564"/>
      <c r="CH143" s="564"/>
      <c r="CI143" s="564"/>
      <c r="CJ143" s="564"/>
      <c r="CK143" s="564"/>
      <c r="CL143" s="564"/>
      <c r="CM143" s="564"/>
      <c r="CN143" s="564"/>
      <c r="CO143" s="564"/>
      <c r="CP143" s="564"/>
      <c r="CQ143" s="564"/>
      <c r="CR143" s="564"/>
      <c r="CS143" s="564"/>
      <c r="CT143" s="568"/>
      <c r="CU143" s="563"/>
      <c r="CV143" s="564"/>
      <c r="CW143" s="568"/>
      <c r="CX143" s="563"/>
      <c r="CY143" s="564"/>
      <c r="CZ143" s="568"/>
      <c r="DA143" s="563"/>
      <c r="DB143" s="564"/>
      <c r="DC143" s="564"/>
      <c r="DD143" s="564"/>
      <c r="DE143" s="564"/>
      <c r="DF143" s="564"/>
      <c r="DG143" s="564"/>
      <c r="DH143" s="564"/>
      <c r="DI143" s="564"/>
      <c r="DJ143" s="564"/>
      <c r="DK143" s="564"/>
      <c r="DL143" s="564"/>
      <c r="DM143" s="564"/>
      <c r="DN143" s="564"/>
      <c r="DO143" s="564"/>
      <c r="DP143" s="564"/>
      <c r="DQ143" s="564"/>
      <c r="DR143" s="564"/>
      <c r="DS143" s="569"/>
      <c r="DT143" s="564"/>
      <c r="DU143" s="569"/>
      <c r="DV143" s="568"/>
      <c r="DW143" s="563"/>
      <c r="DX143" s="564"/>
      <c r="DY143" s="564"/>
      <c r="DZ143" s="564"/>
      <c r="EA143" s="564"/>
      <c r="EB143" s="564"/>
      <c r="EC143" s="564"/>
      <c r="ED143" s="564"/>
      <c r="EE143" s="564"/>
      <c r="EF143" s="564"/>
      <c r="EG143" s="564"/>
      <c r="EH143" s="564"/>
      <c r="EI143" s="564"/>
      <c r="EJ143" s="564"/>
      <c r="EK143" s="564"/>
      <c r="EL143" s="564"/>
      <c r="EM143" s="564"/>
      <c r="EN143" s="564"/>
      <c r="EO143" s="564"/>
      <c r="EP143" s="564"/>
      <c r="EQ143" s="564"/>
      <c r="ER143" s="564"/>
      <c r="ES143" s="564"/>
      <c r="ET143" s="564"/>
      <c r="EU143" s="564"/>
      <c r="EV143" s="564"/>
      <c r="EW143" s="564"/>
      <c r="EX143" s="564"/>
      <c r="EY143" s="564"/>
      <c r="EZ143" s="239"/>
      <c r="FA143" s="564"/>
      <c r="FB143" s="564"/>
      <c r="FC143" s="564"/>
      <c r="FD143" s="564"/>
      <c r="FE143" s="564"/>
      <c r="FF143" s="564"/>
      <c r="FG143" s="564"/>
      <c r="FH143" s="564"/>
      <c r="FI143" s="564"/>
      <c r="FJ143" s="564"/>
      <c r="FK143" s="564"/>
      <c r="FL143" s="564"/>
      <c r="FM143" s="564"/>
      <c r="FN143" s="569"/>
      <c r="FO143" s="564"/>
      <c r="FP143" s="564"/>
      <c r="FQ143" s="564"/>
      <c r="FR143" s="564"/>
      <c r="FS143" s="564"/>
      <c r="FT143" s="564"/>
      <c r="FU143" s="564"/>
      <c r="FV143" s="564"/>
      <c r="FW143" s="564"/>
      <c r="FX143" s="564"/>
      <c r="FY143" s="564"/>
      <c r="FZ143" s="564"/>
      <c r="GA143" s="564"/>
      <c r="GB143" s="564"/>
      <c r="GC143" s="564"/>
      <c r="GD143" s="564"/>
      <c r="GE143" s="564"/>
      <c r="GF143" s="564"/>
      <c r="GG143" s="564"/>
      <c r="GH143" s="564"/>
      <c r="GI143" s="564"/>
      <c r="GJ143" s="564"/>
      <c r="GK143" s="564"/>
      <c r="GL143" s="564"/>
      <c r="GM143" s="564"/>
      <c r="GN143" s="564"/>
      <c r="GO143" s="564"/>
      <c r="GP143" s="564"/>
      <c r="GQ143" s="564"/>
      <c r="GR143" s="564"/>
      <c r="GS143" s="564"/>
      <c r="GT143" s="564"/>
      <c r="GU143" s="564"/>
      <c r="GV143" s="569"/>
      <c r="GW143" s="564"/>
      <c r="GX143" s="564"/>
      <c r="GY143" s="564"/>
      <c r="GZ143" s="564"/>
      <c r="HA143" s="564"/>
      <c r="HB143" s="564"/>
      <c r="HC143" s="564"/>
      <c r="HD143" s="564"/>
      <c r="HE143" s="564"/>
      <c r="HF143" s="564"/>
      <c r="HG143" s="564"/>
      <c r="HH143" s="564"/>
      <c r="HI143" s="564"/>
      <c r="HJ143" s="564"/>
      <c r="HK143" s="569"/>
      <c r="HL143" s="564" t="s">
        <v>33810</v>
      </c>
      <c r="HM143" s="564" t="s">
        <v>7</v>
      </c>
      <c r="HN143" s="564" t="s">
        <v>33811</v>
      </c>
      <c r="HO143" s="564" t="s">
        <v>16</v>
      </c>
      <c r="HP143" s="564" t="s">
        <v>33812</v>
      </c>
      <c r="HQ143" s="564" t="s">
        <v>16</v>
      </c>
      <c r="HR143" s="564" t="s">
        <v>33813</v>
      </c>
      <c r="HS143" s="564" t="s">
        <v>16</v>
      </c>
      <c r="HT143" s="568" t="s">
        <v>33806</v>
      </c>
    </row>
    <row r="144" spans="1:228" s="570" customFormat="1" ht="30.2" customHeight="1" x14ac:dyDescent="0.25">
      <c r="A144" s="759"/>
      <c r="B144" s="563">
        <v>21</v>
      </c>
      <c r="C144" s="563" t="s">
        <v>20911</v>
      </c>
      <c r="D144" s="564" t="s">
        <v>33582</v>
      </c>
      <c r="E144" s="564" t="s">
        <v>33583</v>
      </c>
      <c r="F144" s="564" t="s">
        <v>7</v>
      </c>
      <c r="G144" s="564" t="s">
        <v>33584</v>
      </c>
      <c r="H144" s="564">
        <v>1570</v>
      </c>
      <c r="I144" s="564">
        <v>4.9000000000000004</v>
      </c>
      <c r="J144" s="564" t="s">
        <v>29319</v>
      </c>
      <c r="K144" s="564" t="s">
        <v>4</v>
      </c>
      <c r="L144" s="564" t="s">
        <v>33585</v>
      </c>
      <c r="M144" s="564">
        <v>772577949</v>
      </c>
      <c r="N144" s="564" t="s">
        <v>3</v>
      </c>
      <c r="O144" s="564" t="s">
        <v>31590</v>
      </c>
      <c r="P144" s="564" t="s">
        <v>4</v>
      </c>
      <c r="Q144" s="564">
        <v>5</v>
      </c>
      <c r="R144" s="564" t="s">
        <v>7</v>
      </c>
      <c r="S144" s="564" t="s">
        <v>31588</v>
      </c>
      <c r="T144" s="564" t="s">
        <v>4</v>
      </c>
      <c r="U144" s="564" t="s">
        <v>2</v>
      </c>
      <c r="V144" s="564" t="s">
        <v>4</v>
      </c>
      <c r="W144" s="564" t="s">
        <v>4</v>
      </c>
      <c r="X144" s="564" t="s">
        <v>4</v>
      </c>
      <c r="Y144" s="564" t="s">
        <v>4</v>
      </c>
      <c r="Z144" s="565">
        <v>43843</v>
      </c>
      <c r="AA144" s="557" t="str">
        <f>IF(OR(U144="yes",Z144&gt;'SDG outcome'!$C$39),"yes","no")</f>
        <v>no</v>
      </c>
      <c r="AB144" s="565" t="str">
        <f t="shared" si="6"/>
        <v/>
      </c>
      <c r="AC144" s="566" t="str">
        <f>IF(AND('SMS p2'!AA33="no",AND(Z144&gt;='SDG outcome'!$B$28,Z144&lt;'SDG outcome'!$C$39)),Z144-'SDG outcome'!$B$28,"")</f>
        <v/>
      </c>
      <c r="AD144" s="564" t="s">
        <v>31572</v>
      </c>
      <c r="AE144" s="564" t="s">
        <v>4</v>
      </c>
      <c r="AF144" s="564" t="s">
        <v>7</v>
      </c>
      <c r="AG144" s="564" t="s">
        <v>33586</v>
      </c>
      <c r="AH144" s="564" t="s">
        <v>4</v>
      </c>
      <c r="AI144" s="564" t="s">
        <v>7</v>
      </c>
      <c r="AJ144" s="574">
        <v>45565</v>
      </c>
      <c r="AK144" s="564" t="s">
        <v>4</v>
      </c>
      <c r="AL144" s="564"/>
      <c r="AM144" s="564"/>
      <c r="AN144" s="564"/>
      <c r="AO144" s="564"/>
      <c r="AP144" s="564"/>
      <c r="AQ144" s="564"/>
      <c r="AR144" s="564"/>
      <c r="AS144" s="564"/>
      <c r="AT144" s="564"/>
      <c r="AU144" s="564"/>
      <c r="AV144" s="564"/>
      <c r="AW144" s="564"/>
      <c r="AX144" s="564"/>
      <c r="AY144" s="564"/>
      <c r="AZ144" s="564"/>
      <c r="BA144" s="564"/>
      <c r="BB144" s="564"/>
      <c r="BC144" s="564"/>
      <c r="BD144" s="564"/>
      <c r="BE144" s="564"/>
      <c r="BF144" s="564"/>
      <c r="BG144" s="564"/>
      <c r="BH144" s="564"/>
      <c r="BI144" s="564"/>
      <c r="BJ144" s="564"/>
      <c r="BK144" s="564"/>
      <c r="BL144" s="564"/>
      <c r="BM144" s="564"/>
      <c r="BN144" s="564"/>
      <c r="BO144" s="564"/>
      <c r="BP144" s="564"/>
      <c r="BQ144" s="564"/>
      <c r="BR144" s="567"/>
      <c r="BS144" s="564"/>
      <c r="BT144" s="564"/>
      <c r="BU144" s="564"/>
      <c r="BV144" s="564"/>
      <c r="BW144" s="567"/>
      <c r="BX144" s="564"/>
      <c r="BY144" s="564"/>
      <c r="BZ144" s="564"/>
      <c r="CA144" s="564"/>
      <c r="CB144" s="564"/>
      <c r="CC144" s="564"/>
      <c r="CD144" s="564"/>
      <c r="CE144" s="564"/>
      <c r="CF144" s="564"/>
      <c r="CG144" s="564"/>
      <c r="CH144" s="564"/>
      <c r="CI144" s="564"/>
      <c r="CJ144" s="564"/>
      <c r="CK144" s="564"/>
      <c r="CL144" s="564"/>
      <c r="CM144" s="564"/>
      <c r="CN144" s="564"/>
      <c r="CO144" s="564"/>
      <c r="CP144" s="564"/>
      <c r="CQ144" s="564"/>
      <c r="CR144" s="564"/>
      <c r="CS144" s="564"/>
      <c r="CT144" s="568"/>
      <c r="CU144" s="563"/>
      <c r="CV144" s="564"/>
      <c r="CW144" s="568"/>
      <c r="CX144" s="563"/>
      <c r="CY144" s="564"/>
      <c r="CZ144" s="568"/>
      <c r="DA144" s="563"/>
      <c r="DB144" s="564"/>
      <c r="DC144" s="564"/>
      <c r="DD144" s="564"/>
      <c r="DE144" s="564"/>
      <c r="DF144" s="564"/>
      <c r="DG144" s="564"/>
      <c r="DH144" s="564"/>
      <c r="DI144" s="564"/>
      <c r="DJ144" s="564"/>
      <c r="DK144" s="564"/>
      <c r="DL144" s="564"/>
      <c r="DM144" s="564"/>
      <c r="DN144" s="564"/>
      <c r="DO144" s="564"/>
      <c r="DP144" s="564"/>
      <c r="DQ144" s="564"/>
      <c r="DR144" s="564"/>
      <c r="DS144" s="569"/>
      <c r="DT144" s="564"/>
      <c r="DU144" s="569"/>
      <c r="DV144" s="568"/>
      <c r="DW144" s="563"/>
      <c r="DX144" s="564"/>
      <c r="DY144" s="564"/>
      <c r="DZ144" s="564"/>
      <c r="EA144" s="564"/>
      <c r="EB144" s="564"/>
      <c r="EC144" s="564"/>
      <c r="ED144" s="564"/>
      <c r="EE144" s="564"/>
      <c r="EF144" s="564"/>
      <c r="EG144" s="564"/>
      <c r="EH144" s="564"/>
      <c r="EI144" s="564"/>
      <c r="EJ144" s="564"/>
      <c r="EK144" s="564"/>
      <c r="EL144" s="564"/>
      <c r="EM144" s="564"/>
      <c r="EN144" s="564"/>
      <c r="EO144" s="564"/>
      <c r="EP144" s="564"/>
      <c r="EQ144" s="564"/>
      <c r="ER144" s="564"/>
      <c r="ES144" s="564"/>
      <c r="ET144" s="564"/>
      <c r="EU144" s="564"/>
      <c r="EV144" s="564"/>
      <c r="EW144" s="564"/>
      <c r="EX144" s="564"/>
      <c r="EY144" s="564"/>
      <c r="EZ144" s="239"/>
      <c r="FA144" s="564"/>
      <c r="FB144" s="564"/>
      <c r="FC144" s="564"/>
      <c r="FD144" s="564"/>
      <c r="FE144" s="564"/>
      <c r="FF144" s="564"/>
      <c r="FG144" s="564"/>
      <c r="FH144" s="564"/>
      <c r="FI144" s="564"/>
      <c r="FJ144" s="564"/>
      <c r="FK144" s="564"/>
      <c r="FL144" s="564"/>
      <c r="FM144" s="564"/>
      <c r="FN144" s="569"/>
      <c r="FO144" s="564"/>
      <c r="FP144" s="564"/>
      <c r="FQ144" s="564"/>
      <c r="FR144" s="564"/>
      <c r="FS144" s="564"/>
      <c r="FT144" s="564"/>
      <c r="FU144" s="564"/>
      <c r="FV144" s="564"/>
      <c r="FW144" s="564"/>
      <c r="FX144" s="564"/>
      <c r="FY144" s="564"/>
      <c r="FZ144" s="564"/>
      <c r="GA144" s="564"/>
      <c r="GB144" s="564"/>
      <c r="GC144" s="564"/>
      <c r="GD144" s="564"/>
      <c r="GE144" s="564"/>
      <c r="GF144" s="564"/>
      <c r="GG144" s="564"/>
      <c r="GH144" s="564"/>
      <c r="GI144" s="564"/>
      <c r="GJ144" s="564"/>
      <c r="GK144" s="564"/>
      <c r="GL144" s="564"/>
      <c r="GM144" s="564"/>
      <c r="GN144" s="564"/>
      <c r="GO144" s="564"/>
      <c r="GP144" s="564"/>
      <c r="GQ144" s="564"/>
      <c r="GR144" s="564"/>
      <c r="GS144" s="564"/>
      <c r="GT144" s="564"/>
      <c r="GU144" s="564"/>
      <c r="GV144" s="569"/>
      <c r="GW144" s="564"/>
      <c r="GX144" s="564"/>
      <c r="GY144" s="564"/>
      <c r="GZ144" s="564"/>
      <c r="HA144" s="564"/>
      <c r="HB144" s="564"/>
      <c r="HC144" s="564"/>
      <c r="HD144" s="564"/>
      <c r="HE144" s="564"/>
      <c r="HF144" s="564"/>
      <c r="HG144" s="564"/>
      <c r="HH144" s="564"/>
      <c r="HI144" s="564"/>
      <c r="HJ144" s="564"/>
      <c r="HK144" s="569"/>
      <c r="HL144" s="564" t="s">
        <v>33587</v>
      </c>
      <c r="HM144" s="564" t="s">
        <v>7</v>
      </c>
      <c r="HN144" s="564" t="s">
        <v>33588</v>
      </c>
      <c r="HO144" s="564" t="s">
        <v>33589</v>
      </c>
      <c r="HP144" s="564" t="s">
        <v>33590</v>
      </c>
      <c r="HQ144" s="564" t="s">
        <v>33591</v>
      </c>
      <c r="HR144" s="564" t="s">
        <v>33592</v>
      </c>
      <c r="HS144" s="564" t="s">
        <v>33593</v>
      </c>
      <c r="HT144" s="568" t="s">
        <v>33582</v>
      </c>
    </row>
    <row r="145" spans="1:228" s="570" customFormat="1" ht="30.2" customHeight="1" x14ac:dyDescent="0.25">
      <c r="A145" s="759"/>
      <c r="B145" s="563">
        <v>106</v>
      </c>
      <c r="C145" s="573" t="s">
        <v>12060</v>
      </c>
      <c r="D145" s="571" t="s">
        <v>34546</v>
      </c>
      <c r="E145" s="571" t="s">
        <v>34457</v>
      </c>
      <c r="F145" s="571" t="s">
        <v>7</v>
      </c>
      <c r="G145" s="571" t="s">
        <v>34547</v>
      </c>
      <c r="H145" s="571">
        <v>1127.5999999999999</v>
      </c>
      <c r="I145" s="571">
        <v>3.6</v>
      </c>
      <c r="J145" s="571" t="s">
        <v>29319</v>
      </c>
      <c r="K145" s="571" t="s">
        <v>4</v>
      </c>
      <c r="L145" s="571" t="s">
        <v>34548</v>
      </c>
      <c r="M145" s="571">
        <v>754858092</v>
      </c>
      <c r="N145" s="571" t="s">
        <v>5</v>
      </c>
      <c r="O145" s="571" t="s">
        <v>31438</v>
      </c>
      <c r="P145" s="571">
        <v>72</v>
      </c>
      <c r="Q145" s="571">
        <v>7</v>
      </c>
      <c r="R145" s="571" t="s">
        <v>7</v>
      </c>
      <c r="S145" s="571" t="s">
        <v>31588</v>
      </c>
      <c r="T145" s="571" t="s">
        <v>4</v>
      </c>
      <c r="U145" s="571" t="s">
        <v>2</v>
      </c>
      <c r="V145" s="571" t="s">
        <v>4</v>
      </c>
      <c r="W145" s="571" t="s">
        <v>4</v>
      </c>
      <c r="X145" s="571" t="s">
        <v>4</v>
      </c>
      <c r="Y145" s="571" t="s">
        <v>4</v>
      </c>
      <c r="Z145" s="574">
        <v>45331</v>
      </c>
      <c r="AA145" s="557" t="str">
        <f>IF(OR(U145="yes",Z145&gt;'SDG outcome'!$C$39),"yes","no")</f>
        <v>no</v>
      </c>
      <c r="AB145" s="574" t="str">
        <f t="shared" si="6"/>
        <v/>
      </c>
      <c r="AC145" s="575" t="str">
        <f>IF(AND('SMS p2'!AA118="no",AND(Z145&gt;='SDG outcome'!$B$28,Z145&lt;'SDG outcome'!$C$39)),Z145-'SDG outcome'!$B$28,"")</f>
        <v/>
      </c>
      <c r="AD145" s="571" t="s">
        <v>31572</v>
      </c>
      <c r="AE145" s="571" t="s">
        <v>4</v>
      </c>
      <c r="AF145" s="571" t="s">
        <v>7</v>
      </c>
      <c r="AG145" s="571" t="s">
        <v>34549</v>
      </c>
      <c r="AH145" s="571" t="s">
        <v>4</v>
      </c>
      <c r="AI145" s="571" t="s">
        <v>7</v>
      </c>
      <c r="AJ145" s="574">
        <v>45608</v>
      </c>
      <c r="AK145" s="571" t="s">
        <v>4</v>
      </c>
      <c r="AL145" s="571"/>
      <c r="AM145" s="571"/>
      <c r="AN145" s="571"/>
      <c r="AO145" s="571"/>
      <c r="AP145" s="571"/>
      <c r="AQ145" s="571"/>
      <c r="AR145" s="571"/>
      <c r="AS145" s="571"/>
      <c r="AT145" s="571"/>
      <c r="AU145" s="571"/>
      <c r="AV145" s="571"/>
      <c r="AW145" s="571"/>
      <c r="AX145" s="571"/>
      <c r="AY145" s="571"/>
      <c r="AZ145" s="571"/>
      <c r="BA145" s="571"/>
      <c r="BB145" s="571"/>
      <c r="BC145" s="571"/>
      <c r="BD145" s="571"/>
      <c r="BE145" s="571"/>
      <c r="BF145" s="571"/>
      <c r="BG145" s="571"/>
      <c r="BH145" s="571"/>
      <c r="BI145" s="571"/>
      <c r="BJ145" s="571"/>
      <c r="BK145" s="571"/>
      <c r="BL145" s="571"/>
      <c r="BM145" s="564"/>
      <c r="BN145" s="571"/>
      <c r="BO145" s="571"/>
      <c r="BP145" s="571"/>
      <c r="BQ145" s="571"/>
      <c r="BR145" s="576"/>
      <c r="BS145" s="571"/>
      <c r="BT145" s="571"/>
      <c r="BU145" s="571"/>
      <c r="BV145" s="571"/>
      <c r="BW145" s="576"/>
      <c r="BX145" s="571"/>
      <c r="BY145" s="571"/>
      <c r="BZ145" s="571"/>
      <c r="CA145" s="571"/>
      <c r="CB145" s="571"/>
      <c r="CC145" s="571"/>
      <c r="CD145" s="571"/>
      <c r="CE145" s="571"/>
      <c r="CF145" s="571"/>
      <c r="CG145" s="571"/>
      <c r="CH145" s="571"/>
      <c r="CI145" s="571"/>
      <c r="CJ145" s="571"/>
      <c r="CK145" s="571"/>
      <c r="CL145" s="571"/>
      <c r="CM145" s="571"/>
      <c r="CN145" s="571"/>
      <c r="CO145" s="571"/>
      <c r="CP145" s="571"/>
      <c r="CQ145" s="571"/>
      <c r="CR145" s="571"/>
      <c r="CS145" s="571"/>
      <c r="CT145" s="577"/>
      <c r="CU145" s="573"/>
      <c r="CV145" s="571"/>
      <c r="CW145" s="577"/>
      <c r="CX145" s="573"/>
      <c r="CY145" s="571"/>
      <c r="CZ145" s="577"/>
      <c r="DA145" s="573"/>
      <c r="DB145" s="571"/>
      <c r="DC145" s="571"/>
      <c r="DD145" s="571"/>
      <c r="DE145" s="571"/>
      <c r="DF145" s="571"/>
      <c r="DG145" s="564"/>
      <c r="DH145" s="571"/>
      <c r="DI145" s="571"/>
      <c r="DJ145" s="571"/>
      <c r="DK145" s="571"/>
      <c r="DL145" s="571"/>
      <c r="DM145" s="571"/>
      <c r="DN145" s="571"/>
      <c r="DO145" s="571"/>
      <c r="DP145" s="571"/>
      <c r="DQ145" s="571"/>
      <c r="DR145" s="571"/>
      <c r="DS145" s="578"/>
      <c r="DT145" s="571"/>
      <c r="DU145" s="578"/>
      <c r="DV145" s="577"/>
      <c r="DW145" s="573"/>
      <c r="DX145" s="571"/>
      <c r="DY145" s="571"/>
      <c r="DZ145" s="571"/>
      <c r="EA145" s="571"/>
      <c r="EB145" s="571"/>
      <c r="EC145" s="571"/>
      <c r="ED145" s="571"/>
      <c r="EE145" s="571"/>
      <c r="EF145" s="571"/>
      <c r="EG145" s="571"/>
      <c r="EH145" s="571"/>
      <c r="EI145" s="571"/>
      <c r="EJ145" s="571"/>
      <c r="EK145" s="571"/>
      <c r="EL145" s="571"/>
      <c r="EM145" s="571"/>
      <c r="EN145" s="571"/>
      <c r="EO145" s="571"/>
      <c r="EP145" s="571"/>
      <c r="EQ145" s="571"/>
      <c r="ER145" s="571"/>
      <c r="ES145" s="571"/>
      <c r="ET145" s="571"/>
      <c r="EU145" s="571"/>
      <c r="EV145" s="571"/>
      <c r="EW145" s="571"/>
      <c r="EX145" s="571"/>
      <c r="EY145" s="571"/>
      <c r="EZ145" s="239"/>
      <c r="FA145" s="571"/>
      <c r="FB145" s="571"/>
      <c r="FC145" s="571"/>
      <c r="FD145" s="571"/>
      <c r="FE145" s="571"/>
      <c r="FF145" s="571"/>
      <c r="FG145" s="571"/>
      <c r="FH145" s="571"/>
      <c r="FI145" s="571"/>
      <c r="FJ145" s="571"/>
      <c r="FK145" s="571"/>
      <c r="FL145" s="571"/>
      <c r="FM145" s="571"/>
      <c r="FN145" s="578"/>
      <c r="FO145" s="571"/>
      <c r="FP145" s="571"/>
      <c r="FQ145" s="571"/>
      <c r="FR145" s="571"/>
      <c r="FS145" s="571"/>
      <c r="FT145" s="571"/>
      <c r="FU145" s="571"/>
      <c r="FV145" s="564"/>
      <c r="FW145" s="571"/>
      <c r="FX145" s="571"/>
      <c r="FY145" s="571"/>
      <c r="FZ145" s="571"/>
      <c r="GA145" s="571"/>
      <c r="GB145" s="571"/>
      <c r="GC145" s="571"/>
      <c r="GD145" s="571"/>
      <c r="GE145" s="571"/>
      <c r="GF145" s="571"/>
      <c r="GG145" s="571"/>
      <c r="GH145" s="571"/>
      <c r="GI145" s="571"/>
      <c r="GJ145" s="571"/>
      <c r="GK145" s="571"/>
      <c r="GL145" s="571"/>
      <c r="GM145" s="571"/>
      <c r="GN145" s="571"/>
      <c r="GO145" s="571"/>
      <c r="GP145" s="571"/>
      <c r="GQ145" s="571"/>
      <c r="GR145" s="571"/>
      <c r="GS145" s="564"/>
      <c r="GT145" s="571"/>
      <c r="GU145" s="571"/>
      <c r="GV145" s="578"/>
      <c r="GW145" s="571"/>
      <c r="GX145" s="571"/>
      <c r="GY145" s="571"/>
      <c r="GZ145" s="571"/>
      <c r="HA145" s="571"/>
      <c r="HB145" s="571"/>
      <c r="HC145" s="571"/>
      <c r="HD145" s="571"/>
      <c r="HE145" s="571"/>
      <c r="HF145" s="571"/>
      <c r="HG145" s="571"/>
      <c r="HH145" s="571"/>
      <c r="HI145" s="571"/>
      <c r="HJ145" s="571"/>
      <c r="HK145" s="569"/>
      <c r="HL145" s="571" t="s">
        <v>34550</v>
      </c>
      <c r="HM145" s="571" t="s">
        <v>7</v>
      </c>
      <c r="HN145" s="571" t="s">
        <v>34551</v>
      </c>
      <c r="HO145" s="571" t="s">
        <v>34552</v>
      </c>
      <c r="HP145" s="571" t="s">
        <v>34553</v>
      </c>
      <c r="HQ145" s="571" t="s">
        <v>34554</v>
      </c>
      <c r="HR145" s="571" t="s">
        <v>34555</v>
      </c>
      <c r="HS145" s="571" t="s">
        <v>34556</v>
      </c>
      <c r="HT145" s="577" t="s">
        <v>34546</v>
      </c>
    </row>
    <row r="146" spans="1:228" s="570" customFormat="1" ht="30.2" customHeight="1" x14ac:dyDescent="0.25">
      <c r="A146" s="759"/>
      <c r="B146" s="563">
        <v>114</v>
      </c>
      <c r="C146" s="563" t="s">
        <v>26670</v>
      </c>
      <c r="D146" s="564" t="s">
        <v>34638</v>
      </c>
      <c r="E146" s="564" t="s">
        <v>34639</v>
      </c>
      <c r="F146" s="564" t="s">
        <v>7</v>
      </c>
      <c r="G146" s="564" t="s">
        <v>34640</v>
      </c>
      <c r="H146" s="564">
        <v>1398.4</v>
      </c>
      <c r="I146" s="564">
        <v>5</v>
      </c>
      <c r="J146" s="564" t="s">
        <v>29389</v>
      </c>
      <c r="K146" s="564" t="s">
        <v>22</v>
      </c>
      <c r="L146" s="564" t="s">
        <v>34641</v>
      </c>
      <c r="M146" s="564">
        <v>766348148</v>
      </c>
      <c r="N146" s="564" t="s">
        <v>5</v>
      </c>
      <c r="O146" s="564" t="s">
        <v>31438</v>
      </c>
      <c r="P146" s="564">
        <v>48</v>
      </c>
      <c r="Q146" s="564">
        <v>10</v>
      </c>
      <c r="R146" s="564" t="s">
        <v>7</v>
      </c>
      <c r="S146" s="564" t="s">
        <v>31535</v>
      </c>
      <c r="T146" s="564" t="s">
        <v>4</v>
      </c>
      <c r="U146" s="564" t="s">
        <v>2</v>
      </c>
      <c r="V146" s="564" t="s">
        <v>4</v>
      </c>
      <c r="W146" s="564" t="s">
        <v>4</v>
      </c>
      <c r="X146" s="564" t="s">
        <v>4</v>
      </c>
      <c r="Y146" s="564" t="s">
        <v>4</v>
      </c>
      <c r="Z146" s="565">
        <v>45312</v>
      </c>
      <c r="AA146" s="557" t="str">
        <f>IF(OR(U146="yes",Z146&gt;'SDG outcome'!$C$39),"yes","no")</f>
        <v>no</v>
      </c>
      <c r="AB146" s="565" t="str">
        <f t="shared" si="6"/>
        <v/>
      </c>
      <c r="AC146" s="566" t="str">
        <f>IF(AND('SMS p2'!AA126="no",AND(Z146&gt;='SDG outcome'!$B$28,Z146&lt;'SDG outcome'!$C$39)),Z146-'SDG outcome'!$B$28,"")</f>
        <v/>
      </c>
      <c r="AD146" s="564" t="s">
        <v>31572</v>
      </c>
      <c r="AE146" s="564" t="s">
        <v>4</v>
      </c>
      <c r="AF146" s="564" t="s">
        <v>2</v>
      </c>
      <c r="AG146" s="564" t="s">
        <v>4</v>
      </c>
      <c r="AH146" s="564" t="s">
        <v>34642</v>
      </c>
      <c r="AI146" s="564" t="s">
        <v>7</v>
      </c>
      <c r="AJ146" s="565">
        <v>45556</v>
      </c>
      <c r="AK146" s="564" t="s">
        <v>4</v>
      </c>
      <c r="AL146" s="564"/>
      <c r="AM146" s="564"/>
      <c r="AN146" s="564"/>
      <c r="AO146" s="564"/>
      <c r="AP146" s="564"/>
      <c r="AQ146" s="564"/>
      <c r="AR146" s="564"/>
      <c r="AS146" s="564"/>
      <c r="AT146" s="564"/>
      <c r="AU146" s="564"/>
      <c r="AV146" s="564"/>
      <c r="AW146" s="564"/>
      <c r="AX146" s="564"/>
      <c r="AY146" s="564"/>
      <c r="AZ146" s="564"/>
      <c r="BA146" s="564"/>
      <c r="BB146" s="564"/>
      <c r="BC146" s="564"/>
      <c r="BD146" s="571"/>
      <c r="BE146" s="564"/>
      <c r="BF146" s="564"/>
      <c r="BG146" s="564"/>
      <c r="BH146" s="564"/>
      <c r="BI146" s="564"/>
      <c r="BJ146" s="564"/>
      <c r="BK146" s="564"/>
      <c r="BL146" s="564"/>
      <c r="BM146" s="564"/>
      <c r="BN146" s="564"/>
      <c r="BO146" s="564"/>
      <c r="BP146" s="564"/>
      <c r="BQ146" s="564"/>
      <c r="BR146" s="567"/>
      <c r="BS146" s="564"/>
      <c r="BT146" s="564"/>
      <c r="BU146" s="564"/>
      <c r="BV146" s="564"/>
      <c r="BW146" s="567"/>
      <c r="BX146" s="564"/>
      <c r="BY146" s="564"/>
      <c r="BZ146" s="564"/>
      <c r="CA146" s="564"/>
      <c r="CB146" s="564"/>
      <c r="CC146" s="564"/>
      <c r="CD146" s="564"/>
      <c r="CE146" s="564"/>
      <c r="CF146" s="564"/>
      <c r="CG146" s="564"/>
      <c r="CH146" s="564"/>
      <c r="CI146" s="564"/>
      <c r="CJ146" s="564"/>
      <c r="CK146" s="564"/>
      <c r="CL146" s="564"/>
      <c r="CM146" s="564"/>
      <c r="CN146" s="564"/>
      <c r="CO146" s="564"/>
      <c r="CP146" s="564"/>
      <c r="CQ146" s="564"/>
      <c r="CR146" s="564"/>
      <c r="CS146" s="564"/>
      <c r="CT146" s="568"/>
      <c r="CU146" s="563"/>
      <c r="CV146" s="564"/>
      <c r="CW146" s="568"/>
      <c r="CX146" s="563"/>
      <c r="CY146" s="564"/>
      <c r="CZ146" s="568"/>
      <c r="DA146" s="563"/>
      <c r="DB146" s="564"/>
      <c r="DC146" s="564"/>
      <c r="DD146" s="564"/>
      <c r="DE146" s="564"/>
      <c r="DF146" s="564"/>
      <c r="DG146" s="564"/>
      <c r="DH146" s="564"/>
      <c r="DI146" s="564"/>
      <c r="DJ146" s="564"/>
      <c r="DK146" s="564"/>
      <c r="DL146" s="564"/>
      <c r="DM146" s="564"/>
      <c r="DN146" s="564"/>
      <c r="DO146" s="564"/>
      <c r="DP146" s="564"/>
      <c r="DQ146" s="564"/>
      <c r="DR146" s="564"/>
      <c r="DS146" s="569"/>
      <c r="DT146" s="564"/>
      <c r="DU146" s="569"/>
      <c r="DV146" s="568"/>
      <c r="DW146" s="563"/>
      <c r="DX146" s="564"/>
      <c r="DY146" s="564"/>
      <c r="DZ146" s="564"/>
      <c r="EA146" s="564"/>
      <c r="EB146" s="564"/>
      <c r="EC146" s="564"/>
      <c r="ED146" s="564"/>
      <c r="EE146" s="564"/>
      <c r="EF146" s="564"/>
      <c r="EG146" s="564"/>
      <c r="EH146" s="564"/>
      <c r="EI146" s="564"/>
      <c r="EJ146" s="564"/>
      <c r="EK146" s="564"/>
      <c r="EL146" s="564"/>
      <c r="EM146" s="564"/>
      <c r="EN146" s="564"/>
      <c r="EO146" s="564"/>
      <c r="EP146" s="564"/>
      <c r="EQ146" s="564"/>
      <c r="ER146" s="564"/>
      <c r="ES146" s="564"/>
      <c r="ET146" s="564"/>
      <c r="EU146" s="564"/>
      <c r="EV146" s="564"/>
      <c r="EW146" s="564"/>
      <c r="EX146" s="564"/>
      <c r="EY146" s="564"/>
      <c r="EZ146" s="239"/>
      <c r="FA146" s="564"/>
      <c r="FB146" s="564"/>
      <c r="FC146" s="564"/>
      <c r="FD146" s="564"/>
      <c r="FE146" s="564"/>
      <c r="FF146" s="564"/>
      <c r="FG146" s="564"/>
      <c r="FH146" s="564"/>
      <c r="FI146" s="564"/>
      <c r="FJ146" s="564"/>
      <c r="FK146" s="564"/>
      <c r="FL146" s="564"/>
      <c r="FM146" s="564"/>
      <c r="FN146" s="569"/>
      <c r="FO146" s="564"/>
      <c r="FP146" s="564"/>
      <c r="FQ146" s="564"/>
      <c r="FR146" s="564"/>
      <c r="FS146" s="564"/>
      <c r="FT146" s="564"/>
      <c r="FU146" s="564"/>
      <c r="FV146" s="564"/>
      <c r="FW146" s="564"/>
      <c r="FX146" s="564"/>
      <c r="FY146" s="564"/>
      <c r="FZ146" s="564"/>
      <c r="GA146" s="564"/>
      <c r="GB146" s="564"/>
      <c r="GC146" s="564"/>
      <c r="GD146" s="564"/>
      <c r="GE146" s="564"/>
      <c r="GF146" s="564"/>
      <c r="GG146" s="564"/>
      <c r="GH146" s="564"/>
      <c r="GI146" s="564"/>
      <c r="GJ146" s="564"/>
      <c r="GK146" s="564"/>
      <c r="GL146" s="564"/>
      <c r="GM146" s="564"/>
      <c r="GN146" s="564"/>
      <c r="GO146" s="564"/>
      <c r="GP146" s="564"/>
      <c r="GQ146" s="564"/>
      <c r="GR146" s="564"/>
      <c r="GS146" s="564"/>
      <c r="GT146" s="564"/>
      <c r="GU146" s="564"/>
      <c r="GV146" s="569"/>
      <c r="GW146" s="564"/>
      <c r="GX146" s="564"/>
      <c r="GY146" s="564"/>
      <c r="GZ146" s="564"/>
      <c r="HA146" s="564"/>
      <c r="HB146" s="564"/>
      <c r="HC146" s="564"/>
      <c r="HD146" s="564"/>
      <c r="HE146" s="564"/>
      <c r="HF146" s="564"/>
      <c r="HG146" s="564"/>
      <c r="HH146" s="564"/>
      <c r="HI146" s="564"/>
      <c r="HJ146" s="564"/>
      <c r="HK146" s="569"/>
      <c r="HL146" s="564" t="s">
        <v>34643</v>
      </c>
      <c r="HM146" s="564" t="s">
        <v>7</v>
      </c>
      <c r="HN146" s="564" t="s">
        <v>34644</v>
      </c>
      <c r="HO146" s="564" t="s">
        <v>34644</v>
      </c>
      <c r="HP146" s="564" t="s">
        <v>34645</v>
      </c>
      <c r="HQ146" s="564" t="s">
        <v>34646</v>
      </c>
      <c r="HR146" s="564" t="s">
        <v>34647</v>
      </c>
      <c r="HS146" s="564" t="s">
        <v>34648</v>
      </c>
      <c r="HT146" s="568" t="s">
        <v>34638</v>
      </c>
    </row>
    <row r="147" spans="1:228" ht="30.2" customHeight="1" x14ac:dyDescent="0.25">
      <c r="A147" s="759"/>
      <c r="B147" s="563">
        <v>128</v>
      </c>
      <c r="C147" s="563" t="s">
        <v>6577</v>
      </c>
      <c r="D147" s="564" t="s">
        <v>34798</v>
      </c>
      <c r="E147" s="564" t="s">
        <v>30392</v>
      </c>
      <c r="F147" s="564" t="s">
        <v>7</v>
      </c>
      <c r="G147" s="564" t="s">
        <v>34799</v>
      </c>
      <c r="H147" s="564">
        <v>1162.5999999999999</v>
      </c>
      <c r="I147" s="564">
        <v>6.7</v>
      </c>
      <c r="J147" s="564" t="s">
        <v>29319</v>
      </c>
      <c r="K147" s="564" t="s">
        <v>4</v>
      </c>
      <c r="L147" s="564" t="s">
        <v>34800</v>
      </c>
      <c r="M147" s="564">
        <v>756647412</v>
      </c>
      <c r="N147" s="564" t="s">
        <v>5</v>
      </c>
      <c r="O147" s="564" t="s">
        <v>31598</v>
      </c>
      <c r="P147" s="564" t="s">
        <v>4</v>
      </c>
      <c r="Q147" s="564">
        <v>5</v>
      </c>
      <c r="R147" s="564" t="s">
        <v>7</v>
      </c>
      <c r="S147" s="564" t="s">
        <v>31588</v>
      </c>
      <c r="T147" s="564" t="s">
        <v>4</v>
      </c>
      <c r="U147" s="564" t="s">
        <v>2</v>
      </c>
      <c r="V147" s="564" t="s">
        <v>4</v>
      </c>
      <c r="W147" s="564" t="s">
        <v>4</v>
      </c>
      <c r="X147" s="564" t="s">
        <v>4</v>
      </c>
      <c r="Y147" s="564" t="s">
        <v>4</v>
      </c>
      <c r="Z147" s="565">
        <v>45556</v>
      </c>
      <c r="AA147" s="557" t="str">
        <f>IF(OR(U147="yes",Z147&gt;'SDG outcome'!$C$39),"yes","no")</f>
        <v>yes</v>
      </c>
      <c r="AB147" s="565" t="str">
        <f t="shared" si="6"/>
        <v>NA</v>
      </c>
      <c r="AC147" s="566" t="str">
        <f>IF(AND('SMS p2'!AA140="no",AND(Z147&gt;='SDG outcome'!$B$28,Z147&lt;'SDG outcome'!$C$39)),Z147-'SDG outcome'!$B$28,"")</f>
        <v/>
      </c>
      <c r="AD147" s="564" t="s">
        <v>31572</v>
      </c>
      <c r="AE147" s="564" t="s">
        <v>4</v>
      </c>
      <c r="AF147" s="564" t="s">
        <v>2</v>
      </c>
      <c r="AG147" s="564" t="s">
        <v>4</v>
      </c>
      <c r="AH147" s="564" t="s">
        <v>34801</v>
      </c>
      <c r="AI147" s="564" t="s">
        <v>7</v>
      </c>
      <c r="AJ147" s="565">
        <v>45556</v>
      </c>
      <c r="AK147" s="564" t="s">
        <v>4</v>
      </c>
      <c r="AL147" s="564"/>
      <c r="AM147" s="564"/>
      <c r="AN147" s="564"/>
      <c r="AO147" s="564"/>
      <c r="AP147" s="564"/>
      <c r="AQ147" s="564"/>
      <c r="AR147" s="564"/>
      <c r="AS147" s="564"/>
      <c r="AT147" s="564"/>
      <c r="AU147" s="564"/>
      <c r="AV147" s="564"/>
      <c r="AW147" s="564"/>
      <c r="AX147" s="564"/>
      <c r="AY147" s="564"/>
      <c r="AZ147" s="564"/>
      <c r="BA147" s="564"/>
      <c r="BB147" s="564"/>
      <c r="BC147" s="564"/>
      <c r="BD147" s="564"/>
      <c r="BE147" s="564"/>
      <c r="BF147" s="564"/>
      <c r="BG147" s="564"/>
      <c r="BH147" s="564"/>
      <c r="BI147" s="564"/>
      <c r="BJ147" s="564"/>
      <c r="BK147" s="564"/>
      <c r="BL147" s="564"/>
      <c r="BM147" s="564"/>
      <c r="BN147" s="564"/>
      <c r="BO147" s="564"/>
      <c r="BP147" s="564"/>
      <c r="BQ147" s="564"/>
      <c r="BR147" s="567"/>
      <c r="BS147" s="564"/>
      <c r="BT147" s="564"/>
      <c r="BU147" s="564"/>
      <c r="BV147" s="564"/>
      <c r="BW147" s="567"/>
      <c r="BX147" s="564"/>
      <c r="BY147" s="564"/>
      <c r="BZ147" s="564"/>
      <c r="CA147" s="564"/>
      <c r="CB147" s="564"/>
      <c r="CC147" s="564"/>
      <c r="CD147" s="564"/>
      <c r="CE147" s="564"/>
      <c r="CF147" s="564"/>
      <c r="CG147" s="564"/>
      <c r="CH147" s="564"/>
      <c r="CI147" s="564"/>
      <c r="CJ147" s="564"/>
      <c r="CK147" s="564"/>
      <c r="CL147" s="564"/>
      <c r="CM147" s="564"/>
      <c r="CN147" s="564"/>
      <c r="CO147" s="564"/>
      <c r="CP147" s="564"/>
      <c r="CQ147" s="564"/>
      <c r="CR147" s="564"/>
      <c r="CS147" s="564"/>
      <c r="CT147" s="568"/>
      <c r="CU147" s="563"/>
      <c r="CV147" s="564"/>
      <c r="CW147" s="568"/>
      <c r="CX147" s="563"/>
      <c r="CY147" s="564"/>
      <c r="CZ147" s="568"/>
      <c r="DA147" s="563"/>
      <c r="DB147" s="564"/>
      <c r="DC147" s="564"/>
      <c r="DD147" s="564"/>
      <c r="DE147" s="564"/>
      <c r="DF147" s="564"/>
      <c r="DG147" s="564"/>
      <c r="DH147" s="564"/>
      <c r="DI147" s="564"/>
      <c r="DJ147" s="564"/>
      <c r="DK147" s="564"/>
      <c r="DL147" s="564"/>
      <c r="DM147" s="564"/>
      <c r="DN147" s="564"/>
      <c r="DO147" s="564"/>
      <c r="DP147" s="564"/>
      <c r="DQ147" s="564"/>
      <c r="DR147" s="564"/>
      <c r="DS147" s="569"/>
      <c r="DT147" s="564"/>
      <c r="DU147" s="569"/>
      <c r="DV147" s="568"/>
      <c r="DW147" s="563"/>
      <c r="DX147" s="564"/>
      <c r="DY147" s="564"/>
      <c r="DZ147" s="564"/>
      <c r="EA147" s="564"/>
      <c r="EB147" s="564"/>
      <c r="EC147" s="564"/>
      <c r="ED147" s="564"/>
      <c r="EE147" s="564"/>
      <c r="EF147" s="564"/>
      <c r="EG147" s="564"/>
      <c r="EH147" s="564"/>
      <c r="EI147" s="564"/>
      <c r="EJ147" s="564"/>
      <c r="EK147" s="564"/>
      <c r="EL147" s="564"/>
      <c r="EM147" s="564"/>
      <c r="EN147" s="564"/>
      <c r="EO147" s="564"/>
      <c r="EP147" s="564"/>
      <c r="EQ147" s="564"/>
      <c r="ER147" s="564"/>
      <c r="ES147" s="564"/>
      <c r="ET147" s="564"/>
      <c r="EU147" s="564"/>
      <c r="EV147" s="564"/>
      <c r="EW147" s="564"/>
      <c r="EX147" s="564"/>
      <c r="EY147" s="564"/>
      <c r="EZ147" s="239"/>
      <c r="FA147" s="564"/>
      <c r="FB147" s="564"/>
      <c r="FC147" s="564"/>
      <c r="FD147" s="564"/>
      <c r="FE147" s="564"/>
      <c r="FF147" s="564"/>
      <c r="FG147" s="564"/>
      <c r="FH147" s="564"/>
      <c r="FI147" s="564"/>
      <c r="FJ147" s="564"/>
      <c r="FK147" s="564"/>
      <c r="FL147" s="564"/>
      <c r="FM147" s="564"/>
      <c r="FN147" s="569"/>
      <c r="FO147" s="564"/>
      <c r="FP147" s="564"/>
      <c r="FQ147" s="564"/>
      <c r="FR147" s="564"/>
      <c r="FS147" s="564"/>
      <c r="FT147" s="564"/>
      <c r="FU147" s="564"/>
      <c r="FV147" s="564"/>
      <c r="FW147" s="564"/>
      <c r="FX147" s="564"/>
      <c r="FY147" s="564"/>
      <c r="FZ147" s="564"/>
      <c r="GA147" s="564"/>
      <c r="GB147" s="564"/>
      <c r="GC147" s="564"/>
      <c r="GD147" s="564"/>
      <c r="GE147" s="564"/>
      <c r="GF147" s="564"/>
      <c r="GG147" s="564"/>
      <c r="GH147" s="564"/>
      <c r="GI147" s="564"/>
      <c r="GJ147" s="564"/>
      <c r="GK147" s="564"/>
      <c r="GL147" s="564"/>
      <c r="GM147" s="564"/>
      <c r="GN147" s="564"/>
      <c r="GO147" s="564"/>
      <c r="GP147" s="564"/>
      <c r="GQ147" s="564"/>
      <c r="GR147" s="564"/>
      <c r="GS147" s="564"/>
      <c r="GT147" s="564"/>
      <c r="GU147" s="564"/>
      <c r="GV147" s="569"/>
      <c r="GW147" s="564"/>
      <c r="GX147" s="564"/>
      <c r="GY147" s="564"/>
      <c r="GZ147" s="564"/>
      <c r="HA147" s="564"/>
      <c r="HB147" s="564"/>
      <c r="HC147" s="564"/>
      <c r="HD147" s="564"/>
      <c r="HE147" s="564"/>
      <c r="HF147" s="564"/>
      <c r="HG147" s="564"/>
      <c r="HH147" s="564"/>
      <c r="HI147" s="564"/>
      <c r="HJ147" s="564"/>
      <c r="HK147" s="569"/>
      <c r="HL147" s="564" t="s">
        <v>34802</v>
      </c>
      <c r="HM147" s="564" t="s">
        <v>7</v>
      </c>
      <c r="HN147" s="564" t="s">
        <v>34803</v>
      </c>
      <c r="HO147" s="564" t="s">
        <v>34804</v>
      </c>
      <c r="HP147" s="564" t="s">
        <v>34805</v>
      </c>
      <c r="HQ147" s="564" t="s">
        <v>34806</v>
      </c>
      <c r="HR147" s="564" t="s">
        <v>34807</v>
      </c>
      <c r="HS147" s="564" t="s">
        <v>16</v>
      </c>
      <c r="HT147" s="568" t="s">
        <v>34798</v>
      </c>
    </row>
    <row r="148" spans="1:228" ht="30.2" customHeight="1" x14ac:dyDescent="0.25">
      <c r="A148" s="759"/>
      <c r="B148" s="563">
        <v>131</v>
      </c>
      <c r="C148" s="563" t="s">
        <v>8292</v>
      </c>
      <c r="D148" s="564" t="s">
        <v>34830</v>
      </c>
      <c r="E148" s="564" t="s">
        <v>30392</v>
      </c>
      <c r="F148" s="564" t="s">
        <v>7</v>
      </c>
      <c r="G148" s="564" t="s">
        <v>34831</v>
      </c>
      <c r="H148" s="564">
        <v>1150.2</v>
      </c>
      <c r="I148" s="564">
        <v>2.8</v>
      </c>
      <c r="J148" s="564" t="s">
        <v>29288</v>
      </c>
      <c r="K148" s="564" t="s">
        <v>4</v>
      </c>
      <c r="L148" s="564" t="s">
        <v>34832</v>
      </c>
      <c r="M148" s="564">
        <v>770734036</v>
      </c>
      <c r="N148" s="564" t="s">
        <v>3</v>
      </c>
      <c r="O148" s="564" t="s">
        <v>31438</v>
      </c>
      <c r="P148" s="564">
        <v>56</v>
      </c>
      <c r="Q148" s="564">
        <v>7</v>
      </c>
      <c r="R148" s="564" t="s">
        <v>7</v>
      </c>
      <c r="S148" s="564" t="s">
        <v>31535</v>
      </c>
      <c r="T148" s="564" t="s">
        <v>4</v>
      </c>
      <c r="U148" s="564" t="s">
        <v>2</v>
      </c>
      <c r="V148" s="564" t="s">
        <v>4</v>
      </c>
      <c r="W148" s="564" t="s">
        <v>4</v>
      </c>
      <c r="X148" s="564" t="s">
        <v>4</v>
      </c>
      <c r="Y148" s="564" t="s">
        <v>4</v>
      </c>
      <c r="Z148" s="565">
        <v>45556</v>
      </c>
      <c r="AA148" s="557" t="str">
        <f>IF(OR(U148="yes",Z148&gt;'SDG outcome'!$C$39),"yes","no")</f>
        <v>yes</v>
      </c>
      <c r="AB148" s="565" t="str">
        <f t="shared" si="6"/>
        <v>NA</v>
      </c>
      <c r="AC148" s="566" t="str">
        <f>IF(AND('SMS p2'!AA143="no",AND(Z148&gt;='SDG outcome'!$B$28,Z148&lt;'SDG outcome'!$C$39)),Z148-'SDG outcome'!$B$28,"")</f>
        <v/>
      </c>
      <c r="AD148" s="564" t="s">
        <v>31572</v>
      </c>
      <c r="AE148" s="564" t="s">
        <v>4</v>
      </c>
      <c r="AF148" s="564" t="s">
        <v>2</v>
      </c>
      <c r="AG148" s="564" t="s">
        <v>4</v>
      </c>
      <c r="AH148" s="564" t="s">
        <v>34833</v>
      </c>
      <c r="AI148" s="564" t="s">
        <v>34376</v>
      </c>
      <c r="AJ148" s="564" t="s">
        <v>33539</v>
      </c>
      <c r="AK148" s="564" t="s">
        <v>4</v>
      </c>
      <c r="AL148" s="564"/>
      <c r="AM148" s="564"/>
      <c r="AN148" s="564"/>
      <c r="AO148" s="564"/>
      <c r="AP148" s="564"/>
      <c r="AQ148" s="564"/>
      <c r="AR148" s="564"/>
      <c r="AS148" s="564"/>
      <c r="AT148" s="564"/>
      <c r="AU148" s="564"/>
      <c r="AV148" s="564"/>
      <c r="AW148" s="564"/>
      <c r="AX148" s="564"/>
      <c r="AY148" s="564"/>
      <c r="AZ148" s="564"/>
      <c r="BA148" s="564"/>
      <c r="BB148" s="564"/>
      <c r="BC148" s="564"/>
      <c r="BD148" s="564"/>
      <c r="BE148" s="564"/>
      <c r="BF148" s="564"/>
      <c r="BG148" s="564"/>
      <c r="BH148" s="564"/>
      <c r="BI148" s="564"/>
      <c r="BJ148" s="564"/>
      <c r="BK148" s="564"/>
      <c r="BL148" s="564"/>
      <c r="BM148" s="564"/>
      <c r="BN148" s="564"/>
      <c r="BO148" s="564"/>
      <c r="BP148" s="564"/>
      <c r="BQ148" s="564"/>
      <c r="BR148" s="567"/>
      <c r="BS148" s="564"/>
      <c r="BT148" s="564"/>
      <c r="BU148" s="564"/>
      <c r="BV148" s="564"/>
      <c r="BW148" s="567"/>
      <c r="BX148" s="564"/>
      <c r="BY148" s="564"/>
      <c r="BZ148" s="564"/>
      <c r="CA148" s="564"/>
      <c r="CB148" s="564"/>
      <c r="CC148" s="564"/>
      <c r="CD148" s="564"/>
      <c r="CE148" s="564"/>
      <c r="CF148" s="564"/>
      <c r="CG148" s="564"/>
      <c r="CH148" s="564"/>
      <c r="CI148" s="564"/>
      <c r="CJ148" s="564"/>
      <c r="CK148" s="564"/>
      <c r="CL148" s="564"/>
      <c r="CM148" s="564"/>
      <c r="CN148" s="564"/>
      <c r="CO148" s="564"/>
      <c r="CP148" s="564"/>
      <c r="CQ148" s="564"/>
      <c r="CR148" s="564"/>
      <c r="CS148" s="564"/>
      <c r="CT148" s="568"/>
      <c r="CU148" s="563"/>
      <c r="CV148" s="564"/>
      <c r="CW148" s="568"/>
      <c r="CX148" s="563"/>
      <c r="CY148" s="564"/>
      <c r="CZ148" s="568"/>
      <c r="DA148" s="563"/>
      <c r="DB148" s="564"/>
      <c r="DC148" s="564"/>
      <c r="DD148" s="564"/>
      <c r="DE148" s="564"/>
      <c r="DF148" s="564"/>
      <c r="DG148" s="564"/>
      <c r="DH148" s="564"/>
      <c r="DI148" s="564"/>
      <c r="DJ148" s="564"/>
      <c r="DK148" s="564"/>
      <c r="DL148" s="564"/>
      <c r="DM148" s="564"/>
      <c r="DN148" s="564"/>
      <c r="DO148" s="564"/>
      <c r="DP148" s="564"/>
      <c r="DQ148" s="564"/>
      <c r="DR148" s="564"/>
      <c r="DS148" s="569"/>
      <c r="DT148" s="564"/>
      <c r="DU148" s="569"/>
      <c r="DV148" s="568"/>
      <c r="DW148" s="563"/>
      <c r="DX148" s="564"/>
      <c r="DY148" s="564"/>
      <c r="DZ148" s="564"/>
      <c r="EA148" s="564"/>
      <c r="EB148" s="564"/>
      <c r="EC148" s="564"/>
      <c r="ED148" s="564"/>
      <c r="EE148" s="564"/>
      <c r="EF148" s="564"/>
      <c r="EG148" s="564"/>
      <c r="EH148" s="564"/>
      <c r="EI148" s="564"/>
      <c r="EJ148" s="564"/>
      <c r="EK148" s="564"/>
      <c r="EL148" s="564"/>
      <c r="EM148" s="564"/>
      <c r="EN148" s="564"/>
      <c r="EO148" s="564"/>
      <c r="EP148" s="564"/>
      <c r="EQ148" s="564"/>
      <c r="ER148" s="564"/>
      <c r="ES148" s="564"/>
      <c r="ET148" s="564"/>
      <c r="EU148" s="564"/>
      <c r="EV148" s="564"/>
      <c r="EW148" s="571"/>
      <c r="EX148" s="564"/>
      <c r="EY148" s="564"/>
      <c r="EZ148" s="239"/>
      <c r="FA148" s="564"/>
      <c r="FB148" s="564"/>
      <c r="FC148" s="564"/>
      <c r="FD148" s="564"/>
      <c r="FE148" s="564"/>
      <c r="FF148" s="564"/>
      <c r="FG148" s="564"/>
      <c r="FH148" s="564"/>
      <c r="FI148" s="564"/>
      <c r="FJ148" s="564"/>
      <c r="FK148" s="564"/>
      <c r="FL148" s="564"/>
      <c r="FM148" s="564"/>
      <c r="FN148" s="569"/>
      <c r="FO148" s="564"/>
      <c r="FP148" s="564"/>
      <c r="FQ148" s="564"/>
      <c r="FR148" s="564"/>
      <c r="FS148" s="564"/>
      <c r="FT148" s="564"/>
      <c r="FU148" s="564"/>
      <c r="FV148" s="564"/>
      <c r="FW148" s="564"/>
      <c r="FX148" s="564"/>
      <c r="FY148" s="564"/>
      <c r="FZ148" s="564"/>
      <c r="GA148" s="564"/>
      <c r="GB148" s="564"/>
      <c r="GC148" s="564"/>
      <c r="GD148" s="564"/>
      <c r="GE148" s="564"/>
      <c r="GF148" s="564"/>
      <c r="GG148" s="564"/>
      <c r="GH148" s="564"/>
      <c r="GI148" s="564"/>
      <c r="GJ148" s="564"/>
      <c r="GK148" s="564"/>
      <c r="GL148" s="564"/>
      <c r="GM148" s="564"/>
      <c r="GN148" s="564"/>
      <c r="GO148" s="564"/>
      <c r="GP148" s="564"/>
      <c r="GQ148" s="564"/>
      <c r="GR148" s="564"/>
      <c r="GS148" s="564"/>
      <c r="GT148" s="564"/>
      <c r="GU148" s="564"/>
      <c r="GV148" s="569"/>
      <c r="GW148" s="564"/>
      <c r="GX148" s="564"/>
      <c r="GY148" s="564"/>
      <c r="GZ148" s="564"/>
      <c r="HA148" s="564"/>
      <c r="HB148" s="564"/>
      <c r="HC148" s="564"/>
      <c r="HD148" s="564"/>
      <c r="HE148" s="564"/>
      <c r="HF148" s="564"/>
      <c r="HG148" s="564"/>
      <c r="HH148" s="564"/>
      <c r="HI148" s="564"/>
      <c r="HJ148" s="564"/>
      <c r="HK148" s="569"/>
      <c r="HL148" s="564" t="s">
        <v>34834</v>
      </c>
      <c r="HM148" s="564" t="s">
        <v>7</v>
      </c>
      <c r="HN148" s="564" t="s">
        <v>34835</v>
      </c>
      <c r="HO148" s="564" t="s">
        <v>34836</v>
      </c>
      <c r="HP148" s="564" t="s">
        <v>34837</v>
      </c>
      <c r="HQ148" s="564" t="s">
        <v>34838</v>
      </c>
      <c r="HR148" s="564" t="s">
        <v>34839</v>
      </c>
      <c r="HS148" s="564" t="s">
        <v>16</v>
      </c>
      <c r="HT148" s="568" t="s">
        <v>34830</v>
      </c>
    </row>
    <row r="149" spans="1:228" ht="30.2" customHeight="1" x14ac:dyDescent="0.25">
      <c r="A149" s="759"/>
      <c r="B149" s="563">
        <v>83</v>
      </c>
      <c r="C149" s="563" t="s">
        <v>5321</v>
      </c>
      <c r="D149" s="564" t="s">
        <v>34316</v>
      </c>
      <c r="E149" s="564" t="s">
        <v>30002</v>
      </c>
      <c r="F149" s="564" t="s">
        <v>7</v>
      </c>
      <c r="G149" s="564" t="s">
        <v>34317</v>
      </c>
      <c r="H149" s="564">
        <v>1366.5</v>
      </c>
      <c r="I149" s="564">
        <v>4.8</v>
      </c>
      <c r="J149" s="564" t="s">
        <v>29319</v>
      </c>
      <c r="K149" s="564" t="s">
        <v>4</v>
      </c>
      <c r="L149" s="564" t="s">
        <v>5322</v>
      </c>
      <c r="M149" s="564">
        <v>782562951</v>
      </c>
      <c r="N149" s="564" t="s">
        <v>5</v>
      </c>
      <c r="O149" s="564" t="s">
        <v>31438</v>
      </c>
      <c r="P149" s="564">
        <v>65</v>
      </c>
      <c r="Q149" s="564">
        <v>6</v>
      </c>
      <c r="R149" s="564" t="s">
        <v>7</v>
      </c>
      <c r="S149" s="564" t="s">
        <v>31588</v>
      </c>
      <c r="T149" s="564" t="s">
        <v>4</v>
      </c>
      <c r="U149" s="564" t="s">
        <v>2</v>
      </c>
      <c r="V149" s="564" t="s">
        <v>4</v>
      </c>
      <c r="W149" s="564" t="s">
        <v>4</v>
      </c>
      <c r="X149" s="564" t="s">
        <v>4</v>
      </c>
      <c r="Y149" s="564" t="s">
        <v>4</v>
      </c>
      <c r="Z149" s="565">
        <v>44936</v>
      </c>
      <c r="AA149" s="557" t="str">
        <f>IF(OR(U149="yes",Z149&gt;'SDG outcome'!$C$39),"yes","no")</f>
        <v>no</v>
      </c>
      <c r="AB149" s="565" t="str">
        <f t="shared" si="6"/>
        <v/>
      </c>
      <c r="AC149" s="566" t="str">
        <f>IF(AND('SMS p2'!AA95="no",AND(Z149&gt;='SDG outcome'!$B$28,Z149&lt;'SDG outcome'!$C$39)),Z149-'SDG outcome'!$B$28,"")</f>
        <v/>
      </c>
      <c r="AD149" s="564" t="s">
        <v>31572</v>
      </c>
      <c r="AE149" s="564" t="s">
        <v>4</v>
      </c>
      <c r="AF149" s="564" t="s">
        <v>2</v>
      </c>
      <c r="AG149" s="564" t="s">
        <v>4</v>
      </c>
      <c r="AH149" s="564" t="s">
        <v>34318</v>
      </c>
      <c r="AI149" s="564" t="s">
        <v>7</v>
      </c>
      <c r="AJ149" s="564" t="s">
        <v>33539</v>
      </c>
      <c r="AK149" s="564" t="s">
        <v>4</v>
      </c>
      <c r="AL149" s="564"/>
      <c r="AM149" s="564"/>
      <c r="AN149" s="564"/>
      <c r="AO149" s="564"/>
      <c r="AP149" s="564"/>
      <c r="AQ149" s="564"/>
      <c r="AR149" s="564"/>
      <c r="AS149" s="564"/>
      <c r="AT149" s="564"/>
      <c r="AU149" s="564"/>
      <c r="AV149" s="564"/>
      <c r="AW149" s="564"/>
      <c r="AX149" s="564"/>
      <c r="AY149" s="564"/>
      <c r="AZ149" s="564"/>
      <c r="BA149" s="564"/>
      <c r="BB149" s="564"/>
      <c r="BC149" s="564"/>
      <c r="BD149" s="564"/>
      <c r="BE149" s="564"/>
      <c r="BF149" s="564"/>
      <c r="BG149" s="564"/>
      <c r="BH149" s="564"/>
      <c r="BI149" s="564"/>
      <c r="BJ149" s="564"/>
      <c r="BK149" s="564"/>
      <c r="BL149" s="564"/>
      <c r="BM149" s="564"/>
      <c r="BN149" s="564"/>
      <c r="BO149" s="564"/>
      <c r="BP149" s="564"/>
      <c r="BQ149" s="564"/>
      <c r="BR149" s="567"/>
      <c r="BS149" s="564"/>
      <c r="BT149" s="564"/>
      <c r="BU149" s="564"/>
      <c r="BV149" s="564"/>
      <c r="BW149" s="567"/>
      <c r="BX149" s="564"/>
      <c r="BY149" s="564"/>
      <c r="BZ149" s="564"/>
      <c r="CA149" s="564"/>
      <c r="CB149" s="564"/>
      <c r="CC149" s="564"/>
      <c r="CD149" s="564"/>
      <c r="CE149" s="564"/>
      <c r="CF149" s="564"/>
      <c r="CG149" s="564"/>
      <c r="CH149" s="564"/>
      <c r="CI149" s="564"/>
      <c r="CJ149" s="564"/>
      <c r="CK149" s="564"/>
      <c r="CL149" s="564"/>
      <c r="CM149" s="564"/>
      <c r="CN149" s="564"/>
      <c r="CO149" s="564"/>
      <c r="CP149" s="564"/>
      <c r="CQ149" s="564"/>
      <c r="CR149" s="564"/>
      <c r="CS149" s="564"/>
      <c r="CT149" s="568"/>
      <c r="CU149" s="563"/>
      <c r="CV149" s="564"/>
      <c r="CW149" s="568"/>
      <c r="CX149" s="563"/>
      <c r="CY149" s="564"/>
      <c r="CZ149" s="568"/>
      <c r="DA149" s="563"/>
      <c r="DB149" s="564"/>
      <c r="DC149" s="564"/>
      <c r="DD149" s="564"/>
      <c r="DE149" s="564"/>
      <c r="DF149" s="564"/>
      <c r="DG149" s="564"/>
      <c r="DH149" s="564"/>
      <c r="DI149" s="564"/>
      <c r="DJ149" s="564"/>
      <c r="DK149" s="564"/>
      <c r="DL149" s="564"/>
      <c r="DM149" s="564"/>
      <c r="DN149" s="564"/>
      <c r="DO149" s="564"/>
      <c r="DP149" s="564"/>
      <c r="DQ149" s="564"/>
      <c r="DR149" s="564"/>
      <c r="DS149" s="569"/>
      <c r="DT149" s="564"/>
      <c r="DU149" s="569"/>
      <c r="DV149" s="568"/>
      <c r="DW149" s="563"/>
      <c r="DX149" s="564"/>
      <c r="DY149" s="564"/>
      <c r="DZ149" s="564"/>
      <c r="EA149" s="564"/>
      <c r="EB149" s="564"/>
      <c r="EC149" s="564"/>
      <c r="ED149" s="564"/>
      <c r="EE149" s="564"/>
      <c r="EF149" s="564"/>
      <c r="EG149" s="564"/>
      <c r="EH149" s="564"/>
      <c r="EI149" s="564"/>
      <c r="EJ149" s="564"/>
      <c r="EK149" s="564"/>
      <c r="EL149" s="564"/>
      <c r="EM149" s="564"/>
      <c r="EN149" s="564"/>
      <c r="EO149" s="564"/>
      <c r="EP149" s="564"/>
      <c r="EQ149" s="564"/>
      <c r="ER149" s="564"/>
      <c r="ES149" s="564"/>
      <c r="ET149" s="564"/>
      <c r="EU149" s="564"/>
      <c r="EV149" s="564"/>
      <c r="EW149" s="564"/>
      <c r="EX149" s="564"/>
      <c r="EY149" s="564"/>
      <c r="EZ149" s="239"/>
      <c r="FA149" s="564"/>
      <c r="FB149" s="564"/>
      <c r="FC149" s="564"/>
      <c r="FD149" s="564"/>
      <c r="FE149" s="564"/>
      <c r="FF149" s="564"/>
      <c r="FG149" s="564"/>
      <c r="FH149" s="564"/>
      <c r="FI149" s="564"/>
      <c r="FJ149" s="564"/>
      <c r="FK149" s="564"/>
      <c r="FL149" s="564"/>
      <c r="FM149" s="564"/>
      <c r="FN149" s="569"/>
      <c r="FO149" s="564"/>
      <c r="FP149" s="564"/>
      <c r="FQ149" s="564"/>
      <c r="FR149" s="564"/>
      <c r="FS149" s="564"/>
      <c r="FT149" s="564"/>
      <c r="FU149" s="564"/>
      <c r="FV149" s="564"/>
      <c r="FW149" s="564"/>
      <c r="FX149" s="564"/>
      <c r="FY149" s="564"/>
      <c r="FZ149" s="564"/>
      <c r="GA149" s="564"/>
      <c r="GB149" s="564"/>
      <c r="GC149" s="564"/>
      <c r="GD149" s="564"/>
      <c r="GE149" s="564"/>
      <c r="GF149" s="564"/>
      <c r="GG149" s="564"/>
      <c r="GH149" s="564"/>
      <c r="GI149" s="564"/>
      <c r="GJ149" s="564"/>
      <c r="GK149" s="564"/>
      <c r="GL149" s="564"/>
      <c r="GM149" s="564"/>
      <c r="GN149" s="564"/>
      <c r="GO149" s="564"/>
      <c r="GP149" s="564"/>
      <c r="GQ149" s="564"/>
      <c r="GR149" s="564"/>
      <c r="GS149" s="564"/>
      <c r="GT149" s="564"/>
      <c r="GU149" s="564"/>
      <c r="GV149" s="569"/>
      <c r="GW149" s="564"/>
      <c r="GX149" s="564"/>
      <c r="GY149" s="564"/>
      <c r="GZ149" s="564"/>
      <c r="HA149" s="564"/>
      <c r="HB149" s="564"/>
      <c r="HC149" s="564"/>
      <c r="HD149" s="564"/>
      <c r="HE149" s="564"/>
      <c r="HF149" s="564"/>
      <c r="HG149" s="564"/>
      <c r="HH149" s="564"/>
      <c r="HI149" s="564"/>
      <c r="HJ149" s="564"/>
      <c r="HK149" s="569"/>
      <c r="HL149" s="564" t="s">
        <v>34319</v>
      </c>
      <c r="HM149" s="564" t="s">
        <v>7</v>
      </c>
      <c r="HN149" s="564" t="s">
        <v>34320</v>
      </c>
      <c r="HO149" s="564" t="s">
        <v>34321</v>
      </c>
      <c r="HP149" s="564" t="s">
        <v>34322</v>
      </c>
      <c r="HQ149" s="564" t="s">
        <v>34323</v>
      </c>
      <c r="HR149" s="564" t="s">
        <v>34324</v>
      </c>
      <c r="HS149" s="564" t="s">
        <v>34325</v>
      </c>
      <c r="HT149" s="568" t="s">
        <v>34316</v>
      </c>
    </row>
    <row r="150" spans="1:228" ht="30.2" customHeight="1" x14ac:dyDescent="0.25">
      <c r="A150" s="759"/>
      <c r="B150" s="563">
        <v>240</v>
      </c>
      <c r="C150" s="563" t="s">
        <v>14673</v>
      </c>
      <c r="D150" s="564" t="s">
        <v>33491</v>
      </c>
      <c r="E150" s="564" t="s">
        <v>35998</v>
      </c>
      <c r="F150" s="564" t="s">
        <v>7</v>
      </c>
      <c r="G150" s="564" t="s">
        <v>35999</v>
      </c>
      <c r="H150" s="564">
        <v>1198.8710000000001</v>
      </c>
      <c r="I150" s="564">
        <v>1.834962</v>
      </c>
      <c r="J150" s="564" t="s">
        <v>29288</v>
      </c>
      <c r="K150" s="564" t="s">
        <v>4</v>
      </c>
      <c r="L150" s="564" t="s">
        <v>36000</v>
      </c>
      <c r="M150" s="564">
        <v>788390918</v>
      </c>
      <c r="N150" s="564" t="s">
        <v>5</v>
      </c>
      <c r="O150" s="564" t="s">
        <v>31438</v>
      </c>
      <c r="P150" s="564">
        <v>40</v>
      </c>
      <c r="Q150" s="564">
        <v>5</v>
      </c>
      <c r="R150" s="564" t="s">
        <v>7</v>
      </c>
      <c r="S150" s="564" t="s">
        <v>31588</v>
      </c>
      <c r="T150" s="564" t="s">
        <v>4</v>
      </c>
      <c r="U150" s="564" t="s">
        <v>2</v>
      </c>
      <c r="V150" s="564" t="s">
        <v>4</v>
      </c>
      <c r="W150" s="564" t="s">
        <v>4</v>
      </c>
      <c r="X150" s="564" t="s">
        <v>4</v>
      </c>
      <c r="Y150" s="564" t="s">
        <v>4</v>
      </c>
      <c r="Z150" s="565">
        <v>45066</v>
      </c>
      <c r="AA150" s="557" t="str">
        <f>IF(OR(U150="yes",Z150&gt;'SDG outcome'!$C$39),"yes","no")</f>
        <v>no</v>
      </c>
      <c r="AB150" s="565" t="str">
        <f t="shared" si="6"/>
        <v/>
      </c>
      <c r="AC150" s="566">
        <f>IF(AND('SMS p2'!AA251="no",AND(Z150&gt;='SDG outcome'!$B$28,Z150&lt;'SDG outcome'!$C$39)),Z150-'SDG outcome'!$B$28,"")</f>
        <v>49</v>
      </c>
      <c r="AD150" s="564" t="s">
        <v>31572</v>
      </c>
      <c r="AE150" s="564" t="s">
        <v>4</v>
      </c>
      <c r="AF150" s="564" t="s">
        <v>2</v>
      </c>
      <c r="AG150" s="564" t="s">
        <v>4</v>
      </c>
      <c r="AH150" s="564" t="s">
        <v>36001</v>
      </c>
      <c r="AI150" s="564" t="s">
        <v>7</v>
      </c>
      <c r="AJ150" s="571" t="s">
        <v>33539</v>
      </c>
      <c r="AK150" s="564" t="s">
        <v>4</v>
      </c>
      <c r="AL150" s="564"/>
      <c r="AM150" s="564"/>
      <c r="AN150" s="564"/>
      <c r="AO150" s="564"/>
      <c r="AP150" s="564"/>
      <c r="AQ150" s="564"/>
      <c r="AR150" s="564"/>
      <c r="AS150" s="564"/>
      <c r="AT150" s="564"/>
      <c r="AU150" s="564"/>
      <c r="AV150" s="564"/>
      <c r="AW150" s="564"/>
      <c r="AX150" s="564"/>
      <c r="AY150" s="564"/>
      <c r="AZ150" s="564"/>
      <c r="BA150" s="564"/>
      <c r="BB150" s="564"/>
      <c r="BC150" s="564"/>
      <c r="BD150" s="564"/>
      <c r="BE150" s="564"/>
      <c r="BF150" s="564"/>
      <c r="BG150" s="564"/>
      <c r="BH150" s="564"/>
      <c r="BI150" s="564"/>
      <c r="BJ150" s="564"/>
      <c r="BK150" s="564"/>
      <c r="BL150" s="564"/>
      <c r="BM150" s="564"/>
      <c r="BN150" s="564"/>
      <c r="BO150" s="564"/>
      <c r="BP150" s="564"/>
      <c r="BQ150" s="564"/>
      <c r="BR150" s="567"/>
      <c r="BS150" s="564"/>
      <c r="BT150" s="564"/>
      <c r="BU150" s="564"/>
      <c r="BV150" s="564"/>
      <c r="BW150" s="567"/>
      <c r="BX150" s="564"/>
      <c r="BY150" s="564"/>
      <c r="BZ150" s="564"/>
      <c r="CA150" s="564"/>
      <c r="CB150" s="564"/>
      <c r="CC150" s="564"/>
      <c r="CD150" s="564"/>
      <c r="CE150" s="564"/>
      <c r="CF150" s="564"/>
      <c r="CG150" s="564"/>
      <c r="CH150" s="564"/>
      <c r="CI150" s="564"/>
      <c r="CJ150" s="564"/>
      <c r="CK150" s="564"/>
      <c r="CL150" s="564"/>
      <c r="CM150" s="564"/>
      <c r="CN150" s="564"/>
      <c r="CO150" s="564"/>
      <c r="CP150" s="564"/>
      <c r="CQ150" s="564"/>
      <c r="CR150" s="564"/>
      <c r="CS150" s="564"/>
      <c r="CT150" s="568"/>
      <c r="CU150" s="563"/>
      <c r="CV150" s="564"/>
      <c r="CW150" s="568"/>
      <c r="CX150" s="563"/>
      <c r="CY150" s="564"/>
      <c r="CZ150" s="568"/>
      <c r="DA150" s="563"/>
      <c r="DB150" s="564"/>
      <c r="DC150" s="564"/>
      <c r="DD150" s="564"/>
      <c r="DE150" s="564"/>
      <c r="DF150" s="564"/>
      <c r="DG150" s="564"/>
      <c r="DH150" s="564"/>
      <c r="DI150" s="564"/>
      <c r="DJ150" s="564"/>
      <c r="DK150" s="564"/>
      <c r="DL150" s="564"/>
      <c r="DM150" s="564"/>
      <c r="DN150" s="564"/>
      <c r="DO150" s="564"/>
      <c r="DP150" s="564"/>
      <c r="DQ150" s="564"/>
      <c r="DR150" s="564"/>
      <c r="DS150" s="569"/>
      <c r="DT150" s="564"/>
      <c r="DU150" s="569"/>
      <c r="DV150" s="568"/>
      <c r="DW150" s="563"/>
      <c r="DX150" s="564"/>
      <c r="DY150" s="564"/>
      <c r="DZ150" s="564"/>
      <c r="EA150" s="564"/>
      <c r="EB150" s="564"/>
      <c r="EC150" s="564"/>
      <c r="ED150" s="564"/>
      <c r="EE150" s="564"/>
      <c r="EF150" s="564"/>
      <c r="EG150" s="564"/>
      <c r="EH150" s="564"/>
      <c r="EI150" s="564"/>
      <c r="EJ150" s="564"/>
      <c r="EK150" s="564"/>
      <c r="EL150" s="564"/>
      <c r="EM150" s="564"/>
      <c r="EN150" s="564"/>
      <c r="EO150" s="564"/>
      <c r="EP150" s="564"/>
      <c r="EQ150" s="564"/>
      <c r="ER150" s="564"/>
      <c r="ES150" s="564"/>
      <c r="ET150" s="564"/>
      <c r="EU150" s="564"/>
      <c r="EV150" s="564"/>
      <c r="EW150" s="564"/>
      <c r="EX150" s="564"/>
      <c r="EY150" s="564"/>
      <c r="EZ150" s="239"/>
      <c r="FA150" s="564"/>
      <c r="FB150" s="564"/>
      <c r="FC150" s="564"/>
      <c r="FD150" s="564"/>
      <c r="FE150" s="564"/>
      <c r="FF150" s="564"/>
      <c r="FG150" s="564"/>
      <c r="FH150" s="564"/>
      <c r="FI150" s="564"/>
      <c r="FJ150" s="564"/>
      <c r="FK150" s="564"/>
      <c r="FL150" s="564"/>
      <c r="FM150" s="564"/>
      <c r="FN150" s="569"/>
      <c r="FO150" s="564"/>
      <c r="FP150" s="564"/>
      <c r="FQ150" s="564"/>
      <c r="FR150" s="564"/>
      <c r="FS150" s="564"/>
      <c r="FT150" s="564"/>
      <c r="FU150" s="564"/>
      <c r="FV150" s="564"/>
      <c r="FW150" s="564"/>
      <c r="FX150" s="564"/>
      <c r="FY150" s="564"/>
      <c r="FZ150" s="564"/>
      <c r="GA150" s="564"/>
      <c r="GB150" s="564"/>
      <c r="GC150" s="564"/>
      <c r="GD150" s="564"/>
      <c r="GE150" s="564"/>
      <c r="GF150" s="564"/>
      <c r="GG150" s="564"/>
      <c r="GH150" s="564"/>
      <c r="GI150" s="564"/>
      <c r="GJ150" s="564"/>
      <c r="GK150" s="564"/>
      <c r="GL150" s="564"/>
      <c r="GM150" s="564"/>
      <c r="GN150" s="564"/>
      <c r="GO150" s="564"/>
      <c r="GP150" s="564"/>
      <c r="GQ150" s="564"/>
      <c r="GR150" s="564"/>
      <c r="GS150" s="564"/>
      <c r="GT150" s="564"/>
      <c r="GU150" s="564"/>
      <c r="GV150" s="569"/>
      <c r="GW150" s="564"/>
      <c r="GX150" s="564"/>
      <c r="GY150" s="564"/>
      <c r="GZ150" s="564"/>
      <c r="HA150" s="564"/>
      <c r="HB150" s="564"/>
      <c r="HC150" s="564"/>
      <c r="HD150" s="564"/>
      <c r="HE150" s="564"/>
      <c r="HF150" s="564"/>
      <c r="HG150" s="564"/>
      <c r="HH150" s="564"/>
      <c r="HI150" s="564"/>
      <c r="HJ150" s="564"/>
      <c r="HK150" s="569"/>
      <c r="HL150" s="564" t="s">
        <v>33474</v>
      </c>
      <c r="HM150" s="564" t="s">
        <v>7</v>
      </c>
      <c r="HN150" s="564" t="s">
        <v>36002</v>
      </c>
      <c r="HO150" s="564" t="s">
        <v>36003</v>
      </c>
      <c r="HP150" s="564" t="s">
        <v>36004</v>
      </c>
      <c r="HQ150" s="564" t="s">
        <v>16</v>
      </c>
      <c r="HR150" s="564" t="s">
        <v>36005</v>
      </c>
      <c r="HS150" s="564" t="s">
        <v>36006</v>
      </c>
      <c r="HT150" s="568" t="s">
        <v>36007</v>
      </c>
    </row>
    <row r="151" spans="1:228" ht="30.2" customHeight="1" x14ac:dyDescent="0.25">
      <c r="A151" s="759"/>
      <c r="B151" s="563">
        <v>88</v>
      </c>
      <c r="C151" s="563" t="s">
        <v>27827</v>
      </c>
      <c r="D151" s="564" t="s">
        <v>34372</v>
      </c>
      <c r="E151" s="564" t="s">
        <v>70</v>
      </c>
      <c r="F151" s="564" t="s">
        <v>7</v>
      </c>
      <c r="G151" s="564" t="s">
        <v>34373</v>
      </c>
      <c r="H151" s="564">
        <v>1221.9000000000001</v>
      </c>
      <c r="I151" s="564">
        <v>3.7</v>
      </c>
      <c r="J151" s="564" t="s">
        <v>29319</v>
      </c>
      <c r="K151" s="564" t="s">
        <v>4</v>
      </c>
      <c r="L151" s="564" t="s">
        <v>34374</v>
      </c>
      <c r="M151" s="564">
        <v>775116804</v>
      </c>
      <c r="N151" s="564" t="s">
        <v>5</v>
      </c>
      <c r="O151" s="564" t="s">
        <v>31438</v>
      </c>
      <c r="P151" s="564">
        <v>61</v>
      </c>
      <c r="Q151" s="564">
        <v>8</v>
      </c>
      <c r="R151" s="564" t="s">
        <v>7</v>
      </c>
      <c r="S151" s="564" t="s">
        <v>31549</v>
      </c>
      <c r="T151" s="564" t="s">
        <v>4</v>
      </c>
      <c r="U151" s="564" t="s">
        <v>2</v>
      </c>
      <c r="V151" s="564" t="s">
        <v>4</v>
      </c>
      <c r="W151" s="564" t="s">
        <v>4</v>
      </c>
      <c r="X151" s="564" t="s">
        <v>4</v>
      </c>
      <c r="Y151" s="564" t="s">
        <v>4</v>
      </c>
      <c r="Z151" s="565">
        <v>43636</v>
      </c>
      <c r="AA151" s="557" t="str">
        <f>IF(OR(U151="yes",Z151&gt;'SDG outcome'!$C$39),"yes","no")</f>
        <v>no</v>
      </c>
      <c r="AB151" s="565" t="str">
        <f t="shared" si="6"/>
        <v/>
      </c>
      <c r="AC151" s="566" t="str">
        <f>IF(AND('SMS p2'!AA100="no",AND(Z151&gt;='SDG outcome'!$B$28,Z151&lt;'SDG outcome'!$C$39)),Z151-'SDG outcome'!$B$28,"")</f>
        <v/>
      </c>
      <c r="AD151" s="564" t="s">
        <v>31572</v>
      </c>
      <c r="AE151" s="564" t="s">
        <v>4</v>
      </c>
      <c r="AF151" s="564" t="s">
        <v>2</v>
      </c>
      <c r="AG151" s="564" t="s">
        <v>4</v>
      </c>
      <c r="AH151" s="564" t="s">
        <v>34375</v>
      </c>
      <c r="AI151" s="564" t="s">
        <v>34376</v>
      </c>
      <c r="AJ151" s="564" t="s">
        <v>33539</v>
      </c>
      <c r="AK151" s="564" t="s">
        <v>4</v>
      </c>
      <c r="AL151" s="564"/>
      <c r="AM151" s="564"/>
      <c r="AN151" s="564"/>
      <c r="AO151" s="564"/>
      <c r="AP151" s="564"/>
      <c r="AQ151" s="564"/>
      <c r="AR151" s="564"/>
      <c r="AS151" s="564"/>
      <c r="AT151" s="564"/>
      <c r="AU151" s="564"/>
      <c r="AV151" s="564"/>
      <c r="AW151" s="564"/>
      <c r="AX151" s="564"/>
      <c r="AY151" s="564"/>
      <c r="AZ151" s="564"/>
      <c r="BA151" s="564"/>
      <c r="BB151" s="564"/>
      <c r="BC151" s="564"/>
      <c r="BD151" s="564"/>
      <c r="BE151" s="564"/>
      <c r="BF151" s="564"/>
      <c r="BG151" s="564"/>
      <c r="BH151" s="564"/>
      <c r="BI151" s="564"/>
      <c r="BJ151" s="564"/>
      <c r="BK151" s="564"/>
      <c r="BL151" s="564"/>
      <c r="BM151" s="564"/>
      <c r="BN151" s="564"/>
      <c r="BO151" s="564"/>
      <c r="BP151" s="564"/>
      <c r="BQ151" s="564"/>
      <c r="BR151" s="567"/>
      <c r="BS151" s="564"/>
      <c r="BT151" s="564"/>
      <c r="BU151" s="564"/>
      <c r="BV151" s="564"/>
      <c r="BW151" s="567"/>
      <c r="BX151" s="564"/>
      <c r="BY151" s="564"/>
      <c r="BZ151" s="564"/>
      <c r="CA151" s="564"/>
      <c r="CB151" s="564"/>
      <c r="CC151" s="564"/>
      <c r="CD151" s="564"/>
      <c r="CE151" s="564"/>
      <c r="CF151" s="564"/>
      <c r="CG151" s="564"/>
      <c r="CH151" s="564"/>
      <c r="CI151" s="564"/>
      <c r="CJ151" s="564"/>
      <c r="CK151" s="564"/>
      <c r="CL151" s="564"/>
      <c r="CM151" s="564"/>
      <c r="CN151" s="564"/>
      <c r="CO151" s="564"/>
      <c r="CP151" s="564"/>
      <c r="CQ151" s="564"/>
      <c r="CR151" s="564"/>
      <c r="CS151" s="564"/>
      <c r="CT151" s="568"/>
      <c r="CU151" s="563"/>
      <c r="CV151" s="564"/>
      <c r="CW151" s="568"/>
      <c r="CX151" s="563"/>
      <c r="CY151" s="564"/>
      <c r="CZ151" s="568"/>
      <c r="DA151" s="563"/>
      <c r="DB151" s="564"/>
      <c r="DC151" s="564"/>
      <c r="DD151" s="564"/>
      <c r="DE151" s="564"/>
      <c r="DF151" s="564"/>
      <c r="DG151" s="564"/>
      <c r="DH151" s="564"/>
      <c r="DI151" s="564"/>
      <c r="DJ151" s="564"/>
      <c r="DK151" s="564"/>
      <c r="DL151" s="564"/>
      <c r="DM151" s="564"/>
      <c r="DN151" s="564"/>
      <c r="DO151" s="564"/>
      <c r="DP151" s="564"/>
      <c r="DQ151" s="564"/>
      <c r="DR151" s="564"/>
      <c r="DS151" s="569"/>
      <c r="DT151" s="564"/>
      <c r="DU151" s="569"/>
      <c r="DV151" s="568"/>
      <c r="DW151" s="563"/>
      <c r="DX151" s="564"/>
      <c r="DY151" s="564"/>
      <c r="DZ151" s="564"/>
      <c r="EA151" s="564"/>
      <c r="EB151" s="564"/>
      <c r="EC151" s="564"/>
      <c r="ED151" s="564"/>
      <c r="EE151" s="564"/>
      <c r="EF151" s="564"/>
      <c r="EG151" s="564"/>
      <c r="EH151" s="564"/>
      <c r="EI151" s="564"/>
      <c r="EJ151" s="564"/>
      <c r="EK151" s="564"/>
      <c r="EL151" s="564"/>
      <c r="EM151" s="564"/>
      <c r="EN151" s="564"/>
      <c r="EO151" s="564"/>
      <c r="EP151" s="564"/>
      <c r="EQ151" s="564"/>
      <c r="ER151" s="564"/>
      <c r="ES151" s="564"/>
      <c r="ET151" s="564"/>
      <c r="EU151" s="564"/>
      <c r="EV151" s="564"/>
      <c r="EW151" s="564"/>
      <c r="EX151" s="564"/>
      <c r="EY151" s="564"/>
      <c r="EZ151" s="239"/>
      <c r="FA151" s="564"/>
      <c r="FB151" s="564"/>
      <c r="FC151" s="564"/>
      <c r="FD151" s="564"/>
      <c r="FE151" s="564"/>
      <c r="FF151" s="564"/>
      <c r="FG151" s="564"/>
      <c r="FH151" s="564"/>
      <c r="FI151" s="564"/>
      <c r="FJ151" s="564"/>
      <c r="FK151" s="564"/>
      <c r="FL151" s="564"/>
      <c r="FM151" s="564"/>
      <c r="FN151" s="569"/>
      <c r="FO151" s="564"/>
      <c r="FP151" s="564"/>
      <c r="FQ151" s="564"/>
      <c r="FR151" s="564"/>
      <c r="FS151" s="564"/>
      <c r="FT151" s="564"/>
      <c r="FU151" s="564"/>
      <c r="FV151" s="564"/>
      <c r="FW151" s="564"/>
      <c r="FX151" s="564"/>
      <c r="FY151" s="564"/>
      <c r="FZ151" s="564"/>
      <c r="GA151" s="564"/>
      <c r="GB151" s="564"/>
      <c r="GC151" s="564"/>
      <c r="GD151" s="564"/>
      <c r="GE151" s="564"/>
      <c r="GF151" s="564"/>
      <c r="GG151" s="564"/>
      <c r="GH151" s="564"/>
      <c r="GI151" s="564"/>
      <c r="GJ151" s="564"/>
      <c r="GK151" s="564"/>
      <c r="GL151" s="564"/>
      <c r="GM151" s="564"/>
      <c r="GN151" s="564"/>
      <c r="GO151" s="564"/>
      <c r="GP151" s="564"/>
      <c r="GQ151" s="564"/>
      <c r="GR151" s="564"/>
      <c r="GS151" s="564"/>
      <c r="GT151" s="564"/>
      <c r="GU151" s="564"/>
      <c r="GV151" s="569"/>
      <c r="GW151" s="564"/>
      <c r="GX151" s="564"/>
      <c r="GY151" s="564"/>
      <c r="GZ151" s="564"/>
      <c r="HA151" s="564"/>
      <c r="HB151" s="564"/>
      <c r="HC151" s="564"/>
      <c r="HD151" s="564"/>
      <c r="HE151" s="564"/>
      <c r="HF151" s="564"/>
      <c r="HG151" s="564"/>
      <c r="HH151" s="564"/>
      <c r="HI151" s="564"/>
      <c r="HJ151" s="564"/>
      <c r="HK151" s="569"/>
      <c r="HL151" s="564" t="s">
        <v>33474</v>
      </c>
      <c r="HM151" s="564" t="s">
        <v>2</v>
      </c>
      <c r="HN151" s="564" t="s">
        <v>4</v>
      </c>
      <c r="HO151" s="564" t="s">
        <v>16</v>
      </c>
      <c r="HP151" s="564" t="s">
        <v>34377</v>
      </c>
      <c r="HQ151" s="564" t="s">
        <v>34378</v>
      </c>
      <c r="HR151" s="564" t="s">
        <v>34379</v>
      </c>
      <c r="HS151" s="564" t="s">
        <v>34380</v>
      </c>
      <c r="HT151" s="568" t="s">
        <v>34372</v>
      </c>
    </row>
    <row r="152" spans="1:228" ht="30.2" customHeight="1" x14ac:dyDescent="0.25">
      <c r="A152" s="759"/>
      <c r="B152" s="563">
        <v>229</v>
      </c>
      <c r="C152" s="563" t="s">
        <v>7105</v>
      </c>
      <c r="D152" s="564" t="s">
        <v>35874</v>
      </c>
      <c r="E152" s="564" t="s">
        <v>30786</v>
      </c>
      <c r="F152" s="564" t="s">
        <v>7</v>
      </c>
      <c r="G152" s="564" t="s">
        <v>35875</v>
      </c>
      <c r="H152" s="564">
        <v>1226.5</v>
      </c>
      <c r="I152" s="564">
        <v>5</v>
      </c>
      <c r="J152" s="564" t="s">
        <v>29319</v>
      </c>
      <c r="K152" s="564" t="s">
        <v>4</v>
      </c>
      <c r="L152" s="564" t="s">
        <v>7106</v>
      </c>
      <c r="M152" s="564">
        <v>753744158</v>
      </c>
      <c r="N152" s="564" t="s">
        <v>5</v>
      </c>
      <c r="O152" s="564" t="s">
        <v>31590</v>
      </c>
      <c r="P152" s="564" t="s">
        <v>4</v>
      </c>
      <c r="Q152" s="564">
        <v>7</v>
      </c>
      <c r="R152" s="564" t="s">
        <v>7</v>
      </c>
      <c r="S152" s="564" t="s">
        <v>31549</v>
      </c>
      <c r="T152" s="564" t="s">
        <v>4</v>
      </c>
      <c r="U152" s="564" t="s">
        <v>2</v>
      </c>
      <c r="V152" s="564" t="s">
        <v>4</v>
      </c>
      <c r="W152" s="564" t="s">
        <v>4</v>
      </c>
      <c r="X152" s="564" t="s">
        <v>4</v>
      </c>
      <c r="Y152" s="564" t="s">
        <v>4</v>
      </c>
      <c r="Z152" s="565">
        <v>45560</v>
      </c>
      <c r="AA152" s="557" t="str">
        <f>IF(OR(U152="yes",Z152&gt;'SDG outcome'!$C$39),"yes","no")</f>
        <v>yes</v>
      </c>
      <c r="AB152" s="565" t="str">
        <f t="shared" si="6"/>
        <v>NA</v>
      </c>
      <c r="AC152" s="566" t="str">
        <f>IF(AND('SMS p2'!AA240="no",AND(Z152&gt;='SDG outcome'!$B$28,Z152&lt;'SDG outcome'!$C$39)),Z152-'SDG outcome'!$B$28,"")</f>
        <v/>
      </c>
      <c r="AD152" s="564" t="s">
        <v>31572</v>
      </c>
      <c r="AE152" s="564" t="s">
        <v>4</v>
      </c>
      <c r="AF152" s="564" t="s">
        <v>2</v>
      </c>
      <c r="AG152" s="564" t="s">
        <v>4</v>
      </c>
      <c r="AH152" s="564" t="s">
        <v>35876</v>
      </c>
      <c r="AI152" s="564" t="s">
        <v>7</v>
      </c>
      <c r="AJ152" s="564" t="s">
        <v>33539</v>
      </c>
      <c r="AK152" s="564" t="s">
        <v>4</v>
      </c>
      <c r="AL152" s="564"/>
      <c r="AM152" s="564"/>
      <c r="AN152" s="564"/>
      <c r="AO152" s="564"/>
      <c r="AP152" s="564"/>
      <c r="AQ152" s="564"/>
      <c r="AR152" s="564"/>
      <c r="AS152" s="564"/>
      <c r="AT152" s="564"/>
      <c r="AU152" s="564"/>
      <c r="AV152" s="564"/>
      <c r="AW152" s="564"/>
      <c r="AX152" s="564"/>
      <c r="AY152" s="564"/>
      <c r="AZ152" s="564"/>
      <c r="BA152" s="564"/>
      <c r="BB152" s="564"/>
      <c r="BC152" s="564"/>
      <c r="BD152" s="564"/>
      <c r="BE152" s="564"/>
      <c r="BF152" s="564"/>
      <c r="BG152" s="564"/>
      <c r="BH152" s="564"/>
      <c r="BI152" s="564"/>
      <c r="BJ152" s="564"/>
      <c r="BK152" s="564"/>
      <c r="BL152" s="564"/>
      <c r="BM152" s="564"/>
      <c r="BN152" s="564"/>
      <c r="BO152" s="564"/>
      <c r="BP152" s="564"/>
      <c r="BQ152" s="564"/>
      <c r="BR152" s="567"/>
      <c r="BS152" s="564"/>
      <c r="BT152" s="564"/>
      <c r="BU152" s="564"/>
      <c r="BV152" s="564"/>
      <c r="BW152" s="567"/>
      <c r="BX152" s="564"/>
      <c r="BY152" s="564"/>
      <c r="BZ152" s="564"/>
      <c r="CA152" s="564"/>
      <c r="CB152" s="564"/>
      <c r="CC152" s="564"/>
      <c r="CD152" s="564"/>
      <c r="CE152" s="564"/>
      <c r="CF152" s="564"/>
      <c r="CG152" s="564"/>
      <c r="CH152" s="564"/>
      <c r="CI152" s="564"/>
      <c r="CJ152" s="564"/>
      <c r="CK152" s="564"/>
      <c r="CL152" s="564"/>
      <c r="CM152" s="564"/>
      <c r="CN152" s="564"/>
      <c r="CO152" s="564"/>
      <c r="CP152" s="564"/>
      <c r="CQ152" s="564"/>
      <c r="CR152" s="564"/>
      <c r="CS152" s="564"/>
      <c r="CT152" s="568"/>
      <c r="CU152" s="563"/>
      <c r="CV152" s="564"/>
      <c r="CW152" s="568"/>
      <c r="CX152" s="563"/>
      <c r="CY152" s="564"/>
      <c r="CZ152" s="568"/>
      <c r="DA152" s="563"/>
      <c r="DB152" s="564"/>
      <c r="DC152" s="564"/>
      <c r="DD152" s="564"/>
      <c r="DE152" s="564"/>
      <c r="DF152" s="564"/>
      <c r="DG152" s="564"/>
      <c r="DH152" s="564"/>
      <c r="DI152" s="564"/>
      <c r="DJ152" s="564"/>
      <c r="DK152" s="564"/>
      <c r="DL152" s="564"/>
      <c r="DM152" s="564"/>
      <c r="DN152" s="564"/>
      <c r="DO152" s="564"/>
      <c r="DP152" s="564"/>
      <c r="DQ152" s="564"/>
      <c r="DR152" s="564"/>
      <c r="DS152" s="569"/>
      <c r="DT152" s="564"/>
      <c r="DU152" s="569"/>
      <c r="DV152" s="568"/>
      <c r="DW152" s="563"/>
      <c r="DX152" s="564"/>
      <c r="DY152" s="564"/>
      <c r="DZ152" s="564"/>
      <c r="EA152" s="564"/>
      <c r="EB152" s="564"/>
      <c r="EC152" s="564"/>
      <c r="ED152" s="564"/>
      <c r="EE152" s="564"/>
      <c r="EF152" s="564"/>
      <c r="EG152" s="564"/>
      <c r="EH152" s="564"/>
      <c r="EI152" s="564"/>
      <c r="EJ152" s="564"/>
      <c r="EK152" s="564"/>
      <c r="EL152" s="564"/>
      <c r="EM152" s="564"/>
      <c r="EN152" s="564"/>
      <c r="EO152" s="564"/>
      <c r="EP152" s="564"/>
      <c r="EQ152" s="564"/>
      <c r="ER152" s="564"/>
      <c r="ES152" s="564"/>
      <c r="ET152" s="564"/>
      <c r="EU152" s="564"/>
      <c r="EV152" s="564"/>
      <c r="EW152" s="564"/>
      <c r="EX152" s="564"/>
      <c r="EY152" s="564"/>
      <c r="EZ152" s="239"/>
      <c r="FA152" s="564"/>
      <c r="FB152" s="564"/>
      <c r="FC152" s="564"/>
      <c r="FD152" s="564"/>
      <c r="FE152" s="564"/>
      <c r="FF152" s="564"/>
      <c r="FG152" s="564"/>
      <c r="FH152" s="564"/>
      <c r="FI152" s="564"/>
      <c r="FJ152" s="564"/>
      <c r="FK152" s="564"/>
      <c r="FL152" s="564"/>
      <c r="FM152" s="564"/>
      <c r="FN152" s="569"/>
      <c r="FO152" s="564"/>
      <c r="FP152" s="564"/>
      <c r="FQ152" s="564"/>
      <c r="FR152" s="564"/>
      <c r="FS152" s="564"/>
      <c r="FT152" s="564"/>
      <c r="FU152" s="564"/>
      <c r="FV152" s="564"/>
      <c r="FW152" s="564"/>
      <c r="FX152" s="564"/>
      <c r="FY152" s="564"/>
      <c r="FZ152" s="564"/>
      <c r="GA152" s="564"/>
      <c r="GB152" s="564"/>
      <c r="GC152" s="564"/>
      <c r="GD152" s="564"/>
      <c r="GE152" s="564"/>
      <c r="GF152" s="564"/>
      <c r="GG152" s="564"/>
      <c r="GH152" s="564"/>
      <c r="GI152" s="564"/>
      <c r="GJ152" s="564"/>
      <c r="GK152" s="564"/>
      <c r="GL152" s="564"/>
      <c r="GM152" s="564"/>
      <c r="GN152" s="564"/>
      <c r="GO152" s="564"/>
      <c r="GP152" s="564"/>
      <c r="GQ152" s="564"/>
      <c r="GR152" s="564"/>
      <c r="GS152" s="564"/>
      <c r="GT152" s="564"/>
      <c r="GU152" s="564"/>
      <c r="GV152" s="569"/>
      <c r="GW152" s="564"/>
      <c r="GX152" s="564"/>
      <c r="GY152" s="564"/>
      <c r="GZ152" s="564"/>
      <c r="HA152" s="564"/>
      <c r="HB152" s="564"/>
      <c r="HC152" s="564"/>
      <c r="HD152" s="564"/>
      <c r="HE152" s="564"/>
      <c r="HF152" s="564"/>
      <c r="HG152" s="564"/>
      <c r="HH152" s="564"/>
      <c r="HI152" s="564"/>
      <c r="HJ152" s="564"/>
      <c r="HK152" s="569"/>
      <c r="HL152" s="564" t="s">
        <v>35877</v>
      </c>
      <c r="HM152" s="564" t="s">
        <v>7</v>
      </c>
      <c r="HN152" s="564" t="s">
        <v>35878</v>
      </c>
      <c r="HO152" s="564" t="s">
        <v>16</v>
      </c>
      <c r="HP152" s="564" t="s">
        <v>35879</v>
      </c>
      <c r="HQ152" s="564" t="s">
        <v>35880</v>
      </c>
      <c r="HR152" s="564" t="s">
        <v>35881</v>
      </c>
      <c r="HS152" s="564" t="s">
        <v>35882</v>
      </c>
      <c r="HT152" s="568" t="s">
        <v>35874</v>
      </c>
    </row>
    <row r="153" spans="1:228" ht="30.2" customHeight="1" x14ac:dyDescent="0.25">
      <c r="A153" s="759"/>
      <c r="B153" s="563">
        <v>35</v>
      </c>
      <c r="C153" s="563" t="s">
        <v>18309</v>
      </c>
      <c r="D153" s="564" t="s">
        <v>33582</v>
      </c>
      <c r="E153" s="564" t="s">
        <v>33725</v>
      </c>
      <c r="F153" s="564" t="s">
        <v>7</v>
      </c>
      <c r="G153" s="564" t="s">
        <v>33748</v>
      </c>
      <c r="H153" s="564">
        <v>1096.506592</v>
      </c>
      <c r="I153" s="564">
        <v>3.2160000000000002</v>
      </c>
      <c r="J153" s="564" t="s">
        <v>29319</v>
      </c>
      <c r="K153" s="564" t="s">
        <v>4</v>
      </c>
      <c r="L153" s="564" t="s">
        <v>33749</v>
      </c>
      <c r="M153" s="564">
        <v>772660760</v>
      </c>
      <c r="N153" s="564" t="s">
        <v>5</v>
      </c>
      <c r="O153" s="564" t="s">
        <v>31598</v>
      </c>
      <c r="P153" s="564" t="s">
        <v>4</v>
      </c>
      <c r="Q153" s="564">
        <v>5</v>
      </c>
      <c r="R153" s="564" t="s">
        <v>7</v>
      </c>
      <c r="S153" s="564" t="s">
        <v>31549</v>
      </c>
      <c r="T153" s="564" t="s">
        <v>4</v>
      </c>
      <c r="U153" s="564" t="s">
        <v>2</v>
      </c>
      <c r="V153" s="564" t="s">
        <v>4</v>
      </c>
      <c r="W153" s="564" t="s">
        <v>4</v>
      </c>
      <c r="X153" s="564" t="s">
        <v>4</v>
      </c>
      <c r="Y153" s="564" t="s">
        <v>4</v>
      </c>
      <c r="Z153" s="565">
        <v>45343</v>
      </c>
      <c r="AA153" s="557" t="str">
        <f>IF(OR(U153="yes",Z153&gt;'SDG outcome'!$C$39),"yes","no")</f>
        <v>no</v>
      </c>
      <c r="AB153" s="565" t="str">
        <f t="shared" si="6"/>
        <v/>
      </c>
      <c r="AC153" s="566" t="str">
        <f>IF(AND('SMS p2'!AA47="no",AND(Z153&gt;='SDG outcome'!$B$28,Z153&lt;'SDG outcome'!$C$39)),Z153-'SDG outcome'!$B$28,"")</f>
        <v/>
      </c>
      <c r="AD153" s="564" t="s">
        <v>31572</v>
      </c>
      <c r="AE153" s="564" t="s">
        <v>4</v>
      </c>
      <c r="AF153" s="564" t="s">
        <v>2</v>
      </c>
      <c r="AG153" s="564" t="s">
        <v>4</v>
      </c>
      <c r="AH153" s="564" t="s">
        <v>33750</v>
      </c>
      <c r="AI153" s="564" t="s">
        <v>7</v>
      </c>
      <c r="AJ153" s="564" t="s">
        <v>33539</v>
      </c>
      <c r="AK153" s="564" t="s">
        <v>4</v>
      </c>
      <c r="AL153" s="564"/>
      <c r="AM153" s="564"/>
      <c r="AN153" s="564"/>
      <c r="AO153" s="564"/>
      <c r="AP153" s="564"/>
      <c r="AQ153" s="564"/>
      <c r="AR153" s="564"/>
      <c r="AS153" s="564"/>
      <c r="AT153" s="564"/>
      <c r="AU153" s="564"/>
      <c r="AV153" s="564"/>
      <c r="AW153" s="564"/>
      <c r="AX153" s="564"/>
      <c r="AY153" s="564"/>
      <c r="AZ153" s="564"/>
      <c r="BA153" s="564"/>
      <c r="BB153" s="564"/>
      <c r="BC153" s="564"/>
      <c r="BD153" s="564"/>
      <c r="BE153" s="564"/>
      <c r="BF153" s="564"/>
      <c r="BG153" s="564"/>
      <c r="BH153" s="564"/>
      <c r="BI153" s="564"/>
      <c r="BJ153" s="564"/>
      <c r="BK153" s="564"/>
      <c r="BL153" s="564"/>
      <c r="BM153" s="564"/>
      <c r="BN153" s="564"/>
      <c r="BO153" s="564"/>
      <c r="BP153" s="564"/>
      <c r="BQ153" s="564"/>
      <c r="BR153" s="567"/>
      <c r="BS153" s="564"/>
      <c r="BT153" s="564"/>
      <c r="BU153" s="564"/>
      <c r="BV153" s="564"/>
      <c r="BW153" s="567"/>
      <c r="BX153" s="564"/>
      <c r="BY153" s="564"/>
      <c r="BZ153" s="564"/>
      <c r="CA153" s="564"/>
      <c r="CB153" s="564"/>
      <c r="CC153" s="564"/>
      <c r="CD153" s="564"/>
      <c r="CE153" s="564"/>
      <c r="CF153" s="564"/>
      <c r="CG153" s="564"/>
      <c r="CH153" s="564"/>
      <c r="CI153" s="564"/>
      <c r="CJ153" s="564"/>
      <c r="CK153" s="564"/>
      <c r="CL153" s="564"/>
      <c r="CM153" s="564"/>
      <c r="CN153" s="564"/>
      <c r="CO153" s="564"/>
      <c r="CP153" s="564"/>
      <c r="CQ153" s="564"/>
      <c r="CR153" s="564"/>
      <c r="CS153" s="564"/>
      <c r="CT153" s="568"/>
      <c r="CU153" s="563"/>
      <c r="CV153" s="564"/>
      <c r="CW153" s="568"/>
      <c r="CX153" s="563"/>
      <c r="CY153" s="564"/>
      <c r="CZ153" s="568"/>
      <c r="DA153" s="563"/>
      <c r="DB153" s="564"/>
      <c r="DC153" s="564"/>
      <c r="DD153" s="564"/>
      <c r="DE153" s="564"/>
      <c r="DF153" s="564"/>
      <c r="DG153" s="564"/>
      <c r="DH153" s="564"/>
      <c r="DI153" s="564"/>
      <c r="DJ153" s="564"/>
      <c r="DK153" s="564"/>
      <c r="DL153" s="564"/>
      <c r="DM153" s="564"/>
      <c r="DN153" s="564"/>
      <c r="DO153" s="564"/>
      <c r="DP153" s="564"/>
      <c r="DQ153" s="564"/>
      <c r="DR153" s="564"/>
      <c r="DS153" s="569"/>
      <c r="DT153" s="564"/>
      <c r="DU153" s="569"/>
      <c r="DV153" s="568"/>
      <c r="DW153" s="563"/>
      <c r="DX153" s="564"/>
      <c r="DY153" s="564"/>
      <c r="DZ153" s="564"/>
      <c r="EA153" s="564"/>
      <c r="EB153" s="564"/>
      <c r="EC153" s="564"/>
      <c r="ED153" s="564"/>
      <c r="EE153" s="564"/>
      <c r="EF153" s="564"/>
      <c r="EG153" s="564"/>
      <c r="EH153" s="564"/>
      <c r="EI153" s="564"/>
      <c r="EJ153" s="564"/>
      <c r="EK153" s="564"/>
      <c r="EL153" s="564"/>
      <c r="EM153" s="564"/>
      <c r="EN153" s="564"/>
      <c r="EO153" s="564"/>
      <c r="EP153" s="564"/>
      <c r="EQ153" s="564"/>
      <c r="ER153" s="564"/>
      <c r="ES153" s="564"/>
      <c r="ET153" s="564"/>
      <c r="EU153" s="564"/>
      <c r="EV153" s="564"/>
      <c r="EW153" s="564"/>
      <c r="EX153" s="564"/>
      <c r="EY153" s="564"/>
      <c r="EZ153" s="239"/>
      <c r="FA153" s="564"/>
      <c r="FB153" s="564"/>
      <c r="FC153" s="564"/>
      <c r="FD153" s="564"/>
      <c r="FE153" s="564"/>
      <c r="FF153" s="564"/>
      <c r="FG153" s="564"/>
      <c r="FH153" s="564"/>
      <c r="FI153" s="564"/>
      <c r="FJ153" s="564"/>
      <c r="FK153" s="564"/>
      <c r="FL153" s="564"/>
      <c r="FM153" s="564"/>
      <c r="FN153" s="569"/>
      <c r="FO153" s="564"/>
      <c r="FP153" s="564"/>
      <c r="FQ153" s="564"/>
      <c r="FR153" s="564"/>
      <c r="FS153" s="564"/>
      <c r="FT153" s="564"/>
      <c r="FU153" s="564"/>
      <c r="FV153" s="564"/>
      <c r="FW153" s="564"/>
      <c r="FX153" s="564"/>
      <c r="FY153" s="564"/>
      <c r="FZ153" s="564"/>
      <c r="GA153" s="564"/>
      <c r="GB153" s="564"/>
      <c r="GC153" s="564"/>
      <c r="GD153" s="564"/>
      <c r="GE153" s="564"/>
      <c r="GF153" s="564"/>
      <c r="GG153" s="564"/>
      <c r="GH153" s="564"/>
      <c r="GI153" s="564"/>
      <c r="GJ153" s="564"/>
      <c r="GK153" s="564"/>
      <c r="GL153" s="564"/>
      <c r="GM153" s="564"/>
      <c r="GN153" s="564"/>
      <c r="GO153" s="564"/>
      <c r="GP153" s="564"/>
      <c r="GQ153" s="564"/>
      <c r="GR153" s="564"/>
      <c r="GS153" s="564"/>
      <c r="GT153" s="564"/>
      <c r="GU153" s="564"/>
      <c r="GV153" s="569"/>
      <c r="GW153" s="564"/>
      <c r="GX153" s="564"/>
      <c r="GY153" s="564"/>
      <c r="GZ153" s="564"/>
      <c r="HA153" s="564"/>
      <c r="HB153" s="564"/>
      <c r="HC153" s="564"/>
      <c r="HD153" s="564"/>
      <c r="HE153" s="564"/>
      <c r="HF153" s="564"/>
      <c r="HG153" s="564"/>
      <c r="HH153" s="564"/>
      <c r="HI153" s="564"/>
      <c r="HJ153" s="564"/>
      <c r="HK153" s="569"/>
      <c r="HL153" s="564" t="s">
        <v>33751</v>
      </c>
      <c r="HM153" s="564" t="s">
        <v>7</v>
      </c>
      <c r="HN153" s="564" t="s">
        <v>33752</v>
      </c>
      <c r="HO153" s="564" t="s">
        <v>16</v>
      </c>
      <c r="HP153" s="564" t="s">
        <v>33753</v>
      </c>
      <c r="HQ153" s="564" t="s">
        <v>33754</v>
      </c>
      <c r="HR153" s="564" t="s">
        <v>33755</v>
      </c>
      <c r="HS153" s="564" t="s">
        <v>16</v>
      </c>
      <c r="HT153" s="568" t="s">
        <v>33582</v>
      </c>
    </row>
    <row r="154" spans="1:228" ht="30.2" customHeight="1" x14ac:dyDescent="0.25">
      <c r="A154" s="759"/>
      <c r="B154" s="563">
        <v>2</v>
      </c>
      <c r="C154" s="563" t="s">
        <v>18851</v>
      </c>
      <c r="D154" s="564" t="s">
        <v>33347</v>
      </c>
      <c r="E154" s="564" t="s">
        <v>29286</v>
      </c>
      <c r="F154" s="564" t="s">
        <v>7</v>
      </c>
      <c r="G154" s="564" t="s">
        <v>33348</v>
      </c>
      <c r="H154" s="564">
        <v>992.48</v>
      </c>
      <c r="I154" s="564">
        <v>1.2520039999999999</v>
      </c>
      <c r="J154" s="564" t="s">
        <v>29319</v>
      </c>
      <c r="K154" s="564" t="s">
        <v>4</v>
      </c>
      <c r="L154" s="564" t="s">
        <v>33349</v>
      </c>
      <c r="M154" s="564">
        <v>773235870</v>
      </c>
      <c r="N154" s="564" t="s">
        <v>5</v>
      </c>
      <c r="O154" s="564" t="s">
        <v>31598</v>
      </c>
      <c r="P154" s="564" t="s">
        <v>4</v>
      </c>
      <c r="Q154" s="564">
        <v>7</v>
      </c>
      <c r="R154" s="564" t="s">
        <v>7</v>
      </c>
      <c r="S154" s="564" t="s">
        <v>31549</v>
      </c>
      <c r="T154" s="564" t="s">
        <v>4</v>
      </c>
      <c r="U154" s="564" t="s">
        <v>2</v>
      </c>
      <c r="V154" s="564" t="s">
        <v>4</v>
      </c>
      <c r="W154" s="564" t="s">
        <v>4</v>
      </c>
      <c r="X154" s="564" t="s">
        <v>4</v>
      </c>
      <c r="Y154" s="564" t="s">
        <v>4</v>
      </c>
      <c r="Z154" s="565">
        <v>44365</v>
      </c>
      <c r="AA154" s="557" t="str">
        <f>IF(OR(U154="yes",Z154&gt;'SDG outcome'!$C$39),"yes","no")</f>
        <v>no</v>
      </c>
      <c r="AB154" s="558" t="str">
        <f t="shared" si="6"/>
        <v/>
      </c>
      <c r="AC154" s="572" t="str">
        <f>IF(AND('SMS p2'!AA14="no",AND(Z154&gt;='SDG outcome'!$B$28,Z154&lt;'SDG outcome'!$C$39)),Z154-'SDG outcome'!$B$28,"")</f>
        <v/>
      </c>
      <c r="AD154" s="564" t="s">
        <v>31685</v>
      </c>
      <c r="AE154" s="564" t="s">
        <v>4</v>
      </c>
      <c r="AF154" s="564" t="s">
        <v>4</v>
      </c>
      <c r="AG154" s="564" t="s">
        <v>4</v>
      </c>
      <c r="AH154" s="564" t="s">
        <v>4</v>
      </c>
      <c r="AI154" s="564" t="s">
        <v>4</v>
      </c>
      <c r="AJ154" s="564" t="s">
        <v>4</v>
      </c>
      <c r="AK154" s="564" t="s">
        <v>4</v>
      </c>
      <c r="AL154" s="564"/>
      <c r="AM154" s="564"/>
      <c r="AN154" s="564"/>
      <c r="AO154" s="564"/>
      <c r="AP154" s="564"/>
      <c r="AQ154" s="564"/>
      <c r="AR154" s="564"/>
      <c r="AS154" s="564"/>
      <c r="AT154" s="564"/>
      <c r="AU154" s="564"/>
      <c r="AV154" s="564"/>
      <c r="AW154" s="564"/>
      <c r="AX154" s="564"/>
      <c r="AY154" s="564"/>
      <c r="AZ154" s="564"/>
      <c r="BA154" s="564"/>
      <c r="BB154" s="564"/>
      <c r="BC154" s="564"/>
      <c r="BD154" s="564"/>
      <c r="BE154" s="564"/>
      <c r="BF154" s="564"/>
      <c r="BG154" s="564"/>
      <c r="BH154" s="564"/>
      <c r="BI154" s="564"/>
      <c r="BJ154" s="564"/>
      <c r="BK154" s="564"/>
      <c r="BL154" s="564"/>
      <c r="BM154" s="564"/>
      <c r="BN154" s="564"/>
      <c r="BO154" s="564"/>
      <c r="BP154" s="564"/>
      <c r="BQ154" s="564"/>
      <c r="BR154" s="567"/>
      <c r="BS154" s="564"/>
      <c r="BT154" s="564"/>
      <c r="BU154" s="564"/>
      <c r="BV154" s="564"/>
      <c r="BW154" s="567"/>
      <c r="BX154" s="564"/>
      <c r="BY154" s="564"/>
      <c r="BZ154" s="564"/>
      <c r="CA154" s="564"/>
      <c r="CB154" s="564"/>
      <c r="CC154" s="564"/>
      <c r="CD154" s="564"/>
      <c r="CE154" s="564"/>
      <c r="CF154" s="564"/>
      <c r="CG154" s="564"/>
      <c r="CH154" s="564"/>
      <c r="CI154" s="564"/>
      <c r="CJ154" s="564"/>
      <c r="CK154" s="564"/>
      <c r="CL154" s="564"/>
      <c r="CM154" s="564"/>
      <c r="CN154" s="564"/>
      <c r="CO154" s="564"/>
      <c r="CP154" s="564"/>
      <c r="CQ154" s="564"/>
      <c r="CR154" s="556"/>
      <c r="CS154" s="564"/>
      <c r="CT154" s="568"/>
      <c r="CU154" s="563"/>
      <c r="CV154" s="564"/>
      <c r="CW154" s="568"/>
      <c r="CX154" s="563"/>
      <c r="CY154" s="564"/>
      <c r="CZ154" s="568"/>
      <c r="DA154" s="563"/>
      <c r="DB154" s="564"/>
      <c r="DC154" s="564"/>
      <c r="DD154" s="564"/>
      <c r="DE154" s="564"/>
      <c r="DF154" s="564"/>
      <c r="DG154" s="564"/>
      <c r="DH154" s="564"/>
      <c r="DI154" s="564"/>
      <c r="DJ154" s="564"/>
      <c r="DK154" s="564"/>
      <c r="DL154" s="564"/>
      <c r="DM154" s="564"/>
      <c r="DN154" s="564"/>
      <c r="DO154" s="564"/>
      <c r="DP154" s="564"/>
      <c r="DQ154" s="564"/>
      <c r="DR154" s="564"/>
      <c r="DS154" s="569"/>
      <c r="DT154" s="564"/>
      <c r="DU154" s="569"/>
      <c r="DV154" s="568"/>
      <c r="DW154" s="563"/>
      <c r="DX154" s="564"/>
      <c r="DY154" s="564"/>
      <c r="DZ154" s="564"/>
      <c r="EA154" s="564"/>
      <c r="EB154" s="564"/>
      <c r="EC154" s="564"/>
      <c r="ED154" s="564"/>
      <c r="EE154" s="564"/>
      <c r="EF154" s="564"/>
      <c r="EG154" s="564"/>
      <c r="EH154" s="564"/>
      <c r="EI154" s="564"/>
      <c r="EJ154" s="564"/>
      <c r="EK154" s="564"/>
      <c r="EL154" s="564"/>
      <c r="EM154" s="564"/>
      <c r="EN154" s="564"/>
      <c r="EO154" s="564"/>
      <c r="EP154" s="564"/>
      <c r="EQ154" s="564"/>
      <c r="ER154" s="564"/>
      <c r="ES154" s="564"/>
      <c r="ET154" s="564"/>
      <c r="EU154" s="564"/>
      <c r="EV154" s="564"/>
      <c r="EW154" s="564"/>
      <c r="EX154" s="564"/>
      <c r="EY154" s="564"/>
      <c r="EZ154" s="239"/>
      <c r="FA154" s="564"/>
      <c r="FB154" s="564"/>
      <c r="FC154" s="564"/>
      <c r="FD154" s="564"/>
      <c r="FE154" s="564"/>
      <c r="FF154" s="564"/>
      <c r="FG154" s="564"/>
      <c r="FH154" s="564"/>
      <c r="FI154" s="564"/>
      <c r="FJ154" s="564"/>
      <c r="FK154" s="564"/>
      <c r="FL154" s="564"/>
      <c r="FM154" s="564"/>
      <c r="FN154" s="569"/>
      <c r="FO154" s="564"/>
      <c r="FP154" s="564"/>
      <c r="FQ154" s="564"/>
      <c r="FR154" s="564"/>
      <c r="FS154" s="564"/>
      <c r="FT154" s="564"/>
      <c r="FU154" s="564"/>
      <c r="FV154" s="564"/>
      <c r="FW154" s="564"/>
      <c r="FX154" s="564"/>
      <c r="FY154" s="564"/>
      <c r="FZ154" s="564"/>
      <c r="GA154" s="564"/>
      <c r="GB154" s="564"/>
      <c r="GC154" s="564"/>
      <c r="GD154" s="564"/>
      <c r="GE154" s="564"/>
      <c r="GF154" s="564"/>
      <c r="GG154" s="564"/>
      <c r="GH154" s="564"/>
      <c r="GI154" s="564"/>
      <c r="GJ154" s="564"/>
      <c r="GK154" s="564"/>
      <c r="GL154" s="564"/>
      <c r="GM154" s="564"/>
      <c r="GN154" s="564"/>
      <c r="GO154" s="564"/>
      <c r="GP154" s="564"/>
      <c r="GQ154" s="564"/>
      <c r="GR154" s="564"/>
      <c r="GS154" s="564"/>
      <c r="GT154" s="564"/>
      <c r="GU154" s="564"/>
      <c r="GV154" s="569"/>
      <c r="GW154" s="564"/>
      <c r="GX154" s="564"/>
      <c r="GY154" s="564"/>
      <c r="GZ154" s="564"/>
      <c r="HA154" s="564"/>
      <c r="HB154" s="564"/>
      <c r="HC154" s="564"/>
      <c r="HD154" s="564"/>
      <c r="HE154" s="564"/>
      <c r="HF154" s="564"/>
      <c r="HG154" s="564"/>
      <c r="HH154" s="564"/>
      <c r="HI154" s="564"/>
      <c r="HJ154" s="564"/>
      <c r="HK154" s="569"/>
      <c r="HL154" s="564" t="s">
        <v>33350</v>
      </c>
      <c r="HM154" s="564" t="s">
        <v>7</v>
      </c>
      <c r="HN154" s="564" t="s">
        <v>33351</v>
      </c>
      <c r="HO154" s="564" t="s">
        <v>33352</v>
      </c>
      <c r="HP154" s="564" t="s">
        <v>33353</v>
      </c>
      <c r="HQ154" s="564" t="s">
        <v>33354</v>
      </c>
      <c r="HR154" s="564" t="s">
        <v>33355</v>
      </c>
      <c r="HS154" s="564" t="s">
        <v>33356</v>
      </c>
      <c r="HT154" s="568" t="s">
        <v>33347</v>
      </c>
    </row>
    <row r="155" spans="1:228" ht="30.2" customHeight="1" x14ac:dyDescent="0.25">
      <c r="A155" s="759"/>
      <c r="B155" s="563">
        <v>36</v>
      </c>
      <c r="C155" s="563" t="s">
        <v>18333</v>
      </c>
      <c r="D155" s="564" t="s">
        <v>33756</v>
      </c>
      <c r="E155" s="564" t="s">
        <v>33725</v>
      </c>
      <c r="F155" s="564" t="s">
        <v>7</v>
      </c>
      <c r="G155" s="564" t="s">
        <v>33757</v>
      </c>
      <c r="H155" s="564">
        <v>1081.0893550000001</v>
      </c>
      <c r="I155" s="564">
        <v>4.2880000000000003</v>
      </c>
      <c r="J155" s="564" t="s">
        <v>29319</v>
      </c>
      <c r="K155" s="564" t="s">
        <v>4</v>
      </c>
      <c r="L155" s="564" t="s">
        <v>33758</v>
      </c>
      <c r="M155" s="564">
        <v>772907056</v>
      </c>
      <c r="N155" s="564" t="s">
        <v>5</v>
      </c>
      <c r="O155" s="564" t="s">
        <v>31598</v>
      </c>
      <c r="P155" s="564" t="s">
        <v>4</v>
      </c>
      <c r="Q155" s="564">
        <v>6</v>
      </c>
      <c r="R155" s="564" t="s">
        <v>7</v>
      </c>
      <c r="S155" s="564" t="s">
        <v>31588</v>
      </c>
      <c r="T155" s="564" t="s">
        <v>4</v>
      </c>
      <c r="U155" s="564" t="s">
        <v>2</v>
      </c>
      <c r="V155" s="564" t="s">
        <v>4</v>
      </c>
      <c r="W155" s="564" t="s">
        <v>4</v>
      </c>
      <c r="X155" s="564" t="s">
        <v>4</v>
      </c>
      <c r="Y155" s="564" t="s">
        <v>4</v>
      </c>
      <c r="Z155" s="565">
        <v>43831</v>
      </c>
      <c r="AA155" s="557" t="str">
        <f>IF(OR(U155="yes",Z155&gt;'SDG outcome'!$C$39),"yes","no")</f>
        <v>no</v>
      </c>
      <c r="AB155" s="565" t="str">
        <f t="shared" si="6"/>
        <v/>
      </c>
      <c r="AC155" s="566" t="str">
        <f>IF(AND('SMS p2'!AA48="no",AND(Z155&gt;='SDG outcome'!$B$28,Z155&lt;'SDG outcome'!$C$39)),Z155-'SDG outcome'!$B$28,"")</f>
        <v/>
      </c>
      <c r="AD155" s="564" t="s">
        <v>31685</v>
      </c>
      <c r="AE155" s="564" t="s">
        <v>4</v>
      </c>
      <c r="AF155" s="564" t="s">
        <v>4</v>
      </c>
      <c r="AG155" s="564" t="s">
        <v>4</v>
      </c>
      <c r="AH155" s="564" t="s">
        <v>4</v>
      </c>
      <c r="AI155" s="564" t="s">
        <v>4</v>
      </c>
      <c r="AJ155" s="564" t="s">
        <v>4</v>
      </c>
      <c r="AK155" s="564" t="s">
        <v>4</v>
      </c>
      <c r="AL155" s="564"/>
      <c r="AM155" s="564"/>
      <c r="AN155" s="564"/>
      <c r="AO155" s="564"/>
      <c r="AP155" s="564"/>
      <c r="AQ155" s="564"/>
      <c r="AR155" s="564"/>
      <c r="AS155" s="564"/>
      <c r="AT155" s="564"/>
      <c r="AU155" s="564"/>
      <c r="AV155" s="564"/>
      <c r="AW155" s="564"/>
      <c r="AX155" s="564"/>
      <c r="AY155" s="564"/>
      <c r="AZ155" s="564"/>
      <c r="BA155" s="564"/>
      <c r="BB155" s="564"/>
      <c r="BC155" s="564"/>
      <c r="BD155" s="564"/>
      <c r="BE155" s="564"/>
      <c r="BF155" s="564"/>
      <c r="BG155" s="564"/>
      <c r="BH155" s="564"/>
      <c r="BI155" s="564"/>
      <c r="BJ155" s="564"/>
      <c r="BK155" s="564"/>
      <c r="BL155" s="564"/>
      <c r="BM155" s="564"/>
      <c r="BN155" s="564"/>
      <c r="BO155" s="564"/>
      <c r="BP155" s="564"/>
      <c r="BQ155" s="564"/>
      <c r="BR155" s="567"/>
      <c r="BS155" s="564"/>
      <c r="BT155" s="564"/>
      <c r="BU155" s="564"/>
      <c r="BV155" s="564"/>
      <c r="BW155" s="567"/>
      <c r="BX155" s="564"/>
      <c r="BY155" s="564"/>
      <c r="BZ155" s="564"/>
      <c r="CA155" s="564"/>
      <c r="CB155" s="564"/>
      <c r="CC155" s="564"/>
      <c r="CD155" s="564"/>
      <c r="CE155" s="564"/>
      <c r="CF155" s="564"/>
      <c r="CG155" s="564"/>
      <c r="CH155" s="564"/>
      <c r="CI155" s="564"/>
      <c r="CJ155" s="564"/>
      <c r="CK155" s="564"/>
      <c r="CL155" s="564"/>
      <c r="CM155" s="564"/>
      <c r="CN155" s="564"/>
      <c r="CO155" s="564"/>
      <c r="CP155" s="564"/>
      <c r="CQ155" s="564"/>
      <c r="CR155" s="564"/>
      <c r="CS155" s="564"/>
      <c r="CT155" s="568"/>
      <c r="CU155" s="563"/>
      <c r="CV155" s="564"/>
      <c r="CW155" s="568"/>
      <c r="CX155" s="563"/>
      <c r="CY155" s="564"/>
      <c r="CZ155" s="568"/>
      <c r="DA155" s="563"/>
      <c r="DB155" s="564"/>
      <c r="DC155" s="564"/>
      <c r="DD155" s="564"/>
      <c r="DE155" s="564"/>
      <c r="DF155" s="564"/>
      <c r="DG155" s="564"/>
      <c r="DH155" s="564"/>
      <c r="DI155" s="564"/>
      <c r="DJ155" s="564"/>
      <c r="DK155" s="564"/>
      <c r="DL155" s="564"/>
      <c r="DM155" s="564"/>
      <c r="DN155" s="564"/>
      <c r="DO155" s="564"/>
      <c r="DP155" s="564"/>
      <c r="DQ155" s="564"/>
      <c r="DR155" s="564"/>
      <c r="DS155" s="569"/>
      <c r="DT155" s="564"/>
      <c r="DU155" s="569"/>
      <c r="DV155" s="568"/>
      <c r="DW155" s="563"/>
      <c r="DX155" s="564"/>
      <c r="DY155" s="564"/>
      <c r="DZ155" s="564"/>
      <c r="EA155" s="564"/>
      <c r="EB155" s="564"/>
      <c r="EC155" s="564"/>
      <c r="ED155" s="564"/>
      <c r="EE155" s="564"/>
      <c r="EF155" s="564"/>
      <c r="EG155" s="564"/>
      <c r="EH155" s="564"/>
      <c r="EI155" s="564"/>
      <c r="EJ155" s="564"/>
      <c r="EK155" s="564"/>
      <c r="EL155" s="564"/>
      <c r="EM155" s="564"/>
      <c r="EN155" s="564"/>
      <c r="EO155" s="564"/>
      <c r="EP155" s="564"/>
      <c r="EQ155" s="564"/>
      <c r="ER155" s="564"/>
      <c r="ES155" s="564"/>
      <c r="ET155" s="564"/>
      <c r="EU155" s="564"/>
      <c r="EV155" s="564"/>
      <c r="EW155" s="564"/>
      <c r="EX155" s="564"/>
      <c r="EY155" s="564"/>
      <c r="EZ155" s="239"/>
      <c r="FA155" s="564"/>
      <c r="FB155" s="564"/>
      <c r="FC155" s="564"/>
      <c r="FD155" s="564"/>
      <c r="FE155" s="564"/>
      <c r="FF155" s="564"/>
      <c r="FG155" s="564"/>
      <c r="FH155" s="564"/>
      <c r="FI155" s="564"/>
      <c r="FJ155" s="564"/>
      <c r="FK155" s="564"/>
      <c r="FL155" s="564"/>
      <c r="FM155" s="564"/>
      <c r="FN155" s="569"/>
      <c r="FO155" s="564"/>
      <c r="FP155" s="564"/>
      <c r="FQ155" s="564"/>
      <c r="FR155" s="564"/>
      <c r="FS155" s="564"/>
      <c r="FT155" s="564"/>
      <c r="FU155" s="564"/>
      <c r="FV155" s="564"/>
      <c r="FW155" s="564"/>
      <c r="FX155" s="564"/>
      <c r="FY155" s="564"/>
      <c r="FZ155" s="564"/>
      <c r="GA155" s="564"/>
      <c r="GB155" s="564"/>
      <c r="GC155" s="564"/>
      <c r="GD155" s="564"/>
      <c r="GE155" s="564"/>
      <c r="GF155" s="564"/>
      <c r="GG155" s="564"/>
      <c r="GH155" s="564"/>
      <c r="GI155" s="564"/>
      <c r="GJ155" s="564"/>
      <c r="GK155" s="564"/>
      <c r="GL155" s="564"/>
      <c r="GM155" s="564"/>
      <c r="GN155" s="564"/>
      <c r="GO155" s="564"/>
      <c r="GP155" s="564"/>
      <c r="GQ155" s="564"/>
      <c r="GR155" s="564"/>
      <c r="GS155" s="564"/>
      <c r="GT155" s="564"/>
      <c r="GU155" s="564"/>
      <c r="GV155" s="569"/>
      <c r="GW155" s="564"/>
      <c r="GX155" s="564"/>
      <c r="GY155" s="564"/>
      <c r="GZ155" s="564"/>
      <c r="HA155" s="564"/>
      <c r="HB155" s="564"/>
      <c r="HC155" s="564"/>
      <c r="HD155" s="564"/>
      <c r="HE155" s="564"/>
      <c r="HF155" s="564"/>
      <c r="HG155" s="564"/>
      <c r="HH155" s="564"/>
      <c r="HI155" s="564"/>
      <c r="HJ155" s="564"/>
      <c r="HK155" s="569"/>
      <c r="HL155" s="564" t="s">
        <v>33759</v>
      </c>
      <c r="HM155" s="564" t="s">
        <v>7</v>
      </c>
      <c r="HN155" s="564" t="s">
        <v>33760</v>
      </c>
      <c r="HO155" s="564" t="s">
        <v>33761</v>
      </c>
      <c r="HP155" s="564" t="s">
        <v>33762</v>
      </c>
      <c r="HQ155" s="564" t="s">
        <v>33763</v>
      </c>
      <c r="HR155" s="564" t="s">
        <v>33764</v>
      </c>
      <c r="HS155" s="564" t="s">
        <v>16</v>
      </c>
      <c r="HT155" s="568" t="s">
        <v>33756</v>
      </c>
    </row>
    <row r="156" spans="1:228" ht="30.2" customHeight="1" x14ac:dyDescent="0.25">
      <c r="A156" s="759"/>
      <c r="B156" s="563">
        <v>77</v>
      </c>
      <c r="C156" s="563" t="s">
        <v>2934</v>
      </c>
      <c r="D156" s="564" t="s">
        <v>34250</v>
      </c>
      <c r="E156" s="564" t="s">
        <v>30002</v>
      </c>
      <c r="F156" s="564" t="s">
        <v>7</v>
      </c>
      <c r="G156" s="564" t="s">
        <v>34251</v>
      </c>
      <c r="H156" s="564">
        <v>1131.0999999999999</v>
      </c>
      <c r="I156" s="564">
        <v>4.7</v>
      </c>
      <c r="J156" s="564" t="s">
        <v>29389</v>
      </c>
      <c r="K156" s="564" t="s">
        <v>22</v>
      </c>
      <c r="L156" s="564" t="s">
        <v>34252</v>
      </c>
      <c r="M156" s="564">
        <v>772342465</v>
      </c>
      <c r="N156" s="564" t="s">
        <v>3</v>
      </c>
      <c r="O156" s="564" t="s">
        <v>31438</v>
      </c>
      <c r="P156" s="564">
        <v>62</v>
      </c>
      <c r="Q156" s="564">
        <v>6</v>
      </c>
      <c r="R156" s="564" t="s">
        <v>7</v>
      </c>
      <c r="S156" s="564" t="s">
        <v>31588</v>
      </c>
      <c r="T156" s="564" t="s">
        <v>4</v>
      </c>
      <c r="U156" s="564" t="s">
        <v>2</v>
      </c>
      <c r="V156" s="564" t="s">
        <v>4</v>
      </c>
      <c r="W156" s="564" t="s">
        <v>4</v>
      </c>
      <c r="X156" s="564" t="s">
        <v>4</v>
      </c>
      <c r="Y156" s="564" t="s">
        <v>4</v>
      </c>
      <c r="Z156" s="565">
        <v>44470</v>
      </c>
      <c r="AA156" s="557" t="str">
        <f>IF(OR(U156="yes",Z156&gt;'SDG outcome'!$C$39),"yes","no")</f>
        <v>no</v>
      </c>
      <c r="AB156" s="565" t="str">
        <f t="shared" si="6"/>
        <v/>
      </c>
      <c r="AC156" s="566" t="str">
        <f>IF(AND('SMS p2'!AA89="no",AND(Z156&gt;='SDG outcome'!$B$28,Z156&lt;'SDG outcome'!$C$39)),Z156-'SDG outcome'!$B$28,"")</f>
        <v/>
      </c>
      <c r="AD156" s="564" t="s">
        <v>31685</v>
      </c>
      <c r="AE156" s="564" t="s">
        <v>4</v>
      </c>
      <c r="AF156" s="564" t="s">
        <v>4</v>
      </c>
      <c r="AG156" s="564" t="s">
        <v>4</v>
      </c>
      <c r="AH156" s="564" t="s">
        <v>4</v>
      </c>
      <c r="AI156" s="564" t="s">
        <v>4</v>
      </c>
      <c r="AJ156" s="564" t="s">
        <v>4</v>
      </c>
      <c r="AK156" s="564" t="s">
        <v>4</v>
      </c>
      <c r="AL156" s="564"/>
      <c r="AM156" s="564"/>
      <c r="AN156" s="564"/>
      <c r="AO156" s="564"/>
      <c r="AP156" s="564"/>
      <c r="AQ156" s="564"/>
      <c r="AR156" s="564"/>
      <c r="AS156" s="564"/>
      <c r="AT156" s="564"/>
      <c r="AU156" s="564"/>
      <c r="AV156" s="564"/>
      <c r="AW156" s="564"/>
      <c r="AX156" s="564"/>
      <c r="AY156" s="564"/>
      <c r="AZ156" s="564"/>
      <c r="BA156" s="564"/>
      <c r="BB156" s="564"/>
      <c r="BC156" s="564"/>
      <c r="BD156" s="564"/>
      <c r="BE156" s="564"/>
      <c r="BF156" s="564"/>
      <c r="BG156" s="564"/>
      <c r="BH156" s="564"/>
      <c r="BI156" s="564"/>
      <c r="BJ156" s="564"/>
      <c r="BK156" s="564"/>
      <c r="BL156" s="564"/>
      <c r="BM156" s="564"/>
      <c r="BN156" s="564"/>
      <c r="BO156" s="564"/>
      <c r="BP156" s="564"/>
      <c r="BQ156" s="564"/>
      <c r="BR156" s="567"/>
      <c r="BS156" s="564"/>
      <c r="BT156" s="564"/>
      <c r="BU156" s="564"/>
      <c r="BV156" s="564"/>
      <c r="BW156" s="567"/>
      <c r="BX156" s="564"/>
      <c r="BY156" s="564"/>
      <c r="BZ156" s="564"/>
      <c r="CA156" s="564"/>
      <c r="CB156" s="564"/>
      <c r="CC156" s="564"/>
      <c r="CD156" s="564"/>
      <c r="CE156" s="564"/>
      <c r="CF156" s="564"/>
      <c r="CG156" s="564"/>
      <c r="CH156" s="564"/>
      <c r="CI156" s="564"/>
      <c r="CJ156" s="564"/>
      <c r="CK156" s="564"/>
      <c r="CL156" s="564"/>
      <c r="CM156" s="564"/>
      <c r="CN156" s="564"/>
      <c r="CO156" s="564"/>
      <c r="CP156" s="564"/>
      <c r="CQ156" s="564"/>
      <c r="CR156" s="564"/>
      <c r="CS156" s="564"/>
      <c r="CT156" s="568"/>
      <c r="CU156" s="563"/>
      <c r="CV156" s="564"/>
      <c r="CW156" s="568"/>
      <c r="CX156" s="563"/>
      <c r="CY156" s="564"/>
      <c r="CZ156" s="568"/>
      <c r="DA156" s="563"/>
      <c r="DB156" s="564"/>
      <c r="DC156" s="564"/>
      <c r="DD156" s="564"/>
      <c r="DE156" s="564"/>
      <c r="DF156" s="564"/>
      <c r="DG156" s="564"/>
      <c r="DH156" s="564"/>
      <c r="DI156" s="564"/>
      <c r="DJ156" s="564"/>
      <c r="DK156" s="564"/>
      <c r="DL156" s="564"/>
      <c r="DM156" s="564"/>
      <c r="DN156" s="564"/>
      <c r="DO156" s="564"/>
      <c r="DP156" s="564"/>
      <c r="DQ156" s="564"/>
      <c r="DR156" s="564"/>
      <c r="DS156" s="569"/>
      <c r="DT156" s="564"/>
      <c r="DU156" s="569"/>
      <c r="DV156" s="568"/>
      <c r="DW156" s="563"/>
      <c r="DX156" s="564"/>
      <c r="DY156" s="564"/>
      <c r="DZ156" s="564"/>
      <c r="EA156" s="564"/>
      <c r="EB156" s="564"/>
      <c r="EC156" s="564"/>
      <c r="ED156" s="564"/>
      <c r="EE156" s="564"/>
      <c r="EF156" s="564"/>
      <c r="EG156" s="564"/>
      <c r="EH156" s="564"/>
      <c r="EI156" s="564"/>
      <c r="EJ156" s="564"/>
      <c r="EK156" s="564"/>
      <c r="EL156" s="564"/>
      <c r="EM156" s="564"/>
      <c r="EN156" s="564"/>
      <c r="EO156" s="564"/>
      <c r="EP156" s="564"/>
      <c r="EQ156" s="564"/>
      <c r="ER156" s="564"/>
      <c r="ES156" s="564"/>
      <c r="ET156" s="564"/>
      <c r="EU156" s="564"/>
      <c r="EV156" s="564"/>
      <c r="EW156" s="564"/>
      <c r="EX156" s="564"/>
      <c r="EY156" s="564"/>
      <c r="EZ156" s="239"/>
      <c r="FA156" s="564"/>
      <c r="FB156" s="564"/>
      <c r="FC156" s="564"/>
      <c r="FD156" s="564"/>
      <c r="FE156" s="564"/>
      <c r="FF156" s="564"/>
      <c r="FG156" s="564"/>
      <c r="FH156" s="564"/>
      <c r="FI156" s="564"/>
      <c r="FJ156" s="564"/>
      <c r="FK156" s="564"/>
      <c r="FL156" s="564"/>
      <c r="FM156" s="564"/>
      <c r="FN156" s="569"/>
      <c r="FO156" s="564"/>
      <c r="FP156" s="564"/>
      <c r="FQ156" s="564"/>
      <c r="FR156" s="564"/>
      <c r="FS156" s="564"/>
      <c r="FT156" s="564"/>
      <c r="FU156" s="564"/>
      <c r="FV156" s="564"/>
      <c r="FW156" s="564"/>
      <c r="FX156" s="564"/>
      <c r="FY156" s="564"/>
      <c r="FZ156" s="564"/>
      <c r="GA156" s="564"/>
      <c r="GB156" s="564"/>
      <c r="GC156" s="564"/>
      <c r="GD156" s="564"/>
      <c r="GE156" s="564"/>
      <c r="GF156" s="564"/>
      <c r="GG156" s="564"/>
      <c r="GH156" s="564"/>
      <c r="GI156" s="564"/>
      <c r="GJ156" s="564"/>
      <c r="GK156" s="564"/>
      <c r="GL156" s="564"/>
      <c r="GM156" s="564"/>
      <c r="GN156" s="564"/>
      <c r="GO156" s="564"/>
      <c r="GP156" s="564"/>
      <c r="GQ156" s="564"/>
      <c r="GR156" s="564"/>
      <c r="GS156" s="564"/>
      <c r="GT156" s="564"/>
      <c r="GU156" s="564"/>
      <c r="GV156" s="569"/>
      <c r="GW156" s="564"/>
      <c r="GX156" s="564"/>
      <c r="GY156" s="564"/>
      <c r="GZ156" s="564"/>
      <c r="HA156" s="564"/>
      <c r="HB156" s="564"/>
      <c r="HC156" s="564"/>
      <c r="HD156" s="564"/>
      <c r="HE156" s="564"/>
      <c r="HF156" s="564"/>
      <c r="HG156" s="564"/>
      <c r="HH156" s="564"/>
      <c r="HI156" s="564"/>
      <c r="HJ156" s="564"/>
      <c r="HK156" s="569"/>
      <c r="HL156" s="564" t="s">
        <v>34253</v>
      </c>
      <c r="HM156" s="564" t="s">
        <v>7</v>
      </c>
      <c r="HN156" s="564" t="s">
        <v>34254</v>
      </c>
      <c r="HO156" s="564" t="s">
        <v>34255</v>
      </c>
      <c r="HP156" s="564" t="s">
        <v>34256</v>
      </c>
      <c r="HQ156" s="564" t="s">
        <v>34257</v>
      </c>
      <c r="HR156" s="564" t="s">
        <v>34258</v>
      </c>
      <c r="HS156" s="564" t="s">
        <v>34259</v>
      </c>
      <c r="HT156" s="568" t="s">
        <v>34250</v>
      </c>
    </row>
    <row r="157" spans="1:228" ht="30.2" customHeight="1" x14ac:dyDescent="0.25">
      <c r="A157" s="759"/>
      <c r="B157" s="563">
        <v>91</v>
      </c>
      <c r="C157" s="563" t="s">
        <v>34397</v>
      </c>
      <c r="D157" s="564" t="s">
        <v>34398</v>
      </c>
      <c r="E157" s="564" t="s">
        <v>70</v>
      </c>
      <c r="F157" s="564" t="s">
        <v>7</v>
      </c>
      <c r="G157" s="564" t="s">
        <v>34399</v>
      </c>
      <c r="H157" s="564">
        <v>1300.8</v>
      </c>
      <c r="I157" s="564">
        <v>4.5999999999999996</v>
      </c>
      <c r="J157" s="564" t="s">
        <v>29288</v>
      </c>
      <c r="K157" s="564" t="s">
        <v>4</v>
      </c>
      <c r="L157" s="564" t="s">
        <v>34400</v>
      </c>
      <c r="M157" s="564">
        <v>772886865</v>
      </c>
      <c r="N157" s="564" t="s">
        <v>3</v>
      </c>
      <c r="O157" s="564" t="s">
        <v>31438</v>
      </c>
      <c r="P157" s="564">
        <v>62</v>
      </c>
      <c r="Q157" s="564">
        <v>12</v>
      </c>
      <c r="R157" s="564" t="s">
        <v>7</v>
      </c>
      <c r="S157" s="564" t="s">
        <v>31549</v>
      </c>
      <c r="T157" s="564" t="s">
        <v>4</v>
      </c>
      <c r="U157" s="564" t="s">
        <v>2</v>
      </c>
      <c r="V157" s="564" t="s">
        <v>4</v>
      </c>
      <c r="W157" s="564" t="s">
        <v>4</v>
      </c>
      <c r="X157" s="564" t="s">
        <v>4</v>
      </c>
      <c r="Y157" s="564" t="s">
        <v>4</v>
      </c>
      <c r="Z157" s="565">
        <v>45159</v>
      </c>
      <c r="AA157" s="557" t="str">
        <f>IF(OR(U157="yes",Z157&gt;'SDG outcome'!$C$39),"yes","no")</f>
        <v>no</v>
      </c>
      <c r="AB157" s="565" t="str">
        <f t="shared" si="6"/>
        <v/>
      </c>
      <c r="AC157" s="566" t="str">
        <f>IF(AND('SMS p2'!AA103="no",AND(Z157&gt;='SDG outcome'!$B$28,Z157&lt;'SDG outcome'!$C$39)),Z157-'SDG outcome'!$B$28,"")</f>
        <v/>
      </c>
      <c r="AD157" s="564" t="s">
        <v>31685</v>
      </c>
      <c r="AE157" s="564" t="s">
        <v>4</v>
      </c>
      <c r="AF157" s="564" t="s">
        <v>4</v>
      </c>
      <c r="AG157" s="564" t="s">
        <v>4</v>
      </c>
      <c r="AH157" s="564" t="s">
        <v>4</v>
      </c>
      <c r="AI157" s="564" t="s">
        <v>4</v>
      </c>
      <c r="AJ157" s="564" t="s">
        <v>4</v>
      </c>
      <c r="AK157" s="564" t="s">
        <v>4</v>
      </c>
      <c r="AL157" s="564"/>
      <c r="AM157" s="564"/>
      <c r="AN157" s="564"/>
      <c r="AO157" s="564"/>
      <c r="AP157" s="564"/>
      <c r="AQ157" s="564"/>
      <c r="AR157" s="564"/>
      <c r="AS157" s="564"/>
      <c r="AT157" s="564"/>
      <c r="AU157" s="564"/>
      <c r="AV157" s="564"/>
      <c r="AW157" s="564"/>
      <c r="AX157" s="564"/>
      <c r="AY157" s="564"/>
      <c r="AZ157" s="564"/>
      <c r="BA157" s="564"/>
      <c r="BB157" s="564"/>
      <c r="BC157" s="564"/>
      <c r="BD157" s="564"/>
      <c r="BE157" s="564"/>
      <c r="BF157" s="564"/>
      <c r="BG157" s="564"/>
      <c r="BH157" s="564"/>
      <c r="BI157" s="564"/>
      <c r="BJ157" s="564"/>
      <c r="BK157" s="564"/>
      <c r="BL157" s="564"/>
      <c r="BM157" s="564"/>
      <c r="BN157" s="564"/>
      <c r="BO157" s="564"/>
      <c r="BP157" s="564"/>
      <c r="BQ157" s="564"/>
      <c r="BR157" s="567"/>
      <c r="BS157" s="564"/>
      <c r="BT157" s="564"/>
      <c r="BU157" s="564"/>
      <c r="BV157" s="564"/>
      <c r="BW157" s="567"/>
      <c r="BX157" s="564"/>
      <c r="BY157" s="564"/>
      <c r="BZ157" s="564"/>
      <c r="CA157" s="564"/>
      <c r="CB157" s="564"/>
      <c r="CC157" s="564"/>
      <c r="CD157" s="564"/>
      <c r="CE157" s="564"/>
      <c r="CF157" s="564"/>
      <c r="CG157" s="564"/>
      <c r="CH157" s="564"/>
      <c r="CI157" s="564"/>
      <c r="CJ157" s="564"/>
      <c r="CK157" s="564"/>
      <c r="CL157" s="564"/>
      <c r="CM157" s="564"/>
      <c r="CN157" s="564"/>
      <c r="CO157" s="564"/>
      <c r="CP157" s="564"/>
      <c r="CQ157" s="564"/>
      <c r="CR157" s="564"/>
      <c r="CS157" s="564"/>
      <c r="CT157" s="568"/>
      <c r="CU157" s="563"/>
      <c r="CV157" s="564"/>
      <c r="CW157" s="568"/>
      <c r="CX157" s="563"/>
      <c r="CY157" s="564"/>
      <c r="CZ157" s="568"/>
      <c r="DA157" s="563"/>
      <c r="DB157" s="564"/>
      <c r="DC157" s="564"/>
      <c r="DD157" s="564"/>
      <c r="DE157" s="564"/>
      <c r="DF157" s="564"/>
      <c r="DG157" s="564"/>
      <c r="DH157" s="564"/>
      <c r="DI157" s="564"/>
      <c r="DJ157" s="564"/>
      <c r="DK157" s="564"/>
      <c r="DL157" s="564"/>
      <c r="DM157" s="564"/>
      <c r="DN157" s="564"/>
      <c r="DO157" s="564"/>
      <c r="DP157" s="564"/>
      <c r="DQ157" s="564"/>
      <c r="DR157" s="564"/>
      <c r="DS157" s="569"/>
      <c r="DT157" s="564"/>
      <c r="DU157" s="569"/>
      <c r="DV157" s="568"/>
      <c r="DW157" s="563"/>
      <c r="DX157" s="564"/>
      <c r="DY157" s="564"/>
      <c r="DZ157" s="564"/>
      <c r="EA157" s="564"/>
      <c r="EB157" s="564"/>
      <c r="EC157" s="564"/>
      <c r="ED157" s="564"/>
      <c r="EE157" s="564"/>
      <c r="EF157" s="564"/>
      <c r="EG157" s="564"/>
      <c r="EH157" s="564"/>
      <c r="EI157" s="564"/>
      <c r="EJ157" s="564"/>
      <c r="EK157" s="564"/>
      <c r="EL157" s="564"/>
      <c r="EM157" s="564"/>
      <c r="EN157" s="564"/>
      <c r="EO157" s="564"/>
      <c r="EP157" s="564"/>
      <c r="EQ157" s="564"/>
      <c r="ER157" s="564"/>
      <c r="ES157" s="564"/>
      <c r="ET157" s="564"/>
      <c r="EU157" s="564"/>
      <c r="EV157" s="564"/>
      <c r="EW157" s="571"/>
      <c r="EX157" s="564"/>
      <c r="EY157" s="564"/>
      <c r="EZ157" s="239"/>
      <c r="FA157" s="564"/>
      <c r="FB157" s="564"/>
      <c r="FC157" s="564"/>
      <c r="FD157" s="564"/>
      <c r="FE157" s="564"/>
      <c r="FF157" s="564"/>
      <c r="FG157" s="564"/>
      <c r="FH157" s="564"/>
      <c r="FI157" s="564"/>
      <c r="FJ157" s="564"/>
      <c r="FK157" s="564"/>
      <c r="FL157" s="564"/>
      <c r="FM157" s="564"/>
      <c r="FN157" s="569"/>
      <c r="FO157" s="564"/>
      <c r="FP157" s="564"/>
      <c r="FQ157" s="564"/>
      <c r="FR157" s="564"/>
      <c r="FS157" s="564"/>
      <c r="FT157" s="564"/>
      <c r="FU157" s="564"/>
      <c r="FV157" s="564"/>
      <c r="FW157" s="564"/>
      <c r="FX157" s="564"/>
      <c r="FY157" s="564"/>
      <c r="FZ157" s="564"/>
      <c r="GA157" s="564"/>
      <c r="GB157" s="564"/>
      <c r="GC157" s="564"/>
      <c r="GD157" s="564"/>
      <c r="GE157" s="564"/>
      <c r="GF157" s="564"/>
      <c r="GG157" s="564"/>
      <c r="GH157" s="564"/>
      <c r="GI157" s="564"/>
      <c r="GJ157" s="564"/>
      <c r="GK157" s="564"/>
      <c r="GL157" s="564"/>
      <c r="GM157" s="564"/>
      <c r="GN157" s="564"/>
      <c r="GO157" s="564"/>
      <c r="GP157" s="564"/>
      <c r="GQ157" s="564"/>
      <c r="GR157" s="564"/>
      <c r="GS157" s="564"/>
      <c r="GT157" s="564"/>
      <c r="GU157" s="564"/>
      <c r="GV157" s="569"/>
      <c r="GW157" s="564"/>
      <c r="GX157" s="564"/>
      <c r="GY157" s="564"/>
      <c r="GZ157" s="564"/>
      <c r="HA157" s="564"/>
      <c r="HB157" s="564"/>
      <c r="HC157" s="564"/>
      <c r="HD157" s="564"/>
      <c r="HE157" s="564"/>
      <c r="HF157" s="564"/>
      <c r="HG157" s="564"/>
      <c r="HH157" s="564"/>
      <c r="HI157" s="564"/>
      <c r="HJ157" s="564"/>
      <c r="HK157" s="569"/>
      <c r="HL157" s="564" t="s">
        <v>4</v>
      </c>
      <c r="HM157" s="564" t="s">
        <v>7</v>
      </c>
      <c r="HN157" s="564" t="s">
        <v>34401</v>
      </c>
      <c r="HO157" s="564" t="s">
        <v>16</v>
      </c>
      <c r="HP157" s="564" t="s">
        <v>34402</v>
      </c>
      <c r="HQ157" s="564" t="s">
        <v>16</v>
      </c>
      <c r="HR157" s="564" t="s">
        <v>34403</v>
      </c>
      <c r="HS157" s="564" t="s">
        <v>34404</v>
      </c>
      <c r="HT157" s="568" t="s">
        <v>34398</v>
      </c>
    </row>
    <row r="158" spans="1:228" ht="30.2" customHeight="1" x14ac:dyDescent="0.25">
      <c r="A158" s="759"/>
      <c r="B158" s="563">
        <v>98</v>
      </c>
      <c r="C158" s="563" t="s">
        <v>14819</v>
      </c>
      <c r="D158" s="564" t="s">
        <v>34456</v>
      </c>
      <c r="E158" s="564" t="s">
        <v>34457</v>
      </c>
      <c r="F158" s="564" t="s">
        <v>7</v>
      </c>
      <c r="G158" s="564" t="s">
        <v>34458</v>
      </c>
      <c r="H158" s="564">
        <v>1092.5</v>
      </c>
      <c r="I158" s="564">
        <v>2.5</v>
      </c>
      <c r="J158" s="564" t="s">
        <v>29349</v>
      </c>
      <c r="K158" s="564" t="s">
        <v>4</v>
      </c>
      <c r="L158" s="564" t="s">
        <v>34459</v>
      </c>
      <c r="M158" s="564">
        <v>773540818</v>
      </c>
      <c r="N158" s="564" t="s">
        <v>5</v>
      </c>
      <c r="O158" s="564" t="s">
        <v>31598</v>
      </c>
      <c r="P158" s="564" t="s">
        <v>4</v>
      </c>
      <c r="Q158" s="564">
        <v>42</v>
      </c>
      <c r="R158" s="564" t="s">
        <v>7</v>
      </c>
      <c r="S158" s="564" t="s">
        <v>31535</v>
      </c>
      <c r="T158" s="564" t="s">
        <v>4</v>
      </c>
      <c r="U158" s="564" t="s">
        <v>2</v>
      </c>
      <c r="V158" s="564" t="s">
        <v>4</v>
      </c>
      <c r="W158" s="564" t="s">
        <v>4</v>
      </c>
      <c r="X158" s="564" t="s">
        <v>4</v>
      </c>
      <c r="Y158" s="564" t="s">
        <v>4</v>
      </c>
      <c r="Z158" s="565">
        <v>44214</v>
      </c>
      <c r="AA158" s="557" t="str">
        <f>IF(OR(U158="yes",Z158&gt;'SDG outcome'!$C$39),"yes","no")</f>
        <v>no</v>
      </c>
      <c r="AB158" s="565" t="str">
        <f t="shared" si="6"/>
        <v/>
      </c>
      <c r="AC158" s="566" t="str">
        <f>IF(AND('SMS p2'!AA110="no",AND(Z158&gt;='SDG outcome'!$B$28,Z158&lt;'SDG outcome'!$C$39)),Z158-'SDG outcome'!$B$28,"")</f>
        <v/>
      </c>
      <c r="AD158" s="564" t="s">
        <v>31685</v>
      </c>
      <c r="AE158" s="564" t="s">
        <v>4</v>
      </c>
      <c r="AF158" s="564" t="s">
        <v>4</v>
      </c>
      <c r="AG158" s="564" t="s">
        <v>4</v>
      </c>
      <c r="AH158" s="564" t="s">
        <v>4</v>
      </c>
      <c r="AI158" s="564" t="s">
        <v>4</v>
      </c>
      <c r="AJ158" s="564" t="s">
        <v>4</v>
      </c>
      <c r="AK158" s="564" t="s">
        <v>4</v>
      </c>
      <c r="AL158" s="564"/>
      <c r="AM158" s="564"/>
      <c r="AN158" s="564"/>
      <c r="AO158" s="564"/>
      <c r="AP158" s="564"/>
      <c r="AQ158" s="564"/>
      <c r="AR158" s="564"/>
      <c r="AS158" s="564"/>
      <c r="AT158" s="564"/>
      <c r="AU158" s="564"/>
      <c r="AV158" s="564"/>
      <c r="AW158" s="564"/>
      <c r="AX158" s="564"/>
      <c r="AY158" s="564"/>
      <c r="AZ158" s="564"/>
      <c r="BA158" s="564"/>
      <c r="BB158" s="564"/>
      <c r="BC158" s="564"/>
      <c r="BD158" s="564"/>
      <c r="BE158" s="564"/>
      <c r="BF158" s="564"/>
      <c r="BG158" s="564"/>
      <c r="BH158" s="564"/>
      <c r="BI158" s="564"/>
      <c r="BJ158" s="564"/>
      <c r="BK158" s="564"/>
      <c r="BL158" s="564"/>
      <c r="BM158" s="564"/>
      <c r="BN158" s="564"/>
      <c r="BO158" s="564"/>
      <c r="BP158" s="564"/>
      <c r="BQ158" s="564"/>
      <c r="BR158" s="567"/>
      <c r="BS158" s="564"/>
      <c r="BT158" s="564"/>
      <c r="BU158" s="564"/>
      <c r="BV158" s="564"/>
      <c r="BW158" s="567"/>
      <c r="BX158" s="564"/>
      <c r="BY158" s="564"/>
      <c r="BZ158" s="564"/>
      <c r="CA158" s="564"/>
      <c r="CB158" s="564"/>
      <c r="CC158" s="564"/>
      <c r="CD158" s="564"/>
      <c r="CE158" s="564"/>
      <c r="CF158" s="564"/>
      <c r="CG158" s="564"/>
      <c r="CH158" s="564"/>
      <c r="CI158" s="564"/>
      <c r="CJ158" s="564"/>
      <c r="CK158" s="564"/>
      <c r="CL158" s="564"/>
      <c r="CM158" s="564"/>
      <c r="CN158" s="564"/>
      <c r="CO158" s="564"/>
      <c r="CP158" s="564"/>
      <c r="CQ158" s="564"/>
      <c r="CR158" s="564"/>
      <c r="CS158" s="564"/>
      <c r="CT158" s="568"/>
      <c r="CU158" s="563"/>
      <c r="CV158" s="564"/>
      <c r="CW158" s="568"/>
      <c r="CX158" s="563"/>
      <c r="CY158" s="564"/>
      <c r="CZ158" s="568"/>
      <c r="DA158" s="563"/>
      <c r="DB158" s="564"/>
      <c r="DC158" s="564"/>
      <c r="DD158" s="564"/>
      <c r="DE158" s="564"/>
      <c r="DF158" s="564"/>
      <c r="DG158" s="564"/>
      <c r="DH158" s="564"/>
      <c r="DI158" s="564"/>
      <c r="DJ158" s="564"/>
      <c r="DK158" s="564"/>
      <c r="DL158" s="564"/>
      <c r="DM158" s="564"/>
      <c r="DN158" s="564"/>
      <c r="DO158" s="564"/>
      <c r="DP158" s="564"/>
      <c r="DQ158" s="564"/>
      <c r="DR158" s="564"/>
      <c r="DS158" s="569"/>
      <c r="DT158" s="564"/>
      <c r="DU158" s="569"/>
      <c r="DV158" s="568"/>
      <c r="DW158" s="563"/>
      <c r="DX158" s="564"/>
      <c r="DY158" s="564"/>
      <c r="DZ158" s="564"/>
      <c r="EA158" s="564"/>
      <c r="EB158" s="564"/>
      <c r="EC158" s="564"/>
      <c r="ED158" s="564"/>
      <c r="EE158" s="564"/>
      <c r="EF158" s="564"/>
      <c r="EG158" s="564"/>
      <c r="EH158" s="564"/>
      <c r="EI158" s="564"/>
      <c r="EJ158" s="564"/>
      <c r="EK158" s="564"/>
      <c r="EL158" s="564"/>
      <c r="EM158" s="564"/>
      <c r="EN158" s="564"/>
      <c r="EO158" s="564"/>
      <c r="EP158" s="564"/>
      <c r="EQ158" s="564"/>
      <c r="ER158" s="564"/>
      <c r="ES158" s="564"/>
      <c r="ET158" s="564"/>
      <c r="EU158" s="564"/>
      <c r="EV158" s="564"/>
      <c r="EW158" s="564"/>
      <c r="EX158" s="564"/>
      <c r="EY158" s="564"/>
      <c r="EZ158" s="239"/>
      <c r="FA158" s="564"/>
      <c r="FB158" s="564"/>
      <c r="FC158" s="564"/>
      <c r="FD158" s="564"/>
      <c r="FE158" s="564"/>
      <c r="FF158" s="564"/>
      <c r="FG158" s="564"/>
      <c r="FH158" s="564"/>
      <c r="FI158" s="564"/>
      <c r="FJ158" s="564"/>
      <c r="FK158" s="564"/>
      <c r="FL158" s="564"/>
      <c r="FM158" s="564"/>
      <c r="FN158" s="569"/>
      <c r="FO158" s="564"/>
      <c r="FP158" s="564"/>
      <c r="FQ158" s="564"/>
      <c r="FR158" s="564"/>
      <c r="FS158" s="564"/>
      <c r="FT158" s="564"/>
      <c r="FU158" s="564"/>
      <c r="FV158" s="564"/>
      <c r="FW158" s="564"/>
      <c r="FX158" s="564"/>
      <c r="FY158" s="564"/>
      <c r="FZ158" s="564"/>
      <c r="GA158" s="564"/>
      <c r="GB158" s="564"/>
      <c r="GC158" s="564"/>
      <c r="GD158" s="564"/>
      <c r="GE158" s="564"/>
      <c r="GF158" s="564"/>
      <c r="GG158" s="564"/>
      <c r="GH158" s="564"/>
      <c r="GI158" s="564"/>
      <c r="GJ158" s="564"/>
      <c r="GK158" s="564"/>
      <c r="GL158" s="564"/>
      <c r="GM158" s="564"/>
      <c r="GN158" s="564"/>
      <c r="GO158" s="564"/>
      <c r="GP158" s="564"/>
      <c r="GQ158" s="564"/>
      <c r="GR158" s="564"/>
      <c r="GS158" s="564"/>
      <c r="GT158" s="564"/>
      <c r="GU158" s="564"/>
      <c r="GV158" s="569"/>
      <c r="GW158" s="564"/>
      <c r="GX158" s="564"/>
      <c r="GY158" s="564"/>
      <c r="GZ158" s="564"/>
      <c r="HA158" s="564"/>
      <c r="HB158" s="564"/>
      <c r="HC158" s="564"/>
      <c r="HD158" s="564"/>
      <c r="HE158" s="564"/>
      <c r="HF158" s="564"/>
      <c r="HG158" s="564"/>
      <c r="HH158" s="564"/>
      <c r="HI158" s="564"/>
      <c r="HJ158" s="564"/>
      <c r="HK158" s="569"/>
      <c r="HL158" s="564" t="s">
        <v>34460</v>
      </c>
      <c r="HM158" s="564" t="s">
        <v>7</v>
      </c>
      <c r="HN158" s="564" t="s">
        <v>34461</v>
      </c>
      <c r="HO158" s="564" t="s">
        <v>34462</v>
      </c>
      <c r="HP158" s="564" t="s">
        <v>34463</v>
      </c>
      <c r="HQ158" s="564" t="s">
        <v>34464</v>
      </c>
      <c r="HR158" s="564" t="s">
        <v>34465</v>
      </c>
      <c r="HS158" s="564" t="s">
        <v>34466</v>
      </c>
      <c r="HT158" s="568" t="s">
        <v>34456</v>
      </c>
    </row>
    <row r="159" spans="1:228" ht="30.2" customHeight="1" x14ac:dyDescent="0.25">
      <c r="A159" s="759"/>
      <c r="B159" s="563">
        <v>101</v>
      </c>
      <c r="C159" s="563" t="s">
        <v>14825</v>
      </c>
      <c r="D159" s="564" t="s">
        <v>34488</v>
      </c>
      <c r="E159" s="564" t="s">
        <v>34457</v>
      </c>
      <c r="F159" s="564" t="s">
        <v>7</v>
      </c>
      <c r="G159" s="564" t="s">
        <v>34489</v>
      </c>
      <c r="H159" s="564">
        <v>1125.5999999999999</v>
      </c>
      <c r="I159" s="564">
        <v>3.3</v>
      </c>
      <c r="J159" s="564" t="s">
        <v>29319</v>
      </c>
      <c r="K159" s="564" t="s">
        <v>4</v>
      </c>
      <c r="L159" s="564" t="s">
        <v>34490</v>
      </c>
      <c r="M159" s="564">
        <v>756262988</v>
      </c>
      <c r="N159" s="564" t="s">
        <v>5</v>
      </c>
      <c r="O159" s="564" t="s">
        <v>31438</v>
      </c>
      <c r="P159" s="564">
        <v>72</v>
      </c>
      <c r="Q159" s="564">
        <v>4</v>
      </c>
      <c r="R159" s="564" t="s">
        <v>7</v>
      </c>
      <c r="S159" s="564" t="s">
        <v>31562</v>
      </c>
      <c r="T159" s="564" t="s">
        <v>4</v>
      </c>
      <c r="U159" s="564" t="s">
        <v>2</v>
      </c>
      <c r="V159" s="564" t="s">
        <v>4</v>
      </c>
      <c r="W159" s="564" t="s">
        <v>4</v>
      </c>
      <c r="X159" s="564" t="s">
        <v>4</v>
      </c>
      <c r="Y159" s="564" t="s">
        <v>4</v>
      </c>
      <c r="Z159" s="565">
        <v>42844</v>
      </c>
      <c r="AA159" s="557" t="str">
        <f>IF(OR(U159="yes",Z159&gt;'SDG outcome'!$C$39),"yes","no")</f>
        <v>no</v>
      </c>
      <c r="AB159" s="565" t="str">
        <f t="shared" si="6"/>
        <v/>
      </c>
      <c r="AC159" s="566" t="str">
        <f>IF(AND('SMS p2'!AA113="no",AND(Z159&gt;='SDG outcome'!$B$28,Z159&lt;'SDG outcome'!$C$39)),Z159-'SDG outcome'!$B$28,"")</f>
        <v/>
      </c>
      <c r="AD159" s="564" t="s">
        <v>31685</v>
      </c>
      <c r="AE159" s="564" t="s">
        <v>4</v>
      </c>
      <c r="AF159" s="564" t="s">
        <v>4</v>
      </c>
      <c r="AG159" s="564" t="s">
        <v>4</v>
      </c>
      <c r="AH159" s="564" t="s">
        <v>4</v>
      </c>
      <c r="AI159" s="564" t="s">
        <v>4</v>
      </c>
      <c r="AJ159" s="564" t="s">
        <v>4</v>
      </c>
      <c r="AK159" s="564" t="s">
        <v>4</v>
      </c>
      <c r="AL159" s="564"/>
      <c r="AM159" s="564"/>
      <c r="AN159" s="564"/>
      <c r="AO159" s="564"/>
      <c r="AP159" s="564"/>
      <c r="AQ159" s="564"/>
      <c r="AR159" s="564"/>
      <c r="AS159" s="564"/>
      <c r="AT159" s="564"/>
      <c r="AU159" s="564"/>
      <c r="AV159" s="564"/>
      <c r="AW159" s="564"/>
      <c r="AX159" s="564"/>
      <c r="AY159" s="564"/>
      <c r="AZ159" s="564"/>
      <c r="BA159" s="564"/>
      <c r="BB159" s="564"/>
      <c r="BC159" s="564"/>
      <c r="BD159" s="564"/>
      <c r="BE159" s="564"/>
      <c r="BF159" s="564"/>
      <c r="BG159" s="564"/>
      <c r="BH159" s="564"/>
      <c r="BI159" s="564"/>
      <c r="BJ159" s="564"/>
      <c r="BK159" s="564"/>
      <c r="BL159" s="564"/>
      <c r="BM159" s="564"/>
      <c r="BN159" s="564"/>
      <c r="BO159" s="564"/>
      <c r="BP159" s="564"/>
      <c r="BQ159" s="564"/>
      <c r="BR159" s="567"/>
      <c r="BS159" s="564"/>
      <c r="BT159" s="564"/>
      <c r="BU159" s="564"/>
      <c r="BV159" s="564"/>
      <c r="BW159" s="567"/>
      <c r="BX159" s="564"/>
      <c r="BY159" s="564"/>
      <c r="BZ159" s="564"/>
      <c r="CA159" s="564"/>
      <c r="CB159" s="564"/>
      <c r="CC159" s="564"/>
      <c r="CD159" s="564"/>
      <c r="CE159" s="564"/>
      <c r="CF159" s="564"/>
      <c r="CG159" s="564"/>
      <c r="CH159" s="564"/>
      <c r="CI159" s="564"/>
      <c r="CJ159" s="564"/>
      <c r="CK159" s="564"/>
      <c r="CL159" s="564"/>
      <c r="CM159" s="564"/>
      <c r="CN159" s="564"/>
      <c r="CO159" s="564"/>
      <c r="CP159" s="564"/>
      <c r="CQ159" s="564"/>
      <c r="CR159" s="564"/>
      <c r="CS159" s="564"/>
      <c r="CT159" s="568"/>
      <c r="CU159" s="563"/>
      <c r="CV159" s="564"/>
      <c r="CW159" s="568"/>
      <c r="CX159" s="563"/>
      <c r="CY159" s="564"/>
      <c r="CZ159" s="568"/>
      <c r="DA159" s="563"/>
      <c r="DB159" s="564"/>
      <c r="DC159" s="564"/>
      <c r="DD159" s="564"/>
      <c r="DE159" s="564"/>
      <c r="DF159" s="564"/>
      <c r="DG159" s="564"/>
      <c r="DH159" s="564"/>
      <c r="DI159" s="564"/>
      <c r="DJ159" s="564"/>
      <c r="DK159" s="564"/>
      <c r="DL159" s="564"/>
      <c r="DM159" s="564"/>
      <c r="DN159" s="564"/>
      <c r="DO159" s="564"/>
      <c r="DP159" s="564"/>
      <c r="DQ159" s="564"/>
      <c r="DR159" s="564"/>
      <c r="DS159" s="569"/>
      <c r="DT159" s="564"/>
      <c r="DU159" s="569"/>
      <c r="DV159" s="568"/>
      <c r="DW159" s="563"/>
      <c r="DX159" s="564"/>
      <c r="DY159" s="564"/>
      <c r="DZ159" s="564"/>
      <c r="EA159" s="564"/>
      <c r="EB159" s="564"/>
      <c r="EC159" s="564"/>
      <c r="ED159" s="564"/>
      <c r="EE159" s="564"/>
      <c r="EF159" s="564"/>
      <c r="EG159" s="564"/>
      <c r="EH159" s="564"/>
      <c r="EI159" s="564"/>
      <c r="EJ159" s="564"/>
      <c r="EK159" s="564"/>
      <c r="EL159" s="564"/>
      <c r="EM159" s="564"/>
      <c r="EN159" s="564"/>
      <c r="EO159" s="564"/>
      <c r="EP159" s="564"/>
      <c r="EQ159" s="564"/>
      <c r="ER159" s="564"/>
      <c r="ES159" s="564"/>
      <c r="ET159" s="564"/>
      <c r="EU159" s="564"/>
      <c r="EV159" s="564"/>
      <c r="EW159" s="564"/>
      <c r="EX159" s="564"/>
      <c r="EY159" s="564"/>
      <c r="EZ159" s="239"/>
      <c r="FA159" s="564"/>
      <c r="FB159" s="564"/>
      <c r="FC159" s="564"/>
      <c r="FD159" s="564"/>
      <c r="FE159" s="564"/>
      <c r="FF159" s="564"/>
      <c r="FG159" s="564"/>
      <c r="FH159" s="564"/>
      <c r="FI159" s="564"/>
      <c r="FJ159" s="564"/>
      <c r="FK159" s="564"/>
      <c r="FL159" s="564"/>
      <c r="FM159" s="564"/>
      <c r="FN159" s="569"/>
      <c r="FO159" s="564"/>
      <c r="FP159" s="564"/>
      <c r="FQ159" s="564"/>
      <c r="FR159" s="564"/>
      <c r="FS159" s="564"/>
      <c r="FT159" s="564"/>
      <c r="FU159" s="564"/>
      <c r="FV159" s="564"/>
      <c r="FW159" s="564"/>
      <c r="FX159" s="564"/>
      <c r="FY159" s="564"/>
      <c r="FZ159" s="564"/>
      <c r="GA159" s="564"/>
      <c r="GB159" s="564"/>
      <c r="GC159" s="564"/>
      <c r="GD159" s="564"/>
      <c r="GE159" s="564"/>
      <c r="GF159" s="564"/>
      <c r="GG159" s="564"/>
      <c r="GH159" s="564"/>
      <c r="GI159" s="564"/>
      <c r="GJ159" s="564"/>
      <c r="GK159" s="564"/>
      <c r="GL159" s="564"/>
      <c r="GM159" s="564"/>
      <c r="GN159" s="564"/>
      <c r="GO159" s="564"/>
      <c r="GP159" s="564"/>
      <c r="GQ159" s="564"/>
      <c r="GR159" s="564"/>
      <c r="GS159" s="564"/>
      <c r="GT159" s="564"/>
      <c r="GU159" s="564"/>
      <c r="GV159" s="569"/>
      <c r="GW159" s="564"/>
      <c r="GX159" s="564"/>
      <c r="GY159" s="564"/>
      <c r="GZ159" s="564"/>
      <c r="HA159" s="564"/>
      <c r="HB159" s="564"/>
      <c r="HC159" s="564"/>
      <c r="HD159" s="564"/>
      <c r="HE159" s="564"/>
      <c r="HF159" s="564"/>
      <c r="HG159" s="564"/>
      <c r="HH159" s="564"/>
      <c r="HI159" s="564"/>
      <c r="HJ159" s="564"/>
      <c r="HK159" s="569"/>
      <c r="HL159" s="564" t="s">
        <v>34491</v>
      </c>
      <c r="HM159" s="564" t="s">
        <v>7</v>
      </c>
      <c r="HN159" s="564" t="s">
        <v>34492</v>
      </c>
      <c r="HO159" s="564" t="s">
        <v>34493</v>
      </c>
      <c r="HP159" s="564" t="s">
        <v>34494</v>
      </c>
      <c r="HQ159" s="564" t="s">
        <v>34495</v>
      </c>
      <c r="HR159" s="564" t="s">
        <v>34496</v>
      </c>
      <c r="HS159" s="564" t="s">
        <v>34497</v>
      </c>
      <c r="HT159" s="568" t="s">
        <v>34488</v>
      </c>
    </row>
    <row r="160" spans="1:228" ht="30.2" customHeight="1" x14ac:dyDescent="0.25">
      <c r="A160" s="759"/>
      <c r="B160" s="563">
        <v>105</v>
      </c>
      <c r="C160" s="563" t="s">
        <v>28308</v>
      </c>
      <c r="D160" s="564" t="s">
        <v>34537</v>
      </c>
      <c r="E160" s="564" t="s">
        <v>34457</v>
      </c>
      <c r="F160" s="564" t="s">
        <v>7</v>
      </c>
      <c r="G160" s="564" t="s">
        <v>34538</v>
      </c>
      <c r="H160" s="564">
        <v>1069.0999999999999</v>
      </c>
      <c r="I160" s="564">
        <v>2.4</v>
      </c>
      <c r="J160" s="564" t="s">
        <v>29349</v>
      </c>
      <c r="K160" s="564" t="s">
        <v>4</v>
      </c>
      <c r="L160" s="564" t="s">
        <v>34539</v>
      </c>
      <c r="M160" s="564">
        <v>784951622</v>
      </c>
      <c r="N160" s="564" t="s">
        <v>3</v>
      </c>
      <c r="O160" s="564" t="s">
        <v>31590</v>
      </c>
      <c r="P160" s="564" t="s">
        <v>4</v>
      </c>
      <c r="Q160" s="564">
        <v>20</v>
      </c>
      <c r="R160" s="564" t="s">
        <v>7</v>
      </c>
      <c r="S160" s="564" t="s">
        <v>31588</v>
      </c>
      <c r="T160" s="564" t="s">
        <v>4</v>
      </c>
      <c r="U160" s="564" t="s">
        <v>2</v>
      </c>
      <c r="V160" s="564" t="s">
        <v>4</v>
      </c>
      <c r="W160" s="564" t="s">
        <v>4</v>
      </c>
      <c r="X160" s="564" t="s">
        <v>4</v>
      </c>
      <c r="Y160" s="564" t="s">
        <v>4</v>
      </c>
      <c r="Z160" s="565">
        <v>43515</v>
      </c>
      <c r="AA160" s="557" t="str">
        <f>IF(OR(U160="yes",Z160&gt;'SDG outcome'!$C$39),"yes","no")</f>
        <v>no</v>
      </c>
      <c r="AB160" s="565" t="str">
        <f t="shared" si="6"/>
        <v/>
      </c>
      <c r="AC160" s="566" t="str">
        <f>IF(AND('SMS p2'!AA117="no",AND(Z160&gt;='SDG outcome'!$B$28,Z160&lt;'SDG outcome'!$C$39)),Z160-'SDG outcome'!$B$28,"")</f>
        <v/>
      </c>
      <c r="AD160" s="564" t="s">
        <v>31685</v>
      </c>
      <c r="AE160" s="564" t="s">
        <v>4</v>
      </c>
      <c r="AF160" s="564" t="s">
        <v>4</v>
      </c>
      <c r="AG160" s="564" t="s">
        <v>4</v>
      </c>
      <c r="AH160" s="564" t="s">
        <v>4</v>
      </c>
      <c r="AI160" s="564" t="s">
        <v>4</v>
      </c>
      <c r="AJ160" s="564" t="s">
        <v>4</v>
      </c>
      <c r="AK160" s="564" t="s">
        <v>4</v>
      </c>
      <c r="AL160" s="564"/>
      <c r="AM160" s="564"/>
      <c r="AN160" s="564"/>
      <c r="AO160" s="564"/>
      <c r="AP160" s="564"/>
      <c r="AQ160" s="564"/>
      <c r="AR160" s="564"/>
      <c r="AS160" s="564"/>
      <c r="AT160" s="564"/>
      <c r="AU160" s="564"/>
      <c r="AV160" s="564"/>
      <c r="AW160" s="564"/>
      <c r="AX160" s="564"/>
      <c r="AY160" s="564"/>
      <c r="AZ160" s="564"/>
      <c r="BA160" s="564"/>
      <c r="BB160" s="564"/>
      <c r="BC160" s="564"/>
      <c r="BD160" s="564"/>
      <c r="BE160" s="564"/>
      <c r="BF160" s="564"/>
      <c r="BG160" s="564"/>
      <c r="BH160" s="564"/>
      <c r="BI160" s="564"/>
      <c r="BJ160" s="564"/>
      <c r="BK160" s="564"/>
      <c r="BL160" s="564"/>
      <c r="BM160" s="564"/>
      <c r="BN160" s="564"/>
      <c r="BO160" s="564"/>
      <c r="BP160" s="564"/>
      <c r="BQ160" s="564"/>
      <c r="BR160" s="567"/>
      <c r="BS160" s="564"/>
      <c r="BT160" s="564"/>
      <c r="BU160" s="564"/>
      <c r="BV160" s="564"/>
      <c r="BW160" s="567"/>
      <c r="BX160" s="564"/>
      <c r="BY160" s="564"/>
      <c r="BZ160" s="564"/>
      <c r="CA160" s="564"/>
      <c r="CB160" s="564"/>
      <c r="CC160" s="564"/>
      <c r="CD160" s="564"/>
      <c r="CE160" s="564"/>
      <c r="CF160" s="564"/>
      <c r="CG160" s="564"/>
      <c r="CH160" s="564"/>
      <c r="CI160" s="564"/>
      <c r="CJ160" s="564"/>
      <c r="CK160" s="564"/>
      <c r="CL160" s="564"/>
      <c r="CM160" s="564"/>
      <c r="CN160" s="564"/>
      <c r="CO160" s="564"/>
      <c r="CP160" s="564"/>
      <c r="CQ160" s="564"/>
      <c r="CR160" s="564"/>
      <c r="CS160" s="564"/>
      <c r="CT160" s="568"/>
      <c r="CU160" s="563"/>
      <c r="CV160" s="564"/>
      <c r="CW160" s="568"/>
      <c r="CX160" s="563"/>
      <c r="CY160" s="564"/>
      <c r="CZ160" s="568"/>
      <c r="DA160" s="563"/>
      <c r="DB160" s="564"/>
      <c r="DC160" s="564"/>
      <c r="DD160" s="564"/>
      <c r="DE160" s="564"/>
      <c r="DF160" s="564"/>
      <c r="DG160" s="564"/>
      <c r="DH160" s="564"/>
      <c r="DI160" s="564"/>
      <c r="DJ160" s="564"/>
      <c r="DK160" s="564"/>
      <c r="DL160" s="564"/>
      <c r="DM160" s="564"/>
      <c r="DN160" s="564"/>
      <c r="DO160" s="564"/>
      <c r="DP160" s="564"/>
      <c r="DQ160" s="564"/>
      <c r="DR160" s="564"/>
      <c r="DS160" s="569"/>
      <c r="DT160" s="564"/>
      <c r="DU160" s="569"/>
      <c r="DV160" s="568"/>
      <c r="DW160" s="563"/>
      <c r="DX160" s="564"/>
      <c r="DY160" s="564"/>
      <c r="DZ160" s="564"/>
      <c r="EA160" s="564"/>
      <c r="EB160" s="564"/>
      <c r="EC160" s="564"/>
      <c r="ED160" s="564"/>
      <c r="EE160" s="564"/>
      <c r="EF160" s="564"/>
      <c r="EG160" s="564"/>
      <c r="EH160" s="564"/>
      <c r="EI160" s="564"/>
      <c r="EJ160" s="564"/>
      <c r="EK160" s="564"/>
      <c r="EL160" s="564"/>
      <c r="EM160" s="564"/>
      <c r="EN160" s="564"/>
      <c r="EO160" s="564"/>
      <c r="EP160" s="564"/>
      <c r="EQ160" s="564"/>
      <c r="ER160" s="564"/>
      <c r="ES160" s="564"/>
      <c r="ET160" s="564"/>
      <c r="EU160" s="564"/>
      <c r="EV160" s="564"/>
      <c r="EW160" s="564"/>
      <c r="EX160" s="564"/>
      <c r="EY160" s="564"/>
      <c r="EZ160" s="239"/>
      <c r="FA160" s="564"/>
      <c r="FB160" s="564"/>
      <c r="FC160" s="564"/>
      <c r="FD160" s="564"/>
      <c r="FE160" s="564"/>
      <c r="FF160" s="564"/>
      <c r="FG160" s="564"/>
      <c r="FH160" s="564"/>
      <c r="FI160" s="564"/>
      <c r="FJ160" s="564"/>
      <c r="FK160" s="564"/>
      <c r="FL160" s="564"/>
      <c r="FM160" s="564"/>
      <c r="FN160" s="569"/>
      <c r="FO160" s="564"/>
      <c r="FP160" s="564"/>
      <c r="FQ160" s="564"/>
      <c r="FR160" s="564"/>
      <c r="FS160" s="564"/>
      <c r="FT160" s="564"/>
      <c r="FU160" s="564"/>
      <c r="FV160" s="564"/>
      <c r="FW160" s="564"/>
      <c r="FX160" s="564"/>
      <c r="FY160" s="564"/>
      <c r="FZ160" s="564"/>
      <c r="GA160" s="564"/>
      <c r="GB160" s="564"/>
      <c r="GC160" s="564"/>
      <c r="GD160" s="564"/>
      <c r="GE160" s="564"/>
      <c r="GF160" s="564"/>
      <c r="GG160" s="564"/>
      <c r="GH160" s="564"/>
      <c r="GI160" s="564"/>
      <c r="GJ160" s="564"/>
      <c r="GK160" s="564"/>
      <c r="GL160" s="564"/>
      <c r="GM160" s="564"/>
      <c r="GN160" s="564"/>
      <c r="GO160" s="564"/>
      <c r="GP160" s="564"/>
      <c r="GQ160" s="564"/>
      <c r="GR160" s="564"/>
      <c r="GS160" s="564"/>
      <c r="GT160" s="564"/>
      <c r="GU160" s="564"/>
      <c r="GV160" s="569"/>
      <c r="GW160" s="564"/>
      <c r="GX160" s="564"/>
      <c r="GY160" s="564"/>
      <c r="GZ160" s="564"/>
      <c r="HA160" s="564"/>
      <c r="HB160" s="564"/>
      <c r="HC160" s="564"/>
      <c r="HD160" s="564"/>
      <c r="HE160" s="564"/>
      <c r="HF160" s="564"/>
      <c r="HG160" s="564"/>
      <c r="HH160" s="564"/>
      <c r="HI160" s="564"/>
      <c r="HJ160" s="564"/>
      <c r="HK160" s="569"/>
      <c r="HL160" s="564" t="s">
        <v>34540</v>
      </c>
      <c r="HM160" s="564" t="s">
        <v>7</v>
      </c>
      <c r="HN160" s="564" t="s">
        <v>34541</v>
      </c>
      <c r="HO160" s="564" t="s">
        <v>34542</v>
      </c>
      <c r="HP160" s="564" t="s">
        <v>34543</v>
      </c>
      <c r="HQ160" s="564" t="s">
        <v>34544</v>
      </c>
      <c r="HR160" s="564" t="s">
        <v>34545</v>
      </c>
      <c r="HS160" s="564" t="s">
        <v>16</v>
      </c>
      <c r="HT160" s="568" t="s">
        <v>34537</v>
      </c>
    </row>
    <row r="161" spans="1:228" ht="30.2" customHeight="1" x14ac:dyDescent="0.25">
      <c r="A161" s="759"/>
      <c r="B161" s="563">
        <v>110</v>
      </c>
      <c r="C161" s="563" t="s">
        <v>15516</v>
      </c>
      <c r="D161" s="564" t="s">
        <v>34595</v>
      </c>
      <c r="E161" s="564" t="s">
        <v>34457</v>
      </c>
      <c r="F161" s="564" t="s">
        <v>7</v>
      </c>
      <c r="G161" s="564" t="s">
        <v>34596</v>
      </c>
      <c r="H161" s="564">
        <v>1135.4000000000001</v>
      </c>
      <c r="I161" s="564">
        <v>5</v>
      </c>
      <c r="J161" s="564" t="s">
        <v>29288</v>
      </c>
      <c r="K161" s="564" t="s">
        <v>4</v>
      </c>
      <c r="L161" s="564" t="s">
        <v>34597</v>
      </c>
      <c r="M161" s="564">
        <v>750404701</v>
      </c>
      <c r="N161" s="564" t="s">
        <v>3</v>
      </c>
      <c r="O161" s="564" t="s">
        <v>31438</v>
      </c>
      <c r="P161" s="564">
        <v>45</v>
      </c>
      <c r="Q161" s="564">
        <v>2</v>
      </c>
      <c r="R161" s="564" t="s">
        <v>7</v>
      </c>
      <c r="S161" s="564" t="s">
        <v>31588</v>
      </c>
      <c r="T161" s="564" t="s">
        <v>4</v>
      </c>
      <c r="U161" s="564" t="s">
        <v>2</v>
      </c>
      <c r="V161" s="564" t="s">
        <v>4</v>
      </c>
      <c r="W161" s="564" t="s">
        <v>4</v>
      </c>
      <c r="X161" s="564" t="s">
        <v>4</v>
      </c>
      <c r="Y161" s="564" t="s">
        <v>4</v>
      </c>
      <c r="Z161" s="565">
        <v>44303</v>
      </c>
      <c r="AA161" s="557" t="str">
        <f>IF(OR(U161="yes",Z161&gt;'SDG outcome'!$C$39),"yes","no")</f>
        <v>no</v>
      </c>
      <c r="AB161" s="565" t="str">
        <f t="shared" si="6"/>
        <v/>
      </c>
      <c r="AC161" s="566" t="str">
        <f>IF(AND('SMS p2'!AA122="no",AND(Z161&gt;='SDG outcome'!$B$28,Z161&lt;'SDG outcome'!$C$39)),Z161-'SDG outcome'!$B$28,"")</f>
        <v/>
      </c>
      <c r="AD161" s="564" t="s">
        <v>31685</v>
      </c>
      <c r="AE161" s="564" t="s">
        <v>4</v>
      </c>
      <c r="AF161" s="564" t="s">
        <v>4</v>
      </c>
      <c r="AG161" s="564" t="s">
        <v>4</v>
      </c>
      <c r="AH161" s="564" t="s">
        <v>4</v>
      </c>
      <c r="AI161" s="564" t="s">
        <v>4</v>
      </c>
      <c r="AJ161" s="564" t="s">
        <v>4</v>
      </c>
      <c r="AK161" s="564" t="s">
        <v>4</v>
      </c>
      <c r="AL161" s="564"/>
      <c r="AM161" s="564"/>
      <c r="AN161" s="564"/>
      <c r="AO161" s="564"/>
      <c r="AP161" s="564"/>
      <c r="AQ161" s="564"/>
      <c r="AR161" s="564"/>
      <c r="AS161" s="564"/>
      <c r="AT161" s="564"/>
      <c r="AU161" s="564"/>
      <c r="AV161" s="564"/>
      <c r="AW161" s="564"/>
      <c r="AX161" s="564"/>
      <c r="AY161" s="564"/>
      <c r="AZ161" s="564"/>
      <c r="BA161" s="564"/>
      <c r="BB161" s="564"/>
      <c r="BC161" s="564"/>
      <c r="BD161" s="571"/>
      <c r="BE161" s="564"/>
      <c r="BF161" s="564"/>
      <c r="BG161" s="564"/>
      <c r="BH161" s="564"/>
      <c r="BI161" s="564"/>
      <c r="BJ161" s="564"/>
      <c r="BK161" s="564"/>
      <c r="BL161" s="564"/>
      <c r="BM161" s="564"/>
      <c r="BN161" s="564"/>
      <c r="BO161" s="564"/>
      <c r="BP161" s="564"/>
      <c r="BQ161" s="564"/>
      <c r="BR161" s="567"/>
      <c r="BS161" s="564"/>
      <c r="BT161" s="564"/>
      <c r="BU161" s="564"/>
      <c r="BV161" s="564"/>
      <c r="BW161" s="567"/>
      <c r="BX161" s="564"/>
      <c r="BY161" s="564"/>
      <c r="BZ161" s="564"/>
      <c r="CA161" s="564"/>
      <c r="CB161" s="564"/>
      <c r="CC161" s="564"/>
      <c r="CD161" s="564"/>
      <c r="CE161" s="564"/>
      <c r="CF161" s="564"/>
      <c r="CG161" s="564"/>
      <c r="CH161" s="564"/>
      <c r="CI161" s="564"/>
      <c r="CJ161" s="564"/>
      <c r="CK161" s="564"/>
      <c r="CL161" s="564"/>
      <c r="CM161" s="564"/>
      <c r="CN161" s="564"/>
      <c r="CO161" s="564"/>
      <c r="CP161" s="564"/>
      <c r="CQ161" s="564"/>
      <c r="CR161" s="564"/>
      <c r="CS161" s="564"/>
      <c r="CT161" s="568"/>
      <c r="CU161" s="563"/>
      <c r="CV161" s="564"/>
      <c r="CW161" s="568"/>
      <c r="CX161" s="563"/>
      <c r="CY161" s="564"/>
      <c r="CZ161" s="568"/>
      <c r="DA161" s="563"/>
      <c r="DB161" s="564"/>
      <c r="DC161" s="564"/>
      <c r="DD161" s="564"/>
      <c r="DE161" s="564"/>
      <c r="DF161" s="564"/>
      <c r="DG161" s="564"/>
      <c r="DH161" s="564"/>
      <c r="DI161" s="564"/>
      <c r="DJ161" s="564"/>
      <c r="DK161" s="564"/>
      <c r="DL161" s="564"/>
      <c r="DM161" s="564"/>
      <c r="DN161" s="564"/>
      <c r="DO161" s="564"/>
      <c r="DP161" s="564"/>
      <c r="DQ161" s="564"/>
      <c r="DR161" s="564"/>
      <c r="DS161" s="569"/>
      <c r="DT161" s="564"/>
      <c r="DU161" s="569"/>
      <c r="DV161" s="568"/>
      <c r="DW161" s="563"/>
      <c r="DX161" s="564"/>
      <c r="DY161" s="564"/>
      <c r="DZ161" s="564"/>
      <c r="EA161" s="564"/>
      <c r="EB161" s="564"/>
      <c r="EC161" s="564"/>
      <c r="ED161" s="564"/>
      <c r="EE161" s="564"/>
      <c r="EF161" s="564"/>
      <c r="EG161" s="564"/>
      <c r="EH161" s="564"/>
      <c r="EI161" s="564"/>
      <c r="EJ161" s="564"/>
      <c r="EK161" s="564"/>
      <c r="EL161" s="564"/>
      <c r="EM161" s="564"/>
      <c r="EN161" s="564"/>
      <c r="EO161" s="564"/>
      <c r="EP161" s="564"/>
      <c r="EQ161" s="564"/>
      <c r="ER161" s="564"/>
      <c r="ES161" s="564"/>
      <c r="ET161" s="564"/>
      <c r="EU161" s="564"/>
      <c r="EV161" s="564"/>
      <c r="EW161" s="564"/>
      <c r="EX161" s="564"/>
      <c r="EY161" s="564"/>
      <c r="EZ161" s="239"/>
      <c r="FA161" s="564"/>
      <c r="FB161" s="564"/>
      <c r="FC161" s="564"/>
      <c r="FD161" s="564"/>
      <c r="FE161" s="564"/>
      <c r="FF161" s="564"/>
      <c r="FG161" s="564"/>
      <c r="FH161" s="564"/>
      <c r="FI161" s="564"/>
      <c r="FJ161" s="564"/>
      <c r="FK161" s="564"/>
      <c r="FL161" s="564"/>
      <c r="FM161" s="564"/>
      <c r="FN161" s="569"/>
      <c r="FO161" s="564"/>
      <c r="FP161" s="564"/>
      <c r="FQ161" s="564"/>
      <c r="FR161" s="564"/>
      <c r="FS161" s="564"/>
      <c r="FT161" s="564"/>
      <c r="FU161" s="564"/>
      <c r="FV161" s="564"/>
      <c r="FW161" s="564"/>
      <c r="FX161" s="564"/>
      <c r="FY161" s="564"/>
      <c r="FZ161" s="564"/>
      <c r="GA161" s="564"/>
      <c r="GB161" s="564"/>
      <c r="GC161" s="564"/>
      <c r="GD161" s="564"/>
      <c r="GE161" s="564"/>
      <c r="GF161" s="564"/>
      <c r="GG161" s="564"/>
      <c r="GH161" s="564"/>
      <c r="GI161" s="564"/>
      <c r="GJ161" s="564"/>
      <c r="GK161" s="564"/>
      <c r="GL161" s="564"/>
      <c r="GM161" s="564"/>
      <c r="GN161" s="564"/>
      <c r="GO161" s="564"/>
      <c r="GP161" s="564"/>
      <c r="GQ161" s="564"/>
      <c r="GR161" s="564"/>
      <c r="GS161" s="564"/>
      <c r="GT161" s="564"/>
      <c r="GU161" s="564"/>
      <c r="GV161" s="569"/>
      <c r="GW161" s="564"/>
      <c r="GX161" s="564"/>
      <c r="GY161" s="564"/>
      <c r="GZ161" s="564"/>
      <c r="HA161" s="564"/>
      <c r="HB161" s="564"/>
      <c r="HC161" s="564"/>
      <c r="HD161" s="564"/>
      <c r="HE161" s="564"/>
      <c r="HF161" s="564"/>
      <c r="HG161" s="564"/>
      <c r="HH161" s="564"/>
      <c r="HI161" s="564"/>
      <c r="HJ161" s="564"/>
      <c r="HK161" s="569"/>
      <c r="HL161" s="564" t="s">
        <v>34598</v>
      </c>
      <c r="HM161" s="564" t="s">
        <v>7</v>
      </c>
      <c r="HN161" s="564" t="s">
        <v>34599</v>
      </c>
      <c r="HO161" s="564" t="s">
        <v>34600</v>
      </c>
      <c r="HP161" s="564" t="s">
        <v>34601</v>
      </c>
      <c r="HQ161" s="564" t="s">
        <v>34602</v>
      </c>
      <c r="HR161" s="564" t="s">
        <v>34603</v>
      </c>
      <c r="HS161" s="564" t="s">
        <v>34604</v>
      </c>
      <c r="HT161" s="568" t="s">
        <v>34595</v>
      </c>
    </row>
    <row r="162" spans="1:228" ht="30.2" customHeight="1" x14ac:dyDescent="0.25">
      <c r="A162" s="759"/>
      <c r="B162" s="563">
        <v>117</v>
      </c>
      <c r="C162" s="563" t="s">
        <v>28904</v>
      </c>
      <c r="D162" s="564" t="s">
        <v>34673</v>
      </c>
      <c r="E162" s="564" t="s">
        <v>34639</v>
      </c>
      <c r="F162" s="564" t="s">
        <v>7</v>
      </c>
      <c r="G162" s="564" t="s">
        <v>34674</v>
      </c>
      <c r="H162" s="564">
        <v>1422.9</v>
      </c>
      <c r="I162" s="564">
        <v>4.5</v>
      </c>
      <c r="J162" s="564" t="s">
        <v>29389</v>
      </c>
      <c r="K162" s="564" t="s">
        <v>22</v>
      </c>
      <c r="L162" s="564" t="s">
        <v>34675</v>
      </c>
      <c r="M162" s="564">
        <v>764498356</v>
      </c>
      <c r="N162" s="564" t="s">
        <v>5</v>
      </c>
      <c r="O162" s="564" t="s">
        <v>31438</v>
      </c>
      <c r="P162" s="564">
        <v>30</v>
      </c>
      <c r="Q162" s="564">
        <v>5</v>
      </c>
      <c r="R162" s="564" t="s">
        <v>7</v>
      </c>
      <c r="S162" s="564" t="s">
        <v>31549</v>
      </c>
      <c r="T162" s="564" t="s">
        <v>4</v>
      </c>
      <c r="U162" s="564" t="s">
        <v>2</v>
      </c>
      <c r="V162" s="564" t="s">
        <v>4</v>
      </c>
      <c r="W162" s="564" t="s">
        <v>4</v>
      </c>
      <c r="X162" s="564" t="s">
        <v>4</v>
      </c>
      <c r="Y162" s="564" t="s">
        <v>4</v>
      </c>
      <c r="Z162" s="565">
        <v>45191</v>
      </c>
      <c r="AA162" s="557" t="str">
        <f>IF(OR(U162="yes",Z162&gt;'SDG outcome'!$C$39),"yes","no")</f>
        <v>no</v>
      </c>
      <c r="AB162" s="565" t="str">
        <f t="shared" si="6"/>
        <v/>
      </c>
      <c r="AC162" s="566" t="str">
        <f>IF(AND('SMS p2'!AA129="no",AND(Z162&gt;='SDG outcome'!$B$28,Z162&lt;'SDG outcome'!$C$39)),Z162-'SDG outcome'!$B$28,"")</f>
        <v/>
      </c>
      <c r="AD162" s="564" t="s">
        <v>31685</v>
      </c>
      <c r="AE162" s="564" t="s">
        <v>4</v>
      </c>
      <c r="AF162" s="564" t="s">
        <v>4</v>
      </c>
      <c r="AG162" s="564" t="s">
        <v>4</v>
      </c>
      <c r="AH162" s="564" t="s">
        <v>4</v>
      </c>
      <c r="AI162" s="564" t="s">
        <v>4</v>
      </c>
      <c r="AJ162" s="564" t="s">
        <v>4</v>
      </c>
      <c r="AK162" s="564" t="s">
        <v>4</v>
      </c>
      <c r="AL162" s="564"/>
      <c r="AM162" s="564"/>
      <c r="AN162" s="564"/>
      <c r="AO162" s="564"/>
      <c r="AP162" s="564"/>
      <c r="AQ162" s="564"/>
      <c r="AR162" s="564"/>
      <c r="AS162" s="564"/>
      <c r="AT162" s="564"/>
      <c r="AU162" s="564"/>
      <c r="AV162" s="564"/>
      <c r="AW162" s="564"/>
      <c r="AX162" s="564"/>
      <c r="AY162" s="564"/>
      <c r="AZ162" s="564"/>
      <c r="BA162" s="564"/>
      <c r="BB162" s="564"/>
      <c r="BC162" s="564"/>
      <c r="BD162" s="564"/>
      <c r="BE162" s="564"/>
      <c r="BF162" s="564"/>
      <c r="BG162" s="564"/>
      <c r="BH162" s="564"/>
      <c r="BI162" s="564"/>
      <c r="BJ162" s="564"/>
      <c r="BK162" s="564"/>
      <c r="BL162" s="564"/>
      <c r="BM162" s="564"/>
      <c r="BN162" s="564"/>
      <c r="BO162" s="564"/>
      <c r="BP162" s="564"/>
      <c r="BQ162" s="564"/>
      <c r="BR162" s="567"/>
      <c r="BS162" s="564"/>
      <c r="BT162" s="564"/>
      <c r="BU162" s="564"/>
      <c r="BV162" s="564"/>
      <c r="BW162" s="567"/>
      <c r="BX162" s="564"/>
      <c r="BY162" s="564"/>
      <c r="BZ162" s="564"/>
      <c r="CA162" s="564"/>
      <c r="CB162" s="564"/>
      <c r="CC162" s="564"/>
      <c r="CD162" s="564"/>
      <c r="CE162" s="564"/>
      <c r="CF162" s="564"/>
      <c r="CG162" s="564"/>
      <c r="CH162" s="564"/>
      <c r="CI162" s="564"/>
      <c r="CJ162" s="564"/>
      <c r="CK162" s="564"/>
      <c r="CL162" s="564"/>
      <c r="CM162" s="564"/>
      <c r="CN162" s="564"/>
      <c r="CO162" s="564"/>
      <c r="CP162" s="564"/>
      <c r="CQ162" s="564"/>
      <c r="CR162" s="564"/>
      <c r="CS162" s="564"/>
      <c r="CT162" s="568"/>
      <c r="CU162" s="563"/>
      <c r="CV162" s="564"/>
      <c r="CW162" s="568"/>
      <c r="CX162" s="563"/>
      <c r="CY162" s="564"/>
      <c r="CZ162" s="568"/>
      <c r="DA162" s="563"/>
      <c r="DB162" s="564"/>
      <c r="DC162" s="564"/>
      <c r="DD162" s="564"/>
      <c r="DE162" s="564"/>
      <c r="DF162" s="564"/>
      <c r="DG162" s="564"/>
      <c r="DH162" s="564"/>
      <c r="DI162" s="564"/>
      <c r="DJ162" s="564"/>
      <c r="DK162" s="564"/>
      <c r="DL162" s="564"/>
      <c r="DM162" s="564"/>
      <c r="DN162" s="564"/>
      <c r="DO162" s="564"/>
      <c r="DP162" s="564"/>
      <c r="DQ162" s="564"/>
      <c r="DR162" s="564"/>
      <c r="DS162" s="569"/>
      <c r="DT162" s="564"/>
      <c r="DU162" s="569"/>
      <c r="DV162" s="568"/>
      <c r="DW162" s="563"/>
      <c r="DX162" s="564"/>
      <c r="DY162" s="564"/>
      <c r="DZ162" s="564"/>
      <c r="EA162" s="564"/>
      <c r="EB162" s="564"/>
      <c r="EC162" s="564"/>
      <c r="ED162" s="564"/>
      <c r="EE162" s="564"/>
      <c r="EF162" s="564"/>
      <c r="EG162" s="564"/>
      <c r="EH162" s="564"/>
      <c r="EI162" s="564"/>
      <c r="EJ162" s="564"/>
      <c r="EK162" s="564"/>
      <c r="EL162" s="564"/>
      <c r="EM162" s="564"/>
      <c r="EN162" s="564"/>
      <c r="EO162" s="564"/>
      <c r="EP162" s="564"/>
      <c r="EQ162" s="564"/>
      <c r="ER162" s="564"/>
      <c r="ES162" s="564"/>
      <c r="ET162" s="564"/>
      <c r="EU162" s="564"/>
      <c r="EV162" s="564"/>
      <c r="EW162" s="564"/>
      <c r="EX162" s="564"/>
      <c r="EY162" s="564"/>
      <c r="EZ162" s="239"/>
      <c r="FA162" s="564"/>
      <c r="FB162" s="564"/>
      <c r="FC162" s="564"/>
      <c r="FD162" s="564"/>
      <c r="FE162" s="564"/>
      <c r="FF162" s="564"/>
      <c r="FG162" s="564"/>
      <c r="FH162" s="564"/>
      <c r="FI162" s="564"/>
      <c r="FJ162" s="564"/>
      <c r="FK162" s="564"/>
      <c r="FL162" s="564"/>
      <c r="FM162" s="564"/>
      <c r="FN162" s="569"/>
      <c r="FO162" s="564"/>
      <c r="FP162" s="564"/>
      <c r="FQ162" s="564"/>
      <c r="FR162" s="564"/>
      <c r="FS162" s="564"/>
      <c r="FT162" s="564"/>
      <c r="FU162" s="564"/>
      <c r="FV162" s="564"/>
      <c r="FW162" s="564"/>
      <c r="FX162" s="564"/>
      <c r="FY162" s="564"/>
      <c r="FZ162" s="564"/>
      <c r="GA162" s="564"/>
      <c r="GB162" s="564"/>
      <c r="GC162" s="564"/>
      <c r="GD162" s="564"/>
      <c r="GE162" s="564"/>
      <c r="GF162" s="564"/>
      <c r="GG162" s="564"/>
      <c r="GH162" s="564"/>
      <c r="GI162" s="564"/>
      <c r="GJ162" s="564"/>
      <c r="GK162" s="564"/>
      <c r="GL162" s="564"/>
      <c r="GM162" s="564"/>
      <c r="GN162" s="564"/>
      <c r="GO162" s="564"/>
      <c r="GP162" s="564"/>
      <c r="GQ162" s="564"/>
      <c r="GR162" s="564"/>
      <c r="GS162" s="564"/>
      <c r="GT162" s="564"/>
      <c r="GU162" s="564"/>
      <c r="GV162" s="569"/>
      <c r="GW162" s="564"/>
      <c r="GX162" s="564"/>
      <c r="GY162" s="564"/>
      <c r="GZ162" s="564"/>
      <c r="HA162" s="564"/>
      <c r="HB162" s="564"/>
      <c r="HC162" s="564"/>
      <c r="HD162" s="564"/>
      <c r="HE162" s="564"/>
      <c r="HF162" s="564"/>
      <c r="HG162" s="564"/>
      <c r="HH162" s="564"/>
      <c r="HI162" s="564"/>
      <c r="HJ162" s="564"/>
      <c r="HK162" s="569"/>
      <c r="HL162" s="564" t="s">
        <v>34676</v>
      </c>
      <c r="HM162" s="564" t="s">
        <v>2</v>
      </c>
      <c r="HN162" s="564" t="s">
        <v>4</v>
      </c>
      <c r="HO162" s="564" t="s">
        <v>34677</v>
      </c>
      <c r="HP162" s="564" t="s">
        <v>34678</v>
      </c>
      <c r="HQ162" s="564" t="s">
        <v>34679</v>
      </c>
      <c r="HR162" s="564" t="s">
        <v>34680</v>
      </c>
      <c r="HS162" s="564" t="s">
        <v>34681</v>
      </c>
      <c r="HT162" s="568" t="s">
        <v>34673</v>
      </c>
    </row>
    <row r="163" spans="1:228" ht="30.2" customHeight="1" x14ac:dyDescent="0.25">
      <c r="A163" s="759"/>
      <c r="B163" s="563">
        <v>126</v>
      </c>
      <c r="C163" s="563" t="s">
        <v>4789</v>
      </c>
      <c r="D163" s="564" t="s">
        <v>34778</v>
      </c>
      <c r="E163" s="564" t="s">
        <v>30392</v>
      </c>
      <c r="F163" s="564" t="s">
        <v>7</v>
      </c>
      <c r="G163" s="564" t="s">
        <v>34779</v>
      </c>
      <c r="H163" s="564">
        <v>1129.5999999999999</v>
      </c>
      <c r="I163" s="564">
        <v>4.9000000000000004</v>
      </c>
      <c r="J163" s="564" t="s">
        <v>29288</v>
      </c>
      <c r="K163" s="564" t="s">
        <v>4</v>
      </c>
      <c r="L163" s="564" t="s">
        <v>34780</v>
      </c>
      <c r="M163" s="564">
        <v>783696453</v>
      </c>
      <c r="N163" s="564" t="s">
        <v>3</v>
      </c>
      <c r="O163" s="564" t="s">
        <v>31598</v>
      </c>
      <c r="P163" s="564" t="s">
        <v>4</v>
      </c>
      <c r="Q163" s="564">
        <v>10</v>
      </c>
      <c r="R163" s="564" t="s">
        <v>7</v>
      </c>
      <c r="S163" s="564" t="s">
        <v>31588</v>
      </c>
      <c r="T163" s="564" t="s">
        <v>4</v>
      </c>
      <c r="U163" s="564" t="s">
        <v>2</v>
      </c>
      <c r="V163" s="564" t="s">
        <v>4</v>
      </c>
      <c r="W163" s="564" t="s">
        <v>4</v>
      </c>
      <c r="X163" s="564" t="s">
        <v>4</v>
      </c>
      <c r="Y163" s="564" t="s">
        <v>4</v>
      </c>
      <c r="Z163" s="565">
        <v>45108</v>
      </c>
      <c r="AA163" s="557" t="str">
        <f>IF(OR(U163="yes",Z163&gt;'SDG outcome'!$C$39),"yes","no")</f>
        <v>no</v>
      </c>
      <c r="AB163" s="565" t="str">
        <f t="shared" si="6"/>
        <v/>
      </c>
      <c r="AC163" s="566" t="str">
        <f>IF(AND('SMS p2'!AA138="no",AND(Z163&gt;='SDG outcome'!$B$28,Z163&lt;'SDG outcome'!$C$39)),Z163-'SDG outcome'!$B$28,"")</f>
        <v/>
      </c>
      <c r="AD163" s="564" t="s">
        <v>31685</v>
      </c>
      <c r="AE163" s="564" t="s">
        <v>4</v>
      </c>
      <c r="AF163" s="564" t="s">
        <v>4</v>
      </c>
      <c r="AG163" s="564" t="s">
        <v>4</v>
      </c>
      <c r="AH163" s="564" t="s">
        <v>4</v>
      </c>
      <c r="AI163" s="564" t="s">
        <v>4</v>
      </c>
      <c r="AJ163" s="564" t="s">
        <v>4</v>
      </c>
      <c r="AK163" s="564" t="s">
        <v>4</v>
      </c>
      <c r="AL163" s="564"/>
      <c r="AM163" s="564"/>
      <c r="AN163" s="564"/>
      <c r="AO163" s="564"/>
      <c r="AP163" s="564"/>
      <c r="AQ163" s="564"/>
      <c r="AR163" s="564"/>
      <c r="AS163" s="564"/>
      <c r="AT163" s="564"/>
      <c r="AU163" s="564"/>
      <c r="AV163" s="564"/>
      <c r="AW163" s="564"/>
      <c r="AX163" s="564"/>
      <c r="AY163" s="564"/>
      <c r="AZ163" s="564"/>
      <c r="BA163" s="564"/>
      <c r="BB163" s="564"/>
      <c r="BC163" s="564"/>
      <c r="BD163" s="564"/>
      <c r="BE163" s="564"/>
      <c r="BF163" s="564"/>
      <c r="BG163" s="564"/>
      <c r="BH163" s="564"/>
      <c r="BI163" s="564"/>
      <c r="BJ163" s="564"/>
      <c r="BK163" s="564"/>
      <c r="BL163" s="564"/>
      <c r="BM163" s="564"/>
      <c r="BN163" s="564"/>
      <c r="BO163" s="564"/>
      <c r="BP163" s="564"/>
      <c r="BQ163" s="564"/>
      <c r="BR163" s="567"/>
      <c r="BS163" s="564"/>
      <c r="BT163" s="564"/>
      <c r="BU163" s="564"/>
      <c r="BV163" s="564"/>
      <c r="BW163" s="567"/>
      <c r="BX163" s="564"/>
      <c r="BY163" s="564"/>
      <c r="BZ163" s="564"/>
      <c r="CA163" s="564"/>
      <c r="CB163" s="564"/>
      <c r="CC163" s="564"/>
      <c r="CD163" s="564"/>
      <c r="CE163" s="564"/>
      <c r="CF163" s="564"/>
      <c r="CG163" s="564"/>
      <c r="CH163" s="564"/>
      <c r="CI163" s="564"/>
      <c r="CJ163" s="564"/>
      <c r="CK163" s="564"/>
      <c r="CL163" s="564"/>
      <c r="CM163" s="564"/>
      <c r="CN163" s="564"/>
      <c r="CO163" s="564"/>
      <c r="CP163" s="564"/>
      <c r="CQ163" s="564"/>
      <c r="CR163" s="564"/>
      <c r="CS163" s="564"/>
      <c r="CT163" s="568"/>
      <c r="CU163" s="563"/>
      <c r="CV163" s="564"/>
      <c r="CW163" s="568"/>
      <c r="CX163" s="563"/>
      <c r="CY163" s="564"/>
      <c r="CZ163" s="568"/>
      <c r="DA163" s="563"/>
      <c r="DB163" s="564"/>
      <c r="DC163" s="564"/>
      <c r="DD163" s="564"/>
      <c r="DE163" s="564"/>
      <c r="DF163" s="564"/>
      <c r="DG163" s="564"/>
      <c r="DH163" s="564"/>
      <c r="DI163" s="564"/>
      <c r="DJ163" s="564"/>
      <c r="DK163" s="564"/>
      <c r="DL163" s="564"/>
      <c r="DM163" s="564"/>
      <c r="DN163" s="564"/>
      <c r="DO163" s="564"/>
      <c r="DP163" s="564"/>
      <c r="DQ163" s="564"/>
      <c r="DR163" s="564"/>
      <c r="DS163" s="569"/>
      <c r="DT163" s="564"/>
      <c r="DU163" s="569"/>
      <c r="DV163" s="568"/>
      <c r="DW163" s="563"/>
      <c r="DX163" s="564"/>
      <c r="DY163" s="564"/>
      <c r="DZ163" s="564"/>
      <c r="EA163" s="564"/>
      <c r="EB163" s="564"/>
      <c r="EC163" s="564"/>
      <c r="ED163" s="564"/>
      <c r="EE163" s="564"/>
      <c r="EF163" s="564"/>
      <c r="EG163" s="564"/>
      <c r="EH163" s="564"/>
      <c r="EI163" s="564"/>
      <c r="EJ163" s="564"/>
      <c r="EK163" s="564"/>
      <c r="EL163" s="564"/>
      <c r="EM163" s="564"/>
      <c r="EN163" s="564"/>
      <c r="EO163" s="564"/>
      <c r="EP163" s="564"/>
      <c r="EQ163" s="564"/>
      <c r="ER163" s="564"/>
      <c r="ES163" s="564"/>
      <c r="ET163" s="564"/>
      <c r="EU163" s="564"/>
      <c r="EV163" s="564"/>
      <c r="EW163" s="564"/>
      <c r="EX163" s="564"/>
      <c r="EY163" s="564"/>
      <c r="EZ163" s="239"/>
      <c r="FA163" s="564"/>
      <c r="FB163" s="564"/>
      <c r="FC163" s="564"/>
      <c r="FD163" s="564"/>
      <c r="FE163" s="564"/>
      <c r="FF163" s="564"/>
      <c r="FG163" s="564"/>
      <c r="FH163" s="564"/>
      <c r="FI163" s="564"/>
      <c r="FJ163" s="564"/>
      <c r="FK163" s="564"/>
      <c r="FL163" s="564"/>
      <c r="FM163" s="564"/>
      <c r="FN163" s="569"/>
      <c r="FO163" s="564"/>
      <c r="FP163" s="564"/>
      <c r="FQ163" s="564"/>
      <c r="FR163" s="564"/>
      <c r="FS163" s="564"/>
      <c r="FT163" s="564"/>
      <c r="FU163" s="564"/>
      <c r="FV163" s="564"/>
      <c r="FW163" s="564"/>
      <c r="FX163" s="564"/>
      <c r="FY163" s="564"/>
      <c r="FZ163" s="564"/>
      <c r="GA163" s="564"/>
      <c r="GB163" s="564"/>
      <c r="GC163" s="564"/>
      <c r="GD163" s="564"/>
      <c r="GE163" s="564"/>
      <c r="GF163" s="564"/>
      <c r="GG163" s="564"/>
      <c r="GH163" s="564"/>
      <c r="GI163" s="564"/>
      <c r="GJ163" s="564"/>
      <c r="GK163" s="564"/>
      <c r="GL163" s="564"/>
      <c r="GM163" s="564"/>
      <c r="GN163" s="564"/>
      <c r="GO163" s="564"/>
      <c r="GP163" s="564"/>
      <c r="GQ163" s="564"/>
      <c r="GR163" s="564"/>
      <c r="GS163" s="564"/>
      <c r="GT163" s="564"/>
      <c r="GU163" s="564"/>
      <c r="GV163" s="569"/>
      <c r="GW163" s="564"/>
      <c r="GX163" s="564"/>
      <c r="GY163" s="564"/>
      <c r="GZ163" s="564"/>
      <c r="HA163" s="564"/>
      <c r="HB163" s="564"/>
      <c r="HC163" s="564"/>
      <c r="HD163" s="564"/>
      <c r="HE163" s="564"/>
      <c r="HF163" s="564"/>
      <c r="HG163" s="564"/>
      <c r="HH163" s="564"/>
      <c r="HI163" s="564"/>
      <c r="HJ163" s="564"/>
      <c r="HK163" s="569"/>
      <c r="HL163" s="564" t="s">
        <v>34781</v>
      </c>
      <c r="HM163" s="564" t="s">
        <v>7</v>
      </c>
      <c r="HN163" s="564" t="s">
        <v>34782</v>
      </c>
      <c r="HO163" s="564" t="s">
        <v>34783</v>
      </c>
      <c r="HP163" s="564" t="s">
        <v>34784</v>
      </c>
      <c r="HQ163" s="564" t="s">
        <v>34785</v>
      </c>
      <c r="HR163" s="564" t="s">
        <v>34786</v>
      </c>
      <c r="HS163" s="564" t="s">
        <v>16</v>
      </c>
      <c r="HT163" s="568" t="s">
        <v>34778</v>
      </c>
    </row>
    <row r="164" spans="1:228" ht="30.2" customHeight="1" x14ac:dyDescent="0.25">
      <c r="A164" s="759"/>
      <c r="B164" s="563">
        <v>147</v>
      </c>
      <c r="C164" s="563" t="s">
        <v>8477</v>
      </c>
      <c r="D164" s="564" t="s">
        <v>35008</v>
      </c>
      <c r="E164" s="564" t="s">
        <v>83</v>
      </c>
      <c r="F164" s="564" t="s">
        <v>7</v>
      </c>
      <c r="G164" s="564" t="s">
        <v>35009</v>
      </c>
      <c r="H164" s="564">
        <v>1201.7829999999999</v>
      </c>
      <c r="I164" s="564">
        <v>2.9876299999999998</v>
      </c>
      <c r="J164" s="564" t="s">
        <v>29288</v>
      </c>
      <c r="K164" s="564" t="s">
        <v>4</v>
      </c>
      <c r="L164" s="564" t="s">
        <v>35010</v>
      </c>
      <c r="M164" s="564">
        <v>751177734</v>
      </c>
      <c r="N164" s="564" t="s">
        <v>3</v>
      </c>
      <c r="O164" s="564" t="s">
        <v>31438</v>
      </c>
      <c r="P164" s="564">
        <v>26</v>
      </c>
      <c r="Q164" s="564">
        <v>8</v>
      </c>
      <c r="R164" s="564" t="s">
        <v>7</v>
      </c>
      <c r="S164" s="564" t="s">
        <v>31549</v>
      </c>
      <c r="T164" s="564" t="s">
        <v>4</v>
      </c>
      <c r="U164" s="564" t="s">
        <v>2</v>
      </c>
      <c r="V164" s="564" t="s">
        <v>4</v>
      </c>
      <c r="W164" s="564" t="s">
        <v>4</v>
      </c>
      <c r="X164" s="564" t="s">
        <v>4</v>
      </c>
      <c r="Y164" s="564" t="s">
        <v>4</v>
      </c>
      <c r="Z164" s="565">
        <v>44621</v>
      </c>
      <c r="AA164" s="557" t="str">
        <f>IF(OR(U164="yes",Z164&gt;'SDG outcome'!$C$39),"yes","no")</f>
        <v>no</v>
      </c>
      <c r="AB164" s="565" t="str">
        <f t="shared" si="6"/>
        <v/>
      </c>
      <c r="AC164" s="566" t="str">
        <f>IF(AND('SMS p2'!AA159="no",AND(Z164&gt;='SDG outcome'!$B$28,Z164&lt;'SDG outcome'!$C$39)),Z164-'SDG outcome'!$B$28,"")</f>
        <v/>
      </c>
      <c r="AD164" s="564" t="s">
        <v>31685</v>
      </c>
      <c r="AE164" s="564" t="s">
        <v>4</v>
      </c>
      <c r="AF164" s="564" t="s">
        <v>4</v>
      </c>
      <c r="AG164" s="564" t="s">
        <v>4</v>
      </c>
      <c r="AH164" s="564" t="s">
        <v>4</v>
      </c>
      <c r="AI164" s="564" t="s">
        <v>4</v>
      </c>
      <c r="AJ164" s="564" t="s">
        <v>4</v>
      </c>
      <c r="AK164" s="564" t="s">
        <v>4</v>
      </c>
      <c r="AL164" s="564"/>
      <c r="AM164" s="564"/>
      <c r="AN164" s="564"/>
      <c r="AO164" s="564"/>
      <c r="AP164" s="564"/>
      <c r="AQ164" s="564"/>
      <c r="AR164" s="564"/>
      <c r="AS164" s="564"/>
      <c r="AT164" s="564"/>
      <c r="AU164" s="564"/>
      <c r="AV164" s="564"/>
      <c r="AW164" s="564"/>
      <c r="AX164" s="564"/>
      <c r="AY164" s="564"/>
      <c r="AZ164" s="564"/>
      <c r="BA164" s="564"/>
      <c r="BB164" s="564"/>
      <c r="BC164" s="564"/>
      <c r="BD164" s="564"/>
      <c r="BE164" s="564"/>
      <c r="BF164" s="564"/>
      <c r="BG164" s="564"/>
      <c r="BH164" s="564"/>
      <c r="BI164" s="564"/>
      <c r="BJ164" s="564"/>
      <c r="BK164" s="564"/>
      <c r="BL164" s="564"/>
      <c r="BM164" s="564"/>
      <c r="BN164" s="564"/>
      <c r="BO164" s="564"/>
      <c r="BP164" s="564"/>
      <c r="BQ164" s="564"/>
      <c r="BR164" s="567"/>
      <c r="BS164" s="564"/>
      <c r="BT164" s="564"/>
      <c r="BU164" s="564"/>
      <c r="BV164" s="564"/>
      <c r="BW164" s="567"/>
      <c r="BX164" s="564"/>
      <c r="BY164" s="564"/>
      <c r="BZ164" s="564"/>
      <c r="CA164" s="564"/>
      <c r="CB164" s="564"/>
      <c r="CC164" s="564"/>
      <c r="CD164" s="564"/>
      <c r="CE164" s="564"/>
      <c r="CF164" s="564"/>
      <c r="CG164" s="564"/>
      <c r="CH164" s="564"/>
      <c r="CI164" s="564"/>
      <c r="CJ164" s="564"/>
      <c r="CK164" s="564"/>
      <c r="CL164" s="564"/>
      <c r="CM164" s="564"/>
      <c r="CN164" s="564"/>
      <c r="CO164" s="564"/>
      <c r="CP164" s="564"/>
      <c r="CQ164" s="564"/>
      <c r="CR164" s="564"/>
      <c r="CS164" s="564"/>
      <c r="CT164" s="568"/>
      <c r="CU164" s="563"/>
      <c r="CV164" s="564"/>
      <c r="CW164" s="568"/>
      <c r="CX164" s="563"/>
      <c r="CY164" s="564"/>
      <c r="CZ164" s="568"/>
      <c r="DA164" s="563"/>
      <c r="DB164" s="564"/>
      <c r="DC164" s="564"/>
      <c r="DD164" s="564"/>
      <c r="DE164" s="564"/>
      <c r="DF164" s="564"/>
      <c r="DG164" s="564"/>
      <c r="DH164" s="564"/>
      <c r="DI164" s="564"/>
      <c r="DJ164" s="564"/>
      <c r="DK164" s="564"/>
      <c r="DL164" s="564"/>
      <c r="DM164" s="564"/>
      <c r="DN164" s="564"/>
      <c r="DO164" s="564"/>
      <c r="DP164" s="564"/>
      <c r="DQ164" s="564"/>
      <c r="DR164" s="564"/>
      <c r="DS164" s="569"/>
      <c r="DT164" s="564"/>
      <c r="DU164" s="569"/>
      <c r="DV164" s="568"/>
      <c r="DW164" s="563"/>
      <c r="DX164" s="564"/>
      <c r="DY164" s="564"/>
      <c r="DZ164" s="564"/>
      <c r="EA164" s="564"/>
      <c r="EB164" s="564"/>
      <c r="EC164" s="564"/>
      <c r="ED164" s="564"/>
      <c r="EE164" s="564"/>
      <c r="EF164" s="564"/>
      <c r="EG164" s="564"/>
      <c r="EH164" s="564"/>
      <c r="EI164" s="564"/>
      <c r="EJ164" s="564"/>
      <c r="EK164" s="564"/>
      <c r="EL164" s="564"/>
      <c r="EM164" s="564"/>
      <c r="EN164" s="564"/>
      <c r="EO164" s="564"/>
      <c r="EP164" s="564"/>
      <c r="EQ164" s="564"/>
      <c r="ER164" s="564"/>
      <c r="ES164" s="564"/>
      <c r="ET164" s="564"/>
      <c r="EU164" s="564"/>
      <c r="EV164" s="564"/>
      <c r="EW164" s="564"/>
      <c r="EX164" s="564"/>
      <c r="EY164" s="564"/>
      <c r="EZ164" s="239"/>
      <c r="FA164" s="564"/>
      <c r="FB164" s="564"/>
      <c r="FC164" s="564"/>
      <c r="FD164" s="564"/>
      <c r="FE164" s="564"/>
      <c r="FF164" s="564"/>
      <c r="FG164" s="564"/>
      <c r="FH164" s="564"/>
      <c r="FI164" s="564"/>
      <c r="FJ164" s="564"/>
      <c r="FK164" s="564"/>
      <c r="FL164" s="564"/>
      <c r="FM164" s="564"/>
      <c r="FN164" s="569"/>
      <c r="FO164" s="564"/>
      <c r="FP164" s="564"/>
      <c r="FQ164" s="564"/>
      <c r="FR164" s="564"/>
      <c r="FS164" s="564"/>
      <c r="FT164" s="564"/>
      <c r="FU164" s="564"/>
      <c r="FV164" s="564"/>
      <c r="FW164" s="564"/>
      <c r="FX164" s="564"/>
      <c r="FY164" s="564"/>
      <c r="FZ164" s="564"/>
      <c r="GA164" s="564"/>
      <c r="GB164" s="564"/>
      <c r="GC164" s="564"/>
      <c r="GD164" s="564"/>
      <c r="GE164" s="564"/>
      <c r="GF164" s="564"/>
      <c r="GG164" s="564"/>
      <c r="GH164" s="564"/>
      <c r="GI164" s="564"/>
      <c r="GJ164" s="564"/>
      <c r="GK164" s="564"/>
      <c r="GL164" s="564"/>
      <c r="GM164" s="564"/>
      <c r="GN164" s="564"/>
      <c r="GO164" s="564"/>
      <c r="GP164" s="564"/>
      <c r="GQ164" s="564"/>
      <c r="GR164" s="564"/>
      <c r="GS164" s="564"/>
      <c r="GT164" s="564"/>
      <c r="GU164" s="564"/>
      <c r="GV164" s="569"/>
      <c r="GW164" s="564"/>
      <c r="GX164" s="564"/>
      <c r="GY164" s="564"/>
      <c r="GZ164" s="564"/>
      <c r="HA164" s="564"/>
      <c r="HB164" s="564"/>
      <c r="HC164" s="564"/>
      <c r="HD164" s="564"/>
      <c r="HE164" s="564"/>
      <c r="HF164" s="564"/>
      <c r="HG164" s="564"/>
      <c r="HH164" s="564"/>
      <c r="HI164" s="564"/>
      <c r="HJ164" s="564"/>
      <c r="HK164" s="569"/>
      <c r="HL164" s="564" t="s">
        <v>35011</v>
      </c>
      <c r="HM164" s="564" t="s">
        <v>2</v>
      </c>
      <c r="HN164" s="564" t="s">
        <v>4</v>
      </c>
      <c r="HO164" s="564" t="s">
        <v>35012</v>
      </c>
      <c r="HP164" s="564" t="s">
        <v>35013</v>
      </c>
      <c r="HQ164" s="564" t="s">
        <v>35014</v>
      </c>
      <c r="HR164" s="564" t="s">
        <v>35015</v>
      </c>
      <c r="HS164" s="564" t="s">
        <v>16</v>
      </c>
      <c r="HT164" s="568" t="s">
        <v>35008</v>
      </c>
    </row>
    <row r="165" spans="1:228" ht="30.2" customHeight="1" x14ac:dyDescent="0.25">
      <c r="A165" s="759"/>
      <c r="B165" s="563">
        <v>150</v>
      </c>
      <c r="C165" s="563" t="s">
        <v>27575</v>
      </c>
      <c r="D165" s="564" t="s">
        <v>35038</v>
      </c>
      <c r="E165" s="564" t="s">
        <v>83</v>
      </c>
      <c r="F165" s="564" t="s">
        <v>7</v>
      </c>
      <c r="G165" s="564" t="s">
        <v>35039</v>
      </c>
      <c r="H165" s="564">
        <v>1232.5239999999999</v>
      </c>
      <c r="I165" s="564">
        <v>2.594198</v>
      </c>
      <c r="J165" s="564" t="s">
        <v>29288</v>
      </c>
      <c r="K165" s="564" t="s">
        <v>4</v>
      </c>
      <c r="L165" s="564" t="s">
        <v>35040</v>
      </c>
      <c r="M165" s="564">
        <v>776658370</v>
      </c>
      <c r="N165" s="564" t="s">
        <v>3</v>
      </c>
      <c r="O165" s="564" t="s">
        <v>31598</v>
      </c>
      <c r="P165" s="564" t="s">
        <v>4</v>
      </c>
      <c r="Q165" s="564">
        <v>2</v>
      </c>
      <c r="R165" s="564" t="s">
        <v>7</v>
      </c>
      <c r="S165" s="564" t="s">
        <v>31535</v>
      </c>
      <c r="T165" s="564" t="s">
        <v>4</v>
      </c>
      <c r="U165" s="564" t="s">
        <v>2</v>
      </c>
      <c r="V165" s="564" t="s">
        <v>4</v>
      </c>
      <c r="W165" s="564" t="s">
        <v>4</v>
      </c>
      <c r="X165" s="564" t="s">
        <v>4</v>
      </c>
      <c r="Y165" s="564" t="s">
        <v>4</v>
      </c>
      <c r="Z165" s="565">
        <v>44317</v>
      </c>
      <c r="AA165" s="557" t="str">
        <f>IF(OR(U165="yes",Z165&gt;'SDG outcome'!$C$39),"yes","no")</f>
        <v>no</v>
      </c>
      <c r="AB165" s="565" t="str">
        <f t="shared" si="6"/>
        <v/>
      </c>
      <c r="AC165" s="566" t="str">
        <f>IF(AND('SMS p2'!AA162="no",AND(Z165&gt;='SDG outcome'!$B$28,Z165&lt;'SDG outcome'!$C$39)),Z165-'SDG outcome'!$B$28,"")</f>
        <v/>
      </c>
      <c r="AD165" s="564" t="s">
        <v>31685</v>
      </c>
      <c r="AE165" s="564" t="s">
        <v>4</v>
      </c>
      <c r="AF165" s="564" t="s">
        <v>4</v>
      </c>
      <c r="AG165" s="564" t="s">
        <v>4</v>
      </c>
      <c r="AH165" s="564" t="s">
        <v>4</v>
      </c>
      <c r="AI165" s="564" t="s">
        <v>4</v>
      </c>
      <c r="AJ165" s="564" t="s">
        <v>4</v>
      </c>
      <c r="AK165" s="564" t="s">
        <v>4</v>
      </c>
      <c r="AL165" s="564"/>
      <c r="AM165" s="564"/>
      <c r="AN165" s="564"/>
      <c r="AO165" s="564"/>
      <c r="AP165" s="564"/>
      <c r="AQ165" s="564"/>
      <c r="AR165" s="564"/>
      <c r="AS165" s="564"/>
      <c r="AT165" s="564"/>
      <c r="AU165" s="564"/>
      <c r="AV165" s="564"/>
      <c r="AW165" s="564"/>
      <c r="AX165" s="564"/>
      <c r="AY165" s="564"/>
      <c r="AZ165" s="564"/>
      <c r="BA165" s="564"/>
      <c r="BB165" s="564"/>
      <c r="BC165" s="564"/>
      <c r="BD165" s="564"/>
      <c r="BE165" s="564"/>
      <c r="BF165" s="564"/>
      <c r="BG165" s="564"/>
      <c r="BH165" s="564"/>
      <c r="BI165" s="564"/>
      <c r="BJ165" s="564"/>
      <c r="BK165" s="564"/>
      <c r="BL165" s="564"/>
      <c r="BM165" s="564"/>
      <c r="BN165" s="564"/>
      <c r="BO165" s="564"/>
      <c r="BP165" s="564"/>
      <c r="BQ165" s="564"/>
      <c r="BR165" s="567"/>
      <c r="BS165" s="564"/>
      <c r="BT165" s="564"/>
      <c r="BU165" s="564"/>
      <c r="BV165" s="564"/>
      <c r="BW165" s="567"/>
      <c r="BX165" s="564"/>
      <c r="BY165" s="564"/>
      <c r="BZ165" s="564"/>
      <c r="CA165" s="564"/>
      <c r="CB165" s="564"/>
      <c r="CC165" s="564"/>
      <c r="CD165" s="564"/>
      <c r="CE165" s="564"/>
      <c r="CF165" s="564"/>
      <c r="CG165" s="564"/>
      <c r="CH165" s="564"/>
      <c r="CI165" s="564"/>
      <c r="CJ165" s="564"/>
      <c r="CK165" s="564"/>
      <c r="CL165" s="564"/>
      <c r="CM165" s="564"/>
      <c r="CN165" s="564"/>
      <c r="CO165" s="564"/>
      <c r="CP165" s="564"/>
      <c r="CQ165" s="564"/>
      <c r="CR165" s="564"/>
      <c r="CS165" s="564"/>
      <c r="CT165" s="568"/>
      <c r="CU165" s="563"/>
      <c r="CV165" s="564"/>
      <c r="CW165" s="568"/>
      <c r="CX165" s="563"/>
      <c r="CY165" s="564"/>
      <c r="CZ165" s="568"/>
      <c r="DA165" s="563"/>
      <c r="DB165" s="564"/>
      <c r="DC165" s="564"/>
      <c r="DD165" s="564"/>
      <c r="DE165" s="564"/>
      <c r="DF165" s="564"/>
      <c r="DG165" s="564"/>
      <c r="DH165" s="564"/>
      <c r="DI165" s="564"/>
      <c r="DJ165" s="564"/>
      <c r="DK165" s="564"/>
      <c r="DL165" s="564"/>
      <c r="DM165" s="564"/>
      <c r="DN165" s="564"/>
      <c r="DO165" s="564"/>
      <c r="DP165" s="564"/>
      <c r="DQ165" s="564"/>
      <c r="DR165" s="564"/>
      <c r="DS165" s="569"/>
      <c r="DT165" s="564"/>
      <c r="DU165" s="569"/>
      <c r="DV165" s="568"/>
      <c r="DW165" s="563"/>
      <c r="DX165" s="564"/>
      <c r="DY165" s="564"/>
      <c r="DZ165" s="564"/>
      <c r="EA165" s="564"/>
      <c r="EB165" s="564"/>
      <c r="EC165" s="564"/>
      <c r="ED165" s="564"/>
      <c r="EE165" s="564"/>
      <c r="EF165" s="564"/>
      <c r="EG165" s="564"/>
      <c r="EH165" s="564"/>
      <c r="EI165" s="564"/>
      <c r="EJ165" s="564"/>
      <c r="EK165" s="564"/>
      <c r="EL165" s="564"/>
      <c r="EM165" s="564"/>
      <c r="EN165" s="564"/>
      <c r="EO165" s="564"/>
      <c r="EP165" s="564"/>
      <c r="EQ165" s="564"/>
      <c r="ER165" s="564"/>
      <c r="ES165" s="564"/>
      <c r="ET165" s="564"/>
      <c r="EU165" s="564"/>
      <c r="EV165" s="564"/>
      <c r="EW165" s="564"/>
      <c r="EX165" s="564"/>
      <c r="EY165" s="564"/>
      <c r="EZ165" s="239"/>
      <c r="FA165" s="564"/>
      <c r="FB165" s="564"/>
      <c r="FC165" s="564"/>
      <c r="FD165" s="564"/>
      <c r="FE165" s="564"/>
      <c r="FF165" s="564"/>
      <c r="FG165" s="564"/>
      <c r="FH165" s="564"/>
      <c r="FI165" s="564"/>
      <c r="FJ165" s="564"/>
      <c r="FK165" s="564"/>
      <c r="FL165" s="564"/>
      <c r="FM165" s="564"/>
      <c r="FN165" s="569"/>
      <c r="FO165" s="564"/>
      <c r="FP165" s="564"/>
      <c r="FQ165" s="564"/>
      <c r="FR165" s="564"/>
      <c r="FS165" s="564"/>
      <c r="FT165" s="564"/>
      <c r="FU165" s="564"/>
      <c r="FV165" s="564"/>
      <c r="FW165" s="564"/>
      <c r="FX165" s="564"/>
      <c r="FY165" s="564"/>
      <c r="FZ165" s="564"/>
      <c r="GA165" s="564"/>
      <c r="GB165" s="564"/>
      <c r="GC165" s="564"/>
      <c r="GD165" s="564"/>
      <c r="GE165" s="564"/>
      <c r="GF165" s="564"/>
      <c r="GG165" s="564"/>
      <c r="GH165" s="564"/>
      <c r="GI165" s="564"/>
      <c r="GJ165" s="564"/>
      <c r="GK165" s="564"/>
      <c r="GL165" s="564"/>
      <c r="GM165" s="564"/>
      <c r="GN165" s="564"/>
      <c r="GO165" s="564"/>
      <c r="GP165" s="564"/>
      <c r="GQ165" s="564"/>
      <c r="GR165" s="564"/>
      <c r="GS165" s="564"/>
      <c r="GT165" s="564"/>
      <c r="GU165" s="564"/>
      <c r="GV165" s="569"/>
      <c r="GW165" s="564"/>
      <c r="GX165" s="564"/>
      <c r="GY165" s="564"/>
      <c r="GZ165" s="564"/>
      <c r="HA165" s="564"/>
      <c r="HB165" s="564"/>
      <c r="HC165" s="564"/>
      <c r="HD165" s="564"/>
      <c r="HE165" s="564"/>
      <c r="HF165" s="564"/>
      <c r="HG165" s="564"/>
      <c r="HH165" s="564"/>
      <c r="HI165" s="564"/>
      <c r="HJ165" s="564"/>
      <c r="HK165" s="569"/>
      <c r="HL165" s="564" t="s">
        <v>35041</v>
      </c>
      <c r="HM165" s="564" t="s">
        <v>2</v>
      </c>
      <c r="HN165" s="564" t="s">
        <v>4</v>
      </c>
      <c r="HO165" s="564" t="s">
        <v>35042</v>
      </c>
      <c r="HP165" s="564" t="s">
        <v>35043</v>
      </c>
      <c r="HQ165" s="564" t="s">
        <v>35044</v>
      </c>
      <c r="HR165" s="564" t="s">
        <v>35045</v>
      </c>
      <c r="HS165" s="564" t="s">
        <v>16</v>
      </c>
      <c r="HT165" s="568" t="s">
        <v>35038</v>
      </c>
    </row>
    <row r="166" spans="1:228" ht="30.2" customHeight="1" x14ac:dyDescent="0.25">
      <c r="A166" s="759"/>
      <c r="B166" s="563">
        <v>163</v>
      </c>
      <c r="C166" s="563" t="s">
        <v>28397</v>
      </c>
      <c r="D166" s="564" t="s">
        <v>35175</v>
      </c>
      <c r="E166" s="564" t="s">
        <v>35057</v>
      </c>
      <c r="F166" s="564" t="s">
        <v>7</v>
      </c>
      <c r="G166" s="564" t="s">
        <v>35176</v>
      </c>
      <c r="H166" s="564">
        <v>1177.0352780000001</v>
      </c>
      <c r="I166" s="564">
        <v>3.923432</v>
      </c>
      <c r="J166" s="564" t="s">
        <v>29288</v>
      </c>
      <c r="K166" s="564" t="s">
        <v>4</v>
      </c>
      <c r="L166" s="564" t="s">
        <v>35177</v>
      </c>
      <c r="M166" s="564">
        <v>772431348</v>
      </c>
      <c r="N166" s="564" t="s">
        <v>3</v>
      </c>
      <c r="O166" s="564" t="s">
        <v>31590</v>
      </c>
      <c r="P166" s="564" t="s">
        <v>4</v>
      </c>
      <c r="Q166" s="564">
        <v>5</v>
      </c>
      <c r="R166" s="564" t="s">
        <v>7</v>
      </c>
      <c r="S166" s="564" t="s">
        <v>31588</v>
      </c>
      <c r="T166" s="564" t="s">
        <v>4</v>
      </c>
      <c r="U166" s="564" t="s">
        <v>2</v>
      </c>
      <c r="V166" s="564" t="s">
        <v>4</v>
      </c>
      <c r="W166" s="564" t="s">
        <v>4</v>
      </c>
      <c r="X166" s="564" t="s">
        <v>4</v>
      </c>
      <c r="Y166" s="564" t="s">
        <v>4</v>
      </c>
      <c r="Z166" s="565">
        <v>44166</v>
      </c>
      <c r="AA166" s="557" t="str">
        <f>IF(OR(U166="yes",Z166&gt;'SDG outcome'!$C$39),"yes","no")</f>
        <v>no</v>
      </c>
      <c r="AB166" s="565" t="str">
        <f t="shared" si="6"/>
        <v/>
      </c>
      <c r="AC166" s="566" t="str">
        <f>IF(AND('SMS p2'!AA175="no",AND(Z166&gt;='SDG outcome'!$B$28,Z166&lt;'SDG outcome'!$C$39)),Z166-'SDG outcome'!$B$28,"")</f>
        <v/>
      </c>
      <c r="AD166" s="564" t="s">
        <v>31685</v>
      </c>
      <c r="AE166" s="564" t="s">
        <v>4</v>
      </c>
      <c r="AF166" s="564" t="s">
        <v>4</v>
      </c>
      <c r="AG166" s="564" t="s">
        <v>4</v>
      </c>
      <c r="AH166" s="564" t="s">
        <v>4</v>
      </c>
      <c r="AI166" s="564" t="s">
        <v>4</v>
      </c>
      <c r="AJ166" s="564" t="s">
        <v>4</v>
      </c>
      <c r="AK166" s="564" t="s">
        <v>4</v>
      </c>
      <c r="AL166" s="564"/>
      <c r="AM166" s="564"/>
      <c r="AN166" s="564"/>
      <c r="AO166" s="564"/>
      <c r="AP166" s="564"/>
      <c r="AQ166" s="564"/>
      <c r="AR166" s="564"/>
      <c r="AS166" s="564"/>
      <c r="AT166" s="564"/>
      <c r="AU166" s="564"/>
      <c r="AV166" s="564"/>
      <c r="AW166" s="564"/>
      <c r="AX166" s="564"/>
      <c r="AY166" s="564"/>
      <c r="AZ166" s="564"/>
      <c r="BA166" s="564"/>
      <c r="BB166" s="564"/>
      <c r="BC166" s="564"/>
      <c r="BD166" s="564"/>
      <c r="BE166" s="564"/>
      <c r="BF166" s="564"/>
      <c r="BG166" s="564"/>
      <c r="BH166" s="564"/>
      <c r="BI166" s="564"/>
      <c r="BJ166" s="564"/>
      <c r="BK166" s="564"/>
      <c r="BL166" s="564"/>
      <c r="BM166" s="564"/>
      <c r="BN166" s="564"/>
      <c r="BO166" s="564"/>
      <c r="BP166" s="564"/>
      <c r="BQ166" s="564"/>
      <c r="BR166" s="567"/>
      <c r="BS166" s="564"/>
      <c r="BT166" s="564"/>
      <c r="BU166" s="564"/>
      <c r="BV166" s="564"/>
      <c r="BW166" s="567"/>
      <c r="BX166" s="564"/>
      <c r="BY166" s="564"/>
      <c r="BZ166" s="564"/>
      <c r="CA166" s="564"/>
      <c r="CB166" s="564"/>
      <c r="CC166" s="564"/>
      <c r="CD166" s="564"/>
      <c r="CE166" s="564"/>
      <c r="CF166" s="564"/>
      <c r="CG166" s="564"/>
      <c r="CH166" s="564"/>
      <c r="CI166" s="564"/>
      <c r="CJ166" s="564"/>
      <c r="CK166" s="564"/>
      <c r="CL166" s="564"/>
      <c r="CM166" s="564"/>
      <c r="CN166" s="564"/>
      <c r="CO166" s="564"/>
      <c r="CP166" s="564"/>
      <c r="CQ166" s="564"/>
      <c r="CR166" s="564"/>
      <c r="CS166" s="564"/>
      <c r="CT166" s="568"/>
      <c r="CU166" s="563"/>
      <c r="CV166" s="564"/>
      <c r="CW166" s="568"/>
      <c r="CX166" s="563"/>
      <c r="CY166" s="564"/>
      <c r="CZ166" s="568"/>
      <c r="DA166" s="563"/>
      <c r="DB166" s="564"/>
      <c r="DC166" s="564"/>
      <c r="DD166" s="564"/>
      <c r="DE166" s="564"/>
      <c r="DF166" s="564"/>
      <c r="DG166" s="564"/>
      <c r="DH166" s="564"/>
      <c r="DI166" s="564"/>
      <c r="DJ166" s="564"/>
      <c r="DK166" s="564"/>
      <c r="DL166" s="564"/>
      <c r="DM166" s="564"/>
      <c r="DN166" s="564"/>
      <c r="DO166" s="564"/>
      <c r="DP166" s="564"/>
      <c r="DQ166" s="564"/>
      <c r="DR166" s="564"/>
      <c r="DS166" s="569"/>
      <c r="DT166" s="564"/>
      <c r="DU166" s="569"/>
      <c r="DV166" s="568"/>
      <c r="DW166" s="563"/>
      <c r="DX166" s="564"/>
      <c r="DY166" s="564"/>
      <c r="DZ166" s="564"/>
      <c r="EA166" s="564"/>
      <c r="EB166" s="564"/>
      <c r="EC166" s="564"/>
      <c r="ED166" s="564"/>
      <c r="EE166" s="564"/>
      <c r="EF166" s="564"/>
      <c r="EG166" s="564"/>
      <c r="EH166" s="564"/>
      <c r="EI166" s="564"/>
      <c r="EJ166" s="564"/>
      <c r="EK166" s="564"/>
      <c r="EL166" s="564"/>
      <c r="EM166" s="564"/>
      <c r="EN166" s="564"/>
      <c r="EO166" s="564"/>
      <c r="EP166" s="564"/>
      <c r="EQ166" s="564"/>
      <c r="ER166" s="564"/>
      <c r="ES166" s="564"/>
      <c r="ET166" s="564"/>
      <c r="EU166" s="564"/>
      <c r="EV166" s="564"/>
      <c r="EW166" s="564"/>
      <c r="EX166" s="564"/>
      <c r="EY166" s="564"/>
      <c r="EZ166" s="239"/>
      <c r="FA166" s="564"/>
      <c r="FB166" s="564"/>
      <c r="FC166" s="564"/>
      <c r="FD166" s="564"/>
      <c r="FE166" s="564"/>
      <c r="FF166" s="564"/>
      <c r="FG166" s="564"/>
      <c r="FH166" s="564"/>
      <c r="FI166" s="564"/>
      <c r="FJ166" s="564"/>
      <c r="FK166" s="564"/>
      <c r="FL166" s="564"/>
      <c r="FM166" s="564"/>
      <c r="FN166" s="569"/>
      <c r="FO166" s="564"/>
      <c r="FP166" s="564"/>
      <c r="FQ166" s="564"/>
      <c r="FR166" s="564"/>
      <c r="FS166" s="564"/>
      <c r="FT166" s="564"/>
      <c r="FU166" s="564"/>
      <c r="FV166" s="564"/>
      <c r="FW166" s="564"/>
      <c r="FX166" s="564"/>
      <c r="FY166" s="564"/>
      <c r="FZ166" s="564"/>
      <c r="GA166" s="564"/>
      <c r="GB166" s="564"/>
      <c r="GC166" s="564"/>
      <c r="GD166" s="564"/>
      <c r="GE166" s="564"/>
      <c r="GF166" s="564"/>
      <c r="GG166" s="564"/>
      <c r="GH166" s="564"/>
      <c r="GI166" s="564"/>
      <c r="GJ166" s="564"/>
      <c r="GK166" s="564"/>
      <c r="GL166" s="564"/>
      <c r="GM166" s="564"/>
      <c r="GN166" s="564"/>
      <c r="GO166" s="564"/>
      <c r="GP166" s="564"/>
      <c r="GQ166" s="564"/>
      <c r="GR166" s="564"/>
      <c r="GS166" s="564"/>
      <c r="GT166" s="564"/>
      <c r="GU166" s="564"/>
      <c r="GV166" s="569"/>
      <c r="GW166" s="564"/>
      <c r="GX166" s="564"/>
      <c r="GY166" s="564"/>
      <c r="GZ166" s="564"/>
      <c r="HA166" s="564"/>
      <c r="HB166" s="564"/>
      <c r="HC166" s="564"/>
      <c r="HD166" s="564"/>
      <c r="HE166" s="564"/>
      <c r="HF166" s="564"/>
      <c r="HG166" s="564"/>
      <c r="HH166" s="564"/>
      <c r="HI166" s="564"/>
      <c r="HJ166" s="564"/>
      <c r="HK166" s="569"/>
      <c r="HL166" s="564" t="s">
        <v>35178</v>
      </c>
      <c r="HM166" s="564" t="s">
        <v>2</v>
      </c>
      <c r="HN166" s="564" t="s">
        <v>4</v>
      </c>
      <c r="HO166" s="564" t="s">
        <v>35179</v>
      </c>
      <c r="HP166" s="564" t="s">
        <v>35180</v>
      </c>
      <c r="HQ166" s="564" t="s">
        <v>16</v>
      </c>
      <c r="HR166" s="564" t="s">
        <v>35181</v>
      </c>
      <c r="HS166" s="564" t="s">
        <v>16</v>
      </c>
      <c r="HT166" s="568" t="s">
        <v>34605</v>
      </c>
    </row>
    <row r="167" spans="1:228" ht="30.2" customHeight="1" x14ac:dyDescent="0.25">
      <c r="A167" s="759"/>
      <c r="B167" s="563">
        <v>169</v>
      </c>
      <c r="C167" s="563" t="s">
        <v>28413</v>
      </c>
      <c r="D167" s="564" t="s">
        <v>35245</v>
      </c>
      <c r="E167" s="564" t="s">
        <v>35222</v>
      </c>
      <c r="F167" s="564" t="s">
        <v>7</v>
      </c>
      <c r="G167" s="564" t="s">
        <v>35246</v>
      </c>
      <c r="H167" s="564">
        <v>0</v>
      </c>
      <c r="I167" s="564">
        <v>1000</v>
      </c>
      <c r="J167" s="564" t="s">
        <v>29288</v>
      </c>
      <c r="K167" s="564" t="s">
        <v>4</v>
      </c>
      <c r="L167" s="564" t="s">
        <v>35247</v>
      </c>
      <c r="M167" s="564">
        <v>782349954</v>
      </c>
      <c r="N167" s="564" t="s">
        <v>3</v>
      </c>
      <c r="O167" s="564" t="s">
        <v>31598</v>
      </c>
      <c r="P167" s="564" t="s">
        <v>4</v>
      </c>
      <c r="Q167" s="564">
        <v>10</v>
      </c>
      <c r="R167" s="564" t="s">
        <v>7</v>
      </c>
      <c r="S167" s="564" t="s">
        <v>31588</v>
      </c>
      <c r="T167" s="564" t="s">
        <v>4</v>
      </c>
      <c r="U167" s="564" t="s">
        <v>2</v>
      </c>
      <c r="V167" s="564" t="s">
        <v>4</v>
      </c>
      <c r="W167" s="564" t="s">
        <v>4</v>
      </c>
      <c r="X167" s="564" t="s">
        <v>4</v>
      </c>
      <c r="Y167" s="564" t="s">
        <v>4</v>
      </c>
      <c r="Z167" s="565">
        <v>43740</v>
      </c>
      <c r="AA167" s="557" t="str">
        <f>IF(OR(U167="yes",Z167&gt;'SDG outcome'!$C$39),"yes","no")</f>
        <v>no</v>
      </c>
      <c r="AB167" s="565" t="str">
        <f t="shared" si="6"/>
        <v/>
      </c>
      <c r="AC167" s="566" t="str">
        <f>IF(AND('SMS p2'!AA181="no",AND(Z167&gt;='SDG outcome'!$B$28,Z167&lt;'SDG outcome'!$C$39)),Z167-'SDG outcome'!$B$28,"")</f>
        <v/>
      </c>
      <c r="AD167" s="564" t="s">
        <v>31685</v>
      </c>
      <c r="AE167" s="564" t="s">
        <v>4</v>
      </c>
      <c r="AF167" s="564" t="s">
        <v>4</v>
      </c>
      <c r="AG167" s="564" t="s">
        <v>4</v>
      </c>
      <c r="AH167" s="564" t="s">
        <v>4</v>
      </c>
      <c r="AI167" s="564" t="s">
        <v>4</v>
      </c>
      <c r="AJ167" s="564" t="s">
        <v>4</v>
      </c>
      <c r="AK167" s="564" t="s">
        <v>4</v>
      </c>
      <c r="AL167" s="564"/>
      <c r="AM167" s="564"/>
      <c r="AN167" s="564"/>
      <c r="AO167" s="564"/>
      <c r="AP167" s="564"/>
      <c r="AQ167" s="564"/>
      <c r="AR167" s="564"/>
      <c r="AS167" s="564"/>
      <c r="AT167" s="564"/>
      <c r="AU167" s="564"/>
      <c r="AV167" s="564"/>
      <c r="AW167" s="564"/>
      <c r="AX167" s="564"/>
      <c r="AY167" s="564"/>
      <c r="AZ167" s="564"/>
      <c r="BA167" s="564"/>
      <c r="BB167" s="564"/>
      <c r="BC167" s="564"/>
      <c r="BD167" s="564"/>
      <c r="BE167" s="564"/>
      <c r="BF167" s="564"/>
      <c r="BG167" s="564"/>
      <c r="BH167" s="564"/>
      <c r="BI167" s="564"/>
      <c r="BJ167" s="564"/>
      <c r="BK167" s="564"/>
      <c r="BL167" s="564"/>
      <c r="BM167" s="564"/>
      <c r="BN167" s="564"/>
      <c r="BO167" s="564"/>
      <c r="BP167" s="564"/>
      <c r="BQ167" s="564"/>
      <c r="BR167" s="567"/>
      <c r="BS167" s="564"/>
      <c r="BT167" s="564"/>
      <c r="BU167" s="564"/>
      <c r="BV167" s="564"/>
      <c r="BW167" s="567"/>
      <c r="BX167" s="564"/>
      <c r="BY167" s="564"/>
      <c r="BZ167" s="564"/>
      <c r="CA167" s="564"/>
      <c r="CB167" s="564"/>
      <c r="CC167" s="564"/>
      <c r="CD167" s="564"/>
      <c r="CE167" s="564"/>
      <c r="CF167" s="564"/>
      <c r="CG167" s="564"/>
      <c r="CH167" s="564"/>
      <c r="CI167" s="564"/>
      <c r="CJ167" s="564"/>
      <c r="CK167" s="564"/>
      <c r="CL167" s="564"/>
      <c r="CM167" s="564"/>
      <c r="CN167" s="564"/>
      <c r="CO167" s="564"/>
      <c r="CP167" s="564"/>
      <c r="CQ167" s="564"/>
      <c r="CR167" s="564"/>
      <c r="CS167" s="564"/>
      <c r="CT167" s="568"/>
      <c r="CU167" s="563"/>
      <c r="CV167" s="564"/>
      <c r="CW167" s="568"/>
      <c r="CX167" s="563"/>
      <c r="CY167" s="564"/>
      <c r="CZ167" s="568"/>
      <c r="DA167" s="563"/>
      <c r="DB167" s="564"/>
      <c r="DC167" s="564"/>
      <c r="DD167" s="564"/>
      <c r="DE167" s="564"/>
      <c r="DF167" s="564"/>
      <c r="DG167" s="564"/>
      <c r="DH167" s="564"/>
      <c r="DI167" s="564"/>
      <c r="DJ167" s="564"/>
      <c r="DK167" s="564"/>
      <c r="DL167" s="564"/>
      <c r="DM167" s="564"/>
      <c r="DN167" s="564"/>
      <c r="DO167" s="564"/>
      <c r="DP167" s="564"/>
      <c r="DQ167" s="564"/>
      <c r="DR167" s="564"/>
      <c r="DS167" s="569"/>
      <c r="DT167" s="564"/>
      <c r="DU167" s="569"/>
      <c r="DV167" s="568"/>
      <c r="DW167" s="563"/>
      <c r="DX167" s="564"/>
      <c r="DY167" s="564"/>
      <c r="DZ167" s="564"/>
      <c r="EA167" s="564"/>
      <c r="EB167" s="564"/>
      <c r="EC167" s="564"/>
      <c r="ED167" s="564"/>
      <c r="EE167" s="564"/>
      <c r="EF167" s="564"/>
      <c r="EG167" s="564"/>
      <c r="EH167" s="564"/>
      <c r="EI167" s="564"/>
      <c r="EJ167" s="564"/>
      <c r="EK167" s="564"/>
      <c r="EL167" s="564"/>
      <c r="EM167" s="564"/>
      <c r="EN167" s="564"/>
      <c r="EO167" s="564"/>
      <c r="EP167" s="564"/>
      <c r="EQ167" s="564"/>
      <c r="ER167" s="564"/>
      <c r="ES167" s="564"/>
      <c r="ET167" s="564"/>
      <c r="EU167" s="564"/>
      <c r="EV167" s="564"/>
      <c r="EW167" s="564"/>
      <c r="EX167" s="564"/>
      <c r="EY167" s="564"/>
      <c r="EZ167" s="239"/>
      <c r="FA167" s="564"/>
      <c r="FB167" s="564"/>
      <c r="FC167" s="564"/>
      <c r="FD167" s="564"/>
      <c r="FE167" s="564"/>
      <c r="FF167" s="564"/>
      <c r="FG167" s="564"/>
      <c r="FH167" s="564"/>
      <c r="FI167" s="564"/>
      <c r="FJ167" s="564"/>
      <c r="FK167" s="564"/>
      <c r="FL167" s="564"/>
      <c r="FM167" s="564"/>
      <c r="FN167" s="569"/>
      <c r="FO167" s="564"/>
      <c r="FP167" s="564"/>
      <c r="FQ167" s="564"/>
      <c r="FR167" s="564"/>
      <c r="FS167" s="564"/>
      <c r="FT167" s="564"/>
      <c r="FU167" s="564"/>
      <c r="FV167" s="564"/>
      <c r="FW167" s="564"/>
      <c r="FX167" s="564"/>
      <c r="FY167" s="564"/>
      <c r="FZ167" s="564"/>
      <c r="GA167" s="564"/>
      <c r="GB167" s="564"/>
      <c r="GC167" s="564"/>
      <c r="GD167" s="564"/>
      <c r="GE167" s="564"/>
      <c r="GF167" s="564"/>
      <c r="GG167" s="564"/>
      <c r="GH167" s="564"/>
      <c r="GI167" s="564"/>
      <c r="GJ167" s="564"/>
      <c r="GK167" s="564"/>
      <c r="GL167" s="564"/>
      <c r="GM167" s="564"/>
      <c r="GN167" s="564"/>
      <c r="GO167" s="564"/>
      <c r="GP167" s="564"/>
      <c r="GQ167" s="564"/>
      <c r="GR167" s="564"/>
      <c r="GS167" s="564"/>
      <c r="GT167" s="564"/>
      <c r="GU167" s="564"/>
      <c r="GV167" s="569"/>
      <c r="GW167" s="564"/>
      <c r="GX167" s="564"/>
      <c r="GY167" s="564"/>
      <c r="GZ167" s="564"/>
      <c r="HA167" s="564"/>
      <c r="HB167" s="564"/>
      <c r="HC167" s="564"/>
      <c r="HD167" s="564"/>
      <c r="HE167" s="564"/>
      <c r="HF167" s="564"/>
      <c r="HG167" s="564"/>
      <c r="HH167" s="564"/>
      <c r="HI167" s="564"/>
      <c r="HJ167" s="564"/>
      <c r="HK167" s="569"/>
      <c r="HL167" s="564" t="s">
        <v>35248</v>
      </c>
      <c r="HM167" s="564" t="s">
        <v>7</v>
      </c>
      <c r="HN167" s="564" t="s">
        <v>35249</v>
      </c>
      <c r="HO167" s="564" t="s">
        <v>35250</v>
      </c>
      <c r="HP167" s="564" t="s">
        <v>35251</v>
      </c>
      <c r="HQ167" s="564" t="s">
        <v>16</v>
      </c>
      <c r="HR167" s="564" t="s">
        <v>35252</v>
      </c>
      <c r="HS167" s="564" t="s">
        <v>35253</v>
      </c>
      <c r="HT167" s="568" t="s">
        <v>35254</v>
      </c>
    </row>
    <row r="168" spans="1:228" ht="30.2" customHeight="1" x14ac:dyDescent="0.25">
      <c r="A168" s="759"/>
      <c r="B168" s="563">
        <v>172</v>
      </c>
      <c r="C168" s="563" t="s">
        <v>15496</v>
      </c>
      <c r="D168" s="564" t="s">
        <v>35278</v>
      </c>
      <c r="E168" s="564" t="s">
        <v>35222</v>
      </c>
      <c r="F168" s="564" t="s">
        <v>7</v>
      </c>
      <c r="G168" s="564" t="s">
        <v>35279</v>
      </c>
      <c r="H168" s="564">
        <v>0</v>
      </c>
      <c r="I168" s="564">
        <v>1442.748</v>
      </c>
      <c r="J168" s="564" t="s">
        <v>29319</v>
      </c>
      <c r="K168" s="564" t="s">
        <v>4</v>
      </c>
      <c r="L168" s="564" t="s">
        <v>15497</v>
      </c>
      <c r="M168" s="564">
        <v>775203049</v>
      </c>
      <c r="N168" s="564" t="s">
        <v>5</v>
      </c>
      <c r="O168" s="564" t="s">
        <v>31598</v>
      </c>
      <c r="P168" s="564" t="s">
        <v>4</v>
      </c>
      <c r="Q168" s="564">
        <v>5</v>
      </c>
      <c r="R168" s="564" t="s">
        <v>7</v>
      </c>
      <c r="S168" s="564" t="s">
        <v>31549</v>
      </c>
      <c r="T168" s="564" t="s">
        <v>4</v>
      </c>
      <c r="U168" s="564" t="s">
        <v>2</v>
      </c>
      <c r="V168" s="564" t="s">
        <v>4</v>
      </c>
      <c r="W168" s="564" t="s">
        <v>4</v>
      </c>
      <c r="X168" s="564" t="s">
        <v>4</v>
      </c>
      <c r="Y168" s="564" t="s">
        <v>4</v>
      </c>
      <c r="Z168" s="565">
        <v>45384</v>
      </c>
      <c r="AA168" s="557" t="str">
        <f>IF(OR(U168="yes",Z168&gt;'SDG outcome'!$C$39),"yes","no")</f>
        <v>yes</v>
      </c>
      <c r="AB168" s="565" t="str">
        <f t="shared" si="6"/>
        <v>NA</v>
      </c>
      <c r="AC168" s="566" t="str">
        <f>IF(AND('SMS p2'!AA184="no",AND(Z168&gt;='SDG outcome'!$B$28,Z168&lt;'SDG outcome'!$C$39)),Z168-'SDG outcome'!$B$28,"")</f>
        <v/>
      </c>
      <c r="AD168" s="564" t="s">
        <v>31685</v>
      </c>
      <c r="AE168" s="564" t="s">
        <v>4</v>
      </c>
      <c r="AF168" s="564" t="s">
        <v>4</v>
      </c>
      <c r="AG168" s="564" t="s">
        <v>4</v>
      </c>
      <c r="AH168" s="564" t="s">
        <v>4</v>
      </c>
      <c r="AI168" s="564" t="s">
        <v>4</v>
      </c>
      <c r="AJ168" s="564" t="s">
        <v>4</v>
      </c>
      <c r="AK168" s="564" t="s">
        <v>4</v>
      </c>
      <c r="AL168" s="564"/>
      <c r="AM168" s="564"/>
      <c r="AN168" s="564"/>
      <c r="AO168" s="564"/>
      <c r="AP168" s="564"/>
      <c r="AQ168" s="564"/>
      <c r="AR168" s="564"/>
      <c r="AS168" s="564"/>
      <c r="AT168" s="564"/>
      <c r="AU168" s="564"/>
      <c r="AV168" s="564"/>
      <c r="AW168" s="564"/>
      <c r="AX168" s="564"/>
      <c r="AY168" s="564"/>
      <c r="AZ168" s="564"/>
      <c r="BA168" s="564"/>
      <c r="BB168" s="564"/>
      <c r="BC168" s="564"/>
      <c r="BD168" s="564"/>
      <c r="BE168" s="564"/>
      <c r="BF168" s="564"/>
      <c r="BG168" s="564"/>
      <c r="BH168" s="564"/>
      <c r="BI168" s="564"/>
      <c r="BJ168" s="564"/>
      <c r="BK168" s="564"/>
      <c r="BL168" s="564"/>
      <c r="BM168" s="564"/>
      <c r="BN168" s="564"/>
      <c r="BO168" s="564"/>
      <c r="BP168" s="564"/>
      <c r="BQ168" s="564"/>
      <c r="BR168" s="567"/>
      <c r="BS168" s="564"/>
      <c r="BT168" s="564"/>
      <c r="BU168" s="564"/>
      <c r="BV168" s="564"/>
      <c r="BW168" s="567"/>
      <c r="BX168" s="564"/>
      <c r="BY168" s="564"/>
      <c r="BZ168" s="564"/>
      <c r="CA168" s="564"/>
      <c r="CB168" s="564"/>
      <c r="CC168" s="564"/>
      <c r="CD168" s="564"/>
      <c r="CE168" s="564"/>
      <c r="CF168" s="564"/>
      <c r="CG168" s="564"/>
      <c r="CH168" s="564"/>
      <c r="CI168" s="564"/>
      <c r="CJ168" s="564"/>
      <c r="CK168" s="564"/>
      <c r="CL168" s="564"/>
      <c r="CM168" s="564"/>
      <c r="CN168" s="564"/>
      <c r="CO168" s="564"/>
      <c r="CP168" s="564"/>
      <c r="CQ168" s="564"/>
      <c r="CR168" s="564"/>
      <c r="CS168" s="564"/>
      <c r="CT168" s="568"/>
      <c r="CU168" s="563"/>
      <c r="CV168" s="564"/>
      <c r="CW168" s="568"/>
      <c r="CX168" s="563"/>
      <c r="CY168" s="564"/>
      <c r="CZ168" s="568"/>
      <c r="DA168" s="563"/>
      <c r="DB168" s="564"/>
      <c r="DC168" s="564"/>
      <c r="DD168" s="564"/>
      <c r="DE168" s="564"/>
      <c r="DF168" s="564"/>
      <c r="DG168" s="564"/>
      <c r="DH168" s="564"/>
      <c r="DI168" s="564"/>
      <c r="DJ168" s="564"/>
      <c r="DK168" s="564"/>
      <c r="DL168" s="564"/>
      <c r="DM168" s="564"/>
      <c r="DN168" s="564"/>
      <c r="DO168" s="564"/>
      <c r="DP168" s="564"/>
      <c r="DQ168" s="564"/>
      <c r="DR168" s="564"/>
      <c r="DS168" s="569"/>
      <c r="DT168" s="564"/>
      <c r="DU168" s="569"/>
      <c r="DV168" s="568"/>
      <c r="DW168" s="563"/>
      <c r="DX168" s="564"/>
      <c r="DY168" s="564"/>
      <c r="DZ168" s="564"/>
      <c r="EA168" s="564"/>
      <c r="EB168" s="564"/>
      <c r="EC168" s="564"/>
      <c r="ED168" s="564"/>
      <c r="EE168" s="564"/>
      <c r="EF168" s="564"/>
      <c r="EG168" s="564"/>
      <c r="EH168" s="564"/>
      <c r="EI168" s="564"/>
      <c r="EJ168" s="564"/>
      <c r="EK168" s="564"/>
      <c r="EL168" s="564"/>
      <c r="EM168" s="564"/>
      <c r="EN168" s="564"/>
      <c r="EO168" s="564"/>
      <c r="EP168" s="564"/>
      <c r="EQ168" s="564"/>
      <c r="ER168" s="564"/>
      <c r="ES168" s="564"/>
      <c r="ET168" s="564"/>
      <c r="EU168" s="564"/>
      <c r="EV168" s="564"/>
      <c r="EW168" s="564"/>
      <c r="EX168" s="564"/>
      <c r="EY168" s="564"/>
      <c r="EZ168" s="239"/>
      <c r="FA168" s="564"/>
      <c r="FB168" s="564"/>
      <c r="FC168" s="564"/>
      <c r="FD168" s="564"/>
      <c r="FE168" s="564"/>
      <c r="FF168" s="564"/>
      <c r="FG168" s="564"/>
      <c r="FH168" s="564"/>
      <c r="FI168" s="564"/>
      <c r="FJ168" s="564"/>
      <c r="FK168" s="564"/>
      <c r="FL168" s="564"/>
      <c r="FM168" s="564"/>
      <c r="FN168" s="569"/>
      <c r="FO168" s="564"/>
      <c r="FP168" s="564"/>
      <c r="FQ168" s="564"/>
      <c r="FR168" s="564"/>
      <c r="FS168" s="564"/>
      <c r="FT168" s="564"/>
      <c r="FU168" s="564"/>
      <c r="FV168" s="564"/>
      <c r="FW168" s="564"/>
      <c r="FX168" s="564"/>
      <c r="FY168" s="564"/>
      <c r="FZ168" s="564"/>
      <c r="GA168" s="564"/>
      <c r="GB168" s="564"/>
      <c r="GC168" s="564"/>
      <c r="GD168" s="564"/>
      <c r="GE168" s="564"/>
      <c r="GF168" s="564"/>
      <c r="GG168" s="564"/>
      <c r="GH168" s="564"/>
      <c r="GI168" s="564"/>
      <c r="GJ168" s="564"/>
      <c r="GK168" s="564"/>
      <c r="GL168" s="564"/>
      <c r="GM168" s="564"/>
      <c r="GN168" s="564"/>
      <c r="GO168" s="564"/>
      <c r="GP168" s="564"/>
      <c r="GQ168" s="564"/>
      <c r="GR168" s="564"/>
      <c r="GS168" s="564"/>
      <c r="GT168" s="564"/>
      <c r="GU168" s="564"/>
      <c r="GV168" s="569"/>
      <c r="GW168" s="564"/>
      <c r="GX168" s="564"/>
      <c r="GY168" s="564"/>
      <c r="GZ168" s="564"/>
      <c r="HA168" s="564"/>
      <c r="HB168" s="564"/>
      <c r="HC168" s="564"/>
      <c r="HD168" s="564"/>
      <c r="HE168" s="564"/>
      <c r="HF168" s="564"/>
      <c r="HG168" s="564"/>
      <c r="HH168" s="564"/>
      <c r="HI168" s="564"/>
      <c r="HJ168" s="564"/>
      <c r="HK168" s="569"/>
      <c r="HL168" s="564" t="s">
        <v>35280</v>
      </c>
      <c r="HM168" s="564" t="s">
        <v>7</v>
      </c>
      <c r="HN168" s="564" t="s">
        <v>35281</v>
      </c>
      <c r="HO168" s="564" t="s">
        <v>16</v>
      </c>
      <c r="HP168" s="564" t="s">
        <v>35282</v>
      </c>
      <c r="HQ168" s="564" t="s">
        <v>16</v>
      </c>
      <c r="HR168" s="564" t="s">
        <v>35283</v>
      </c>
      <c r="HS168" s="564" t="s">
        <v>16</v>
      </c>
      <c r="HT168" s="568" t="s">
        <v>35284</v>
      </c>
    </row>
    <row r="169" spans="1:228" ht="30.2" customHeight="1" x14ac:dyDescent="0.25">
      <c r="A169" s="759"/>
      <c r="B169" s="563">
        <v>180</v>
      </c>
      <c r="C169" s="563" t="s">
        <v>17934</v>
      </c>
      <c r="D169" s="564" t="s">
        <v>35372</v>
      </c>
      <c r="E169" s="564" t="s">
        <v>30638</v>
      </c>
      <c r="F169" s="564" t="s">
        <v>7</v>
      </c>
      <c r="G169" s="564" t="s">
        <v>35373</v>
      </c>
      <c r="H169" s="564">
        <v>1842.233154</v>
      </c>
      <c r="I169" s="564">
        <v>4.2880000000000003</v>
      </c>
      <c r="J169" s="564" t="s">
        <v>29288</v>
      </c>
      <c r="K169" s="564" t="s">
        <v>4</v>
      </c>
      <c r="L169" s="564" t="s">
        <v>35374</v>
      </c>
      <c r="M169" s="564">
        <v>762280353</v>
      </c>
      <c r="N169" s="564" t="s">
        <v>3</v>
      </c>
      <c r="O169" s="564" t="s">
        <v>31598</v>
      </c>
      <c r="P169" s="564" t="s">
        <v>4</v>
      </c>
      <c r="Q169" s="564">
        <v>7</v>
      </c>
      <c r="R169" s="564" t="s">
        <v>7</v>
      </c>
      <c r="S169" s="564" t="s">
        <v>31535</v>
      </c>
      <c r="T169" s="564" t="s">
        <v>4</v>
      </c>
      <c r="U169" s="564" t="s">
        <v>2</v>
      </c>
      <c r="V169" s="564" t="s">
        <v>4</v>
      </c>
      <c r="W169" s="564" t="s">
        <v>4</v>
      </c>
      <c r="X169" s="564" t="s">
        <v>4</v>
      </c>
      <c r="Y169" s="564" t="s">
        <v>4</v>
      </c>
      <c r="Z169" s="565">
        <v>45214</v>
      </c>
      <c r="AA169" s="557" t="str">
        <f>IF(OR(U169="yes",Z169&gt;'SDG outcome'!$C$39),"yes","no")</f>
        <v>no</v>
      </c>
      <c r="AB169" s="565" t="str">
        <f t="shared" si="6"/>
        <v/>
      </c>
      <c r="AC169" s="566">
        <f>IF(AND('SMS p2'!AA192="no",AND(Z169&gt;='SDG outcome'!$B$28,Z169&lt;'SDG outcome'!$C$39)),Z169-'SDG outcome'!$B$28,"")</f>
        <v>197</v>
      </c>
      <c r="AD169" s="564" t="s">
        <v>31685</v>
      </c>
      <c r="AE169" s="564" t="s">
        <v>4</v>
      </c>
      <c r="AF169" s="564" t="s">
        <v>4</v>
      </c>
      <c r="AG169" s="564" t="s">
        <v>4</v>
      </c>
      <c r="AH169" s="564" t="s">
        <v>4</v>
      </c>
      <c r="AI169" s="564" t="s">
        <v>4</v>
      </c>
      <c r="AJ169" s="564" t="s">
        <v>4</v>
      </c>
      <c r="AK169" s="564" t="s">
        <v>4</v>
      </c>
      <c r="AL169" s="564"/>
      <c r="AM169" s="564"/>
      <c r="AN169" s="564"/>
      <c r="AO169" s="564"/>
      <c r="AP169" s="564"/>
      <c r="AQ169" s="564"/>
      <c r="AR169" s="564"/>
      <c r="AS169" s="564"/>
      <c r="AT169" s="564"/>
      <c r="AU169" s="564"/>
      <c r="AV169" s="564"/>
      <c r="AW169" s="564"/>
      <c r="AX169" s="564"/>
      <c r="AY169" s="564"/>
      <c r="AZ169" s="564"/>
      <c r="BA169" s="564"/>
      <c r="BB169" s="564"/>
      <c r="BC169" s="564"/>
      <c r="BD169" s="564"/>
      <c r="BE169" s="564"/>
      <c r="BF169" s="564"/>
      <c r="BG169" s="564"/>
      <c r="BH169" s="564"/>
      <c r="BI169" s="564"/>
      <c r="BJ169" s="564"/>
      <c r="BK169" s="564"/>
      <c r="BL169" s="564"/>
      <c r="BM169" s="564"/>
      <c r="BN169" s="564"/>
      <c r="BO169" s="564"/>
      <c r="BP169" s="564"/>
      <c r="BQ169" s="564"/>
      <c r="BR169" s="567"/>
      <c r="BS169" s="564"/>
      <c r="BT169" s="564"/>
      <c r="BU169" s="564"/>
      <c r="BV169" s="564"/>
      <c r="BW169" s="567"/>
      <c r="BX169" s="564"/>
      <c r="BY169" s="564"/>
      <c r="BZ169" s="564"/>
      <c r="CA169" s="564"/>
      <c r="CB169" s="564"/>
      <c r="CC169" s="564"/>
      <c r="CD169" s="564"/>
      <c r="CE169" s="564"/>
      <c r="CF169" s="564"/>
      <c r="CG169" s="564"/>
      <c r="CH169" s="564"/>
      <c r="CI169" s="564"/>
      <c r="CJ169" s="564"/>
      <c r="CK169" s="564"/>
      <c r="CL169" s="564"/>
      <c r="CM169" s="564"/>
      <c r="CN169" s="564"/>
      <c r="CO169" s="564"/>
      <c r="CP169" s="564"/>
      <c r="CQ169" s="564"/>
      <c r="CR169" s="564"/>
      <c r="CS169" s="564"/>
      <c r="CT169" s="568"/>
      <c r="CU169" s="563"/>
      <c r="CV169" s="564"/>
      <c r="CW169" s="568"/>
      <c r="CX169" s="563"/>
      <c r="CY169" s="564"/>
      <c r="CZ169" s="568"/>
      <c r="DA169" s="563"/>
      <c r="DB169" s="564"/>
      <c r="DC169" s="564"/>
      <c r="DD169" s="564"/>
      <c r="DE169" s="564"/>
      <c r="DF169" s="564"/>
      <c r="DG169" s="564"/>
      <c r="DH169" s="564"/>
      <c r="DI169" s="564"/>
      <c r="DJ169" s="564"/>
      <c r="DK169" s="564"/>
      <c r="DL169" s="564"/>
      <c r="DM169" s="564"/>
      <c r="DN169" s="564"/>
      <c r="DO169" s="564"/>
      <c r="DP169" s="564"/>
      <c r="DQ169" s="564"/>
      <c r="DR169" s="564"/>
      <c r="DS169" s="569"/>
      <c r="DT169" s="564"/>
      <c r="DU169" s="569"/>
      <c r="DV169" s="568"/>
      <c r="DW169" s="563"/>
      <c r="DX169" s="564"/>
      <c r="DY169" s="564"/>
      <c r="DZ169" s="564"/>
      <c r="EA169" s="564"/>
      <c r="EB169" s="564"/>
      <c r="EC169" s="564"/>
      <c r="ED169" s="564"/>
      <c r="EE169" s="564"/>
      <c r="EF169" s="564"/>
      <c r="EG169" s="564"/>
      <c r="EH169" s="564"/>
      <c r="EI169" s="564"/>
      <c r="EJ169" s="564"/>
      <c r="EK169" s="564"/>
      <c r="EL169" s="564"/>
      <c r="EM169" s="564"/>
      <c r="EN169" s="564"/>
      <c r="EO169" s="564"/>
      <c r="EP169" s="564"/>
      <c r="EQ169" s="564"/>
      <c r="ER169" s="564"/>
      <c r="ES169" s="564"/>
      <c r="ET169" s="564"/>
      <c r="EU169" s="564"/>
      <c r="EV169" s="564"/>
      <c r="EW169" s="564"/>
      <c r="EX169" s="564"/>
      <c r="EY169" s="564"/>
      <c r="EZ169" s="239"/>
      <c r="FA169" s="564"/>
      <c r="FB169" s="564"/>
      <c r="FC169" s="564"/>
      <c r="FD169" s="564"/>
      <c r="FE169" s="564"/>
      <c r="FF169" s="564"/>
      <c r="FG169" s="564"/>
      <c r="FH169" s="564"/>
      <c r="FI169" s="564"/>
      <c r="FJ169" s="564"/>
      <c r="FK169" s="564"/>
      <c r="FL169" s="564"/>
      <c r="FM169" s="564"/>
      <c r="FN169" s="569"/>
      <c r="FO169" s="564"/>
      <c r="FP169" s="564"/>
      <c r="FQ169" s="564"/>
      <c r="FR169" s="564"/>
      <c r="FS169" s="564"/>
      <c r="FT169" s="564"/>
      <c r="FU169" s="564"/>
      <c r="FV169" s="564"/>
      <c r="FW169" s="564"/>
      <c r="FX169" s="564"/>
      <c r="FY169" s="564"/>
      <c r="FZ169" s="564"/>
      <c r="GA169" s="564"/>
      <c r="GB169" s="564"/>
      <c r="GC169" s="564"/>
      <c r="GD169" s="564"/>
      <c r="GE169" s="564"/>
      <c r="GF169" s="564"/>
      <c r="GG169" s="564"/>
      <c r="GH169" s="564"/>
      <c r="GI169" s="564"/>
      <c r="GJ169" s="564"/>
      <c r="GK169" s="564"/>
      <c r="GL169" s="564"/>
      <c r="GM169" s="564"/>
      <c r="GN169" s="564"/>
      <c r="GO169" s="564"/>
      <c r="GP169" s="564"/>
      <c r="GQ169" s="564"/>
      <c r="GR169" s="564"/>
      <c r="GS169" s="564"/>
      <c r="GT169" s="564"/>
      <c r="GU169" s="564"/>
      <c r="GV169" s="569"/>
      <c r="GW169" s="564"/>
      <c r="GX169" s="564"/>
      <c r="GY169" s="564"/>
      <c r="GZ169" s="564"/>
      <c r="HA169" s="564"/>
      <c r="HB169" s="564"/>
      <c r="HC169" s="564"/>
      <c r="HD169" s="564"/>
      <c r="HE169" s="564"/>
      <c r="HF169" s="564"/>
      <c r="HG169" s="564"/>
      <c r="HH169" s="564"/>
      <c r="HI169" s="564"/>
      <c r="HJ169" s="564"/>
      <c r="HK169" s="569"/>
      <c r="HL169" s="564" t="s">
        <v>35375</v>
      </c>
      <c r="HM169" s="564" t="s">
        <v>2</v>
      </c>
      <c r="HN169" s="564" t="s">
        <v>4</v>
      </c>
      <c r="HO169" s="564" t="s">
        <v>16</v>
      </c>
      <c r="HP169" s="564" t="s">
        <v>35376</v>
      </c>
      <c r="HQ169" s="564" t="s">
        <v>35377</v>
      </c>
      <c r="HR169" s="564" t="s">
        <v>35378</v>
      </c>
      <c r="HS169" s="564" t="s">
        <v>35379</v>
      </c>
      <c r="HT169" s="568" t="s">
        <v>35372</v>
      </c>
    </row>
    <row r="170" spans="1:228" ht="30.2" customHeight="1" x14ac:dyDescent="0.25">
      <c r="A170" s="759"/>
      <c r="B170" s="563">
        <v>181</v>
      </c>
      <c r="C170" s="563" t="s">
        <v>16722</v>
      </c>
      <c r="D170" s="564" t="s">
        <v>35380</v>
      </c>
      <c r="E170" s="564" t="s">
        <v>30638</v>
      </c>
      <c r="F170" s="564" t="s">
        <v>7</v>
      </c>
      <c r="G170" s="564" t="s">
        <v>35381</v>
      </c>
      <c r="H170" s="564">
        <v>1198.1213379999999</v>
      </c>
      <c r="I170" s="564">
        <v>4.2880000000000003</v>
      </c>
      <c r="J170" s="564" t="s">
        <v>29288</v>
      </c>
      <c r="K170" s="564" t="s">
        <v>4</v>
      </c>
      <c r="L170" s="564" t="s">
        <v>35382</v>
      </c>
      <c r="M170" s="564">
        <v>776626466</v>
      </c>
      <c r="N170" s="564" t="s">
        <v>3</v>
      </c>
      <c r="O170" s="564" t="s">
        <v>31598</v>
      </c>
      <c r="P170" s="564" t="s">
        <v>4</v>
      </c>
      <c r="Q170" s="564">
        <v>8</v>
      </c>
      <c r="R170" s="564" t="s">
        <v>7</v>
      </c>
      <c r="S170" s="564" t="s">
        <v>31535</v>
      </c>
      <c r="T170" s="564" t="s">
        <v>4</v>
      </c>
      <c r="U170" s="564" t="s">
        <v>2</v>
      </c>
      <c r="V170" s="564" t="s">
        <v>4</v>
      </c>
      <c r="W170" s="564" t="s">
        <v>4</v>
      </c>
      <c r="X170" s="564" t="s">
        <v>4</v>
      </c>
      <c r="Y170" s="564" t="s">
        <v>4</v>
      </c>
      <c r="Z170" s="565">
        <v>45332</v>
      </c>
      <c r="AA170" s="557" t="str">
        <f>IF(OR(U170="yes",Z170&gt;'SDG outcome'!$C$39),"yes","no")</f>
        <v>no</v>
      </c>
      <c r="AB170" s="565" t="str">
        <f t="shared" si="6"/>
        <v/>
      </c>
      <c r="AC170" s="566">
        <f>IF(AND('SMS p2'!AA193="no",AND(Z170&gt;='SDG outcome'!$B$28,Z170&lt;'SDG outcome'!$C$39)),Z170-'SDG outcome'!$B$28,"")</f>
        <v>315</v>
      </c>
      <c r="AD170" s="564" t="s">
        <v>31685</v>
      </c>
      <c r="AE170" s="564" t="s">
        <v>4</v>
      </c>
      <c r="AF170" s="564" t="s">
        <v>4</v>
      </c>
      <c r="AG170" s="564" t="s">
        <v>4</v>
      </c>
      <c r="AH170" s="564" t="s">
        <v>4</v>
      </c>
      <c r="AI170" s="564" t="s">
        <v>4</v>
      </c>
      <c r="AJ170" s="564" t="s">
        <v>4</v>
      </c>
      <c r="AK170" s="564" t="s">
        <v>4</v>
      </c>
      <c r="AL170" s="564"/>
      <c r="AM170" s="564"/>
      <c r="AN170" s="564"/>
      <c r="AO170" s="564"/>
      <c r="AP170" s="564"/>
      <c r="AQ170" s="564"/>
      <c r="AR170" s="564"/>
      <c r="AS170" s="564"/>
      <c r="AT170" s="564"/>
      <c r="AU170" s="564"/>
      <c r="AV170" s="564"/>
      <c r="AW170" s="564"/>
      <c r="AX170" s="564"/>
      <c r="AY170" s="564"/>
      <c r="AZ170" s="564"/>
      <c r="BA170" s="564"/>
      <c r="BB170" s="564"/>
      <c r="BC170" s="564"/>
      <c r="BD170" s="564"/>
      <c r="BE170" s="564"/>
      <c r="BF170" s="564"/>
      <c r="BG170" s="564"/>
      <c r="BH170" s="564"/>
      <c r="BI170" s="564"/>
      <c r="BJ170" s="564"/>
      <c r="BK170" s="564"/>
      <c r="BL170" s="564"/>
      <c r="BM170" s="564"/>
      <c r="BN170" s="564"/>
      <c r="BO170" s="564"/>
      <c r="BP170" s="564"/>
      <c r="BQ170" s="564"/>
      <c r="BR170" s="567"/>
      <c r="BS170" s="564"/>
      <c r="BT170" s="564"/>
      <c r="BU170" s="564"/>
      <c r="BV170" s="564"/>
      <c r="BW170" s="567"/>
      <c r="BX170" s="564"/>
      <c r="BY170" s="564"/>
      <c r="BZ170" s="564"/>
      <c r="CA170" s="564"/>
      <c r="CB170" s="564"/>
      <c r="CC170" s="564"/>
      <c r="CD170" s="564"/>
      <c r="CE170" s="564"/>
      <c r="CF170" s="564"/>
      <c r="CG170" s="564"/>
      <c r="CH170" s="564"/>
      <c r="CI170" s="564"/>
      <c r="CJ170" s="564"/>
      <c r="CK170" s="564"/>
      <c r="CL170" s="564"/>
      <c r="CM170" s="564"/>
      <c r="CN170" s="564"/>
      <c r="CO170" s="564"/>
      <c r="CP170" s="564"/>
      <c r="CQ170" s="564"/>
      <c r="CR170" s="564"/>
      <c r="CS170" s="564"/>
      <c r="CT170" s="568"/>
      <c r="CU170" s="563"/>
      <c r="CV170" s="564"/>
      <c r="CW170" s="568"/>
      <c r="CX170" s="563"/>
      <c r="CY170" s="564"/>
      <c r="CZ170" s="568"/>
      <c r="DA170" s="563"/>
      <c r="DB170" s="564"/>
      <c r="DC170" s="564"/>
      <c r="DD170" s="564"/>
      <c r="DE170" s="564"/>
      <c r="DF170" s="564"/>
      <c r="DG170" s="564"/>
      <c r="DH170" s="564"/>
      <c r="DI170" s="564"/>
      <c r="DJ170" s="564"/>
      <c r="DK170" s="564"/>
      <c r="DL170" s="564"/>
      <c r="DM170" s="564"/>
      <c r="DN170" s="564"/>
      <c r="DO170" s="564"/>
      <c r="DP170" s="564"/>
      <c r="DQ170" s="564"/>
      <c r="DR170" s="564"/>
      <c r="DS170" s="569"/>
      <c r="DT170" s="564"/>
      <c r="DU170" s="569"/>
      <c r="DV170" s="568"/>
      <c r="DW170" s="563"/>
      <c r="DX170" s="564"/>
      <c r="DY170" s="564"/>
      <c r="DZ170" s="564"/>
      <c r="EA170" s="564"/>
      <c r="EB170" s="564"/>
      <c r="EC170" s="564"/>
      <c r="ED170" s="564"/>
      <c r="EE170" s="564"/>
      <c r="EF170" s="564"/>
      <c r="EG170" s="564"/>
      <c r="EH170" s="564"/>
      <c r="EI170" s="564"/>
      <c r="EJ170" s="564"/>
      <c r="EK170" s="564"/>
      <c r="EL170" s="564"/>
      <c r="EM170" s="564"/>
      <c r="EN170" s="564"/>
      <c r="EO170" s="564"/>
      <c r="EP170" s="564"/>
      <c r="EQ170" s="564"/>
      <c r="ER170" s="564"/>
      <c r="ES170" s="564"/>
      <c r="ET170" s="564"/>
      <c r="EU170" s="564"/>
      <c r="EV170" s="564"/>
      <c r="EW170" s="564"/>
      <c r="EX170" s="564"/>
      <c r="EY170" s="564"/>
      <c r="EZ170" s="239"/>
      <c r="FA170" s="564"/>
      <c r="FB170" s="564"/>
      <c r="FC170" s="564"/>
      <c r="FD170" s="564"/>
      <c r="FE170" s="564"/>
      <c r="FF170" s="564"/>
      <c r="FG170" s="564"/>
      <c r="FH170" s="564"/>
      <c r="FI170" s="564"/>
      <c r="FJ170" s="564"/>
      <c r="FK170" s="564"/>
      <c r="FL170" s="564"/>
      <c r="FM170" s="564"/>
      <c r="FN170" s="569"/>
      <c r="FO170" s="564"/>
      <c r="FP170" s="564"/>
      <c r="FQ170" s="564"/>
      <c r="FR170" s="564"/>
      <c r="FS170" s="564"/>
      <c r="FT170" s="564"/>
      <c r="FU170" s="564"/>
      <c r="FV170" s="564"/>
      <c r="FW170" s="564"/>
      <c r="FX170" s="564"/>
      <c r="FY170" s="564"/>
      <c r="FZ170" s="564"/>
      <c r="GA170" s="564"/>
      <c r="GB170" s="564"/>
      <c r="GC170" s="564"/>
      <c r="GD170" s="564"/>
      <c r="GE170" s="564"/>
      <c r="GF170" s="564"/>
      <c r="GG170" s="564"/>
      <c r="GH170" s="564"/>
      <c r="GI170" s="564"/>
      <c r="GJ170" s="564"/>
      <c r="GK170" s="564"/>
      <c r="GL170" s="564"/>
      <c r="GM170" s="564"/>
      <c r="GN170" s="564"/>
      <c r="GO170" s="564"/>
      <c r="GP170" s="564"/>
      <c r="GQ170" s="564"/>
      <c r="GR170" s="564"/>
      <c r="GS170" s="564"/>
      <c r="GT170" s="564"/>
      <c r="GU170" s="564"/>
      <c r="GV170" s="569"/>
      <c r="GW170" s="564"/>
      <c r="GX170" s="564"/>
      <c r="GY170" s="564"/>
      <c r="GZ170" s="564"/>
      <c r="HA170" s="564"/>
      <c r="HB170" s="564"/>
      <c r="HC170" s="564"/>
      <c r="HD170" s="564"/>
      <c r="HE170" s="564"/>
      <c r="HF170" s="564"/>
      <c r="HG170" s="564"/>
      <c r="HH170" s="564"/>
      <c r="HI170" s="564"/>
      <c r="HJ170" s="564"/>
      <c r="HK170" s="569"/>
      <c r="HL170" s="564" t="s">
        <v>35383</v>
      </c>
      <c r="HM170" s="564" t="s">
        <v>2</v>
      </c>
      <c r="HN170" s="564" t="s">
        <v>4</v>
      </c>
      <c r="HO170" s="564" t="s">
        <v>16</v>
      </c>
      <c r="HP170" s="564" t="s">
        <v>35384</v>
      </c>
      <c r="HQ170" s="564" t="s">
        <v>35385</v>
      </c>
      <c r="HR170" s="564" t="s">
        <v>35386</v>
      </c>
      <c r="HS170" s="564" t="s">
        <v>16</v>
      </c>
      <c r="HT170" s="568" t="s">
        <v>35380</v>
      </c>
    </row>
    <row r="171" spans="1:228" ht="30.2" customHeight="1" x14ac:dyDescent="0.25">
      <c r="A171" s="759"/>
      <c r="B171" s="563">
        <v>193</v>
      </c>
      <c r="C171" s="563" t="s">
        <v>27568</v>
      </c>
      <c r="D171" s="564" t="s">
        <v>35504</v>
      </c>
      <c r="E171" s="564" t="s">
        <v>35495</v>
      </c>
      <c r="F171" s="564" t="s">
        <v>7</v>
      </c>
      <c r="G171" s="564" t="s">
        <v>35505</v>
      </c>
      <c r="H171" s="564">
        <v>1129.2</v>
      </c>
      <c r="I171" s="564">
        <v>4.7</v>
      </c>
      <c r="J171" s="564" t="s">
        <v>29349</v>
      </c>
      <c r="K171" s="564" t="s">
        <v>4</v>
      </c>
      <c r="L171" s="564" t="s">
        <v>35506</v>
      </c>
      <c r="M171" s="564">
        <v>701929041</v>
      </c>
      <c r="N171" s="564" t="s">
        <v>3</v>
      </c>
      <c r="O171" s="564" t="s">
        <v>31598</v>
      </c>
      <c r="P171" s="564" t="s">
        <v>4</v>
      </c>
      <c r="Q171" s="564">
        <v>8</v>
      </c>
      <c r="R171" s="564" t="s">
        <v>7</v>
      </c>
      <c r="S171" s="564" t="s">
        <v>31588</v>
      </c>
      <c r="T171" s="564" t="s">
        <v>4</v>
      </c>
      <c r="U171" s="564" t="s">
        <v>2</v>
      </c>
      <c r="V171" s="564" t="s">
        <v>4</v>
      </c>
      <c r="W171" s="564" t="s">
        <v>4</v>
      </c>
      <c r="X171" s="564" t="s">
        <v>4</v>
      </c>
      <c r="Y171" s="564" t="s">
        <v>4</v>
      </c>
      <c r="Z171" s="565">
        <v>45355</v>
      </c>
      <c r="AA171" s="557" t="str">
        <f>IF(OR(U171="yes",Z171&gt;'SDG outcome'!$C$39),"yes","no")</f>
        <v>no</v>
      </c>
      <c r="AB171" s="565" t="str">
        <f t="shared" si="6"/>
        <v/>
      </c>
      <c r="AC171" s="566" t="str">
        <f>IF(AND('SMS p2'!AA205="no",AND(Z171&gt;='SDG outcome'!$B$28,Z171&lt;'SDG outcome'!$C$39)),Z171-'SDG outcome'!$B$28,"")</f>
        <v/>
      </c>
      <c r="AD171" s="564" t="s">
        <v>31685</v>
      </c>
      <c r="AE171" s="564" t="s">
        <v>4</v>
      </c>
      <c r="AF171" s="564" t="s">
        <v>4</v>
      </c>
      <c r="AG171" s="564" t="s">
        <v>4</v>
      </c>
      <c r="AH171" s="564" t="s">
        <v>4</v>
      </c>
      <c r="AI171" s="564" t="s">
        <v>4</v>
      </c>
      <c r="AJ171" s="564" t="s">
        <v>4</v>
      </c>
      <c r="AK171" s="564" t="s">
        <v>4</v>
      </c>
      <c r="AL171" s="564"/>
      <c r="AM171" s="564"/>
      <c r="AN171" s="564"/>
      <c r="AO171" s="564"/>
      <c r="AP171" s="564"/>
      <c r="AQ171" s="564"/>
      <c r="AR171" s="564"/>
      <c r="AS171" s="564"/>
      <c r="AT171" s="564"/>
      <c r="AU171" s="564"/>
      <c r="AV171" s="564"/>
      <c r="AW171" s="564"/>
      <c r="AX171" s="564"/>
      <c r="AY171" s="564"/>
      <c r="AZ171" s="564"/>
      <c r="BA171" s="564"/>
      <c r="BB171" s="564"/>
      <c r="BC171" s="564"/>
      <c r="BD171" s="564"/>
      <c r="BE171" s="564"/>
      <c r="BF171" s="564"/>
      <c r="BG171" s="564"/>
      <c r="BH171" s="564"/>
      <c r="BI171" s="564"/>
      <c r="BJ171" s="564"/>
      <c r="BK171" s="564"/>
      <c r="BL171" s="564"/>
      <c r="BM171" s="564"/>
      <c r="BN171" s="564"/>
      <c r="BO171" s="564"/>
      <c r="BP171" s="564"/>
      <c r="BQ171" s="564"/>
      <c r="BR171" s="567"/>
      <c r="BS171" s="564"/>
      <c r="BT171" s="564"/>
      <c r="BU171" s="564"/>
      <c r="BV171" s="564"/>
      <c r="BW171" s="567"/>
      <c r="BX171" s="564"/>
      <c r="BY171" s="564"/>
      <c r="BZ171" s="564"/>
      <c r="CA171" s="564"/>
      <c r="CB171" s="564"/>
      <c r="CC171" s="564"/>
      <c r="CD171" s="564"/>
      <c r="CE171" s="564"/>
      <c r="CF171" s="564"/>
      <c r="CG171" s="564"/>
      <c r="CH171" s="564"/>
      <c r="CI171" s="564"/>
      <c r="CJ171" s="564"/>
      <c r="CK171" s="564"/>
      <c r="CL171" s="564"/>
      <c r="CM171" s="564"/>
      <c r="CN171" s="564"/>
      <c r="CO171" s="564"/>
      <c r="CP171" s="564"/>
      <c r="CQ171" s="564"/>
      <c r="CR171" s="564"/>
      <c r="CS171" s="564"/>
      <c r="CT171" s="568"/>
      <c r="CU171" s="563"/>
      <c r="CV171" s="564"/>
      <c r="CW171" s="568"/>
      <c r="CX171" s="563"/>
      <c r="CY171" s="564"/>
      <c r="CZ171" s="568"/>
      <c r="DA171" s="563"/>
      <c r="DB171" s="564"/>
      <c r="DC171" s="564"/>
      <c r="DD171" s="564"/>
      <c r="DE171" s="564"/>
      <c r="DF171" s="564"/>
      <c r="DG171" s="564"/>
      <c r="DH171" s="564"/>
      <c r="DI171" s="564"/>
      <c r="DJ171" s="564"/>
      <c r="DK171" s="564"/>
      <c r="DL171" s="564"/>
      <c r="DM171" s="564"/>
      <c r="DN171" s="564"/>
      <c r="DO171" s="564"/>
      <c r="DP171" s="564"/>
      <c r="DQ171" s="564"/>
      <c r="DR171" s="564"/>
      <c r="DS171" s="569"/>
      <c r="DT171" s="564"/>
      <c r="DU171" s="569"/>
      <c r="DV171" s="568"/>
      <c r="DW171" s="563"/>
      <c r="DX171" s="564"/>
      <c r="DY171" s="564"/>
      <c r="DZ171" s="564"/>
      <c r="EA171" s="564"/>
      <c r="EB171" s="564"/>
      <c r="EC171" s="564"/>
      <c r="ED171" s="564"/>
      <c r="EE171" s="564"/>
      <c r="EF171" s="564"/>
      <c r="EG171" s="564"/>
      <c r="EH171" s="564"/>
      <c r="EI171" s="564"/>
      <c r="EJ171" s="564"/>
      <c r="EK171" s="564"/>
      <c r="EL171" s="564"/>
      <c r="EM171" s="564"/>
      <c r="EN171" s="564"/>
      <c r="EO171" s="564"/>
      <c r="EP171" s="564"/>
      <c r="EQ171" s="564"/>
      <c r="ER171" s="564"/>
      <c r="ES171" s="564"/>
      <c r="ET171" s="564"/>
      <c r="EU171" s="564"/>
      <c r="EV171" s="564"/>
      <c r="EW171" s="564"/>
      <c r="EX171" s="564"/>
      <c r="EY171" s="564"/>
      <c r="EZ171" s="239"/>
      <c r="FA171" s="564"/>
      <c r="FB171" s="564"/>
      <c r="FC171" s="564"/>
      <c r="FD171" s="564"/>
      <c r="FE171" s="564"/>
      <c r="FF171" s="564"/>
      <c r="FG171" s="564"/>
      <c r="FH171" s="564"/>
      <c r="FI171" s="564"/>
      <c r="FJ171" s="564"/>
      <c r="FK171" s="564"/>
      <c r="FL171" s="564"/>
      <c r="FM171" s="564"/>
      <c r="FN171" s="569"/>
      <c r="FO171" s="564"/>
      <c r="FP171" s="564"/>
      <c r="FQ171" s="564"/>
      <c r="FR171" s="564"/>
      <c r="FS171" s="564"/>
      <c r="FT171" s="564"/>
      <c r="FU171" s="564"/>
      <c r="FV171" s="564"/>
      <c r="FW171" s="564"/>
      <c r="FX171" s="564"/>
      <c r="FY171" s="564"/>
      <c r="FZ171" s="564"/>
      <c r="GA171" s="564"/>
      <c r="GB171" s="564"/>
      <c r="GC171" s="564"/>
      <c r="GD171" s="564"/>
      <c r="GE171" s="564"/>
      <c r="GF171" s="564"/>
      <c r="GG171" s="564"/>
      <c r="GH171" s="564"/>
      <c r="GI171" s="564"/>
      <c r="GJ171" s="564"/>
      <c r="GK171" s="564"/>
      <c r="GL171" s="564"/>
      <c r="GM171" s="564"/>
      <c r="GN171" s="564"/>
      <c r="GO171" s="564"/>
      <c r="GP171" s="564"/>
      <c r="GQ171" s="564"/>
      <c r="GR171" s="564"/>
      <c r="GS171" s="564"/>
      <c r="GT171" s="564"/>
      <c r="GU171" s="564"/>
      <c r="GV171" s="569"/>
      <c r="GW171" s="564"/>
      <c r="GX171" s="564"/>
      <c r="GY171" s="564"/>
      <c r="GZ171" s="564"/>
      <c r="HA171" s="564"/>
      <c r="HB171" s="564"/>
      <c r="HC171" s="564"/>
      <c r="HD171" s="564"/>
      <c r="HE171" s="564"/>
      <c r="HF171" s="564"/>
      <c r="HG171" s="564"/>
      <c r="HH171" s="564"/>
      <c r="HI171" s="564"/>
      <c r="HJ171" s="564"/>
      <c r="HK171" s="569"/>
      <c r="HL171" s="564" t="s">
        <v>35507</v>
      </c>
      <c r="HM171" s="564" t="s">
        <v>2</v>
      </c>
      <c r="HN171" s="564" t="s">
        <v>4</v>
      </c>
      <c r="HO171" s="564" t="s">
        <v>35508</v>
      </c>
      <c r="HP171" s="564" t="s">
        <v>35509</v>
      </c>
      <c r="HQ171" s="564" t="s">
        <v>35510</v>
      </c>
      <c r="HR171" s="564" t="s">
        <v>35511</v>
      </c>
      <c r="HS171" s="564" t="s">
        <v>16</v>
      </c>
      <c r="HT171" s="568" t="s">
        <v>35504</v>
      </c>
    </row>
    <row r="172" spans="1:228" ht="30.2" customHeight="1" x14ac:dyDescent="0.25">
      <c r="A172" s="759"/>
      <c r="B172" s="563">
        <v>208</v>
      </c>
      <c r="C172" s="563" t="s">
        <v>27637</v>
      </c>
      <c r="D172" s="564" t="s">
        <v>35694</v>
      </c>
      <c r="E172" s="564" t="s">
        <v>30786</v>
      </c>
      <c r="F172" s="564" t="s">
        <v>7</v>
      </c>
      <c r="G172" s="564" t="s">
        <v>35695</v>
      </c>
      <c r="H172" s="564">
        <v>0</v>
      </c>
      <c r="I172" s="564">
        <v>2099.9989999999998</v>
      </c>
      <c r="J172" s="564" t="s">
        <v>29319</v>
      </c>
      <c r="K172" s="564" t="s">
        <v>4</v>
      </c>
      <c r="L172" s="564" t="s">
        <v>5768</v>
      </c>
      <c r="M172" s="564">
        <v>750692732</v>
      </c>
      <c r="N172" s="564" t="s">
        <v>5</v>
      </c>
      <c r="O172" s="564" t="s">
        <v>31590</v>
      </c>
      <c r="P172" s="564" t="s">
        <v>4</v>
      </c>
      <c r="Q172" s="564">
        <v>5</v>
      </c>
      <c r="R172" s="564" t="s">
        <v>7</v>
      </c>
      <c r="S172" s="564" t="s">
        <v>31549</v>
      </c>
      <c r="T172" s="564" t="s">
        <v>4</v>
      </c>
      <c r="U172" s="564" t="s">
        <v>2</v>
      </c>
      <c r="V172" s="564" t="s">
        <v>4</v>
      </c>
      <c r="W172" s="564" t="s">
        <v>4</v>
      </c>
      <c r="X172" s="564" t="s">
        <v>4</v>
      </c>
      <c r="Y172" s="564" t="s">
        <v>4</v>
      </c>
      <c r="Z172" s="565">
        <v>45556</v>
      </c>
      <c r="AA172" s="557" t="str">
        <f>IF(OR(U172="yes",Z172&gt;'SDG outcome'!$C$39),"yes","no")</f>
        <v>yes</v>
      </c>
      <c r="AB172" s="565" t="str">
        <f t="shared" si="6"/>
        <v>NA</v>
      </c>
      <c r="AC172" s="566" t="str">
        <f>IF(AND('SMS p2'!AA220="no",AND(Z172&gt;='SDG outcome'!$B$28,Z172&lt;'SDG outcome'!$C$39)),Z172-'SDG outcome'!$B$28,"")</f>
        <v/>
      </c>
      <c r="AD172" s="564" t="s">
        <v>31685</v>
      </c>
      <c r="AE172" s="564" t="s">
        <v>4</v>
      </c>
      <c r="AF172" s="564" t="s">
        <v>4</v>
      </c>
      <c r="AG172" s="564" t="s">
        <v>4</v>
      </c>
      <c r="AH172" s="564" t="s">
        <v>4</v>
      </c>
      <c r="AI172" s="564" t="s">
        <v>4</v>
      </c>
      <c r="AJ172" s="564" t="s">
        <v>4</v>
      </c>
      <c r="AK172" s="564" t="s">
        <v>4</v>
      </c>
      <c r="AL172" s="564"/>
      <c r="AM172" s="564"/>
      <c r="AN172" s="564"/>
      <c r="AO172" s="564"/>
      <c r="AP172" s="564"/>
      <c r="AQ172" s="564"/>
      <c r="AR172" s="564"/>
      <c r="AS172" s="564"/>
      <c r="AT172" s="564"/>
      <c r="AU172" s="564"/>
      <c r="AV172" s="564"/>
      <c r="AW172" s="564"/>
      <c r="AX172" s="564"/>
      <c r="AY172" s="564"/>
      <c r="AZ172" s="564"/>
      <c r="BA172" s="564"/>
      <c r="BB172" s="564"/>
      <c r="BC172" s="564"/>
      <c r="BD172" s="564"/>
      <c r="BE172" s="564"/>
      <c r="BF172" s="564"/>
      <c r="BG172" s="564"/>
      <c r="BH172" s="564"/>
      <c r="BI172" s="564"/>
      <c r="BJ172" s="564"/>
      <c r="BK172" s="564"/>
      <c r="BL172" s="564"/>
      <c r="BM172" s="564"/>
      <c r="BN172" s="564"/>
      <c r="BO172" s="564"/>
      <c r="BP172" s="564"/>
      <c r="BQ172" s="564"/>
      <c r="BR172" s="567"/>
      <c r="BS172" s="564"/>
      <c r="BT172" s="564"/>
      <c r="BU172" s="564"/>
      <c r="BV172" s="564"/>
      <c r="BW172" s="567"/>
      <c r="BX172" s="564"/>
      <c r="BY172" s="564"/>
      <c r="BZ172" s="564"/>
      <c r="CA172" s="564"/>
      <c r="CB172" s="564"/>
      <c r="CC172" s="564"/>
      <c r="CD172" s="564"/>
      <c r="CE172" s="564"/>
      <c r="CF172" s="564"/>
      <c r="CG172" s="564"/>
      <c r="CH172" s="564"/>
      <c r="CI172" s="564"/>
      <c r="CJ172" s="564"/>
      <c r="CK172" s="564"/>
      <c r="CL172" s="564"/>
      <c r="CM172" s="564"/>
      <c r="CN172" s="564"/>
      <c r="CO172" s="564"/>
      <c r="CP172" s="564"/>
      <c r="CQ172" s="564"/>
      <c r="CR172" s="564"/>
      <c r="CS172" s="564"/>
      <c r="CT172" s="568"/>
      <c r="CU172" s="563"/>
      <c r="CV172" s="564"/>
      <c r="CW172" s="568"/>
      <c r="CX172" s="563"/>
      <c r="CY172" s="564"/>
      <c r="CZ172" s="568"/>
      <c r="DA172" s="563"/>
      <c r="DB172" s="564"/>
      <c r="DC172" s="564"/>
      <c r="DD172" s="564"/>
      <c r="DE172" s="564"/>
      <c r="DF172" s="564"/>
      <c r="DG172" s="564"/>
      <c r="DH172" s="564"/>
      <c r="DI172" s="564"/>
      <c r="DJ172" s="564"/>
      <c r="DK172" s="564"/>
      <c r="DL172" s="564"/>
      <c r="DM172" s="564"/>
      <c r="DN172" s="564"/>
      <c r="DO172" s="564"/>
      <c r="DP172" s="564"/>
      <c r="DQ172" s="564"/>
      <c r="DR172" s="564"/>
      <c r="DS172" s="569"/>
      <c r="DT172" s="564"/>
      <c r="DU172" s="569"/>
      <c r="DV172" s="568"/>
      <c r="DW172" s="563"/>
      <c r="DX172" s="564"/>
      <c r="DY172" s="564"/>
      <c r="DZ172" s="564"/>
      <c r="EA172" s="564"/>
      <c r="EB172" s="564"/>
      <c r="EC172" s="564"/>
      <c r="ED172" s="564"/>
      <c r="EE172" s="564"/>
      <c r="EF172" s="564"/>
      <c r="EG172" s="564"/>
      <c r="EH172" s="564"/>
      <c r="EI172" s="564"/>
      <c r="EJ172" s="564"/>
      <c r="EK172" s="564"/>
      <c r="EL172" s="564"/>
      <c r="EM172" s="564"/>
      <c r="EN172" s="564"/>
      <c r="EO172" s="564"/>
      <c r="EP172" s="564"/>
      <c r="EQ172" s="564"/>
      <c r="ER172" s="564"/>
      <c r="ES172" s="564"/>
      <c r="ET172" s="564"/>
      <c r="EU172" s="564"/>
      <c r="EV172" s="564"/>
      <c r="EW172" s="564"/>
      <c r="EX172" s="564"/>
      <c r="EY172" s="564"/>
      <c r="EZ172" s="239"/>
      <c r="FA172" s="564"/>
      <c r="FB172" s="564"/>
      <c r="FC172" s="564"/>
      <c r="FD172" s="564"/>
      <c r="FE172" s="564"/>
      <c r="FF172" s="564"/>
      <c r="FG172" s="564"/>
      <c r="FH172" s="564"/>
      <c r="FI172" s="564"/>
      <c r="FJ172" s="564"/>
      <c r="FK172" s="564"/>
      <c r="FL172" s="564"/>
      <c r="FM172" s="564"/>
      <c r="FN172" s="569"/>
      <c r="FO172" s="564"/>
      <c r="FP172" s="564"/>
      <c r="FQ172" s="564"/>
      <c r="FR172" s="564"/>
      <c r="FS172" s="564"/>
      <c r="FT172" s="564"/>
      <c r="FU172" s="564"/>
      <c r="FV172" s="564"/>
      <c r="FW172" s="564"/>
      <c r="FX172" s="564"/>
      <c r="FY172" s="564"/>
      <c r="FZ172" s="564"/>
      <c r="GA172" s="564"/>
      <c r="GB172" s="564"/>
      <c r="GC172" s="564"/>
      <c r="GD172" s="564"/>
      <c r="GE172" s="564"/>
      <c r="GF172" s="564"/>
      <c r="GG172" s="564"/>
      <c r="GH172" s="564"/>
      <c r="GI172" s="564"/>
      <c r="GJ172" s="564"/>
      <c r="GK172" s="564"/>
      <c r="GL172" s="564"/>
      <c r="GM172" s="564"/>
      <c r="GN172" s="564"/>
      <c r="GO172" s="564"/>
      <c r="GP172" s="564"/>
      <c r="GQ172" s="564"/>
      <c r="GR172" s="564"/>
      <c r="GS172" s="564"/>
      <c r="GT172" s="564"/>
      <c r="GU172" s="564"/>
      <c r="GV172" s="569"/>
      <c r="GW172" s="564"/>
      <c r="GX172" s="564"/>
      <c r="GY172" s="564"/>
      <c r="GZ172" s="564"/>
      <c r="HA172" s="564"/>
      <c r="HB172" s="564"/>
      <c r="HC172" s="564"/>
      <c r="HD172" s="564"/>
      <c r="HE172" s="564"/>
      <c r="HF172" s="564"/>
      <c r="HG172" s="564"/>
      <c r="HH172" s="564"/>
      <c r="HI172" s="564"/>
      <c r="HJ172" s="564"/>
      <c r="HK172" s="569"/>
      <c r="HL172" s="564" t="s">
        <v>35696</v>
      </c>
      <c r="HM172" s="564" t="s">
        <v>2</v>
      </c>
      <c r="HN172" s="564" t="s">
        <v>4</v>
      </c>
      <c r="HO172" s="564" t="s">
        <v>16</v>
      </c>
      <c r="HP172" s="564" t="s">
        <v>35697</v>
      </c>
      <c r="HQ172" s="564" t="s">
        <v>35698</v>
      </c>
      <c r="HR172" s="564" t="s">
        <v>35699</v>
      </c>
      <c r="HS172" s="564" t="s">
        <v>35700</v>
      </c>
      <c r="HT172" s="568" t="s">
        <v>35694</v>
      </c>
    </row>
    <row r="173" spans="1:228" ht="30.2" customHeight="1" x14ac:dyDescent="0.25">
      <c r="A173" s="759"/>
      <c r="B173" s="563">
        <v>212</v>
      </c>
      <c r="C173" s="563" t="s">
        <v>4573</v>
      </c>
      <c r="D173" s="564" t="s">
        <v>35728</v>
      </c>
      <c r="E173" s="564" t="s">
        <v>30786</v>
      </c>
      <c r="F173" s="564" t="s">
        <v>7</v>
      </c>
      <c r="G173" s="564" t="s">
        <v>35729</v>
      </c>
      <c r="H173" s="564">
        <v>1230.4000000000001</v>
      </c>
      <c r="I173" s="564">
        <v>4.8</v>
      </c>
      <c r="J173" s="564" t="s">
        <v>29288</v>
      </c>
      <c r="K173" s="564" t="s">
        <v>4</v>
      </c>
      <c r="L173" s="564" t="s">
        <v>4574</v>
      </c>
      <c r="M173" s="564">
        <v>753731369</v>
      </c>
      <c r="N173" s="564" t="s">
        <v>3</v>
      </c>
      <c r="O173" s="564" t="s">
        <v>31590</v>
      </c>
      <c r="P173" s="564" t="s">
        <v>4</v>
      </c>
      <c r="Q173" s="564">
        <v>3</v>
      </c>
      <c r="R173" s="564" t="s">
        <v>7</v>
      </c>
      <c r="S173" s="564" t="s">
        <v>31535</v>
      </c>
      <c r="T173" s="564" t="s">
        <v>4</v>
      </c>
      <c r="U173" s="564" t="s">
        <v>2</v>
      </c>
      <c r="V173" s="564" t="s">
        <v>4</v>
      </c>
      <c r="W173" s="564" t="s">
        <v>4</v>
      </c>
      <c r="X173" s="564" t="s">
        <v>4</v>
      </c>
      <c r="Y173" s="564" t="s">
        <v>4</v>
      </c>
      <c r="Z173" s="565">
        <v>45556</v>
      </c>
      <c r="AA173" s="557" t="str">
        <f>IF(OR(U173="yes",Z173&gt;'SDG outcome'!$C$39),"yes","no")</f>
        <v>yes</v>
      </c>
      <c r="AB173" s="565" t="str">
        <f t="shared" si="6"/>
        <v>NA</v>
      </c>
      <c r="AC173" s="566" t="str">
        <f>IF(AND('SMS p2'!AA224="no",AND(Z173&gt;='SDG outcome'!$B$28,Z173&lt;'SDG outcome'!$C$39)),Z173-'SDG outcome'!$B$28,"")</f>
        <v/>
      </c>
      <c r="AD173" s="564" t="s">
        <v>31685</v>
      </c>
      <c r="AE173" s="564" t="s">
        <v>4</v>
      </c>
      <c r="AF173" s="564" t="s">
        <v>4</v>
      </c>
      <c r="AG173" s="564" t="s">
        <v>4</v>
      </c>
      <c r="AH173" s="564" t="s">
        <v>4</v>
      </c>
      <c r="AI173" s="564" t="s">
        <v>4</v>
      </c>
      <c r="AJ173" s="564" t="s">
        <v>4</v>
      </c>
      <c r="AK173" s="564" t="s">
        <v>4</v>
      </c>
      <c r="AL173" s="564"/>
      <c r="AM173" s="564"/>
      <c r="AN173" s="564"/>
      <c r="AO173" s="564"/>
      <c r="AP173" s="564"/>
      <c r="AQ173" s="564"/>
      <c r="AR173" s="564"/>
      <c r="AS173" s="564"/>
      <c r="AT173" s="564"/>
      <c r="AU173" s="564"/>
      <c r="AV173" s="564"/>
      <c r="AW173" s="564"/>
      <c r="AX173" s="564"/>
      <c r="AY173" s="564"/>
      <c r="AZ173" s="564"/>
      <c r="BA173" s="564"/>
      <c r="BB173" s="564"/>
      <c r="BC173" s="564"/>
      <c r="BD173" s="571"/>
      <c r="BE173" s="564"/>
      <c r="BF173" s="564"/>
      <c r="BG173" s="564"/>
      <c r="BH173" s="564"/>
      <c r="BI173" s="564"/>
      <c r="BJ173" s="564"/>
      <c r="BK173" s="564"/>
      <c r="BL173" s="564"/>
      <c r="BM173" s="564"/>
      <c r="BN173" s="564"/>
      <c r="BO173" s="564"/>
      <c r="BP173" s="564"/>
      <c r="BQ173" s="564"/>
      <c r="BR173" s="567"/>
      <c r="BS173" s="564"/>
      <c r="BT173" s="564"/>
      <c r="BU173" s="564"/>
      <c r="BV173" s="564"/>
      <c r="BW173" s="567"/>
      <c r="BX173" s="564"/>
      <c r="BY173" s="564"/>
      <c r="BZ173" s="564"/>
      <c r="CA173" s="564"/>
      <c r="CB173" s="564"/>
      <c r="CC173" s="564"/>
      <c r="CD173" s="564"/>
      <c r="CE173" s="564"/>
      <c r="CF173" s="564"/>
      <c r="CG173" s="564"/>
      <c r="CH173" s="564"/>
      <c r="CI173" s="564"/>
      <c r="CJ173" s="564"/>
      <c r="CK173" s="564"/>
      <c r="CL173" s="564"/>
      <c r="CM173" s="564"/>
      <c r="CN173" s="564"/>
      <c r="CO173" s="564"/>
      <c r="CP173" s="564"/>
      <c r="CQ173" s="564"/>
      <c r="CR173" s="564"/>
      <c r="CS173" s="564"/>
      <c r="CT173" s="568"/>
      <c r="CU173" s="563"/>
      <c r="CV173" s="564"/>
      <c r="CW173" s="568"/>
      <c r="CX173" s="563"/>
      <c r="CY173" s="564"/>
      <c r="CZ173" s="568"/>
      <c r="DA173" s="563"/>
      <c r="DB173" s="564"/>
      <c r="DC173" s="564"/>
      <c r="DD173" s="564"/>
      <c r="DE173" s="564"/>
      <c r="DF173" s="564"/>
      <c r="DG173" s="564"/>
      <c r="DH173" s="564"/>
      <c r="DI173" s="564"/>
      <c r="DJ173" s="564"/>
      <c r="DK173" s="564"/>
      <c r="DL173" s="564"/>
      <c r="DM173" s="564"/>
      <c r="DN173" s="564"/>
      <c r="DO173" s="564"/>
      <c r="DP173" s="564"/>
      <c r="DQ173" s="564"/>
      <c r="DR173" s="564"/>
      <c r="DS173" s="569"/>
      <c r="DT173" s="564"/>
      <c r="DU173" s="569"/>
      <c r="DV173" s="568"/>
      <c r="DW173" s="563"/>
      <c r="DX173" s="564"/>
      <c r="DY173" s="564"/>
      <c r="DZ173" s="564"/>
      <c r="EA173" s="564"/>
      <c r="EB173" s="564"/>
      <c r="EC173" s="564"/>
      <c r="ED173" s="564"/>
      <c r="EE173" s="564"/>
      <c r="EF173" s="564"/>
      <c r="EG173" s="564"/>
      <c r="EH173" s="564"/>
      <c r="EI173" s="564"/>
      <c r="EJ173" s="564"/>
      <c r="EK173" s="564"/>
      <c r="EL173" s="564"/>
      <c r="EM173" s="564"/>
      <c r="EN173" s="564"/>
      <c r="EO173" s="564"/>
      <c r="EP173" s="564"/>
      <c r="EQ173" s="564"/>
      <c r="ER173" s="564"/>
      <c r="ES173" s="564"/>
      <c r="ET173" s="564"/>
      <c r="EU173" s="564"/>
      <c r="EV173" s="564"/>
      <c r="EW173" s="564"/>
      <c r="EX173" s="564"/>
      <c r="EY173" s="564"/>
      <c r="EZ173" s="239"/>
      <c r="FA173" s="564"/>
      <c r="FB173" s="564"/>
      <c r="FC173" s="564"/>
      <c r="FD173" s="564"/>
      <c r="FE173" s="564"/>
      <c r="FF173" s="564"/>
      <c r="FG173" s="564"/>
      <c r="FH173" s="564"/>
      <c r="FI173" s="564"/>
      <c r="FJ173" s="564"/>
      <c r="FK173" s="564"/>
      <c r="FL173" s="564"/>
      <c r="FM173" s="564"/>
      <c r="FN173" s="569"/>
      <c r="FO173" s="564"/>
      <c r="FP173" s="564"/>
      <c r="FQ173" s="564"/>
      <c r="FR173" s="564"/>
      <c r="FS173" s="564"/>
      <c r="FT173" s="564"/>
      <c r="FU173" s="564"/>
      <c r="FV173" s="564"/>
      <c r="FW173" s="564"/>
      <c r="FX173" s="564"/>
      <c r="FY173" s="564"/>
      <c r="FZ173" s="564"/>
      <c r="GA173" s="564"/>
      <c r="GB173" s="564"/>
      <c r="GC173" s="564"/>
      <c r="GD173" s="564"/>
      <c r="GE173" s="564"/>
      <c r="GF173" s="564"/>
      <c r="GG173" s="564"/>
      <c r="GH173" s="564"/>
      <c r="GI173" s="564"/>
      <c r="GJ173" s="564"/>
      <c r="GK173" s="564"/>
      <c r="GL173" s="564"/>
      <c r="GM173" s="564"/>
      <c r="GN173" s="564"/>
      <c r="GO173" s="564"/>
      <c r="GP173" s="564"/>
      <c r="GQ173" s="564"/>
      <c r="GR173" s="564"/>
      <c r="GS173" s="564"/>
      <c r="GT173" s="564"/>
      <c r="GU173" s="564"/>
      <c r="GV173" s="569"/>
      <c r="GW173" s="564"/>
      <c r="GX173" s="564"/>
      <c r="GY173" s="564"/>
      <c r="GZ173" s="564"/>
      <c r="HA173" s="564"/>
      <c r="HB173" s="564"/>
      <c r="HC173" s="564"/>
      <c r="HD173" s="564"/>
      <c r="HE173" s="564"/>
      <c r="HF173" s="564"/>
      <c r="HG173" s="564"/>
      <c r="HH173" s="564"/>
      <c r="HI173" s="564"/>
      <c r="HJ173" s="564"/>
      <c r="HK173" s="569"/>
      <c r="HL173" s="564" t="s">
        <v>35730</v>
      </c>
      <c r="HM173" s="564" t="s">
        <v>7</v>
      </c>
      <c r="HN173" s="564" t="s">
        <v>35731</v>
      </c>
      <c r="HO173" s="564" t="s">
        <v>35732</v>
      </c>
      <c r="HP173" s="564" t="s">
        <v>35733</v>
      </c>
      <c r="HQ173" s="564" t="s">
        <v>35734</v>
      </c>
      <c r="HR173" s="564" t="s">
        <v>35735</v>
      </c>
      <c r="HS173" s="564" t="s">
        <v>35736</v>
      </c>
      <c r="HT173" s="568" t="s">
        <v>35728</v>
      </c>
    </row>
    <row r="174" spans="1:228" ht="30.2" customHeight="1" x14ac:dyDescent="0.25">
      <c r="A174" s="759"/>
      <c r="B174" s="563">
        <v>214</v>
      </c>
      <c r="C174" s="563" t="s">
        <v>7589</v>
      </c>
      <c r="D174" s="564" t="s">
        <v>35747</v>
      </c>
      <c r="E174" s="564" t="s">
        <v>30786</v>
      </c>
      <c r="F174" s="564" t="s">
        <v>7</v>
      </c>
      <c r="G174" s="564" t="s">
        <v>35748</v>
      </c>
      <c r="H174" s="564">
        <v>1235.8</v>
      </c>
      <c r="I174" s="564">
        <v>4.9000000000000004</v>
      </c>
      <c r="J174" s="564" t="s">
        <v>29319</v>
      </c>
      <c r="K174" s="564" t="s">
        <v>4</v>
      </c>
      <c r="L174" s="564" t="s">
        <v>7590</v>
      </c>
      <c r="M174" s="564">
        <v>782936304</v>
      </c>
      <c r="N174" s="564" t="s">
        <v>5</v>
      </c>
      <c r="O174" s="564" t="s">
        <v>31590</v>
      </c>
      <c r="P174" s="564" t="s">
        <v>4</v>
      </c>
      <c r="Q174" s="564">
        <v>4</v>
      </c>
      <c r="R174" s="564" t="s">
        <v>7</v>
      </c>
      <c r="S174" s="564" t="s">
        <v>31588</v>
      </c>
      <c r="T174" s="564" t="s">
        <v>4</v>
      </c>
      <c r="U174" s="564" t="s">
        <v>2</v>
      </c>
      <c r="V174" s="564" t="s">
        <v>4</v>
      </c>
      <c r="W174" s="564" t="s">
        <v>4</v>
      </c>
      <c r="X174" s="564" t="s">
        <v>4</v>
      </c>
      <c r="Y174" s="564" t="s">
        <v>4</v>
      </c>
      <c r="Z174" s="565">
        <v>45557</v>
      </c>
      <c r="AA174" s="557" t="str">
        <f>IF(OR(U174="yes",Z174&gt;'SDG outcome'!$C$39),"yes","no")</f>
        <v>yes</v>
      </c>
      <c r="AB174" s="565" t="str">
        <f t="shared" si="6"/>
        <v>NA</v>
      </c>
      <c r="AC174" s="566" t="str">
        <f>IF(AND('SMS p2'!AA226="no",AND(Z174&gt;='SDG outcome'!$B$28,Z174&lt;'SDG outcome'!$C$39)),Z174-'SDG outcome'!$B$28,"")</f>
        <v/>
      </c>
      <c r="AD174" s="564" t="s">
        <v>31685</v>
      </c>
      <c r="AE174" s="564" t="s">
        <v>4</v>
      </c>
      <c r="AF174" s="564" t="s">
        <v>4</v>
      </c>
      <c r="AG174" s="564" t="s">
        <v>4</v>
      </c>
      <c r="AH174" s="564" t="s">
        <v>4</v>
      </c>
      <c r="AI174" s="564" t="s">
        <v>4</v>
      </c>
      <c r="AJ174" s="564" t="s">
        <v>4</v>
      </c>
      <c r="AK174" s="564" t="s">
        <v>4</v>
      </c>
      <c r="AL174" s="564"/>
      <c r="AM174" s="564"/>
      <c r="AN174" s="564"/>
      <c r="AO174" s="564"/>
      <c r="AP174" s="564"/>
      <c r="AQ174" s="564"/>
      <c r="AR174" s="564"/>
      <c r="AS174" s="564"/>
      <c r="AT174" s="564"/>
      <c r="AU174" s="564"/>
      <c r="AV174" s="564"/>
      <c r="AW174" s="564"/>
      <c r="AX174" s="564"/>
      <c r="AY174" s="564"/>
      <c r="AZ174" s="564"/>
      <c r="BA174" s="564"/>
      <c r="BB174" s="564"/>
      <c r="BC174" s="564"/>
      <c r="BD174" s="564"/>
      <c r="BE174" s="564"/>
      <c r="BF174" s="564"/>
      <c r="BG174" s="564"/>
      <c r="BH174" s="564"/>
      <c r="BI174" s="564"/>
      <c r="BJ174" s="564"/>
      <c r="BK174" s="564"/>
      <c r="BL174" s="564"/>
      <c r="BM174" s="564"/>
      <c r="BN174" s="564"/>
      <c r="BO174" s="564"/>
      <c r="BP174" s="564"/>
      <c r="BQ174" s="564"/>
      <c r="BR174" s="567"/>
      <c r="BS174" s="564"/>
      <c r="BT174" s="564"/>
      <c r="BU174" s="564"/>
      <c r="BV174" s="564"/>
      <c r="BW174" s="567"/>
      <c r="BX174" s="564"/>
      <c r="BY174" s="564"/>
      <c r="BZ174" s="564"/>
      <c r="CA174" s="564"/>
      <c r="CB174" s="564"/>
      <c r="CC174" s="564"/>
      <c r="CD174" s="564"/>
      <c r="CE174" s="564"/>
      <c r="CF174" s="564"/>
      <c r="CG174" s="564"/>
      <c r="CH174" s="564"/>
      <c r="CI174" s="564"/>
      <c r="CJ174" s="564"/>
      <c r="CK174" s="564"/>
      <c r="CL174" s="564"/>
      <c r="CM174" s="564"/>
      <c r="CN174" s="564"/>
      <c r="CO174" s="564"/>
      <c r="CP174" s="564"/>
      <c r="CQ174" s="564"/>
      <c r="CR174" s="564"/>
      <c r="CS174" s="564"/>
      <c r="CT174" s="568"/>
      <c r="CU174" s="563"/>
      <c r="CV174" s="564"/>
      <c r="CW174" s="568"/>
      <c r="CX174" s="563"/>
      <c r="CY174" s="564"/>
      <c r="CZ174" s="568"/>
      <c r="DA174" s="563"/>
      <c r="DB174" s="564"/>
      <c r="DC174" s="564"/>
      <c r="DD174" s="564"/>
      <c r="DE174" s="564"/>
      <c r="DF174" s="564"/>
      <c r="DG174" s="564"/>
      <c r="DH174" s="564"/>
      <c r="DI174" s="564"/>
      <c r="DJ174" s="564"/>
      <c r="DK174" s="564"/>
      <c r="DL174" s="564"/>
      <c r="DM174" s="564"/>
      <c r="DN174" s="564"/>
      <c r="DO174" s="564"/>
      <c r="DP174" s="564"/>
      <c r="DQ174" s="564"/>
      <c r="DR174" s="564"/>
      <c r="DS174" s="569"/>
      <c r="DT174" s="564"/>
      <c r="DU174" s="569"/>
      <c r="DV174" s="568"/>
      <c r="DW174" s="563"/>
      <c r="DX174" s="564"/>
      <c r="DY174" s="564"/>
      <c r="DZ174" s="564"/>
      <c r="EA174" s="564"/>
      <c r="EB174" s="564"/>
      <c r="EC174" s="564"/>
      <c r="ED174" s="564"/>
      <c r="EE174" s="564"/>
      <c r="EF174" s="564"/>
      <c r="EG174" s="564"/>
      <c r="EH174" s="564"/>
      <c r="EI174" s="564"/>
      <c r="EJ174" s="564"/>
      <c r="EK174" s="564"/>
      <c r="EL174" s="564"/>
      <c r="EM174" s="564"/>
      <c r="EN174" s="564"/>
      <c r="EO174" s="564"/>
      <c r="EP174" s="564"/>
      <c r="EQ174" s="564"/>
      <c r="ER174" s="564"/>
      <c r="ES174" s="564"/>
      <c r="ET174" s="564"/>
      <c r="EU174" s="564"/>
      <c r="EV174" s="564"/>
      <c r="EW174" s="564"/>
      <c r="EX174" s="564"/>
      <c r="EY174" s="564"/>
      <c r="EZ174" s="239"/>
      <c r="FA174" s="564"/>
      <c r="FB174" s="564"/>
      <c r="FC174" s="564"/>
      <c r="FD174" s="564"/>
      <c r="FE174" s="564"/>
      <c r="FF174" s="564"/>
      <c r="FG174" s="564"/>
      <c r="FH174" s="564"/>
      <c r="FI174" s="564"/>
      <c r="FJ174" s="564"/>
      <c r="FK174" s="564"/>
      <c r="FL174" s="564"/>
      <c r="FM174" s="564"/>
      <c r="FN174" s="569"/>
      <c r="FO174" s="564"/>
      <c r="FP174" s="564"/>
      <c r="FQ174" s="564"/>
      <c r="FR174" s="564"/>
      <c r="FS174" s="564"/>
      <c r="FT174" s="564"/>
      <c r="FU174" s="564"/>
      <c r="FV174" s="564"/>
      <c r="FW174" s="564"/>
      <c r="FX174" s="564"/>
      <c r="FY174" s="564"/>
      <c r="FZ174" s="564"/>
      <c r="GA174" s="564"/>
      <c r="GB174" s="564"/>
      <c r="GC174" s="564"/>
      <c r="GD174" s="564"/>
      <c r="GE174" s="564"/>
      <c r="GF174" s="564"/>
      <c r="GG174" s="564"/>
      <c r="GH174" s="564"/>
      <c r="GI174" s="564"/>
      <c r="GJ174" s="564"/>
      <c r="GK174" s="564"/>
      <c r="GL174" s="564"/>
      <c r="GM174" s="564"/>
      <c r="GN174" s="564"/>
      <c r="GO174" s="564"/>
      <c r="GP174" s="564"/>
      <c r="GQ174" s="564"/>
      <c r="GR174" s="564"/>
      <c r="GS174" s="564"/>
      <c r="GT174" s="564"/>
      <c r="GU174" s="564"/>
      <c r="GV174" s="569"/>
      <c r="GW174" s="564"/>
      <c r="GX174" s="564"/>
      <c r="GY174" s="564"/>
      <c r="GZ174" s="564"/>
      <c r="HA174" s="564"/>
      <c r="HB174" s="564"/>
      <c r="HC174" s="564"/>
      <c r="HD174" s="564"/>
      <c r="HE174" s="564"/>
      <c r="HF174" s="564"/>
      <c r="HG174" s="564"/>
      <c r="HH174" s="564"/>
      <c r="HI174" s="564"/>
      <c r="HJ174" s="564"/>
      <c r="HK174" s="569"/>
      <c r="HL174" s="564" t="s">
        <v>33474</v>
      </c>
      <c r="HM174" s="564" t="s">
        <v>2</v>
      </c>
      <c r="HN174" s="564" t="s">
        <v>4</v>
      </c>
      <c r="HO174" s="564" t="s">
        <v>16</v>
      </c>
      <c r="HP174" s="564" t="s">
        <v>35749</v>
      </c>
      <c r="HQ174" s="564" t="s">
        <v>35750</v>
      </c>
      <c r="HR174" s="564" t="s">
        <v>35751</v>
      </c>
      <c r="HS174" s="564" t="s">
        <v>35752</v>
      </c>
      <c r="HT174" s="568" t="s">
        <v>35747</v>
      </c>
    </row>
    <row r="175" spans="1:228" ht="30.2" customHeight="1" x14ac:dyDescent="0.25">
      <c r="A175" s="759"/>
      <c r="B175" s="563">
        <v>220</v>
      </c>
      <c r="C175" s="563" t="s">
        <v>4381</v>
      </c>
      <c r="D175" s="564" t="s">
        <v>35797</v>
      </c>
      <c r="E175" s="564" t="s">
        <v>30786</v>
      </c>
      <c r="F175" s="564" t="s">
        <v>7</v>
      </c>
      <c r="G175" s="564" t="s">
        <v>35798</v>
      </c>
      <c r="H175" s="564">
        <v>1108.0999999999999</v>
      </c>
      <c r="I175" s="564">
        <v>5</v>
      </c>
      <c r="J175" s="564" t="s">
        <v>29319</v>
      </c>
      <c r="K175" s="564" t="s">
        <v>4</v>
      </c>
      <c r="L175" s="564" t="s">
        <v>35799</v>
      </c>
      <c r="M175" s="564">
        <v>705198036</v>
      </c>
      <c r="N175" s="564" t="s">
        <v>5</v>
      </c>
      <c r="O175" s="564" t="s">
        <v>31590</v>
      </c>
      <c r="P175" s="564" t="s">
        <v>4</v>
      </c>
      <c r="Q175" s="564">
        <v>6</v>
      </c>
      <c r="R175" s="564" t="s">
        <v>7</v>
      </c>
      <c r="S175" s="564" t="s">
        <v>31562</v>
      </c>
      <c r="T175" s="564" t="s">
        <v>4</v>
      </c>
      <c r="U175" s="564" t="s">
        <v>2</v>
      </c>
      <c r="V175" s="564" t="s">
        <v>4</v>
      </c>
      <c r="W175" s="564" t="s">
        <v>4</v>
      </c>
      <c r="X175" s="564" t="s">
        <v>4</v>
      </c>
      <c r="Y175" s="564" t="s">
        <v>4</v>
      </c>
      <c r="Z175" s="565">
        <v>45559</v>
      </c>
      <c r="AA175" s="557" t="str">
        <f>IF(OR(U175="yes",Z175&gt;'SDG outcome'!$C$39),"yes","no")</f>
        <v>yes</v>
      </c>
      <c r="AB175" s="565" t="str">
        <f t="shared" si="6"/>
        <v>NA</v>
      </c>
      <c r="AC175" s="566" t="str">
        <f>IF(AND('SMS p2'!AA231="no",AND(Z175&gt;='SDG outcome'!$B$28,Z175&lt;'SDG outcome'!$C$39)),Z175-'SDG outcome'!$B$28,"")</f>
        <v/>
      </c>
      <c r="AD175" s="564" t="s">
        <v>31685</v>
      </c>
      <c r="AE175" s="564" t="s">
        <v>4</v>
      </c>
      <c r="AF175" s="564" t="s">
        <v>4</v>
      </c>
      <c r="AG175" s="564" t="s">
        <v>4</v>
      </c>
      <c r="AH175" s="564" t="s">
        <v>4</v>
      </c>
      <c r="AI175" s="564" t="s">
        <v>4</v>
      </c>
      <c r="AJ175" s="564" t="s">
        <v>4</v>
      </c>
      <c r="AK175" s="564" t="s">
        <v>4</v>
      </c>
      <c r="AL175" s="564"/>
      <c r="AM175" s="564"/>
      <c r="AN175" s="564"/>
      <c r="AO175" s="564"/>
      <c r="AP175" s="564"/>
      <c r="AQ175" s="564"/>
      <c r="AR175" s="564"/>
      <c r="AS175" s="564"/>
      <c r="AT175" s="564"/>
      <c r="AU175" s="564"/>
      <c r="AV175" s="564"/>
      <c r="AW175" s="564"/>
      <c r="AX175" s="564"/>
      <c r="AY175" s="564"/>
      <c r="AZ175" s="564"/>
      <c r="BA175" s="564"/>
      <c r="BB175" s="564"/>
      <c r="BC175" s="564"/>
      <c r="BD175" s="564"/>
      <c r="BE175" s="564"/>
      <c r="BF175" s="564"/>
      <c r="BG175" s="564"/>
      <c r="BH175" s="564"/>
      <c r="BI175" s="564"/>
      <c r="BJ175" s="564"/>
      <c r="BK175" s="564"/>
      <c r="BL175" s="564"/>
      <c r="BM175" s="564"/>
      <c r="BN175" s="564"/>
      <c r="BO175" s="564"/>
      <c r="BP175" s="564"/>
      <c r="BQ175" s="564"/>
      <c r="BR175" s="567"/>
      <c r="BS175" s="564"/>
      <c r="BT175" s="564"/>
      <c r="BU175" s="564"/>
      <c r="BV175" s="564"/>
      <c r="BW175" s="567"/>
      <c r="BX175" s="564"/>
      <c r="BY175" s="564"/>
      <c r="BZ175" s="564"/>
      <c r="CA175" s="564"/>
      <c r="CB175" s="564"/>
      <c r="CC175" s="564"/>
      <c r="CD175" s="564"/>
      <c r="CE175" s="564"/>
      <c r="CF175" s="564"/>
      <c r="CG175" s="564"/>
      <c r="CH175" s="564"/>
      <c r="CI175" s="564"/>
      <c r="CJ175" s="564"/>
      <c r="CK175" s="564"/>
      <c r="CL175" s="564"/>
      <c r="CM175" s="564"/>
      <c r="CN175" s="564"/>
      <c r="CO175" s="564"/>
      <c r="CP175" s="564"/>
      <c r="CQ175" s="564"/>
      <c r="CR175" s="564"/>
      <c r="CS175" s="564"/>
      <c r="CT175" s="568"/>
      <c r="CU175" s="563"/>
      <c r="CV175" s="564"/>
      <c r="CW175" s="568"/>
      <c r="CX175" s="563"/>
      <c r="CY175" s="564"/>
      <c r="CZ175" s="568"/>
      <c r="DA175" s="563"/>
      <c r="DB175" s="564"/>
      <c r="DC175" s="564"/>
      <c r="DD175" s="564"/>
      <c r="DE175" s="564"/>
      <c r="DF175" s="564"/>
      <c r="DG175" s="564"/>
      <c r="DH175" s="564"/>
      <c r="DI175" s="564"/>
      <c r="DJ175" s="564"/>
      <c r="DK175" s="564"/>
      <c r="DL175" s="564"/>
      <c r="DM175" s="564"/>
      <c r="DN175" s="564"/>
      <c r="DO175" s="564"/>
      <c r="DP175" s="564"/>
      <c r="DQ175" s="564"/>
      <c r="DR175" s="564"/>
      <c r="DS175" s="569"/>
      <c r="DT175" s="564"/>
      <c r="DU175" s="569"/>
      <c r="DV175" s="568"/>
      <c r="DW175" s="563"/>
      <c r="DX175" s="564"/>
      <c r="DY175" s="564"/>
      <c r="DZ175" s="564"/>
      <c r="EA175" s="564"/>
      <c r="EB175" s="564"/>
      <c r="EC175" s="564"/>
      <c r="ED175" s="564"/>
      <c r="EE175" s="564"/>
      <c r="EF175" s="564"/>
      <c r="EG175" s="564"/>
      <c r="EH175" s="564"/>
      <c r="EI175" s="564"/>
      <c r="EJ175" s="564"/>
      <c r="EK175" s="564"/>
      <c r="EL175" s="564"/>
      <c r="EM175" s="564"/>
      <c r="EN175" s="564"/>
      <c r="EO175" s="564"/>
      <c r="EP175" s="564"/>
      <c r="EQ175" s="564"/>
      <c r="ER175" s="564"/>
      <c r="ES175" s="564"/>
      <c r="ET175" s="564"/>
      <c r="EU175" s="564"/>
      <c r="EV175" s="564"/>
      <c r="EW175" s="564"/>
      <c r="EX175" s="564"/>
      <c r="EY175" s="564"/>
      <c r="EZ175" s="239"/>
      <c r="FA175" s="564"/>
      <c r="FB175" s="564"/>
      <c r="FC175" s="564"/>
      <c r="FD175" s="564"/>
      <c r="FE175" s="564"/>
      <c r="FF175" s="564"/>
      <c r="FG175" s="564"/>
      <c r="FH175" s="564"/>
      <c r="FI175" s="564"/>
      <c r="FJ175" s="564"/>
      <c r="FK175" s="564"/>
      <c r="FL175" s="564"/>
      <c r="FM175" s="564"/>
      <c r="FN175" s="569"/>
      <c r="FO175" s="564"/>
      <c r="FP175" s="564"/>
      <c r="FQ175" s="564"/>
      <c r="FR175" s="564"/>
      <c r="FS175" s="564"/>
      <c r="FT175" s="564"/>
      <c r="FU175" s="564"/>
      <c r="FV175" s="564"/>
      <c r="FW175" s="564"/>
      <c r="FX175" s="564"/>
      <c r="FY175" s="564"/>
      <c r="FZ175" s="564"/>
      <c r="GA175" s="564"/>
      <c r="GB175" s="564"/>
      <c r="GC175" s="564"/>
      <c r="GD175" s="564"/>
      <c r="GE175" s="564"/>
      <c r="GF175" s="564"/>
      <c r="GG175" s="564"/>
      <c r="GH175" s="564"/>
      <c r="GI175" s="564"/>
      <c r="GJ175" s="564"/>
      <c r="GK175" s="564"/>
      <c r="GL175" s="564"/>
      <c r="GM175" s="564"/>
      <c r="GN175" s="564"/>
      <c r="GO175" s="564"/>
      <c r="GP175" s="564"/>
      <c r="GQ175" s="564"/>
      <c r="GR175" s="564"/>
      <c r="GS175" s="564"/>
      <c r="GT175" s="564"/>
      <c r="GU175" s="564"/>
      <c r="GV175" s="569"/>
      <c r="GW175" s="564"/>
      <c r="GX175" s="564"/>
      <c r="GY175" s="564"/>
      <c r="GZ175" s="564"/>
      <c r="HA175" s="564"/>
      <c r="HB175" s="564"/>
      <c r="HC175" s="564"/>
      <c r="HD175" s="564"/>
      <c r="HE175" s="564"/>
      <c r="HF175" s="564"/>
      <c r="HG175" s="564"/>
      <c r="HH175" s="564"/>
      <c r="HI175" s="564"/>
      <c r="HJ175" s="564"/>
      <c r="HK175" s="569"/>
      <c r="HL175" s="564" t="s">
        <v>35800</v>
      </c>
      <c r="HM175" s="564" t="s">
        <v>2</v>
      </c>
      <c r="HN175" s="564" t="s">
        <v>4</v>
      </c>
      <c r="HO175" s="564" t="s">
        <v>16</v>
      </c>
      <c r="HP175" s="564" t="s">
        <v>35801</v>
      </c>
      <c r="HQ175" s="564" t="s">
        <v>35802</v>
      </c>
      <c r="HR175" s="564" t="s">
        <v>35803</v>
      </c>
      <c r="HS175" s="564" t="s">
        <v>35804</v>
      </c>
      <c r="HT175" s="568" t="s">
        <v>35797</v>
      </c>
    </row>
    <row r="176" spans="1:228" ht="30.2" customHeight="1" x14ac:dyDescent="0.25">
      <c r="A176" s="759"/>
      <c r="B176" s="563">
        <v>243</v>
      </c>
      <c r="C176" s="563" t="s">
        <v>14475</v>
      </c>
      <c r="D176" s="564" t="s">
        <v>36031</v>
      </c>
      <c r="E176" s="564" t="s">
        <v>35998</v>
      </c>
      <c r="F176" s="564" t="s">
        <v>7</v>
      </c>
      <c r="G176" s="564" t="s">
        <v>36032</v>
      </c>
      <c r="H176" s="564">
        <v>1232.4449999999999</v>
      </c>
      <c r="I176" s="564">
        <v>1.7677449999999999</v>
      </c>
      <c r="J176" s="564" t="s">
        <v>29288</v>
      </c>
      <c r="K176" s="564" t="s">
        <v>4</v>
      </c>
      <c r="L176" s="564" t="s">
        <v>14476</v>
      </c>
      <c r="M176" s="564">
        <v>752633582</v>
      </c>
      <c r="N176" s="564" t="s">
        <v>3</v>
      </c>
      <c r="O176" s="564" t="s">
        <v>31438</v>
      </c>
      <c r="P176" s="564">
        <v>50</v>
      </c>
      <c r="Q176" s="564">
        <v>8</v>
      </c>
      <c r="R176" s="564" t="s">
        <v>7</v>
      </c>
      <c r="S176" s="564" t="s">
        <v>31588</v>
      </c>
      <c r="T176" s="564" t="s">
        <v>4</v>
      </c>
      <c r="U176" s="564" t="s">
        <v>2</v>
      </c>
      <c r="V176" s="564" t="s">
        <v>4</v>
      </c>
      <c r="W176" s="564" t="s">
        <v>4</v>
      </c>
      <c r="X176" s="564" t="s">
        <v>4</v>
      </c>
      <c r="Y176" s="564" t="s">
        <v>4</v>
      </c>
      <c r="Z176" s="565">
        <v>44881</v>
      </c>
      <c r="AA176" s="557" t="str">
        <f>IF(OR(U176="yes",Z176&gt;'SDG outcome'!$C$39),"yes","no")</f>
        <v>no</v>
      </c>
      <c r="AB176" s="565" t="str">
        <f t="shared" si="6"/>
        <v/>
      </c>
      <c r="AC176" s="566" t="str">
        <f>IF(AND('SMS p2'!AA254="no",AND(Z176&gt;='SDG outcome'!$B$28,Z176&lt;'SDG outcome'!$C$39)),Z176-'SDG outcome'!$B$28,"")</f>
        <v/>
      </c>
      <c r="AD176" s="564" t="s">
        <v>31685</v>
      </c>
      <c r="AE176" s="564" t="s">
        <v>4</v>
      </c>
      <c r="AF176" s="564" t="s">
        <v>4</v>
      </c>
      <c r="AG176" s="564" t="s">
        <v>4</v>
      </c>
      <c r="AH176" s="564" t="s">
        <v>4</v>
      </c>
      <c r="AI176" s="564" t="s">
        <v>4</v>
      </c>
      <c r="AJ176" s="564" t="s">
        <v>4</v>
      </c>
      <c r="AK176" s="564" t="s">
        <v>4</v>
      </c>
      <c r="AL176" s="564"/>
      <c r="AM176" s="564"/>
      <c r="AN176" s="564"/>
      <c r="AO176" s="564"/>
      <c r="AP176" s="564"/>
      <c r="AQ176" s="564"/>
      <c r="AR176" s="564"/>
      <c r="AS176" s="564"/>
      <c r="AT176" s="564"/>
      <c r="AU176" s="564"/>
      <c r="AV176" s="564"/>
      <c r="AW176" s="564"/>
      <c r="AX176" s="564"/>
      <c r="AY176" s="564"/>
      <c r="AZ176" s="564"/>
      <c r="BA176" s="564"/>
      <c r="BB176" s="564"/>
      <c r="BC176" s="564"/>
      <c r="BD176" s="564"/>
      <c r="BE176" s="564"/>
      <c r="BF176" s="564"/>
      <c r="BG176" s="564"/>
      <c r="BH176" s="564"/>
      <c r="BI176" s="564"/>
      <c r="BJ176" s="564"/>
      <c r="BK176" s="564"/>
      <c r="BL176" s="564"/>
      <c r="BM176" s="564"/>
      <c r="BN176" s="564"/>
      <c r="BO176" s="564"/>
      <c r="BP176" s="564"/>
      <c r="BQ176" s="564"/>
      <c r="BR176" s="567"/>
      <c r="BS176" s="564"/>
      <c r="BT176" s="564"/>
      <c r="BU176" s="564"/>
      <c r="BV176" s="564"/>
      <c r="BW176" s="567"/>
      <c r="BX176" s="564"/>
      <c r="BY176" s="564"/>
      <c r="BZ176" s="564"/>
      <c r="CA176" s="564"/>
      <c r="CB176" s="564"/>
      <c r="CC176" s="564"/>
      <c r="CD176" s="564"/>
      <c r="CE176" s="564"/>
      <c r="CF176" s="564"/>
      <c r="CG176" s="564"/>
      <c r="CH176" s="564"/>
      <c r="CI176" s="564"/>
      <c r="CJ176" s="564"/>
      <c r="CK176" s="564"/>
      <c r="CL176" s="564"/>
      <c r="CM176" s="564"/>
      <c r="CN176" s="564"/>
      <c r="CO176" s="564"/>
      <c r="CP176" s="564"/>
      <c r="CQ176" s="564"/>
      <c r="CR176" s="564"/>
      <c r="CS176" s="564"/>
      <c r="CT176" s="568"/>
      <c r="CU176" s="563"/>
      <c r="CV176" s="564"/>
      <c r="CW176" s="568"/>
      <c r="CX176" s="563"/>
      <c r="CY176" s="564"/>
      <c r="CZ176" s="568"/>
      <c r="DA176" s="563"/>
      <c r="DB176" s="564"/>
      <c r="DC176" s="564"/>
      <c r="DD176" s="564"/>
      <c r="DE176" s="564"/>
      <c r="DF176" s="564"/>
      <c r="DG176" s="564"/>
      <c r="DH176" s="564"/>
      <c r="DI176" s="564"/>
      <c r="DJ176" s="564"/>
      <c r="DK176" s="564"/>
      <c r="DL176" s="564"/>
      <c r="DM176" s="564"/>
      <c r="DN176" s="564"/>
      <c r="DO176" s="564"/>
      <c r="DP176" s="564"/>
      <c r="DQ176" s="564"/>
      <c r="DR176" s="564"/>
      <c r="DS176" s="569"/>
      <c r="DT176" s="564"/>
      <c r="DU176" s="569"/>
      <c r="DV176" s="568"/>
      <c r="DW176" s="563"/>
      <c r="DX176" s="564"/>
      <c r="DY176" s="564"/>
      <c r="DZ176" s="564"/>
      <c r="EA176" s="564"/>
      <c r="EB176" s="564"/>
      <c r="EC176" s="564"/>
      <c r="ED176" s="564"/>
      <c r="EE176" s="564"/>
      <c r="EF176" s="564"/>
      <c r="EG176" s="564"/>
      <c r="EH176" s="564"/>
      <c r="EI176" s="564"/>
      <c r="EJ176" s="564"/>
      <c r="EK176" s="564"/>
      <c r="EL176" s="564"/>
      <c r="EM176" s="564"/>
      <c r="EN176" s="564"/>
      <c r="EO176" s="564"/>
      <c r="EP176" s="564"/>
      <c r="EQ176" s="564"/>
      <c r="ER176" s="564"/>
      <c r="ES176" s="564"/>
      <c r="ET176" s="564"/>
      <c r="EU176" s="564"/>
      <c r="EV176" s="564"/>
      <c r="EW176" s="564"/>
      <c r="EX176" s="564"/>
      <c r="EY176" s="564"/>
      <c r="EZ176" s="239"/>
      <c r="FA176" s="564"/>
      <c r="FB176" s="564"/>
      <c r="FC176" s="564"/>
      <c r="FD176" s="564"/>
      <c r="FE176" s="564"/>
      <c r="FF176" s="564"/>
      <c r="FG176" s="564"/>
      <c r="FH176" s="564"/>
      <c r="FI176" s="564"/>
      <c r="FJ176" s="564"/>
      <c r="FK176" s="564"/>
      <c r="FL176" s="564"/>
      <c r="FM176" s="564"/>
      <c r="FN176" s="569"/>
      <c r="FO176" s="564"/>
      <c r="FP176" s="564"/>
      <c r="FQ176" s="564"/>
      <c r="FR176" s="564"/>
      <c r="FS176" s="564"/>
      <c r="FT176" s="564"/>
      <c r="FU176" s="564"/>
      <c r="FV176" s="564"/>
      <c r="FW176" s="564"/>
      <c r="FX176" s="564"/>
      <c r="FY176" s="564"/>
      <c r="FZ176" s="564"/>
      <c r="GA176" s="564"/>
      <c r="GB176" s="564"/>
      <c r="GC176" s="564"/>
      <c r="GD176" s="564"/>
      <c r="GE176" s="564"/>
      <c r="GF176" s="564"/>
      <c r="GG176" s="564"/>
      <c r="GH176" s="564"/>
      <c r="GI176" s="564"/>
      <c r="GJ176" s="564"/>
      <c r="GK176" s="564"/>
      <c r="GL176" s="564"/>
      <c r="GM176" s="564"/>
      <c r="GN176" s="564"/>
      <c r="GO176" s="564"/>
      <c r="GP176" s="564"/>
      <c r="GQ176" s="564"/>
      <c r="GR176" s="564"/>
      <c r="GS176" s="564"/>
      <c r="GT176" s="564"/>
      <c r="GU176" s="564"/>
      <c r="GV176" s="569"/>
      <c r="GW176" s="564"/>
      <c r="GX176" s="564"/>
      <c r="GY176" s="564"/>
      <c r="GZ176" s="564"/>
      <c r="HA176" s="564"/>
      <c r="HB176" s="564"/>
      <c r="HC176" s="564"/>
      <c r="HD176" s="564"/>
      <c r="HE176" s="564"/>
      <c r="HF176" s="564"/>
      <c r="HG176" s="564"/>
      <c r="HH176" s="564"/>
      <c r="HI176" s="564"/>
      <c r="HJ176" s="564"/>
      <c r="HK176" s="569"/>
      <c r="HL176" s="564" t="s">
        <v>36033</v>
      </c>
      <c r="HM176" s="564" t="s">
        <v>7</v>
      </c>
      <c r="HN176" s="564" t="s">
        <v>36034</v>
      </c>
      <c r="HO176" s="564" t="s">
        <v>16</v>
      </c>
      <c r="HP176" s="564" t="s">
        <v>36035</v>
      </c>
      <c r="HQ176" s="564" t="s">
        <v>36036</v>
      </c>
      <c r="HR176" s="564" t="s">
        <v>36037</v>
      </c>
      <c r="HS176" s="564" t="s">
        <v>36038</v>
      </c>
      <c r="HT176" s="568" t="s">
        <v>36039</v>
      </c>
    </row>
    <row r="177" spans="1:228" ht="30.2" customHeight="1" x14ac:dyDescent="0.25">
      <c r="A177" s="759"/>
      <c r="B177" s="563">
        <v>249</v>
      </c>
      <c r="C177" s="563" t="s">
        <v>11931</v>
      </c>
      <c r="D177" s="564" t="s">
        <v>36098</v>
      </c>
      <c r="E177" s="564" t="s">
        <v>35998</v>
      </c>
      <c r="F177" s="564" t="s">
        <v>7</v>
      </c>
      <c r="G177" s="564" t="s">
        <v>36099</v>
      </c>
      <c r="H177" s="564">
        <v>1287.9770000000001</v>
      </c>
      <c r="I177" s="564">
        <v>2.7391589999999999</v>
      </c>
      <c r="J177" s="564" t="s">
        <v>29319</v>
      </c>
      <c r="K177" s="564" t="s">
        <v>4</v>
      </c>
      <c r="L177" s="564" t="s">
        <v>36100</v>
      </c>
      <c r="M177" s="564">
        <v>782364995</v>
      </c>
      <c r="N177" s="564" t="s">
        <v>5</v>
      </c>
      <c r="O177" s="564" t="s">
        <v>31598</v>
      </c>
      <c r="P177" s="564" t="s">
        <v>4</v>
      </c>
      <c r="Q177" s="564">
        <v>8</v>
      </c>
      <c r="R177" s="564" t="s">
        <v>7</v>
      </c>
      <c r="S177" s="564" t="s">
        <v>31549</v>
      </c>
      <c r="T177" s="564" t="s">
        <v>4</v>
      </c>
      <c r="U177" s="564" t="s">
        <v>2</v>
      </c>
      <c r="V177" s="564" t="s">
        <v>4</v>
      </c>
      <c r="W177" s="564" t="s">
        <v>4</v>
      </c>
      <c r="X177" s="564" t="s">
        <v>4</v>
      </c>
      <c r="Y177" s="564" t="s">
        <v>4</v>
      </c>
      <c r="Z177" s="565">
        <v>43625</v>
      </c>
      <c r="AA177" s="557" t="str">
        <f>IF(OR(U177="yes",Z177&gt;'SDG outcome'!$C$39),"yes","no")</f>
        <v>no</v>
      </c>
      <c r="AB177" s="565" t="str">
        <f t="shared" si="6"/>
        <v/>
      </c>
      <c r="AC177" s="566" t="str">
        <f>IF(AND('SMS p2'!AA260="no",AND(Z177&gt;='SDG outcome'!$B$28,Z177&lt;'SDG outcome'!$C$39)),Z177-'SDG outcome'!$B$28,"")</f>
        <v/>
      </c>
      <c r="AD177" s="564" t="s">
        <v>31685</v>
      </c>
      <c r="AE177" s="564" t="s">
        <v>4</v>
      </c>
      <c r="AF177" s="564" t="s">
        <v>4</v>
      </c>
      <c r="AG177" s="564" t="s">
        <v>4</v>
      </c>
      <c r="AH177" s="564" t="s">
        <v>4</v>
      </c>
      <c r="AI177" s="564" t="s">
        <v>4</v>
      </c>
      <c r="AJ177" s="564" t="s">
        <v>4</v>
      </c>
      <c r="AK177" s="564" t="s">
        <v>4</v>
      </c>
      <c r="AL177" s="564"/>
      <c r="AM177" s="564"/>
      <c r="AN177" s="564"/>
      <c r="AO177" s="564"/>
      <c r="AP177" s="564"/>
      <c r="AQ177" s="564"/>
      <c r="AR177" s="564"/>
      <c r="AS177" s="564"/>
      <c r="AT177" s="564"/>
      <c r="AU177" s="564"/>
      <c r="AV177" s="564"/>
      <c r="AW177" s="564"/>
      <c r="AX177" s="564"/>
      <c r="AY177" s="564"/>
      <c r="AZ177" s="564"/>
      <c r="BA177" s="564"/>
      <c r="BB177" s="564"/>
      <c r="BC177" s="564"/>
      <c r="BD177" s="564"/>
      <c r="BE177" s="564"/>
      <c r="BF177" s="564"/>
      <c r="BG177" s="564"/>
      <c r="BH177" s="564"/>
      <c r="BI177" s="564"/>
      <c r="BJ177" s="564"/>
      <c r="BK177" s="564"/>
      <c r="BL177" s="564"/>
      <c r="BM177" s="564"/>
      <c r="BN177" s="564"/>
      <c r="BO177" s="564"/>
      <c r="BP177" s="564"/>
      <c r="BQ177" s="564"/>
      <c r="BR177" s="567"/>
      <c r="BS177" s="564"/>
      <c r="BT177" s="564"/>
      <c r="BU177" s="564"/>
      <c r="BV177" s="564"/>
      <c r="BW177" s="567"/>
      <c r="BX177" s="564"/>
      <c r="BY177" s="564"/>
      <c r="BZ177" s="564"/>
      <c r="CA177" s="564"/>
      <c r="CB177" s="564"/>
      <c r="CC177" s="564"/>
      <c r="CD177" s="564"/>
      <c r="CE177" s="564"/>
      <c r="CF177" s="564"/>
      <c r="CG177" s="564"/>
      <c r="CH177" s="564"/>
      <c r="CI177" s="564"/>
      <c r="CJ177" s="564"/>
      <c r="CK177" s="564"/>
      <c r="CL177" s="564"/>
      <c r="CM177" s="564"/>
      <c r="CN177" s="564"/>
      <c r="CO177" s="564"/>
      <c r="CP177" s="564"/>
      <c r="CQ177" s="564"/>
      <c r="CR177" s="564"/>
      <c r="CS177" s="564"/>
      <c r="CT177" s="568"/>
      <c r="CU177" s="563"/>
      <c r="CV177" s="564"/>
      <c r="CW177" s="568"/>
      <c r="CX177" s="563"/>
      <c r="CY177" s="564"/>
      <c r="CZ177" s="568"/>
      <c r="DA177" s="563"/>
      <c r="DB177" s="564"/>
      <c r="DC177" s="564"/>
      <c r="DD177" s="564"/>
      <c r="DE177" s="564"/>
      <c r="DF177" s="564"/>
      <c r="DG177" s="564"/>
      <c r="DH177" s="564"/>
      <c r="DI177" s="564"/>
      <c r="DJ177" s="564"/>
      <c r="DK177" s="564"/>
      <c r="DL177" s="564"/>
      <c r="DM177" s="564"/>
      <c r="DN177" s="564"/>
      <c r="DO177" s="564"/>
      <c r="DP177" s="564"/>
      <c r="DQ177" s="564"/>
      <c r="DR177" s="564"/>
      <c r="DS177" s="569"/>
      <c r="DT177" s="564"/>
      <c r="DU177" s="569"/>
      <c r="DV177" s="568"/>
      <c r="DW177" s="563"/>
      <c r="DX177" s="564"/>
      <c r="DY177" s="564"/>
      <c r="DZ177" s="564"/>
      <c r="EA177" s="564"/>
      <c r="EB177" s="564"/>
      <c r="EC177" s="564"/>
      <c r="ED177" s="564"/>
      <c r="EE177" s="564"/>
      <c r="EF177" s="564"/>
      <c r="EG177" s="564"/>
      <c r="EH177" s="564"/>
      <c r="EI177" s="564"/>
      <c r="EJ177" s="564"/>
      <c r="EK177" s="564"/>
      <c r="EL177" s="564"/>
      <c r="EM177" s="564"/>
      <c r="EN177" s="564"/>
      <c r="EO177" s="564"/>
      <c r="EP177" s="564"/>
      <c r="EQ177" s="564"/>
      <c r="ER177" s="564"/>
      <c r="ES177" s="564"/>
      <c r="ET177" s="564"/>
      <c r="EU177" s="564"/>
      <c r="EV177" s="564"/>
      <c r="EW177" s="564"/>
      <c r="EX177" s="564"/>
      <c r="EY177" s="564"/>
      <c r="EZ177" s="239"/>
      <c r="FA177" s="564"/>
      <c r="FB177" s="564"/>
      <c r="FC177" s="564"/>
      <c r="FD177" s="564"/>
      <c r="FE177" s="564"/>
      <c r="FF177" s="564"/>
      <c r="FG177" s="564"/>
      <c r="FH177" s="564"/>
      <c r="FI177" s="564"/>
      <c r="FJ177" s="564"/>
      <c r="FK177" s="564"/>
      <c r="FL177" s="564"/>
      <c r="FM177" s="564"/>
      <c r="FN177" s="569"/>
      <c r="FO177" s="564"/>
      <c r="FP177" s="564"/>
      <c r="FQ177" s="564"/>
      <c r="FR177" s="564"/>
      <c r="FS177" s="564"/>
      <c r="FT177" s="564"/>
      <c r="FU177" s="564"/>
      <c r="FV177" s="564"/>
      <c r="FW177" s="564"/>
      <c r="FX177" s="564"/>
      <c r="FY177" s="564"/>
      <c r="FZ177" s="564"/>
      <c r="GA177" s="564"/>
      <c r="GB177" s="564"/>
      <c r="GC177" s="564"/>
      <c r="GD177" s="564"/>
      <c r="GE177" s="564"/>
      <c r="GF177" s="564"/>
      <c r="GG177" s="564"/>
      <c r="GH177" s="564"/>
      <c r="GI177" s="564"/>
      <c r="GJ177" s="564"/>
      <c r="GK177" s="564"/>
      <c r="GL177" s="564"/>
      <c r="GM177" s="564"/>
      <c r="GN177" s="564"/>
      <c r="GO177" s="564"/>
      <c r="GP177" s="564"/>
      <c r="GQ177" s="564"/>
      <c r="GR177" s="564"/>
      <c r="GS177" s="564"/>
      <c r="GT177" s="564"/>
      <c r="GU177" s="564"/>
      <c r="GV177" s="569"/>
      <c r="GW177" s="564"/>
      <c r="GX177" s="564"/>
      <c r="GY177" s="564"/>
      <c r="GZ177" s="564"/>
      <c r="HA177" s="564"/>
      <c r="HB177" s="564"/>
      <c r="HC177" s="564"/>
      <c r="HD177" s="564"/>
      <c r="HE177" s="564"/>
      <c r="HF177" s="564"/>
      <c r="HG177" s="564"/>
      <c r="HH177" s="564"/>
      <c r="HI177" s="564"/>
      <c r="HJ177" s="564"/>
      <c r="HK177" s="569"/>
      <c r="HL177" s="564" t="s">
        <v>36101</v>
      </c>
      <c r="HM177" s="564" t="s">
        <v>2</v>
      </c>
      <c r="HN177" s="564" t="s">
        <v>4</v>
      </c>
      <c r="HO177" s="564" t="s">
        <v>36102</v>
      </c>
      <c r="HP177" s="564" t="s">
        <v>36103</v>
      </c>
      <c r="HQ177" s="564" t="s">
        <v>16</v>
      </c>
      <c r="HR177" s="564" t="s">
        <v>36104</v>
      </c>
      <c r="HS177" s="564" t="s">
        <v>36105</v>
      </c>
      <c r="HT177" s="568" t="s">
        <v>36106</v>
      </c>
    </row>
    <row r="178" spans="1:228" ht="30.2" customHeight="1" x14ac:dyDescent="0.25">
      <c r="A178" s="759"/>
      <c r="B178" s="563">
        <v>252</v>
      </c>
      <c r="C178" s="563" t="s">
        <v>12160</v>
      </c>
      <c r="D178" s="564" t="s">
        <v>36135</v>
      </c>
      <c r="E178" s="564" t="s">
        <v>35998</v>
      </c>
      <c r="F178" s="564" t="s">
        <v>7</v>
      </c>
      <c r="G178" s="564" t="s">
        <v>36136</v>
      </c>
      <c r="H178" s="564">
        <v>1123.7059999999999</v>
      </c>
      <c r="I178" s="564">
        <v>3.8165399999999998</v>
      </c>
      <c r="J178" s="564" t="s">
        <v>29319</v>
      </c>
      <c r="K178" s="564" t="s">
        <v>4</v>
      </c>
      <c r="L178" s="564" t="s">
        <v>36137</v>
      </c>
      <c r="M178" s="564">
        <v>785658239</v>
      </c>
      <c r="N178" s="564" t="s">
        <v>5</v>
      </c>
      <c r="O178" s="564" t="s">
        <v>31438</v>
      </c>
      <c r="P178" s="564">
        <v>70</v>
      </c>
      <c r="Q178" s="564">
        <v>5</v>
      </c>
      <c r="R178" s="564" t="s">
        <v>7</v>
      </c>
      <c r="S178" s="564" t="s">
        <v>31549</v>
      </c>
      <c r="T178" s="564" t="s">
        <v>4</v>
      </c>
      <c r="U178" s="564" t="s">
        <v>2</v>
      </c>
      <c r="V178" s="564" t="s">
        <v>4</v>
      </c>
      <c r="W178" s="564" t="s">
        <v>4</v>
      </c>
      <c r="X178" s="564" t="s">
        <v>4</v>
      </c>
      <c r="Y178" s="564" t="s">
        <v>4</v>
      </c>
      <c r="Z178" s="565">
        <v>45331</v>
      </c>
      <c r="AA178" s="557" t="str">
        <f>IF(OR(U178="yes",Z178&gt;'SDG outcome'!$C$39),"yes","no")</f>
        <v>no</v>
      </c>
      <c r="AB178" s="565" t="str">
        <f t="shared" si="6"/>
        <v/>
      </c>
      <c r="AC178" s="566">
        <f>IF(AND('SMS p2'!AA263="no",AND(Z178&gt;='SDG outcome'!$B$28,Z178&lt;'SDG outcome'!$C$39)),Z178-'SDG outcome'!$B$28,"")</f>
        <v>314</v>
      </c>
      <c r="AD178" s="564" t="s">
        <v>31685</v>
      </c>
      <c r="AE178" s="564" t="s">
        <v>4</v>
      </c>
      <c r="AF178" s="564" t="s">
        <v>4</v>
      </c>
      <c r="AG178" s="564" t="s">
        <v>4</v>
      </c>
      <c r="AH178" s="564" t="s">
        <v>4</v>
      </c>
      <c r="AI178" s="564" t="s">
        <v>4</v>
      </c>
      <c r="AJ178" s="564" t="s">
        <v>4</v>
      </c>
      <c r="AK178" s="564" t="s">
        <v>4</v>
      </c>
      <c r="AL178" s="564"/>
      <c r="AM178" s="564"/>
      <c r="AN178" s="564"/>
      <c r="AO178" s="564"/>
      <c r="AP178" s="564"/>
      <c r="AQ178" s="564"/>
      <c r="AR178" s="564"/>
      <c r="AS178" s="564"/>
      <c r="AT178" s="564"/>
      <c r="AU178" s="564"/>
      <c r="AV178" s="564"/>
      <c r="AW178" s="564"/>
      <c r="AX178" s="564"/>
      <c r="AY178" s="564"/>
      <c r="AZ178" s="564"/>
      <c r="BA178" s="564"/>
      <c r="BB178" s="564"/>
      <c r="BC178" s="564"/>
      <c r="BD178" s="564"/>
      <c r="BE178" s="564"/>
      <c r="BF178" s="564"/>
      <c r="BG178" s="564"/>
      <c r="BH178" s="564"/>
      <c r="BI178" s="564"/>
      <c r="BJ178" s="564"/>
      <c r="BK178" s="564"/>
      <c r="BL178" s="564"/>
      <c r="BM178" s="564"/>
      <c r="BN178" s="564"/>
      <c r="BO178" s="564"/>
      <c r="BP178" s="564"/>
      <c r="BQ178" s="564"/>
      <c r="BR178" s="567"/>
      <c r="BS178" s="564"/>
      <c r="BT178" s="564"/>
      <c r="BU178" s="564"/>
      <c r="BV178" s="564"/>
      <c r="BW178" s="567"/>
      <c r="BX178" s="564"/>
      <c r="BY178" s="564"/>
      <c r="BZ178" s="564"/>
      <c r="CA178" s="564"/>
      <c r="CB178" s="564"/>
      <c r="CC178" s="564"/>
      <c r="CD178" s="564"/>
      <c r="CE178" s="564"/>
      <c r="CF178" s="564"/>
      <c r="CG178" s="564"/>
      <c r="CH178" s="564"/>
      <c r="CI178" s="564"/>
      <c r="CJ178" s="564"/>
      <c r="CK178" s="564"/>
      <c r="CL178" s="564"/>
      <c r="CM178" s="564"/>
      <c r="CN178" s="564"/>
      <c r="CO178" s="564"/>
      <c r="CP178" s="564"/>
      <c r="CQ178" s="564"/>
      <c r="CR178" s="564"/>
      <c r="CS178" s="564"/>
      <c r="CT178" s="568"/>
      <c r="CU178" s="563"/>
      <c r="CV178" s="564"/>
      <c r="CW178" s="568"/>
      <c r="CX178" s="563"/>
      <c r="CY178" s="564"/>
      <c r="CZ178" s="568"/>
      <c r="DA178" s="563"/>
      <c r="DB178" s="564"/>
      <c r="DC178" s="564"/>
      <c r="DD178" s="564"/>
      <c r="DE178" s="564"/>
      <c r="DF178" s="564"/>
      <c r="DG178" s="564"/>
      <c r="DH178" s="564"/>
      <c r="DI178" s="564"/>
      <c r="DJ178" s="564"/>
      <c r="DK178" s="564"/>
      <c r="DL178" s="564"/>
      <c r="DM178" s="564"/>
      <c r="DN178" s="564"/>
      <c r="DO178" s="564"/>
      <c r="DP178" s="564"/>
      <c r="DQ178" s="564"/>
      <c r="DR178" s="564"/>
      <c r="DS178" s="569"/>
      <c r="DT178" s="564"/>
      <c r="DU178" s="569"/>
      <c r="DV178" s="568"/>
      <c r="DW178" s="563"/>
      <c r="DX178" s="564"/>
      <c r="DY178" s="564"/>
      <c r="DZ178" s="564"/>
      <c r="EA178" s="564"/>
      <c r="EB178" s="564"/>
      <c r="EC178" s="564"/>
      <c r="ED178" s="564"/>
      <c r="EE178" s="564"/>
      <c r="EF178" s="564"/>
      <c r="EG178" s="564"/>
      <c r="EH178" s="564"/>
      <c r="EI178" s="564"/>
      <c r="EJ178" s="564"/>
      <c r="EK178" s="564"/>
      <c r="EL178" s="564"/>
      <c r="EM178" s="564"/>
      <c r="EN178" s="564"/>
      <c r="EO178" s="564"/>
      <c r="EP178" s="564"/>
      <c r="EQ178" s="564"/>
      <c r="ER178" s="564"/>
      <c r="ES178" s="564"/>
      <c r="ET178" s="564"/>
      <c r="EU178" s="564"/>
      <c r="EV178" s="564"/>
      <c r="EW178" s="564"/>
      <c r="EX178" s="564"/>
      <c r="EY178" s="564"/>
      <c r="EZ178" s="239"/>
      <c r="FA178" s="564"/>
      <c r="FB178" s="564"/>
      <c r="FC178" s="564"/>
      <c r="FD178" s="564"/>
      <c r="FE178" s="564"/>
      <c r="FF178" s="564"/>
      <c r="FG178" s="564"/>
      <c r="FH178" s="564"/>
      <c r="FI178" s="564"/>
      <c r="FJ178" s="564"/>
      <c r="FK178" s="564"/>
      <c r="FL178" s="564"/>
      <c r="FM178" s="564"/>
      <c r="FN178" s="569"/>
      <c r="FO178" s="564"/>
      <c r="FP178" s="564"/>
      <c r="FQ178" s="564"/>
      <c r="FR178" s="564"/>
      <c r="FS178" s="564"/>
      <c r="FT178" s="564"/>
      <c r="FU178" s="564"/>
      <c r="FV178" s="564"/>
      <c r="FW178" s="564"/>
      <c r="FX178" s="564"/>
      <c r="FY178" s="564"/>
      <c r="FZ178" s="564"/>
      <c r="GA178" s="564"/>
      <c r="GB178" s="564"/>
      <c r="GC178" s="564"/>
      <c r="GD178" s="564"/>
      <c r="GE178" s="564"/>
      <c r="GF178" s="564"/>
      <c r="GG178" s="564"/>
      <c r="GH178" s="564"/>
      <c r="GI178" s="564"/>
      <c r="GJ178" s="564"/>
      <c r="GK178" s="564"/>
      <c r="GL178" s="564"/>
      <c r="GM178" s="564"/>
      <c r="GN178" s="564"/>
      <c r="GO178" s="564"/>
      <c r="GP178" s="564"/>
      <c r="GQ178" s="564"/>
      <c r="GR178" s="564"/>
      <c r="GS178" s="564"/>
      <c r="GT178" s="564"/>
      <c r="GU178" s="564"/>
      <c r="GV178" s="569"/>
      <c r="GW178" s="564"/>
      <c r="GX178" s="564"/>
      <c r="GY178" s="564"/>
      <c r="GZ178" s="564"/>
      <c r="HA178" s="564"/>
      <c r="HB178" s="564"/>
      <c r="HC178" s="564"/>
      <c r="HD178" s="564"/>
      <c r="HE178" s="564"/>
      <c r="HF178" s="564"/>
      <c r="HG178" s="564"/>
      <c r="HH178" s="564"/>
      <c r="HI178" s="564"/>
      <c r="HJ178" s="564"/>
      <c r="HK178" s="569"/>
      <c r="HL178" s="564" t="s">
        <v>36138</v>
      </c>
      <c r="HM178" s="564" t="s">
        <v>2</v>
      </c>
      <c r="HN178" s="564" t="s">
        <v>4</v>
      </c>
      <c r="HO178" s="564" t="s">
        <v>36139</v>
      </c>
      <c r="HP178" s="564" t="s">
        <v>36140</v>
      </c>
      <c r="HQ178" s="564" t="s">
        <v>16</v>
      </c>
      <c r="HR178" s="564" t="s">
        <v>36141</v>
      </c>
      <c r="HS178" s="564" t="s">
        <v>36142</v>
      </c>
      <c r="HT178" s="568" t="s">
        <v>36135</v>
      </c>
    </row>
    <row r="179" spans="1:228" ht="30.2" customHeight="1" x14ac:dyDescent="0.25">
      <c r="A179" s="759"/>
      <c r="B179" s="563">
        <v>7</v>
      </c>
      <c r="C179" s="563" t="s">
        <v>18418</v>
      </c>
      <c r="D179" s="564" t="s">
        <v>33420</v>
      </c>
      <c r="E179" s="564" t="s">
        <v>29286</v>
      </c>
      <c r="F179" s="564" t="s">
        <v>7</v>
      </c>
      <c r="G179" s="564" t="s">
        <v>33421</v>
      </c>
      <c r="H179" s="564">
        <v>1099.0609999999999</v>
      </c>
      <c r="I179" s="564">
        <v>1.0450950000000001</v>
      </c>
      <c r="J179" s="564" t="s">
        <v>29349</v>
      </c>
      <c r="K179" s="564" t="s">
        <v>4</v>
      </c>
      <c r="L179" s="564" t="s">
        <v>33422</v>
      </c>
      <c r="M179" s="564">
        <v>761639015</v>
      </c>
      <c r="N179" s="564" t="s">
        <v>5</v>
      </c>
      <c r="O179" s="564" t="s">
        <v>31438</v>
      </c>
      <c r="P179" s="564">
        <v>24</v>
      </c>
      <c r="Q179" s="564">
        <v>5</v>
      </c>
      <c r="R179" s="564" t="s">
        <v>7</v>
      </c>
      <c r="S179" s="564" t="s">
        <v>31588</v>
      </c>
      <c r="T179" s="564" t="s">
        <v>4</v>
      </c>
      <c r="U179" s="564" t="s">
        <v>2</v>
      </c>
      <c r="V179" s="564" t="s">
        <v>4</v>
      </c>
      <c r="W179" s="564" t="s">
        <v>4</v>
      </c>
      <c r="X179" s="564" t="s">
        <v>4</v>
      </c>
      <c r="Y179" s="564" t="s">
        <v>4</v>
      </c>
      <c r="Z179" s="565">
        <v>42602</v>
      </c>
      <c r="AA179" s="557" t="str">
        <f>IF(OR(U179="yes",Z179&gt;'SDG outcome'!$C$39),"yes","no")</f>
        <v>no</v>
      </c>
      <c r="AB179" s="565" t="str">
        <f t="shared" si="6"/>
        <v/>
      </c>
      <c r="AC179" s="566" t="str">
        <f>IF(AND('SMS p2'!AA19="no",AND(Z179&gt;='SDG outcome'!$B$28,Z179&lt;'SDG outcome'!$C$39)),Z179-'SDG outcome'!$B$28,"")</f>
        <v/>
      </c>
      <c r="AD179" s="564" t="s">
        <v>6092</v>
      </c>
      <c r="AE179" s="564" t="s">
        <v>4</v>
      </c>
      <c r="AF179" s="564" t="s">
        <v>4</v>
      </c>
      <c r="AG179" s="564" t="s">
        <v>4</v>
      </c>
      <c r="AH179" s="564" t="s">
        <v>4</v>
      </c>
      <c r="AI179" s="564" t="s">
        <v>4</v>
      </c>
      <c r="AJ179" s="571" t="s">
        <v>4</v>
      </c>
      <c r="AK179" s="564" t="s">
        <v>4</v>
      </c>
      <c r="AL179" s="564"/>
      <c r="AM179" s="564"/>
      <c r="AN179" s="564"/>
      <c r="AO179" s="564"/>
      <c r="AP179" s="564"/>
      <c r="AQ179" s="564"/>
      <c r="AR179" s="564"/>
      <c r="AS179" s="564"/>
      <c r="AT179" s="564"/>
      <c r="AU179" s="564"/>
      <c r="AV179" s="564"/>
      <c r="AW179" s="564"/>
      <c r="AX179" s="564"/>
      <c r="AY179" s="564"/>
      <c r="AZ179" s="564"/>
      <c r="BA179" s="564"/>
      <c r="BB179" s="564"/>
      <c r="BC179" s="564"/>
      <c r="BD179" s="564"/>
      <c r="BE179" s="564"/>
      <c r="BF179" s="564"/>
      <c r="BG179" s="564"/>
      <c r="BH179" s="564"/>
      <c r="BI179" s="564"/>
      <c r="BJ179" s="564"/>
      <c r="BK179" s="564"/>
      <c r="BL179" s="564"/>
      <c r="BM179" s="564"/>
      <c r="BN179" s="564"/>
      <c r="BO179" s="564"/>
      <c r="BP179" s="564"/>
      <c r="BQ179" s="564"/>
      <c r="BR179" s="567"/>
      <c r="BS179" s="564"/>
      <c r="BT179" s="564"/>
      <c r="BU179" s="564"/>
      <c r="BV179" s="564"/>
      <c r="BW179" s="567"/>
      <c r="BX179" s="564"/>
      <c r="BY179" s="564"/>
      <c r="BZ179" s="564"/>
      <c r="CA179" s="564"/>
      <c r="CB179" s="564"/>
      <c r="CC179" s="564"/>
      <c r="CD179" s="564"/>
      <c r="CE179" s="564"/>
      <c r="CF179" s="564"/>
      <c r="CG179" s="564"/>
      <c r="CH179" s="564"/>
      <c r="CI179" s="564"/>
      <c r="CJ179" s="564"/>
      <c r="CK179" s="564"/>
      <c r="CL179" s="564"/>
      <c r="CM179" s="564"/>
      <c r="CN179" s="564"/>
      <c r="CO179" s="564"/>
      <c r="CP179" s="564"/>
      <c r="CQ179" s="564"/>
      <c r="CR179" s="564"/>
      <c r="CS179" s="564"/>
      <c r="CT179" s="568"/>
      <c r="CU179" s="563"/>
      <c r="CV179" s="564"/>
      <c r="CW179" s="568"/>
      <c r="CX179" s="563"/>
      <c r="CY179" s="564"/>
      <c r="CZ179" s="568"/>
      <c r="DA179" s="563"/>
      <c r="DB179" s="564"/>
      <c r="DC179" s="564"/>
      <c r="DD179" s="564"/>
      <c r="DE179" s="564"/>
      <c r="DF179" s="564"/>
      <c r="DG179" s="564"/>
      <c r="DH179" s="564"/>
      <c r="DI179" s="564"/>
      <c r="DJ179" s="564"/>
      <c r="DK179" s="564"/>
      <c r="DL179" s="564"/>
      <c r="DM179" s="564"/>
      <c r="DN179" s="564"/>
      <c r="DO179" s="564"/>
      <c r="DP179" s="564"/>
      <c r="DQ179" s="564"/>
      <c r="DR179" s="564"/>
      <c r="DS179" s="569"/>
      <c r="DT179" s="564"/>
      <c r="DU179" s="569"/>
      <c r="DV179" s="568"/>
      <c r="DW179" s="563"/>
      <c r="DX179" s="564"/>
      <c r="DY179" s="564"/>
      <c r="DZ179" s="564"/>
      <c r="EA179" s="564"/>
      <c r="EB179" s="564"/>
      <c r="EC179" s="564"/>
      <c r="ED179" s="564"/>
      <c r="EE179" s="564"/>
      <c r="EF179" s="564"/>
      <c r="EG179" s="564"/>
      <c r="EH179" s="564"/>
      <c r="EI179" s="564"/>
      <c r="EJ179" s="564"/>
      <c r="EK179" s="564"/>
      <c r="EL179" s="564"/>
      <c r="EM179" s="564"/>
      <c r="EN179" s="564"/>
      <c r="EO179" s="564"/>
      <c r="EP179" s="564"/>
      <c r="EQ179" s="564"/>
      <c r="ER179" s="564"/>
      <c r="ES179" s="564"/>
      <c r="ET179" s="564"/>
      <c r="EU179" s="564"/>
      <c r="EV179" s="564"/>
      <c r="EW179" s="564"/>
      <c r="EX179" s="564"/>
      <c r="EY179" s="564"/>
      <c r="EZ179" s="239"/>
      <c r="FA179" s="564"/>
      <c r="FB179" s="564"/>
      <c r="FC179" s="564"/>
      <c r="FD179" s="564"/>
      <c r="FE179" s="564"/>
      <c r="FF179" s="564"/>
      <c r="FG179" s="564"/>
      <c r="FH179" s="564"/>
      <c r="FI179" s="564"/>
      <c r="FJ179" s="564"/>
      <c r="FK179" s="564"/>
      <c r="FL179" s="564"/>
      <c r="FM179" s="564"/>
      <c r="FN179" s="569"/>
      <c r="FO179" s="564"/>
      <c r="FP179" s="564"/>
      <c r="FQ179" s="564"/>
      <c r="FR179" s="564"/>
      <c r="FS179" s="564"/>
      <c r="FT179" s="564"/>
      <c r="FU179" s="564"/>
      <c r="FV179" s="564"/>
      <c r="FW179" s="564"/>
      <c r="FX179" s="564"/>
      <c r="FY179" s="564"/>
      <c r="FZ179" s="564"/>
      <c r="GA179" s="564"/>
      <c r="GB179" s="564"/>
      <c r="GC179" s="564"/>
      <c r="GD179" s="564"/>
      <c r="GE179" s="564"/>
      <c r="GF179" s="564"/>
      <c r="GG179" s="564"/>
      <c r="GH179" s="564"/>
      <c r="GI179" s="564"/>
      <c r="GJ179" s="564"/>
      <c r="GK179" s="564"/>
      <c r="GL179" s="564"/>
      <c r="GM179" s="564"/>
      <c r="GN179" s="564"/>
      <c r="GO179" s="564"/>
      <c r="GP179" s="564"/>
      <c r="GQ179" s="564"/>
      <c r="GR179" s="564"/>
      <c r="GS179" s="564"/>
      <c r="GT179" s="564"/>
      <c r="GU179" s="564"/>
      <c r="GV179" s="569"/>
      <c r="GW179" s="564"/>
      <c r="GX179" s="564"/>
      <c r="GY179" s="564"/>
      <c r="GZ179" s="564"/>
      <c r="HA179" s="564"/>
      <c r="HB179" s="564"/>
      <c r="HC179" s="564"/>
      <c r="HD179" s="564"/>
      <c r="HE179" s="564"/>
      <c r="HF179" s="564"/>
      <c r="HG179" s="564"/>
      <c r="HH179" s="564"/>
      <c r="HI179" s="564"/>
      <c r="HJ179" s="564"/>
      <c r="HK179" s="569"/>
      <c r="HL179" s="564" t="s">
        <v>33423</v>
      </c>
      <c r="HM179" s="564" t="s">
        <v>7</v>
      </c>
      <c r="HN179" s="564" t="s">
        <v>33424</v>
      </c>
      <c r="HO179" s="564" t="s">
        <v>33425</v>
      </c>
      <c r="HP179" s="564" t="s">
        <v>33426</v>
      </c>
      <c r="HQ179" s="564" t="s">
        <v>33427</v>
      </c>
      <c r="HR179" s="564" t="s">
        <v>33428</v>
      </c>
      <c r="HS179" s="564" t="s">
        <v>33429</v>
      </c>
      <c r="HT179" s="568" t="s">
        <v>33420</v>
      </c>
    </row>
    <row r="180" spans="1:228" ht="30.2" customHeight="1" x14ac:dyDescent="0.25">
      <c r="A180" s="759"/>
      <c r="B180" s="563">
        <v>63</v>
      </c>
      <c r="C180" s="563" t="s">
        <v>3623</v>
      </c>
      <c r="D180" s="564" t="s">
        <v>34084</v>
      </c>
      <c r="E180" s="564" t="s">
        <v>29799</v>
      </c>
      <c r="F180" s="564" t="s">
        <v>7</v>
      </c>
      <c r="G180" s="564" t="s">
        <v>34085</v>
      </c>
      <c r="H180" s="564">
        <v>1134.4521480000001</v>
      </c>
      <c r="I180" s="564">
        <v>4.923972</v>
      </c>
      <c r="J180" s="564" t="s">
        <v>29319</v>
      </c>
      <c r="K180" s="564" t="s">
        <v>4</v>
      </c>
      <c r="L180" s="564" t="s">
        <v>34086</v>
      </c>
      <c r="M180" s="564">
        <v>752229585</v>
      </c>
      <c r="N180" s="564" t="s">
        <v>5</v>
      </c>
      <c r="O180" s="564" t="s">
        <v>31590</v>
      </c>
      <c r="P180" s="564" t="s">
        <v>4</v>
      </c>
      <c r="Q180" s="564">
        <v>5</v>
      </c>
      <c r="R180" s="564" t="s">
        <v>7</v>
      </c>
      <c r="S180" s="564" t="s">
        <v>31549</v>
      </c>
      <c r="T180" s="564" t="s">
        <v>4</v>
      </c>
      <c r="U180" s="564" t="s">
        <v>2</v>
      </c>
      <c r="V180" s="564" t="s">
        <v>4</v>
      </c>
      <c r="W180" s="564" t="s">
        <v>4</v>
      </c>
      <c r="X180" s="564" t="s">
        <v>4</v>
      </c>
      <c r="Y180" s="564" t="s">
        <v>4</v>
      </c>
      <c r="Z180" s="565">
        <v>44828</v>
      </c>
      <c r="AA180" s="557" t="str">
        <f>IF(OR(U180="yes",Z180&gt;'SDG outcome'!$C$39),"yes","no")</f>
        <v>no</v>
      </c>
      <c r="AB180" s="565" t="str">
        <f t="shared" si="6"/>
        <v/>
      </c>
      <c r="AC180" s="566" t="str">
        <f>IF(AND('SMS p2'!AA75="no",AND(Z180&gt;='SDG outcome'!$B$28,Z180&lt;'SDG outcome'!$C$39)),Z180-'SDG outcome'!$B$28,"")</f>
        <v/>
      </c>
      <c r="AD180" s="564" t="s">
        <v>6092</v>
      </c>
      <c r="AE180" s="564" t="s">
        <v>4</v>
      </c>
      <c r="AF180" s="564" t="s">
        <v>4</v>
      </c>
      <c r="AG180" s="564" t="s">
        <v>4</v>
      </c>
      <c r="AH180" s="564" t="s">
        <v>4</v>
      </c>
      <c r="AI180" s="564" t="s">
        <v>4</v>
      </c>
      <c r="AJ180" s="571" t="s">
        <v>4</v>
      </c>
      <c r="AK180" s="564" t="s">
        <v>4</v>
      </c>
      <c r="AL180" s="564"/>
      <c r="AM180" s="564"/>
      <c r="AN180" s="564"/>
      <c r="AO180" s="564"/>
      <c r="AP180" s="564"/>
      <c r="AQ180" s="564"/>
      <c r="AR180" s="564"/>
      <c r="AS180" s="564"/>
      <c r="AT180" s="564"/>
      <c r="AU180" s="564"/>
      <c r="AV180" s="564"/>
      <c r="AW180" s="564"/>
      <c r="AX180" s="564"/>
      <c r="AY180" s="564"/>
      <c r="AZ180" s="564"/>
      <c r="BA180" s="564"/>
      <c r="BB180" s="564"/>
      <c r="BC180" s="564"/>
      <c r="BD180" s="564"/>
      <c r="BE180" s="564"/>
      <c r="BF180" s="564"/>
      <c r="BG180" s="564"/>
      <c r="BH180" s="564"/>
      <c r="BI180" s="564"/>
      <c r="BJ180" s="564"/>
      <c r="BK180" s="564"/>
      <c r="BL180" s="564"/>
      <c r="BM180" s="564"/>
      <c r="BN180" s="564"/>
      <c r="BO180" s="564"/>
      <c r="BP180" s="564"/>
      <c r="BQ180" s="564"/>
      <c r="BR180" s="567"/>
      <c r="BS180" s="564"/>
      <c r="BT180" s="564"/>
      <c r="BU180" s="564"/>
      <c r="BV180" s="564"/>
      <c r="BW180" s="567"/>
      <c r="BX180" s="564"/>
      <c r="BY180" s="564"/>
      <c r="BZ180" s="564"/>
      <c r="CA180" s="564"/>
      <c r="CB180" s="564"/>
      <c r="CC180" s="564"/>
      <c r="CD180" s="564"/>
      <c r="CE180" s="564"/>
      <c r="CF180" s="564"/>
      <c r="CG180" s="564"/>
      <c r="CH180" s="564"/>
      <c r="CI180" s="564"/>
      <c r="CJ180" s="564"/>
      <c r="CK180" s="564"/>
      <c r="CL180" s="564"/>
      <c r="CM180" s="564"/>
      <c r="CN180" s="564"/>
      <c r="CO180" s="564"/>
      <c r="CP180" s="564"/>
      <c r="CQ180" s="564"/>
      <c r="CR180" s="564"/>
      <c r="CS180" s="564"/>
      <c r="CT180" s="568"/>
      <c r="CU180" s="563"/>
      <c r="CV180" s="564"/>
      <c r="CW180" s="568"/>
      <c r="CX180" s="563"/>
      <c r="CY180" s="564"/>
      <c r="CZ180" s="568"/>
      <c r="DA180" s="563"/>
      <c r="DB180" s="564"/>
      <c r="DC180" s="564"/>
      <c r="DD180" s="564"/>
      <c r="DE180" s="564"/>
      <c r="DF180" s="564"/>
      <c r="DG180" s="564"/>
      <c r="DH180" s="564"/>
      <c r="DI180" s="564"/>
      <c r="DJ180" s="564"/>
      <c r="DK180" s="564"/>
      <c r="DL180" s="564"/>
      <c r="DM180" s="564"/>
      <c r="DN180" s="564"/>
      <c r="DO180" s="564"/>
      <c r="DP180" s="564"/>
      <c r="DQ180" s="564"/>
      <c r="DR180" s="564"/>
      <c r="DS180" s="569"/>
      <c r="DT180" s="564"/>
      <c r="DU180" s="569"/>
      <c r="DV180" s="568"/>
      <c r="DW180" s="563"/>
      <c r="DX180" s="564"/>
      <c r="DY180" s="564"/>
      <c r="DZ180" s="564"/>
      <c r="EA180" s="564"/>
      <c r="EB180" s="564"/>
      <c r="EC180" s="564"/>
      <c r="ED180" s="564"/>
      <c r="EE180" s="564"/>
      <c r="EF180" s="564"/>
      <c r="EG180" s="564"/>
      <c r="EH180" s="564"/>
      <c r="EI180" s="564"/>
      <c r="EJ180" s="564"/>
      <c r="EK180" s="564"/>
      <c r="EL180" s="564"/>
      <c r="EM180" s="564"/>
      <c r="EN180" s="564"/>
      <c r="EO180" s="564"/>
      <c r="EP180" s="564"/>
      <c r="EQ180" s="564"/>
      <c r="ER180" s="564"/>
      <c r="ES180" s="564"/>
      <c r="ET180" s="564"/>
      <c r="EU180" s="564"/>
      <c r="EV180" s="564"/>
      <c r="EW180" s="564"/>
      <c r="EX180" s="564"/>
      <c r="EY180" s="564"/>
      <c r="EZ180" s="239"/>
      <c r="FA180" s="564"/>
      <c r="FB180" s="564"/>
      <c r="FC180" s="564"/>
      <c r="FD180" s="564"/>
      <c r="FE180" s="564"/>
      <c r="FF180" s="564"/>
      <c r="FG180" s="564"/>
      <c r="FH180" s="564"/>
      <c r="FI180" s="564"/>
      <c r="FJ180" s="564"/>
      <c r="FK180" s="564"/>
      <c r="FL180" s="564"/>
      <c r="FM180" s="564"/>
      <c r="FN180" s="569"/>
      <c r="FO180" s="564"/>
      <c r="FP180" s="564"/>
      <c r="FQ180" s="564"/>
      <c r="FR180" s="564"/>
      <c r="FS180" s="564"/>
      <c r="FT180" s="564"/>
      <c r="FU180" s="564"/>
      <c r="FV180" s="564"/>
      <c r="FW180" s="564"/>
      <c r="FX180" s="564"/>
      <c r="FY180" s="564"/>
      <c r="FZ180" s="564"/>
      <c r="GA180" s="564"/>
      <c r="GB180" s="564"/>
      <c r="GC180" s="564"/>
      <c r="GD180" s="564"/>
      <c r="GE180" s="564"/>
      <c r="GF180" s="564"/>
      <c r="GG180" s="564"/>
      <c r="GH180" s="564"/>
      <c r="GI180" s="564"/>
      <c r="GJ180" s="564"/>
      <c r="GK180" s="564"/>
      <c r="GL180" s="564"/>
      <c r="GM180" s="564"/>
      <c r="GN180" s="564"/>
      <c r="GO180" s="564"/>
      <c r="GP180" s="564"/>
      <c r="GQ180" s="564"/>
      <c r="GR180" s="564"/>
      <c r="GS180" s="564"/>
      <c r="GT180" s="564"/>
      <c r="GU180" s="564"/>
      <c r="GV180" s="569"/>
      <c r="GW180" s="564"/>
      <c r="GX180" s="564"/>
      <c r="GY180" s="564"/>
      <c r="GZ180" s="564"/>
      <c r="HA180" s="564"/>
      <c r="HB180" s="564"/>
      <c r="HC180" s="564"/>
      <c r="HD180" s="564"/>
      <c r="HE180" s="564"/>
      <c r="HF180" s="564"/>
      <c r="HG180" s="564"/>
      <c r="HH180" s="564"/>
      <c r="HI180" s="564"/>
      <c r="HJ180" s="564"/>
      <c r="HK180" s="569"/>
      <c r="HL180" s="564" t="s">
        <v>34087</v>
      </c>
      <c r="HM180" s="564" t="s">
        <v>2</v>
      </c>
      <c r="HN180" s="564" t="s">
        <v>4</v>
      </c>
      <c r="HO180" s="564" t="s">
        <v>34088</v>
      </c>
      <c r="HP180" s="564" t="s">
        <v>34089</v>
      </c>
      <c r="HQ180" s="564" t="s">
        <v>34090</v>
      </c>
      <c r="HR180" s="564" t="s">
        <v>34091</v>
      </c>
      <c r="HS180" s="564" t="s">
        <v>34092</v>
      </c>
      <c r="HT180" s="568" t="s">
        <v>34084</v>
      </c>
    </row>
    <row r="181" spans="1:228" ht="30.2" customHeight="1" x14ac:dyDescent="0.25">
      <c r="A181" s="759"/>
      <c r="B181" s="563">
        <v>70</v>
      </c>
      <c r="C181" s="563" t="s">
        <v>3226</v>
      </c>
      <c r="D181" s="564" t="s">
        <v>34167</v>
      </c>
      <c r="E181" s="564" t="s">
        <v>29799</v>
      </c>
      <c r="F181" s="564" t="s">
        <v>7</v>
      </c>
      <c r="G181" s="564" t="s">
        <v>34168</v>
      </c>
      <c r="H181" s="564">
        <v>1285.6958010000001</v>
      </c>
      <c r="I181" s="564">
        <v>4.4303949999999999</v>
      </c>
      <c r="J181" s="564" t="s">
        <v>29319</v>
      </c>
      <c r="K181" s="564" t="s">
        <v>4</v>
      </c>
      <c r="L181" s="564" t="s">
        <v>34169</v>
      </c>
      <c r="M181" s="564">
        <v>773493205</v>
      </c>
      <c r="N181" s="564" t="s">
        <v>5</v>
      </c>
      <c r="O181" s="564" t="s">
        <v>31590</v>
      </c>
      <c r="P181" s="564" t="s">
        <v>4</v>
      </c>
      <c r="Q181" s="564">
        <v>8</v>
      </c>
      <c r="R181" s="564" t="s">
        <v>7</v>
      </c>
      <c r="S181" s="564" t="s">
        <v>31549</v>
      </c>
      <c r="T181" s="564" t="s">
        <v>4</v>
      </c>
      <c r="U181" s="564" t="s">
        <v>2</v>
      </c>
      <c r="V181" s="564" t="s">
        <v>4</v>
      </c>
      <c r="W181" s="564" t="s">
        <v>4</v>
      </c>
      <c r="X181" s="564" t="s">
        <v>4</v>
      </c>
      <c r="Y181" s="564" t="s">
        <v>4</v>
      </c>
      <c r="Z181" s="565">
        <v>44267</v>
      </c>
      <c r="AA181" s="557" t="str">
        <f>IF(OR(U181="yes",Z181&gt;'SDG outcome'!$C$39),"yes","no")</f>
        <v>no</v>
      </c>
      <c r="AB181" s="565" t="str">
        <f t="shared" si="6"/>
        <v/>
      </c>
      <c r="AC181" s="566" t="str">
        <f>IF(AND('SMS p2'!AA82="no",AND(Z181&gt;='SDG outcome'!$B$28,Z181&lt;'SDG outcome'!$C$39)),Z181-'SDG outcome'!$B$28,"")</f>
        <v/>
      </c>
      <c r="AD181" s="564" t="s">
        <v>6092</v>
      </c>
      <c r="AE181" s="564" t="s">
        <v>4</v>
      </c>
      <c r="AF181" s="564" t="s">
        <v>4</v>
      </c>
      <c r="AG181" s="564" t="s">
        <v>4</v>
      </c>
      <c r="AH181" s="564" t="s">
        <v>4</v>
      </c>
      <c r="AI181" s="564" t="s">
        <v>4</v>
      </c>
      <c r="AJ181" s="564" t="s">
        <v>4</v>
      </c>
      <c r="AK181" s="564" t="s">
        <v>4</v>
      </c>
      <c r="AL181" s="564"/>
      <c r="AM181" s="564"/>
      <c r="AN181" s="564"/>
      <c r="AO181" s="564"/>
      <c r="AP181" s="564"/>
      <c r="AQ181" s="564"/>
      <c r="AR181" s="564"/>
      <c r="AS181" s="564"/>
      <c r="AT181" s="564"/>
      <c r="AU181" s="564"/>
      <c r="AV181" s="564"/>
      <c r="AW181" s="564"/>
      <c r="AX181" s="564"/>
      <c r="AY181" s="564"/>
      <c r="AZ181" s="564"/>
      <c r="BA181" s="564"/>
      <c r="BB181" s="564"/>
      <c r="BC181" s="564"/>
      <c r="BD181" s="564"/>
      <c r="BE181" s="564"/>
      <c r="BF181" s="564"/>
      <c r="BG181" s="564"/>
      <c r="BH181" s="564"/>
      <c r="BI181" s="564"/>
      <c r="BJ181" s="564"/>
      <c r="BK181" s="564"/>
      <c r="BL181" s="564"/>
      <c r="BM181" s="564"/>
      <c r="BN181" s="564"/>
      <c r="BO181" s="564"/>
      <c r="BP181" s="564"/>
      <c r="BQ181" s="564"/>
      <c r="BR181" s="567"/>
      <c r="BS181" s="564"/>
      <c r="BT181" s="564"/>
      <c r="BU181" s="564"/>
      <c r="BV181" s="564"/>
      <c r="BW181" s="567"/>
      <c r="BX181" s="564"/>
      <c r="BY181" s="564"/>
      <c r="BZ181" s="564"/>
      <c r="CA181" s="564"/>
      <c r="CB181" s="564"/>
      <c r="CC181" s="564"/>
      <c r="CD181" s="564"/>
      <c r="CE181" s="564"/>
      <c r="CF181" s="564"/>
      <c r="CG181" s="564"/>
      <c r="CH181" s="564"/>
      <c r="CI181" s="564"/>
      <c r="CJ181" s="564"/>
      <c r="CK181" s="564"/>
      <c r="CL181" s="564"/>
      <c r="CM181" s="564"/>
      <c r="CN181" s="564"/>
      <c r="CO181" s="564"/>
      <c r="CP181" s="564"/>
      <c r="CQ181" s="564"/>
      <c r="CR181" s="564"/>
      <c r="CS181" s="564"/>
      <c r="CT181" s="568"/>
      <c r="CU181" s="563"/>
      <c r="CV181" s="564"/>
      <c r="CW181" s="568"/>
      <c r="CX181" s="563"/>
      <c r="CY181" s="564"/>
      <c r="CZ181" s="568"/>
      <c r="DA181" s="563"/>
      <c r="DB181" s="564"/>
      <c r="DC181" s="564"/>
      <c r="DD181" s="564"/>
      <c r="DE181" s="564"/>
      <c r="DF181" s="564"/>
      <c r="DG181" s="564"/>
      <c r="DH181" s="564"/>
      <c r="DI181" s="564"/>
      <c r="DJ181" s="564"/>
      <c r="DK181" s="564"/>
      <c r="DL181" s="564"/>
      <c r="DM181" s="564"/>
      <c r="DN181" s="564"/>
      <c r="DO181" s="564"/>
      <c r="DP181" s="564"/>
      <c r="DQ181" s="564"/>
      <c r="DR181" s="564"/>
      <c r="DS181" s="569"/>
      <c r="DT181" s="564"/>
      <c r="DU181" s="569"/>
      <c r="DV181" s="568"/>
      <c r="DW181" s="563"/>
      <c r="DX181" s="564"/>
      <c r="DY181" s="564"/>
      <c r="DZ181" s="564"/>
      <c r="EA181" s="564"/>
      <c r="EB181" s="564"/>
      <c r="EC181" s="564"/>
      <c r="ED181" s="564"/>
      <c r="EE181" s="564"/>
      <c r="EF181" s="564"/>
      <c r="EG181" s="564"/>
      <c r="EH181" s="564"/>
      <c r="EI181" s="564"/>
      <c r="EJ181" s="564"/>
      <c r="EK181" s="564"/>
      <c r="EL181" s="564"/>
      <c r="EM181" s="564"/>
      <c r="EN181" s="564"/>
      <c r="EO181" s="564"/>
      <c r="EP181" s="564"/>
      <c r="EQ181" s="564"/>
      <c r="ER181" s="564"/>
      <c r="ES181" s="564"/>
      <c r="ET181" s="564"/>
      <c r="EU181" s="564"/>
      <c r="EV181" s="564"/>
      <c r="EW181" s="564"/>
      <c r="EX181" s="564"/>
      <c r="EY181" s="564"/>
      <c r="EZ181" s="239"/>
      <c r="FA181" s="564"/>
      <c r="FB181" s="564"/>
      <c r="FC181" s="564"/>
      <c r="FD181" s="564"/>
      <c r="FE181" s="564"/>
      <c r="FF181" s="564"/>
      <c r="FG181" s="564"/>
      <c r="FH181" s="564"/>
      <c r="FI181" s="564"/>
      <c r="FJ181" s="564"/>
      <c r="FK181" s="564"/>
      <c r="FL181" s="564"/>
      <c r="FM181" s="564"/>
      <c r="FN181" s="569"/>
      <c r="FO181" s="564"/>
      <c r="FP181" s="564"/>
      <c r="FQ181" s="564"/>
      <c r="FR181" s="564"/>
      <c r="FS181" s="564"/>
      <c r="FT181" s="564"/>
      <c r="FU181" s="564"/>
      <c r="FV181" s="564"/>
      <c r="FW181" s="564"/>
      <c r="FX181" s="564"/>
      <c r="FY181" s="564"/>
      <c r="FZ181" s="564"/>
      <c r="GA181" s="564"/>
      <c r="GB181" s="564"/>
      <c r="GC181" s="564"/>
      <c r="GD181" s="564"/>
      <c r="GE181" s="564"/>
      <c r="GF181" s="564"/>
      <c r="GG181" s="564"/>
      <c r="GH181" s="564"/>
      <c r="GI181" s="564"/>
      <c r="GJ181" s="564"/>
      <c r="GK181" s="564"/>
      <c r="GL181" s="564"/>
      <c r="GM181" s="564"/>
      <c r="GN181" s="564"/>
      <c r="GO181" s="564"/>
      <c r="GP181" s="564"/>
      <c r="GQ181" s="564"/>
      <c r="GR181" s="564"/>
      <c r="GS181" s="564"/>
      <c r="GT181" s="564"/>
      <c r="GU181" s="564"/>
      <c r="GV181" s="569"/>
      <c r="GW181" s="564"/>
      <c r="GX181" s="564"/>
      <c r="GY181" s="564"/>
      <c r="GZ181" s="564"/>
      <c r="HA181" s="564"/>
      <c r="HB181" s="564"/>
      <c r="HC181" s="564"/>
      <c r="HD181" s="564"/>
      <c r="HE181" s="564"/>
      <c r="HF181" s="564"/>
      <c r="HG181" s="564"/>
      <c r="HH181" s="564"/>
      <c r="HI181" s="564"/>
      <c r="HJ181" s="564"/>
      <c r="HK181" s="569"/>
      <c r="HL181" s="564" t="s">
        <v>34170</v>
      </c>
      <c r="HM181" s="564" t="s">
        <v>2</v>
      </c>
      <c r="HN181" s="564" t="s">
        <v>4</v>
      </c>
      <c r="HO181" s="564" t="s">
        <v>34171</v>
      </c>
      <c r="HP181" s="564" t="s">
        <v>34172</v>
      </c>
      <c r="HQ181" s="564" t="s">
        <v>34173</v>
      </c>
      <c r="HR181" s="564" t="s">
        <v>34174</v>
      </c>
      <c r="HS181" s="564" t="s">
        <v>34175</v>
      </c>
      <c r="HT181" s="568" t="s">
        <v>34167</v>
      </c>
    </row>
    <row r="182" spans="1:228" ht="30.2" customHeight="1" x14ac:dyDescent="0.25">
      <c r="A182" s="759"/>
      <c r="B182" s="563">
        <v>79</v>
      </c>
      <c r="C182" s="563" t="s">
        <v>29133</v>
      </c>
      <c r="D182" s="564" t="s">
        <v>34270</v>
      </c>
      <c r="E182" s="564" t="s">
        <v>30002</v>
      </c>
      <c r="F182" s="564" t="s">
        <v>7</v>
      </c>
      <c r="G182" s="564" t="s">
        <v>34271</v>
      </c>
      <c r="H182" s="564">
        <v>1183.5999999999999</v>
      </c>
      <c r="I182" s="564">
        <v>4.7</v>
      </c>
      <c r="J182" s="564" t="s">
        <v>29288</v>
      </c>
      <c r="K182" s="564" t="s">
        <v>4</v>
      </c>
      <c r="L182" s="564" t="s">
        <v>34272</v>
      </c>
      <c r="M182" s="564">
        <v>772587404</v>
      </c>
      <c r="N182" s="564" t="s">
        <v>3</v>
      </c>
      <c r="O182" s="564" t="s">
        <v>31438</v>
      </c>
      <c r="P182" s="564">
        <v>60</v>
      </c>
      <c r="Q182" s="564">
        <v>13</v>
      </c>
      <c r="R182" s="564" t="s">
        <v>7</v>
      </c>
      <c r="S182" s="564" t="s">
        <v>31588</v>
      </c>
      <c r="T182" s="564" t="s">
        <v>4</v>
      </c>
      <c r="U182" s="564" t="s">
        <v>2</v>
      </c>
      <c r="V182" s="564" t="s">
        <v>4</v>
      </c>
      <c r="W182" s="564" t="s">
        <v>4</v>
      </c>
      <c r="X182" s="564" t="s">
        <v>4</v>
      </c>
      <c r="Y182" s="564" t="s">
        <v>4</v>
      </c>
      <c r="Z182" s="565">
        <v>42154</v>
      </c>
      <c r="AA182" s="557" t="str">
        <f>IF(OR(U182="yes",Z182&gt;'SDG outcome'!$C$39),"yes","no")</f>
        <v>no</v>
      </c>
      <c r="AB182" s="565" t="str">
        <f t="shared" si="6"/>
        <v/>
      </c>
      <c r="AC182" s="566" t="str">
        <f>IF(AND('SMS p2'!AA91="no",AND(Z182&gt;='SDG outcome'!$B$28,Z182&lt;'SDG outcome'!$C$39)),Z182-'SDG outcome'!$B$28,"")</f>
        <v/>
      </c>
      <c r="AD182" s="564" t="s">
        <v>6092</v>
      </c>
      <c r="AE182" s="564" t="s">
        <v>4</v>
      </c>
      <c r="AF182" s="564" t="s">
        <v>4</v>
      </c>
      <c r="AG182" s="564" t="s">
        <v>4</v>
      </c>
      <c r="AH182" s="564" t="s">
        <v>4</v>
      </c>
      <c r="AI182" s="564" t="s">
        <v>4</v>
      </c>
      <c r="AJ182" s="564" t="s">
        <v>4</v>
      </c>
      <c r="AK182" s="564" t="s">
        <v>4</v>
      </c>
      <c r="AL182" s="564"/>
      <c r="AM182" s="564"/>
      <c r="AN182" s="564"/>
      <c r="AO182" s="564"/>
      <c r="AP182" s="564"/>
      <c r="AQ182" s="564"/>
      <c r="AR182" s="564"/>
      <c r="AS182" s="564"/>
      <c r="AT182" s="564"/>
      <c r="AU182" s="564"/>
      <c r="AV182" s="564"/>
      <c r="AW182" s="564"/>
      <c r="AX182" s="564"/>
      <c r="AY182" s="564"/>
      <c r="AZ182" s="564"/>
      <c r="BA182" s="564"/>
      <c r="BB182" s="564"/>
      <c r="BC182" s="564"/>
      <c r="BD182" s="564"/>
      <c r="BE182" s="564"/>
      <c r="BF182" s="564"/>
      <c r="BG182" s="564"/>
      <c r="BH182" s="564"/>
      <c r="BI182" s="564"/>
      <c r="BJ182" s="564"/>
      <c r="BK182" s="564"/>
      <c r="BL182" s="564"/>
      <c r="BM182" s="564"/>
      <c r="BN182" s="564"/>
      <c r="BO182" s="564"/>
      <c r="BP182" s="564"/>
      <c r="BQ182" s="564"/>
      <c r="BR182" s="567"/>
      <c r="BS182" s="564"/>
      <c r="BT182" s="564"/>
      <c r="BU182" s="564"/>
      <c r="BV182" s="564"/>
      <c r="BW182" s="567"/>
      <c r="BX182" s="564"/>
      <c r="BY182" s="564"/>
      <c r="BZ182" s="564"/>
      <c r="CA182" s="564"/>
      <c r="CB182" s="564"/>
      <c r="CC182" s="564"/>
      <c r="CD182" s="564"/>
      <c r="CE182" s="564"/>
      <c r="CF182" s="564"/>
      <c r="CG182" s="564"/>
      <c r="CH182" s="564"/>
      <c r="CI182" s="564"/>
      <c r="CJ182" s="564"/>
      <c r="CK182" s="564"/>
      <c r="CL182" s="564"/>
      <c r="CM182" s="564"/>
      <c r="CN182" s="564"/>
      <c r="CO182" s="564"/>
      <c r="CP182" s="564"/>
      <c r="CQ182" s="564"/>
      <c r="CR182" s="564"/>
      <c r="CS182" s="564"/>
      <c r="CT182" s="568"/>
      <c r="CU182" s="563"/>
      <c r="CV182" s="564"/>
      <c r="CW182" s="568"/>
      <c r="CX182" s="563"/>
      <c r="CY182" s="564"/>
      <c r="CZ182" s="568"/>
      <c r="DA182" s="563"/>
      <c r="DB182" s="564"/>
      <c r="DC182" s="564"/>
      <c r="DD182" s="564"/>
      <c r="DE182" s="564"/>
      <c r="DF182" s="564"/>
      <c r="DG182" s="564"/>
      <c r="DH182" s="564"/>
      <c r="DI182" s="564"/>
      <c r="DJ182" s="564"/>
      <c r="DK182" s="564"/>
      <c r="DL182" s="564"/>
      <c r="DM182" s="564"/>
      <c r="DN182" s="564"/>
      <c r="DO182" s="564"/>
      <c r="DP182" s="564"/>
      <c r="DQ182" s="564"/>
      <c r="DR182" s="564"/>
      <c r="DS182" s="569"/>
      <c r="DT182" s="564"/>
      <c r="DU182" s="569"/>
      <c r="DV182" s="568"/>
      <c r="DW182" s="563"/>
      <c r="DX182" s="564"/>
      <c r="DY182" s="564"/>
      <c r="DZ182" s="564"/>
      <c r="EA182" s="564"/>
      <c r="EB182" s="564"/>
      <c r="EC182" s="564"/>
      <c r="ED182" s="564"/>
      <c r="EE182" s="564"/>
      <c r="EF182" s="564"/>
      <c r="EG182" s="564"/>
      <c r="EH182" s="564"/>
      <c r="EI182" s="564"/>
      <c r="EJ182" s="564"/>
      <c r="EK182" s="564"/>
      <c r="EL182" s="564"/>
      <c r="EM182" s="564"/>
      <c r="EN182" s="564"/>
      <c r="EO182" s="564"/>
      <c r="EP182" s="564"/>
      <c r="EQ182" s="564"/>
      <c r="ER182" s="564"/>
      <c r="ES182" s="564"/>
      <c r="ET182" s="564"/>
      <c r="EU182" s="564"/>
      <c r="EV182" s="564"/>
      <c r="EW182" s="564"/>
      <c r="EX182" s="564"/>
      <c r="EY182" s="564"/>
      <c r="EZ182" s="239"/>
      <c r="FA182" s="564"/>
      <c r="FB182" s="564"/>
      <c r="FC182" s="564"/>
      <c r="FD182" s="564"/>
      <c r="FE182" s="564"/>
      <c r="FF182" s="564"/>
      <c r="FG182" s="564"/>
      <c r="FH182" s="564"/>
      <c r="FI182" s="564"/>
      <c r="FJ182" s="564"/>
      <c r="FK182" s="564"/>
      <c r="FL182" s="564"/>
      <c r="FM182" s="564"/>
      <c r="FN182" s="569"/>
      <c r="FO182" s="564"/>
      <c r="FP182" s="564"/>
      <c r="FQ182" s="564"/>
      <c r="FR182" s="564"/>
      <c r="FS182" s="564"/>
      <c r="FT182" s="564"/>
      <c r="FU182" s="564"/>
      <c r="FV182" s="564"/>
      <c r="FW182" s="564"/>
      <c r="FX182" s="564"/>
      <c r="FY182" s="564"/>
      <c r="FZ182" s="564"/>
      <c r="GA182" s="564"/>
      <c r="GB182" s="564"/>
      <c r="GC182" s="564"/>
      <c r="GD182" s="564"/>
      <c r="GE182" s="564"/>
      <c r="GF182" s="564"/>
      <c r="GG182" s="564"/>
      <c r="GH182" s="564"/>
      <c r="GI182" s="564"/>
      <c r="GJ182" s="564"/>
      <c r="GK182" s="564"/>
      <c r="GL182" s="564"/>
      <c r="GM182" s="564"/>
      <c r="GN182" s="564"/>
      <c r="GO182" s="564"/>
      <c r="GP182" s="564"/>
      <c r="GQ182" s="564"/>
      <c r="GR182" s="564"/>
      <c r="GS182" s="564"/>
      <c r="GT182" s="564"/>
      <c r="GU182" s="564"/>
      <c r="GV182" s="569"/>
      <c r="GW182" s="564"/>
      <c r="GX182" s="564"/>
      <c r="GY182" s="564"/>
      <c r="GZ182" s="564"/>
      <c r="HA182" s="564"/>
      <c r="HB182" s="564"/>
      <c r="HC182" s="564"/>
      <c r="HD182" s="564"/>
      <c r="HE182" s="564"/>
      <c r="HF182" s="564"/>
      <c r="HG182" s="564"/>
      <c r="HH182" s="564"/>
      <c r="HI182" s="564"/>
      <c r="HJ182" s="564"/>
      <c r="HK182" s="569"/>
      <c r="HL182" s="564" t="s">
        <v>34273</v>
      </c>
      <c r="HM182" s="564" t="s">
        <v>7</v>
      </c>
      <c r="HN182" s="564" t="s">
        <v>34274</v>
      </c>
      <c r="HO182" s="564" t="s">
        <v>34275</v>
      </c>
      <c r="HP182" s="564" t="s">
        <v>34276</v>
      </c>
      <c r="HQ182" s="564" t="s">
        <v>16</v>
      </c>
      <c r="HR182" s="564" t="s">
        <v>34277</v>
      </c>
      <c r="HS182" s="564" t="s">
        <v>16</v>
      </c>
      <c r="HT182" s="568" t="s">
        <v>34270</v>
      </c>
    </row>
    <row r="183" spans="1:228" ht="30.2" customHeight="1" x14ac:dyDescent="0.25">
      <c r="A183" s="759"/>
      <c r="B183" s="563">
        <v>205</v>
      </c>
      <c r="C183" s="563" t="s">
        <v>28140</v>
      </c>
      <c r="D183" s="564" t="s">
        <v>35662</v>
      </c>
      <c r="E183" s="564" t="s">
        <v>35495</v>
      </c>
      <c r="F183" s="564" t="s">
        <v>7</v>
      </c>
      <c r="G183" s="564" t="s">
        <v>35663</v>
      </c>
      <c r="H183" s="564">
        <v>1237.5999999999999</v>
      </c>
      <c r="I183" s="564">
        <v>4.7</v>
      </c>
      <c r="J183" s="564" t="s">
        <v>29288</v>
      </c>
      <c r="K183" s="564" t="s">
        <v>4</v>
      </c>
      <c r="L183" s="564" t="s">
        <v>35664</v>
      </c>
      <c r="M183" s="564">
        <v>761490147</v>
      </c>
      <c r="N183" s="564" t="s">
        <v>3</v>
      </c>
      <c r="O183" s="564" t="s">
        <v>31438</v>
      </c>
      <c r="P183" s="564">
        <v>26</v>
      </c>
      <c r="Q183" s="564">
        <v>3</v>
      </c>
      <c r="R183" s="564" t="s">
        <v>7</v>
      </c>
      <c r="S183" s="564" t="s">
        <v>31588</v>
      </c>
      <c r="T183" s="564" t="s">
        <v>4</v>
      </c>
      <c r="U183" s="564" t="s">
        <v>2</v>
      </c>
      <c r="V183" s="564" t="s">
        <v>4</v>
      </c>
      <c r="W183" s="564" t="s">
        <v>4</v>
      </c>
      <c r="X183" s="564" t="s">
        <v>4</v>
      </c>
      <c r="Y183" s="564" t="s">
        <v>4</v>
      </c>
      <c r="Z183" s="565">
        <v>44462</v>
      </c>
      <c r="AA183" s="557" t="str">
        <f>IF(OR(U183="yes",Z183&gt;'SDG outcome'!$C$39),"yes","no")</f>
        <v>no</v>
      </c>
      <c r="AB183" s="565" t="str">
        <f t="shared" si="6"/>
        <v/>
      </c>
      <c r="AC183" s="566" t="str">
        <f>IF(AND('SMS p2'!AA217="no",AND(Z183&gt;='SDG outcome'!$B$28,Z183&lt;'SDG outcome'!$C$39)),Z183-'SDG outcome'!$B$28,"")</f>
        <v/>
      </c>
      <c r="AD183" s="564" t="s">
        <v>6092</v>
      </c>
      <c r="AE183" s="564" t="s">
        <v>4</v>
      </c>
      <c r="AF183" s="564" t="s">
        <v>4</v>
      </c>
      <c r="AG183" s="564" t="s">
        <v>4</v>
      </c>
      <c r="AH183" s="564" t="s">
        <v>4</v>
      </c>
      <c r="AI183" s="564" t="s">
        <v>4</v>
      </c>
      <c r="AJ183" s="564" t="s">
        <v>4</v>
      </c>
      <c r="AK183" s="564" t="s">
        <v>4</v>
      </c>
      <c r="AL183" s="564"/>
      <c r="AM183" s="564"/>
      <c r="AN183" s="564"/>
      <c r="AO183" s="564"/>
      <c r="AP183" s="564"/>
      <c r="AQ183" s="564"/>
      <c r="AR183" s="564"/>
      <c r="AS183" s="564"/>
      <c r="AT183" s="564"/>
      <c r="AU183" s="564"/>
      <c r="AV183" s="564"/>
      <c r="AW183" s="564"/>
      <c r="AX183" s="564"/>
      <c r="AY183" s="564"/>
      <c r="AZ183" s="564"/>
      <c r="BA183" s="564"/>
      <c r="BB183" s="564"/>
      <c r="BC183" s="564"/>
      <c r="BD183" s="571"/>
      <c r="BE183" s="564"/>
      <c r="BF183" s="564"/>
      <c r="BG183" s="564"/>
      <c r="BH183" s="564"/>
      <c r="BI183" s="564"/>
      <c r="BJ183" s="564"/>
      <c r="BK183" s="564"/>
      <c r="BL183" s="564"/>
      <c r="BM183" s="564"/>
      <c r="BN183" s="564"/>
      <c r="BO183" s="564"/>
      <c r="BP183" s="564"/>
      <c r="BQ183" s="564"/>
      <c r="BR183" s="567"/>
      <c r="BS183" s="564"/>
      <c r="BT183" s="564"/>
      <c r="BU183" s="564"/>
      <c r="BV183" s="564"/>
      <c r="BW183" s="567"/>
      <c r="BX183" s="564"/>
      <c r="BY183" s="564"/>
      <c r="BZ183" s="564"/>
      <c r="CA183" s="564"/>
      <c r="CB183" s="564"/>
      <c r="CC183" s="564"/>
      <c r="CD183" s="564"/>
      <c r="CE183" s="564"/>
      <c r="CF183" s="564"/>
      <c r="CG183" s="564"/>
      <c r="CH183" s="564"/>
      <c r="CI183" s="564"/>
      <c r="CJ183" s="564"/>
      <c r="CK183" s="564"/>
      <c r="CL183" s="564"/>
      <c r="CM183" s="564"/>
      <c r="CN183" s="564"/>
      <c r="CO183" s="564"/>
      <c r="CP183" s="564"/>
      <c r="CQ183" s="564"/>
      <c r="CR183" s="564"/>
      <c r="CS183" s="564"/>
      <c r="CT183" s="568"/>
      <c r="CU183" s="563"/>
      <c r="CV183" s="564"/>
      <c r="CW183" s="568"/>
      <c r="CX183" s="563"/>
      <c r="CY183" s="564"/>
      <c r="CZ183" s="568"/>
      <c r="DA183" s="563"/>
      <c r="DB183" s="564"/>
      <c r="DC183" s="564"/>
      <c r="DD183" s="564"/>
      <c r="DE183" s="564"/>
      <c r="DF183" s="564"/>
      <c r="DG183" s="564"/>
      <c r="DH183" s="564"/>
      <c r="DI183" s="564"/>
      <c r="DJ183" s="564"/>
      <c r="DK183" s="564"/>
      <c r="DL183" s="564"/>
      <c r="DM183" s="564"/>
      <c r="DN183" s="564"/>
      <c r="DO183" s="564"/>
      <c r="DP183" s="564"/>
      <c r="DQ183" s="564"/>
      <c r="DR183" s="564"/>
      <c r="DS183" s="569"/>
      <c r="DT183" s="564"/>
      <c r="DU183" s="569"/>
      <c r="DV183" s="568"/>
      <c r="DW183" s="563"/>
      <c r="DX183" s="564"/>
      <c r="DY183" s="564"/>
      <c r="DZ183" s="564"/>
      <c r="EA183" s="564"/>
      <c r="EB183" s="564"/>
      <c r="EC183" s="564"/>
      <c r="ED183" s="564"/>
      <c r="EE183" s="564"/>
      <c r="EF183" s="564"/>
      <c r="EG183" s="564"/>
      <c r="EH183" s="564"/>
      <c r="EI183" s="564"/>
      <c r="EJ183" s="564"/>
      <c r="EK183" s="564"/>
      <c r="EL183" s="564"/>
      <c r="EM183" s="564"/>
      <c r="EN183" s="564"/>
      <c r="EO183" s="564"/>
      <c r="EP183" s="564"/>
      <c r="EQ183" s="564"/>
      <c r="ER183" s="564"/>
      <c r="ES183" s="564"/>
      <c r="ET183" s="564"/>
      <c r="EU183" s="564"/>
      <c r="EV183" s="564"/>
      <c r="EW183" s="564"/>
      <c r="EX183" s="564"/>
      <c r="EY183" s="564"/>
      <c r="EZ183" s="239"/>
      <c r="FA183" s="564"/>
      <c r="FB183" s="564"/>
      <c r="FC183" s="564"/>
      <c r="FD183" s="564"/>
      <c r="FE183" s="564"/>
      <c r="FF183" s="564"/>
      <c r="FG183" s="564"/>
      <c r="FH183" s="564"/>
      <c r="FI183" s="564"/>
      <c r="FJ183" s="564"/>
      <c r="FK183" s="564"/>
      <c r="FL183" s="564"/>
      <c r="FM183" s="564"/>
      <c r="FN183" s="569"/>
      <c r="FO183" s="564"/>
      <c r="FP183" s="564"/>
      <c r="FQ183" s="564"/>
      <c r="FR183" s="564"/>
      <c r="FS183" s="564"/>
      <c r="FT183" s="564"/>
      <c r="FU183" s="564"/>
      <c r="FV183" s="564"/>
      <c r="FW183" s="564"/>
      <c r="FX183" s="564"/>
      <c r="FY183" s="564"/>
      <c r="FZ183" s="564"/>
      <c r="GA183" s="564"/>
      <c r="GB183" s="564"/>
      <c r="GC183" s="564"/>
      <c r="GD183" s="564"/>
      <c r="GE183" s="564"/>
      <c r="GF183" s="564"/>
      <c r="GG183" s="564"/>
      <c r="GH183" s="564"/>
      <c r="GI183" s="564"/>
      <c r="GJ183" s="564"/>
      <c r="GK183" s="564"/>
      <c r="GL183" s="564"/>
      <c r="GM183" s="564"/>
      <c r="GN183" s="564"/>
      <c r="GO183" s="564"/>
      <c r="GP183" s="564"/>
      <c r="GQ183" s="564"/>
      <c r="GR183" s="564"/>
      <c r="GS183" s="564"/>
      <c r="GT183" s="564"/>
      <c r="GU183" s="564"/>
      <c r="GV183" s="569"/>
      <c r="GW183" s="564"/>
      <c r="GX183" s="564"/>
      <c r="GY183" s="564"/>
      <c r="GZ183" s="564"/>
      <c r="HA183" s="564"/>
      <c r="HB183" s="564"/>
      <c r="HC183" s="564"/>
      <c r="HD183" s="564"/>
      <c r="HE183" s="564"/>
      <c r="HF183" s="564"/>
      <c r="HG183" s="564"/>
      <c r="HH183" s="564"/>
      <c r="HI183" s="564"/>
      <c r="HJ183" s="564"/>
      <c r="HK183" s="569"/>
      <c r="HL183" s="564" t="s">
        <v>35665</v>
      </c>
      <c r="HM183" s="564" t="s">
        <v>2</v>
      </c>
      <c r="HN183" s="564" t="s">
        <v>4</v>
      </c>
      <c r="HO183" s="564" t="s">
        <v>35666</v>
      </c>
      <c r="HP183" s="564" t="s">
        <v>35667</v>
      </c>
      <c r="HQ183" s="564" t="s">
        <v>35668</v>
      </c>
      <c r="HR183" s="564" t="s">
        <v>35669</v>
      </c>
      <c r="HS183" s="564" t="s">
        <v>16</v>
      </c>
      <c r="HT183" s="568" t="s">
        <v>35662</v>
      </c>
    </row>
    <row r="184" spans="1:228" ht="30.2" customHeight="1" x14ac:dyDescent="0.25">
      <c r="A184" s="759"/>
      <c r="B184" s="563">
        <v>28</v>
      </c>
      <c r="C184" s="563" t="s">
        <v>19846</v>
      </c>
      <c r="D184" s="564" t="s">
        <v>33671</v>
      </c>
      <c r="E184" s="564" t="s">
        <v>33583</v>
      </c>
      <c r="F184" s="564" t="s">
        <v>7</v>
      </c>
      <c r="G184" s="564" t="s">
        <v>33672</v>
      </c>
      <c r="H184" s="564">
        <v>1565.6</v>
      </c>
      <c r="I184" s="564">
        <v>4.8</v>
      </c>
      <c r="J184" s="564" t="s">
        <v>29319</v>
      </c>
      <c r="K184" s="564" t="s">
        <v>4</v>
      </c>
      <c r="L184" s="564" t="s">
        <v>33673</v>
      </c>
      <c r="M184" s="564">
        <v>765020762</v>
      </c>
      <c r="N184" s="564" t="s">
        <v>5</v>
      </c>
      <c r="O184" s="564" t="s">
        <v>31438</v>
      </c>
      <c r="P184" s="564">
        <v>94</v>
      </c>
      <c r="Q184" s="564">
        <v>7</v>
      </c>
      <c r="R184" s="564" t="s">
        <v>7</v>
      </c>
      <c r="S184" s="564" t="s">
        <v>31549</v>
      </c>
      <c r="T184" s="564" t="s">
        <v>4</v>
      </c>
      <c r="U184" s="564" t="s">
        <v>2</v>
      </c>
      <c r="V184" s="564" t="s">
        <v>4</v>
      </c>
      <c r="W184" s="564" t="s">
        <v>4</v>
      </c>
      <c r="X184" s="564" t="s">
        <v>4</v>
      </c>
      <c r="Y184" s="564" t="s">
        <v>4</v>
      </c>
      <c r="Z184" s="565">
        <v>42812</v>
      </c>
      <c r="AA184" s="557" t="str">
        <f>IF(OR(U184="yes",Z184&gt;'SDG outcome'!$C$39),"yes","no")</f>
        <v>no</v>
      </c>
      <c r="AB184" s="565" t="str">
        <f t="shared" si="6"/>
        <v/>
      </c>
      <c r="AC184" s="566" t="str">
        <f>IF(AND('SMS p2'!AA40="no",AND(Z184&gt;='SDG outcome'!$B$28,Z184&lt;'SDG outcome'!$C$39)),Z184-'SDG outcome'!$B$28,"")</f>
        <v/>
      </c>
      <c r="AD184" s="564" t="s">
        <v>21816</v>
      </c>
      <c r="AE184" s="564" t="s">
        <v>4</v>
      </c>
      <c r="AF184" s="564" t="s">
        <v>4</v>
      </c>
      <c r="AG184" s="564" t="s">
        <v>4</v>
      </c>
      <c r="AH184" s="564" t="s">
        <v>4</v>
      </c>
      <c r="AI184" s="564" t="s">
        <v>4</v>
      </c>
      <c r="AJ184" s="564" t="s">
        <v>4</v>
      </c>
      <c r="AK184" s="564" t="s">
        <v>4</v>
      </c>
      <c r="AL184" s="564"/>
      <c r="AM184" s="564"/>
      <c r="AN184" s="564"/>
      <c r="AO184" s="564"/>
      <c r="AP184" s="564"/>
      <c r="AQ184" s="564"/>
      <c r="AR184" s="564"/>
      <c r="AS184" s="564"/>
      <c r="AT184" s="564"/>
      <c r="AU184" s="564"/>
      <c r="AV184" s="564"/>
      <c r="AW184" s="564"/>
      <c r="AX184" s="564"/>
      <c r="AY184" s="564"/>
      <c r="AZ184" s="564"/>
      <c r="BA184" s="564"/>
      <c r="BB184" s="564"/>
      <c r="BC184" s="564"/>
      <c r="BD184" s="564"/>
      <c r="BE184" s="564"/>
      <c r="BF184" s="564"/>
      <c r="BG184" s="564"/>
      <c r="BH184" s="564"/>
      <c r="BI184" s="564"/>
      <c r="BJ184" s="564"/>
      <c r="BK184" s="564"/>
      <c r="BL184" s="564"/>
      <c r="BM184" s="564"/>
      <c r="BN184" s="564"/>
      <c r="BO184" s="564"/>
      <c r="BP184" s="564"/>
      <c r="BQ184" s="564"/>
      <c r="BR184" s="567"/>
      <c r="BS184" s="564"/>
      <c r="BT184" s="564"/>
      <c r="BU184" s="564"/>
      <c r="BV184" s="564"/>
      <c r="BW184" s="567"/>
      <c r="BX184" s="564"/>
      <c r="BY184" s="564"/>
      <c r="BZ184" s="564"/>
      <c r="CA184" s="564"/>
      <c r="CB184" s="564"/>
      <c r="CC184" s="564"/>
      <c r="CD184" s="564"/>
      <c r="CE184" s="564"/>
      <c r="CF184" s="564"/>
      <c r="CG184" s="564"/>
      <c r="CH184" s="564"/>
      <c r="CI184" s="564"/>
      <c r="CJ184" s="564"/>
      <c r="CK184" s="564"/>
      <c r="CL184" s="564"/>
      <c r="CM184" s="564"/>
      <c r="CN184" s="564"/>
      <c r="CO184" s="564"/>
      <c r="CP184" s="564"/>
      <c r="CQ184" s="564"/>
      <c r="CR184" s="564"/>
      <c r="CS184" s="564"/>
      <c r="CT184" s="568"/>
      <c r="CU184" s="563"/>
      <c r="CV184" s="564"/>
      <c r="CW184" s="568"/>
      <c r="CX184" s="563"/>
      <c r="CY184" s="564"/>
      <c r="CZ184" s="568"/>
      <c r="DA184" s="563"/>
      <c r="DB184" s="564"/>
      <c r="DC184" s="564"/>
      <c r="DD184" s="564"/>
      <c r="DE184" s="564"/>
      <c r="DF184" s="564"/>
      <c r="DG184" s="564"/>
      <c r="DH184" s="564"/>
      <c r="DI184" s="564"/>
      <c r="DJ184" s="564"/>
      <c r="DK184" s="564"/>
      <c r="DL184" s="564"/>
      <c r="DM184" s="564"/>
      <c r="DN184" s="564"/>
      <c r="DO184" s="564"/>
      <c r="DP184" s="564"/>
      <c r="DQ184" s="564"/>
      <c r="DR184" s="564"/>
      <c r="DS184" s="569"/>
      <c r="DT184" s="564"/>
      <c r="DU184" s="569"/>
      <c r="DV184" s="568"/>
      <c r="DW184" s="563"/>
      <c r="DX184" s="564"/>
      <c r="DY184" s="564"/>
      <c r="DZ184" s="564"/>
      <c r="EA184" s="564"/>
      <c r="EB184" s="564"/>
      <c r="EC184" s="564"/>
      <c r="ED184" s="564"/>
      <c r="EE184" s="564"/>
      <c r="EF184" s="564"/>
      <c r="EG184" s="564"/>
      <c r="EH184" s="564"/>
      <c r="EI184" s="564"/>
      <c r="EJ184" s="564"/>
      <c r="EK184" s="564"/>
      <c r="EL184" s="564"/>
      <c r="EM184" s="564"/>
      <c r="EN184" s="564"/>
      <c r="EO184" s="564"/>
      <c r="EP184" s="564"/>
      <c r="EQ184" s="564"/>
      <c r="ER184" s="564"/>
      <c r="ES184" s="564"/>
      <c r="ET184" s="564"/>
      <c r="EU184" s="564"/>
      <c r="EV184" s="564"/>
      <c r="EW184" s="564"/>
      <c r="EX184" s="564"/>
      <c r="EY184" s="564"/>
      <c r="EZ184" s="239"/>
      <c r="FA184" s="564"/>
      <c r="FB184" s="564"/>
      <c r="FC184" s="564"/>
      <c r="FD184" s="564"/>
      <c r="FE184" s="564"/>
      <c r="FF184" s="564"/>
      <c r="FG184" s="564"/>
      <c r="FH184" s="564"/>
      <c r="FI184" s="564"/>
      <c r="FJ184" s="564"/>
      <c r="FK184" s="564"/>
      <c r="FL184" s="564"/>
      <c r="FM184" s="564"/>
      <c r="FN184" s="569"/>
      <c r="FO184" s="564"/>
      <c r="FP184" s="564"/>
      <c r="FQ184" s="564"/>
      <c r="FR184" s="564"/>
      <c r="FS184" s="564"/>
      <c r="FT184" s="564"/>
      <c r="FU184" s="564"/>
      <c r="FV184" s="564"/>
      <c r="FW184" s="564"/>
      <c r="FX184" s="564"/>
      <c r="FY184" s="564"/>
      <c r="FZ184" s="564"/>
      <c r="GA184" s="564"/>
      <c r="GB184" s="564"/>
      <c r="GC184" s="564"/>
      <c r="GD184" s="564"/>
      <c r="GE184" s="564"/>
      <c r="GF184" s="564"/>
      <c r="GG184" s="564"/>
      <c r="GH184" s="564"/>
      <c r="GI184" s="564"/>
      <c r="GJ184" s="564"/>
      <c r="GK184" s="564"/>
      <c r="GL184" s="564"/>
      <c r="GM184" s="564"/>
      <c r="GN184" s="564"/>
      <c r="GO184" s="564"/>
      <c r="GP184" s="564"/>
      <c r="GQ184" s="564"/>
      <c r="GR184" s="564"/>
      <c r="GS184" s="564"/>
      <c r="GT184" s="564"/>
      <c r="GU184" s="564"/>
      <c r="GV184" s="569"/>
      <c r="GW184" s="564"/>
      <c r="GX184" s="564"/>
      <c r="GY184" s="564"/>
      <c r="GZ184" s="564"/>
      <c r="HA184" s="564"/>
      <c r="HB184" s="564"/>
      <c r="HC184" s="564"/>
      <c r="HD184" s="564"/>
      <c r="HE184" s="564"/>
      <c r="HF184" s="564"/>
      <c r="HG184" s="564"/>
      <c r="HH184" s="564"/>
      <c r="HI184" s="564"/>
      <c r="HJ184" s="564"/>
      <c r="HK184" s="569"/>
      <c r="HL184" s="564" t="s">
        <v>33674</v>
      </c>
      <c r="HM184" s="564" t="s">
        <v>7</v>
      </c>
      <c r="HN184" s="564" t="s">
        <v>33675</v>
      </c>
      <c r="HO184" s="564" t="s">
        <v>33676</v>
      </c>
      <c r="HP184" s="564" t="s">
        <v>33677</v>
      </c>
      <c r="HQ184" s="564" t="s">
        <v>16</v>
      </c>
      <c r="HR184" s="564" t="s">
        <v>33678</v>
      </c>
      <c r="HS184" s="564" t="s">
        <v>33679</v>
      </c>
      <c r="HT184" s="568" t="s">
        <v>33671</v>
      </c>
    </row>
    <row r="185" spans="1:228" ht="30.2" customHeight="1" x14ac:dyDescent="0.25">
      <c r="A185" s="759"/>
      <c r="B185" s="563">
        <v>34</v>
      </c>
      <c r="C185" s="563" t="s">
        <v>18533</v>
      </c>
      <c r="D185" s="564" t="s">
        <v>33742</v>
      </c>
      <c r="E185" s="564" t="s">
        <v>33725</v>
      </c>
      <c r="F185" s="564" t="s">
        <v>7</v>
      </c>
      <c r="G185" s="564" t="s">
        <v>33743</v>
      </c>
      <c r="H185" s="564">
        <v>1105.638672</v>
      </c>
      <c r="I185" s="564">
        <v>4.2880000000000003</v>
      </c>
      <c r="J185" s="564" t="s">
        <v>29319</v>
      </c>
      <c r="K185" s="564" t="s">
        <v>4</v>
      </c>
      <c r="L185" s="564" t="s">
        <v>33744</v>
      </c>
      <c r="M185" s="564">
        <v>772533825</v>
      </c>
      <c r="N185" s="564" t="s">
        <v>5</v>
      </c>
      <c r="O185" s="564" t="s">
        <v>31598</v>
      </c>
      <c r="P185" s="564" t="s">
        <v>4</v>
      </c>
      <c r="Q185" s="564">
        <v>6</v>
      </c>
      <c r="R185" s="564" t="s">
        <v>7</v>
      </c>
      <c r="S185" s="564" t="s">
        <v>31588</v>
      </c>
      <c r="T185" s="564" t="s">
        <v>4</v>
      </c>
      <c r="U185" s="564" t="s">
        <v>2</v>
      </c>
      <c r="V185" s="564" t="s">
        <v>4</v>
      </c>
      <c r="W185" s="564" t="s">
        <v>4</v>
      </c>
      <c r="X185" s="564" t="s">
        <v>4</v>
      </c>
      <c r="Y185" s="564" t="s">
        <v>4</v>
      </c>
      <c r="Z185" s="565">
        <v>43831</v>
      </c>
      <c r="AA185" s="557" t="str">
        <f>IF(OR(U185="yes",Z185&gt;'SDG outcome'!$C$39),"yes","no")</f>
        <v>no</v>
      </c>
      <c r="AB185" s="565" t="str">
        <f t="shared" si="6"/>
        <v/>
      </c>
      <c r="AC185" s="566" t="str">
        <f>IF(AND('SMS p2'!AA46="no",AND(Z185&gt;='SDG outcome'!$B$28,Z185&lt;'SDG outcome'!$C$39)),Z185-'SDG outcome'!$B$28,"")</f>
        <v/>
      </c>
      <c r="AD185" s="564" t="s">
        <v>21816</v>
      </c>
      <c r="AE185" s="564" t="s">
        <v>4</v>
      </c>
      <c r="AF185" s="564" t="s">
        <v>4</v>
      </c>
      <c r="AG185" s="564" t="s">
        <v>4</v>
      </c>
      <c r="AH185" s="564" t="s">
        <v>4</v>
      </c>
      <c r="AI185" s="564" t="s">
        <v>4</v>
      </c>
      <c r="AJ185" s="564" t="s">
        <v>4</v>
      </c>
      <c r="AK185" s="564" t="s">
        <v>4</v>
      </c>
      <c r="AL185" s="564"/>
      <c r="AM185" s="564"/>
      <c r="AN185" s="564"/>
      <c r="AO185" s="564"/>
      <c r="AP185" s="564"/>
      <c r="AQ185" s="564"/>
      <c r="AR185" s="564"/>
      <c r="AS185" s="564"/>
      <c r="AT185" s="564"/>
      <c r="AU185" s="564"/>
      <c r="AV185" s="564"/>
      <c r="AW185" s="564"/>
      <c r="AX185" s="564"/>
      <c r="AY185" s="564"/>
      <c r="AZ185" s="564"/>
      <c r="BA185" s="564"/>
      <c r="BB185" s="564"/>
      <c r="BC185" s="564"/>
      <c r="BD185" s="564"/>
      <c r="BE185" s="564"/>
      <c r="BF185" s="564"/>
      <c r="BG185" s="564"/>
      <c r="BH185" s="564"/>
      <c r="BI185" s="564"/>
      <c r="BJ185" s="564"/>
      <c r="BK185" s="564"/>
      <c r="BL185" s="564"/>
      <c r="BM185" s="564"/>
      <c r="BN185" s="564"/>
      <c r="BO185" s="564"/>
      <c r="BP185" s="564"/>
      <c r="BQ185" s="564"/>
      <c r="BR185" s="567"/>
      <c r="BS185" s="564"/>
      <c r="BT185" s="564"/>
      <c r="BU185" s="564"/>
      <c r="BV185" s="564"/>
      <c r="BW185" s="567"/>
      <c r="BX185" s="564"/>
      <c r="BY185" s="564"/>
      <c r="BZ185" s="564"/>
      <c r="CA185" s="564"/>
      <c r="CB185" s="564"/>
      <c r="CC185" s="564"/>
      <c r="CD185" s="564"/>
      <c r="CE185" s="564"/>
      <c r="CF185" s="564"/>
      <c r="CG185" s="564"/>
      <c r="CH185" s="564"/>
      <c r="CI185" s="564"/>
      <c r="CJ185" s="564"/>
      <c r="CK185" s="564"/>
      <c r="CL185" s="564"/>
      <c r="CM185" s="564"/>
      <c r="CN185" s="564"/>
      <c r="CO185" s="564"/>
      <c r="CP185" s="564"/>
      <c r="CQ185" s="564"/>
      <c r="CR185" s="564"/>
      <c r="CS185" s="564"/>
      <c r="CT185" s="568"/>
      <c r="CU185" s="563"/>
      <c r="CV185" s="564"/>
      <c r="CW185" s="568"/>
      <c r="CX185" s="563"/>
      <c r="CY185" s="564"/>
      <c r="CZ185" s="568"/>
      <c r="DA185" s="563"/>
      <c r="DB185" s="564"/>
      <c r="DC185" s="564"/>
      <c r="DD185" s="564"/>
      <c r="DE185" s="564"/>
      <c r="DF185" s="564"/>
      <c r="DG185" s="564"/>
      <c r="DH185" s="564"/>
      <c r="DI185" s="564"/>
      <c r="DJ185" s="564"/>
      <c r="DK185" s="564"/>
      <c r="DL185" s="564"/>
      <c r="DM185" s="564"/>
      <c r="DN185" s="564"/>
      <c r="DO185" s="564"/>
      <c r="DP185" s="564"/>
      <c r="DQ185" s="564"/>
      <c r="DR185" s="564"/>
      <c r="DS185" s="569"/>
      <c r="DT185" s="564"/>
      <c r="DU185" s="569"/>
      <c r="DV185" s="568"/>
      <c r="DW185" s="563"/>
      <c r="DX185" s="564"/>
      <c r="DY185" s="564"/>
      <c r="DZ185" s="564"/>
      <c r="EA185" s="564"/>
      <c r="EB185" s="564"/>
      <c r="EC185" s="564"/>
      <c r="ED185" s="564"/>
      <c r="EE185" s="564"/>
      <c r="EF185" s="564"/>
      <c r="EG185" s="564"/>
      <c r="EH185" s="564"/>
      <c r="EI185" s="564"/>
      <c r="EJ185" s="564"/>
      <c r="EK185" s="564"/>
      <c r="EL185" s="564"/>
      <c r="EM185" s="564"/>
      <c r="EN185" s="564"/>
      <c r="EO185" s="564"/>
      <c r="EP185" s="564"/>
      <c r="EQ185" s="564"/>
      <c r="ER185" s="564"/>
      <c r="ES185" s="564"/>
      <c r="ET185" s="564"/>
      <c r="EU185" s="564"/>
      <c r="EV185" s="564"/>
      <c r="EW185" s="564"/>
      <c r="EX185" s="564"/>
      <c r="EY185" s="564"/>
      <c r="EZ185" s="239"/>
      <c r="FA185" s="564"/>
      <c r="FB185" s="564"/>
      <c r="FC185" s="564"/>
      <c r="FD185" s="564"/>
      <c r="FE185" s="564"/>
      <c r="FF185" s="564"/>
      <c r="FG185" s="564"/>
      <c r="FH185" s="564"/>
      <c r="FI185" s="564"/>
      <c r="FJ185" s="564"/>
      <c r="FK185" s="564"/>
      <c r="FL185" s="564"/>
      <c r="FM185" s="564"/>
      <c r="FN185" s="569"/>
      <c r="FO185" s="564"/>
      <c r="FP185" s="564"/>
      <c r="FQ185" s="564"/>
      <c r="FR185" s="564"/>
      <c r="FS185" s="564"/>
      <c r="FT185" s="564"/>
      <c r="FU185" s="564"/>
      <c r="FV185" s="564"/>
      <c r="FW185" s="564"/>
      <c r="FX185" s="564"/>
      <c r="FY185" s="564"/>
      <c r="FZ185" s="564"/>
      <c r="GA185" s="564"/>
      <c r="GB185" s="564"/>
      <c r="GC185" s="564"/>
      <c r="GD185" s="564"/>
      <c r="GE185" s="564"/>
      <c r="GF185" s="564"/>
      <c r="GG185" s="564"/>
      <c r="GH185" s="564"/>
      <c r="GI185" s="564"/>
      <c r="GJ185" s="564"/>
      <c r="GK185" s="564"/>
      <c r="GL185" s="564"/>
      <c r="GM185" s="564"/>
      <c r="GN185" s="564"/>
      <c r="GO185" s="564"/>
      <c r="GP185" s="564"/>
      <c r="GQ185" s="564"/>
      <c r="GR185" s="564"/>
      <c r="GS185" s="564"/>
      <c r="GT185" s="564"/>
      <c r="GU185" s="564"/>
      <c r="GV185" s="569"/>
      <c r="GW185" s="564"/>
      <c r="GX185" s="564"/>
      <c r="GY185" s="564"/>
      <c r="GZ185" s="564"/>
      <c r="HA185" s="564"/>
      <c r="HB185" s="564"/>
      <c r="HC185" s="564"/>
      <c r="HD185" s="564"/>
      <c r="HE185" s="564"/>
      <c r="HF185" s="564"/>
      <c r="HG185" s="564"/>
      <c r="HH185" s="564"/>
      <c r="HI185" s="564"/>
      <c r="HJ185" s="564"/>
      <c r="HK185" s="569"/>
      <c r="HL185" s="564" t="s">
        <v>33474</v>
      </c>
      <c r="HM185" s="564" t="s">
        <v>2</v>
      </c>
      <c r="HN185" s="564" t="s">
        <v>4</v>
      </c>
      <c r="HO185" s="564" t="s">
        <v>33745</v>
      </c>
      <c r="HP185" s="564" t="s">
        <v>33746</v>
      </c>
      <c r="HQ185" s="564" t="s">
        <v>16</v>
      </c>
      <c r="HR185" s="564" t="s">
        <v>33747</v>
      </c>
      <c r="HS185" s="564" t="s">
        <v>16</v>
      </c>
      <c r="HT185" s="568" t="s">
        <v>33742</v>
      </c>
    </row>
    <row r="186" spans="1:228" ht="30.2" customHeight="1" x14ac:dyDescent="0.25">
      <c r="A186" s="759"/>
      <c r="B186" s="563">
        <v>104</v>
      </c>
      <c r="C186" s="563" t="s">
        <v>12395</v>
      </c>
      <c r="D186" s="564" t="s">
        <v>34529</v>
      </c>
      <c r="E186" s="564" t="s">
        <v>34457</v>
      </c>
      <c r="F186" s="564" t="s">
        <v>7</v>
      </c>
      <c r="G186" s="564" t="s">
        <v>34530</v>
      </c>
      <c r="H186" s="564">
        <v>1117.2</v>
      </c>
      <c r="I186" s="564">
        <v>2.2000000000000002</v>
      </c>
      <c r="J186" s="564" t="s">
        <v>29288</v>
      </c>
      <c r="K186" s="564" t="s">
        <v>4</v>
      </c>
      <c r="L186" s="564" t="s">
        <v>34531</v>
      </c>
      <c r="M186" s="564">
        <v>755728463</v>
      </c>
      <c r="N186" s="564" t="s">
        <v>3</v>
      </c>
      <c r="O186" s="564" t="s">
        <v>31598</v>
      </c>
      <c r="P186" s="564" t="s">
        <v>4</v>
      </c>
      <c r="Q186" s="564">
        <v>8</v>
      </c>
      <c r="R186" s="564" t="s">
        <v>7</v>
      </c>
      <c r="S186" s="564" t="s">
        <v>31588</v>
      </c>
      <c r="T186" s="564" t="s">
        <v>4</v>
      </c>
      <c r="U186" s="564" t="s">
        <v>2</v>
      </c>
      <c r="V186" s="564" t="s">
        <v>4</v>
      </c>
      <c r="W186" s="564" t="s">
        <v>4</v>
      </c>
      <c r="X186" s="564" t="s">
        <v>4</v>
      </c>
      <c r="Y186" s="564" t="s">
        <v>4</v>
      </c>
      <c r="Z186" s="565">
        <v>42021</v>
      </c>
      <c r="AA186" s="557" t="str">
        <f>IF(OR(U186="yes",Z186&gt;'SDG outcome'!$C$39),"yes","no")</f>
        <v>no</v>
      </c>
      <c r="AB186" s="565" t="str">
        <f t="shared" si="6"/>
        <v/>
      </c>
      <c r="AC186" s="566" t="str">
        <f>IF(AND('SMS p2'!AA116="no",AND(Z186&gt;='SDG outcome'!$B$28,Z186&lt;'SDG outcome'!$C$39)),Z186-'SDG outcome'!$B$28,"")</f>
        <v/>
      </c>
      <c r="AD186" s="564" t="s">
        <v>21816</v>
      </c>
      <c r="AE186" s="564" t="s">
        <v>4</v>
      </c>
      <c r="AF186" s="564" t="s">
        <v>4</v>
      </c>
      <c r="AG186" s="564" t="s">
        <v>4</v>
      </c>
      <c r="AH186" s="564" t="s">
        <v>4</v>
      </c>
      <c r="AI186" s="564" t="s">
        <v>4</v>
      </c>
      <c r="AJ186" s="564" t="s">
        <v>4</v>
      </c>
      <c r="AK186" s="564" t="s">
        <v>4</v>
      </c>
      <c r="AL186" s="564"/>
      <c r="AM186" s="564"/>
      <c r="AN186" s="564"/>
      <c r="AO186" s="564"/>
      <c r="AP186" s="564"/>
      <c r="AQ186" s="564"/>
      <c r="AR186" s="564"/>
      <c r="AS186" s="564"/>
      <c r="AT186" s="564"/>
      <c r="AU186" s="564"/>
      <c r="AV186" s="564"/>
      <c r="AW186" s="564"/>
      <c r="AX186" s="564"/>
      <c r="AY186" s="564"/>
      <c r="AZ186" s="564"/>
      <c r="BA186" s="564"/>
      <c r="BB186" s="564"/>
      <c r="BC186" s="564"/>
      <c r="BD186" s="564"/>
      <c r="BE186" s="564"/>
      <c r="BF186" s="564"/>
      <c r="BG186" s="564"/>
      <c r="BH186" s="564"/>
      <c r="BI186" s="564"/>
      <c r="BJ186" s="564"/>
      <c r="BK186" s="564"/>
      <c r="BL186" s="564"/>
      <c r="BM186" s="564"/>
      <c r="BN186" s="564"/>
      <c r="BO186" s="564"/>
      <c r="BP186" s="564"/>
      <c r="BQ186" s="564"/>
      <c r="BR186" s="567"/>
      <c r="BS186" s="564"/>
      <c r="BT186" s="564"/>
      <c r="BU186" s="564"/>
      <c r="BV186" s="564"/>
      <c r="BW186" s="567"/>
      <c r="BX186" s="564"/>
      <c r="BY186" s="564"/>
      <c r="BZ186" s="564"/>
      <c r="CA186" s="564"/>
      <c r="CB186" s="564"/>
      <c r="CC186" s="564"/>
      <c r="CD186" s="564"/>
      <c r="CE186" s="564"/>
      <c r="CF186" s="564"/>
      <c r="CG186" s="564"/>
      <c r="CH186" s="564"/>
      <c r="CI186" s="564"/>
      <c r="CJ186" s="564"/>
      <c r="CK186" s="564"/>
      <c r="CL186" s="564"/>
      <c r="CM186" s="564"/>
      <c r="CN186" s="564"/>
      <c r="CO186" s="564"/>
      <c r="CP186" s="564"/>
      <c r="CQ186" s="564"/>
      <c r="CR186" s="564"/>
      <c r="CS186" s="564"/>
      <c r="CT186" s="568"/>
      <c r="CU186" s="563"/>
      <c r="CV186" s="564"/>
      <c r="CW186" s="568"/>
      <c r="CX186" s="563"/>
      <c r="CY186" s="564"/>
      <c r="CZ186" s="568"/>
      <c r="DA186" s="563"/>
      <c r="DB186" s="564"/>
      <c r="DC186" s="564"/>
      <c r="DD186" s="564"/>
      <c r="DE186" s="564"/>
      <c r="DF186" s="564"/>
      <c r="DG186" s="564"/>
      <c r="DH186" s="564"/>
      <c r="DI186" s="564"/>
      <c r="DJ186" s="564"/>
      <c r="DK186" s="564"/>
      <c r="DL186" s="564"/>
      <c r="DM186" s="564"/>
      <c r="DN186" s="564"/>
      <c r="DO186" s="564"/>
      <c r="DP186" s="564"/>
      <c r="DQ186" s="564"/>
      <c r="DR186" s="564"/>
      <c r="DS186" s="569"/>
      <c r="DT186" s="564"/>
      <c r="DU186" s="569"/>
      <c r="DV186" s="568"/>
      <c r="DW186" s="563"/>
      <c r="DX186" s="564"/>
      <c r="DY186" s="564"/>
      <c r="DZ186" s="564"/>
      <c r="EA186" s="564"/>
      <c r="EB186" s="564"/>
      <c r="EC186" s="564"/>
      <c r="ED186" s="564"/>
      <c r="EE186" s="564"/>
      <c r="EF186" s="564"/>
      <c r="EG186" s="564"/>
      <c r="EH186" s="564"/>
      <c r="EI186" s="564"/>
      <c r="EJ186" s="564"/>
      <c r="EK186" s="564"/>
      <c r="EL186" s="564"/>
      <c r="EM186" s="564"/>
      <c r="EN186" s="564"/>
      <c r="EO186" s="564"/>
      <c r="EP186" s="564"/>
      <c r="EQ186" s="564"/>
      <c r="ER186" s="564"/>
      <c r="ES186" s="564"/>
      <c r="ET186" s="564"/>
      <c r="EU186" s="564"/>
      <c r="EV186" s="564"/>
      <c r="EW186" s="564"/>
      <c r="EX186" s="564"/>
      <c r="EY186" s="564"/>
      <c r="EZ186" s="239"/>
      <c r="FA186" s="564"/>
      <c r="FB186" s="564"/>
      <c r="FC186" s="564"/>
      <c r="FD186" s="564"/>
      <c r="FE186" s="564"/>
      <c r="FF186" s="564"/>
      <c r="FG186" s="564"/>
      <c r="FH186" s="564"/>
      <c r="FI186" s="564"/>
      <c r="FJ186" s="564"/>
      <c r="FK186" s="564"/>
      <c r="FL186" s="564"/>
      <c r="FM186" s="564"/>
      <c r="FN186" s="569"/>
      <c r="FO186" s="564"/>
      <c r="FP186" s="564"/>
      <c r="FQ186" s="564"/>
      <c r="FR186" s="564"/>
      <c r="FS186" s="564"/>
      <c r="FT186" s="564"/>
      <c r="FU186" s="564"/>
      <c r="FV186" s="564"/>
      <c r="FW186" s="564"/>
      <c r="FX186" s="564"/>
      <c r="FY186" s="564"/>
      <c r="FZ186" s="564"/>
      <c r="GA186" s="564"/>
      <c r="GB186" s="564"/>
      <c r="GC186" s="564"/>
      <c r="GD186" s="564"/>
      <c r="GE186" s="564"/>
      <c r="GF186" s="564"/>
      <c r="GG186" s="564"/>
      <c r="GH186" s="564"/>
      <c r="GI186" s="564"/>
      <c r="GJ186" s="564"/>
      <c r="GK186" s="564"/>
      <c r="GL186" s="564"/>
      <c r="GM186" s="564"/>
      <c r="GN186" s="564"/>
      <c r="GO186" s="564"/>
      <c r="GP186" s="564"/>
      <c r="GQ186" s="564"/>
      <c r="GR186" s="564"/>
      <c r="GS186" s="564"/>
      <c r="GT186" s="564"/>
      <c r="GU186" s="564"/>
      <c r="GV186" s="569"/>
      <c r="GW186" s="564"/>
      <c r="GX186" s="564"/>
      <c r="GY186" s="564"/>
      <c r="GZ186" s="564"/>
      <c r="HA186" s="564"/>
      <c r="HB186" s="564"/>
      <c r="HC186" s="564"/>
      <c r="HD186" s="564"/>
      <c r="HE186" s="564"/>
      <c r="HF186" s="564"/>
      <c r="HG186" s="564"/>
      <c r="HH186" s="564"/>
      <c r="HI186" s="564"/>
      <c r="HJ186" s="564"/>
      <c r="HK186" s="569"/>
      <c r="HL186" s="564" t="s">
        <v>34532</v>
      </c>
      <c r="HM186" s="564" t="s">
        <v>2</v>
      </c>
      <c r="HN186" s="564" t="s">
        <v>4</v>
      </c>
      <c r="HO186" s="564" t="s">
        <v>34533</v>
      </c>
      <c r="HP186" s="564" t="s">
        <v>34534</v>
      </c>
      <c r="HQ186" s="564" t="s">
        <v>34535</v>
      </c>
      <c r="HR186" s="564" t="s">
        <v>34536</v>
      </c>
      <c r="HS186" s="564" t="s">
        <v>16</v>
      </c>
      <c r="HT186" s="568" t="s">
        <v>34529</v>
      </c>
    </row>
    <row r="187" spans="1:228" ht="30.2" customHeight="1" x14ac:dyDescent="0.25">
      <c r="A187" s="759"/>
      <c r="B187" s="563">
        <v>221</v>
      </c>
      <c r="C187" s="563" t="s">
        <v>79</v>
      </c>
      <c r="D187" s="564" t="s">
        <v>35805</v>
      </c>
      <c r="E187" s="564" t="s">
        <v>30786</v>
      </c>
      <c r="F187" s="564" t="s">
        <v>7</v>
      </c>
      <c r="G187" s="564" t="s">
        <v>35806</v>
      </c>
      <c r="H187" s="564">
        <v>1216.7</v>
      </c>
      <c r="I187" s="564">
        <v>5</v>
      </c>
      <c r="J187" s="564" t="s">
        <v>29319</v>
      </c>
      <c r="K187" s="564" t="s">
        <v>4</v>
      </c>
      <c r="L187" s="564" t="s">
        <v>35807</v>
      </c>
      <c r="M187" s="564">
        <v>772333296</v>
      </c>
      <c r="N187" s="564" t="s">
        <v>5</v>
      </c>
      <c r="O187" s="564" t="s">
        <v>31590</v>
      </c>
      <c r="P187" s="564" t="s">
        <v>4</v>
      </c>
      <c r="Q187" s="564">
        <v>5</v>
      </c>
      <c r="R187" s="564" t="s">
        <v>7</v>
      </c>
      <c r="S187" s="564" t="s">
        <v>31562</v>
      </c>
      <c r="T187" s="564" t="s">
        <v>4</v>
      </c>
      <c r="U187" s="564" t="s">
        <v>2</v>
      </c>
      <c r="V187" s="564" t="s">
        <v>4</v>
      </c>
      <c r="W187" s="564" t="s">
        <v>4</v>
      </c>
      <c r="X187" s="564" t="s">
        <v>4</v>
      </c>
      <c r="Y187" s="564" t="s">
        <v>4</v>
      </c>
      <c r="Z187" s="565">
        <v>45559</v>
      </c>
      <c r="AA187" s="557" t="str">
        <f>IF(OR(U187="yes",Z187&gt;'SDG outcome'!$C$39),"yes","no")</f>
        <v>yes</v>
      </c>
      <c r="AB187" s="565" t="str">
        <f t="shared" si="6"/>
        <v>NA</v>
      </c>
      <c r="AC187" s="566" t="str">
        <f>IF(AND('SMS p2'!AA232="no",AND(Z187&gt;='SDG outcome'!$B$28,Z187&lt;'SDG outcome'!$C$39)),Z187-'SDG outcome'!$B$28,"")</f>
        <v/>
      </c>
      <c r="AD187" s="564" t="s">
        <v>21816</v>
      </c>
      <c r="AE187" s="564" t="s">
        <v>4</v>
      </c>
      <c r="AF187" s="564" t="s">
        <v>4</v>
      </c>
      <c r="AG187" s="564" t="s">
        <v>4</v>
      </c>
      <c r="AH187" s="564" t="s">
        <v>4</v>
      </c>
      <c r="AI187" s="564" t="s">
        <v>4</v>
      </c>
      <c r="AJ187" s="564" t="s">
        <v>4</v>
      </c>
      <c r="AK187" s="564" t="s">
        <v>4</v>
      </c>
      <c r="AL187" s="564"/>
      <c r="AM187" s="564"/>
      <c r="AN187" s="564"/>
      <c r="AO187" s="564"/>
      <c r="AP187" s="564"/>
      <c r="AQ187" s="564"/>
      <c r="AR187" s="564"/>
      <c r="AS187" s="564"/>
      <c r="AT187" s="564"/>
      <c r="AU187" s="564"/>
      <c r="AV187" s="564"/>
      <c r="AW187" s="564"/>
      <c r="AX187" s="564"/>
      <c r="AY187" s="564"/>
      <c r="AZ187" s="564"/>
      <c r="BA187" s="564"/>
      <c r="BB187" s="564"/>
      <c r="BC187" s="564"/>
      <c r="BD187" s="564"/>
      <c r="BE187" s="564"/>
      <c r="BF187" s="564"/>
      <c r="BG187" s="564"/>
      <c r="BH187" s="564"/>
      <c r="BI187" s="564"/>
      <c r="BJ187" s="564"/>
      <c r="BK187" s="564"/>
      <c r="BL187" s="564"/>
      <c r="BM187" s="564"/>
      <c r="BN187" s="564"/>
      <c r="BO187" s="564"/>
      <c r="BP187" s="564"/>
      <c r="BQ187" s="564"/>
      <c r="BR187" s="567"/>
      <c r="BS187" s="564"/>
      <c r="BT187" s="564"/>
      <c r="BU187" s="564"/>
      <c r="BV187" s="564"/>
      <c r="BW187" s="567"/>
      <c r="BX187" s="564"/>
      <c r="BY187" s="564"/>
      <c r="BZ187" s="564"/>
      <c r="CA187" s="564"/>
      <c r="CB187" s="564"/>
      <c r="CC187" s="564"/>
      <c r="CD187" s="564"/>
      <c r="CE187" s="564"/>
      <c r="CF187" s="564"/>
      <c r="CG187" s="564"/>
      <c r="CH187" s="564"/>
      <c r="CI187" s="564"/>
      <c r="CJ187" s="564"/>
      <c r="CK187" s="564"/>
      <c r="CL187" s="564"/>
      <c r="CM187" s="564"/>
      <c r="CN187" s="564"/>
      <c r="CO187" s="564"/>
      <c r="CP187" s="564"/>
      <c r="CQ187" s="564"/>
      <c r="CR187" s="564"/>
      <c r="CS187" s="564"/>
      <c r="CT187" s="568"/>
      <c r="CU187" s="563"/>
      <c r="CV187" s="564"/>
      <c r="CW187" s="568"/>
      <c r="CX187" s="563"/>
      <c r="CY187" s="564"/>
      <c r="CZ187" s="568"/>
      <c r="DA187" s="563"/>
      <c r="DB187" s="564"/>
      <c r="DC187" s="564"/>
      <c r="DD187" s="564"/>
      <c r="DE187" s="564"/>
      <c r="DF187" s="564"/>
      <c r="DG187" s="564"/>
      <c r="DH187" s="564"/>
      <c r="DI187" s="564"/>
      <c r="DJ187" s="564"/>
      <c r="DK187" s="564"/>
      <c r="DL187" s="564"/>
      <c r="DM187" s="564"/>
      <c r="DN187" s="564"/>
      <c r="DO187" s="564"/>
      <c r="DP187" s="564"/>
      <c r="DQ187" s="564"/>
      <c r="DR187" s="564"/>
      <c r="DS187" s="569"/>
      <c r="DT187" s="564"/>
      <c r="DU187" s="569"/>
      <c r="DV187" s="568"/>
      <c r="DW187" s="563"/>
      <c r="DX187" s="564"/>
      <c r="DY187" s="564"/>
      <c r="DZ187" s="564"/>
      <c r="EA187" s="564"/>
      <c r="EB187" s="564"/>
      <c r="EC187" s="564"/>
      <c r="ED187" s="564"/>
      <c r="EE187" s="564"/>
      <c r="EF187" s="564"/>
      <c r="EG187" s="564"/>
      <c r="EH187" s="564"/>
      <c r="EI187" s="564"/>
      <c r="EJ187" s="564"/>
      <c r="EK187" s="564"/>
      <c r="EL187" s="564"/>
      <c r="EM187" s="564"/>
      <c r="EN187" s="564"/>
      <c r="EO187" s="564"/>
      <c r="EP187" s="564"/>
      <c r="EQ187" s="564"/>
      <c r="ER187" s="564"/>
      <c r="ES187" s="564"/>
      <c r="ET187" s="564"/>
      <c r="EU187" s="564"/>
      <c r="EV187" s="564"/>
      <c r="EW187" s="564"/>
      <c r="EX187" s="564"/>
      <c r="EY187" s="564"/>
      <c r="EZ187" s="239"/>
      <c r="FA187" s="564"/>
      <c r="FB187" s="564"/>
      <c r="FC187" s="564"/>
      <c r="FD187" s="564"/>
      <c r="FE187" s="564"/>
      <c r="FF187" s="564"/>
      <c r="FG187" s="564"/>
      <c r="FH187" s="564"/>
      <c r="FI187" s="564"/>
      <c r="FJ187" s="564"/>
      <c r="FK187" s="564"/>
      <c r="FL187" s="564"/>
      <c r="FM187" s="564"/>
      <c r="FN187" s="569"/>
      <c r="FO187" s="564"/>
      <c r="FP187" s="564"/>
      <c r="FQ187" s="564"/>
      <c r="FR187" s="564"/>
      <c r="FS187" s="564"/>
      <c r="FT187" s="564"/>
      <c r="FU187" s="564"/>
      <c r="FV187" s="564"/>
      <c r="FW187" s="564"/>
      <c r="FX187" s="564"/>
      <c r="FY187" s="564"/>
      <c r="FZ187" s="564"/>
      <c r="GA187" s="564"/>
      <c r="GB187" s="564"/>
      <c r="GC187" s="564"/>
      <c r="GD187" s="564"/>
      <c r="GE187" s="564"/>
      <c r="GF187" s="564"/>
      <c r="GG187" s="564"/>
      <c r="GH187" s="564"/>
      <c r="GI187" s="564"/>
      <c r="GJ187" s="564"/>
      <c r="GK187" s="564"/>
      <c r="GL187" s="564"/>
      <c r="GM187" s="564"/>
      <c r="GN187" s="564"/>
      <c r="GO187" s="564"/>
      <c r="GP187" s="564"/>
      <c r="GQ187" s="564"/>
      <c r="GR187" s="564"/>
      <c r="GS187" s="564"/>
      <c r="GT187" s="564"/>
      <c r="GU187" s="564"/>
      <c r="GV187" s="569"/>
      <c r="GW187" s="564"/>
      <c r="GX187" s="564"/>
      <c r="GY187" s="564"/>
      <c r="GZ187" s="564"/>
      <c r="HA187" s="564"/>
      <c r="HB187" s="564"/>
      <c r="HC187" s="564"/>
      <c r="HD187" s="564"/>
      <c r="HE187" s="564"/>
      <c r="HF187" s="564"/>
      <c r="HG187" s="564"/>
      <c r="HH187" s="564"/>
      <c r="HI187" s="564"/>
      <c r="HJ187" s="564"/>
      <c r="HK187" s="569"/>
      <c r="HL187" s="564" t="s">
        <v>35808</v>
      </c>
      <c r="HM187" s="564" t="s">
        <v>2</v>
      </c>
      <c r="HN187" s="564" t="s">
        <v>4</v>
      </c>
      <c r="HO187" s="564" t="s">
        <v>16</v>
      </c>
      <c r="HP187" s="564" t="s">
        <v>35809</v>
      </c>
      <c r="HQ187" s="564" t="s">
        <v>35810</v>
      </c>
      <c r="HR187" s="564" t="s">
        <v>35811</v>
      </c>
      <c r="HS187" s="564" t="s">
        <v>35812</v>
      </c>
      <c r="HT187" s="568" t="s">
        <v>35805</v>
      </c>
    </row>
    <row r="188" spans="1:228" ht="30.2" customHeight="1" x14ac:dyDescent="0.25">
      <c r="A188" s="759"/>
      <c r="B188" s="563">
        <v>233</v>
      </c>
      <c r="C188" s="563" t="s">
        <v>27808</v>
      </c>
      <c r="D188" s="564" t="s">
        <v>35922</v>
      </c>
      <c r="E188" s="564" t="s">
        <v>30866</v>
      </c>
      <c r="F188" s="564" t="s">
        <v>7</v>
      </c>
      <c r="G188" s="564" t="s">
        <v>35923</v>
      </c>
      <c r="H188" s="564">
        <v>0</v>
      </c>
      <c r="I188" s="564">
        <v>3400</v>
      </c>
      <c r="J188" s="564" t="s">
        <v>29319</v>
      </c>
      <c r="K188" s="564" t="s">
        <v>4</v>
      </c>
      <c r="L188" s="564" t="s">
        <v>35924</v>
      </c>
      <c r="M188" s="564">
        <v>782638047</v>
      </c>
      <c r="N188" s="564" t="s">
        <v>5</v>
      </c>
      <c r="O188" s="564" t="s">
        <v>31438</v>
      </c>
      <c r="P188" s="564">
        <v>85</v>
      </c>
      <c r="Q188" s="564">
        <v>5</v>
      </c>
      <c r="R188" s="564" t="s">
        <v>7</v>
      </c>
      <c r="S188" s="564" t="s">
        <v>31549</v>
      </c>
      <c r="T188" s="564" t="s">
        <v>4</v>
      </c>
      <c r="U188" s="564" t="s">
        <v>2</v>
      </c>
      <c r="V188" s="564" t="s">
        <v>4</v>
      </c>
      <c r="W188" s="564" t="s">
        <v>4</v>
      </c>
      <c r="X188" s="564" t="s">
        <v>4</v>
      </c>
      <c r="Y188" s="564" t="s">
        <v>4</v>
      </c>
      <c r="Z188" s="565">
        <v>43365</v>
      </c>
      <c r="AA188" s="557" t="str">
        <f>IF(OR(U188="yes",Z188&gt;'SDG outcome'!$C$39),"yes","no")</f>
        <v>no</v>
      </c>
      <c r="AB188" s="565" t="str">
        <f t="shared" si="6"/>
        <v/>
      </c>
      <c r="AC188" s="566" t="str">
        <f>IF(AND('SMS p2'!AA244="no",AND(Z188&gt;='SDG outcome'!$B$28,Z188&lt;'SDG outcome'!$C$39)),Z188-'SDG outcome'!$B$28,"")</f>
        <v/>
      </c>
      <c r="AD188" s="564" t="s">
        <v>21816</v>
      </c>
      <c r="AE188" s="564" t="s">
        <v>4</v>
      </c>
      <c r="AF188" s="564" t="s">
        <v>4</v>
      </c>
      <c r="AG188" s="564" t="s">
        <v>4</v>
      </c>
      <c r="AH188" s="564" t="s">
        <v>4</v>
      </c>
      <c r="AI188" s="564" t="s">
        <v>4</v>
      </c>
      <c r="AJ188" s="571" t="s">
        <v>4</v>
      </c>
      <c r="AK188" s="564" t="s">
        <v>4</v>
      </c>
      <c r="AL188" s="564"/>
      <c r="AM188" s="564"/>
      <c r="AN188" s="564"/>
      <c r="AO188" s="564"/>
      <c r="AP188" s="564"/>
      <c r="AQ188" s="564"/>
      <c r="AR188" s="564"/>
      <c r="AS188" s="564"/>
      <c r="AT188" s="564"/>
      <c r="AU188" s="564"/>
      <c r="AV188" s="564"/>
      <c r="AW188" s="564"/>
      <c r="AX188" s="564"/>
      <c r="AY188" s="564"/>
      <c r="AZ188" s="564"/>
      <c r="BA188" s="564"/>
      <c r="BB188" s="564"/>
      <c r="BC188" s="564"/>
      <c r="BD188" s="564"/>
      <c r="BE188" s="564"/>
      <c r="BF188" s="564"/>
      <c r="BG188" s="564"/>
      <c r="BH188" s="564"/>
      <c r="BI188" s="564"/>
      <c r="BJ188" s="564"/>
      <c r="BK188" s="564"/>
      <c r="BL188" s="564"/>
      <c r="BM188" s="564"/>
      <c r="BN188" s="564"/>
      <c r="BO188" s="564"/>
      <c r="BP188" s="564"/>
      <c r="BQ188" s="564"/>
      <c r="BR188" s="567"/>
      <c r="BS188" s="564"/>
      <c r="BT188" s="564"/>
      <c r="BU188" s="564"/>
      <c r="BV188" s="564"/>
      <c r="BW188" s="567"/>
      <c r="BX188" s="564"/>
      <c r="BY188" s="564"/>
      <c r="BZ188" s="564"/>
      <c r="CA188" s="564"/>
      <c r="CB188" s="564"/>
      <c r="CC188" s="564"/>
      <c r="CD188" s="564"/>
      <c r="CE188" s="564"/>
      <c r="CF188" s="564"/>
      <c r="CG188" s="564"/>
      <c r="CH188" s="564"/>
      <c r="CI188" s="564"/>
      <c r="CJ188" s="564"/>
      <c r="CK188" s="564"/>
      <c r="CL188" s="564"/>
      <c r="CM188" s="564"/>
      <c r="CN188" s="564"/>
      <c r="CO188" s="564"/>
      <c r="CP188" s="564"/>
      <c r="CQ188" s="564"/>
      <c r="CR188" s="564"/>
      <c r="CS188" s="564"/>
      <c r="CT188" s="568"/>
      <c r="CU188" s="563"/>
      <c r="CV188" s="564"/>
      <c r="CW188" s="568"/>
      <c r="CX188" s="563"/>
      <c r="CY188" s="564"/>
      <c r="CZ188" s="568"/>
      <c r="DA188" s="563"/>
      <c r="DB188" s="564"/>
      <c r="DC188" s="564"/>
      <c r="DD188" s="564"/>
      <c r="DE188" s="564"/>
      <c r="DF188" s="564"/>
      <c r="DG188" s="564"/>
      <c r="DH188" s="564"/>
      <c r="DI188" s="564"/>
      <c r="DJ188" s="564"/>
      <c r="DK188" s="564"/>
      <c r="DL188" s="564"/>
      <c r="DM188" s="564"/>
      <c r="DN188" s="564"/>
      <c r="DO188" s="564"/>
      <c r="DP188" s="564"/>
      <c r="DQ188" s="564"/>
      <c r="DR188" s="564"/>
      <c r="DS188" s="569"/>
      <c r="DT188" s="564"/>
      <c r="DU188" s="569"/>
      <c r="DV188" s="568"/>
      <c r="DW188" s="563"/>
      <c r="DX188" s="564"/>
      <c r="DY188" s="564"/>
      <c r="DZ188" s="564"/>
      <c r="EA188" s="564"/>
      <c r="EB188" s="564"/>
      <c r="EC188" s="564"/>
      <c r="ED188" s="564"/>
      <c r="EE188" s="564"/>
      <c r="EF188" s="564"/>
      <c r="EG188" s="564"/>
      <c r="EH188" s="564"/>
      <c r="EI188" s="564"/>
      <c r="EJ188" s="564"/>
      <c r="EK188" s="564"/>
      <c r="EL188" s="564"/>
      <c r="EM188" s="564"/>
      <c r="EN188" s="564"/>
      <c r="EO188" s="564"/>
      <c r="EP188" s="564"/>
      <c r="EQ188" s="564"/>
      <c r="ER188" s="564"/>
      <c r="ES188" s="564"/>
      <c r="ET188" s="564"/>
      <c r="EU188" s="564"/>
      <c r="EV188" s="564"/>
      <c r="EW188" s="564"/>
      <c r="EX188" s="564"/>
      <c r="EY188" s="564"/>
      <c r="EZ188" s="239"/>
      <c r="FA188" s="564"/>
      <c r="FB188" s="564"/>
      <c r="FC188" s="564"/>
      <c r="FD188" s="564"/>
      <c r="FE188" s="564"/>
      <c r="FF188" s="564"/>
      <c r="FG188" s="564"/>
      <c r="FH188" s="564"/>
      <c r="FI188" s="564"/>
      <c r="FJ188" s="564"/>
      <c r="FK188" s="564"/>
      <c r="FL188" s="564"/>
      <c r="FM188" s="564"/>
      <c r="FN188" s="569"/>
      <c r="FO188" s="564"/>
      <c r="FP188" s="564"/>
      <c r="FQ188" s="564"/>
      <c r="FR188" s="564"/>
      <c r="FS188" s="564"/>
      <c r="FT188" s="564"/>
      <c r="FU188" s="564"/>
      <c r="FV188" s="564"/>
      <c r="FW188" s="564"/>
      <c r="FX188" s="564"/>
      <c r="FY188" s="564"/>
      <c r="FZ188" s="564"/>
      <c r="GA188" s="564"/>
      <c r="GB188" s="564"/>
      <c r="GC188" s="564"/>
      <c r="GD188" s="564"/>
      <c r="GE188" s="564"/>
      <c r="GF188" s="564"/>
      <c r="GG188" s="564"/>
      <c r="GH188" s="564"/>
      <c r="GI188" s="564"/>
      <c r="GJ188" s="564"/>
      <c r="GK188" s="564"/>
      <c r="GL188" s="564"/>
      <c r="GM188" s="564"/>
      <c r="GN188" s="564"/>
      <c r="GO188" s="564"/>
      <c r="GP188" s="564"/>
      <c r="GQ188" s="564"/>
      <c r="GR188" s="564"/>
      <c r="GS188" s="564"/>
      <c r="GT188" s="564"/>
      <c r="GU188" s="564"/>
      <c r="GV188" s="569"/>
      <c r="GW188" s="564"/>
      <c r="GX188" s="564"/>
      <c r="GY188" s="564"/>
      <c r="GZ188" s="564"/>
      <c r="HA188" s="564"/>
      <c r="HB188" s="564"/>
      <c r="HC188" s="564"/>
      <c r="HD188" s="564"/>
      <c r="HE188" s="564"/>
      <c r="HF188" s="564"/>
      <c r="HG188" s="564"/>
      <c r="HH188" s="564"/>
      <c r="HI188" s="564"/>
      <c r="HJ188" s="564"/>
      <c r="HK188" s="569"/>
      <c r="HL188" s="564" t="s">
        <v>35925</v>
      </c>
      <c r="HM188" s="564" t="s">
        <v>2</v>
      </c>
      <c r="HN188" s="564" t="s">
        <v>4</v>
      </c>
      <c r="HO188" s="564" t="s">
        <v>35926</v>
      </c>
      <c r="HP188" s="564" t="s">
        <v>35927</v>
      </c>
      <c r="HQ188" s="564" t="s">
        <v>35928</v>
      </c>
      <c r="HR188" s="564" t="s">
        <v>35929</v>
      </c>
      <c r="HS188" s="564" t="s">
        <v>16</v>
      </c>
      <c r="HT188" s="568" t="s">
        <v>35922</v>
      </c>
    </row>
    <row r="189" spans="1:228" ht="30.2" customHeight="1" x14ac:dyDescent="0.25">
      <c r="A189" s="759"/>
      <c r="B189" s="563">
        <v>9</v>
      </c>
      <c r="C189" s="563" t="s">
        <v>18664</v>
      </c>
      <c r="D189" s="564" t="s">
        <v>33442</v>
      </c>
      <c r="E189" s="564" t="s">
        <v>29286</v>
      </c>
      <c r="F189" s="564" t="s">
        <v>7</v>
      </c>
      <c r="G189" s="564" t="s">
        <v>33443</v>
      </c>
      <c r="H189" s="564">
        <v>1086.578</v>
      </c>
      <c r="I189" s="564">
        <v>1.2333179999999999</v>
      </c>
      <c r="J189" s="564" t="s">
        <v>29288</v>
      </c>
      <c r="K189" s="564" t="s">
        <v>4</v>
      </c>
      <c r="L189" s="564" t="s">
        <v>33444</v>
      </c>
      <c r="M189" s="564">
        <v>772901458</v>
      </c>
      <c r="N189" s="564" t="s">
        <v>3</v>
      </c>
      <c r="O189" s="564" t="s">
        <v>31438</v>
      </c>
      <c r="P189" s="564">
        <v>65</v>
      </c>
      <c r="Q189" s="564">
        <v>3</v>
      </c>
      <c r="R189" s="564" t="s">
        <v>7</v>
      </c>
      <c r="S189" s="564" t="s">
        <v>31588</v>
      </c>
      <c r="T189" s="564" t="s">
        <v>4</v>
      </c>
      <c r="U189" s="564" t="s">
        <v>2</v>
      </c>
      <c r="V189" s="564" t="s">
        <v>4</v>
      </c>
      <c r="W189" s="564" t="s">
        <v>4</v>
      </c>
      <c r="X189" s="564" t="s">
        <v>4</v>
      </c>
      <c r="Y189" s="564" t="s">
        <v>4</v>
      </c>
      <c r="Z189" s="565">
        <v>42560</v>
      </c>
      <c r="AA189" s="557" t="str">
        <f>IF(OR(U189="yes",Z189&gt;'SDG outcome'!$C$39),"yes","no")</f>
        <v>no</v>
      </c>
      <c r="AB189" s="565" t="str">
        <f t="shared" si="6"/>
        <v/>
      </c>
      <c r="AC189" s="566" t="str">
        <f>IF(AND('SMS p2'!AA21="no",AND(Z189&gt;='SDG outcome'!$B$28,Z189&lt;'SDG outcome'!$C$39)),Z189-'SDG outcome'!$B$28,"")</f>
        <v/>
      </c>
      <c r="AD189" s="564" t="s">
        <v>31699</v>
      </c>
      <c r="AE189" s="564" t="s">
        <v>4</v>
      </c>
      <c r="AF189" s="564" t="s">
        <v>4</v>
      </c>
      <c r="AG189" s="564" t="s">
        <v>4</v>
      </c>
      <c r="AH189" s="564" t="s">
        <v>4</v>
      </c>
      <c r="AI189" s="564" t="s">
        <v>4</v>
      </c>
      <c r="AJ189" s="564" t="s">
        <v>4</v>
      </c>
      <c r="AK189" s="564" t="s">
        <v>4</v>
      </c>
      <c r="AL189" s="564"/>
      <c r="AM189" s="564"/>
      <c r="AN189" s="564"/>
      <c r="AO189" s="564"/>
      <c r="AP189" s="564"/>
      <c r="AQ189" s="564"/>
      <c r="AR189" s="564"/>
      <c r="AS189" s="564"/>
      <c r="AT189" s="564"/>
      <c r="AU189" s="564"/>
      <c r="AV189" s="564"/>
      <c r="AW189" s="564"/>
      <c r="AX189" s="564"/>
      <c r="AY189" s="564"/>
      <c r="AZ189" s="564"/>
      <c r="BA189" s="564"/>
      <c r="BB189" s="564"/>
      <c r="BC189" s="564"/>
      <c r="BD189" s="564"/>
      <c r="BE189" s="564"/>
      <c r="BF189" s="564"/>
      <c r="BG189" s="564"/>
      <c r="BH189" s="564"/>
      <c r="BI189" s="564"/>
      <c r="BJ189" s="564"/>
      <c r="BK189" s="564"/>
      <c r="BL189" s="564"/>
      <c r="BM189" s="564"/>
      <c r="BN189" s="564"/>
      <c r="BO189" s="564"/>
      <c r="BP189" s="564"/>
      <c r="BQ189" s="564"/>
      <c r="BR189" s="567"/>
      <c r="BS189" s="564"/>
      <c r="BT189" s="564"/>
      <c r="BU189" s="564"/>
      <c r="BV189" s="564"/>
      <c r="BW189" s="567"/>
      <c r="BX189" s="564"/>
      <c r="BY189" s="564"/>
      <c r="BZ189" s="564"/>
      <c r="CA189" s="564"/>
      <c r="CB189" s="564"/>
      <c r="CC189" s="564"/>
      <c r="CD189" s="564"/>
      <c r="CE189" s="564"/>
      <c r="CF189" s="564"/>
      <c r="CG189" s="564"/>
      <c r="CH189" s="564"/>
      <c r="CI189" s="564"/>
      <c r="CJ189" s="564"/>
      <c r="CK189" s="564"/>
      <c r="CL189" s="564"/>
      <c r="CM189" s="564"/>
      <c r="CN189" s="564"/>
      <c r="CO189" s="564"/>
      <c r="CP189" s="564"/>
      <c r="CQ189" s="564"/>
      <c r="CR189" s="564"/>
      <c r="CS189" s="564"/>
      <c r="CT189" s="568"/>
      <c r="CU189" s="563"/>
      <c r="CV189" s="564"/>
      <c r="CW189" s="568"/>
      <c r="CX189" s="563"/>
      <c r="CY189" s="564"/>
      <c r="CZ189" s="568"/>
      <c r="DA189" s="563"/>
      <c r="DB189" s="564"/>
      <c r="DC189" s="564"/>
      <c r="DD189" s="564"/>
      <c r="DE189" s="564"/>
      <c r="DF189" s="564"/>
      <c r="DG189" s="564"/>
      <c r="DH189" s="564"/>
      <c r="DI189" s="564"/>
      <c r="DJ189" s="564"/>
      <c r="DK189" s="564"/>
      <c r="DL189" s="564"/>
      <c r="DM189" s="564"/>
      <c r="DN189" s="564"/>
      <c r="DO189" s="564"/>
      <c r="DP189" s="564"/>
      <c r="DQ189" s="564"/>
      <c r="DR189" s="564"/>
      <c r="DS189" s="569"/>
      <c r="DT189" s="564"/>
      <c r="DU189" s="569"/>
      <c r="DV189" s="568"/>
      <c r="DW189" s="563"/>
      <c r="DX189" s="564"/>
      <c r="DY189" s="564"/>
      <c r="DZ189" s="564"/>
      <c r="EA189" s="564"/>
      <c r="EB189" s="564"/>
      <c r="EC189" s="564"/>
      <c r="ED189" s="564"/>
      <c r="EE189" s="564"/>
      <c r="EF189" s="564"/>
      <c r="EG189" s="564"/>
      <c r="EH189" s="564"/>
      <c r="EI189" s="564"/>
      <c r="EJ189" s="564"/>
      <c r="EK189" s="564"/>
      <c r="EL189" s="564"/>
      <c r="EM189" s="564"/>
      <c r="EN189" s="564"/>
      <c r="EO189" s="564"/>
      <c r="EP189" s="564"/>
      <c r="EQ189" s="564"/>
      <c r="ER189" s="564"/>
      <c r="ES189" s="564"/>
      <c r="ET189" s="564"/>
      <c r="EU189" s="564"/>
      <c r="EV189" s="564"/>
      <c r="EW189" s="564"/>
      <c r="EX189" s="564"/>
      <c r="EY189" s="564"/>
      <c r="EZ189" s="239"/>
      <c r="FA189" s="564"/>
      <c r="FB189" s="564"/>
      <c r="FC189" s="564"/>
      <c r="FD189" s="564"/>
      <c r="FE189" s="564"/>
      <c r="FF189" s="564"/>
      <c r="FG189" s="564"/>
      <c r="FH189" s="564"/>
      <c r="FI189" s="564"/>
      <c r="FJ189" s="564"/>
      <c r="FK189" s="564"/>
      <c r="FL189" s="564"/>
      <c r="FM189" s="564"/>
      <c r="FN189" s="569"/>
      <c r="FO189" s="564"/>
      <c r="FP189" s="564"/>
      <c r="FQ189" s="564"/>
      <c r="FR189" s="564"/>
      <c r="FS189" s="564"/>
      <c r="FT189" s="564"/>
      <c r="FU189" s="564"/>
      <c r="FV189" s="564"/>
      <c r="FW189" s="564"/>
      <c r="FX189" s="564"/>
      <c r="FY189" s="564"/>
      <c r="FZ189" s="564"/>
      <c r="GA189" s="564"/>
      <c r="GB189" s="564"/>
      <c r="GC189" s="564"/>
      <c r="GD189" s="564"/>
      <c r="GE189" s="564"/>
      <c r="GF189" s="564"/>
      <c r="GG189" s="564"/>
      <c r="GH189" s="564"/>
      <c r="GI189" s="564"/>
      <c r="GJ189" s="564"/>
      <c r="GK189" s="564"/>
      <c r="GL189" s="564"/>
      <c r="GM189" s="564"/>
      <c r="GN189" s="564"/>
      <c r="GO189" s="564"/>
      <c r="GP189" s="564"/>
      <c r="GQ189" s="564"/>
      <c r="GR189" s="564"/>
      <c r="GS189" s="564"/>
      <c r="GT189" s="564"/>
      <c r="GU189" s="564"/>
      <c r="GV189" s="569"/>
      <c r="GW189" s="564"/>
      <c r="GX189" s="564"/>
      <c r="GY189" s="564"/>
      <c r="GZ189" s="564"/>
      <c r="HA189" s="564"/>
      <c r="HB189" s="564"/>
      <c r="HC189" s="564"/>
      <c r="HD189" s="564"/>
      <c r="HE189" s="564"/>
      <c r="HF189" s="564"/>
      <c r="HG189" s="564"/>
      <c r="HH189" s="564"/>
      <c r="HI189" s="564"/>
      <c r="HJ189" s="564"/>
      <c r="HK189" s="569"/>
      <c r="HL189" s="564" t="s">
        <v>33445</v>
      </c>
      <c r="HM189" s="564" t="s">
        <v>7</v>
      </c>
      <c r="HN189" s="564" t="s">
        <v>33446</v>
      </c>
      <c r="HO189" s="564" t="s">
        <v>16</v>
      </c>
      <c r="HP189" s="564" t="s">
        <v>33447</v>
      </c>
      <c r="HQ189" s="564" t="s">
        <v>33448</v>
      </c>
      <c r="HR189" s="564" t="s">
        <v>33449</v>
      </c>
      <c r="HS189" s="564" t="s">
        <v>33450</v>
      </c>
      <c r="HT189" s="568" t="s">
        <v>33442</v>
      </c>
    </row>
    <row r="190" spans="1:228" ht="30.2" customHeight="1" x14ac:dyDescent="0.25">
      <c r="A190" s="759"/>
      <c r="B190" s="563">
        <v>22</v>
      </c>
      <c r="C190" s="563" t="s">
        <v>19861</v>
      </c>
      <c r="D190" s="564" t="s">
        <v>33594</v>
      </c>
      <c r="E190" s="564" t="s">
        <v>33583</v>
      </c>
      <c r="F190" s="564" t="s">
        <v>7</v>
      </c>
      <c r="G190" s="564" t="s">
        <v>33595</v>
      </c>
      <c r="H190" s="564">
        <v>1617.2</v>
      </c>
      <c r="I190" s="564">
        <v>3.6</v>
      </c>
      <c r="J190" s="564" t="s">
        <v>29288</v>
      </c>
      <c r="K190" s="564" t="s">
        <v>4</v>
      </c>
      <c r="L190" s="564" t="s">
        <v>33596</v>
      </c>
      <c r="M190" s="564">
        <v>786507533</v>
      </c>
      <c r="N190" s="564" t="s">
        <v>3</v>
      </c>
      <c r="O190" s="564" t="s">
        <v>31590</v>
      </c>
      <c r="P190" s="564" t="s">
        <v>4</v>
      </c>
      <c r="Q190" s="564">
        <v>7</v>
      </c>
      <c r="R190" s="564" t="s">
        <v>7</v>
      </c>
      <c r="S190" s="564" t="s">
        <v>31588</v>
      </c>
      <c r="T190" s="564" t="s">
        <v>4</v>
      </c>
      <c r="U190" s="564" t="s">
        <v>2</v>
      </c>
      <c r="V190" s="564" t="s">
        <v>4</v>
      </c>
      <c r="W190" s="564" t="s">
        <v>4</v>
      </c>
      <c r="X190" s="564" t="s">
        <v>4</v>
      </c>
      <c r="Y190" s="564" t="s">
        <v>4</v>
      </c>
      <c r="Z190" s="565">
        <v>43847</v>
      </c>
      <c r="AA190" s="557" t="str">
        <f>IF(OR(U190="yes",Z190&gt;'SDG outcome'!$C$39),"yes","no")</f>
        <v>no</v>
      </c>
      <c r="AB190" s="565" t="str">
        <f t="shared" si="6"/>
        <v/>
      </c>
      <c r="AC190" s="566" t="str">
        <f>IF(AND('SMS p2'!AA34="no",AND(Z190&gt;='SDG outcome'!$B$28,Z190&lt;'SDG outcome'!$C$39)),Z190-'SDG outcome'!$B$28,"")</f>
        <v/>
      </c>
      <c r="AD190" s="564" t="s">
        <v>31699</v>
      </c>
      <c r="AE190" s="564" t="s">
        <v>4</v>
      </c>
      <c r="AF190" s="564" t="s">
        <v>4</v>
      </c>
      <c r="AG190" s="564" t="s">
        <v>4</v>
      </c>
      <c r="AH190" s="564" t="s">
        <v>4</v>
      </c>
      <c r="AI190" s="564" t="s">
        <v>4</v>
      </c>
      <c r="AJ190" s="564" t="s">
        <v>4</v>
      </c>
      <c r="AK190" s="564" t="s">
        <v>4</v>
      </c>
      <c r="AL190" s="564"/>
      <c r="AM190" s="564"/>
      <c r="AN190" s="564"/>
      <c r="AO190" s="564"/>
      <c r="AP190" s="564"/>
      <c r="AQ190" s="564"/>
      <c r="AR190" s="564"/>
      <c r="AS190" s="564"/>
      <c r="AT190" s="564"/>
      <c r="AU190" s="564"/>
      <c r="AV190" s="564"/>
      <c r="AW190" s="564"/>
      <c r="AX190" s="564"/>
      <c r="AY190" s="564"/>
      <c r="AZ190" s="564"/>
      <c r="BA190" s="564"/>
      <c r="BB190" s="564"/>
      <c r="BC190" s="564"/>
      <c r="BD190" s="564"/>
      <c r="BE190" s="564"/>
      <c r="BF190" s="564"/>
      <c r="BG190" s="564"/>
      <c r="BH190" s="564"/>
      <c r="BI190" s="564"/>
      <c r="BJ190" s="564"/>
      <c r="BK190" s="564"/>
      <c r="BL190" s="564"/>
      <c r="BM190" s="564"/>
      <c r="BN190" s="564"/>
      <c r="BO190" s="564"/>
      <c r="BP190" s="564"/>
      <c r="BQ190" s="564"/>
      <c r="BR190" s="567"/>
      <c r="BS190" s="564"/>
      <c r="BT190" s="564"/>
      <c r="BU190" s="564"/>
      <c r="BV190" s="564"/>
      <c r="BW190" s="567"/>
      <c r="BX190" s="564"/>
      <c r="BY190" s="564"/>
      <c r="BZ190" s="564"/>
      <c r="CA190" s="564"/>
      <c r="CB190" s="564"/>
      <c r="CC190" s="564"/>
      <c r="CD190" s="564"/>
      <c r="CE190" s="564"/>
      <c r="CF190" s="564"/>
      <c r="CG190" s="564"/>
      <c r="CH190" s="564"/>
      <c r="CI190" s="564"/>
      <c r="CJ190" s="564"/>
      <c r="CK190" s="564"/>
      <c r="CL190" s="564"/>
      <c r="CM190" s="564"/>
      <c r="CN190" s="564"/>
      <c r="CO190" s="564"/>
      <c r="CP190" s="564"/>
      <c r="CQ190" s="564"/>
      <c r="CR190" s="564"/>
      <c r="CS190" s="564"/>
      <c r="CT190" s="568"/>
      <c r="CU190" s="563"/>
      <c r="CV190" s="564"/>
      <c r="CW190" s="568"/>
      <c r="CX190" s="563"/>
      <c r="CY190" s="564"/>
      <c r="CZ190" s="568"/>
      <c r="DA190" s="563"/>
      <c r="DB190" s="564"/>
      <c r="DC190" s="564"/>
      <c r="DD190" s="564"/>
      <c r="DE190" s="564"/>
      <c r="DF190" s="564"/>
      <c r="DG190" s="564"/>
      <c r="DH190" s="564"/>
      <c r="DI190" s="564"/>
      <c r="DJ190" s="564"/>
      <c r="DK190" s="564"/>
      <c r="DL190" s="564"/>
      <c r="DM190" s="564"/>
      <c r="DN190" s="564"/>
      <c r="DO190" s="564"/>
      <c r="DP190" s="564"/>
      <c r="DQ190" s="564"/>
      <c r="DR190" s="564"/>
      <c r="DS190" s="569"/>
      <c r="DT190" s="564"/>
      <c r="DU190" s="569"/>
      <c r="DV190" s="568"/>
      <c r="DW190" s="563"/>
      <c r="DX190" s="564"/>
      <c r="DY190" s="564"/>
      <c r="DZ190" s="564"/>
      <c r="EA190" s="564"/>
      <c r="EB190" s="564"/>
      <c r="EC190" s="564"/>
      <c r="ED190" s="564"/>
      <c r="EE190" s="564"/>
      <c r="EF190" s="564"/>
      <c r="EG190" s="564"/>
      <c r="EH190" s="564"/>
      <c r="EI190" s="564"/>
      <c r="EJ190" s="564"/>
      <c r="EK190" s="564"/>
      <c r="EL190" s="564"/>
      <c r="EM190" s="564"/>
      <c r="EN190" s="564"/>
      <c r="EO190" s="564"/>
      <c r="EP190" s="564"/>
      <c r="EQ190" s="564"/>
      <c r="ER190" s="564"/>
      <c r="ES190" s="564"/>
      <c r="ET190" s="564"/>
      <c r="EU190" s="564"/>
      <c r="EV190" s="564"/>
      <c r="EW190" s="564"/>
      <c r="EX190" s="564"/>
      <c r="EY190" s="564"/>
      <c r="EZ190" s="239"/>
      <c r="FA190" s="564"/>
      <c r="FB190" s="564"/>
      <c r="FC190" s="564"/>
      <c r="FD190" s="564"/>
      <c r="FE190" s="564"/>
      <c r="FF190" s="564"/>
      <c r="FG190" s="564"/>
      <c r="FH190" s="564"/>
      <c r="FI190" s="564"/>
      <c r="FJ190" s="564"/>
      <c r="FK190" s="564"/>
      <c r="FL190" s="564"/>
      <c r="FM190" s="564"/>
      <c r="FN190" s="569"/>
      <c r="FO190" s="564"/>
      <c r="FP190" s="564"/>
      <c r="FQ190" s="564"/>
      <c r="FR190" s="564"/>
      <c r="FS190" s="564"/>
      <c r="FT190" s="564"/>
      <c r="FU190" s="564"/>
      <c r="FV190" s="564"/>
      <c r="FW190" s="564"/>
      <c r="FX190" s="564"/>
      <c r="FY190" s="564"/>
      <c r="FZ190" s="564"/>
      <c r="GA190" s="564"/>
      <c r="GB190" s="564"/>
      <c r="GC190" s="564"/>
      <c r="GD190" s="564"/>
      <c r="GE190" s="564"/>
      <c r="GF190" s="564"/>
      <c r="GG190" s="564"/>
      <c r="GH190" s="564"/>
      <c r="GI190" s="564"/>
      <c r="GJ190" s="564"/>
      <c r="GK190" s="564"/>
      <c r="GL190" s="564"/>
      <c r="GM190" s="564"/>
      <c r="GN190" s="564"/>
      <c r="GO190" s="564"/>
      <c r="GP190" s="564"/>
      <c r="GQ190" s="564"/>
      <c r="GR190" s="564"/>
      <c r="GS190" s="564"/>
      <c r="GT190" s="564"/>
      <c r="GU190" s="564"/>
      <c r="GV190" s="569"/>
      <c r="GW190" s="564"/>
      <c r="GX190" s="564"/>
      <c r="GY190" s="564"/>
      <c r="GZ190" s="564"/>
      <c r="HA190" s="564"/>
      <c r="HB190" s="564"/>
      <c r="HC190" s="564"/>
      <c r="HD190" s="564"/>
      <c r="HE190" s="564"/>
      <c r="HF190" s="564"/>
      <c r="HG190" s="564"/>
      <c r="HH190" s="564"/>
      <c r="HI190" s="564"/>
      <c r="HJ190" s="564"/>
      <c r="HK190" s="569"/>
      <c r="HL190" s="564" t="s">
        <v>33597</v>
      </c>
      <c r="HM190" s="564" t="s">
        <v>2</v>
      </c>
      <c r="HN190" s="564" t="s">
        <v>4</v>
      </c>
      <c r="HO190" s="564" t="s">
        <v>33598</v>
      </c>
      <c r="HP190" s="564" t="s">
        <v>33599</v>
      </c>
      <c r="HQ190" s="564" t="s">
        <v>33600</v>
      </c>
      <c r="HR190" s="564" t="s">
        <v>33601</v>
      </c>
      <c r="HS190" s="564" t="s">
        <v>33602</v>
      </c>
      <c r="HT190" s="568" t="s">
        <v>33594</v>
      </c>
    </row>
    <row r="191" spans="1:228" ht="30.2" customHeight="1" x14ac:dyDescent="0.25">
      <c r="A191" s="759"/>
      <c r="B191" s="563">
        <v>37</v>
      </c>
      <c r="C191" s="563" t="s">
        <v>19105</v>
      </c>
      <c r="D191" s="564" t="s">
        <v>33765</v>
      </c>
      <c r="E191" s="564" t="s">
        <v>33725</v>
      </c>
      <c r="F191" s="564" t="s">
        <v>7</v>
      </c>
      <c r="G191" s="564" t="s">
        <v>33766</v>
      </c>
      <c r="H191" s="564">
        <v>911.34179700000004</v>
      </c>
      <c r="I191" s="564">
        <v>4.2880000000000003</v>
      </c>
      <c r="J191" s="564" t="s">
        <v>29319</v>
      </c>
      <c r="K191" s="564" t="s">
        <v>4</v>
      </c>
      <c r="L191" s="564" t="s">
        <v>33767</v>
      </c>
      <c r="M191" s="564">
        <v>777363517</v>
      </c>
      <c r="N191" s="564" t="s">
        <v>5</v>
      </c>
      <c r="O191" s="564" t="s">
        <v>31598</v>
      </c>
      <c r="P191" s="564" t="s">
        <v>4</v>
      </c>
      <c r="Q191" s="564">
        <v>5</v>
      </c>
      <c r="R191" s="564" t="s">
        <v>7</v>
      </c>
      <c r="S191" s="564" t="s">
        <v>31588</v>
      </c>
      <c r="T191" s="564" t="s">
        <v>4</v>
      </c>
      <c r="U191" s="564" t="s">
        <v>2</v>
      </c>
      <c r="V191" s="564" t="s">
        <v>4</v>
      </c>
      <c r="W191" s="564" t="s">
        <v>4</v>
      </c>
      <c r="X191" s="564" t="s">
        <v>4</v>
      </c>
      <c r="Y191" s="564" t="s">
        <v>4</v>
      </c>
      <c r="Z191" s="565">
        <v>43831</v>
      </c>
      <c r="AA191" s="557" t="str">
        <f>IF(OR(U191="yes",Z191&gt;'SDG outcome'!$C$39),"yes","no")</f>
        <v>no</v>
      </c>
      <c r="AB191" s="565" t="str">
        <f t="shared" si="6"/>
        <v/>
      </c>
      <c r="AC191" s="566" t="str">
        <f>IF(AND('SMS p2'!AA49="no",AND(Z191&gt;='SDG outcome'!$B$28,Z191&lt;'SDG outcome'!$C$39)),Z191-'SDG outcome'!$B$28,"")</f>
        <v/>
      </c>
      <c r="AD191" s="564" t="s">
        <v>31699</v>
      </c>
      <c r="AE191" s="564" t="s">
        <v>4</v>
      </c>
      <c r="AF191" s="564" t="s">
        <v>4</v>
      </c>
      <c r="AG191" s="564" t="s">
        <v>4</v>
      </c>
      <c r="AH191" s="564" t="s">
        <v>4</v>
      </c>
      <c r="AI191" s="564" t="s">
        <v>4</v>
      </c>
      <c r="AJ191" s="564" t="s">
        <v>4</v>
      </c>
      <c r="AK191" s="564" t="s">
        <v>4</v>
      </c>
      <c r="AL191" s="564"/>
      <c r="AM191" s="564"/>
      <c r="AN191" s="564"/>
      <c r="AO191" s="564"/>
      <c r="AP191" s="564"/>
      <c r="AQ191" s="564"/>
      <c r="AR191" s="564"/>
      <c r="AS191" s="564"/>
      <c r="AT191" s="564"/>
      <c r="AU191" s="564"/>
      <c r="AV191" s="564"/>
      <c r="AW191" s="564"/>
      <c r="AX191" s="564"/>
      <c r="AY191" s="564"/>
      <c r="AZ191" s="564"/>
      <c r="BA191" s="564"/>
      <c r="BB191" s="564"/>
      <c r="BC191" s="564"/>
      <c r="BD191" s="564"/>
      <c r="BE191" s="564"/>
      <c r="BF191" s="564"/>
      <c r="BG191" s="564"/>
      <c r="BH191" s="564"/>
      <c r="BI191" s="564"/>
      <c r="BJ191" s="564"/>
      <c r="BK191" s="564"/>
      <c r="BL191" s="564"/>
      <c r="BM191" s="564"/>
      <c r="BN191" s="564"/>
      <c r="BO191" s="564"/>
      <c r="BP191" s="564"/>
      <c r="BQ191" s="564"/>
      <c r="BR191" s="567"/>
      <c r="BS191" s="564"/>
      <c r="BT191" s="564"/>
      <c r="BU191" s="564"/>
      <c r="BV191" s="564"/>
      <c r="BW191" s="567"/>
      <c r="BX191" s="564"/>
      <c r="BY191" s="564"/>
      <c r="BZ191" s="564"/>
      <c r="CA191" s="564"/>
      <c r="CB191" s="564"/>
      <c r="CC191" s="564"/>
      <c r="CD191" s="564"/>
      <c r="CE191" s="564"/>
      <c r="CF191" s="564"/>
      <c r="CG191" s="564"/>
      <c r="CH191" s="564"/>
      <c r="CI191" s="564"/>
      <c r="CJ191" s="564"/>
      <c r="CK191" s="564"/>
      <c r="CL191" s="564"/>
      <c r="CM191" s="564"/>
      <c r="CN191" s="564"/>
      <c r="CO191" s="564"/>
      <c r="CP191" s="564"/>
      <c r="CQ191" s="564"/>
      <c r="CR191" s="564"/>
      <c r="CS191" s="564"/>
      <c r="CT191" s="568"/>
      <c r="CU191" s="563"/>
      <c r="CV191" s="564"/>
      <c r="CW191" s="568"/>
      <c r="CX191" s="563"/>
      <c r="CY191" s="564"/>
      <c r="CZ191" s="568"/>
      <c r="DA191" s="563"/>
      <c r="DB191" s="564"/>
      <c r="DC191" s="564"/>
      <c r="DD191" s="564"/>
      <c r="DE191" s="564"/>
      <c r="DF191" s="564"/>
      <c r="DG191" s="564"/>
      <c r="DH191" s="564"/>
      <c r="DI191" s="564"/>
      <c r="DJ191" s="564"/>
      <c r="DK191" s="564"/>
      <c r="DL191" s="564"/>
      <c r="DM191" s="564"/>
      <c r="DN191" s="564"/>
      <c r="DO191" s="564"/>
      <c r="DP191" s="564"/>
      <c r="DQ191" s="564"/>
      <c r="DR191" s="564"/>
      <c r="DS191" s="569"/>
      <c r="DT191" s="564"/>
      <c r="DU191" s="569"/>
      <c r="DV191" s="568"/>
      <c r="DW191" s="563"/>
      <c r="DX191" s="564"/>
      <c r="DY191" s="564"/>
      <c r="DZ191" s="564"/>
      <c r="EA191" s="564"/>
      <c r="EB191" s="564"/>
      <c r="EC191" s="564"/>
      <c r="ED191" s="564"/>
      <c r="EE191" s="564"/>
      <c r="EF191" s="564"/>
      <c r="EG191" s="564"/>
      <c r="EH191" s="564"/>
      <c r="EI191" s="564"/>
      <c r="EJ191" s="564"/>
      <c r="EK191" s="564"/>
      <c r="EL191" s="564"/>
      <c r="EM191" s="564"/>
      <c r="EN191" s="564"/>
      <c r="EO191" s="564"/>
      <c r="EP191" s="564"/>
      <c r="EQ191" s="564"/>
      <c r="ER191" s="564"/>
      <c r="ES191" s="564"/>
      <c r="ET191" s="564"/>
      <c r="EU191" s="564"/>
      <c r="EV191" s="564"/>
      <c r="EW191" s="564"/>
      <c r="EX191" s="564"/>
      <c r="EY191" s="564"/>
      <c r="EZ191" s="239"/>
      <c r="FA191" s="564"/>
      <c r="FB191" s="564"/>
      <c r="FC191" s="564"/>
      <c r="FD191" s="564"/>
      <c r="FE191" s="564"/>
      <c r="FF191" s="564"/>
      <c r="FG191" s="564"/>
      <c r="FH191" s="564"/>
      <c r="FI191" s="564"/>
      <c r="FJ191" s="564"/>
      <c r="FK191" s="564"/>
      <c r="FL191" s="564"/>
      <c r="FM191" s="564"/>
      <c r="FN191" s="569"/>
      <c r="FO191" s="564"/>
      <c r="FP191" s="564"/>
      <c r="FQ191" s="564"/>
      <c r="FR191" s="564"/>
      <c r="FS191" s="564"/>
      <c r="FT191" s="564"/>
      <c r="FU191" s="564"/>
      <c r="FV191" s="564"/>
      <c r="FW191" s="564"/>
      <c r="FX191" s="564"/>
      <c r="FY191" s="564"/>
      <c r="FZ191" s="564"/>
      <c r="GA191" s="564"/>
      <c r="GB191" s="564"/>
      <c r="GC191" s="564"/>
      <c r="GD191" s="564"/>
      <c r="GE191" s="564"/>
      <c r="GF191" s="564"/>
      <c r="GG191" s="564"/>
      <c r="GH191" s="564"/>
      <c r="GI191" s="564"/>
      <c r="GJ191" s="564"/>
      <c r="GK191" s="564"/>
      <c r="GL191" s="564"/>
      <c r="GM191" s="564"/>
      <c r="GN191" s="564"/>
      <c r="GO191" s="564"/>
      <c r="GP191" s="564"/>
      <c r="GQ191" s="564"/>
      <c r="GR191" s="564"/>
      <c r="GS191" s="564"/>
      <c r="GT191" s="564"/>
      <c r="GU191" s="564"/>
      <c r="GV191" s="569"/>
      <c r="GW191" s="564"/>
      <c r="GX191" s="564"/>
      <c r="GY191" s="564"/>
      <c r="GZ191" s="564"/>
      <c r="HA191" s="564"/>
      <c r="HB191" s="564"/>
      <c r="HC191" s="564"/>
      <c r="HD191" s="564"/>
      <c r="HE191" s="564"/>
      <c r="HF191" s="564"/>
      <c r="HG191" s="564"/>
      <c r="HH191" s="564"/>
      <c r="HI191" s="564"/>
      <c r="HJ191" s="564"/>
      <c r="HK191" s="569"/>
      <c r="HL191" s="564" t="s">
        <v>33768</v>
      </c>
      <c r="HM191" s="564" t="s">
        <v>7</v>
      </c>
      <c r="HN191" s="564" t="s">
        <v>33769</v>
      </c>
      <c r="HO191" s="564" t="s">
        <v>33770</v>
      </c>
      <c r="HP191" s="564" t="s">
        <v>33771</v>
      </c>
      <c r="HQ191" s="564" t="s">
        <v>16</v>
      </c>
      <c r="HR191" s="564" t="s">
        <v>33772</v>
      </c>
      <c r="HS191" s="564" t="s">
        <v>16</v>
      </c>
      <c r="HT191" s="568" t="s">
        <v>33765</v>
      </c>
    </row>
    <row r="192" spans="1:228" ht="30.2" customHeight="1" x14ac:dyDescent="0.25">
      <c r="A192" s="759"/>
      <c r="B192" s="563">
        <v>111</v>
      </c>
      <c r="C192" s="563" t="s">
        <v>11648</v>
      </c>
      <c r="D192" s="564" t="s">
        <v>34605</v>
      </c>
      <c r="E192" s="564" t="s">
        <v>34457</v>
      </c>
      <c r="F192" s="564" t="s">
        <v>7</v>
      </c>
      <c r="G192" s="564" t="s">
        <v>34606</v>
      </c>
      <c r="H192" s="564">
        <v>1135.2</v>
      </c>
      <c r="I192" s="564">
        <v>4.9000000000000004</v>
      </c>
      <c r="J192" s="564" t="s">
        <v>29349</v>
      </c>
      <c r="K192" s="564" t="s">
        <v>4</v>
      </c>
      <c r="L192" s="564" t="s">
        <v>34607</v>
      </c>
      <c r="M192" s="564">
        <v>751209405</v>
      </c>
      <c r="N192" s="564" t="s">
        <v>5</v>
      </c>
      <c r="O192" s="564" t="s">
        <v>31590</v>
      </c>
      <c r="P192" s="564" t="s">
        <v>4</v>
      </c>
      <c r="Q192" s="564">
        <v>9</v>
      </c>
      <c r="R192" s="564" t="s">
        <v>7</v>
      </c>
      <c r="S192" s="564" t="s">
        <v>31588</v>
      </c>
      <c r="T192" s="564" t="s">
        <v>4</v>
      </c>
      <c r="U192" s="564" t="s">
        <v>2</v>
      </c>
      <c r="V192" s="564" t="s">
        <v>4</v>
      </c>
      <c r="W192" s="564" t="s">
        <v>4</v>
      </c>
      <c r="X192" s="564" t="s">
        <v>4</v>
      </c>
      <c r="Y192" s="564" t="s">
        <v>4</v>
      </c>
      <c r="Z192" s="565">
        <v>43961</v>
      </c>
      <c r="AA192" s="557" t="str">
        <f>IF(OR(U192="yes",Z192&gt;'SDG outcome'!$C$39),"yes","no")</f>
        <v>no</v>
      </c>
      <c r="AB192" s="565" t="str">
        <f t="shared" si="6"/>
        <v/>
      </c>
      <c r="AC192" s="566" t="str">
        <f>IF(AND('SMS p2'!AA123="no",AND(Z192&gt;='SDG outcome'!$B$28,Z192&lt;'SDG outcome'!$C$39)),Z192-'SDG outcome'!$B$28,"")</f>
        <v/>
      </c>
      <c r="AD192" s="564" t="s">
        <v>31699</v>
      </c>
      <c r="AE192" s="564" t="s">
        <v>4</v>
      </c>
      <c r="AF192" s="564" t="s">
        <v>4</v>
      </c>
      <c r="AG192" s="564" t="s">
        <v>4</v>
      </c>
      <c r="AH192" s="564" t="s">
        <v>4</v>
      </c>
      <c r="AI192" s="564" t="s">
        <v>4</v>
      </c>
      <c r="AJ192" s="564" t="s">
        <v>4</v>
      </c>
      <c r="AK192" s="564" t="s">
        <v>4</v>
      </c>
      <c r="AL192" s="564"/>
      <c r="AM192" s="564"/>
      <c r="AN192" s="564"/>
      <c r="AO192" s="564"/>
      <c r="AP192" s="564"/>
      <c r="AQ192" s="564"/>
      <c r="AR192" s="564"/>
      <c r="AS192" s="564"/>
      <c r="AT192" s="564"/>
      <c r="AU192" s="564"/>
      <c r="AV192" s="564"/>
      <c r="AW192" s="564"/>
      <c r="AX192" s="564"/>
      <c r="AY192" s="564"/>
      <c r="AZ192" s="564"/>
      <c r="BA192" s="564"/>
      <c r="BB192" s="564"/>
      <c r="BC192" s="564"/>
      <c r="BD192" s="564"/>
      <c r="BE192" s="564"/>
      <c r="BF192" s="564"/>
      <c r="BG192" s="564"/>
      <c r="BH192" s="564"/>
      <c r="BI192" s="564"/>
      <c r="BJ192" s="564"/>
      <c r="BK192" s="564"/>
      <c r="BL192" s="564"/>
      <c r="BM192" s="564"/>
      <c r="BN192" s="564"/>
      <c r="BO192" s="564"/>
      <c r="BP192" s="564"/>
      <c r="BQ192" s="564"/>
      <c r="BR192" s="567"/>
      <c r="BS192" s="564"/>
      <c r="BT192" s="564"/>
      <c r="BU192" s="564"/>
      <c r="BV192" s="564"/>
      <c r="BW192" s="567"/>
      <c r="BX192" s="564"/>
      <c r="BY192" s="564"/>
      <c r="BZ192" s="564"/>
      <c r="CA192" s="564"/>
      <c r="CB192" s="564"/>
      <c r="CC192" s="564"/>
      <c r="CD192" s="564"/>
      <c r="CE192" s="564"/>
      <c r="CF192" s="564"/>
      <c r="CG192" s="564"/>
      <c r="CH192" s="564"/>
      <c r="CI192" s="564"/>
      <c r="CJ192" s="564"/>
      <c r="CK192" s="564"/>
      <c r="CL192" s="564"/>
      <c r="CM192" s="564"/>
      <c r="CN192" s="564"/>
      <c r="CO192" s="564"/>
      <c r="CP192" s="564"/>
      <c r="CQ192" s="564"/>
      <c r="CR192" s="564"/>
      <c r="CS192" s="564"/>
      <c r="CT192" s="568"/>
      <c r="CU192" s="563"/>
      <c r="CV192" s="564"/>
      <c r="CW192" s="568"/>
      <c r="CX192" s="563"/>
      <c r="CY192" s="564"/>
      <c r="CZ192" s="568"/>
      <c r="DA192" s="563"/>
      <c r="DB192" s="564"/>
      <c r="DC192" s="564"/>
      <c r="DD192" s="564"/>
      <c r="DE192" s="564"/>
      <c r="DF192" s="564"/>
      <c r="DG192" s="564"/>
      <c r="DH192" s="564"/>
      <c r="DI192" s="564"/>
      <c r="DJ192" s="564"/>
      <c r="DK192" s="564"/>
      <c r="DL192" s="564"/>
      <c r="DM192" s="564"/>
      <c r="DN192" s="564"/>
      <c r="DO192" s="564"/>
      <c r="DP192" s="564"/>
      <c r="DQ192" s="564"/>
      <c r="DR192" s="564"/>
      <c r="DS192" s="569"/>
      <c r="DT192" s="564"/>
      <c r="DU192" s="569"/>
      <c r="DV192" s="568"/>
      <c r="DW192" s="563"/>
      <c r="DX192" s="564"/>
      <c r="DY192" s="564"/>
      <c r="DZ192" s="564"/>
      <c r="EA192" s="564"/>
      <c r="EB192" s="564"/>
      <c r="EC192" s="564"/>
      <c r="ED192" s="564"/>
      <c r="EE192" s="564"/>
      <c r="EF192" s="564"/>
      <c r="EG192" s="564"/>
      <c r="EH192" s="564"/>
      <c r="EI192" s="564"/>
      <c r="EJ192" s="564"/>
      <c r="EK192" s="564"/>
      <c r="EL192" s="564"/>
      <c r="EM192" s="564"/>
      <c r="EN192" s="564"/>
      <c r="EO192" s="564"/>
      <c r="EP192" s="564"/>
      <c r="EQ192" s="564"/>
      <c r="ER192" s="564"/>
      <c r="ES192" s="564"/>
      <c r="ET192" s="564"/>
      <c r="EU192" s="564"/>
      <c r="EV192" s="564"/>
      <c r="EW192" s="564"/>
      <c r="EX192" s="564"/>
      <c r="EY192" s="564"/>
      <c r="EZ192" s="239"/>
      <c r="FA192" s="564"/>
      <c r="FB192" s="564"/>
      <c r="FC192" s="564"/>
      <c r="FD192" s="564"/>
      <c r="FE192" s="564"/>
      <c r="FF192" s="564"/>
      <c r="FG192" s="564"/>
      <c r="FH192" s="564"/>
      <c r="FI192" s="564"/>
      <c r="FJ192" s="564"/>
      <c r="FK192" s="564"/>
      <c r="FL192" s="564"/>
      <c r="FM192" s="564"/>
      <c r="FN192" s="569"/>
      <c r="FO192" s="564"/>
      <c r="FP192" s="564"/>
      <c r="FQ192" s="564"/>
      <c r="FR192" s="564"/>
      <c r="FS192" s="564"/>
      <c r="FT192" s="564"/>
      <c r="FU192" s="564"/>
      <c r="FV192" s="564"/>
      <c r="FW192" s="564"/>
      <c r="FX192" s="564"/>
      <c r="FY192" s="564"/>
      <c r="FZ192" s="564"/>
      <c r="GA192" s="564"/>
      <c r="GB192" s="564"/>
      <c r="GC192" s="564"/>
      <c r="GD192" s="564"/>
      <c r="GE192" s="564"/>
      <c r="GF192" s="564"/>
      <c r="GG192" s="564"/>
      <c r="GH192" s="564"/>
      <c r="GI192" s="564"/>
      <c r="GJ192" s="564"/>
      <c r="GK192" s="564"/>
      <c r="GL192" s="564"/>
      <c r="GM192" s="564"/>
      <c r="GN192" s="564"/>
      <c r="GO192" s="564"/>
      <c r="GP192" s="564"/>
      <c r="GQ192" s="564"/>
      <c r="GR192" s="564"/>
      <c r="GS192" s="564"/>
      <c r="GT192" s="564"/>
      <c r="GU192" s="564"/>
      <c r="GV192" s="569"/>
      <c r="GW192" s="564"/>
      <c r="GX192" s="564"/>
      <c r="GY192" s="564"/>
      <c r="GZ192" s="564"/>
      <c r="HA192" s="564"/>
      <c r="HB192" s="564"/>
      <c r="HC192" s="564"/>
      <c r="HD192" s="564"/>
      <c r="HE192" s="564"/>
      <c r="HF192" s="564"/>
      <c r="HG192" s="564"/>
      <c r="HH192" s="564"/>
      <c r="HI192" s="564"/>
      <c r="HJ192" s="564"/>
      <c r="HK192" s="569"/>
      <c r="HL192" s="564" t="s">
        <v>34608</v>
      </c>
      <c r="HM192" s="564" t="s">
        <v>2</v>
      </c>
      <c r="HN192" s="564" t="s">
        <v>4</v>
      </c>
      <c r="HO192" s="564" t="s">
        <v>34609</v>
      </c>
      <c r="HP192" s="564" t="s">
        <v>34610</v>
      </c>
      <c r="HQ192" s="564" t="s">
        <v>34611</v>
      </c>
      <c r="HR192" s="564" t="s">
        <v>34612</v>
      </c>
      <c r="HS192" s="564" t="s">
        <v>34613</v>
      </c>
      <c r="HT192" s="568" t="s">
        <v>34605</v>
      </c>
    </row>
    <row r="193" spans="1:228" ht="30.2" customHeight="1" x14ac:dyDescent="0.25">
      <c r="A193" s="759"/>
      <c r="B193" s="563">
        <v>178</v>
      </c>
      <c r="C193" s="563" t="s">
        <v>10521</v>
      </c>
      <c r="D193" s="564" t="s">
        <v>35351</v>
      </c>
      <c r="E193" s="564" t="s">
        <v>35222</v>
      </c>
      <c r="F193" s="564" t="s">
        <v>7</v>
      </c>
      <c r="G193" s="564" t="s">
        <v>35352</v>
      </c>
      <c r="H193" s="564">
        <v>0</v>
      </c>
      <c r="I193" s="564">
        <v>3099.9989999999998</v>
      </c>
      <c r="J193" s="564" t="s">
        <v>29319</v>
      </c>
      <c r="K193" s="564" t="s">
        <v>4</v>
      </c>
      <c r="L193" s="564" t="s">
        <v>35353</v>
      </c>
      <c r="M193" s="564">
        <v>772655845</v>
      </c>
      <c r="N193" s="564" t="s">
        <v>30992</v>
      </c>
      <c r="O193" s="564" t="s">
        <v>31590</v>
      </c>
      <c r="P193" s="564" t="s">
        <v>4</v>
      </c>
      <c r="Q193" s="564">
        <v>15</v>
      </c>
      <c r="R193" s="564" t="s">
        <v>7</v>
      </c>
      <c r="S193" s="564" t="s">
        <v>31588</v>
      </c>
      <c r="T193" s="564" t="s">
        <v>4</v>
      </c>
      <c r="U193" s="564" t="s">
        <v>2</v>
      </c>
      <c r="V193" s="564" t="s">
        <v>4</v>
      </c>
      <c r="W193" s="564" t="s">
        <v>4</v>
      </c>
      <c r="X193" s="564" t="s">
        <v>4</v>
      </c>
      <c r="Y193" s="564" t="s">
        <v>4</v>
      </c>
      <c r="Z193" s="565">
        <v>44288</v>
      </c>
      <c r="AA193" s="557" t="str">
        <f>IF(OR(U193="yes",Z193&gt;'SDG outcome'!$C$39),"yes","no")</f>
        <v>no</v>
      </c>
      <c r="AB193" s="565" t="str">
        <f t="shared" si="6"/>
        <v/>
      </c>
      <c r="AC193" s="566" t="str">
        <f>IF(AND('SMS p2'!AA190="no",AND(Z193&gt;='SDG outcome'!$B$28,Z193&lt;'SDG outcome'!$C$39)),Z193-'SDG outcome'!$B$28,"")</f>
        <v/>
      </c>
      <c r="AD193" s="564" t="s">
        <v>31699</v>
      </c>
      <c r="AE193" s="564" t="s">
        <v>4</v>
      </c>
      <c r="AF193" s="564" t="s">
        <v>4</v>
      </c>
      <c r="AG193" s="564" t="s">
        <v>4</v>
      </c>
      <c r="AH193" s="564" t="s">
        <v>4</v>
      </c>
      <c r="AI193" s="564" t="s">
        <v>4</v>
      </c>
      <c r="AJ193" s="564" t="s">
        <v>4</v>
      </c>
      <c r="AK193" s="564" t="s">
        <v>4</v>
      </c>
      <c r="AL193" s="564"/>
      <c r="AM193" s="564"/>
      <c r="AN193" s="564"/>
      <c r="AO193" s="564"/>
      <c r="AP193" s="564"/>
      <c r="AQ193" s="564"/>
      <c r="AR193" s="564"/>
      <c r="AS193" s="564"/>
      <c r="AT193" s="564"/>
      <c r="AU193" s="564"/>
      <c r="AV193" s="564"/>
      <c r="AW193" s="564"/>
      <c r="AX193" s="564"/>
      <c r="AY193" s="564"/>
      <c r="AZ193" s="564"/>
      <c r="BA193" s="564"/>
      <c r="BB193" s="564"/>
      <c r="BC193" s="564"/>
      <c r="BD193" s="564"/>
      <c r="BE193" s="564"/>
      <c r="BF193" s="564"/>
      <c r="BG193" s="564"/>
      <c r="BH193" s="564"/>
      <c r="BI193" s="564"/>
      <c r="BJ193" s="564"/>
      <c r="BK193" s="564"/>
      <c r="BL193" s="564"/>
      <c r="BM193" s="564"/>
      <c r="BN193" s="564"/>
      <c r="BO193" s="564"/>
      <c r="BP193" s="564"/>
      <c r="BQ193" s="564"/>
      <c r="BR193" s="567"/>
      <c r="BS193" s="564"/>
      <c r="BT193" s="564"/>
      <c r="BU193" s="564"/>
      <c r="BV193" s="564"/>
      <c r="BW193" s="567"/>
      <c r="BX193" s="564"/>
      <c r="BY193" s="564"/>
      <c r="BZ193" s="564"/>
      <c r="CA193" s="564"/>
      <c r="CB193" s="564"/>
      <c r="CC193" s="564"/>
      <c r="CD193" s="564"/>
      <c r="CE193" s="564"/>
      <c r="CF193" s="564"/>
      <c r="CG193" s="564"/>
      <c r="CH193" s="564"/>
      <c r="CI193" s="564"/>
      <c r="CJ193" s="564"/>
      <c r="CK193" s="564"/>
      <c r="CL193" s="564"/>
      <c r="CM193" s="564"/>
      <c r="CN193" s="564"/>
      <c r="CO193" s="564"/>
      <c r="CP193" s="564"/>
      <c r="CQ193" s="564"/>
      <c r="CR193" s="564"/>
      <c r="CS193" s="564"/>
      <c r="CT193" s="568"/>
      <c r="CU193" s="563"/>
      <c r="CV193" s="564"/>
      <c r="CW193" s="568"/>
      <c r="CX193" s="563"/>
      <c r="CY193" s="564"/>
      <c r="CZ193" s="568"/>
      <c r="DA193" s="563"/>
      <c r="DB193" s="564"/>
      <c r="DC193" s="564"/>
      <c r="DD193" s="564"/>
      <c r="DE193" s="564"/>
      <c r="DF193" s="564"/>
      <c r="DG193" s="564"/>
      <c r="DH193" s="564"/>
      <c r="DI193" s="564"/>
      <c r="DJ193" s="564"/>
      <c r="DK193" s="564"/>
      <c r="DL193" s="564"/>
      <c r="DM193" s="564"/>
      <c r="DN193" s="564"/>
      <c r="DO193" s="564"/>
      <c r="DP193" s="564"/>
      <c r="DQ193" s="564"/>
      <c r="DR193" s="564"/>
      <c r="DS193" s="569"/>
      <c r="DT193" s="564"/>
      <c r="DU193" s="569"/>
      <c r="DV193" s="568"/>
      <c r="DW193" s="563"/>
      <c r="DX193" s="564"/>
      <c r="DY193" s="564"/>
      <c r="DZ193" s="564"/>
      <c r="EA193" s="564"/>
      <c r="EB193" s="564"/>
      <c r="EC193" s="564"/>
      <c r="ED193" s="564"/>
      <c r="EE193" s="564"/>
      <c r="EF193" s="564"/>
      <c r="EG193" s="564"/>
      <c r="EH193" s="564"/>
      <c r="EI193" s="564"/>
      <c r="EJ193" s="564"/>
      <c r="EK193" s="564"/>
      <c r="EL193" s="564"/>
      <c r="EM193" s="564"/>
      <c r="EN193" s="564"/>
      <c r="EO193" s="564"/>
      <c r="EP193" s="564"/>
      <c r="EQ193" s="564"/>
      <c r="ER193" s="564"/>
      <c r="ES193" s="564"/>
      <c r="ET193" s="564"/>
      <c r="EU193" s="564"/>
      <c r="EV193" s="564"/>
      <c r="EW193" s="564"/>
      <c r="EX193" s="564"/>
      <c r="EY193" s="564"/>
      <c r="EZ193" s="239"/>
      <c r="FA193" s="564"/>
      <c r="FB193" s="564"/>
      <c r="FC193" s="564"/>
      <c r="FD193" s="564"/>
      <c r="FE193" s="564"/>
      <c r="FF193" s="564"/>
      <c r="FG193" s="564"/>
      <c r="FH193" s="564"/>
      <c r="FI193" s="564"/>
      <c r="FJ193" s="564"/>
      <c r="FK193" s="564"/>
      <c r="FL193" s="564"/>
      <c r="FM193" s="564"/>
      <c r="FN193" s="569"/>
      <c r="FO193" s="564"/>
      <c r="FP193" s="564"/>
      <c r="FQ193" s="564"/>
      <c r="FR193" s="564"/>
      <c r="FS193" s="564"/>
      <c r="FT193" s="564"/>
      <c r="FU193" s="564"/>
      <c r="FV193" s="564"/>
      <c r="FW193" s="564"/>
      <c r="FX193" s="564"/>
      <c r="FY193" s="564"/>
      <c r="FZ193" s="564"/>
      <c r="GA193" s="564"/>
      <c r="GB193" s="564"/>
      <c r="GC193" s="564"/>
      <c r="GD193" s="564"/>
      <c r="GE193" s="564"/>
      <c r="GF193" s="564"/>
      <c r="GG193" s="564"/>
      <c r="GH193" s="564"/>
      <c r="GI193" s="564"/>
      <c r="GJ193" s="564"/>
      <c r="GK193" s="564"/>
      <c r="GL193" s="564"/>
      <c r="GM193" s="564"/>
      <c r="GN193" s="564"/>
      <c r="GO193" s="564"/>
      <c r="GP193" s="564"/>
      <c r="GQ193" s="564"/>
      <c r="GR193" s="564"/>
      <c r="GS193" s="564"/>
      <c r="GT193" s="564"/>
      <c r="GU193" s="564"/>
      <c r="GV193" s="569"/>
      <c r="GW193" s="564"/>
      <c r="GX193" s="564"/>
      <c r="GY193" s="564"/>
      <c r="GZ193" s="564"/>
      <c r="HA193" s="564"/>
      <c r="HB193" s="564"/>
      <c r="HC193" s="564"/>
      <c r="HD193" s="564"/>
      <c r="HE193" s="564"/>
      <c r="HF193" s="564"/>
      <c r="HG193" s="564"/>
      <c r="HH193" s="564"/>
      <c r="HI193" s="564"/>
      <c r="HJ193" s="564"/>
      <c r="HK193" s="569"/>
      <c r="HL193" s="564" t="s">
        <v>35354</v>
      </c>
      <c r="HM193" s="564" t="s">
        <v>7</v>
      </c>
      <c r="HN193" s="564" t="s">
        <v>35355</v>
      </c>
      <c r="HO193" s="564" t="s">
        <v>35356</v>
      </c>
      <c r="HP193" s="564" t="s">
        <v>35357</v>
      </c>
      <c r="HQ193" s="564" t="s">
        <v>16</v>
      </c>
      <c r="HR193" s="564" t="s">
        <v>35358</v>
      </c>
      <c r="HS193" s="564" t="s">
        <v>16</v>
      </c>
      <c r="HT193" s="568" t="s">
        <v>35359</v>
      </c>
    </row>
    <row r="194" spans="1:228" ht="30.2" customHeight="1" x14ac:dyDescent="0.25">
      <c r="A194" s="759"/>
      <c r="B194" s="563">
        <v>184</v>
      </c>
      <c r="C194" s="563" t="s">
        <v>16103</v>
      </c>
      <c r="D194" s="564" t="s">
        <v>35415</v>
      </c>
      <c r="E194" s="564" t="s">
        <v>30638</v>
      </c>
      <c r="F194" s="564" t="s">
        <v>7</v>
      </c>
      <c r="G194" s="564" t="s">
        <v>35416</v>
      </c>
      <c r="H194" s="564">
        <v>1904.858154</v>
      </c>
      <c r="I194" s="564">
        <v>4.2880000000000003</v>
      </c>
      <c r="J194" s="564" t="s">
        <v>29288</v>
      </c>
      <c r="K194" s="564" t="s">
        <v>4</v>
      </c>
      <c r="L194" s="564" t="s">
        <v>35417</v>
      </c>
      <c r="M194" s="564">
        <v>782096865</v>
      </c>
      <c r="N194" s="564" t="s">
        <v>3</v>
      </c>
      <c r="O194" s="564" t="s">
        <v>31598</v>
      </c>
      <c r="P194" s="564" t="s">
        <v>4</v>
      </c>
      <c r="Q194" s="564">
        <v>8</v>
      </c>
      <c r="R194" s="564" t="s">
        <v>7</v>
      </c>
      <c r="S194" s="564" t="s">
        <v>31535</v>
      </c>
      <c r="T194" s="564" t="s">
        <v>4</v>
      </c>
      <c r="U194" s="564" t="s">
        <v>2</v>
      </c>
      <c r="V194" s="564" t="s">
        <v>4</v>
      </c>
      <c r="W194" s="564" t="s">
        <v>4</v>
      </c>
      <c r="X194" s="564" t="s">
        <v>4</v>
      </c>
      <c r="Y194" s="564" t="s">
        <v>4</v>
      </c>
      <c r="Z194" s="565">
        <v>44636</v>
      </c>
      <c r="AA194" s="557" t="str">
        <f>IF(OR(U194="yes",Z194&gt;'SDG outcome'!$C$39),"yes","no")</f>
        <v>no</v>
      </c>
      <c r="AB194" s="565" t="str">
        <f t="shared" si="6"/>
        <v/>
      </c>
      <c r="AC194" s="566" t="str">
        <f>IF(AND('SMS p2'!AA196="no",AND(Z194&gt;='SDG outcome'!$B$28,Z194&lt;'SDG outcome'!$C$39)),Z194-'SDG outcome'!$B$28,"")</f>
        <v/>
      </c>
      <c r="AD194" s="564" t="s">
        <v>31699</v>
      </c>
      <c r="AE194" s="564" t="s">
        <v>4</v>
      </c>
      <c r="AF194" s="564" t="s">
        <v>4</v>
      </c>
      <c r="AG194" s="564" t="s">
        <v>4</v>
      </c>
      <c r="AH194" s="564" t="s">
        <v>4</v>
      </c>
      <c r="AI194" s="564" t="s">
        <v>4</v>
      </c>
      <c r="AJ194" s="564" t="s">
        <v>4</v>
      </c>
      <c r="AK194" s="564" t="s">
        <v>4</v>
      </c>
      <c r="AL194" s="564"/>
      <c r="AM194" s="564"/>
      <c r="AN194" s="564"/>
      <c r="AO194" s="564"/>
      <c r="AP194" s="564"/>
      <c r="AQ194" s="564"/>
      <c r="AR194" s="564"/>
      <c r="AS194" s="564"/>
      <c r="AT194" s="564"/>
      <c r="AU194" s="564"/>
      <c r="AV194" s="564"/>
      <c r="AW194" s="564"/>
      <c r="AX194" s="564"/>
      <c r="AY194" s="564"/>
      <c r="AZ194" s="564"/>
      <c r="BA194" s="564"/>
      <c r="BB194" s="564"/>
      <c r="BC194" s="564"/>
      <c r="BD194" s="564"/>
      <c r="BE194" s="564"/>
      <c r="BF194" s="564"/>
      <c r="BG194" s="564"/>
      <c r="BH194" s="564"/>
      <c r="BI194" s="564"/>
      <c r="BJ194" s="564"/>
      <c r="BK194" s="564"/>
      <c r="BL194" s="564"/>
      <c r="BM194" s="564"/>
      <c r="BN194" s="564"/>
      <c r="BO194" s="564"/>
      <c r="BP194" s="564"/>
      <c r="BQ194" s="564"/>
      <c r="BR194" s="567"/>
      <c r="BS194" s="564"/>
      <c r="BT194" s="564"/>
      <c r="BU194" s="564"/>
      <c r="BV194" s="564"/>
      <c r="BW194" s="567"/>
      <c r="BX194" s="564"/>
      <c r="BY194" s="564"/>
      <c r="BZ194" s="564"/>
      <c r="CA194" s="564"/>
      <c r="CB194" s="564"/>
      <c r="CC194" s="564"/>
      <c r="CD194" s="564"/>
      <c r="CE194" s="564"/>
      <c r="CF194" s="564"/>
      <c r="CG194" s="564"/>
      <c r="CH194" s="564"/>
      <c r="CI194" s="564"/>
      <c r="CJ194" s="564"/>
      <c r="CK194" s="564"/>
      <c r="CL194" s="564"/>
      <c r="CM194" s="564"/>
      <c r="CN194" s="564"/>
      <c r="CO194" s="564"/>
      <c r="CP194" s="564"/>
      <c r="CQ194" s="564"/>
      <c r="CR194" s="564"/>
      <c r="CS194" s="564"/>
      <c r="CT194" s="568"/>
      <c r="CU194" s="563"/>
      <c r="CV194" s="564"/>
      <c r="CW194" s="568"/>
      <c r="CX194" s="563"/>
      <c r="CY194" s="564"/>
      <c r="CZ194" s="568"/>
      <c r="DA194" s="563"/>
      <c r="DB194" s="564"/>
      <c r="DC194" s="564"/>
      <c r="DD194" s="564"/>
      <c r="DE194" s="564"/>
      <c r="DF194" s="564"/>
      <c r="DG194" s="564"/>
      <c r="DH194" s="564"/>
      <c r="DI194" s="564"/>
      <c r="DJ194" s="564"/>
      <c r="DK194" s="564"/>
      <c r="DL194" s="564"/>
      <c r="DM194" s="564"/>
      <c r="DN194" s="564"/>
      <c r="DO194" s="564"/>
      <c r="DP194" s="564"/>
      <c r="DQ194" s="564"/>
      <c r="DR194" s="564"/>
      <c r="DS194" s="569"/>
      <c r="DT194" s="564"/>
      <c r="DU194" s="569"/>
      <c r="DV194" s="568"/>
      <c r="DW194" s="563"/>
      <c r="DX194" s="564"/>
      <c r="DY194" s="564"/>
      <c r="DZ194" s="564"/>
      <c r="EA194" s="564"/>
      <c r="EB194" s="564"/>
      <c r="EC194" s="564"/>
      <c r="ED194" s="564"/>
      <c r="EE194" s="564"/>
      <c r="EF194" s="564"/>
      <c r="EG194" s="564"/>
      <c r="EH194" s="564"/>
      <c r="EI194" s="564"/>
      <c r="EJ194" s="564"/>
      <c r="EK194" s="564"/>
      <c r="EL194" s="564"/>
      <c r="EM194" s="564"/>
      <c r="EN194" s="564"/>
      <c r="EO194" s="564"/>
      <c r="EP194" s="564"/>
      <c r="EQ194" s="564"/>
      <c r="ER194" s="564"/>
      <c r="ES194" s="564"/>
      <c r="ET194" s="564"/>
      <c r="EU194" s="564"/>
      <c r="EV194" s="564"/>
      <c r="EW194" s="564"/>
      <c r="EX194" s="564"/>
      <c r="EY194" s="564"/>
      <c r="EZ194" s="239"/>
      <c r="FA194" s="564"/>
      <c r="FB194" s="564"/>
      <c r="FC194" s="564"/>
      <c r="FD194" s="564"/>
      <c r="FE194" s="564"/>
      <c r="FF194" s="564"/>
      <c r="FG194" s="564"/>
      <c r="FH194" s="564"/>
      <c r="FI194" s="564"/>
      <c r="FJ194" s="564"/>
      <c r="FK194" s="564"/>
      <c r="FL194" s="564"/>
      <c r="FM194" s="564"/>
      <c r="FN194" s="569"/>
      <c r="FO194" s="564"/>
      <c r="FP194" s="564"/>
      <c r="FQ194" s="564"/>
      <c r="FR194" s="564"/>
      <c r="FS194" s="564"/>
      <c r="FT194" s="564"/>
      <c r="FU194" s="564"/>
      <c r="FV194" s="564"/>
      <c r="FW194" s="564"/>
      <c r="FX194" s="564"/>
      <c r="FY194" s="564"/>
      <c r="FZ194" s="564"/>
      <c r="GA194" s="564"/>
      <c r="GB194" s="564"/>
      <c r="GC194" s="739"/>
      <c r="GD194" s="564"/>
      <c r="GE194" s="564"/>
      <c r="GF194" s="564"/>
      <c r="GG194" s="564"/>
      <c r="GH194" s="564"/>
      <c r="GI194" s="564"/>
      <c r="GJ194" s="564"/>
      <c r="GK194" s="564"/>
      <c r="GL194" s="564"/>
      <c r="GM194" s="564"/>
      <c r="GN194" s="564"/>
      <c r="GO194" s="564"/>
      <c r="GP194" s="564"/>
      <c r="GQ194" s="564"/>
      <c r="GR194" s="564"/>
      <c r="GS194" s="564"/>
      <c r="GT194" s="564"/>
      <c r="GU194" s="564"/>
      <c r="GV194" s="569"/>
      <c r="GW194" s="564"/>
      <c r="GX194" s="564"/>
      <c r="GY194" s="564"/>
      <c r="GZ194" s="564"/>
      <c r="HA194" s="564"/>
      <c r="HB194" s="564"/>
      <c r="HC194" s="564"/>
      <c r="HD194" s="564"/>
      <c r="HE194" s="564"/>
      <c r="HF194" s="564"/>
      <c r="HG194" s="564"/>
      <c r="HH194" s="564"/>
      <c r="HI194" s="564"/>
      <c r="HJ194" s="564"/>
      <c r="HK194" s="569"/>
      <c r="HL194" s="564" t="s">
        <v>35418</v>
      </c>
      <c r="HM194" s="564" t="s">
        <v>2</v>
      </c>
      <c r="HN194" s="564" t="s">
        <v>4</v>
      </c>
      <c r="HO194" s="564" t="s">
        <v>16</v>
      </c>
      <c r="HP194" s="564" t="s">
        <v>35419</v>
      </c>
      <c r="HQ194" s="564" t="s">
        <v>16</v>
      </c>
      <c r="HR194" s="564" t="s">
        <v>35420</v>
      </c>
      <c r="HS194" s="564" t="s">
        <v>16</v>
      </c>
      <c r="HT194" s="568" t="s">
        <v>35415</v>
      </c>
    </row>
    <row r="195" spans="1:228" ht="30.2" customHeight="1" x14ac:dyDescent="0.25">
      <c r="A195" s="759"/>
      <c r="B195" s="563">
        <v>222</v>
      </c>
      <c r="C195" s="563" t="s">
        <v>5266</v>
      </c>
      <c r="D195" s="564" t="s">
        <v>35813</v>
      </c>
      <c r="E195" s="564" t="s">
        <v>30786</v>
      </c>
      <c r="F195" s="564" t="s">
        <v>7</v>
      </c>
      <c r="G195" s="564" t="s">
        <v>35814</v>
      </c>
      <c r="H195" s="564">
        <v>1207.5999999999999</v>
      </c>
      <c r="I195" s="564">
        <v>4.5</v>
      </c>
      <c r="J195" s="564" t="s">
        <v>29349</v>
      </c>
      <c r="K195" s="564" t="s">
        <v>4</v>
      </c>
      <c r="L195" s="564" t="s">
        <v>35815</v>
      </c>
      <c r="M195" s="564">
        <v>750416509</v>
      </c>
      <c r="N195" s="564" t="s">
        <v>5</v>
      </c>
      <c r="O195" s="564" t="s">
        <v>31598</v>
      </c>
      <c r="P195" s="564" t="s">
        <v>4</v>
      </c>
      <c r="Q195" s="564">
        <v>5</v>
      </c>
      <c r="R195" s="564" t="s">
        <v>7</v>
      </c>
      <c r="S195" s="564" t="s">
        <v>31549</v>
      </c>
      <c r="T195" s="564" t="s">
        <v>4</v>
      </c>
      <c r="U195" s="564" t="s">
        <v>2</v>
      </c>
      <c r="V195" s="564" t="s">
        <v>4</v>
      </c>
      <c r="W195" s="564" t="s">
        <v>4</v>
      </c>
      <c r="X195" s="564" t="s">
        <v>4</v>
      </c>
      <c r="Y195" s="564" t="s">
        <v>4</v>
      </c>
      <c r="Z195" s="565">
        <v>45559</v>
      </c>
      <c r="AA195" s="557" t="str">
        <f>IF(OR(U195="yes",Z195&gt;'SDG outcome'!$C$39),"yes","no")</f>
        <v>yes</v>
      </c>
      <c r="AB195" s="565" t="str">
        <f t="shared" si="6"/>
        <v>NA</v>
      </c>
      <c r="AC195" s="566" t="str">
        <f>IF(AND('SMS p2'!AA233="no",AND(Z195&gt;='SDG outcome'!$B$28,Z195&lt;'SDG outcome'!$C$39)),Z195-'SDG outcome'!$B$28,"")</f>
        <v/>
      </c>
      <c r="AD195" s="564" t="s">
        <v>31699</v>
      </c>
      <c r="AE195" s="564" t="s">
        <v>4</v>
      </c>
      <c r="AF195" s="564" t="s">
        <v>4</v>
      </c>
      <c r="AG195" s="564" t="s">
        <v>4</v>
      </c>
      <c r="AH195" s="564" t="s">
        <v>4</v>
      </c>
      <c r="AI195" s="564" t="s">
        <v>7</v>
      </c>
      <c r="AJ195" s="564" t="s">
        <v>4</v>
      </c>
      <c r="AK195" s="564" t="s">
        <v>4</v>
      </c>
      <c r="AL195" s="564"/>
      <c r="AM195" s="564"/>
      <c r="AN195" s="564"/>
      <c r="AO195" s="564"/>
      <c r="AP195" s="564"/>
      <c r="AQ195" s="564"/>
      <c r="AR195" s="564"/>
      <c r="AS195" s="564"/>
      <c r="AT195" s="564"/>
      <c r="AU195" s="564"/>
      <c r="AV195" s="564"/>
      <c r="AW195" s="564"/>
      <c r="AX195" s="564"/>
      <c r="AY195" s="564"/>
      <c r="AZ195" s="564"/>
      <c r="BA195" s="564"/>
      <c r="BB195" s="564"/>
      <c r="BC195" s="564"/>
      <c r="BD195" s="564"/>
      <c r="BE195" s="564"/>
      <c r="BF195" s="564"/>
      <c r="BG195" s="564"/>
      <c r="BH195" s="564"/>
      <c r="BI195" s="564"/>
      <c r="BJ195" s="564"/>
      <c r="BK195" s="564"/>
      <c r="BL195" s="564"/>
      <c r="BM195" s="564"/>
      <c r="BN195" s="564"/>
      <c r="BO195" s="564"/>
      <c r="BP195" s="564"/>
      <c r="BQ195" s="564"/>
      <c r="BR195" s="567"/>
      <c r="BS195" s="564"/>
      <c r="BT195" s="564"/>
      <c r="BU195" s="564"/>
      <c r="BV195" s="564"/>
      <c r="BW195" s="567"/>
      <c r="BX195" s="564"/>
      <c r="BY195" s="564"/>
      <c r="BZ195" s="564"/>
      <c r="CA195" s="564"/>
      <c r="CB195" s="564"/>
      <c r="CC195" s="564"/>
      <c r="CD195" s="564"/>
      <c r="CE195" s="564"/>
      <c r="CF195" s="564"/>
      <c r="CG195" s="564"/>
      <c r="CH195" s="564"/>
      <c r="CI195" s="564"/>
      <c r="CJ195" s="564"/>
      <c r="CK195" s="564"/>
      <c r="CL195" s="564"/>
      <c r="CM195" s="564"/>
      <c r="CN195" s="564"/>
      <c r="CO195" s="564"/>
      <c r="CP195" s="564"/>
      <c r="CQ195" s="564"/>
      <c r="CR195" s="564"/>
      <c r="CS195" s="564"/>
      <c r="CT195" s="568"/>
      <c r="CU195" s="563"/>
      <c r="CV195" s="564"/>
      <c r="CW195" s="568"/>
      <c r="CX195" s="563"/>
      <c r="CY195" s="564"/>
      <c r="CZ195" s="568"/>
      <c r="DA195" s="563"/>
      <c r="DB195" s="564"/>
      <c r="DC195" s="564"/>
      <c r="DD195" s="564"/>
      <c r="DE195" s="564"/>
      <c r="DF195" s="564"/>
      <c r="DG195" s="564"/>
      <c r="DH195" s="564"/>
      <c r="DI195" s="564"/>
      <c r="DJ195" s="564"/>
      <c r="DK195" s="564"/>
      <c r="DL195" s="564"/>
      <c r="DM195" s="564"/>
      <c r="DN195" s="564"/>
      <c r="DO195" s="564"/>
      <c r="DP195" s="564"/>
      <c r="DQ195" s="564"/>
      <c r="DR195" s="564"/>
      <c r="DS195" s="569"/>
      <c r="DT195" s="564"/>
      <c r="DU195" s="569"/>
      <c r="DV195" s="568"/>
      <c r="DW195" s="563"/>
      <c r="DX195" s="564"/>
      <c r="DY195" s="564"/>
      <c r="DZ195" s="564"/>
      <c r="EA195" s="564"/>
      <c r="EB195" s="564"/>
      <c r="EC195" s="564"/>
      <c r="ED195" s="564"/>
      <c r="EE195" s="564"/>
      <c r="EF195" s="564"/>
      <c r="EG195" s="564"/>
      <c r="EH195" s="564"/>
      <c r="EI195" s="564"/>
      <c r="EJ195" s="564"/>
      <c r="EK195" s="564"/>
      <c r="EL195" s="564"/>
      <c r="EM195" s="564"/>
      <c r="EN195" s="564"/>
      <c r="EO195" s="564"/>
      <c r="EP195" s="564"/>
      <c r="EQ195" s="564"/>
      <c r="ER195" s="564"/>
      <c r="ES195" s="564"/>
      <c r="ET195" s="564"/>
      <c r="EU195" s="564"/>
      <c r="EV195" s="564"/>
      <c r="EW195" s="564"/>
      <c r="EX195" s="564"/>
      <c r="EY195" s="564"/>
      <c r="EZ195" s="239"/>
      <c r="FA195" s="564"/>
      <c r="FB195" s="564"/>
      <c r="FC195" s="564"/>
      <c r="FD195" s="564"/>
      <c r="FE195" s="564"/>
      <c r="FF195" s="564"/>
      <c r="FG195" s="564"/>
      <c r="FH195" s="564"/>
      <c r="FI195" s="564"/>
      <c r="FJ195" s="564"/>
      <c r="FK195" s="564"/>
      <c r="FL195" s="564"/>
      <c r="FM195" s="564"/>
      <c r="FN195" s="569"/>
      <c r="FO195" s="564"/>
      <c r="FP195" s="564"/>
      <c r="FQ195" s="564"/>
      <c r="FR195" s="564"/>
      <c r="FS195" s="564"/>
      <c r="FT195" s="564"/>
      <c r="FU195" s="564"/>
      <c r="FV195" s="564"/>
      <c r="FW195" s="564"/>
      <c r="FX195" s="564"/>
      <c r="FY195" s="564"/>
      <c r="FZ195" s="564"/>
      <c r="GA195" s="564"/>
      <c r="GB195" s="564"/>
      <c r="GC195" s="564"/>
      <c r="GD195" s="564"/>
      <c r="GE195" s="564"/>
      <c r="GF195" s="564"/>
      <c r="GG195" s="564"/>
      <c r="GH195" s="564"/>
      <c r="GI195" s="564"/>
      <c r="GJ195" s="564"/>
      <c r="GK195" s="564"/>
      <c r="GL195" s="564"/>
      <c r="GM195" s="564"/>
      <c r="GN195" s="564"/>
      <c r="GO195" s="564"/>
      <c r="GP195" s="564"/>
      <c r="GQ195" s="564"/>
      <c r="GR195" s="564"/>
      <c r="GS195" s="564"/>
      <c r="GT195" s="564"/>
      <c r="GU195" s="564"/>
      <c r="GV195" s="569"/>
      <c r="GW195" s="564"/>
      <c r="GX195" s="564"/>
      <c r="GY195" s="564"/>
      <c r="GZ195" s="564"/>
      <c r="HA195" s="564"/>
      <c r="HB195" s="564"/>
      <c r="HC195" s="564"/>
      <c r="HD195" s="564"/>
      <c r="HE195" s="564"/>
      <c r="HF195" s="564"/>
      <c r="HG195" s="564"/>
      <c r="HH195" s="564"/>
      <c r="HI195" s="564"/>
      <c r="HJ195" s="564"/>
      <c r="HK195" s="569"/>
      <c r="HL195" s="564" t="s">
        <v>33474</v>
      </c>
      <c r="HM195" s="564" t="s">
        <v>2</v>
      </c>
      <c r="HN195" s="564" t="s">
        <v>4</v>
      </c>
      <c r="HO195" s="564" t="s">
        <v>16</v>
      </c>
      <c r="HP195" s="564" t="s">
        <v>35816</v>
      </c>
      <c r="HQ195" s="564" t="s">
        <v>35817</v>
      </c>
      <c r="HR195" s="564" t="s">
        <v>35818</v>
      </c>
      <c r="HS195" s="564" t="s">
        <v>35819</v>
      </c>
      <c r="HT195" s="568" t="s">
        <v>35813</v>
      </c>
    </row>
    <row r="196" spans="1:228" ht="30.2" customHeight="1" x14ac:dyDescent="0.25">
      <c r="A196" s="759"/>
      <c r="B196" s="563">
        <v>223</v>
      </c>
      <c r="C196" s="563" t="s">
        <v>5952</v>
      </c>
      <c r="D196" s="564" t="s">
        <v>35820</v>
      </c>
      <c r="E196" s="564" t="s">
        <v>30786</v>
      </c>
      <c r="F196" s="564" t="s">
        <v>7</v>
      </c>
      <c r="G196" s="564" t="s">
        <v>35821</v>
      </c>
      <c r="H196" s="564">
        <v>1226.7</v>
      </c>
      <c r="I196" s="564">
        <v>5</v>
      </c>
      <c r="J196" s="564" t="s">
        <v>29288</v>
      </c>
      <c r="K196" s="564" t="s">
        <v>4</v>
      </c>
      <c r="L196" s="564" t="s">
        <v>35822</v>
      </c>
      <c r="M196" s="564">
        <v>752404519</v>
      </c>
      <c r="N196" s="564" t="s">
        <v>3</v>
      </c>
      <c r="O196" s="564" t="s">
        <v>31590</v>
      </c>
      <c r="P196" s="564" t="s">
        <v>4</v>
      </c>
      <c r="Q196" s="564">
        <v>4</v>
      </c>
      <c r="R196" s="564" t="s">
        <v>7</v>
      </c>
      <c r="S196" s="564" t="s">
        <v>31549</v>
      </c>
      <c r="T196" s="564" t="s">
        <v>4</v>
      </c>
      <c r="U196" s="564" t="s">
        <v>2</v>
      </c>
      <c r="V196" s="564" t="s">
        <v>4</v>
      </c>
      <c r="W196" s="564" t="s">
        <v>4</v>
      </c>
      <c r="X196" s="564" t="s">
        <v>4</v>
      </c>
      <c r="Y196" s="564" t="s">
        <v>4</v>
      </c>
      <c r="Z196" s="565">
        <v>45559</v>
      </c>
      <c r="AA196" s="557" t="str">
        <f>IF(OR(U196="yes",Z196&gt;'SDG outcome'!$C$39),"yes","no")</f>
        <v>yes</v>
      </c>
      <c r="AB196" s="565" t="str">
        <f t="shared" si="6"/>
        <v>NA</v>
      </c>
      <c r="AC196" s="566" t="str">
        <f>IF(AND('SMS p2'!AA234="no",AND(Z196&gt;='SDG outcome'!$B$28,Z196&lt;'SDG outcome'!$C$39)),Z196-'SDG outcome'!$B$28,"")</f>
        <v/>
      </c>
      <c r="AD196" s="564" t="s">
        <v>31699</v>
      </c>
      <c r="AE196" s="564" t="s">
        <v>4</v>
      </c>
      <c r="AF196" s="564" t="s">
        <v>4</v>
      </c>
      <c r="AG196" s="564" t="s">
        <v>4</v>
      </c>
      <c r="AH196" s="564" t="s">
        <v>4</v>
      </c>
      <c r="AI196" s="564" t="s">
        <v>4</v>
      </c>
      <c r="AJ196" s="564" t="s">
        <v>4</v>
      </c>
      <c r="AK196" s="564" t="s">
        <v>4</v>
      </c>
      <c r="AL196" s="564"/>
      <c r="AM196" s="564"/>
      <c r="AN196" s="564"/>
      <c r="AO196" s="564"/>
      <c r="AP196" s="564"/>
      <c r="AQ196" s="564"/>
      <c r="AR196" s="564"/>
      <c r="AS196" s="564"/>
      <c r="AT196" s="564"/>
      <c r="AU196" s="564"/>
      <c r="AV196" s="564"/>
      <c r="AW196" s="564"/>
      <c r="AX196" s="564"/>
      <c r="AY196" s="564"/>
      <c r="AZ196" s="564"/>
      <c r="BA196" s="564"/>
      <c r="BB196" s="564"/>
      <c r="BC196" s="564"/>
      <c r="BD196" s="564"/>
      <c r="BE196" s="564"/>
      <c r="BF196" s="564"/>
      <c r="BG196" s="564"/>
      <c r="BH196" s="564"/>
      <c r="BI196" s="564"/>
      <c r="BJ196" s="564"/>
      <c r="BK196" s="564"/>
      <c r="BL196" s="564"/>
      <c r="BM196" s="564"/>
      <c r="BN196" s="564"/>
      <c r="BO196" s="564"/>
      <c r="BP196" s="564"/>
      <c r="BQ196" s="564"/>
      <c r="BR196" s="567"/>
      <c r="BS196" s="564"/>
      <c r="BT196" s="564"/>
      <c r="BU196" s="564"/>
      <c r="BV196" s="564"/>
      <c r="BW196" s="567"/>
      <c r="BX196" s="564"/>
      <c r="BY196" s="564"/>
      <c r="BZ196" s="564"/>
      <c r="CA196" s="564"/>
      <c r="CB196" s="564"/>
      <c r="CC196" s="564"/>
      <c r="CD196" s="564"/>
      <c r="CE196" s="564"/>
      <c r="CF196" s="564"/>
      <c r="CG196" s="564"/>
      <c r="CH196" s="564"/>
      <c r="CI196" s="564"/>
      <c r="CJ196" s="564"/>
      <c r="CK196" s="564"/>
      <c r="CL196" s="564"/>
      <c r="CM196" s="564"/>
      <c r="CN196" s="564"/>
      <c r="CO196" s="564"/>
      <c r="CP196" s="564"/>
      <c r="CQ196" s="564"/>
      <c r="CR196" s="564"/>
      <c r="CS196" s="564"/>
      <c r="CT196" s="568"/>
      <c r="CU196" s="563"/>
      <c r="CV196" s="564"/>
      <c r="CW196" s="568"/>
      <c r="CX196" s="563"/>
      <c r="CY196" s="564"/>
      <c r="CZ196" s="568"/>
      <c r="DA196" s="563"/>
      <c r="DB196" s="564"/>
      <c r="DC196" s="564"/>
      <c r="DD196" s="564"/>
      <c r="DE196" s="564"/>
      <c r="DF196" s="564"/>
      <c r="DG196" s="564"/>
      <c r="DH196" s="564"/>
      <c r="DI196" s="564"/>
      <c r="DJ196" s="564"/>
      <c r="DK196" s="564"/>
      <c r="DL196" s="564"/>
      <c r="DM196" s="564"/>
      <c r="DN196" s="564"/>
      <c r="DO196" s="564"/>
      <c r="DP196" s="564"/>
      <c r="DQ196" s="564"/>
      <c r="DR196" s="564"/>
      <c r="DS196" s="569"/>
      <c r="DT196" s="564"/>
      <c r="DU196" s="569"/>
      <c r="DV196" s="568"/>
      <c r="DW196" s="563"/>
      <c r="DX196" s="564"/>
      <c r="DY196" s="564"/>
      <c r="DZ196" s="564"/>
      <c r="EA196" s="564"/>
      <c r="EB196" s="564"/>
      <c r="EC196" s="564"/>
      <c r="ED196" s="564"/>
      <c r="EE196" s="564"/>
      <c r="EF196" s="564"/>
      <c r="EG196" s="564"/>
      <c r="EH196" s="564"/>
      <c r="EI196" s="564"/>
      <c r="EJ196" s="564"/>
      <c r="EK196" s="564"/>
      <c r="EL196" s="564"/>
      <c r="EM196" s="564"/>
      <c r="EN196" s="564"/>
      <c r="EO196" s="564"/>
      <c r="EP196" s="564"/>
      <c r="EQ196" s="564"/>
      <c r="ER196" s="564"/>
      <c r="ES196" s="564"/>
      <c r="ET196" s="564"/>
      <c r="EU196" s="564"/>
      <c r="EV196" s="564"/>
      <c r="EW196" s="564"/>
      <c r="EX196" s="564"/>
      <c r="EY196" s="564"/>
      <c r="EZ196" s="239"/>
      <c r="FA196" s="564"/>
      <c r="FB196" s="564"/>
      <c r="FC196" s="564"/>
      <c r="FD196" s="564"/>
      <c r="FE196" s="564"/>
      <c r="FF196" s="564"/>
      <c r="FG196" s="564"/>
      <c r="FH196" s="564"/>
      <c r="FI196" s="564"/>
      <c r="FJ196" s="564"/>
      <c r="FK196" s="564"/>
      <c r="FL196" s="564"/>
      <c r="FM196" s="564"/>
      <c r="FN196" s="569"/>
      <c r="FO196" s="564"/>
      <c r="FP196" s="564"/>
      <c r="FQ196" s="564"/>
      <c r="FR196" s="564"/>
      <c r="FS196" s="564"/>
      <c r="FT196" s="564"/>
      <c r="FU196" s="564"/>
      <c r="FV196" s="564"/>
      <c r="FW196" s="564"/>
      <c r="FX196" s="564"/>
      <c r="FY196" s="564"/>
      <c r="FZ196" s="564"/>
      <c r="GA196" s="564"/>
      <c r="GB196" s="564"/>
      <c r="GC196" s="564"/>
      <c r="GD196" s="564"/>
      <c r="GE196" s="564"/>
      <c r="GF196" s="564"/>
      <c r="GG196" s="564"/>
      <c r="GH196" s="564"/>
      <c r="GI196" s="564"/>
      <c r="GJ196" s="564"/>
      <c r="GK196" s="564"/>
      <c r="GL196" s="564"/>
      <c r="GM196" s="564"/>
      <c r="GN196" s="564"/>
      <c r="GO196" s="564"/>
      <c r="GP196" s="564"/>
      <c r="GQ196" s="564"/>
      <c r="GR196" s="564"/>
      <c r="GS196" s="564"/>
      <c r="GT196" s="564"/>
      <c r="GU196" s="564"/>
      <c r="GV196" s="569"/>
      <c r="GW196" s="564"/>
      <c r="GX196" s="564"/>
      <c r="GY196" s="564"/>
      <c r="GZ196" s="564"/>
      <c r="HA196" s="564"/>
      <c r="HB196" s="564"/>
      <c r="HC196" s="564"/>
      <c r="HD196" s="564"/>
      <c r="HE196" s="564"/>
      <c r="HF196" s="564"/>
      <c r="HG196" s="564"/>
      <c r="HH196" s="564"/>
      <c r="HI196" s="564"/>
      <c r="HJ196" s="564"/>
      <c r="HK196" s="569"/>
      <c r="HL196" s="564" t="s">
        <v>33474</v>
      </c>
      <c r="HM196" s="564" t="s">
        <v>2</v>
      </c>
      <c r="HN196" s="571" t="s">
        <v>4</v>
      </c>
      <c r="HO196" s="564" t="s">
        <v>16</v>
      </c>
      <c r="HP196" s="564" t="s">
        <v>35823</v>
      </c>
      <c r="HQ196" s="564" t="s">
        <v>35824</v>
      </c>
      <c r="HR196" s="564" t="s">
        <v>35825</v>
      </c>
      <c r="HS196" s="564" t="s">
        <v>35826</v>
      </c>
      <c r="HT196" s="568" t="s">
        <v>35820</v>
      </c>
    </row>
    <row r="197" spans="1:228" ht="30.2" customHeight="1" x14ac:dyDescent="0.25">
      <c r="A197" s="759"/>
      <c r="B197" s="563">
        <v>225</v>
      </c>
      <c r="C197" s="563" t="s">
        <v>5871</v>
      </c>
      <c r="D197" s="564" t="s">
        <v>35836</v>
      </c>
      <c r="E197" s="564" t="s">
        <v>30786</v>
      </c>
      <c r="F197" s="564" t="s">
        <v>7</v>
      </c>
      <c r="G197" s="564" t="s">
        <v>35837</v>
      </c>
      <c r="H197" s="564">
        <v>1159.0999999999999</v>
      </c>
      <c r="I197" s="564">
        <v>4.9000000000000004</v>
      </c>
      <c r="J197" s="564" t="s">
        <v>29288</v>
      </c>
      <c r="K197" s="564" t="s">
        <v>4</v>
      </c>
      <c r="L197" s="564" t="s">
        <v>5872</v>
      </c>
      <c r="M197" s="564">
        <v>704739222</v>
      </c>
      <c r="N197" s="564" t="s">
        <v>3</v>
      </c>
      <c r="O197" s="564" t="s">
        <v>31590</v>
      </c>
      <c r="P197" s="564" t="s">
        <v>4</v>
      </c>
      <c r="Q197" s="564">
        <v>5</v>
      </c>
      <c r="R197" s="564" t="s">
        <v>7</v>
      </c>
      <c r="S197" s="564" t="s">
        <v>31549</v>
      </c>
      <c r="T197" s="564" t="s">
        <v>4</v>
      </c>
      <c r="U197" s="564" t="s">
        <v>2</v>
      </c>
      <c r="V197" s="564" t="s">
        <v>4</v>
      </c>
      <c r="W197" s="564" t="s">
        <v>4</v>
      </c>
      <c r="X197" s="564" t="s">
        <v>4</v>
      </c>
      <c r="Y197" s="564" t="s">
        <v>4</v>
      </c>
      <c r="Z197" s="565">
        <v>45560</v>
      </c>
      <c r="AA197" s="557" t="str">
        <f>IF(OR(U197="yes",Z197&gt;'SDG outcome'!$C$39),"yes","no")</f>
        <v>yes</v>
      </c>
      <c r="AB197" s="565" t="str">
        <f t="shared" si="6"/>
        <v>NA</v>
      </c>
      <c r="AC197" s="566" t="str">
        <f>IF(AND('SMS p2'!AA236="no",AND(Z197&gt;='SDG outcome'!$B$28,Z197&lt;'SDG outcome'!$C$39)),Z197-'SDG outcome'!$B$28,"")</f>
        <v/>
      </c>
      <c r="AD197" s="564" t="s">
        <v>31699</v>
      </c>
      <c r="AE197" s="564" t="s">
        <v>4</v>
      </c>
      <c r="AF197" s="564" t="s">
        <v>4</v>
      </c>
      <c r="AG197" s="564" t="s">
        <v>4</v>
      </c>
      <c r="AH197" s="564" t="s">
        <v>4</v>
      </c>
      <c r="AI197" s="564" t="s">
        <v>4</v>
      </c>
      <c r="AJ197" s="571" t="s">
        <v>4</v>
      </c>
      <c r="AK197" s="564" t="s">
        <v>4</v>
      </c>
      <c r="AL197" s="564"/>
      <c r="AM197" s="564"/>
      <c r="AN197" s="564"/>
      <c r="AO197" s="564"/>
      <c r="AP197" s="564"/>
      <c r="AQ197" s="564"/>
      <c r="AR197" s="564"/>
      <c r="AS197" s="564"/>
      <c r="AT197" s="564"/>
      <c r="AU197" s="564"/>
      <c r="AV197" s="564"/>
      <c r="AW197" s="564"/>
      <c r="AX197" s="564"/>
      <c r="AY197" s="564"/>
      <c r="AZ197" s="564"/>
      <c r="BA197" s="564"/>
      <c r="BB197" s="564"/>
      <c r="BC197" s="564"/>
      <c r="BD197" s="564"/>
      <c r="BE197" s="564"/>
      <c r="BF197" s="564"/>
      <c r="BG197" s="564"/>
      <c r="BH197" s="564"/>
      <c r="BI197" s="564"/>
      <c r="BJ197" s="564"/>
      <c r="BK197" s="564"/>
      <c r="BL197" s="564"/>
      <c r="BM197" s="564"/>
      <c r="BN197" s="564"/>
      <c r="BO197" s="564"/>
      <c r="BP197" s="564"/>
      <c r="BQ197" s="564"/>
      <c r="BR197" s="567"/>
      <c r="BS197" s="564"/>
      <c r="BT197" s="564"/>
      <c r="BU197" s="564"/>
      <c r="BV197" s="564"/>
      <c r="BW197" s="567"/>
      <c r="BX197" s="564"/>
      <c r="BY197" s="564"/>
      <c r="BZ197" s="564"/>
      <c r="CA197" s="564"/>
      <c r="CB197" s="564"/>
      <c r="CC197" s="564"/>
      <c r="CD197" s="564"/>
      <c r="CE197" s="564"/>
      <c r="CF197" s="564"/>
      <c r="CG197" s="564"/>
      <c r="CH197" s="564"/>
      <c r="CI197" s="564"/>
      <c r="CJ197" s="564"/>
      <c r="CK197" s="564"/>
      <c r="CL197" s="564"/>
      <c r="CM197" s="564"/>
      <c r="CN197" s="564"/>
      <c r="CO197" s="564"/>
      <c r="CP197" s="564"/>
      <c r="CQ197" s="564"/>
      <c r="CR197" s="564"/>
      <c r="CS197" s="564"/>
      <c r="CT197" s="568"/>
      <c r="CU197" s="563"/>
      <c r="CV197" s="564"/>
      <c r="CW197" s="568"/>
      <c r="CX197" s="563"/>
      <c r="CY197" s="564"/>
      <c r="CZ197" s="568"/>
      <c r="DA197" s="563"/>
      <c r="DB197" s="564"/>
      <c r="DC197" s="564"/>
      <c r="DD197" s="564"/>
      <c r="DE197" s="564"/>
      <c r="DF197" s="564"/>
      <c r="DG197" s="564"/>
      <c r="DH197" s="564"/>
      <c r="DI197" s="564"/>
      <c r="DJ197" s="564"/>
      <c r="DK197" s="564"/>
      <c r="DL197" s="564"/>
      <c r="DM197" s="564"/>
      <c r="DN197" s="564"/>
      <c r="DO197" s="564"/>
      <c r="DP197" s="564"/>
      <c r="DQ197" s="564"/>
      <c r="DR197" s="564"/>
      <c r="DS197" s="569"/>
      <c r="DT197" s="564"/>
      <c r="DU197" s="569"/>
      <c r="DV197" s="568"/>
      <c r="DW197" s="563"/>
      <c r="DX197" s="564"/>
      <c r="DY197" s="564"/>
      <c r="DZ197" s="564"/>
      <c r="EA197" s="564"/>
      <c r="EB197" s="564"/>
      <c r="EC197" s="564"/>
      <c r="ED197" s="564"/>
      <c r="EE197" s="564"/>
      <c r="EF197" s="564"/>
      <c r="EG197" s="564"/>
      <c r="EH197" s="564"/>
      <c r="EI197" s="564"/>
      <c r="EJ197" s="564"/>
      <c r="EK197" s="564"/>
      <c r="EL197" s="564"/>
      <c r="EM197" s="564"/>
      <c r="EN197" s="564"/>
      <c r="EO197" s="564"/>
      <c r="EP197" s="564"/>
      <c r="EQ197" s="564"/>
      <c r="ER197" s="564"/>
      <c r="ES197" s="564"/>
      <c r="ET197" s="564"/>
      <c r="EU197" s="564"/>
      <c r="EV197" s="564"/>
      <c r="EW197" s="564"/>
      <c r="EX197" s="564"/>
      <c r="EY197" s="564"/>
      <c r="EZ197" s="239"/>
      <c r="FA197" s="564"/>
      <c r="FB197" s="564"/>
      <c r="FC197" s="564"/>
      <c r="FD197" s="564"/>
      <c r="FE197" s="564"/>
      <c r="FF197" s="564"/>
      <c r="FG197" s="564"/>
      <c r="FH197" s="564"/>
      <c r="FI197" s="564"/>
      <c r="FJ197" s="564"/>
      <c r="FK197" s="564"/>
      <c r="FL197" s="564"/>
      <c r="FM197" s="564"/>
      <c r="FN197" s="569"/>
      <c r="FO197" s="564"/>
      <c r="FP197" s="564"/>
      <c r="FQ197" s="564"/>
      <c r="FR197" s="564"/>
      <c r="FS197" s="564"/>
      <c r="FT197" s="564"/>
      <c r="FU197" s="564"/>
      <c r="FV197" s="564"/>
      <c r="FW197" s="564"/>
      <c r="FX197" s="564"/>
      <c r="FY197" s="564"/>
      <c r="FZ197" s="564"/>
      <c r="GA197" s="564"/>
      <c r="GB197" s="564"/>
      <c r="GC197" s="564"/>
      <c r="GD197" s="564"/>
      <c r="GE197" s="564"/>
      <c r="GF197" s="564"/>
      <c r="GG197" s="564"/>
      <c r="GH197" s="564"/>
      <c r="GI197" s="564"/>
      <c r="GJ197" s="564"/>
      <c r="GK197" s="564"/>
      <c r="GL197" s="564"/>
      <c r="GM197" s="564"/>
      <c r="GN197" s="564"/>
      <c r="GO197" s="564"/>
      <c r="GP197" s="564"/>
      <c r="GQ197" s="564"/>
      <c r="GR197" s="564"/>
      <c r="GS197" s="564"/>
      <c r="GT197" s="564"/>
      <c r="GU197" s="564"/>
      <c r="GV197" s="569"/>
      <c r="GW197" s="564"/>
      <c r="GX197" s="564"/>
      <c r="GY197" s="564"/>
      <c r="GZ197" s="564"/>
      <c r="HA197" s="564"/>
      <c r="HB197" s="564"/>
      <c r="HC197" s="564"/>
      <c r="HD197" s="564"/>
      <c r="HE197" s="564"/>
      <c r="HF197" s="564"/>
      <c r="HG197" s="564"/>
      <c r="HH197" s="564"/>
      <c r="HI197" s="564"/>
      <c r="HJ197" s="564"/>
      <c r="HK197" s="569"/>
      <c r="HL197" s="564" t="s">
        <v>33474</v>
      </c>
      <c r="HM197" s="564" t="s">
        <v>2</v>
      </c>
      <c r="HN197" s="571" t="s">
        <v>4</v>
      </c>
      <c r="HO197" s="564" t="s">
        <v>16</v>
      </c>
      <c r="HP197" s="564" t="s">
        <v>35838</v>
      </c>
      <c r="HQ197" s="564" t="s">
        <v>35839</v>
      </c>
      <c r="HR197" s="564" t="s">
        <v>35840</v>
      </c>
      <c r="HS197" s="564" t="s">
        <v>35841</v>
      </c>
      <c r="HT197" s="568" t="s">
        <v>35836</v>
      </c>
    </row>
    <row r="198" spans="1:228" ht="30.2" customHeight="1" x14ac:dyDescent="0.25">
      <c r="A198" s="759"/>
      <c r="B198" s="563">
        <v>254</v>
      </c>
      <c r="C198" s="563" t="s">
        <v>12687</v>
      </c>
      <c r="D198" s="564" t="s">
        <v>36152</v>
      </c>
      <c r="E198" s="564" t="s">
        <v>35998</v>
      </c>
      <c r="F198" s="564" t="s">
        <v>7</v>
      </c>
      <c r="G198" s="564" t="s">
        <v>36153</v>
      </c>
      <c r="H198" s="564">
        <v>1096.0170000000001</v>
      </c>
      <c r="I198" s="564">
        <v>1.590071</v>
      </c>
      <c r="J198" s="564" t="s">
        <v>29319</v>
      </c>
      <c r="K198" s="564" t="s">
        <v>4</v>
      </c>
      <c r="L198" s="564" t="s">
        <v>36154</v>
      </c>
      <c r="M198" s="564">
        <v>772403441</v>
      </c>
      <c r="N198" s="564" t="s">
        <v>5</v>
      </c>
      <c r="O198" s="564" t="s">
        <v>31438</v>
      </c>
      <c r="P198" s="564">
        <v>52</v>
      </c>
      <c r="Q198" s="564">
        <v>4</v>
      </c>
      <c r="R198" s="564" t="s">
        <v>7</v>
      </c>
      <c r="S198" s="564" t="s">
        <v>31588</v>
      </c>
      <c r="T198" s="564" t="s">
        <v>4</v>
      </c>
      <c r="U198" s="564" t="s">
        <v>2</v>
      </c>
      <c r="V198" s="564" t="s">
        <v>4</v>
      </c>
      <c r="W198" s="564" t="s">
        <v>4</v>
      </c>
      <c r="X198" s="564" t="s">
        <v>4</v>
      </c>
      <c r="Y198" s="564" t="s">
        <v>4</v>
      </c>
      <c r="Z198" s="565">
        <v>44918</v>
      </c>
      <c r="AA198" s="557" t="str">
        <f>IF(OR(U198="yes",Z198&gt;'SDG outcome'!$C$39),"yes","no")</f>
        <v>no</v>
      </c>
      <c r="AB198" s="565" t="str">
        <f t="shared" si="6"/>
        <v/>
      </c>
      <c r="AC198" s="566" t="str">
        <f>IF(AND('SMS p2'!AA265="no",AND(Z198&gt;='SDG outcome'!$B$28,Z198&lt;'SDG outcome'!$C$39)),Z198-'SDG outcome'!$B$28,"")</f>
        <v/>
      </c>
      <c r="AD198" s="564" t="s">
        <v>31699</v>
      </c>
      <c r="AE198" s="564" t="s">
        <v>4</v>
      </c>
      <c r="AF198" s="564" t="s">
        <v>4</v>
      </c>
      <c r="AG198" s="564" t="s">
        <v>4</v>
      </c>
      <c r="AH198" s="564" t="s">
        <v>4</v>
      </c>
      <c r="AI198" s="564" t="s">
        <v>4</v>
      </c>
      <c r="AJ198" s="564" t="s">
        <v>4</v>
      </c>
      <c r="AK198" s="564" t="s">
        <v>4</v>
      </c>
      <c r="AL198" s="564"/>
      <c r="AM198" s="564"/>
      <c r="AN198" s="564"/>
      <c r="AO198" s="564"/>
      <c r="AP198" s="564"/>
      <c r="AQ198" s="564"/>
      <c r="AR198" s="564"/>
      <c r="AS198" s="564"/>
      <c r="AT198" s="564"/>
      <c r="AU198" s="564"/>
      <c r="AV198" s="564"/>
      <c r="AW198" s="564"/>
      <c r="AX198" s="564"/>
      <c r="AY198" s="564"/>
      <c r="AZ198" s="564"/>
      <c r="BA198" s="564"/>
      <c r="BB198" s="564"/>
      <c r="BC198" s="564"/>
      <c r="BD198" s="564"/>
      <c r="BE198" s="564"/>
      <c r="BF198" s="564"/>
      <c r="BG198" s="564"/>
      <c r="BH198" s="564"/>
      <c r="BI198" s="564"/>
      <c r="BJ198" s="564"/>
      <c r="BK198" s="564"/>
      <c r="BL198" s="564"/>
      <c r="BM198" s="564"/>
      <c r="BN198" s="564"/>
      <c r="BO198" s="564"/>
      <c r="BP198" s="564"/>
      <c r="BQ198" s="564"/>
      <c r="BR198" s="567"/>
      <c r="BS198" s="564"/>
      <c r="BT198" s="564"/>
      <c r="BU198" s="564"/>
      <c r="BV198" s="564"/>
      <c r="BW198" s="567"/>
      <c r="BX198" s="564"/>
      <c r="BY198" s="564"/>
      <c r="BZ198" s="564"/>
      <c r="CA198" s="564"/>
      <c r="CB198" s="564"/>
      <c r="CC198" s="564"/>
      <c r="CD198" s="564"/>
      <c r="CE198" s="564"/>
      <c r="CF198" s="564"/>
      <c r="CG198" s="564"/>
      <c r="CH198" s="564"/>
      <c r="CI198" s="564"/>
      <c r="CJ198" s="564"/>
      <c r="CK198" s="564"/>
      <c r="CL198" s="564"/>
      <c r="CM198" s="564"/>
      <c r="CN198" s="564"/>
      <c r="CO198" s="564"/>
      <c r="CP198" s="564"/>
      <c r="CQ198" s="564"/>
      <c r="CR198" s="564"/>
      <c r="CS198" s="564"/>
      <c r="CT198" s="568"/>
      <c r="CU198" s="563"/>
      <c r="CV198" s="564"/>
      <c r="CW198" s="568"/>
      <c r="CX198" s="563"/>
      <c r="CY198" s="564"/>
      <c r="CZ198" s="568"/>
      <c r="DA198" s="563"/>
      <c r="DB198" s="564"/>
      <c r="DC198" s="564"/>
      <c r="DD198" s="564"/>
      <c r="DE198" s="564"/>
      <c r="DF198" s="564"/>
      <c r="DG198" s="564"/>
      <c r="DH198" s="564"/>
      <c r="DI198" s="564"/>
      <c r="DJ198" s="564"/>
      <c r="DK198" s="564"/>
      <c r="DL198" s="564"/>
      <c r="DM198" s="564"/>
      <c r="DN198" s="564"/>
      <c r="DO198" s="564"/>
      <c r="DP198" s="564"/>
      <c r="DQ198" s="564"/>
      <c r="DR198" s="564"/>
      <c r="DS198" s="569"/>
      <c r="DT198" s="564"/>
      <c r="DU198" s="569"/>
      <c r="DV198" s="568"/>
      <c r="DW198" s="563"/>
      <c r="DX198" s="564"/>
      <c r="DY198" s="564"/>
      <c r="DZ198" s="564"/>
      <c r="EA198" s="564"/>
      <c r="EB198" s="564"/>
      <c r="EC198" s="564"/>
      <c r="ED198" s="564"/>
      <c r="EE198" s="564"/>
      <c r="EF198" s="564"/>
      <c r="EG198" s="564"/>
      <c r="EH198" s="564"/>
      <c r="EI198" s="564"/>
      <c r="EJ198" s="564"/>
      <c r="EK198" s="564"/>
      <c r="EL198" s="564"/>
      <c r="EM198" s="564"/>
      <c r="EN198" s="564"/>
      <c r="EO198" s="564"/>
      <c r="EP198" s="564"/>
      <c r="EQ198" s="564"/>
      <c r="ER198" s="564"/>
      <c r="ES198" s="564"/>
      <c r="ET198" s="564"/>
      <c r="EU198" s="564"/>
      <c r="EV198" s="564"/>
      <c r="EW198" s="564"/>
      <c r="EX198" s="564"/>
      <c r="EY198" s="564"/>
      <c r="EZ198" s="239"/>
      <c r="FA198" s="564"/>
      <c r="FB198" s="564"/>
      <c r="FC198" s="564"/>
      <c r="FD198" s="564"/>
      <c r="FE198" s="564"/>
      <c r="FF198" s="564"/>
      <c r="FG198" s="564"/>
      <c r="FH198" s="564"/>
      <c r="FI198" s="564"/>
      <c r="FJ198" s="564"/>
      <c r="FK198" s="564"/>
      <c r="FL198" s="564"/>
      <c r="FM198" s="564"/>
      <c r="FN198" s="569"/>
      <c r="FO198" s="564"/>
      <c r="FP198" s="564"/>
      <c r="FQ198" s="564"/>
      <c r="FR198" s="564"/>
      <c r="FS198" s="564"/>
      <c r="FT198" s="564"/>
      <c r="FU198" s="564"/>
      <c r="FV198" s="564"/>
      <c r="FW198" s="564"/>
      <c r="FX198" s="564"/>
      <c r="FY198" s="564"/>
      <c r="FZ198" s="564"/>
      <c r="GA198" s="564"/>
      <c r="GB198" s="564"/>
      <c r="GC198" s="564"/>
      <c r="GD198" s="564"/>
      <c r="GE198" s="564"/>
      <c r="GF198" s="564"/>
      <c r="GG198" s="564"/>
      <c r="GH198" s="564"/>
      <c r="GI198" s="564"/>
      <c r="GJ198" s="564"/>
      <c r="GK198" s="564"/>
      <c r="GL198" s="564"/>
      <c r="GM198" s="564"/>
      <c r="GN198" s="564"/>
      <c r="GO198" s="564"/>
      <c r="GP198" s="564"/>
      <c r="GQ198" s="564"/>
      <c r="GR198" s="564"/>
      <c r="GS198" s="564"/>
      <c r="GT198" s="564"/>
      <c r="GU198" s="564"/>
      <c r="GV198" s="569"/>
      <c r="GW198" s="564"/>
      <c r="GX198" s="564"/>
      <c r="GY198" s="564"/>
      <c r="GZ198" s="564"/>
      <c r="HA198" s="564"/>
      <c r="HB198" s="564"/>
      <c r="HC198" s="564"/>
      <c r="HD198" s="564"/>
      <c r="HE198" s="564"/>
      <c r="HF198" s="564"/>
      <c r="HG198" s="564"/>
      <c r="HH198" s="564"/>
      <c r="HI198" s="564"/>
      <c r="HJ198" s="564"/>
      <c r="HK198" s="569"/>
      <c r="HL198" s="564" t="s">
        <v>36155</v>
      </c>
      <c r="HM198" s="564" t="s">
        <v>7</v>
      </c>
      <c r="HN198" s="571" t="s">
        <v>36156</v>
      </c>
      <c r="HO198" s="564" t="s">
        <v>16</v>
      </c>
      <c r="HP198" s="564" t="s">
        <v>36157</v>
      </c>
      <c r="HQ198" s="564" t="s">
        <v>36158</v>
      </c>
      <c r="HR198" s="564" t="s">
        <v>36159</v>
      </c>
      <c r="HS198" s="564" t="s">
        <v>36160</v>
      </c>
      <c r="HT198" s="568" t="s">
        <v>36161</v>
      </c>
    </row>
    <row r="199" spans="1:228" ht="30.2" customHeight="1" x14ac:dyDescent="0.25">
      <c r="A199" s="759"/>
      <c r="B199" s="563">
        <v>92</v>
      </c>
      <c r="C199" s="563" t="s">
        <v>23597</v>
      </c>
      <c r="D199" s="564" t="s">
        <v>34405</v>
      </c>
      <c r="E199" s="564" t="s">
        <v>70</v>
      </c>
      <c r="F199" s="564" t="s">
        <v>7</v>
      </c>
      <c r="G199" s="564" t="s">
        <v>34406</v>
      </c>
      <c r="H199" s="564">
        <v>1299.7</v>
      </c>
      <c r="I199" s="564">
        <v>3.4</v>
      </c>
      <c r="J199" s="564" t="s">
        <v>29288</v>
      </c>
      <c r="K199" s="564" t="s">
        <v>4</v>
      </c>
      <c r="L199" s="564" t="s">
        <v>23598</v>
      </c>
      <c r="M199" s="564">
        <v>777640139</v>
      </c>
      <c r="N199" s="564" t="s">
        <v>3</v>
      </c>
      <c r="O199" s="564" t="s">
        <v>31438</v>
      </c>
      <c r="P199" s="564">
        <v>58</v>
      </c>
      <c r="Q199" s="564">
        <v>7</v>
      </c>
      <c r="R199" s="564" t="s">
        <v>7</v>
      </c>
      <c r="S199" s="564" t="s">
        <v>31549</v>
      </c>
      <c r="T199" s="564" t="s">
        <v>4</v>
      </c>
      <c r="U199" s="564" t="s">
        <v>2</v>
      </c>
      <c r="V199" s="564" t="s">
        <v>4</v>
      </c>
      <c r="W199" s="564" t="s">
        <v>4</v>
      </c>
      <c r="X199" s="564" t="s">
        <v>4</v>
      </c>
      <c r="Y199" s="564" t="s">
        <v>4</v>
      </c>
      <c r="Z199" s="565">
        <v>43210</v>
      </c>
      <c r="AA199" s="557" t="str">
        <f>IF(OR(U199="yes",Z199&gt;'SDG outcome'!$C$39),"yes","no")</f>
        <v>no</v>
      </c>
      <c r="AB199" s="565" t="str">
        <f t="shared" si="6"/>
        <v/>
      </c>
      <c r="AC199" s="566" t="str">
        <f>IF(AND('SMS p2'!AA104="no",AND(Z199&gt;='SDG outcome'!$B$28,Z199&lt;'SDG outcome'!$C$39)),Z199-'SDG outcome'!$B$28,"")</f>
        <v/>
      </c>
      <c r="AD199" s="564" t="s">
        <v>31842</v>
      </c>
      <c r="AE199" s="564" t="s">
        <v>4</v>
      </c>
      <c r="AF199" s="564" t="s">
        <v>4</v>
      </c>
      <c r="AG199" s="564" t="s">
        <v>4</v>
      </c>
      <c r="AH199" s="564" t="s">
        <v>4</v>
      </c>
      <c r="AI199" s="564" t="s">
        <v>4</v>
      </c>
      <c r="AJ199" s="564" t="s">
        <v>4</v>
      </c>
      <c r="AK199" s="564" t="s">
        <v>4</v>
      </c>
      <c r="AL199" s="564"/>
      <c r="AM199" s="564"/>
      <c r="AN199" s="564"/>
      <c r="AO199" s="564"/>
      <c r="AP199" s="564"/>
      <c r="AQ199" s="564"/>
      <c r="AR199" s="564"/>
      <c r="AS199" s="564"/>
      <c r="AT199" s="564"/>
      <c r="AU199" s="564"/>
      <c r="AV199" s="564"/>
      <c r="AW199" s="564"/>
      <c r="AX199" s="564"/>
      <c r="AY199" s="564"/>
      <c r="AZ199" s="564"/>
      <c r="BA199" s="564"/>
      <c r="BB199" s="564"/>
      <c r="BC199" s="564"/>
      <c r="BD199" s="564"/>
      <c r="BE199" s="564"/>
      <c r="BF199" s="564"/>
      <c r="BG199" s="564"/>
      <c r="BH199" s="564"/>
      <c r="BI199" s="564"/>
      <c r="BJ199" s="564"/>
      <c r="BK199" s="564"/>
      <c r="BL199" s="564"/>
      <c r="BM199" s="564"/>
      <c r="BN199" s="564"/>
      <c r="BO199" s="564"/>
      <c r="BP199" s="564"/>
      <c r="BQ199" s="564"/>
      <c r="BR199" s="567"/>
      <c r="BS199" s="564"/>
      <c r="BT199" s="564"/>
      <c r="BU199" s="564"/>
      <c r="BV199" s="564"/>
      <c r="BW199" s="567"/>
      <c r="BX199" s="564"/>
      <c r="BY199" s="564"/>
      <c r="BZ199" s="564"/>
      <c r="CA199" s="564"/>
      <c r="CB199" s="564"/>
      <c r="CC199" s="564"/>
      <c r="CD199" s="564"/>
      <c r="CE199" s="564"/>
      <c r="CF199" s="564"/>
      <c r="CG199" s="564"/>
      <c r="CH199" s="564"/>
      <c r="CI199" s="564"/>
      <c r="CJ199" s="564"/>
      <c r="CK199" s="564"/>
      <c r="CL199" s="564"/>
      <c r="CM199" s="564"/>
      <c r="CN199" s="564"/>
      <c r="CO199" s="564"/>
      <c r="CP199" s="564"/>
      <c r="CQ199" s="564"/>
      <c r="CR199" s="564"/>
      <c r="CS199" s="564"/>
      <c r="CT199" s="568"/>
      <c r="CU199" s="563"/>
      <c r="CV199" s="564"/>
      <c r="CW199" s="568"/>
      <c r="CX199" s="563"/>
      <c r="CY199" s="564"/>
      <c r="CZ199" s="568"/>
      <c r="DA199" s="563"/>
      <c r="DB199" s="564"/>
      <c r="DC199" s="564"/>
      <c r="DD199" s="564"/>
      <c r="DE199" s="564"/>
      <c r="DF199" s="564"/>
      <c r="DG199" s="564"/>
      <c r="DH199" s="564"/>
      <c r="DI199" s="564"/>
      <c r="DJ199" s="564"/>
      <c r="DK199" s="564"/>
      <c r="DL199" s="564"/>
      <c r="DM199" s="564"/>
      <c r="DN199" s="564"/>
      <c r="DO199" s="564"/>
      <c r="DP199" s="564"/>
      <c r="DQ199" s="564"/>
      <c r="DR199" s="564"/>
      <c r="DS199" s="569"/>
      <c r="DT199" s="564"/>
      <c r="DU199" s="569"/>
      <c r="DV199" s="568"/>
      <c r="DW199" s="563"/>
      <c r="DX199" s="564"/>
      <c r="DY199" s="564"/>
      <c r="DZ199" s="564"/>
      <c r="EA199" s="564"/>
      <c r="EB199" s="564"/>
      <c r="EC199" s="564"/>
      <c r="ED199" s="564"/>
      <c r="EE199" s="564"/>
      <c r="EF199" s="564"/>
      <c r="EG199" s="564"/>
      <c r="EH199" s="564"/>
      <c r="EI199" s="564"/>
      <c r="EJ199" s="564"/>
      <c r="EK199" s="564"/>
      <c r="EL199" s="564"/>
      <c r="EM199" s="564"/>
      <c r="EN199" s="564"/>
      <c r="EO199" s="564"/>
      <c r="EP199" s="564"/>
      <c r="EQ199" s="564"/>
      <c r="ER199" s="564"/>
      <c r="ES199" s="564"/>
      <c r="ET199" s="564"/>
      <c r="EU199" s="564"/>
      <c r="EV199" s="564"/>
      <c r="EW199" s="564"/>
      <c r="EX199" s="564"/>
      <c r="EY199" s="564"/>
      <c r="EZ199" s="239"/>
      <c r="FA199" s="564"/>
      <c r="FB199" s="564"/>
      <c r="FC199" s="564"/>
      <c r="FD199" s="564"/>
      <c r="FE199" s="564"/>
      <c r="FF199" s="564"/>
      <c r="FG199" s="564"/>
      <c r="FH199" s="564"/>
      <c r="FI199" s="564"/>
      <c r="FJ199" s="564"/>
      <c r="FK199" s="564"/>
      <c r="FL199" s="564"/>
      <c r="FM199" s="564"/>
      <c r="FN199" s="569"/>
      <c r="FO199" s="564"/>
      <c r="FP199" s="564"/>
      <c r="FQ199" s="564"/>
      <c r="FR199" s="564"/>
      <c r="FS199" s="564"/>
      <c r="FT199" s="564"/>
      <c r="FU199" s="564"/>
      <c r="FV199" s="564"/>
      <c r="FW199" s="564"/>
      <c r="FX199" s="564"/>
      <c r="FY199" s="564"/>
      <c r="FZ199" s="564"/>
      <c r="GA199" s="564"/>
      <c r="GB199" s="564"/>
      <c r="GC199" s="564"/>
      <c r="GD199" s="564"/>
      <c r="GE199" s="564"/>
      <c r="GF199" s="564"/>
      <c r="GG199" s="564"/>
      <c r="GH199" s="564"/>
      <c r="GI199" s="564"/>
      <c r="GJ199" s="564"/>
      <c r="GK199" s="564"/>
      <c r="GL199" s="564"/>
      <c r="GM199" s="564"/>
      <c r="GN199" s="564"/>
      <c r="GO199" s="564"/>
      <c r="GP199" s="564"/>
      <c r="GQ199" s="564"/>
      <c r="GR199" s="564"/>
      <c r="GS199" s="564"/>
      <c r="GT199" s="564"/>
      <c r="GU199" s="564"/>
      <c r="GV199" s="569"/>
      <c r="GW199" s="564"/>
      <c r="GX199" s="564"/>
      <c r="GY199" s="564"/>
      <c r="GZ199" s="564"/>
      <c r="HA199" s="564"/>
      <c r="HB199" s="564"/>
      <c r="HC199" s="564"/>
      <c r="HD199" s="564"/>
      <c r="HE199" s="564"/>
      <c r="HF199" s="564"/>
      <c r="HG199" s="564"/>
      <c r="HH199" s="564"/>
      <c r="HI199" s="564"/>
      <c r="HJ199" s="564"/>
      <c r="HK199" s="569"/>
      <c r="HL199" s="564" t="s">
        <v>34407</v>
      </c>
      <c r="HM199" s="564" t="s">
        <v>7</v>
      </c>
      <c r="HN199" s="571" t="s">
        <v>34407</v>
      </c>
      <c r="HO199" s="564" t="s">
        <v>34407</v>
      </c>
      <c r="HP199" s="564" t="s">
        <v>34408</v>
      </c>
      <c r="HQ199" s="564" t="s">
        <v>16</v>
      </c>
      <c r="HR199" s="564" t="s">
        <v>34409</v>
      </c>
      <c r="HS199" s="564" t="s">
        <v>34410</v>
      </c>
      <c r="HT199" s="568" t="s">
        <v>34405</v>
      </c>
    </row>
    <row r="200" spans="1:228" ht="30.2" customHeight="1" x14ac:dyDescent="0.25">
      <c r="A200" s="759"/>
      <c r="B200" s="563">
        <v>261</v>
      </c>
      <c r="C200" s="563" t="s">
        <v>4436</v>
      </c>
      <c r="D200" s="564" t="s">
        <v>36206</v>
      </c>
      <c r="E200" s="564" t="s">
        <v>30638</v>
      </c>
      <c r="F200" s="564" t="s">
        <v>7</v>
      </c>
      <c r="G200" s="564" t="s">
        <v>36207</v>
      </c>
      <c r="H200" s="564">
        <v>1170.2177730000001</v>
      </c>
      <c r="I200" s="564">
        <v>4.2880000000000003</v>
      </c>
      <c r="J200" s="564" t="s">
        <v>29288</v>
      </c>
      <c r="K200" s="564" t="s">
        <v>4</v>
      </c>
      <c r="L200" s="564" t="s">
        <v>36208</v>
      </c>
      <c r="M200" s="564">
        <v>70376035</v>
      </c>
      <c r="N200" s="564" t="s">
        <v>3</v>
      </c>
      <c r="O200" s="564" t="s">
        <v>31438</v>
      </c>
      <c r="P200" s="564">
        <v>60</v>
      </c>
      <c r="Q200" s="564">
        <v>11</v>
      </c>
      <c r="R200" s="564" t="s">
        <v>7</v>
      </c>
      <c r="S200" s="564" t="s">
        <v>31549</v>
      </c>
      <c r="T200" s="564" t="s">
        <v>4</v>
      </c>
      <c r="U200" s="564" t="s">
        <v>2</v>
      </c>
      <c r="V200" s="564" t="s">
        <v>4</v>
      </c>
      <c r="W200" s="564" t="s">
        <v>4</v>
      </c>
      <c r="X200" s="564" t="s">
        <v>4</v>
      </c>
      <c r="Y200" s="564" t="s">
        <v>4</v>
      </c>
      <c r="Z200" s="565">
        <v>41535</v>
      </c>
      <c r="AA200" s="557" t="str">
        <f>IF(OR(U200="yes",Z200&gt;'SDG outcome'!$C$39),"yes","no")</f>
        <v>no</v>
      </c>
      <c r="AB200" s="565" t="str">
        <f t="shared" si="6"/>
        <v/>
      </c>
      <c r="AC200" s="566" t="str">
        <f>IF(AND('SMS p2'!AA271="no",AND(Z200&gt;='SDG outcome'!$B$28,Z200&lt;'SDG outcome'!$C$39)),Z200-'SDG outcome'!$B$28,"")</f>
        <v/>
      </c>
      <c r="AD200" s="564" t="s">
        <v>31842</v>
      </c>
      <c r="AE200" s="564" t="s">
        <v>4</v>
      </c>
      <c r="AF200" s="564" t="s">
        <v>4</v>
      </c>
      <c r="AG200" s="564" t="s">
        <v>4</v>
      </c>
      <c r="AH200" s="564" t="s">
        <v>4</v>
      </c>
      <c r="AI200" s="564" t="s">
        <v>4</v>
      </c>
      <c r="AJ200" s="565" t="s">
        <v>4</v>
      </c>
      <c r="AK200" s="564" t="s">
        <v>4</v>
      </c>
      <c r="AL200" s="564"/>
      <c r="AM200" s="564"/>
      <c r="AN200" s="564"/>
      <c r="AO200" s="564"/>
      <c r="AP200" s="564"/>
      <c r="AQ200" s="564"/>
      <c r="AR200" s="564"/>
      <c r="AS200" s="564"/>
      <c r="AT200" s="564"/>
      <c r="AU200" s="564"/>
      <c r="AV200" s="564"/>
      <c r="AW200" s="564"/>
      <c r="AX200" s="564"/>
      <c r="AY200" s="564"/>
      <c r="AZ200" s="564"/>
      <c r="BA200" s="564"/>
      <c r="BB200" s="564"/>
      <c r="BC200" s="564"/>
      <c r="BD200" s="564"/>
      <c r="BE200" s="564"/>
      <c r="BF200" s="564"/>
      <c r="BG200" s="564"/>
      <c r="BH200" s="564"/>
      <c r="BI200" s="564"/>
      <c r="BJ200" s="564"/>
      <c r="BK200" s="564"/>
      <c r="BL200" s="564"/>
      <c r="BM200" s="564"/>
      <c r="BN200" s="564"/>
      <c r="BO200" s="564"/>
      <c r="BP200" s="564"/>
      <c r="BQ200" s="564"/>
      <c r="BR200" s="567"/>
      <c r="BS200" s="564"/>
      <c r="BT200" s="564"/>
      <c r="BU200" s="569"/>
      <c r="BV200" s="564"/>
      <c r="BW200" s="579"/>
      <c r="BX200" s="569"/>
      <c r="BY200" s="569"/>
      <c r="BZ200" s="569"/>
      <c r="CA200" s="569"/>
      <c r="CB200" s="569"/>
      <c r="CC200" s="569"/>
      <c r="CD200" s="569"/>
      <c r="CE200" s="569"/>
      <c r="CF200" s="569"/>
      <c r="CG200" s="569"/>
      <c r="CH200" s="569"/>
      <c r="CI200" s="569"/>
      <c r="CJ200" s="569"/>
      <c r="CK200" s="569"/>
      <c r="CL200" s="569"/>
      <c r="CM200" s="569"/>
      <c r="CN200" s="569"/>
      <c r="CO200" s="569"/>
      <c r="CP200" s="569"/>
      <c r="CQ200" s="569"/>
      <c r="CR200" s="569"/>
      <c r="CS200" s="569"/>
      <c r="CT200" s="580"/>
      <c r="CU200" s="581"/>
      <c r="CV200" s="569"/>
      <c r="CW200" s="580"/>
      <c r="CX200" s="581"/>
      <c r="CY200" s="569"/>
      <c r="CZ200" s="580"/>
      <c r="DA200" s="581"/>
      <c r="DB200" s="569"/>
      <c r="DC200" s="569"/>
      <c r="DD200" s="569"/>
      <c r="DE200" s="569"/>
      <c r="DF200" s="569"/>
      <c r="DG200" s="569"/>
      <c r="DH200" s="569"/>
      <c r="DI200" s="569"/>
      <c r="DJ200" s="569"/>
      <c r="DK200" s="569"/>
      <c r="DL200" s="569"/>
      <c r="DM200" s="569"/>
      <c r="DN200" s="569"/>
      <c r="DO200" s="569"/>
      <c r="DP200" s="569"/>
      <c r="DQ200" s="569"/>
      <c r="DR200" s="569"/>
      <c r="DS200" s="569"/>
      <c r="DT200" s="569"/>
      <c r="DU200" s="569"/>
      <c r="DV200" s="580"/>
      <c r="DW200" s="581"/>
      <c r="DX200" s="569"/>
      <c r="DY200" s="569"/>
      <c r="DZ200" s="569"/>
      <c r="EA200" s="569"/>
      <c r="EB200" s="569"/>
      <c r="EC200" s="569"/>
      <c r="ED200" s="569"/>
      <c r="EE200" s="569"/>
      <c r="EF200" s="569"/>
      <c r="EG200" s="569"/>
      <c r="EH200" s="569"/>
      <c r="EI200" s="569"/>
      <c r="EJ200" s="569"/>
      <c r="EK200" s="569"/>
      <c r="EL200" s="569"/>
      <c r="EM200" s="569"/>
      <c r="EN200" s="569"/>
      <c r="EO200" s="569"/>
      <c r="EP200" s="569"/>
      <c r="EQ200" s="569"/>
      <c r="ER200" s="569"/>
      <c r="ES200" s="569"/>
      <c r="ET200" s="569"/>
      <c r="EU200" s="569"/>
      <c r="EV200" s="569"/>
      <c r="EW200" s="569"/>
      <c r="EX200" s="569"/>
      <c r="EY200" s="569"/>
      <c r="EZ200" s="239"/>
      <c r="FA200" s="569"/>
      <c r="FB200" s="569"/>
      <c r="FC200" s="569"/>
      <c r="FD200" s="569"/>
      <c r="FE200" s="569"/>
      <c r="FF200" s="569"/>
      <c r="FG200" s="569"/>
      <c r="FH200" s="569"/>
      <c r="FI200" s="569"/>
      <c r="FJ200" s="569"/>
      <c r="FK200" s="569"/>
      <c r="FL200" s="569"/>
      <c r="FM200" s="569"/>
      <c r="FN200" s="569"/>
      <c r="FO200" s="569"/>
      <c r="FP200" s="569"/>
      <c r="FQ200" s="569"/>
      <c r="FR200" s="569"/>
      <c r="FS200" s="569"/>
      <c r="FT200" s="569"/>
      <c r="FU200" s="569"/>
      <c r="FV200" s="569"/>
      <c r="FW200" s="569"/>
      <c r="FX200" s="569"/>
      <c r="FY200" s="569"/>
      <c r="FZ200" s="569"/>
      <c r="GA200" s="569"/>
      <c r="GB200" s="569"/>
      <c r="GC200" s="569"/>
      <c r="GD200" s="569"/>
      <c r="GE200" s="569"/>
      <c r="GF200" s="569"/>
      <c r="GG200" s="569"/>
      <c r="GH200" s="569"/>
      <c r="GI200" s="569"/>
      <c r="GJ200" s="569"/>
      <c r="GK200" s="569"/>
      <c r="GL200" s="569"/>
      <c r="GM200" s="569"/>
      <c r="GN200" s="569"/>
      <c r="GO200" s="569"/>
      <c r="GP200" s="569"/>
      <c r="GQ200" s="569"/>
      <c r="GR200" s="569"/>
      <c r="GS200" s="569"/>
      <c r="GT200" s="569"/>
      <c r="GU200" s="569"/>
      <c r="GV200" s="569"/>
      <c r="GW200" s="569"/>
      <c r="GX200" s="569"/>
      <c r="GY200" s="569"/>
      <c r="GZ200" s="569"/>
      <c r="HA200" s="569"/>
      <c r="HB200" s="569"/>
      <c r="HC200" s="569"/>
      <c r="HD200" s="569"/>
      <c r="HE200" s="569"/>
      <c r="HF200" s="569"/>
      <c r="HG200" s="569"/>
      <c r="HH200" s="569"/>
      <c r="HI200" s="569"/>
      <c r="HJ200" s="569"/>
      <c r="HK200" s="569"/>
      <c r="HL200" s="564" t="s">
        <v>36209</v>
      </c>
      <c r="HM200" s="564" t="s">
        <v>7</v>
      </c>
      <c r="HN200" s="564" t="s">
        <v>36210</v>
      </c>
      <c r="HO200" s="564" t="s">
        <v>36211</v>
      </c>
      <c r="HP200" s="564" t="s">
        <v>36212</v>
      </c>
      <c r="HQ200" s="564" t="s">
        <v>36213</v>
      </c>
      <c r="HR200" s="564" t="s">
        <v>36214</v>
      </c>
      <c r="HS200" s="564" t="s">
        <v>4</v>
      </c>
      <c r="HT200" s="568" t="s">
        <v>36206</v>
      </c>
    </row>
    <row r="201" spans="1:228" ht="30.2" customHeight="1" x14ac:dyDescent="0.25">
      <c r="A201" s="759"/>
      <c r="B201" s="563">
        <v>5</v>
      </c>
      <c r="C201" s="563" t="s">
        <v>28780</v>
      </c>
      <c r="D201" s="564" t="s">
        <v>33392</v>
      </c>
      <c r="E201" s="564" t="s">
        <v>29286</v>
      </c>
      <c r="F201" s="564" t="s">
        <v>7</v>
      </c>
      <c r="G201" s="564" t="s">
        <v>33393</v>
      </c>
      <c r="H201" s="564">
        <v>1092.31</v>
      </c>
      <c r="I201" s="564">
        <v>1.8741140000000001</v>
      </c>
      <c r="J201" s="564" t="s">
        <v>29288</v>
      </c>
      <c r="K201" s="564" t="s">
        <v>4</v>
      </c>
      <c r="L201" s="564" t="s">
        <v>33394</v>
      </c>
      <c r="M201" s="564">
        <v>784128239</v>
      </c>
      <c r="N201" s="564" t="s">
        <v>3</v>
      </c>
      <c r="O201" s="564" t="s">
        <v>31438</v>
      </c>
      <c r="P201" s="564">
        <v>40</v>
      </c>
      <c r="Q201" s="564">
        <v>5</v>
      </c>
      <c r="R201" s="564" t="s">
        <v>7</v>
      </c>
      <c r="S201" s="564" t="s">
        <v>31562</v>
      </c>
      <c r="T201" s="564" t="s">
        <v>4</v>
      </c>
      <c r="U201" s="564" t="s">
        <v>2</v>
      </c>
      <c r="V201" s="564" t="s">
        <v>4</v>
      </c>
      <c r="W201" s="564" t="s">
        <v>4</v>
      </c>
      <c r="X201" s="564" t="s">
        <v>4</v>
      </c>
      <c r="Y201" s="564" t="s">
        <v>4</v>
      </c>
      <c r="Z201" s="565">
        <v>43936</v>
      </c>
      <c r="AA201" s="557" t="str">
        <f>IF(OR(U201="yes",Z201&gt;'SDG outcome'!$C$39),"yes","no")</f>
        <v>no</v>
      </c>
      <c r="AB201" s="565" t="str">
        <f t="shared" si="6"/>
        <v/>
      </c>
      <c r="AC201" s="566" t="str">
        <f>IF(AND('SMS p2'!AA17="no",AND(Z201&gt;='SDG outcome'!$B$28,Z201&lt;'SDG outcome'!$C$39)),Z201-'SDG outcome'!$B$28,"")</f>
        <v/>
      </c>
      <c r="AD201" s="564" t="s">
        <v>8</v>
      </c>
      <c r="AE201" s="564" t="s">
        <v>33395</v>
      </c>
      <c r="AF201" s="564" t="s">
        <v>4</v>
      </c>
      <c r="AG201" s="564" t="s">
        <v>4</v>
      </c>
      <c r="AH201" s="564" t="s">
        <v>4</v>
      </c>
      <c r="AI201" s="564" t="s">
        <v>4</v>
      </c>
      <c r="AJ201" s="564" t="s">
        <v>4</v>
      </c>
      <c r="AK201" s="564" t="s">
        <v>4</v>
      </c>
      <c r="AL201" s="564"/>
      <c r="AM201" s="564"/>
      <c r="AN201" s="564"/>
      <c r="AO201" s="564"/>
      <c r="AP201" s="564"/>
      <c r="AQ201" s="564"/>
      <c r="AR201" s="564"/>
      <c r="AS201" s="564"/>
      <c r="AT201" s="564"/>
      <c r="AU201" s="564"/>
      <c r="AV201" s="564"/>
      <c r="AW201" s="564"/>
      <c r="AX201" s="564"/>
      <c r="AY201" s="564"/>
      <c r="AZ201" s="564"/>
      <c r="BA201" s="564"/>
      <c r="BB201" s="564"/>
      <c r="BC201" s="564"/>
      <c r="BD201" s="564"/>
      <c r="BE201" s="564"/>
      <c r="BF201" s="564"/>
      <c r="BG201" s="564"/>
      <c r="BH201" s="564"/>
      <c r="BI201" s="564"/>
      <c r="BJ201" s="564"/>
      <c r="BK201" s="564"/>
      <c r="BL201" s="564"/>
      <c r="BM201" s="564"/>
      <c r="BN201" s="564"/>
      <c r="BO201" s="564"/>
      <c r="BP201" s="564"/>
      <c r="BQ201" s="564"/>
      <c r="BR201" s="567"/>
      <c r="BS201" s="564"/>
      <c r="BT201" s="564"/>
      <c r="BU201" s="564"/>
      <c r="BV201" s="564"/>
      <c r="BW201" s="567"/>
      <c r="BX201" s="564"/>
      <c r="BY201" s="564"/>
      <c r="BZ201" s="564"/>
      <c r="CA201" s="564"/>
      <c r="CB201" s="564"/>
      <c r="CC201" s="564"/>
      <c r="CD201" s="564"/>
      <c r="CE201" s="564"/>
      <c r="CF201" s="564"/>
      <c r="CG201" s="564"/>
      <c r="CH201" s="564"/>
      <c r="CI201" s="564"/>
      <c r="CJ201" s="564"/>
      <c r="CK201" s="564"/>
      <c r="CL201" s="564"/>
      <c r="CM201" s="564"/>
      <c r="CN201" s="564"/>
      <c r="CO201" s="564"/>
      <c r="CP201" s="564"/>
      <c r="CQ201" s="564"/>
      <c r="CR201" s="564"/>
      <c r="CS201" s="564"/>
      <c r="CT201" s="568"/>
      <c r="CU201" s="563"/>
      <c r="CV201" s="564"/>
      <c r="CW201" s="568"/>
      <c r="CX201" s="563"/>
      <c r="CY201" s="564"/>
      <c r="CZ201" s="568"/>
      <c r="DA201" s="563"/>
      <c r="DB201" s="564"/>
      <c r="DC201" s="564"/>
      <c r="DD201" s="564"/>
      <c r="DE201" s="564"/>
      <c r="DF201" s="564"/>
      <c r="DG201" s="564"/>
      <c r="DH201" s="564"/>
      <c r="DI201" s="564"/>
      <c r="DJ201" s="564"/>
      <c r="DK201" s="564"/>
      <c r="DL201" s="564"/>
      <c r="DM201" s="564"/>
      <c r="DN201" s="564"/>
      <c r="DO201" s="564"/>
      <c r="DP201" s="564"/>
      <c r="DQ201" s="564"/>
      <c r="DR201" s="564"/>
      <c r="DS201" s="569"/>
      <c r="DT201" s="564"/>
      <c r="DU201" s="569"/>
      <c r="DV201" s="568"/>
      <c r="DW201" s="563"/>
      <c r="DX201" s="564"/>
      <c r="DY201" s="564"/>
      <c r="DZ201" s="564"/>
      <c r="EA201" s="564"/>
      <c r="EB201" s="564"/>
      <c r="EC201" s="564"/>
      <c r="ED201" s="564"/>
      <c r="EE201" s="564"/>
      <c r="EF201" s="564"/>
      <c r="EG201" s="564"/>
      <c r="EH201" s="564"/>
      <c r="EI201" s="564"/>
      <c r="EJ201" s="564"/>
      <c r="EK201" s="564"/>
      <c r="EL201" s="564"/>
      <c r="EM201" s="564"/>
      <c r="EN201" s="564"/>
      <c r="EO201" s="564"/>
      <c r="EP201" s="564"/>
      <c r="EQ201" s="564"/>
      <c r="ER201" s="564"/>
      <c r="ES201" s="564"/>
      <c r="ET201" s="564"/>
      <c r="EU201" s="564"/>
      <c r="EV201" s="564"/>
      <c r="EW201" s="564"/>
      <c r="EX201" s="564"/>
      <c r="EY201" s="564"/>
      <c r="EZ201" s="239"/>
      <c r="FA201" s="564"/>
      <c r="FB201" s="564"/>
      <c r="FC201" s="564"/>
      <c r="FD201" s="564"/>
      <c r="FE201" s="564"/>
      <c r="FF201" s="564"/>
      <c r="FG201" s="564"/>
      <c r="FH201" s="564"/>
      <c r="FI201" s="564"/>
      <c r="FJ201" s="564"/>
      <c r="FK201" s="564"/>
      <c r="FL201" s="564"/>
      <c r="FM201" s="564"/>
      <c r="FN201" s="569"/>
      <c r="FO201" s="564"/>
      <c r="FP201" s="564"/>
      <c r="FQ201" s="564"/>
      <c r="FR201" s="564"/>
      <c r="FS201" s="564"/>
      <c r="FT201" s="564"/>
      <c r="FU201" s="564"/>
      <c r="FV201" s="564"/>
      <c r="FW201" s="564"/>
      <c r="FX201" s="564"/>
      <c r="FY201" s="564"/>
      <c r="FZ201" s="564"/>
      <c r="GA201" s="564"/>
      <c r="GB201" s="564"/>
      <c r="GC201" s="564"/>
      <c r="GD201" s="564"/>
      <c r="GE201" s="564"/>
      <c r="GF201" s="564"/>
      <c r="GG201" s="564"/>
      <c r="GH201" s="564"/>
      <c r="GI201" s="564"/>
      <c r="GJ201" s="564"/>
      <c r="GK201" s="564"/>
      <c r="GL201" s="564"/>
      <c r="GM201" s="564"/>
      <c r="GN201" s="564"/>
      <c r="GO201" s="564"/>
      <c r="GP201" s="564"/>
      <c r="GQ201" s="564"/>
      <c r="GR201" s="564"/>
      <c r="GS201" s="564"/>
      <c r="GT201" s="564"/>
      <c r="GU201" s="564"/>
      <c r="GV201" s="569"/>
      <c r="GW201" s="564"/>
      <c r="GX201" s="564"/>
      <c r="GY201" s="564"/>
      <c r="GZ201" s="564"/>
      <c r="HA201" s="564"/>
      <c r="HB201" s="564"/>
      <c r="HC201" s="564"/>
      <c r="HD201" s="564"/>
      <c r="HE201" s="564"/>
      <c r="HF201" s="564"/>
      <c r="HG201" s="564"/>
      <c r="HH201" s="564"/>
      <c r="HI201" s="564"/>
      <c r="HJ201" s="564"/>
      <c r="HK201" s="569"/>
      <c r="HL201" s="564" t="s">
        <v>33396</v>
      </c>
      <c r="HM201" s="564" t="s">
        <v>7</v>
      </c>
      <c r="HN201" s="571" t="s">
        <v>33397</v>
      </c>
      <c r="HO201" s="564" t="s">
        <v>33398</v>
      </c>
      <c r="HP201" s="564" t="s">
        <v>33399</v>
      </c>
      <c r="HQ201" s="564" t="s">
        <v>33400</v>
      </c>
      <c r="HR201" s="564" t="s">
        <v>33401</v>
      </c>
      <c r="HS201" s="564" t="s">
        <v>33402</v>
      </c>
      <c r="HT201" s="568" t="s">
        <v>33392</v>
      </c>
    </row>
    <row r="202" spans="1:228" ht="30.2" customHeight="1" x14ac:dyDescent="0.25">
      <c r="A202" s="759"/>
      <c r="B202" s="563">
        <v>14</v>
      </c>
      <c r="C202" s="563" t="s">
        <v>25338</v>
      </c>
      <c r="D202" s="564" t="s">
        <v>33503</v>
      </c>
      <c r="E202" s="564" t="s">
        <v>52</v>
      </c>
      <c r="F202" s="564" t="s">
        <v>7</v>
      </c>
      <c r="G202" s="564" t="s">
        <v>33504</v>
      </c>
      <c r="H202" s="564">
        <v>1635.3</v>
      </c>
      <c r="I202" s="564">
        <v>2.9</v>
      </c>
      <c r="J202" s="564" t="s">
        <v>29319</v>
      </c>
      <c r="K202" s="564" t="s">
        <v>4</v>
      </c>
      <c r="L202" s="564" t="s">
        <v>25339</v>
      </c>
      <c r="M202" s="564">
        <v>772610110</v>
      </c>
      <c r="N202" s="564" t="s">
        <v>5</v>
      </c>
      <c r="O202" s="564" t="s">
        <v>31598</v>
      </c>
      <c r="P202" s="564" t="s">
        <v>4</v>
      </c>
      <c r="Q202" s="564">
        <v>5</v>
      </c>
      <c r="R202" s="564" t="s">
        <v>7</v>
      </c>
      <c r="S202" s="564" t="s">
        <v>31588</v>
      </c>
      <c r="T202" s="564" t="s">
        <v>4</v>
      </c>
      <c r="U202" s="564" t="s">
        <v>2</v>
      </c>
      <c r="V202" s="564" t="s">
        <v>4</v>
      </c>
      <c r="W202" s="564" t="s">
        <v>4</v>
      </c>
      <c r="X202" s="564" t="s">
        <v>4</v>
      </c>
      <c r="Y202" s="564" t="s">
        <v>4</v>
      </c>
      <c r="Z202" s="565">
        <v>45159</v>
      </c>
      <c r="AA202" s="557" t="str">
        <f>IF(OR(U202="yes",Z202&gt;'SDG outcome'!$C$39),"yes","no")</f>
        <v>no</v>
      </c>
      <c r="AB202" s="565" t="str">
        <f t="shared" si="6"/>
        <v/>
      </c>
      <c r="AC202" s="566" t="str">
        <f>IF(AND('SMS p2'!AA26="no",AND(Z202&gt;='SDG outcome'!$B$28,Z202&lt;'SDG outcome'!$C$39)),Z202-'SDG outcome'!$B$28,"")</f>
        <v/>
      </c>
      <c r="AD202" s="564" t="s">
        <v>8</v>
      </c>
      <c r="AE202" s="564" t="s">
        <v>33505</v>
      </c>
      <c r="AF202" s="564" t="s">
        <v>4</v>
      </c>
      <c r="AG202" s="564" t="s">
        <v>4</v>
      </c>
      <c r="AH202" s="564" t="s">
        <v>4</v>
      </c>
      <c r="AI202" s="564" t="s">
        <v>4</v>
      </c>
      <c r="AJ202" s="564" t="s">
        <v>4</v>
      </c>
      <c r="AK202" s="564" t="s">
        <v>4</v>
      </c>
      <c r="AL202" s="564"/>
      <c r="AM202" s="564"/>
      <c r="AN202" s="564"/>
      <c r="AO202" s="564"/>
      <c r="AP202" s="564"/>
      <c r="AQ202" s="564"/>
      <c r="AR202" s="564"/>
      <c r="AS202" s="564"/>
      <c r="AT202" s="564"/>
      <c r="AU202" s="564"/>
      <c r="AV202" s="564"/>
      <c r="AW202" s="564"/>
      <c r="AX202" s="564"/>
      <c r="AY202" s="564"/>
      <c r="AZ202" s="564"/>
      <c r="BA202" s="564"/>
      <c r="BB202" s="564"/>
      <c r="BC202" s="564"/>
      <c r="BD202" s="564"/>
      <c r="BE202" s="564"/>
      <c r="BF202" s="564"/>
      <c r="BG202" s="564"/>
      <c r="BH202" s="564"/>
      <c r="BI202" s="564"/>
      <c r="BJ202" s="564"/>
      <c r="BK202" s="564"/>
      <c r="BL202" s="564"/>
      <c r="BM202" s="564"/>
      <c r="BN202" s="564"/>
      <c r="BO202" s="564"/>
      <c r="BP202" s="564"/>
      <c r="BQ202" s="564"/>
      <c r="BR202" s="567"/>
      <c r="BS202" s="564"/>
      <c r="BT202" s="564"/>
      <c r="BU202" s="564"/>
      <c r="BV202" s="564"/>
      <c r="BW202" s="567"/>
      <c r="BX202" s="564"/>
      <c r="BY202" s="564"/>
      <c r="BZ202" s="564"/>
      <c r="CA202" s="564"/>
      <c r="CB202" s="564"/>
      <c r="CC202" s="564"/>
      <c r="CD202" s="564"/>
      <c r="CE202" s="564"/>
      <c r="CF202" s="564"/>
      <c r="CG202" s="564"/>
      <c r="CH202" s="564"/>
      <c r="CI202" s="564"/>
      <c r="CJ202" s="564"/>
      <c r="CK202" s="564"/>
      <c r="CL202" s="564"/>
      <c r="CM202" s="564"/>
      <c r="CN202" s="564"/>
      <c r="CO202" s="564"/>
      <c r="CP202" s="564"/>
      <c r="CQ202" s="564"/>
      <c r="CR202" s="564"/>
      <c r="CS202" s="564"/>
      <c r="CT202" s="568"/>
      <c r="CU202" s="563"/>
      <c r="CV202" s="564"/>
      <c r="CW202" s="568"/>
      <c r="CX202" s="563"/>
      <c r="CY202" s="564"/>
      <c r="CZ202" s="568"/>
      <c r="DA202" s="563"/>
      <c r="DB202" s="564"/>
      <c r="DC202" s="564"/>
      <c r="DD202" s="564"/>
      <c r="DE202" s="564"/>
      <c r="DF202" s="564"/>
      <c r="DG202" s="564"/>
      <c r="DH202" s="564"/>
      <c r="DI202" s="564"/>
      <c r="DJ202" s="564"/>
      <c r="DK202" s="564"/>
      <c r="DL202" s="564"/>
      <c r="DM202" s="564"/>
      <c r="DN202" s="564"/>
      <c r="DO202" s="564"/>
      <c r="DP202" s="564"/>
      <c r="DQ202" s="564"/>
      <c r="DR202" s="564"/>
      <c r="DS202" s="569"/>
      <c r="DT202" s="564"/>
      <c r="DU202" s="569"/>
      <c r="DV202" s="568"/>
      <c r="DW202" s="563"/>
      <c r="DX202" s="564"/>
      <c r="DY202" s="564"/>
      <c r="DZ202" s="564"/>
      <c r="EA202" s="564"/>
      <c r="EB202" s="564"/>
      <c r="EC202" s="564"/>
      <c r="ED202" s="564"/>
      <c r="EE202" s="564"/>
      <c r="EF202" s="564"/>
      <c r="EG202" s="564"/>
      <c r="EH202" s="564"/>
      <c r="EI202" s="564"/>
      <c r="EJ202" s="564"/>
      <c r="EK202" s="564"/>
      <c r="EL202" s="564"/>
      <c r="EM202" s="564"/>
      <c r="EN202" s="564"/>
      <c r="EO202" s="564"/>
      <c r="EP202" s="564"/>
      <c r="EQ202" s="564"/>
      <c r="ER202" s="564"/>
      <c r="ES202" s="564"/>
      <c r="ET202" s="564"/>
      <c r="EU202" s="564"/>
      <c r="EV202" s="564"/>
      <c r="EW202" s="564"/>
      <c r="EX202" s="564"/>
      <c r="EY202" s="564"/>
      <c r="EZ202" s="239"/>
      <c r="FA202" s="564"/>
      <c r="FB202" s="564"/>
      <c r="FC202" s="564"/>
      <c r="FD202" s="564"/>
      <c r="FE202" s="564"/>
      <c r="FF202" s="564"/>
      <c r="FG202" s="564"/>
      <c r="FH202" s="564"/>
      <c r="FI202" s="564"/>
      <c r="FJ202" s="564"/>
      <c r="FK202" s="564"/>
      <c r="FL202" s="564"/>
      <c r="FM202" s="564"/>
      <c r="FN202" s="569"/>
      <c r="FO202" s="564"/>
      <c r="FP202" s="564"/>
      <c r="FQ202" s="564"/>
      <c r="FR202" s="564"/>
      <c r="FS202" s="564"/>
      <c r="FT202" s="564"/>
      <c r="FU202" s="564"/>
      <c r="FV202" s="564"/>
      <c r="FW202" s="564"/>
      <c r="FX202" s="564"/>
      <c r="FY202" s="564"/>
      <c r="FZ202" s="564"/>
      <c r="GA202" s="564"/>
      <c r="GB202" s="564"/>
      <c r="GC202" s="564"/>
      <c r="GD202" s="564"/>
      <c r="GE202" s="564"/>
      <c r="GF202" s="564"/>
      <c r="GG202" s="564"/>
      <c r="GH202" s="564"/>
      <c r="GI202" s="564"/>
      <c r="GJ202" s="564"/>
      <c r="GK202" s="564"/>
      <c r="GL202" s="564"/>
      <c r="GM202" s="564"/>
      <c r="GN202" s="564"/>
      <c r="GO202" s="564"/>
      <c r="GP202" s="564"/>
      <c r="GQ202" s="564"/>
      <c r="GR202" s="564"/>
      <c r="GS202" s="564"/>
      <c r="GT202" s="564"/>
      <c r="GU202" s="564"/>
      <c r="GV202" s="569"/>
      <c r="GW202" s="564"/>
      <c r="GX202" s="564"/>
      <c r="GY202" s="564"/>
      <c r="GZ202" s="564"/>
      <c r="HA202" s="564"/>
      <c r="HB202" s="564"/>
      <c r="HC202" s="564"/>
      <c r="HD202" s="564"/>
      <c r="HE202" s="564"/>
      <c r="HF202" s="564"/>
      <c r="HG202" s="564"/>
      <c r="HH202" s="564"/>
      <c r="HI202" s="564"/>
      <c r="HJ202" s="564"/>
      <c r="HK202" s="569"/>
      <c r="HL202" s="564" t="s">
        <v>33474</v>
      </c>
      <c r="HM202" s="564" t="s">
        <v>2</v>
      </c>
      <c r="HN202" s="571" t="s">
        <v>4</v>
      </c>
      <c r="HO202" s="564" t="s">
        <v>33506</v>
      </c>
      <c r="HP202" s="564" t="s">
        <v>33507</v>
      </c>
      <c r="HQ202" s="564" t="s">
        <v>33508</v>
      </c>
      <c r="HR202" s="564" t="s">
        <v>33509</v>
      </c>
      <c r="HS202" s="564" t="s">
        <v>16</v>
      </c>
      <c r="HT202" s="568" t="s">
        <v>33503</v>
      </c>
    </row>
    <row r="203" spans="1:228" ht="30.2" customHeight="1" x14ac:dyDescent="0.25">
      <c r="A203" s="759"/>
      <c r="B203" s="563">
        <v>30</v>
      </c>
      <c r="C203" s="563" t="s">
        <v>20897</v>
      </c>
      <c r="D203" s="564" t="s">
        <v>33691</v>
      </c>
      <c r="E203" s="564" t="s">
        <v>33583</v>
      </c>
      <c r="F203" s="564" t="s">
        <v>7</v>
      </c>
      <c r="G203" s="564" t="s">
        <v>33692</v>
      </c>
      <c r="H203" s="564">
        <v>1605.1</v>
      </c>
      <c r="I203" s="564">
        <v>3.7</v>
      </c>
      <c r="J203" s="564" t="s">
        <v>29319</v>
      </c>
      <c r="K203" s="564" t="s">
        <v>4</v>
      </c>
      <c r="L203" s="564" t="s">
        <v>33693</v>
      </c>
      <c r="M203" s="564">
        <v>772507715</v>
      </c>
      <c r="N203" s="564" t="s">
        <v>5</v>
      </c>
      <c r="O203" s="564" t="s">
        <v>31438</v>
      </c>
      <c r="P203" s="564">
        <v>85</v>
      </c>
      <c r="Q203" s="564">
        <v>7</v>
      </c>
      <c r="R203" s="564" t="s">
        <v>7</v>
      </c>
      <c r="S203" s="564" t="s">
        <v>31588</v>
      </c>
      <c r="T203" s="564" t="s">
        <v>4</v>
      </c>
      <c r="U203" s="564" t="s">
        <v>2</v>
      </c>
      <c r="V203" s="564" t="s">
        <v>4</v>
      </c>
      <c r="W203" s="564" t="s">
        <v>4</v>
      </c>
      <c r="X203" s="564" t="s">
        <v>4</v>
      </c>
      <c r="Y203" s="564" t="s">
        <v>4</v>
      </c>
      <c r="Z203" s="565">
        <v>45179</v>
      </c>
      <c r="AA203" s="557" t="str">
        <f>IF(OR(U203="yes",Z203&gt;'SDG outcome'!$C$39),"yes","no")</f>
        <v>no</v>
      </c>
      <c r="AB203" s="565" t="str">
        <f t="shared" si="6"/>
        <v/>
      </c>
      <c r="AC203" s="566" t="str">
        <f>IF(AND('SMS p2'!AA42="no",AND(Z203&gt;='SDG outcome'!$B$28,Z203&lt;'SDG outcome'!$C$39)),Z203-'SDG outcome'!$B$28,"")</f>
        <v/>
      </c>
      <c r="AD203" s="564" t="s">
        <v>8</v>
      </c>
      <c r="AE203" s="564" t="s">
        <v>33694</v>
      </c>
      <c r="AF203" s="564" t="s">
        <v>4</v>
      </c>
      <c r="AG203" s="564" t="s">
        <v>4</v>
      </c>
      <c r="AH203" s="564" t="s">
        <v>4</v>
      </c>
      <c r="AI203" s="564" t="s">
        <v>4</v>
      </c>
      <c r="AJ203" s="564" t="s">
        <v>4</v>
      </c>
      <c r="AK203" s="564" t="s">
        <v>4</v>
      </c>
      <c r="AL203" s="564"/>
      <c r="AM203" s="564"/>
      <c r="AN203" s="564"/>
      <c r="AO203" s="564"/>
      <c r="AP203" s="564"/>
      <c r="AQ203" s="564"/>
      <c r="AR203" s="564"/>
      <c r="AS203" s="564"/>
      <c r="AT203" s="564"/>
      <c r="AU203" s="564"/>
      <c r="AV203" s="564"/>
      <c r="AW203" s="564"/>
      <c r="AX203" s="564"/>
      <c r="AY203" s="564"/>
      <c r="AZ203" s="564"/>
      <c r="BA203" s="564"/>
      <c r="BB203" s="564"/>
      <c r="BC203" s="564"/>
      <c r="BD203" s="564"/>
      <c r="BE203" s="564"/>
      <c r="BF203" s="564"/>
      <c r="BG203" s="564"/>
      <c r="BH203" s="564"/>
      <c r="BI203" s="564"/>
      <c r="BJ203" s="564"/>
      <c r="BK203" s="564"/>
      <c r="BL203" s="564"/>
      <c r="BM203" s="564"/>
      <c r="BN203" s="564"/>
      <c r="BO203" s="564"/>
      <c r="BP203" s="564"/>
      <c r="BQ203" s="564"/>
      <c r="BR203" s="567"/>
      <c r="BS203" s="564"/>
      <c r="BT203" s="564"/>
      <c r="BU203" s="564"/>
      <c r="BV203" s="564"/>
      <c r="BW203" s="567"/>
      <c r="BX203" s="564"/>
      <c r="BY203" s="564"/>
      <c r="BZ203" s="564"/>
      <c r="CA203" s="564"/>
      <c r="CB203" s="564"/>
      <c r="CC203" s="564"/>
      <c r="CD203" s="564"/>
      <c r="CE203" s="564"/>
      <c r="CF203" s="564"/>
      <c r="CG203" s="564"/>
      <c r="CH203" s="564"/>
      <c r="CI203" s="564"/>
      <c r="CJ203" s="564"/>
      <c r="CK203" s="564"/>
      <c r="CL203" s="564"/>
      <c r="CM203" s="564"/>
      <c r="CN203" s="564"/>
      <c r="CO203" s="564"/>
      <c r="CP203" s="564"/>
      <c r="CQ203" s="564"/>
      <c r="CR203" s="564"/>
      <c r="CS203" s="564"/>
      <c r="CT203" s="568"/>
      <c r="CU203" s="563"/>
      <c r="CV203" s="564"/>
      <c r="CW203" s="568"/>
      <c r="CX203" s="563"/>
      <c r="CY203" s="564"/>
      <c r="CZ203" s="568"/>
      <c r="DA203" s="563"/>
      <c r="DB203" s="564"/>
      <c r="DC203" s="564"/>
      <c r="DD203" s="564"/>
      <c r="DE203" s="564"/>
      <c r="DF203" s="564"/>
      <c r="DG203" s="564"/>
      <c r="DH203" s="564"/>
      <c r="DI203" s="564"/>
      <c r="DJ203" s="564"/>
      <c r="DK203" s="564"/>
      <c r="DL203" s="564"/>
      <c r="DM203" s="564"/>
      <c r="DN203" s="564"/>
      <c r="DO203" s="564"/>
      <c r="DP203" s="564"/>
      <c r="DQ203" s="564"/>
      <c r="DR203" s="564"/>
      <c r="DS203" s="569"/>
      <c r="DT203" s="564"/>
      <c r="DU203" s="569"/>
      <c r="DV203" s="568"/>
      <c r="DW203" s="563"/>
      <c r="DX203" s="564"/>
      <c r="DY203" s="564"/>
      <c r="DZ203" s="564"/>
      <c r="EA203" s="564"/>
      <c r="EB203" s="564"/>
      <c r="EC203" s="564"/>
      <c r="ED203" s="564"/>
      <c r="EE203" s="564"/>
      <c r="EF203" s="564"/>
      <c r="EG203" s="564"/>
      <c r="EH203" s="564"/>
      <c r="EI203" s="564"/>
      <c r="EJ203" s="564"/>
      <c r="EK203" s="564"/>
      <c r="EL203" s="564"/>
      <c r="EM203" s="564"/>
      <c r="EN203" s="564"/>
      <c r="EO203" s="564"/>
      <c r="EP203" s="564"/>
      <c r="EQ203" s="564"/>
      <c r="ER203" s="564"/>
      <c r="ES203" s="564"/>
      <c r="ET203" s="564"/>
      <c r="EU203" s="564"/>
      <c r="EV203" s="564"/>
      <c r="EW203" s="564"/>
      <c r="EX203" s="564"/>
      <c r="EY203" s="564"/>
      <c r="EZ203" s="239"/>
      <c r="FA203" s="564"/>
      <c r="FB203" s="564"/>
      <c r="FC203" s="564"/>
      <c r="FD203" s="564"/>
      <c r="FE203" s="564"/>
      <c r="FF203" s="564"/>
      <c r="FG203" s="564"/>
      <c r="FH203" s="564"/>
      <c r="FI203" s="564"/>
      <c r="FJ203" s="564"/>
      <c r="FK203" s="564"/>
      <c r="FL203" s="564"/>
      <c r="FM203" s="564"/>
      <c r="FN203" s="569"/>
      <c r="FO203" s="564"/>
      <c r="FP203" s="564"/>
      <c r="FQ203" s="564"/>
      <c r="FR203" s="564"/>
      <c r="FS203" s="564"/>
      <c r="FT203" s="564"/>
      <c r="FU203" s="564"/>
      <c r="FV203" s="564"/>
      <c r="FW203" s="564"/>
      <c r="FX203" s="564"/>
      <c r="FY203" s="564"/>
      <c r="FZ203" s="564"/>
      <c r="GA203" s="564"/>
      <c r="GB203" s="564"/>
      <c r="GC203" s="564"/>
      <c r="GD203" s="564"/>
      <c r="GE203" s="564"/>
      <c r="GF203" s="564"/>
      <c r="GG203" s="564"/>
      <c r="GH203" s="564"/>
      <c r="GI203" s="564"/>
      <c r="GJ203" s="564"/>
      <c r="GK203" s="564"/>
      <c r="GL203" s="564"/>
      <c r="GM203" s="564"/>
      <c r="GN203" s="564"/>
      <c r="GO203" s="564"/>
      <c r="GP203" s="564"/>
      <c r="GQ203" s="564"/>
      <c r="GR203" s="564"/>
      <c r="GS203" s="564"/>
      <c r="GT203" s="564"/>
      <c r="GU203" s="564"/>
      <c r="GV203" s="569"/>
      <c r="GW203" s="564"/>
      <c r="GX203" s="564"/>
      <c r="GY203" s="564"/>
      <c r="GZ203" s="564"/>
      <c r="HA203" s="564"/>
      <c r="HB203" s="564"/>
      <c r="HC203" s="564"/>
      <c r="HD203" s="564"/>
      <c r="HE203" s="564"/>
      <c r="HF203" s="564"/>
      <c r="HG203" s="564"/>
      <c r="HH203" s="564"/>
      <c r="HI203" s="564"/>
      <c r="HJ203" s="564"/>
      <c r="HK203" s="569"/>
      <c r="HL203" s="564" t="s">
        <v>33695</v>
      </c>
      <c r="HM203" s="564" t="s">
        <v>2</v>
      </c>
      <c r="HN203" s="571" t="s">
        <v>4</v>
      </c>
      <c r="HO203" s="564" t="s">
        <v>33696</v>
      </c>
      <c r="HP203" s="564" t="s">
        <v>33697</v>
      </c>
      <c r="HQ203" s="564" t="s">
        <v>33698</v>
      </c>
      <c r="HR203" s="564" t="s">
        <v>33699</v>
      </c>
      <c r="HS203" s="564" t="s">
        <v>33700</v>
      </c>
      <c r="HT203" s="568" t="s">
        <v>33691</v>
      </c>
    </row>
    <row r="204" spans="1:228" ht="30.2" customHeight="1" x14ac:dyDescent="0.25">
      <c r="A204" s="759"/>
      <c r="B204" s="563">
        <v>46</v>
      </c>
      <c r="C204" s="563" t="s">
        <v>19279</v>
      </c>
      <c r="D204" s="564" t="s">
        <v>33870</v>
      </c>
      <c r="E204" s="564" t="s">
        <v>33859</v>
      </c>
      <c r="F204" s="564" t="s">
        <v>7</v>
      </c>
      <c r="G204" s="564" t="s">
        <v>33871</v>
      </c>
      <c r="H204" s="564">
        <v>1199.224731</v>
      </c>
      <c r="I204" s="564">
        <v>4.8199620000000003</v>
      </c>
      <c r="J204" s="564" t="s">
        <v>29349</v>
      </c>
      <c r="K204" s="564" t="s">
        <v>4</v>
      </c>
      <c r="L204" s="564" t="s">
        <v>33872</v>
      </c>
      <c r="M204" s="564">
        <v>764490449</v>
      </c>
      <c r="N204" s="564" t="s">
        <v>3</v>
      </c>
      <c r="O204" s="564" t="s">
        <v>31598</v>
      </c>
      <c r="P204" s="564" t="s">
        <v>4</v>
      </c>
      <c r="Q204" s="564">
        <v>10</v>
      </c>
      <c r="R204" s="564" t="s">
        <v>7</v>
      </c>
      <c r="S204" s="564" t="s">
        <v>31562</v>
      </c>
      <c r="T204" s="564" t="s">
        <v>4</v>
      </c>
      <c r="U204" s="564" t="s">
        <v>2</v>
      </c>
      <c r="V204" s="564" t="s">
        <v>4</v>
      </c>
      <c r="W204" s="564" t="s">
        <v>4</v>
      </c>
      <c r="X204" s="564" t="s">
        <v>4</v>
      </c>
      <c r="Y204" s="564" t="s">
        <v>4</v>
      </c>
      <c r="Z204" s="565">
        <v>45352</v>
      </c>
      <c r="AA204" s="557" t="str">
        <f>IF(OR(U204="yes",Z204&gt;'SDG outcome'!$C$39),"yes","no")</f>
        <v>no</v>
      </c>
      <c r="AB204" s="565" t="str">
        <f t="shared" si="6"/>
        <v/>
      </c>
      <c r="AC204" s="566" t="str">
        <f>IF(AND('SMS p2'!AA58="no",AND(Z204&gt;='SDG outcome'!$B$28,Z204&lt;'SDG outcome'!$C$39)),Z204-'SDG outcome'!$B$28,"")</f>
        <v/>
      </c>
      <c r="AD204" s="564" t="s">
        <v>8</v>
      </c>
      <c r="AE204" s="564" t="s">
        <v>31674</v>
      </c>
      <c r="AF204" s="564" t="s">
        <v>4</v>
      </c>
      <c r="AG204" s="564" t="s">
        <v>4</v>
      </c>
      <c r="AH204" s="564" t="s">
        <v>4</v>
      </c>
      <c r="AI204" s="564" t="s">
        <v>4</v>
      </c>
      <c r="AJ204" s="564" t="s">
        <v>4</v>
      </c>
      <c r="AK204" s="564" t="s">
        <v>4</v>
      </c>
      <c r="AL204" s="564"/>
      <c r="AM204" s="564"/>
      <c r="AN204" s="564"/>
      <c r="AO204" s="564"/>
      <c r="AP204" s="564"/>
      <c r="AQ204" s="564"/>
      <c r="AR204" s="564"/>
      <c r="AS204" s="564"/>
      <c r="AT204" s="564"/>
      <c r="AU204" s="564"/>
      <c r="AV204" s="564"/>
      <c r="AW204" s="564"/>
      <c r="AX204" s="564"/>
      <c r="AY204" s="564"/>
      <c r="AZ204" s="564"/>
      <c r="BA204" s="564"/>
      <c r="BB204" s="564"/>
      <c r="BC204" s="564"/>
      <c r="BD204" s="564"/>
      <c r="BE204" s="564"/>
      <c r="BF204" s="564"/>
      <c r="BG204" s="564"/>
      <c r="BH204" s="564"/>
      <c r="BI204" s="564"/>
      <c r="BJ204" s="564"/>
      <c r="BK204" s="564"/>
      <c r="BL204" s="564"/>
      <c r="BM204" s="564"/>
      <c r="BN204" s="564"/>
      <c r="BO204" s="564"/>
      <c r="BP204" s="564"/>
      <c r="BQ204" s="564"/>
      <c r="BR204" s="567"/>
      <c r="BS204" s="564"/>
      <c r="BT204" s="564"/>
      <c r="BU204" s="564"/>
      <c r="BV204" s="564"/>
      <c r="BW204" s="567"/>
      <c r="BX204" s="564"/>
      <c r="BY204" s="564"/>
      <c r="BZ204" s="564"/>
      <c r="CA204" s="564"/>
      <c r="CB204" s="564"/>
      <c r="CC204" s="564"/>
      <c r="CD204" s="564"/>
      <c r="CE204" s="564"/>
      <c r="CF204" s="564"/>
      <c r="CG204" s="564"/>
      <c r="CH204" s="564"/>
      <c r="CI204" s="564"/>
      <c r="CJ204" s="564"/>
      <c r="CK204" s="564"/>
      <c r="CL204" s="564"/>
      <c r="CM204" s="564"/>
      <c r="CN204" s="564"/>
      <c r="CO204" s="564"/>
      <c r="CP204" s="564"/>
      <c r="CQ204" s="564"/>
      <c r="CR204" s="564"/>
      <c r="CS204" s="564"/>
      <c r="CT204" s="568"/>
      <c r="CU204" s="563"/>
      <c r="CV204" s="564"/>
      <c r="CW204" s="568"/>
      <c r="CX204" s="563"/>
      <c r="CY204" s="564"/>
      <c r="CZ204" s="568"/>
      <c r="DA204" s="563"/>
      <c r="DB204" s="564"/>
      <c r="DC204" s="564"/>
      <c r="DD204" s="564"/>
      <c r="DE204" s="564"/>
      <c r="DF204" s="564"/>
      <c r="DG204" s="564"/>
      <c r="DH204" s="564"/>
      <c r="DI204" s="564"/>
      <c r="DJ204" s="564"/>
      <c r="DK204" s="564"/>
      <c r="DL204" s="564"/>
      <c r="DM204" s="564"/>
      <c r="DN204" s="564"/>
      <c r="DO204" s="564"/>
      <c r="DP204" s="564"/>
      <c r="DQ204" s="564"/>
      <c r="DR204" s="564"/>
      <c r="DS204" s="569"/>
      <c r="DT204" s="564"/>
      <c r="DU204" s="569"/>
      <c r="DV204" s="568"/>
      <c r="DW204" s="563"/>
      <c r="DX204" s="564"/>
      <c r="DY204" s="564"/>
      <c r="DZ204" s="564"/>
      <c r="EA204" s="564"/>
      <c r="EB204" s="564"/>
      <c r="EC204" s="564"/>
      <c r="ED204" s="564"/>
      <c r="EE204" s="564"/>
      <c r="EF204" s="564"/>
      <c r="EG204" s="564"/>
      <c r="EH204" s="564"/>
      <c r="EI204" s="564"/>
      <c r="EJ204" s="564"/>
      <c r="EK204" s="564"/>
      <c r="EL204" s="564"/>
      <c r="EM204" s="564"/>
      <c r="EN204" s="564"/>
      <c r="EO204" s="564"/>
      <c r="EP204" s="564"/>
      <c r="EQ204" s="564"/>
      <c r="ER204" s="564"/>
      <c r="ES204" s="564"/>
      <c r="ET204" s="564"/>
      <c r="EU204" s="564"/>
      <c r="EV204" s="564"/>
      <c r="EW204" s="564"/>
      <c r="EX204" s="564"/>
      <c r="EY204" s="564"/>
      <c r="EZ204" s="239"/>
      <c r="FA204" s="564"/>
      <c r="FB204" s="564"/>
      <c r="FC204" s="564"/>
      <c r="FD204" s="564"/>
      <c r="FE204" s="564"/>
      <c r="FF204" s="564"/>
      <c r="FG204" s="564"/>
      <c r="FH204" s="564"/>
      <c r="FI204" s="564"/>
      <c r="FJ204" s="564"/>
      <c r="FK204" s="564"/>
      <c r="FL204" s="564"/>
      <c r="FM204" s="564"/>
      <c r="FN204" s="569"/>
      <c r="FO204" s="564"/>
      <c r="FP204" s="564"/>
      <c r="FQ204" s="564"/>
      <c r="FR204" s="564"/>
      <c r="FS204" s="564"/>
      <c r="FT204" s="564"/>
      <c r="FU204" s="564"/>
      <c r="FV204" s="564"/>
      <c r="FW204" s="564"/>
      <c r="FX204" s="564"/>
      <c r="FY204" s="564"/>
      <c r="FZ204" s="564"/>
      <c r="GA204" s="564"/>
      <c r="GB204" s="564"/>
      <c r="GC204" s="564"/>
      <c r="GD204" s="564"/>
      <c r="GE204" s="564"/>
      <c r="GF204" s="564"/>
      <c r="GG204" s="564"/>
      <c r="GH204" s="564"/>
      <c r="GI204" s="564"/>
      <c r="GJ204" s="564"/>
      <c r="GK204" s="564"/>
      <c r="GL204" s="564"/>
      <c r="GM204" s="564"/>
      <c r="GN204" s="564"/>
      <c r="GO204" s="564"/>
      <c r="GP204" s="564"/>
      <c r="GQ204" s="564"/>
      <c r="GR204" s="564"/>
      <c r="GS204" s="564"/>
      <c r="GT204" s="564"/>
      <c r="GU204" s="564"/>
      <c r="GV204" s="569"/>
      <c r="GW204" s="564"/>
      <c r="GX204" s="564"/>
      <c r="GY204" s="564"/>
      <c r="GZ204" s="564"/>
      <c r="HA204" s="564"/>
      <c r="HB204" s="564"/>
      <c r="HC204" s="564"/>
      <c r="HD204" s="564"/>
      <c r="HE204" s="564"/>
      <c r="HF204" s="564"/>
      <c r="HG204" s="564"/>
      <c r="HH204" s="564"/>
      <c r="HI204" s="564"/>
      <c r="HJ204" s="564"/>
      <c r="HK204" s="569"/>
      <c r="HL204" s="564" t="s">
        <v>33873</v>
      </c>
      <c r="HM204" s="564" t="s">
        <v>2</v>
      </c>
      <c r="HN204" s="564" t="s">
        <v>4</v>
      </c>
      <c r="HO204" s="564" t="s">
        <v>33874</v>
      </c>
      <c r="HP204" s="564" t="s">
        <v>33875</v>
      </c>
      <c r="HQ204" s="564" t="s">
        <v>33876</v>
      </c>
      <c r="HR204" s="564" t="s">
        <v>33877</v>
      </c>
      <c r="HS204" s="564" t="s">
        <v>33878</v>
      </c>
      <c r="HT204" s="568" t="s">
        <v>33870</v>
      </c>
    </row>
    <row r="205" spans="1:228" ht="30.2" customHeight="1" x14ac:dyDescent="0.25">
      <c r="A205" s="759"/>
      <c r="B205" s="563">
        <v>47</v>
      </c>
      <c r="C205" s="563" t="s">
        <v>19174</v>
      </c>
      <c r="D205" s="564" t="s">
        <v>33879</v>
      </c>
      <c r="E205" s="564" t="s">
        <v>33859</v>
      </c>
      <c r="F205" s="564" t="s">
        <v>7</v>
      </c>
      <c r="G205" s="564" t="s">
        <v>33880</v>
      </c>
      <c r="H205" s="564">
        <v>1168.643311</v>
      </c>
      <c r="I205" s="564">
        <v>3.805634</v>
      </c>
      <c r="J205" s="564" t="s">
        <v>29319</v>
      </c>
      <c r="K205" s="564" t="s">
        <v>4</v>
      </c>
      <c r="L205" s="564" t="s">
        <v>33881</v>
      </c>
      <c r="M205" s="564">
        <v>788216407</v>
      </c>
      <c r="N205" s="564" t="s">
        <v>5</v>
      </c>
      <c r="O205" s="564" t="s">
        <v>31438</v>
      </c>
      <c r="P205" s="564">
        <v>38</v>
      </c>
      <c r="Q205" s="564">
        <v>9</v>
      </c>
      <c r="R205" s="564" t="s">
        <v>7</v>
      </c>
      <c r="S205" s="564" t="s">
        <v>31549</v>
      </c>
      <c r="T205" s="564" t="s">
        <v>4</v>
      </c>
      <c r="U205" s="564" t="s">
        <v>2</v>
      </c>
      <c r="V205" s="564" t="s">
        <v>4</v>
      </c>
      <c r="W205" s="564" t="s">
        <v>4</v>
      </c>
      <c r="X205" s="564" t="s">
        <v>4</v>
      </c>
      <c r="Y205" s="564" t="s">
        <v>4</v>
      </c>
      <c r="Z205" s="565">
        <v>45413</v>
      </c>
      <c r="AA205" s="557" t="str">
        <f>IF(OR(U205="yes",Z205&gt;'SDG outcome'!$C$39),"yes","no")</f>
        <v>yes</v>
      </c>
      <c r="AB205" s="565" t="str">
        <f t="shared" ref="AB205:AB268" si="7">IF(AA205="no","",W205)</f>
        <v>NA</v>
      </c>
      <c r="AC205" s="566" t="str">
        <f>IF(AND('SMS p2'!AA59="no",AND(Z205&gt;='SDG outcome'!$B$28,Z205&lt;'SDG outcome'!$C$39)),Z205-'SDG outcome'!$B$28,"")</f>
        <v/>
      </c>
      <c r="AD205" s="564" t="s">
        <v>8</v>
      </c>
      <c r="AE205" s="564" t="s">
        <v>33882</v>
      </c>
      <c r="AF205" s="564" t="s">
        <v>4</v>
      </c>
      <c r="AG205" s="564" t="s">
        <v>4</v>
      </c>
      <c r="AH205" s="564" t="s">
        <v>4</v>
      </c>
      <c r="AI205" s="564" t="s">
        <v>4</v>
      </c>
      <c r="AJ205" s="564" t="s">
        <v>4</v>
      </c>
      <c r="AK205" s="564" t="s">
        <v>4</v>
      </c>
      <c r="AL205" s="564"/>
      <c r="AM205" s="564"/>
      <c r="AN205" s="564"/>
      <c r="AO205" s="564"/>
      <c r="AP205" s="564"/>
      <c r="AQ205" s="564"/>
      <c r="AR205" s="564"/>
      <c r="AS205" s="564"/>
      <c r="AT205" s="564"/>
      <c r="AU205" s="564"/>
      <c r="AV205" s="564"/>
      <c r="AW205" s="564"/>
      <c r="AX205" s="564"/>
      <c r="AY205" s="564"/>
      <c r="AZ205" s="564"/>
      <c r="BA205" s="564"/>
      <c r="BB205" s="564"/>
      <c r="BC205" s="564"/>
      <c r="BD205" s="564"/>
      <c r="BE205" s="564"/>
      <c r="BF205" s="564"/>
      <c r="BG205" s="564"/>
      <c r="BH205" s="564"/>
      <c r="BI205" s="564"/>
      <c r="BJ205" s="564"/>
      <c r="BK205" s="564"/>
      <c r="BL205" s="564"/>
      <c r="BM205" s="564"/>
      <c r="BN205" s="564"/>
      <c r="BO205" s="564"/>
      <c r="BP205" s="564"/>
      <c r="BQ205" s="564"/>
      <c r="BR205" s="567"/>
      <c r="BS205" s="564"/>
      <c r="BT205" s="564"/>
      <c r="BU205" s="564"/>
      <c r="BV205" s="564"/>
      <c r="BW205" s="567"/>
      <c r="BX205" s="564"/>
      <c r="BY205" s="564"/>
      <c r="BZ205" s="564"/>
      <c r="CA205" s="564"/>
      <c r="CB205" s="564"/>
      <c r="CC205" s="564"/>
      <c r="CD205" s="564"/>
      <c r="CE205" s="564"/>
      <c r="CF205" s="564"/>
      <c r="CG205" s="564"/>
      <c r="CH205" s="564"/>
      <c r="CI205" s="564"/>
      <c r="CJ205" s="564"/>
      <c r="CK205" s="564"/>
      <c r="CL205" s="564"/>
      <c r="CM205" s="564"/>
      <c r="CN205" s="564"/>
      <c r="CO205" s="564"/>
      <c r="CP205" s="564"/>
      <c r="CQ205" s="564"/>
      <c r="CR205" s="564"/>
      <c r="CS205" s="564"/>
      <c r="CT205" s="568"/>
      <c r="CU205" s="563"/>
      <c r="CV205" s="564"/>
      <c r="CW205" s="568"/>
      <c r="CX205" s="563"/>
      <c r="CY205" s="564"/>
      <c r="CZ205" s="568"/>
      <c r="DA205" s="563"/>
      <c r="DB205" s="564"/>
      <c r="DC205" s="564"/>
      <c r="DD205" s="564"/>
      <c r="DE205" s="564"/>
      <c r="DF205" s="564"/>
      <c r="DG205" s="564"/>
      <c r="DH205" s="564"/>
      <c r="DI205" s="564"/>
      <c r="DJ205" s="564"/>
      <c r="DK205" s="564"/>
      <c r="DL205" s="564"/>
      <c r="DM205" s="564"/>
      <c r="DN205" s="564"/>
      <c r="DO205" s="564"/>
      <c r="DP205" s="564"/>
      <c r="DQ205" s="564"/>
      <c r="DR205" s="564"/>
      <c r="DS205" s="569"/>
      <c r="DT205" s="564"/>
      <c r="DU205" s="569"/>
      <c r="DV205" s="568"/>
      <c r="DW205" s="563"/>
      <c r="DX205" s="564"/>
      <c r="DY205" s="564"/>
      <c r="DZ205" s="564"/>
      <c r="EA205" s="564"/>
      <c r="EB205" s="564"/>
      <c r="EC205" s="564"/>
      <c r="ED205" s="564"/>
      <c r="EE205" s="564"/>
      <c r="EF205" s="564"/>
      <c r="EG205" s="564"/>
      <c r="EH205" s="564"/>
      <c r="EI205" s="564"/>
      <c r="EJ205" s="564"/>
      <c r="EK205" s="564"/>
      <c r="EL205" s="564"/>
      <c r="EM205" s="564"/>
      <c r="EN205" s="564"/>
      <c r="EO205" s="564"/>
      <c r="EP205" s="564"/>
      <c r="EQ205" s="564"/>
      <c r="ER205" s="564"/>
      <c r="ES205" s="564"/>
      <c r="ET205" s="564"/>
      <c r="EU205" s="564"/>
      <c r="EV205" s="564"/>
      <c r="EW205" s="564"/>
      <c r="EX205" s="564"/>
      <c r="EY205" s="564"/>
      <c r="EZ205" s="239"/>
      <c r="FA205" s="564"/>
      <c r="FB205" s="564"/>
      <c r="FC205" s="564"/>
      <c r="FD205" s="564"/>
      <c r="FE205" s="564"/>
      <c r="FF205" s="564"/>
      <c r="FG205" s="564"/>
      <c r="FH205" s="564"/>
      <c r="FI205" s="564"/>
      <c r="FJ205" s="564"/>
      <c r="FK205" s="564"/>
      <c r="FL205" s="564"/>
      <c r="FM205" s="564"/>
      <c r="FN205" s="569"/>
      <c r="FO205" s="564"/>
      <c r="FP205" s="564"/>
      <c r="FQ205" s="564"/>
      <c r="FR205" s="564"/>
      <c r="FS205" s="564"/>
      <c r="FT205" s="564"/>
      <c r="FU205" s="564"/>
      <c r="FV205" s="564"/>
      <c r="FW205" s="564"/>
      <c r="FX205" s="564"/>
      <c r="FY205" s="564"/>
      <c r="FZ205" s="564"/>
      <c r="GA205" s="564"/>
      <c r="GB205" s="564"/>
      <c r="GC205" s="564"/>
      <c r="GD205" s="564"/>
      <c r="GE205" s="564"/>
      <c r="GF205" s="564"/>
      <c r="GG205" s="564"/>
      <c r="GH205" s="564"/>
      <c r="GI205" s="564"/>
      <c r="GJ205" s="564"/>
      <c r="GK205" s="564"/>
      <c r="GL205" s="564"/>
      <c r="GM205" s="564"/>
      <c r="GN205" s="564"/>
      <c r="GO205" s="564"/>
      <c r="GP205" s="564"/>
      <c r="GQ205" s="564"/>
      <c r="GR205" s="564"/>
      <c r="GS205" s="564"/>
      <c r="GT205" s="564"/>
      <c r="GU205" s="564"/>
      <c r="GV205" s="569"/>
      <c r="GW205" s="564"/>
      <c r="GX205" s="564"/>
      <c r="GY205" s="564"/>
      <c r="GZ205" s="564"/>
      <c r="HA205" s="564"/>
      <c r="HB205" s="564"/>
      <c r="HC205" s="564"/>
      <c r="HD205" s="564"/>
      <c r="HE205" s="564"/>
      <c r="HF205" s="564"/>
      <c r="HG205" s="564"/>
      <c r="HH205" s="564"/>
      <c r="HI205" s="564"/>
      <c r="HJ205" s="564"/>
      <c r="HK205" s="569"/>
      <c r="HL205" s="564" t="s">
        <v>33474</v>
      </c>
      <c r="HM205" s="564" t="s">
        <v>7</v>
      </c>
      <c r="HN205" s="564" t="s">
        <v>33883</v>
      </c>
      <c r="HO205" s="564" t="s">
        <v>33884</v>
      </c>
      <c r="HP205" s="564" t="s">
        <v>33885</v>
      </c>
      <c r="HQ205" s="564" t="s">
        <v>33886</v>
      </c>
      <c r="HR205" s="564" t="s">
        <v>33887</v>
      </c>
      <c r="HS205" s="564" t="s">
        <v>33888</v>
      </c>
      <c r="HT205" s="568" t="s">
        <v>33889</v>
      </c>
    </row>
    <row r="206" spans="1:228" ht="30.2" customHeight="1" x14ac:dyDescent="0.25">
      <c r="A206" s="759"/>
      <c r="B206" s="563">
        <v>52</v>
      </c>
      <c r="C206" s="563" t="s">
        <v>19417</v>
      </c>
      <c r="D206" s="564" t="s">
        <v>33936</v>
      </c>
      <c r="E206" s="564" t="s">
        <v>33859</v>
      </c>
      <c r="F206" s="564" t="s">
        <v>7</v>
      </c>
      <c r="G206" s="564" t="s">
        <v>33937</v>
      </c>
      <c r="H206" s="564">
        <v>1106.466187</v>
      </c>
      <c r="I206" s="564">
        <v>4.1266949999999998</v>
      </c>
      <c r="J206" s="564" t="s">
        <v>29288</v>
      </c>
      <c r="K206" s="564" t="s">
        <v>4</v>
      </c>
      <c r="L206" s="564" t="s">
        <v>33938</v>
      </c>
      <c r="M206" s="564">
        <v>774808760</v>
      </c>
      <c r="N206" s="564" t="s">
        <v>3</v>
      </c>
      <c r="O206" s="564" t="s">
        <v>31598</v>
      </c>
      <c r="P206" s="564" t="s">
        <v>4</v>
      </c>
      <c r="Q206" s="564">
        <v>12</v>
      </c>
      <c r="R206" s="564" t="s">
        <v>7</v>
      </c>
      <c r="S206" s="564" t="s">
        <v>31549</v>
      </c>
      <c r="T206" s="564" t="s">
        <v>4</v>
      </c>
      <c r="U206" s="564" t="s">
        <v>2</v>
      </c>
      <c r="V206" s="564" t="s">
        <v>4</v>
      </c>
      <c r="W206" s="564" t="s">
        <v>4</v>
      </c>
      <c r="X206" s="564" t="s">
        <v>4</v>
      </c>
      <c r="Y206" s="564" t="s">
        <v>4</v>
      </c>
      <c r="Z206" s="565">
        <v>45474</v>
      </c>
      <c r="AA206" s="557" t="str">
        <f>IF(OR(U206="yes",Z206&gt;'SDG outcome'!$C$39),"yes","no")</f>
        <v>yes</v>
      </c>
      <c r="AB206" s="565" t="str">
        <f t="shared" si="7"/>
        <v>NA</v>
      </c>
      <c r="AC206" s="566" t="str">
        <f>IF(AND('SMS p2'!AA64="no",AND(Z206&gt;='SDG outcome'!$B$28,Z206&lt;'SDG outcome'!$C$39)),Z206-'SDG outcome'!$B$28,"")</f>
        <v/>
      </c>
      <c r="AD206" s="564" t="s">
        <v>8</v>
      </c>
      <c r="AE206" s="564" t="s">
        <v>33939</v>
      </c>
      <c r="AF206" s="564" t="s">
        <v>4</v>
      </c>
      <c r="AG206" s="564" t="s">
        <v>4</v>
      </c>
      <c r="AH206" s="564" t="s">
        <v>4</v>
      </c>
      <c r="AI206" s="564" t="s">
        <v>4</v>
      </c>
      <c r="AJ206" s="564" t="s">
        <v>4</v>
      </c>
      <c r="AK206" s="564" t="s">
        <v>4</v>
      </c>
      <c r="AL206" s="564"/>
      <c r="AM206" s="564"/>
      <c r="AN206" s="564"/>
      <c r="AO206" s="564"/>
      <c r="AP206" s="564"/>
      <c r="AQ206" s="564"/>
      <c r="AR206" s="564"/>
      <c r="AS206" s="564"/>
      <c r="AT206" s="564"/>
      <c r="AU206" s="564"/>
      <c r="AV206" s="564"/>
      <c r="AW206" s="564"/>
      <c r="AX206" s="564"/>
      <c r="AY206" s="564"/>
      <c r="AZ206" s="564"/>
      <c r="BA206" s="564"/>
      <c r="BB206" s="564"/>
      <c r="BC206" s="564"/>
      <c r="BD206" s="571"/>
      <c r="BE206" s="564"/>
      <c r="BF206" s="564"/>
      <c r="BG206" s="564"/>
      <c r="BH206" s="564"/>
      <c r="BI206" s="564"/>
      <c r="BJ206" s="564"/>
      <c r="BK206" s="564"/>
      <c r="BL206" s="564"/>
      <c r="BM206" s="564"/>
      <c r="BN206" s="564"/>
      <c r="BO206" s="564"/>
      <c r="BP206" s="564"/>
      <c r="BQ206" s="564"/>
      <c r="BR206" s="567"/>
      <c r="BS206" s="564"/>
      <c r="BT206" s="564"/>
      <c r="BU206" s="564"/>
      <c r="BV206" s="564"/>
      <c r="BW206" s="567"/>
      <c r="BX206" s="564"/>
      <c r="BY206" s="564"/>
      <c r="BZ206" s="564"/>
      <c r="CA206" s="564"/>
      <c r="CB206" s="564"/>
      <c r="CC206" s="564"/>
      <c r="CD206" s="564"/>
      <c r="CE206" s="564"/>
      <c r="CF206" s="564"/>
      <c r="CG206" s="564"/>
      <c r="CH206" s="564"/>
      <c r="CI206" s="564"/>
      <c r="CJ206" s="564"/>
      <c r="CK206" s="564"/>
      <c r="CL206" s="564"/>
      <c r="CM206" s="564"/>
      <c r="CN206" s="564"/>
      <c r="CO206" s="564"/>
      <c r="CP206" s="564"/>
      <c r="CQ206" s="564"/>
      <c r="CR206" s="564"/>
      <c r="CS206" s="564"/>
      <c r="CT206" s="568"/>
      <c r="CU206" s="563"/>
      <c r="CV206" s="564"/>
      <c r="CW206" s="568"/>
      <c r="CX206" s="563"/>
      <c r="CY206" s="564"/>
      <c r="CZ206" s="568"/>
      <c r="DA206" s="563"/>
      <c r="DB206" s="564"/>
      <c r="DC206" s="564"/>
      <c r="DD206" s="564"/>
      <c r="DE206" s="564"/>
      <c r="DF206" s="564"/>
      <c r="DG206" s="564"/>
      <c r="DH206" s="564"/>
      <c r="DI206" s="564"/>
      <c r="DJ206" s="564"/>
      <c r="DK206" s="564"/>
      <c r="DL206" s="564"/>
      <c r="DM206" s="564"/>
      <c r="DN206" s="564"/>
      <c r="DO206" s="564"/>
      <c r="DP206" s="564"/>
      <c r="DQ206" s="564"/>
      <c r="DR206" s="564"/>
      <c r="DS206" s="569"/>
      <c r="DT206" s="564"/>
      <c r="DU206" s="569"/>
      <c r="DV206" s="568"/>
      <c r="DW206" s="563"/>
      <c r="DX206" s="564"/>
      <c r="DY206" s="564"/>
      <c r="DZ206" s="564"/>
      <c r="EA206" s="564"/>
      <c r="EB206" s="564"/>
      <c r="EC206" s="564"/>
      <c r="ED206" s="564"/>
      <c r="EE206" s="564"/>
      <c r="EF206" s="564"/>
      <c r="EG206" s="564"/>
      <c r="EH206" s="564"/>
      <c r="EI206" s="564"/>
      <c r="EJ206" s="564"/>
      <c r="EK206" s="564"/>
      <c r="EL206" s="564"/>
      <c r="EM206" s="564"/>
      <c r="EN206" s="564"/>
      <c r="EO206" s="564"/>
      <c r="EP206" s="564"/>
      <c r="EQ206" s="564"/>
      <c r="ER206" s="564"/>
      <c r="ES206" s="564"/>
      <c r="ET206" s="564"/>
      <c r="EU206" s="564"/>
      <c r="EV206" s="564"/>
      <c r="EW206" s="564"/>
      <c r="EX206" s="564"/>
      <c r="EY206" s="564"/>
      <c r="EZ206" s="239"/>
      <c r="FA206" s="564"/>
      <c r="FB206" s="564"/>
      <c r="FC206" s="564"/>
      <c r="FD206" s="564"/>
      <c r="FE206" s="564"/>
      <c r="FF206" s="564"/>
      <c r="FG206" s="564"/>
      <c r="FH206" s="564"/>
      <c r="FI206" s="564"/>
      <c r="FJ206" s="564"/>
      <c r="FK206" s="564"/>
      <c r="FL206" s="564"/>
      <c r="FM206" s="564"/>
      <c r="FN206" s="569"/>
      <c r="FO206" s="564"/>
      <c r="FP206" s="564"/>
      <c r="FQ206" s="564"/>
      <c r="FR206" s="564"/>
      <c r="FS206" s="564"/>
      <c r="FT206" s="564"/>
      <c r="FU206" s="564"/>
      <c r="FV206" s="564"/>
      <c r="FW206" s="564"/>
      <c r="FX206" s="564"/>
      <c r="FY206" s="564"/>
      <c r="FZ206" s="564"/>
      <c r="GA206" s="564"/>
      <c r="GB206" s="564"/>
      <c r="GC206" s="564"/>
      <c r="GD206" s="564"/>
      <c r="GE206" s="564"/>
      <c r="GF206" s="564"/>
      <c r="GG206" s="564"/>
      <c r="GH206" s="564"/>
      <c r="GI206" s="564"/>
      <c r="GJ206" s="564"/>
      <c r="GK206" s="564"/>
      <c r="GL206" s="564"/>
      <c r="GM206" s="564"/>
      <c r="GN206" s="564"/>
      <c r="GO206" s="564"/>
      <c r="GP206" s="564"/>
      <c r="GQ206" s="564"/>
      <c r="GR206" s="564"/>
      <c r="GS206" s="564"/>
      <c r="GT206" s="564"/>
      <c r="GU206" s="564"/>
      <c r="GV206" s="569"/>
      <c r="GW206" s="564"/>
      <c r="GX206" s="564"/>
      <c r="GY206" s="564"/>
      <c r="GZ206" s="564"/>
      <c r="HA206" s="564"/>
      <c r="HB206" s="564"/>
      <c r="HC206" s="564"/>
      <c r="HD206" s="564"/>
      <c r="HE206" s="564"/>
      <c r="HF206" s="564"/>
      <c r="HG206" s="564"/>
      <c r="HH206" s="564"/>
      <c r="HI206" s="564"/>
      <c r="HJ206" s="564"/>
      <c r="HK206" s="569"/>
      <c r="HL206" s="564" t="s">
        <v>33940</v>
      </c>
      <c r="HM206" s="564" t="s">
        <v>2</v>
      </c>
      <c r="HN206" s="564" t="s">
        <v>4</v>
      </c>
      <c r="HO206" s="564" t="s">
        <v>33941</v>
      </c>
      <c r="HP206" s="564" t="s">
        <v>33942</v>
      </c>
      <c r="HQ206" s="564" t="s">
        <v>33943</v>
      </c>
      <c r="HR206" s="564" t="s">
        <v>33944</v>
      </c>
      <c r="HS206" s="564" t="s">
        <v>33945</v>
      </c>
      <c r="HT206" s="568" t="s">
        <v>33936</v>
      </c>
    </row>
    <row r="207" spans="1:228" ht="30.2" customHeight="1" x14ac:dyDescent="0.25">
      <c r="A207" s="759"/>
      <c r="B207" s="563">
        <v>53</v>
      </c>
      <c r="C207" s="563" t="s">
        <v>19422</v>
      </c>
      <c r="D207" s="564" t="s">
        <v>33946</v>
      </c>
      <c r="E207" s="564" t="s">
        <v>33859</v>
      </c>
      <c r="F207" s="564" t="s">
        <v>7</v>
      </c>
      <c r="G207" s="564" t="s">
        <v>33947</v>
      </c>
      <c r="H207" s="564">
        <v>1115.065186</v>
      </c>
      <c r="I207" s="564">
        <v>4.834848</v>
      </c>
      <c r="J207" s="564" t="s">
        <v>29389</v>
      </c>
      <c r="K207" s="564" t="s">
        <v>33785</v>
      </c>
      <c r="L207" s="564" t="s">
        <v>33948</v>
      </c>
      <c r="M207" s="564">
        <v>789656768</v>
      </c>
      <c r="N207" s="564" t="s">
        <v>3</v>
      </c>
      <c r="O207" s="564" t="s">
        <v>31438</v>
      </c>
      <c r="P207" s="564">
        <v>25</v>
      </c>
      <c r="Q207" s="564">
        <v>6</v>
      </c>
      <c r="R207" s="564" t="s">
        <v>7</v>
      </c>
      <c r="S207" s="564" t="s">
        <v>31588</v>
      </c>
      <c r="T207" s="564" t="s">
        <v>4</v>
      </c>
      <c r="U207" s="564" t="s">
        <v>2</v>
      </c>
      <c r="V207" s="564" t="s">
        <v>4</v>
      </c>
      <c r="W207" s="564" t="s">
        <v>4</v>
      </c>
      <c r="X207" s="564" t="s">
        <v>4</v>
      </c>
      <c r="Y207" s="564" t="s">
        <v>4</v>
      </c>
      <c r="Z207" s="565">
        <v>45017</v>
      </c>
      <c r="AA207" s="557" t="str">
        <f>IF(OR(U207="yes",Z207&gt;'SDG outcome'!$C$39),"yes","no")</f>
        <v>no</v>
      </c>
      <c r="AB207" s="565" t="str">
        <f t="shared" si="7"/>
        <v/>
      </c>
      <c r="AC207" s="566" t="str">
        <f>IF(AND('SMS p2'!AA65="no",AND(Z207&gt;='SDG outcome'!$B$28,Z207&lt;'SDG outcome'!$C$39)),Z207-'SDG outcome'!$B$28,"")</f>
        <v/>
      </c>
      <c r="AD207" s="564" t="s">
        <v>8</v>
      </c>
      <c r="AE207" s="564" t="s">
        <v>33949</v>
      </c>
      <c r="AF207" s="564" t="s">
        <v>4</v>
      </c>
      <c r="AG207" s="564" t="s">
        <v>4</v>
      </c>
      <c r="AH207" s="564" t="s">
        <v>4</v>
      </c>
      <c r="AI207" s="564" t="s">
        <v>4</v>
      </c>
      <c r="AJ207" s="564" t="s">
        <v>4</v>
      </c>
      <c r="AK207" s="564" t="s">
        <v>4</v>
      </c>
      <c r="AL207" s="564"/>
      <c r="AM207" s="564"/>
      <c r="AN207" s="564"/>
      <c r="AO207" s="564"/>
      <c r="AP207" s="564"/>
      <c r="AQ207" s="564"/>
      <c r="AR207" s="564"/>
      <c r="AS207" s="564"/>
      <c r="AT207" s="564"/>
      <c r="AU207" s="564"/>
      <c r="AV207" s="564"/>
      <c r="AW207" s="564"/>
      <c r="AX207" s="564"/>
      <c r="AY207" s="564"/>
      <c r="AZ207" s="564"/>
      <c r="BA207" s="564"/>
      <c r="BB207" s="564"/>
      <c r="BC207" s="564"/>
      <c r="BD207" s="564"/>
      <c r="BE207" s="564"/>
      <c r="BF207" s="564"/>
      <c r="BG207" s="564"/>
      <c r="BH207" s="564"/>
      <c r="BI207" s="564"/>
      <c r="BJ207" s="564"/>
      <c r="BK207" s="564"/>
      <c r="BL207" s="564"/>
      <c r="BM207" s="564"/>
      <c r="BN207" s="564"/>
      <c r="BO207" s="564"/>
      <c r="BP207" s="564"/>
      <c r="BQ207" s="564"/>
      <c r="BR207" s="567"/>
      <c r="BS207" s="564"/>
      <c r="BT207" s="564"/>
      <c r="BU207" s="564"/>
      <c r="BV207" s="564"/>
      <c r="BW207" s="567"/>
      <c r="BX207" s="564"/>
      <c r="BY207" s="564"/>
      <c r="BZ207" s="564"/>
      <c r="CA207" s="564"/>
      <c r="CB207" s="564"/>
      <c r="CC207" s="564"/>
      <c r="CD207" s="564"/>
      <c r="CE207" s="564"/>
      <c r="CF207" s="564"/>
      <c r="CG207" s="564"/>
      <c r="CH207" s="564"/>
      <c r="CI207" s="564"/>
      <c r="CJ207" s="564"/>
      <c r="CK207" s="564"/>
      <c r="CL207" s="564"/>
      <c r="CM207" s="564"/>
      <c r="CN207" s="564"/>
      <c r="CO207" s="564"/>
      <c r="CP207" s="564"/>
      <c r="CQ207" s="564"/>
      <c r="CR207" s="564"/>
      <c r="CS207" s="564"/>
      <c r="CT207" s="568"/>
      <c r="CU207" s="563"/>
      <c r="CV207" s="564"/>
      <c r="CW207" s="568"/>
      <c r="CX207" s="563"/>
      <c r="CY207" s="564"/>
      <c r="CZ207" s="568"/>
      <c r="DA207" s="563"/>
      <c r="DB207" s="564"/>
      <c r="DC207" s="564"/>
      <c r="DD207" s="564"/>
      <c r="DE207" s="564"/>
      <c r="DF207" s="564"/>
      <c r="DG207" s="564"/>
      <c r="DH207" s="564"/>
      <c r="DI207" s="564"/>
      <c r="DJ207" s="564"/>
      <c r="DK207" s="564"/>
      <c r="DL207" s="564"/>
      <c r="DM207" s="564"/>
      <c r="DN207" s="564"/>
      <c r="DO207" s="564"/>
      <c r="DP207" s="564"/>
      <c r="DQ207" s="564"/>
      <c r="DR207" s="564"/>
      <c r="DS207" s="569"/>
      <c r="DT207" s="564"/>
      <c r="DU207" s="569"/>
      <c r="DV207" s="568"/>
      <c r="DW207" s="563"/>
      <c r="DX207" s="564"/>
      <c r="DY207" s="564"/>
      <c r="DZ207" s="564"/>
      <c r="EA207" s="564"/>
      <c r="EB207" s="564"/>
      <c r="EC207" s="564"/>
      <c r="ED207" s="564"/>
      <c r="EE207" s="564"/>
      <c r="EF207" s="564"/>
      <c r="EG207" s="564"/>
      <c r="EH207" s="564"/>
      <c r="EI207" s="564"/>
      <c r="EJ207" s="564"/>
      <c r="EK207" s="564"/>
      <c r="EL207" s="564"/>
      <c r="EM207" s="564"/>
      <c r="EN207" s="564"/>
      <c r="EO207" s="564"/>
      <c r="EP207" s="564"/>
      <c r="EQ207" s="564"/>
      <c r="ER207" s="564"/>
      <c r="ES207" s="564"/>
      <c r="ET207" s="564"/>
      <c r="EU207" s="564"/>
      <c r="EV207" s="564"/>
      <c r="EW207" s="564"/>
      <c r="EX207" s="564"/>
      <c r="EY207" s="564"/>
      <c r="EZ207" s="239"/>
      <c r="FA207" s="564"/>
      <c r="FB207" s="564"/>
      <c r="FC207" s="564"/>
      <c r="FD207" s="564"/>
      <c r="FE207" s="564"/>
      <c r="FF207" s="564"/>
      <c r="FG207" s="564"/>
      <c r="FH207" s="564"/>
      <c r="FI207" s="564"/>
      <c r="FJ207" s="564"/>
      <c r="FK207" s="564"/>
      <c r="FL207" s="564"/>
      <c r="FM207" s="564"/>
      <c r="FN207" s="569"/>
      <c r="FO207" s="564"/>
      <c r="FP207" s="564"/>
      <c r="FQ207" s="564"/>
      <c r="FR207" s="564"/>
      <c r="FS207" s="564"/>
      <c r="FT207" s="564"/>
      <c r="FU207" s="564"/>
      <c r="FV207" s="564"/>
      <c r="FW207" s="564"/>
      <c r="FX207" s="564"/>
      <c r="FY207" s="564"/>
      <c r="FZ207" s="564"/>
      <c r="GA207" s="564"/>
      <c r="GB207" s="564"/>
      <c r="GC207" s="564"/>
      <c r="GD207" s="564"/>
      <c r="GE207" s="564"/>
      <c r="GF207" s="564"/>
      <c r="GG207" s="564"/>
      <c r="GH207" s="564"/>
      <c r="GI207" s="564"/>
      <c r="GJ207" s="564"/>
      <c r="GK207" s="564"/>
      <c r="GL207" s="564"/>
      <c r="GM207" s="564"/>
      <c r="GN207" s="564"/>
      <c r="GO207" s="564"/>
      <c r="GP207" s="564"/>
      <c r="GQ207" s="564"/>
      <c r="GR207" s="564"/>
      <c r="GS207" s="564"/>
      <c r="GT207" s="564"/>
      <c r="GU207" s="564"/>
      <c r="GV207" s="569"/>
      <c r="GW207" s="564"/>
      <c r="GX207" s="564"/>
      <c r="GY207" s="564"/>
      <c r="GZ207" s="564"/>
      <c r="HA207" s="564"/>
      <c r="HB207" s="564"/>
      <c r="HC207" s="564"/>
      <c r="HD207" s="564"/>
      <c r="HE207" s="564"/>
      <c r="HF207" s="564"/>
      <c r="HG207" s="564"/>
      <c r="HH207" s="564"/>
      <c r="HI207" s="564"/>
      <c r="HJ207" s="564"/>
      <c r="HK207" s="569"/>
      <c r="HL207" s="564" t="s">
        <v>33474</v>
      </c>
      <c r="HM207" s="564" t="s">
        <v>7</v>
      </c>
      <c r="HN207" s="564" t="s">
        <v>33950</v>
      </c>
      <c r="HO207" s="564" t="s">
        <v>33951</v>
      </c>
      <c r="HP207" s="564" t="s">
        <v>33952</v>
      </c>
      <c r="HQ207" s="564" t="s">
        <v>33953</v>
      </c>
      <c r="HR207" s="564" t="s">
        <v>33954</v>
      </c>
      <c r="HS207" s="564" t="s">
        <v>33955</v>
      </c>
      <c r="HT207" s="568" t="s">
        <v>33946</v>
      </c>
    </row>
    <row r="208" spans="1:228" ht="30.2" customHeight="1" x14ac:dyDescent="0.25">
      <c r="A208" s="759"/>
      <c r="B208" s="563">
        <v>55</v>
      </c>
      <c r="C208" s="563" t="s">
        <v>19405</v>
      </c>
      <c r="D208" s="564" t="s">
        <v>33971</v>
      </c>
      <c r="E208" s="564" t="s">
        <v>33859</v>
      </c>
      <c r="F208" s="564" t="s">
        <v>7</v>
      </c>
      <c r="G208" s="564" t="s">
        <v>33972</v>
      </c>
      <c r="H208" s="564">
        <v>1192.355957</v>
      </c>
      <c r="I208" s="564">
        <v>3.8918010000000001</v>
      </c>
      <c r="J208" s="564" t="s">
        <v>29288</v>
      </c>
      <c r="K208" s="564" t="s">
        <v>4</v>
      </c>
      <c r="L208" s="564" t="s">
        <v>33973</v>
      </c>
      <c r="M208" s="564">
        <v>780913303</v>
      </c>
      <c r="N208" s="564" t="s">
        <v>3</v>
      </c>
      <c r="O208" s="564" t="s">
        <v>31438</v>
      </c>
      <c r="P208" s="564">
        <v>62</v>
      </c>
      <c r="Q208" s="564">
        <v>8</v>
      </c>
      <c r="R208" s="564" t="s">
        <v>7</v>
      </c>
      <c r="S208" s="564" t="s">
        <v>31588</v>
      </c>
      <c r="T208" s="564" t="s">
        <v>4</v>
      </c>
      <c r="U208" s="564" t="s">
        <v>2</v>
      </c>
      <c r="V208" s="564" t="s">
        <v>4</v>
      </c>
      <c r="W208" s="564" t="s">
        <v>4</v>
      </c>
      <c r="X208" s="564" t="s">
        <v>4</v>
      </c>
      <c r="Y208" s="564" t="s">
        <v>4</v>
      </c>
      <c r="Z208" s="565">
        <v>45474</v>
      </c>
      <c r="AA208" s="557" t="str">
        <f>IF(OR(U208="yes",Z208&gt;'SDG outcome'!$C$39),"yes","no")</f>
        <v>yes</v>
      </c>
      <c r="AB208" s="565" t="str">
        <f t="shared" si="7"/>
        <v>NA</v>
      </c>
      <c r="AC208" s="566" t="str">
        <f>IF(AND('SMS p2'!AA67="no",AND(Z208&gt;='SDG outcome'!$B$28,Z208&lt;'SDG outcome'!$C$39)),Z208-'SDG outcome'!$B$28,"")</f>
        <v/>
      </c>
      <c r="AD208" s="564" t="s">
        <v>8</v>
      </c>
      <c r="AE208" s="564" t="s">
        <v>33974</v>
      </c>
      <c r="AF208" s="564" t="s">
        <v>4</v>
      </c>
      <c r="AG208" s="564" t="s">
        <v>4</v>
      </c>
      <c r="AH208" s="564" t="s">
        <v>4</v>
      </c>
      <c r="AI208" s="564" t="s">
        <v>4</v>
      </c>
      <c r="AJ208" s="564" t="s">
        <v>4</v>
      </c>
      <c r="AK208" s="564" t="s">
        <v>4</v>
      </c>
      <c r="AL208" s="564"/>
      <c r="AM208" s="564"/>
      <c r="AN208" s="564"/>
      <c r="AO208" s="564"/>
      <c r="AP208" s="564"/>
      <c r="AQ208" s="564"/>
      <c r="AR208" s="564"/>
      <c r="AS208" s="564"/>
      <c r="AT208" s="564"/>
      <c r="AU208" s="564"/>
      <c r="AV208" s="564"/>
      <c r="AW208" s="564"/>
      <c r="AX208" s="564"/>
      <c r="AY208" s="564"/>
      <c r="AZ208" s="564"/>
      <c r="BA208" s="564"/>
      <c r="BB208" s="564"/>
      <c r="BC208" s="564"/>
      <c r="BD208" s="564"/>
      <c r="BE208" s="564"/>
      <c r="BF208" s="564"/>
      <c r="BG208" s="564"/>
      <c r="BH208" s="564"/>
      <c r="BI208" s="564"/>
      <c r="BJ208" s="564"/>
      <c r="BK208" s="564"/>
      <c r="BL208" s="564"/>
      <c r="BM208" s="564"/>
      <c r="BN208" s="564"/>
      <c r="BO208" s="564"/>
      <c r="BP208" s="564"/>
      <c r="BQ208" s="564"/>
      <c r="BR208" s="567"/>
      <c r="BS208" s="564"/>
      <c r="BT208" s="564"/>
      <c r="BU208" s="564"/>
      <c r="BV208" s="564"/>
      <c r="BW208" s="567"/>
      <c r="BX208" s="564"/>
      <c r="BY208" s="564"/>
      <c r="BZ208" s="564"/>
      <c r="CA208" s="564"/>
      <c r="CB208" s="564"/>
      <c r="CC208" s="564"/>
      <c r="CD208" s="564"/>
      <c r="CE208" s="564"/>
      <c r="CF208" s="564"/>
      <c r="CG208" s="564"/>
      <c r="CH208" s="564"/>
      <c r="CI208" s="564"/>
      <c r="CJ208" s="564"/>
      <c r="CK208" s="564"/>
      <c r="CL208" s="564"/>
      <c r="CM208" s="564"/>
      <c r="CN208" s="564"/>
      <c r="CO208" s="564"/>
      <c r="CP208" s="564"/>
      <c r="CQ208" s="564"/>
      <c r="CR208" s="564"/>
      <c r="CS208" s="564"/>
      <c r="CT208" s="568"/>
      <c r="CU208" s="563"/>
      <c r="CV208" s="564"/>
      <c r="CW208" s="568"/>
      <c r="CX208" s="563"/>
      <c r="CY208" s="564"/>
      <c r="CZ208" s="568"/>
      <c r="DA208" s="563"/>
      <c r="DB208" s="564"/>
      <c r="DC208" s="564"/>
      <c r="DD208" s="564"/>
      <c r="DE208" s="564"/>
      <c r="DF208" s="564"/>
      <c r="DG208" s="564"/>
      <c r="DH208" s="564"/>
      <c r="DI208" s="564"/>
      <c r="DJ208" s="564"/>
      <c r="DK208" s="564"/>
      <c r="DL208" s="564"/>
      <c r="DM208" s="564"/>
      <c r="DN208" s="564"/>
      <c r="DO208" s="564"/>
      <c r="DP208" s="564"/>
      <c r="DQ208" s="564"/>
      <c r="DR208" s="564"/>
      <c r="DS208" s="569"/>
      <c r="DT208" s="564"/>
      <c r="DU208" s="569"/>
      <c r="DV208" s="568"/>
      <c r="DW208" s="563"/>
      <c r="DX208" s="564"/>
      <c r="DY208" s="564"/>
      <c r="DZ208" s="564"/>
      <c r="EA208" s="564"/>
      <c r="EB208" s="564"/>
      <c r="EC208" s="564"/>
      <c r="ED208" s="564"/>
      <c r="EE208" s="564"/>
      <c r="EF208" s="564"/>
      <c r="EG208" s="564"/>
      <c r="EH208" s="564"/>
      <c r="EI208" s="564"/>
      <c r="EJ208" s="564"/>
      <c r="EK208" s="564"/>
      <c r="EL208" s="564"/>
      <c r="EM208" s="564"/>
      <c r="EN208" s="564"/>
      <c r="EO208" s="564"/>
      <c r="EP208" s="564"/>
      <c r="EQ208" s="564"/>
      <c r="ER208" s="564"/>
      <c r="ES208" s="564"/>
      <c r="ET208" s="564"/>
      <c r="EU208" s="564"/>
      <c r="EV208" s="564"/>
      <c r="EW208" s="564"/>
      <c r="EX208" s="564"/>
      <c r="EY208" s="564"/>
      <c r="EZ208" s="239"/>
      <c r="FA208" s="564"/>
      <c r="FB208" s="564"/>
      <c r="FC208" s="564"/>
      <c r="FD208" s="564"/>
      <c r="FE208" s="564"/>
      <c r="FF208" s="564"/>
      <c r="FG208" s="564"/>
      <c r="FH208" s="564"/>
      <c r="FI208" s="564"/>
      <c r="FJ208" s="564"/>
      <c r="FK208" s="564"/>
      <c r="FL208" s="564"/>
      <c r="FM208" s="564"/>
      <c r="FN208" s="569"/>
      <c r="FO208" s="564"/>
      <c r="FP208" s="564"/>
      <c r="FQ208" s="564"/>
      <c r="FR208" s="564"/>
      <c r="FS208" s="564"/>
      <c r="FT208" s="564"/>
      <c r="FU208" s="564"/>
      <c r="FV208" s="564"/>
      <c r="FW208" s="564"/>
      <c r="FX208" s="564"/>
      <c r="FY208" s="564"/>
      <c r="FZ208" s="564"/>
      <c r="GA208" s="564"/>
      <c r="GB208" s="564"/>
      <c r="GC208" s="564"/>
      <c r="GD208" s="564"/>
      <c r="GE208" s="564"/>
      <c r="GF208" s="564"/>
      <c r="GG208" s="564"/>
      <c r="GH208" s="564"/>
      <c r="GI208" s="564"/>
      <c r="GJ208" s="564"/>
      <c r="GK208" s="564"/>
      <c r="GL208" s="564"/>
      <c r="GM208" s="564"/>
      <c r="GN208" s="564"/>
      <c r="GO208" s="564"/>
      <c r="GP208" s="564"/>
      <c r="GQ208" s="564"/>
      <c r="GR208" s="564"/>
      <c r="GS208" s="564"/>
      <c r="GT208" s="564"/>
      <c r="GU208" s="564"/>
      <c r="GV208" s="569"/>
      <c r="GW208" s="564"/>
      <c r="GX208" s="564"/>
      <c r="GY208" s="564"/>
      <c r="GZ208" s="564"/>
      <c r="HA208" s="564"/>
      <c r="HB208" s="564"/>
      <c r="HC208" s="564"/>
      <c r="HD208" s="564"/>
      <c r="HE208" s="564"/>
      <c r="HF208" s="564"/>
      <c r="HG208" s="564"/>
      <c r="HH208" s="564"/>
      <c r="HI208" s="564"/>
      <c r="HJ208" s="564"/>
      <c r="HK208" s="569"/>
      <c r="HL208" s="564" t="s">
        <v>33975</v>
      </c>
      <c r="HM208" s="564" t="s">
        <v>2</v>
      </c>
      <c r="HN208" s="564" t="s">
        <v>4</v>
      </c>
      <c r="HO208" s="564" t="s">
        <v>33976</v>
      </c>
      <c r="HP208" s="564" t="s">
        <v>33977</v>
      </c>
      <c r="HQ208" s="564" t="s">
        <v>33978</v>
      </c>
      <c r="HR208" s="564" t="s">
        <v>33979</v>
      </c>
      <c r="HS208" s="564" t="s">
        <v>33980</v>
      </c>
      <c r="HT208" s="568" t="s">
        <v>33971</v>
      </c>
    </row>
    <row r="209" spans="1:228" ht="30.2" customHeight="1" x14ac:dyDescent="0.25">
      <c r="A209" s="759"/>
      <c r="B209" s="563">
        <v>58</v>
      </c>
      <c r="C209" s="563" t="s">
        <v>19292</v>
      </c>
      <c r="D209" s="564" t="s">
        <v>34024</v>
      </c>
      <c r="E209" s="564" t="s">
        <v>33859</v>
      </c>
      <c r="F209" s="564" t="s">
        <v>7</v>
      </c>
      <c r="G209" s="564" t="s">
        <v>34025</v>
      </c>
      <c r="H209" s="564">
        <v>997.29968299999996</v>
      </c>
      <c r="I209" s="564">
        <v>4.7699490000000004</v>
      </c>
      <c r="J209" s="564" t="s">
        <v>29389</v>
      </c>
      <c r="K209" s="564" t="s">
        <v>33785</v>
      </c>
      <c r="L209" s="564" t="s">
        <v>34026</v>
      </c>
      <c r="M209" s="564">
        <v>778877446</v>
      </c>
      <c r="N209" s="564" t="s">
        <v>3</v>
      </c>
      <c r="O209" s="564" t="s">
        <v>31438</v>
      </c>
      <c r="P209" s="564">
        <v>30</v>
      </c>
      <c r="Q209" s="564">
        <v>7</v>
      </c>
      <c r="R209" s="564" t="s">
        <v>7</v>
      </c>
      <c r="S209" s="564" t="s">
        <v>31562</v>
      </c>
      <c r="T209" s="564" t="s">
        <v>4</v>
      </c>
      <c r="U209" s="564" t="s">
        <v>2</v>
      </c>
      <c r="V209" s="564" t="s">
        <v>4</v>
      </c>
      <c r="W209" s="564" t="s">
        <v>4</v>
      </c>
      <c r="X209" s="564" t="s">
        <v>4</v>
      </c>
      <c r="Y209" s="564" t="s">
        <v>4</v>
      </c>
      <c r="Z209" s="565">
        <v>45474</v>
      </c>
      <c r="AA209" s="557" t="str">
        <f>IF(OR(U209="yes",Z209&gt;'SDG outcome'!$C$39),"yes","no")</f>
        <v>yes</v>
      </c>
      <c r="AB209" s="565" t="str">
        <f t="shared" si="7"/>
        <v>NA</v>
      </c>
      <c r="AC209" s="566" t="str">
        <f>IF(AND('SMS p2'!AA70="no",AND(Z209&gt;='SDG outcome'!$B$28,Z209&lt;'SDG outcome'!$C$39)),Z209-'SDG outcome'!$B$28,"")</f>
        <v/>
      </c>
      <c r="AD209" s="564" t="s">
        <v>8</v>
      </c>
      <c r="AE209" s="564" t="s">
        <v>34027</v>
      </c>
      <c r="AF209" s="564" t="s">
        <v>4</v>
      </c>
      <c r="AG209" s="564" t="s">
        <v>4</v>
      </c>
      <c r="AH209" s="564" t="s">
        <v>4</v>
      </c>
      <c r="AI209" s="564" t="s">
        <v>4</v>
      </c>
      <c r="AJ209" s="564" t="s">
        <v>4</v>
      </c>
      <c r="AK209" s="564" t="s">
        <v>4</v>
      </c>
      <c r="AL209" s="564"/>
      <c r="AM209" s="564"/>
      <c r="AN209" s="564"/>
      <c r="AO209" s="564"/>
      <c r="AP209" s="564"/>
      <c r="AQ209" s="564"/>
      <c r="AR209" s="564"/>
      <c r="AS209" s="564"/>
      <c r="AT209" s="564"/>
      <c r="AU209" s="564"/>
      <c r="AV209" s="564"/>
      <c r="AW209" s="564"/>
      <c r="AX209" s="564"/>
      <c r="AY209" s="564"/>
      <c r="AZ209" s="564"/>
      <c r="BA209" s="564"/>
      <c r="BB209" s="564"/>
      <c r="BC209" s="564"/>
      <c r="BD209" s="564"/>
      <c r="BE209" s="564"/>
      <c r="BF209" s="564"/>
      <c r="BG209" s="564"/>
      <c r="BH209" s="564"/>
      <c r="BI209" s="564"/>
      <c r="BJ209" s="564"/>
      <c r="BK209" s="564"/>
      <c r="BL209" s="564"/>
      <c r="BM209" s="564"/>
      <c r="BN209" s="564"/>
      <c r="BO209" s="564"/>
      <c r="BP209" s="564"/>
      <c r="BQ209" s="564"/>
      <c r="BR209" s="567"/>
      <c r="BS209" s="564"/>
      <c r="BT209" s="564"/>
      <c r="BU209" s="564"/>
      <c r="BV209" s="564"/>
      <c r="BW209" s="567"/>
      <c r="BX209" s="564"/>
      <c r="BY209" s="564"/>
      <c r="BZ209" s="564"/>
      <c r="CA209" s="564"/>
      <c r="CB209" s="564"/>
      <c r="CC209" s="564"/>
      <c r="CD209" s="564"/>
      <c r="CE209" s="564"/>
      <c r="CF209" s="564"/>
      <c r="CG209" s="564"/>
      <c r="CH209" s="564"/>
      <c r="CI209" s="564"/>
      <c r="CJ209" s="564"/>
      <c r="CK209" s="564"/>
      <c r="CL209" s="564"/>
      <c r="CM209" s="564"/>
      <c r="CN209" s="564"/>
      <c r="CO209" s="564"/>
      <c r="CP209" s="564"/>
      <c r="CQ209" s="564"/>
      <c r="CR209" s="564"/>
      <c r="CS209" s="564"/>
      <c r="CT209" s="568"/>
      <c r="CU209" s="563"/>
      <c r="CV209" s="564"/>
      <c r="CW209" s="568"/>
      <c r="CX209" s="563"/>
      <c r="CY209" s="564"/>
      <c r="CZ209" s="568"/>
      <c r="DA209" s="563"/>
      <c r="DB209" s="564"/>
      <c r="DC209" s="564"/>
      <c r="DD209" s="564"/>
      <c r="DE209" s="564"/>
      <c r="DF209" s="564"/>
      <c r="DG209" s="564"/>
      <c r="DH209" s="564"/>
      <c r="DI209" s="564"/>
      <c r="DJ209" s="564"/>
      <c r="DK209" s="564"/>
      <c r="DL209" s="564"/>
      <c r="DM209" s="564"/>
      <c r="DN209" s="564"/>
      <c r="DO209" s="564"/>
      <c r="DP209" s="564"/>
      <c r="DQ209" s="564"/>
      <c r="DR209" s="564"/>
      <c r="DS209" s="569"/>
      <c r="DT209" s="564"/>
      <c r="DU209" s="569"/>
      <c r="DV209" s="568"/>
      <c r="DW209" s="563"/>
      <c r="DX209" s="564"/>
      <c r="DY209" s="564"/>
      <c r="DZ209" s="564"/>
      <c r="EA209" s="564"/>
      <c r="EB209" s="564"/>
      <c r="EC209" s="564"/>
      <c r="ED209" s="564"/>
      <c r="EE209" s="564"/>
      <c r="EF209" s="564"/>
      <c r="EG209" s="564"/>
      <c r="EH209" s="564"/>
      <c r="EI209" s="564"/>
      <c r="EJ209" s="564"/>
      <c r="EK209" s="564"/>
      <c r="EL209" s="564"/>
      <c r="EM209" s="564"/>
      <c r="EN209" s="564"/>
      <c r="EO209" s="564"/>
      <c r="EP209" s="564"/>
      <c r="EQ209" s="564"/>
      <c r="ER209" s="564"/>
      <c r="ES209" s="564"/>
      <c r="ET209" s="564"/>
      <c r="EU209" s="564"/>
      <c r="EV209" s="564"/>
      <c r="EW209" s="564"/>
      <c r="EX209" s="564"/>
      <c r="EY209" s="564"/>
      <c r="EZ209" s="239"/>
      <c r="FA209" s="564"/>
      <c r="FB209" s="564"/>
      <c r="FC209" s="564"/>
      <c r="FD209" s="564"/>
      <c r="FE209" s="564"/>
      <c r="FF209" s="564"/>
      <c r="FG209" s="564"/>
      <c r="FH209" s="564"/>
      <c r="FI209" s="564"/>
      <c r="FJ209" s="564"/>
      <c r="FK209" s="564"/>
      <c r="FL209" s="564"/>
      <c r="FM209" s="564"/>
      <c r="FN209" s="569"/>
      <c r="FO209" s="564"/>
      <c r="FP209" s="564"/>
      <c r="FQ209" s="564"/>
      <c r="FR209" s="564"/>
      <c r="FS209" s="564"/>
      <c r="FT209" s="564"/>
      <c r="FU209" s="564"/>
      <c r="FV209" s="564"/>
      <c r="FW209" s="564"/>
      <c r="FX209" s="564"/>
      <c r="FY209" s="564"/>
      <c r="FZ209" s="564"/>
      <c r="GA209" s="564"/>
      <c r="GB209" s="564"/>
      <c r="GC209" s="564"/>
      <c r="GD209" s="564"/>
      <c r="GE209" s="564"/>
      <c r="GF209" s="564"/>
      <c r="GG209" s="564"/>
      <c r="GH209" s="564"/>
      <c r="GI209" s="564"/>
      <c r="GJ209" s="564"/>
      <c r="GK209" s="564"/>
      <c r="GL209" s="564"/>
      <c r="GM209" s="564"/>
      <c r="GN209" s="564"/>
      <c r="GO209" s="564"/>
      <c r="GP209" s="564"/>
      <c r="GQ209" s="564"/>
      <c r="GR209" s="564"/>
      <c r="GS209" s="564"/>
      <c r="GT209" s="564"/>
      <c r="GU209" s="564"/>
      <c r="GV209" s="569"/>
      <c r="GW209" s="564"/>
      <c r="GX209" s="564"/>
      <c r="GY209" s="564"/>
      <c r="GZ209" s="564"/>
      <c r="HA209" s="564"/>
      <c r="HB209" s="564"/>
      <c r="HC209" s="564"/>
      <c r="HD209" s="564"/>
      <c r="HE209" s="564"/>
      <c r="HF209" s="564"/>
      <c r="HG209" s="564"/>
      <c r="HH209" s="564"/>
      <c r="HI209" s="564"/>
      <c r="HJ209" s="564"/>
      <c r="HK209" s="569"/>
      <c r="HL209" s="564" t="s">
        <v>34028</v>
      </c>
      <c r="HM209" s="564" t="s">
        <v>2</v>
      </c>
      <c r="HN209" s="564" t="s">
        <v>4</v>
      </c>
      <c r="HO209" s="564" t="s">
        <v>34029</v>
      </c>
      <c r="HP209" s="564" t="s">
        <v>34030</v>
      </c>
      <c r="HQ209" s="564" t="s">
        <v>34031</v>
      </c>
      <c r="HR209" s="564" t="s">
        <v>34032</v>
      </c>
      <c r="HS209" s="564" t="s">
        <v>34033</v>
      </c>
      <c r="HT209" s="568" t="s">
        <v>34024</v>
      </c>
    </row>
    <row r="210" spans="1:228" ht="30.2" customHeight="1" x14ac:dyDescent="0.25">
      <c r="A210" s="759"/>
      <c r="B210" s="563">
        <v>61</v>
      </c>
      <c r="C210" s="563" t="s">
        <v>4663</v>
      </c>
      <c r="D210" s="564" t="s">
        <v>34057</v>
      </c>
      <c r="E210" s="564" t="s">
        <v>29799</v>
      </c>
      <c r="F210" s="564" t="s">
        <v>7</v>
      </c>
      <c r="G210" s="564" t="s">
        <v>34058</v>
      </c>
      <c r="H210" s="564">
        <v>1213.1717530000001</v>
      </c>
      <c r="I210" s="564">
        <v>3.9783040000000001</v>
      </c>
      <c r="J210" s="564" t="s">
        <v>29349</v>
      </c>
      <c r="K210" s="564" t="s">
        <v>4</v>
      </c>
      <c r="L210" s="564" t="s">
        <v>34059</v>
      </c>
      <c r="M210" s="564">
        <v>703986168</v>
      </c>
      <c r="N210" s="564" t="s">
        <v>5</v>
      </c>
      <c r="O210" s="564" t="s">
        <v>31590</v>
      </c>
      <c r="P210" s="564" t="s">
        <v>4</v>
      </c>
      <c r="Q210" s="564">
        <v>6</v>
      </c>
      <c r="R210" s="564" t="s">
        <v>7</v>
      </c>
      <c r="S210" s="564" t="s">
        <v>31588</v>
      </c>
      <c r="T210" s="564" t="s">
        <v>4</v>
      </c>
      <c r="U210" s="564" t="s">
        <v>2</v>
      </c>
      <c r="V210" s="564" t="s">
        <v>4</v>
      </c>
      <c r="W210" s="564" t="s">
        <v>4</v>
      </c>
      <c r="X210" s="564" t="s">
        <v>4</v>
      </c>
      <c r="Y210" s="564" t="s">
        <v>4</v>
      </c>
      <c r="Z210" s="565">
        <v>44378</v>
      </c>
      <c r="AA210" s="557" t="str">
        <f>IF(OR(U210="yes",Z210&gt;'SDG outcome'!$C$39),"yes","no")</f>
        <v>no</v>
      </c>
      <c r="AB210" s="565" t="str">
        <f t="shared" si="7"/>
        <v/>
      </c>
      <c r="AC210" s="566" t="str">
        <f>IF(AND('SMS p2'!AA73="no",AND(Z210&gt;='SDG outcome'!$B$28,Z210&lt;'SDG outcome'!$C$39)),Z210-'SDG outcome'!$B$28,"")</f>
        <v/>
      </c>
      <c r="AD210" s="564" t="s">
        <v>8</v>
      </c>
      <c r="AE210" s="564" t="s">
        <v>34060</v>
      </c>
      <c r="AF210" s="564" t="s">
        <v>4</v>
      </c>
      <c r="AG210" s="564" t="s">
        <v>4</v>
      </c>
      <c r="AH210" s="564" t="s">
        <v>4</v>
      </c>
      <c r="AI210" s="564" t="s">
        <v>4</v>
      </c>
      <c r="AJ210" s="564" t="s">
        <v>4</v>
      </c>
      <c r="AK210" s="564" t="s">
        <v>4</v>
      </c>
      <c r="AL210" s="564"/>
      <c r="AM210" s="564"/>
      <c r="AN210" s="564"/>
      <c r="AO210" s="564"/>
      <c r="AP210" s="564"/>
      <c r="AQ210" s="564"/>
      <c r="AR210" s="564"/>
      <c r="AS210" s="564"/>
      <c r="AT210" s="564"/>
      <c r="AU210" s="564"/>
      <c r="AV210" s="564"/>
      <c r="AW210" s="564"/>
      <c r="AX210" s="564"/>
      <c r="AY210" s="564"/>
      <c r="AZ210" s="564"/>
      <c r="BA210" s="564"/>
      <c r="BB210" s="564"/>
      <c r="BC210" s="564"/>
      <c r="BD210" s="564"/>
      <c r="BE210" s="564"/>
      <c r="BF210" s="564"/>
      <c r="BG210" s="564"/>
      <c r="BH210" s="564"/>
      <c r="BI210" s="564"/>
      <c r="BJ210" s="564"/>
      <c r="BK210" s="564"/>
      <c r="BL210" s="564"/>
      <c r="BM210" s="564"/>
      <c r="BN210" s="564"/>
      <c r="BO210" s="564"/>
      <c r="BP210" s="564"/>
      <c r="BQ210" s="564"/>
      <c r="BR210" s="567"/>
      <c r="BS210" s="564"/>
      <c r="BT210" s="564"/>
      <c r="BU210" s="564"/>
      <c r="BV210" s="564"/>
      <c r="BW210" s="567"/>
      <c r="BX210" s="564"/>
      <c r="BY210" s="564"/>
      <c r="BZ210" s="564"/>
      <c r="CA210" s="564"/>
      <c r="CB210" s="564"/>
      <c r="CC210" s="564"/>
      <c r="CD210" s="564"/>
      <c r="CE210" s="564"/>
      <c r="CF210" s="564"/>
      <c r="CG210" s="564"/>
      <c r="CH210" s="564"/>
      <c r="CI210" s="564"/>
      <c r="CJ210" s="564"/>
      <c r="CK210" s="564"/>
      <c r="CL210" s="564"/>
      <c r="CM210" s="564"/>
      <c r="CN210" s="564"/>
      <c r="CO210" s="564"/>
      <c r="CP210" s="564"/>
      <c r="CQ210" s="564"/>
      <c r="CR210" s="564"/>
      <c r="CS210" s="564"/>
      <c r="CT210" s="568"/>
      <c r="CU210" s="563"/>
      <c r="CV210" s="564"/>
      <c r="CW210" s="568"/>
      <c r="CX210" s="563"/>
      <c r="CY210" s="564"/>
      <c r="CZ210" s="568"/>
      <c r="DA210" s="563"/>
      <c r="DB210" s="564"/>
      <c r="DC210" s="564"/>
      <c r="DD210" s="564"/>
      <c r="DE210" s="564"/>
      <c r="DF210" s="564"/>
      <c r="DG210" s="564"/>
      <c r="DH210" s="564"/>
      <c r="DI210" s="564"/>
      <c r="DJ210" s="564"/>
      <c r="DK210" s="564"/>
      <c r="DL210" s="564"/>
      <c r="DM210" s="564"/>
      <c r="DN210" s="564"/>
      <c r="DO210" s="564"/>
      <c r="DP210" s="564"/>
      <c r="DQ210" s="564"/>
      <c r="DR210" s="564"/>
      <c r="DS210" s="569"/>
      <c r="DT210" s="564"/>
      <c r="DU210" s="569"/>
      <c r="DV210" s="568"/>
      <c r="DW210" s="563"/>
      <c r="DX210" s="564"/>
      <c r="DY210" s="564"/>
      <c r="DZ210" s="564"/>
      <c r="EA210" s="564"/>
      <c r="EB210" s="564"/>
      <c r="EC210" s="564"/>
      <c r="ED210" s="564"/>
      <c r="EE210" s="564"/>
      <c r="EF210" s="564"/>
      <c r="EG210" s="564"/>
      <c r="EH210" s="564"/>
      <c r="EI210" s="564"/>
      <c r="EJ210" s="564"/>
      <c r="EK210" s="564"/>
      <c r="EL210" s="564"/>
      <c r="EM210" s="564"/>
      <c r="EN210" s="564"/>
      <c r="EO210" s="564"/>
      <c r="EP210" s="564"/>
      <c r="EQ210" s="564"/>
      <c r="ER210" s="564"/>
      <c r="ES210" s="564"/>
      <c r="ET210" s="564"/>
      <c r="EU210" s="564"/>
      <c r="EV210" s="564"/>
      <c r="EW210" s="571"/>
      <c r="EX210" s="564"/>
      <c r="EY210" s="564"/>
      <c r="EZ210" s="239"/>
      <c r="FA210" s="564"/>
      <c r="FB210" s="564"/>
      <c r="FC210" s="564"/>
      <c r="FD210" s="564"/>
      <c r="FE210" s="564"/>
      <c r="FF210" s="564"/>
      <c r="FG210" s="564"/>
      <c r="FH210" s="564"/>
      <c r="FI210" s="564"/>
      <c r="FJ210" s="564"/>
      <c r="FK210" s="564"/>
      <c r="FL210" s="564"/>
      <c r="FM210" s="564"/>
      <c r="FN210" s="569"/>
      <c r="FO210" s="564"/>
      <c r="FP210" s="564"/>
      <c r="FQ210" s="564"/>
      <c r="FR210" s="564"/>
      <c r="FS210" s="564"/>
      <c r="FT210" s="564"/>
      <c r="FU210" s="564"/>
      <c r="FV210" s="564"/>
      <c r="FW210" s="564"/>
      <c r="FX210" s="564"/>
      <c r="FY210" s="564"/>
      <c r="FZ210" s="564"/>
      <c r="GA210" s="564"/>
      <c r="GB210" s="564"/>
      <c r="GC210" s="564"/>
      <c r="GD210" s="564"/>
      <c r="GE210" s="564"/>
      <c r="GF210" s="564"/>
      <c r="GG210" s="564"/>
      <c r="GH210" s="564"/>
      <c r="GI210" s="564"/>
      <c r="GJ210" s="564"/>
      <c r="GK210" s="564"/>
      <c r="GL210" s="564"/>
      <c r="GM210" s="564"/>
      <c r="GN210" s="564"/>
      <c r="GO210" s="564"/>
      <c r="GP210" s="564"/>
      <c r="GQ210" s="564"/>
      <c r="GR210" s="564"/>
      <c r="GS210" s="564"/>
      <c r="GT210" s="564"/>
      <c r="GU210" s="564"/>
      <c r="GV210" s="569"/>
      <c r="GW210" s="564"/>
      <c r="GX210" s="564"/>
      <c r="GY210" s="564"/>
      <c r="GZ210" s="564"/>
      <c r="HA210" s="564"/>
      <c r="HB210" s="564"/>
      <c r="HC210" s="564"/>
      <c r="HD210" s="564"/>
      <c r="HE210" s="564"/>
      <c r="HF210" s="564"/>
      <c r="HG210" s="564"/>
      <c r="HH210" s="564"/>
      <c r="HI210" s="564"/>
      <c r="HJ210" s="564"/>
      <c r="HK210" s="569"/>
      <c r="HL210" s="564" t="s">
        <v>34061</v>
      </c>
      <c r="HM210" s="564" t="s">
        <v>2</v>
      </c>
      <c r="HN210" s="564" t="s">
        <v>4</v>
      </c>
      <c r="HO210" s="564" t="s">
        <v>34062</v>
      </c>
      <c r="HP210" s="564" t="s">
        <v>34063</v>
      </c>
      <c r="HQ210" s="564" t="s">
        <v>34064</v>
      </c>
      <c r="HR210" s="564" t="s">
        <v>34065</v>
      </c>
      <c r="HS210" s="564" t="s">
        <v>34066</v>
      </c>
      <c r="HT210" s="568" t="s">
        <v>34057</v>
      </c>
    </row>
    <row r="211" spans="1:228" ht="30.2" customHeight="1" x14ac:dyDescent="0.25">
      <c r="A211" s="759"/>
      <c r="B211" s="563">
        <v>64</v>
      </c>
      <c r="C211" s="563" t="s">
        <v>4126</v>
      </c>
      <c r="D211" s="564" t="s">
        <v>34093</v>
      </c>
      <c r="E211" s="564" t="s">
        <v>29799</v>
      </c>
      <c r="F211" s="564" t="s">
        <v>7</v>
      </c>
      <c r="G211" s="564" t="s">
        <v>34094</v>
      </c>
      <c r="H211" s="564">
        <v>1195.145996</v>
      </c>
      <c r="I211" s="564">
        <v>3.8944580000000002</v>
      </c>
      <c r="J211" s="564" t="s">
        <v>29288</v>
      </c>
      <c r="K211" s="564" t="s">
        <v>4</v>
      </c>
      <c r="L211" s="564" t="s">
        <v>34095</v>
      </c>
      <c r="M211" s="564">
        <v>772416695</v>
      </c>
      <c r="N211" s="564" t="s">
        <v>3</v>
      </c>
      <c r="O211" s="564" t="s">
        <v>31590</v>
      </c>
      <c r="P211" s="564" t="s">
        <v>4</v>
      </c>
      <c r="Q211" s="564">
        <v>6</v>
      </c>
      <c r="R211" s="564" t="s">
        <v>7</v>
      </c>
      <c r="S211" s="564" t="s">
        <v>31549</v>
      </c>
      <c r="T211" s="564" t="s">
        <v>4</v>
      </c>
      <c r="U211" s="564" t="s">
        <v>2</v>
      </c>
      <c r="V211" s="564" t="s">
        <v>4</v>
      </c>
      <c r="W211" s="564" t="s">
        <v>4</v>
      </c>
      <c r="X211" s="564" t="s">
        <v>4</v>
      </c>
      <c r="Y211" s="564" t="s">
        <v>4</v>
      </c>
      <c r="Z211" s="565" t="s">
        <v>34096</v>
      </c>
      <c r="AA211" s="557" t="str">
        <f>IF(OR(U211="yes",Z211&gt;'SDG outcome'!$C$39),"yes","no")</f>
        <v>yes</v>
      </c>
      <c r="AB211" s="565" t="str">
        <f t="shared" si="7"/>
        <v>NA</v>
      </c>
      <c r="AC211" s="566" t="str">
        <f>IF(AND('SMS p2'!AA76="no",AND(Z211&gt;='SDG outcome'!$B$28,Z211&lt;'SDG outcome'!$C$39)),Z211-'SDG outcome'!$B$28,"")</f>
        <v/>
      </c>
      <c r="AD211" s="564" t="s">
        <v>8</v>
      </c>
      <c r="AE211" s="564" t="s">
        <v>34097</v>
      </c>
      <c r="AF211" s="564" t="s">
        <v>4</v>
      </c>
      <c r="AG211" s="564" t="s">
        <v>4</v>
      </c>
      <c r="AH211" s="564" t="s">
        <v>4</v>
      </c>
      <c r="AI211" s="564" t="s">
        <v>4</v>
      </c>
      <c r="AJ211" s="564" t="s">
        <v>4</v>
      </c>
      <c r="AK211" s="564" t="s">
        <v>4</v>
      </c>
      <c r="AL211" s="564"/>
      <c r="AM211" s="564"/>
      <c r="AN211" s="564"/>
      <c r="AO211" s="564"/>
      <c r="AP211" s="564"/>
      <c r="AQ211" s="564"/>
      <c r="AR211" s="564"/>
      <c r="AS211" s="564"/>
      <c r="AT211" s="564"/>
      <c r="AU211" s="564"/>
      <c r="AV211" s="564"/>
      <c r="AW211" s="564"/>
      <c r="AX211" s="564"/>
      <c r="AY211" s="564"/>
      <c r="AZ211" s="564"/>
      <c r="BA211" s="564"/>
      <c r="BB211" s="564"/>
      <c r="BC211" s="564"/>
      <c r="BD211" s="564"/>
      <c r="BE211" s="564"/>
      <c r="BF211" s="564"/>
      <c r="BG211" s="564"/>
      <c r="BH211" s="564"/>
      <c r="BI211" s="564"/>
      <c r="BJ211" s="564"/>
      <c r="BK211" s="564"/>
      <c r="BL211" s="564"/>
      <c r="BM211" s="564"/>
      <c r="BN211" s="564"/>
      <c r="BO211" s="564"/>
      <c r="BP211" s="564"/>
      <c r="BQ211" s="564"/>
      <c r="BR211" s="567"/>
      <c r="BS211" s="564"/>
      <c r="BT211" s="564"/>
      <c r="BU211" s="564"/>
      <c r="BV211" s="564"/>
      <c r="BW211" s="567"/>
      <c r="BX211" s="564"/>
      <c r="BY211" s="564"/>
      <c r="BZ211" s="564"/>
      <c r="CA211" s="564"/>
      <c r="CB211" s="564"/>
      <c r="CC211" s="564"/>
      <c r="CD211" s="564"/>
      <c r="CE211" s="564"/>
      <c r="CF211" s="564"/>
      <c r="CG211" s="564"/>
      <c r="CH211" s="564"/>
      <c r="CI211" s="564"/>
      <c r="CJ211" s="564"/>
      <c r="CK211" s="564"/>
      <c r="CL211" s="564"/>
      <c r="CM211" s="564"/>
      <c r="CN211" s="564"/>
      <c r="CO211" s="564"/>
      <c r="CP211" s="564"/>
      <c r="CQ211" s="564"/>
      <c r="CR211" s="564"/>
      <c r="CS211" s="564"/>
      <c r="CT211" s="568"/>
      <c r="CU211" s="563"/>
      <c r="CV211" s="564"/>
      <c r="CW211" s="568"/>
      <c r="CX211" s="563"/>
      <c r="CY211" s="564"/>
      <c r="CZ211" s="568"/>
      <c r="DA211" s="563"/>
      <c r="DB211" s="564"/>
      <c r="DC211" s="564"/>
      <c r="DD211" s="564"/>
      <c r="DE211" s="564"/>
      <c r="DF211" s="564"/>
      <c r="DG211" s="564"/>
      <c r="DH211" s="564"/>
      <c r="DI211" s="564"/>
      <c r="DJ211" s="564"/>
      <c r="DK211" s="564"/>
      <c r="DL211" s="564"/>
      <c r="DM211" s="564"/>
      <c r="DN211" s="564"/>
      <c r="DO211" s="564"/>
      <c r="DP211" s="564"/>
      <c r="DQ211" s="564"/>
      <c r="DR211" s="564"/>
      <c r="DS211" s="569"/>
      <c r="DT211" s="564"/>
      <c r="DU211" s="569"/>
      <c r="DV211" s="568"/>
      <c r="DW211" s="563"/>
      <c r="DX211" s="564"/>
      <c r="DY211" s="564"/>
      <c r="DZ211" s="564"/>
      <c r="EA211" s="564"/>
      <c r="EB211" s="564"/>
      <c r="EC211" s="564"/>
      <c r="ED211" s="564"/>
      <c r="EE211" s="564"/>
      <c r="EF211" s="564"/>
      <c r="EG211" s="564"/>
      <c r="EH211" s="564"/>
      <c r="EI211" s="564"/>
      <c r="EJ211" s="564"/>
      <c r="EK211" s="564"/>
      <c r="EL211" s="564"/>
      <c r="EM211" s="564"/>
      <c r="EN211" s="564"/>
      <c r="EO211" s="564"/>
      <c r="EP211" s="564"/>
      <c r="EQ211" s="564"/>
      <c r="ER211" s="564"/>
      <c r="ES211" s="564"/>
      <c r="ET211" s="564"/>
      <c r="EU211" s="564"/>
      <c r="EV211" s="564"/>
      <c r="EW211" s="564"/>
      <c r="EX211" s="564"/>
      <c r="EY211" s="564"/>
      <c r="EZ211" s="239"/>
      <c r="FA211" s="564"/>
      <c r="FB211" s="564"/>
      <c r="FC211" s="564"/>
      <c r="FD211" s="564"/>
      <c r="FE211" s="564"/>
      <c r="FF211" s="564"/>
      <c r="FG211" s="564"/>
      <c r="FH211" s="564"/>
      <c r="FI211" s="564"/>
      <c r="FJ211" s="564"/>
      <c r="FK211" s="564"/>
      <c r="FL211" s="564"/>
      <c r="FM211" s="564"/>
      <c r="FN211" s="569"/>
      <c r="FO211" s="564"/>
      <c r="FP211" s="564"/>
      <c r="FQ211" s="564"/>
      <c r="FR211" s="564"/>
      <c r="FS211" s="564"/>
      <c r="FT211" s="564"/>
      <c r="FU211" s="564"/>
      <c r="FV211" s="564"/>
      <c r="FW211" s="564"/>
      <c r="FX211" s="564"/>
      <c r="FY211" s="564"/>
      <c r="FZ211" s="564"/>
      <c r="GA211" s="564"/>
      <c r="GB211" s="564"/>
      <c r="GC211" s="564"/>
      <c r="GD211" s="564"/>
      <c r="GE211" s="564"/>
      <c r="GF211" s="564"/>
      <c r="GG211" s="564"/>
      <c r="GH211" s="564"/>
      <c r="GI211" s="564"/>
      <c r="GJ211" s="564"/>
      <c r="GK211" s="564"/>
      <c r="GL211" s="564"/>
      <c r="GM211" s="564"/>
      <c r="GN211" s="564"/>
      <c r="GO211" s="564"/>
      <c r="GP211" s="564"/>
      <c r="GQ211" s="564"/>
      <c r="GR211" s="564"/>
      <c r="GS211" s="564"/>
      <c r="GT211" s="564"/>
      <c r="GU211" s="564"/>
      <c r="GV211" s="569"/>
      <c r="GW211" s="564"/>
      <c r="GX211" s="564"/>
      <c r="GY211" s="564"/>
      <c r="GZ211" s="564"/>
      <c r="HA211" s="564"/>
      <c r="HB211" s="564"/>
      <c r="HC211" s="564"/>
      <c r="HD211" s="564"/>
      <c r="HE211" s="564"/>
      <c r="HF211" s="564"/>
      <c r="HG211" s="564"/>
      <c r="HH211" s="564"/>
      <c r="HI211" s="564"/>
      <c r="HJ211" s="564"/>
      <c r="HK211" s="569"/>
      <c r="HL211" s="564" t="s">
        <v>4</v>
      </c>
      <c r="HM211" s="564" t="s">
        <v>2</v>
      </c>
      <c r="HN211" s="564" t="s">
        <v>4</v>
      </c>
      <c r="HO211" s="564" t="s">
        <v>34098</v>
      </c>
      <c r="HP211" s="564" t="s">
        <v>34099</v>
      </c>
      <c r="HQ211" s="564" t="s">
        <v>16</v>
      </c>
      <c r="HR211" s="564" t="s">
        <v>34100</v>
      </c>
      <c r="HS211" s="564" t="s">
        <v>34101</v>
      </c>
      <c r="HT211" s="568" t="s">
        <v>34093</v>
      </c>
    </row>
    <row r="212" spans="1:228" ht="30.2" customHeight="1" x14ac:dyDescent="0.25">
      <c r="A212" s="759"/>
      <c r="B212" s="563">
        <v>86</v>
      </c>
      <c r="C212" s="563" t="s">
        <v>6638</v>
      </c>
      <c r="D212" s="564" t="s">
        <v>34352</v>
      </c>
      <c r="E212" s="564" t="s">
        <v>30002</v>
      </c>
      <c r="F212" s="564" t="s">
        <v>7</v>
      </c>
      <c r="G212" s="564" t="s">
        <v>34353</v>
      </c>
      <c r="H212" s="564">
        <v>1113.5</v>
      </c>
      <c r="I212" s="564">
        <v>4.9000000000000004</v>
      </c>
      <c r="J212" s="564" t="s">
        <v>29389</v>
      </c>
      <c r="K212" s="564" t="s">
        <v>34354</v>
      </c>
      <c r="L212" s="564" t="s">
        <v>34355</v>
      </c>
      <c r="M212" s="564">
        <v>776876584</v>
      </c>
      <c r="N212" s="564" t="s">
        <v>3</v>
      </c>
      <c r="O212" s="564" t="s">
        <v>31438</v>
      </c>
      <c r="P212" s="564">
        <v>45</v>
      </c>
      <c r="Q212" s="564">
        <v>14</v>
      </c>
      <c r="R212" s="564" t="s">
        <v>7</v>
      </c>
      <c r="S212" s="564" t="s">
        <v>31588</v>
      </c>
      <c r="T212" s="564" t="s">
        <v>4</v>
      </c>
      <c r="U212" s="564" t="s">
        <v>2</v>
      </c>
      <c r="V212" s="564" t="s">
        <v>4</v>
      </c>
      <c r="W212" s="564" t="s">
        <v>4</v>
      </c>
      <c r="X212" s="564" t="s">
        <v>4</v>
      </c>
      <c r="Y212" s="564" t="s">
        <v>4</v>
      </c>
      <c r="Z212" s="565">
        <v>43089</v>
      </c>
      <c r="AA212" s="557" t="str">
        <f>IF(OR(U212="yes",Z212&gt;'SDG outcome'!$C$39),"yes","no")</f>
        <v>no</v>
      </c>
      <c r="AB212" s="565" t="str">
        <f t="shared" si="7"/>
        <v/>
      </c>
      <c r="AC212" s="566" t="str">
        <f>IF(AND('SMS p2'!AA98="no",AND(Z212&gt;='SDG outcome'!$B$28,Z212&lt;'SDG outcome'!$C$39)),Z212-'SDG outcome'!$B$28,"")</f>
        <v/>
      </c>
      <c r="AD212" s="564" t="s">
        <v>8</v>
      </c>
      <c r="AE212" s="564" t="s">
        <v>34356</v>
      </c>
      <c r="AF212" s="564" t="s">
        <v>4</v>
      </c>
      <c r="AG212" s="564" t="s">
        <v>4</v>
      </c>
      <c r="AH212" s="564" t="s">
        <v>4</v>
      </c>
      <c r="AI212" s="564" t="s">
        <v>4</v>
      </c>
      <c r="AJ212" s="564" t="s">
        <v>4</v>
      </c>
      <c r="AK212" s="564" t="s">
        <v>4</v>
      </c>
      <c r="AL212" s="564"/>
      <c r="AM212" s="564"/>
      <c r="AN212" s="564"/>
      <c r="AO212" s="564"/>
      <c r="AP212" s="564"/>
      <c r="AQ212" s="564"/>
      <c r="AR212" s="564"/>
      <c r="AS212" s="564"/>
      <c r="AT212" s="564"/>
      <c r="AU212" s="564"/>
      <c r="AV212" s="564"/>
      <c r="AW212" s="564"/>
      <c r="AX212" s="564"/>
      <c r="AY212" s="564"/>
      <c r="AZ212" s="564"/>
      <c r="BA212" s="564"/>
      <c r="BB212" s="564"/>
      <c r="BC212" s="564"/>
      <c r="BD212" s="571"/>
      <c r="BE212" s="564"/>
      <c r="BF212" s="564"/>
      <c r="BG212" s="564"/>
      <c r="BH212" s="564"/>
      <c r="BI212" s="564"/>
      <c r="BJ212" s="564"/>
      <c r="BK212" s="564"/>
      <c r="BL212" s="564"/>
      <c r="BM212" s="564"/>
      <c r="BN212" s="564"/>
      <c r="BO212" s="564"/>
      <c r="BP212" s="564"/>
      <c r="BQ212" s="564"/>
      <c r="BR212" s="567"/>
      <c r="BS212" s="564"/>
      <c r="BT212" s="564"/>
      <c r="BU212" s="564"/>
      <c r="BV212" s="564"/>
      <c r="BW212" s="567"/>
      <c r="BX212" s="564"/>
      <c r="BY212" s="564"/>
      <c r="BZ212" s="564"/>
      <c r="CA212" s="564"/>
      <c r="CB212" s="564"/>
      <c r="CC212" s="564"/>
      <c r="CD212" s="564"/>
      <c r="CE212" s="564"/>
      <c r="CF212" s="564"/>
      <c r="CG212" s="564"/>
      <c r="CH212" s="564"/>
      <c r="CI212" s="564"/>
      <c r="CJ212" s="564"/>
      <c r="CK212" s="564"/>
      <c r="CL212" s="564"/>
      <c r="CM212" s="564"/>
      <c r="CN212" s="564"/>
      <c r="CO212" s="564"/>
      <c r="CP212" s="564"/>
      <c r="CQ212" s="564"/>
      <c r="CR212" s="564"/>
      <c r="CS212" s="564"/>
      <c r="CT212" s="568"/>
      <c r="CU212" s="563"/>
      <c r="CV212" s="564"/>
      <c r="CW212" s="568"/>
      <c r="CX212" s="563"/>
      <c r="CY212" s="564"/>
      <c r="CZ212" s="568"/>
      <c r="DA212" s="563"/>
      <c r="DB212" s="564"/>
      <c r="DC212" s="564"/>
      <c r="DD212" s="564"/>
      <c r="DE212" s="564"/>
      <c r="DF212" s="564"/>
      <c r="DG212" s="564"/>
      <c r="DH212" s="564"/>
      <c r="DI212" s="564"/>
      <c r="DJ212" s="564"/>
      <c r="DK212" s="564"/>
      <c r="DL212" s="564"/>
      <c r="DM212" s="564"/>
      <c r="DN212" s="564"/>
      <c r="DO212" s="564"/>
      <c r="DP212" s="564"/>
      <c r="DQ212" s="564"/>
      <c r="DR212" s="564"/>
      <c r="DS212" s="569"/>
      <c r="DT212" s="564"/>
      <c r="DU212" s="569"/>
      <c r="DV212" s="568"/>
      <c r="DW212" s="563"/>
      <c r="DX212" s="564"/>
      <c r="DY212" s="564"/>
      <c r="DZ212" s="564"/>
      <c r="EA212" s="564"/>
      <c r="EB212" s="564"/>
      <c r="EC212" s="564"/>
      <c r="ED212" s="564"/>
      <c r="EE212" s="564"/>
      <c r="EF212" s="564"/>
      <c r="EG212" s="564"/>
      <c r="EH212" s="564"/>
      <c r="EI212" s="564"/>
      <c r="EJ212" s="564"/>
      <c r="EK212" s="564"/>
      <c r="EL212" s="564"/>
      <c r="EM212" s="564"/>
      <c r="EN212" s="564"/>
      <c r="EO212" s="564"/>
      <c r="EP212" s="564"/>
      <c r="EQ212" s="564"/>
      <c r="ER212" s="564"/>
      <c r="ES212" s="564"/>
      <c r="ET212" s="564"/>
      <c r="EU212" s="564"/>
      <c r="EV212" s="564"/>
      <c r="EW212" s="564"/>
      <c r="EX212" s="564"/>
      <c r="EY212" s="564"/>
      <c r="EZ212" s="239"/>
      <c r="FA212" s="564"/>
      <c r="FB212" s="564"/>
      <c r="FC212" s="564"/>
      <c r="FD212" s="564"/>
      <c r="FE212" s="564"/>
      <c r="FF212" s="564"/>
      <c r="FG212" s="564"/>
      <c r="FH212" s="564"/>
      <c r="FI212" s="564"/>
      <c r="FJ212" s="564"/>
      <c r="FK212" s="564"/>
      <c r="FL212" s="564"/>
      <c r="FM212" s="564"/>
      <c r="FN212" s="569"/>
      <c r="FO212" s="564"/>
      <c r="FP212" s="564"/>
      <c r="FQ212" s="564"/>
      <c r="FR212" s="564"/>
      <c r="FS212" s="564"/>
      <c r="FT212" s="564"/>
      <c r="FU212" s="564"/>
      <c r="FV212" s="564"/>
      <c r="FW212" s="564"/>
      <c r="FX212" s="564"/>
      <c r="FY212" s="564"/>
      <c r="FZ212" s="564"/>
      <c r="GA212" s="564"/>
      <c r="GB212" s="564"/>
      <c r="GC212" s="564"/>
      <c r="GD212" s="564"/>
      <c r="GE212" s="564"/>
      <c r="GF212" s="564"/>
      <c r="GG212" s="564"/>
      <c r="GH212" s="564"/>
      <c r="GI212" s="564"/>
      <c r="GJ212" s="564"/>
      <c r="GK212" s="564"/>
      <c r="GL212" s="564"/>
      <c r="GM212" s="564"/>
      <c r="GN212" s="564"/>
      <c r="GO212" s="564"/>
      <c r="GP212" s="564"/>
      <c r="GQ212" s="564"/>
      <c r="GR212" s="564"/>
      <c r="GS212" s="564"/>
      <c r="GT212" s="564"/>
      <c r="GU212" s="564"/>
      <c r="GV212" s="569"/>
      <c r="GW212" s="564"/>
      <c r="GX212" s="564"/>
      <c r="GY212" s="564"/>
      <c r="GZ212" s="564"/>
      <c r="HA212" s="564"/>
      <c r="HB212" s="564"/>
      <c r="HC212" s="564"/>
      <c r="HD212" s="564"/>
      <c r="HE212" s="564"/>
      <c r="HF212" s="564"/>
      <c r="HG212" s="564"/>
      <c r="HH212" s="564"/>
      <c r="HI212" s="564"/>
      <c r="HJ212" s="564"/>
      <c r="HK212" s="569"/>
      <c r="HL212" s="564" t="s">
        <v>34357</v>
      </c>
      <c r="HM212" s="564" t="s">
        <v>7</v>
      </c>
      <c r="HN212" s="564" t="s">
        <v>34358</v>
      </c>
      <c r="HO212" s="564" t="s">
        <v>34359</v>
      </c>
      <c r="HP212" s="564" t="s">
        <v>34360</v>
      </c>
      <c r="HQ212" s="564" t="s">
        <v>34361</v>
      </c>
      <c r="HR212" s="564" t="s">
        <v>34362</v>
      </c>
      <c r="HS212" s="564" t="s">
        <v>34363</v>
      </c>
      <c r="HT212" s="568" t="s">
        <v>34364</v>
      </c>
    </row>
    <row r="213" spans="1:228" ht="30.2" customHeight="1" x14ac:dyDescent="0.25">
      <c r="A213" s="759"/>
      <c r="B213" s="563">
        <v>87</v>
      </c>
      <c r="C213" s="563" t="s">
        <v>21770</v>
      </c>
      <c r="D213" s="564" t="s">
        <v>34365</v>
      </c>
      <c r="E213" s="564" t="s">
        <v>70</v>
      </c>
      <c r="F213" s="564" t="s">
        <v>7</v>
      </c>
      <c r="G213" s="564" t="s">
        <v>34366</v>
      </c>
      <c r="H213" s="564">
        <v>1288.4000000000001</v>
      </c>
      <c r="I213" s="564">
        <v>7.3</v>
      </c>
      <c r="J213" s="564" t="s">
        <v>29319</v>
      </c>
      <c r="K213" s="564" t="s">
        <v>4</v>
      </c>
      <c r="L213" s="564" t="s">
        <v>34367</v>
      </c>
      <c r="M213" s="564">
        <v>782598335</v>
      </c>
      <c r="N213" s="564" t="s">
        <v>5</v>
      </c>
      <c r="O213" s="564" t="s">
        <v>31438</v>
      </c>
      <c r="P213" s="564">
        <v>84</v>
      </c>
      <c r="Q213" s="564">
        <v>8</v>
      </c>
      <c r="R213" s="564" t="s">
        <v>7</v>
      </c>
      <c r="S213" s="564" t="s">
        <v>31588</v>
      </c>
      <c r="T213" s="564" t="s">
        <v>4</v>
      </c>
      <c r="U213" s="564" t="s">
        <v>2</v>
      </c>
      <c r="V213" s="564" t="s">
        <v>4</v>
      </c>
      <c r="W213" s="564" t="s">
        <v>4</v>
      </c>
      <c r="X213" s="564" t="s">
        <v>4</v>
      </c>
      <c r="Y213" s="564" t="s">
        <v>4</v>
      </c>
      <c r="Z213" s="565">
        <v>45070</v>
      </c>
      <c r="AA213" s="557" t="str">
        <f>IF(OR(U213="yes",Z213&gt;'SDG outcome'!$C$39),"yes","no")</f>
        <v>no</v>
      </c>
      <c r="AB213" s="565" t="str">
        <f t="shared" si="7"/>
        <v/>
      </c>
      <c r="AC213" s="566" t="str">
        <f>IF(AND('SMS p2'!AA99="no",AND(Z213&gt;='SDG outcome'!$B$28,Z213&lt;'SDG outcome'!$C$39)),Z213-'SDG outcome'!$B$28,"")</f>
        <v/>
      </c>
      <c r="AD213" s="564" t="s">
        <v>8</v>
      </c>
      <c r="AE213" s="564" t="s">
        <v>34368</v>
      </c>
      <c r="AF213" s="564" t="s">
        <v>4</v>
      </c>
      <c r="AG213" s="564" t="s">
        <v>4</v>
      </c>
      <c r="AH213" s="564" t="s">
        <v>4</v>
      </c>
      <c r="AI213" s="564" t="s">
        <v>4</v>
      </c>
      <c r="AJ213" s="564" t="s">
        <v>4</v>
      </c>
      <c r="AK213" s="564" t="s">
        <v>4</v>
      </c>
      <c r="AL213" s="564"/>
      <c r="AM213" s="564"/>
      <c r="AN213" s="564"/>
      <c r="AO213" s="564"/>
      <c r="AP213" s="564"/>
      <c r="AQ213" s="564"/>
      <c r="AR213" s="564"/>
      <c r="AS213" s="564"/>
      <c r="AT213" s="564"/>
      <c r="AU213" s="564"/>
      <c r="AV213" s="564"/>
      <c r="AW213" s="564"/>
      <c r="AX213" s="564"/>
      <c r="AY213" s="564"/>
      <c r="AZ213" s="564"/>
      <c r="BA213" s="564"/>
      <c r="BB213" s="564"/>
      <c r="BC213" s="564"/>
      <c r="BD213" s="571"/>
      <c r="BE213" s="564"/>
      <c r="BF213" s="564"/>
      <c r="BG213" s="564"/>
      <c r="BH213" s="564"/>
      <c r="BI213" s="564"/>
      <c r="BJ213" s="564"/>
      <c r="BK213" s="564"/>
      <c r="BL213" s="564"/>
      <c r="BM213" s="564"/>
      <c r="BN213" s="564"/>
      <c r="BO213" s="564"/>
      <c r="BP213" s="564"/>
      <c r="BQ213" s="564"/>
      <c r="BR213" s="567"/>
      <c r="BS213" s="564"/>
      <c r="BT213" s="564"/>
      <c r="BU213" s="564"/>
      <c r="BV213" s="564"/>
      <c r="BW213" s="567"/>
      <c r="BX213" s="564"/>
      <c r="BY213" s="564"/>
      <c r="BZ213" s="564"/>
      <c r="CA213" s="564"/>
      <c r="CB213" s="564"/>
      <c r="CC213" s="564"/>
      <c r="CD213" s="564"/>
      <c r="CE213" s="564"/>
      <c r="CF213" s="564"/>
      <c r="CG213" s="564"/>
      <c r="CH213" s="564"/>
      <c r="CI213" s="564"/>
      <c r="CJ213" s="564"/>
      <c r="CK213" s="564"/>
      <c r="CL213" s="564"/>
      <c r="CM213" s="564"/>
      <c r="CN213" s="564"/>
      <c r="CO213" s="564"/>
      <c r="CP213" s="564"/>
      <c r="CQ213" s="564"/>
      <c r="CR213" s="564"/>
      <c r="CS213" s="564"/>
      <c r="CT213" s="568"/>
      <c r="CU213" s="563"/>
      <c r="CV213" s="564"/>
      <c r="CW213" s="568"/>
      <c r="CX213" s="563"/>
      <c r="CY213" s="564"/>
      <c r="CZ213" s="568"/>
      <c r="DA213" s="563"/>
      <c r="DB213" s="564"/>
      <c r="DC213" s="564"/>
      <c r="DD213" s="564"/>
      <c r="DE213" s="564"/>
      <c r="DF213" s="564"/>
      <c r="DG213" s="564"/>
      <c r="DH213" s="564"/>
      <c r="DI213" s="564"/>
      <c r="DJ213" s="564"/>
      <c r="DK213" s="564"/>
      <c r="DL213" s="564"/>
      <c r="DM213" s="564"/>
      <c r="DN213" s="564"/>
      <c r="DO213" s="564"/>
      <c r="DP213" s="564"/>
      <c r="DQ213" s="564"/>
      <c r="DR213" s="564"/>
      <c r="DS213" s="569"/>
      <c r="DT213" s="564"/>
      <c r="DU213" s="569"/>
      <c r="DV213" s="568"/>
      <c r="DW213" s="563"/>
      <c r="DX213" s="564"/>
      <c r="DY213" s="564"/>
      <c r="DZ213" s="564"/>
      <c r="EA213" s="564"/>
      <c r="EB213" s="564"/>
      <c r="EC213" s="564"/>
      <c r="ED213" s="564"/>
      <c r="EE213" s="564"/>
      <c r="EF213" s="564"/>
      <c r="EG213" s="564"/>
      <c r="EH213" s="564"/>
      <c r="EI213" s="564"/>
      <c r="EJ213" s="564"/>
      <c r="EK213" s="564"/>
      <c r="EL213" s="564"/>
      <c r="EM213" s="564"/>
      <c r="EN213" s="564"/>
      <c r="EO213" s="564"/>
      <c r="EP213" s="564"/>
      <c r="EQ213" s="564"/>
      <c r="ER213" s="564"/>
      <c r="ES213" s="564"/>
      <c r="ET213" s="564"/>
      <c r="EU213" s="564"/>
      <c r="EV213" s="564"/>
      <c r="EW213" s="564"/>
      <c r="EX213" s="564"/>
      <c r="EY213" s="564"/>
      <c r="EZ213" s="239"/>
      <c r="FA213" s="564"/>
      <c r="FB213" s="564"/>
      <c r="FC213" s="564"/>
      <c r="FD213" s="564"/>
      <c r="FE213" s="564"/>
      <c r="FF213" s="564"/>
      <c r="FG213" s="564"/>
      <c r="FH213" s="564"/>
      <c r="FI213" s="564"/>
      <c r="FJ213" s="564"/>
      <c r="FK213" s="564"/>
      <c r="FL213" s="564"/>
      <c r="FM213" s="564"/>
      <c r="FN213" s="569"/>
      <c r="FO213" s="564"/>
      <c r="FP213" s="564"/>
      <c r="FQ213" s="564"/>
      <c r="FR213" s="564"/>
      <c r="FS213" s="564"/>
      <c r="FT213" s="564"/>
      <c r="FU213" s="564"/>
      <c r="FV213" s="564"/>
      <c r="FW213" s="564"/>
      <c r="FX213" s="564"/>
      <c r="FY213" s="564"/>
      <c r="FZ213" s="564"/>
      <c r="GA213" s="564"/>
      <c r="GB213" s="564"/>
      <c r="GC213" s="564"/>
      <c r="GD213" s="564"/>
      <c r="GE213" s="564"/>
      <c r="GF213" s="564"/>
      <c r="GG213" s="564"/>
      <c r="GH213" s="564"/>
      <c r="GI213" s="564"/>
      <c r="GJ213" s="564"/>
      <c r="GK213" s="564"/>
      <c r="GL213" s="564"/>
      <c r="GM213" s="564"/>
      <c r="GN213" s="564"/>
      <c r="GO213" s="564"/>
      <c r="GP213" s="564"/>
      <c r="GQ213" s="564"/>
      <c r="GR213" s="564"/>
      <c r="GS213" s="564"/>
      <c r="GT213" s="564"/>
      <c r="GU213" s="564"/>
      <c r="GV213" s="569"/>
      <c r="GW213" s="564"/>
      <c r="GX213" s="564"/>
      <c r="GY213" s="564"/>
      <c r="GZ213" s="564"/>
      <c r="HA213" s="564"/>
      <c r="HB213" s="564"/>
      <c r="HC213" s="564"/>
      <c r="HD213" s="564"/>
      <c r="HE213" s="564"/>
      <c r="HF213" s="564"/>
      <c r="HG213" s="564"/>
      <c r="HH213" s="564"/>
      <c r="HI213" s="564"/>
      <c r="HJ213" s="564"/>
      <c r="HK213" s="569"/>
      <c r="HL213" s="564" t="s">
        <v>4</v>
      </c>
      <c r="HM213" s="564" t="s">
        <v>2</v>
      </c>
      <c r="HN213" s="564" t="s">
        <v>4</v>
      </c>
      <c r="HO213" s="564" t="s">
        <v>16</v>
      </c>
      <c r="HP213" s="564" t="s">
        <v>34369</v>
      </c>
      <c r="HQ213" s="564" t="s">
        <v>16</v>
      </c>
      <c r="HR213" s="564" t="s">
        <v>34370</v>
      </c>
      <c r="HS213" s="564" t="s">
        <v>34371</v>
      </c>
      <c r="HT213" s="568" t="s">
        <v>34365</v>
      </c>
    </row>
    <row r="214" spans="1:228" ht="30.2" customHeight="1" x14ac:dyDescent="0.25">
      <c r="A214" s="759"/>
      <c r="B214" s="563">
        <v>89</v>
      </c>
      <c r="C214" s="563" t="s">
        <v>28649</v>
      </c>
      <c r="D214" s="564" t="s">
        <v>34381</v>
      </c>
      <c r="E214" s="564" t="s">
        <v>70</v>
      </c>
      <c r="F214" s="564" t="s">
        <v>7</v>
      </c>
      <c r="G214" s="564" t="s">
        <v>34382</v>
      </c>
      <c r="H214" s="564">
        <v>1173.9000000000001</v>
      </c>
      <c r="I214" s="564">
        <v>4.8</v>
      </c>
      <c r="J214" s="564" t="s">
        <v>29319</v>
      </c>
      <c r="K214" s="564" t="s">
        <v>4</v>
      </c>
      <c r="L214" s="564" t="s">
        <v>22534</v>
      </c>
      <c r="M214" s="564">
        <v>772906266</v>
      </c>
      <c r="N214" s="564" t="s">
        <v>5</v>
      </c>
      <c r="O214" s="564" t="s">
        <v>31438</v>
      </c>
      <c r="P214" s="564">
        <v>42</v>
      </c>
      <c r="Q214" s="564">
        <v>5</v>
      </c>
      <c r="R214" s="564" t="s">
        <v>7</v>
      </c>
      <c r="S214" s="564" t="s">
        <v>31549</v>
      </c>
      <c r="T214" s="564" t="s">
        <v>4</v>
      </c>
      <c r="U214" s="564" t="s">
        <v>2</v>
      </c>
      <c r="V214" s="564" t="s">
        <v>4</v>
      </c>
      <c r="W214" s="564" t="s">
        <v>4</v>
      </c>
      <c r="X214" s="564" t="s">
        <v>4</v>
      </c>
      <c r="Y214" s="564" t="s">
        <v>4</v>
      </c>
      <c r="Z214" s="565">
        <v>44644</v>
      </c>
      <c r="AA214" s="557" t="str">
        <f>IF(OR(U214="yes",Z214&gt;'SDG outcome'!$C$39),"yes","no")</f>
        <v>no</v>
      </c>
      <c r="AB214" s="565" t="str">
        <f t="shared" si="7"/>
        <v/>
      </c>
      <c r="AC214" s="566" t="str">
        <f>IF(AND('SMS p2'!AA101="no",AND(Z214&gt;='SDG outcome'!$B$28,Z214&lt;'SDG outcome'!$C$39)),Z214-'SDG outcome'!$B$28,"")</f>
        <v/>
      </c>
      <c r="AD214" s="564" t="s">
        <v>8</v>
      </c>
      <c r="AE214" s="564" t="s">
        <v>34383</v>
      </c>
      <c r="AF214" s="564" t="s">
        <v>4</v>
      </c>
      <c r="AG214" s="564" t="s">
        <v>4</v>
      </c>
      <c r="AH214" s="564" t="s">
        <v>4</v>
      </c>
      <c r="AI214" s="564" t="s">
        <v>4</v>
      </c>
      <c r="AJ214" s="564" t="s">
        <v>4</v>
      </c>
      <c r="AK214" s="564" t="s">
        <v>4</v>
      </c>
      <c r="AL214" s="564"/>
      <c r="AM214" s="564"/>
      <c r="AN214" s="564"/>
      <c r="AO214" s="564"/>
      <c r="AP214" s="564"/>
      <c r="AQ214" s="564"/>
      <c r="AR214" s="564"/>
      <c r="AS214" s="564"/>
      <c r="AT214" s="564"/>
      <c r="AU214" s="564"/>
      <c r="AV214" s="564"/>
      <c r="AW214" s="564"/>
      <c r="AX214" s="564"/>
      <c r="AY214" s="564"/>
      <c r="AZ214" s="564"/>
      <c r="BA214" s="564"/>
      <c r="BB214" s="564"/>
      <c r="BC214" s="564"/>
      <c r="BD214" s="564"/>
      <c r="BE214" s="564"/>
      <c r="BF214" s="564"/>
      <c r="BG214" s="564"/>
      <c r="BH214" s="564"/>
      <c r="BI214" s="564"/>
      <c r="BJ214" s="564"/>
      <c r="BK214" s="564"/>
      <c r="BL214" s="564"/>
      <c r="BM214" s="564"/>
      <c r="BN214" s="564"/>
      <c r="BO214" s="564"/>
      <c r="BP214" s="564"/>
      <c r="BQ214" s="564"/>
      <c r="BR214" s="567"/>
      <c r="BS214" s="564"/>
      <c r="BT214" s="564"/>
      <c r="BU214" s="564"/>
      <c r="BV214" s="564"/>
      <c r="BW214" s="567"/>
      <c r="BX214" s="564"/>
      <c r="BY214" s="564"/>
      <c r="BZ214" s="564"/>
      <c r="CA214" s="564"/>
      <c r="CB214" s="564"/>
      <c r="CC214" s="564"/>
      <c r="CD214" s="564"/>
      <c r="CE214" s="564"/>
      <c r="CF214" s="564"/>
      <c r="CG214" s="564"/>
      <c r="CH214" s="564"/>
      <c r="CI214" s="564"/>
      <c r="CJ214" s="564"/>
      <c r="CK214" s="564"/>
      <c r="CL214" s="564"/>
      <c r="CM214" s="564"/>
      <c r="CN214" s="564"/>
      <c r="CO214" s="564"/>
      <c r="CP214" s="564"/>
      <c r="CQ214" s="564"/>
      <c r="CR214" s="564"/>
      <c r="CS214" s="564"/>
      <c r="CT214" s="568"/>
      <c r="CU214" s="563"/>
      <c r="CV214" s="564"/>
      <c r="CW214" s="568"/>
      <c r="CX214" s="563"/>
      <c r="CY214" s="564"/>
      <c r="CZ214" s="568"/>
      <c r="DA214" s="563"/>
      <c r="DB214" s="564"/>
      <c r="DC214" s="564"/>
      <c r="DD214" s="564"/>
      <c r="DE214" s="564"/>
      <c r="DF214" s="564"/>
      <c r="DG214" s="564"/>
      <c r="DH214" s="564"/>
      <c r="DI214" s="564"/>
      <c r="DJ214" s="564"/>
      <c r="DK214" s="564"/>
      <c r="DL214" s="564"/>
      <c r="DM214" s="564"/>
      <c r="DN214" s="564"/>
      <c r="DO214" s="564"/>
      <c r="DP214" s="564"/>
      <c r="DQ214" s="564"/>
      <c r="DR214" s="564"/>
      <c r="DS214" s="569"/>
      <c r="DT214" s="564"/>
      <c r="DU214" s="569"/>
      <c r="DV214" s="568"/>
      <c r="DW214" s="563"/>
      <c r="DX214" s="564"/>
      <c r="DY214" s="564"/>
      <c r="DZ214" s="564"/>
      <c r="EA214" s="564"/>
      <c r="EB214" s="564"/>
      <c r="EC214" s="564"/>
      <c r="ED214" s="564"/>
      <c r="EE214" s="564"/>
      <c r="EF214" s="564"/>
      <c r="EG214" s="564"/>
      <c r="EH214" s="564"/>
      <c r="EI214" s="564"/>
      <c r="EJ214" s="564"/>
      <c r="EK214" s="564"/>
      <c r="EL214" s="564"/>
      <c r="EM214" s="564"/>
      <c r="EN214" s="564"/>
      <c r="EO214" s="564"/>
      <c r="EP214" s="564"/>
      <c r="EQ214" s="564"/>
      <c r="ER214" s="564"/>
      <c r="ES214" s="564"/>
      <c r="ET214" s="564"/>
      <c r="EU214" s="564"/>
      <c r="EV214" s="564"/>
      <c r="EW214" s="564"/>
      <c r="EX214" s="564"/>
      <c r="EY214" s="564"/>
      <c r="EZ214" s="239"/>
      <c r="FA214" s="564"/>
      <c r="FB214" s="564"/>
      <c r="FC214" s="564"/>
      <c r="FD214" s="564"/>
      <c r="FE214" s="564"/>
      <c r="FF214" s="564"/>
      <c r="FG214" s="564"/>
      <c r="FH214" s="564"/>
      <c r="FI214" s="564"/>
      <c r="FJ214" s="564"/>
      <c r="FK214" s="564"/>
      <c r="FL214" s="564"/>
      <c r="FM214" s="564"/>
      <c r="FN214" s="569"/>
      <c r="FO214" s="564"/>
      <c r="FP214" s="564"/>
      <c r="FQ214" s="564"/>
      <c r="FR214" s="564"/>
      <c r="FS214" s="564"/>
      <c r="FT214" s="564"/>
      <c r="FU214" s="564"/>
      <c r="FV214" s="564"/>
      <c r="FW214" s="564"/>
      <c r="FX214" s="564"/>
      <c r="FY214" s="564"/>
      <c r="FZ214" s="564"/>
      <c r="GA214" s="564"/>
      <c r="GB214" s="564"/>
      <c r="GC214" s="564"/>
      <c r="GD214" s="564"/>
      <c r="GE214" s="564"/>
      <c r="GF214" s="564"/>
      <c r="GG214" s="564"/>
      <c r="GH214" s="564"/>
      <c r="GI214" s="564"/>
      <c r="GJ214" s="564"/>
      <c r="GK214" s="564"/>
      <c r="GL214" s="564"/>
      <c r="GM214" s="564"/>
      <c r="GN214" s="564"/>
      <c r="GO214" s="564"/>
      <c r="GP214" s="564"/>
      <c r="GQ214" s="564"/>
      <c r="GR214" s="564"/>
      <c r="GS214" s="564"/>
      <c r="GT214" s="564"/>
      <c r="GU214" s="564"/>
      <c r="GV214" s="569"/>
      <c r="GW214" s="564"/>
      <c r="GX214" s="564"/>
      <c r="GY214" s="564"/>
      <c r="GZ214" s="564"/>
      <c r="HA214" s="564"/>
      <c r="HB214" s="564"/>
      <c r="HC214" s="564"/>
      <c r="HD214" s="564"/>
      <c r="HE214" s="564"/>
      <c r="HF214" s="564"/>
      <c r="HG214" s="564"/>
      <c r="HH214" s="564"/>
      <c r="HI214" s="564"/>
      <c r="HJ214" s="564"/>
      <c r="HK214" s="569"/>
      <c r="HL214" s="564" t="s">
        <v>34384</v>
      </c>
      <c r="HM214" s="564" t="s">
        <v>7</v>
      </c>
      <c r="HN214" s="564" t="s">
        <v>34385</v>
      </c>
      <c r="HO214" s="564" t="s">
        <v>34385</v>
      </c>
      <c r="HP214" s="564" t="s">
        <v>34386</v>
      </c>
      <c r="HQ214" s="564" t="s">
        <v>16</v>
      </c>
      <c r="HR214" s="564" t="s">
        <v>34387</v>
      </c>
      <c r="HS214" s="564" t="s">
        <v>34388</v>
      </c>
      <c r="HT214" s="568" t="s">
        <v>34381</v>
      </c>
    </row>
    <row r="215" spans="1:228" ht="30.2" customHeight="1" x14ac:dyDescent="0.25">
      <c r="A215" s="759"/>
      <c r="B215" s="563">
        <v>90</v>
      </c>
      <c r="C215" s="563" t="s">
        <v>23265</v>
      </c>
      <c r="D215" s="564" t="s">
        <v>33430</v>
      </c>
      <c r="E215" s="564" t="s">
        <v>70</v>
      </c>
      <c r="F215" s="564" t="s">
        <v>7</v>
      </c>
      <c r="G215" s="564" t="s">
        <v>34389</v>
      </c>
      <c r="H215" s="564">
        <v>0</v>
      </c>
      <c r="I215" s="564">
        <v>3703.0880999999999</v>
      </c>
      <c r="J215" s="564" t="s">
        <v>30200</v>
      </c>
      <c r="K215" s="564" t="s">
        <v>4</v>
      </c>
      <c r="L215" s="564" t="s">
        <v>34390</v>
      </c>
      <c r="M215" s="564">
        <v>778193482</v>
      </c>
      <c r="N215" s="564" t="s">
        <v>3</v>
      </c>
      <c r="O215" s="564" t="s">
        <v>31438</v>
      </c>
      <c r="P215" s="564">
        <v>24</v>
      </c>
      <c r="Q215" s="564">
        <v>5</v>
      </c>
      <c r="R215" s="564" t="s">
        <v>7</v>
      </c>
      <c r="S215" s="564" t="s">
        <v>31549</v>
      </c>
      <c r="T215" s="564" t="s">
        <v>4</v>
      </c>
      <c r="U215" s="564" t="s">
        <v>2</v>
      </c>
      <c r="V215" s="564" t="s">
        <v>4</v>
      </c>
      <c r="W215" s="564" t="s">
        <v>4</v>
      </c>
      <c r="X215" s="564" t="s">
        <v>4</v>
      </c>
      <c r="Y215" s="564" t="s">
        <v>4</v>
      </c>
      <c r="Z215" s="565">
        <v>44461</v>
      </c>
      <c r="AA215" s="557" t="str">
        <f>IF(OR(U215="yes",Z215&gt;'SDG outcome'!$C$39),"yes","no")</f>
        <v>no</v>
      </c>
      <c r="AB215" s="565" t="str">
        <f t="shared" si="7"/>
        <v/>
      </c>
      <c r="AC215" s="566" t="str">
        <f>IF(AND('SMS p2'!AA102="no",AND(Z215&gt;='SDG outcome'!$B$28,Z215&lt;'SDG outcome'!$C$39)),Z215-'SDG outcome'!$B$28,"")</f>
        <v/>
      </c>
      <c r="AD215" s="564" t="s">
        <v>8</v>
      </c>
      <c r="AE215" s="564" t="s">
        <v>34391</v>
      </c>
      <c r="AF215" s="564" t="s">
        <v>4</v>
      </c>
      <c r="AG215" s="564" t="s">
        <v>4</v>
      </c>
      <c r="AH215" s="564" t="s">
        <v>4</v>
      </c>
      <c r="AI215" s="564" t="s">
        <v>4</v>
      </c>
      <c r="AJ215" s="564" t="s">
        <v>4</v>
      </c>
      <c r="AK215" s="564" t="s">
        <v>4</v>
      </c>
      <c r="AL215" s="564"/>
      <c r="AM215" s="564"/>
      <c r="AN215" s="564"/>
      <c r="AO215" s="564"/>
      <c r="AP215" s="564"/>
      <c r="AQ215" s="564"/>
      <c r="AR215" s="564"/>
      <c r="AS215" s="564"/>
      <c r="AT215" s="564"/>
      <c r="AU215" s="564"/>
      <c r="AV215" s="564"/>
      <c r="AW215" s="564"/>
      <c r="AX215" s="564"/>
      <c r="AY215" s="564"/>
      <c r="AZ215" s="564"/>
      <c r="BA215" s="564"/>
      <c r="BB215" s="564"/>
      <c r="BC215" s="564"/>
      <c r="BD215" s="564"/>
      <c r="BE215" s="564"/>
      <c r="BF215" s="564"/>
      <c r="BG215" s="564"/>
      <c r="BH215" s="564"/>
      <c r="BI215" s="564"/>
      <c r="BJ215" s="564"/>
      <c r="BK215" s="564"/>
      <c r="BL215" s="564"/>
      <c r="BM215" s="564"/>
      <c r="BN215" s="564"/>
      <c r="BO215" s="564"/>
      <c r="BP215" s="564"/>
      <c r="BQ215" s="564"/>
      <c r="BR215" s="567"/>
      <c r="BS215" s="564"/>
      <c r="BT215" s="564"/>
      <c r="BU215" s="564"/>
      <c r="BV215" s="564"/>
      <c r="BW215" s="567"/>
      <c r="BX215" s="564"/>
      <c r="BY215" s="564"/>
      <c r="BZ215" s="564"/>
      <c r="CA215" s="564"/>
      <c r="CB215" s="564"/>
      <c r="CC215" s="564"/>
      <c r="CD215" s="564"/>
      <c r="CE215" s="564"/>
      <c r="CF215" s="564"/>
      <c r="CG215" s="564"/>
      <c r="CH215" s="564"/>
      <c r="CI215" s="564"/>
      <c r="CJ215" s="564"/>
      <c r="CK215" s="564"/>
      <c r="CL215" s="564"/>
      <c r="CM215" s="564"/>
      <c r="CN215" s="564"/>
      <c r="CO215" s="564"/>
      <c r="CP215" s="564"/>
      <c r="CQ215" s="564"/>
      <c r="CR215" s="564"/>
      <c r="CS215" s="564"/>
      <c r="CT215" s="568"/>
      <c r="CU215" s="563"/>
      <c r="CV215" s="564"/>
      <c r="CW215" s="568"/>
      <c r="CX215" s="563"/>
      <c r="CY215" s="564"/>
      <c r="CZ215" s="568"/>
      <c r="DA215" s="563"/>
      <c r="DB215" s="564"/>
      <c r="DC215" s="564"/>
      <c r="DD215" s="564"/>
      <c r="DE215" s="564"/>
      <c r="DF215" s="564"/>
      <c r="DG215" s="564"/>
      <c r="DH215" s="564"/>
      <c r="DI215" s="564"/>
      <c r="DJ215" s="564"/>
      <c r="DK215" s="564"/>
      <c r="DL215" s="564"/>
      <c r="DM215" s="564"/>
      <c r="DN215" s="564"/>
      <c r="DO215" s="564"/>
      <c r="DP215" s="564"/>
      <c r="DQ215" s="564"/>
      <c r="DR215" s="564"/>
      <c r="DS215" s="569"/>
      <c r="DT215" s="564"/>
      <c r="DU215" s="569"/>
      <c r="DV215" s="568"/>
      <c r="DW215" s="563"/>
      <c r="DX215" s="564"/>
      <c r="DY215" s="564"/>
      <c r="DZ215" s="564"/>
      <c r="EA215" s="564"/>
      <c r="EB215" s="564"/>
      <c r="EC215" s="564"/>
      <c r="ED215" s="564"/>
      <c r="EE215" s="564"/>
      <c r="EF215" s="564"/>
      <c r="EG215" s="564"/>
      <c r="EH215" s="564"/>
      <c r="EI215" s="564"/>
      <c r="EJ215" s="564"/>
      <c r="EK215" s="564"/>
      <c r="EL215" s="564"/>
      <c r="EM215" s="564"/>
      <c r="EN215" s="564"/>
      <c r="EO215" s="564"/>
      <c r="EP215" s="564"/>
      <c r="EQ215" s="564"/>
      <c r="ER215" s="564"/>
      <c r="ES215" s="564"/>
      <c r="ET215" s="564"/>
      <c r="EU215" s="564"/>
      <c r="EV215" s="564"/>
      <c r="EW215" s="564"/>
      <c r="EX215" s="564"/>
      <c r="EY215" s="564"/>
      <c r="EZ215" s="239"/>
      <c r="FA215" s="564"/>
      <c r="FB215" s="564"/>
      <c r="FC215" s="564"/>
      <c r="FD215" s="564"/>
      <c r="FE215" s="564"/>
      <c r="FF215" s="564"/>
      <c r="FG215" s="564"/>
      <c r="FH215" s="564"/>
      <c r="FI215" s="564"/>
      <c r="FJ215" s="564"/>
      <c r="FK215" s="564"/>
      <c r="FL215" s="564"/>
      <c r="FM215" s="564"/>
      <c r="FN215" s="569"/>
      <c r="FO215" s="564"/>
      <c r="FP215" s="564"/>
      <c r="FQ215" s="564"/>
      <c r="FR215" s="564"/>
      <c r="FS215" s="564"/>
      <c r="FT215" s="564"/>
      <c r="FU215" s="564"/>
      <c r="FV215" s="564"/>
      <c r="FW215" s="564"/>
      <c r="FX215" s="564"/>
      <c r="FY215" s="564"/>
      <c r="FZ215" s="564"/>
      <c r="GA215" s="564"/>
      <c r="GB215" s="564"/>
      <c r="GC215" s="564"/>
      <c r="GD215" s="564"/>
      <c r="GE215" s="564"/>
      <c r="GF215" s="564"/>
      <c r="GG215" s="564"/>
      <c r="GH215" s="564"/>
      <c r="GI215" s="564"/>
      <c r="GJ215" s="564"/>
      <c r="GK215" s="564"/>
      <c r="GL215" s="564"/>
      <c r="GM215" s="564"/>
      <c r="GN215" s="564"/>
      <c r="GO215" s="564"/>
      <c r="GP215" s="564"/>
      <c r="GQ215" s="564"/>
      <c r="GR215" s="564"/>
      <c r="GS215" s="564"/>
      <c r="GT215" s="564"/>
      <c r="GU215" s="564"/>
      <c r="GV215" s="569"/>
      <c r="GW215" s="564"/>
      <c r="GX215" s="564"/>
      <c r="GY215" s="564"/>
      <c r="GZ215" s="564"/>
      <c r="HA215" s="564"/>
      <c r="HB215" s="564"/>
      <c r="HC215" s="564"/>
      <c r="HD215" s="564"/>
      <c r="HE215" s="564"/>
      <c r="HF215" s="564"/>
      <c r="HG215" s="564"/>
      <c r="HH215" s="564"/>
      <c r="HI215" s="564"/>
      <c r="HJ215" s="564"/>
      <c r="HK215" s="569"/>
      <c r="HL215" s="564" t="s">
        <v>4</v>
      </c>
      <c r="HM215" s="564" t="s">
        <v>2</v>
      </c>
      <c r="HN215" s="564" t="s">
        <v>4</v>
      </c>
      <c r="HO215" s="564" t="s">
        <v>34392</v>
      </c>
      <c r="HP215" s="564" t="s">
        <v>34393</v>
      </c>
      <c r="HQ215" s="564" t="s">
        <v>34394</v>
      </c>
      <c r="HR215" s="564" t="s">
        <v>34395</v>
      </c>
      <c r="HS215" s="564" t="s">
        <v>34396</v>
      </c>
      <c r="HT215" s="568" t="s">
        <v>33430</v>
      </c>
    </row>
    <row r="216" spans="1:228" ht="30.2" customHeight="1" x14ac:dyDescent="0.25">
      <c r="A216" s="759"/>
      <c r="B216" s="563">
        <v>95</v>
      </c>
      <c r="C216" s="563" t="s">
        <v>22116</v>
      </c>
      <c r="D216" s="564" t="s">
        <v>34430</v>
      </c>
      <c r="E216" s="564" t="s">
        <v>70</v>
      </c>
      <c r="F216" s="564" t="s">
        <v>7</v>
      </c>
      <c r="G216" s="564" t="s">
        <v>34431</v>
      </c>
      <c r="H216" s="564">
        <v>1254.4000000000001</v>
      </c>
      <c r="I216" s="564">
        <v>2.8</v>
      </c>
      <c r="J216" s="564" t="s">
        <v>29319</v>
      </c>
      <c r="K216" s="564" t="s">
        <v>4</v>
      </c>
      <c r="L216" s="564" t="s">
        <v>22395</v>
      </c>
      <c r="M216" s="564">
        <v>785777171</v>
      </c>
      <c r="N216" s="564" t="s">
        <v>5</v>
      </c>
      <c r="O216" s="564" t="s">
        <v>31438</v>
      </c>
      <c r="P216" s="564">
        <v>46</v>
      </c>
      <c r="Q216" s="564">
        <v>7</v>
      </c>
      <c r="R216" s="564" t="s">
        <v>7</v>
      </c>
      <c r="S216" s="564" t="s">
        <v>31549</v>
      </c>
      <c r="T216" s="564" t="s">
        <v>4</v>
      </c>
      <c r="U216" s="564" t="s">
        <v>2</v>
      </c>
      <c r="V216" s="564" t="s">
        <v>4</v>
      </c>
      <c r="W216" s="564" t="s">
        <v>4</v>
      </c>
      <c r="X216" s="564" t="s">
        <v>4</v>
      </c>
      <c r="Y216" s="564" t="s">
        <v>4</v>
      </c>
      <c r="Z216" s="565">
        <v>45405</v>
      </c>
      <c r="AA216" s="557" t="str">
        <f>IF(OR(U216="yes",Z216&gt;'SDG outcome'!$C$39),"yes","no")</f>
        <v>yes</v>
      </c>
      <c r="AB216" s="565" t="str">
        <f t="shared" si="7"/>
        <v>NA</v>
      </c>
      <c r="AC216" s="566" t="str">
        <f>IF(AND('SMS p2'!AA107="no",AND(Z216&gt;='SDG outcome'!$B$28,Z216&lt;'SDG outcome'!$C$39)),Z216-'SDG outcome'!$B$28,"")</f>
        <v/>
      </c>
      <c r="AD216" s="564" t="s">
        <v>8</v>
      </c>
      <c r="AE216" s="564" t="s">
        <v>34432</v>
      </c>
      <c r="AF216" s="564" t="s">
        <v>4</v>
      </c>
      <c r="AG216" s="564" t="s">
        <v>4</v>
      </c>
      <c r="AH216" s="564" t="s">
        <v>4</v>
      </c>
      <c r="AI216" s="564" t="s">
        <v>4</v>
      </c>
      <c r="AJ216" s="564" t="s">
        <v>4</v>
      </c>
      <c r="AK216" s="564" t="s">
        <v>4</v>
      </c>
      <c r="AL216" s="564"/>
      <c r="AM216" s="564"/>
      <c r="AN216" s="564"/>
      <c r="AO216" s="564"/>
      <c r="AP216" s="564"/>
      <c r="AQ216" s="564"/>
      <c r="AR216" s="564"/>
      <c r="AS216" s="564"/>
      <c r="AT216" s="564"/>
      <c r="AU216" s="564"/>
      <c r="AV216" s="564"/>
      <c r="AW216" s="564"/>
      <c r="AX216" s="564"/>
      <c r="AY216" s="564"/>
      <c r="AZ216" s="564"/>
      <c r="BA216" s="564"/>
      <c r="BB216" s="564"/>
      <c r="BC216" s="564"/>
      <c r="BD216" s="564"/>
      <c r="BE216" s="564"/>
      <c r="BF216" s="564"/>
      <c r="BG216" s="564"/>
      <c r="BH216" s="564"/>
      <c r="BI216" s="564"/>
      <c r="BJ216" s="564"/>
      <c r="BK216" s="564"/>
      <c r="BL216" s="564"/>
      <c r="BM216" s="564"/>
      <c r="BN216" s="564"/>
      <c r="BO216" s="564"/>
      <c r="BP216" s="564"/>
      <c r="BQ216" s="564"/>
      <c r="BR216" s="567"/>
      <c r="BS216" s="564"/>
      <c r="BT216" s="564"/>
      <c r="BU216" s="564"/>
      <c r="BV216" s="564"/>
      <c r="BW216" s="567"/>
      <c r="BX216" s="564"/>
      <c r="BY216" s="564"/>
      <c r="BZ216" s="564"/>
      <c r="CA216" s="564"/>
      <c r="CB216" s="564"/>
      <c r="CC216" s="564"/>
      <c r="CD216" s="564"/>
      <c r="CE216" s="564"/>
      <c r="CF216" s="564"/>
      <c r="CG216" s="564"/>
      <c r="CH216" s="564"/>
      <c r="CI216" s="564"/>
      <c r="CJ216" s="564"/>
      <c r="CK216" s="564"/>
      <c r="CL216" s="564"/>
      <c r="CM216" s="564"/>
      <c r="CN216" s="564"/>
      <c r="CO216" s="564"/>
      <c r="CP216" s="564"/>
      <c r="CQ216" s="564"/>
      <c r="CR216" s="564"/>
      <c r="CS216" s="564"/>
      <c r="CT216" s="568"/>
      <c r="CU216" s="563"/>
      <c r="CV216" s="564"/>
      <c r="CW216" s="568"/>
      <c r="CX216" s="563"/>
      <c r="CY216" s="564"/>
      <c r="CZ216" s="568"/>
      <c r="DA216" s="563"/>
      <c r="DB216" s="564"/>
      <c r="DC216" s="564"/>
      <c r="DD216" s="564"/>
      <c r="DE216" s="564"/>
      <c r="DF216" s="564"/>
      <c r="DG216" s="564"/>
      <c r="DH216" s="564"/>
      <c r="DI216" s="564"/>
      <c r="DJ216" s="564"/>
      <c r="DK216" s="564"/>
      <c r="DL216" s="564"/>
      <c r="DM216" s="564"/>
      <c r="DN216" s="564"/>
      <c r="DO216" s="564"/>
      <c r="DP216" s="564"/>
      <c r="DQ216" s="564"/>
      <c r="DR216" s="564"/>
      <c r="DS216" s="569"/>
      <c r="DT216" s="564"/>
      <c r="DU216" s="569"/>
      <c r="DV216" s="568"/>
      <c r="DW216" s="563"/>
      <c r="DX216" s="564"/>
      <c r="DY216" s="564"/>
      <c r="DZ216" s="564"/>
      <c r="EA216" s="564"/>
      <c r="EB216" s="564"/>
      <c r="EC216" s="564"/>
      <c r="ED216" s="564"/>
      <c r="EE216" s="564"/>
      <c r="EF216" s="564"/>
      <c r="EG216" s="564"/>
      <c r="EH216" s="564"/>
      <c r="EI216" s="564"/>
      <c r="EJ216" s="564"/>
      <c r="EK216" s="564"/>
      <c r="EL216" s="564"/>
      <c r="EM216" s="564"/>
      <c r="EN216" s="564"/>
      <c r="EO216" s="564"/>
      <c r="EP216" s="564"/>
      <c r="EQ216" s="564"/>
      <c r="ER216" s="564"/>
      <c r="ES216" s="564"/>
      <c r="ET216" s="564"/>
      <c r="EU216" s="564"/>
      <c r="EV216" s="564"/>
      <c r="EW216" s="564"/>
      <c r="EX216" s="564"/>
      <c r="EY216" s="564"/>
      <c r="EZ216" s="239"/>
      <c r="FA216" s="564"/>
      <c r="FB216" s="564"/>
      <c r="FC216" s="564"/>
      <c r="FD216" s="564"/>
      <c r="FE216" s="564"/>
      <c r="FF216" s="564"/>
      <c r="FG216" s="564"/>
      <c r="FH216" s="564"/>
      <c r="FI216" s="564"/>
      <c r="FJ216" s="564"/>
      <c r="FK216" s="564"/>
      <c r="FL216" s="564"/>
      <c r="FM216" s="564"/>
      <c r="FN216" s="569"/>
      <c r="FO216" s="564"/>
      <c r="FP216" s="564"/>
      <c r="FQ216" s="564"/>
      <c r="FR216" s="564"/>
      <c r="FS216" s="564"/>
      <c r="FT216" s="564"/>
      <c r="FU216" s="564"/>
      <c r="FV216" s="564"/>
      <c r="FW216" s="564"/>
      <c r="FX216" s="564"/>
      <c r="FY216" s="564"/>
      <c r="FZ216" s="564"/>
      <c r="GA216" s="564"/>
      <c r="GB216" s="564"/>
      <c r="GC216" s="564"/>
      <c r="GD216" s="564"/>
      <c r="GE216" s="564"/>
      <c r="GF216" s="564"/>
      <c r="GG216" s="564"/>
      <c r="GH216" s="564"/>
      <c r="GI216" s="564"/>
      <c r="GJ216" s="564"/>
      <c r="GK216" s="564"/>
      <c r="GL216" s="564"/>
      <c r="GM216" s="564"/>
      <c r="GN216" s="564"/>
      <c r="GO216" s="564"/>
      <c r="GP216" s="564"/>
      <c r="GQ216" s="564"/>
      <c r="GR216" s="564"/>
      <c r="GS216" s="564"/>
      <c r="GT216" s="564"/>
      <c r="GU216" s="564"/>
      <c r="GV216" s="569"/>
      <c r="GW216" s="564"/>
      <c r="GX216" s="564"/>
      <c r="GY216" s="564"/>
      <c r="GZ216" s="564"/>
      <c r="HA216" s="564"/>
      <c r="HB216" s="564"/>
      <c r="HC216" s="564"/>
      <c r="HD216" s="564"/>
      <c r="HE216" s="564"/>
      <c r="HF216" s="564"/>
      <c r="HG216" s="564"/>
      <c r="HH216" s="564"/>
      <c r="HI216" s="564"/>
      <c r="HJ216" s="564"/>
      <c r="HK216" s="569"/>
      <c r="HL216" s="564" t="s">
        <v>4</v>
      </c>
      <c r="HM216" s="564" t="s">
        <v>2</v>
      </c>
      <c r="HN216" s="564" t="s">
        <v>4</v>
      </c>
      <c r="HO216" s="564" t="s">
        <v>16</v>
      </c>
      <c r="HP216" s="564" t="s">
        <v>34433</v>
      </c>
      <c r="HQ216" s="564" t="s">
        <v>34434</v>
      </c>
      <c r="HR216" s="564" t="s">
        <v>34435</v>
      </c>
      <c r="HS216" s="564" t="s">
        <v>34436</v>
      </c>
      <c r="HT216" s="568" t="s">
        <v>34430</v>
      </c>
    </row>
    <row r="217" spans="1:228" ht="30.2" customHeight="1" x14ac:dyDescent="0.25">
      <c r="A217" s="759"/>
      <c r="B217" s="563">
        <v>120</v>
      </c>
      <c r="C217" s="563" t="s">
        <v>20239</v>
      </c>
      <c r="D217" s="564" t="s">
        <v>34704</v>
      </c>
      <c r="E217" s="564" t="s">
        <v>34639</v>
      </c>
      <c r="F217" s="564" t="s">
        <v>7</v>
      </c>
      <c r="G217" s="564" t="s">
        <v>34705</v>
      </c>
      <c r="H217" s="564">
        <v>1413.8</v>
      </c>
      <c r="I217" s="564">
        <v>3.6</v>
      </c>
      <c r="J217" s="564" t="s">
        <v>29319</v>
      </c>
      <c r="K217" s="564" t="s">
        <v>4</v>
      </c>
      <c r="L217" s="564" t="s">
        <v>34706</v>
      </c>
      <c r="M217" s="564">
        <v>751517047</v>
      </c>
      <c r="N217" s="564" t="s">
        <v>3</v>
      </c>
      <c r="O217" s="564" t="s">
        <v>31438</v>
      </c>
      <c r="P217" s="564">
        <v>57</v>
      </c>
      <c r="Q217" s="564">
        <v>4</v>
      </c>
      <c r="R217" s="564" t="s">
        <v>7</v>
      </c>
      <c r="S217" s="564" t="s">
        <v>31549</v>
      </c>
      <c r="T217" s="564" t="s">
        <v>4</v>
      </c>
      <c r="U217" s="564" t="s">
        <v>2</v>
      </c>
      <c r="V217" s="564" t="s">
        <v>4</v>
      </c>
      <c r="W217" s="564" t="s">
        <v>4</v>
      </c>
      <c r="X217" s="564" t="s">
        <v>4</v>
      </c>
      <c r="Y217" s="564" t="s">
        <v>4</v>
      </c>
      <c r="Z217" s="565">
        <v>44826</v>
      </c>
      <c r="AA217" s="557" t="str">
        <f>IF(OR(U217="yes",Z217&gt;'SDG outcome'!$C$39),"yes","no")</f>
        <v>no</v>
      </c>
      <c r="AB217" s="565" t="str">
        <f t="shared" si="7"/>
        <v/>
      </c>
      <c r="AC217" s="566" t="str">
        <f>IF(AND('SMS p2'!AA132="no",AND(Z217&gt;='SDG outcome'!$B$28,Z217&lt;'SDG outcome'!$C$39)),Z217-'SDG outcome'!$B$28,"")</f>
        <v/>
      </c>
      <c r="AD217" s="564" t="s">
        <v>8</v>
      </c>
      <c r="AE217" s="564" t="s">
        <v>34707</v>
      </c>
      <c r="AF217" s="564" t="s">
        <v>4</v>
      </c>
      <c r="AG217" s="564" t="s">
        <v>4</v>
      </c>
      <c r="AH217" s="564" t="s">
        <v>4</v>
      </c>
      <c r="AI217" s="564" t="s">
        <v>4</v>
      </c>
      <c r="AJ217" s="564" t="s">
        <v>4</v>
      </c>
      <c r="AK217" s="564" t="s">
        <v>4</v>
      </c>
      <c r="AL217" s="564"/>
      <c r="AM217" s="564"/>
      <c r="AN217" s="564"/>
      <c r="AO217" s="564"/>
      <c r="AP217" s="564"/>
      <c r="AQ217" s="564"/>
      <c r="AR217" s="564"/>
      <c r="AS217" s="564"/>
      <c r="AT217" s="564"/>
      <c r="AU217" s="564"/>
      <c r="AV217" s="564"/>
      <c r="AW217" s="564"/>
      <c r="AX217" s="564"/>
      <c r="AY217" s="564"/>
      <c r="AZ217" s="564"/>
      <c r="BA217" s="564"/>
      <c r="BB217" s="564"/>
      <c r="BC217" s="564"/>
      <c r="BD217" s="564"/>
      <c r="BE217" s="564"/>
      <c r="BF217" s="564"/>
      <c r="BG217" s="564"/>
      <c r="BH217" s="564"/>
      <c r="BI217" s="564"/>
      <c r="BJ217" s="564"/>
      <c r="BK217" s="564"/>
      <c r="BL217" s="564"/>
      <c r="BM217" s="564"/>
      <c r="BN217" s="564"/>
      <c r="BO217" s="564"/>
      <c r="BP217" s="564"/>
      <c r="BQ217" s="564"/>
      <c r="BR217" s="567"/>
      <c r="BS217" s="564"/>
      <c r="BT217" s="564"/>
      <c r="BU217" s="564"/>
      <c r="BV217" s="564"/>
      <c r="BW217" s="567"/>
      <c r="BX217" s="564"/>
      <c r="BY217" s="564"/>
      <c r="BZ217" s="564"/>
      <c r="CA217" s="564"/>
      <c r="CB217" s="564"/>
      <c r="CC217" s="564"/>
      <c r="CD217" s="564"/>
      <c r="CE217" s="564"/>
      <c r="CF217" s="564"/>
      <c r="CG217" s="564"/>
      <c r="CH217" s="564"/>
      <c r="CI217" s="564"/>
      <c r="CJ217" s="564"/>
      <c r="CK217" s="564"/>
      <c r="CL217" s="564"/>
      <c r="CM217" s="564"/>
      <c r="CN217" s="564"/>
      <c r="CO217" s="564"/>
      <c r="CP217" s="564"/>
      <c r="CQ217" s="564"/>
      <c r="CR217" s="564"/>
      <c r="CS217" s="564"/>
      <c r="CT217" s="568"/>
      <c r="CU217" s="563"/>
      <c r="CV217" s="564"/>
      <c r="CW217" s="568"/>
      <c r="CX217" s="563"/>
      <c r="CY217" s="564"/>
      <c r="CZ217" s="568"/>
      <c r="DA217" s="563"/>
      <c r="DB217" s="564"/>
      <c r="DC217" s="564"/>
      <c r="DD217" s="564"/>
      <c r="DE217" s="564"/>
      <c r="DF217" s="564"/>
      <c r="DG217" s="564"/>
      <c r="DH217" s="564"/>
      <c r="DI217" s="564"/>
      <c r="DJ217" s="564"/>
      <c r="DK217" s="564"/>
      <c r="DL217" s="564"/>
      <c r="DM217" s="564"/>
      <c r="DN217" s="564"/>
      <c r="DO217" s="564"/>
      <c r="DP217" s="564"/>
      <c r="DQ217" s="564"/>
      <c r="DR217" s="564"/>
      <c r="DS217" s="569"/>
      <c r="DT217" s="564"/>
      <c r="DU217" s="569"/>
      <c r="DV217" s="568"/>
      <c r="DW217" s="563"/>
      <c r="DX217" s="564"/>
      <c r="DY217" s="564"/>
      <c r="DZ217" s="564"/>
      <c r="EA217" s="564"/>
      <c r="EB217" s="564"/>
      <c r="EC217" s="564"/>
      <c r="ED217" s="564"/>
      <c r="EE217" s="564"/>
      <c r="EF217" s="564"/>
      <c r="EG217" s="564"/>
      <c r="EH217" s="564"/>
      <c r="EI217" s="564"/>
      <c r="EJ217" s="564"/>
      <c r="EK217" s="564"/>
      <c r="EL217" s="564"/>
      <c r="EM217" s="564"/>
      <c r="EN217" s="564"/>
      <c r="EO217" s="564"/>
      <c r="EP217" s="564"/>
      <c r="EQ217" s="564"/>
      <c r="ER217" s="564"/>
      <c r="ES217" s="564"/>
      <c r="ET217" s="564"/>
      <c r="EU217" s="564"/>
      <c r="EV217" s="564"/>
      <c r="EW217" s="564"/>
      <c r="EX217" s="564"/>
      <c r="EY217" s="564"/>
      <c r="EZ217" s="239"/>
      <c r="FA217" s="564"/>
      <c r="FB217" s="564"/>
      <c r="FC217" s="564"/>
      <c r="FD217" s="564"/>
      <c r="FE217" s="564"/>
      <c r="FF217" s="564"/>
      <c r="FG217" s="564"/>
      <c r="FH217" s="564"/>
      <c r="FI217" s="564"/>
      <c r="FJ217" s="564"/>
      <c r="FK217" s="564"/>
      <c r="FL217" s="564"/>
      <c r="FM217" s="564"/>
      <c r="FN217" s="569"/>
      <c r="FO217" s="564"/>
      <c r="FP217" s="564"/>
      <c r="FQ217" s="564"/>
      <c r="FR217" s="564"/>
      <c r="FS217" s="564"/>
      <c r="FT217" s="564"/>
      <c r="FU217" s="564"/>
      <c r="FV217" s="564"/>
      <c r="FW217" s="564"/>
      <c r="FX217" s="564"/>
      <c r="FY217" s="564"/>
      <c r="FZ217" s="564"/>
      <c r="GA217" s="564"/>
      <c r="GB217" s="564"/>
      <c r="GC217" s="564"/>
      <c r="GD217" s="564"/>
      <c r="GE217" s="564"/>
      <c r="GF217" s="564"/>
      <c r="GG217" s="564"/>
      <c r="GH217" s="564"/>
      <c r="GI217" s="564"/>
      <c r="GJ217" s="564"/>
      <c r="GK217" s="564"/>
      <c r="GL217" s="564"/>
      <c r="GM217" s="564"/>
      <c r="GN217" s="564"/>
      <c r="GO217" s="564"/>
      <c r="GP217" s="564"/>
      <c r="GQ217" s="564"/>
      <c r="GR217" s="564"/>
      <c r="GS217" s="564"/>
      <c r="GT217" s="564"/>
      <c r="GU217" s="564"/>
      <c r="GV217" s="569"/>
      <c r="GW217" s="564"/>
      <c r="GX217" s="564"/>
      <c r="GY217" s="564"/>
      <c r="GZ217" s="564"/>
      <c r="HA217" s="564"/>
      <c r="HB217" s="564"/>
      <c r="HC217" s="564"/>
      <c r="HD217" s="564"/>
      <c r="HE217" s="564"/>
      <c r="HF217" s="564"/>
      <c r="HG217" s="564"/>
      <c r="HH217" s="564"/>
      <c r="HI217" s="564"/>
      <c r="HJ217" s="564"/>
      <c r="HK217" s="569"/>
      <c r="HL217" s="564" t="s">
        <v>34708</v>
      </c>
      <c r="HM217" s="564" t="s">
        <v>2</v>
      </c>
      <c r="HN217" s="564" t="s">
        <v>4</v>
      </c>
      <c r="HO217" s="564" t="s">
        <v>34709</v>
      </c>
      <c r="HP217" s="564" t="s">
        <v>34710</v>
      </c>
      <c r="HQ217" s="564" t="s">
        <v>34711</v>
      </c>
      <c r="HR217" s="564" t="s">
        <v>34712</v>
      </c>
      <c r="HS217" s="564" t="s">
        <v>34713</v>
      </c>
      <c r="HT217" s="568" t="s">
        <v>34714</v>
      </c>
    </row>
    <row r="218" spans="1:228" ht="30.2" customHeight="1" x14ac:dyDescent="0.25">
      <c r="A218" s="759"/>
      <c r="B218" s="563">
        <v>129</v>
      </c>
      <c r="C218" s="563" t="s">
        <v>2093</v>
      </c>
      <c r="D218" s="564" t="s">
        <v>34808</v>
      </c>
      <c r="E218" s="564" t="s">
        <v>30392</v>
      </c>
      <c r="F218" s="564" t="s">
        <v>7</v>
      </c>
      <c r="G218" s="564" t="s">
        <v>34809</v>
      </c>
      <c r="H218" s="564">
        <v>1090.7</v>
      </c>
      <c r="I218" s="564">
        <v>3.8</v>
      </c>
      <c r="J218" s="564" t="s">
        <v>29288</v>
      </c>
      <c r="K218" s="564" t="s">
        <v>4</v>
      </c>
      <c r="L218" s="564" t="s">
        <v>34810</v>
      </c>
      <c r="M218" s="564">
        <v>772623217</v>
      </c>
      <c r="N218" s="564" t="s">
        <v>3</v>
      </c>
      <c r="O218" s="564" t="s">
        <v>31438</v>
      </c>
      <c r="P218" s="564">
        <v>67</v>
      </c>
      <c r="Q218" s="564">
        <v>13</v>
      </c>
      <c r="R218" s="564" t="s">
        <v>7</v>
      </c>
      <c r="S218" s="564" t="s">
        <v>31562</v>
      </c>
      <c r="T218" s="564" t="s">
        <v>4</v>
      </c>
      <c r="U218" s="564" t="s">
        <v>2</v>
      </c>
      <c r="V218" s="564" t="s">
        <v>4</v>
      </c>
      <c r="W218" s="564" t="s">
        <v>4</v>
      </c>
      <c r="X218" s="564" t="s">
        <v>4</v>
      </c>
      <c r="Y218" s="564" t="s">
        <v>4</v>
      </c>
      <c r="Z218" s="565">
        <v>45556</v>
      </c>
      <c r="AA218" s="557" t="str">
        <f>IF(OR(U218="yes",Z218&gt;'SDG outcome'!$C$39),"yes","no")</f>
        <v>yes</v>
      </c>
      <c r="AB218" s="565" t="str">
        <f t="shared" si="7"/>
        <v>NA</v>
      </c>
      <c r="AC218" s="566" t="str">
        <f>IF(AND('SMS p2'!AA141="no",AND(Z218&gt;='SDG outcome'!$B$28,Z218&lt;'SDG outcome'!$C$39)),Z218-'SDG outcome'!$B$28,"")</f>
        <v/>
      </c>
      <c r="AD218" s="564" t="s">
        <v>8</v>
      </c>
      <c r="AE218" s="564" t="s">
        <v>31720</v>
      </c>
      <c r="AF218" s="564" t="s">
        <v>4</v>
      </c>
      <c r="AG218" s="564" t="s">
        <v>4</v>
      </c>
      <c r="AH218" s="564" t="s">
        <v>4</v>
      </c>
      <c r="AI218" s="564" t="s">
        <v>4</v>
      </c>
      <c r="AJ218" s="564" t="s">
        <v>4</v>
      </c>
      <c r="AK218" s="564" t="s">
        <v>4</v>
      </c>
      <c r="AL218" s="564"/>
      <c r="AM218" s="564"/>
      <c r="AN218" s="564"/>
      <c r="AO218" s="564"/>
      <c r="AP218" s="564"/>
      <c r="AQ218" s="564"/>
      <c r="AR218" s="564"/>
      <c r="AS218" s="564"/>
      <c r="AT218" s="564"/>
      <c r="AU218" s="564"/>
      <c r="AV218" s="564"/>
      <c r="AW218" s="564"/>
      <c r="AX218" s="564"/>
      <c r="AY218" s="564"/>
      <c r="AZ218" s="564"/>
      <c r="BA218" s="564"/>
      <c r="BB218" s="564"/>
      <c r="BC218" s="564"/>
      <c r="BD218" s="564"/>
      <c r="BE218" s="564"/>
      <c r="BF218" s="564"/>
      <c r="BG218" s="564"/>
      <c r="BH218" s="564"/>
      <c r="BI218" s="564"/>
      <c r="BJ218" s="564"/>
      <c r="BK218" s="564"/>
      <c r="BL218" s="564"/>
      <c r="BM218" s="564"/>
      <c r="BN218" s="564"/>
      <c r="BO218" s="564"/>
      <c r="BP218" s="564"/>
      <c r="BQ218" s="564"/>
      <c r="BR218" s="567"/>
      <c r="BS218" s="564"/>
      <c r="BT218" s="564"/>
      <c r="BU218" s="564"/>
      <c r="BV218" s="564"/>
      <c r="BW218" s="567"/>
      <c r="BX218" s="564"/>
      <c r="BY218" s="564"/>
      <c r="BZ218" s="564"/>
      <c r="CA218" s="564"/>
      <c r="CB218" s="564"/>
      <c r="CC218" s="564"/>
      <c r="CD218" s="564"/>
      <c r="CE218" s="564"/>
      <c r="CF218" s="564"/>
      <c r="CG218" s="564"/>
      <c r="CH218" s="564"/>
      <c r="CI218" s="564"/>
      <c r="CJ218" s="564"/>
      <c r="CK218" s="564"/>
      <c r="CL218" s="564"/>
      <c r="CM218" s="564"/>
      <c r="CN218" s="564"/>
      <c r="CO218" s="564"/>
      <c r="CP218" s="564"/>
      <c r="CQ218" s="564"/>
      <c r="CR218" s="564"/>
      <c r="CS218" s="564"/>
      <c r="CT218" s="568"/>
      <c r="CU218" s="563"/>
      <c r="CV218" s="564"/>
      <c r="CW218" s="568"/>
      <c r="CX218" s="563"/>
      <c r="CY218" s="564"/>
      <c r="CZ218" s="568"/>
      <c r="DA218" s="563"/>
      <c r="DB218" s="564"/>
      <c r="DC218" s="564"/>
      <c r="DD218" s="564"/>
      <c r="DE218" s="564"/>
      <c r="DF218" s="564"/>
      <c r="DG218" s="564"/>
      <c r="DH218" s="564"/>
      <c r="DI218" s="564"/>
      <c r="DJ218" s="564"/>
      <c r="DK218" s="564"/>
      <c r="DL218" s="564"/>
      <c r="DM218" s="564"/>
      <c r="DN218" s="564"/>
      <c r="DO218" s="564"/>
      <c r="DP218" s="564"/>
      <c r="DQ218" s="564"/>
      <c r="DR218" s="564"/>
      <c r="DS218" s="569"/>
      <c r="DT218" s="564"/>
      <c r="DU218" s="569"/>
      <c r="DV218" s="568"/>
      <c r="DW218" s="563"/>
      <c r="DX218" s="564"/>
      <c r="DY218" s="564"/>
      <c r="DZ218" s="564"/>
      <c r="EA218" s="564"/>
      <c r="EB218" s="564"/>
      <c r="EC218" s="564"/>
      <c r="ED218" s="564"/>
      <c r="EE218" s="564"/>
      <c r="EF218" s="564"/>
      <c r="EG218" s="564"/>
      <c r="EH218" s="564"/>
      <c r="EI218" s="564"/>
      <c r="EJ218" s="564"/>
      <c r="EK218" s="564"/>
      <c r="EL218" s="564"/>
      <c r="EM218" s="564"/>
      <c r="EN218" s="564"/>
      <c r="EO218" s="564"/>
      <c r="EP218" s="564"/>
      <c r="EQ218" s="564"/>
      <c r="ER218" s="564"/>
      <c r="ES218" s="564"/>
      <c r="ET218" s="564"/>
      <c r="EU218" s="564"/>
      <c r="EV218" s="564"/>
      <c r="EW218" s="564"/>
      <c r="EX218" s="564"/>
      <c r="EY218" s="564"/>
      <c r="EZ218" s="239"/>
      <c r="FA218" s="564"/>
      <c r="FB218" s="564"/>
      <c r="FC218" s="564"/>
      <c r="FD218" s="564"/>
      <c r="FE218" s="564"/>
      <c r="FF218" s="564"/>
      <c r="FG218" s="564"/>
      <c r="FH218" s="564"/>
      <c r="FI218" s="564"/>
      <c r="FJ218" s="564"/>
      <c r="FK218" s="564"/>
      <c r="FL218" s="564"/>
      <c r="FM218" s="564"/>
      <c r="FN218" s="569"/>
      <c r="FO218" s="564"/>
      <c r="FP218" s="564"/>
      <c r="FQ218" s="564"/>
      <c r="FR218" s="564"/>
      <c r="FS218" s="564"/>
      <c r="FT218" s="564"/>
      <c r="FU218" s="564"/>
      <c r="FV218" s="564"/>
      <c r="FW218" s="564"/>
      <c r="FX218" s="564"/>
      <c r="FY218" s="564"/>
      <c r="FZ218" s="564"/>
      <c r="GA218" s="564"/>
      <c r="GB218" s="564"/>
      <c r="GC218" s="564"/>
      <c r="GD218" s="564"/>
      <c r="GE218" s="564"/>
      <c r="GF218" s="564"/>
      <c r="GG218" s="564"/>
      <c r="GH218" s="564"/>
      <c r="GI218" s="564"/>
      <c r="GJ218" s="564"/>
      <c r="GK218" s="564"/>
      <c r="GL218" s="564"/>
      <c r="GM218" s="564"/>
      <c r="GN218" s="564"/>
      <c r="GO218" s="564"/>
      <c r="GP218" s="564"/>
      <c r="GQ218" s="564"/>
      <c r="GR218" s="564"/>
      <c r="GS218" s="564"/>
      <c r="GT218" s="564"/>
      <c r="GU218" s="564"/>
      <c r="GV218" s="569"/>
      <c r="GW218" s="564"/>
      <c r="GX218" s="564"/>
      <c r="GY218" s="564"/>
      <c r="GZ218" s="564"/>
      <c r="HA218" s="564"/>
      <c r="HB218" s="564"/>
      <c r="HC218" s="564"/>
      <c r="HD218" s="564"/>
      <c r="HE218" s="564"/>
      <c r="HF218" s="564"/>
      <c r="HG218" s="564"/>
      <c r="HH218" s="564"/>
      <c r="HI218" s="564"/>
      <c r="HJ218" s="564"/>
      <c r="HK218" s="569"/>
      <c r="HL218" s="564" t="s">
        <v>34811</v>
      </c>
      <c r="HM218" s="564" t="s">
        <v>7</v>
      </c>
      <c r="HN218" s="564" t="s">
        <v>34812</v>
      </c>
      <c r="HO218" s="564" t="s">
        <v>34813</v>
      </c>
      <c r="HP218" s="564" t="s">
        <v>34814</v>
      </c>
      <c r="HQ218" s="564" t="s">
        <v>34815</v>
      </c>
      <c r="HR218" s="564" t="s">
        <v>34816</v>
      </c>
      <c r="HS218" s="564" t="s">
        <v>16</v>
      </c>
      <c r="HT218" s="568" t="s">
        <v>34808</v>
      </c>
    </row>
    <row r="219" spans="1:228" ht="30.2" customHeight="1" x14ac:dyDescent="0.25">
      <c r="A219" s="759"/>
      <c r="B219" s="563">
        <v>148</v>
      </c>
      <c r="C219" s="563" t="s">
        <v>7773</v>
      </c>
      <c r="D219" s="564" t="s">
        <v>35016</v>
      </c>
      <c r="E219" s="564" t="s">
        <v>83</v>
      </c>
      <c r="F219" s="564" t="s">
        <v>7</v>
      </c>
      <c r="G219" s="564" t="s">
        <v>35017</v>
      </c>
      <c r="H219" s="564">
        <v>1193.5519999999999</v>
      </c>
      <c r="I219" s="564">
        <v>1.5680259999999999</v>
      </c>
      <c r="J219" s="564" t="s">
        <v>29288</v>
      </c>
      <c r="K219" s="564" t="s">
        <v>4</v>
      </c>
      <c r="L219" s="564" t="s">
        <v>35018</v>
      </c>
      <c r="M219" s="564">
        <v>782852814</v>
      </c>
      <c r="N219" s="564" t="s">
        <v>3</v>
      </c>
      <c r="O219" s="564" t="s">
        <v>31598</v>
      </c>
      <c r="P219" s="564" t="s">
        <v>4</v>
      </c>
      <c r="Q219" s="564">
        <v>5</v>
      </c>
      <c r="R219" s="564" t="s">
        <v>7</v>
      </c>
      <c r="S219" s="564" t="s">
        <v>31549</v>
      </c>
      <c r="T219" s="564" t="s">
        <v>4</v>
      </c>
      <c r="U219" s="564" t="s">
        <v>2</v>
      </c>
      <c r="V219" s="564" t="s">
        <v>4</v>
      </c>
      <c r="W219" s="564" t="s">
        <v>4</v>
      </c>
      <c r="X219" s="564" t="s">
        <v>4</v>
      </c>
      <c r="Y219" s="564" t="s">
        <v>4</v>
      </c>
      <c r="Z219" s="565">
        <v>45191</v>
      </c>
      <c r="AA219" s="557" t="str">
        <f>IF(OR(U219="yes",Z219&gt;'SDG outcome'!$C$39),"yes","no")</f>
        <v>no</v>
      </c>
      <c r="AB219" s="565" t="str">
        <f t="shared" si="7"/>
        <v/>
      </c>
      <c r="AC219" s="566">
        <f>IF(AND('SMS p2'!AA160="no",AND(Z219&gt;='SDG outcome'!$B$28,Z219&lt;'SDG outcome'!$C$39)),Z219-'SDG outcome'!$B$28,"")</f>
        <v>174</v>
      </c>
      <c r="AD219" s="564" t="s">
        <v>8</v>
      </c>
      <c r="AE219" s="564" t="s">
        <v>35019</v>
      </c>
      <c r="AF219" s="564" t="s">
        <v>4</v>
      </c>
      <c r="AG219" s="564" t="s">
        <v>4</v>
      </c>
      <c r="AH219" s="564" t="s">
        <v>4</v>
      </c>
      <c r="AI219" s="564" t="s">
        <v>4</v>
      </c>
      <c r="AJ219" s="564" t="s">
        <v>4</v>
      </c>
      <c r="AK219" s="564" t="s">
        <v>4</v>
      </c>
      <c r="AL219" s="564"/>
      <c r="AM219" s="564"/>
      <c r="AN219" s="564"/>
      <c r="AO219" s="564"/>
      <c r="AP219" s="564"/>
      <c r="AQ219" s="564"/>
      <c r="AR219" s="564"/>
      <c r="AS219" s="564"/>
      <c r="AT219" s="564"/>
      <c r="AU219" s="564"/>
      <c r="AV219" s="564"/>
      <c r="AW219" s="564"/>
      <c r="AX219" s="564"/>
      <c r="AY219" s="564"/>
      <c r="AZ219" s="564"/>
      <c r="BA219" s="564"/>
      <c r="BB219" s="564"/>
      <c r="BC219" s="564"/>
      <c r="BD219" s="564"/>
      <c r="BE219" s="564"/>
      <c r="BF219" s="564"/>
      <c r="BG219" s="564"/>
      <c r="BH219" s="564"/>
      <c r="BI219" s="564"/>
      <c r="BJ219" s="564"/>
      <c r="BK219" s="564"/>
      <c r="BL219" s="564"/>
      <c r="BM219" s="564"/>
      <c r="BN219" s="564"/>
      <c r="BO219" s="564"/>
      <c r="BP219" s="564"/>
      <c r="BQ219" s="564"/>
      <c r="BR219" s="567"/>
      <c r="BS219" s="564"/>
      <c r="BT219" s="564"/>
      <c r="BU219" s="564"/>
      <c r="BV219" s="564"/>
      <c r="BW219" s="567"/>
      <c r="BX219" s="564"/>
      <c r="BY219" s="564"/>
      <c r="BZ219" s="564"/>
      <c r="CA219" s="564"/>
      <c r="CB219" s="564"/>
      <c r="CC219" s="564"/>
      <c r="CD219" s="564"/>
      <c r="CE219" s="564"/>
      <c r="CF219" s="564"/>
      <c r="CG219" s="564"/>
      <c r="CH219" s="564"/>
      <c r="CI219" s="564"/>
      <c r="CJ219" s="564"/>
      <c r="CK219" s="564"/>
      <c r="CL219" s="564"/>
      <c r="CM219" s="564"/>
      <c r="CN219" s="564"/>
      <c r="CO219" s="564"/>
      <c r="CP219" s="564"/>
      <c r="CQ219" s="564"/>
      <c r="CR219" s="564"/>
      <c r="CS219" s="564"/>
      <c r="CT219" s="568"/>
      <c r="CU219" s="563"/>
      <c r="CV219" s="564"/>
      <c r="CW219" s="568"/>
      <c r="CX219" s="563"/>
      <c r="CY219" s="564"/>
      <c r="CZ219" s="568"/>
      <c r="DA219" s="563"/>
      <c r="DB219" s="564"/>
      <c r="DC219" s="564"/>
      <c r="DD219" s="564"/>
      <c r="DE219" s="564"/>
      <c r="DF219" s="564"/>
      <c r="DG219" s="564"/>
      <c r="DH219" s="564"/>
      <c r="DI219" s="564"/>
      <c r="DJ219" s="564"/>
      <c r="DK219" s="564"/>
      <c r="DL219" s="564"/>
      <c r="DM219" s="564"/>
      <c r="DN219" s="564"/>
      <c r="DO219" s="564"/>
      <c r="DP219" s="564"/>
      <c r="DQ219" s="564"/>
      <c r="DR219" s="564"/>
      <c r="DS219" s="569"/>
      <c r="DT219" s="564"/>
      <c r="DU219" s="569"/>
      <c r="DV219" s="568"/>
      <c r="DW219" s="563"/>
      <c r="DX219" s="564"/>
      <c r="DY219" s="564"/>
      <c r="DZ219" s="564"/>
      <c r="EA219" s="564"/>
      <c r="EB219" s="564"/>
      <c r="EC219" s="564"/>
      <c r="ED219" s="564"/>
      <c r="EE219" s="564"/>
      <c r="EF219" s="564"/>
      <c r="EG219" s="564"/>
      <c r="EH219" s="564"/>
      <c r="EI219" s="564"/>
      <c r="EJ219" s="564"/>
      <c r="EK219" s="564"/>
      <c r="EL219" s="564"/>
      <c r="EM219" s="564"/>
      <c r="EN219" s="564"/>
      <c r="EO219" s="564"/>
      <c r="EP219" s="564"/>
      <c r="EQ219" s="564"/>
      <c r="ER219" s="564"/>
      <c r="ES219" s="564"/>
      <c r="ET219" s="564"/>
      <c r="EU219" s="564"/>
      <c r="EV219" s="564"/>
      <c r="EW219" s="564"/>
      <c r="EX219" s="564"/>
      <c r="EY219" s="564"/>
      <c r="EZ219" s="239"/>
      <c r="FA219" s="564"/>
      <c r="FB219" s="564"/>
      <c r="FC219" s="564"/>
      <c r="FD219" s="564"/>
      <c r="FE219" s="564"/>
      <c r="FF219" s="564"/>
      <c r="FG219" s="564"/>
      <c r="FH219" s="564"/>
      <c r="FI219" s="564"/>
      <c r="FJ219" s="564"/>
      <c r="FK219" s="564"/>
      <c r="FL219" s="564"/>
      <c r="FM219" s="564"/>
      <c r="FN219" s="569"/>
      <c r="FO219" s="564"/>
      <c r="FP219" s="564"/>
      <c r="FQ219" s="564"/>
      <c r="FR219" s="564"/>
      <c r="FS219" s="564"/>
      <c r="FT219" s="564"/>
      <c r="FU219" s="564"/>
      <c r="FV219" s="564"/>
      <c r="FW219" s="564"/>
      <c r="FX219" s="564"/>
      <c r="FY219" s="564"/>
      <c r="FZ219" s="564"/>
      <c r="GA219" s="564"/>
      <c r="GB219" s="564"/>
      <c r="GC219" s="564"/>
      <c r="GD219" s="564"/>
      <c r="GE219" s="564"/>
      <c r="GF219" s="564"/>
      <c r="GG219" s="564"/>
      <c r="GH219" s="564"/>
      <c r="GI219" s="564"/>
      <c r="GJ219" s="564"/>
      <c r="GK219" s="564"/>
      <c r="GL219" s="564"/>
      <c r="GM219" s="564"/>
      <c r="GN219" s="564"/>
      <c r="GO219" s="564"/>
      <c r="GP219" s="564"/>
      <c r="GQ219" s="564"/>
      <c r="GR219" s="564"/>
      <c r="GS219" s="564"/>
      <c r="GT219" s="564"/>
      <c r="GU219" s="564"/>
      <c r="GV219" s="569"/>
      <c r="GW219" s="564"/>
      <c r="GX219" s="564"/>
      <c r="GY219" s="564"/>
      <c r="GZ219" s="564"/>
      <c r="HA219" s="564"/>
      <c r="HB219" s="564"/>
      <c r="HC219" s="564"/>
      <c r="HD219" s="564"/>
      <c r="HE219" s="564"/>
      <c r="HF219" s="564"/>
      <c r="HG219" s="564"/>
      <c r="HH219" s="564"/>
      <c r="HI219" s="564"/>
      <c r="HJ219" s="564"/>
      <c r="HK219" s="569"/>
      <c r="HL219" s="564" t="s">
        <v>35020</v>
      </c>
      <c r="HM219" s="564" t="s">
        <v>7</v>
      </c>
      <c r="HN219" s="564" t="s">
        <v>35021</v>
      </c>
      <c r="HO219" s="564" t="s">
        <v>16</v>
      </c>
      <c r="HP219" s="564" t="s">
        <v>35022</v>
      </c>
      <c r="HQ219" s="564" t="s">
        <v>35023</v>
      </c>
      <c r="HR219" s="564" t="s">
        <v>35024</v>
      </c>
      <c r="HS219" s="564" t="s">
        <v>16</v>
      </c>
      <c r="HT219" s="568" t="s">
        <v>35016</v>
      </c>
    </row>
    <row r="220" spans="1:228" ht="30.2" customHeight="1" x14ac:dyDescent="0.25">
      <c r="A220" s="759"/>
      <c r="B220" s="563">
        <v>152</v>
      </c>
      <c r="C220" s="563" t="s">
        <v>5534</v>
      </c>
      <c r="D220" s="564" t="s">
        <v>35056</v>
      </c>
      <c r="E220" s="564" t="s">
        <v>35057</v>
      </c>
      <c r="F220" s="564" t="s">
        <v>7</v>
      </c>
      <c r="G220" s="564" t="s">
        <v>35058</v>
      </c>
      <c r="H220" s="564">
        <v>1161.681763</v>
      </c>
      <c r="I220" s="564">
        <v>4.4774539999999998</v>
      </c>
      <c r="J220" s="564" t="s">
        <v>29288</v>
      </c>
      <c r="K220" s="564" t="s">
        <v>4</v>
      </c>
      <c r="L220" s="564" t="s">
        <v>5755</v>
      </c>
      <c r="M220" s="564">
        <v>775413044</v>
      </c>
      <c r="N220" s="564" t="s">
        <v>3</v>
      </c>
      <c r="O220" s="564" t="s">
        <v>31590</v>
      </c>
      <c r="P220" s="564" t="s">
        <v>4</v>
      </c>
      <c r="Q220" s="564">
        <v>6</v>
      </c>
      <c r="R220" s="564" t="s">
        <v>7</v>
      </c>
      <c r="S220" s="564" t="s">
        <v>31535</v>
      </c>
      <c r="T220" s="564" t="s">
        <v>4</v>
      </c>
      <c r="U220" s="564" t="s">
        <v>2</v>
      </c>
      <c r="V220" s="564" t="s">
        <v>4</v>
      </c>
      <c r="W220" s="564" t="s">
        <v>4</v>
      </c>
      <c r="X220" s="564" t="s">
        <v>4</v>
      </c>
      <c r="Y220" s="564" t="s">
        <v>4</v>
      </c>
      <c r="Z220" s="565">
        <v>43311</v>
      </c>
      <c r="AA220" s="557" t="str">
        <f>IF(OR(U220="yes",Z220&gt;'SDG outcome'!$C$39),"yes","no")</f>
        <v>no</v>
      </c>
      <c r="AB220" s="565" t="str">
        <f t="shared" si="7"/>
        <v/>
      </c>
      <c r="AC220" s="566" t="str">
        <f>IF(AND('SMS p2'!AA164="no",AND(Z220&gt;='SDG outcome'!$B$28,Z220&lt;'SDG outcome'!$C$39)),Z220-'SDG outcome'!$B$28,"")</f>
        <v/>
      </c>
      <c r="AD220" s="564" t="s">
        <v>8</v>
      </c>
      <c r="AE220" s="564" t="s">
        <v>35059</v>
      </c>
      <c r="AF220" s="564" t="s">
        <v>4</v>
      </c>
      <c r="AG220" s="564" t="s">
        <v>4</v>
      </c>
      <c r="AH220" s="564" t="s">
        <v>4</v>
      </c>
      <c r="AI220" s="564" t="s">
        <v>4</v>
      </c>
      <c r="AJ220" s="564" t="s">
        <v>4</v>
      </c>
      <c r="AK220" s="564" t="s">
        <v>4</v>
      </c>
      <c r="AL220" s="564"/>
      <c r="AM220" s="564"/>
      <c r="AN220" s="564"/>
      <c r="AO220" s="564"/>
      <c r="AP220" s="564"/>
      <c r="AQ220" s="564"/>
      <c r="AR220" s="564"/>
      <c r="AS220" s="564"/>
      <c r="AT220" s="564"/>
      <c r="AU220" s="564"/>
      <c r="AV220" s="564"/>
      <c r="AW220" s="564"/>
      <c r="AX220" s="564"/>
      <c r="AY220" s="564"/>
      <c r="AZ220" s="564"/>
      <c r="BA220" s="564"/>
      <c r="BB220" s="564"/>
      <c r="BC220" s="564"/>
      <c r="BD220" s="564"/>
      <c r="BE220" s="564"/>
      <c r="BF220" s="564"/>
      <c r="BG220" s="564"/>
      <c r="BH220" s="564"/>
      <c r="BI220" s="564"/>
      <c r="BJ220" s="564"/>
      <c r="BK220" s="564"/>
      <c r="BL220" s="564"/>
      <c r="BM220" s="564"/>
      <c r="BN220" s="564"/>
      <c r="BO220" s="564"/>
      <c r="BP220" s="564"/>
      <c r="BQ220" s="564"/>
      <c r="BR220" s="567"/>
      <c r="BS220" s="564"/>
      <c r="BT220" s="564"/>
      <c r="BU220" s="564"/>
      <c r="BV220" s="564"/>
      <c r="BW220" s="567"/>
      <c r="BX220" s="564"/>
      <c r="BY220" s="564"/>
      <c r="BZ220" s="564"/>
      <c r="CA220" s="564"/>
      <c r="CB220" s="564"/>
      <c r="CC220" s="564"/>
      <c r="CD220" s="564"/>
      <c r="CE220" s="564"/>
      <c r="CF220" s="564"/>
      <c r="CG220" s="564"/>
      <c r="CH220" s="564"/>
      <c r="CI220" s="564"/>
      <c r="CJ220" s="564"/>
      <c r="CK220" s="564"/>
      <c r="CL220" s="564"/>
      <c r="CM220" s="564"/>
      <c r="CN220" s="564"/>
      <c r="CO220" s="564"/>
      <c r="CP220" s="564"/>
      <c r="CQ220" s="564"/>
      <c r="CR220" s="564"/>
      <c r="CS220" s="564"/>
      <c r="CT220" s="568"/>
      <c r="CU220" s="563"/>
      <c r="CV220" s="564"/>
      <c r="CW220" s="568"/>
      <c r="CX220" s="563"/>
      <c r="CY220" s="564"/>
      <c r="CZ220" s="568"/>
      <c r="DA220" s="563"/>
      <c r="DB220" s="564"/>
      <c r="DC220" s="564"/>
      <c r="DD220" s="564"/>
      <c r="DE220" s="564"/>
      <c r="DF220" s="564"/>
      <c r="DG220" s="564"/>
      <c r="DH220" s="564"/>
      <c r="DI220" s="564"/>
      <c r="DJ220" s="564"/>
      <c r="DK220" s="564"/>
      <c r="DL220" s="564"/>
      <c r="DM220" s="564"/>
      <c r="DN220" s="564"/>
      <c r="DO220" s="564"/>
      <c r="DP220" s="564"/>
      <c r="DQ220" s="564"/>
      <c r="DR220" s="564"/>
      <c r="DS220" s="569"/>
      <c r="DT220" s="564"/>
      <c r="DU220" s="569"/>
      <c r="DV220" s="568"/>
      <c r="DW220" s="563"/>
      <c r="DX220" s="564"/>
      <c r="DY220" s="564"/>
      <c r="DZ220" s="564"/>
      <c r="EA220" s="564"/>
      <c r="EB220" s="564"/>
      <c r="EC220" s="564"/>
      <c r="ED220" s="564"/>
      <c r="EE220" s="564"/>
      <c r="EF220" s="564"/>
      <c r="EG220" s="564"/>
      <c r="EH220" s="564"/>
      <c r="EI220" s="564"/>
      <c r="EJ220" s="564"/>
      <c r="EK220" s="564"/>
      <c r="EL220" s="564"/>
      <c r="EM220" s="564"/>
      <c r="EN220" s="564"/>
      <c r="EO220" s="564"/>
      <c r="EP220" s="564"/>
      <c r="EQ220" s="564"/>
      <c r="ER220" s="564"/>
      <c r="ES220" s="564"/>
      <c r="ET220" s="564"/>
      <c r="EU220" s="564"/>
      <c r="EV220" s="564"/>
      <c r="EW220" s="564"/>
      <c r="EX220" s="564"/>
      <c r="EY220" s="564"/>
      <c r="EZ220" s="239"/>
      <c r="FA220" s="564"/>
      <c r="FB220" s="564"/>
      <c r="FC220" s="564"/>
      <c r="FD220" s="564"/>
      <c r="FE220" s="564"/>
      <c r="FF220" s="564"/>
      <c r="FG220" s="564"/>
      <c r="FH220" s="564"/>
      <c r="FI220" s="564"/>
      <c r="FJ220" s="564"/>
      <c r="FK220" s="564"/>
      <c r="FL220" s="564"/>
      <c r="FM220" s="564"/>
      <c r="FN220" s="569"/>
      <c r="FO220" s="564"/>
      <c r="FP220" s="564"/>
      <c r="FQ220" s="564"/>
      <c r="FR220" s="564"/>
      <c r="FS220" s="564"/>
      <c r="FT220" s="564"/>
      <c r="FU220" s="564"/>
      <c r="FV220" s="564"/>
      <c r="FW220" s="564"/>
      <c r="FX220" s="564"/>
      <c r="FY220" s="564"/>
      <c r="FZ220" s="564"/>
      <c r="GA220" s="564"/>
      <c r="GB220" s="564"/>
      <c r="GC220" s="564"/>
      <c r="GD220" s="564"/>
      <c r="GE220" s="564"/>
      <c r="GF220" s="564"/>
      <c r="GG220" s="564"/>
      <c r="GH220" s="564"/>
      <c r="GI220" s="564"/>
      <c r="GJ220" s="564"/>
      <c r="GK220" s="564"/>
      <c r="GL220" s="564"/>
      <c r="GM220" s="564"/>
      <c r="GN220" s="564"/>
      <c r="GO220" s="564"/>
      <c r="GP220" s="564"/>
      <c r="GQ220" s="564"/>
      <c r="GR220" s="564"/>
      <c r="GS220" s="564"/>
      <c r="GT220" s="564"/>
      <c r="GU220" s="564"/>
      <c r="GV220" s="569"/>
      <c r="GW220" s="564"/>
      <c r="GX220" s="564"/>
      <c r="GY220" s="564"/>
      <c r="GZ220" s="564"/>
      <c r="HA220" s="564"/>
      <c r="HB220" s="564"/>
      <c r="HC220" s="564"/>
      <c r="HD220" s="564"/>
      <c r="HE220" s="564"/>
      <c r="HF220" s="564"/>
      <c r="HG220" s="564"/>
      <c r="HH220" s="564"/>
      <c r="HI220" s="564"/>
      <c r="HJ220" s="564"/>
      <c r="HK220" s="569"/>
      <c r="HL220" s="564" t="s">
        <v>35060</v>
      </c>
      <c r="HM220" s="564" t="s">
        <v>2</v>
      </c>
      <c r="HN220" s="564" t="s">
        <v>4</v>
      </c>
      <c r="HO220" s="564" t="s">
        <v>35061</v>
      </c>
      <c r="HP220" s="564" t="s">
        <v>35062</v>
      </c>
      <c r="HQ220" s="564" t="s">
        <v>16</v>
      </c>
      <c r="HR220" s="564" t="s">
        <v>35063</v>
      </c>
      <c r="HS220" s="564" t="s">
        <v>16</v>
      </c>
      <c r="HT220" s="568" t="s">
        <v>35064</v>
      </c>
    </row>
    <row r="221" spans="1:228" ht="30.2" customHeight="1" x14ac:dyDescent="0.25">
      <c r="A221" s="759"/>
      <c r="B221" s="563">
        <v>162</v>
      </c>
      <c r="C221" s="563" t="s">
        <v>1115</v>
      </c>
      <c r="D221" s="564" t="s">
        <v>35166</v>
      </c>
      <c r="E221" s="564" t="s">
        <v>35057</v>
      </c>
      <c r="F221" s="564" t="s">
        <v>7</v>
      </c>
      <c r="G221" s="564" t="s">
        <v>35167</v>
      </c>
      <c r="H221" s="564">
        <v>1148.992798</v>
      </c>
      <c r="I221" s="564">
        <v>4.406676</v>
      </c>
      <c r="J221" s="564" t="s">
        <v>29319</v>
      </c>
      <c r="K221" s="564" t="s">
        <v>4</v>
      </c>
      <c r="L221" s="564" t="s">
        <v>35168</v>
      </c>
      <c r="M221" s="564">
        <v>772480936</v>
      </c>
      <c r="N221" s="564" t="s">
        <v>5</v>
      </c>
      <c r="O221" s="564" t="s">
        <v>31590</v>
      </c>
      <c r="P221" s="564" t="s">
        <v>4</v>
      </c>
      <c r="Q221" s="564">
        <v>6</v>
      </c>
      <c r="R221" s="564" t="s">
        <v>7</v>
      </c>
      <c r="S221" s="564" t="s">
        <v>31588</v>
      </c>
      <c r="T221" s="564" t="s">
        <v>4</v>
      </c>
      <c r="U221" s="564" t="s">
        <v>2</v>
      </c>
      <c r="V221" s="564" t="s">
        <v>4</v>
      </c>
      <c r="W221" s="564" t="s">
        <v>4</v>
      </c>
      <c r="X221" s="564" t="s">
        <v>4</v>
      </c>
      <c r="Y221" s="564" t="s">
        <v>4</v>
      </c>
      <c r="Z221" s="565">
        <v>43811</v>
      </c>
      <c r="AA221" s="557" t="str">
        <f>IF(OR(U221="yes",Z221&gt;'SDG outcome'!$C$39),"yes","no")</f>
        <v>no</v>
      </c>
      <c r="AB221" s="565" t="str">
        <f t="shared" si="7"/>
        <v/>
      </c>
      <c r="AC221" s="566" t="str">
        <f>IF(AND('SMS p2'!AA174="no",AND(Z221&gt;='SDG outcome'!$B$28,Z221&lt;'SDG outcome'!$C$39)),Z221-'SDG outcome'!$B$28,"")</f>
        <v/>
      </c>
      <c r="AD221" s="564" t="s">
        <v>8</v>
      </c>
      <c r="AE221" s="564" t="s">
        <v>35059</v>
      </c>
      <c r="AF221" s="564" t="s">
        <v>4</v>
      </c>
      <c r="AG221" s="564" t="s">
        <v>4</v>
      </c>
      <c r="AH221" s="564" t="s">
        <v>4</v>
      </c>
      <c r="AI221" s="564" t="s">
        <v>4</v>
      </c>
      <c r="AJ221" s="564" t="s">
        <v>4</v>
      </c>
      <c r="AK221" s="564" t="s">
        <v>4</v>
      </c>
      <c r="AL221" s="564"/>
      <c r="AM221" s="564"/>
      <c r="AN221" s="564"/>
      <c r="AO221" s="564"/>
      <c r="AP221" s="564"/>
      <c r="AQ221" s="564"/>
      <c r="AR221" s="564"/>
      <c r="AS221" s="564"/>
      <c r="AT221" s="564"/>
      <c r="AU221" s="564"/>
      <c r="AV221" s="564"/>
      <c r="AW221" s="564"/>
      <c r="AX221" s="564"/>
      <c r="AY221" s="564"/>
      <c r="AZ221" s="564"/>
      <c r="BA221" s="564"/>
      <c r="BB221" s="564"/>
      <c r="BC221" s="564"/>
      <c r="BD221" s="564"/>
      <c r="BE221" s="564"/>
      <c r="BF221" s="564"/>
      <c r="BG221" s="564"/>
      <c r="BH221" s="564"/>
      <c r="BI221" s="564"/>
      <c r="BJ221" s="564"/>
      <c r="BK221" s="564"/>
      <c r="BL221" s="564"/>
      <c r="BM221" s="564"/>
      <c r="BN221" s="564"/>
      <c r="BO221" s="564"/>
      <c r="BP221" s="564"/>
      <c r="BQ221" s="564"/>
      <c r="BR221" s="567"/>
      <c r="BS221" s="564"/>
      <c r="BT221" s="564"/>
      <c r="BU221" s="564"/>
      <c r="BV221" s="564"/>
      <c r="BW221" s="567"/>
      <c r="BX221" s="564"/>
      <c r="BY221" s="564"/>
      <c r="BZ221" s="564"/>
      <c r="CA221" s="564"/>
      <c r="CB221" s="564"/>
      <c r="CC221" s="564"/>
      <c r="CD221" s="564"/>
      <c r="CE221" s="564"/>
      <c r="CF221" s="564"/>
      <c r="CG221" s="564"/>
      <c r="CH221" s="564"/>
      <c r="CI221" s="564"/>
      <c r="CJ221" s="564"/>
      <c r="CK221" s="564"/>
      <c r="CL221" s="564"/>
      <c r="CM221" s="564"/>
      <c r="CN221" s="564"/>
      <c r="CO221" s="564"/>
      <c r="CP221" s="564"/>
      <c r="CQ221" s="564"/>
      <c r="CR221" s="564"/>
      <c r="CS221" s="564"/>
      <c r="CT221" s="568"/>
      <c r="CU221" s="563"/>
      <c r="CV221" s="564"/>
      <c r="CW221" s="568"/>
      <c r="CX221" s="563"/>
      <c r="CY221" s="564"/>
      <c r="CZ221" s="568"/>
      <c r="DA221" s="563"/>
      <c r="DB221" s="564"/>
      <c r="DC221" s="564"/>
      <c r="DD221" s="564"/>
      <c r="DE221" s="564"/>
      <c r="DF221" s="564"/>
      <c r="DG221" s="564"/>
      <c r="DH221" s="564"/>
      <c r="DI221" s="564"/>
      <c r="DJ221" s="564"/>
      <c r="DK221" s="564"/>
      <c r="DL221" s="564"/>
      <c r="DM221" s="564"/>
      <c r="DN221" s="564"/>
      <c r="DO221" s="564"/>
      <c r="DP221" s="564"/>
      <c r="DQ221" s="564"/>
      <c r="DR221" s="564"/>
      <c r="DS221" s="569"/>
      <c r="DT221" s="564"/>
      <c r="DU221" s="569"/>
      <c r="DV221" s="568"/>
      <c r="DW221" s="563"/>
      <c r="DX221" s="564"/>
      <c r="DY221" s="564"/>
      <c r="DZ221" s="564"/>
      <c r="EA221" s="564"/>
      <c r="EB221" s="564"/>
      <c r="EC221" s="564"/>
      <c r="ED221" s="564"/>
      <c r="EE221" s="564"/>
      <c r="EF221" s="564"/>
      <c r="EG221" s="564"/>
      <c r="EH221" s="564"/>
      <c r="EI221" s="564"/>
      <c r="EJ221" s="564"/>
      <c r="EK221" s="564"/>
      <c r="EL221" s="564"/>
      <c r="EM221" s="564"/>
      <c r="EN221" s="564"/>
      <c r="EO221" s="564"/>
      <c r="EP221" s="564"/>
      <c r="EQ221" s="564"/>
      <c r="ER221" s="564"/>
      <c r="ES221" s="564"/>
      <c r="ET221" s="564"/>
      <c r="EU221" s="564"/>
      <c r="EV221" s="564"/>
      <c r="EW221" s="564"/>
      <c r="EX221" s="564"/>
      <c r="EY221" s="564"/>
      <c r="EZ221" s="239"/>
      <c r="FA221" s="564"/>
      <c r="FB221" s="564"/>
      <c r="FC221" s="564"/>
      <c r="FD221" s="564"/>
      <c r="FE221" s="564"/>
      <c r="FF221" s="564"/>
      <c r="FG221" s="564"/>
      <c r="FH221" s="564"/>
      <c r="FI221" s="564"/>
      <c r="FJ221" s="564"/>
      <c r="FK221" s="564"/>
      <c r="FL221" s="564"/>
      <c r="FM221" s="564"/>
      <c r="FN221" s="569"/>
      <c r="FO221" s="564"/>
      <c r="FP221" s="564"/>
      <c r="FQ221" s="564"/>
      <c r="FR221" s="564"/>
      <c r="FS221" s="564"/>
      <c r="FT221" s="564"/>
      <c r="FU221" s="564"/>
      <c r="FV221" s="564"/>
      <c r="FW221" s="564"/>
      <c r="FX221" s="564"/>
      <c r="FY221" s="564"/>
      <c r="FZ221" s="564"/>
      <c r="GA221" s="564"/>
      <c r="GB221" s="564"/>
      <c r="GC221" s="564"/>
      <c r="GD221" s="564"/>
      <c r="GE221" s="564"/>
      <c r="GF221" s="564"/>
      <c r="GG221" s="564"/>
      <c r="GH221" s="564"/>
      <c r="GI221" s="564"/>
      <c r="GJ221" s="564"/>
      <c r="GK221" s="564"/>
      <c r="GL221" s="564"/>
      <c r="GM221" s="564"/>
      <c r="GN221" s="564"/>
      <c r="GO221" s="564"/>
      <c r="GP221" s="564"/>
      <c r="GQ221" s="564"/>
      <c r="GR221" s="564"/>
      <c r="GS221" s="564"/>
      <c r="GT221" s="564"/>
      <c r="GU221" s="564"/>
      <c r="GV221" s="569"/>
      <c r="GW221" s="564"/>
      <c r="GX221" s="564"/>
      <c r="GY221" s="564"/>
      <c r="GZ221" s="564"/>
      <c r="HA221" s="564"/>
      <c r="HB221" s="564"/>
      <c r="HC221" s="564"/>
      <c r="HD221" s="564"/>
      <c r="HE221" s="564"/>
      <c r="HF221" s="564"/>
      <c r="HG221" s="564"/>
      <c r="HH221" s="564"/>
      <c r="HI221" s="564"/>
      <c r="HJ221" s="564"/>
      <c r="HK221" s="569"/>
      <c r="HL221" s="564" t="s">
        <v>35169</v>
      </c>
      <c r="HM221" s="564" t="s">
        <v>7</v>
      </c>
      <c r="HN221" s="564" t="s">
        <v>35170</v>
      </c>
      <c r="HO221" s="564" t="s">
        <v>35171</v>
      </c>
      <c r="HP221" s="564" t="s">
        <v>35172</v>
      </c>
      <c r="HQ221" s="564" t="s">
        <v>16</v>
      </c>
      <c r="HR221" s="564" t="s">
        <v>35173</v>
      </c>
      <c r="HS221" s="564" t="s">
        <v>16</v>
      </c>
      <c r="HT221" s="568" t="s">
        <v>35174</v>
      </c>
    </row>
    <row r="222" spans="1:228" ht="30.2" customHeight="1" x14ac:dyDescent="0.25">
      <c r="A222" s="759"/>
      <c r="B222" s="563">
        <v>170</v>
      </c>
      <c r="C222" s="563" t="s">
        <v>28090</v>
      </c>
      <c r="D222" s="564" t="s">
        <v>35255</v>
      </c>
      <c r="E222" s="564" t="s">
        <v>35222</v>
      </c>
      <c r="F222" s="564" t="s">
        <v>7</v>
      </c>
      <c r="G222" s="564" t="s">
        <v>35256</v>
      </c>
      <c r="H222" s="564">
        <v>0</v>
      </c>
      <c r="I222" s="564">
        <v>1000</v>
      </c>
      <c r="J222" s="564" t="s">
        <v>29288</v>
      </c>
      <c r="K222" s="564" t="s">
        <v>4</v>
      </c>
      <c r="L222" s="564" t="s">
        <v>35257</v>
      </c>
      <c r="M222" s="564">
        <v>772377846</v>
      </c>
      <c r="N222" s="564" t="s">
        <v>3</v>
      </c>
      <c r="O222" s="564" t="s">
        <v>31590</v>
      </c>
      <c r="P222" s="564" t="s">
        <v>4</v>
      </c>
      <c r="Q222" s="564">
        <v>6</v>
      </c>
      <c r="R222" s="564" t="s">
        <v>7</v>
      </c>
      <c r="S222" s="564" t="s">
        <v>31588</v>
      </c>
      <c r="T222" s="564" t="s">
        <v>4</v>
      </c>
      <c r="U222" s="564" t="s">
        <v>2</v>
      </c>
      <c r="V222" s="564" t="s">
        <v>4</v>
      </c>
      <c r="W222" s="564" t="s">
        <v>4</v>
      </c>
      <c r="X222" s="564" t="s">
        <v>4</v>
      </c>
      <c r="Y222" s="564" t="s">
        <v>4</v>
      </c>
      <c r="Z222" s="565">
        <v>45140</v>
      </c>
      <c r="AA222" s="557" t="str">
        <f>IF(OR(U222="yes",Z222&gt;'SDG outcome'!$C$39),"yes","no")</f>
        <v>no</v>
      </c>
      <c r="AB222" s="565" t="str">
        <f t="shared" si="7"/>
        <v/>
      </c>
      <c r="AC222" s="566">
        <f>IF(AND('SMS p2'!AA182="no",AND(Z222&gt;='SDG outcome'!$B$28,Z222&lt;'SDG outcome'!$C$39)),Z222-'SDG outcome'!$B$28,"")</f>
        <v>123</v>
      </c>
      <c r="AD222" s="564" t="s">
        <v>8</v>
      </c>
      <c r="AE222" s="564" t="s">
        <v>35258</v>
      </c>
      <c r="AF222" s="564" t="s">
        <v>4</v>
      </c>
      <c r="AG222" s="564" t="s">
        <v>4</v>
      </c>
      <c r="AH222" s="564" t="s">
        <v>4</v>
      </c>
      <c r="AI222" s="564" t="s">
        <v>4</v>
      </c>
      <c r="AJ222" s="564" t="s">
        <v>4</v>
      </c>
      <c r="AK222" s="564" t="s">
        <v>4</v>
      </c>
      <c r="AL222" s="564"/>
      <c r="AM222" s="564"/>
      <c r="AN222" s="564"/>
      <c r="AO222" s="564"/>
      <c r="AP222" s="564"/>
      <c r="AQ222" s="564"/>
      <c r="AR222" s="564"/>
      <c r="AS222" s="564"/>
      <c r="AT222" s="564"/>
      <c r="AU222" s="564"/>
      <c r="AV222" s="564"/>
      <c r="AW222" s="564"/>
      <c r="AX222" s="564"/>
      <c r="AY222" s="564"/>
      <c r="AZ222" s="564"/>
      <c r="BA222" s="564"/>
      <c r="BB222" s="564"/>
      <c r="BC222" s="564"/>
      <c r="BD222" s="564"/>
      <c r="BE222" s="564"/>
      <c r="BF222" s="564"/>
      <c r="BG222" s="564"/>
      <c r="BH222" s="564"/>
      <c r="BI222" s="564"/>
      <c r="BJ222" s="564"/>
      <c r="BK222" s="564"/>
      <c r="BL222" s="564"/>
      <c r="BM222" s="564"/>
      <c r="BN222" s="564"/>
      <c r="BO222" s="564"/>
      <c r="BP222" s="564"/>
      <c r="BQ222" s="564"/>
      <c r="BR222" s="567"/>
      <c r="BS222" s="564"/>
      <c r="BT222" s="564"/>
      <c r="BU222" s="564"/>
      <c r="BV222" s="564"/>
      <c r="BW222" s="567"/>
      <c r="BX222" s="564"/>
      <c r="BY222" s="564"/>
      <c r="BZ222" s="564"/>
      <c r="CA222" s="564"/>
      <c r="CB222" s="564"/>
      <c r="CC222" s="564"/>
      <c r="CD222" s="564"/>
      <c r="CE222" s="564"/>
      <c r="CF222" s="564"/>
      <c r="CG222" s="564"/>
      <c r="CH222" s="564"/>
      <c r="CI222" s="564"/>
      <c r="CJ222" s="564"/>
      <c r="CK222" s="564"/>
      <c r="CL222" s="564"/>
      <c r="CM222" s="564"/>
      <c r="CN222" s="564"/>
      <c r="CO222" s="564"/>
      <c r="CP222" s="564"/>
      <c r="CQ222" s="564"/>
      <c r="CR222" s="564"/>
      <c r="CS222" s="564"/>
      <c r="CT222" s="568"/>
      <c r="CU222" s="563"/>
      <c r="CV222" s="564"/>
      <c r="CW222" s="568"/>
      <c r="CX222" s="563"/>
      <c r="CY222" s="564"/>
      <c r="CZ222" s="568"/>
      <c r="DA222" s="563"/>
      <c r="DB222" s="564"/>
      <c r="DC222" s="564"/>
      <c r="DD222" s="564"/>
      <c r="DE222" s="564"/>
      <c r="DF222" s="564"/>
      <c r="DG222" s="564"/>
      <c r="DH222" s="564"/>
      <c r="DI222" s="564"/>
      <c r="DJ222" s="564"/>
      <c r="DK222" s="564"/>
      <c r="DL222" s="564"/>
      <c r="DM222" s="564"/>
      <c r="DN222" s="564"/>
      <c r="DO222" s="564"/>
      <c r="DP222" s="564"/>
      <c r="DQ222" s="564"/>
      <c r="DR222" s="564"/>
      <c r="DS222" s="569"/>
      <c r="DT222" s="564"/>
      <c r="DU222" s="569"/>
      <c r="DV222" s="568"/>
      <c r="DW222" s="563"/>
      <c r="DX222" s="564"/>
      <c r="DY222" s="564"/>
      <c r="DZ222" s="564"/>
      <c r="EA222" s="564"/>
      <c r="EB222" s="564"/>
      <c r="EC222" s="564"/>
      <c r="ED222" s="564"/>
      <c r="EE222" s="564"/>
      <c r="EF222" s="564"/>
      <c r="EG222" s="564"/>
      <c r="EH222" s="564"/>
      <c r="EI222" s="564"/>
      <c r="EJ222" s="564"/>
      <c r="EK222" s="564"/>
      <c r="EL222" s="564"/>
      <c r="EM222" s="564"/>
      <c r="EN222" s="564"/>
      <c r="EO222" s="564"/>
      <c r="EP222" s="564"/>
      <c r="EQ222" s="564"/>
      <c r="ER222" s="564"/>
      <c r="ES222" s="564"/>
      <c r="ET222" s="564"/>
      <c r="EU222" s="564"/>
      <c r="EV222" s="564"/>
      <c r="EW222" s="564"/>
      <c r="EX222" s="564"/>
      <c r="EY222" s="564"/>
      <c r="EZ222" s="239"/>
      <c r="FA222" s="564"/>
      <c r="FB222" s="564"/>
      <c r="FC222" s="564"/>
      <c r="FD222" s="564"/>
      <c r="FE222" s="564"/>
      <c r="FF222" s="564"/>
      <c r="FG222" s="564"/>
      <c r="FH222" s="564"/>
      <c r="FI222" s="564"/>
      <c r="FJ222" s="564"/>
      <c r="FK222" s="564"/>
      <c r="FL222" s="564"/>
      <c r="FM222" s="564"/>
      <c r="FN222" s="569"/>
      <c r="FO222" s="564"/>
      <c r="FP222" s="564"/>
      <c r="FQ222" s="564"/>
      <c r="FR222" s="564"/>
      <c r="FS222" s="564"/>
      <c r="FT222" s="564"/>
      <c r="FU222" s="564"/>
      <c r="FV222" s="564"/>
      <c r="FW222" s="564"/>
      <c r="FX222" s="564"/>
      <c r="FY222" s="564"/>
      <c r="FZ222" s="564"/>
      <c r="GA222" s="564"/>
      <c r="GB222" s="564"/>
      <c r="GC222" s="564"/>
      <c r="GD222" s="564"/>
      <c r="GE222" s="564"/>
      <c r="GF222" s="564"/>
      <c r="GG222" s="564"/>
      <c r="GH222" s="564"/>
      <c r="GI222" s="564"/>
      <c r="GJ222" s="564"/>
      <c r="GK222" s="564"/>
      <c r="GL222" s="564"/>
      <c r="GM222" s="564"/>
      <c r="GN222" s="564"/>
      <c r="GO222" s="564"/>
      <c r="GP222" s="564"/>
      <c r="GQ222" s="564"/>
      <c r="GR222" s="564"/>
      <c r="GS222" s="564"/>
      <c r="GT222" s="564"/>
      <c r="GU222" s="564"/>
      <c r="GV222" s="569"/>
      <c r="GW222" s="564"/>
      <c r="GX222" s="564"/>
      <c r="GY222" s="564"/>
      <c r="GZ222" s="564"/>
      <c r="HA222" s="564"/>
      <c r="HB222" s="564"/>
      <c r="HC222" s="564"/>
      <c r="HD222" s="564"/>
      <c r="HE222" s="564"/>
      <c r="HF222" s="564"/>
      <c r="HG222" s="564"/>
      <c r="HH222" s="564"/>
      <c r="HI222" s="564"/>
      <c r="HJ222" s="564"/>
      <c r="HK222" s="569"/>
      <c r="HL222" s="564" t="s">
        <v>35259</v>
      </c>
      <c r="HM222" s="564" t="s">
        <v>7</v>
      </c>
      <c r="HN222" s="564" t="s">
        <v>35239</v>
      </c>
      <c r="HO222" s="564" t="s">
        <v>35240</v>
      </c>
      <c r="HP222" s="564" t="s">
        <v>35260</v>
      </c>
      <c r="HQ222" s="564" t="s">
        <v>16</v>
      </c>
      <c r="HR222" s="564" t="s">
        <v>35261</v>
      </c>
      <c r="HS222" s="564" t="s">
        <v>35262</v>
      </c>
      <c r="HT222" s="568" t="s">
        <v>35263</v>
      </c>
    </row>
    <row r="223" spans="1:228" ht="30.2" customHeight="1" x14ac:dyDescent="0.25">
      <c r="A223" s="759"/>
      <c r="B223" s="563">
        <v>192</v>
      </c>
      <c r="C223" s="563" t="s">
        <v>15916</v>
      </c>
      <c r="D223" s="564" t="s">
        <v>35494</v>
      </c>
      <c r="E223" s="564" t="s">
        <v>35495</v>
      </c>
      <c r="F223" s="564" t="s">
        <v>7</v>
      </c>
      <c r="G223" s="564" t="s">
        <v>35496</v>
      </c>
      <c r="H223" s="564">
        <v>1163.8</v>
      </c>
      <c r="I223" s="564">
        <v>4.5999999999999996</v>
      </c>
      <c r="J223" s="564" t="s">
        <v>29319</v>
      </c>
      <c r="K223" s="564" t="s">
        <v>4</v>
      </c>
      <c r="L223" s="564" t="s">
        <v>35497</v>
      </c>
      <c r="M223" s="564">
        <v>750721297</v>
      </c>
      <c r="N223" s="564" t="s">
        <v>5</v>
      </c>
      <c r="O223" s="564" t="s">
        <v>31590</v>
      </c>
      <c r="P223" s="564" t="s">
        <v>4</v>
      </c>
      <c r="Q223" s="564">
        <v>10</v>
      </c>
      <c r="R223" s="564" t="s">
        <v>7</v>
      </c>
      <c r="S223" s="564" t="s">
        <v>31549</v>
      </c>
      <c r="T223" s="564" t="s">
        <v>4</v>
      </c>
      <c r="U223" s="564" t="s">
        <v>2</v>
      </c>
      <c r="V223" s="564" t="s">
        <v>4</v>
      </c>
      <c r="W223" s="564" t="s">
        <v>4</v>
      </c>
      <c r="X223" s="564" t="s">
        <v>4</v>
      </c>
      <c r="Y223" s="564" t="s">
        <v>4</v>
      </c>
      <c r="Z223" s="565">
        <v>44247</v>
      </c>
      <c r="AA223" s="557" t="str">
        <f>IF(OR(U223="yes",Z223&gt;'SDG outcome'!$C$39),"yes","no")</f>
        <v>no</v>
      </c>
      <c r="AB223" s="565" t="str">
        <f t="shared" si="7"/>
        <v/>
      </c>
      <c r="AC223" s="566" t="str">
        <f>IF(AND('SMS p2'!AA204="no",AND(Z223&gt;='SDG outcome'!$B$28,Z223&lt;'SDG outcome'!$C$39)),Z223-'SDG outcome'!$B$28,"")</f>
        <v/>
      </c>
      <c r="AD223" s="564" t="s">
        <v>8</v>
      </c>
      <c r="AE223" s="564" t="s">
        <v>35498</v>
      </c>
      <c r="AF223" s="564" t="s">
        <v>4</v>
      </c>
      <c r="AG223" s="564" t="s">
        <v>4</v>
      </c>
      <c r="AH223" s="564" t="s">
        <v>4</v>
      </c>
      <c r="AI223" s="564" t="s">
        <v>4</v>
      </c>
      <c r="AJ223" s="564" t="s">
        <v>4</v>
      </c>
      <c r="AK223" s="564" t="s">
        <v>4</v>
      </c>
      <c r="AL223" s="564"/>
      <c r="AM223" s="564"/>
      <c r="AN223" s="564"/>
      <c r="AO223" s="564"/>
      <c r="AP223" s="564"/>
      <c r="AQ223" s="564"/>
      <c r="AR223" s="564"/>
      <c r="AS223" s="564"/>
      <c r="AT223" s="564"/>
      <c r="AU223" s="564"/>
      <c r="AV223" s="564"/>
      <c r="AW223" s="564"/>
      <c r="AX223" s="564"/>
      <c r="AY223" s="564"/>
      <c r="AZ223" s="564"/>
      <c r="BA223" s="564"/>
      <c r="BB223" s="564"/>
      <c r="BC223" s="564"/>
      <c r="BD223" s="564"/>
      <c r="BE223" s="564"/>
      <c r="BF223" s="564"/>
      <c r="BG223" s="564"/>
      <c r="BH223" s="564"/>
      <c r="BI223" s="564"/>
      <c r="BJ223" s="564"/>
      <c r="BK223" s="564"/>
      <c r="BL223" s="564"/>
      <c r="BM223" s="564"/>
      <c r="BN223" s="564"/>
      <c r="BO223" s="564"/>
      <c r="BP223" s="564"/>
      <c r="BQ223" s="564"/>
      <c r="BR223" s="567"/>
      <c r="BS223" s="564"/>
      <c r="BT223" s="564"/>
      <c r="BU223" s="564"/>
      <c r="BV223" s="564"/>
      <c r="BW223" s="567"/>
      <c r="BX223" s="564"/>
      <c r="BY223" s="564"/>
      <c r="BZ223" s="564"/>
      <c r="CA223" s="564"/>
      <c r="CB223" s="564"/>
      <c r="CC223" s="564"/>
      <c r="CD223" s="564"/>
      <c r="CE223" s="564"/>
      <c r="CF223" s="564"/>
      <c r="CG223" s="564"/>
      <c r="CH223" s="564"/>
      <c r="CI223" s="564"/>
      <c r="CJ223" s="564"/>
      <c r="CK223" s="564"/>
      <c r="CL223" s="564"/>
      <c r="CM223" s="564"/>
      <c r="CN223" s="564"/>
      <c r="CO223" s="564"/>
      <c r="CP223" s="564"/>
      <c r="CQ223" s="564"/>
      <c r="CR223" s="564"/>
      <c r="CS223" s="564"/>
      <c r="CT223" s="568"/>
      <c r="CU223" s="563"/>
      <c r="CV223" s="564"/>
      <c r="CW223" s="568"/>
      <c r="CX223" s="563"/>
      <c r="CY223" s="564"/>
      <c r="CZ223" s="568"/>
      <c r="DA223" s="563"/>
      <c r="DB223" s="564"/>
      <c r="DC223" s="564"/>
      <c r="DD223" s="564"/>
      <c r="DE223" s="564"/>
      <c r="DF223" s="564"/>
      <c r="DG223" s="564"/>
      <c r="DH223" s="564"/>
      <c r="DI223" s="564"/>
      <c r="DJ223" s="564"/>
      <c r="DK223" s="564"/>
      <c r="DL223" s="564"/>
      <c r="DM223" s="564"/>
      <c r="DN223" s="564"/>
      <c r="DO223" s="564"/>
      <c r="DP223" s="564"/>
      <c r="DQ223" s="564"/>
      <c r="DR223" s="564"/>
      <c r="DS223" s="569"/>
      <c r="DT223" s="564"/>
      <c r="DU223" s="569"/>
      <c r="DV223" s="568"/>
      <c r="DW223" s="563"/>
      <c r="DX223" s="564"/>
      <c r="DY223" s="564"/>
      <c r="DZ223" s="564"/>
      <c r="EA223" s="564"/>
      <c r="EB223" s="564"/>
      <c r="EC223" s="564"/>
      <c r="ED223" s="564"/>
      <c r="EE223" s="564"/>
      <c r="EF223" s="564"/>
      <c r="EG223" s="564"/>
      <c r="EH223" s="564"/>
      <c r="EI223" s="564"/>
      <c r="EJ223" s="564"/>
      <c r="EK223" s="564"/>
      <c r="EL223" s="564"/>
      <c r="EM223" s="564"/>
      <c r="EN223" s="564"/>
      <c r="EO223" s="564"/>
      <c r="EP223" s="564"/>
      <c r="EQ223" s="564"/>
      <c r="ER223" s="564"/>
      <c r="ES223" s="564"/>
      <c r="ET223" s="564"/>
      <c r="EU223" s="564"/>
      <c r="EV223" s="564"/>
      <c r="EW223" s="564"/>
      <c r="EX223" s="564"/>
      <c r="EY223" s="564"/>
      <c r="EZ223" s="239"/>
      <c r="FA223" s="564"/>
      <c r="FB223" s="564"/>
      <c r="FC223" s="564"/>
      <c r="FD223" s="564"/>
      <c r="FE223" s="564"/>
      <c r="FF223" s="564"/>
      <c r="FG223" s="564"/>
      <c r="FH223" s="564"/>
      <c r="FI223" s="564"/>
      <c r="FJ223" s="564"/>
      <c r="FK223" s="564"/>
      <c r="FL223" s="564"/>
      <c r="FM223" s="564"/>
      <c r="FN223" s="569"/>
      <c r="FO223" s="564"/>
      <c r="FP223" s="564"/>
      <c r="FQ223" s="564"/>
      <c r="FR223" s="564"/>
      <c r="FS223" s="564"/>
      <c r="FT223" s="564"/>
      <c r="FU223" s="564"/>
      <c r="FV223" s="564"/>
      <c r="FW223" s="564"/>
      <c r="FX223" s="564"/>
      <c r="FY223" s="564"/>
      <c r="FZ223" s="564"/>
      <c r="GA223" s="564"/>
      <c r="GB223" s="564"/>
      <c r="GC223" s="564"/>
      <c r="GD223" s="564"/>
      <c r="GE223" s="564"/>
      <c r="GF223" s="564"/>
      <c r="GG223" s="564"/>
      <c r="GH223" s="564"/>
      <c r="GI223" s="564"/>
      <c r="GJ223" s="564"/>
      <c r="GK223" s="564"/>
      <c r="GL223" s="564"/>
      <c r="GM223" s="564"/>
      <c r="GN223" s="564"/>
      <c r="GO223" s="564"/>
      <c r="GP223" s="564"/>
      <c r="GQ223" s="564"/>
      <c r="GR223" s="564"/>
      <c r="GS223" s="564"/>
      <c r="GT223" s="564"/>
      <c r="GU223" s="564"/>
      <c r="GV223" s="569"/>
      <c r="GW223" s="564"/>
      <c r="GX223" s="564"/>
      <c r="GY223" s="564"/>
      <c r="GZ223" s="564"/>
      <c r="HA223" s="564"/>
      <c r="HB223" s="564"/>
      <c r="HC223" s="564"/>
      <c r="HD223" s="564"/>
      <c r="HE223" s="564"/>
      <c r="HF223" s="564"/>
      <c r="HG223" s="564"/>
      <c r="HH223" s="564"/>
      <c r="HI223" s="564"/>
      <c r="HJ223" s="564"/>
      <c r="HK223" s="569"/>
      <c r="HL223" s="564" t="s">
        <v>35499</v>
      </c>
      <c r="HM223" s="564" t="s">
        <v>7</v>
      </c>
      <c r="HN223" s="564" t="s">
        <v>35500</v>
      </c>
      <c r="HO223" s="564" t="s">
        <v>30883</v>
      </c>
      <c r="HP223" s="564" t="s">
        <v>35501</v>
      </c>
      <c r="HQ223" s="564" t="s">
        <v>35502</v>
      </c>
      <c r="HR223" s="564" t="s">
        <v>35503</v>
      </c>
      <c r="HS223" s="564" t="s">
        <v>16</v>
      </c>
      <c r="HT223" s="568" t="s">
        <v>35494</v>
      </c>
    </row>
    <row r="224" spans="1:228" ht="30.2" customHeight="1" x14ac:dyDescent="0.25">
      <c r="A224" s="759"/>
      <c r="B224" s="563">
        <v>204</v>
      </c>
      <c r="C224" s="563" t="s">
        <v>16789</v>
      </c>
      <c r="D224" s="564" t="s">
        <v>35654</v>
      </c>
      <c r="E224" s="564" t="s">
        <v>35495</v>
      </c>
      <c r="F224" s="564" t="s">
        <v>7</v>
      </c>
      <c r="G224" s="564" t="s">
        <v>35655</v>
      </c>
      <c r="H224" s="564">
        <v>1162.5999999999999</v>
      </c>
      <c r="I224" s="564">
        <v>5</v>
      </c>
      <c r="J224" s="564" t="s">
        <v>29389</v>
      </c>
      <c r="K224" s="564" t="s">
        <v>22</v>
      </c>
      <c r="L224" s="564" t="s">
        <v>35656</v>
      </c>
      <c r="M224" s="564">
        <v>706393489</v>
      </c>
      <c r="N224" s="564" t="s">
        <v>5</v>
      </c>
      <c r="O224" s="564" t="s">
        <v>31438</v>
      </c>
      <c r="P224" s="564">
        <v>26</v>
      </c>
      <c r="Q224" s="564">
        <v>10</v>
      </c>
      <c r="R224" s="564" t="s">
        <v>7</v>
      </c>
      <c r="S224" s="564" t="s">
        <v>31588</v>
      </c>
      <c r="T224" s="564" t="s">
        <v>4</v>
      </c>
      <c r="U224" s="564" t="s">
        <v>2</v>
      </c>
      <c r="V224" s="564" t="s">
        <v>4</v>
      </c>
      <c r="W224" s="564" t="s">
        <v>4</v>
      </c>
      <c r="X224" s="564" t="s">
        <v>4</v>
      </c>
      <c r="Y224" s="564" t="s">
        <v>4</v>
      </c>
      <c r="Z224" s="565">
        <v>44762</v>
      </c>
      <c r="AA224" s="557" t="str">
        <f>IF(OR(U224="yes",Z224&gt;'SDG outcome'!$C$39),"yes","no")</f>
        <v>no</v>
      </c>
      <c r="AB224" s="565" t="str">
        <f t="shared" si="7"/>
        <v/>
      </c>
      <c r="AC224" s="566" t="str">
        <f>IF(AND('SMS p2'!AA216="no",AND(Z224&gt;='SDG outcome'!$B$28,Z224&lt;'SDG outcome'!$C$39)),Z224-'SDG outcome'!$B$28,"")</f>
        <v/>
      </c>
      <c r="AD224" s="564" t="s">
        <v>8</v>
      </c>
      <c r="AE224" s="564" t="s">
        <v>35657</v>
      </c>
      <c r="AF224" s="564" t="s">
        <v>4</v>
      </c>
      <c r="AG224" s="564" t="s">
        <v>4</v>
      </c>
      <c r="AH224" s="564" t="s">
        <v>4</v>
      </c>
      <c r="AI224" s="564" t="s">
        <v>4</v>
      </c>
      <c r="AJ224" s="564" t="s">
        <v>4</v>
      </c>
      <c r="AK224" s="564" t="s">
        <v>4</v>
      </c>
      <c r="AL224" s="564"/>
      <c r="AM224" s="564"/>
      <c r="AN224" s="564"/>
      <c r="AO224" s="564"/>
      <c r="AP224" s="564"/>
      <c r="AQ224" s="564"/>
      <c r="AR224" s="564"/>
      <c r="AS224" s="564"/>
      <c r="AT224" s="564"/>
      <c r="AU224" s="564"/>
      <c r="AV224" s="564"/>
      <c r="AW224" s="564"/>
      <c r="AX224" s="564"/>
      <c r="AY224" s="564"/>
      <c r="AZ224" s="564"/>
      <c r="BA224" s="564"/>
      <c r="BB224" s="564"/>
      <c r="BC224" s="564"/>
      <c r="BD224" s="564"/>
      <c r="BE224" s="564"/>
      <c r="BF224" s="564"/>
      <c r="BG224" s="564"/>
      <c r="BH224" s="564"/>
      <c r="BI224" s="564"/>
      <c r="BJ224" s="564"/>
      <c r="BK224" s="564"/>
      <c r="BL224" s="564"/>
      <c r="BM224" s="564"/>
      <c r="BN224" s="564"/>
      <c r="BO224" s="564"/>
      <c r="BP224" s="564"/>
      <c r="BQ224" s="564"/>
      <c r="BR224" s="567"/>
      <c r="BS224" s="564"/>
      <c r="BT224" s="564"/>
      <c r="BU224" s="564"/>
      <c r="BV224" s="564"/>
      <c r="BW224" s="567"/>
      <c r="BX224" s="564"/>
      <c r="BY224" s="564"/>
      <c r="BZ224" s="564"/>
      <c r="CA224" s="564"/>
      <c r="CB224" s="564"/>
      <c r="CC224" s="564"/>
      <c r="CD224" s="564"/>
      <c r="CE224" s="564"/>
      <c r="CF224" s="564"/>
      <c r="CG224" s="564"/>
      <c r="CH224" s="564"/>
      <c r="CI224" s="564"/>
      <c r="CJ224" s="564"/>
      <c r="CK224" s="564"/>
      <c r="CL224" s="564"/>
      <c r="CM224" s="564"/>
      <c r="CN224" s="564"/>
      <c r="CO224" s="564"/>
      <c r="CP224" s="564"/>
      <c r="CQ224" s="564"/>
      <c r="CR224" s="564"/>
      <c r="CS224" s="564"/>
      <c r="CT224" s="568"/>
      <c r="CU224" s="563"/>
      <c r="CV224" s="564"/>
      <c r="CW224" s="568"/>
      <c r="CX224" s="563"/>
      <c r="CY224" s="564"/>
      <c r="CZ224" s="568"/>
      <c r="DA224" s="563"/>
      <c r="DB224" s="564"/>
      <c r="DC224" s="564"/>
      <c r="DD224" s="564"/>
      <c r="DE224" s="564"/>
      <c r="DF224" s="564"/>
      <c r="DG224" s="564"/>
      <c r="DH224" s="564"/>
      <c r="DI224" s="564"/>
      <c r="DJ224" s="564"/>
      <c r="DK224" s="564"/>
      <c r="DL224" s="564"/>
      <c r="DM224" s="564"/>
      <c r="DN224" s="564"/>
      <c r="DO224" s="564"/>
      <c r="DP224" s="564"/>
      <c r="DQ224" s="564"/>
      <c r="DR224" s="564"/>
      <c r="DS224" s="569"/>
      <c r="DT224" s="564"/>
      <c r="DU224" s="569"/>
      <c r="DV224" s="568"/>
      <c r="DW224" s="563"/>
      <c r="DX224" s="564"/>
      <c r="DY224" s="564"/>
      <c r="DZ224" s="564"/>
      <c r="EA224" s="564"/>
      <c r="EB224" s="564"/>
      <c r="EC224" s="564"/>
      <c r="ED224" s="564"/>
      <c r="EE224" s="564"/>
      <c r="EF224" s="564"/>
      <c r="EG224" s="564"/>
      <c r="EH224" s="564"/>
      <c r="EI224" s="564"/>
      <c r="EJ224" s="564"/>
      <c r="EK224" s="564"/>
      <c r="EL224" s="564"/>
      <c r="EM224" s="564"/>
      <c r="EN224" s="564"/>
      <c r="EO224" s="564"/>
      <c r="EP224" s="564"/>
      <c r="EQ224" s="564"/>
      <c r="ER224" s="564"/>
      <c r="ES224" s="564"/>
      <c r="ET224" s="564"/>
      <c r="EU224" s="564"/>
      <c r="EV224" s="564"/>
      <c r="EW224" s="564"/>
      <c r="EX224" s="564"/>
      <c r="EY224" s="564"/>
      <c r="EZ224" s="239"/>
      <c r="FA224" s="564"/>
      <c r="FB224" s="564"/>
      <c r="FC224" s="564"/>
      <c r="FD224" s="564"/>
      <c r="FE224" s="564"/>
      <c r="FF224" s="564"/>
      <c r="FG224" s="564"/>
      <c r="FH224" s="564"/>
      <c r="FI224" s="564"/>
      <c r="FJ224" s="564"/>
      <c r="FK224" s="564"/>
      <c r="FL224" s="564"/>
      <c r="FM224" s="564"/>
      <c r="FN224" s="569"/>
      <c r="FO224" s="564"/>
      <c r="FP224" s="564"/>
      <c r="FQ224" s="564"/>
      <c r="FR224" s="564"/>
      <c r="FS224" s="564"/>
      <c r="FT224" s="564"/>
      <c r="FU224" s="564"/>
      <c r="FV224" s="564"/>
      <c r="FW224" s="564"/>
      <c r="FX224" s="564"/>
      <c r="FY224" s="564"/>
      <c r="FZ224" s="564"/>
      <c r="GA224" s="564"/>
      <c r="GB224" s="564"/>
      <c r="GC224" s="564"/>
      <c r="GD224" s="564"/>
      <c r="GE224" s="564"/>
      <c r="GF224" s="564"/>
      <c r="GG224" s="564"/>
      <c r="GH224" s="564"/>
      <c r="GI224" s="564"/>
      <c r="GJ224" s="564"/>
      <c r="GK224" s="564"/>
      <c r="GL224" s="564"/>
      <c r="GM224" s="564"/>
      <c r="GN224" s="564"/>
      <c r="GO224" s="564"/>
      <c r="GP224" s="564"/>
      <c r="GQ224" s="564"/>
      <c r="GR224" s="564"/>
      <c r="GS224" s="564"/>
      <c r="GT224" s="564"/>
      <c r="GU224" s="564"/>
      <c r="GV224" s="569"/>
      <c r="GW224" s="564"/>
      <c r="GX224" s="564"/>
      <c r="GY224" s="564"/>
      <c r="GZ224" s="564"/>
      <c r="HA224" s="564"/>
      <c r="HB224" s="564"/>
      <c r="HC224" s="564"/>
      <c r="HD224" s="564"/>
      <c r="HE224" s="564"/>
      <c r="HF224" s="564"/>
      <c r="HG224" s="564"/>
      <c r="HH224" s="564"/>
      <c r="HI224" s="564"/>
      <c r="HJ224" s="564"/>
      <c r="HK224" s="569"/>
      <c r="HL224" s="564" t="s">
        <v>33474</v>
      </c>
      <c r="HM224" s="564" t="s">
        <v>2</v>
      </c>
      <c r="HN224" s="564" t="s">
        <v>4</v>
      </c>
      <c r="HO224" s="564" t="s">
        <v>35658</v>
      </c>
      <c r="HP224" s="564" t="s">
        <v>35659</v>
      </c>
      <c r="HQ224" s="564" t="s">
        <v>35660</v>
      </c>
      <c r="HR224" s="564" t="s">
        <v>35661</v>
      </c>
      <c r="HS224" s="564" t="s">
        <v>16</v>
      </c>
      <c r="HT224" s="568" t="s">
        <v>35654</v>
      </c>
    </row>
    <row r="225" spans="1:228" ht="30.2" customHeight="1" x14ac:dyDescent="0.25">
      <c r="A225" s="759"/>
      <c r="B225" s="563">
        <v>234</v>
      </c>
      <c r="C225" s="563" t="s">
        <v>32602</v>
      </c>
      <c r="D225" s="564" t="s">
        <v>35930</v>
      </c>
      <c r="E225" s="564" t="s">
        <v>30866</v>
      </c>
      <c r="F225" s="564" t="s">
        <v>7</v>
      </c>
      <c r="G225" s="564" t="s">
        <v>35931</v>
      </c>
      <c r="H225" s="564">
        <v>1512.2</v>
      </c>
      <c r="I225" s="564">
        <v>5</v>
      </c>
      <c r="J225" s="564" t="s">
        <v>29319</v>
      </c>
      <c r="K225" s="564" t="s">
        <v>4</v>
      </c>
      <c r="L225" s="564" t="s">
        <v>35932</v>
      </c>
      <c r="M225" s="564">
        <v>752641105</v>
      </c>
      <c r="N225" s="564" t="s">
        <v>5</v>
      </c>
      <c r="O225" s="564" t="s">
        <v>31590</v>
      </c>
      <c r="P225" s="564" t="s">
        <v>4</v>
      </c>
      <c r="Q225" s="564">
        <v>3</v>
      </c>
      <c r="R225" s="564" t="s">
        <v>7</v>
      </c>
      <c r="S225" s="564" t="s">
        <v>31549</v>
      </c>
      <c r="T225" s="564" t="s">
        <v>4</v>
      </c>
      <c r="U225" s="564" t="s">
        <v>2</v>
      </c>
      <c r="V225" s="564" t="s">
        <v>4</v>
      </c>
      <c r="W225" s="564" t="s">
        <v>4</v>
      </c>
      <c r="X225" s="564" t="s">
        <v>4</v>
      </c>
      <c r="Y225" s="564" t="s">
        <v>4</v>
      </c>
      <c r="Z225" s="565">
        <v>45206</v>
      </c>
      <c r="AA225" s="557" t="str">
        <f>IF(OR(U225="yes",Z225&gt;'SDG outcome'!$C$39),"yes","no")</f>
        <v>no</v>
      </c>
      <c r="AB225" s="565" t="str">
        <f t="shared" si="7"/>
        <v/>
      </c>
      <c r="AC225" s="566">
        <f>IF(AND('SMS p2'!AA245="no",AND(Z225&gt;='SDG outcome'!$B$28,Z225&lt;'SDG outcome'!$C$39)),Z225-'SDG outcome'!$B$28,"")</f>
        <v>189</v>
      </c>
      <c r="AD225" s="564" t="s">
        <v>8</v>
      </c>
      <c r="AE225" s="564" t="s">
        <v>35933</v>
      </c>
      <c r="AF225" s="564" t="s">
        <v>4</v>
      </c>
      <c r="AG225" s="564" t="s">
        <v>4</v>
      </c>
      <c r="AH225" s="564" t="s">
        <v>4</v>
      </c>
      <c r="AI225" s="564" t="s">
        <v>4</v>
      </c>
      <c r="AJ225" s="564" t="s">
        <v>4</v>
      </c>
      <c r="AK225" s="564" t="s">
        <v>4</v>
      </c>
      <c r="AL225" s="564"/>
      <c r="AM225" s="564"/>
      <c r="AN225" s="564"/>
      <c r="AO225" s="564"/>
      <c r="AP225" s="564"/>
      <c r="AQ225" s="564"/>
      <c r="AR225" s="564"/>
      <c r="AS225" s="564"/>
      <c r="AT225" s="564"/>
      <c r="AU225" s="564"/>
      <c r="AV225" s="564"/>
      <c r="AW225" s="564"/>
      <c r="AX225" s="564"/>
      <c r="AY225" s="564"/>
      <c r="AZ225" s="564"/>
      <c r="BA225" s="564"/>
      <c r="BB225" s="564"/>
      <c r="BC225" s="564"/>
      <c r="BD225" s="564"/>
      <c r="BE225" s="564"/>
      <c r="BF225" s="564"/>
      <c r="BG225" s="564"/>
      <c r="BH225" s="564"/>
      <c r="BI225" s="564"/>
      <c r="BJ225" s="564"/>
      <c r="BK225" s="564"/>
      <c r="BL225" s="564"/>
      <c r="BM225" s="564"/>
      <c r="BN225" s="564"/>
      <c r="BO225" s="564"/>
      <c r="BP225" s="564"/>
      <c r="BQ225" s="564"/>
      <c r="BR225" s="567"/>
      <c r="BS225" s="564"/>
      <c r="BT225" s="564"/>
      <c r="BU225" s="564"/>
      <c r="BV225" s="564"/>
      <c r="BW225" s="567"/>
      <c r="BX225" s="564"/>
      <c r="BY225" s="564"/>
      <c r="BZ225" s="564"/>
      <c r="CA225" s="564"/>
      <c r="CB225" s="564"/>
      <c r="CC225" s="564"/>
      <c r="CD225" s="564"/>
      <c r="CE225" s="564"/>
      <c r="CF225" s="564"/>
      <c r="CG225" s="564"/>
      <c r="CH225" s="564"/>
      <c r="CI225" s="564"/>
      <c r="CJ225" s="564"/>
      <c r="CK225" s="564"/>
      <c r="CL225" s="564"/>
      <c r="CM225" s="564"/>
      <c r="CN225" s="564"/>
      <c r="CO225" s="564"/>
      <c r="CP225" s="564"/>
      <c r="CQ225" s="564"/>
      <c r="CR225" s="564"/>
      <c r="CS225" s="564"/>
      <c r="CT225" s="568"/>
      <c r="CU225" s="563"/>
      <c r="CV225" s="564"/>
      <c r="CW225" s="568"/>
      <c r="CX225" s="563"/>
      <c r="CY225" s="564"/>
      <c r="CZ225" s="568"/>
      <c r="DA225" s="563"/>
      <c r="DB225" s="564"/>
      <c r="DC225" s="564"/>
      <c r="DD225" s="564"/>
      <c r="DE225" s="564"/>
      <c r="DF225" s="564"/>
      <c r="DG225" s="564"/>
      <c r="DH225" s="564"/>
      <c r="DI225" s="564"/>
      <c r="DJ225" s="564"/>
      <c r="DK225" s="564"/>
      <c r="DL225" s="564"/>
      <c r="DM225" s="564"/>
      <c r="DN225" s="564"/>
      <c r="DO225" s="564"/>
      <c r="DP225" s="564"/>
      <c r="DQ225" s="564"/>
      <c r="DR225" s="564"/>
      <c r="DS225" s="569"/>
      <c r="DT225" s="564"/>
      <c r="DU225" s="569"/>
      <c r="DV225" s="568"/>
      <c r="DW225" s="563"/>
      <c r="DX225" s="564"/>
      <c r="DY225" s="564"/>
      <c r="DZ225" s="564"/>
      <c r="EA225" s="564"/>
      <c r="EB225" s="564"/>
      <c r="EC225" s="564"/>
      <c r="ED225" s="564"/>
      <c r="EE225" s="564"/>
      <c r="EF225" s="564"/>
      <c r="EG225" s="564"/>
      <c r="EH225" s="564"/>
      <c r="EI225" s="564"/>
      <c r="EJ225" s="564"/>
      <c r="EK225" s="564"/>
      <c r="EL225" s="564"/>
      <c r="EM225" s="564"/>
      <c r="EN225" s="564"/>
      <c r="EO225" s="564"/>
      <c r="EP225" s="564"/>
      <c r="EQ225" s="564"/>
      <c r="ER225" s="564"/>
      <c r="ES225" s="564"/>
      <c r="ET225" s="564"/>
      <c r="EU225" s="564"/>
      <c r="EV225" s="564"/>
      <c r="EW225" s="564"/>
      <c r="EX225" s="564"/>
      <c r="EY225" s="564"/>
      <c r="EZ225" s="239"/>
      <c r="FA225" s="564"/>
      <c r="FB225" s="564"/>
      <c r="FC225" s="564"/>
      <c r="FD225" s="564"/>
      <c r="FE225" s="564"/>
      <c r="FF225" s="564"/>
      <c r="FG225" s="564"/>
      <c r="FH225" s="564"/>
      <c r="FI225" s="564"/>
      <c r="FJ225" s="564"/>
      <c r="FK225" s="564"/>
      <c r="FL225" s="564"/>
      <c r="FM225" s="564"/>
      <c r="FN225" s="569"/>
      <c r="FO225" s="564"/>
      <c r="FP225" s="564"/>
      <c r="FQ225" s="564"/>
      <c r="FR225" s="564"/>
      <c r="FS225" s="564"/>
      <c r="FT225" s="564"/>
      <c r="FU225" s="564"/>
      <c r="FV225" s="564"/>
      <c r="FW225" s="564"/>
      <c r="FX225" s="564"/>
      <c r="FY225" s="564"/>
      <c r="FZ225" s="564"/>
      <c r="GA225" s="564"/>
      <c r="GB225" s="564"/>
      <c r="GC225" s="564"/>
      <c r="GD225" s="564"/>
      <c r="GE225" s="564"/>
      <c r="GF225" s="564"/>
      <c r="GG225" s="564"/>
      <c r="GH225" s="564"/>
      <c r="GI225" s="564"/>
      <c r="GJ225" s="564"/>
      <c r="GK225" s="564"/>
      <c r="GL225" s="564"/>
      <c r="GM225" s="564"/>
      <c r="GN225" s="564"/>
      <c r="GO225" s="564"/>
      <c r="GP225" s="564"/>
      <c r="GQ225" s="564"/>
      <c r="GR225" s="564"/>
      <c r="GS225" s="564"/>
      <c r="GT225" s="564"/>
      <c r="GU225" s="564"/>
      <c r="GV225" s="569"/>
      <c r="GW225" s="564"/>
      <c r="GX225" s="564"/>
      <c r="GY225" s="564"/>
      <c r="GZ225" s="564"/>
      <c r="HA225" s="564"/>
      <c r="HB225" s="564"/>
      <c r="HC225" s="564"/>
      <c r="HD225" s="564"/>
      <c r="HE225" s="564"/>
      <c r="HF225" s="564"/>
      <c r="HG225" s="564"/>
      <c r="HH225" s="564"/>
      <c r="HI225" s="564"/>
      <c r="HJ225" s="564"/>
      <c r="HK225" s="569"/>
      <c r="HL225" s="564" t="s">
        <v>35934</v>
      </c>
      <c r="HM225" s="564" t="s">
        <v>7</v>
      </c>
      <c r="HN225" s="564" t="s">
        <v>35935</v>
      </c>
      <c r="HO225" s="564" t="s">
        <v>16</v>
      </c>
      <c r="HP225" s="564" t="s">
        <v>35936</v>
      </c>
      <c r="HQ225" s="564" t="s">
        <v>35937</v>
      </c>
      <c r="HR225" s="564" t="s">
        <v>35938</v>
      </c>
      <c r="HS225" s="564" t="s">
        <v>35939</v>
      </c>
      <c r="HT225" s="568" t="s">
        <v>35940</v>
      </c>
    </row>
    <row r="226" spans="1:228" ht="30.2" customHeight="1" x14ac:dyDescent="0.25">
      <c r="A226" s="759"/>
      <c r="B226" s="563">
        <v>247</v>
      </c>
      <c r="C226" s="563" t="s">
        <v>14671</v>
      </c>
      <c r="D226" s="564" t="s">
        <v>36073</v>
      </c>
      <c r="E226" s="564" t="s">
        <v>35998</v>
      </c>
      <c r="F226" s="564" t="s">
        <v>7</v>
      </c>
      <c r="G226" s="564" t="s">
        <v>36074</v>
      </c>
      <c r="H226" s="564">
        <v>1160.527</v>
      </c>
      <c r="I226" s="564">
        <v>2.1230479999999998</v>
      </c>
      <c r="J226" s="564" t="s">
        <v>29288</v>
      </c>
      <c r="K226" s="564" t="s">
        <v>4</v>
      </c>
      <c r="L226" s="564" t="s">
        <v>36075</v>
      </c>
      <c r="M226" s="564">
        <v>779331813</v>
      </c>
      <c r="N226" s="564" t="s">
        <v>3</v>
      </c>
      <c r="O226" s="564" t="s">
        <v>31438</v>
      </c>
      <c r="P226" s="564">
        <v>63</v>
      </c>
      <c r="Q226" s="564">
        <v>10</v>
      </c>
      <c r="R226" s="564" t="s">
        <v>7</v>
      </c>
      <c r="S226" s="564" t="s">
        <v>31549</v>
      </c>
      <c r="T226" s="564" t="s">
        <v>4</v>
      </c>
      <c r="U226" s="564" t="s">
        <v>2</v>
      </c>
      <c r="V226" s="564" t="s">
        <v>4</v>
      </c>
      <c r="W226" s="564" t="s">
        <v>4</v>
      </c>
      <c r="X226" s="564" t="s">
        <v>4</v>
      </c>
      <c r="Y226" s="564" t="s">
        <v>4</v>
      </c>
      <c r="Z226" s="565">
        <v>45288</v>
      </c>
      <c r="AA226" s="557" t="str">
        <f>IF(OR(U226="yes",Z226&gt;'SDG outcome'!$C$39),"yes","no")</f>
        <v>no</v>
      </c>
      <c r="AB226" s="565" t="str">
        <f t="shared" si="7"/>
        <v/>
      </c>
      <c r="AC226" s="566">
        <f>IF(AND('SMS p2'!AA258="no",AND(Z226&gt;='SDG outcome'!$B$28,Z226&lt;'SDG outcome'!$C$39)),Z226-'SDG outcome'!$B$28,"")</f>
        <v>271</v>
      </c>
      <c r="AD226" s="564" t="s">
        <v>8</v>
      </c>
      <c r="AE226" s="564" t="s">
        <v>31720</v>
      </c>
      <c r="AF226" s="564" t="s">
        <v>4</v>
      </c>
      <c r="AG226" s="564" t="s">
        <v>4</v>
      </c>
      <c r="AH226" s="564" t="s">
        <v>4</v>
      </c>
      <c r="AI226" s="564" t="s">
        <v>4</v>
      </c>
      <c r="AJ226" s="564" t="s">
        <v>4</v>
      </c>
      <c r="AK226" s="564" t="s">
        <v>4</v>
      </c>
      <c r="AL226" s="564"/>
      <c r="AM226" s="564"/>
      <c r="AN226" s="564"/>
      <c r="AO226" s="564"/>
      <c r="AP226" s="564"/>
      <c r="AQ226" s="564"/>
      <c r="AR226" s="564"/>
      <c r="AS226" s="564"/>
      <c r="AT226" s="564"/>
      <c r="AU226" s="564"/>
      <c r="AV226" s="564"/>
      <c r="AW226" s="564"/>
      <c r="AX226" s="564"/>
      <c r="AY226" s="564"/>
      <c r="AZ226" s="564"/>
      <c r="BA226" s="564"/>
      <c r="BB226" s="564"/>
      <c r="BC226" s="564"/>
      <c r="BD226" s="564"/>
      <c r="BE226" s="564"/>
      <c r="BF226" s="564"/>
      <c r="BG226" s="564"/>
      <c r="BH226" s="564"/>
      <c r="BI226" s="564"/>
      <c r="BJ226" s="564"/>
      <c r="BK226" s="564"/>
      <c r="BL226" s="564"/>
      <c r="BM226" s="564"/>
      <c r="BN226" s="564"/>
      <c r="BO226" s="564"/>
      <c r="BP226" s="564"/>
      <c r="BQ226" s="564"/>
      <c r="BR226" s="567"/>
      <c r="BS226" s="564"/>
      <c r="BT226" s="564"/>
      <c r="BU226" s="564"/>
      <c r="BV226" s="564"/>
      <c r="BW226" s="567"/>
      <c r="BX226" s="564"/>
      <c r="BY226" s="564"/>
      <c r="BZ226" s="564"/>
      <c r="CA226" s="564"/>
      <c r="CB226" s="564"/>
      <c r="CC226" s="564"/>
      <c r="CD226" s="564"/>
      <c r="CE226" s="564"/>
      <c r="CF226" s="564"/>
      <c r="CG226" s="564"/>
      <c r="CH226" s="564"/>
      <c r="CI226" s="564"/>
      <c r="CJ226" s="564"/>
      <c r="CK226" s="564"/>
      <c r="CL226" s="564"/>
      <c r="CM226" s="564"/>
      <c r="CN226" s="564"/>
      <c r="CO226" s="564"/>
      <c r="CP226" s="564"/>
      <c r="CQ226" s="564"/>
      <c r="CR226" s="564"/>
      <c r="CS226" s="564"/>
      <c r="CT226" s="568"/>
      <c r="CU226" s="563"/>
      <c r="CV226" s="564"/>
      <c r="CW226" s="568"/>
      <c r="CX226" s="563"/>
      <c r="CY226" s="564"/>
      <c r="CZ226" s="568"/>
      <c r="DA226" s="563"/>
      <c r="DB226" s="564"/>
      <c r="DC226" s="564"/>
      <c r="DD226" s="564"/>
      <c r="DE226" s="564"/>
      <c r="DF226" s="564"/>
      <c r="DG226" s="564"/>
      <c r="DH226" s="564"/>
      <c r="DI226" s="564"/>
      <c r="DJ226" s="564"/>
      <c r="DK226" s="564"/>
      <c r="DL226" s="564"/>
      <c r="DM226" s="564"/>
      <c r="DN226" s="564"/>
      <c r="DO226" s="564"/>
      <c r="DP226" s="564"/>
      <c r="DQ226" s="564"/>
      <c r="DR226" s="564"/>
      <c r="DS226" s="569"/>
      <c r="DT226" s="564"/>
      <c r="DU226" s="569"/>
      <c r="DV226" s="568"/>
      <c r="DW226" s="563"/>
      <c r="DX226" s="564"/>
      <c r="DY226" s="564"/>
      <c r="DZ226" s="564"/>
      <c r="EA226" s="564"/>
      <c r="EB226" s="564"/>
      <c r="EC226" s="564"/>
      <c r="ED226" s="564"/>
      <c r="EE226" s="564"/>
      <c r="EF226" s="564"/>
      <c r="EG226" s="564"/>
      <c r="EH226" s="564"/>
      <c r="EI226" s="564"/>
      <c r="EJ226" s="564"/>
      <c r="EK226" s="564"/>
      <c r="EL226" s="564"/>
      <c r="EM226" s="564"/>
      <c r="EN226" s="564"/>
      <c r="EO226" s="564"/>
      <c r="EP226" s="564"/>
      <c r="EQ226" s="564"/>
      <c r="ER226" s="564"/>
      <c r="ES226" s="564"/>
      <c r="ET226" s="564"/>
      <c r="EU226" s="564"/>
      <c r="EV226" s="564"/>
      <c r="EW226" s="564"/>
      <c r="EX226" s="564"/>
      <c r="EY226" s="564"/>
      <c r="EZ226" s="239"/>
      <c r="FA226" s="564"/>
      <c r="FB226" s="564"/>
      <c r="FC226" s="564"/>
      <c r="FD226" s="564"/>
      <c r="FE226" s="564"/>
      <c r="FF226" s="564"/>
      <c r="FG226" s="564"/>
      <c r="FH226" s="564"/>
      <c r="FI226" s="564"/>
      <c r="FJ226" s="564"/>
      <c r="FK226" s="564"/>
      <c r="FL226" s="564"/>
      <c r="FM226" s="564"/>
      <c r="FN226" s="569"/>
      <c r="FO226" s="564"/>
      <c r="FP226" s="564"/>
      <c r="FQ226" s="564"/>
      <c r="FR226" s="564"/>
      <c r="FS226" s="564"/>
      <c r="FT226" s="564"/>
      <c r="FU226" s="564"/>
      <c r="FV226" s="564"/>
      <c r="FW226" s="564"/>
      <c r="FX226" s="564"/>
      <c r="FY226" s="564"/>
      <c r="FZ226" s="564"/>
      <c r="GA226" s="564"/>
      <c r="GB226" s="564"/>
      <c r="GC226" s="564"/>
      <c r="GD226" s="564"/>
      <c r="GE226" s="564"/>
      <c r="GF226" s="564"/>
      <c r="GG226" s="564"/>
      <c r="GH226" s="564"/>
      <c r="GI226" s="564"/>
      <c r="GJ226" s="564"/>
      <c r="GK226" s="564"/>
      <c r="GL226" s="564"/>
      <c r="GM226" s="564"/>
      <c r="GN226" s="564"/>
      <c r="GO226" s="564"/>
      <c r="GP226" s="564"/>
      <c r="GQ226" s="564"/>
      <c r="GR226" s="564"/>
      <c r="GS226" s="564"/>
      <c r="GT226" s="564"/>
      <c r="GU226" s="564"/>
      <c r="GV226" s="569"/>
      <c r="GW226" s="564"/>
      <c r="GX226" s="564"/>
      <c r="GY226" s="564"/>
      <c r="GZ226" s="564"/>
      <c r="HA226" s="564"/>
      <c r="HB226" s="564"/>
      <c r="HC226" s="564"/>
      <c r="HD226" s="564"/>
      <c r="HE226" s="564"/>
      <c r="HF226" s="564"/>
      <c r="HG226" s="564"/>
      <c r="HH226" s="564"/>
      <c r="HI226" s="564"/>
      <c r="HJ226" s="564"/>
      <c r="HK226" s="569"/>
      <c r="HL226" s="564" t="s">
        <v>36076</v>
      </c>
      <c r="HM226" s="564" t="s">
        <v>7</v>
      </c>
      <c r="HN226" s="564" t="s">
        <v>36077</v>
      </c>
      <c r="HO226" s="564" t="s">
        <v>36078</v>
      </c>
      <c r="HP226" s="564" t="s">
        <v>36079</v>
      </c>
      <c r="HQ226" s="564" t="s">
        <v>36080</v>
      </c>
      <c r="HR226" s="564" t="s">
        <v>36081</v>
      </c>
      <c r="HS226" s="564" t="s">
        <v>36082</v>
      </c>
      <c r="HT226" s="568" t="s">
        <v>36083</v>
      </c>
    </row>
    <row r="227" spans="1:228" ht="30.2" customHeight="1" x14ac:dyDescent="0.25">
      <c r="A227" s="759"/>
      <c r="B227" s="563">
        <v>253</v>
      </c>
      <c r="C227" s="563" t="s">
        <v>12011</v>
      </c>
      <c r="D227" s="564" t="s">
        <v>36143</v>
      </c>
      <c r="E227" s="564" t="s">
        <v>35998</v>
      </c>
      <c r="F227" s="564" t="s">
        <v>7</v>
      </c>
      <c r="G227" s="564" t="s">
        <v>36144</v>
      </c>
      <c r="H227" s="564">
        <v>1136.085</v>
      </c>
      <c r="I227" s="564">
        <v>1.9203429999999999</v>
      </c>
      <c r="J227" s="564" t="s">
        <v>29319</v>
      </c>
      <c r="K227" s="564" t="s">
        <v>4</v>
      </c>
      <c r="L227" s="564" t="s">
        <v>36145</v>
      </c>
      <c r="M227" s="564">
        <v>782094188</v>
      </c>
      <c r="N227" s="564" t="s">
        <v>3</v>
      </c>
      <c r="O227" s="564" t="s">
        <v>31438</v>
      </c>
      <c r="P227" s="564">
        <v>22</v>
      </c>
      <c r="Q227" s="564">
        <v>8</v>
      </c>
      <c r="R227" s="564" t="s">
        <v>7</v>
      </c>
      <c r="S227" s="564" t="s">
        <v>31588</v>
      </c>
      <c r="T227" s="564" t="s">
        <v>4</v>
      </c>
      <c r="U227" s="564" t="s">
        <v>2</v>
      </c>
      <c r="V227" s="564" t="s">
        <v>4</v>
      </c>
      <c r="W227" s="564" t="s">
        <v>4</v>
      </c>
      <c r="X227" s="564" t="s">
        <v>4</v>
      </c>
      <c r="Y227" s="564" t="s">
        <v>4</v>
      </c>
      <c r="Z227" s="565">
        <v>43905</v>
      </c>
      <c r="AA227" s="557" t="str">
        <f>IF(OR(U227="yes",Z227&gt;'SDG outcome'!$C$39),"yes","no")</f>
        <v>no</v>
      </c>
      <c r="AB227" s="565" t="str">
        <f t="shared" si="7"/>
        <v/>
      </c>
      <c r="AC227" s="566" t="str">
        <f>IF(AND('SMS p2'!AA264="no",AND(Z227&gt;='SDG outcome'!$B$28,Z227&lt;'SDG outcome'!$C$39)),Z227-'SDG outcome'!$B$28,"")</f>
        <v/>
      </c>
      <c r="AD227" s="564" t="s">
        <v>8</v>
      </c>
      <c r="AE227" s="564" t="s">
        <v>36146</v>
      </c>
      <c r="AF227" s="564" t="s">
        <v>4</v>
      </c>
      <c r="AG227" s="564" t="s">
        <v>4</v>
      </c>
      <c r="AH227" s="564" t="s">
        <v>4</v>
      </c>
      <c r="AI227" s="564" t="s">
        <v>4</v>
      </c>
      <c r="AJ227" s="564" t="s">
        <v>4</v>
      </c>
      <c r="AK227" s="564" t="s">
        <v>4</v>
      </c>
      <c r="AL227" s="564"/>
      <c r="AM227" s="564"/>
      <c r="AN227" s="564"/>
      <c r="AO227" s="564"/>
      <c r="AP227" s="564"/>
      <c r="AQ227" s="564"/>
      <c r="AR227" s="564"/>
      <c r="AS227" s="564"/>
      <c r="AT227" s="564"/>
      <c r="AU227" s="564"/>
      <c r="AV227" s="564"/>
      <c r="AW227" s="564"/>
      <c r="AX227" s="564"/>
      <c r="AY227" s="564"/>
      <c r="AZ227" s="564"/>
      <c r="BA227" s="564"/>
      <c r="BB227" s="564"/>
      <c r="BC227" s="564"/>
      <c r="BD227" s="564"/>
      <c r="BE227" s="564"/>
      <c r="BF227" s="564"/>
      <c r="BG227" s="564"/>
      <c r="BH227" s="564"/>
      <c r="BI227" s="564"/>
      <c r="BJ227" s="564"/>
      <c r="BK227" s="564"/>
      <c r="BL227" s="564"/>
      <c r="BM227" s="564"/>
      <c r="BN227" s="564"/>
      <c r="BO227" s="564"/>
      <c r="BP227" s="564"/>
      <c r="BQ227" s="564"/>
      <c r="BR227" s="567"/>
      <c r="BS227" s="564"/>
      <c r="BT227" s="564"/>
      <c r="BU227" s="564"/>
      <c r="BV227" s="564"/>
      <c r="BW227" s="567"/>
      <c r="BX227" s="564"/>
      <c r="BY227" s="564"/>
      <c r="BZ227" s="564"/>
      <c r="CA227" s="564"/>
      <c r="CB227" s="564"/>
      <c r="CC227" s="564"/>
      <c r="CD227" s="564"/>
      <c r="CE227" s="564"/>
      <c r="CF227" s="564"/>
      <c r="CG227" s="564"/>
      <c r="CH227" s="564"/>
      <c r="CI227" s="564"/>
      <c r="CJ227" s="564"/>
      <c r="CK227" s="564"/>
      <c r="CL227" s="564"/>
      <c r="CM227" s="564"/>
      <c r="CN227" s="564"/>
      <c r="CO227" s="564"/>
      <c r="CP227" s="564"/>
      <c r="CQ227" s="564"/>
      <c r="CR227" s="564"/>
      <c r="CS227" s="564"/>
      <c r="CT227" s="568"/>
      <c r="CU227" s="563"/>
      <c r="CV227" s="564"/>
      <c r="CW227" s="568"/>
      <c r="CX227" s="563"/>
      <c r="CY227" s="564"/>
      <c r="CZ227" s="568"/>
      <c r="DA227" s="563"/>
      <c r="DB227" s="564"/>
      <c r="DC227" s="564"/>
      <c r="DD227" s="564"/>
      <c r="DE227" s="564"/>
      <c r="DF227" s="564"/>
      <c r="DG227" s="564"/>
      <c r="DH227" s="564"/>
      <c r="DI227" s="564"/>
      <c r="DJ227" s="564"/>
      <c r="DK227" s="564"/>
      <c r="DL227" s="564"/>
      <c r="DM227" s="564"/>
      <c r="DN227" s="564"/>
      <c r="DO227" s="564"/>
      <c r="DP227" s="564"/>
      <c r="DQ227" s="564"/>
      <c r="DR227" s="564"/>
      <c r="DS227" s="569"/>
      <c r="DT227" s="564"/>
      <c r="DU227" s="569"/>
      <c r="DV227" s="568"/>
      <c r="DW227" s="563"/>
      <c r="DX227" s="564"/>
      <c r="DY227" s="564"/>
      <c r="DZ227" s="564"/>
      <c r="EA227" s="564"/>
      <c r="EB227" s="564"/>
      <c r="EC227" s="564"/>
      <c r="ED227" s="564"/>
      <c r="EE227" s="564"/>
      <c r="EF227" s="564"/>
      <c r="EG227" s="564"/>
      <c r="EH227" s="564"/>
      <c r="EI227" s="564"/>
      <c r="EJ227" s="564"/>
      <c r="EK227" s="564"/>
      <c r="EL227" s="564"/>
      <c r="EM227" s="564"/>
      <c r="EN227" s="564"/>
      <c r="EO227" s="564"/>
      <c r="EP227" s="564"/>
      <c r="EQ227" s="564"/>
      <c r="ER227" s="564"/>
      <c r="ES227" s="564"/>
      <c r="ET227" s="564"/>
      <c r="EU227" s="564"/>
      <c r="EV227" s="564"/>
      <c r="EW227" s="564"/>
      <c r="EX227" s="564"/>
      <c r="EY227" s="564"/>
      <c r="EZ227" s="239"/>
      <c r="FA227" s="564"/>
      <c r="FB227" s="564"/>
      <c r="FC227" s="564"/>
      <c r="FD227" s="564"/>
      <c r="FE227" s="564"/>
      <c r="FF227" s="564"/>
      <c r="FG227" s="564"/>
      <c r="FH227" s="564"/>
      <c r="FI227" s="564"/>
      <c r="FJ227" s="564"/>
      <c r="FK227" s="564"/>
      <c r="FL227" s="564"/>
      <c r="FM227" s="564"/>
      <c r="FN227" s="569"/>
      <c r="FO227" s="564"/>
      <c r="FP227" s="564"/>
      <c r="FQ227" s="564"/>
      <c r="FR227" s="564"/>
      <c r="FS227" s="564"/>
      <c r="FT227" s="564"/>
      <c r="FU227" s="564"/>
      <c r="FV227" s="564"/>
      <c r="FW227" s="564"/>
      <c r="FX227" s="564"/>
      <c r="FY227" s="564"/>
      <c r="FZ227" s="564"/>
      <c r="GA227" s="564"/>
      <c r="GB227" s="564"/>
      <c r="GC227" s="564"/>
      <c r="GD227" s="564"/>
      <c r="GE227" s="564"/>
      <c r="GF227" s="564"/>
      <c r="GG227" s="564"/>
      <c r="GH227" s="564"/>
      <c r="GI227" s="564"/>
      <c r="GJ227" s="564"/>
      <c r="GK227" s="564"/>
      <c r="GL227" s="564"/>
      <c r="GM227" s="564"/>
      <c r="GN227" s="564"/>
      <c r="GO227" s="564"/>
      <c r="GP227" s="564"/>
      <c r="GQ227" s="564"/>
      <c r="GR227" s="564"/>
      <c r="GS227" s="564"/>
      <c r="GT227" s="564"/>
      <c r="GU227" s="564"/>
      <c r="GV227" s="569"/>
      <c r="GW227" s="564"/>
      <c r="GX227" s="564"/>
      <c r="GY227" s="564"/>
      <c r="GZ227" s="564"/>
      <c r="HA227" s="564"/>
      <c r="HB227" s="564"/>
      <c r="HC227" s="564"/>
      <c r="HD227" s="564"/>
      <c r="HE227" s="564"/>
      <c r="HF227" s="564"/>
      <c r="HG227" s="564"/>
      <c r="HH227" s="564"/>
      <c r="HI227" s="564"/>
      <c r="HJ227" s="564"/>
      <c r="HK227" s="569"/>
      <c r="HL227" s="564" t="s">
        <v>33474</v>
      </c>
      <c r="HM227" s="564" t="s">
        <v>2</v>
      </c>
      <c r="HN227" s="564" t="s">
        <v>4</v>
      </c>
      <c r="HO227" s="564" t="s">
        <v>16</v>
      </c>
      <c r="HP227" s="564" t="s">
        <v>36147</v>
      </c>
      <c r="HQ227" s="564" t="s">
        <v>36148</v>
      </c>
      <c r="HR227" s="564" t="s">
        <v>36149</v>
      </c>
      <c r="HS227" s="564" t="s">
        <v>36150</v>
      </c>
      <c r="HT227" s="568" t="s">
        <v>36151</v>
      </c>
    </row>
    <row r="228" spans="1:228" ht="30.2" customHeight="1" x14ac:dyDescent="0.25">
      <c r="A228" s="759"/>
      <c r="B228" s="563">
        <v>257</v>
      </c>
      <c r="C228" s="563" t="s">
        <v>26227</v>
      </c>
      <c r="D228" s="564" t="s">
        <v>36171</v>
      </c>
      <c r="E228" s="564" t="s">
        <v>70</v>
      </c>
      <c r="F228" s="564" t="s">
        <v>7</v>
      </c>
      <c r="G228" s="564" t="s">
        <v>36172</v>
      </c>
      <c r="H228" s="564">
        <v>1270.5</v>
      </c>
      <c r="I228" s="564">
        <v>3.3</v>
      </c>
      <c r="J228" s="564" t="s">
        <v>29288</v>
      </c>
      <c r="K228" s="564" t="s">
        <v>4</v>
      </c>
      <c r="L228" s="564" t="s">
        <v>36173</v>
      </c>
      <c r="M228" s="564">
        <v>777297022</v>
      </c>
      <c r="N228" s="564" t="s">
        <v>3</v>
      </c>
      <c r="O228" s="564" t="s">
        <v>31438</v>
      </c>
      <c r="P228" s="564">
        <v>65</v>
      </c>
      <c r="Q228" s="564">
        <v>5</v>
      </c>
      <c r="R228" s="564" t="s">
        <v>7</v>
      </c>
      <c r="S228" s="564" t="s">
        <v>31549</v>
      </c>
      <c r="T228" s="564" t="s">
        <v>4</v>
      </c>
      <c r="U228" s="564" t="s">
        <v>2</v>
      </c>
      <c r="V228" s="564" t="s">
        <v>4</v>
      </c>
      <c r="W228" s="564" t="s">
        <v>4</v>
      </c>
      <c r="X228" s="564" t="s">
        <v>4</v>
      </c>
      <c r="Y228" s="564" t="s">
        <v>4</v>
      </c>
      <c r="Z228" s="565">
        <v>45501</v>
      </c>
      <c r="AA228" s="557" t="str">
        <f>IF(OR(U228="yes",Z228&gt;'SDG outcome'!$C$39),"yes","no")</f>
        <v>yes</v>
      </c>
      <c r="AB228" s="565" t="str">
        <f t="shared" si="7"/>
        <v>NA</v>
      </c>
      <c r="AC228" s="566" t="str">
        <f>IF(AND('SMS p2'!AA267="no",AND(Z228&gt;='SDG outcome'!$B$28,Z228&lt;'SDG outcome'!$C$39)),Z228-'SDG outcome'!$B$28,"")</f>
        <v/>
      </c>
      <c r="AD228" s="564" t="s">
        <v>8</v>
      </c>
      <c r="AE228" s="564" t="s">
        <v>36174</v>
      </c>
      <c r="AF228" s="564" t="s">
        <v>4</v>
      </c>
      <c r="AG228" s="564" t="s">
        <v>4</v>
      </c>
      <c r="AH228" s="564" t="s">
        <v>4</v>
      </c>
      <c r="AI228" s="564" t="s">
        <v>4</v>
      </c>
      <c r="AJ228" s="565" t="s">
        <v>4</v>
      </c>
      <c r="AK228" s="564" t="s">
        <v>4</v>
      </c>
      <c r="AL228" s="564"/>
      <c r="AM228" s="564"/>
      <c r="AN228" s="564"/>
      <c r="AO228" s="564"/>
      <c r="AP228" s="564"/>
      <c r="AQ228" s="564"/>
      <c r="AR228" s="564"/>
      <c r="AS228" s="564"/>
      <c r="AT228" s="564"/>
      <c r="AU228" s="564"/>
      <c r="AV228" s="564"/>
      <c r="AW228" s="564"/>
      <c r="AX228" s="564"/>
      <c r="AY228" s="564"/>
      <c r="AZ228" s="564"/>
      <c r="BA228" s="564"/>
      <c r="BB228" s="564"/>
      <c r="BC228" s="564"/>
      <c r="BD228" s="564"/>
      <c r="BE228" s="564"/>
      <c r="BF228" s="564"/>
      <c r="BG228" s="564"/>
      <c r="BH228" s="564"/>
      <c r="BI228" s="564"/>
      <c r="BJ228" s="564"/>
      <c r="BK228" s="564"/>
      <c r="BL228" s="564"/>
      <c r="BM228" s="564"/>
      <c r="BN228" s="564"/>
      <c r="BO228" s="564"/>
      <c r="BP228" s="564"/>
      <c r="BQ228" s="564"/>
      <c r="BR228" s="567"/>
      <c r="BS228" s="564"/>
      <c r="BT228" s="564"/>
      <c r="BU228" s="569"/>
      <c r="BV228" s="564"/>
      <c r="BW228" s="579"/>
      <c r="BX228" s="569"/>
      <c r="BY228" s="569"/>
      <c r="BZ228" s="569"/>
      <c r="CA228" s="569"/>
      <c r="CB228" s="569"/>
      <c r="CC228" s="569"/>
      <c r="CD228" s="569"/>
      <c r="CE228" s="569"/>
      <c r="CF228" s="569"/>
      <c r="CG228" s="569"/>
      <c r="CH228" s="569"/>
      <c r="CI228" s="569"/>
      <c r="CJ228" s="569"/>
      <c r="CK228" s="569"/>
      <c r="CL228" s="569"/>
      <c r="CM228" s="569"/>
      <c r="CN228" s="569"/>
      <c r="CO228" s="569"/>
      <c r="CP228" s="569"/>
      <c r="CQ228" s="569"/>
      <c r="CR228" s="569"/>
      <c r="CS228" s="569"/>
      <c r="CT228" s="580"/>
      <c r="CU228" s="581"/>
      <c r="CV228" s="569"/>
      <c r="CW228" s="580"/>
      <c r="CX228" s="581"/>
      <c r="CY228" s="569"/>
      <c r="CZ228" s="580"/>
      <c r="DA228" s="581"/>
      <c r="DB228" s="569"/>
      <c r="DC228" s="569"/>
      <c r="DD228" s="569"/>
      <c r="DE228" s="569"/>
      <c r="DF228" s="569"/>
      <c r="DG228" s="569"/>
      <c r="DH228" s="569"/>
      <c r="DI228" s="569"/>
      <c r="DJ228" s="569"/>
      <c r="DK228" s="569"/>
      <c r="DL228" s="569"/>
      <c r="DM228" s="569"/>
      <c r="DN228" s="569"/>
      <c r="DO228" s="569"/>
      <c r="DP228" s="569"/>
      <c r="DQ228" s="569"/>
      <c r="DR228" s="569"/>
      <c r="DS228" s="569"/>
      <c r="DT228" s="569"/>
      <c r="DU228" s="569"/>
      <c r="DV228" s="580"/>
      <c r="DW228" s="581"/>
      <c r="DX228" s="569"/>
      <c r="DY228" s="569"/>
      <c r="DZ228" s="569"/>
      <c r="EA228" s="569"/>
      <c r="EB228" s="569"/>
      <c r="EC228" s="569"/>
      <c r="ED228" s="569"/>
      <c r="EE228" s="569"/>
      <c r="EF228" s="569"/>
      <c r="EG228" s="569"/>
      <c r="EH228" s="569"/>
      <c r="EI228" s="569"/>
      <c r="EJ228" s="569"/>
      <c r="EK228" s="569"/>
      <c r="EL228" s="569"/>
      <c r="EM228" s="569"/>
      <c r="EN228" s="569"/>
      <c r="EO228" s="569"/>
      <c r="EP228" s="569"/>
      <c r="EQ228" s="569"/>
      <c r="ER228" s="569"/>
      <c r="ES228" s="569"/>
      <c r="ET228" s="569"/>
      <c r="EU228" s="569"/>
      <c r="EV228" s="569"/>
      <c r="EW228" s="569"/>
      <c r="EX228" s="569"/>
      <c r="EY228" s="569"/>
      <c r="EZ228" s="239"/>
      <c r="FA228" s="569"/>
      <c r="FB228" s="569"/>
      <c r="FC228" s="569"/>
      <c r="FD228" s="569"/>
      <c r="FE228" s="569"/>
      <c r="FF228" s="569"/>
      <c r="FG228" s="569"/>
      <c r="FH228" s="569"/>
      <c r="FI228" s="569"/>
      <c r="FJ228" s="569"/>
      <c r="FK228" s="569"/>
      <c r="FL228" s="569"/>
      <c r="FM228" s="569"/>
      <c r="FN228" s="569"/>
      <c r="FO228" s="569"/>
      <c r="FP228" s="569"/>
      <c r="FQ228" s="569"/>
      <c r="FR228" s="569"/>
      <c r="FS228" s="569"/>
      <c r="FT228" s="569"/>
      <c r="FU228" s="569"/>
      <c r="FV228" s="569"/>
      <c r="FW228" s="569"/>
      <c r="FX228" s="569"/>
      <c r="FY228" s="569"/>
      <c r="FZ228" s="569"/>
      <c r="GA228" s="569"/>
      <c r="GB228" s="569"/>
      <c r="GC228" s="569"/>
      <c r="GD228" s="569"/>
      <c r="GE228" s="569"/>
      <c r="GF228" s="569"/>
      <c r="GG228" s="569"/>
      <c r="GH228" s="569"/>
      <c r="GI228" s="569"/>
      <c r="GJ228" s="569"/>
      <c r="GK228" s="569"/>
      <c r="GL228" s="569"/>
      <c r="GM228" s="569"/>
      <c r="GN228" s="569"/>
      <c r="GO228" s="569"/>
      <c r="GP228" s="569"/>
      <c r="GQ228" s="569"/>
      <c r="GR228" s="569"/>
      <c r="GS228" s="569"/>
      <c r="GT228" s="569"/>
      <c r="GU228" s="569"/>
      <c r="GV228" s="569"/>
      <c r="GW228" s="569"/>
      <c r="GX228" s="569"/>
      <c r="GY228" s="569"/>
      <c r="GZ228" s="569"/>
      <c r="HA228" s="569"/>
      <c r="HB228" s="569"/>
      <c r="HC228" s="569"/>
      <c r="HD228" s="569"/>
      <c r="HE228" s="569"/>
      <c r="HF228" s="569"/>
      <c r="HG228" s="569"/>
      <c r="HH228" s="569"/>
      <c r="HI228" s="569"/>
      <c r="HJ228" s="569"/>
      <c r="HK228" s="569"/>
      <c r="HL228" s="564" t="s">
        <v>36175</v>
      </c>
      <c r="HM228" s="564" t="s">
        <v>2</v>
      </c>
      <c r="HN228" s="564" t="s">
        <v>4</v>
      </c>
      <c r="HO228" s="564" t="s">
        <v>16</v>
      </c>
      <c r="HP228" s="564" t="s">
        <v>36176</v>
      </c>
      <c r="HQ228" s="564" t="s">
        <v>36177</v>
      </c>
      <c r="HR228" s="564" t="s">
        <v>36178</v>
      </c>
      <c r="HS228" s="564" t="s">
        <v>36179</v>
      </c>
      <c r="HT228" s="568" t="s">
        <v>36171</v>
      </c>
    </row>
    <row r="229" spans="1:228" ht="30.2" customHeight="1" x14ac:dyDescent="0.25">
      <c r="A229" s="759"/>
      <c r="B229" s="563">
        <v>258</v>
      </c>
      <c r="C229" s="563" t="s">
        <v>22626</v>
      </c>
      <c r="D229" s="564" t="s">
        <v>36180</v>
      </c>
      <c r="E229" s="564" t="s">
        <v>70</v>
      </c>
      <c r="F229" s="564" t="s">
        <v>7</v>
      </c>
      <c r="G229" s="564" t="s">
        <v>36181</v>
      </c>
      <c r="H229" s="564">
        <v>1284.7</v>
      </c>
      <c r="I229" s="564">
        <v>2.5</v>
      </c>
      <c r="J229" s="564" t="s">
        <v>30200</v>
      </c>
      <c r="K229" s="564" t="s">
        <v>4</v>
      </c>
      <c r="L229" s="564" t="s">
        <v>36182</v>
      </c>
      <c r="M229" s="564">
        <v>78946849</v>
      </c>
      <c r="N229" s="564" t="s">
        <v>3</v>
      </c>
      <c r="O229" s="564" t="s">
        <v>31598</v>
      </c>
      <c r="P229" s="564" t="s">
        <v>4</v>
      </c>
      <c r="Q229" s="564">
        <v>6</v>
      </c>
      <c r="R229" s="564" t="s">
        <v>7</v>
      </c>
      <c r="S229" s="564" t="s">
        <v>31549</v>
      </c>
      <c r="T229" s="564" t="s">
        <v>4</v>
      </c>
      <c r="U229" s="564" t="s">
        <v>2</v>
      </c>
      <c r="V229" s="564" t="s">
        <v>4</v>
      </c>
      <c r="W229" s="564" t="s">
        <v>4</v>
      </c>
      <c r="X229" s="564" t="s">
        <v>4</v>
      </c>
      <c r="Y229" s="564" t="s">
        <v>4</v>
      </c>
      <c r="Z229" s="565">
        <v>44438</v>
      </c>
      <c r="AA229" s="557" t="str">
        <f>IF(OR(U229="yes",Z229&gt;'SDG outcome'!$C$39),"yes","no")</f>
        <v>no</v>
      </c>
      <c r="AB229" s="565" t="str">
        <f t="shared" si="7"/>
        <v/>
      </c>
      <c r="AC229" s="566" t="str">
        <f>IF(AND('SMS p2'!AA268="no",AND(Z229&gt;='SDG outcome'!$B$28,Z229&lt;'SDG outcome'!$C$39)),Z229-'SDG outcome'!$B$28,"")</f>
        <v/>
      </c>
      <c r="AD229" s="564" t="s">
        <v>8</v>
      </c>
      <c r="AE229" s="564" t="s">
        <v>36183</v>
      </c>
      <c r="AF229" s="564" t="s">
        <v>4</v>
      </c>
      <c r="AG229" s="564" t="s">
        <v>4</v>
      </c>
      <c r="AH229" s="564" t="s">
        <v>4</v>
      </c>
      <c r="AI229" s="564" t="s">
        <v>4</v>
      </c>
      <c r="AJ229" s="565" t="s">
        <v>4</v>
      </c>
      <c r="AK229" s="564" t="s">
        <v>4</v>
      </c>
      <c r="AL229" s="564"/>
      <c r="AM229" s="564"/>
      <c r="AN229" s="564"/>
      <c r="AO229" s="564"/>
      <c r="AP229" s="564"/>
      <c r="AQ229" s="564"/>
      <c r="AR229" s="564"/>
      <c r="AS229" s="564"/>
      <c r="AT229" s="564"/>
      <c r="AU229" s="564"/>
      <c r="AV229" s="564"/>
      <c r="AW229" s="564"/>
      <c r="AX229" s="564"/>
      <c r="AY229" s="564"/>
      <c r="AZ229" s="564"/>
      <c r="BA229" s="564"/>
      <c r="BB229" s="564"/>
      <c r="BC229" s="564"/>
      <c r="BD229" s="571"/>
      <c r="BE229" s="564"/>
      <c r="BF229" s="564"/>
      <c r="BG229" s="564"/>
      <c r="BH229" s="564"/>
      <c r="BI229" s="564"/>
      <c r="BJ229" s="564"/>
      <c r="BK229" s="564"/>
      <c r="BL229" s="564"/>
      <c r="BM229" s="564"/>
      <c r="BN229" s="564"/>
      <c r="BO229" s="564"/>
      <c r="BP229" s="564"/>
      <c r="BQ229" s="564"/>
      <c r="BR229" s="567"/>
      <c r="BS229" s="564"/>
      <c r="BT229" s="564"/>
      <c r="BU229" s="569"/>
      <c r="BV229" s="564"/>
      <c r="BW229" s="579"/>
      <c r="BX229" s="569"/>
      <c r="BY229" s="569"/>
      <c r="BZ229" s="569"/>
      <c r="CA229" s="569"/>
      <c r="CB229" s="569"/>
      <c r="CC229" s="569"/>
      <c r="CD229" s="569"/>
      <c r="CE229" s="569"/>
      <c r="CF229" s="569"/>
      <c r="CG229" s="569"/>
      <c r="CH229" s="569"/>
      <c r="CI229" s="569"/>
      <c r="CJ229" s="569"/>
      <c r="CK229" s="569"/>
      <c r="CL229" s="569"/>
      <c r="CM229" s="569"/>
      <c r="CN229" s="569"/>
      <c r="CO229" s="569"/>
      <c r="CP229" s="569"/>
      <c r="CQ229" s="569"/>
      <c r="CR229" s="569"/>
      <c r="CS229" s="569"/>
      <c r="CT229" s="580"/>
      <c r="CU229" s="581"/>
      <c r="CV229" s="569"/>
      <c r="CW229" s="580"/>
      <c r="CX229" s="581"/>
      <c r="CY229" s="569"/>
      <c r="CZ229" s="580"/>
      <c r="DA229" s="581"/>
      <c r="DB229" s="569"/>
      <c r="DC229" s="569"/>
      <c r="DD229" s="569"/>
      <c r="DE229" s="569"/>
      <c r="DF229" s="569"/>
      <c r="DG229" s="569"/>
      <c r="DH229" s="569"/>
      <c r="DI229" s="569"/>
      <c r="DJ229" s="569"/>
      <c r="DK229" s="569"/>
      <c r="DL229" s="569"/>
      <c r="DM229" s="569"/>
      <c r="DN229" s="569"/>
      <c r="DO229" s="569"/>
      <c r="DP229" s="569"/>
      <c r="DQ229" s="569"/>
      <c r="DR229" s="569"/>
      <c r="DS229" s="569"/>
      <c r="DT229" s="569"/>
      <c r="DU229" s="569"/>
      <c r="DV229" s="580"/>
      <c r="DW229" s="581"/>
      <c r="DX229" s="569"/>
      <c r="DY229" s="569"/>
      <c r="DZ229" s="569"/>
      <c r="EA229" s="569"/>
      <c r="EB229" s="569"/>
      <c r="EC229" s="569"/>
      <c r="ED229" s="569"/>
      <c r="EE229" s="569"/>
      <c r="EF229" s="569"/>
      <c r="EG229" s="569"/>
      <c r="EH229" s="569"/>
      <c r="EI229" s="569"/>
      <c r="EJ229" s="569"/>
      <c r="EK229" s="569"/>
      <c r="EL229" s="569"/>
      <c r="EM229" s="569"/>
      <c r="EN229" s="569"/>
      <c r="EO229" s="569"/>
      <c r="EP229" s="569"/>
      <c r="EQ229" s="569"/>
      <c r="ER229" s="569"/>
      <c r="ES229" s="569"/>
      <c r="ET229" s="569"/>
      <c r="EU229" s="569"/>
      <c r="EV229" s="569"/>
      <c r="EW229" s="569"/>
      <c r="EX229" s="569"/>
      <c r="EY229" s="569"/>
      <c r="EZ229" s="239"/>
      <c r="FA229" s="569"/>
      <c r="FB229" s="569"/>
      <c r="FC229" s="569"/>
      <c r="FD229" s="569"/>
      <c r="FE229" s="569"/>
      <c r="FF229" s="569"/>
      <c r="FG229" s="569"/>
      <c r="FH229" s="569"/>
      <c r="FI229" s="569"/>
      <c r="FJ229" s="569"/>
      <c r="FK229" s="569"/>
      <c r="FL229" s="569"/>
      <c r="FM229" s="569"/>
      <c r="FN229" s="569"/>
      <c r="FO229" s="569"/>
      <c r="FP229" s="569"/>
      <c r="FQ229" s="569"/>
      <c r="FR229" s="569"/>
      <c r="FS229" s="569"/>
      <c r="FT229" s="569"/>
      <c r="FU229" s="569"/>
      <c r="FV229" s="569"/>
      <c r="FW229" s="569"/>
      <c r="FX229" s="569"/>
      <c r="FY229" s="569"/>
      <c r="FZ229" s="569"/>
      <c r="GA229" s="569"/>
      <c r="GB229" s="569"/>
      <c r="GC229" s="569"/>
      <c r="GD229" s="569"/>
      <c r="GE229" s="569"/>
      <c r="GF229" s="569"/>
      <c r="GG229" s="569"/>
      <c r="GH229" s="569"/>
      <c r="GI229" s="569"/>
      <c r="GJ229" s="569"/>
      <c r="GK229" s="569"/>
      <c r="GL229" s="569"/>
      <c r="GM229" s="569"/>
      <c r="GN229" s="569"/>
      <c r="GO229" s="569"/>
      <c r="GP229" s="569"/>
      <c r="GQ229" s="569"/>
      <c r="GR229" s="569"/>
      <c r="GS229" s="569"/>
      <c r="GT229" s="569"/>
      <c r="GU229" s="569"/>
      <c r="GV229" s="569"/>
      <c r="GW229" s="569"/>
      <c r="GX229" s="569"/>
      <c r="GY229" s="569"/>
      <c r="GZ229" s="569"/>
      <c r="HA229" s="569"/>
      <c r="HB229" s="569"/>
      <c r="HC229" s="569"/>
      <c r="HD229" s="569"/>
      <c r="HE229" s="569"/>
      <c r="HF229" s="569"/>
      <c r="HG229" s="569"/>
      <c r="HH229" s="569"/>
      <c r="HI229" s="569"/>
      <c r="HJ229" s="569"/>
      <c r="HK229" s="569"/>
      <c r="HL229" s="564" t="s">
        <v>16</v>
      </c>
      <c r="HM229" s="564" t="s">
        <v>2</v>
      </c>
      <c r="HN229" s="564" t="s">
        <v>4</v>
      </c>
      <c r="HO229" s="564" t="s">
        <v>16</v>
      </c>
      <c r="HP229" s="564" t="s">
        <v>36184</v>
      </c>
      <c r="HQ229" s="564" t="s">
        <v>4</v>
      </c>
      <c r="HR229" s="564" t="s">
        <v>36185</v>
      </c>
      <c r="HS229" s="564" t="s">
        <v>4</v>
      </c>
      <c r="HT229" s="568" t="s">
        <v>36180</v>
      </c>
    </row>
    <row r="230" spans="1:228" ht="30.2" customHeight="1" x14ac:dyDescent="0.25">
      <c r="A230" s="759"/>
      <c r="B230" s="563">
        <v>185</v>
      </c>
      <c r="C230" s="563" t="s">
        <v>27681</v>
      </c>
      <c r="D230" s="564" t="s">
        <v>35421</v>
      </c>
      <c r="E230" s="564" t="s">
        <v>30638</v>
      </c>
      <c r="F230" s="564" t="s">
        <v>7</v>
      </c>
      <c r="G230" s="564" t="s">
        <v>35422</v>
      </c>
      <c r="H230" s="564">
        <v>1789.4375</v>
      </c>
      <c r="I230" s="564">
        <v>4.2880000000000003</v>
      </c>
      <c r="J230" s="564" t="s">
        <v>29288</v>
      </c>
      <c r="K230" s="564" t="s">
        <v>4</v>
      </c>
      <c r="L230" s="564" t="s">
        <v>35423</v>
      </c>
      <c r="M230" s="564">
        <v>779746603</v>
      </c>
      <c r="N230" s="564" t="s">
        <v>3</v>
      </c>
      <c r="O230" s="564" t="s">
        <v>31598</v>
      </c>
      <c r="P230" s="564" t="s">
        <v>4</v>
      </c>
      <c r="Q230" s="564">
        <v>8</v>
      </c>
      <c r="R230" s="564" t="s">
        <v>7</v>
      </c>
      <c r="S230" s="564" t="s">
        <v>31535</v>
      </c>
      <c r="T230" s="564" t="s">
        <v>4</v>
      </c>
      <c r="U230" s="564" t="s">
        <v>2</v>
      </c>
      <c r="V230" s="564" t="s">
        <v>4</v>
      </c>
      <c r="W230" s="564" t="s">
        <v>4</v>
      </c>
      <c r="X230" s="564" t="s">
        <v>4</v>
      </c>
      <c r="Y230" s="564" t="s">
        <v>4</v>
      </c>
      <c r="Z230" s="565">
        <v>45056</v>
      </c>
      <c r="AA230" s="557" t="str">
        <f>IF(OR(U230="yes",Z230&gt;'SDG outcome'!$C$39),"yes","no")</f>
        <v>no</v>
      </c>
      <c r="AB230" s="565" t="str">
        <f t="shared" si="7"/>
        <v/>
      </c>
      <c r="AC230" s="566" t="str">
        <f>IF(AND('SMS p2'!AA197="no",AND(Z230&gt;='SDG outcome'!$B$28,Z230&lt;'SDG outcome'!$C$39)),Z230-'SDG outcome'!$B$28,"")</f>
        <v/>
      </c>
      <c r="AD230" s="564" t="s">
        <v>31572</v>
      </c>
      <c r="AE230" s="564" t="s">
        <v>4</v>
      </c>
      <c r="AF230" s="564" t="s">
        <v>2</v>
      </c>
      <c r="AG230" s="564" t="s">
        <v>4</v>
      </c>
      <c r="AH230" s="564" t="s">
        <v>35424</v>
      </c>
      <c r="AI230" s="564" t="s">
        <v>31819</v>
      </c>
      <c r="AJ230" s="564" t="s">
        <v>33539</v>
      </c>
      <c r="AK230" s="564" t="s">
        <v>4</v>
      </c>
      <c r="AL230" s="564"/>
      <c r="AM230" s="564"/>
      <c r="AN230" s="564"/>
      <c r="AO230" s="564"/>
      <c r="AP230" s="564"/>
      <c r="AQ230" s="564"/>
      <c r="AR230" s="564"/>
      <c r="AS230" s="564"/>
      <c r="AT230" s="564"/>
      <c r="AU230" s="564"/>
      <c r="AV230" s="564"/>
      <c r="AW230" s="564"/>
      <c r="AX230" s="564"/>
      <c r="AY230" s="564"/>
      <c r="AZ230" s="564"/>
      <c r="BA230" s="564"/>
      <c r="BB230" s="564"/>
      <c r="BC230" s="564"/>
      <c r="BD230" s="571"/>
      <c r="BE230" s="564"/>
      <c r="BF230" s="564"/>
      <c r="BG230" s="564"/>
      <c r="BH230" s="564"/>
      <c r="BI230" s="564"/>
      <c r="BJ230" s="564"/>
      <c r="BK230" s="564"/>
      <c r="BL230" s="564"/>
      <c r="BM230" s="564"/>
      <c r="BN230" s="564"/>
      <c r="BO230" s="564"/>
      <c r="BP230" s="564"/>
      <c r="BQ230" s="564"/>
      <c r="BR230" s="567"/>
      <c r="BS230" s="564"/>
      <c r="BT230" s="564"/>
      <c r="BU230" s="564"/>
      <c r="BV230" s="564"/>
      <c r="BW230" s="567"/>
      <c r="BX230" s="564"/>
      <c r="BY230" s="564"/>
      <c r="BZ230" s="564"/>
      <c r="CA230" s="564"/>
      <c r="CB230" s="564"/>
      <c r="CC230" s="564"/>
      <c r="CD230" s="564"/>
      <c r="CE230" s="564"/>
      <c r="CF230" s="564"/>
      <c r="CG230" s="564"/>
      <c r="CH230" s="564"/>
      <c r="CI230" s="564"/>
      <c r="CJ230" s="564"/>
      <c r="CK230" s="564"/>
      <c r="CL230" s="564"/>
      <c r="CM230" s="564"/>
      <c r="CN230" s="564"/>
      <c r="CO230" s="564"/>
      <c r="CP230" s="564"/>
      <c r="CQ230" s="564"/>
      <c r="CR230" s="564"/>
      <c r="CS230" s="564"/>
      <c r="CT230" s="568"/>
      <c r="CU230" s="563"/>
      <c r="CV230" s="564"/>
      <c r="CW230" s="568"/>
      <c r="CX230" s="563"/>
      <c r="CY230" s="564"/>
      <c r="CZ230" s="568"/>
      <c r="DA230" s="563"/>
      <c r="DB230" s="564"/>
      <c r="DC230" s="564"/>
      <c r="DD230" s="564"/>
      <c r="DE230" s="564"/>
      <c r="DF230" s="564"/>
      <c r="DG230" s="564"/>
      <c r="DH230" s="564"/>
      <c r="DI230" s="564"/>
      <c r="DJ230" s="564"/>
      <c r="DK230" s="564"/>
      <c r="DL230" s="564"/>
      <c r="DM230" s="564"/>
      <c r="DN230" s="564"/>
      <c r="DO230" s="564"/>
      <c r="DP230" s="564"/>
      <c r="DQ230" s="564"/>
      <c r="DR230" s="564"/>
      <c r="DS230" s="569"/>
      <c r="DT230" s="564"/>
      <c r="DU230" s="569"/>
      <c r="DV230" s="568"/>
      <c r="DW230" s="563"/>
      <c r="DX230" s="564"/>
      <c r="DY230" s="564"/>
      <c r="DZ230" s="564"/>
      <c r="EA230" s="564"/>
      <c r="EB230" s="564"/>
      <c r="EC230" s="564"/>
      <c r="ED230" s="564"/>
      <c r="EE230" s="564"/>
      <c r="EF230" s="564"/>
      <c r="EG230" s="564"/>
      <c r="EH230" s="564"/>
      <c r="EI230" s="564"/>
      <c r="EJ230" s="564"/>
      <c r="EK230" s="564"/>
      <c r="EL230" s="564"/>
      <c r="EM230" s="564"/>
      <c r="EN230" s="564"/>
      <c r="EO230" s="564"/>
      <c r="EP230" s="564"/>
      <c r="EQ230" s="564"/>
      <c r="ER230" s="564"/>
      <c r="ES230" s="564"/>
      <c r="ET230" s="564"/>
      <c r="EU230" s="564"/>
      <c r="EV230" s="564"/>
      <c r="EW230" s="564"/>
      <c r="EX230" s="564"/>
      <c r="EY230" s="564"/>
      <c r="EZ230" s="239"/>
      <c r="FA230" s="564"/>
      <c r="FB230" s="564"/>
      <c r="FC230" s="564"/>
      <c r="FD230" s="564"/>
      <c r="FE230" s="564"/>
      <c r="FF230" s="564"/>
      <c r="FG230" s="564"/>
      <c r="FH230" s="564"/>
      <c r="FI230" s="564"/>
      <c r="FJ230" s="564"/>
      <c r="FK230" s="564"/>
      <c r="FL230" s="564"/>
      <c r="FM230" s="564"/>
      <c r="FN230" s="569"/>
      <c r="FO230" s="564"/>
      <c r="FP230" s="564"/>
      <c r="FQ230" s="564"/>
      <c r="FR230" s="564"/>
      <c r="FS230" s="564"/>
      <c r="FT230" s="564"/>
      <c r="FU230" s="564"/>
      <c r="FV230" s="564"/>
      <c r="FW230" s="564"/>
      <c r="FX230" s="564"/>
      <c r="FY230" s="564"/>
      <c r="FZ230" s="564"/>
      <c r="GA230" s="564"/>
      <c r="GB230" s="564"/>
      <c r="GC230" s="564"/>
      <c r="GD230" s="564"/>
      <c r="GE230" s="564"/>
      <c r="GF230" s="564"/>
      <c r="GG230" s="564"/>
      <c r="GH230" s="564"/>
      <c r="GI230" s="564"/>
      <c r="GJ230" s="564"/>
      <c r="GK230" s="564"/>
      <c r="GL230" s="564"/>
      <c r="GM230" s="564"/>
      <c r="GN230" s="564"/>
      <c r="GO230" s="564"/>
      <c r="GP230" s="564"/>
      <c r="GQ230" s="564"/>
      <c r="GR230" s="564"/>
      <c r="GS230" s="564"/>
      <c r="GT230" s="564"/>
      <c r="GU230" s="564"/>
      <c r="GV230" s="569"/>
      <c r="GW230" s="564"/>
      <c r="GX230" s="564"/>
      <c r="GY230" s="564"/>
      <c r="GZ230" s="564"/>
      <c r="HA230" s="564"/>
      <c r="HB230" s="564"/>
      <c r="HC230" s="564"/>
      <c r="HD230" s="564"/>
      <c r="HE230" s="564"/>
      <c r="HF230" s="564"/>
      <c r="HG230" s="564"/>
      <c r="HH230" s="564"/>
      <c r="HI230" s="564"/>
      <c r="HJ230" s="564"/>
      <c r="HK230" s="569"/>
      <c r="HL230" s="564" t="s">
        <v>35425</v>
      </c>
      <c r="HM230" s="564" t="s">
        <v>2</v>
      </c>
      <c r="HN230" s="564" t="s">
        <v>4</v>
      </c>
      <c r="HO230" s="564" t="s">
        <v>35426</v>
      </c>
      <c r="HP230" s="564" t="s">
        <v>35427</v>
      </c>
      <c r="HQ230" s="564" t="s">
        <v>35428</v>
      </c>
      <c r="HR230" s="564" t="s">
        <v>35429</v>
      </c>
      <c r="HS230" s="564" t="s">
        <v>16</v>
      </c>
      <c r="HT230" s="568" t="s">
        <v>35421</v>
      </c>
    </row>
    <row r="231" spans="1:228" ht="30.2" customHeight="1" x14ac:dyDescent="0.25">
      <c r="A231" s="759"/>
      <c r="B231" s="563">
        <v>176</v>
      </c>
      <c r="C231" s="563" t="s">
        <v>17307</v>
      </c>
      <c r="D231" s="564" t="s">
        <v>35323</v>
      </c>
      <c r="E231" s="564" t="s">
        <v>35222</v>
      </c>
      <c r="F231" s="564" t="s">
        <v>7</v>
      </c>
      <c r="G231" s="564" t="s">
        <v>35324</v>
      </c>
      <c r="H231" s="564">
        <v>0</v>
      </c>
      <c r="I231" s="564">
        <v>2900</v>
      </c>
      <c r="J231" s="564" t="s">
        <v>29319</v>
      </c>
      <c r="K231" s="564" t="s">
        <v>4</v>
      </c>
      <c r="L231" s="564" t="s">
        <v>35325</v>
      </c>
      <c r="M231" s="564">
        <v>785907662</v>
      </c>
      <c r="N231" s="564" t="s">
        <v>5</v>
      </c>
      <c r="O231" s="564" t="s">
        <v>31590</v>
      </c>
      <c r="P231" s="564" t="s">
        <v>4</v>
      </c>
      <c r="Q231" s="564">
        <v>13</v>
      </c>
      <c r="R231" s="564" t="s">
        <v>7</v>
      </c>
      <c r="S231" s="564" t="s">
        <v>31588</v>
      </c>
      <c r="T231" s="564" t="s">
        <v>4</v>
      </c>
      <c r="U231" s="564" t="s">
        <v>2</v>
      </c>
      <c r="V231" s="564" t="s">
        <v>4</v>
      </c>
      <c r="W231" s="564" t="s">
        <v>4</v>
      </c>
      <c r="X231" s="564" t="s">
        <v>4</v>
      </c>
      <c r="Y231" s="564" t="s">
        <v>4</v>
      </c>
      <c r="Z231" s="565">
        <v>45294</v>
      </c>
      <c r="AA231" s="557" t="str">
        <f>IF(OR(U231="yes",Z231&gt;'SDG outcome'!$C$39),"yes","no")</f>
        <v>no</v>
      </c>
      <c r="AB231" s="565" t="str">
        <f t="shared" si="7"/>
        <v/>
      </c>
      <c r="AC231" s="566">
        <f>IF(AND('SMS p2'!AA188="no",AND(Z231&gt;='SDG outcome'!$B$28,Z231&lt;'SDG outcome'!$C$39)),Z231-'SDG outcome'!$B$28,"")</f>
        <v>277</v>
      </c>
      <c r="AD231" s="564" t="s">
        <v>31572</v>
      </c>
      <c r="AE231" s="564" t="s">
        <v>4</v>
      </c>
      <c r="AF231" s="564" t="s">
        <v>2</v>
      </c>
      <c r="AG231" s="564" t="s">
        <v>4</v>
      </c>
      <c r="AH231" s="564" t="s">
        <v>35326</v>
      </c>
      <c r="AI231" s="564" t="s">
        <v>7</v>
      </c>
      <c r="AJ231" s="564" t="s">
        <v>33539</v>
      </c>
      <c r="AK231" s="564" t="s">
        <v>4</v>
      </c>
      <c r="AL231" s="564"/>
      <c r="AM231" s="564"/>
      <c r="AN231" s="564"/>
      <c r="AO231" s="564"/>
      <c r="AP231" s="564"/>
      <c r="AQ231" s="564"/>
      <c r="AR231" s="564"/>
      <c r="AS231" s="564"/>
      <c r="AT231" s="564"/>
      <c r="AU231" s="564"/>
      <c r="AV231" s="564"/>
      <c r="AW231" s="564"/>
      <c r="AX231" s="564"/>
      <c r="AY231" s="564"/>
      <c r="AZ231" s="564"/>
      <c r="BA231" s="564"/>
      <c r="BB231" s="564"/>
      <c r="BC231" s="564"/>
      <c r="BD231" s="564"/>
      <c r="BE231" s="564"/>
      <c r="BF231" s="564"/>
      <c r="BG231" s="564"/>
      <c r="BH231" s="564"/>
      <c r="BI231" s="564"/>
      <c r="BJ231" s="564"/>
      <c r="BK231" s="564"/>
      <c r="BL231" s="564"/>
      <c r="BM231" s="564"/>
      <c r="BN231" s="564"/>
      <c r="BO231" s="564"/>
      <c r="BP231" s="564"/>
      <c r="BQ231" s="564"/>
      <c r="BR231" s="567"/>
      <c r="BS231" s="564"/>
      <c r="BT231" s="564"/>
      <c r="BU231" s="564"/>
      <c r="BV231" s="564"/>
      <c r="BW231" s="567"/>
      <c r="BX231" s="564"/>
      <c r="BY231" s="564"/>
      <c r="BZ231" s="564"/>
      <c r="CA231" s="564"/>
      <c r="CB231" s="564"/>
      <c r="CC231" s="564"/>
      <c r="CD231" s="564"/>
      <c r="CE231" s="564"/>
      <c r="CF231" s="564"/>
      <c r="CG231" s="564"/>
      <c r="CH231" s="564"/>
      <c r="CI231" s="564"/>
      <c r="CJ231" s="564"/>
      <c r="CK231" s="564"/>
      <c r="CL231" s="564"/>
      <c r="CM231" s="564"/>
      <c r="CN231" s="564"/>
      <c r="CO231" s="564"/>
      <c r="CP231" s="564"/>
      <c r="CQ231" s="564"/>
      <c r="CR231" s="564"/>
      <c r="CS231" s="564"/>
      <c r="CT231" s="568"/>
      <c r="CU231" s="563"/>
      <c r="CV231" s="564"/>
      <c r="CW231" s="568"/>
      <c r="CX231" s="563"/>
      <c r="CY231" s="564"/>
      <c r="CZ231" s="568"/>
      <c r="DA231" s="563"/>
      <c r="DB231" s="564"/>
      <c r="DC231" s="564"/>
      <c r="DD231" s="564"/>
      <c r="DE231" s="564"/>
      <c r="DF231" s="564"/>
      <c r="DG231" s="564"/>
      <c r="DH231" s="564"/>
      <c r="DI231" s="564"/>
      <c r="DJ231" s="564"/>
      <c r="DK231" s="564"/>
      <c r="DL231" s="564"/>
      <c r="DM231" s="564"/>
      <c r="DN231" s="564"/>
      <c r="DO231" s="564"/>
      <c r="DP231" s="564"/>
      <c r="DQ231" s="564"/>
      <c r="DR231" s="564"/>
      <c r="DS231" s="569"/>
      <c r="DT231" s="564"/>
      <c r="DU231" s="569"/>
      <c r="DV231" s="568"/>
      <c r="DW231" s="563"/>
      <c r="DX231" s="564"/>
      <c r="DY231" s="564"/>
      <c r="DZ231" s="564"/>
      <c r="EA231" s="564"/>
      <c r="EB231" s="564"/>
      <c r="EC231" s="564"/>
      <c r="ED231" s="564"/>
      <c r="EE231" s="564"/>
      <c r="EF231" s="564"/>
      <c r="EG231" s="564"/>
      <c r="EH231" s="564"/>
      <c r="EI231" s="564"/>
      <c r="EJ231" s="564"/>
      <c r="EK231" s="564"/>
      <c r="EL231" s="564"/>
      <c r="EM231" s="564"/>
      <c r="EN231" s="564"/>
      <c r="EO231" s="564"/>
      <c r="EP231" s="564"/>
      <c r="EQ231" s="564"/>
      <c r="ER231" s="564"/>
      <c r="ES231" s="564"/>
      <c r="ET231" s="564"/>
      <c r="EU231" s="564"/>
      <c r="EV231" s="564"/>
      <c r="EW231" s="564"/>
      <c r="EX231" s="564"/>
      <c r="EY231" s="564"/>
      <c r="EZ231" s="239"/>
      <c r="FA231" s="564"/>
      <c r="FB231" s="564"/>
      <c r="FC231" s="564"/>
      <c r="FD231" s="564"/>
      <c r="FE231" s="564"/>
      <c r="FF231" s="564"/>
      <c r="FG231" s="564"/>
      <c r="FH231" s="564"/>
      <c r="FI231" s="564"/>
      <c r="FJ231" s="564"/>
      <c r="FK231" s="564"/>
      <c r="FL231" s="564"/>
      <c r="FM231" s="564"/>
      <c r="FN231" s="569"/>
      <c r="FO231" s="564"/>
      <c r="FP231" s="564"/>
      <c r="FQ231" s="564"/>
      <c r="FR231" s="564"/>
      <c r="FS231" s="564"/>
      <c r="FT231" s="564"/>
      <c r="FU231" s="564"/>
      <c r="FV231" s="564"/>
      <c r="FW231" s="564"/>
      <c r="FX231" s="564"/>
      <c r="FY231" s="564"/>
      <c r="FZ231" s="564"/>
      <c r="GA231" s="564"/>
      <c r="GB231" s="564"/>
      <c r="GC231" s="564"/>
      <c r="GD231" s="564"/>
      <c r="GE231" s="564"/>
      <c r="GF231" s="564"/>
      <c r="GG231" s="564"/>
      <c r="GH231" s="564"/>
      <c r="GI231" s="564"/>
      <c r="GJ231" s="564"/>
      <c r="GK231" s="564"/>
      <c r="GL231" s="564"/>
      <c r="GM231" s="564"/>
      <c r="GN231" s="564"/>
      <c r="GO231" s="564"/>
      <c r="GP231" s="564"/>
      <c r="GQ231" s="564"/>
      <c r="GR231" s="564"/>
      <c r="GS231" s="564"/>
      <c r="GT231" s="564"/>
      <c r="GU231" s="564"/>
      <c r="GV231" s="569"/>
      <c r="GW231" s="564"/>
      <c r="GX231" s="564"/>
      <c r="GY231" s="564"/>
      <c r="GZ231" s="564"/>
      <c r="HA231" s="564"/>
      <c r="HB231" s="564"/>
      <c r="HC231" s="564"/>
      <c r="HD231" s="564"/>
      <c r="HE231" s="564"/>
      <c r="HF231" s="564"/>
      <c r="HG231" s="564"/>
      <c r="HH231" s="564"/>
      <c r="HI231" s="564"/>
      <c r="HJ231" s="564"/>
      <c r="HK231" s="569"/>
      <c r="HL231" s="564" t="s">
        <v>35327</v>
      </c>
      <c r="HM231" s="564" t="s">
        <v>7</v>
      </c>
      <c r="HN231" s="564" t="s">
        <v>35328</v>
      </c>
      <c r="HO231" s="564" t="s">
        <v>16</v>
      </c>
      <c r="HP231" s="564" t="s">
        <v>35329</v>
      </c>
      <c r="HQ231" s="564" t="s">
        <v>35330</v>
      </c>
      <c r="HR231" s="564" t="s">
        <v>35331</v>
      </c>
      <c r="HS231" s="564" t="s">
        <v>35332</v>
      </c>
      <c r="HT231" s="568" t="s">
        <v>35333</v>
      </c>
    </row>
    <row r="232" spans="1:228" ht="30.2" customHeight="1" x14ac:dyDescent="0.25">
      <c r="A232" s="759"/>
      <c r="B232" s="563">
        <v>167</v>
      </c>
      <c r="C232" s="563" t="s">
        <v>28871</v>
      </c>
      <c r="D232" s="564" t="s">
        <v>35221</v>
      </c>
      <c r="E232" s="564" t="s">
        <v>35222</v>
      </c>
      <c r="F232" s="564" t="s">
        <v>7</v>
      </c>
      <c r="G232" s="564" t="s">
        <v>35223</v>
      </c>
      <c r="H232" s="564">
        <v>0</v>
      </c>
      <c r="I232" s="564">
        <v>2500</v>
      </c>
      <c r="J232" s="564" t="s">
        <v>29288</v>
      </c>
      <c r="K232" s="564" t="s">
        <v>4</v>
      </c>
      <c r="L232" s="564" t="s">
        <v>35224</v>
      </c>
      <c r="M232" s="564">
        <v>783769208</v>
      </c>
      <c r="N232" s="564" t="s">
        <v>3</v>
      </c>
      <c r="O232" s="564" t="s">
        <v>31598</v>
      </c>
      <c r="P232" s="564" t="s">
        <v>4</v>
      </c>
      <c r="Q232" s="564">
        <v>8</v>
      </c>
      <c r="R232" s="564" t="s">
        <v>7</v>
      </c>
      <c r="S232" s="564" t="s">
        <v>31549</v>
      </c>
      <c r="T232" s="564" t="s">
        <v>4</v>
      </c>
      <c r="U232" s="564" t="s">
        <v>2</v>
      </c>
      <c r="V232" s="564" t="s">
        <v>4</v>
      </c>
      <c r="W232" s="564" t="s">
        <v>4</v>
      </c>
      <c r="X232" s="564" t="s">
        <v>4</v>
      </c>
      <c r="Y232" s="564" t="s">
        <v>4</v>
      </c>
      <c r="Z232" s="565">
        <v>45553</v>
      </c>
      <c r="AA232" s="557" t="str">
        <f>IF(OR(U232="yes",Z232&gt;'SDG outcome'!$C$39),"yes","no")</f>
        <v>yes</v>
      </c>
      <c r="AB232" s="565" t="str">
        <f t="shared" si="7"/>
        <v>NA</v>
      </c>
      <c r="AC232" s="566" t="str">
        <f>IF(AND('SMS p2'!AA179="no",AND(Z232&gt;='SDG outcome'!$B$28,Z232&lt;'SDG outcome'!$C$39)),Z232-'SDG outcome'!$B$28,"")</f>
        <v/>
      </c>
      <c r="AD232" s="564" t="s">
        <v>31572</v>
      </c>
      <c r="AE232" s="564" t="s">
        <v>4</v>
      </c>
      <c r="AF232" s="564" t="s">
        <v>2</v>
      </c>
      <c r="AG232" s="564" t="s">
        <v>4</v>
      </c>
      <c r="AH232" s="564" t="s">
        <v>35225</v>
      </c>
      <c r="AI232" s="564" t="s">
        <v>7</v>
      </c>
      <c r="AJ232" s="564" t="s">
        <v>33539</v>
      </c>
      <c r="AK232" s="564" t="s">
        <v>4</v>
      </c>
      <c r="AL232" s="564"/>
      <c r="AM232" s="564"/>
      <c r="AN232" s="564"/>
      <c r="AO232" s="564"/>
      <c r="AP232" s="564"/>
      <c r="AQ232" s="564"/>
      <c r="AR232" s="564"/>
      <c r="AS232" s="564"/>
      <c r="AT232" s="564"/>
      <c r="AU232" s="564"/>
      <c r="AV232" s="564"/>
      <c r="AW232" s="564"/>
      <c r="AX232" s="564"/>
      <c r="AY232" s="564"/>
      <c r="AZ232" s="564"/>
      <c r="BA232" s="564"/>
      <c r="BB232" s="564"/>
      <c r="BC232" s="564"/>
      <c r="BD232" s="564"/>
      <c r="BE232" s="564"/>
      <c r="BF232" s="564"/>
      <c r="BG232" s="564"/>
      <c r="BH232" s="564"/>
      <c r="BI232" s="564"/>
      <c r="BJ232" s="564"/>
      <c r="BK232" s="564"/>
      <c r="BL232" s="564"/>
      <c r="BM232" s="564"/>
      <c r="BN232" s="564"/>
      <c r="BO232" s="564"/>
      <c r="BP232" s="564"/>
      <c r="BQ232" s="564"/>
      <c r="BR232" s="567"/>
      <c r="BS232" s="564"/>
      <c r="BT232" s="564"/>
      <c r="BU232" s="564"/>
      <c r="BV232" s="564"/>
      <c r="BW232" s="567"/>
      <c r="BX232" s="564"/>
      <c r="BY232" s="564"/>
      <c r="BZ232" s="564"/>
      <c r="CA232" s="564"/>
      <c r="CB232" s="564"/>
      <c r="CC232" s="564"/>
      <c r="CD232" s="564"/>
      <c r="CE232" s="564"/>
      <c r="CF232" s="564"/>
      <c r="CG232" s="564"/>
      <c r="CH232" s="564"/>
      <c r="CI232" s="564"/>
      <c r="CJ232" s="564"/>
      <c r="CK232" s="564"/>
      <c r="CL232" s="564"/>
      <c r="CM232" s="564"/>
      <c r="CN232" s="564"/>
      <c r="CO232" s="564"/>
      <c r="CP232" s="564"/>
      <c r="CQ232" s="564"/>
      <c r="CR232" s="564"/>
      <c r="CS232" s="564"/>
      <c r="CT232" s="568"/>
      <c r="CU232" s="563"/>
      <c r="CV232" s="564"/>
      <c r="CW232" s="568"/>
      <c r="CX232" s="563"/>
      <c r="CY232" s="564"/>
      <c r="CZ232" s="568"/>
      <c r="DA232" s="563"/>
      <c r="DB232" s="564"/>
      <c r="DC232" s="564"/>
      <c r="DD232" s="564"/>
      <c r="DE232" s="564"/>
      <c r="DF232" s="564"/>
      <c r="DG232" s="564"/>
      <c r="DH232" s="564"/>
      <c r="DI232" s="564"/>
      <c r="DJ232" s="564"/>
      <c r="DK232" s="564"/>
      <c r="DL232" s="564"/>
      <c r="DM232" s="564"/>
      <c r="DN232" s="564"/>
      <c r="DO232" s="564"/>
      <c r="DP232" s="564"/>
      <c r="DQ232" s="564"/>
      <c r="DR232" s="564"/>
      <c r="DS232" s="569"/>
      <c r="DT232" s="564"/>
      <c r="DU232" s="569"/>
      <c r="DV232" s="568"/>
      <c r="DW232" s="563"/>
      <c r="DX232" s="564"/>
      <c r="DY232" s="564"/>
      <c r="DZ232" s="564"/>
      <c r="EA232" s="564"/>
      <c r="EB232" s="564"/>
      <c r="EC232" s="564"/>
      <c r="ED232" s="564"/>
      <c r="EE232" s="564"/>
      <c r="EF232" s="564"/>
      <c r="EG232" s="564"/>
      <c r="EH232" s="564"/>
      <c r="EI232" s="564"/>
      <c r="EJ232" s="564"/>
      <c r="EK232" s="564"/>
      <c r="EL232" s="564"/>
      <c r="EM232" s="564"/>
      <c r="EN232" s="564"/>
      <c r="EO232" s="564"/>
      <c r="EP232" s="564"/>
      <c r="EQ232" s="564"/>
      <c r="ER232" s="564"/>
      <c r="ES232" s="564"/>
      <c r="ET232" s="564"/>
      <c r="EU232" s="564"/>
      <c r="EV232" s="564"/>
      <c r="EW232" s="564"/>
      <c r="EX232" s="564"/>
      <c r="EY232" s="564"/>
      <c r="EZ232" s="239"/>
      <c r="FA232" s="564"/>
      <c r="FB232" s="564"/>
      <c r="FC232" s="564"/>
      <c r="FD232" s="564"/>
      <c r="FE232" s="564"/>
      <c r="FF232" s="564"/>
      <c r="FG232" s="564"/>
      <c r="FH232" s="564"/>
      <c r="FI232" s="564"/>
      <c r="FJ232" s="564"/>
      <c r="FK232" s="564"/>
      <c r="FL232" s="564"/>
      <c r="FM232" s="564"/>
      <c r="FN232" s="569"/>
      <c r="FO232" s="564"/>
      <c r="FP232" s="564"/>
      <c r="FQ232" s="564"/>
      <c r="FR232" s="564"/>
      <c r="FS232" s="564"/>
      <c r="FT232" s="564"/>
      <c r="FU232" s="564"/>
      <c r="FV232" s="564"/>
      <c r="FW232" s="564"/>
      <c r="FX232" s="564"/>
      <c r="FY232" s="564"/>
      <c r="FZ232" s="564"/>
      <c r="GA232" s="564"/>
      <c r="GB232" s="564"/>
      <c r="GC232" s="564"/>
      <c r="GD232" s="564"/>
      <c r="GE232" s="564"/>
      <c r="GF232" s="564"/>
      <c r="GG232" s="564"/>
      <c r="GH232" s="564"/>
      <c r="GI232" s="564"/>
      <c r="GJ232" s="564"/>
      <c r="GK232" s="564"/>
      <c r="GL232" s="564"/>
      <c r="GM232" s="564"/>
      <c r="GN232" s="564"/>
      <c r="GO232" s="564"/>
      <c r="GP232" s="564"/>
      <c r="GQ232" s="564"/>
      <c r="GR232" s="564"/>
      <c r="GS232" s="564"/>
      <c r="GT232" s="564"/>
      <c r="GU232" s="564"/>
      <c r="GV232" s="569"/>
      <c r="GW232" s="564"/>
      <c r="GX232" s="564"/>
      <c r="GY232" s="564"/>
      <c r="GZ232" s="564"/>
      <c r="HA232" s="564"/>
      <c r="HB232" s="564"/>
      <c r="HC232" s="564"/>
      <c r="HD232" s="564"/>
      <c r="HE232" s="564"/>
      <c r="HF232" s="564"/>
      <c r="HG232" s="564"/>
      <c r="HH232" s="564"/>
      <c r="HI232" s="564"/>
      <c r="HJ232" s="564"/>
      <c r="HK232" s="569"/>
      <c r="HL232" s="564" t="s">
        <v>35226</v>
      </c>
      <c r="HM232" s="564" t="s">
        <v>7</v>
      </c>
      <c r="HN232" s="564" t="s">
        <v>35227</v>
      </c>
      <c r="HO232" s="564" t="s">
        <v>35228</v>
      </c>
      <c r="HP232" s="564" t="s">
        <v>35229</v>
      </c>
      <c r="HQ232" s="564" t="s">
        <v>35230</v>
      </c>
      <c r="HR232" s="564" t="s">
        <v>35231</v>
      </c>
      <c r="HS232" s="564" t="s">
        <v>35232</v>
      </c>
      <c r="HT232" s="568" t="s">
        <v>35233</v>
      </c>
    </row>
    <row r="233" spans="1:228" ht="30.2" customHeight="1" x14ac:dyDescent="0.25">
      <c r="A233" s="759"/>
      <c r="B233" s="563">
        <v>13</v>
      </c>
      <c r="C233" s="563" t="s">
        <v>23626</v>
      </c>
      <c r="D233" s="564" t="s">
        <v>33492</v>
      </c>
      <c r="E233" s="564" t="s">
        <v>52</v>
      </c>
      <c r="F233" s="564" t="s">
        <v>7</v>
      </c>
      <c r="G233" s="564" t="s">
        <v>33493</v>
      </c>
      <c r="H233" s="564">
        <v>1575.063232</v>
      </c>
      <c r="I233" s="564">
        <v>4.1506319999999999</v>
      </c>
      <c r="J233" s="564" t="s">
        <v>29349</v>
      </c>
      <c r="K233" s="564" t="s">
        <v>4</v>
      </c>
      <c r="L233" s="564" t="s">
        <v>33494</v>
      </c>
      <c r="M233" s="564">
        <v>780374720</v>
      </c>
      <c r="N233" s="564" t="s">
        <v>3</v>
      </c>
      <c r="O233" s="564" t="s">
        <v>31590</v>
      </c>
      <c r="P233" s="564" t="s">
        <v>4</v>
      </c>
      <c r="Q233" s="564">
        <v>10</v>
      </c>
      <c r="R233" s="564" t="s">
        <v>7</v>
      </c>
      <c r="S233" s="564" t="s">
        <v>31622</v>
      </c>
      <c r="T233" s="564" t="s">
        <v>33495</v>
      </c>
      <c r="U233" s="564" t="s">
        <v>2</v>
      </c>
      <c r="V233" s="564" t="s">
        <v>4</v>
      </c>
      <c r="W233" s="564" t="s">
        <v>4</v>
      </c>
      <c r="X233" s="564" t="s">
        <v>4</v>
      </c>
      <c r="Y233" s="564" t="s">
        <v>4</v>
      </c>
      <c r="Z233" s="565">
        <v>45170</v>
      </c>
      <c r="AA233" s="557" t="str">
        <f>IF(OR(U233="yes",Z233&gt;'SDG outcome'!$C$39),"yes","no")</f>
        <v>no</v>
      </c>
      <c r="AB233" s="565" t="str">
        <f t="shared" si="7"/>
        <v/>
      </c>
      <c r="AC233" s="566" t="str">
        <f>IF(AND('SMS p2'!AA25="no",AND(Z233&gt;='SDG outcome'!$B$28,Z233&lt;'SDG outcome'!$C$39)),Z233-'SDG outcome'!$B$28,"")</f>
        <v/>
      </c>
      <c r="AD233" s="564" t="s">
        <v>31572</v>
      </c>
      <c r="AE233" s="564" t="s">
        <v>4</v>
      </c>
      <c r="AF233" s="564" t="s">
        <v>2</v>
      </c>
      <c r="AG233" s="564" t="s">
        <v>4</v>
      </c>
      <c r="AH233" s="564" t="s">
        <v>33496</v>
      </c>
      <c r="AI233" s="564" t="s">
        <v>7</v>
      </c>
      <c r="AJ233" s="565">
        <v>45560</v>
      </c>
      <c r="AK233" s="564" t="s">
        <v>4</v>
      </c>
      <c r="AL233" s="564"/>
      <c r="AM233" s="564"/>
      <c r="AN233" s="564"/>
      <c r="AO233" s="564"/>
      <c r="AP233" s="564"/>
      <c r="AQ233" s="564"/>
      <c r="AR233" s="564"/>
      <c r="AS233" s="564"/>
      <c r="AT233" s="564"/>
      <c r="AU233" s="564"/>
      <c r="AV233" s="564"/>
      <c r="AW233" s="564"/>
      <c r="AX233" s="564"/>
      <c r="AY233" s="564"/>
      <c r="AZ233" s="564"/>
      <c r="BA233" s="564"/>
      <c r="BB233" s="564"/>
      <c r="BC233" s="564"/>
      <c r="BD233" s="564"/>
      <c r="BE233" s="564"/>
      <c r="BF233" s="564"/>
      <c r="BG233" s="564"/>
      <c r="BH233" s="564"/>
      <c r="BI233" s="564"/>
      <c r="BJ233" s="564"/>
      <c r="BK233" s="564"/>
      <c r="BL233" s="564"/>
      <c r="BM233" s="564"/>
      <c r="BN233" s="564"/>
      <c r="BO233" s="564"/>
      <c r="BP233" s="564"/>
      <c r="BQ233" s="564"/>
      <c r="BR233" s="567"/>
      <c r="BS233" s="564"/>
      <c r="BT233" s="564"/>
      <c r="BU233" s="564"/>
      <c r="BV233" s="564"/>
      <c r="BW233" s="567"/>
      <c r="BX233" s="564"/>
      <c r="BY233" s="564"/>
      <c r="BZ233" s="564"/>
      <c r="CA233" s="564"/>
      <c r="CB233" s="564"/>
      <c r="CC233" s="564"/>
      <c r="CD233" s="564"/>
      <c r="CE233" s="564"/>
      <c r="CF233" s="564"/>
      <c r="CG233" s="564"/>
      <c r="CH233" s="564"/>
      <c r="CI233" s="564"/>
      <c r="CJ233" s="564"/>
      <c r="CK233" s="564"/>
      <c r="CL233" s="564"/>
      <c r="CM233" s="564"/>
      <c r="CN233" s="564"/>
      <c r="CO233" s="564"/>
      <c r="CP233" s="564"/>
      <c r="CQ233" s="564"/>
      <c r="CR233" s="564"/>
      <c r="CS233" s="564"/>
      <c r="CT233" s="568"/>
      <c r="CU233" s="563"/>
      <c r="CV233" s="564"/>
      <c r="CW233" s="568"/>
      <c r="CX233" s="563"/>
      <c r="CY233" s="564"/>
      <c r="CZ233" s="568"/>
      <c r="DA233" s="563"/>
      <c r="DB233" s="564"/>
      <c r="DC233" s="564"/>
      <c r="DD233" s="564"/>
      <c r="DE233" s="564"/>
      <c r="DF233" s="564"/>
      <c r="DG233" s="564"/>
      <c r="DH233" s="564"/>
      <c r="DI233" s="564"/>
      <c r="DJ233" s="564"/>
      <c r="DK233" s="564"/>
      <c r="DL233" s="564"/>
      <c r="DM233" s="564"/>
      <c r="DN233" s="564"/>
      <c r="DO233" s="564"/>
      <c r="DP233" s="564"/>
      <c r="DQ233" s="564"/>
      <c r="DR233" s="564"/>
      <c r="DS233" s="569"/>
      <c r="DT233" s="564"/>
      <c r="DU233" s="569"/>
      <c r="DV233" s="568"/>
      <c r="DW233" s="563"/>
      <c r="DX233" s="564"/>
      <c r="DY233" s="564"/>
      <c r="DZ233" s="564"/>
      <c r="EA233" s="564"/>
      <c r="EB233" s="564"/>
      <c r="EC233" s="564"/>
      <c r="ED233" s="564"/>
      <c r="EE233" s="564"/>
      <c r="EF233" s="564"/>
      <c r="EG233" s="564"/>
      <c r="EH233" s="564"/>
      <c r="EI233" s="564"/>
      <c r="EJ233" s="564"/>
      <c r="EK233" s="564"/>
      <c r="EL233" s="564"/>
      <c r="EM233" s="564"/>
      <c r="EN233" s="564"/>
      <c r="EO233" s="564"/>
      <c r="EP233" s="564"/>
      <c r="EQ233" s="564"/>
      <c r="ER233" s="564"/>
      <c r="ES233" s="564"/>
      <c r="ET233" s="564"/>
      <c r="EU233" s="564"/>
      <c r="EV233" s="564"/>
      <c r="EW233" s="564"/>
      <c r="EX233" s="564"/>
      <c r="EY233" s="564"/>
      <c r="EZ233" s="239"/>
      <c r="FA233" s="564"/>
      <c r="FB233" s="564"/>
      <c r="FC233" s="564"/>
      <c r="FD233" s="564"/>
      <c r="FE233" s="564"/>
      <c r="FF233" s="564"/>
      <c r="FG233" s="564"/>
      <c r="FH233" s="564"/>
      <c r="FI233" s="564"/>
      <c r="FJ233" s="564"/>
      <c r="FK233" s="564"/>
      <c r="FL233" s="564"/>
      <c r="FM233" s="564"/>
      <c r="FN233" s="569"/>
      <c r="FO233" s="564"/>
      <c r="FP233" s="564"/>
      <c r="FQ233" s="564"/>
      <c r="FR233" s="564"/>
      <c r="FS233" s="564"/>
      <c r="FT233" s="564"/>
      <c r="FU233" s="564"/>
      <c r="FV233" s="564"/>
      <c r="FW233" s="564"/>
      <c r="FX233" s="564"/>
      <c r="FY233" s="564"/>
      <c r="FZ233" s="564"/>
      <c r="GA233" s="564"/>
      <c r="GB233" s="564"/>
      <c r="GC233" s="564"/>
      <c r="GD233" s="564"/>
      <c r="GE233" s="564"/>
      <c r="GF233" s="564"/>
      <c r="GG233" s="564"/>
      <c r="GH233" s="564"/>
      <c r="GI233" s="564"/>
      <c r="GJ233" s="564"/>
      <c r="GK233" s="564"/>
      <c r="GL233" s="564"/>
      <c r="GM233" s="564"/>
      <c r="GN233" s="564"/>
      <c r="GO233" s="564"/>
      <c r="GP233" s="564"/>
      <c r="GQ233" s="564"/>
      <c r="GR233" s="564"/>
      <c r="GS233" s="564"/>
      <c r="GT233" s="564"/>
      <c r="GU233" s="564"/>
      <c r="GV233" s="569"/>
      <c r="GW233" s="564"/>
      <c r="GX233" s="564"/>
      <c r="GY233" s="564"/>
      <c r="GZ233" s="564"/>
      <c r="HA233" s="564"/>
      <c r="HB233" s="564"/>
      <c r="HC233" s="564"/>
      <c r="HD233" s="564"/>
      <c r="HE233" s="564"/>
      <c r="HF233" s="564"/>
      <c r="HG233" s="564"/>
      <c r="HH233" s="564"/>
      <c r="HI233" s="564"/>
      <c r="HJ233" s="564"/>
      <c r="HK233" s="569"/>
      <c r="HL233" s="564" t="s">
        <v>33474</v>
      </c>
      <c r="HM233" s="564" t="s">
        <v>7</v>
      </c>
      <c r="HN233" s="564" t="s">
        <v>33497</v>
      </c>
      <c r="HO233" s="564" t="s">
        <v>16</v>
      </c>
      <c r="HP233" s="564" t="s">
        <v>33498</v>
      </c>
      <c r="HQ233" s="564" t="s">
        <v>33499</v>
      </c>
      <c r="HR233" s="564" t="s">
        <v>33500</v>
      </c>
      <c r="HS233" s="564" t="s">
        <v>33501</v>
      </c>
      <c r="HT233" s="568" t="s">
        <v>33502</v>
      </c>
    </row>
    <row r="234" spans="1:228" ht="30.2" customHeight="1" x14ac:dyDescent="0.25">
      <c r="A234" s="759"/>
      <c r="B234" s="563">
        <v>168</v>
      </c>
      <c r="C234" s="563" t="s">
        <v>28559</v>
      </c>
      <c r="D234" s="564" t="s">
        <v>35234</v>
      </c>
      <c r="E234" s="564" t="s">
        <v>35222</v>
      </c>
      <c r="F234" s="564" t="s">
        <v>7</v>
      </c>
      <c r="G234" s="564" t="s">
        <v>35235</v>
      </c>
      <c r="H234" s="564">
        <v>0</v>
      </c>
      <c r="I234" s="564">
        <v>2200</v>
      </c>
      <c r="J234" s="564" t="s">
        <v>29288</v>
      </c>
      <c r="K234" s="564" t="s">
        <v>4</v>
      </c>
      <c r="L234" s="564" t="s">
        <v>35236</v>
      </c>
      <c r="M234" s="564">
        <v>758843391</v>
      </c>
      <c r="N234" s="564" t="s">
        <v>3</v>
      </c>
      <c r="O234" s="564" t="s">
        <v>31598</v>
      </c>
      <c r="P234" s="564" t="s">
        <v>4</v>
      </c>
      <c r="Q234" s="564">
        <v>6</v>
      </c>
      <c r="R234" s="564" t="s">
        <v>7</v>
      </c>
      <c r="S234" s="564" t="s">
        <v>31549</v>
      </c>
      <c r="T234" s="564" t="s">
        <v>4</v>
      </c>
      <c r="U234" s="564" t="s">
        <v>2</v>
      </c>
      <c r="V234" s="564" t="s">
        <v>4</v>
      </c>
      <c r="W234" s="564" t="s">
        <v>4</v>
      </c>
      <c r="X234" s="564" t="s">
        <v>4</v>
      </c>
      <c r="Y234" s="564" t="s">
        <v>4</v>
      </c>
      <c r="Z234" s="565">
        <v>44477</v>
      </c>
      <c r="AA234" s="557" t="str">
        <f>IF(OR(U234="yes",Z234&gt;'SDG outcome'!$C$39),"yes","no")</f>
        <v>no</v>
      </c>
      <c r="AB234" s="565" t="str">
        <f t="shared" si="7"/>
        <v/>
      </c>
      <c r="AC234" s="566" t="str">
        <f>IF(AND('SMS p2'!AA180="no",AND(Z234&gt;='SDG outcome'!$B$28,Z234&lt;'SDG outcome'!$C$39)),Z234-'SDG outcome'!$B$28,"")</f>
        <v/>
      </c>
      <c r="AD234" s="564" t="s">
        <v>31572</v>
      </c>
      <c r="AE234" s="564" t="s">
        <v>4</v>
      </c>
      <c r="AF234" s="564" t="s">
        <v>2</v>
      </c>
      <c r="AG234" s="564" t="s">
        <v>4</v>
      </c>
      <c r="AH234" s="564" t="s">
        <v>35237</v>
      </c>
      <c r="AI234" s="564" t="s">
        <v>7</v>
      </c>
      <c r="AJ234" s="564" t="s">
        <v>33539</v>
      </c>
      <c r="AK234" s="564" t="s">
        <v>4</v>
      </c>
      <c r="AL234" s="564"/>
      <c r="AM234" s="564"/>
      <c r="AN234" s="564"/>
      <c r="AO234" s="564"/>
      <c r="AP234" s="564"/>
      <c r="AQ234" s="564"/>
      <c r="AR234" s="564"/>
      <c r="AS234" s="564"/>
      <c r="AT234" s="564"/>
      <c r="AU234" s="564"/>
      <c r="AV234" s="564"/>
      <c r="AW234" s="564"/>
      <c r="AX234" s="564"/>
      <c r="AY234" s="564"/>
      <c r="AZ234" s="564"/>
      <c r="BA234" s="564"/>
      <c r="BB234" s="564"/>
      <c r="BC234" s="564"/>
      <c r="BD234" s="564"/>
      <c r="BE234" s="564"/>
      <c r="BF234" s="564"/>
      <c r="BG234" s="564"/>
      <c r="BH234" s="564"/>
      <c r="BI234" s="564"/>
      <c r="BJ234" s="564"/>
      <c r="BK234" s="564"/>
      <c r="BL234" s="564"/>
      <c r="BM234" s="564"/>
      <c r="BN234" s="564"/>
      <c r="BO234" s="564"/>
      <c r="BP234" s="564"/>
      <c r="BQ234" s="564"/>
      <c r="BR234" s="567"/>
      <c r="BS234" s="564"/>
      <c r="BT234" s="564"/>
      <c r="BU234" s="564"/>
      <c r="BV234" s="564"/>
      <c r="BW234" s="567"/>
      <c r="BX234" s="564"/>
      <c r="BY234" s="564"/>
      <c r="BZ234" s="564"/>
      <c r="CA234" s="564"/>
      <c r="CB234" s="564"/>
      <c r="CC234" s="564"/>
      <c r="CD234" s="564"/>
      <c r="CE234" s="564"/>
      <c r="CF234" s="564"/>
      <c r="CG234" s="564"/>
      <c r="CH234" s="564"/>
      <c r="CI234" s="564"/>
      <c r="CJ234" s="564"/>
      <c r="CK234" s="564"/>
      <c r="CL234" s="564"/>
      <c r="CM234" s="564"/>
      <c r="CN234" s="564"/>
      <c r="CO234" s="564"/>
      <c r="CP234" s="564"/>
      <c r="CQ234" s="564"/>
      <c r="CR234" s="564"/>
      <c r="CS234" s="564"/>
      <c r="CT234" s="568"/>
      <c r="CU234" s="563"/>
      <c r="CV234" s="564"/>
      <c r="CW234" s="568"/>
      <c r="CX234" s="563"/>
      <c r="CY234" s="564"/>
      <c r="CZ234" s="568"/>
      <c r="DA234" s="563"/>
      <c r="DB234" s="564"/>
      <c r="DC234" s="564"/>
      <c r="DD234" s="564"/>
      <c r="DE234" s="564"/>
      <c r="DF234" s="564"/>
      <c r="DG234" s="564"/>
      <c r="DH234" s="564"/>
      <c r="DI234" s="564"/>
      <c r="DJ234" s="564"/>
      <c r="DK234" s="564"/>
      <c r="DL234" s="564"/>
      <c r="DM234" s="564"/>
      <c r="DN234" s="564"/>
      <c r="DO234" s="564"/>
      <c r="DP234" s="564"/>
      <c r="DQ234" s="564"/>
      <c r="DR234" s="564"/>
      <c r="DS234" s="569"/>
      <c r="DT234" s="564"/>
      <c r="DU234" s="569"/>
      <c r="DV234" s="568"/>
      <c r="DW234" s="563"/>
      <c r="DX234" s="564"/>
      <c r="DY234" s="564"/>
      <c r="DZ234" s="564"/>
      <c r="EA234" s="564"/>
      <c r="EB234" s="564"/>
      <c r="EC234" s="564"/>
      <c r="ED234" s="564"/>
      <c r="EE234" s="564"/>
      <c r="EF234" s="564"/>
      <c r="EG234" s="564"/>
      <c r="EH234" s="564"/>
      <c r="EI234" s="564"/>
      <c r="EJ234" s="564"/>
      <c r="EK234" s="564"/>
      <c r="EL234" s="564"/>
      <c r="EM234" s="564"/>
      <c r="EN234" s="564"/>
      <c r="EO234" s="564"/>
      <c r="EP234" s="564"/>
      <c r="EQ234" s="564"/>
      <c r="ER234" s="564"/>
      <c r="ES234" s="564"/>
      <c r="ET234" s="564"/>
      <c r="EU234" s="564"/>
      <c r="EV234" s="564"/>
      <c r="EW234" s="564"/>
      <c r="EX234" s="564"/>
      <c r="EY234" s="564"/>
      <c r="EZ234" s="239"/>
      <c r="FA234" s="564"/>
      <c r="FB234" s="564"/>
      <c r="FC234" s="564"/>
      <c r="FD234" s="564"/>
      <c r="FE234" s="564"/>
      <c r="FF234" s="564"/>
      <c r="FG234" s="564"/>
      <c r="FH234" s="564"/>
      <c r="FI234" s="564"/>
      <c r="FJ234" s="564"/>
      <c r="FK234" s="564"/>
      <c r="FL234" s="564"/>
      <c r="FM234" s="564"/>
      <c r="FN234" s="569"/>
      <c r="FO234" s="564"/>
      <c r="FP234" s="564"/>
      <c r="FQ234" s="564"/>
      <c r="FR234" s="564"/>
      <c r="FS234" s="564"/>
      <c r="FT234" s="564"/>
      <c r="FU234" s="564"/>
      <c r="FV234" s="564"/>
      <c r="FW234" s="564"/>
      <c r="FX234" s="564"/>
      <c r="FY234" s="564"/>
      <c r="FZ234" s="564"/>
      <c r="GA234" s="564"/>
      <c r="GB234" s="564"/>
      <c r="GC234" s="564"/>
      <c r="GD234" s="564"/>
      <c r="GE234" s="564"/>
      <c r="GF234" s="564"/>
      <c r="GG234" s="564"/>
      <c r="GH234" s="564"/>
      <c r="GI234" s="564"/>
      <c r="GJ234" s="564"/>
      <c r="GK234" s="564"/>
      <c r="GL234" s="564"/>
      <c r="GM234" s="564"/>
      <c r="GN234" s="564"/>
      <c r="GO234" s="564"/>
      <c r="GP234" s="564"/>
      <c r="GQ234" s="564"/>
      <c r="GR234" s="564"/>
      <c r="GS234" s="564"/>
      <c r="GT234" s="564"/>
      <c r="GU234" s="564"/>
      <c r="GV234" s="569"/>
      <c r="GW234" s="564"/>
      <c r="GX234" s="564"/>
      <c r="GY234" s="564"/>
      <c r="GZ234" s="564"/>
      <c r="HA234" s="564"/>
      <c r="HB234" s="564"/>
      <c r="HC234" s="564"/>
      <c r="HD234" s="564"/>
      <c r="HE234" s="564"/>
      <c r="HF234" s="564"/>
      <c r="HG234" s="564"/>
      <c r="HH234" s="564"/>
      <c r="HI234" s="564"/>
      <c r="HJ234" s="564"/>
      <c r="HK234" s="569"/>
      <c r="HL234" s="564" t="s">
        <v>35238</v>
      </c>
      <c r="HM234" s="564" t="s">
        <v>7</v>
      </c>
      <c r="HN234" s="564" t="s">
        <v>35239</v>
      </c>
      <c r="HO234" s="564" t="s">
        <v>35240</v>
      </c>
      <c r="HP234" s="564" t="s">
        <v>35241</v>
      </c>
      <c r="HQ234" s="564" t="s">
        <v>16</v>
      </c>
      <c r="HR234" s="564" t="s">
        <v>35242</v>
      </c>
      <c r="HS234" s="564" t="s">
        <v>35243</v>
      </c>
      <c r="HT234" s="568" t="s">
        <v>35244</v>
      </c>
    </row>
    <row r="235" spans="1:228" ht="30.2" customHeight="1" x14ac:dyDescent="0.25">
      <c r="A235" s="759"/>
      <c r="B235" s="563">
        <v>97</v>
      </c>
      <c r="C235" s="563" t="s">
        <v>22660</v>
      </c>
      <c r="D235" s="564" t="s">
        <v>34448</v>
      </c>
      <c r="E235" s="564" t="s">
        <v>70</v>
      </c>
      <c r="F235" s="564" t="s">
        <v>7</v>
      </c>
      <c r="G235" s="564" t="s">
        <v>34449</v>
      </c>
      <c r="H235" s="564">
        <v>1331.2</v>
      </c>
      <c r="I235" s="564">
        <v>7</v>
      </c>
      <c r="J235" s="564" t="s">
        <v>29389</v>
      </c>
      <c r="K235" s="564" t="s">
        <v>33816</v>
      </c>
      <c r="L235" s="564" t="s">
        <v>34450</v>
      </c>
      <c r="M235" s="564">
        <v>789040585</v>
      </c>
      <c r="N235" s="564" t="s">
        <v>5</v>
      </c>
      <c r="O235" s="564" t="s">
        <v>31438</v>
      </c>
      <c r="P235" s="564">
        <v>30</v>
      </c>
      <c r="Q235" s="564">
        <v>5</v>
      </c>
      <c r="R235" s="564" t="s">
        <v>7</v>
      </c>
      <c r="S235" s="564" t="s">
        <v>31549</v>
      </c>
      <c r="T235" s="564" t="s">
        <v>4</v>
      </c>
      <c r="U235" s="564" t="s">
        <v>2</v>
      </c>
      <c r="V235" s="564" t="s">
        <v>4</v>
      </c>
      <c r="W235" s="564" t="s">
        <v>4</v>
      </c>
      <c r="X235" s="564" t="s">
        <v>4</v>
      </c>
      <c r="Y235" s="564" t="s">
        <v>4</v>
      </c>
      <c r="Z235" s="565">
        <v>45374</v>
      </c>
      <c r="AA235" s="557" t="str">
        <f>IF(OR(U235="yes",Z235&gt;'SDG outcome'!$C$39),"yes","no")</f>
        <v>no</v>
      </c>
      <c r="AB235" s="565" t="str">
        <f t="shared" si="7"/>
        <v/>
      </c>
      <c r="AC235" s="566" t="str">
        <f>IF(AND('SMS p2'!AA109="no",AND(Z235&gt;='SDG outcome'!$B$28,Z235&lt;'SDG outcome'!$C$39)),Z235-'SDG outcome'!$B$28,"")</f>
        <v/>
      </c>
      <c r="AD235" s="564" t="s">
        <v>31572</v>
      </c>
      <c r="AE235" s="564" t="s">
        <v>4</v>
      </c>
      <c r="AF235" s="564" t="s">
        <v>2</v>
      </c>
      <c r="AG235" s="564" t="s">
        <v>4</v>
      </c>
      <c r="AH235" s="564" t="s">
        <v>34451</v>
      </c>
      <c r="AI235" s="564" t="s">
        <v>34376</v>
      </c>
      <c r="AJ235" s="564" t="s">
        <v>33539</v>
      </c>
      <c r="AK235" s="564" t="s">
        <v>4</v>
      </c>
      <c r="AL235" s="564"/>
      <c r="AM235" s="564"/>
      <c r="AN235" s="564"/>
      <c r="AO235" s="564"/>
      <c r="AP235" s="564"/>
      <c r="AQ235" s="564"/>
      <c r="AR235" s="564"/>
      <c r="AS235" s="564"/>
      <c r="AT235" s="564"/>
      <c r="AU235" s="564"/>
      <c r="AV235" s="564"/>
      <c r="AW235" s="564"/>
      <c r="AX235" s="564"/>
      <c r="AY235" s="564"/>
      <c r="AZ235" s="564"/>
      <c r="BA235" s="564"/>
      <c r="BB235" s="564"/>
      <c r="BC235" s="564"/>
      <c r="BD235" s="564"/>
      <c r="BE235" s="564"/>
      <c r="BF235" s="564"/>
      <c r="BG235" s="564"/>
      <c r="BH235" s="564"/>
      <c r="BI235" s="564"/>
      <c r="BJ235" s="564"/>
      <c r="BK235" s="564"/>
      <c r="BL235" s="564"/>
      <c r="BM235" s="564"/>
      <c r="BN235" s="564"/>
      <c r="BO235" s="564"/>
      <c r="BP235" s="564"/>
      <c r="BQ235" s="564"/>
      <c r="BR235" s="567"/>
      <c r="BS235" s="564"/>
      <c r="BT235" s="564"/>
      <c r="BU235" s="564"/>
      <c r="BV235" s="564"/>
      <c r="BW235" s="567"/>
      <c r="BX235" s="564"/>
      <c r="BY235" s="564"/>
      <c r="BZ235" s="564"/>
      <c r="CA235" s="564"/>
      <c r="CB235" s="564"/>
      <c r="CC235" s="564"/>
      <c r="CD235" s="564"/>
      <c r="CE235" s="564"/>
      <c r="CF235" s="564"/>
      <c r="CG235" s="564"/>
      <c r="CH235" s="564"/>
      <c r="CI235" s="564"/>
      <c r="CJ235" s="564"/>
      <c r="CK235" s="564"/>
      <c r="CL235" s="564"/>
      <c r="CM235" s="564"/>
      <c r="CN235" s="564"/>
      <c r="CO235" s="564"/>
      <c r="CP235" s="564"/>
      <c r="CQ235" s="564"/>
      <c r="CR235" s="564"/>
      <c r="CS235" s="564"/>
      <c r="CT235" s="568"/>
      <c r="CU235" s="563"/>
      <c r="CV235" s="564"/>
      <c r="CW235" s="568"/>
      <c r="CX235" s="563"/>
      <c r="CY235" s="564"/>
      <c r="CZ235" s="568"/>
      <c r="DA235" s="563"/>
      <c r="DB235" s="564"/>
      <c r="DC235" s="564"/>
      <c r="DD235" s="564"/>
      <c r="DE235" s="564"/>
      <c r="DF235" s="564"/>
      <c r="DG235" s="564"/>
      <c r="DH235" s="564"/>
      <c r="DI235" s="564"/>
      <c r="DJ235" s="564"/>
      <c r="DK235" s="564"/>
      <c r="DL235" s="564"/>
      <c r="DM235" s="564"/>
      <c r="DN235" s="564"/>
      <c r="DO235" s="564"/>
      <c r="DP235" s="564"/>
      <c r="DQ235" s="564"/>
      <c r="DR235" s="564"/>
      <c r="DS235" s="569"/>
      <c r="DT235" s="564"/>
      <c r="DU235" s="569"/>
      <c r="DV235" s="568"/>
      <c r="DW235" s="563"/>
      <c r="DX235" s="564"/>
      <c r="DY235" s="564"/>
      <c r="DZ235" s="564"/>
      <c r="EA235" s="564"/>
      <c r="EB235" s="564"/>
      <c r="EC235" s="564"/>
      <c r="ED235" s="564"/>
      <c r="EE235" s="564"/>
      <c r="EF235" s="564"/>
      <c r="EG235" s="564"/>
      <c r="EH235" s="564"/>
      <c r="EI235" s="564"/>
      <c r="EJ235" s="564"/>
      <c r="EK235" s="564"/>
      <c r="EL235" s="564"/>
      <c r="EM235" s="564"/>
      <c r="EN235" s="564"/>
      <c r="EO235" s="564"/>
      <c r="EP235" s="564"/>
      <c r="EQ235" s="564"/>
      <c r="ER235" s="564"/>
      <c r="ES235" s="564"/>
      <c r="ET235" s="564"/>
      <c r="EU235" s="564"/>
      <c r="EV235" s="564"/>
      <c r="EW235" s="564"/>
      <c r="EX235" s="564"/>
      <c r="EY235" s="564"/>
      <c r="EZ235" s="239"/>
      <c r="FA235" s="564"/>
      <c r="FB235" s="564"/>
      <c r="FC235" s="564"/>
      <c r="FD235" s="564"/>
      <c r="FE235" s="564"/>
      <c r="FF235" s="564"/>
      <c r="FG235" s="564"/>
      <c r="FH235" s="564"/>
      <c r="FI235" s="564"/>
      <c r="FJ235" s="564"/>
      <c r="FK235" s="564"/>
      <c r="FL235" s="564"/>
      <c r="FM235" s="564"/>
      <c r="FN235" s="569"/>
      <c r="FO235" s="564"/>
      <c r="FP235" s="564"/>
      <c r="FQ235" s="564"/>
      <c r="FR235" s="564"/>
      <c r="FS235" s="564"/>
      <c r="FT235" s="564"/>
      <c r="FU235" s="564"/>
      <c r="FV235" s="564"/>
      <c r="FW235" s="564"/>
      <c r="FX235" s="564"/>
      <c r="FY235" s="564"/>
      <c r="FZ235" s="564"/>
      <c r="GA235" s="564"/>
      <c r="GB235" s="564"/>
      <c r="GC235" s="564"/>
      <c r="GD235" s="564"/>
      <c r="GE235" s="564"/>
      <c r="GF235" s="564"/>
      <c r="GG235" s="564"/>
      <c r="GH235" s="564"/>
      <c r="GI235" s="564"/>
      <c r="GJ235" s="564"/>
      <c r="GK235" s="564"/>
      <c r="GL235" s="564"/>
      <c r="GM235" s="564"/>
      <c r="GN235" s="564"/>
      <c r="GO235" s="564"/>
      <c r="GP235" s="564"/>
      <c r="GQ235" s="564"/>
      <c r="GR235" s="564"/>
      <c r="GS235" s="564"/>
      <c r="GT235" s="564"/>
      <c r="GU235" s="564"/>
      <c r="GV235" s="569"/>
      <c r="GW235" s="564"/>
      <c r="GX235" s="564"/>
      <c r="GY235" s="564"/>
      <c r="GZ235" s="564"/>
      <c r="HA235" s="564"/>
      <c r="HB235" s="564"/>
      <c r="HC235" s="564"/>
      <c r="HD235" s="564"/>
      <c r="HE235" s="564"/>
      <c r="HF235" s="564"/>
      <c r="HG235" s="564"/>
      <c r="HH235" s="564"/>
      <c r="HI235" s="564"/>
      <c r="HJ235" s="564"/>
      <c r="HK235" s="569"/>
      <c r="HL235" s="564" t="s">
        <v>33474</v>
      </c>
      <c r="HM235" s="564" t="s">
        <v>7</v>
      </c>
      <c r="HN235" s="564" t="s">
        <v>34414</v>
      </c>
      <c r="HO235" s="564" t="s">
        <v>34452</v>
      </c>
      <c r="HP235" s="564" t="s">
        <v>34453</v>
      </c>
      <c r="HQ235" s="564" t="s">
        <v>16</v>
      </c>
      <c r="HR235" s="564" t="s">
        <v>34454</v>
      </c>
      <c r="HS235" s="564" t="s">
        <v>34455</v>
      </c>
      <c r="HT235" s="568" t="s">
        <v>34448</v>
      </c>
    </row>
    <row r="236" spans="1:228" ht="30.2" customHeight="1" x14ac:dyDescent="0.25">
      <c r="A236" s="759"/>
      <c r="B236" s="563">
        <v>17</v>
      </c>
      <c r="C236" s="563" t="s">
        <v>21807</v>
      </c>
      <c r="D236" s="564" t="s">
        <v>33535</v>
      </c>
      <c r="E236" s="564" t="s">
        <v>52</v>
      </c>
      <c r="F236" s="564" t="s">
        <v>7</v>
      </c>
      <c r="G236" s="564" t="s">
        <v>33536</v>
      </c>
      <c r="H236" s="564">
        <v>1565.9</v>
      </c>
      <c r="I236" s="564">
        <v>3.8</v>
      </c>
      <c r="J236" s="564" t="s">
        <v>29288</v>
      </c>
      <c r="K236" s="564" t="s">
        <v>4</v>
      </c>
      <c r="L236" s="564" t="s">
        <v>33537</v>
      </c>
      <c r="M236" s="564">
        <v>773215811</v>
      </c>
      <c r="N236" s="564" t="s">
        <v>3</v>
      </c>
      <c r="O236" s="564" t="s">
        <v>31598</v>
      </c>
      <c r="P236" s="564" t="s">
        <v>4</v>
      </c>
      <c r="Q236" s="564">
        <v>7</v>
      </c>
      <c r="R236" s="564" t="s">
        <v>7</v>
      </c>
      <c r="S236" s="564" t="s">
        <v>31588</v>
      </c>
      <c r="T236" s="564" t="s">
        <v>4</v>
      </c>
      <c r="U236" s="564" t="s">
        <v>2</v>
      </c>
      <c r="V236" s="564" t="s">
        <v>4</v>
      </c>
      <c r="W236" s="564" t="s">
        <v>4</v>
      </c>
      <c r="X236" s="564" t="s">
        <v>4</v>
      </c>
      <c r="Y236" s="564" t="s">
        <v>4</v>
      </c>
      <c r="Z236" s="565">
        <v>45282</v>
      </c>
      <c r="AA236" s="557" t="str">
        <f>IF(OR(U236="yes",Z236&gt;'SDG outcome'!$C$39),"yes","no")</f>
        <v>no</v>
      </c>
      <c r="AB236" s="565" t="str">
        <f t="shared" si="7"/>
        <v/>
      </c>
      <c r="AC236" s="566" t="str">
        <f>IF(AND('SMS p2'!AA29="no",AND(Z236&gt;='SDG outcome'!$B$28,Z236&lt;'SDG outcome'!$C$39)),Z236-'SDG outcome'!$B$28,"")</f>
        <v/>
      </c>
      <c r="AD236" s="564" t="s">
        <v>31572</v>
      </c>
      <c r="AE236" s="564" t="s">
        <v>4</v>
      </c>
      <c r="AF236" s="564" t="s">
        <v>2</v>
      </c>
      <c r="AG236" s="564" t="s">
        <v>4</v>
      </c>
      <c r="AH236" s="564" t="s">
        <v>33538</v>
      </c>
      <c r="AI236" s="564" t="s">
        <v>7</v>
      </c>
      <c r="AJ236" s="564" t="s">
        <v>33539</v>
      </c>
      <c r="AK236" s="564" t="s">
        <v>4</v>
      </c>
      <c r="AL236" s="564"/>
      <c r="AM236" s="564"/>
      <c r="AN236" s="564"/>
      <c r="AO236" s="564"/>
      <c r="AP236" s="564"/>
      <c r="AQ236" s="564"/>
      <c r="AR236" s="564"/>
      <c r="AS236" s="564"/>
      <c r="AT236" s="564"/>
      <c r="AU236" s="564"/>
      <c r="AV236" s="564"/>
      <c r="AW236" s="564"/>
      <c r="AX236" s="564"/>
      <c r="AY236" s="564"/>
      <c r="AZ236" s="564"/>
      <c r="BA236" s="564"/>
      <c r="BB236" s="564"/>
      <c r="BC236" s="564"/>
      <c r="BD236" s="564"/>
      <c r="BE236" s="564"/>
      <c r="BF236" s="564"/>
      <c r="BG236" s="564"/>
      <c r="BH236" s="564"/>
      <c r="BI236" s="564"/>
      <c r="BJ236" s="564"/>
      <c r="BK236" s="564"/>
      <c r="BL236" s="564"/>
      <c r="BM236" s="564"/>
      <c r="BN236" s="564"/>
      <c r="BO236" s="564"/>
      <c r="BP236" s="564"/>
      <c r="BQ236" s="564"/>
      <c r="BR236" s="567"/>
      <c r="BS236" s="564"/>
      <c r="BT236" s="564"/>
      <c r="BU236" s="564"/>
      <c r="BV236" s="564"/>
      <c r="BW236" s="567"/>
      <c r="BX236" s="564"/>
      <c r="BY236" s="564"/>
      <c r="BZ236" s="564"/>
      <c r="CA236" s="564"/>
      <c r="CB236" s="564"/>
      <c r="CC236" s="564"/>
      <c r="CD236" s="564"/>
      <c r="CE236" s="564"/>
      <c r="CF236" s="564"/>
      <c r="CG236" s="564"/>
      <c r="CH236" s="564"/>
      <c r="CI236" s="564"/>
      <c r="CJ236" s="564"/>
      <c r="CK236" s="564"/>
      <c r="CL236" s="564"/>
      <c r="CM236" s="564"/>
      <c r="CN236" s="564"/>
      <c r="CO236" s="564"/>
      <c r="CP236" s="564"/>
      <c r="CQ236" s="564"/>
      <c r="CR236" s="564"/>
      <c r="CS236" s="564"/>
      <c r="CT236" s="568"/>
      <c r="CU236" s="563"/>
      <c r="CV236" s="564"/>
      <c r="CW236" s="568"/>
      <c r="CX236" s="563"/>
      <c r="CY236" s="564"/>
      <c r="CZ236" s="568"/>
      <c r="DA236" s="563"/>
      <c r="DB236" s="564"/>
      <c r="DC236" s="564"/>
      <c r="DD236" s="564"/>
      <c r="DE236" s="564"/>
      <c r="DF236" s="564"/>
      <c r="DG236" s="564"/>
      <c r="DH236" s="564"/>
      <c r="DI236" s="564"/>
      <c r="DJ236" s="564"/>
      <c r="DK236" s="564"/>
      <c r="DL236" s="564"/>
      <c r="DM236" s="564"/>
      <c r="DN236" s="564"/>
      <c r="DO236" s="564"/>
      <c r="DP236" s="564"/>
      <c r="DQ236" s="564"/>
      <c r="DR236" s="564"/>
      <c r="DS236" s="569"/>
      <c r="DT236" s="564"/>
      <c r="DU236" s="569"/>
      <c r="DV236" s="568"/>
      <c r="DW236" s="563"/>
      <c r="DX236" s="564"/>
      <c r="DY236" s="564"/>
      <c r="DZ236" s="564"/>
      <c r="EA236" s="564"/>
      <c r="EB236" s="564"/>
      <c r="EC236" s="564"/>
      <c r="ED236" s="564"/>
      <c r="EE236" s="564"/>
      <c r="EF236" s="564"/>
      <c r="EG236" s="564"/>
      <c r="EH236" s="564"/>
      <c r="EI236" s="564"/>
      <c r="EJ236" s="564"/>
      <c r="EK236" s="564"/>
      <c r="EL236" s="564"/>
      <c r="EM236" s="564"/>
      <c r="EN236" s="564"/>
      <c r="EO236" s="564"/>
      <c r="EP236" s="564"/>
      <c r="EQ236" s="564"/>
      <c r="ER236" s="564"/>
      <c r="ES236" s="564"/>
      <c r="ET236" s="564"/>
      <c r="EU236" s="564"/>
      <c r="EV236" s="564"/>
      <c r="EW236" s="564"/>
      <c r="EX236" s="564"/>
      <c r="EY236" s="564"/>
      <c r="EZ236" s="239"/>
      <c r="FA236" s="564"/>
      <c r="FB236" s="564"/>
      <c r="FC236" s="564"/>
      <c r="FD236" s="564"/>
      <c r="FE236" s="564"/>
      <c r="FF236" s="564"/>
      <c r="FG236" s="564"/>
      <c r="FH236" s="564"/>
      <c r="FI236" s="564"/>
      <c r="FJ236" s="564"/>
      <c r="FK236" s="564"/>
      <c r="FL236" s="564"/>
      <c r="FM236" s="564"/>
      <c r="FN236" s="569"/>
      <c r="FO236" s="564"/>
      <c r="FP236" s="564"/>
      <c r="FQ236" s="564"/>
      <c r="FR236" s="564"/>
      <c r="FS236" s="564"/>
      <c r="FT236" s="564"/>
      <c r="FU236" s="564"/>
      <c r="FV236" s="564"/>
      <c r="FW236" s="564"/>
      <c r="FX236" s="564"/>
      <c r="FY236" s="564"/>
      <c r="FZ236" s="564"/>
      <c r="GA236" s="564"/>
      <c r="GB236" s="564"/>
      <c r="GC236" s="564"/>
      <c r="GD236" s="564"/>
      <c r="GE236" s="564"/>
      <c r="GF236" s="564"/>
      <c r="GG236" s="564"/>
      <c r="GH236" s="564"/>
      <c r="GI236" s="564"/>
      <c r="GJ236" s="564"/>
      <c r="GK236" s="564"/>
      <c r="GL236" s="564"/>
      <c r="GM236" s="564"/>
      <c r="GN236" s="564"/>
      <c r="GO236" s="564"/>
      <c r="GP236" s="564"/>
      <c r="GQ236" s="564"/>
      <c r="GR236" s="564"/>
      <c r="GS236" s="564"/>
      <c r="GT236" s="564"/>
      <c r="GU236" s="564"/>
      <c r="GV236" s="569"/>
      <c r="GW236" s="564"/>
      <c r="GX236" s="564"/>
      <c r="GY236" s="564"/>
      <c r="GZ236" s="564"/>
      <c r="HA236" s="564"/>
      <c r="HB236" s="564"/>
      <c r="HC236" s="564"/>
      <c r="HD236" s="564"/>
      <c r="HE236" s="564"/>
      <c r="HF236" s="564"/>
      <c r="HG236" s="564"/>
      <c r="HH236" s="564"/>
      <c r="HI236" s="564"/>
      <c r="HJ236" s="564"/>
      <c r="HK236" s="569"/>
      <c r="HL236" s="564" t="s">
        <v>33474</v>
      </c>
      <c r="HM236" s="564" t="s">
        <v>7</v>
      </c>
      <c r="HN236" s="564" t="s">
        <v>33540</v>
      </c>
      <c r="HO236" s="564" t="s">
        <v>33541</v>
      </c>
      <c r="HP236" s="564" t="s">
        <v>33542</v>
      </c>
      <c r="HQ236" s="564" t="s">
        <v>33543</v>
      </c>
      <c r="HR236" s="564" t="s">
        <v>33544</v>
      </c>
      <c r="HS236" s="564" t="s">
        <v>16</v>
      </c>
      <c r="HT236" s="568" t="s">
        <v>33545</v>
      </c>
    </row>
    <row r="237" spans="1:228" ht="30.2" customHeight="1" x14ac:dyDescent="0.25">
      <c r="A237" s="759"/>
      <c r="B237" s="563">
        <v>45</v>
      </c>
      <c r="C237" s="563" t="s">
        <v>19300</v>
      </c>
      <c r="D237" s="564" t="s">
        <v>33858</v>
      </c>
      <c r="E237" s="564" t="s">
        <v>33859</v>
      </c>
      <c r="F237" s="564" t="s">
        <v>7</v>
      </c>
      <c r="G237" s="564" t="s">
        <v>33860</v>
      </c>
      <c r="H237" s="564">
        <v>1192.4879149999999</v>
      </c>
      <c r="I237" s="564">
        <v>4.7965980000000004</v>
      </c>
      <c r="J237" s="564" t="s">
        <v>29288</v>
      </c>
      <c r="K237" s="564" t="s">
        <v>4</v>
      </c>
      <c r="L237" s="564" t="s">
        <v>33861</v>
      </c>
      <c r="M237" s="564">
        <v>772520486</v>
      </c>
      <c r="N237" s="564" t="s">
        <v>3</v>
      </c>
      <c r="O237" s="564" t="s">
        <v>31590</v>
      </c>
      <c r="P237" s="564" t="s">
        <v>4</v>
      </c>
      <c r="Q237" s="564">
        <v>16</v>
      </c>
      <c r="R237" s="564" t="s">
        <v>7</v>
      </c>
      <c r="S237" s="564" t="s">
        <v>31535</v>
      </c>
      <c r="T237" s="564" t="s">
        <v>4</v>
      </c>
      <c r="U237" s="564" t="s">
        <v>2</v>
      </c>
      <c r="V237" s="564" t="s">
        <v>4</v>
      </c>
      <c r="W237" s="564" t="s">
        <v>4</v>
      </c>
      <c r="X237" s="564" t="s">
        <v>4</v>
      </c>
      <c r="Y237" s="564" t="s">
        <v>4</v>
      </c>
      <c r="Z237" s="565">
        <v>45413</v>
      </c>
      <c r="AA237" s="557" t="str">
        <f>IF(OR(U237="yes",Z237&gt;'SDG outcome'!$C$39),"yes","no")</f>
        <v>yes</v>
      </c>
      <c r="AB237" s="565" t="str">
        <f t="shared" si="7"/>
        <v>NA</v>
      </c>
      <c r="AC237" s="566" t="str">
        <f>IF(AND('SMS p2'!AA57="no",AND(Z237&gt;='SDG outcome'!$B$28,Z237&lt;'SDG outcome'!$C$39)),Z237-'SDG outcome'!$B$28,"")</f>
        <v/>
      </c>
      <c r="AD237" s="564" t="s">
        <v>31572</v>
      </c>
      <c r="AE237" s="564" t="s">
        <v>4</v>
      </c>
      <c r="AF237" s="564" t="s">
        <v>2</v>
      </c>
      <c r="AG237" s="564" t="s">
        <v>4</v>
      </c>
      <c r="AH237" s="564" t="s">
        <v>33862</v>
      </c>
      <c r="AI237" s="564" t="s">
        <v>7</v>
      </c>
      <c r="AJ237" s="564" t="s">
        <v>33539</v>
      </c>
      <c r="AK237" s="564" t="s">
        <v>4</v>
      </c>
      <c r="AL237" s="564"/>
      <c r="AM237" s="564"/>
      <c r="AN237" s="564"/>
      <c r="AO237" s="564"/>
      <c r="AP237" s="564"/>
      <c r="AQ237" s="564"/>
      <c r="AR237" s="564"/>
      <c r="AS237" s="564"/>
      <c r="AT237" s="564"/>
      <c r="AU237" s="564"/>
      <c r="AV237" s="564"/>
      <c r="AW237" s="564"/>
      <c r="AX237" s="564"/>
      <c r="AY237" s="564"/>
      <c r="AZ237" s="564"/>
      <c r="BA237" s="564"/>
      <c r="BB237" s="564"/>
      <c r="BC237" s="564"/>
      <c r="BD237" s="564"/>
      <c r="BE237" s="564"/>
      <c r="BF237" s="564"/>
      <c r="BG237" s="564"/>
      <c r="BH237" s="564"/>
      <c r="BI237" s="564"/>
      <c r="BJ237" s="564"/>
      <c r="BK237" s="564"/>
      <c r="BL237" s="564"/>
      <c r="BM237" s="564"/>
      <c r="BN237" s="564"/>
      <c r="BO237" s="564"/>
      <c r="BP237" s="564"/>
      <c r="BQ237" s="564"/>
      <c r="BR237" s="567"/>
      <c r="BS237" s="564"/>
      <c r="BT237" s="564"/>
      <c r="BU237" s="564"/>
      <c r="BV237" s="564"/>
      <c r="BW237" s="567"/>
      <c r="BX237" s="564"/>
      <c r="BY237" s="564"/>
      <c r="BZ237" s="564"/>
      <c r="CA237" s="564"/>
      <c r="CB237" s="564"/>
      <c r="CC237" s="564"/>
      <c r="CD237" s="564"/>
      <c r="CE237" s="564"/>
      <c r="CF237" s="564"/>
      <c r="CG237" s="564"/>
      <c r="CH237" s="564"/>
      <c r="CI237" s="564"/>
      <c r="CJ237" s="564"/>
      <c r="CK237" s="564"/>
      <c r="CL237" s="564"/>
      <c r="CM237" s="564"/>
      <c r="CN237" s="564"/>
      <c r="CO237" s="564"/>
      <c r="CP237" s="564"/>
      <c r="CQ237" s="564"/>
      <c r="CR237" s="564"/>
      <c r="CS237" s="564"/>
      <c r="CT237" s="568"/>
      <c r="CU237" s="563"/>
      <c r="CV237" s="564"/>
      <c r="CW237" s="568"/>
      <c r="CX237" s="563"/>
      <c r="CY237" s="564"/>
      <c r="CZ237" s="568"/>
      <c r="DA237" s="563"/>
      <c r="DB237" s="564"/>
      <c r="DC237" s="564"/>
      <c r="DD237" s="564"/>
      <c r="DE237" s="564"/>
      <c r="DF237" s="564"/>
      <c r="DG237" s="564"/>
      <c r="DH237" s="564"/>
      <c r="DI237" s="564"/>
      <c r="DJ237" s="564"/>
      <c r="DK237" s="564"/>
      <c r="DL237" s="564"/>
      <c r="DM237" s="564"/>
      <c r="DN237" s="564"/>
      <c r="DO237" s="564"/>
      <c r="DP237" s="564"/>
      <c r="DQ237" s="564"/>
      <c r="DR237" s="564"/>
      <c r="DS237" s="569"/>
      <c r="DT237" s="564"/>
      <c r="DU237" s="569"/>
      <c r="DV237" s="568"/>
      <c r="DW237" s="563"/>
      <c r="DX237" s="564"/>
      <c r="DY237" s="564"/>
      <c r="DZ237" s="564"/>
      <c r="EA237" s="564"/>
      <c r="EB237" s="564"/>
      <c r="EC237" s="564"/>
      <c r="ED237" s="564"/>
      <c r="EE237" s="564"/>
      <c r="EF237" s="564"/>
      <c r="EG237" s="564"/>
      <c r="EH237" s="564"/>
      <c r="EI237" s="564"/>
      <c r="EJ237" s="564"/>
      <c r="EK237" s="564"/>
      <c r="EL237" s="564"/>
      <c r="EM237" s="564"/>
      <c r="EN237" s="564"/>
      <c r="EO237" s="564"/>
      <c r="EP237" s="564"/>
      <c r="EQ237" s="564"/>
      <c r="ER237" s="564"/>
      <c r="ES237" s="564"/>
      <c r="ET237" s="564"/>
      <c r="EU237" s="564"/>
      <c r="EV237" s="564"/>
      <c r="EW237" s="564"/>
      <c r="EX237" s="564"/>
      <c r="EY237" s="564"/>
      <c r="EZ237" s="239"/>
      <c r="FA237" s="564"/>
      <c r="FB237" s="564"/>
      <c r="FC237" s="564"/>
      <c r="FD237" s="564"/>
      <c r="FE237" s="564"/>
      <c r="FF237" s="564"/>
      <c r="FG237" s="564"/>
      <c r="FH237" s="564"/>
      <c r="FI237" s="564"/>
      <c r="FJ237" s="564"/>
      <c r="FK237" s="564"/>
      <c r="FL237" s="564"/>
      <c r="FM237" s="564"/>
      <c r="FN237" s="569"/>
      <c r="FO237" s="564"/>
      <c r="FP237" s="564"/>
      <c r="FQ237" s="564"/>
      <c r="FR237" s="564"/>
      <c r="FS237" s="564"/>
      <c r="FT237" s="564"/>
      <c r="FU237" s="564"/>
      <c r="FV237" s="564"/>
      <c r="FW237" s="564"/>
      <c r="FX237" s="564"/>
      <c r="FY237" s="564"/>
      <c r="FZ237" s="564"/>
      <c r="GA237" s="564"/>
      <c r="GB237" s="564"/>
      <c r="GC237" s="564"/>
      <c r="GD237" s="564"/>
      <c r="GE237" s="564"/>
      <c r="GF237" s="564"/>
      <c r="GG237" s="564"/>
      <c r="GH237" s="564"/>
      <c r="GI237" s="564"/>
      <c r="GJ237" s="564"/>
      <c r="GK237" s="564"/>
      <c r="GL237" s="564"/>
      <c r="GM237" s="564"/>
      <c r="GN237" s="564"/>
      <c r="GO237" s="564"/>
      <c r="GP237" s="564"/>
      <c r="GQ237" s="564"/>
      <c r="GR237" s="564"/>
      <c r="GS237" s="564"/>
      <c r="GT237" s="564"/>
      <c r="GU237" s="564"/>
      <c r="GV237" s="569"/>
      <c r="GW237" s="564"/>
      <c r="GX237" s="564"/>
      <c r="GY237" s="564"/>
      <c r="GZ237" s="564"/>
      <c r="HA237" s="564"/>
      <c r="HB237" s="564"/>
      <c r="HC237" s="564"/>
      <c r="HD237" s="564"/>
      <c r="HE237" s="564"/>
      <c r="HF237" s="564"/>
      <c r="HG237" s="564"/>
      <c r="HH237" s="564"/>
      <c r="HI237" s="564"/>
      <c r="HJ237" s="564"/>
      <c r="HK237" s="569"/>
      <c r="HL237" s="564" t="s">
        <v>33863</v>
      </c>
      <c r="HM237" s="564" t="s">
        <v>7</v>
      </c>
      <c r="HN237" s="564" t="s">
        <v>33864</v>
      </c>
      <c r="HO237" s="564" t="s">
        <v>33865</v>
      </c>
      <c r="HP237" s="564" t="s">
        <v>33866</v>
      </c>
      <c r="HQ237" s="564" t="s">
        <v>33867</v>
      </c>
      <c r="HR237" s="564" t="s">
        <v>33868</v>
      </c>
      <c r="HS237" s="564" t="s">
        <v>33869</v>
      </c>
      <c r="HT237" s="568" t="s">
        <v>33858</v>
      </c>
    </row>
    <row r="238" spans="1:228" ht="30.2" customHeight="1" x14ac:dyDescent="0.25">
      <c r="A238" s="759"/>
      <c r="B238" s="563">
        <v>259</v>
      </c>
      <c r="C238" s="563" t="s">
        <v>2916</v>
      </c>
      <c r="D238" s="564" t="s">
        <v>36186</v>
      </c>
      <c r="E238" s="564" t="s">
        <v>30638</v>
      </c>
      <c r="F238" s="564" t="s">
        <v>7</v>
      </c>
      <c r="G238" s="564" t="s">
        <v>36187</v>
      </c>
      <c r="H238" s="564">
        <v>1167.585693</v>
      </c>
      <c r="I238" s="564">
        <v>4.2880000000000003</v>
      </c>
      <c r="J238" s="564" t="s">
        <v>29288</v>
      </c>
      <c r="K238" s="564" t="s">
        <v>4</v>
      </c>
      <c r="L238" s="564" t="s">
        <v>36188</v>
      </c>
      <c r="M238" s="564">
        <v>752676385</v>
      </c>
      <c r="N238" s="564" t="s">
        <v>3</v>
      </c>
      <c r="O238" s="564" t="s">
        <v>31438</v>
      </c>
      <c r="P238" s="564">
        <v>53</v>
      </c>
      <c r="Q238" s="564">
        <v>15</v>
      </c>
      <c r="R238" s="564" t="s">
        <v>7</v>
      </c>
      <c r="S238" s="564" t="s">
        <v>31549</v>
      </c>
      <c r="T238" s="564" t="s">
        <v>4</v>
      </c>
      <c r="U238" s="564" t="s">
        <v>2</v>
      </c>
      <c r="V238" s="564" t="s">
        <v>4</v>
      </c>
      <c r="W238" s="564" t="s">
        <v>4</v>
      </c>
      <c r="X238" s="564" t="s">
        <v>4</v>
      </c>
      <c r="Y238" s="564" t="s">
        <v>4</v>
      </c>
      <c r="Z238" s="565">
        <v>44702</v>
      </c>
      <c r="AA238" s="557" t="str">
        <f>IF(OR(U238="yes",Z238&gt;'SDG outcome'!$C$39),"yes","no")</f>
        <v>no</v>
      </c>
      <c r="AB238" s="565" t="str">
        <f t="shared" si="7"/>
        <v/>
      </c>
      <c r="AC238" s="566" t="str">
        <f>IF(AND('SMS p2'!AA269="no",AND(Z238&gt;='SDG outcome'!$B$28,Z238&lt;'SDG outcome'!$C$39)),Z238-'SDG outcome'!$B$28,"")</f>
        <v/>
      </c>
      <c r="AD238" s="564" t="s">
        <v>31572</v>
      </c>
      <c r="AE238" s="564" t="s">
        <v>4</v>
      </c>
      <c r="AF238" s="564" t="s">
        <v>2</v>
      </c>
      <c r="AG238" s="564" t="s">
        <v>4</v>
      </c>
      <c r="AH238" s="564" t="s">
        <v>36189</v>
      </c>
      <c r="AI238" s="564" t="s">
        <v>4</v>
      </c>
      <c r="AJ238" s="565" t="s">
        <v>4</v>
      </c>
      <c r="AK238" s="564" t="s">
        <v>4</v>
      </c>
      <c r="AL238" s="564"/>
      <c r="AM238" s="564"/>
      <c r="AN238" s="564"/>
      <c r="AO238" s="564"/>
      <c r="AP238" s="564"/>
      <c r="AQ238" s="564"/>
      <c r="AR238" s="564"/>
      <c r="AS238" s="564"/>
      <c r="AT238" s="564"/>
      <c r="AU238" s="564"/>
      <c r="AV238" s="564"/>
      <c r="AW238" s="564"/>
      <c r="AX238" s="564"/>
      <c r="AY238" s="564"/>
      <c r="AZ238" s="564"/>
      <c r="BA238" s="564"/>
      <c r="BB238" s="564"/>
      <c r="BC238" s="564"/>
      <c r="BD238" s="564"/>
      <c r="BE238" s="564"/>
      <c r="BF238" s="564"/>
      <c r="BG238" s="564"/>
      <c r="BH238" s="564"/>
      <c r="BI238" s="564"/>
      <c r="BJ238" s="564"/>
      <c r="BK238" s="564"/>
      <c r="BL238" s="564"/>
      <c r="BM238" s="564"/>
      <c r="BN238" s="564"/>
      <c r="BO238" s="564"/>
      <c r="BP238" s="564"/>
      <c r="BQ238" s="564"/>
      <c r="BR238" s="567"/>
      <c r="BS238" s="564"/>
      <c r="BT238" s="564"/>
      <c r="BU238" s="569"/>
      <c r="BV238" s="564"/>
      <c r="BW238" s="579"/>
      <c r="BX238" s="569"/>
      <c r="BY238" s="569"/>
      <c r="BZ238" s="569"/>
      <c r="CA238" s="569"/>
      <c r="CB238" s="569"/>
      <c r="CC238" s="569"/>
      <c r="CD238" s="569"/>
      <c r="CE238" s="569"/>
      <c r="CF238" s="569"/>
      <c r="CG238" s="569"/>
      <c r="CH238" s="569"/>
      <c r="CI238" s="569"/>
      <c r="CJ238" s="569"/>
      <c r="CK238" s="569"/>
      <c r="CL238" s="569"/>
      <c r="CM238" s="569"/>
      <c r="CN238" s="569"/>
      <c r="CO238" s="569"/>
      <c r="CP238" s="569"/>
      <c r="CQ238" s="569"/>
      <c r="CR238" s="569"/>
      <c r="CS238" s="569"/>
      <c r="CT238" s="580"/>
      <c r="CU238" s="581"/>
      <c r="CV238" s="569"/>
      <c r="CW238" s="580"/>
      <c r="CX238" s="581"/>
      <c r="CY238" s="569"/>
      <c r="CZ238" s="580"/>
      <c r="DA238" s="581"/>
      <c r="DB238" s="569"/>
      <c r="DC238" s="569"/>
      <c r="DD238" s="569"/>
      <c r="DE238" s="569"/>
      <c r="DF238" s="569"/>
      <c r="DG238" s="569"/>
      <c r="DH238" s="569"/>
      <c r="DI238" s="569"/>
      <c r="DJ238" s="569"/>
      <c r="DK238" s="569"/>
      <c r="DL238" s="569"/>
      <c r="DM238" s="569"/>
      <c r="DN238" s="569"/>
      <c r="DO238" s="569"/>
      <c r="DP238" s="569"/>
      <c r="DQ238" s="569"/>
      <c r="DR238" s="569"/>
      <c r="DS238" s="569"/>
      <c r="DT238" s="569"/>
      <c r="DU238" s="569"/>
      <c r="DV238" s="580"/>
      <c r="DW238" s="581"/>
      <c r="DX238" s="569"/>
      <c r="DY238" s="569"/>
      <c r="DZ238" s="569"/>
      <c r="EA238" s="569"/>
      <c r="EB238" s="569"/>
      <c r="EC238" s="569"/>
      <c r="ED238" s="569"/>
      <c r="EE238" s="569"/>
      <c r="EF238" s="569"/>
      <c r="EG238" s="569"/>
      <c r="EH238" s="569"/>
      <c r="EI238" s="569"/>
      <c r="EJ238" s="569"/>
      <c r="EK238" s="569"/>
      <c r="EL238" s="569"/>
      <c r="EM238" s="569"/>
      <c r="EN238" s="569"/>
      <c r="EO238" s="569"/>
      <c r="EP238" s="569"/>
      <c r="EQ238" s="569"/>
      <c r="ER238" s="569"/>
      <c r="ES238" s="569"/>
      <c r="ET238" s="569"/>
      <c r="EU238" s="569"/>
      <c r="EV238" s="569"/>
      <c r="EW238" s="569"/>
      <c r="EX238" s="569"/>
      <c r="EY238" s="569"/>
      <c r="EZ238" s="239"/>
      <c r="FA238" s="569"/>
      <c r="FB238" s="569"/>
      <c r="FC238" s="569"/>
      <c r="FD238" s="569"/>
      <c r="FE238" s="569"/>
      <c r="FF238" s="569"/>
      <c r="FG238" s="569"/>
      <c r="FH238" s="569"/>
      <c r="FI238" s="569"/>
      <c r="FJ238" s="569"/>
      <c r="FK238" s="569"/>
      <c r="FL238" s="569"/>
      <c r="FM238" s="569"/>
      <c r="FN238" s="569"/>
      <c r="FO238" s="569"/>
      <c r="FP238" s="569"/>
      <c r="FQ238" s="569"/>
      <c r="FR238" s="569"/>
      <c r="FS238" s="569"/>
      <c r="FT238" s="569"/>
      <c r="FU238" s="569"/>
      <c r="FV238" s="569"/>
      <c r="FW238" s="569"/>
      <c r="FX238" s="569"/>
      <c r="FY238" s="569"/>
      <c r="FZ238" s="569"/>
      <c r="GA238" s="569"/>
      <c r="GB238" s="569"/>
      <c r="GC238" s="569"/>
      <c r="GD238" s="569"/>
      <c r="GE238" s="569"/>
      <c r="GF238" s="569"/>
      <c r="GG238" s="569"/>
      <c r="GH238" s="569"/>
      <c r="GI238" s="569"/>
      <c r="GJ238" s="569"/>
      <c r="GK238" s="569"/>
      <c r="GL238" s="569"/>
      <c r="GM238" s="569"/>
      <c r="GN238" s="569"/>
      <c r="GO238" s="569"/>
      <c r="GP238" s="569"/>
      <c r="GQ238" s="569"/>
      <c r="GR238" s="569"/>
      <c r="GS238" s="569"/>
      <c r="GT238" s="569"/>
      <c r="GU238" s="569"/>
      <c r="GV238" s="569"/>
      <c r="GW238" s="569"/>
      <c r="GX238" s="569"/>
      <c r="GY238" s="569"/>
      <c r="GZ238" s="569"/>
      <c r="HA238" s="569"/>
      <c r="HB238" s="569"/>
      <c r="HC238" s="569"/>
      <c r="HD238" s="569"/>
      <c r="HE238" s="569"/>
      <c r="HF238" s="569"/>
      <c r="HG238" s="569"/>
      <c r="HH238" s="569"/>
      <c r="HI238" s="569"/>
      <c r="HJ238" s="569"/>
      <c r="HK238" s="569"/>
      <c r="HL238" s="564" t="s">
        <v>36190</v>
      </c>
      <c r="HM238" s="564" t="s">
        <v>7</v>
      </c>
      <c r="HN238" s="564" t="s">
        <v>36191</v>
      </c>
      <c r="HO238" s="564" t="s">
        <v>16</v>
      </c>
      <c r="HP238" s="564" t="s">
        <v>36192</v>
      </c>
      <c r="HQ238" s="564" t="s">
        <v>36193</v>
      </c>
      <c r="HR238" s="564" t="s">
        <v>36194</v>
      </c>
      <c r="HS238" s="564" t="s">
        <v>36195</v>
      </c>
      <c r="HT238" s="568" t="s">
        <v>36186</v>
      </c>
    </row>
    <row r="239" spans="1:228" ht="30.2" customHeight="1" x14ac:dyDescent="0.25">
      <c r="A239" s="759"/>
      <c r="B239" s="563">
        <v>138</v>
      </c>
      <c r="C239" s="563" t="s">
        <v>9227</v>
      </c>
      <c r="D239" s="564" t="s">
        <v>34914</v>
      </c>
      <c r="E239" s="564" t="s">
        <v>83</v>
      </c>
      <c r="F239" s="564" t="s">
        <v>7</v>
      </c>
      <c r="G239" s="564" t="s">
        <v>34915</v>
      </c>
      <c r="H239" s="564">
        <v>1185.6659999999999</v>
      </c>
      <c r="I239" s="564">
        <v>1.499449</v>
      </c>
      <c r="J239" s="564" t="s">
        <v>29319</v>
      </c>
      <c r="K239" s="564" t="s">
        <v>4</v>
      </c>
      <c r="L239" s="564" t="s">
        <v>34916</v>
      </c>
      <c r="M239" s="564">
        <v>705531523</v>
      </c>
      <c r="N239" s="564" t="s">
        <v>3</v>
      </c>
      <c r="O239" s="564" t="s">
        <v>31598</v>
      </c>
      <c r="P239" s="564" t="s">
        <v>4</v>
      </c>
      <c r="Q239" s="564">
        <v>7</v>
      </c>
      <c r="R239" s="564" t="s">
        <v>7</v>
      </c>
      <c r="S239" s="564" t="s">
        <v>31535</v>
      </c>
      <c r="T239" s="564" t="s">
        <v>4</v>
      </c>
      <c r="U239" s="564" t="s">
        <v>2</v>
      </c>
      <c r="V239" s="564" t="s">
        <v>4</v>
      </c>
      <c r="W239" s="564" t="s">
        <v>4</v>
      </c>
      <c r="X239" s="564" t="s">
        <v>4</v>
      </c>
      <c r="Y239" s="564" t="s">
        <v>4</v>
      </c>
      <c r="Z239" s="565">
        <v>45189</v>
      </c>
      <c r="AA239" s="557" t="str">
        <f>IF(OR(U239="yes",Z239&gt;'SDG outcome'!$C$39),"yes","no")</f>
        <v>no</v>
      </c>
      <c r="AB239" s="565" t="str">
        <f t="shared" si="7"/>
        <v/>
      </c>
      <c r="AC239" s="566">
        <f>IF(AND('SMS p2'!AA150="no",AND(Z239&gt;='SDG outcome'!$B$28,Z239&lt;'SDG outcome'!$C$39)),Z239-'SDG outcome'!$B$28,"")</f>
        <v>172</v>
      </c>
      <c r="AD239" s="564" t="s">
        <v>31572</v>
      </c>
      <c r="AE239" s="564" t="s">
        <v>4</v>
      </c>
      <c r="AF239" s="564" t="s">
        <v>2</v>
      </c>
      <c r="AG239" s="564" t="s">
        <v>4</v>
      </c>
      <c r="AH239" s="564" t="s">
        <v>34917</v>
      </c>
      <c r="AI239" s="564" t="s">
        <v>7</v>
      </c>
      <c r="AJ239" s="564" t="s">
        <v>33539</v>
      </c>
      <c r="AK239" s="564" t="s">
        <v>4</v>
      </c>
      <c r="AL239" s="564"/>
      <c r="AM239" s="564"/>
      <c r="AN239" s="564"/>
      <c r="AO239" s="564"/>
      <c r="AP239" s="564"/>
      <c r="AQ239" s="564"/>
      <c r="AR239" s="564"/>
      <c r="AS239" s="564"/>
      <c r="AT239" s="564"/>
      <c r="AU239" s="564"/>
      <c r="AV239" s="564"/>
      <c r="AW239" s="564"/>
      <c r="AX239" s="564"/>
      <c r="AY239" s="564"/>
      <c r="AZ239" s="564"/>
      <c r="BA239" s="564"/>
      <c r="BB239" s="564"/>
      <c r="BC239" s="564"/>
      <c r="BD239" s="564"/>
      <c r="BE239" s="564"/>
      <c r="BF239" s="564"/>
      <c r="BG239" s="564"/>
      <c r="BH239" s="564"/>
      <c r="BI239" s="564"/>
      <c r="BJ239" s="564"/>
      <c r="BK239" s="564"/>
      <c r="BL239" s="564"/>
      <c r="BM239" s="564"/>
      <c r="BN239" s="564"/>
      <c r="BO239" s="564"/>
      <c r="BP239" s="564"/>
      <c r="BQ239" s="564"/>
      <c r="BR239" s="567"/>
      <c r="BS239" s="564"/>
      <c r="BT239" s="564"/>
      <c r="BU239" s="564"/>
      <c r="BV239" s="564"/>
      <c r="BW239" s="567"/>
      <c r="BX239" s="564"/>
      <c r="BY239" s="564"/>
      <c r="BZ239" s="564"/>
      <c r="CA239" s="564"/>
      <c r="CB239" s="564"/>
      <c r="CC239" s="564"/>
      <c r="CD239" s="564"/>
      <c r="CE239" s="564"/>
      <c r="CF239" s="564"/>
      <c r="CG239" s="564"/>
      <c r="CH239" s="564"/>
      <c r="CI239" s="564"/>
      <c r="CJ239" s="564"/>
      <c r="CK239" s="564"/>
      <c r="CL239" s="564"/>
      <c r="CM239" s="564"/>
      <c r="CN239" s="564"/>
      <c r="CO239" s="564"/>
      <c r="CP239" s="564"/>
      <c r="CQ239" s="564"/>
      <c r="CR239" s="564"/>
      <c r="CS239" s="564"/>
      <c r="CT239" s="568"/>
      <c r="CU239" s="563"/>
      <c r="CV239" s="564"/>
      <c r="CW239" s="568"/>
      <c r="CX239" s="563"/>
      <c r="CY239" s="564"/>
      <c r="CZ239" s="568"/>
      <c r="DA239" s="563"/>
      <c r="DB239" s="564"/>
      <c r="DC239" s="564"/>
      <c r="DD239" s="564"/>
      <c r="DE239" s="564"/>
      <c r="DF239" s="564"/>
      <c r="DG239" s="564"/>
      <c r="DH239" s="564"/>
      <c r="DI239" s="564"/>
      <c r="DJ239" s="564"/>
      <c r="DK239" s="564"/>
      <c r="DL239" s="564"/>
      <c r="DM239" s="564"/>
      <c r="DN239" s="564"/>
      <c r="DO239" s="564"/>
      <c r="DP239" s="564"/>
      <c r="DQ239" s="564"/>
      <c r="DR239" s="564"/>
      <c r="DS239" s="569"/>
      <c r="DT239" s="564"/>
      <c r="DU239" s="569"/>
      <c r="DV239" s="568"/>
      <c r="DW239" s="563"/>
      <c r="DX239" s="564"/>
      <c r="DY239" s="564"/>
      <c r="DZ239" s="564"/>
      <c r="EA239" s="564"/>
      <c r="EB239" s="564"/>
      <c r="EC239" s="564"/>
      <c r="ED239" s="564"/>
      <c r="EE239" s="564"/>
      <c r="EF239" s="564"/>
      <c r="EG239" s="564"/>
      <c r="EH239" s="564"/>
      <c r="EI239" s="564"/>
      <c r="EJ239" s="564"/>
      <c r="EK239" s="564"/>
      <c r="EL239" s="564"/>
      <c r="EM239" s="564"/>
      <c r="EN239" s="564"/>
      <c r="EO239" s="564"/>
      <c r="EP239" s="564"/>
      <c r="EQ239" s="564"/>
      <c r="ER239" s="564"/>
      <c r="ES239" s="564"/>
      <c r="ET239" s="564"/>
      <c r="EU239" s="564"/>
      <c r="EV239" s="564"/>
      <c r="EW239" s="564"/>
      <c r="EX239" s="564"/>
      <c r="EY239" s="564"/>
      <c r="EZ239" s="239"/>
      <c r="FA239" s="564"/>
      <c r="FB239" s="564"/>
      <c r="FC239" s="564"/>
      <c r="FD239" s="564"/>
      <c r="FE239" s="564"/>
      <c r="FF239" s="564"/>
      <c r="FG239" s="564"/>
      <c r="FH239" s="564"/>
      <c r="FI239" s="564"/>
      <c r="FJ239" s="564"/>
      <c r="FK239" s="564"/>
      <c r="FL239" s="564"/>
      <c r="FM239" s="564"/>
      <c r="FN239" s="569"/>
      <c r="FO239" s="564"/>
      <c r="FP239" s="564"/>
      <c r="FQ239" s="564"/>
      <c r="FR239" s="564"/>
      <c r="FS239" s="564"/>
      <c r="FT239" s="564"/>
      <c r="FU239" s="564"/>
      <c r="FV239" s="564"/>
      <c r="FW239" s="564"/>
      <c r="FX239" s="564"/>
      <c r="FY239" s="564"/>
      <c r="FZ239" s="564"/>
      <c r="GA239" s="564"/>
      <c r="GB239" s="564"/>
      <c r="GC239" s="564"/>
      <c r="GD239" s="564"/>
      <c r="GE239" s="564"/>
      <c r="GF239" s="564"/>
      <c r="GG239" s="564"/>
      <c r="GH239" s="564"/>
      <c r="GI239" s="564"/>
      <c r="GJ239" s="564"/>
      <c r="GK239" s="564"/>
      <c r="GL239" s="564"/>
      <c r="GM239" s="564"/>
      <c r="GN239" s="564"/>
      <c r="GO239" s="564"/>
      <c r="GP239" s="564"/>
      <c r="GQ239" s="564"/>
      <c r="GR239" s="564"/>
      <c r="GS239" s="564"/>
      <c r="GT239" s="564"/>
      <c r="GU239" s="564"/>
      <c r="GV239" s="569"/>
      <c r="GW239" s="564"/>
      <c r="GX239" s="564"/>
      <c r="GY239" s="564"/>
      <c r="GZ239" s="564"/>
      <c r="HA239" s="564"/>
      <c r="HB239" s="564"/>
      <c r="HC239" s="564"/>
      <c r="HD239" s="564"/>
      <c r="HE239" s="564"/>
      <c r="HF239" s="564"/>
      <c r="HG239" s="564"/>
      <c r="HH239" s="564"/>
      <c r="HI239" s="564"/>
      <c r="HJ239" s="564"/>
      <c r="HK239" s="569"/>
      <c r="HL239" s="564" t="s">
        <v>34918</v>
      </c>
      <c r="HM239" s="564" t="s">
        <v>7</v>
      </c>
      <c r="HN239" s="564" t="s">
        <v>34919</v>
      </c>
      <c r="HO239" s="564" t="s">
        <v>34920</v>
      </c>
      <c r="HP239" s="564" t="s">
        <v>34921</v>
      </c>
      <c r="HQ239" s="564" t="s">
        <v>16</v>
      </c>
      <c r="HR239" s="564" t="s">
        <v>34922</v>
      </c>
      <c r="HS239" s="564" t="s">
        <v>16</v>
      </c>
      <c r="HT239" s="568" t="s">
        <v>34914</v>
      </c>
    </row>
    <row r="240" spans="1:228" ht="30.2" customHeight="1" x14ac:dyDescent="0.25">
      <c r="A240" s="759"/>
      <c r="B240" s="563">
        <v>19</v>
      </c>
      <c r="C240" s="563" t="s">
        <v>21474</v>
      </c>
      <c r="D240" s="564" t="s">
        <v>33559</v>
      </c>
      <c r="E240" s="564" t="s">
        <v>52</v>
      </c>
      <c r="F240" s="564" t="s">
        <v>7</v>
      </c>
      <c r="G240" s="564" t="s">
        <v>33560</v>
      </c>
      <c r="H240" s="564">
        <v>1607.4492190000001</v>
      </c>
      <c r="I240" s="564">
        <v>4.0111999999999997</v>
      </c>
      <c r="J240" s="564" t="s">
        <v>29319</v>
      </c>
      <c r="K240" s="564" t="s">
        <v>4</v>
      </c>
      <c r="L240" s="564" t="s">
        <v>33561</v>
      </c>
      <c r="M240" s="564">
        <v>782181117</v>
      </c>
      <c r="N240" s="564" t="s">
        <v>5</v>
      </c>
      <c r="O240" s="564" t="s">
        <v>31438</v>
      </c>
      <c r="P240" s="564">
        <v>60</v>
      </c>
      <c r="Q240" s="564">
        <v>3</v>
      </c>
      <c r="R240" s="564" t="s">
        <v>7</v>
      </c>
      <c r="S240" s="564" t="s">
        <v>31588</v>
      </c>
      <c r="T240" s="564" t="s">
        <v>4</v>
      </c>
      <c r="U240" s="564" t="s">
        <v>2</v>
      </c>
      <c r="V240" s="564" t="s">
        <v>4</v>
      </c>
      <c r="W240" s="564" t="s">
        <v>4</v>
      </c>
      <c r="X240" s="564" t="s">
        <v>4</v>
      </c>
      <c r="Y240" s="564" t="s">
        <v>4</v>
      </c>
      <c r="Z240" s="565">
        <v>45536</v>
      </c>
      <c r="AA240" s="557" t="str">
        <f>IF(OR(U240="yes",Z240&gt;'SDG outcome'!$C$39),"yes","no")</f>
        <v>yes</v>
      </c>
      <c r="AB240" s="565" t="str">
        <f t="shared" si="7"/>
        <v>NA</v>
      </c>
      <c r="AC240" s="566" t="str">
        <f>IF(AND('SMS p2'!AA31="no",AND(Z240&gt;='SDG outcome'!$B$28,Z240&lt;'SDG outcome'!$C$39)),Z240-'SDG outcome'!$B$28,"")</f>
        <v/>
      </c>
      <c r="AD240" s="564" t="s">
        <v>31572</v>
      </c>
      <c r="AE240" s="564" t="s">
        <v>4</v>
      </c>
      <c r="AF240" s="564" t="s">
        <v>2</v>
      </c>
      <c r="AG240" s="564" t="s">
        <v>4</v>
      </c>
      <c r="AH240" s="564" t="s">
        <v>33562</v>
      </c>
      <c r="AI240" s="564" t="s">
        <v>7</v>
      </c>
      <c r="AJ240" s="574">
        <v>45566</v>
      </c>
      <c r="AK240" s="564" t="s">
        <v>4</v>
      </c>
      <c r="AL240" s="564"/>
      <c r="AM240" s="564"/>
      <c r="AN240" s="564"/>
      <c r="AO240" s="564"/>
      <c r="AP240" s="564"/>
      <c r="AQ240" s="564"/>
      <c r="AR240" s="564"/>
      <c r="AS240" s="564"/>
      <c r="AT240" s="564"/>
      <c r="AU240" s="564"/>
      <c r="AV240" s="564"/>
      <c r="AW240" s="564"/>
      <c r="AX240" s="564"/>
      <c r="AY240" s="564"/>
      <c r="AZ240" s="564"/>
      <c r="BA240" s="564"/>
      <c r="BB240" s="564"/>
      <c r="BC240" s="564"/>
      <c r="BD240" s="564"/>
      <c r="BE240" s="564"/>
      <c r="BF240" s="564"/>
      <c r="BG240" s="564"/>
      <c r="BH240" s="564"/>
      <c r="BI240" s="564"/>
      <c r="BJ240" s="564"/>
      <c r="BK240" s="564"/>
      <c r="BL240" s="564"/>
      <c r="BM240" s="564"/>
      <c r="BN240" s="564"/>
      <c r="BO240" s="564"/>
      <c r="BP240" s="564"/>
      <c r="BQ240" s="564"/>
      <c r="BR240" s="567"/>
      <c r="BS240" s="564"/>
      <c r="BT240" s="564"/>
      <c r="BU240" s="564"/>
      <c r="BV240" s="564"/>
      <c r="BW240" s="567"/>
      <c r="BX240" s="564"/>
      <c r="BY240" s="564"/>
      <c r="BZ240" s="564"/>
      <c r="CA240" s="564"/>
      <c r="CB240" s="564"/>
      <c r="CC240" s="564"/>
      <c r="CD240" s="564"/>
      <c r="CE240" s="564"/>
      <c r="CF240" s="564"/>
      <c r="CG240" s="564"/>
      <c r="CH240" s="564"/>
      <c r="CI240" s="564"/>
      <c r="CJ240" s="564"/>
      <c r="CK240" s="564"/>
      <c r="CL240" s="564"/>
      <c r="CM240" s="564"/>
      <c r="CN240" s="564"/>
      <c r="CO240" s="564"/>
      <c r="CP240" s="564"/>
      <c r="CQ240" s="564"/>
      <c r="CR240" s="564"/>
      <c r="CS240" s="564"/>
      <c r="CT240" s="568"/>
      <c r="CU240" s="563"/>
      <c r="CV240" s="564"/>
      <c r="CW240" s="568"/>
      <c r="CX240" s="563"/>
      <c r="CY240" s="564"/>
      <c r="CZ240" s="568"/>
      <c r="DA240" s="563"/>
      <c r="DB240" s="564"/>
      <c r="DC240" s="564"/>
      <c r="DD240" s="564"/>
      <c r="DE240" s="564"/>
      <c r="DF240" s="564"/>
      <c r="DG240" s="564"/>
      <c r="DH240" s="564"/>
      <c r="DI240" s="564"/>
      <c r="DJ240" s="564"/>
      <c r="DK240" s="564"/>
      <c r="DL240" s="564"/>
      <c r="DM240" s="564"/>
      <c r="DN240" s="564"/>
      <c r="DO240" s="564"/>
      <c r="DP240" s="564"/>
      <c r="DQ240" s="564"/>
      <c r="DR240" s="564"/>
      <c r="DS240" s="569"/>
      <c r="DT240" s="564"/>
      <c r="DU240" s="569"/>
      <c r="DV240" s="568"/>
      <c r="DW240" s="563"/>
      <c r="DX240" s="564"/>
      <c r="DY240" s="564"/>
      <c r="DZ240" s="564"/>
      <c r="EA240" s="564"/>
      <c r="EB240" s="564"/>
      <c r="EC240" s="564"/>
      <c r="ED240" s="564"/>
      <c r="EE240" s="564"/>
      <c r="EF240" s="564"/>
      <c r="EG240" s="564"/>
      <c r="EH240" s="564"/>
      <c r="EI240" s="564"/>
      <c r="EJ240" s="564"/>
      <c r="EK240" s="564"/>
      <c r="EL240" s="564"/>
      <c r="EM240" s="564"/>
      <c r="EN240" s="564"/>
      <c r="EO240" s="564"/>
      <c r="EP240" s="564"/>
      <c r="EQ240" s="564"/>
      <c r="ER240" s="564"/>
      <c r="ES240" s="564"/>
      <c r="ET240" s="564"/>
      <c r="EU240" s="564"/>
      <c r="EV240" s="564"/>
      <c r="EW240" s="564"/>
      <c r="EX240" s="564"/>
      <c r="EY240" s="564"/>
      <c r="EZ240" s="239"/>
      <c r="FA240" s="564"/>
      <c r="FB240" s="564"/>
      <c r="FC240" s="564"/>
      <c r="FD240" s="564"/>
      <c r="FE240" s="564"/>
      <c r="FF240" s="564"/>
      <c r="FG240" s="564"/>
      <c r="FH240" s="564"/>
      <c r="FI240" s="564"/>
      <c r="FJ240" s="564"/>
      <c r="FK240" s="564"/>
      <c r="FL240" s="564"/>
      <c r="FM240" s="564"/>
      <c r="FN240" s="569"/>
      <c r="FO240" s="564"/>
      <c r="FP240" s="564"/>
      <c r="FQ240" s="564"/>
      <c r="FR240" s="564"/>
      <c r="FS240" s="564"/>
      <c r="FT240" s="564"/>
      <c r="FU240" s="564"/>
      <c r="FV240" s="564"/>
      <c r="FW240" s="564"/>
      <c r="FX240" s="564"/>
      <c r="FY240" s="564"/>
      <c r="FZ240" s="564"/>
      <c r="GA240" s="564"/>
      <c r="GB240" s="564"/>
      <c r="GC240" s="564"/>
      <c r="GD240" s="564"/>
      <c r="GE240" s="564"/>
      <c r="GF240" s="564"/>
      <c r="GG240" s="564"/>
      <c r="GH240" s="564"/>
      <c r="GI240" s="564"/>
      <c r="GJ240" s="564"/>
      <c r="GK240" s="564"/>
      <c r="GL240" s="564"/>
      <c r="GM240" s="564"/>
      <c r="GN240" s="564"/>
      <c r="GO240" s="564"/>
      <c r="GP240" s="564"/>
      <c r="GQ240" s="564"/>
      <c r="GR240" s="564"/>
      <c r="GS240" s="564"/>
      <c r="GT240" s="564"/>
      <c r="GU240" s="564"/>
      <c r="GV240" s="569"/>
      <c r="GW240" s="564"/>
      <c r="GX240" s="564"/>
      <c r="GY240" s="564"/>
      <c r="GZ240" s="564"/>
      <c r="HA240" s="564"/>
      <c r="HB240" s="564"/>
      <c r="HC240" s="564"/>
      <c r="HD240" s="564"/>
      <c r="HE240" s="564"/>
      <c r="HF240" s="564"/>
      <c r="HG240" s="564"/>
      <c r="HH240" s="564"/>
      <c r="HI240" s="564"/>
      <c r="HJ240" s="564"/>
      <c r="HK240" s="569"/>
      <c r="HL240" s="564" t="s">
        <v>33474</v>
      </c>
      <c r="HM240" s="564" t="s">
        <v>2</v>
      </c>
      <c r="HN240" s="564" t="s">
        <v>4</v>
      </c>
      <c r="HO240" s="564" t="s">
        <v>33563</v>
      </c>
      <c r="HP240" s="564" t="s">
        <v>33564</v>
      </c>
      <c r="HQ240" s="564" t="s">
        <v>33565</v>
      </c>
      <c r="HR240" s="564" t="s">
        <v>33566</v>
      </c>
      <c r="HS240" s="564" t="s">
        <v>33567</v>
      </c>
      <c r="HT240" s="568" t="s">
        <v>33568</v>
      </c>
    </row>
    <row r="241" spans="1:228" ht="30.2" customHeight="1" x14ac:dyDescent="0.25">
      <c r="A241" s="759"/>
      <c r="B241" s="563">
        <v>132</v>
      </c>
      <c r="C241" s="573" t="s">
        <v>8618</v>
      </c>
      <c r="D241" s="571" t="s">
        <v>34840</v>
      </c>
      <c r="E241" s="571" t="s">
        <v>30392</v>
      </c>
      <c r="F241" s="571" t="s">
        <v>7</v>
      </c>
      <c r="G241" s="571" t="s">
        <v>34841</v>
      </c>
      <c r="H241" s="571">
        <v>1094.5999999999999</v>
      </c>
      <c r="I241" s="571">
        <v>4.3</v>
      </c>
      <c r="J241" s="571" t="s">
        <v>29389</v>
      </c>
      <c r="K241" s="571" t="s">
        <v>33816</v>
      </c>
      <c r="L241" s="571" t="s">
        <v>34842</v>
      </c>
      <c r="M241" s="571">
        <v>758961351</v>
      </c>
      <c r="N241" s="571" t="s">
        <v>3</v>
      </c>
      <c r="O241" s="571" t="s">
        <v>31598</v>
      </c>
      <c r="P241" s="571" t="s">
        <v>4</v>
      </c>
      <c r="Q241" s="571">
        <v>5</v>
      </c>
      <c r="R241" s="571" t="s">
        <v>7</v>
      </c>
      <c r="S241" s="571" t="s">
        <v>31588</v>
      </c>
      <c r="T241" s="571" t="s">
        <v>4</v>
      </c>
      <c r="U241" s="571" t="s">
        <v>2</v>
      </c>
      <c r="V241" s="571" t="s">
        <v>4</v>
      </c>
      <c r="W241" s="571" t="s">
        <v>4</v>
      </c>
      <c r="X241" s="571" t="s">
        <v>4</v>
      </c>
      <c r="Y241" s="571" t="s">
        <v>4</v>
      </c>
      <c r="Z241" s="574">
        <v>45557</v>
      </c>
      <c r="AA241" s="557" t="str">
        <f>IF(OR(U241="yes",Z241&gt;'SDG outcome'!$C$39),"yes","no")</f>
        <v>yes</v>
      </c>
      <c r="AB241" s="574" t="str">
        <f t="shared" si="7"/>
        <v>NA</v>
      </c>
      <c r="AC241" s="575" t="str">
        <f>IF(AND('SMS p2'!AA144="no",AND(Z241&gt;='SDG outcome'!$B$28,Z241&lt;'SDG outcome'!$C$39)),Z241-'SDG outcome'!$B$28,"")</f>
        <v/>
      </c>
      <c r="AD241" s="571" t="s">
        <v>31572</v>
      </c>
      <c r="AE241" s="571" t="s">
        <v>4</v>
      </c>
      <c r="AF241" s="571" t="s">
        <v>2</v>
      </c>
      <c r="AG241" s="571" t="s">
        <v>4</v>
      </c>
      <c r="AH241" s="571" t="s">
        <v>34843</v>
      </c>
      <c r="AI241" s="571" t="s">
        <v>7</v>
      </c>
      <c r="AJ241" s="571" t="s">
        <v>33539</v>
      </c>
      <c r="AK241" s="571" t="s">
        <v>4</v>
      </c>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64"/>
      <c r="BN241" s="571"/>
      <c r="BO241" s="571"/>
      <c r="BP241" s="571"/>
      <c r="BQ241" s="571"/>
      <c r="BR241" s="576"/>
      <c r="BS241" s="571"/>
      <c r="BT241" s="571"/>
      <c r="BU241" s="571"/>
      <c r="BV241" s="571"/>
      <c r="BW241" s="576"/>
      <c r="BX241" s="571"/>
      <c r="BY241" s="571"/>
      <c r="BZ241" s="571"/>
      <c r="CA241" s="571"/>
      <c r="CB241" s="571"/>
      <c r="CC241" s="571"/>
      <c r="CD241" s="571"/>
      <c r="CE241" s="571"/>
      <c r="CF241" s="571"/>
      <c r="CG241" s="571"/>
      <c r="CH241" s="571"/>
      <c r="CI241" s="571"/>
      <c r="CJ241" s="571"/>
      <c r="CK241" s="571"/>
      <c r="CL241" s="571"/>
      <c r="CM241" s="571"/>
      <c r="CN241" s="571"/>
      <c r="CO241" s="571"/>
      <c r="CP241" s="571"/>
      <c r="CQ241" s="571"/>
      <c r="CR241" s="571"/>
      <c r="CS241" s="571"/>
      <c r="CT241" s="577"/>
      <c r="CU241" s="563"/>
      <c r="CV241" s="571"/>
      <c r="CW241" s="577"/>
      <c r="CX241" s="573"/>
      <c r="CY241" s="571"/>
      <c r="CZ241" s="577"/>
      <c r="DA241" s="573"/>
      <c r="DB241" s="571"/>
      <c r="DC241" s="571"/>
      <c r="DD241" s="571"/>
      <c r="DE241" s="571"/>
      <c r="DF241" s="571"/>
      <c r="DG241" s="564"/>
      <c r="DH241" s="571"/>
      <c r="DI241" s="571"/>
      <c r="DJ241" s="571"/>
      <c r="DK241" s="571"/>
      <c r="DL241" s="571"/>
      <c r="DM241" s="571"/>
      <c r="DN241" s="571"/>
      <c r="DO241" s="571"/>
      <c r="DP241" s="571"/>
      <c r="DQ241" s="571"/>
      <c r="DR241" s="571"/>
      <c r="DS241" s="578"/>
      <c r="DT241" s="571"/>
      <c r="DU241" s="578"/>
      <c r="DV241" s="577"/>
      <c r="DW241" s="573"/>
      <c r="DX241" s="571"/>
      <c r="DY241" s="571"/>
      <c r="DZ241" s="571"/>
      <c r="EA241" s="571"/>
      <c r="EB241" s="571"/>
      <c r="EC241" s="571"/>
      <c r="ED241" s="571"/>
      <c r="EE241" s="571"/>
      <c r="EF241" s="571"/>
      <c r="EG241" s="571"/>
      <c r="EH241" s="571"/>
      <c r="EI241" s="571"/>
      <c r="EJ241" s="571"/>
      <c r="EK241" s="571"/>
      <c r="EL241" s="571"/>
      <c r="EM241" s="571"/>
      <c r="EN241" s="571"/>
      <c r="EO241" s="571"/>
      <c r="EP241" s="571"/>
      <c r="EQ241" s="571"/>
      <c r="ER241" s="571"/>
      <c r="ES241" s="571"/>
      <c r="ET241" s="571"/>
      <c r="EU241" s="571"/>
      <c r="EV241" s="571"/>
      <c r="EW241" s="571"/>
      <c r="EX241" s="571"/>
      <c r="EY241" s="571"/>
      <c r="EZ241" s="239"/>
      <c r="FA241" s="571"/>
      <c r="FB241" s="571"/>
      <c r="FC241" s="571"/>
      <c r="FD241" s="571"/>
      <c r="FE241" s="571"/>
      <c r="FF241" s="571"/>
      <c r="FG241" s="571"/>
      <c r="FH241" s="571"/>
      <c r="FI241" s="571"/>
      <c r="FJ241" s="571"/>
      <c r="FK241" s="571"/>
      <c r="FL241" s="571"/>
      <c r="FM241" s="571"/>
      <c r="FN241" s="578"/>
      <c r="FO241" s="571"/>
      <c r="FP241" s="571"/>
      <c r="FQ241" s="571"/>
      <c r="FR241" s="571"/>
      <c r="FS241" s="571"/>
      <c r="FT241" s="571"/>
      <c r="FU241" s="571"/>
      <c r="FV241" s="571"/>
      <c r="FW241" s="571"/>
      <c r="FX241" s="571"/>
      <c r="FY241" s="571"/>
      <c r="FZ241" s="571"/>
      <c r="GA241" s="571"/>
      <c r="GB241" s="571"/>
      <c r="GC241" s="571"/>
      <c r="GD241" s="571"/>
      <c r="GE241" s="571"/>
      <c r="GF241" s="571"/>
      <c r="GG241" s="571"/>
      <c r="GH241" s="571"/>
      <c r="GI241" s="571"/>
      <c r="GJ241" s="571"/>
      <c r="GK241" s="571"/>
      <c r="GL241" s="571"/>
      <c r="GM241" s="571"/>
      <c r="GN241" s="571"/>
      <c r="GO241" s="571"/>
      <c r="GP241" s="571"/>
      <c r="GQ241" s="571"/>
      <c r="GR241" s="571"/>
      <c r="GS241" s="571"/>
      <c r="GT241" s="571"/>
      <c r="GU241" s="571"/>
      <c r="GV241" s="578"/>
      <c r="GW241" s="571"/>
      <c r="GX241" s="571"/>
      <c r="GY241" s="571"/>
      <c r="GZ241" s="571"/>
      <c r="HA241" s="571"/>
      <c r="HB241" s="571"/>
      <c r="HC241" s="571"/>
      <c r="HD241" s="571"/>
      <c r="HE241" s="571"/>
      <c r="HF241" s="571"/>
      <c r="HG241" s="571"/>
      <c r="HH241" s="571"/>
      <c r="HI241" s="571"/>
      <c r="HJ241" s="571"/>
      <c r="HK241" s="569"/>
      <c r="HL241" s="571" t="s">
        <v>34844</v>
      </c>
      <c r="HM241" s="571" t="s">
        <v>7</v>
      </c>
      <c r="HN241" s="571" t="s">
        <v>34845</v>
      </c>
      <c r="HO241" s="571" t="s">
        <v>34846</v>
      </c>
      <c r="HP241" s="571" t="s">
        <v>34847</v>
      </c>
      <c r="HQ241" s="571" t="s">
        <v>34848</v>
      </c>
      <c r="HR241" s="571" t="s">
        <v>34849</v>
      </c>
      <c r="HS241" s="571" t="s">
        <v>34850</v>
      </c>
      <c r="HT241" s="577" t="s">
        <v>34840</v>
      </c>
    </row>
    <row r="242" spans="1:228" ht="30.2" customHeight="1" x14ac:dyDescent="0.25">
      <c r="A242" s="759"/>
      <c r="B242" s="563">
        <v>93</v>
      </c>
      <c r="C242" s="563" t="s">
        <v>22436</v>
      </c>
      <c r="D242" s="564" t="s">
        <v>34411</v>
      </c>
      <c r="E242" s="564" t="s">
        <v>70</v>
      </c>
      <c r="F242" s="564" t="s">
        <v>7</v>
      </c>
      <c r="G242" s="564" t="s">
        <v>34412</v>
      </c>
      <c r="H242" s="564">
        <v>1297.8</v>
      </c>
      <c r="I242" s="564">
        <v>5</v>
      </c>
      <c r="J242" s="564" t="s">
        <v>29319</v>
      </c>
      <c r="K242" s="564" t="s">
        <v>4</v>
      </c>
      <c r="L242" s="564" t="s">
        <v>22437</v>
      </c>
      <c r="M242" s="564">
        <v>752908747</v>
      </c>
      <c r="N242" s="564" t="s">
        <v>5</v>
      </c>
      <c r="O242" s="564" t="s">
        <v>31590</v>
      </c>
      <c r="P242" s="564" t="s">
        <v>4</v>
      </c>
      <c r="Q242" s="564">
        <v>6</v>
      </c>
      <c r="R242" s="564" t="s">
        <v>7</v>
      </c>
      <c r="S242" s="564" t="s">
        <v>31549</v>
      </c>
      <c r="T242" s="564" t="s">
        <v>4</v>
      </c>
      <c r="U242" s="564" t="s">
        <v>2</v>
      </c>
      <c r="V242" s="564" t="s">
        <v>4</v>
      </c>
      <c r="W242" s="564" t="s">
        <v>4</v>
      </c>
      <c r="X242" s="564" t="s">
        <v>4</v>
      </c>
      <c r="Y242" s="564" t="s">
        <v>4</v>
      </c>
      <c r="Z242" s="565">
        <v>44735</v>
      </c>
      <c r="AA242" s="557" t="str">
        <f>IF(OR(U242="yes",Z242&gt;'SDG outcome'!$C$39),"yes","no")</f>
        <v>no</v>
      </c>
      <c r="AB242" s="565" t="str">
        <f t="shared" si="7"/>
        <v/>
      </c>
      <c r="AC242" s="566" t="str">
        <f>IF(AND('SMS p2'!AA105="no",AND(Z242&gt;='SDG outcome'!$B$28,Z242&lt;'SDG outcome'!$C$39)),Z242-'SDG outcome'!$B$28,"")</f>
        <v/>
      </c>
      <c r="AD242" s="564" t="s">
        <v>31572</v>
      </c>
      <c r="AE242" s="564" t="s">
        <v>4</v>
      </c>
      <c r="AF242" s="564" t="s">
        <v>2</v>
      </c>
      <c r="AG242" s="564" t="s">
        <v>4</v>
      </c>
      <c r="AH242" s="564" t="s">
        <v>34413</v>
      </c>
      <c r="AI242" s="564" t="s">
        <v>34376</v>
      </c>
      <c r="AJ242" s="564" t="s">
        <v>33539</v>
      </c>
      <c r="AK242" s="564" t="s">
        <v>4</v>
      </c>
      <c r="AL242" s="564"/>
      <c r="AM242" s="564"/>
      <c r="AN242" s="564"/>
      <c r="AO242" s="564"/>
      <c r="AP242" s="564"/>
      <c r="AQ242" s="564"/>
      <c r="AR242" s="564"/>
      <c r="AS242" s="564"/>
      <c r="AT242" s="564"/>
      <c r="AU242" s="564"/>
      <c r="AV242" s="564"/>
      <c r="AW242" s="564"/>
      <c r="AX242" s="564"/>
      <c r="AY242" s="564"/>
      <c r="AZ242" s="564"/>
      <c r="BA242" s="564"/>
      <c r="BB242" s="564"/>
      <c r="BC242" s="564"/>
      <c r="BD242" s="571"/>
      <c r="BE242" s="564"/>
      <c r="BF242" s="564"/>
      <c r="BG242" s="564"/>
      <c r="BH242" s="564"/>
      <c r="BI242" s="564"/>
      <c r="BJ242" s="564"/>
      <c r="BK242" s="564"/>
      <c r="BL242" s="564"/>
      <c r="BM242" s="564"/>
      <c r="BN242" s="564"/>
      <c r="BO242" s="564"/>
      <c r="BP242" s="564"/>
      <c r="BQ242" s="564"/>
      <c r="BR242" s="567"/>
      <c r="BS242" s="564"/>
      <c r="BT242" s="564"/>
      <c r="BU242" s="564"/>
      <c r="BV242" s="564"/>
      <c r="BW242" s="567"/>
      <c r="BX242" s="564"/>
      <c r="BY242" s="564"/>
      <c r="BZ242" s="564"/>
      <c r="CA242" s="564"/>
      <c r="CB242" s="564"/>
      <c r="CC242" s="564"/>
      <c r="CD242" s="564"/>
      <c r="CE242" s="564"/>
      <c r="CF242" s="564"/>
      <c r="CG242" s="564"/>
      <c r="CH242" s="564"/>
      <c r="CI242" s="564"/>
      <c r="CJ242" s="564"/>
      <c r="CK242" s="564"/>
      <c r="CL242" s="564"/>
      <c r="CM242" s="564"/>
      <c r="CN242" s="564"/>
      <c r="CO242" s="564"/>
      <c r="CP242" s="564"/>
      <c r="CQ242" s="564"/>
      <c r="CR242" s="564"/>
      <c r="CS242" s="564"/>
      <c r="CT242" s="568"/>
      <c r="CU242" s="563"/>
      <c r="CV242" s="564"/>
      <c r="CW242" s="568"/>
      <c r="CX242" s="563"/>
      <c r="CY242" s="564"/>
      <c r="CZ242" s="568"/>
      <c r="DA242" s="563"/>
      <c r="DB242" s="564"/>
      <c r="DC242" s="564"/>
      <c r="DD242" s="564"/>
      <c r="DE242" s="564"/>
      <c r="DF242" s="564"/>
      <c r="DG242" s="564"/>
      <c r="DH242" s="564"/>
      <c r="DI242" s="564"/>
      <c r="DJ242" s="564"/>
      <c r="DK242" s="564"/>
      <c r="DL242" s="564"/>
      <c r="DM242" s="564"/>
      <c r="DN242" s="564"/>
      <c r="DO242" s="564"/>
      <c r="DP242" s="564"/>
      <c r="DQ242" s="564"/>
      <c r="DR242" s="564"/>
      <c r="DS242" s="569"/>
      <c r="DT242" s="564"/>
      <c r="DU242" s="569"/>
      <c r="DV242" s="568"/>
      <c r="DW242" s="563"/>
      <c r="DX242" s="564"/>
      <c r="DY242" s="564"/>
      <c r="DZ242" s="564"/>
      <c r="EA242" s="564"/>
      <c r="EB242" s="564"/>
      <c r="EC242" s="564"/>
      <c r="ED242" s="564"/>
      <c r="EE242" s="564"/>
      <c r="EF242" s="564"/>
      <c r="EG242" s="564"/>
      <c r="EH242" s="564"/>
      <c r="EI242" s="564"/>
      <c r="EJ242" s="564"/>
      <c r="EK242" s="564"/>
      <c r="EL242" s="564"/>
      <c r="EM242" s="564"/>
      <c r="EN242" s="564"/>
      <c r="EO242" s="564"/>
      <c r="EP242" s="564"/>
      <c r="EQ242" s="564"/>
      <c r="ER242" s="564"/>
      <c r="ES242" s="564"/>
      <c r="ET242" s="564"/>
      <c r="EU242" s="564"/>
      <c r="EV242" s="564"/>
      <c r="EW242" s="564"/>
      <c r="EX242" s="564"/>
      <c r="EY242" s="564"/>
      <c r="EZ242" s="239"/>
      <c r="FA242" s="564"/>
      <c r="FB242" s="564"/>
      <c r="FC242" s="564"/>
      <c r="FD242" s="564"/>
      <c r="FE242" s="564"/>
      <c r="FF242" s="564"/>
      <c r="FG242" s="564"/>
      <c r="FH242" s="564"/>
      <c r="FI242" s="564"/>
      <c r="FJ242" s="564"/>
      <c r="FK242" s="564"/>
      <c r="FL242" s="564"/>
      <c r="FM242" s="564"/>
      <c r="FN242" s="569"/>
      <c r="FO242" s="564"/>
      <c r="FP242" s="564"/>
      <c r="FQ242" s="564"/>
      <c r="FR242" s="564"/>
      <c r="FS242" s="564"/>
      <c r="FT242" s="564"/>
      <c r="FU242" s="564"/>
      <c r="FV242" s="564"/>
      <c r="FW242" s="564"/>
      <c r="FX242" s="564"/>
      <c r="FY242" s="564"/>
      <c r="FZ242" s="564"/>
      <c r="GA242" s="564"/>
      <c r="GB242" s="564"/>
      <c r="GC242" s="564"/>
      <c r="GD242" s="564"/>
      <c r="GE242" s="564"/>
      <c r="GF242" s="564"/>
      <c r="GG242" s="564"/>
      <c r="GH242" s="564"/>
      <c r="GI242" s="564"/>
      <c r="GJ242" s="564"/>
      <c r="GK242" s="564"/>
      <c r="GL242" s="564"/>
      <c r="GM242" s="564"/>
      <c r="GN242" s="564"/>
      <c r="GO242" s="564"/>
      <c r="GP242" s="564"/>
      <c r="GQ242" s="564"/>
      <c r="GR242" s="564"/>
      <c r="GS242" s="564"/>
      <c r="GT242" s="564"/>
      <c r="GU242" s="564"/>
      <c r="GV242" s="569"/>
      <c r="GW242" s="564"/>
      <c r="GX242" s="564"/>
      <c r="GY242" s="564"/>
      <c r="GZ242" s="564"/>
      <c r="HA242" s="564"/>
      <c r="HB242" s="564"/>
      <c r="HC242" s="564"/>
      <c r="HD242" s="564"/>
      <c r="HE242" s="564"/>
      <c r="HF242" s="564"/>
      <c r="HG242" s="564"/>
      <c r="HH242" s="564"/>
      <c r="HI242" s="564"/>
      <c r="HJ242" s="564"/>
      <c r="HK242" s="569"/>
      <c r="HL242" s="564" t="s">
        <v>33474</v>
      </c>
      <c r="HM242" s="564" t="s">
        <v>7</v>
      </c>
      <c r="HN242" s="564" t="s">
        <v>34414</v>
      </c>
      <c r="HO242" s="564" t="s">
        <v>16</v>
      </c>
      <c r="HP242" s="564" t="s">
        <v>34415</v>
      </c>
      <c r="HQ242" s="564" t="s">
        <v>16</v>
      </c>
      <c r="HR242" s="564" t="s">
        <v>34416</v>
      </c>
      <c r="HS242" s="564" t="s">
        <v>16</v>
      </c>
      <c r="HT242" s="568" t="s">
        <v>34411</v>
      </c>
    </row>
    <row r="243" spans="1:228" ht="30.2" customHeight="1" x14ac:dyDescent="0.25">
      <c r="A243" s="759"/>
      <c r="B243" s="563">
        <v>196</v>
      </c>
      <c r="C243" s="563" t="s">
        <v>11599</v>
      </c>
      <c r="D243" s="564" t="s">
        <v>35548</v>
      </c>
      <c r="E243" s="564" t="s">
        <v>35495</v>
      </c>
      <c r="F243" s="564" t="s">
        <v>7</v>
      </c>
      <c r="G243" s="564" t="s">
        <v>35549</v>
      </c>
      <c r="H243" s="564">
        <v>1133.2</v>
      </c>
      <c r="I243" s="564">
        <v>4.8</v>
      </c>
      <c r="J243" s="564" t="s">
        <v>29389</v>
      </c>
      <c r="K243" s="564" t="s">
        <v>22</v>
      </c>
      <c r="L243" s="564" t="s">
        <v>35550</v>
      </c>
      <c r="M243" s="564">
        <v>752910341</v>
      </c>
      <c r="N243" s="564" t="s">
        <v>5</v>
      </c>
      <c r="O243" s="564" t="s">
        <v>31438</v>
      </c>
      <c r="P243" s="564">
        <v>34</v>
      </c>
      <c r="Q243" s="564">
        <v>8</v>
      </c>
      <c r="R243" s="564" t="s">
        <v>7</v>
      </c>
      <c r="S243" s="564" t="s">
        <v>31549</v>
      </c>
      <c r="T243" s="564" t="s">
        <v>4</v>
      </c>
      <c r="U243" s="564" t="s">
        <v>2</v>
      </c>
      <c r="V243" s="564" t="s">
        <v>4</v>
      </c>
      <c r="W243" s="564" t="s">
        <v>4</v>
      </c>
      <c r="X243" s="564" t="s">
        <v>4</v>
      </c>
      <c r="Y243" s="564" t="s">
        <v>4</v>
      </c>
      <c r="Z243" s="565">
        <v>45531</v>
      </c>
      <c r="AA243" s="557" t="str">
        <f>IF(OR(U243="yes",Z243&gt;'SDG outcome'!$C$39),"yes","no")</f>
        <v>yes</v>
      </c>
      <c r="AB243" s="565" t="str">
        <f t="shared" si="7"/>
        <v>NA</v>
      </c>
      <c r="AC243" s="566" t="str">
        <f>IF(AND('SMS p2'!AA208="no",AND(Z243&gt;='SDG outcome'!$B$28,Z243&lt;'SDG outcome'!$C$39)),Z243-'SDG outcome'!$B$28,"")</f>
        <v/>
      </c>
      <c r="AD243" s="564" t="s">
        <v>31572</v>
      </c>
      <c r="AE243" s="564" t="s">
        <v>4</v>
      </c>
      <c r="AF243" s="564" t="s">
        <v>2</v>
      </c>
      <c r="AG243" s="564" t="s">
        <v>4</v>
      </c>
      <c r="AH243" s="564" t="s">
        <v>35551</v>
      </c>
      <c r="AI243" s="564" t="s">
        <v>4</v>
      </c>
      <c r="AJ243" s="564" t="s">
        <v>4</v>
      </c>
      <c r="AK243" s="564" t="s">
        <v>4</v>
      </c>
      <c r="AL243" s="564"/>
      <c r="AM243" s="564"/>
      <c r="AN243" s="564"/>
      <c r="AO243" s="564"/>
      <c r="AP243" s="564"/>
      <c r="AQ243" s="564"/>
      <c r="AR243" s="564"/>
      <c r="AS243" s="564"/>
      <c r="AT243" s="564"/>
      <c r="AU243" s="564"/>
      <c r="AV243" s="564"/>
      <c r="AW243" s="564"/>
      <c r="AX243" s="564"/>
      <c r="AY243" s="564"/>
      <c r="AZ243" s="564"/>
      <c r="BA243" s="564"/>
      <c r="BB243" s="564"/>
      <c r="BC243" s="564"/>
      <c r="BD243" s="564"/>
      <c r="BE243" s="564"/>
      <c r="BF243" s="564"/>
      <c r="BG243" s="564"/>
      <c r="BH243" s="564"/>
      <c r="BI243" s="564"/>
      <c r="BJ243" s="564"/>
      <c r="BK243" s="564"/>
      <c r="BL243" s="564"/>
      <c r="BM243" s="564"/>
      <c r="BN243" s="564"/>
      <c r="BO243" s="564"/>
      <c r="BP243" s="564"/>
      <c r="BQ243" s="564"/>
      <c r="BR243" s="567"/>
      <c r="BS243" s="564"/>
      <c r="BT243" s="564"/>
      <c r="BU243" s="564"/>
      <c r="BV243" s="564"/>
      <c r="BW243" s="567"/>
      <c r="BX243" s="564"/>
      <c r="BY243" s="564"/>
      <c r="BZ243" s="564"/>
      <c r="CA243" s="564"/>
      <c r="CB243" s="564"/>
      <c r="CC243" s="564"/>
      <c r="CD243" s="564"/>
      <c r="CE243" s="564"/>
      <c r="CF243" s="564"/>
      <c r="CG243" s="564"/>
      <c r="CH243" s="564"/>
      <c r="CI243" s="564"/>
      <c r="CJ243" s="564"/>
      <c r="CK243" s="564"/>
      <c r="CL243" s="564"/>
      <c r="CM243" s="564"/>
      <c r="CN243" s="564"/>
      <c r="CO243" s="564"/>
      <c r="CP243" s="564"/>
      <c r="CQ243" s="564"/>
      <c r="CR243" s="564"/>
      <c r="CS243" s="564"/>
      <c r="CT243" s="568"/>
      <c r="CU243" s="563"/>
      <c r="CV243" s="564"/>
      <c r="CW243" s="568"/>
      <c r="CX243" s="563"/>
      <c r="CY243" s="564"/>
      <c r="CZ243" s="568"/>
      <c r="DA243" s="563"/>
      <c r="DB243" s="564"/>
      <c r="DC243" s="564"/>
      <c r="DD243" s="564"/>
      <c r="DE243" s="564"/>
      <c r="DF243" s="564"/>
      <c r="DG243" s="564"/>
      <c r="DH243" s="564"/>
      <c r="DI243" s="564"/>
      <c r="DJ243" s="564"/>
      <c r="DK243" s="564"/>
      <c r="DL243" s="564"/>
      <c r="DM243" s="564"/>
      <c r="DN243" s="564"/>
      <c r="DO243" s="564"/>
      <c r="DP243" s="564"/>
      <c r="DQ243" s="564"/>
      <c r="DR243" s="564"/>
      <c r="DS243" s="569"/>
      <c r="DT243" s="564"/>
      <c r="DU243" s="569"/>
      <c r="DV243" s="568"/>
      <c r="DW243" s="563"/>
      <c r="DX243" s="564"/>
      <c r="DY243" s="564"/>
      <c r="DZ243" s="564"/>
      <c r="EA243" s="564"/>
      <c r="EB243" s="564"/>
      <c r="EC243" s="564"/>
      <c r="ED243" s="564"/>
      <c r="EE243" s="564"/>
      <c r="EF243" s="564"/>
      <c r="EG243" s="564"/>
      <c r="EH243" s="564"/>
      <c r="EI243" s="564"/>
      <c r="EJ243" s="564"/>
      <c r="EK243" s="564"/>
      <c r="EL243" s="564"/>
      <c r="EM243" s="564"/>
      <c r="EN243" s="564"/>
      <c r="EO243" s="564"/>
      <c r="EP243" s="564"/>
      <c r="EQ243" s="564"/>
      <c r="ER243" s="564"/>
      <c r="ES243" s="564"/>
      <c r="ET243" s="564"/>
      <c r="EU243" s="564"/>
      <c r="EV243" s="564"/>
      <c r="EW243" s="564"/>
      <c r="EX243" s="564"/>
      <c r="EY243" s="564"/>
      <c r="EZ243" s="239"/>
      <c r="FA243" s="564"/>
      <c r="FB243" s="564"/>
      <c r="FC243" s="564"/>
      <c r="FD243" s="564"/>
      <c r="FE243" s="564"/>
      <c r="FF243" s="564"/>
      <c r="FG243" s="564"/>
      <c r="FH243" s="564"/>
      <c r="FI243" s="564"/>
      <c r="FJ243" s="564"/>
      <c r="FK243" s="564"/>
      <c r="FL243" s="564"/>
      <c r="FM243" s="564"/>
      <c r="FN243" s="569"/>
      <c r="FO243" s="564"/>
      <c r="FP243" s="564"/>
      <c r="FQ243" s="564"/>
      <c r="FR243" s="564"/>
      <c r="FS243" s="564"/>
      <c r="FT243" s="564"/>
      <c r="FU243" s="564"/>
      <c r="FV243" s="564"/>
      <c r="FW243" s="564"/>
      <c r="FX243" s="564"/>
      <c r="FY243" s="564"/>
      <c r="FZ243" s="564"/>
      <c r="GA243" s="564"/>
      <c r="GB243" s="564"/>
      <c r="GC243" s="564"/>
      <c r="GD243" s="564"/>
      <c r="GE243" s="564"/>
      <c r="GF243" s="564"/>
      <c r="GG243" s="564"/>
      <c r="GH243" s="564"/>
      <c r="GI243" s="564"/>
      <c r="GJ243" s="564"/>
      <c r="GK243" s="564"/>
      <c r="GL243" s="564"/>
      <c r="GM243" s="564"/>
      <c r="GN243" s="564"/>
      <c r="GO243" s="564"/>
      <c r="GP243" s="564"/>
      <c r="GQ243" s="564"/>
      <c r="GR243" s="564"/>
      <c r="GS243" s="564"/>
      <c r="GT243" s="564"/>
      <c r="GU243" s="564"/>
      <c r="GV243" s="569"/>
      <c r="GW243" s="564"/>
      <c r="GX243" s="564"/>
      <c r="GY243" s="564"/>
      <c r="GZ243" s="564"/>
      <c r="HA243" s="564"/>
      <c r="HB243" s="564"/>
      <c r="HC243" s="564"/>
      <c r="HD243" s="564"/>
      <c r="HE243" s="564"/>
      <c r="HF243" s="564"/>
      <c r="HG243" s="564"/>
      <c r="HH243" s="564"/>
      <c r="HI243" s="564"/>
      <c r="HJ243" s="564"/>
      <c r="HK243" s="569"/>
      <c r="HL243" s="564" t="s">
        <v>35552</v>
      </c>
      <c r="HM243" s="564" t="s">
        <v>2</v>
      </c>
      <c r="HN243" s="564" t="s">
        <v>4</v>
      </c>
      <c r="HO243" s="571" t="s">
        <v>35553</v>
      </c>
      <c r="HP243" s="564" t="s">
        <v>35554</v>
      </c>
      <c r="HQ243" s="564" t="s">
        <v>35555</v>
      </c>
      <c r="HR243" s="564" t="s">
        <v>35556</v>
      </c>
      <c r="HS243" s="564" t="s">
        <v>35557</v>
      </c>
      <c r="HT243" s="568" t="s">
        <v>35548</v>
      </c>
    </row>
    <row r="244" spans="1:228" ht="30.2" customHeight="1" x14ac:dyDescent="0.25">
      <c r="A244" s="759"/>
      <c r="B244" s="563">
        <v>186</v>
      </c>
      <c r="C244" s="563" t="s">
        <v>27638</v>
      </c>
      <c r="D244" s="564" t="s">
        <v>35430</v>
      </c>
      <c r="E244" s="564" t="s">
        <v>30638</v>
      </c>
      <c r="F244" s="564" t="s">
        <v>7</v>
      </c>
      <c r="G244" s="564" t="s">
        <v>35431</v>
      </c>
      <c r="H244" s="564">
        <v>1457.338013</v>
      </c>
      <c r="I244" s="564">
        <v>4.2880000000000003</v>
      </c>
      <c r="J244" s="564" t="s">
        <v>29319</v>
      </c>
      <c r="K244" s="564" t="s">
        <v>4</v>
      </c>
      <c r="L244" s="564" t="s">
        <v>35432</v>
      </c>
      <c r="M244" s="564">
        <v>782610999</v>
      </c>
      <c r="N244" s="564" t="s">
        <v>5</v>
      </c>
      <c r="O244" s="564" t="s">
        <v>31598</v>
      </c>
      <c r="P244" s="564" t="s">
        <v>4</v>
      </c>
      <c r="Q244" s="564">
        <v>12</v>
      </c>
      <c r="R244" s="564" t="s">
        <v>7</v>
      </c>
      <c r="S244" s="564" t="s">
        <v>31549</v>
      </c>
      <c r="T244" s="564" t="s">
        <v>4</v>
      </c>
      <c r="U244" s="564" t="s">
        <v>2</v>
      </c>
      <c r="V244" s="564" t="s">
        <v>4</v>
      </c>
      <c r="W244" s="564" t="s">
        <v>4</v>
      </c>
      <c r="X244" s="564" t="s">
        <v>4</v>
      </c>
      <c r="Y244" s="564" t="s">
        <v>4</v>
      </c>
      <c r="Z244" s="565">
        <v>42775</v>
      </c>
      <c r="AA244" s="557" t="str">
        <f>IF(OR(U244="yes",Z244&gt;'SDG outcome'!$C$39),"yes","no")</f>
        <v>no</v>
      </c>
      <c r="AB244" s="565" t="str">
        <f t="shared" si="7"/>
        <v/>
      </c>
      <c r="AC244" s="566" t="str">
        <f>IF(AND('SMS p2'!AA198="no",AND(Z244&gt;='SDG outcome'!$B$28,Z244&lt;'SDG outcome'!$C$39)),Z244-'SDG outcome'!$B$28,"")</f>
        <v/>
      </c>
      <c r="AD244" s="564" t="s">
        <v>31572</v>
      </c>
      <c r="AE244" s="564" t="s">
        <v>4</v>
      </c>
      <c r="AF244" s="564" t="s">
        <v>7</v>
      </c>
      <c r="AG244" s="564" t="s">
        <v>35433</v>
      </c>
      <c r="AH244" s="564" t="s">
        <v>4</v>
      </c>
      <c r="AI244" s="564" t="s">
        <v>7</v>
      </c>
      <c r="AJ244" s="565">
        <v>45813</v>
      </c>
      <c r="AK244" s="564" t="s">
        <v>4</v>
      </c>
      <c r="AL244" s="564"/>
      <c r="AM244" s="564"/>
      <c r="AN244" s="564"/>
      <c r="AO244" s="564"/>
      <c r="AP244" s="564"/>
      <c r="AQ244" s="564"/>
      <c r="AR244" s="564"/>
      <c r="AS244" s="564"/>
      <c r="AT244" s="564"/>
      <c r="AU244" s="564"/>
      <c r="AV244" s="564"/>
      <c r="AW244" s="564"/>
      <c r="AX244" s="564"/>
      <c r="AY244" s="564"/>
      <c r="AZ244" s="564"/>
      <c r="BA244" s="564"/>
      <c r="BB244" s="564"/>
      <c r="BC244" s="564"/>
      <c r="BD244" s="564"/>
      <c r="BE244" s="564"/>
      <c r="BF244" s="564"/>
      <c r="BG244" s="564"/>
      <c r="BH244" s="564"/>
      <c r="BI244" s="564"/>
      <c r="BJ244" s="564"/>
      <c r="BK244" s="564"/>
      <c r="BL244" s="564"/>
      <c r="BM244" s="564"/>
      <c r="BN244" s="564"/>
      <c r="BO244" s="564"/>
      <c r="BP244" s="564"/>
      <c r="BQ244" s="564"/>
      <c r="BR244" s="567"/>
      <c r="BS244" s="564"/>
      <c r="BT244" s="564"/>
      <c r="BU244" s="564"/>
      <c r="BV244" s="564"/>
      <c r="BW244" s="567"/>
      <c r="BX244" s="564"/>
      <c r="BY244" s="564"/>
      <c r="BZ244" s="564"/>
      <c r="CA244" s="564"/>
      <c r="CB244" s="564"/>
      <c r="CC244" s="564"/>
      <c r="CD244" s="564"/>
      <c r="CE244" s="564"/>
      <c r="CF244" s="564"/>
      <c r="CG244" s="564"/>
      <c r="CH244" s="564"/>
      <c r="CI244" s="564"/>
      <c r="CJ244" s="564"/>
      <c r="CK244" s="564"/>
      <c r="CL244" s="564"/>
      <c r="CM244" s="564"/>
      <c r="CN244" s="564"/>
      <c r="CO244" s="564"/>
      <c r="CP244" s="564"/>
      <c r="CQ244" s="564"/>
      <c r="CR244" s="564"/>
      <c r="CS244" s="564"/>
      <c r="CT244" s="568"/>
      <c r="CU244" s="563"/>
      <c r="CV244" s="564"/>
      <c r="CW244" s="568"/>
      <c r="CX244" s="563"/>
      <c r="CY244" s="564"/>
      <c r="CZ244" s="568"/>
      <c r="DA244" s="563"/>
      <c r="DB244" s="564"/>
      <c r="DC244" s="564"/>
      <c r="DD244" s="564"/>
      <c r="DE244" s="564"/>
      <c r="DF244" s="564"/>
      <c r="DG244" s="564"/>
      <c r="DH244" s="564"/>
      <c r="DI244" s="564"/>
      <c r="DJ244" s="564"/>
      <c r="DK244" s="564"/>
      <c r="DL244" s="564"/>
      <c r="DM244" s="564"/>
      <c r="DN244" s="564"/>
      <c r="DO244" s="564"/>
      <c r="DP244" s="564"/>
      <c r="DQ244" s="564"/>
      <c r="DR244" s="564"/>
      <c r="DS244" s="569"/>
      <c r="DT244" s="564"/>
      <c r="DU244" s="569"/>
      <c r="DV244" s="568"/>
      <c r="DW244" s="563"/>
      <c r="DX244" s="564"/>
      <c r="DY244" s="564"/>
      <c r="DZ244" s="564"/>
      <c r="EA244" s="564"/>
      <c r="EB244" s="564"/>
      <c r="EC244" s="564"/>
      <c r="ED244" s="564"/>
      <c r="EE244" s="564"/>
      <c r="EF244" s="564"/>
      <c r="EG244" s="564"/>
      <c r="EH244" s="564"/>
      <c r="EI244" s="564"/>
      <c r="EJ244" s="564"/>
      <c r="EK244" s="564"/>
      <c r="EL244" s="564"/>
      <c r="EM244" s="564"/>
      <c r="EN244" s="564"/>
      <c r="EO244" s="564"/>
      <c r="EP244" s="564"/>
      <c r="EQ244" s="564"/>
      <c r="ER244" s="564"/>
      <c r="ES244" s="564"/>
      <c r="ET244" s="564"/>
      <c r="EU244" s="564"/>
      <c r="EV244" s="564"/>
      <c r="EW244" s="564"/>
      <c r="EX244" s="564"/>
      <c r="EY244" s="564"/>
      <c r="EZ244" s="239"/>
      <c r="FA244" s="564"/>
      <c r="FB244" s="564"/>
      <c r="FC244" s="564"/>
      <c r="FD244" s="564"/>
      <c r="FE244" s="564"/>
      <c r="FF244" s="564"/>
      <c r="FG244" s="564"/>
      <c r="FH244" s="564"/>
      <c r="FI244" s="564"/>
      <c r="FJ244" s="564"/>
      <c r="FK244" s="564"/>
      <c r="FL244" s="564"/>
      <c r="FM244" s="564"/>
      <c r="FN244" s="569"/>
      <c r="FO244" s="564"/>
      <c r="FP244" s="564"/>
      <c r="FQ244" s="564"/>
      <c r="FR244" s="564"/>
      <c r="FS244" s="564"/>
      <c r="FT244" s="564"/>
      <c r="FU244" s="564"/>
      <c r="FV244" s="564"/>
      <c r="FW244" s="564"/>
      <c r="FX244" s="564"/>
      <c r="FY244" s="564"/>
      <c r="FZ244" s="564"/>
      <c r="GA244" s="564"/>
      <c r="GB244" s="564"/>
      <c r="GC244" s="564"/>
      <c r="GD244" s="564"/>
      <c r="GE244" s="564"/>
      <c r="GF244" s="564"/>
      <c r="GG244" s="564"/>
      <c r="GH244" s="564"/>
      <c r="GI244" s="564"/>
      <c r="GJ244" s="564"/>
      <c r="GK244" s="564"/>
      <c r="GL244" s="564"/>
      <c r="GM244" s="564"/>
      <c r="GN244" s="564"/>
      <c r="GO244" s="564"/>
      <c r="GP244" s="564"/>
      <c r="GQ244" s="564"/>
      <c r="GR244" s="564"/>
      <c r="GS244" s="564"/>
      <c r="GT244" s="564"/>
      <c r="GU244" s="564"/>
      <c r="GV244" s="569"/>
      <c r="GW244" s="564"/>
      <c r="GX244" s="564"/>
      <c r="GY244" s="564"/>
      <c r="GZ244" s="564"/>
      <c r="HA244" s="564"/>
      <c r="HB244" s="564"/>
      <c r="HC244" s="564"/>
      <c r="HD244" s="564"/>
      <c r="HE244" s="564"/>
      <c r="HF244" s="564"/>
      <c r="HG244" s="564"/>
      <c r="HH244" s="564"/>
      <c r="HI244" s="564"/>
      <c r="HJ244" s="564"/>
      <c r="HK244" s="569"/>
      <c r="HL244" s="564" t="s">
        <v>35434</v>
      </c>
      <c r="HM244" s="564" t="s">
        <v>2</v>
      </c>
      <c r="HN244" s="564" t="s">
        <v>4</v>
      </c>
      <c r="HO244" s="564" t="s">
        <v>35435</v>
      </c>
      <c r="HP244" s="564" t="s">
        <v>35436</v>
      </c>
      <c r="HQ244" s="564" t="s">
        <v>35437</v>
      </c>
      <c r="HR244" s="564" t="s">
        <v>35438</v>
      </c>
      <c r="HS244" s="564" t="s">
        <v>16</v>
      </c>
      <c r="HT244" s="568" t="s">
        <v>35430</v>
      </c>
    </row>
    <row r="245" spans="1:228" ht="30.2" customHeight="1" x14ac:dyDescent="0.25">
      <c r="A245" s="759"/>
      <c r="B245" s="563">
        <v>102</v>
      </c>
      <c r="C245" s="563" t="s">
        <v>14161</v>
      </c>
      <c r="D245" s="564" t="s">
        <v>34498</v>
      </c>
      <c r="E245" s="564" t="s">
        <v>34457</v>
      </c>
      <c r="F245" s="564" t="s">
        <v>7</v>
      </c>
      <c r="G245" s="564" t="s">
        <v>34499</v>
      </c>
      <c r="H245" s="564">
        <v>1120.9000000000001</v>
      </c>
      <c r="I245" s="564">
        <v>3.4</v>
      </c>
      <c r="J245" s="564" t="s">
        <v>29349</v>
      </c>
      <c r="K245" s="564" t="s">
        <v>4</v>
      </c>
      <c r="L245" s="564" t="s">
        <v>34500</v>
      </c>
      <c r="M245" s="564">
        <v>706419265</v>
      </c>
      <c r="N245" s="564" t="s">
        <v>5</v>
      </c>
      <c r="O245" s="564" t="s">
        <v>31590</v>
      </c>
      <c r="P245" s="564" t="s">
        <v>4</v>
      </c>
      <c r="Q245" s="564">
        <v>7</v>
      </c>
      <c r="R245" s="564" t="s">
        <v>7</v>
      </c>
      <c r="S245" s="564" t="s">
        <v>31588</v>
      </c>
      <c r="T245" s="564" t="s">
        <v>4</v>
      </c>
      <c r="U245" s="564" t="s">
        <v>2</v>
      </c>
      <c r="V245" s="564" t="s">
        <v>4</v>
      </c>
      <c r="W245" s="564" t="s">
        <v>4</v>
      </c>
      <c r="X245" s="564" t="s">
        <v>4</v>
      </c>
      <c r="Y245" s="564" t="s">
        <v>4</v>
      </c>
      <c r="Z245" s="565">
        <v>45369</v>
      </c>
      <c r="AA245" s="557" t="str">
        <f>IF(OR(U245="yes",Z245&gt;'SDG outcome'!$C$39),"yes","no")</f>
        <v>no</v>
      </c>
      <c r="AB245" s="565" t="str">
        <f t="shared" si="7"/>
        <v/>
      </c>
      <c r="AC245" s="566" t="str">
        <f>IF(AND('SMS p2'!AA114="no",AND(Z245&gt;='SDG outcome'!$B$28,Z245&lt;'SDG outcome'!$C$39)),Z245-'SDG outcome'!$B$28,"")</f>
        <v/>
      </c>
      <c r="AD245" s="564" t="s">
        <v>31572</v>
      </c>
      <c r="AE245" s="564" t="s">
        <v>4</v>
      </c>
      <c r="AF245" s="564" t="s">
        <v>7</v>
      </c>
      <c r="AG245" s="564" t="s">
        <v>34501</v>
      </c>
      <c r="AH245" s="564" t="s">
        <v>4</v>
      </c>
      <c r="AI245" s="564" t="s">
        <v>7</v>
      </c>
      <c r="AJ245" s="565">
        <v>45641</v>
      </c>
      <c r="AK245" s="564" t="s">
        <v>4</v>
      </c>
      <c r="AL245" s="564"/>
      <c r="AM245" s="564"/>
      <c r="AN245" s="564"/>
      <c r="AO245" s="564"/>
      <c r="AP245" s="564"/>
      <c r="AQ245" s="564"/>
      <c r="AR245" s="564"/>
      <c r="AS245" s="564"/>
      <c r="AT245" s="564"/>
      <c r="AU245" s="564"/>
      <c r="AV245" s="564"/>
      <c r="AW245" s="564"/>
      <c r="AX245" s="564"/>
      <c r="AY245" s="564"/>
      <c r="AZ245" s="564"/>
      <c r="BA245" s="564"/>
      <c r="BB245" s="564"/>
      <c r="BC245" s="564"/>
      <c r="BD245" s="564"/>
      <c r="BE245" s="564"/>
      <c r="BF245" s="564"/>
      <c r="BG245" s="564"/>
      <c r="BH245" s="564"/>
      <c r="BI245" s="564"/>
      <c r="BJ245" s="564"/>
      <c r="BK245" s="564"/>
      <c r="BL245" s="564"/>
      <c r="BM245" s="564"/>
      <c r="BN245" s="564"/>
      <c r="BO245" s="564"/>
      <c r="BP245" s="564"/>
      <c r="BQ245" s="564"/>
      <c r="BR245" s="567"/>
      <c r="BS245" s="564"/>
      <c r="BT245" s="564"/>
      <c r="BU245" s="564"/>
      <c r="BV245" s="564"/>
      <c r="BW245" s="567"/>
      <c r="BX245" s="564"/>
      <c r="BY245" s="564"/>
      <c r="BZ245" s="564"/>
      <c r="CA245" s="564"/>
      <c r="CB245" s="564"/>
      <c r="CC245" s="564"/>
      <c r="CD245" s="564"/>
      <c r="CE245" s="564"/>
      <c r="CF245" s="564"/>
      <c r="CG245" s="564"/>
      <c r="CH245" s="564"/>
      <c r="CI245" s="564"/>
      <c r="CJ245" s="564"/>
      <c r="CK245" s="564"/>
      <c r="CL245" s="564"/>
      <c r="CM245" s="564"/>
      <c r="CN245" s="564"/>
      <c r="CO245" s="564"/>
      <c r="CP245" s="564"/>
      <c r="CQ245" s="564"/>
      <c r="CR245" s="564"/>
      <c r="CS245" s="564"/>
      <c r="CT245" s="568"/>
      <c r="CU245" s="563"/>
      <c r="CV245" s="564"/>
      <c r="CW245" s="568"/>
      <c r="CX245" s="563"/>
      <c r="CY245" s="564"/>
      <c r="CZ245" s="568"/>
      <c r="DA245" s="563"/>
      <c r="DB245" s="564"/>
      <c r="DC245" s="564"/>
      <c r="DD245" s="564"/>
      <c r="DE245" s="564"/>
      <c r="DF245" s="564"/>
      <c r="DG245" s="564"/>
      <c r="DH245" s="564"/>
      <c r="DI245" s="564"/>
      <c r="DJ245" s="564"/>
      <c r="DK245" s="564"/>
      <c r="DL245" s="564"/>
      <c r="DM245" s="564"/>
      <c r="DN245" s="564"/>
      <c r="DO245" s="564"/>
      <c r="DP245" s="564"/>
      <c r="DQ245" s="564"/>
      <c r="DR245" s="564"/>
      <c r="DS245" s="569"/>
      <c r="DT245" s="564"/>
      <c r="DU245" s="569"/>
      <c r="DV245" s="568"/>
      <c r="DW245" s="563"/>
      <c r="DX245" s="564"/>
      <c r="DY245" s="564"/>
      <c r="DZ245" s="564"/>
      <c r="EA245" s="564"/>
      <c r="EB245" s="564"/>
      <c r="EC245" s="564"/>
      <c r="ED245" s="564"/>
      <c r="EE245" s="564"/>
      <c r="EF245" s="564"/>
      <c r="EG245" s="564"/>
      <c r="EH245" s="564"/>
      <c r="EI245" s="564"/>
      <c r="EJ245" s="564"/>
      <c r="EK245" s="564"/>
      <c r="EL245" s="564"/>
      <c r="EM245" s="564"/>
      <c r="EN245" s="564"/>
      <c r="EO245" s="564"/>
      <c r="EP245" s="564"/>
      <c r="EQ245" s="564"/>
      <c r="ER245" s="564"/>
      <c r="ES245" s="564"/>
      <c r="ET245" s="564"/>
      <c r="EU245" s="564"/>
      <c r="EV245" s="564"/>
      <c r="EW245" s="564"/>
      <c r="EX245" s="564"/>
      <c r="EY245" s="564"/>
      <c r="EZ245" s="239"/>
      <c r="FA245" s="564"/>
      <c r="FB245" s="564"/>
      <c r="FC245" s="564"/>
      <c r="FD245" s="564"/>
      <c r="FE245" s="564"/>
      <c r="FF245" s="564"/>
      <c r="FG245" s="564"/>
      <c r="FH245" s="564"/>
      <c r="FI245" s="564"/>
      <c r="FJ245" s="564"/>
      <c r="FK245" s="564"/>
      <c r="FL245" s="564"/>
      <c r="FM245" s="564"/>
      <c r="FN245" s="569"/>
      <c r="FO245" s="564"/>
      <c r="FP245" s="564"/>
      <c r="FQ245" s="564"/>
      <c r="FR245" s="564"/>
      <c r="FS245" s="564"/>
      <c r="FT245" s="564"/>
      <c r="FU245" s="564"/>
      <c r="FV245" s="564"/>
      <c r="FW245" s="564"/>
      <c r="FX245" s="564"/>
      <c r="FY245" s="564"/>
      <c r="FZ245" s="564"/>
      <c r="GA245" s="564"/>
      <c r="GB245" s="564"/>
      <c r="GC245" s="564"/>
      <c r="GD245" s="564"/>
      <c r="GE245" s="564"/>
      <c r="GF245" s="564"/>
      <c r="GG245" s="564"/>
      <c r="GH245" s="564"/>
      <c r="GI245" s="564"/>
      <c r="GJ245" s="564"/>
      <c r="GK245" s="564"/>
      <c r="GL245" s="564"/>
      <c r="GM245" s="564"/>
      <c r="GN245" s="564"/>
      <c r="GO245" s="564"/>
      <c r="GP245" s="564"/>
      <c r="GQ245" s="564"/>
      <c r="GR245" s="564"/>
      <c r="GS245" s="564"/>
      <c r="GT245" s="564"/>
      <c r="GU245" s="564"/>
      <c r="GV245" s="569"/>
      <c r="GW245" s="564"/>
      <c r="GX245" s="564"/>
      <c r="GY245" s="564"/>
      <c r="GZ245" s="564"/>
      <c r="HA245" s="564"/>
      <c r="HB245" s="564"/>
      <c r="HC245" s="564"/>
      <c r="HD245" s="564"/>
      <c r="HE245" s="564"/>
      <c r="HF245" s="564"/>
      <c r="HG245" s="564"/>
      <c r="HH245" s="564"/>
      <c r="HI245" s="564"/>
      <c r="HJ245" s="564"/>
      <c r="HK245" s="569"/>
      <c r="HL245" s="564" t="s">
        <v>34502</v>
      </c>
      <c r="HM245" s="564" t="s">
        <v>7</v>
      </c>
      <c r="HN245" s="564" t="s">
        <v>34503</v>
      </c>
      <c r="HO245" s="571" t="s">
        <v>34504</v>
      </c>
      <c r="HP245" s="564" t="s">
        <v>34505</v>
      </c>
      <c r="HQ245" s="564" t="s">
        <v>34506</v>
      </c>
      <c r="HR245" s="564" t="s">
        <v>34507</v>
      </c>
      <c r="HS245" s="564" t="s">
        <v>34508</v>
      </c>
      <c r="HT245" s="568" t="s">
        <v>34498</v>
      </c>
    </row>
    <row r="246" spans="1:228" ht="30.2" customHeight="1" x14ac:dyDescent="0.25">
      <c r="A246" s="759"/>
      <c r="B246" s="563">
        <v>49</v>
      </c>
      <c r="C246" s="563" t="s">
        <v>33002</v>
      </c>
      <c r="D246" s="564" t="s">
        <v>33903</v>
      </c>
      <c r="E246" s="564" t="s">
        <v>33859</v>
      </c>
      <c r="F246" s="564" t="s">
        <v>7</v>
      </c>
      <c r="G246" s="564" t="s">
        <v>33904</v>
      </c>
      <c r="H246" s="564">
        <v>1191.3614500000001</v>
      </c>
      <c r="I246" s="564">
        <v>4.654827</v>
      </c>
      <c r="J246" s="564" t="s">
        <v>29319</v>
      </c>
      <c r="K246" s="564" t="s">
        <v>4</v>
      </c>
      <c r="L246" s="564" t="s">
        <v>33905</v>
      </c>
      <c r="M246" s="564">
        <v>782106423</v>
      </c>
      <c r="N246" s="564" t="s">
        <v>5</v>
      </c>
      <c r="O246" s="564" t="s">
        <v>31438</v>
      </c>
      <c r="P246" s="564">
        <v>40</v>
      </c>
      <c r="Q246" s="564">
        <v>5</v>
      </c>
      <c r="R246" s="564" t="s">
        <v>7</v>
      </c>
      <c r="S246" s="564" t="s">
        <v>31588</v>
      </c>
      <c r="T246" s="564" t="s">
        <v>4</v>
      </c>
      <c r="U246" s="564" t="s">
        <v>2</v>
      </c>
      <c r="V246" s="564" t="s">
        <v>4</v>
      </c>
      <c r="W246" s="564" t="s">
        <v>4</v>
      </c>
      <c r="X246" s="564" t="s">
        <v>4</v>
      </c>
      <c r="Y246" s="564" t="s">
        <v>4</v>
      </c>
      <c r="Z246" s="565">
        <v>45444</v>
      </c>
      <c r="AA246" s="557" t="str">
        <f>IF(OR(U246="yes",Z246&gt;'SDG outcome'!$C$39),"yes","no")</f>
        <v>yes</v>
      </c>
      <c r="AB246" s="565" t="str">
        <f t="shared" si="7"/>
        <v>NA</v>
      </c>
      <c r="AC246" s="566" t="str">
        <f>IF(AND('SMS p2'!AA61="no",AND(Z246&gt;='SDG outcome'!$B$28,Z246&lt;'SDG outcome'!$C$39)),Z246-'SDG outcome'!$B$28,"")</f>
        <v/>
      </c>
      <c r="AD246" s="564" t="s">
        <v>31572</v>
      </c>
      <c r="AE246" s="564" t="s">
        <v>4</v>
      </c>
      <c r="AF246" s="564" t="s">
        <v>7</v>
      </c>
      <c r="AG246" s="564" t="s">
        <v>33906</v>
      </c>
      <c r="AH246" s="564" t="s">
        <v>4</v>
      </c>
      <c r="AI246" s="564" t="s">
        <v>7</v>
      </c>
      <c r="AJ246" s="565">
        <v>45558</v>
      </c>
      <c r="AK246" s="564" t="s">
        <v>4</v>
      </c>
      <c r="AL246" s="564"/>
      <c r="AM246" s="564"/>
      <c r="AN246" s="564"/>
      <c r="AO246" s="564"/>
      <c r="AP246" s="564"/>
      <c r="AQ246" s="564"/>
      <c r="AR246" s="564"/>
      <c r="AS246" s="564"/>
      <c r="AT246" s="564"/>
      <c r="AU246" s="564"/>
      <c r="AV246" s="564"/>
      <c r="AW246" s="564"/>
      <c r="AX246" s="564"/>
      <c r="AY246" s="564"/>
      <c r="AZ246" s="564"/>
      <c r="BA246" s="564"/>
      <c r="BB246" s="564"/>
      <c r="BC246" s="564"/>
      <c r="BD246" s="571"/>
      <c r="BE246" s="564"/>
      <c r="BF246" s="564"/>
      <c r="BG246" s="564"/>
      <c r="BH246" s="564"/>
      <c r="BI246" s="564"/>
      <c r="BJ246" s="564"/>
      <c r="BK246" s="564"/>
      <c r="BL246" s="564"/>
      <c r="BM246" s="564"/>
      <c r="BN246" s="564"/>
      <c r="BO246" s="564"/>
      <c r="BP246" s="564"/>
      <c r="BQ246" s="564"/>
      <c r="BR246" s="567"/>
      <c r="BS246" s="564"/>
      <c r="BT246" s="564"/>
      <c r="BU246" s="564"/>
      <c r="BV246" s="564"/>
      <c r="BW246" s="567"/>
      <c r="BX246" s="564"/>
      <c r="BY246" s="564"/>
      <c r="BZ246" s="564"/>
      <c r="CA246" s="564"/>
      <c r="CB246" s="564"/>
      <c r="CC246" s="564"/>
      <c r="CD246" s="564"/>
      <c r="CE246" s="564"/>
      <c r="CF246" s="564"/>
      <c r="CG246" s="564"/>
      <c r="CH246" s="564"/>
      <c r="CI246" s="564"/>
      <c r="CJ246" s="564"/>
      <c r="CK246" s="564"/>
      <c r="CL246" s="564"/>
      <c r="CM246" s="564"/>
      <c r="CN246" s="564"/>
      <c r="CO246" s="564"/>
      <c r="CP246" s="564"/>
      <c r="CQ246" s="564"/>
      <c r="CR246" s="564"/>
      <c r="CS246" s="564"/>
      <c r="CT246" s="568"/>
      <c r="CU246" s="563"/>
      <c r="CV246" s="564"/>
      <c r="CW246" s="568"/>
      <c r="CX246" s="563"/>
      <c r="CY246" s="564"/>
      <c r="CZ246" s="568"/>
      <c r="DA246" s="563"/>
      <c r="DB246" s="564"/>
      <c r="DC246" s="564"/>
      <c r="DD246" s="564"/>
      <c r="DE246" s="564"/>
      <c r="DF246" s="564"/>
      <c r="DG246" s="564"/>
      <c r="DH246" s="564"/>
      <c r="DI246" s="564"/>
      <c r="DJ246" s="564"/>
      <c r="DK246" s="564"/>
      <c r="DL246" s="564"/>
      <c r="DM246" s="564"/>
      <c r="DN246" s="564"/>
      <c r="DO246" s="564"/>
      <c r="DP246" s="564"/>
      <c r="DQ246" s="564"/>
      <c r="DR246" s="564"/>
      <c r="DS246" s="569"/>
      <c r="DT246" s="564"/>
      <c r="DU246" s="569"/>
      <c r="DV246" s="568"/>
      <c r="DW246" s="563"/>
      <c r="DX246" s="564"/>
      <c r="DY246" s="564"/>
      <c r="DZ246" s="564"/>
      <c r="EA246" s="564"/>
      <c r="EB246" s="564"/>
      <c r="EC246" s="564"/>
      <c r="ED246" s="564"/>
      <c r="EE246" s="564"/>
      <c r="EF246" s="564"/>
      <c r="EG246" s="564"/>
      <c r="EH246" s="564"/>
      <c r="EI246" s="564"/>
      <c r="EJ246" s="564"/>
      <c r="EK246" s="564"/>
      <c r="EL246" s="564"/>
      <c r="EM246" s="564"/>
      <c r="EN246" s="564"/>
      <c r="EO246" s="564"/>
      <c r="EP246" s="564"/>
      <c r="EQ246" s="564"/>
      <c r="ER246" s="564"/>
      <c r="ES246" s="564"/>
      <c r="ET246" s="564"/>
      <c r="EU246" s="564"/>
      <c r="EV246" s="564"/>
      <c r="EW246" s="564"/>
      <c r="EX246" s="564"/>
      <c r="EY246" s="564"/>
      <c r="EZ246" s="239"/>
      <c r="FA246" s="564"/>
      <c r="FB246" s="564"/>
      <c r="FC246" s="564"/>
      <c r="FD246" s="564"/>
      <c r="FE246" s="564"/>
      <c r="FF246" s="564"/>
      <c r="FG246" s="564"/>
      <c r="FH246" s="564"/>
      <c r="FI246" s="564"/>
      <c r="FJ246" s="564"/>
      <c r="FK246" s="564"/>
      <c r="FL246" s="564"/>
      <c r="FM246" s="564"/>
      <c r="FN246" s="569"/>
      <c r="FO246" s="564"/>
      <c r="FP246" s="564"/>
      <c r="FQ246" s="564"/>
      <c r="FR246" s="564"/>
      <c r="FS246" s="564"/>
      <c r="FT246" s="564"/>
      <c r="FU246" s="564"/>
      <c r="FV246" s="564"/>
      <c r="FW246" s="564"/>
      <c r="FX246" s="564"/>
      <c r="FY246" s="564"/>
      <c r="FZ246" s="564"/>
      <c r="GA246" s="564"/>
      <c r="GB246" s="564"/>
      <c r="GC246" s="564"/>
      <c r="GD246" s="564"/>
      <c r="GE246" s="564"/>
      <c r="GF246" s="564"/>
      <c r="GG246" s="564"/>
      <c r="GH246" s="564"/>
      <c r="GI246" s="564"/>
      <c r="GJ246" s="564"/>
      <c r="GK246" s="564"/>
      <c r="GL246" s="564"/>
      <c r="GM246" s="564"/>
      <c r="GN246" s="564"/>
      <c r="GO246" s="564"/>
      <c r="GP246" s="564"/>
      <c r="GQ246" s="564"/>
      <c r="GR246" s="564"/>
      <c r="GS246" s="564"/>
      <c r="GT246" s="564"/>
      <c r="GU246" s="564"/>
      <c r="GV246" s="569"/>
      <c r="GW246" s="564"/>
      <c r="GX246" s="564"/>
      <c r="GY246" s="564"/>
      <c r="GZ246" s="564"/>
      <c r="HA246" s="564"/>
      <c r="HB246" s="564"/>
      <c r="HC246" s="564"/>
      <c r="HD246" s="564"/>
      <c r="HE246" s="564"/>
      <c r="HF246" s="564"/>
      <c r="HG246" s="564"/>
      <c r="HH246" s="564"/>
      <c r="HI246" s="564"/>
      <c r="HJ246" s="564"/>
      <c r="HK246" s="569"/>
      <c r="HL246" s="564" t="s">
        <v>33907</v>
      </c>
      <c r="HM246" s="564" t="s">
        <v>7</v>
      </c>
      <c r="HN246" s="564" t="s">
        <v>33908</v>
      </c>
      <c r="HO246" s="564" t="s">
        <v>33865</v>
      </c>
      <c r="HP246" s="564" t="s">
        <v>33909</v>
      </c>
      <c r="HQ246" s="564" t="s">
        <v>33910</v>
      </c>
      <c r="HR246" s="564" t="s">
        <v>33911</v>
      </c>
      <c r="HS246" s="564" t="s">
        <v>33912</v>
      </c>
      <c r="HT246" s="568" t="s">
        <v>33903</v>
      </c>
    </row>
    <row r="247" spans="1:228" ht="30.2" customHeight="1" x14ac:dyDescent="0.25">
      <c r="A247" s="759"/>
      <c r="B247" s="563">
        <v>211</v>
      </c>
      <c r="C247" s="563" t="s">
        <v>28338</v>
      </c>
      <c r="D247" s="564" t="s">
        <v>34798</v>
      </c>
      <c r="E247" s="564" t="s">
        <v>30786</v>
      </c>
      <c r="F247" s="564" t="s">
        <v>7</v>
      </c>
      <c r="G247" s="564" t="s">
        <v>35721</v>
      </c>
      <c r="H247" s="564">
        <v>1224.5999999999999</v>
      </c>
      <c r="I247" s="564">
        <v>4.9000000000000004</v>
      </c>
      <c r="J247" s="564" t="s">
        <v>29319</v>
      </c>
      <c r="K247" s="564" t="s">
        <v>4</v>
      </c>
      <c r="L247" s="564" t="s">
        <v>1522</v>
      </c>
      <c r="M247" s="564">
        <v>772307458</v>
      </c>
      <c r="N247" s="564" t="s">
        <v>5</v>
      </c>
      <c r="O247" s="564" t="s">
        <v>31590</v>
      </c>
      <c r="P247" s="564" t="s">
        <v>4</v>
      </c>
      <c r="Q247" s="564">
        <v>5</v>
      </c>
      <c r="R247" s="564" t="s">
        <v>7</v>
      </c>
      <c r="S247" s="564" t="s">
        <v>31562</v>
      </c>
      <c r="T247" s="564" t="s">
        <v>4</v>
      </c>
      <c r="U247" s="564" t="s">
        <v>2</v>
      </c>
      <c r="V247" s="564" t="s">
        <v>4</v>
      </c>
      <c r="W247" s="564" t="s">
        <v>4</v>
      </c>
      <c r="X247" s="564" t="s">
        <v>4</v>
      </c>
      <c r="Y247" s="564" t="s">
        <v>4</v>
      </c>
      <c r="Z247" s="565">
        <v>45556</v>
      </c>
      <c r="AA247" s="557" t="str">
        <f>IF(OR(U247="yes",Z247&gt;'SDG outcome'!$C$39),"yes","no")</f>
        <v>yes</v>
      </c>
      <c r="AB247" s="565" t="str">
        <f t="shared" si="7"/>
        <v>NA</v>
      </c>
      <c r="AC247" s="566" t="str">
        <f>IF(AND('SMS p2'!AA223="no",AND(Z247&gt;='SDG outcome'!$B$28,Z247&lt;'SDG outcome'!$C$39)),Z247-'SDG outcome'!$B$28,"")</f>
        <v/>
      </c>
      <c r="AD247" s="564" t="s">
        <v>31572</v>
      </c>
      <c r="AE247" s="564" t="s">
        <v>4</v>
      </c>
      <c r="AF247" s="564" t="s">
        <v>7</v>
      </c>
      <c r="AG247" s="564" t="s">
        <v>35722</v>
      </c>
      <c r="AH247" s="564" t="s">
        <v>4</v>
      </c>
      <c r="AI247" s="564" t="s">
        <v>7</v>
      </c>
      <c r="AJ247" s="565">
        <v>45556</v>
      </c>
      <c r="AK247" s="564" t="s">
        <v>4</v>
      </c>
      <c r="AL247" s="564"/>
      <c r="AM247" s="564"/>
      <c r="AN247" s="564"/>
      <c r="AO247" s="564"/>
      <c r="AP247" s="564"/>
      <c r="AQ247" s="564"/>
      <c r="AR247" s="564"/>
      <c r="AS247" s="564"/>
      <c r="AT247" s="564"/>
      <c r="AU247" s="564"/>
      <c r="AV247" s="564"/>
      <c r="AW247" s="564"/>
      <c r="AX247" s="564"/>
      <c r="AY247" s="564"/>
      <c r="AZ247" s="564"/>
      <c r="BA247" s="564"/>
      <c r="BB247" s="564"/>
      <c r="BC247" s="564"/>
      <c r="BD247" s="571"/>
      <c r="BE247" s="564"/>
      <c r="BF247" s="564"/>
      <c r="BG247" s="564"/>
      <c r="BH247" s="564"/>
      <c r="BI247" s="564"/>
      <c r="BJ247" s="564"/>
      <c r="BK247" s="564"/>
      <c r="BL247" s="564"/>
      <c r="BM247" s="564"/>
      <c r="BN247" s="564"/>
      <c r="BO247" s="564"/>
      <c r="BP247" s="564"/>
      <c r="BQ247" s="564"/>
      <c r="BR247" s="567"/>
      <c r="BS247" s="564"/>
      <c r="BT247" s="564"/>
      <c r="BU247" s="564"/>
      <c r="BV247" s="564"/>
      <c r="BW247" s="567"/>
      <c r="BX247" s="564"/>
      <c r="BY247" s="564"/>
      <c r="BZ247" s="564"/>
      <c r="CA247" s="564"/>
      <c r="CB247" s="564"/>
      <c r="CC247" s="564"/>
      <c r="CD247" s="564"/>
      <c r="CE247" s="564"/>
      <c r="CF247" s="564"/>
      <c r="CG247" s="564"/>
      <c r="CH247" s="564"/>
      <c r="CI247" s="564"/>
      <c r="CJ247" s="564"/>
      <c r="CK247" s="564"/>
      <c r="CL247" s="564"/>
      <c r="CM247" s="564"/>
      <c r="CN247" s="564"/>
      <c r="CO247" s="564"/>
      <c r="CP247" s="564"/>
      <c r="CQ247" s="564"/>
      <c r="CR247" s="564"/>
      <c r="CS247" s="564"/>
      <c r="CT247" s="568"/>
      <c r="CU247" s="563"/>
      <c r="CV247" s="564"/>
      <c r="CW247" s="568"/>
      <c r="CX247" s="563"/>
      <c r="CY247" s="564"/>
      <c r="CZ247" s="568"/>
      <c r="DA247" s="563"/>
      <c r="DB247" s="564"/>
      <c r="DC247" s="564"/>
      <c r="DD247" s="564"/>
      <c r="DE247" s="564"/>
      <c r="DF247" s="564"/>
      <c r="DG247" s="564"/>
      <c r="DH247" s="564"/>
      <c r="DI247" s="564"/>
      <c r="DJ247" s="564"/>
      <c r="DK247" s="564"/>
      <c r="DL247" s="564"/>
      <c r="DM247" s="564"/>
      <c r="DN247" s="564"/>
      <c r="DO247" s="564"/>
      <c r="DP247" s="564"/>
      <c r="DQ247" s="564"/>
      <c r="DR247" s="564"/>
      <c r="DS247" s="569"/>
      <c r="DT247" s="564"/>
      <c r="DU247" s="569"/>
      <c r="DV247" s="568"/>
      <c r="DW247" s="563"/>
      <c r="DX247" s="564"/>
      <c r="DY247" s="564"/>
      <c r="DZ247" s="564"/>
      <c r="EA247" s="564"/>
      <c r="EB247" s="564"/>
      <c r="EC247" s="564"/>
      <c r="ED247" s="564"/>
      <c r="EE247" s="564"/>
      <c r="EF247" s="564"/>
      <c r="EG247" s="564"/>
      <c r="EH247" s="564"/>
      <c r="EI247" s="564"/>
      <c r="EJ247" s="564"/>
      <c r="EK247" s="564"/>
      <c r="EL247" s="564"/>
      <c r="EM247" s="564"/>
      <c r="EN247" s="564"/>
      <c r="EO247" s="564"/>
      <c r="EP247" s="564"/>
      <c r="EQ247" s="564"/>
      <c r="ER247" s="564"/>
      <c r="ES247" s="564"/>
      <c r="ET247" s="564"/>
      <c r="EU247" s="564"/>
      <c r="EV247" s="564"/>
      <c r="EW247" s="564"/>
      <c r="EX247" s="564"/>
      <c r="EY247" s="564"/>
      <c r="EZ247" s="239"/>
      <c r="FA247" s="564"/>
      <c r="FB247" s="564"/>
      <c r="FC247" s="564"/>
      <c r="FD247" s="564"/>
      <c r="FE247" s="564"/>
      <c r="FF247" s="564"/>
      <c r="FG247" s="564"/>
      <c r="FH247" s="564"/>
      <c r="FI247" s="564"/>
      <c r="FJ247" s="564"/>
      <c r="FK247" s="564"/>
      <c r="FL247" s="564"/>
      <c r="FM247" s="564"/>
      <c r="FN247" s="569"/>
      <c r="FO247" s="564"/>
      <c r="FP247" s="564"/>
      <c r="FQ247" s="564"/>
      <c r="FR247" s="564"/>
      <c r="FS247" s="564"/>
      <c r="FT247" s="564"/>
      <c r="FU247" s="564"/>
      <c r="FV247" s="564"/>
      <c r="FW247" s="564"/>
      <c r="FX247" s="564"/>
      <c r="FY247" s="564"/>
      <c r="FZ247" s="564"/>
      <c r="GA247" s="564"/>
      <c r="GB247" s="564"/>
      <c r="GC247" s="564"/>
      <c r="GD247" s="564"/>
      <c r="GE247" s="564"/>
      <c r="GF247" s="564"/>
      <c r="GG247" s="564"/>
      <c r="GH247" s="564"/>
      <c r="GI247" s="564"/>
      <c r="GJ247" s="564"/>
      <c r="GK247" s="564"/>
      <c r="GL247" s="564"/>
      <c r="GM247" s="564"/>
      <c r="GN247" s="564"/>
      <c r="GO247" s="564"/>
      <c r="GP247" s="564"/>
      <c r="GQ247" s="564"/>
      <c r="GR247" s="564"/>
      <c r="GS247" s="564"/>
      <c r="GT247" s="564"/>
      <c r="GU247" s="564"/>
      <c r="GV247" s="569"/>
      <c r="GW247" s="564"/>
      <c r="GX247" s="564"/>
      <c r="GY247" s="564"/>
      <c r="GZ247" s="564"/>
      <c r="HA247" s="564"/>
      <c r="HB247" s="564"/>
      <c r="HC247" s="564"/>
      <c r="HD247" s="564"/>
      <c r="HE247" s="564"/>
      <c r="HF247" s="564"/>
      <c r="HG247" s="564"/>
      <c r="HH247" s="564"/>
      <c r="HI247" s="564"/>
      <c r="HJ247" s="564"/>
      <c r="HK247" s="569"/>
      <c r="HL247" s="564" t="s">
        <v>33474</v>
      </c>
      <c r="HM247" s="564" t="s">
        <v>7</v>
      </c>
      <c r="HN247" s="564" t="s">
        <v>30485</v>
      </c>
      <c r="HO247" s="571" t="s">
        <v>35723</v>
      </c>
      <c r="HP247" s="564" t="s">
        <v>35724</v>
      </c>
      <c r="HQ247" s="564" t="s">
        <v>35725</v>
      </c>
      <c r="HR247" s="564" t="s">
        <v>35726</v>
      </c>
      <c r="HS247" s="564" t="s">
        <v>35727</v>
      </c>
      <c r="HT247" s="568" t="s">
        <v>34798</v>
      </c>
    </row>
    <row r="248" spans="1:228" ht="30.2" customHeight="1" x14ac:dyDescent="0.25">
      <c r="A248" s="759"/>
      <c r="B248" s="563">
        <v>157</v>
      </c>
      <c r="C248" s="563" t="s">
        <v>441</v>
      </c>
      <c r="D248" s="564" t="s">
        <v>35105</v>
      </c>
      <c r="E248" s="564" t="s">
        <v>35057</v>
      </c>
      <c r="F248" s="564" t="s">
        <v>7</v>
      </c>
      <c r="G248" s="564" t="s">
        <v>35106</v>
      </c>
      <c r="H248" s="564">
        <v>1190.56897</v>
      </c>
      <c r="I248" s="564">
        <v>3.9743360000000001</v>
      </c>
      <c r="J248" s="564" t="s">
        <v>29288</v>
      </c>
      <c r="K248" s="564" t="s">
        <v>4</v>
      </c>
      <c r="L248" s="564" t="s">
        <v>35107</v>
      </c>
      <c r="M248" s="564">
        <v>772572788</v>
      </c>
      <c r="N248" s="564" t="s">
        <v>3</v>
      </c>
      <c r="O248" s="564" t="s">
        <v>31590</v>
      </c>
      <c r="P248" s="564" t="s">
        <v>4</v>
      </c>
      <c r="Q248" s="564">
        <v>6</v>
      </c>
      <c r="R248" s="564" t="s">
        <v>7</v>
      </c>
      <c r="S248" s="564" t="s">
        <v>31588</v>
      </c>
      <c r="T248" s="564" t="s">
        <v>4</v>
      </c>
      <c r="U248" s="564" t="s">
        <v>2</v>
      </c>
      <c r="V248" s="564" t="s">
        <v>4</v>
      </c>
      <c r="W248" s="564" t="s">
        <v>4</v>
      </c>
      <c r="X248" s="564" t="s">
        <v>4</v>
      </c>
      <c r="Y248" s="564" t="s">
        <v>4</v>
      </c>
      <c r="Z248" s="565">
        <v>42454</v>
      </c>
      <c r="AA248" s="557" t="str">
        <f>IF(OR(U248="yes",Z248&gt;'SDG outcome'!$C$39),"yes","no")</f>
        <v>no</v>
      </c>
      <c r="AB248" s="565" t="str">
        <f t="shared" si="7"/>
        <v/>
      </c>
      <c r="AC248" s="566" t="str">
        <f>IF(AND('SMS p2'!AA169="no",AND(Z248&gt;='SDG outcome'!$B$28,Z248&lt;'SDG outcome'!$C$39)),Z248-'SDG outcome'!$B$28,"")</f>
        <v/>
      </c>
      <c r="AD248" s="564" t="s">
        <v>31572</v>
      </c>
      <c r="AE248" s="564" t="s">
        <v>4</v>
      </c>
      <c r="AF248" s="564" t="s">
        <v>7</v>
      </c>
      <c r="AG248" s="564" t="s">
        <v>35108</v>
      </c>
      <c r="AH248" s="564" t="s">
        <v>4</v>
      </c>
      <c r="AI248" s="564" t="s">
        <v>7</v>
      </c>
      <c r="AJ248" s="565">
        <v>45627</v>
      </c>
      <c r="AK248" s="564" t="s">
        <v>4</v>
      </c>
      <c r="AL248" s="564"/>
      <c r="AM248" s="564"/>
      <c r="AN248" s="564"/>
      <c r="AO248" s="564"/>
      <c r="AP248" s="564"/>
      <c r="AQ248" s="564"/>
      <c r="AR248" s="564"/>
      <c r="AS248" s="564"/>
      <c r="AT248" s="564"/>
      <c r="AU248" s="564"/>
      <c r="AV248" s="564"/>
      <c r="AW248" s="564"/>
      <c r="AX248" s="564"/>
      <c r="AY248" s="564"/>
      <c r="AZ248" s="564"/>
      <c r="BA248" s="564"/>
      <c r="BB248" s="564"/>
      <c r="BC248" s="564"/>
      <c r="BD248" s="571"/>
      <c r="BE248" s="564"/>
      <c r="BF248" s="564"/>
      <c r="BG248" s="564"/>
      <c r="BH248" s="564"/>
      <c r="BI248" s="564"/>
      <c r="BJ248" s="564"/>
      <c r="BK248" s="564"/>
      <c r="BL248" s="564"/>
      <c r="BM248" s="564"/>
      <c r="BN248" s="564"/>
      <c r="BO248" s="564"/>
      <c r="BP248" s="564"/>
      <c r="BQ248" s="564"/>
      <c r="BR248" s="567"/>
      <c r="BS248" s="564"/>
      <c r="BT248" s="564"/>
      <c r="BU248" s="564"/>
      <c r="BV248" s="564"/>
      <c r="BW248" s="567"/>
      <c r="BX248" s="564"/>
      <c r="BY248" s="564"/>
      <c r="BZ248" s="564"/>
      <c r="CA248" s="564"/>
      <c r="CB248" s="564"/>
      <c r="CC248" s="564"/>
      <c r="CD248" s="564"/>
      <c r="CE248" s="564"/>
      <c r="CF248" s="564"/>
      <c r="CG248" s="564"/>
      <c r="CH248" s="564"/>
      <c r="CI248" s="564"/>
      <c r="CJ248" s="564"/>
      <c r="CK248" s="564"/>
      <c r="CL248" s="564"/>
      <c r="CM248" s="564"/>
      <c r="CN248" s="564"/>
      <c r="CO248" s="564"/>
      <c r="CP248" s="564"/>
      <c r="CQ248" s="564"/>
      <c r="CR248" s="564"/>
      <c r="CS248" s="564"/>
      <c r="CT248" s="568"/>
      <c r="CU248" s="563"/>
      <c r="CV248" s="564"/>
      <c r="CW248" s="568"/>
      <c r="CX248" s="563"/>
      <c r="CY248" s="564"/>
      <c r="CZ248" s="568"/>
      <c r="DA248" s="563"/>
      <c r="DB248" s="564"/>
      <c r="DC248" s="564"/>
      <c r="DD248" s="564"/>
      <c r="DE248" s="564"/>
      <c r="DF248" s="564"/>
      <c r="DG248" s="564"/>
      <c r="DH248" s="564"/>
      <c r="DI248" s="564"/>
      <c r="DJ248" s="564"/>
      <c r="DK248" s="564"/>
      <c r="DL248" s="564"/>
      <c r="DM248" s="564"/>
      <c r="DN248" s="564"/>
      <c r="DO248" s="564"/>
      <c r="DP248" s="564"/>
      <c r="DQ248" s="564"/>
      <c r="DR248" s="564"/>
      <c r="DS248" s="569"/>
      <c r="DT248" s="564"/>
      <c r="DU248" s="569"/>
      <c r="DV248" s="568"/>
      <c r="DW248" s="563"/>
      <c r="DX248" s="564"/>
      <c r="DY248" s="564"/>
      <c r="DZ248" s="564"/>
      <c r="EA248" s="564"/>
      <c r="EB248" s="564"/>
      <c r="EC248" s="564"/>
      <c r="ED248" s="564"/>
      <c r="EE248" s="564"/>
      <c r="EF248" s="564"/>
      <c r="EG248" s="564"/>
      <c r="EH248" s="564"/>
      <c r="EI248" s="564"/>
      <c r="EJ248" s="564"/>
      <c r="EK248" s="564"/>
      <c r="EL248" s="564"/>
      <c r="EM248" s="564"/>
      <c r="EN248" s="564"/>
      <c r="EO248" s="564"/>
      <c r="EP248" s="564"/>
      <c r="EQ248" s="564"/>
      <c r="ER248" s="564"/>
      <c r="ES248" s="564"/>
      <c r="ET248" s="564"/>
      <c r="EU248" s="564"/>
      <c r="EV248" s="564"/>
      <c r="EW248" s="564"/>
      <c r="EX248" s="564"/>
      <c r="EY248" s="564"/>
      <c r="EZ248" s="239"/>
      <c r="FA248" s="564"/>
      <c r="FB248" s="564"/>
      <c r="FC248" s="564"/>
      <c r="FD248" s="564"/>
      <c r="FE248" s="564"/>
      <c r="FF248" s="564"/>
      <c r="FG248" s="564"/>
      <c r="FH248" s="564"/>
      <c r="FI248" s="564"/>
      <c r="FJ248" s="564"/>
      <c r="FK248" s="564"/>
      <c r="FL248" s="564"/>
      <c r="FM248" s="564"/>
      <c r="FN248" s="569"/>
      <c r="FO248" s="564"/>
      <c r="FP248" s="564"/>
      <c r="FQ248" s="564"/>
      <c r="FR248" s="564"/>
      <c r="FS248" s="564"/>
      <c r="FT248" s="564"/>
      <c r="FU248" s="564"/>
      <c r="FV248" s="564"/>
      <c r="FW248" s="564"/>
      <c r="FX248" s="564"/>
      <c r="FY248" s="564"/>
      <c r="FZ248" s="564"/>
      <c r="GA248" s="564"/>
      <c r="GB248" s="564"/>
      <c r="GC248" s="564"/>
      <c r="GD248" s="564"/>
      <c r="GE248" s="564"/>
      <c r="GF248" s="564"/>
      <c r="GG248" s="564"/>
      <c r="GH248" s="564"/>
      <c r="GI248" s="564"/>
      <c r="GJ248" s="564"/>
      <c r="GK248" s="564"/>
      <c r="GL248" s="564"/>
      <c r="GM248" s="564"/>
      <c r="GN248" s="564"/>
      <c r="GO248" s="564"/>
      <c r="GP248" s="564"/>
      <c r="GQ248" s="564"/>
      <c r="GR248" s="564"/>
      <c r="GS248" s="564"/>
      <c r="GT248" s="564"/>
      <c r="GU248" s="564"/>
      <c r="GV248" s="569"/>
      <c r="GW248" s="564"/>
      <c r="GX248" s="564"/>
      <c r="GY248" s="564"/>
      <c r="GZ248" s="564"/>
      <c r="HA248" s="564"/>
      <c r="HB248" s="564"/>
      <c r="HC248" s="564"/>
      <c r="HD248" s="564"/>
      <c r="HE248" s="564"/>
      <c r="HF248" s="564"/>
      <c r="HG248" s="564"/>
      <c r="HH248" s="564"/>
      <c r="HI248" s="564"/>
      <c r="HJ248" s="564"/>
      <c r="HK248" s="569"/>
      <c r="HL248" s="564" t="s">
        <v>35109</v>
      </c>
      <c r="HM248" s="564" t="s">
        <v>7</v>
      </c>
      <c r="HN248" s="564" t="s">
        <v>35110</v>
      </c>
      <c r="HO248" s="571" t="s">
        <v>35111</v>
      </c>
      <c r="HP248" s="564" t="s">
        <v>35112</v>
      </c>
      <c r="HQ248" s="564" t="s">
        <v>16</v>
      </c>
      <c r="HR248" s="564" t="s">
        <v>35113</v>
      </c>
      <c r="HS248" s="564" t="s">
        <v>16</v>
      </c>
      <c r="HT248" s="568" t="s">
        <v>35114</v>
      </c>
    </row>
    <row r="249" spans="1:228" ht="30.2" customHeight="1" x14ac:dyDescent="0.25">
      <c r="A249" s="759"/>
      <c r="B249" s="563">
        <v>153</v>
      </c>
      <c r="C249" s="563" t="s">
        <v>6414</v>
      </c>
      <c r="D249" s="564" t="s">
        <v>35065</v>
      </c>
      <c r="E249" s="564" t="s">
        <v>35057</v>
      </c>
      <c r="F249" s="564" t="s">
        <v>7</v>
      </c>
      <c r="G249" s="564" t="s">
        <v>35066</v>
      </c>
      <c r="H249" s="564">
        <v>1177.88562</v>
      </c>
      <c r="I249" s="564">
        <v>4.8156540000000003</v>
      </c>
      <c r="J249" s="564" t="s">
        <v>29288</v>
      </c>
      <c r="K249" s="564" t="s">
        <v>4</v>
      </c>
      <c r="L249" s="564" t="s">
        <v>35067</v>
      </c>
      <c r="M249" s="564">
        <v>789543197</v>
      </c>
      <c r="N249" s="564" t="s">
        <v>3</v>
      </c>
      <c r="O249" s="564" t="s">
        <v>31590</v>
      </c>
      <c r="P249" s="564" t="s">
        <v>4</v>
      </c>
      <c r="Q249" s="564">
        <v>8</v>
      </c>
      <c r="R249" s="564" t="s">
        <v>7</v>
      </c>
      <c r="S249" s="564" t="s">
        <v>31535</v>
      </c>
      <c r="T249" s="564" t="s">
        <v>4</v>
      </c>
      <c r="U249" s="564" t="s">
        <v>2</v>
      </c>
      <c r="V249" s="564" t="s">
        <v>4</v>
      </c>
      <c r="W249" s="564" t="s">
        <v>4</v>
      </c>
      <c r="X249" s="564" t="s">
        <v>4</v>
      </c>
      <c r="Y249" s="564" t="s">
        <v>4</v>
      </c>
      <c r="Z249" s="565">
        <v>45200</v>
      </c>
      <c r="AA249" s="557" t="str">
        <f>IF(OR(U249="yes",Z249&gt;'SDG outcome'!$C$39),"yes","no")</f>
        <v>no</v>
      </c>
      <c r="AB249" s="565" t="str">
        <f t="shared" si="7"/>
        <v/>
      </c>
      <c r="AC249" s="566">
        <f>IF(AND('SMS p2'!AA165="no",AND(Z249&gt;='SDG outcome'!$B$28,Z249&lt;'SDG outcome'!$C$39)),Z249-'SDG outcome'!$B$28,"")</f>
        <v>183</v>
      </c>
      <c r="AD249" s="564" t="s">
        <v>31572</v>
      </c>
      <c r="AE249" s="564" t="s">
        <v>4</v>
      </c>
      <c r="AF249" s="564" t="s">
        <v>7</v>
      </c>
      <c r="AG249" s="564" t="s">
        <v>35068</v>
      </c>
      <c r="AH249" s="564" t="s">
        <v>4</v>
      </c>
      <c r="AI249" s="564" t="s">
        <v>7</v>
      </c>
      <c r="AJ249" s="565">
        <v>45616</v>
      </c>
      <c r="AK249" s="564" t="s">
        <v>4</v>
      </c>
      <c r="AL249" s="564"/>
      <c r="AM249" s="564"/>
      <c r="AN249" s="564"/>
      <c r="AO249" s="564"/>
      <c r="AP249" s="564"/>
      <c r="AQ249" s="564"/>
      <c r="AR249" s="564"/>
      <c r="AS249" s="564"/>
      <c r="AT249" s="564"/>
      <c r="AU249" s="564"/>
      <c r="AV249" s="564"/>
      <c r="AW249" s="564"/>
      <c r="AX249" s="564"/>
      <c r="AY249" s="564"/>
      <c r="AZ249" s="564"/>
      <c r="BA249" s="564"/>
      <c r="BB249" s="564"/>
      <c r="BC249" s="564"/>
      <c r="BD249" s="564"/>
      <c r="BE249" s="564"/>
      <c r="BF249" s="564"/>
      <c r="BG249" s="564"/>
      <c r="BH249" s="564"/>
      <c r="BI249" s="564"/>
      <c r="BJ249" s="564"/>
      <c r="BK249" s="564"/>
      <c r="BL249" s="564"/>
      <c r="BM249" s="564"/>
      <c r="BN249" s="564"/>
      <c r="BO249" s="564"/>
      <c r="BP249" s="564"/>
      <c r="BQ249" s="564"/>
      <c r="BR249" s="567"/>
      <c r="BS249" s="564"/>
      <c r="BT249" s="564"/>
      <c r="BU249" s="564"/>
      <c r="BV249" s="564"/>
      <c r="BW249" s="567"/>
      <c r="BX249" s="564"/>
      <c r="BY249" s="564"/>
      <c r="BZ249" s="564"/>
      <c r="CA249" s="564"/>
      <c r="CB249" s="564"/>
      <c r="CC249" s="564"/>
      <c r="CD249" s="564"/>
      <c r="CE249" s="564"/>
      <c r="CF249" s="564"/>
      <c r="CG249" s="564"/>
      <c r="CH249" s="564"/>
      <c r="CI249" s="564"/>
      <c r="CJ249" s="564"/>
      <c r="CK249" s="564"/>
      <c r="CL249" s="564"/>
      <c r="CM249" s="564"/>
      <c r="CN249" s="564"/>
      <c r="CO249" s="564"/>
      <c r="CP249" s="564"/>
      <c r="CQ249" s="564"/>
      <c r="CR249" s="564"/>
      <c r="CS249" s="564"/>
      <c r="CT249" s="568"/>
      <c r="CU249" s="563"/>
      <c r="CV249" s="564"/>
      <c r="CW249" s="568"/>
      <c r="CX249" s="563"/>
      <c r="CY249" s="564"/>
      <c r="CZ249" s="568"/>
      <c r="DA249" s="563"/>
      <c r="DB249" s="564"/>
      <c r="DC249" s="564"/>
      <c r="DD249" s="564"/>
      <c r="DE249" s="564"/>
      <c r="DF249" s="564"/>
      <c r="DG249" s="564"/>
      <c r="DH249" s="564"/>
      <c r="DI249" s="564"/>
      <c r="DJ249" s="564"/>
      <c r="DK249" s="564"/>
      <c r="DL249" s="564"/>
      <c r="DM249" s="564"/>
      <c r="DN249" s="564"/>
      <c r="DO249" s="564"/>
      <c r="DP249" s="564"/>
      <c r="DQ249" s="564"/>
      <c r="DR249" s="564"/>
      <c r="DS249" s="569"/>
      <c r="DT249" s="564"/>
      <c r="DU249" s="569"/>
      <c r="DV249" s="568"/>
      <c r="DW249" s="563"/>
      <c r="DX249" s="564"/>
      <c r="DY249" s="564"/>
      <c r="DZ249" s="564"/>
      <c r="EA249" s="564"/>
      <c r="EB249" s="564"/>
      <c r="EC249" s="564"/>
      <c r="ED249" s="564"/>
      <c r="EE249" s="564"/>
      <c r="EF249" s="564"/>
      <c r="EG249" s="564"/>
      <c r="EH249" s="564"/>
      <c r="EI249" s="564"/>
      <c r="EJ249" s="564"/>
      <c r="EK249" s="564"/>
      <c r="EL249" s="564"/>
      <c r="EM249" s="564"/>
      <c r="EN249" s="564"/>
      <c r="EO249" s="564"/>
      <c r="EP249" s="564"/>
      <c r="EQ249" s="564"/>
      <c r="ER249" s="564"/>
      <c r="ES249" s="564"/>
      <c r="ET249" s="564"/>
      <c r="EU249" s="564"/>
      <c r="EV249" s="564"/>
      <c r="EW249" s="564"/>
      <c r="EX249" s="564"/>
      <c r="EY249" s="564"/>
      <c r="EZ249" s="239"/>
      <c r="FA249" s="564"/>
      <c r="FB249" s="564"/>
      <c r="FC249" s="564"/>
      <c r="FD249" s="564"/>
      <c r="FE249" s="564"/>
      <c r="FF249" s="564"/>
      <c r="FG249" s="564"/>
      <c r="FH249" s="564"/>
      <c r="FI249" s="564"/>
      <c r="FJ249" s="564"/>
      <c r="FK249" s="564"/>
      <c r="FL249" s="564"/>
      <c r="FM249" s="564"/>
      <c r="FN249" s="569"/>
      <c r="FO249" s="564"/>
      <c r="FP249" s="564"/>
      <c r="FQ249" s="564"/>
      <c r="FR249" s="564"/>
      <c r="FS249" s="564"/>
      <c r="FT249" s="564"/>
      <c r="FU249" s="564"/>
      <c r="FV249" s="564"/>
      <c r="FW249" s="564"/>
      <c r="FX249" s="564"/>
      <c r="FY249" s="564"/>
      <c r="FZ249" s="564"/>
      <c r="GA249" s="564"/>
      <c r="GB249" s="564"/>
      <c r="GC249" s="564"/>
      <c r="GD249" s="564"/>
      <c r="GE249" s="564"/>
      <c r="GF249" s="564"/>
      <c r="GG249" s="564"/>
      <c r="GH249" s="564"/>
      <c r="GI249" s="564"/>
      <c r="GJ249" s="564"/>
      <c r="GK249" s="564"/>
      <c r="GL249" s="564"/>
      <c r="GM249" s="564"/>
      <c r="GN249" s="564"/>
      <c r="GO249" s="564"/>
      <c r="GP249" s="564"/>
      <c r="GQ249" s="564"/>
      <c r="GR249" s="564"/>
      <c r="GS249" s="564"/>
      <c r="GT249" s="564"/>
      <c r="GU249" s="564"/>
      <c r="GV249" s="569"/>
      <c r="GW249" s="564"/>
      <c r="GX249" s="564"/>
      <c r="GY249" s="564"/>
      <c r="GZ249" s="564"/>
      <c r="HA249" s="564"/>
      <c r="HB249" s="564"/>
      <c r="HC249" s="564"/>
      <c r="HD249" s="564"/>
      <c r="HE249" s="564"/>
      <c r="HF249" s="564"/>
      <c r="HG249" s="564"/>
      <c r="HH249" s="564"/>
      <c r="HI249" s="564"/>
      <c r="HJ249" s="564"/>
      <c r="HK249" s="569"/>
      <c r="HL249" s="564" t="s">
        <v>35069</v>
      </c>
      <c r="HM249" s="564" t="s">
        <v>7</v>
      </c>
      <c r="HN249" s="564" t="s">
        <v>35070</v>
      </c>
      <c r="HO249" s="564" t="s">
        <v>35071</v>
      </c>
      <c r="HP249" s="564" t="s">
        <v>35072</v>
      </c>
      <c r="HQ249" s="564" t="s">
        <v>16</v>
      </c>
      <c r="HR249" s="564" t="s">
        <v>35073</v>
      </c>
      <c r="HS249" s="564" t="s">
        <v>16</v>
      </c>
      <c r="HT249" s="568" t="s">
        <v>35074</v>
      </c>
    </row>
    <row r="250" spans="1:228" ht="30.2" customHeight="1" x14ac:dyDescent="0.25">
      <c r="A250" s="759"/>
      <c r="B250" s="563">
        <v>213</v>
      </c>
      <c r="C250" s="563" t="s">
        <v>7100</v>
      </c>
      <c r="D250" s="564" t="s">
        <v>35737</v>
      </c>
      <c r="E250" s="564" t="s">
        <v>30786</v>
      </c>
      <c r="F250" s="564" t="s">
        <v>7</v>
      </c>
      <c r="G250" s="564" t="s">
        <v>35738</v>
      </c>
      <c r="H250" s="564">
        <v>1227</v>
      </c>
      <c r="I250" s="564">
        <v>5.2</v>
      </c>
      <c r="J250" s="564" t="s">
        <v>29319</v>
      </c>
      <c r="K250" s="564" t="s">
        <v>4</v>
      </c>
      <c r="L250" s="564" t="s">
        <v>35739</v>
      </c>
      <c r="M250" s="564">
        <v>772525375</v>
      </c>
      <c r="N250" s="564" t="s">
        <v>5</v>
      </c>
      <c r="O250" s="564" t="s">
        <v>31590</v>
      </c>
      <c r="P250" s="564" t="s">
        <v>4</v>
      </c>
      <c r="Q250" s="564">
        <v>10</v>
      </c>
      <c r="R250" s="564" t="s">
        <v>7</v>
      </c>
      <c r="S250" s="564" t="s">
        <v>31562</v>
      </c>
      <c r="T250" s="564" t="s">
        <v>4</v>
      </c>
      <c r="U250" s="564" t="s">
        <v>2</v>
      </c>
      <c r="V250" s="564" t="s">
        <v>4</v>
      </c>
      <c r="W250" s="564" t="s">
        <v>4</v>
      </c>
      <c r="X250" s="564" t="s">
        <v>4</v>
      </c>
      <c r="Y250" s="564" t="s">
        <v>4</v>
      </c>
      <c r="Z250" s="565">
        <v>45556</v>
      </c>
      <c r="AA250" s="557" t="str">
        <f>IF(OR(U250="yes",Z250&gt;'SDG outcome'!$C$39),"yes","no")</f>
        <v>yes</v>
      </c>
      <c r="AB250" s="565" t="str">
        <f t="shared" si="7"/>
        <v>NA</v>
      </c>
      <c r="AC250" s="566" t="str">
        <f>IF(AND('SMS p2'!AA225="no",AND(Z250&gt;='SDG outcome'!$B$28,Z250&lt;'SDG outcome'!$C$39)),Z250-'SDG outcome'!$B$28,"")</f>
        <v/>
      </c>
      <c r="AD250" s="564" t="s">
        <v>31572</v>
      </c>
      <c r="AE250" s="564" t="s">
        <v>4</v>
      </c>
      <c r="AF250" s="564" t="s">
        <v>7</v>
      </c>
      <c r="AG250" s="564" t="s">
        <v>35740</v>
      </c>
      <c r="AH250" s="564" t="s">
        <v>4</v>
      </c>
      <c r="AI250" s="564" t="s">
        <v>7</v>
      </c>
      <c r="AJ250" s="565">
        <v>45556</v>
      </c>
      <c r="AK250" s="564" t="s">
        <v>4</v>
      </c>
      <c r="AL250" s="564"/>
      <c r="AM250" s="564"/>
      <c r="AN250" s="564"/>
      <c r="AO250" s="564"/>
      <c r="AP250" s="564"/>
      <c r="AQ250" s="564"/>
      <c r="AR250" s="564"/>
      <c r="AS250" s="564"/>
      <c r="AT250" s="564"/>
      <c r="AU250" s="564"/>
      <c r="AV250" s="564"/>
      <c r="AW250" s="564"/>
      <c r="AX250" s="564"/>
      <c r="AY250" s="564"/>
      <c r="AZ250" s="564"/>
      <c r="BA250" s="564"/>
      <c r="BB250" s="564"/>
      <c r="BC250" s="564"/>
      <c r="BD250" s="571"/>
      <c r="BE250" s="564"/>
      <c r="BF250" s="564"/>
      <c r="BG250" s="564"/>
      <c r="BH250" s="564"/>
      <c r="BI250" s="564"/>
      <c r="BJ250" s="564"/>
      <c r="BK250" s="564"/>
      <c r="BL250" s="564"/>
      <c r="BM250" s="564"/>
      <c r="BN250" s="564"/>
      <c r="BO250" s="564"/>
      <c r="BP250" s="564"/>
      <c r="BQ250" s="564"/>
      <c r="BR250" s="567"/>
      <c r="BS250" s="564"/>
      <c r="BT250" s="564"/>
      <c r="BU250" s="564"/>
      <c r="BV250" s="564"/>
      <c r="BW250" s="567"/>
      <c r="BX250" s="564"/>
      <c r="BY250" s="564"/>
      <c r="BZ250" s="564"/>
      <c r="CA250" s="564"/>
      <c r="CB250" s="564"/>
      <c r="CC250" s="564"/>
      <c r="CD250" s="564"/>
      <c r="CE250" s="564"/>
      <c r="CF250" s="564"/>
      <c r="CG250" s="564"/>
      <c r="CH250" s="564"/>
      <c r="CI250" s="564"/>
      <c r="CJ250" s="564"/>
      <c r="CK250" s="564"/>
      <c r="CL250" s="564"/>
      <c r="CM250" s="564"/>
      <c r="CN250" s="564"/>
      <c r="CO250" s="564"/>
      <c r="CP250" s="564"/>
      <c r="CQ250" s="564"/>
      <c r="CR250" s="564"/>
      <c r="CS250" s="564"/>
      <c r="CT250" s="568"/>
      <c r="CU250" s="563"/>
      <c r="CV250" s="564"/>
      <c r="CW250" s="568"/>
      <c r="CX250" s="563"/>
      <c r="CY250" s="564"/>
      <c r="CZ250" s="568"/>
      <c r="DA250" s="563"/>
      <c r="DB250" s="564"/>
      <c r="DC250" s="564"/>
      <c r="DD250" s="564"/>
      <c r="DE250" s="564"/>
      <c r="DF250" s="564"/>
      <c r="DG250" s="564"/>
      <c r="DH250" s="564"/>
      <c r="DI250" s="564"/>
      <c r="DJ250" s="564"/>
      <c r="DK250" s="564"/>
      <c r="DL250" s="564"/>
      <c r="DM250" s="564"/>
      <c r="DN250" s="564"/>
      <c r="DO250" s="564"/>
      <c r="DP250" s="564"/>
      <c r="DQ250" s="564"/>
      <c r="DR250" s="564"/>
      <c r="DS250" s="569"/>
      <c r="DT250" s="564"/>
      <c r="DU250" s="569"/>
      <c r="DV250" s="568"/>
      <c r="DW250" s="563"/>
      <c r="DX250" s="564"/>
      <c r="DY250" s="564"/>
      <c r="DZ250" s="564"/>
      <c r="EA250" s="564"/>
      <c r="EB250" s="564"/>
      <c r="EC250" s="564"/>
      <c r="ED250" s="564"/>
      <c r="EE250" s="564"/>
      <c r="EF250" s="564"/>
      <c r="EG250" s="564"/>
      <c r="EH250" s="564"/>
      <c r="EI250" s="564"/>
      <c r="EJ250" s="564"/>
      <c r="EK250" s="564"/>
      <c r="EL250" s="564"/>
      <c r="EM250" s="564"/>
      <c r="EN250" s="564"/>
      <c r="EO250" s="564"/>
      <c r="EP250" s="564"/>
      <c r="EQ250" s="564"/>
      <c r="ER250" s="564"/>
      <c r="ES250" s="564"/>
      <c r="ET250" s="564"/>
      <c r="EU250" s="564"/>
      <c r="EV250" s="564"/>
      <c r="EW250" s="564"/>
      <c r="EX250" s="564"/>
      <c r="EY250" s="564"/>
      <c r="EZ250" s="239"/>
      <c r="FA250" s="564"/>
      <c r="FB250" s="564"/>
      <c r="FC250" s="564"/>
      <c r="FD250" s="564"/>
      <c r="FE250" s="564"/>
      <c r="FF250" s="564"/>
      <c r="FG250" s="564"/>
      <c r="FH250" s="564"/>
      <c r="FI250" s="564"/>
      <c r="FJ250" s="564"/>
      <c r="FK250" s="564"/>
      <c r="FL250" s="564"/>
      <c r="FM250" s="564"/>
      <c r="FN250" s="569"/>
      <c r="FO250" s="564"/>
      <c r="FP250" s="564"/>
      <c r="FQ250" s="564"/>
      <c r="FR250" s="564"/>
      <c r="FS250" s="564"/>
      <c r="FT250" s="564"/>
      <c r="FU250" s="564"/>
      <c r="FV250" s="564"/>
      <c r="FW250" s="564"/>
      <c r="FX250" s="564"/>
      <c r="FY250" s="564"/>
      <c r="FZ250" s="564"/>
      <c r="GA250" s="564"/>
      <c r="GB250" s="564"/>
      <c r="GC250" s="564"/>
      <c r="GD250" s="564"/>
      <c r="GE250" s="564"/>
      <c r="GF250" s="564"/>
      <c r="GG250" s="564"/>
      <c r="GH250" s="564"/>
      <c r="GI250" s="564"/>
      <c r="GJ250" s="564"/>
      <c r="GK250" s="564"/>
      <c r="GL250" s="564"/>
      <c r="GM250" s="564"/>
      <c r="GN250" s="564"/>
      <c r="GO250" s="564"/>
      <c r="GP250" s="564"/>
      <c r="GQ250" s="564"/>
      <c r="GR250" s="564"/>
      <c r="GS250" s="564"/>
      <c r="GT250" s="564"/>
      <c r="GU250" s="564"/>
      <c r="GV250" s="569"/>
      <c r="GW250" s="564"/>
      <c r="GX250" s="564"/>
      <c r="GY250" s="564"/>
      <c r="GZ250" s="564"/>
      <c r="HA250" s="564"/>
      <c r="HB250" s="564"/>
      <c r="HC250" s="564"/>
      <c r="HD250" s="564"/>
      <c r="HE250" s="564"/>
      <c r="HF250" s="564"/>
      <c r="HG250" s="564"/>
      <c r="HH250" s="564"/>
      <c r="HI250" s="564"/>
      <c r="HJ250" s="564"/>
      <c r="HK250" s="569"/>
      <c r="HL250" s="564" t="s">
        <v>33474</v>
      </c>
      <c r="HM250" s="564" t="s">
        <v>7</v>
      </c>
      <c r="HN250" s="564" t="s">
        <v>35741</v>
      </c>
      <c r="HO250" s="571" t="s">
        <v>35742</v>
      </c>
      <c r="HP250" s="564" t="s">
        <v>35743</v>
      </c>
      <c r="HQ250" s="564" t="s">
        <v>35744</v>
      </c>
      <c r="HR250" s="564" t="s">
        <v>35745</v>
      </c>
      <c r="HS250" s="564" t="s">
        <v>35746</v>
      </c>
      <c r="HT250" s="568" t="s">
        <v>35737</v>
      </c>
    </row>
    <row r="251" spans="1:228" ht="30.2" customHeight="1" x14ac:dyDescent="0.25">
      <c r="A251" s="759"/>
      <c r="B251" s="563">
        <v>85</v>
      </c>
      <c r="C251" s="563" t="s">
        <v>7708</v>
      </c>
      <c r="D251" s="564" t="s">
        <v>34341</v>
      </c>
      <c r="E251" s="564" t="s">
        <v>30002</v>
      </c>
      <c r="F251" s="564" t="s">
        <v>7</v>
      </c>
      <c r="G251" s="564" t="s">
        <v>34342</v>
      </c>
      <c r="H251" s="564">
        <v>1131.8</v>
      </c>
      <c r="I251" s="564">
        <v>3.5</v>
      </c>
      <c r="J251" s="564" t="s">
        <v>29389</v>
      </c>
      <c r="K251" s="564" t="s">
        <v>22</v>
      </c>
      <c r="L251" s="564" t="s">
        <v>34343</v>
      </c>
      <c r="M251" s="564">
        <v>772888213</v>
      </c>
      <c r="N251" s="564" t="s">
        <v>5</v>
      </c>
      <c r="O251" s="564" t="s">
        <v>31438</v>
      </c>
      <c r="P251" s="564">
        <v>27</v>
      </c>
      <c r="Q251" s="564">
        <v>4</v>
      </c>
      <c r="R251" s="564" t="s">
        <v>7</v>
      </c>
      <c r="S251" s="564" t="s">
        <v>31588</v>
      </c>
      <c r="T251" s="564" t="s">
        <v>4</v>
      </c>
      <c r="U251" s="564" t="s">
        <v>2</v>
      </c>
      <c r="V251" s="564" t="s">
        <v>4</v>
      </c>
      <c r="W251" s="564" t="s">
        <v>4</v>
      </c>
      <c r="X251" s="564" t="s">
        <v>4</v>
      </c>
      <c r="Y251" s="564" t="s">
        <v>4</v>
      </c>
      <c r="Z251" s="565">
        <v>43499</v>
      </c>
      <c r="AA251" s="557" t="str">
        <f>IF(OR(U251="yes",Z251&gt;'SDG outcome'!$C$39),"yes","no")</f>
        <v>no</v>
      </c>
      <c r="AB251" s="565" t="str">
        <f t="shared" si="7"/>
        <v/>
      </c>
      <c r="AC251" s="566" t="str">
        <f>IF(AND('SMS p2'!AA97="no",AND(Z251&gt;='SDG outcome'!$B$28,Z251&lt;'SDG outcome'!$C$39)),Z251-'SDG outcome'!$B$28,"")</f>
        <v/>
      </c>
      <c r="AD251" s="564" t="s">
        <v>31572</v>
      </c>
      <c r="AE251" s="564" t="s">
        <v>4</v>
      </c>
      <c r="AF251" s="564" t="s">
        <v>7</v>
      </c>
      <c r="AG251" s="564" t="s">
        <v>34344</v>
      </c>
      <c r="AH251" s="564" t="s">
        <v>4</v>
      </c>
      <c r="AI251" s="564" t="s">
        <v>7</v>
      </c>
      <c r="AJ251" s="574">
        <v>45585</v>
      </c>
      <c r="AK251" s="564" t="s">
        <v>4</v>
      </c>
      <c r="AL251" s="564"/>
      <c r="AM251" s="564"/>
      <c r="AN251" s="564"/>
      <c r="AO251" s="564"/>
      <c r="AP251" s="564"/>
      <c r="AQ251" s="564"/>
      <c r="AR251" s="564"/>
      <c r="AS251" s="564"/>
      <c r="AT251" s="564"/>
      <c r="AU251" s="564"/>
      <c r="AV251" s="564"/>
      <c r="AW251" s="564"/>
      <c r="AX251" s="564"/>
      <c r="AY251" s="564"/>
      <c r="AZ251" s="564"/>
      <c r="BA251" s="564"/>
      <c r="BB251" s="564"/>
      <c r="BC251" s="564"/>
      <c r="BD251" s="564"/>
      <c r="BE251" s="564"/>
      <c r="BF251" s="564"/>
      <c r="BG251" s="564"/>
      <c r="BH251" s="564"/>
      <c r="BI251" s="564"/>
      <c r="BJ251" s="564"/>
      <c r="BK251" s="564"/>
      <c r="BL251" s="564"/>
      <c r="BM251" s="564"/>
      <c r="BN251" s="564"/>
      <c r="BO251" s="564"/>
      <c r="BP251" s="564"/>
      <c r="BQ251" s="564"/>
      <c r="BR251" s="567"/>
      <c r="BS251" s="564"/>
      <c r="BT251" s="564"/>
      <c r="BU251" s="564"/>
      <c r="BV251" s="564"/>
      <c r="BW251" s="567"/>
      <c r="BX251" s="564"/>
      <c r="BY251" s="564"/>
      <c r="BZ251" s="564"/>
      <c r="CA251" s="564"/>
      <c r="CB251" s="564"/>
      <c r="CC251" s="564"/>
      <c r="CD251" s="564"/>
      <c r="CE251" s="564"/>
      <c r="CF251" s="564"/>
      <c r="CG251" s="564"/>
      <c r="CH251" s="564"/>
      <c r="CI251" s="564"/>
      <c r="CJ251" s="564"/>
      <c r="CK251" s="564"/>
      <c r="CL251" s="564"/>
      <c r="CM251" s="564"/>
      <c r="CN251" s="564"/>
      <c r="CO251" s="564"/>
      <c r="CP251" s="564"/>
      <c r="CQ251" s="564"/>
      <c r="CR251" s="564"/>
      <c r="CS251" s="564"/>
      <c r="CT251" s="568"/>
      <c r="CU251" s="563"/>
      <c r="CV251" s="564"/>
      <c r="CW251" s="568"/>
      <c r="CX251" s="563"/>
      <c r="CY251" s="564"/>
      <c r="CZ251" s="568"/>
      <c r="DA251" s="563"/>
      <c r="DB251" s="564"/>
      <c r="DC251" s="564"/>
      <c r="DD251" s="564"/>
      <c r="DE251" s="564"/>
      <c r="DF251" s="564"/>
      <c r="DG251" s="564"/>
      <c r="DH251" s="564"/>
      <c r="DI251" s="564"/>
      <c r="DJ251" s="564"/>
      <c r="DK251" s="564"/>
      <c r="DL251" s="564"/>
      <c r="DM251" s="564"/>
      <c r="DN251" s="564"/>
      <c r="DO251" s="564"/>
      <c r="DP251" s="564"/>
      <c r="DQ251" s="564"/>
      <c r="DR251" s="564"/>
      <c r="DS251" s="569"/>
      <c r="DT251" s="564"/>
      <c r="DU251" s="569"/>
      <c r="DV251" s="568"/>
      <c r="DW251" s="563"/>
      <c r="DX251" s="564"/>
      <c r="DY251" s="564"/>
      <c r="DZ251" s="564"/>
      <c r="EA251" s="564"/>
      <c r="EB251" s="564"/>
      <c r="EC251" s="564"/>
      <c r="ED251" s="564"/>
      <c r="EE251" s="564"/>
      <c r="EF251" s="564"/>
      <c r="EG251" s="564"/>
      <c r="EH251" s="564"/>
      <c r="EI251" s="564"/>
      <c r="EJ251" s="564"/>
      <c r="EK251" s="564"/>
      <c r="EL251" s="564"/>
      <c r="EM251" s="564"/>
      <c r="EN251" s="564"/>
      <c r="EO251" s="564"/>
      <c r="EP251" s="564"/>
      <c r="EQ251" s="564"/>
      <c r="ER251" s="564"/>
      <c r="ES251" s="564"/>
      <c r="ET251" s="564"/>
      <c r="EU251" s="564"/>
      <c r="EV251" s="564"/>
      <c r="EW251" s="564"/>
      <c r="EX251" s="564"/>
      <c r="EY251" s="564"/>
      <c r="EZ251" s="239"/>
      <c r="FA251" s="564"/>
      <c r="FB251" s="564"/>
      <c r="FC251" s="564"/>
      <c r="FD251" s="564"/>
      <c r="FE251" s="564"/>
      <c r="FF251" s="564"/>
      <c r="FG251" s="564"/>
      <c r="FH251" s="564"/>
      <c r="FI251" s="564"/>
      <c r="FJ251" s="564"/>
      <c r="FK251" s="564"/>
      <c r="FL251" s="564"/>
      <c r="FM251" s="564"/>
      <c r="FN251" s="569"/>
      <c r="FO251" s="564"/>
      <c r="FP251" s="564"/>
      <c r="FQ251" s="564"/>
      <c r="FR251" s="564"/>
      <c r="FS251" s="564"/>
      <c r="FT251" s="564"/>
      <c r="FU251" s="564"/>
      <c r="FV251" s="564"/>
      <c r="FW251" s="564"/>
      <c r="FX251" s="564"/>
      <c r="FY251" s="564"/>
      <c r="FZ251" s="564"/>
      <c r="GA251" s="564"/>
      <c r="GB251" s="564"/>
      <c r="GC251" s="564"/>
      <c r="GD251" s="564"/>
      <c r="GE251" s="564"/>
      <c r="GF251" s="564"/>
      <c r="GG251" s="564"/>
      <c r="GH251" s="564"/>
      <c r="GI251" s="564"/>
      <c r="GJ251" s="564"/>
      <c r="GK251" s="564"/>
      <c r="GL251" s="564"/>
      <c r="GM251" s="564"/>
      <c r="GN251" s="564"/>
      <c r="GO251" s="564"/>
      <c r="GP251" s="564"/>
      <c r="GQ251" s="564"/>
      <c r="GR251" s="564"/>
      <c r="GS251" s="564"/>
      <c r="GT251" s="564"/>
      <c r="GU251" s="564"/>
      <c r="GV251" s="569"/>
      <c r="GW251" s="564"/>
      <c r="GX251" s="564"/>
      <c r="GY251" s="564"/>
      <c r="GZ251" s="564"/>
      <c r="HA251" s="564"/>
      <c r="HB251" s="564"/>
      <c r="HC251" s="564"/>
      <c r="HD251" s="564"/>
      <c r="HE251" s="564"/>
      <c r="HF251" s="564"/>
      <c r="HG251" s="564"/>
      <c r="HH251" s="564"/>
      <c r="HI251" s="564"/>
      <c r="HJ251" s="564"/>
      <c r="HK251" s="569"/>
      <c r="HL251" s="564" t="s">
        <v>34345</v>
      </c>
      <c r="HM251" s="564" t="s">
        <v>7</v>
      </c>
      <c r="HN251" s="564" t="s">
        <v>34346</v>
      </c>
      <c r="HO251" s="564" t="s">
        <v>34347</v>
      </c>
      <c r="HP251" s="564" t="s">
        <v>34348</v>
      </c>
      <c r="HQ251" s="564" t="s">
        <v>34349</v>
      </c>
      <c r="HR251" s="564" t="s">
        <v>34350</v>
      </c>
      <c r="HS251" s="564" t="s">
        <v>34351</v>
      </c>
      <c r="HT251" s="568" t="s">
        <v>34341</v>
      </c>
    </row>
    <row r="252" spans="1:228" ht="30.2" customHeight="1" x14ac:dyDescent="0.25">
      <c r="A252" s="759"/>
      <c r="B252" s="563">
        <v>203</v>
      </c>
      <c r="C252" s="563" t="s">
        <v>15508</v>
      </c>
      <c r="D252" s="564" t="s">
        <v>35645</v>
      </c>
      <c r="E252" s="564" t="s">
        <v>35495</v>
      </c>
      <c r="F252" s="564" t="s">
        <v>7</v>
      </c>
      <c r="G252" s="564" t="s">
        <v>35646</v>
      </c>
      <c r="H252" s="564">
        <v>1196.3</v>
      </c>
      <c r="I252" s="564">
        <v>4.9000000000000004</v>
      </c>
      <c r="J252" s="564" t="s">
        <v>29288</v>
      </c>
      <c r="K252" s="564" t="s">
        <v>4</v>
      </c>
      <c r="L252" s="564" t="s">
        <v>15509</v>
      </c>
      <c r="M252" s="564">
        <v>751344015</v>
      </c>
      <c r="N252" s="564" t="s">
        <v>3</v>
      </c>
      <c r="O252" s="564" t="s">
        <v>31438</v>
      </c>
      <c r="P252" s="564">
        <v>40</v>
      </c>
      <c r="Q252" s="564">
        <v>10</v>
      </c>
      <c r="R252" s="564" t="s">
        <v>7</v>
      </c>
      <c r="S252" s="564" t="s">
        <v>31622</v>
      </c>
      <c r="T252" s="564">
        <v>4964</v>
      </c>
      <c r="U252" s="564" t="s">
        <v>2</v>
      </c>
      <c r="V252" s="564" t="s">
        <v>4</v>
      </c>
      <c r="W252" s="564" t="s">
        <v>4</v>
      </c>
      <c r="X252" s="564" t="s">
        <v>4</v>
      </c>
      <c r="Y252" s="564" t="s">
        <v>4</v>
      </c>
      <c r="Z252" s="565">
        <v>45494</v>
      </c>
      <c r="AA252" s="557" t="str">
        <f>IF(OR(U252="yes",Z252&gt;'SDG outcome'!$C$39),"yes","no")</f>
        <v>yes</v>
      </c>
      <c r="AB252" s="565" t="str">
        <f t="shared" si="7"/>
        <v>NA</v>
      </c>
      <c r="AC252" s="566" t="str">
        <f>IF(AND('SMS p2'!AA215="no",AND(Z252&gt;='SDG outcome'!$B$28,Z252&lt;'SDG outcome'!$C$39)),Z252-'SDG outcome'!$B$28,"")</f>
        <v/>
      </c>
      <c r="AD252" s="564" t="s">
        <v>31572</v>
      </c>
      <c r="AE252" s="564" t="s">
        <v>4</v>
      </c>
      <c r="AF252" s="564" t="s">
        <v>7</v>
      </c>
      <c r="AG252" s="564" t="s">
        <v>35647</v>
      </c>
      <c r="AH252" s="564" t="s">
        <v>4</v>
      </c>
      <c r="AI252" s="564" t="s">
        <v>7</v>
      </c>
      <c r="AJ252" s="565">
        <v>45557</v>
      </c>
      <c r="AK252" s="564" t="s">
        <v>4</v>
      </c>
      <c r="AL252" s="564"/>
      <c r="AM252" s="564"/>
      <c r="AN252" s="564"/>
      <c r="AO252" s="564"/>
      <c r="AP252" s="564"/>
      <c r="AQ252" s="564"/>
      <c r="AR252" s="564"/>
      <c r="AS252" s="564"/>
      <c r="AT252" s="564"/>
      <c r="AU252" s="564"/>
      <c r="AV252" s="564"/>
      <c r="AW252" s="564"/>
      <c r="AX252" s="564"/>
      <c r="AY252" s="564"/>
      <c r="AZ252" s="564"/>
      <c r="BA252" s="564"/>
      <c r="BB252" s="564"/>
      <c r="BC252" s="564"/>
      <c r="BD252" s="564"/>
      <c r="BE252" s="564"/>
      <c r="BF252" s="564"/>
      <c r="BG252" s="564"/>
      <c r="BH252" s="564"/>
      <c r="BI252" s="564"/>
      <c r="BJ252" s="564"/>
      <c r="BK252" s="564"/>
      <c r="BL252" s="564"/>
      <c r="BM252" s="564"/>
      <c r="BN252" s="564"/>
      <c r="BO252" s="564"/>
      <c r="BP252" s="564"/>
      <c r="BQ252" s="564"/>
      <c r="BR252" s="567"/>
      <c r="BS252" s="564"/>
      <c r="BT252" s="564"/>
      <c r="BU252" s="564"/>
      <c r="BV252" s="564"/>
      <c r="BW252" s="567"/>
      <c r="BX252" s="564"/>
      <c r="BY252" s="564"/>
      <c r="BZ252" s="564"/>
      <c r="CA252" s="564"/>
      <c r="CB252" s="564"/>
      <c r="CC252" s="564"/>
      <c r="CD252" s="564"/>
      <c r="CE252" s="564"/>
      <c r="CF252" s="564"/>
      <c r="CG252" s="564"/>
      <c r="CH252" s="564"/>
      <c r="CI252" s="564"/>
      <c r="CJ252" s="564"/>
      <c r="CK252" s="564"/>
      <c r="CL252" s="564"/>
      <c r="CM252" s="564"/>
      <c r="CN252" s="564"/>
      <c r="CO252" s="564"/>
      <c r="CP252" s="564"/>
      <c r="CQ252" s="564"/>
      <c r="CR252" s="564"/>
      <c r="CS252" s="564"/>
      <c r="CT252" s="568"/>
      <c r="CU252" s="563"/>
      <c r="CV252" s="564"/>
      <c r="CW252" s="568"/>
      <c r="CX252" s="563"/>
      <c r="CY252" s="564"/>
      <c r="CZ252" s="568"/>
      <c r="DA252" s="563"/>
      <c r="DB252" s="564"/>
      <c r="DC252" s="564"/>
      <c r="DD252" s="564"/>
      <c r="DE252" s="564"/>
      <c r="DF252" s="564"/>
      <c r="DG252" s="564"/>
      <c r="DH252" s="564"/>
      <c r="DI252" s="564"/>
      <c r="DJ252" s="564"/>
      <c r="DK252" s="564"/>
      <c r="DL252" s="564"/>
      <c r="DM252" s="564"/>
      <c r="DN252" s="564"/>
      <c r="DO252" s="564"/>
      <c r="DP252" s="564"/>
      <c r="DQ252" s="564"/>
      <c r="DR252" s="564"/>
      <c r="DS252" s="569"/>
      <c r="DT252" s="564"/>
      <c r="DU252" s="569"/>
      <c r="DV252" s="568"/>
      <c r="DW252" s="563"/>
      <c r="DX252" s="564"/>
      <c r="DY252" s="564"/>
      <c r="DZ252" s="564"/>
      <c r="EA252" s="564"/>
      <c r="EB252" s="564"/>
      <c r="EC252" s="564"/>
      <c r="ED252" s="564"/>
      <c r="EE252" s="564"/>
      <c r="EF252" s="564"/>
      <c r="EG252" s="564"/>
      <c r="EH252" s="564"/>
      <c r="EI252" s="564"/>
      <c r="EJ252" s="564"/>
      <c r="EK252" s="564"/>
      <c r="EL252" s="564"/>
      <c r="EM252" s="564"/>
      <c r="EN252" s="564"/>
      <c r="EO252" s="564"/>
      <c r="EP252" s="564"/>
      <c r="EQ252" s="564"/>
      <c r="ER252" s="564"/>
      <c r="ES252" s="564"/>
      <c r="ET252" s="564"/>
      <c r="EU252" s="564"/>
      <c r="EV252" s="564"/>
      <c r="EW252" s="564"/>
      <c r="EX252" s="564"/>
      <c r="EY252" s="564"/>
      <c r="EZ252" s="239"/>
      <c r="FA252" s="564"/>
      <c r="FB252" s="564"/>
      <c r="FC252" s="564"/>
      <c r="FD252" s="564"/>
      <c r="FE252" s="564"/>
      <c r="FF252" s="564"/>
      <c r="FG252" s="564"/>
      <c r="FH252" s="564"/>
      <c r="FI252" s="564"/>
      <c r="FJ252" s="564"/>
      <c r="FK252" s="564"/>
      <c r="FL252" s="564"/>
      <c r="FM252" s="564"/>
      <c r="FN252" s="569"/>
      <c r="FO252" s="564"/>
      <c r="FP252" s="564"/>
      <c r="FQ252" s="564"/>
      <c r="FR252" s="564"/>
      <c r="FS252" s="564"/>
      <c r="FT252" s="564"/>
      <c r="FU252" s="564"/>
      <c r="FV252" s="564"/>
      <c r="FW252" s="564"/>
      <c r="FX252" s="564"/>
      <c r="FY252" s="564"/>
      <c r="FZ252" s="564"/>
      <c r="GA252" s="564"/>
      <c r="GB252" s="564"/>
      <c r="GC252" s="564"/>
      <c r="GD252" s="564"/>
      <c r="GE252" s="564"/>
      <c r="GF252" s="564"/>
      <c r="GG252" s="564"/>
      <c r="GH252" s="564"/>
      <c r="GI252" s="564"/>
      <c r="GJ252" s="564"/>
      <c r="GK252" s="564"/>
      <c r="GL252" s="564"/>
      <c r="GM252" s="564"/>
      <c r="GN252" s="564"/>
      <c r="GO252" s="564"/>
      <c r="GP252" s="564"/>
      <c r="GQ252" s="564"/>
      <c r="GR252" s="564"/>
      <c r="GS252" s="564"/>
      <c r="GT252" s="564"/>
      <c r="GU252" s="564"/>
      <c r="GV252" s="569"/>
      <c r="GW252" s="564"/>
      <c r="GX252" s="564"/>
      <c r="GY252" s="564"/>
      <c r="GZ252" s="564"/>
      <c r="HA252" s="564"/>
      <c r="HB252" s="564"/>
      <c r="HC252" s="564"/>
      <c r="HD252" s="564"/>
      <c r="HE252" s="564"/>
      <c r="HF252" s="564"/>
      <c r="HG252" s="564"/>
      <c r="HH252" s="564"/>
      <c r="HI252" s="564"/>
      <c r="HJ252" s="564"/>
      <c r="HK252" s="569"/>
      <c r="HL252" s="564" t="s">
        <v>35648</v>
      </c>
      <c r="HM252" s="564" t="s">
        <v>7</v>
      </c>
      <c r="HN252" s="564" t="s">
        <v>35649</v>
      </c>
      <c r="HO252" s="564" t="s">
        <v>35650</v>
      </c>
      <c r="HP252" s="564" t="s">
        <v>35651</v>
      </c>
      <c r="HQ252" s="564" t="s">
        <v>35652</v>
      </c>
      <c r="HR252" s="564" t="s">
        <v>35653</v>
      </c>
      <c r="HS252" s="564" t="s">
        <v>16</v>
      </c>
      <c r="HT252" s="568" t="s">
        <v>35645</v>
      </c>
    </row>
    <row r="253" spans="1:228" ht="30.2" customHeight="1" x14ac:dyDescent="0.25">
      <c r="A253" s="759"/>
      <c r="B253" s="563">
        <v>118</v>
      </c>
      <c r="C253" s="563" t="s">
        <v>23585</v>
      </c>
      <c r="D253" s="564" t="s">
        <v>34682</v>
      </c>
      <c r="E253" s="564" t="s">
        <v>34639</v>
      </c>
      <c r="F253" s="564" t="s">
        <v>7</v>
      </c>
      <c r="G253" s="564" t="s">
        <v>34683</v>
      </c>
      <c r="H253" s="564">
        <v>1447</v>
      </c>
      <c r="I253" s="564">
        <v>3.6</v>
      </c>
      <c r="J253" s="564" t="s">
        <v>29288</v>
      </c>
      <c r="K253" s="564" t="s">
        <v>4</v>
      </c>
      <c r="L253" s="564" t="s">
        <v>34684</v>
      </c>
      <c r="M253" s="564">
        <v>777912040</v>
      </c>
      <c r="N253" s="564" t="s">
        <v>3</v>
      </c>
      <c r="O253" s="564" t="s">
        <v>31438</v>
      </c>
      <c r="P253" s="564">
        <v>74</v>
      </c>
      <c r="Q253" s="564">
        <v>10</v>
      </c>
      <c r="R253" s="564" t="s">
        <v>7</v>
      </c>
      <c r="S253" s="564" t="s">
        <v>31588</v>
      </c>
      <c r="T253" s="564" t="s">
        <v>4</v>
      </c>
      <c r="U253" s="564" t="s">
        <v>2</v>
      </c>
      <c r="V253" s="564" t="s">
        <v>4</v>
      </c>
      <c r="W253" s="564" t="s">
        <v>4</v>
      </c>
      <c r="X253" s="564" t="s">
        <v>4</v>
      </c>
      <c r="Y253" s="564" t="s">
        <v>4</v>
      </c>
      <c r="Z253" s="565">
        <v>45542</v>
      </c>
      <c r="AA253" s="557" t="str">
        <f>IF(OR(U253="yes",Z253&gt;'SDG outcome'!$C$39),"yes","no")</f>
        <v>yes</v>
      </c>
      <c r="AB253" s="565" t="str">
        <f t="shared" si="7"/>
        <v>NA</v>
      </c>
      <c r="AC253" s="566" t="str">
        <f>IF(AND('SMS p2'!AA130="no",AND(Z253&gt;='SDG outcome'!$B$28,Z253&lt;'SDG outcome'!$C$39)),Z253-'SDG outcome'!$B$28,"")</f>
        <v/>
      </c>
      <c r="AD253" s="564" t="s">
        <v>31572</v>
      </c>
      <c r="AE253" s="564" t="s">
        <v>4</v>
      </c>
      <c r="AF253" s="564" t="s">
        <v>7</v>
      </c>
      <c r="AG253" s="564" t="s">
        <v>34685</v>
      </c>
      <c r="AH253" s="564" t="s">
        <v>4</v>
      </c>
      <c r="AI253" s="564" t="s">
        <v>7</v>
      </c>
      <c r="AJ253" s="565">
        <v>45557</v>
      </c>
      <c r="AK253" s="564" t="s">
        <v>4</v>
      </c>
      <c r="AL253" s="564"/>
      <c r="AM253" s="564"/>
      <c r="AN253" s="564"/>
      <c r="AO253" s="564"/>
      <c r="AP253" s="564"/>
      <c r="AQ253" s="564"/>
      <c r="AR253" s="564"/>
      <c r="AS253" s="564"/>
      <c r="AT253" s="564"/>
      <c r="AU253" s="564"/>
      <c r="AV253" s="564"/>
      <c r="AW253" s="564"/>
      <c r="AX253" s="564"/>
      <c r="AY253" s="564"/>
      <c r="AZ253" s="564"/>
      <c r="BA253" s="564"/>
      <c r="BB253" s="564"/>
      <c r="BC253" s="564"/>
      <c r="BD253" s="564"/>
      <c r="BE253" s="564"/>
      <c r="BF253" s="564"/>
      <c r="BG253" s="564"/>
      <c r="BH253" s="564"/>
      <c r="BI253" s="564"/>
      <c r="BJ253" s="564"/>
      <c r="BK253" s="564"/>
      <c r="BL253" s="564"/>
      <c r="BM253" s="564"/>
      <c r="BN253" s="564"/>
      <c r="BO253" s="564"/>
      <c r="BP253" s="564"/>
      <c r="BQ253" s="564"/>
      <c r="BR253" s="567"/>
      <c r="BS253" s="564"/>
      <c r="BT253" s="564"/>
      <c r="BU253" s="564"/>
      <c r="BV253" s="564"/>
      <c r="BW253" s="567"/>
      <c r="BX253" s="564"/>
      <c r="BY253" s="564"/>
      <c r="BZ253" s="564"/>
      <c r="CA253" s="564"/>
      <c r="CB253" s="564"/>
      <c r="CC253" s="564"/>
      <c r="CD253" s="564"/>
      <c r="CE253" s="564"/>
      <c r="CF253" s="564"/>
      <c r="CG253" s="564"/>
      <c r="CH253" s="564"/>
      <c r="CI253" s="564"/>
      <c r="CJ253" s="564"/>
      <c r="CK253" s="564"/>
      <c r="CL253" s="564"/>
      <c r="CM253" s="564"/>
      <c r="CN253" s="564"/>
      <c r="CO253" s="564"/>
      <c r="CP253" s="564"/>
      <c r="CQ253" s="564"/>
      <c r="CR253" s="564"/>
      <c r="CS253" s="564"/>
      <c r="CT253" s="568"/>
      <c r="CU253" s="563"/>
      <c r="CV253" s="564"/>
      <c r="CW253" s="568"/>
      <c r="CX253" s="563"/>
      <c r="CY253" s="564"/>
      <c r="CZ253" s="568"/>
      <c r="DA253" s="563"/>
      <c r="DB253" s="564"/>
      <c r="DC253" s="564"/>
      <c r="DD253" s="564"/>
      <c r="DE253" s="564"/>
      <c r="DF253" s="564"/>
      <c r="DG253" s="564"/>
      <c r="DH253" s="564"/>
      <c r="DI253" s="564"/>
      <c r="DJ253" s="564"/>
      <c r="DK253" s="564"/>
      <c r="DL253" s="564"/>
      <c r="DM253" s="564"/>
      <c r="DN253" s="564"/>
      <c r="DO253" s="564"/>
      <c r="DP253" s="564"/>
      <c r="DQ253" s="564"/>
      <c r="DR253" s="564"/>
      <c r="DS253" s="569"/>
      <c r="DT253" s="564"/>
      <c r="DU253" s="569"/>
      <c r="DV253" s="568"/>
      <c r="DW253" s="563"/>
      <c r="DX253" s="564"/>
      <c r="DY253" s="564"/>
      <c r="DZ253" s="564"/>
      <c r="EA253" s="564"/>
      <c r="EB253" s="564"/>
      <c r="EC253" s="564"/>
      <c r="ED253" s="564"/>
      <c r="EE253" s="564"/>
      <c r="EF253" s="564"/>
      <c r="EG253" s="564"/>
      <c r="EH253" s="564"/>
      <c r="EI253" s="564"/>
      <c r="EJ253" s="564"/>
      <c r="EK253" s="564"/>
      <c r="EL253" s="564"/>
      <c r="EM253" s="564"/>
      <c r="EN253" s="564"/>
      <c r="EO253" s="564"/>
      <c r="EP253" s="564"/>
      <c r="EQ253" s="564"/>
      <c r="ER253" s="564"/>
      <c r="ES253" s="564"/>
      <c r="ET253" s="564"/>
      <c r="EU253" s="564"/>
      <c r="EV253" s="564"/>
      <c r="EW253" s="564"/>
      <c r="EX253" s="564"/>
      <c r="EY253" s="564"/>
      <c r="EZ253" s="239"/>
      <c r="FA253" s="564"/>
      <c r="FB253" s="564"/>
      <c r="FC253" s="564"/>
      <c r="FD253" s="564"/>
      <c r="FE253" s="564"/>
      <c r="FF253" s="564"/>
      <c r="FG253" s="564"/>
      <c r="FH253" s="564"/>
      <c r="FI253" s="564"/>
      <c r="FJ253" s="564"/>
      <c r="FK253" s="564"/>
      <c r="FL253" s="564"/>
      <c r="FM253" s="564"/>
      <c r="FN253" s="569"/>
      <c r="FO253" s="564"/>
      <c r="FP253" s="564"/>
      <c r="FQ253" s="564"/>
      <c r="FR253" s="564"/>
      <c r="FS253" s="564"/>
      <c r="FT253" s="564"/>
      <c r="FU253" s="564"/>
      <c r="FV253" s="564"/>
      <c r="FW253" s="564"/>
      <c r="FX253" s="564"/>
      <c r="FY253" s="564"/>
      <c r="FZ253" s="564"/>
      <c r="GA253" s="564"/>
      <c r="GB253" s="564"/>
      <c r="GC253" s="564"/>
      <c r="GD253" s="564"/>
      <c r="GE253" s="564"/>
      <c r="GF253" s="564"/>
      <c r="GG253" s="564"/>
      <c r="GH253" s="564"/>
      <c r="GI253" s="564"/>
      <c r="GJ253" s="564"/>
      <c r="GK253" s="564"/>
      <c r="GL253" s="564"/>
      <c r="GM253" s="564"/>
      <c r="GN253" s="564"/>
      <c r="GO253" s="564"/>
      <c r="GP253" s="564"/>
      <c r="GQ253" s="564"/>
      <c r="GR253" s="564"/>
      <c r="GS253" s="564"/>
      <c r="GT253" s="564"/>
      <c r="GU253" s="564"/>
      <c r="GV253" s="569"/>
      <c r="GW253" s="564"/>
      <c r="GX253" s="564"/>
      <c r="GY253" s="564"/>
      <c r="GZ253" s="564"/>
      <c r="HA253" s="564"/>
      <c r="HB253" s="564"/>
      <c r="HC253" s="564"/>
      <c r="HD253" s="564"/>
      <c r="HE253" s="564"/>
      <c r="HF253" s="564"/>
      <c r="HG253" s="564"/>
      <c r="HH253" s="564"/>
      <c r="HI253" s="564"/>
      <c r="HJ253" s="564"/>
      <c r="HK253" s="569"/>
      <c r="HL253" s="564" t="s">
        <v>34686</v>
      </c>
      <c r="HM253" s="564" t="s">
        <v>7</v>
      </c>
      <c r="HN253" s="564" t="s">
        <v>34687</v>
      </c>
      <c r="HO253" s="564" t="s">
        <v>34688</v>
      </c>
      <c r="HP253" s="564" t="s">
        <v>34689</v>
      </c>
      <c r="HQ253" s="564" t="s">
        <v>34690</v>
      </c>
      <c r="HR253" s="564" t="s">
        <v>34691</v>
      </c>
      <c r="HS253" s="564" t="s">
        <v>34692</v>
      </c>
      <c r="HT253" s="568" t="s">
        <v>34682</v>
      </c>
    </row>
    <row r="254" spans="1:228" ht="30.2" customHeight="1" x14ac:dyDescent="0.25">
      <c r="A254" s="759"/>
      <c r="B254" s="563">
        <v>260</v>
      </c>
      <c r="C254" s="563" t="s">
        <v>3131</v>
      </c>
      <c r="D254" s="564" t="s">
        <v>36196</v>
      </c>
      <c r="E254" s="564" t="s">
        <v>30638</v>
      </c>
      <c r="F254" s="564" t="s">
        <v>7</v>
      </c>
      <c r="G254" s="564" t="s">
        <v>36197</v>
      </c>
      <c r="H254" s="564">
        <v>1223.114746</v>
      </c>
      <c r="I254" s="564">
        <v>3.2160000000000002</v>
      </c>
      <c r="J254" s="564" t="s">
        <v>29288</v>
      </c>
      <c r="K254" s="564" t="s">
        <v>4</v>
      </c>
      <c r="L254" s="564" t="s">
        <v>36198</v>
      </c>
      <c r="M254" s="564">
        <v>787314624</v>
      </c>
      <c r="N254" s="564" t="s">
        <v>3</v>
      </c>
      <c r="O254" s="564" t="s">
        <v>31438</v>
      </c>
      <c r="P254" s="564">
        <v>52</v>
      </c>
      <c r="Q254" s="564">
        <v>6</v>
      </c>
      <c r="R254" s="564" t="s">
        <v>7</v>
      </c>
      <c r="S254" s="564" t="s">
        <v>31549</v>
      </c>
      <c r="T254" s="564" t="s">
        <v>4</v>
      </c>
      <c r="U254" s="564" t="s">
        <v>2</v>
      </c>
      <c r="V254" s="564" t="s">
        <v>4</v>
      </c>
      <c r="W254" s="564" t="s">
        <v>4</v>
      </c>
      <c r="X254" s="564" t="s">
        <v>4</v>
      </c>
      <c r="Y254" s="564" t="s">
        <v>4</v>
      </c>
      <c r="Z254" s="565">
        <v>41818</v>
      </c>
      <c r="AA254" s="557" t="str">
        <f>IF(OR(U254="yes",Z254&gt;'SDG outcome'!$C$39),"yes","no")</f>
        <v>no</v>
      </c>
      <c r="AB254" s="565" t="str">
        <f t="shared" si="7"/>
        <v/>
      </c>
      <c r="AC254" s="566" t="str">
        <f>IF(AND('SMS p2'!AA270="no",AND(Z254&gt;='SDG outcome'!$B$28,Z254&lt;'SDG outcome'!$C$39)),Z254-'SDG outcome'!$B$28,"")</f>
        <v/>
      </c>
      <c r="AD254" s="564" t="s">
        <v>31572</v>
      </c>
      <c r="AE254" s="564" t="s">
        <v>4</v>
      </c>
      <c r="AF254" s="564" t="s">
        <v>7</v>
      </c>
      <c r="AG254" s="564" t="s">
        <v>36199</v>
      </c>
      <c r="AH254" s="564" t="s">
        <v>4</v>
      </c>
      <c r="AI254" s="564" t="s">
        <v>7</v>
      </c>
      <c r="AJ254" s="565">
        <v>45674</v>
      </c>
      <c r="AK254" s="564" t="s">
        <v>4</v>
      </c>
      <c r="AL254" s="564"/>
      <c r="AM254" s="564"/>
      <c r="AN254" s="564"/>
      <c r="AO254" s="564"/>
      <c r="AP254" s="564"/>
      <c r="AQ254" s="564"/>
      <c r="AR254" s="564"/>
      <c r="AS254" s="564"/>
      <c r="AT254" s="564"/>
      <c r="AU254" s="564"/>
      <c r="AV254" s="564"/>
      <c r="AW254" s="564"/>
      <c r="AX254" s="564"/>
      <c r="AY254" s="564"/>
      <c r="AZ254" s="564"/>
      <c r="BA254" s="564"/>
      <c r="BB254" s="564"/>
      <c r="BC254" s="564"/>
      <c r="BD254" s="564"/>
      <c r="BE254" s="564"/>
      <c r="BF254" s="564"/>
      <c r="BG254" s="564"/>
      <c r="BH254" s="564"/>
      <c r="BI254" s="564"/>
      <c r="BJ254" s="564"/>
      <c r="BK254" s="564"/>
      <c r="BL254" s="564"/>
      <c r="BM254" s="564"/>
      <c r="BN254" s="564"/>
      <c r="BO254" s="564"/>
      <c r="BP254" s="564"/>
      <c r="BQ254" s="564"/>
      <c r="BR254" s="567"/>
      <c r="BS254" s="564"/>
      <c r="BT254" s="564"/>
      <c r="BU254" s="569"/>
      <c r="BV254" s="564"/>
      <c r="BW254" s="579"/>
      <c r="BX254" s="569"/>
      <c r="BY254" s="569"/>
      <c r="BZ254" s="569"/>
      <c r="CA254" s="569"/>
      <c r="CB254" s="569"/>
      <c r="CC254" s="569"/>
      <c r="CD254" s="569"/>
      <c r="CE254" s="569"/>
      <c r="CF254" s="569"/>
      <c r="CG254" s="569"/>
      <c r="CH254" s="569"/>
      <c r="CI254" s="569"/>
      <c r="CJ254" s="569"/>
      <c r="CK254" s="569"/>
      <c r="CL254" s="569"/>
      <c r="CM254" s="569"/>
      <c r="CN254" s="569"/>
      <c r="CO254" s="569"/>
      <c r="CP254" s="569"/>
      <c r="CQ254" s="569"/>
      <c r="CR254" s="569"/>
      <c r="CS254" s="569"/>
      <c r="CT254" s="580"/>
      <c r="CU254" s="581"/>
      <c r="CV254" s="569"/>
      <c r="CW254" s="580"/>
      <c r="CX254" s="581"/>
      <c r="CY254" s="569"/>
      <c r="CZ254" s="580"/>
      <c r="DA254" s="581"/>
      <c r="DB254" s="569"/>
      <c r="DC254" s="569"/>
      <c r="DD254" s="569"/>
      <c r="DE254" s="569"/>
      <c r="DF254" s="569"/>
      <c r="DG254" s="569"/>
      <c r="DH254" s="569"/>
      <c r="DI254" s="569"/>
      <c r="DJ254" s="569"/>
      <c r="DK254" s="569"/>
      <c r="DL254" s="569"/>
      <c r="DM254" s="569"/>
      <c r="DN254" s="569"/>
      <c r="DO254" s="569"/>
      <c r="DP254" s="569"/>
      <c r="DQ254" s="569"/>
      <c r="DR254" s="569"/>
      <c r="DS254" s="569"/>
      <c r="DT254" s="569"/>
      <c r="DU254" s="569"/>
      <c r="DV254" s="580"/>
      <c r="DW254" s="581"/>
      <c r="DX254" s="569"/>
      <c r="DY254" s="569"/>
      <c r="DZ254" s="569"/>
      <c r="EA254" s="569"/>
      <c r="EB254" s="569"/>
      <c r="EC254" s="569"/>
      <c r="ED254" s="569"/>
      <c r="EE254" s="569"/>
      <c r="EF254" s="569"/>
      <c r="EG254" s="569"/>
      <c r="EH254" s="569"/>
      <c r="EI254" s="569"/>
      <c r="EJ254" s="569"/>
      <c r="EK254" s="569"/>
      <c r="EL254" s="569"/>
      <c r="EM254" s="569"/>
      <c r="EN254" s="569"/>
      <c r="EO254" s="569"/>
      <c r="EP254" s="569"/>
      <c r="EQ254" s="569"/>
      <c r="ER254" s="569"/>
      <c r="ES254" s="569"/>
      <c r="ET254" s="569"/>
      <c r="EU254" s="569"/>
      <c r="EV254" s="569"/>
      <c r="EW254" s="569"/>
      <c r="EX254" s="569"/>
      <c r="EY254" s="569"/>
      <c r="EZ254" s="239"/>
      <c r="FA254" s="569"/>
      <c r="FB254" s="569"/>
      <c r="FC254" s="569"/>
      <c r="FD254" s="569"/>
      <c r="FE254" s="569"/>
      <c r="FF254" s="569"/>
      <c r="FG254" s="569"/>
      <c r="FH254" s="569"/>
      <c r="FI254" s="569"/>
      <c r="FJ254" s="569"/>
      <c r="FK254" s="569"/>
      <c r="FL254" s="569"/>
      <c r="FM254" s="569"/>
      <c r="FN254" s="569"/>
      <c r="FO254" s="569"/>
      <c r="FP254" s="569"/>
      <c r="FQ254" s="569"/>
      <c r="FR254" s="569"/>
      <c r="FS254" s="569"/>
      <c r="FT254" s="569"/>
      <c r="FU254" s="569"/>
      <c r="FV254" s="569"/>
      <c r="FW254" s="569"/>
      <c r="FX254" s="569"/>
      <c r="FY254" s="569"/>
      <c r="FZ254" s="569"/>
      <c r="GA254" s="569"/>
      <c r="GB254" s="569"/>
      <c r="GC254" s="569"/>
      <c r="GD254" s="569"/>
      <c r="GE254" s="569"/>
      <c r="GF254" s="569"/>
      <c r="GG254" s="569"/>
      <c r="GH254" s="569"/>
      <c r="GI254" s="569"/>
      <c r="GJ254" s="569"/>
      <c r="GK254" s="569"/>
      <c r="GL254" s="569"/>
      <c r="GM254" s="569"/>
      <c r="GN254" s="569"/>
      <c r="GO254" s="569"/>
      <c r="GP254" s="569"/>
      <c r="GQ254" s="569"/>
      <c r="GR254" s="569"/>
      <c r="GS254" s="569"/>
      <c r="GT254" s="569"/>
      <c r="GU254" s="569"/>
      <c r="GV254" s="569"/>
      <c r="GW254" s="569"/>
      <c r="GX254" s="569"/>
      <c r="GY254" s="569"/>
      <c r="GZ254" s="569"/>
      <c r="HA254" s="569"/>
      <c r="HB254" s="569"/>
      <c r="HC254" s="569"/>
      <c r="HD254" s="569"/>
      <c r="HE254" s="569"/>
      <c r="HF254" s="569"/>
      <c r="HG254" s="569"/>
      <c r="HH254" s="569"/>
      <c r="HI254" s="569"/>
      <c r="HJ254" s="569"/>
      <c r="HK254" s="569"/>
      <c r="HL254" s="564" t="s">
        <v>36200</v>
      </c>
      <c r="HM254" s="564" t="s">
        <v>7</v>
      </c>
      <c r="HN254" s="564" t="s">
        <v>36201</v>
      </c>
      <c r="HO254" s="564" t="s">
        <v>16</v>
      </c>
      <c r="HP254" s="564" t="s">
        <v>36202</v>
      </c>
      <c r="HQ254" s="564" t="s">
        <v>36203</v>
      </c>
      <c r="HR254" s="564" t="s">
        <v>36204</v>
      </c>
      <c r="HS254" s="564" t="s">
        <v>36205</v>
      </c>
      <c r="HT254" s="568" t="s">
        <v>36196</v>
      </c>
    </row>
    <row r="255" spans="1:228" ht="30.2" customHeight="1" x14ac:dyDescent="0.25">
      <c r="A255" s="759"/>
      <c r="B255" s="563">
        <v>187</v>
      </c>
      <c r="C255" s="563" t="s">
        <v>15782</v>
      </c>
      <c r="D255" s="564" t="s">
        <v>35439</v>
      </c>
      <c r="E255" s="564" t="s">
        <v>30638</v>
      </c>
      <c r="F255" s="564" t="s">
        <v>7</v>
      </c>
      <c r="G255" s="564" t="s">
        <v>35440</v>
      </c>
      <c r="H255" s="564">
        <v>1481.883789</v>
      </c>
      <c r="I255" s="564">
        <v>4.2880000000000003</v>
      </c>
      <c r="J255" s="564" t="s">
        <v>29319</v>
      </c>
      <c r="K255" s="564" t="s">
        <v>4</v>
      </c>
      <c r="L255" s="564" t="s">
        <v>35441</v>
      </c>
      <c r="M255" s="564">
        <v>778938994</v>
      </c>
      <c r="N255" s="564" t="s">
        <v>5</v>
      </c>
      <c r="O255" s="564" t="s">
        <v>31598</v>
      </c>
      <c r="P255" s="564" t="s">
        <v>4</v>
      </c>
      <c r="Q255" s="564">
        <v>10</v>
      </c>
      <c r="R255" s="564" t="s">
        <v>7</v>
      </c>
      <c r="S255" s="564" t="s">
        <v>31535</v>
      </c>
      <c r="T255" s="564" t="s">
        <v>4</v>
      </c>
      <c r="U255" s="564" t="s">
        <v>2</v>
      </c>
      <c r="V255" s="564" t="s">
        <v>4</v>
      </c>
      <c r="W255" s="564" t="s">
        <v>4</v>
      </c>
      <c r="X255" s="564" t="s">
        <v>4</v>
      </c>
      <c r="Y255" s="564" t="s">
        <v>4</v>
      </c>
      <c r="Z255" s="565">
        <v>44706</v>
      </c>
      <c r="AA255" s="557" t="str">
        <f>IF(OR(U255="yes",Z255&gt;'SDG outcome'!$C$39),"yes","no")</f>
        <v>no</v>
      </c>
      <c r="AB255" s="565" t="str">
        <f t="shared" si="7"/>
        <v/>
      </c>
      <c r="AC255" s="566" t="str">
        <f>IF(AND('SMS p2'!AA199="no",AND(Z255&gt;='SDG outcome'!$B$28,Z255&lt;'SDG outcome'!$C$39)),Z255-'SDG outcome'!$B$28,"")</f>
        <v/>
      </c>
      <c r="AD255" s="564" t="s">
        <v>31572</v>
      </c>
      <c r="AE255" s="564" t="s">
        <v>4</v>
      </c>
      <c r="AF255" s="564" t="s">
        <v>7</v>
      </c>
      <c r="AG255" s="564" t="s">
        <v>35442</v>
      </c>
      <c r="AH255" s="564" t="s">
        <v>4</v>
      </c>
      <c r="AI255" s="564" t="s">
        <v>7</v>
      </c>
      <c r="AJ255" s="565">
        <v>45574</v>
      </c>
      <c r="AK255" s="564" t="s">
        <v>4</v>
      </c>
      <c r="AL255" s="564"/>
      <c r="AM255" s="564"/>
      <c r="AN255" s="564"/>
      <c r="AO255" s="564"/>
      <c r="AP255" s="564"/>
      <c r="AQ255" s="564"/>
      <c r="AR255" s="564"/>
      <c r="AS255" s="564"/>
      <c r="AT255" s="564"/>
      <c r="AU255" s="564"/>
      <c r="AV255" s="564"/>
      <c r="AW255" s="564"/>
      <c r="AX255" s="564"/>
      <c r="AY255" s="564"/>
      <c r="AZ255" s="564"/>
      <c r="BA255" s="564"/>
      <c r="BB255" s="564"/>
      <c r="BC255" s="564"/>
      <c r="BD255" s="564"/>
      <c r="BE255" s="564"/>
      <c r="BF255" s="564"/>
      <c r="BG255" s="564"/>
      <c r="BH255" s="564"/>
      <c r="BI255" s="564"/>
      <c r="BJ255" s="564"/>
      <c r="BK255" s="564"/>
      <c r="BL255" s="564"/>
      <c r="BM255" s="564"/>
      <c r="BN255" s="564"/>
      <c r="BO255" s="564"/>
      <c r="BP255" s="564"/>
      <c r="BQ255" s="564"/>
      <c r="BR255" s="567"/>
      <c r="BS255" s="564"/>
      <c r="BT255" s="564"/>
      <c r="BU255" s="564"/>
      <c r="BV255" s="564"/>
      <c r="BW255" s="567"/>
      <c r="BX255" s="564"/>
      <c r="BY255" s="564"/>
      <c r="BZ255" s="564"/>
      <c r="CA255" s="564"/>
      <c r="CB255" s="564"/>
      <c r="CC255" s="564"/>
      <c r="CD255" s="564"/>
      <c r="CE255" s="564"/>
      <c r="CF255" s="564"/>
      <c r="CG255" s="564"/>
      <c r="CH255" s="564"/>
      <c r="CI255" s="564"/>
      <c r="CJ255" s="564"/>
      <c r="CK255" s="564"/>
      <c r="CL255" s="564"/>
      <c r="CM255" s="564"/>
      <c r="CN255" s="564"/>
      <c r="CO255" s="564"/>
      <c r="CP255" s="564"/>
      <c r="CQ255" s="564"/>
      <c r="CR255" s="564"/>
      <c r="CS255" s="564"/>
      <c r="CT255" s="568"/>
      <c r="CU255" s="563"/>
      <c r="CV255" s="564"/>
      <c r="CW255" s="568"/>
      <c r="CX255" s="563"/>
      <c r="CY255" s="564"/>
      <c r="CZ255" s="568"/>
      <c r="DA255" s="563"/>
      <c r="DB255" s="564"/>
      <c r="DC255" s="564"/>
      <c r="DD255" s="564"/>
      <c r="DE255" s="564"/>
      <c r="DF255" s="564"/>
      <c r="DG255" s="564"/>
      <c r="DH255" s="564"/>
      <c r="DI255" s="564"/>
      <c r="DJ255" s="564"/>
      <c r="DK255" s="564"/>
      <c r="DL255" s="564"/>
      <c r="DM255" s="564"/>
      <c r="DN255" s="564"/>
      <c r="DO255" s="564"/>
      <c r="DP255" s="564"/>
      <c r="DQ255" s="564"/>
      <c r="DR255" s="564"/>
      <c r="DS255" s="569"/>
      <c r="DT255" s="564"/>
      <c r="DU255" s="569"/>
      <c r="DV255" s="568"/>
      <c r="DW255" s="563"/>
      <c r="DX255" s="564"/>
      <c r="DY255" s="564"/>
      <c r="DZ255" s="564"/>
      <c r="EA255" s="564"/>
      <c r="EB255" s="564"/>
      <c r="EC255" s="564"/>
      <c r="ED255" s="564"/>
      <c r="EE255" s="564"/>
      <c r="EF255" s="564"/>
      <c r="EG255" s="564"/>
      <c r="EH255" s="564"/>
      <c r="EI255" s="564"/>
      <c r="EJ255" s="564"/>
      <c r="EK255" s="564"/>
      <c r="EL255" s="564"/>
      <c r="EM255" s="564"/>
      <c r="EN255" s="564"/>
      <c r="EO255" s="564"/>
      <c r="EP255" s="564"/>
      <c r="EQ255" s="564"/>
      <c r="ER255" s="564"/>
      <c r="ES255" s="564"/>
      <c r="ET255" s="564"/>
      <c r="EU255" s="564"/>
      <c r="EV255" s="564"/>
      <c r="EW255" s="564"/>
      <c r="EX255" s="564"/>
      <c r="EY255" s="564"/>
      <c r="EZ255" s="239"/>
      <c r="FA255" s="564"/>
      <c r="FB255" s="564"/>
      <c r="FC255" s="564"/>
      <c r="FD255" s="564"/>
      <c r="FE255" s="564"/>
      <c r="FF255" s="564"/>
      <c r="FG255" s="564"/>
      <c r="FH255" s="564"/>
      <c r="FI255" s="564"/>
      <c r="FJ255" s="564"/>
      <c r="FK255" s="564"/>
      <c r="FL255" s="564"/>
      <c r="FM255" s="564"/>
      <c r="FN255" s="569"/>
      <c r="FO255" s="564"/>
      <c r="FP255" s="564"/>
      <c r="FQ255" s="564"/>
      <c r="FR255" s="564"/>
      <c r="FS255" s="564"/>
      <c r="FT255" s="564"/>
      <c r="FU255" s="564"/>
      <c r="FV255" s="564"/>
      <c r="FW255" s="564"/>
      <c r="FX255" s="564"/>
      <c r="FY255" s="564"/>
      <c r="FZ255" s="564"/>
      <c r="GA255" s="564"/>
      <c r="GB255" s="564"/>
      <c r="GC255" s="564"/>
      <c r="GD255" s="564"/>
      <c r="GE255" s="564"/>
      <c r="GF255" s="564"/>
      <c r="GG255" s="564"/>
      <c r="GH255" s="564"/>
      <c r="GI255" s="564"/>
      <c r="GJ255" s="564"/>
      <c r="GK255" s="564"/>
      <c r="GL255" s="564"/>
      <c r="GM255" s="564"/>
      <c r="GN255" s="564"/>
      <c r="GO255" s="564"/>
      <c r="GP255" s="564"/>
      <c r="GQ255" s="564"/>
      <c r="GR255" s="564"/>
      <c r="GS255" s="564"/>
      <c r="GT255" s="564"/>
      <c r="GU255" s="564"/>
      <c r="GV255" s="569"/>
      <c r="GW255" s="564"/>
      <c r="GX255" s="564"/>
      <c r="GY255" s="564"/>
      <c r="GZ255" s="564"/>
      <c r="HA255" s="564"/>
      <c r="HB255" s="564"/>
      <c r="HC255" s="564"/>
      <c r="HD255" s="564"/>
      <c r="HE255" s="564"/>
      <c r="HF255" s="564"/>
      <c r="HG255" s="564"/>
      <c r="HH255" s="564"/>
      <c r="HI255" s="564"/>
      <c r="HJ255" s="564"/>
      <c r="HK255" s="569"/>
      <c r="HL255" s="564" t="s">
        <v>35443</v>
      </c>
      <c r="HM255" s="564" t="s">
        <v>2</v>
      </c>
      <c r="HN255" s="564" t="s">
        <v>4</v>
      </c>
      <c r="HO255" s="564" t="s">
        <v>16</v>
      </c>
      <c r="HP255" s="564" t="s">
        <v>35444</v>
      </c>
      <c r="HQ255" s="564" t="s">
        <v>35445</v>
      </c>
      <c r="HR255" s="564" t="s">
        <v>35446</v>
      </c>
      <c r="HS255" s="564" t="s">
        <v>35447</v>
      </c>
      <c r="HT255" s="568" t="s">
        <v>35439</v>
      </c>
    </row>
    <row r="256" spans="1:228" ht="30.2" customHeight="1" x14ac:dyDescent="0.25">
      <c r="A256" s="759"/>
      <c r="B256" s="563">
        <v>81</v>
      </c>
      <c r="C256" s="563" t="s">
        <v>758</v>
      </c>
      <c r="D256" s="564" t="s">
        <v>34292</v>
      </c>
      <c r="E256" s="564" t="s">
        <v>30002</v>
      </c>
      <c r="F256" s="564" t="s">
        <v>7</v>
      </c>
      <c r="G256" s="564" t="s">
        <v>34293</v>
      </c>
      <c r="H256" s="564">
        <v>1175.8</v>
      </c>
      <c r="I256" s="564">
        <v>5</v>
      </c>
      <c r="J256" s="564" t="s">
        <v>29319</v>
      </c>
      <c r="K256" s="564" t="s">
        <v>4</v>
      </c>
      <c r="L256" s="564" t="s">
        <v>34294</v>
      </c>
      <c r="M256" s="564">
        <v>774838885</v>
      </c>
      <c r="N256" s="564" t="s">
        <v>5</v>
      </c>
      <c r="O256" s="564" t="s">
        <v>31438</v>
      </c>
      <c r="P256" s="564">
        <v>72</v>
      </c>
      <c r="Q256" s="564">
        <v>5</v>
      </c>
      <c r="R256" s="564" t="s">
        <v>7</v>
      </c>
      <c r="S256" s="564" t="s">
        <v>31588</v>
      </c>
      <c r="T256" s="564" t="s">
        <v>4</v>
      </c>
      <c r="U256" s="564" t="s">
        <v>2</v>
      </c>
      <c r="V256" s="564" t="s">
        <v>4</v>
      </c>
      <c r="W256" s="564" t="s">
        <v>4</v>
      </c>
      <c r="X256" s="564" t="s">
        <v>4</v>
      </c>
      <c r="Y256" s="564" t="s">
        <v>4</v>
      </c>
      <c r="Z256" s="565">
        <v>44835</v>
      </c>
      <c r="AA256" s="557" t="str">
        <f>IF(OR(U256="yes",Z256&gt;'SDG outcome'!$C$39),"yes","no")</f>
        <v>no</v>
      </c>
      <c r="AB256" s="565" t="str">
        <f t="shared" si="7"/>
        <v/>
      </c>
      <c r="AC256" s="566" t="str">
        <f>IF(AND('SMS p2'!AA93="no",AND(Z256&gt;='SDG outcome'!$B$28,Z256&lt;'SDG outcome'!$C$39)),Z256-'SDG outcome'!$B$28,"")</f>
        <v/>
      </c>
      <c r="AD256" s="564" t="s">
        <v>31572</v>
      </c>
      <c r="AE256" s="564" t="s">
        <v>4</v>
      </c>
      <c r="AF256" s="564" t="s">
        <v>7</v>
      </c>
      <c r="AG256" s="564" t="s">
        <v>34295</v>
      </c>
      <c r="AH256" s="564" t="s">
        <v>4</v>
      </c>
      <c r="AI256" s="564" t="s">
        <v>7</v>
      </c>
      <c r="AJ256" s="565">
        <v>45650</v>
      </c>
      <c r="AK256" s="564" t="s">
        <v>4</v>
      </c>
      <c r="AL256" s="564"/>
      <c r="AM256" s="564"/>
      <c r="AN256" s="564"/>
      <c r="AO256" s="564"/>
      <c r="AP256" s="564"/>
      <c r="AQ256" s="564"/>
      <c r="AR256" s="564"/>
      <c r="AS256" s="564"/>
      <c r="AT256" s="564"/>
      <c r="AU256" s="564"/>
      <c r="AV256" s="564"/>
      <c r="AW256" s="564"/>
      <c r="AX256" s="564"/>
      <c r="AY256" s="564"/>
      <c r="AZ256" s="564"/>
      <c r="BA256" s="564"/>
      <c r="BB256" s="564"/>
      <c r="BC256" s="564"/>
      <c r="BD256" s="564"/>
      <c r="BE256" s="564"/>
      <c r="BF256" s="564"/>
      <c r="BG256" s="564"/>
      <c r="BH256" s="564"/>
      <c r="BI256" s="564"/>
      <c r="BJ256" s="564"/>
      <c r="BK256" s="564"/>
      <c r="BL256" s="564"/>
      <c r="BM256" s="564"/>
      <c r="BN256" s="564"/>
      <c r="BO256" s="564"/>
      <c r="BP256" s="564"/>
      <c r="BQ256" s="564"/>
      <c r="BR256" s="567"/>
      <c r="BS256" s="564"/>
      <c r="BT256" s="564"/>
      <c r="BU256" s="564"/>
      <c r="BV256" s="564"/>
      <c r="BW256" s="567"/>
      <c r="BX256" s="564"/>
      <c r="BY256" s="564"/>
      <c r="BZ256" s="564"/>
      <c r="CA256" s="564"/>
      <c r="CB256" s="564"/>
      <c r="CC256" s="564"/>
      <c r="CD256" s="564"/>
      <c r="CE256" s="564"/>
      <c r="CF256" s="564"/>
      <c r="CG256" s="564"/>
      <c r="CH256" s="564"/>
      <c r="CI256" s="564"/>
      <c r="CJ256" s="564"/>
      <c r="CK256" s="564"/>
      <c r="CL256" s="564"/>
      <c r="CM256" s="564"/>
      <c r="CN256" s="564"/>
      <c r="CO256" s="564"/>
      <c r="CP256" s="564"/>
      <c r="CQ256" s="564"/>
      <c r="CR256" s="564"/>
      <c r="CS256" s="564"/>
      <c r="CT256" s="568"/>
      <c r="CU256" s="563"/>
      <c r="CV256" s="564"/>
      <c r="CW256" s="568"/>
      <c r="CX256" s="563"/>
      <c r="CY256" s="564"/>
      <c r="CZ256" s="568"/>
      <c r="DA256" s="563"/>
      <c r="DB256" s="564"/>
      <c r="DC256" s="564"/>
      <c r="DD256" s="564"/>
      <c r="DE256" s="564"/>
      <c r="DF256" s="564"/>
      <c r="DG256" s="564"/>
      <c r="DH256" s="564"/>
      <c r="DI256" s="564"/>
      <c r="DJ256" s="564"/>
      <c r="DK256" s="564"/>
      <c r="DL256" s="564"/>
      <c r="DM256" s="564"/>
      <c r="DN256" s="564"/>
      <c r="DO256" s="564"/>
      <c r="DP256" s="564"/>
      <c r="DQ256" s="564"/>
      <c r="DR256" s="564"/>
      <c r="DS256" s="569"/>
      <c r="DT256" s="564"/>
      <c r="DU256" s="569"/>
      <c r="DV256" s="568"/>
      <c r="DW256" s="563"/>
      <c r="DX256" s="564"/>
      <c r="DY256" s="564"/>
      <c r="DZ256" s="564"/>
      <c r="EA256" s="564"/>
      <c r="EB256" s="564"/>
      <c r="EC256" s="564"/>
      <c r="ED256" s="564"/>
      <c r="EE256" s="564"/>
      <c r="EF256" s="564"/>
      <c r="EG256" s="564"/>
      <c r="EH256" s="564"/>
      <c r="EI256" s="564"/>
      <c r="EJ256" s="564"/>
      <c r="EK256" s="564"/>
      <c r="EL256" s="564"/>
      <c r="EM256" s="564"/>
      <c r="EN256" s="564"/>
      <c r="EO256" s="564"/>
      <c r="EP256" s="564"/>
      <c r="EQ256" s="564"/>
      <c r="ER256" s="564"/>
      <c r="ES256" s="564"/>
      <c r="ET256" s="564"/>
      <c r="EU256" s="564"/>
      <c r="EV256" s="564"/>
      <c r="EW256" s="564"/>
      <c r="EX256" s="564"/>
      <c r="EY256" s="564"/>
      <c r="EZ256" s="239"/>
      <c r="FA256" s="564"/>
      <c r="FB256" s="564"/>
      <c r="FC256" s="564"/>
      <c r="FD256" s="564"/>
      <c r="FE256" s="564"/>
      <c r="FF256" s="564"/>
      <c r="FG256" s="564"/>
      <c r="FH256" s="564"/>
      <c r="FI256" s="564"/>
      <c r="FJ256" s="564"/>
      <c r="FK256" s="564"/>
      <c r="FL256" s="564"/>
      <c r="FM256" s="564"/>
      <c r="FN256" s="569"/>
      <c r="FO256" s="564"/>
      <c r="FP256" s="564"/>
      <c r="FQ256" s="564"/>
      <c r="FR256" s="564"/>
      <c r="FS256" s="564"/>
      <c r="FT256" s="564"/>
      <c r="FU256" s="564"/>
      <c r="FV256" s="564"/>
      <c r="FW256" s="564"/>
      <c r="FX256" s="564"/>
      <c r="FY256" s="564"/>
      <c r="FZ256" s="564"/>
      <c r="GA256" s="564"/>
      <c r="GB256" s="564"/>
      <c r="GC256" s="564"/>
      <c r="GD256" s="564"/>
      <c r="GE256" s="564"/>
      <c r="GF256" s="564"/>
      <c r="GG256" s="564"/>
      <c r="GH256" s="564"/>
      <c r="GI256" s="564"/>
      <c r="GJ256" s="564"/>
      <c r="GK256" s="564"/>
      <c r="GL256" s="564"/>
      <c r="GM256" s="564"/>
      <c r="GN256" s="564"/>
      <c r="GO256" s="564"/>
      <c r="GP256" s="564"/>
      <c r="GQ256" s="564"/>
      <c r="GR256" s="564"/>
      <c r="GS256" s="564"/>
      <c r="GT256" s="564"/>
      <c r="GU256" s="564"/>
      <c r="GV256" s="569"/>
      <c r="GW256" s="564"/>
      <c r="GX256" s="564"/>
      <c r="GY256" s="564"/>
      <c r="GZ256" s="564"/>
      <c r="HA256" s="564"/>
      <c r="HB256" s="564"/>
      <c r="HC256" s="564"/>
      <c r="HD256" s="564"/>
      <c r="HE256" s="564"/>
      <c r="HF256" s="564"/>
      <c r="HG256" s="564"/>
      <c r="HH256" s="564"/>
      <c r="HI256" s="564"/>
      <c r="HJ256" s="564"/>
      <c r="HK256" s="569"/>
      <c r="HL256" s="564" t="s">
        <v>34296</v>
      </c>
      <c r="HM256" s="564" t="s">
        <v>7</v>
      </c>
      <c r="HN256" s="564" t="s">
        <v>34297</v>
      </c>
      <c r="HO256" s="564" t="s">
        <v>34298</v>
      </c>
      <c r="HP256" s="564" t="s">
        <v>34299</v>
      </c>
      <c r="HQ256" s="564" t="s">
        <v>34300</v>
      </c>
      <c r="HR256" s="564" t="s">
        <v>34301</v>
      </c>
      <c r="HS256" s="564" t="s">
        <v>34302</v>
      </c>
      <c r="HT256" s="568" t="s">
        <v>34292</v>
      </c>
    </row>
    <row r="257" spans="1:228" ht="30.2" customHeight="1" x14ac:dyDescent="0.25">
      <c r="A257" s="759"/>
      <c r="B257" s="563">
        <v>244</v>
      </c>
      <c r="C257" s="563" t="s">
        <v>14731</v>
      </c>
      <c r="D257" s="564" t="s">
        <v>36040</v>
      </c>
      <c r="E257" s="564" t="s">
        <v>35998</v>
      </c>
      <c r="F257" s="564" t="s">
        <v>7</v>
      </c>
      <c r="G257" s="564" t="s">
        <v>36041</v>
      </c>
      <c r="H257" s="564">
        <v>1291.702</v>
      </c>
      <c r="I257" s="564">
        <v>2.120806</v>
      </c>
      <c r="J257" s="564" t="s">
        <v>29349</v>
      </c>
      <c r="K257" s="564" t="s">
        <v>4</v>
      </c>
      <c r="L257" s="564" t="s">
        <v>36042</v>
      </c>
      <c r="M257" s="564">
        <v>779867440</v>
      </c>
      <c r="N257" s="564" t="s">
        <v>5</v>
      </c>
      <c r="O257" s="564" t="s">
        <v>31438</v>
      </c>
      <c r="P257" s="564">
        <v>19</v>
      </c>
      <c r="Q257" s="564">
        <v>4</v>
      </c>
      <c r="R257" s="564" t="s">
        <v>7</v>
      </c>
      <c r="S257" s="564" t="s">
        <v>31588</v>
      </c>
      <c r="T257" s="564" t="s">
        <v>4</v>
      </c>
      <c r="U257" s="564" t="s">
        <v>2</v>
      </c>
      <c r="V257" s="564" t="s">
        <v>4</v>
      </c>
      <c r="W257" s="564" t="s">
        <v>4</v>
      </c>
      <c r="X257" s="564" t="s">
        <v>4</v>
      </c>
      <c r="Y257" s="564" t="s">
        <v>4</v>
      </c>
      <c r="Z257" s="565">
        <v>44568</v>
      </c>
      <c r="AA257" s="557" t="str">
        <f>IF(OR(U257="yes",Z257&gt;'SDG outcome'!$C$39),"yes","no")</f>
        <v>no</v>
      </c>
      <c r="AB257" s="565" t="str">
        <f t="shared" si="7"/>
        <v/>
      </c>
      <c r="AC257" s="566" t="str">
        <f>IF(AND('SMS p2'!AA255="no",AND(Z257&gt;='SDG outcome'!$B$28,Z257&lt;'SDG outcome'!$C$39)),Z257-'SDG outcome'!$B$28,"")</f>
        <v/>
      </c>
      <c r="AD257" s="564" t="s">
        <v>31572</v>
      </c>
      <c r="AE257" s="564" t="s">
        <v>4</v>
      </c>
      <c r="AF257" s="564" t="s">
        <v>7</v>
      </c>
      <c r="AG257" s="564" t="s">
        <v>36043</v>
      </c>
      <c r="AH257" s="564" t="s">
        <v>4</v>
      </c>
      <c r="AI257" s="564" t="s">
        <v>7</v>
      </c>
      <c r="AJ257" s="565">
        <v>45659</v>
      </c>
      <c r="AK257" s="564" t="s">
        <v>4</v>
      </c>
      <c r="AL257" s="564"/>
      <c r="AM257" s="564"/>
      <c r="AN257" s="564"/>
      <c r="AO257" s="564"/>
      <c r="AP257" s="564"/>
      <c r="AQ257" s="564"/>
      <c r="AR257" s="564"/>
      <c r="AS257" s="564"/>
      <c r="AT257" s="564"/>
      <c r="AU257" s="564"/>
      <c r="AV257" s="564"/>
      <c r="AW257" s="564"/>
      <c r="AX257" s="564"/>
      <c r="AY257" s="564"/>
      <c r="AZ257" s="564"/>
      <c r="BA257" s="564"/>
      <c r="BB257" s="564"/>
      <c r="BC257" s="564"/>
      <c r="BD257" s="564"/>
      <c r="BE257" s="564"/>
      <c r="BF257" s="564"/>
      <c r="BG257" s="564"/>
      <c r="BH257" s="564"/>
      <c r="BI257" s="564"/>
      <c r="BJ257" s="564"/>
      <c r="BK257" s="564"/>
      <c r="BL257" s="564"/>
      <c r="BM257" s="564"/>
      <c r="BN257" s="564"/>
      <c r="BO257" s="564"/>
      <c r="BP257" s="564"/>
      <c r="BQ257" s="564"/>
      <c r="BR257" s="567"/>
      <c r="BS257" s="564"/>
      <c r="BT257" s="564"/>
      <c r="BU257" s="564"/>
      <c r="BV257" s="564"/>
      <c r="BW257" s="567"/>
      <c r="BX257" s="564"/>
      <c r="BY257" s="564"/>
      <c r="BZ257" s="564"/>
      <c r="CA257" s="564"/>
      <c r="CB257" s="564"/>
      <c r="CC257" s="564"/>
      <c r="CD257" s="564"/>
      <c r="CE257" s="564"/>
      <c r="CF257" s="564"/>
      <c r="CG257" s="564"/>
      <c r="CH257" s="564"/>
      <c r="CI257" s="564"/>
      <c r="CJ257" s="564"/>
      <c r="CK257" s="564"/>
      <c r="CL257" s="564"/>
      <c r="CM257" s="564"/>
      <c r="CN257" s="564"/>
      <c r="CO257" s="564"/>
      <c r="CP257" s="564"/>
      <c r="CQ257" s="564"/>
      <c r="CR257" s="564"/>
      <c r="CS257" s="564"/>
      <c r="CT257" s="568"/>
      <c r="CU257" s="563"/>
      <c r="CV257" s="564"/>
      <c r="CW257" s="568"/>
      <c r="CX257" s="563"/>
      <c r="CY257" s="564"/>
      <c r="CZ257" s="568"/>
      <c r="DA257" s="563"/>
      <c r="DB257" s="564"/>
      <c r="DC257" s="564"/>
      <c r="DD257" s="564"/>
      <c r="DE257" s="564"/>
      <c r="DF257" s="564"/>
      <c r="DG257" s="564"/>
      <c r="DH257" s="564"/>
      <c r="DI257" s="564"/>
      <c r="DJ257" s="564"/>
      <c r="DK257" s="564"/>
      <c r="DL257" s="564"/>
      <c r="DM257" s="564"/>
      <c r="DN257" s="564"/>
      <c r="DO257" s="564"/>
      <c r="DP257" s="564"/>
      <c r="DQ257" s="564"/>
      <c r="DR257" s="564"/>
      <c r="DS257" s="569"/>
      <c r="DT257" s="564"/>
      <c r="DU257" s="569"/>
      <c r="DV257" s="568"/>
      <c r="DW257" s="563"/>
      <c r="DX257" s="564"/>
      <c r="DY257" s="564"/>
      <c r="DZ257" s="564"/>
      <c r="EA257" s="564"/>
      <c r="EB257" s="564"/>
      <c r="EC257" s="564"/>
      <c r="ED257" s="564"/>
      <c r="EE257" s="564"/>
      <c r="EF257" s="564"/>
      <c r="EG257" s="564"/>
      <c r="EH257" s="564"/>
      <c r="EI257" s="564"/>
      <c r="EJ257" s="564"/>
      <c r="EK257" s="564"/>
      <c r="EL257" s="564"/>
      <c r="EM257" s="564"/>
      <c r="EN257" s="564"/>
      <c r="EO257" s="564"/>
      <c r="EP257" s="564"/>
      <c r="EQ257" s="564"/>
      <c r="ER257" s="564"/>
      <c r="ES257" s="564"/>
      <c r="ET257" s="564"/>
      <c r="EU257" s="564"/>
      <c r="EV257" s="564"/>
      <c r="EW257" s="564"/>
      <c r="EX257" s="564"/>
      <c r="EY257" s="564"/>
      <c r="EZ257" s="239"/>
      <c r="FA257" s="564"/>
      <c r="FB257" s="564"/>
      <c r="FC257" s="564"/>
      <c r="FD257" s="564"/>
      <c r="FE257" s="564"/>
      <c r="FF257" s="564"/>
      <c r="FG257" s="564"/>
      <c r="FH257" s="564"/>
      <c r="FI257" s="564"/>
      <c r="FJ257" s="564"/>
      <c r="FK257" s="564"/>
      <c r="FL257" s="564"/>
      <c r="FM257" s="564"/>
      <c r="FN257" s="569"/>
      <c r="FO257" s="564"/>
      <c r="FP257" s="564"/>
      <c r="FQ257" s="564"/>
      <c r="FR257" s="564"/>
      <c r="FS257" s="564"/>
      <c r="FT257" s="564"/>
      <c r="FU257" s="564"/>
      <c r="FV257" s="564"/>
      <c r="FW257" s="564"/>
      <c r="FX257" s="564"/>
      <c r="FY257" s="564"/>
      <c r="FZ257" s="564"/>
      <c r="GA257" s="564"/>
      <c r="GB257" s="564"/>
      <c r="GC257" s="564"/>
      <c r="GD257" s="564"/>
      <c r="GE257" s="564"/>
      <c r="GF257" s="564"/>
      <c r="GG257" s="564"/>
      <c r="GH257" s="564"/>
      <c r="GI257" s="564"/>
      <c r="GJ257" s="564"/>
      <c r="GK257" s="564"/>
      <c r="GL257" s="564"/>
      <c r="GM257" s="564"/>
      <c r="GN257" s="564"/>
      <c r="GO257" s="564"/>
      <c r="GP257" s="564"/>
      <c r="GQ257" s="564"/>
      <c r="GR257" s="564"/>
      <c r="GS257" s="564"/>
      <c r="GT257" s="564"/>
      <c r="GU257" s="564"/>
      <c r="GV257" s="569"/>
      <c r="GW257" s="564"/>
      <c r="GX257" s="564"/>
      <c r="GY257" s="564"/>
      <c r="GZ257" s="564"/>
      <c r="HA257" s="564"/>
      <c r="HB257" s="564"/>
      <c r="HC257" s="564"/>
      <c r="HD257" s="564"/>
      <c r="HE257" s="564"/>
      <c r="HF257" s="564"/>
      <c r="HG257" s="564"/>
      <c r="HH257" s="564"/>
      <c r="HI257" s="564"/>
      <c r="HJ257" s="564"/>
      <c r="HK257" s="569"/>
      <c r="HL257" s="564" t="s">
        <v>36044</v>
      </c>
      <c r="HM257" s="564" t="s">
        <v>7</v>
      </c>
      <c r="HN257" s="564" t="s">
        <v>36045</v>
      </c>
      <c r="HO257" s="564" t="s">
        <v>16</v>
      </c>
      <c r="HP257" s="564" t="s">
        <v>36046</v>
      </c>
      <c r="HQ257" s="564" t="s">
        <v>16</v>
      </c>
      <c r="HR257" s="564" t="s">
        <v>36047</v>
      </c>
      <c r="HS257" s="564" t="s">
        <v>36048</v>
      </c>
      <c r="HT257" s="568" t="s">
        <v>36049</v>
      </c>
    </row>
    <row r="258" spans="1:228" ht="30.2" customHeight="1" x14ac:dyDescent="0.25">
      <c r="A258" s="759"/>
      <c r="B258" s="563">
        <v>50</v>
      </c>
      <c r="C258" s="563" t="s">
        <v>19274</v>
      </c>
      <c r="D258" s="564" t="s">
        <v>33913</v>
      </c>
      <c r="E258" s="564" t="s">
        <v>33859</v>
      </c>
      <c r="F258" s="564" t="s">
        <v>7</v>
      </c>
      <c r="G258" s="564" t="s">
        <v>33914</v>
      </c>
      <c r="H258" s="564">
        <v>1262.8073730000001</v>
      </c>
      <c r="I258" s="564">
        <v>4.282165</v>
      </c>
      <c r="J258" s="564" t="s">
        <v>29288</v>
      </c>
      <c r="K258" s="564" t="s">
        <v>4</v>
      </c>
      <c r="L258" s="564" t="s">
        <v>33915</v>
      </c>
      <c r="M258" s="564">
        <v>773894945</v>
      </c>
      <c r="N258" s="564" t="s">
        <v>3</v>
      </c>
      <c r="O258" s="564" t="s">
        <v>31598</v>
      </c>
      <c r="P258" s="564" t="s">
        <v>4</v>
      </c>
      <c r="Q258" s="564">
        <v>5</v>
      </c>
      <c r="R258" s="564" t="s">
        <v>7</v>
      </c>
      <c r="S258" s="564" t="s">
        <v>31562</v>
      </c>
      <c r="T258" s="564" t="s">
        <v>4</v>
      </c>
      <c r="U258" s="564" t="s">
        <v>2</v>
      </c>
      <c r="V258" s="564" t="s">
        <v>4</v>
      </c>
      <c r="W258" s="564" t="s">
        <v>4</v>
      </c>
      <c r="X258" s="564" t="s">
        <v>4</v>
      </c>
      <c r="Y258" s="564" t="s">
        <v>4</v>
      </c>
      <c r="Z258" s="565">
        <v>45139</v>
      </c>
      <c r="AA258" s="557" t="str">
        <f>IF(OR(U258="yes",Z258&gt;'SDG outcome'!$C$39),"yes","no")</f>
        <v>no</v>
      </c>
      <c r="AB258" s="565" t="str">
        <f t="shared" si="7"/>
        <v/>
      </c>
      <c r="AC258" s="566" t="str">
        <f>IF(AND('SMS p2'!AA62="no",AND(Z258&gt;='SDG outcome'!$B$28,Z258&lt;'SDG outcome'!$C$39)),Z258-'SDG outcome'!$B$28,"")</f>
        <v/>
      </c>
      <c r="AD258" s="564" t="s">
        <v>31572</v>
      </c>
      <c r="AE258" s="564" t="s">
        <v>4</v>
      </c>
      <c r="AF258" s="564" t="s">
        <v>7</v>
      </c>
      <c r="AG258" s="564" t="s">
        <v>33916</v>
      </c>
      <c r="AH258" s="564" t="s">
        <v>4</v>
      </c>
      <c r="AI258" s="564" t="s">
        <v>7</v>
      </c>
      <c r="AJ258" s="565">
        <v>45557</v>
      </c>
      <c r="AK258" s="564" t="s">
        <v>4</v>
      </c>
      <c r="AL258" s="564"/>
      <c r="AM258" s="564"/>
      <c r="AN258" s="564"/>
      <c r="AO258" s="564"/>
      <c r="AP258" s="564"/>
      <c r="AQ258" s="564"/>
      <c r="AR258" s="564"/>
      <c r="AS258" s="564"/>
      <c r="AT258" s="564"/>
      <c r="AU258" s="564"/>
      <c r="AV258" s="564"/>
      <c r="AW258" s="564"/>
      <c r="AX258" s="564"/>
      <c r="AY258" s="564"/>
      <c r="AZ258" s="564"/>
      <c r="BA258" s="564"/>
      <c r="BB258" s="564"/>
      <c r="BC258" s="564"/>
      <c r="BD258" s="564"/>
      <c r="BE258" s="564"/>
      <c r="BF258" s="564"/>
      <c r="BG258" s="564"/>
      <c r="BH258" s="564"/>
      <c r="BI258" s="564"/>
      <c r="BJ258" s="564"/>
      <c r="BK258" s="564"/>
      <c r="BL258" s="564"/>
      <c r="BM258" s="564"/>
      <c r="BN258" s="564"/>
      <c r="BO258" s="564"/>
      <c r="BP258" s="564"/>
      <c r="BQ258" s="564"/>
      <c r="BR258" s="567"/>
      <c r="BS258" s="564"/>
      <c r="BT258" s="564"/>
      <c r="BU258" s="564"/>
      <c r="BV258" s="564"/>
      <c r="BW258" s="567"/>
      <c r="BX258" s="564"/>
      <c r="BY258" s="564"/>
      <c r="BZ258" s="564"/>
      <c r="CA258" s="564"/>
      <c r="CB258" s="564"/>
      <c r="CC258" s="564"/>
      <c r="CD258" s="564"/>
      <c r="CE258" s="564"/>
      <c r="CF258" s="564"/>
      <c r="CG258" s="564"/>
      <c r="CH258" s="564"/>
      <c r="CI258" s="564"/>
      <c r="CJ258" s="564"/>
      <c r="CK258" s="564"/>
      <c r="CL258" s="564"/>
      <c r="CM258" s="564"/>
      <c r="CN258" s="564"/>
      <c r="CO258" s="564"/>
      <c r="CP258" s="564"/>
      <c r="CQ258" s="564"/>
      <c r="CR258" s="564"/>
      <c r="CS258" s="564"/>
      <c r="CT258" s="568"/>
      <c r="CU258" s="563"/>
      <c r="CV258" s="564"/>
      <c r="CW258" s="568"/>
      <c r="CX258" s="563"/>
      <c r="CY258" s="564"/>
      <c r="CZ258" s="568"/>
      <c r="DA258" s="563"/>
      <c r="DB258" s="564"/>
      <c r="DC258" s="564"/>
      <c r="DD258" s="564"/>
      <c r="DE258" s="564"/>
      <c r="DF258" s="564"/>
      <c r="DG258" s="564"/>
      <c r="DH258" s="564"/>
      <c r="DI258" s="564"/>
      <c r="DJ258" s="564"/>
      <c r="DK258" s="564"/>
      <c r="DL258" s="564"/>
      <c r="DM258" s="564"/>
      <c r="DN258" s="564"/>
      <c r="DO258" s="564"/>
      <c r="DP258" s="564"/>
      <c r="DQ258" s="564"/>
      <c r="DR258" s="564"/>
      <c r="DS258" s="569"/>
      <c r="DT258" s="564"/>
      <c r="DU258" s="569"/>
      <c r="DV258" s="568"/>
      <c r="DW258" s="563"/>
      <c r="DX258" s="564"/>
      <c r="DY258" s="564"/>
      <c r="DZ258" s="564"/>
      <c r="EA258" s="564"/>
      <c r="EB258" s="564"/>
      <c r="EC258" s="564"/>
      <c r="ED258" s="564"/>
      <c r="EE258" s="564"/>
      <c r="EF258" s="564"/>
      <c r="EG258" s="564"/>
      <c r="EH258" s="564"/>
      <c r="EI258" s="564"/>
      <c r="EJ258" s="564"/>
      <c r="EK258" s="564"/>
      <c r="EL258" s="564"/>
      <c r="EM258" s="564"/>
      <c r="EN258" s="564"/>
      <c r="EO258" s="564"/>
      <c r="EP258" s="564"/>
      <c r="EQ258" s="564"/>
      <c r="ER258" s="564"/>
      <c r="ES258" s="564"/>
      <c r="ET258" s="564"/>
      <c r="EU258" s="564"/>
      <c r="EV258" s="564"/>
      <c r="EW258" s="564"/>
      <c r="EX258" s="564"/>
      <c r="EY258" s="564"/>
      <c r="EZ258" s="239"/>
      <c r="FA258" s="564"/>
      <c r="FB258" s="564"/>
      <c r="FC258" s="564"/>
      <c r="FD258" s="564"/>
      <c r="FE258" s="564"/>
      <c r="FF258" s="564"/>
      <c r="FG258" s="564"/>
      <c r="FH258" s="564"/>
      <c r="FI258" s="564"/>
      <c r="FJ258" s="564"/>
      <c r="FK258" s="564"/>
      <c r="FL258" s="564"/>
      <c r="FM258" s="564"/>
      <c r="FN258" s="569"/>
      <c r="FO258" s="564"/>
      <c r="FP258" s="564"/>
      <c r="FQ258" s="564"/>
      <c r="FR258" s="564"/>
      <c r="FS258" s="564"/>
      <c r="FT258" s="564"/>
      <c r="FU258" s="564"/>
      <c r="FV258" s="564"/>
      <c r="FW258" s="564"/>
      <c r="FX258" s="564"/>
      <c r="FY258" s="564"/>
      <c r="FZ258" s="564"/>
      <c r="GA258" s="564"/>
      <c r="GB258" s="564"/>
      <c r="GC258" s="564"/>
      <c r="GD258" s="564"/>
      <c r="GE258" s="564"/>
      <c r="GF258" s="564"/>
      <c r="GG258" s="564"/>
      <c r="GH258" s="564"/>
      <c r="GI258" s="564"/>
      <c r="GJ258" s="564"/>
      <c r="GK258" s="564"/>
      <c r="GL258" s="564"/>
      <c r="GM258" s="564"/>
      <c r="GN258" s="564"/>
      <c r="GO258" s="564"/>
      <c r="GP258" s="564"/>
      <c r="GQ258" s="564"/>
      <c r="GR258" s="564"/>
      <c r="GS258" s="564"/>
      <c r="GT258" s="564"/>
      <c r="GU258" s="564"/>
      <c r="GV258" s="569"/>
      <c r="GW258" s="564"/>
      <c r="GX258" s="564"/>
      <c r="GY258" s="564"/>
      <c r="GZ258" s="564"/>
      <c r="HA258" s="564"/>
      <c r="HB258" s="564"/>
      <c r="HC258" s="564"/>
      <c r="HD258" s="564"/>
      <c r="HE258" s="564"/>
      <c r="HF258" s="564"/>
      <c r="HG258" s="564"/>
      <c r="HH258" s="564"/>
      <c r="HI258" s="564"/>
      <c r="HJ258" s="564"/>
      <c r="HK258" s="569"/>
      <c r="HL258" s="564" t="s">
        <v>33917</v>
      </c>
      <c r="HM258" s="564" t="s">
        <v>7</v>
      </c>
      <c r="HN258" s="564" t="s">
        <v>33918</v>
      </c>
      <c r="HO258" s="564" t="s">
        <v>33919</v>
      </c>
      <c r="HP258" s="564" t="s">
        <v>33920</v>
      </c>
      <c r="HQ258" s="564" t="s">
        <v>33921</v>
      </c>
      <c r="HR258" s="564" t="s">
        <v>33922</v>
      </c>
      <c r="HS258" s="564" t="s">
        <v>33923</v>
      </c>
      <c r="HT258" s="568" t="s">
        <v>33913</v>
      </c>
    </row>
    <row r="259" spans="1:228" ht="30.2" customHeight="1" x14ac:dyDescent="0.25">
      <c r="A259" s="759"/>
      <c r="B259" s="563">
        <v>78</v>
      </c>
      <c r="C259" s="563" t="s">
        <v>2201</v>
      </c>
      <c r="D259" s="564" t="s">
        <v>34260</v>
      </c>
      <c r="E259" s="564" t="s">
        <v>30002</v>
      </c>
      <c r="F259" s="564" t="s">
        <v>7</v>
      </c>
      <c r="G259" s="564" t="s">
        <v>34261</v>
      </c>
      <c r="H259" s="564">
        <v>1197.8</v>
      </c>
      <c r="I259" s="564">
        <v>5</v>
      </c>
      <c r="J259" s="564" t="s">
        <v>29288</v>
      </c>
      <c r="K259" s="564" t="s">
        <v>4</v>
      </c>
      <c r="L259" s="564" t="s">
        <v>34262</v>
      </c>
      <c r="M259" s="564">
        <v>785294579</v>
      </c>
      <c r="N259" s="564" t="s">
        <v>3</v>
      </c>
      <c r="O259" s="564" t="s">
        <v>31438</v>
      </c>
      <c r="P259" s="564">
        <v>54</v>
      </c>
      <c r="Q259" s="564">
        <v>8</v>
      </c>
      <c r="R259" s="564" t="s">
        <v>7</v>
      </c>
      <c r="S259" s="564" t="s">
        <v>31588</v>
      </c>
      <c r="T259" s="564" t="s">
        <v>4</v>
      </c>
      <c r="U259" s="564" t="s">
        <v>2</v>
      </c>
      <c r="V259" s="564" t="s">
        <v>4</v>
      </c>
      <c r="W259" s="564" t="s">
        <v>4</v>
      </c>
      <c r="X259" s="564" t="s">
        <v>4</v>
      </c>
      <c r="Y259" s="564" t="s">
        <v>4</v>
      </c>
      <c r="Z259" s="565">
        <v>44531</v>
      </c>
      <c r="AA259" s="557" t="str">
        <f>IF(OR(U259="yes",Z259&gt;'SDG outcome'!$C$39),"yes","no")</f>
        <v>no</v>
      </c>
      <c r="AB259" s="565" t="str">
        <f t="shared" si="7"/>
        <v/>
      </c>
      <c r="AC259" s="566" t="str">
        <f>IF(AND('SMS p2'!AA90="no",AND(Z259&gt;='SDG outcome'!$B$28,Z259&lt;'SDG outcome'!$C$39)),Z259-'SDG outcome'!$B$28,"")</f>
        <v/>
      </c>
      <c r="AD259" s="564" t="s">
        <v>31572</v>
      </c>
      <c r="AE259" s="564" t="s">
        <v>4</v>
      </c>
      <c r="AF259" s="564" t="s">
        <v>7</v>
      </c>
      <c r="AG259" s="564" t="s">
        <v>34263</v>
      </c>
      <c r="AH259" s="564" t="s">
        <v>4</v>
      </c>
      <c r="AI259" s="564" t="s">
        <v>7</v>
      </c>
      <c r="AJ259" s="565">
        <v>45598</v>
      </c>
      <c r="AK259" s="564" t="s">
        <v>4</v>
      </c>
      <c r="AL259" s="564"/>
      <c r="AM259" s="564"/>
      <c r="AN259" s="564"/>
      <c r="AO259" s="564"/>
      <c r="AP259" s="564"/>
      <c r="AQ259" s="564"/>
      <c r="AR259" s="564"/>
      <c r="AS259" s="564"/>
      <c r="AT259" s="564"/>
      <c r="AU259" s="564"/>
      <c r="AV259" s="564"/>
      <c r="AW259" s="564"/>
      <c r="AX259" s="564"/>
      <c r="AY259" s="564"/>
      <c r="AZ259" s="564"/>
      <c r="BA259" s="564"/>
      <c r="BB259" s="564"/>
      <c r="BC259" s="564"/>
      <c r="BD259" s="564"/>
      <c r="BE259" s="564"/>
      <c r="BF259" s="564"/>
      <c r="BG259" s="564"/>
      <c r="BH259" s="564"/>
      <c r="BI259" s="564"/>
      <c r="BJ259" s="564"/>
      <c r="BK259" s="564"/>
      <c r="BL259" s="564"/>
      <c r="BM259" s="564"/>
      <c r="BN259" s="564"/>
      <c r="BO259" s="564"/>
      <c r="BP259" s="564"/>
      <c r="BQ259" s="564"/>
      <c r="BR259" s="567"/>
      <c r="BS259" s="564"/>
      <c r="BT259" s="564"/>
      <c r="BU259" s="564"/>
      <c r="BV259" s="564"/>
      <c r="BW259" s="567"/>
      <c r="BX259" s="564"/>
      <c r="BY259" s="564"/>
      <c r="BZ259" s="564"/>
      <c r="CA259" s="564"/>
      <c r="CB259" s="564"/>
      <c r="CC259" s="564"/>
      <c r="CD259" s="564"/>
      <c r="CE259" s="564"/>
      <c r="CF259" s="564"/>
      <c r="CG259" s="564"/>
      <c r="CH259" s="564"/>
      <c r="CI259" s="564"/>
      <c r="CJ259" s="564"/>
      <c r="CK259" s="564"/>
      <c r="CL259" s="564"/>
      <c r="CM259" s="564"/>
      <c r="CN259" s="564"/>
      <c r="CO259" s="564"/>
      <c r="CP259" s="564"/>
      <c r="CQ259" s="564"/>
      <c r="CR259" s="564"/>
      <c r="CS259" s="564"/>
      <c r="CT259" s="568"/>
      <c r="CU259" s="563"/>
      <c r="CV259" s="564"/>
      <c r="CW259" s="568"/>
      <c r="CX259" s="563"/>
      <c r="CY259" s="564"/>
      <c r="CZ259" s="568"/>
      <c r="DA259" s="563"/>
      <c r="DB259" s="564"/>
      <c r="DC259" s="564"/>
      <c r="DD259" s="564"/>
      <c r="DE259" s="564"/>
      <c r="DF259" s="564"/>
      <c r="DG259" s="564"/>
      <c r="DH259" s="564"/>
      <c r="DI259" s="564"/>
      <c r="DJ259" s="564"/>
      <c r="DK259" s="564"/>
      <c r="DL259" s="564"/>
      <c r="DM259" s="564"/>
      <c r="DN259" s="564"/>
      <c r="DO259" s="564"/>
      <c r="DP259" s="564"/>
      <c r="DQ259" s="564"/>
      <c r="DR259" s="564"/>
      <c r="DS259" s="569"/>
      <c r="DT259" s="564"/>
      <c r="DU259" s="569"/>
      <c r="DV259" s="568"/>
      <c r="DW259" s="563"/>
      <c r="DX259" s="564"/>
      <c r="DY259" s="564"/>
      <c r="DZ259" s="564"/>
      <c r="EA259" s="564"/>
      <c r="EB259" s="564"/>
      <c r="EC259" s="564"/>
      <c r="ED259" s="564"/>
      <c r="EE259" s="564"/>
      <c r="EF259" s="564"/>
      <c r="EG259" s="564"/>
      <c r="EH259" s="564"/>
      <c r="EI259" s="564"/>
      <c r="EJ259" s="564"/>
      <c r="EK259" s="564"/>
      <c r="EL259" s="564"/>
      <c r="EM259" s="564"/>
      <c r="EN259" s="564"/>
      <c r="EO259" s="564"/>
      <c r="EP259" s="564"/>
      <c r="EQ259" s="564"/>
      <c r="ER259" s="564"/>
      <c r="ES259" s="564"/>
      <c r="ET259" s="564"/>
      <c r="EU259" s="564"/>
      <c r="EV259" s="564"/>
      <c r="EW259" s="564"/>
      <c r="EX259" s="564"/>
      <c r="EY259" s="564"/>
      <c r="EZ259" s="239"/>
      <c r="FA259" s="564"/>
      <c r="FB259" s="564"/>
      <c r="FC259" s="564"/>
      <c r="FD259" s="564"/>
      <c r="FE259" s="564"/>
      <c r="FF259" s="564"/>
      <c r="FG259" s="564"/>
      <c r="FH259" s="564"/>
      <c r="FI259" s="564"/>
      <c r="FJ259" s="564"/>
      <c r="FK259" s="564"/>
      <c r="FL259" s="564"/>
      <c r="FM259" s="564"/>
      <c r="FN259" s="569"/>
      <c r="FO259" s="564"/>
      <c r="FP259" s="564"/>
      <c r="FQ259" s="564"/>
      <c r="FR259" s="564"/>
      <c r="FS259" s="564"/>
      <c r="FT259" s="564"/>
      <c r="FU259" s="564"/>
      <c r="FV259" s="564"/>
      <c r="FW259" s="564"/>
      <c r="FX259" s="564"/>
      <c r="FY259" s="564"/>
      <c r="FZ259" s="564"/>
      <c r="GA259" s="564"/>
      <c r="GB259" s="564"/>
      <c r="GC259" s="564"/>
      <c r="GD259" s="564"/>
      <c r="GE259" s="564"/>
      <c r="GF259" s="564"/>
      <c r="GG259" s="564"/>
      <c r="GH259" s="564"/>
      <c r="GI259" s="564"/>
      <c r="GJ259" s="564"/>
      <c r="GK259" s="564"/>
      <c r="GL259" s="564"/>
      <c r="GM259" s="564"/>
      <c r="GN259" s="564"/>
      <c r="GO259" s="564"/>
      <c r="GP259" s="564"/>
      <c r="GQ259" s="564"/>
      <c r="GR259" s="564"/>
      <c r="GS259" s="564"/>
      <c r="GT259" s="564"/>
      <c r="GU259" s="564"/>
      <c r="GV259" s="569"/>
      <c r="GW259" s="564"/>
      <c r="GX259" s="564"/>
      <c r="GY259" s="564"/>
      <c r="GZ259" s="564"/>
      <c r="HA259" s="564"/>
      <c r="HB259" s="564"/>
      <c r="HC259" s="564"/>
      <c r="HD259" s="564"/>
      <c r="HE259" s="564"/>
      <c r="HF259" s="564"/>
      <c r="HG259" s="564"/>
      <c r="HH259" s="564"/>
      <c r="HI259" s="564"/>
      <c r="HJ259" s="564"/>
      <c r="HK259" s="569"/>
      <c r="HL259" s="564" t="s">
        <v>34264</v>
      </c>
      <c r="HM259" s="564" t="s">
        <v>7</v>
      </c>
      <c r="HN259" s="564" t="s">
        <v>34265</v>
      </c>
      <c r="HO259" s="564" t="s">
        <v>16</v>
      </c>
      <c r="HP259" s="564" t="s">
        <v>34266</v>
      </c>
      <c r="HQ259" s="564" t="s">
        <v>34267</v>
      </c>
      <c r="HR259" s="564" t="s">
        <v>34268</v>
      </c>
      <c r="HS259" s="564" t="s">
        <v>34269</v>
      </c>
      <c r="HT259" s="568" t="s">
        <v>34260</v>
      </c>
    </row>
    <row r="260" spans="1:228" ht="30.2" customHeight="1" x14ac:dyDescent="0.25">
      <c r="A260" s="759"/>
      <c r="B260" s="563">
        <v>143</v>
      </c>
      <c r="C260" s="563" t="s">
        <v>7546</v>
      </c>
      <c r="D260" s="564" t="s">
        <v>34966</v>
      </c>
      <c r="E260" s="564" t="s">
        <v>83</v>
      </c>
      <c r="F260" s="564" t="s">
        <v>7</v>
      </c>
      <c r="G260" s="564" t="s">
        <v>34967</v>
      </c>
      <c r="H260" s="564">
        <v>1153.5350000000001</v>
      </c>
      <c r="I260" s="564">
        <v>1.057628</v>
      </c>
      <c r="J260" s="564" t="s">
        <v>29288</v>
      </c>
      <c r="K260" s="564" t="s">
        <v>4</v>
      </c>
      <c r="L260" s="564" t="s">
        <v>34968</v>
      </c>
      <c r="M260" s="564">
        <v>772413576</v>
      </c>
      <c r="N260" s="564" t="s">
        <v>3</v>
      </c>
      <c r="O260" s="564" t="s">
        <v>31598</v>
      </c>
      <c r="P260" s="564" t="s">
        <v>4</v>
      </c>
      <c r="Q260" s="564">
        <v>4</v>
      </c>
      <c r="R260" s="564" t="s">
        <v>7</v>
      </c>
      <c r="S260" s="564" t="s">
        <v>31535</v>
      </c>
      <c r="T260" s="564" t="s">
        <v>4</v>
      </c>
      <c r="U260" s="564" t="s">
        <v>2</v>
      </c>
      <c r="V260" s="564" t="s">
        <v>4</v>
      </c>
      <c r="W260" s="564" t="s">
        <v>4</v>
      </c>
      <c r="X260" s="564" t="s">
        <v>4</v>
      </c>
      <c r="Y260" s="564" t="s">
        <v>4</v>
      </c>
      <c r="Z260" s="565">
        <v>45190</v>
      </c>
      <c r="AA260" s="557" t="str">
        <f>IF(OR(U260="yes",Z260&gt;'SDG outcome'!$C$39),"yes","no")</f>
        <v>no</v>
      </c>
      <c r="AB260" s="565" t="str">
        <f t="shared" si="7"/>
        <v/>
      </c>
      <c r="AC260" s="566">
        <f>IF(AND('SMS p2'!AA155="no",AND(Z260&gt;='SDG outcome'!$B$28,Z260&lt;'SDG outcome'!$C$39)),Z260-'SDG outcome'!$B$28,"")</f>
        <v>173</v>
      </c>
      <c r="AD260" s="564" t="s">
        <v>31572</v>
      </c>
      <c r="AE260" s="564" t="s">
        <v>4</v>
      </c>
      <c r="AF260" s="564" t="s">
        <v>7</v>
      </c>
      <c r="AG260" s="564" t="s">
        <v>34969</v>
      </c>
      <c r="AH260" s="564" t="s">
        <v>4</v>
      </c>
      <c r="AI260" s="564" t="s">
        <v>2</v>
      </c>
      <c r="AJ260" s="564" t="s">
        <v>4</v>
      </c>
      <c r="AK260" s="564" t="s">
        <v>4</v>
      </c>
      <c r="AL260" s="564"/>
      <c r="AM260" s="564"/>
      <c r="AN260" s="564"/>
      <c r="AO260" s="564"/>
      <c r="AP260" s="564"/>
      <c r="AQ260" s="564"/>
      <c r="AR260" s="564"/>
      <c r="AS260" s="564"/>
      <c r="AT260" s="564"/>
      <c r="AU260" s="564"/>
      <c r="AV260" s="564"/>
      <c r="AW260" s="564"/>
      <c r="AX260" s="564"/>
      <c r="AY260" s="564"/>
      <c r="AZ260" s="564"/>
      <c r="BA260" s="564"/>
      <c r="BB260" s="564"/>
      <c r="BC260" s="564"/>
      <c r="BD260" s="564"/>
      <c r="BE260" s="564"/>
      <c r="BF260" s="564"/>
      <c r="BG260" s="564"/>
      <c r="BH260" s="564"/>
      <c r="BI260" s="564"/>
      <c r="BJ260" s="564"/>
      <c r="BK260" s="564"/>
      <c r="BL260" s="564"/>
      <c r="BM260" s="564"/>
      <c r="BN260" s="564"/>
      <c r="BO260" s="564"/>
      <c r="BP260" s="564"/>
      <c r="BQ260" s="564"/>
      <c r="BR260" s="567"/>
      <c r="BS260" s="564"/>
      <c r="BT260" s="564"/>
      <c r="BU260" s="564"/>
      <c r="BV260" s="564"/>
      <c r="BW260" s="567"/>
      <c r="BX260" s="564"/>
      <c r="BY260" s="564"/>
      <c r="BZ260" s="564"/>
      <c r="CA260" s="564"/>
      <c r="CB260" s="564"/>
      <c r="CC260" s="564"/>
      <c r="CD260" s="564"/>
      <c r="CE260" s="564"/>
      <c r="CF260" s="564"/>
      <c r="CG260" s="564"/>
      <c r="CH260" s="564"/>
      <c r="CI260" s="564"/>
      <c r="CJ260" s="564"/>
      <c r="CK260" s="564"/>
      <c r="CL260" s="564"/>
      <c r="CM260" s="564"/>
      <c r="CN260" s="564"/>
      <c r="CO260" s="564"/>
      <c r="CP260" s="564"/>
      <c r="CQ260" s="564"/>
      <c r="CR260" s="564"/>
      <c r="CS260" s="564"/>
      <c r="CT260" s="568"/>
      <c r="CU260" s="563"/>
      <c r="CV260" s="564"/>
      <c r="CW260" s="568"/>
      <c r="CX260" s="563"/>
      <c r="CY260" s="564"/>
      <c r="CZ260" s="568"/>
      <c r="DA260" s="563"/>
      <c r="DB260" s="564"/>
      <c r="DC260" s="564"/>
      <c r="DD260" s="564"/>
      <c r="DE260" s="564"/>
      <c r="DF260" s="564"/>
      <c r="DG260" s="564"/>
      <c r="DH260" s="564"/>
      <c r="DI260" s="564"/>
      <c r="DJ260" s="564"/>
      <c r="DK260" s="564"/>
      <c r="DL260" s="564"/>
      <c r="DM260" s="564"/>
      <c r="DN260" s="564"/>
      <c r="DO260" s="564"/>
      <c r="DP260" s="564"/>
      <c r="DQ260" s="564"/>
      <c r="DR260" s="564"/>
      <c r="DS260" s="569"/>
      <c r="DT260" s="564"/>
      <c r="DU260" s="569"/>
      <c r="DV260" s="568"/>
      <c r="DW260" s="563"/>
      <c r="DX260" s="564"/>
      <c r="DY260" s="564"/>
      <c r="DZ260" s="564"/>
      <c r="EA260" s="564"/>
      <c r="EB260" s="564"/>
      <c r="EC260" s="564"/>
      <c r="ED260" s="564"/>
      <c r="EE260" s="564"/>
      <c r="EF260" s="564"/>
      <c r="EG260" s="564"/>
      <c r="EH260" s="564"/>
      <c r="EI260" s="564"/>
      <c r="EJ260" s="564"/>
      <c r="EK260" s="564"/>
      <c r="EL260" s="564"/>
      <c r="EM260" s="564"/>
      <c r="EN260" s="564"/>
      <c r="EO260" s="564"/>
      <c r="EP260" s="564"/>
      <c r="EQ260" s="564"/>
      <c r="ER260" s="564"/>
      <c r="ES260" s="564"/>
      <c r="ET260" s="564"/>
      <c r="EU260" s="564"/>
      <c r="EV260" s="564"/>
      <c r="EW260" s="564"/>
      <c r="EX260" s="564"/>
      <c r="EY260" s="564"/>
      <c r="EZ260" s="239"/>
      <c r="FA260" s="564"/>
      <c r="FB260" s="564"/>
      <c r="FC260" s="564"/>
      <c r="FD260" s="564"/>
      <c r="FE260" s="564"/>
      <c r="FF260" s="564"/>
      <c r="FG260" s="564"/>
      <c r="FH260" s="564"/>
      <c r="FI260" s="564"/>
      <c r="FJ260" s="564"/>
      <c r="FK260" s="564"/>
      <c r="FL260" s="564"/>
      <c r="FM260" s="564"/>
      <c r="FN260" s="569"/>
      <c r="FO260" s="564"/>
      <c r="FP260" s="564"/>
      <c r="FQ260" s="564"/>
      <c r="FR260" s="564"/>
      <c r="FS260" s="564"/>
      <c r="FT260" s="564"/>
      <c r="FU260" s="564"/>
      <c r="FV260" s="564"/>
      <c r="FW260" s="564"/>
      <c r="FX260" s="564"/>
      <c r="FY260" s="564"/>
      <c r="FZ260" s="564"/>
      <c r="GA260" s="564"/>
      <c r="GB260" s="564"/>
      <c r="GC260" s="564"/>
      <c r="GD260" s="564"/>
      <c r="GE260" s="564"/>
      <c r="GF260" s="564"/>
      <c r="GG260" s="564"/>
      <c r="GH260" s="564"/>
      <c r="GI260" s="564"/>
      <c r="GJ260" s="564"/>
      <c r="GK260" s="564"/>
      <c r="GL260" s="564"/>
      <c r="GM260" s="564"/>
      <c r="GN260" s="564"/>
      <c r="GO260" s="564"/>
      <c r="GP260" s="564"/>
      <c r="GQ260" s="564"/>
      <c r="GR260" s="564"/>
      <c r="GS260" s="564"/>
      <c r="GT260" s="564"/>
      <c r="GU260" s="564"/>
      <c r="GV260" s="569"/>
      <c r="GW260" s="564"/>
      <c r="GX260" s="564"/>
      <c r="GY260" s="564"/>
      <c r="GZ260" s="564"/>
      <c r="HA260" s="564"/>
      <c r="HB260" s="564"/>
      <c r="HC260" s="564"/>
      <c r="HD260" s="564"/>
      <c r="HE260" s="564"/>
      <c r="HF260" s="564"/>
      <c r="HG260" s="564"/>
      <c r="HH260" s="564"/>
      <c r="HI260" s="564"/>
      <c r="HJ260" s="564"/>
      <c r="HK260" s="569"/>
      <c r="HL260" s="564" t="s">
        <v>34970</v>
      </c>
      <c r="HM260" s="564" t="s">
        <v>2</v>
      </c>
      <c r="HN260" s="564" t="s">
        <v>4</v>
      </c>
      <c r="HO260" s="564" t="s">
        <v>34971</v>
      </c>
      <c r="HP260" s="564" t="s">
        <v>34972</v>
      </c>
      <c r="HQ260" s="564" t="s">
        <v>34973</v>
      </c>
      <c r="HR260" s="564" t="s">
        <v>34974</v>
      </c>
      <c r="HS260" s="564" t="s">
        <v>16</v>
      </c>
      <c r="HT260" s="568" t="s">
        <v>34966</v>
      </c>
    </row>
    <row r="261" spans="1:228" ht="30.2" customHeight="1" x14ac:dyDescent="0.25">
      <c r="A261" s="759"/>
      <c r="B261" s="563">
        <v>241</v>
      </c>
      <c r="C261" s="563" t="s">
        <v>15388</v>
      </c>
      <c r="D261" s="564" t="s">
        <v>36008</v>
      </c>
      <c r="E261" s="564" t="s">
        <v>35998</v>
      </c>
      <c r="F261" s="564" t="s">
        <v>7</v>
      </c>
      <c r="G261" s="564" t="s">
        <v>36009</v>
      </c>
      <c r="H261" s="564">
        <v>0</v>
      </c>
      <c r="I261" s="564">
        <v>3299.9989999999998</v>
      </c>
      <c r="J261" s="564" t="s">
        <v>29288</v>
      </c>
      <c r="K261" s="564" t="s">
        <v>4</v>
      </c>
      <c r="L261" s="564" t="s">
        <v>15389</v>
      </c>
      <c r="M261" s="564">
        <v>783363196</v>
      </c>
      <c r="N261" s="564" t="s">
        <v>3</v>
      </c>
      <c r="O261" s="564" t="s">
        <v>31438</v>
      </c>
      <c r="P261" s="564">
        <v>33</v>
      </c>
      <c r="Q261" s="564">
        <v>10</v>
      </c>
      <c r="R261" s="564" t="s">
        <v>7</v>
      </c>
      <c r="S261" s="564" t="s">
        <v>31535</v>
      </c>
      <c r="T261" s="564" t="s">
        <v>4</v>
      </c>
      <c r="U261" s="564" t="s">
        <v>2</v>
      </c>
      <c r="V261" s="564" t="s">
        <v>4</v>
      </c>
      <c r="W261" s="564" t="s">
        <v>4</v>
      </c>
      <c r="X261" s="564" t="s">
        <v>4</v>
      </c>
      <c r="Y261" s="564" t="s">
        <v>4</v>
      </c>
      <c r="Z261" s="565">
        <v>43870</v>
      </c>
      <c r="AA261" s="557" t="str">
        <f>IF(OR(U261="yes",Z261&gt;'SDG outcome'!$C$39),"yes","no")</f>
        <v>no</v>
      </c>
      <c r="AB261" s="565" t="str">
        <f t="shared" si="7"/>
        <v/>
      </c>
      <c r="AC261" s="566" t="str">
        <f>IF(AND('SMS p2'!AA252="no",AND(Z261&gt;='SDG outcome'!$B$28,Z261&lt;'SDG outcome'!$C$39)),Z261-'SDG outcome'!$B$28,"")</f>
        <v/>
      </c>
      <c r="AD261" s="564" t="s">
        <v>31572</v>
      </c>
      <c r="AE261" s="564" t="s">
        <v>4</v>
      </c>
      <c r="AF261" s="564" t="s">
        <v>7</v>
      </c>
      <c r="AG261" s="564" t="s">
        <v>36010</v>
      </c>
      <c r="AH261" s="564" t="s">
        <v>4</v>
      </c>
      <c r="AI261" s="564" t="s">
        <v>7</v>
      </c>
      <c r="AJ261" s="565">
        <v>45617</v>
      </c>
      <c r="AK261" s="564" t="s">
        <v>4</v>
      </c>
      <c r="AL261" s="564"/>
      <c r="AM261" s="564"/>
      <c r="AN261" s="564"/>
      <c r="AO261" s="564"/>
      <c r="AP261" s="564"/>
      <c r="AQ261" s="564"/>
      <c r="AR261" s="564"/>
      <c r="AS261" s="564"/>
      <c r="AT261" s="564"/>
      <c r="AU261" s="564"/>
      <c r="AV261" s="564"/>
      <c r="AW261" s="564"/>
      <c r="AX261" s="564"/>
      <c r="AY261" s="564"/>
      <c r="AZ261" s="564"/>
      <c r="BA261" s="564"/>
      <c r="BB261" s="564"/>
      <c r="BC261" s="564"/>
      <c r="BD261" s="564"/>
      <c r="BE261" s="564"/>
      <c r="BF261" s="564"/>
      <c r="BG261" s="564"/>
      <c r="BH261" s="564"/>
      <c r="BI261" s="564"/>
      <c r="BJ261" s="564"/>
      <c r="BK261" s="564"/>
      <c r="BL261" s="564"/>
      <c r="BM261" s="564"/>
      <c r="BN261" s="564"/>
      <c r="BO261" s="564"/>
      <c r="BP261" s="564"/>
      <c r="BQ261" s="564"/>
      <c r="BR261" s="567"/>
      <c r="BS261" s="564"/>
      <c r="BT261" s="564"/>
      <c r="BU261" s="564"/>
      <c r="BV261" s="564"/>
      <c r="BW261" s="567"/>
      <c r="BX261" s="564"/>
      <c r="BY261" s="564"/>
      <c r="BZ261" s="564"/>
      <c r="CA261" s="564"/>
      <c r="CB261" s="564"/>
      <c r="CC261" s="564"/>
      <c r="CD261" s="564"/>
      <c r="CE261" s="564"/>
      <c r="CF261" s="564"/>
      <c r="CG261" s="564"/>
      <c r="CH261" s="564"/>
      <c r="CI261" s="564"/>
      <c r="CJ261" s="564"/>
      <c r="CK261" s="564"/>
      <c r="CL261" s="564"/>
      <c r="CM261" s="564"/>
      <c r="CN261" s="564"/>
      <c r="CO261" s="564"/>
      <c r="CP261" s="564"/>
      <c r="CQ261" s="564"/>
      <c r="CR261" s="564"/>
      <c r="CS261" s="564"/>
      <c r="CT261" s="568"/>
      <c r="CU261" s="563"/>
      <c r="CV261" s="564"/>
      <c r="CW261" s="568"/>
      <c r="CX261" s="563"/>
      <c r="CY261" s="564"/>
      <c r="CZ261" s="568"/>
      <c r="DA261" s="563"/>
      <c r="DB261" s="564"/>
      <c r="DC261" s="564"/>
      <c r="DD261" s="564"/>
      <c r="DE261" s="564"/>
      <c r="DF261" s="564"/>
      <c r="DG261" s="564"/>
      <c r="DH261" s="564"/>
      <c r="DI261" s="564"/>
      <c r="DJ261" s="564"/>
      <c r="DK261" s="564"/>
      <c r="DL261" s="564"/>
      <c r="DM261" s="564"/>
      <c r="DN261" s="564"/>
      <c r="DO261" s="564"/>
      <c r="DP261" s="564"/>
      <c r="DQ261" s="564"/>
      <c r="DR261" s="564"/>
      <c r="DS261" s="569"/>
      <c r="DT261" s="564"/>
      <c r="DU261" s="569"/>
      <c r="DV261" s="568"/>
      <c r="DW261" s="563"/>
      <c r="DX261" s="564"/>
      <c r="DY261" s="564"/>
      <c r="DZ261" s="564"/>
      <c r="EA261" s="564"/>
      <c r="EB261" s="564"/>
      <c r="EC261" s="564"/>
      <c r="ED261" s="564"/>
      <c r="EE261" s="564"/>
      <c r="EF261" s="564"/>
      <c r="EG261" s="564"/>
      <c r="EH261" s="564"/>
      <c r="EI261" s="564"/>
      <c r="EJ261" s="564"/>
      <c r="EK261" s="564"/>
      <c r="EL261" s="564"/>
      <c r="EM261" s="564"/>
      <c r="EN261" s="564"/>
      <c r="EO261" s="564"/>
      <c r="EP261" s="564"/>
      <c r="EQ261" s="564"/>
      <c r="ER261" s="564"/>
      <c r="ES261" s="564"/>
      <c r="ET261" s="564"/>
      <c r="EU261" s="564"/>
      <c r="EV261" s="564"/>
      <c r="EW261" s="564"/>
      <c r="EX261" s="564"/>
      <c r="EY261" s="564"/>
      <c r="EZ261" s="239"/>
      <c r="FA261" s="564"/>
      <c r="FB261" s="564"/>
      <c r="FC261" s="564"/>
      <c r="FD261" s="564"/>
      <c r="FE261" s="564"/>
      <c r="FF261" s="564"/>
      <c r="FG261" s="564"/>
      <c r="FH261" s="564"/>
      <c r="FI261" s="564"/>
      <c r="FJ261" s="564"/>
      <c r="FK261" s="564"/>
      <c r="FL261" s="564"/>
      <c r="FM261" s="564"/>
      <c r="FN261" s="569"/>
      <c r="FO261" s="564"/>
      <c r="FP261" s="564"/>
      <c r="FQ261" s="564"/>
      <c r="FR261" s="564"/>
      <c r="FS261" s="564"/>
      <c r="FT261" s="564"/>
      <c r="FU261" s="564"/>
      <c r="FV261" s="564"/>
      <c r="FW261" s="564"/>
      <c r="FX261" s="564"/>
      <c r="FY261" s="564"/>
      <c r="FZ261" s="564"/>
      <c r="GA261" s="564"/>
      <c r="GB261" s="564"/>
      <c r="GC261" s="564"/>
      <c r="GD261" s="564"/>
      <c r="GE261" s="564"/>
      <c r="GF261" s="564"/>
      <c r="GG261" s="564"/>
      <c r="GH261" s="564"/>
      <c r="GI261" s="564"/>
      <c r="GJ261" s="564"/>
      <c r="GK261" s="564"/>
      <c r="GL261" s="564"/>
      <c r="GM261" s="564"/>
      <c r="GN261" s="564"/>
      <c r="GO261" s="564"/>
      <c r="GP261" s="564"/>
      <c r="GQ261" s="564"/>
      <c r="GR261" s="564"/>
      <c r="GS261" s="564"/>
      <c r="GT261" s="564"/>
      <c r="GU261" s="564"/>
      <c r="GV261" s="569"/>
      <c r="GW261" s="564"/>
      <c r="GX261" s="564"/>
      <c r="GY261" s="564"/>
      <c r="GZ261" s="564"/>
      <c r="HA261" s="564"/>
      <c r="HB261" s="564"/>
      <c r="HC261" s="564"/>
      <c r="HD261" s="564"/>
      <c r="HE261" s="564"/>
      <c r="HF261" s="564"/>
      <c r="HG261" s="564"/>
      <c r="HH261" s="564"/>
      <c r="HI261" s="564"/>
      <c r="HJ261" s="564"/>
      <c r="HK261" s="569"/>
      <c r="HL261" s="564" t="s">
        <v>36011</v>
      </c>
      <c r="HM261" s="564" t="s">
        <v>7</v>
      </c>
      <c r="HN261" s="564" t="s">
        <v>36012</v>
      </c>
      <c r="HO261" s="564" t="s">
        <v>36013</v>
      </c>
      <c r="HP261" s="564" t="s">
        <v>36014</v>
      </c>
      <c r="HQ261" s="564" t="s">
        <v>36015</v>
      </c>
      <c r="HR261" s="564" t="s">
        <v>36016</v>
      </c>
      <c r="HS261" s="564" t="s">
        <v>36017</v>
      </c>
      <c r="HT261" s="568" t="s">
        <v>36018</v>
      </c>
    </row>
    <row r="262" spans="1:228" ht="30.2" customHeight="1" x14ac:dyDescent="0.25">
      <c r="A262" s="759"/>
      <c r="B262" s="563">
        <v>238</v>
      </c>
      <c r="C262" s="563" t="s">
        <v>22997</v>
      </c>
      <c r="D262" s="564" t="s">
        <v>35976</v>
      </c>
      <c r="E262" s="564" t="s">
        <v>30866</v>
      </c>
      <c r="F262" s="564" t="s">
        <v>7</v>
      </c>
      <c r="G262" s="564" t="s">
        <v>35977</v>
      </c>
      <c r="H262" s="564">
        <v>1478.4</v>
      </c>
      <c r="I262" s="564">
        <v>5</v>
      </c>
      <c r="J262" s="564" t="s">
        <v>29288</v>
      </c>
      <c r="K262" s="564" t="s">
        <v>4</v>
      </c>
      <c r="L262" s="564" t="s">
        <v>35978</v>
      </c>
      <c r="M262" s="564">
        <v>777605872</v>
      </c>
      <c r="N262" s="564" t="s">
        <v>3</v>
      </c>
      <c r="O262" s="564" t="s">
        <v>31590</v>
      </c>
      <c r="P262" s="564" t="s">
        <v>4</v>
      </c>
      <c r="Q262" s="564">
        <v>6</v>
      </c>
      <c r="R262" s="564" t="s">
        <v>7</v>
      </c>
      <c r="S262" s="564" t="s">
        <v>31549</v>
      </c>
      <c r="T262" s="564" t="s">
        <v>4</v>
      </c>
      <c r="U262" s="564" t="s">
        <v>2</v>
      </c>
      <c r="V262" s="564" t="s">
        <v>4</v>
      </c>
      <c r="W262" s="564" t="s">
        <v>4</v>
      </c>
      <c r="X262" s="564" t="s">
        <v>4</v>
      </c>
      <c r="Y262" s="564" t="s">
        <v>4</v>
      </c>
      <c r="Z262" s="565">
        <v>45282</v>
      </c>
      <c r="AA262" s="557" t="str">
        <f>IF(OR(U262="yes",Z262&gt;'SDG outcome'!$C$39),"yes","no")</f>
        <v>no</v>
      </c>
      <c r="AB262" s="565" t="str">
        <f t="shared" si="7"/>
        <v/>
      </c>
      <c r="AC262" s="566">
        <f>IF(AND('SMS p2'!AA249="no",AND(Z262&gt;='SDG outcome'!$B$28,Z262&lt;'SDG outcome'!$C$39)),Z262-'SDG outcome'!$B$28,"")</f>
        <v>265</v>
      </c>
      <c r="AD262" s="564" t="s">
        <v>31572</v>
      </c>
      <c r="AE262" s="564" t="s">
        <v>4</v>
      </c>
      <c r="AF262" s="564" t="s">
        <v>7</v>
      </c>
      <c r="AG262" s="564" t="s">
        <v>35979</v>
      </c>
      <c r="AH262" s="564" t="s">
        <v>4</v>
      </c>
      <c r="AI262" s="564" t="s">
        <v>2</v>
      </c>
      <c r="AJ262" s="564" t="s">
        <v>4</v>
      </c>
      <c r="AK262" s="564" t="s">
        <v>4</v>
      </c>
      <c r="AL262" s="564"/>
      <c r="AM262" s="564"/>
      <c r="AN262" s="564"/>
      <c r="AO262" s="564"/>
      <c r="AP262" s="564"/>
      <c r="AQ262" s="564"/>
      <c r="AR262" s="564"/>
      <c r="AS262" s="564"/>
      <c r="AT262" s="564"/>
      <c r="AU262" s="564"/>
      <c r="AV262" s="564"/>
      <c r="AW262" s="564"/>
      <c r="AX262" s="564"/>
      <c r="AY262" s="564"/>
      <c r="AZ262" s="564"/>
      <c r="BA262" s="564"/>
      <c r="BB262" s="564"/>
      <c r="BC262" s="564"/>
      <c r="BD262" s="564"/>
      <c r="BE262" s="564"/>
      <c r="BF262" s="564"/>
      <c r="BG262" s="564"/>
      <c r="BH262" s="564"/>
      <c r="BI262" s="564"/>
      <c r="BJ262" s="564"/>
      <c r="BK262" s="564"/>
      <c r="BL262" s="564"/>
      <c r="BM262" s="564"/>
      <c r="BN262" s="564"/>
      <c r="BO262" s="564"/>
      <c r="BP262" s="564"/>
      <c r="BQ262" s="564"/>
      <c r="BR262" s="567"/>
      <c r="BS262" s="564"/>
      <c r="BT262" s="564"/>
      <c r="BU262" s="564"/>
      <c r="BV262" s="564"/>
      <c r="BW262" s="567"/>
      <c r="BX262" s="564"/>
      <c r="BY262" s="564"/>
      <c r="BZ262" s="564"/>
      <c r="CA262" s="564"/>
      <c r="CB262" s="564"/>
      <c r="CC262" s="564"/>
      <c r="CD262" s="564"/>
      <c r="CE262" s="564"/>
      <c r="CF262" s="564"/>
      <c r="CG262" s="564"/>
      <c r="CH262" s="564"/>
      <c r="CI262" s="564"/>
      <c r="CJ262" s="564"/>
      <c r="CK262" s="564"/>
      <c r="CL262" s="564"/>
      <c r="CM262" s="564"/>
      <c r="CN262" s="564"/>
      <c r="CO262" s="564"/>
      <c r="CP262" s="564"/>
      <c r="CQ262" s="564"/>
      <c r="CR262" s="564"/>
      <c r="CS262" s="564"/>
      <c r="CT262" s="568"/>
      <c r="CU262" s="563"/>
      <c r="CV262" s="564"/>
      <c r="CW262" s="568"/>
      <c r="CX262" s="563"/>
      <c r="CY262" s="564"/>
      <c r="CZ262" s="568"/>
      <c r="DA262" s="563"/>
      <c r="DB262" s="564"/>
      <c r="DC262" s="564"/>
      <c r="DD262" s="564"/>
      <c r="DE262" s="564"/>
      <c r="DF262" s="564"/>
      <c r="DG262" s="564"/>
      <c r="DH262" s="564"/>
      <c r="DI262" s="564"/>
      <c r="DJ262" s="564"/>
      <c r="DK262" s="564"/>
      <c r="DL262" s="564"/>
      <c r="DM262" s="564"/>
      <c r="DN262" s="564"/>
      <c r="DO262" s="564"/>
      <c r="DP262" s="564"/>
      <c r="DQ262" s="564"/>
      <c r="DR262" s="564"/>
      <c r="DS262" s="569"/>
      <c r="DT262" s="564"/>
      <c r="DU262" s="569"/>
      <c r="DV262" s="568"/>
      <c r="DW262" s="563"/>
      <c r="DX262" s="564"/>
      <c r="DY262" s="564"/>
      <c r="DZ262" s="564"/>
      <c r="EA262" s="564"/>
      <c r="EB262" s="564"/>
      <c r="EC262" s="564"/>
      <c r="ED262" s="564"/>
      <c r="EE262" s="564"/>
      <c r="EF262" s="564"/>
      <c r="EG262" s="564"/>
      <c r="EH262" s="564"/>
      <c r="EI262" s="564"/>
      <c r="EJ262" s="564"/>
      <c r="EK262" s="564"/>
      <c r="EL262" s="564"/>
      <c r="EM262" s="564"/>
      <c r="EN262" s="564"/>
      <c r="EO262" s="564"/>
      <c r="EP262" s="564"/>
      <c r="EQ262" s="564"/>
      <c r="ER262" s="564"/>
      <c r="ES262" s="564"/>
      <c r="ET262" s="564"/>
      <c r="EU262" s="564"/>
      <c r="EV262" s="564"/>
      <c r="EW262" s="564"/>
      <c r="EX262" s="564"/>
      <c r="EY262" s="564"/>
      <c r="EZ262" s="239"/>
      <c r="FA262" s="564"/>
      <c r="FB262" s="564"/>
      <c r="FC262" s="564"/>
      <c r="FD262" s="564"/>
      <c r="FE262" s="564"/>
      <c r="FF262" s="564"/>
      <c r="FG262" s="564"/>
      <c r="FH262" s="564"/>
      <c r="FI262" s="564"/>
      <c r="FJ262" s="564"/>
      <c r="FK262" s="564"/>
      <c r="FL262" s="564"/>
      <c r="FM262" s="564"/>
      <c r="FN262" s="569"/>
      <c r="FO262" s="564"/>
      <c r="FP262" s="564"/>
      <c r="FQ262" s="564"/>
      <c r="FR262" s="564"/>
      <c r="FS262" s="564"/>
      <c r="FT262" s="564"/>
      <c r="FU262" s="564"/>
      <c r="FV262" s="564"/>
      <c r="FW262" s="564"/>
      <c r="FX262" s="564"/>
      <c r="FY262" s="564"/>
      <c r="FZ262" s="564"/>
      <c r="GA262" s="564"/>
      <c r="GB262" s="564"/>
      <c r="GC262" s="564"/>
      <c r="GD262" s="564"/>
      <c r="GE262" s="564"/>
      <c r="GF262" s="564"/>
      <c r="GG262" s="564"/>
      <c r="GH262" s="564"/>
      <c r="GI262" s="564"/>
      <c r="GJ262" s="564"/>
      <c r="GK262" s="564"/>
      <c r="GL262" s="564"/>
      <c r="GM262" s="564"/>
      <c r="GN262" s="564"/>
      <c r="GO262" s="564"/>
      <c r="GP262" s="564"/>
      <c r="GQ262" s="564"/>
      <c r="GR262" s="564"/>
      <c r="GS262" s="564"/>
      <c r="GT262" s="564"/>
      <c r="GU262" s="564"/>
      <c r="GV262" s="569"/>
      <c r="GW262" s="564"/>
      <c r="GX262" s="564"/>
      <c r="GY262" s="564"/>
      <c r="GZ262" s="564"/>
      <c r="HA262" s="564"/>
      <c r="HB262" s="564"/>
      <c r="HC262" s="564"/>
      <c r="HD262" s="564"/>
      <c r="HE262" s="564"/>
      <c r="HF262" s="564"/>
      <c r="HG262" s="564"/>
      <c r="HH262" s="564"/>
      <c r="HI262" s="564"/>
      <c r="HJ262" s="564"/>
      <c r="HK262" s="569"/>
      <c r="HL262" s="564" t="s">
        <v>35980</v>
      </c>
      <c r="HM262" s="564" t="s">
        <v>2</v>
      </c>
      <c r="HN262" s="564" t="s">
        <v>4</v>
      </c>
      <c r="HO262" s="564" t="s">
        <v>35981</v>
      </c>
      <c r="HP262" s="564" t="s">
        <v>35982</v>
      </c>
      <c r="HQ262" s="564" t="s">
        <v>16</v>
      </c>
      <c r="HR262" s="564" t="s">
        <v>35983</v>
      </c>
      <c r="HS262" s="564" t="s">
        <v>16</v>
      </c>
      <c r="HT262" s="568" t="s">
        <v>35984</v>
      </c>
    </row>
    <row r="263" spans="1:228" ht="30.2" customHeight="1" x14ac:dyDescent="0.25">
      <c r="A263" s="759"/>
      <c r="B263" s="563">
        <v>125</v>
      </c>
      <c r="C263" s="563" t="s">
        <v>34767</v>
      </c>
      <c r="D263" s="564" t="s">
        <v>34768</v>
      </c>
      <c r="E263" s="564" t="s">
        <v>34639</v>
      </c>
      <c r="F263" s="564" t="s">
        <v>7</v>
      </c>
      <c r="G263" s="564" t="s">
        <v>34769</v>
      </c>
      <c r="H263" s="564">
        <v>1357</v>
      </c>
      <c r="I263" s="564">
        <v>4.3</v>
      </c>
      <c r="J263" s="564" t="s">
        <v>29389</v>
      </c>
      <c r="K263" s="564" t="s">
        <v>22</v>
      </c>
      <c r="L263" s="564" t="s">
        <v>34770</v>
      </c>
      <c r="M263" s="564">
        <v>700343584</v>
      </c>
      <c r="N263" s="564" t="s">
        <v>5</v>
      </c>
      <c r="O263" s="564" t="s">
        <v>31438</v>
      </c>
      <c r="P263" s="564">
        <v>29</v>
      </c>
      <c r="Q263" s="564">
        <v>8</v>
      </c>
      <c r="R263" s="564" t="s">
        <v>7</v>
      </c>
      <c r="S263" s="564" t="s">
        <v>31535</v>
      </c>
      <c r="T263" s="564" t="s">
        <v>4</v>
      </c>
      <c r="U263" s="564" t="s">
        <v>2</v>
      </c>
      <c r="V263" s="564" t="s">
        <v>4</v>
      </c>
      <c r="W263" s="564" t="s">
        <v>4</v>
      </c>
      <c r="X263" s="564" t="s">
        <v>4</v>
      </c>
      <c r="Y263" s="564" t="s">
        <v>4</v>
      </c>
      <c r="Z263" s="565">
        <v>44464</v>
      </c>
      <c r="AA263" s="557" t="str">
        <f>IF(OR(U263="yes",Z263&gt;'SDG outcome'!$C$39),"yes","no")</f>
        <v>no</v>
      </c>
      <c r="AB263" s="565" t="str">
        <f t="shared" si="7"/>
        <v/>
      </c>
      <c r="AC263" s="566" t="str">
        <f>IF(AND('SMS p2'!AA137="no",AND(Z263&gt;='SDG outcome'!$B$28,Z263&lt;'SDG outcome'!$C$39)),Z263-'SDG outcome'!$B$28,"")</f>
        <v/>
      </c>
      <c r="AD263" s="564" t="s">
        <v>31572</v>
      </c>
      <c r="AE263" s="564" t="s">
        <v>4</v>
      </c>
      <c r="AF263" s="564" t="s">
        <v>7</v>
      </c>
      <c r="AG263" s="564" t="s">
        <v>34771</v>
      </c>
      <c r="AH263" s="564" t="s">
        <v>4</v>
      </c>
      <c r="AI263" s="564" t="s">
        <v>7</v>
      </c>
      <c r="AJ263" s="565">
        <v>45560</v>
      </c>
      <c r="AK263" s="564" t="s">
        <v>4</v>
      </c>
      <c r="AL263" s="564"/>
      <c r="AM263" s="564"/>
      <c r="AN263" s="564"/>
      <c r="AO263" s="564"/>
      <c r="AP263" s="564"/>
      <c r="AQ263" s="564"/>
      <c r="AR263" s="564"/>
      <c r="AS263" s="564"/>
      <c r="AT263" s="564"/>
      <c r="AU263" s="564"/>
      <c r="AV263" s="564"/>
      <c r="AW263" s="564"/>
      <c r="AX263" s="564"/>
      <c r="AY263" s="564"/>
      <c r="AZ263" s="564"/>
      <c r="BA263" s="564"/>
      <c r="BB263" s="564"/>
      <c r="BC263" s="564"/>
      <c r="BD263" s="564"/>
      <c r="BE263" s="564"/>
      <c r="BF263" s="564"/>
      <c r="BG263" s="564"/>
      <c r="BH263" s="564"/>
      <c r="BI263" s="564"/>
      <c r="BJ263" s="564"/>
      <c r="BK263" s="564"/>
      <c r="BL263" s="564"/>
      <c r="BM263" s="564"/>
      <c r="BN263" s="564"/>
      <c r="BO263" s="564"/>
      <c r="BP263" s="564"/>
      <c r="BQ263" s="564"/>
      <c r="BR263" s="567"/>
      <c r="BS263" s="564"/>
      <c r="BT263" s="564"/>
      <c r="BU263" s="564"/>
      <c r="BV263" s="564"/>
      <c r="BW263" s="567"/>
      <c r="BX263" s="564"/>
      <c r="BY263" s="564"/>
      <c r="BZ263" s="564"/>
      <c r="CA263" s="564"/>
      <c r="CB263" s="564"/>
      <c r="CC263" s="564"/>
      <c r="CD263" s="564"/>
      <c r="CE263" s="564"/>
      <c r="CF263" s="564"/>
      <c r="CG263" s="564"/>
      <c r="CH263" s="564"/>
      <c r="CI263" s="564"/>
      <c r="CJ263" s="564"/>
      <c r="CK263" s="564"/>
      <c r="CL263" s="564"/>
      <c r="CM263" s="564"/>
      <c r="CN263" s="564"/>
      <c r="CO263" s="564"/>
      <c r="CP263" s="564"/>
      <c r="CQ263" s="564"/>
      <c r="CR263" s="564"/>
      <c r="CS263" s="564"/>
      <c r="CT263" s="568"/>
      <c r="CU263" s="563"/>
      <c r="CV263" s="564"/>
      <c r="CW263" s="568"/>
      <c r="CX263" s="563"/>
      <c r="CY263" s="564"/>
      <c r="CZ263" s="568"/>
      <c r="DA263" s="563"/>
      <c r="DB263" s="564"/>
      <c r="DC263" s="564"/>
      <c r="DD263" s="564"/>
      <c r="DE263" s="564"/>
      <c r="DF263" s="564"/>
      <c r="DG263" s="564"/>
      <c r="DH263" s="564"/>
      <c r="DI263" s="564"/>
      <c r="DJ263" s="564"/>
      <c r="DK263" s="564"/>
      <c r="DL263" s="564"/>
      <c r="DM263" s="564"/>
      <c r="DN263" s="564"/>
      <c r="DO263" s="564"/>
      <c r="DP263" s="564"/>
      <c r="DQ263" s="564"/>
      <c r="DR263" s="564"/>
      <c r="DS263" s="569"/>
      <c r="DT263" s="564"/>
      <c r="DU263" s="569"/>
      <c r="DV263" s="568"/>
      <c r="DW263" s="563"/>
      <c r="DX263" s="564"/>
      <c r="DY263" s="564"/>
      <c r="DZ263" s="564"/>
      <c r="EA263" s="564"/>
      <c r="EB263" s="564"/>
      <c r="EC263" s="564"/>
      <c r="ED263" s="564"/>
      <c r="EE263" s="564"/>
      <c r="EF263" s="564"/>
      <c r="EG263" s="564"/>
      <c r="EH263" s="564"/>
      <c r="EI263" s="564"/>
      <c r="EJ263" s="564"/>
      <c r="EK263" s="564"/>
      <c r="EL263" s="564"/>
      <c r="EM263" s="564"/>
      <c r="EN263" s="564"/>
      <c r="EO263" s="564"/>
      <c r="EP263" s="564"/>
      <c r="EQ263" s="564"/>
      <c r="ER263" s="564"/>
      <c r="ES263" s="564"/>
      <c r="ET263" s="564"/>
      <c r="EU263" s="564"/>
      <c r="EV263" s="564"/>
      <c r="EW263" s="564"/>
      <c r="EX263" s="564"/>
      <c r="EY263" s="564"/>
      <c r="EZ263" s="239"/>
      <c r="FA263" s="564"/>
      <c r="FB263" s="564"/>
      <c r="FC263" s="564"/>
      <c r="FD263" s="564"/>
      <c r="FE263" s="564"/>
      <c r="FF263" s="564"/>
      <c r="FG263" s="564"/>
      <c r="FH263" s="564"/>
      <c r="FI263" s="564"/>
      <c r="FJ263" s="564"/>
      <c r="FK263" s="564"/>
      <c r="FL263" s="564"/>
      <c r="FM263" s="564"/>
      <c r="FN263" s="569"/>
      <c r="FO263" s="564"/>
      <c r="FP263" s="564"/>
      <c r="FQ263" s="564"/>
      <c r="FR263" s="564"/>
      <c r="FS263" s="564"/>
      <c r="FT263" s="564"/>
      <c r="FU263" s="564"/>
      <c r="FV263" s="564"/>
      <c r="FW263" s="564"/>
      <c r="FX263" s="564"/>
      <c r="FY263" s="564"/>
      <c r="FZ263" s="564"/>
      <c r="GA263" s="564"/>
      <c r="GB263" s="564"/>
      <c r="GC263" s="564"/>
      <c r="GD263" s="564"/>
      <c r="GE263" s="564"/>
      <c r="GF263" s="564"/>
      <c r="GG263" s="564"/>
      <c r="GH263" s="564"/>
      <c r="GI263" s="564"/>
      <c r="GJ263" s="564"/>
      <c r="GK263" s="564"/>
      <c r="GL263" s="564"/>
      <c r="GM263" s="564"/>
      <c r="GN263" s="564"/>
      <c r="GO263" s="564"/>
      <c r="GP263" s="564"/>
      <c r="GQ263" s="564"/>
      <c r="GR263" s="564"/>
      <c r="GS263" s="564"/>
      <c r="GT263" s="564"/>
      <c r="GU263" s="564"/>
      <c r="GV263" s="569"/>
      <c r="GW263" s="564"/>
      <c r="GX263" s="564"/>
      <c r="GY263" s="564"/>
      <c r="GZ263" s="564"/>
      <c r="HA263" s="564"/>
      <c r="HB263" s="564"/>
      <c r="HC263" s="564"/>
      <c r="HD263" s="564"/>
      <c r="HE263" s="564"/>
      <c r="HF263" s="564"/>
      <c r="HG263" s="564"/>
      <c r="HH263" s="564"/>
      <c r="HI263" s="564"/>
      <c r="HJ263" s="564"/>
      <c r="HK263" s="569"/>
      <c r="HL263" s="564" t="s">
        <v>34772</v>
      </c>
      <c r="HM263" s="564" t="s">
        <v>7</v>
      </c>
      <c r="HN263" s="564" t="s">
        <v>34644</v>
      </c>
      <c r="HO263" s="564" t="s">
        <v>34773</v>
      </c>
      <c r="HP263" s="564" t="s">
        <v>34774</v>
      </c>
      <c r="HQ263" s="564" t="s">
        <v>34775</v>
      </c>
      <c r="HR263" s="564" t="s">
        <v>34776</v>
      </c>
      <c r="HS263" s="564" t="s">
        <v>34777</v>
      </c>
      <c r="HT263" s="568" t="s">
        <v>34768</v>
      </c>
    </row>
    <row r="264" spans="1:228" ht="30.2" customHeight="1" x14ac:dyDescent="0.25">
      <c r="A264" s="759"/>
      <c r="B264" s="563">
        <v>12</v>
      </c>
      <c r="C264" s="563" t="s">
        <v>28128</v>
      </c>
      <c r="D264" s="564" t="s">
        <v>33481</v>
      </c>
      <c r="E264" s="564" t="s">
        <v>52</v>
      </c>
      <c r="F264" s="564" t="s">
        <v>7</v>
      </c>
      <c r="G264" s="564" t="s">
        <v>33482</v>
      </c>
      <c r="H264" s="564">
        <v>1593.6</v>
      </c>
      <c r="I264" s="564">
        <v>4.3</v>
      </c>
      <c r="J264" s="564" t="s">
        <v>29389</v>
      </c>
      <c r="K264" s="564" t="s">
        <v>22</v>
      </c>
      <c r="L264" s="564" t="s">
        <v>33483</v>
      </c>
      <c r="M264" s="564">
        <v>702740770</v>
      </c>
      <c r="N264" s="564" t="s">
        <v>5</v>
      </c>
      <c r="O264" s="564" t="s">
        <v>31590</v>
      </c>
      <c r="P264" s="564" t="s">
        <v>4</v>
      </c>
      <c r="Q264" s="564">
        <v>6</v>
      </c>
      <c r="R264" s="564" t="s">
        <v>7</v>
      </c>
      <c r="S264" s="564" t="s">
        <v>31588</v>
      </c>
      <c r="T264" s="564" t="s">
        <v>4</v>
      </c>
      <c r="U264" s="564" t="s">
        <v>2</v>
      </c>
      <c r="V264" s="564" t="s">
        <v>4</v>
      </c>
      <c r="W264" s="564" t="s">
        <v>4</v>
      </c>
      <c r="X264" s="564" t="s">
        <v>4</v>
      </c>
      <c r="Y264" s="564" t="s">
        <v>4</v>
      </c>
      <c r="Z264" s="565">
        <v>45383</v>
      </c>
      <c r="AA264" s="557" t="str">
        <f>IF(OR(U264="yes",Z264&gt;'SDG outcome'!$C$39),"yes","no")</f>
        <v>yes</v>
      </c>
      <c r="AB264" s="565" t="str">
        <f t="shared" si="7"/>
        <v>NA</v>
      </c>
      <c r="AC264" s="566" t="str">
        <f>IF(AND('SMS p2'!AA24="no",AND(Z264&gt;='SDG outcome'!$B$28,Z264&lt;'SDG outcome'!$C$39)),Z264-'SDG outcome'!$B$28,"")</f>
        <v/>
      </c>
      <c r="AD264" s="564" t="s">
        <v>31572</v>
      </c>
      <c r="AE264" s="564" t="s">
        <v>4</v>
      </c>
      <c r="AF264" s="564" t="s">
        <v>7</v>
      </c>
      <c r="AG264" s="564" t="s">
        <v>33484</v>
      </c>
      <c r="AH264" s="564" t="s">
        <v>4</v>
      </c>
      <c r="AI264" s="564" t="s">
        <v>7</v>
      </c>
      <c r="AJ264" s="565">
        <v>45566</v>
      </c>
      <c r="AK264" s="564" t="s">
        <v>4</v>
      </c>
      <c r="AL264" s="564"/>
      <c r="AM264" s="564"/>
      <c r="AN264" s="564"/>
      <c r="AO264" s="564"/>
      <c r="AP264" s="564"/>
      <c r="AQ264" s="564"/>
      <c r="AR264" s="564"/>
      <c r="AS264" s="564"/>
      <c r="AT264" s="564"/>
      <c r="AU264" s="564"/>
      <c r="AV264" s="564"/>
      <c r="AW264" s="564"/>
      <c r="AX264" s="564"/>
      <c r="AY264" s="564"/>
      <c r="AZ264" s="564"/>
      <c r="BA264" s="564"/>
      <c r="BB264" s="564"/>
      <c r="BC264" s="564"/>
      <c r="BD264" s="564"/>
      <c r="BE264" s="564"/>
      <c r="BF264" s="564"/>
      <c r="BG264" s="564"/>
      <c r="BH264" s="564"/>
      <c r="BI264" s="564"/>
      <c r="BJ264" s="564"/>
      <c r="BK264" s="564"/>
      <c r="BL264" s="564"/>
      <c r="BM264" s="564"/>
      <c r="BN264" s="564"/>
      <c r="BO264" s="564"/>
      <c r="BP264" s="564"/>
      <c r="BQ264" s="564"/>
      <c r="BR264" s="567"/>
      <c r="BS264" s="564"/>
      <c r="BT264" s="564"/>
      <c r="BU264" s="564"/>
      <c r="BV264" s="564"/>
      <c r="BW264" s="567"/>
      <c r="BX264" s="564"/>
      <c r="BY264" s="564"/>
      <c r="BZ264" s="564"/>
      <c r="CA264" s="564"/>
      <c r="CB264" s="564"/>
      <c r="CC264" s="564"/>
      <c r="CD264" s="564"/>
      <c r="CE264" s="564"/>
      <c r="CF264" s="564"/>
      <c r="CG264" s="564"/>
      <c r="CH264" s="564"/>
      <c r="CI264" s="564"/>
      <c r="CJ264" s="564"/>
      <c r="CK264" s="564"/>
      <c r="CL264" s="564"/>
      <c r="CM264" s="564"/>
      <c r="CN264" s="564"/>
      <c r="CO264" s="564"/>
      <c r="CP264" s="564"/>
      <c r="CQ264" s="564"/>
      <c r="CR264" s="564"/>
      <c r="CS264" s="564"/>
      <c r="CT264" s="568"/>
      <c r="CU264" s="563"/>
      <c r="CV264" s="564"/>
      <c r="CW264" s="568"/>
      <c r="CX264" s="563"/>
      <c r="CY264" s="564"/>
      <c r="CZ264" s="568"/>
      <c r="DA264" s="563"/>
      <c r="DB264" s="564"/>
      <c r="DC264" s="564"/>
      <c r="DD264" s="564"/>
      <c r="DE264" s="564"/>
      <c r="DF264" s="564"/>
      <c r="DG264" s="564"/>
      <c r="DH264" s="564"/>
      <c r="DI264" s="564"/>
      <c r="DJ264" s="564"/>
      <c r="DK264" s="564"/>
      <c r="DL264" s="564"/>
      <c r="DM264" s="564"/>
      <c r="DN264" s="564"/>
      <c r="DO264" s="564"/>
      <c r="DP264" s="564"/>
      <c r="DQ264" s="564"/>
      <c r="DR264" s="564"/>
      <c r="DS264" s="569"/>
      <c r="DT264" s="564"/>
      <c r="DU264" s="569"/>
      <c r="DV264" s="568"/>
      <c r="DW264" s="563"/>
      <c r="DX264" s="564"/>
      <c r="DY264" s="564"/>
      <c r="DZ264" s="564"/>
      <c r="EA264" s="564"/>
      <c r="EB264" s="564"/>
      <c r="EC264" s="564"/>
      <c r="ED264" s="564"/>
      <c r="EE264" s="564"/>
      <c r="EF264" s="564"/>
      <c r="EG264" s="564"/>
      <c r="EH264" s="564"/>
      <c r="EI264" s="564"/>
      <c r="EJ264" s="564"/>
      <c r="EK264" s="564"/>
      <c r="EL264" s="564"/>
      <c r="EM264" s="564"/>
      <c r="EN264" s="564"/>
      <c r="EO264" s="564"/>
      <c r="EP264" s="564"/>
      <c r="EQ264" s="564"/>
      <c r="ER264" s="564"/>
      <c r="ES264" s="564"/>
      <c r="ET264" s="564"/>
      <c r="EU264" s="564"/>
      <c r="EV264" s="564"/>
      <c r="EW264" s="564"/>
      <c r="EX264" s="564"/>
      <c r="EY264" s="564"/>
      <c r="EZ264" s="239"/>
      <c r="FA264" s="564"/>
      <c r="FB264" s="564"/>
      <c r="FC264" s="564"/>
      <c r="FD264" s="564"/>
      <c r="FE264" s="564"/>
      <c r="FF264" s="564"/>
      <c r="FG264" s="564"/>
      <c r="FH264" s="564"/>
      <c r="FI264" s="564"/>
      <c r="FJ264" s="564"/>
      <c r="FK264" s="564"/>
      <c r="FL264" s="564"/>
      <c r="FM264" s="564"/>
      <c r="FN264" s="569"/>
      <c r="FO264" s="564"/>
      <c r="FP264" s="564"/>
      <c r="FQ264" s="564"/>
      <c r="FR264" s="564"/>
      <c r="FS264" s="564"/>
      <c r="FT264" s="564"/>
      <c r="FU264" s="564"/>
      <c r="FV264" s="564"/>
      <c r="FW264" s="564"/>
      <c r="FX264" s="564"/>
      <c r="FY264" s="564"/>
      <c r="FZ264" s="564"/>
      <c r="GA264" s="564"/>
      <c r="GB264" s="564"/>
      <c r="GC264" s="564"/>
      <c r="GD264" s="564"/>
      <c r="GE264" s="564"/>
      <c r="GF264" s="564"/>
      <c r="GG264" s="564"/>
      <c r="GH264" s="564"/>
      <c r="GI264" s="564"/>
      <c r="GJ264" s="564"/>
      <c r="GK264" s="564"/>
      <c r="GL264" s="564"/>
      <c r="GM264" s="564"/>
      <c r="GN264" s="564"/>
      <c r="GO264" s="564"/>
      <c r="GP264" s="564"/>
      <c r="GQ264" s="564"/>
      <c r="GR264" s="564"/>
      <c r="GS264" s="564"/>
      <c r="GT264" s="564"/>
      <c r="GU264" s="564"/>
      <c r="GV264" s="569"/>
      <c r="GW264" s="564"/>
      <c r="GX264" s="564"/>
      <c r="GY264" s="564"/>
      <c r="GZ264" s="564"/>
      <c r="HA264" s="564"/>
      <c r="HB264" s="564"/>
      <c r="HC264" s="564"/>
      <c r="HD264" s="564"/>
      <c r="HE264" s="564"/>
      <c r="HF264" s="564"/>
      <c r="HG264" s="564"/>
      <c r="HH264" s="564"/>
      <c r="HI264" s="564"/>
      <c r="HJ264" s="564"/>
      <c r="HK264" s="569"/>
      <c r="HL264" s="564" t="s">
        <v>33474</v>
      </c>
      <c r="HM264" s="564" t="s">
        <v>7</v>
      </c>
      <c r="HN264" s="564" t="s">
        <v>33485</v>
      </c>
      <c r="HO264" s="564" t="s">
        <v>33486</v>
      </c>
      <c r="HP264" s="564" t="s">
        <v>33487</v>
      </c>
      <c r="HQ264" s="564" t="s">
        <v>33488</v>
      </c>
      <c r="HR264" s="564" t="s">
        <v>33489</v>
      </c>
      <c r="HS264" s="564" t="s">
        <v>33490</v>
      </c>
      <c r="HT264" s="568" t="s">
        <v>33491</v>
      </c>
    </row>
    <row r="265" spans="1:228" ht="30.2" customHeight="1" x14ac:dyDescent="0.25">
      <c r="A265" s="759"/>
      <c r="B265" s="563">
        <v>127</v>
      </c>
      <c r="C265" s="573" t="s">
        <v>8673</v>
      </c>
      <c r="D265" s="571" t="s">
        <v>34787</v>
      </c>
      <c r="E265" s="571" t="s">
        <v>30392</v>
      </c>
      <c r="F265" s="571" t="s">
        <v>7</v>
      </c>
      <c r="G265" s="571" t="s">
        <v>34788</v>
      </c>
      <c r="H265" s="571">
        <v>1131.2</v>
      </c>
      <c r="I265" s="571">
        <v>4.2</v>
      </c>
      <c r="J265" s="571" t="s">
        <v>29319</v>
      </c>
      <c r="K265" s="571" t="s">
        <v>4</v>
      </c>
      <c r="L265" s="571" t="s">
        <v>34789</v>
      </c>
      <c r="M265" s="571">
        <v>781477510</v>
      </c>
      <c r="N265" s="571" t="s">
        <v>5</v>
      </c>
      <c r="O265" s="571" t="s">
        <v>31438</v>
      </c>
      <c r="P265" s="571">
        <v>43</v>
      </c>
      <c r="Q265" s="571">
        <v>9</v>
      </c>
      <c r="R265" s="571" t="s">
        <v>7</v>
      </c>
      <c r="S265" s="571" t="s">
        <v>31588</v>
      </c>
      <c r="T265" s="571" t="s">
        <v>4</v>
      </c>
      <c r="U265" s="571" t="s">
        <v>2</v>
      </c>
      <c r="V265" s="571" t="s">
        <v>4</v>
      </c>
      <c r="W265" s="571" t="s">
        <v>4</v>
      </c>
      <c r="X265" s="571" t="s">
        <v>4</v>
      </c>
      <c r="Y265" s="571" t="s">
        <v>4</v>
      </c>
      <c r="Z265" s="574">
        <v>45555</v>
      </c>
      <c r="AA265" s="557" t="str">
        <f>IF(OR(U265="yes",Z265&gt;'SDG outcome'!$C$39),"yes","no")</f>
        <v>yes</v>
      </c>
      <c r="AB265" s="574" t="str">
        <f t="shared" si="7"/>
        <v>NA</v>
      </c>
      <c r="AC265" s="575" t="str">
        <f>IF(AND('SMS p2'!AA139="no",AND(Z265&gt;='SDG outcome'!$B$28,Z265&lt;'SDG outcome'!$C$39)),Z265-'SDG outcome'!$B$28,"")</f>
        <v/>
      </c>
      <c r="AD265" s="571" t="s">
        <v>31572</v>
      </c>
      <c r="AE265" s="571" t="s">
        <v>4</v>
      </c>
      <c r="AF265" s="571" t="s">
        <v>7</v>
      </c>
      <c r="AG265" s="571" t="s">
        <v>34790</v>
      </c>
      <c r="AH265" s="571" t="s">
        <v>4</v>
      </c>
      <c r="AI265" s="571" t="s">
        <v>7</v>
      </c>
      <c r="AJ265" s="574">
        <v>45555</v>
      </c>
      <c r="AK265" s="571" t="s">
        <v>4</v>
      </c>
      <c r="AL265" s="571"/>
      <c r="AM265" s="571"/>
      <c r="AN265" s="571"/>
      <c r="AO265" s="571"/>
      <c r="AP265" s="571"/>
      <c r="AQ265" s="571"/>
      <c r="AR265" s="571"/>
      <c r="AS265" s="571"/>
      <c r="AT265" s="571"/>
      <c r="AU265" s="571"/>
      <c r="AV265" s="571"/>
      <c r="AW265" s="571"/>
      <c r="AX265" s="571"/>
      <c r="AY265" s="571"/>
      <c r="AZ265" s="571"/>
      <c r="BA265" s="571"/>
      <c r="BB265" s="571"/>
      <c r="BC265" s="571"/>
      <c r="BD265" s="571"/>
      <c r="BE265" s="571"/>
      <c r="BF265" s="571"/>
      <c r="BG265" s="571"/>
      <c r="BH265" s="571"/>
      <c r="BI265" s="571"/>
      <c r="BJ265" s="571"/>
      <c r="BK265" s="571"/>
      <c r="BL265" s="571"/>
      <c r="BM265" s="564"/>
      <c r="BN265" s="571"/>
      <c r="BO265" s="571"/>
      <c r="BP265" s="571"/>
      <c r="BQ265" s="571"/>
      <c r="BR265" s="567"/>
      <c r="BS265" s="571"/>
      <c r="BT265" s="571"/>
      <c r="BU265" s="571"/>
      <c r="BV265" s="571"/>
      <c r="BW265" s="576"/>
      <c r="BX265" s="571"/>
      <c r="BY265" s="571"/>
      <c r="BZ265" s="571"/>
      <c r="CA265" s="571"/>
      <c r="CB265" s="571"/>
      <c r="CC265" s="571"/>
      <c r="CD265" s="571"/>
      <c r="CE265" s="571"/>
      <c r="CF265" s="571"/>
      <c r="CG265" s="571"/>
      <c r="CH265" s="571"/>
      <c r="CI265" s="571"/>
      <c r="CJ265" s="571"/>
      <c r="CK265" s="571"/>
      <c r="CL265" s="571"/>
      <c r="CM265" s="571"/>
      <c r="CN265" s="571"/>
      <c r="CO265" s="571"/>
      <c r="CP265" s="571"/>
      <c r="CQ265" s="571"/>
      <c r="CR265" s="571"/>
      <c r="CS265" s="571"/>
      <c r="CT265" s="577"/>
      <c r="CU265" s="573"/>
      <c r="CV265" s="571"/>
      <c r="CW265" s="577"/>
      <c r="CX265" s="573"/>
      <c r="CY265" s="571"/>
      <c r="CZ265" s="577"/>
      <c r="DA265" s="573"/>
      <c r="DB265" s="571"/>
      <c r="DC265" s="571"/>
      <c r="DD265" s="571"/>
      <c r="DE265" s="571"/>
      <c r="DF265" s="571"/>
      <c r="DG265" s="571"/>
      <c r="DH265" s="571"/>
      <c r="DI265" s="571"/>
      <c r="DJ265" s="571"/>
      <c r="DK265" s="571"/>
      <c r="DL265" s="571"/>
      <c r="DM265" s="571"/>
      <c r="DN265" s="571"/>
      <c r="DO265" s="571"/>
      <c r="DP265" s="571"/>
      <c r="DQ265" s="571"/>
      <c r="DR265" s="571"/>
      <c r="DS265" s="578"/>
      <c r="DT265" s="571"/>
      <c r="DU265" s="578"/>
      <c r="DV265" s="577"/>
      <c r="DW265" s="573"/>
      <c r="DX265" s="571"/>
      <c r="DY265" s="571"/>
      <c r="DZ265" s="571"/>
      <c r="EA265" s="571"/>
      <c r="EB265" s="571"/>
      <c r="EC265" s="571"/>
      <c r="ED265" s="571"/>
      <c r="EE265" s="571"/>
      <c r="EF265" s="571"/>
      <c r="EG265" s="571"/>
      <c r="EH265" s="571"/>
      <c r="EI265" s="571"/>
      <c r="EJ265" s="571"/>
      <c r="EK265" s="571"/>
      <c r="EL265" s="571"/>
      <c r="EM265" s="571"/>
      <c r="EN265" s="571"/>
      <c r="EO265" s="571"/>
      <c r="EP265" s="571"/>
      <c r="EQ265" s="571"/>
      <c r="ER265" s="571"/>
      <c r="ES265" s="571"/>
      <c r="ET265" s="571"/>
      <c r="EU265" s="571"/>
      <c r="EV265" s="571"/>
      <c r="EW265" s="571"/>
      <c r="EX265" s="571"/>
      <c r="EY265" s="571"/>
      <c r="EZ265" s="239"/>
      <c r="FA265" s="571"/>
      <c r="FB265" s="571"/>
      <c r="FC265" s="571"/>
      <c r="FD265" s="571"/>
      <c r="FE265" s="571"/>
      <c r="FF265" s="571"/>
      <c r="FG265" s="571"/>
      <c r="FH265" s="571"/>
      <c r="FI265" s="571"/>
      <c r="FJ265" s="571"/>
      <c r="FK265" s="571"/>
      <c r="FL265" s="571"/>
      <c r="FM265" s="571"/>
      <c r="FN265" s="578"/>
      <c r="FO265" s="571"/>
      <c r="FP265" s="571"/>
      <c r="FQ265" s="571"/>
      <c r="FR265" s="571"/>
      <c r="FS265" s="571"/>
      <c r="FT265" s="571"/>
      <c r="FU265" s="571"/>
      <c r="FV265" s="571"/>
      <c r="FW265" s="571"/>
      <c r="FX265" s="571"/>
      <c r="FY265" s="571"/>
      <c r="FZ265" s="571"/>
      <c r="GA265" s="571"/>
      <c r="GB265" s="571"/>
      <c r="GC265" s="571"/>
      <c r="GD265" s="571"/>
      <c r="GE265" s="571"/>
      <c r="GF265" s="571"/>
      <c r="GG265" s="571"/>
      <c r="GH265" s="571"/>
      <c r="GI265" s="571"/>
      <c r="GJ265" s="571"/>
      <c r="GK265" s="571"/>
      <c r="GL265" s="571"/>
      <c r="GM265" s="571"/>
      <c r="GN265" s="571"/>
      <c r="GO265" s="571"/>
      <c r="GP265" s="571"/>
      <c r="GQ265" s="571"/>
      <c r="GR265" s="571"/>
      <c r="GS265" s="571"/>
      <c r="GT265" s="571"/>
      <c r="GU265" s="571"/>
      <c r="GV265" s="578"/>
      <c r="GW265" s="571"/>
      <c r="GX265" s="571"/>
      <c r="GY265" s="571"/>
      <c r="GZ265" s="571"/>
      <c r="HA265" s="571"/>
      <c r="HB265" s="571"/>
      <c r="HC265" s="571"/>
      <c r="HD265" s="571"/>
      <c r="HE265" s="571"/>
      <c r="HF265" s="571"/>
      <c r="HG265" s="571"/>
      <c r="HH265" s="571"/>
      <c r="HI265" s="571"/>
      <c r="HJ265" s="571"/>
      <c r="HK265" s="569"/>
      <c r="HL265" s="571" t="s">
        <v>34791</v>
      </c>
      <c r="HM265" s="571" t="s">
        <v>7</v>
      </c>
      <c r="HN265" s="571" t="s">
        <v>34792</v>
      </c>
      <c r="HO265" s="571" t="s">
        <v>34793</v>
      </c>
      <c r="HP265" s="571" t="s">
        <v>34794</v>
      </c>
      <c r="HQ265" s="571" t="s">
        <v>34795</v>
      </c>
      <c r="HR265" s="571" t="s">
        <v>34796</v>
      </c>
      <c r="HS265" s="571" t="s">
        <v>34797</v>
      </c>
      <c r="HT265" s="577" t="s">
        <v>34787</v>
      </c>
    </row>
    <row r="266" spans="1:228" ht="30.2" customHeight="1" x14ac:dyDescent="0.25">
      <c r="A266" s="759"/>
      <c r="B266" s="563">
        <v>142</v>
      </c>
      <c r="C266" s="564" t="s">
        <v>3327</v>
      </c>
      <c r="D266" s="738" t="s">
        <v>34958</v>
      </c>
      <c r="E266" s="564" t="s">
        <v>83</v>
      </c>
      <c r="F266" s="563" t="s">
        <v>7</v>
      </c>
      <c r="G266" s="564" t="s">
        <v>34959</v>
      </c>
      <c r="H266" s="564">
        <v>1183.5609999999999</v>
      </c>
      <c r="I266" s="564">
        <v>1.6916880000000001</v>
      </c>
      <c r="J266" s="564" t="s">
        <v>29288</v>
      </c>
      <c r="K266" s="568" t="s">
        <v>4</v>
      </c>
      <c r="L266" s="564" t="s">
        <v>3328</v>
      </c>
      <c r="M266" s="563">
        <v>776370860</v>
      </c>
      <c r="N266" s="564" t="s">
        <v>3</v>
      </c>
      <c r="O266" s="564" t="s">
        <v>31438</v>
      </c>
      <c r="P266" s="564">
        <v>63</v>
      </c>
      <c r="Q266" s="564">
        <v>10</v>
      </c>
      <c r="R266" s="564" t="s">
        <v>7</v>
      </c>
      <c r="S266" s="564" t="s">
        <v>31535</v>
      </c>
      <c r="T266" s="564" t="s">
        <v>4</v>
      </c>
      <c r="U266" s="564" t="s">
        <v>2</v>
      </c>
      <c r="V266" s="564" t="s">
        <v>4</v>
      </c>
      <c r="W266" s="564" t="s">
        <v>4</v>
      </c>
      <c r="X266" s="564" t="s">
        <v>4</v>
      </c>
      <c r="Y266" s="564" t="s">
        <v>4</v>
      </c>
      <c r="Z266" s="565">
        <v>44228</v>
      </c>
      <c r="AA266" s="557" t="str">
        <f>IF(OR(U266="yes",Z266&gt;'SDG outcome'!$C$39),"yes","no")</f>
        <v>no</v>
      </c>
      <c r="AB266" s="565" t="str">
        <f t="shared" si="7"/>
        <v/>
      </c>
      <c r="AC266" s="566" t="str">
        <f>IF(AND('SMS p2'!AA154="no",AND(Z266&gt;='SDG outcome'!$B$28,Z266&lt;'SDG outcome'!$C$39)),Z266-'SDG outcome'!$B$28,"")</f>
        <v/>
      </c>
      <c r="AD266" s="564" t="s">
        <v>31572</v>
      </c>
      <c r="AE266" s="564" t="s">
        <v>4</v>
      </c>
      <c r="AF266" s="564" t="s">
        <v>7</v>
      </c>
      <c r="AG266" s="564" t="s">
        <v>34960</v>
      </c>
      <c r="AH266" s="564" t="s">
        <v>4</v>
      </c>
      <c r="AI266" s="564" t="s">
        <v>7</v>
      </c>
      <c r="AJ266" s="565">
        <v>45586</v>
      </c>
      <c r="AK266" s="564" t="s">
        <v>4</v>
      </c>
      <c r="AL266" s="564"/>
      <c r="AM266" s="564"/>
      <c r="AN266" s="564"/>
      <c r="AO266" s="564"/>
      <c r="AP266" s="564"/>
      <c r="AQ266" s="564"/>
      <c r="AR266" s="564"/>
      <c r="AS266" s="564"/>
      <c r="AT266" s="564"/>
      <c r="AU266" s="564"/>
      <c r="AV266" s="564"/>
      <c r="AW266" s="564"/>
      <c r="AX266" s="564"/>
      <c r="AY266" s="564"/>
      <c r="AZ266" s="564"/>
      <c r="BA266" s="564"/>
      <c r="BB266" s="564"/>
      <c r="BC266" s="564"/>
      <c r="BD266" s="564"/>
      <c r="BE266" s="564"/>
      <c r="BF266" s="564"/>
      <c r="BG266" s="564"/>
      <c r="BH266" s="564"/>
      <c r="BI266" s="564"/>
      <c r="BJ266" s="564"/>
      <c r="BK266" s="564"/>
      <c r="BL266" s="564"/>
      <c r="BM266" s="568"/>
      <c r="BN266" s="564"/>
      <c r="BO266" s="564"/>
      <c r="BP266" s="564"/>
      <c r="BQ266" s="564"/>
      <c r="BR266" s="567"/>
      <c r="BS266" s="564"/>
      <c r="BT266" s="564"/>
      <c r="BU266" s="564"/>
      <c r="BV266" s="564"/>
      <c r="BW266" s="567"/>
      <c r="BX266" s="563"/>
      <c r="BY266" s="564"/>
      <c r="BZ266" s="564"/>
      <c r="CA266" s="564"/>
      <c r="CB266" s="564"/>
      <c r="CC266" s="564"/>
      <c r="CD266" s="564"/>
      <c r="CE266" s="564"/>
      <c r="CF266" s="568"/>
      <c r="CG266" s="564"/>
      <c r="CH266" s="564"/>
      <c r="CI266" s="564"/>
      <c r="CJ266" s="564"/>
      <c r="CK266" s="564"/>
      <c r="CL266" s="564"/>
      <c r="CM266" s="564"/>
      <c r="CN266" s="564"/>
      <c r="CO266" s="564"/>
      <c r="CP266" s="564"/>
      <c r="CQ266" s="564"/>
      <c r="CR266" s="564"/>
      <c r="CS266" s="564"/>
      <c r="CT266" s="564"/>
      <c r="CU266" s="564"/>
      <c r="CV266" s="564"/>
      <c r="CW266" s="564"/>
      <c r="CX266" s="564"/>
      <c r="CY266" s="564"/>
      <c r="CZ266" s="564"/>
      <c r="DA266" s="564"/>
      <c r="DB266" s="564"/>
      <c r="DC266" s="564"/>
      <c r="DD266" s="564"/>
      <c r="DE266" s="564"/>
      <c r="DF266" s="564"/>
      <c r="DG266" s="564"/>
      <c r="DH266" s="564"/>
      <c r="DI266" s="564"/>
      <c r="DJ266" s="564"/>
      <c r="DK266" s="564"/>
      <c r="DL266" s="564"/>
      <c r="DM266" s="564"/>
      <c r="DN266" s="564"/>
      <c r="DO266" s="564"/>
      <c r="DP266" s="564"/>
      <c r="DQ266" s="564"/>
      <c r="DR266" s="564"/>
      <c r="DS266" s="569"/>
      <c r="DT266" s="564"/>
      <c r="DU266" s="569"/>
      <c r="DV266" s="564"/>
      <c r="DW266" s="564"/>
      <c r="DX266" s="564"/>
      <c r="DY266" s="564"/>
      <c r="DZ266" s="564"/>
      <c r="EA266" s="564"/>
      <c r="EB266" s="564"/>
      <c r="EC266" s="564"/>
      <c r="ED266" s="564"/>
      <c r="EE266" s="564"/>
      <c r="EF266" s="564"/>
      <c r="EG266" s="564"/>
      <c r="EH266" s="564"/>
      <c r="EI266" s="564"/>
      <c r="EJ266" s="564"/>
      <c r="EK266" s="564"/>
      <c r="EL266" s="564"/>
      <c r="EM266" s="564"/>
      <c r="EN266" s="564"/>
      <c r="EO266" s="564"/>
      <c r="EP266" s="564"/>
      <c r="EQ266" s="564"/>
      <c r="ER266" s="564"/>
      <c r="ES266" s="564"/>
      <c r="ET266" s="564"/>
      <c r="EU266" s="564"/>
      <c r="EV266" s="564"/>
      <c r="EW266" s="564"/>
      <c r="EX266" s="564"/>
      <c r="EY266" s="564"/>
      <c r="EZ266" s="239"/>
      <c r="FA266" s="564"/>
      <c r="FB266" s="564"/>
      <c r="FC266" s="564"/>
      <c r="FD266" s="564"/>
      <c r="FE266" s="564"/>
      <c r="FF266" s="564"/>
      <c r="FG266" s="564"/>
      <c r="FH266" s="564"/>
      <c r="FI266" s="564"/>
      <c r="FJ266" s="564"/>
      <c r="FK266" s="564"/>
      <c r="FL266" s="564"/>
      <c r="FM266" s="564"/>
      <c r="FN266" s="569"/>
      <c r="FO266" s="564"/>
      <c r="FP266" s="564"/>
      <c r="FQ266" s="564"/>
      <c r="FR266" s="564"/>
      <c r="FS266" s="564"/>
      <c r="FT266" s="564"/>
      <c r="FU266" s="564"/>
      <c r="FV266" s="564"/>
      <c r="FW266" s="564"/>
      <c r="FX266" s="564"/>
      <c r="FY266" s="564"/>
      <c r="FZ266" s="564"/>
      <c r="GA266" s="564"/>
      <c r="GB266" s="564"/>
      <c r="GC266" s="564"/>
      <c r="GD266" s="564"/>
      <c r="GE266" s="564"/>
      <c r="GF266" s="564"/>
      <c r="GG266" s="564"/>
      <c r="GH266" s="564"/>
      <c r="GI266" s="564"/>
      <c r="GJ266" s="564"/>
      <c r="GK266" s="564"/>
      <c r="GL266" s="564"/>
      <c r="GM266" s="564"/>
      <c r="GN266" s="564"/>
      <c r="GO266" s="564"/>
      <c r="GP266" s="564"/>
      <c r="GQ266" s="564"/>
      <c r="GR266" s="564"/>
      <c r="GS266" s="564"/>
      <c r="GT266" s="564"/>
      <c r="GU266" s="564"/>
      <c r="GV266" s="569"/>
      <c r="GW266" s="564"/>
      <c r="GX266" s="564"/>
      <c r="GY266" s="564"/>
      <c r="GZ266" s="564"/>
      <c r="HA266" s="564"/>
      <c r="HB266" s="564"/>
      <c r="HC266" s="564"/>
      <c r="HD266" s="564"/>
      <c r="HE266" s="564"/>
      <c r="HF266" s="564"/>
      <c r="HG266" s="564"/>
      <c r="HH266" s="564"/>
      <c r="HI266" s="564"/>
      <c r="HJ266" s="564"/>
      <c r="HK266" s="569"/>
      <c r="HL266" s="564" t="s">
        <v>34961</v>
      </c>
      <c r="HM266" s="564" t="s">
        <v>7</v>
      </c>
      <c r="HN266" s="564" t="s">
        <v>34962</v>
      </c>
      <c r="HO266" s="564" t="s">
        <v>16</v>
      </c>
      <c r="HP266" s="564" t="s">
        <v>34963</v>
      </c>
      <c r="HQ266" s="564" t="s">
        <v>34964</v>
      </c>
      <c r="HR266" s="564" t="s">
        <v>34965</v>
      </c>
      <c r="HS266" s="564" t="s">
        <v>16</v>
      </c>
      <c r="HT266" s="564" t="s">
        <v>34958</v>
      </c>
    </row>
    <row r="267" spans="1:228" ht="30.2" customHeight="1" x14ac:dyDescent="0.25">
      <c r="A267" s="759"/>
      <c r="B267" s="563">
        <v>15</v>
      </c>
      <c r="C267" s="564" t="s">
        <v>27731</v>
      </c>
      <c r="D267" s="738" t="s">
        <v>33510</v>
      </c>
      <c r="E267" s="564" t="s">
        <v>52</v>
      </c>
      <c r="F267" s="563" t="s">
        <v>7</v>
      </c>
      <c r="G267" s="564" t="s">
        <v>33511</v>
      </c>
      <c r="H267" s="564">
        <v>1529.8</v>
      </c>
      <c r="I267" s="564">
        <v>4.5</v>
      </c>
      <c r="J267" s="564" t="s">
        <v>29319</v>
      </c>
      <c r="K267" s="568" t="s">
        <v>4</v>
      </c>
      <c r="L267" s="564" t="s">
        <v>33512</v>
      </c>
      <c r="M267" s="563">
        <v>782712784</v>
      </c>
      <c r="N267" s="564" t="s">
        <v>5</v>
      </c>
      <c r="O267" s="564" t="s">
        <v>31598</v>
      </c>
      <c r="P267" s="564" t="s">
        <v>4</v>
      </c>
      <c r="Q267" s="564">
        <v>4</v>
      </c>
      <c r="R267" s="564" t="s">
        <v>7</v>
      </c>
      <c r="S267" s="564" t="s">
        <v>31549</v>
      </c>
      <c r="T267" s="564" t="s">
        <v>4</v>
      </c>
      <c r="U267" s="564" t="s">
        <v>2</v>
      </c>
      <c r="V267" s="564" t="s">
        <v>4</v>
      </c>
      <c r="W267" s="564" t="s">
        <v>4</v>
      </c>
      <c r="X267" s="564" t="s">
        <v>4</v>
      </c>
      <c r="Y267" s="564" t="s">
        <v>4</v>
      </c>
      <c r="Z267" s="565">
        <v>44562</v>
      </c>
      <c r="AA267" s="557" t="str">
        <f>IF(OR(U267="yes",Z267&gt;'SDG outcome'!$C$39),"yes","no")</f>
        <v>no</v>
      </c>
      <c r="AB267" s="565" t="str">
        <f t="shared" si="7"/>
        <v/>
      </c>
      <c r="AC267" s="566" t="str">
        <f>IF(AND('SMS p2'!AA27="no",AND(Z267&gt;='SDG outcome'!$B$28,Z267&lt;'SDG outcome'!$C$39)),Z267-'SDG outcome'!$B$28,"")</f>
        <v/>
      </c>
      <c r="AD267" s="564" t="s">
        <v>31572</v>
      </c>
      <c r="AE267" s="564" t="s">
        <v>4</v>
      </c>
      <c r="AF267" s="564" t="s">
        <v>7</v>
      </c>
      <c r="AG267" s="564" t="s">
        <v>33513</v>
      </c>
      <c r="AH267" s="564" t="s">
        <v>4</v>
      </c>
      <c r="AI267" s="564" t="s">
        <v>7</v>
      </c>
      <c r="AJ267" s="565">
        <v>45566</v>
      </c>
      <c r="AK267" s="564" t="s">
        <v>4</v>
      </c>
      <c r="AL267" s="564"/>
      <c r="AM267" s="564"/>
      <c r="AN267" s="564"/>
      <c r="AO267" s="564"/>
      <c r="AP267" s="564"/>
      <c r="AQ267" s="564"/>
      <c r="AR267" s="564"/>
      <c r="AS267" s="564"/>
      <c r="AT267" s="564"/>
      <c r="AU267" s="564"/>
      <c r="AV267" s="564"/>
      <c r="AW267" s="564"/>
      <c r="AX267" s="564"/>
      <c r="AY267" s="564"/>
      <c r="AZ267" s="564"/>
      <c r="BA267" s="564"/>
      <c r="BB267" s="564"/>
      <c r="BC267" s="564"/>
      <c r="BD267" s="564"/>
      <c r="BE267" s="564"/>
      <c r="BF267" s="564"/>
      <c r="BG267" s="564"/>
      <c r="BH267" s="564"/>
      <c r="BI267" s="564"/>
      <c r="BJ267" s="564"/>
      <c r="BK267" s="564"/>
      <c r="BL267" s="564"/>
      <c r="BM267" s="568"/>
      <c r="BN267" s="564"/>
      <c r="BO267" s="564"/>
      <c r="BP267" s="564"/>
      <c r="BQ267" s="564"/>
      <c r="BR267" s="567"/>
      <c r="BS267" s="564"/>
      <c r="BT267" s="564"/>
      <c r="BU267" s="564"/>
      <c r="BV267" s="564"/>
      <c r="BW267" s="567"/>
      <c r="BX267" s="563"/>
      <c r="BY267" s="564"/>
      <c r="BZ267" s="564"/>
      <c r="CA267" s="564"/>
      <c r="CB267" s="564"/>
      <c r="CC267" s="564"/>
      <c r="CD267" s="564"/>
      <c r="CE267" s="564"/>
      <c r="CF267" s="568"/>
      <c r="CG267" s="564"/>
      <c r="CH267" s="564"/>
      <c r="CI267" s="564"/>
      <c r="CJ267" s="564"/>
      <c r="CK267" s="564"/>
      <c r="CL267" s="564"/>
      <c r="CM267" s="564"/>
      <c r="CN267" s="564"/>
      <c r="CO267" s="564"/>
      <c r="CP267" s="564"/>
      <c r="CQ267" s="564"/>
      <c r="CR267" s="564"/>
      <c r="CS267" s="564"/>
      <c r="CT267" s="564"/>
      <c r="CU267" s="564"/>
      <c r="CV267" s="564"/>
      <c r="CW267" s="564"/>
      <c r="CX267" s="564"/>
      <c r="CY267" s="564"/>
      <c r="CZ267" s="564"/>
      <c r="DA267" s="564"/>
      <c r="DB267" s="564"/>
      <c r="DC267" s="564"/>
      <c r="DD267" s="564"/>
      <c r="DE267" s="564"/>
      <c r="DF267" s="564"/>
      <c r="DG267" s="564"/>
      <c r="DH267" s="564"/>
      <c r="DI267" s="564"/>
      <c r="DJ267" s="564"/>
      <c r="DK267" s="564"/>
      <c r="DL267" s="564"/>
      <c r="DM267" s="564"/>
      <c r="DN267" s="564"/>
      <c r="DO267" s="564"/>
      <c r="DP267" s="564"/>
      <c r="DQ267" s="564"/>
      <c r="DR267" s="564"/>
      <c r="DS267" s="569"/>
      <c r="DT267" s="564"/>
      <c r="DU267" s="569"/>
      <c r="DV267" s="564"/>
      <c r="DW267" s="564"/>
      <c r="DX267" s="564"/>
      <c r="DY267" s="564"/>
      <c r="DZ267" s="564"/>
      <c r="EA267" s="564"/>
      <c r="EB267" s="564"/>
      <c r="EC267" s="564"/>
      <c r="ED267" s="564"/>
      <c r="EE267" s="564"/>
      <c r="EF267" s="564"/>
      <c r="EG267" s="564"/>
      <c r="EH267" s="564"/>
      <c r="EI267" s="564"/>
      <c r="EJ267" s="564"/>
      <c r="EK267" s="564"/>
      <c r="EL267" s="564"/>
      <c r="EM267" s="564"/>
      <c r="EN267" s="564"/>
      <c r="EO267" s="564"/>
      <c r="EP267" s="564"/>
      <c r="EQ267" s="564"/>
      <c r="ER267" s="564"/>
      <c r="ES267" s="564"/>
      <c r="ET267" s="564"/>
      <c r="EU267" s="564"/>
      <c r="EV267" s="564"/>
      <c r="EW267" s="564"/>
      <c r="EX267" s="564"/>
      <c r="EY267" s="564"/>
      <c r="EZ267" s="239"/>
      <c r="FA267" s="564"/>
      <c r="FB267" s="564"/>
      <c r="FC267" s="564"/>
      <c r="FD267" s="564"/>
      <c r="FE267" s="564"/>
      <c r="FF267" s="564"/>
      <c r="FG267" s="564"/>
      <c r="FH267" s="564"/>
      <c r="FI267" s="564"/>
      <c r="FJ267" s="564"/>
      <c r="FK267" s="564"/>
      <c r="FL267" s="564"/>
      <c r="FM267" s="564"/>
      <c r="FN267" s="569"/>
      <c r="FO267" s="564"/>
      <c r="FP267" s="564"/>
      <c r="FQ267" s="564"/>
      <c r="FR267" s="564"/>
      <c r="FS267" s="564"/>
      <c r="FT267" s="564"/>
      <c r="FU267" s="564"/>
      <c r="FV267" s="564"/>
      <c r="FW267" s="564"/>
      <c r="FX267" s="564"/>
      <c r="FY267" s="564"/>
      <c r="FZ267" s="564"/>
      <c r="GA267" s="564"/>
      <c r="GB267" s="564"/>
      <c r="GC267" s="564"/>
      <c r="GD267" s="564"/>
      <c r="GE267" s="564"/>
      <c r="GF267" s="564"/>
      <c r="GG267" s="564"/>
      <c r="GH267" s="564"/>
      <c r="GI267" s="564"/>
      <c r="GJ267" s="564"/>
      <c r="GK267" s="564"/>
      <c r="GL267" s="564"/>
      <c r="GM267" s="564"/>
      <c r="GN267" s="564"/>
      <c r="GO267" s="564"/>
      <c r="GP267" s="564"/>
      <c r="GQ267" s="564"/>
      <c r="GR267" s="564"/>
      <c r="GS267" s="564"/>
      <c r="GT267" s="564"/>
      <c r="GU267" s="564"/>
      <c r="GV267" s="569"/>
      <c r="GW267" s="564"/>
      <c r="GX267" s="564"/>
      <c r="GY267" s="564"/>
      <c r="GZ267" s="564"/>
      <c r="HA267" s="564"/>
      <c r="HB267" s="564"/>
      <c r="HC267" s="564"/>
      <c r="HD267" s="564"/>
      <c r="HE267" s="564"/>
      <c r="HF267" s="564"/>
      <c r="HG267" s="564"/>
      <c r="HH267" s="564"/>
      <c r="HI267" s="564"/>
      <c r="HJ267" s="564"/>
      <c r="HK267" s="569"/>
      <c r="HL267" s="564" t="s">
        <v>33474</v>
      </c>
      <c r="HM267" s="564" t="s">
        <v>7</v>
      </c>
      <c r="HN267" s="564" t="s">
        <v>33514</v>
      </c>
      <c r="HO267" s="564" t="s">
        <v>16</v>
      </c>
      <c r="HP267" s="564" t="s">
        <v>33515</v>
      </c>
      <c r="HQ267" s="564" t="s">
        <v>33516</v>
      </c>
      <c r="HR267" s="564" t="s">
        <v>33517</v>
      </c>
      <c r="HS267" s="564" t="s">
        <v>33518</v>
      </c>
      <c r="HT267" s="564" t="s">
        <v>33519</v>
      </c>
    </row>
    <row r="268" spans="1:228" ht="30.2" customHeight="1" x14ac:dyDescent="0.25">
      <c r="A268" s="759"/>
      <c r="B268" s="563">
        <v>245</v>
      </c>
      <c r="C268" s="564" t="s">
        <v>28173</v>
      </c>
      <c r="D268" s="738" t="s">
        <v>36050</v>
      </c>
      <c r="E268" s="564" t="s">
        <v>35998</v>
      </c>
      <c r="F268" s="563" t="s">
        <v>7</v>
      </c>
      <c r="G268" s="564" t="s">
        <v>36051</v>
      </c>
      <c r="H268" s="564">
        <v>0</v>
      </c>
      <c r="I268" s="564">
        <v>3430.8490000000002</v>
      </c>
      <c r="J268" s="564" t="s">
        <v>29288</v>
      </c>
      <c r="K268" s="568" t="s">
        <v>4</v>
      </c>
      <c r="L268" s="564" t="s">
        <v>36052</v>
      </c>
      <c r="M268" s="563">
        <v>745049400</v>
      </c>
      <c r="N268" s="564" t="s">
        <v>3</v>
      </c>
      <c r="O268" s="564" t="s">
        <v>31438</v>
      </c>
      <c r="P268" s="564">
        <v>80</v>
      </c>
      <c r="Q268" s="564">
        <v>10</v>
      </c>
      <c r="R268" s="564" t="s">
        <v>7</v>
      </c>
      <c r="S268" s="564" t="s">
        <v>31588</v>
      </c>
      <c r="T268" s="564" t="s">
        <v>4</v>
      </c>
      <c r="U268" s="564" t="s">
        <v>2</v>
      </c>
      <c r="V268" s="564" t="s">
        <v>4</v>
      </c>
      <c r="W268" s="564" t="s">
        <v>4</v>
      </c>
      <c r="X268" s="564" t="s">
        <v>4</v>
      </c>
      <c r="Y268" s="564" t="s">
        <v>4</v>
      </c>
      <c r="Z268" s="565">
        <v>43016</v>
      </c>
      <c r="AA268" s="557" t="str">
        <f>IF(OR(U268="yes",Z268&gt;'SDG outcome'!$C$39),"yes","no")</f>
        <v>no</v>
      </c>
      <c r="AB268" s="565" t="str">
        <f t="shared" si="7"/>
        <v/>
      </c>
      <c r="AC268" s="566" t="str">
        <f>IF(AND('SMS p2'!AA256="no",AND(Z268&gt;='SDG outcome'!$B$28,Z268&lt;'SDG outcome'!$C$39)),Z268-'SDG outcome'!$B$28,"")</f>
        <v/>
      </c>
      <c r="AD268" s="564" t="s">
        <v>31572</v>
      </c>
      <c r="AE268" s="564" t="s">
        <v>4</v>
      </c>
      <c r="AF268" s="564" t="s">
        <v>7</v>
      </c>
      <c r="AG268" s="564" t="s">
        <v>36053</v>
      </c>
      <c r="AH268" s="564" t="s">
        <v>4</v>
      </c>
      <c r="AI268" s="564" t="s">
        <v>7</v>
      </c>
      <c r="AJ268" s="565">
        <v>45671</v>
      </c>
      <c r="AK268" s="564" t="s">
        <v>4</v>
      </c>
      <c r="AL268" s="564"/>
      <c r="AM268" s="564"/>
      <c r="AN268" s="564"/>
      <c r="AO268" s="564"/>
      <c r="AP268" s="564"/>
      <c r="AQ268" s="564"/>
      <c r="AR268" s="564"/>
      <c r="AS268" s="564"/>
      <c r="AT268" s="564"/>
      <c r="AU268" s="564"/>
      <c r="AV268" s="564"/>
      <c r="AW268" s="564"/>
      <c r="AX268" s="564"/>
      <c r="AY268" s="564"/>
      <c r="AZ268" s="564"/>
      <c r="BA268" s="564"/>
      <c r="BB268" s="564"/>
      <c r="BC268" s="564"/>
      <c r="BD268" s="564"/>
      <c r="BE268" s="564"/>
      <c r="BF268" s="564"/>
      <c r="BG268" s="564"/>
      <c r="BH268" s="564"/>
      <c r="BI268" s="564"/>
      <c r="BJ268" s="564"/>
      <c r="BK268" s="564"/>
      <c r="BL268" s="564"/>
      <c r="BM268" s="568"/>
      <c r="BN268" s="564"/>
      <c r="BO268" s="564"/>
      <c r="BP268" s="564"/>
      <c r="BQ268" s="564"/>
      <c r="BR268" s="567"/>
      <c r="BS268" s="564"/>
      <c r="BT268" s="564"/>
      <c r="BU268" s="564"/>
      <c r="BV268" s="564"/>
      <c r="BW268" s="567"/>
      <c r="BX268" s="563"/>
      <c r="BY268" s="564"/>
      <c r="BZ268" s="564"/>
      <c r="CA268" s="564"/>
      <c r="CB268" s="564"/>
      <c r="CC268" s="564"/>
      <c r="CD268" s="564"/>
      <c r="CE268" s="564"/>
      <c r="CF268" s="568"/>
      <c r="CG268" s="564"/>
      <c r="CH268" s="564"/>
      <c r="CI268" s="564"/>
      <c r="CJ268" s="564"/>
      <c r="CK268" s="564"/>
      <c r="CL268" s="564"/>
      <c r="CM268" s="564"/>
      <c r="CN268" s="564"/>
      <c r="CO268" s="564"/>
      <c r="CP268" s="564"/>
      <c r="CQ268" s="564"/>
      <c r="CR268" s="564"/>
      <c r="CS268" s="564"/>
      <c r="CT268" s="564"/>
      <c r="CU268" s="564"/>
      <c r="CV268" s="564"/>
      <c r="CW268" s="564"/>
      <c r="CX268" s="564"/>
      <c r="CY268" s="564"/>
      <c r="CZ268" s="564"/>
      <c r="DA268" s="564"/>
      <c r="DB268" s="564"/>
      <c r="DC268" s="564"/>
      <c r="DD268" s="564"/>
      <c r="DE268" s="564"/>
      <c r="DF268" s="564"/>
      <c r="DG268" s="564"/>
      <c r="DH268" s="564"/>
      <c r="DI268" s="564"/>
      <c r="DJ268" s="564"/>
      <c r="DK268" s="564"/>
      <c r="DL268" s="564"/>
      <c r="DM268" s="564"/>
      <c r="DN268" s="564"/>
      <c r="DO268" s="564"/>
      <c r="DP268" s="564"/>
      <c r="DQ268" s="564"/>
      <c r="DR268" s="564"/>
      <c r="DS268" s="569"/>
      <c r="DT268" s="564"/>
      <c r="DU268" s="569"/>
      <c r="DV268" s="564"/>
      <c r="DW268" s="564"/>
      <c r="DX268" s="564"/>
      <c r="DY268" s="564"/>
      <c r="DZ268" s="564"/>
      <c r="EA268" s="564"/>
      <c r="EB268" s="564"/>
      <c r="EC268" s="564"/>
      <c r="ED268" s="564"/>
      <c r="EE268" s="564"/>
      <c r="EF268" s="564"/>
      <c r="EG268" s="564"/>
      <c r="EH268" s="564"/>
      <c r="EI268" s="564"/>
      <c r="EJ268" s="564"/>
      <c r="EK268" s="564"/>
      <c r="EL268" s="564"/>
      <c r="EM268" s="564"/>
      <c r="EN268" s="564"/>
      <c r="EO268" s="564"/>
      <c r="EP268" s="564"/>
      <c r="EQ268" s="564"/>
      <c r="ER268" s="564"/>
      <c r="ES268" s="564"/>
      <c r="ET268" s="564"/>
      <c r="EU268" s="564"/>
      <c r="EV268" s="564"/>
      <c r="EW268" s="564"/>
      <c r="EX268" s="564"/>
      <c r="EY268" s="564"/>
      <c r="EZ268" s="239"/>
      <c r="FA268" s="564"/>
      <c r="FB268" s="564"/>
      <c r="FC268" s="564"/>
      <c r="FD268" s="564"/>
      <c r="FE268" s="564"/>
      <c r="FF268" s="564"/>
      <c r="FG268" s="564"/>
      <c r="FH268" s="564"/>
      <c r="FI268" s="564"/>
      <c r="FJ268" s="564"/>
      <c r="FK268" s="564"/>
      <c r="FL268" s="564"/>
      <c r="FM268" s="564"/>
      <c r="FN268" s="569"/>
      <c r="FO268" s="564"/>
      <c r="FP268" s="564"/>
      <c r="FQ268" s="564"/>
      <c r="FR268" s="564"/>
      <c r="FS268" s="564"/>
      <c r="FT268" s="564"/>
      <c r="FU268" s="564"/>
      <c r="FV268" s="564"/>
      <c r="FW268" s="564"/>
      <c r="FX268" s="564"/>
      <c r="FY268" s="564"/>
      <c r="FZ268" s="564"/>
      <c r="GA268" s="564"/>
      <c r="GB268" s="564"/>
      <c r="GC268" s="564"/>
      <c r="GD268" s="564"/>
      <c r="GE268" s="564"/>
      <c r="GF268" s="564"/>
      <c r="GG268" s="564"/>
      <c r="GH268" s="564"/>
      <c r="GI268" s="564"/>
      <c r="GJ268" s="564"/>
      <c r="GK268" s="564"/>
      <c r="GL268" s="564"/>
      <c r="GM268" s="564"/>
      <c r="GN268" s="564"/>
      <c r="GO268" s="564"/>
      <c r="GP268" s="564"/>
      <c r="GQ268" s="564"/>
      <c r="GR268" s="564"/>
      <c r="GS268" s="564"/>
      <c r="GT268" s="564"/>
      <c r="GU268" s="564"/>
      <c r="GV268" s="569"/>
      <c r="GW268" s="564"/>
      <c r="GX268" s="564"/>
      <c r="GY268" s="564"/>
      <c r="GZ268" s="564"/>
      <c r="HA268" s="564"/>
      <c r="HB268" s="564"/>
      <c r="HC268" s="564"/>
      <c r="HD268" s="564"/>
      <c r="HE268" s="564"/>
      <c r="HF268" s="564"/>
      <c r="HG268" s="564"/>
      <c r="HH268" s="564"/>
      <c r="HI268" s="564"/>
      <c r="HJ268" s="564"/>
      <c r="HK268" s="569"/>
      <c r="HL268" s="564" t="s">
        <v>36054</v>
      </c>
      <c r="HM268" s="564" t="s">
        <v>7</v>
      </c>
      <c r="HN268" s="564" t="s">
        <v>36055</v>
      </c>
      <c r="HO268" s="564" t="s">
        <v>36056</v>
      </c>
      <c r="HP268" s="564" t="s">
        <v>36057</v>
      </c>
      <c r="HQ268" s="564" t="s">
        <v>16</v>
      </c>
      <c r="HR268" s="564" t="s">
        <v>36058</v>
      </c>
      <c r="HS268" s="564" t="s">
        <v>36059</v>
      </c>
      <c r="HT268" s="564" t="s">
        <v>33481</v>
      </c>
    </row>
    <row r="269" spans="1:228" ht="30.2" customHeight="1" x14ac:dyDescent="0.25">
      <c r="A269" s="759"/>
      <c r="B269" s="563">
        <v>119</v>
      </c>
      <c r="C269" s="564" t="s">
        <v>25349</v>
      </c>
      <c r="D269" s="738" t="s">
        <v>34693</v>
      </c>
      <c r="E269" s="564" t="s">
        <v>34639</v>
      </c>
      <c r="F269" s="563" t="s">
        <v>7</v>
      </c>
      <c r="G269" s="564" t="s">
        <v>34694</v>
      </c>
      <c r="H269" s="564">
        <v>1349.3</v>
      </c>
      <c r="I269" s="564">
        <v>5</v>
      </c>
      <c r="J269" s="564" t="s">
        <v>29288</v>
      </c>
      <c r="K269" s="568" t="s">
        <v>4</v>
      </c>
      <c r="L269" s="564" t="s">
        <v>25350</v>
      </c>
      <c r="M269" s="563">
        <v>702837183</v>
      </c>
      <c r="N269" s="564" t="s">
        <v>3</v>
      </c>
      <c r="O269" s="564" t="s">
        <v>31438</v>
      </c>
      <c r="P269" s="564">
        <v>60</v>
      </c>
      <c r="Q269" s="564">
        <v>3</v>
      </c>
      <c r="R269" s="564" t="s">
        <v>7</v>
      </c>
      <c r="S269" s="564" t="s">
        <v>31622</v>
      </c>
      <c r="T269" s="564" t="s">
        <v>34695</v>
      </c>
      <c r="U269" s="564" t="s">
        <v>2</v>
      </c>
      <c r="V269" s="564" t="s">
        <v>4</v>
      </c>
      <c r="W269" s="564" t="s">
        <v>4</v>
      </c>
      <c r="X269" s="564" t="s">
        <v>4</v>
      </c>
      <c r="Y269" s="564" t="s">
        <v>4</v>
      </c>
      <c r="Z269" s="565">
        <v>44826</v>
      </c>
      <c r="AA269" s="557" t="str">
        <f>IF(OR(U269="yes",Z269&gt;'SDG outcome'!$C$39),"yes","no")</f>
        <v>no</v>
      </c>
      <c r="AB269" s="565" t="str">
        <f t="shared" ref="AB269:AB285" si="8">IF(AA269="no","",W269)</f>
        <v/>
      </c>
      <c r="AC269" s="566" t="str">
        <f>IF(AND('SMS p2'!AA131="no",AND(Z269&gt;='SDG outcome'!$B$28,Z269&lt;'SDG outcome'!$C$39)),Z269-'SDG outcome'!$B$28,"")</f>
        <v/>
      </c>
      <c r="AD269" s="564" t="s">
        <v>31572</v>
      </c>
      <c r="AE269" s="564" t="s">
        <v>4</v>
      </c>
      <c r="AF269" s="564" t="s">
        <v>7</v>
      </c>
      <c r="AG269" s="564" t="s">
        <v>34696</v>
      </c>
      <c r="AH269" s="564" t="s">
        <v>4</v>
      </c>
      <c r="AI269" s="564" t="s">
        <v>7</v>
      </c>
      <c r="AJ269" s="565">
        <v>45557</v>
      </c>
      <c r="AK269" s="564" t="s">
        <v>4</v>
      </c>
      <c r="AL269" s="564"/>
      <c r="AM269" s="564"/>
      <c r="AN269" s="564"/>
      <c r="AO269" s="564"/>
      <c r="AP269" s="564"/>
      <c r="AQ269" s="564"/>
      <c r="AR269" s="564"/>
      <c r="AS269" s="564"/>
      <c r="AT269" s="564"/>
      <c r="AU269" s="564"/>
      <c r="AV269" s="564"/>
      <c r="AW269" s="564"/>
      <c r="AX269" s="564"/>
      <c r="AY269" s="564"/>
      <c r="AZ269" s="564"/>
      <c r="BA269" s="564"/>
      <c r="BB269" s="564"/>
      <c r="BC269" s="564"/>
      <c r="BD269" s="564"/>
      <c r="BE269" s="564"/>
      <c r="BF269" s="564"/>
      <c r="BG269" s="564"/>
      <c r="BH269" s="564"/>
      <c r="BI269" s="564"/>
      <c r="BJ269" s="564"/>
      <c r="BK269" s="564"/>
      <c r="BL269" s="564"/>
      <c r="BM269" s="568"/>
      <c r="BN269" s="564"/>
      <c r="BO269" s="564"/>
      <c r="BP269" s="564"/>
      <c r="BQ269" s="564"/>
      <c r="BR269" s="567"/>
      <c r="BS269" s="564"/>
      <c r="BT269" s="564"/>
      <c r="BU269" s="564"/>
      <c r="BV269" s="564"/>
      <c r="BW269" s="567"/>
      <c r="BX269" s="563"/>
      <c r="BY269" s="564"/>
      <c r="BZ269" s="564"/>
      <c r="CA269" s="564"/>
      <c r="CB269" s="564"/>
      <c r="CC269" s="564"/>
      <c r="CD269" s="564"/>
      <c r="CE269" s="564"/>
      <c r="CF269" s="568"/>
      <c r="CG269" s="564"/>
      <c r="CH269" s="564"/>
      <c r="CI269" s="564"/>
      <c r="CJ269" s="564"/>
      <c r="CK269" s="564"/>
      <c r="CL269" s="564"/>
      <c r="CM269" s="564"/>
      <c r="CN269" s="564"/>
      <c r="CO269" s="564"/>
      <c r="CP269" s="564"/>
      <c r="CQ269" s="564"/>
      <c r="CR269" s="564"/>
      <c r="CS269" s="564"/>
      <c r="CT269" s="564"/>
      <c r="CU269" s="564"/>
      <c r="CV269" s="564"/>
      <c r="CW269" s="564"/>
      <c r="CX269" s="564"/>
      <c r="CY269" s="564"/>
      <c r="CZ269" s="564"/>
      <c r="DA269" s="564"/>
      <c r="DB269" s="564"/>
      <c r="DC269" s="564"/>
      <c r="DD269" s="564"/>
      <c r="DE269" s="564"/>
      <c r="DF269" s="564"/>
      <c r="DG269" s="564"/>
      <c r="DH269" s="564"/>
      <c r="DI269" s="564"/>
      <c r="DJ269" s="564"/>
      <c r="DK269" s="564"/>
      <c r="DL269" s="564"/>
      <c r="DM269" s="564"/>
      <c r="DN269" s="564"/>
      <c r="DO269" s="564"/>
      <c r="DP269" s="564"/>
      <c r="DQ269" s="564"/>
      <c r="DR269" s="564"/>
      <c r="DS269" s="569"/>
      <c r="DT269" s="564"/>
      <c r="DU269" s="569"/>
      <c r="DV269" s="564"/>
      <c r="DW269" s="564"/>
      <c r="DX269" s="564"/>
      <c r="DY269" s="564"/>
      <c r="DZ269" s="564"/>
      <c r="EA269" s="564"/>
      <c r="EB269" s="564"/>
      <c r="EC269" s="564"/>
      <c r="ED269" s="564"/>
      <c r="EE269" s="564"/>
      <c r="EF269" s="564"/>
      <c r="EG269" s="564"/>
      <c r="EH269" s="564"/>
      <c r="EI269" s="564"/>
      <c r="EJ269" s="564"/>
      <c r="EK269" s="564"/>
      <c r="EL269" s="564"/>
      <c r="EM269" s="564"/>
      <c r="EN269" s="564"/>
      <c r="EO269" s="564"/>
      <c r="EP269" s="564"/>
      <c r="EQ269" s="564"/>
      <c r="ER269" s="564"/>
      <c r="ES269" s="564"/>
      <c r="ET269" s="564"/>
      <c r="EU269" s="564"/>
      <c r="EV269" s="564"/>
      <c r="EW269" s="564"/>
      <c r="EX269" s="564"/>
      <c r="EY269" s="564"/>
      <c r="EZ269" s="239"/>
      <c r="FA269" s="564"/>
      <c r="FB269" s="564"/>
      <c r="FC269" s="564"/>
      <c r="FD269" s="564"/>
      <c r="FE269" s="564"/>
      <c r="FF269" s="564"/>
      <c r="FG269" s="564"/>
      <c r="FH269" s="564"/>
      <c r="FI269" s="564"/>
      <c r="FJ269" s="564"/>
      <c r="FK269" s="564"/>
      <c r="FL269" s="564"/>
      <c r="FM269" s="564"/>
      <c r="FN269" s="569"/>
      <c r="FO269" s="564"/>
      <c r="FP269" s="564"/>
      <c r="FQ269" s="564"/>
      <c r="FR269" s="564"/>
      <c r="FS269" s="564"/>
      <c r="FT269" s="564"/>
      <c r="FU269" s="564"/>
      <c r="FV269" s="564"/>
      <c r="FW269" s="564"/>
      <c r="FX269" s="564"/>
      <c r="FY269" s="564"/>
      <c r="FZ269" s="564"/>
      <c r="GA269" s="564"/>
      <c r="GB269" s="564"/>
      <c r="GC269" s="564"/>
      <c r="GD269" s="564"/>
      <c r="GE269" s="564"/>
      <c r="GF269" s="564"/>
      <c r="GG269" s="564"/>
      <c r="GH269" s="564"/>
      <c r="GI269" s="564"/>
      <c r="GJ269" s="564"/>
      <c r="GK269" s="564"/>
      <c r="GL269" s="564"/>
      <c r="GM269" s="564"/>
      <c r="GN269" s="564"/>
      <c r="GO269" s="564"/>
      <c r="GP269" s="564"/>
      <c r="GQ269" s="564"/>
      <c r="GR269" s="564"/>
      <c r="GS269" s="564"/>
      <c r="GT269" s="564"/>
      <c r="GU269" s="564"/>
      <c r="GV269" s="569"/>
      <c r="GW269" s="564"/>
      <c r="GX269" s="564"/>
      <c r="GY269" s="564"/>
      <c r="GZ269" s="564"/>
      <c r="HA269" s="564"/>
      <c r="HB269" s="564"/>
      <c r="HC269" s="564"/>
      <c r="HD269" s="564"/>
      <c r="HE269" s="564"/>
      <c r="HF269" s="564"/>
      <c r="HG269" s="564"/>
      <c r="HH269" s="564"/>
      <c r="HI269" s="564"/>
      <c r="HJ269" s="564"/>
      <c r="HK269" s="569"/>
      <c r="HL269" s="564" t="s">
        <v>34697</v>
      </c>
      <c r="HM269" s="564" t="s">
        <v>7</v>
      </c>
      <c r="HN269" s="564" t="s">
        <v>34644</v>
      </c>
      <c r="HO269" s="564" t="s">
        <v>34698</v>
      </c>
      <c r="HP269" s="564" t="s">
        <v>34699</v>
      </c>
      <c r="HQ269" s="564" t="s">
        <v>34700</v>
      </c>
      <c r="HR269" s="564" t="s">
        <v>34701</v>
      </c>
      <c r="HS269" s="564" t="s">
        <v>34702</v>
      </c>
      <c r="HT269" s="564" t="s">
        <v>34703</v>
      </c>
    </row>
    <row r="270" spans="1:228" ht="30.2" customHeight="1" x14ac:dyDescent="0.25">
      <c r="A270" s="759"/>
      <c r="B270" s="563">
        <v>116</v>
      </c>
      <c r="C270" s="564" t="s">
        <v>24958</v>
      </c>
      <c r="D270" s="738" t="s">
        <v>34662</v>
      </c>
      <c r="E270" s="564" t="s">
        <v>34639</v>
      </c>
      <c r="F270" s="563" t="s">
        <v>7</v>
      </c>
      <c r="G270" s="564" t="s">
        <v>34663</v>
      </c>
      <c r="H270" s="564">
        <v>1360.7</v>
      </c>
      <c r="I270" s="564">
        <v>3.6</v>
      </c>
      <c r="J270" s="564" t="s">
        <v>29288</v>
      </c>
      <c r="K270" s="568" t="s">
        <v>4</v>
      </c>
      <c r="L270" s="564" t="s">
        <v>34664</v>
      </c>
      <c r="M270" s="563">
        <v>772836369</v>
      </c>
      <c r="N270" s="564" t="s">
        <v>3</v>
      </c>
      <c r="O270" s="564" t="s">
        <v>31438</v>
      </c>
      <c r="P270" s="564">
        <v>71</v>
      </c>
      <c r="Q270" s="564">
        <v>6</v>
      </c>
      <c r="R270" s="564" t="s">
        <v>7</v>
      </c>
      <c r="S270" s="564" t="s">
        <v>31588</v>
      </c>
      <c r="T270" s="564" t="s">
        <v>4</v>
      </c>
      <c r="U270" s="564" t="s">
        <v>2</v>
      </c>
      <c r="V270" s="564" t="s">
        <v>4</v>
      </c>
      <c r="W270" s="564" t="s">
        <v>4</v>
      </c>
      <c r="X270" s="564" t="s">
        <v>4</v>
      </c>
      <c r="Y270" s="564" t="s">
        <v>4</v>
      </c>
      <c r="Z270" s="565">
        <v>45534</v>
      </c>
      <c r="AA270" s="557" t="str">
        <f>IF(OR(U270="yes",Z270&gt;'SDG outcome'!$C$39),"yes","no")</f>
        <v>yes</v>
      </c>
      <c r="AB270" s="565" t="str">
        <f t="shared" si="8"/>
        <v>NA</v>
      </c>
      <c r="AC270" s="566" t="str">
        <f>IF(AND('SMS p2'!AA128="no",AND(Z270&gt;='SDG outcome'!$B$28,Z270&lt;'SDG outcome'!$C$39)),Z270-'SDG outcome'!$B$28,"")</f>
        <v/>
      </c>
      <c r="AD270" s="564" t="s">
        <v>31572</v>
      </c>
      <c r="AE270" s="564" t="s">
        <v>4</v>
      </c>
      <c r="AF270" s="564" t="s">
        <v>7</v>
      </c>
      <c r="AG270" s="564" t="s">
        <v>34665</v>
      </c>
      <c r="AH270" s="564" t="s">
        <v>4</v>
      </c>
      <c r="AI270" s="564" t="s">
        <v>7</v>
      </c>
      <c r="AJ270" s="565">
        <v>45556</v>
      </c>
      <c r="AK270" s="564" t="s">
        <v>4</v>
      </c>
      <c r="AL270" s="564"/>
      <c r="AM270" s="564"/>
      <c r="AN270" s="564"/>
      <c r="AO270" s="564"/>
      <c r="AP270" s="564"/>
      <c r="AQ270" s="564"/>
      <c r="AR270" s="564"/>
      <c r="AS270" s="564"/>
      <c r="AT270" s="564"/>
      <c r="AU270" s="564"/>
      <c r="AV270" s="564"/>
      <c r="AW270" s="564"/>
      <c r="AX270" s="564"/>
      <c r="AY270" s="564"/>
      <c r="AZ270" s="564"/>
      <c r="BA270" s="564"/>
      <c r="BB270" s="564"/>
      <c r="BC270" s="564"/>
      <c r="BD270" s="564"/>
      <c r="BE270" s="564"/>
      <c r="BF270" s="564"/>
      <c r="BG270" s="564"/>
      <c r="BH270" s="564"/>
      <c r="BI270" s="564"/>
      <c r="BJ270" s="564"/>
      <c r="BK270" s="564"/>
      <c r="BL270" s="564"/>
      <c r="BM270" s="568"/>
      <c r="BN270" s="564"/>
      <c r="BO270" s="564"/>
      <c r="BP270" s="564"/>
      <c r="BQ270" s="564"/>
      <c r="BR270" s="567"/>
      <c r="BS270" s="564"/>
      <c r="BT270" s="564"/>
      <c r="BU270" s="564"/>
      <c r="BV270" s="564"/>
      <c r="BW270" s="567"/>
      <c r="BX270" s="563"/>
      <c r="BY270" s="564"/>
      <c r="BZ270" s="564"/>
      <c r="CA270" s="564"/>
      <c r="CB270" s="564"/>
      <c r="CC270" s="564"/>
      <c r="CD270" s="564"/>
      <c r="CE270" s="564"/>
      <c r="CF270" s="568"/>
      <c r="CG270" s="564"/>
      <c r="CH270" s="564"/>
      <c r="CI270" s="564"/>
      <c r="CJ270" s="564"/>
      <c r="CK270" s="564"/>
      <c r="CL270" s="564"/>
      <c r="CM270" s="564"/>
      <c r="CN270" s="564"/>
      <c r="CO270" s="564"/>
      <c r="CP270" s="564"/>
      <c r="CQ270" s="564"/>
      <c r="CR270" s="564"/>
      <c r="CS270" s="564"/>
      <c r="CT270" s="564"/>
      <c r="CU270" s="564"/>
      <c r="CV270" s="564"/>
      <c r="CW270" s="564"/>
      <c r="CX270" s="564"/>
      <c r="CY270" s="564"/>
      <c r="CZ270" s="564"/>
      <c r="DA270" s="564"/>
      <c r="DB270" s="564"/>
      <c r="DC270" s="564"/>
      <c r="DD270" s="564"/>
      <c r="DE270" s="564"/>
      <c r="DF270" s="564"/>
      <c r="DG270" s="564"/>
      <c r="DH270" s="564"/>
      <c r="DI270" s="564"/>
      <c r="DJ270" s="564"/>
      <c r="DK270" s="564"/>
      <c r="DL270" s="564"/>
      <c r="DM270" s="564"/>
      <c r="DN270" s="564"/>
      <c r="DO270" s="564"/>
      <c r="DP270" s="564"/>
      <c r="DQ270" s="564"/>
      <c r="DR270" s="564"/>
      <c r="DS270" s="569"/>
      <c r="DT270" s="564"/>
      <c r="DU270" s="569"/>
      <c r="DV270" s="564"/>
      <c r="DW270" s="564"/>
      <c r="DX270" s="564"/>
      <c r="DY270" s="564"/>
      <c r="DZ270" s="564"/>
      <c r="EA270" s="564"/>
      <c r="EB270" s="564"/>
      <c r="EC270" s="564"/>
      <c r="ED270" s="564"/>
      <c r="EE270" s="564"/>
      <c r="EF270" s="564"/>
      <c r="EG270" s="564"/>
      <c r="EH270" s="564"/>
      <c r="EI270" s="564"/>
      <c r="EJ270" s="564"/>
      <c r="EK270" s="564"/>
      <c r="EL270" s="564"/>
      <c r="EM270" s="564"/>
      <c r="EN270" s="564"/>
      <c r="EO270" s="564"/>
      <c r="EP270" s="564"/>
      <c r="EQ270" s="564"/>
      <c r="ER270" s="564"/>
      <c r="ES270" s="564"/>
      <c r="ET270" s="564"/>
      <c r="EU270" s="564"/>
      <c r="EV270" s="564"/>
      <c r="EW270" s="564"/>
      <c r="EX270" s="564"/>
      <c r="EY270" s="564"/>
      <c r="EZ270" s="239"/>
      <c r="FA270" s="564"/>
      <c r="FB270" s="564"/>
      <c r="FC270" s="564"/>
      <c r="FD270" s="564"/>
      <c r="FE270" s="564"/>
      <c r="FF270" s="564"/>
      <c r="FG270" s="564"/>
      <c r="FH270" s="564"/>
      <c r="FI270" s="564"/>
      <c r="FJ270" s="564"/>
      <c r="FK270" s="564"/>
      <c r="FL270" s="564"/>
      <c r="FM270" s="564"/>
      <c r="FN270" s="569"/>
      <c r="FO270" s="564"/>
      <c r="FP270" s="564"/>
      <c r="FQ270" s="564"/>
      <c r="FR270" s="564"/>
      <c r="FS270" s="564"/>
      <c r="FT270" s="564"/>
      <c r="FU270" s="564"/>
      <c r="FV270" s="564"/>
      <c r="FW270" s="564"/>
      <c r="FX270" s="564"/>
      <c r="FY270" s="564"/>
      <c r="FZ270" s="564"/>
      <c r="GA270" s="564"/>
      <c r="GB270" s="564"/>
      <c r="GC270" s="564"/>
      <c r="GD270" s="564"/>
      <c r="GE270" s="564"/>
      <c r="GF270" s="564"/>
      <c r="GG270" s="564"/>
      <c r="GH270" s="564"/>
      <c r="GI270" s="564"/>
      <c r="GJ270" s="564"/>
      <c r="GK270" s="564"/>
      <c r="GL270" s="564"/>
      <c r="GM270" s="564"/>
      <c r="GN270" s="564"/>
      <c r="GO270" s="564"/>
      <c r="GP270" s="564"/>
      <c r="GQ270" s="564"/>
      <c r="GR270" s="564"/>
      <c r="GS270" s="564"/>
      <c r="GT270" s="564"/>
      <c r="GU270" s="564"/>
      <c r="GV270" s="569"/>
      <c r="GW270" s="564"/>
      <c r="GX270" s="564"/>
      <c r="GY270" s="564"/>
      <c r="GZ270" s="564"/>
      <c r="HA270" s="564"/>
      <c r="HB270" s="564"/>
      <c r="HC270" s="564"/>
      <c r="HD270" s="564"/>
      <c r="HE270" s="564"/>
      <c r="HF270" s="564"/>
      <c r="HG270" s="564"/>
      <c r="HH270" s="564"/>
      <c r="HI270" s="564"/>
      <c r="HJ270" s="564"/>
      <c r="HK270" s="569"/>
      <c r="HL270" s="564" t="s">
        <v>34666</v>
      </c>
      <c r="HM270" s="564" t="s">
        <v>7</v>
      </c>
      <c r="HN270" s="564" t="s">
        <v>34667</v>
      </c>
      <c r="HO270" s="564" t="s">
        <v>34668</v>
      </c>
      <c r="HP270" s="564" t="s">
        <v>34669</v>
      </c>
      <c r="HQ270" s="564" t="s">
        <v>34670</v>
      </c>
      <c r="HR270" s="564" t="s">
        <v>34671</v>
      </c>
      <c r="HS270" s="564" t="s">
        <v>34672</v>
      </c>
      <c r="HT270" s="564" t="s">
        <v>34662</v>
      </c>
    </row>
    <row r="271" spans="1:228" ht="30.2" customHeight="1" x14ac:dyDescent="0.25">
      <c r="A271" s="759"/>
      <c r="B271" s="563">
        <v>156</v>
      </c>
      <c r="C271" s="564" t="s">
        <v>4365</v>
      </c>
      <c r="D271" s="738" t="s">
        <v>35097</v>
      </c>
      <c r="E271" s="564" t="s">
        <v>35057</v>
      </c>
      <c r="F271" s="563" t="s">
        <v>7</v>
      </c>
      <c r="G271" s="564" t="s">
        <v>35098</v>
      </c>
      <c r="H271" s="564">
        <v>1155.720337</v>
      </c>
      <c r="I271" s="564">
        <v>4.9563259999999998</v>
      </c>
      <c r="J271" s="564" t="s">
        <v>29319</v>
      </c>
      <c r="K271" s="568" t="s">
        <v>4</v>
      </c>
      <c r="L271" s="564" t="s">
        <v>4366</v>
      </c>
      <c r="M271" s="563">
        <v>702705711</v>
      </c>
      <c r="N271" s="564" t="s">
        <v>5</v>
      </c>
      <c r="O271" s="564" t="s">
        <v>31590</v>
      </c>
      <c r="P271" s="564" t="s">
        <v>4</v>
      </c>
      <c r="Q271" s="564">
        <v>9</v>
      </c>
      <c r="R271" s="564" t="s">
        <v>7</v>
      </c>
      <c r="S271" s="564" t="s">
        <v>31588</v>
      </c>
      <c r="T271" s="564" t="s">
        <v>4</v>
      </c>
      <c r="U271" s="564" t="s">
        <v>2</v>
      </c>
      <c r="V271" s="564" t="s">
        <v>4</v>
      </c>
      <c r="W271" s="564" t="s">
        <v>4</v>
      </c>
      <c r="X271" s="564" t="s">
        <v>4</v>
      </c>
      <c r="Y271" s="564" t="s">
        <v>4</v>
      </c>
      <c r="Z271" s="565">
        <v>43800</v>
      </c>
      <c r="AA271" s="557" t="str">
        <f>IF(OR(U271="yes",Z271&gt;'SDG outcome'!$C$39),"yes","no")</f>
        <v>no</v>
      </c>
      <c r="AB271" s="565" t="str">
        <f t="shared" si="8"/>
        <v/>
      </c>
      <c r="AC271" s="566" t="str">
        <f>IF(AND('SMS p2'!AA168="no",AND(Z271&gt;='SDG outcome'!$B$28,Z271&lt;'SDG outcome'!$C$39)),Z271-'SDG outcome'!$B$28,"")</f>
        <v/>
      </c>
      <c r="AD271" s="564" t="s">
        <v>31572</v>
      </c>
      <c r="AE271" s="564" t="s">
        <v>4</v>
      </c>
      <c r="AF271" s="564" t="s">
        <v>7</v>
      </c>
      <c r="AG271" s="564" t="s">
        <v>35099</v>
      </c>
      <c r="AH271" s="564" t="s">
        <v>4</v>
      </c>
      <c r="AI271" s="564" t="s">
        <v>2</v>
      </c>
      <c r="AJ271" s="564" t="s">
        <v>4</v>
      </c>
      <c r="AK271" s="564" t="s">
        <v>4</v>
      </c>
      <c r="AL271" s="564"/>
      <c r="AM271" s="564"/>
      <c r="AN271" s="564"/>
      <c r="AO271" s="564"/>
      <c r="AP271" s="564"/>
      <c r="AQ271" s="564"/>
      <c r="AR271" s="564"/>
      <c r="AS271" s="564"/>
      <c r="AT271" s="564"/>
      <c r="AU271" s="564"/>
      <c r="AV271" s="564"/>
      <c r="AW271" s="564"/>
      <c r="AX271" s="564"/>
      <c r="AY271" s="564"/>
      <c r="AZ271" s="564"/>
      <c r="BA271" s="564"/>
      <c r="BB271" s="564"/>
      <c r="BC271" s="564"/>
      <c r="BD271" s="564"/>
      <c r="BE271" s="564"/>
      <c r="BF271" s="564"/>
      <c r="BG271" s="564"/>
      <c r="BH271" s="564"/>
      <c r="BI271" s="564"/>
      <c r="BJ271" s="564"/>
      <c r="BK271" s="564"/>
      <c r="BL271" s="564"/>
      <c r="BM271" s="568"/>
      <c r="BN271" s="564"/>
      <c r="BO271" s="564"/>
      <c r="BP271" s="564"/>
      <c r="BQ271" s="564"/>
      <c r="BR271" s="567"/>
      <c r="BS271" s="564"/>
      <c r="BT271" s="564"/>
      <c r="BU271" s="564"/>
      <c r="BV271" s="564"/>
      <c r="BW271" s="567"/>
      <c r="BX271" s="563"/>
      <c r="BY271" s="564"/>
      <c r="BZ271" s="564"/>
      <c r="CA271" s="564"/>
      <c r="CB271" s="564"/>
      <c r="CC271" s="564"/>
      <c r="CD271" s="564"/>
      <c r="CE271" s="564"/>
      <c r="CF271" s="568"/>
      <c r="CG271" s="564"/>
      <c r="CH271" s="564"/>
      <c r="CI271" s="564"/>
      <c r="CJ271" s="564"/>
      <c r="CK271" s="564"/>
      <c r="CL271" s="564"/>
      <c r="CM271" s="564"/>
      <c r="CN271" s="564"/>
      <c r="CO271" s="564"/>
      <c r="CP271" s="564"/>
      <c r="CQ271" s="564"/>
      <c r="CR271" s="564"/>
      <c r="CS271" s="564"/>
      <c r="CT271" s="564"/>
      <c r="CU271" s="564"/>
      <c r="CV271" s="564"/>
      <c r="CW271" s="564"/>
      <c r="CX271" s="564"/>
      <c r="CY271" s="564"/>
      <c r="CZ271" s="564"/>
      <c r="DA271" s="564"/>
      <c r="DB271" s="564"/>
      <c r="DC271" s="564"/>
      <c r="DD271" s="564"/>
      <c r="DE271" s="564"/>
      <c r="DF271" s="564"/>
      <c r="DG271" s="564"/>
      <c r="DH271" s="564"/>
      <c r="DI271" s="564"/>
      <c r="DJ271" s="564"/>
      <c r="DK271" s="564"/>
      <c r="DL271" s="564"/>
      <c r="DM271" s="564"/>
      <c r="DN271" s="564"/>
      <c r="DO271" s="564"/>
      <c r="DP271" s="564"/>
      <c r="DQ271" s="564"/>
      <c r="DR271" s="564"/>
      <c r="DS271" s="569"/>
      <c r="DT271" s="564"/>
      <c r="DU271" s="569"/>
      <c r="DV271" s="564"/>
      <c r="DW271" s="564"/>
      <c r="DX271" s="564"/>
      <c r="DY271" s="564"/>
      <c r="DZ271" s="564"/>
      <c r="EA271" s="564"/>
      <c r="EB271" s="564"/>
      <c r="EC271" s="564"/>
      <c r="ED271" s="564"/>
      <c r="EE271" s="564"/>
      <c r="EF271" s="564"/>
      <c r="EG271" s="564"/>
      <c r="EH271" s="564"/>
      <c r="EI271" s="564"/>
      <c r="EJ271" s="564"/>
      <c r="EK271" s="564"/>
      <c r="EL271" s="564"/>
      <c r="EM271" s="564"/>
      <c r="EN271" s="564"/>
      <c r="EO271" s="564"/>
      <c r="EP271" s="564"/>
      <c r="EQ271" s="564"/>
      <c r="ER271" s="564"/>
      <c r="ES271" s="564"/>
      <c r="ET271" s="564"/>
      <c r="EU271" s="564"/>
      <c r="EV271" s="564"/>
      <c r="EW271" s="564"/>
      <c r="EX271" s="564"/>
      <c r="EY271" s="564"/>
      <c r="EZ271" s="239"/>
      <c r="FA271" s="564"/>
      <c r="FB271" s="564"/>
      <c r="FC271" s="564"/>
      <c r="FD271" s="564"/>
      <c r="FE271" s="564"/>
      <c r="FF271" s="564"/>
      <c r="FG271" s="564"/>
      <c r="FH271" s="564"/>
      <c r="FI271" s="564"/>
      <c r="FJ271" s="564"/>
      <c r="FK271" s="564"/>
      <c r="FL271" s="564"/>
      <c r="FM271" s="564"/>
      <c r="FN271" s="569"/>
      <c r="FO271" s="564"/>
      <c r="FP271" s="564"/>
      <c r="FQ271" s="564"/>
      <c r="FR271" s="564"/>
      <c r="FS271" s="564"/>
      <c r="FT271" s="564"/>
      <c r="FU271" s="564"/>
      <c r="FV271" s="564"/>
      <c r="FW271" s="564"/>
      <c r="FX271" s="564"/>
      <c r="FY271" s="564"/>
      <c r="FZ271" s="564"/>
      <c r="GA271" s="564"/>
      <c r="GB271" s="564"/>
      <c r="GC271" s="564"/>
      <c r="GD271" s="564"/>
      <c r="GE271" s="564"/>
      <c r="GF271" s="564"/>
      <c r="GG271" s="564"/>
      <c r="GH271" s="564"/>
      <c r="GI271" s="564"/>
      <c r="GJ271" s="564"/>
      <c r="GK271" s="564"/>
      <c r="GL271" s="564"/>
      <c r="GM271" s="564"/>
      <c r="GN271" s="564"/>
      <c r="GO271" s="564"/>
      <c r="GP271" s="564"/>
      <c r="GQ271" s="564"/>
      <c r="GR271" s="564"/>
      <c r="GS271" s="564"/>
      <c r="GT271" s="564"/>
      <c r="GU271" s="564"/>
      <c r="GV271" s="569"/>
      <c r="GW271" s="564"/>
      <c r="GX271" s="564"/>
      <c r="GY271" s="564"/>
      <c r="GZ271" s="564"/>
      <c r="HA271" s="564"/>
      <c r="HB271" s="564"/>
      <c r="HC271" s="564"/>
      <c r="HD271" s="564"/>
      <c r="HE271" s="564"/>
      <c r="HF271" s="564"/>
      <c r="HG271" s="564"/>
      <c r="HH271" s="564"/>
      <c r="HI271" s="564"/>
      <c r="HJ271" s="564"/>
      <c r="HK271" s="569"/>
      <c r="HL271" s="564" t="s">
        <v>35100</v>
      </c>
      <c r="HM271" s="564" t="s">
        <v>2</v>
      </c>
      <c r="HN271" s="564" t="s">
        <v>4</v>
      </c>
      <c r="HO271" s="564" t="s">
        <v>35101</v>
      </c>
      <c r="HP271" s="564" t="s">
        <v>35102</v>
      </c>
      <c r="HQ271" s="564" t="s">
        <v>16</v>
      </c>
      <c r="HR271" s="564" t="s">
        <v>35103</v>
      </c>
      <c r="HS271" s="564" t="s">
        <v>16</v>
      </c>
      <c r="HT271" s="564" t="s">
        <v>35104</v>
      </c>
    </row>
    <row r="272" spans="1:228" ht="30.2" customHeight="1" x14ac:dyDescent="0.25">
      <c r="A272" s="759"/>
      <c r="B272" s="563">
        <v>100</v>
      </c>
      <c r="C272" s="564" t="s">
        <v>14816</v>
      </c>
      <c r="D272" s="738" t="s">
        <v>34478</v>
      </c>
      <c r="E272" s="564" t="s">
        <v>34457</v>
      </c>
      <c r="F272" s="563" t="s">
        <v>7</v>
      </c>
      <c r="G272" s="564" t="s">
        <v>34479</v>
      </c>
      <c r="H272" s="564">
        <v>1122.3</v>
      </c>
      <c r="I272" s="564">
        <v>3.5</v>
      </c>
      <c r="J272" s="564" t="s">
        <v>29349</v>
      </c>
      <c r="K272" s="568" t="s">
        <v>4</v>
      </c>
      <c r="L272" s="564" t="s">
        <v>34480</v>
      </c>
      <c r="M272" s="563">
        <v>756788358</v>
      </c>
      <c r="N272" s="564" t="s">
        <v>5</v>
      </c>
      <c r="O272" s="564" t="s">
        <v>31598</v>
      </c>
      <c r="P272" s="564" t="s">
        <v>4</v>
      </c>
      <c r="Q272" s="564">
        <v>2</v>
      </c>
      <c r="R272" s="564" t="s">
        <v>7</v>
      </c>
      <c r="S272" s="564" t="s">
        <v>31562</v>
      </c>
      <c r="T272" s="564" t="s">
        <v>4</v>
      </c>
      <c r="U272" s="564" t="s">
        <v>2</v>
      </c>
      <c r="V272" s="564" t="s">
        <v>4</v>
      </c>
      <c r="W272" s="564" t="s">
        <v>4</v>
      </c>
      <c r="X272" s="564" t="s">
        <v>4</v>
      </c>
      <c r="Y272" s="564" t="s">
        <v>4</v>
      </c>
      <c r="Z272" s="565">
        <v>44639</v>
      </c>
      <c r="AA272" s="557" t="str">
        <f>IF(OR(U272="yes",Z272&gt;'SDG outcome'!$C$39),"yes","no")</f>
        <v>no</v>
      </c>
      <c r="AB272" s="565" t="str">
        <f t="shared" si="8"/>
        <v/>
      </c>
      <c r="AC272" s="566" t="str">
        <f>IF(AND('SMS p2'!AA112="no",AND(Z272&gt;='SDG outcome'!$B$28,Z272&lt;'SDG outcome'!$C$39)),Z272-'SDG outcome'!$B$28,"")</f>
        <v/>
      </c>
      <c r="AD272" s="564" t="s">
        <v>31572</v>
      </c>
      <c r="AE272" s="564" t="s">
        <v>4</v>
      </c>
      <c r="AF272" s="564" t="s">
        <v>7</v>
      </c>
      <c r="AG272" s="564" t="s">
        <v>34481</v>
      </c>
      <c r="AH272" s="564" t="s">
        <v>4</v>
      </c>
      <c r="AI272" s="564" t="s">
        <v>7</v>
      </c>
      <c r="AJ272" s="565">
        <v>45612</v>
      </c>
      <c r="AK272" s="564" t="s">
        <v>4</v>
      </c>
      <c r="AL272" s="564"/>
      <c r="AM272" s="564"/>
      <c r="AN272" s="564"/>
      <c r="AO272" s="564"/>
      <c r="AP272" s="564"/>
      <c r="AQ272" s="564"/>
      <c r="AR272" s="564"/>
      <c r="AS272" s="564"/>
      <c r="AT272" s="564"/>
      <c r="AU272" s="564"/>
      <c r="AV272" s="564"/>
      <c r="AW272" s="564"/>
      <c r="AX272" s="564"/>
      <c r="AY272" s="564"/>
      <c r="AZ272" s="564"/>
      <c r="BA272" s="564"/>
      <c r="BB272" s="564"/>
      <c r="BC272" s="564"/>
      <c r="BD272" s="564"/>
      <c r="BE272" s="564"/>
      <c r="BF272" s="564"/>
      <c r="BG272" s="564"/>
      <c r="BH272" s="564"/>
      <c r="BI272" s="564"/>
      <c r="BJ272" s="564"/>
      <c r="BK272" s="564"/>
      <c r="BL272" s="564"/>
      <c r="BM272" s="568"/>
      <c r="BN272" s="564"/>
      <c r="BO272" s="564"/>
      <c r="BP272" s="564"/>
      <c r="BQ272" s="564"/>
      <c r="BR272" s="567"/>
      <c r="BS272" s="564"/>
      <c r="BT272" s="564"/>
      <c r="BU272" s="564"/>
      <c r="BV272" s="564"/>
      <c r="BW272" s="567"/>
      <c r="BX272" s="563"/>
      <c r="BY272" s="564"/>
      <c r="BZ272" s="564"/>
      <c r="CA272" s="564"/>
      <c r="CB272" s="564"/>
      <c r="CC272" s="564"/>
      <c r="CD272" s="564"/>
      <c r="CE272" s="564"/>
      <c r="CF272" s="568"/>
      <c r="CG272" s="564"/>
      <c r="CH272" s="564"/>
      <c r="CI272" s="564"/>
      <c r="CJ272" s="564"/>
      <c r="CK272" s="564"/>
      <c r="CL272" s="564"/>
      <c r="CM272" s="564"/>
      <c r="CN272" s="564"/>
      <c r="CO272" s="564"/>
      <c r="CP272" s="564"/>
      <c r="CQ272" s="564"/>
      <c r="CR272" s="564"/>
      <c r="CS272" s="564"/>
      <c r="CT272" s="564"/>
      <c r="CU272" s="564"/>
      <c r="CV272" s="564"/>
      <c r="CW272" s="564"/>
      <c r="CX272" s="564"/>
      <c r="CY272" s="564"/>
      <c r="CZ272" s="564"/>
      <c r="DA272" s="564"/>
      <c r="DB272" s="564"/>
      <c r="DC272" s="564"/>
      <c r="DD272" s="564"/>
      <c r="DE272" s="564"/>
      <c r="DF272" s="564"/>
      <c r="DG272" s="564"/>
      <c r="DH272" s="564"/>
      <c r="DI272" s="564"/>
      <c r="DJ272" s="564"/>
      <c r="DK272" s="564"/>
      <c r="DL272" s="564"/>
      <c r="DM272" s="564"/>
      <c r="DN272" s="564"/>
      <c r="DO272" s="564"/>
      <c r="DP272" s="564"/>
      <c r="DQ272" s="564"/>
      <c r="DR272" s="564"/>
      <c r="DS272" s="569"/>
      <c r="DT272" s="564"/>
      <c r="DU272" s="569"/>
      <c r="DV272" s="564"/>
      <c r="DW272" s="564"/>
      <c r="DX272" s="564"/>
      <c r="DY272" s="564"/>
      <c r="DZ272" s="564"/>
      <c r="EA272" s="564"/>
      <c r="EB272" s="564"/>
      <c r="EC272" s="564"/>
      <c r="ED272" s="564"/>
      <c r="EE272" s="564"/>
      <c r="EF272" s="564"/>
      <c r="EG272" s="564"/>
      <c r="EH272" s="564"/>
      <c r="EI272" s="564"/>
      <c r="EJ272" s="564"/>
      <c r="EK272" s="564"/>
      <c r="EL272" s="564"/>
      <c r="EM272" s="564"/>
      <c r="EN272" s="564"/>
      <c r="EO272" s="564"/>
      <c r="EP272" s="564"/>
      <c r="EQ272" s="564"/>
      <c r="ER272" s="564"/>
      <c r="ES272" s="564"/>
      <c r="ET272" s="564"/>
      <c r="EU272" s="564"/>
      <c r="EV272" s="564"/>
      <c r="EW272" s="564"/>
      <c r="EX272" s="564"/>
      <c r="EY272" s="564"/>
      <c r="EZ272" s="239"/>
      <c r="FA272" s="564"/>
      <c r="FB272" s="564"/>
      <c r="FC272" s="564"/>
      <c r="FD272" s="564"/>
      <c r="FE272" s="564"/>
      <c r="FF272" s="564"/>
      <c r="FG272" s="564"/>
      <c r="FH272" s="564"/>
      <c r="FI272" s="564"/>
      <c r="FJ272" s="564"/>
      <c r="FK272" s="564"/>
      <c r="FL272" s="564"/>
      <c r="FM272" s="564"/>
      <c r="FN272" s="569"/>
      <c r="FO272" s="564"/>
      <c r="FP272" s="564"/>
      <c r="FQ272" s="564"/>
      <c r="FR272" s="564"/>
      <c r="FS272" s="564"/>
      <c r="FT272" s="564"/>
      <c r="FU272" s="564"/>
      <c r="FV272" s="564"/>
      <c r="FW272" s="564"/>
      <c r="FX272" s="564"/>
      <c r="FY272" s="564"/>
      <c r="FZ272" s="564"/>
      <c r="GA272" s="564"/>
      <c r="GB272" s="564"/>
      <c r="GC272" s="564"/>
      <c r="GD272" s="564"/>
      <c r="GE272" s="564"/>
      <c r="GF272" s="564"/>
      <c r="GG272" s="564"/>
      <c r="GH272" s="564"/>
      <c r="GI272" s="564"/>
      <c r="GJ272" s="564"/>
      <c r="GK272" s="564"/>
      <c r="GL272" s="564"/>
      <c r="GM272" s="564"/>
      <c r="GN272" s="564"/>
      <c r="GO272" s="564"/>
      <c r="GP272" s="564"/>
      <c r="GQ272" s="564"/>
      <c r="GR272" s="564"/>
      <c r="GS272" s="564"/>
      <c r="GT272" s="564"/>
      <c r="GU272" s="564"/>
      <c r="GV272" s="569"/>
      <c r="GW272" s="564"/>
      <c r="GX272" s="564"/>
      <c r="GY272" s="564"/>
      <c r="GZ272" s="564"/>
      <c r="HA272" s="564"/>
      <c r="HB272" s="564"/>
      <c r="HC272" s="564"/>
      <c r="HD272" s="564"/>
      <c r="HE272" s="564"/>
      <c r="HF272" s="564"/>
      <c r="HG272" s="564"/>
      <c r="HH272" s="564"/>
      <c r="HI272" s="564"/>
      <c r="HJ272" s="564"/>
      <c r="HK272" s="569"/>
      <c r="HL272" s="564" t="s">
        <v>34482</v>
      </c>
      <c r="HM272" s="564" t="s">
        <v>7</v>
      </c>
      <c r="HN272" s="564" t="s">
        <v>34483</v>
      </c>
      <c r="HO272" s="564" t="s">
        <v>34484</v>
      </c>
      <c r="HP272" s="564" t="s">
        <v>34485</v>
      </c>
      <c r="HQ272" s="564" t="s">
        <v>34486</v>
      </c>
      <c r="HR272" s="564" t="s">
        <v>34487</v>
      </c>
      <c r="HS272" s="564" t="s">
        <v>16</v>
      </c>
      <c r="HT272" s="564" t="s">
        <v>34478</v>
      </c>
    </row>
    <row r="273" spans="1:230" ht="30.2" customHeight="1" x14ac:dyDescent="0.25">
      <c r="A273" s="759"/>
      <c r="B273" s="563">
        <v>60</v>
      </c>
      <c r="C273" s="564" t="s">
        <v>28631</v>
      </c>
      <c r="D273" s="738" t="s">
        <v>34049</v>
      </c>
      <c r="E273" s="564" t="s">
        <v>29799</v>
      </c>
      <c r="F273" s="563" t="s">
        <v>7</v>
      </c>
      <c r="G273" s="564" t="s">
        <v>34050</v>
      </c>
      <c r="H273" s="564">
        <v>1257.2296140000001</v>
      </c>
      <c r="I273" s="564">
        <v>4.7716950000000002</v>
      </c>
      <c r="J273" s="564" t="s">
        <v>29319</v>
      </c>
      <c r="K273" s="568" t="s">
        <v>4</v>
      </c>
      <c r="L273" s="564" t="s">
        <v>34051</v>
      </c>
      <c r="M273" s="563">
        <v>782397555</v>
      </c>
      <c r="N273" s="564" t="s">
        <v>5</v>
      </c>
      <c r="O273" s="564" t="s">
        <v>31590</v>
      </c>
      <c r="P273" s="564" t="s">
        <v>4</v>
      </c>
      <c r="Q273" s="564">
        <v>20</v>
      </c>
      <c r="R273" s="564" t="s">
        <v>7</v>
      </c>
      <c r="S273" s="564" t="s">
        <v>31549</v>
      </c>
      <c r="T273" s="564" t="s">
        <v>4</v>
      </c>
      <c r="U273" s="564" t="s">
        <v>2</v>
      </c>
      <c r="V273" s="564" t="s">
        <v>4</v>
      </c>
      <c r="W273" s="564" t="s">
        <v>4</v>
      </c>
      <c r="X273" s="564" t="s">
        <v>4</v>
      </c>
      <c r="Y273" s="564" t="s">
        <v>4</v>
      </c>
      <c r="Z273" s="565">
        <v>43891</v>
      </c>
      <c r="AA273" s="557" t="str">
        <f>IF(OR(U273="yes",Z273&gt;'SDG outcome'!$C$39),"yes","no")</f>
        <v>no</v>
      </c>
      <c r="AB273" s="565" t="str">
        <f t="shared" si="8"/>
        <v/>
      </c>
      <c r="AC273" s="566" t="str">
        <f>IF(AND('SMS p2'!AA72="no",AND(Z273&gt;='SDG outcome'!$B$28,Z273&lt;'SDG outcome'!$C$39)),Z273-'SDG outcome'!$B$28,"")</f>
        <v/>
      </c>
      <c r="AD273" s="564" t="s">
        <v>31572</v>
      </c>
      <c r="AE273" s="564" t="s">
        <v>4</v>
      </c>
      <c r="AF273" s="564" t="s">
        <v>7</v>
      </c>
      <c r="AG273" s="564" t="s">
        <v>34052</v>
      </c>
      <c r="AH273" s="564" t="s">
        <v>4</v>
      </c>
      <c r="AI273" s="564" t="s">
        <v>7</v>
      </c>
      <c r="AJ273" s="565">
        <v>45556</v>
      </c>
      <c r="AK273" s="564" t="s">
        <v>4</v>
      </c>
      <c r="AL273" s="564"/>
      <c r="AM273" s="564"/>
      <c r="AN273" s="564"/>
      <c r="AO273" s="564"/>
      <c r="AP273" s="564"/>
      <c r="AQ273" s="564"/>
      <c r="AR273" s="564"/>
      <c r="AS273" s="564"/>
      <c r="AT273" s="564"/>
      <c r="AU273" s="564"/>
      <c r="AV273" s="564"/>
      <c r="AW273" s="564"/>
      <c r="AX273" s="564"/>
      <c r="AY273" s="564"/>
      <c r="AZ273" s="564"/>
      <c r="BA273" s="564"/>
      <c r="BB273" s="564"/>
      <c r="BC273" s="564"/>
      <c r="BD273" s="564"/>
      <c r="BE273" s="564"/>
      <c r="BF273" s="564"/>
      <c r="BG273" s="564"/>
      <c r="BH273" s="564"/>
      <c r="BI273" s="564"/>
      <c r="BJ273" s="564"/>
      <c r="BK273" s="564"/>
      <c r="BL273" s="564"/>
      <c r="BM273" s="568"/>
      <c r="BN273" s="564"/>
      <c r="BO273" s="564"/>
      <c r="BP273" s="564"/>
      <c r="BQ273" s="564"/>
      <c r="BR273" s="567"/>
      <c r="BS273" s="564"/>
      <c r="BT273" s="564"/>
      <c r="BU273" s="564"/>
      <c r="BV273" s="564"/>
      <c r="BW273" s="567"/>
      <c r="BX273" s="563"/>
      <c r="BY273" s="564"/>
      <c r="BZ273" s="564"/>
      <c r="CA273" s="564"/>
      <c r="CB273" s="564"/>
      <c r="CC273" s="564"/>
      <c r="CD273" s="564"/>
      <c r="CE273" s="564"/>
      <c r="CF273" s="568"/>
      <c r="CG273" s="564"/>
      <c r="CH273" s="564"/>
      <c r="CI273" s="564"/>
      <c r="CJ273" s="564"/>
      <c r="CK273" s="564"/>
      <c r="CL273" s="564"/>
      <c r="CM273" s="564"/>
      <c r="CN273" s="564"/>
      <c r="CO273" s="564"/>
      <c r="CP273" s="564"/>
      <c r="CQ273" s="564"/>
      <c r="CR273" s="564"/>
      <c r="CS273" s="564"/>
      <c r="CT273" s="564"/>
      <c r="CU273" s="564"/>
      <c r="CV273" s="564"/>
      <c r="CW273" s="564"/>
      <c r="CX273" s="564"/>
      <c r="CY273" s="564"/>
      <c r="CZ273" s="564"/>
      <c r="DA273" s="564"/>
      <c r="DB273" s="564"/>
      <c r="DC273" s="564"/>
      <c r="DD273" s="564"/>
      <c r="DE273" s="564"/>
      <c r="DF273" s="564"/>
      <c r="DG273" s="564"/>
      <c r="DH273" s="564"/>
      <c r="DI273" s="564"/>
      <c r="DJ273" s="564"/>
      <c r="DK273" s="564"/>
      <c r="DL273" s="564"/>
      <c r="DM273" s="564"/>
      <c r="DN273" s="564"/>
      <c r="DO273" s="564"/>
      <c r="DP273" s="564"/>
      <c r="DQ273" s="564"/>
      <c r="DR273" s="564"/>
      <c r="DS273" s="569"/>
      <c r="DT273" s="564"/>
      <c r="DU273" s="569"/>
      <c r="DV273" s="564"/>
      <c r="DW273" s="564"/>
      <c r="DX273" s="564"/>
      <c r="DY273" s="564"/>
      <c r="DZ273" s="564"/>
      <c r="EA273" s="564"/>
      <c r="EB273" s="564"/>
      <c r="EC273" s="564"/>
      <c r="ED273" s="564"/>
      <c r="EE273" s="564"/>
      <c r="EF273" s="564"/>
      <c r="EG273" s="564"/>
      <c r="EH273" s="564"/>
      <c r="EI273" s="564"/>
      <c r="EJ273" s="564"/>
      <c r="EK273" s="564"/>
      <c r="EL273" s="564"/>
      <c r="EM273" s="564"/>
      <c r="EN273" s="564"/>
      <c r="EO273" s="564"/>
      <c r="EP273" s="564"/>
      <c r="EQ273" s="564"/>
      <c r="ER273" s="564"/>
      <c r="ES273" s="564"/>
      <c r="ET273" s="564"/>
      <c r="EU273" s="564"/>
      <c r="EV273" s="564"/>
      <c r="EW273" s="564"/>
      <c r="EX273" s="564"/>
      <c r="EY273" s="564"/>
      <c r="EZ273" s="239"/>
      <c r="FA273" s="564"/>
      <c r="FB273" s="564"/>
      <c r="FC273" s="564"/>
      <c r="FD273" s="564"/>
      <c r="FE273" s="564"/>
      <c r="FF273" s="564"/>
      <c r="FG273" s="564"/>
      <c r="FH273" s="564"/>
      <c r="FI273" s="564"/>
      <c r="FJ273" s="564"/>
      <c r="FK273" s="564"/>
      <c r="FL273" s="564"/>
      <c r="FM273" s="564"/>
      <c r="FN273" s="569"/>
      <c r="FO273" s="564"/>
      <c r="FP273" s="564"/>
      <c r="FQ273" s="564"/>
      <c r="FR273" s="564"/>
      <c r="FS273" s="564"/>
      <c r="FT273" s="564"/>
      <c r="FU273" s="564"/>
      <c r="FV273" s="564"/>
      <c r="FW273" s="564"/>
      <c r="FX273" s="564"/>
      <c r="FY273" s="564"/>
      <c r="FZ273" s="564"/>
      <c r="GA273" s="564"/>
      <c r="GB273" s="564"/>
      <c r="GC273" s="564"/>
      <c r="GD273" s="564"/>
      <c r="GE273" s="564"/>
      <c r="GF273" s="564"/>
      <c r="GG273" s="564"/>
      <c r="GH273" s="564"/>
      <c r="GI273" s="564"/>
      <c r="GJ273" s="564"/>
      <c r="GK273" s="564"/>
      <c r="GL273" s="564"/>
      <c r="GM273" s="564"/>
      <c r="GN273" s="564"/>
      <c r="GO273" s="564"/>
      <c r="GP273" s="564"/>
      <c r="GQ273" s="564"/>
      <c r="GR273" s="564"/>
      <c r="GS273" s="564"/>
      <c r="GT273" s="564"/>
      <c r="GU273" s="564"/>
      <c r="GV273" s="569"/>
      <c r="GW273" s="564"/>
      <c r="GX273" s="564"/>
      <c r="GY273" s="564"/>
      <c r="GZ273" s="564"/>
      <c r="HA273" s="564"/>
      <c r="HB273" s="564"/>
      <c r="HC273" s="564"/>
      <c r="HD273" s="564"/>
      <c r="HE273" s="564"/>
      <c r="HF273" s="564"/>
      <c r="HG273" s="564"/>
      <c r="HH273" s="564"/>
      <c r="HI273" s="564"/>
      <c r="HJ273" s="564"/>
      <c r="HK273" s="569"/>
      <c r="HL273" s="564" t="s">
        <v>34053</v>
      </c>
      <c r="HM273" s="564" t="s">
        <v>2</v>
      </c>
      <c r="HN273" s="564" t="s">
        <v>4</v>
      </c>
      <c r="HO273" s="564" t="s">
        <v>16</v>
      </c>
      <c r="HP273" s="564" t="s">
        <v>34054</v>
      </c>
      <c r="HQ273" s="564" t="s">
        <v>34055</v>
      </c>
      <c r="HR273" s="564" t="s">
        <v>34056</v>
      </c>
      <c r="HS273" s="564" t="s">
        <v>16</v>
      </c>
      <c r="HT273" s="564" t="s">
        <v>34049</v>
      </c>
    </row>
    <row r="274" spans="1:230" ht="30.2" customHeight="1" x14ac:dyDescent="0.25">
      <c r="A274" s="760"/>
      <c r="B274" s="496"/>
      <c r="C274" s="496"/>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8"/>
      <c r="AA274" s="744" t="str">
        <f>IF(OR(U274="yes",Z274&gt;'SDG outcome'!$C$39),"yes","no")</f>
        <v>no</v>
      </c>
      <c r="AB274" s="745" t="str">
        <f t="shared" si="8"/>
        <v/>
      </c>
      <c r="AC274" s="566" t="str">
        <f>IF(AND('SMS p2'!AA274="no",AND(Z274&gt;='SDG outcome'!$B$28,Z274&lt;'SDG outcome'!$C$39)),Z274-'SDG outcome'!$B$28,"")</f>
        <v/>
      </c>
      <c r="AD274" s="497"/>
      <c r="AE274" s="497"/>
      <c r="AF274" s="497"/>
      <c r="AG274" s="497"/>
      <c r="AH274" s="497"/>
      <c r="AI274" s="497"/>
      <c r="AJ274" s="498"/>
      <c r="AK274" s="497"/>
      <c r="AL274" s="497"/>
      <c r="AM274" s="497"/>
      <c r="AN274" s="497"/>
      <c r="AO274" s="497"/>
      <c r="AP274" s="497"/>
      <c r="AQ274" s="497"/>
      <c r="AR274" s="497"/>
      <c r="AS274" s="497"/>
      <c r="AT274" s="497"/>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9"/>
      <c r="BS274" s="497"/>
      <c r="BT274" s="497"/>
      <c r="BU274" s="494" t="e" cm="1">
        <f t="array" ref="BU274">_xlfn.IFS(BQ274="Foreword vehicle",BT274*0,BQ274="Human wastes",BT274*0,BS274="Jerrycans",BT274*$BT$4,BQ274="Number of Basins",BT274*$BT$5,BQ274="Number of Buckets",BT274*$BT$6,BQ274="Number of Kgs",BT274*$BT$7,BQ274="Number of spades",BT274*$BT$8,BQ274="Number of wheelbarrows",BT274*$BT$9,BS274="Septic Tank",BT274*0)</f>
        <v>#N/A</v>
      </c>
      <c r="BV274" s="500" t="e">
        <f>Table15[[#This Row],[Calculation: Conversion of metric to Kg manure feeding (Columns: BP, BQ, BR)]]*Table15[[#This Row],[Number of times used to feed biodigester]]</f>
        <v>#N/A</v>
      </c>
      <c r="BW274" s="495"/>
      <c r="BX274" s="496"/>
      <c r="BY274" s="497"/>
      <c r="BZ274" s="497"/>
      <c r="CA274" s="497"/>
      <c r="CB274" s="497"/>
      <c r="CC274" s="497"/>
      <c r="CD274" s="497"/>
      <c r="CE274" s="497"/>
      <c r="CF274" s="497"/>
      <c r="CG274" s="497"/>
      <c r="CH274" s="497"/>
      <c r="CI274" s="497"/>
      <c r="CJ274" s="497"/>
      <c r="CK274" s="497"/>
      <c r="CL274" s="497"/>
      <c r="CM274" s="497"/>
      <c r="CN274" s="497"/>
      <c r="CO274" s="497"/>
      <c r="CP274" s="497"/>
      <c r="CQ274" s="497"/>
      <c r="CR274" s="564" t="str">
        <f>IF(Table15[[#This Row],[Is your biodigester working?]]="yes",CO274/'SDG outcome'!$C$9*CP274*CQ274,"")</f>
        <v/>
      </c>
      <c r="CS274" s="497"/>
      <c r="CT274" s="500"/>
      <c r="CU274" s="496"/>
      <c r="CV274" s="497"/>
      <c r="CW274" s="500"/>
      <c r="CX274" s="496"/>
      <c r="CY274" s="497"/>
      <c r="CZ274" s="500"/>
      <c r="DA274" s="496"/>
      <c r="DB274" s="497"/>
      <c r="DC274" s="497"/>
      <c r="DD274" s="497"/>
      <c r="DE274" s="497"/>
      <c r="DF274" s="497"/>
      <c r="DG274" s="497"/>
      <c r="DH274" s="497"/>
      <c r="DI274" s="497"/>
      <c r="DJ274" s="497"/>
      <c r="DK274" s="497"/>
      <c r="DL274" s="497"/>
      <c r="DM274" s="497"/>
      <c r="DN274" s="497"/>
      <c r="DO274" s="497"/>
      <c r="DP274" s="497"/>
      <c r="DQ274" s="497"/>
      <c r="DR274" s="497"/>
      <c r="DS274" s="494"/>
      <c r="DT274" s="497"/>
      <c r="DU274" s="494"/>
      <c r="DV274" s="500"/>
      <c r="DW274" s="496"/>
      <c r="DX274" s="497"/>
      <c r="DY274" s="497"/>
      <c r="DZ274" s="497"/>
      <c r="EA274" s="497"/>
      <c r="EB274" s="497"/>
      <c r="EC274" s="497"/>
      <c r="ED274" s="497"/>
      <c r="EE274" s="497"/>
      <c r="EF274" s="497"/>
      <c r="EG274" s="497"/>
      <c r="EH274" s="497"/>
      <c r="EI274" s="497"/>
      <c r="EJ274" s="497"/>
      <c r="EK274" s="497"/>
      <c r="EL274" s="497"/>
      <c r="EM274" s="497"/>
      <c r="EN274" s="497"/>
      <c r="EO274" s="497"/>
      <c r="EP274" s="497"/>
      <c r="EQ274" s="497"/>
      <c r="ER274" s="497"/>
      <c r="ES274" s="497"/>
      <c r="ET274" s="497"/>
      <c r="EU274" s="497"/>
      <c r="EV274" s="497"/>
      <c r="EW274" s="497"/>
      <c r="EX274" s="497"/>
      <c r="EY274" s="497"/>
      <c r="EZ274" s="239"/>
      <c r="FA274" s="497"/>
      <c r="FB274" s="497"/>
      <c r="FC274" s="497"/>
      <c r="FD274" s="497"/>
      <c r="FE274" s="497"/>
      <c r="FF274" s="497"/>
      <c r="FG274" s="497"/>
      <c r="FH274" s="497"/>
      <c r="FI274" s="497"/>
      <c r="FJ274" s="497"/>
      <c r="FK274" s="497"/>
      <c r="FL274" s="497"/>
      <c r="FM274" s="497"/>
      <c r="FN274" s="494"/>
      <c r="FO274" s="497"/>
      <c r="FP274" s="497"/>
      <c r="FQ274" s="497"/>
      <c r="FR274" s="497"/>
      <c r="FS274" s="497"/>
      <c r="FT274" s="497"/>
      <c r="FU274" s="497"/>
      <c r="FV274" s="497"/>
      <c r="FW274" s="497"/>
      <c r="FX274" s="497"/>
      <c r="FY274" s="497"/>
      <c r="FZ274" s="497"/>
      <c r="GA274" s="497"/>
      <c r="GB274" s="497"/>
      <c r="GC274" s="497"/>
      <c r="GD274" s="497"/>
      <c r="GE274" s="497"/>
      <c r="GF274" s="497"/>
      <c r="GG274" s="497"/>
      <c r="GH274" s="497"/>
      <c r="GI274" s="497"/>
      <c r="GJ274" s="497"/>
      <c r="GK274" s="497"/>
      <c r="GL274" s="497"/>
      <c r="GM274" s="497"/>
      <c r="GN274" s="497"/>
      <c r="GO274" s="497"/>
      <c r="GP274" s="497"/>
      <c r="GQ274" s="497"/>
      <c r="GR274" s="497"/>
      <c r="GS274" s="497"/>
      <c r="GT274" s="497"/>
      <c r="GU274" s="497"/>
      <c r="GV274" s="494"/>
      <c r="GW274" s="497"/>
      <c r="GX274" s="497"/>
      <c r="GY274" s="497"/>
      <c r="GZ274" s="497"/>
      <c r="HA274" s="497"/>
      <c r="HB274" s="497"/>
      <c r="HC274" s="497"/>
      <c r="HD274" s="497"/>
      <c r="HE274" s="497"/>
      <c r="HF274" s="497"/>
      <c r="HG274" s="497"/>
      <c r="HH274" s="497"/>
      <c r="HI274" s="497"/>
      <c r="HJ274" s="497"/>
      <c r="HK274" s="494"/>
      <c r="HL274" s="497"/>
      <c r="HM274" s="497"/>
      <c r="HN274" s="497"/>
      <c r="HO274" s="497"/>
      <c r="HP274" s="497"/>
      <c r="HQ274" s="497"/>
      <c r="HR274" s="497"/>
      <c r="HS274" s="497"/>
      <c r="HT274" s="500"/>
      <c r="HU274" s="509"/>
      <c r="HV274" s="509"/>
    </row>
    <row r="275" spans="1:230" ht="30.2" customHeight="1" x14ac:dyDescent="0.25">
      <c r="A275" s="760"/>
      <c r="B275" s="496"/>
      <c r="C275" s="496"/>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8"/>
      <c r="AA275" s="744" t="str">
        <f>IF(OR(U275="yes",Z275&gt;'SDG outcome'!$C$39),"yes","no")</f>
        <v>no</v>
      </c>
      <c r="AB275" s="745" t="str">
        <f t="shared" si="8"/>
        <v/>
      </c>
      <c r="AC275" s="566" t="str">
        <f>IF(AND('SMS p2'!AA275="no",AND(Z275&gt;='SDG outcome'!$B$28,Z275&lt;'SDG outcome'!$C$39)),Z275-'SDG outcome'!$B$28,"")</f>
        <v/>
      </c>
      <c r="AD275" s="497"/>
      <c r="AE275" s="497"/>
      <c r="AF275" s="497"/>
      <c r="AG275" s="497"/>
      <c r="AH275" s="497"/>
      <c r="AI275" s="497"/>
      <c r="AJ275" s="498"/>
      <c r="AK275" s="497"/>
      <c r="AL275" s="497"/>
      <c r="AM275" s="497"/>
      <c r="AN275" s="497"/>
      <c r="AO275" s="497"/>
      <c r="AP275" s="497"/>
      <c r="AQ275" s="497"/>
      <c r="AR275" s="497"/>
      <c r="AS275" s="497"/>
      <c r="AT275" s="497"/>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9"/>
      <c r="BS275" s="497"/>
      <c r="BT275" s="497"/>
      <c r="BU275" s="494" t="e" cm="1">
        <f t="array" ref="BU275">_xlfn.IFS(BQ275="Foreword vehicle",BT275*0,BQ275="Human wastes",BT275*0,BS275="Jerrycans",BT275*$BT$4,BQ275="Number of Basins",BT275*$BT$5,BQ275="Number of Buckets",BT275*$BT$6,BQ275="Number of Kgs",BT275*$BT$7,BQ275="Number of spades",BT275*$BT$8,BQ275="Number of wheelbarrows",BT275*$BT$9,BS275="Septic Tank",BT275*0)</f>
        <v>#N/A</v>
      </c>
      <c r="BV275" s="500" t="e">
        <f>Table15[[#This Row],[Calculation: Conversion of metric to Kg manure feeding (Columns: BP, BQ, BR)]]*Table15[[#This Row],[Number of times used to feed biodigester]]</f>
        <v>#N/A</v>
      </c>
      <c r="BW275" s="495"/>
      <c r="BX275" s="496"/>
      <c r="BY275" s="497"/>
      <c r="BZ275" s="497"/>
      <c r="CA275" s="497"/>
      <c r="CB275" s="497"/>
      <c r="CC275" s="497"/>
      <c r="CD275" s="497"/>
      <c r="CE275" s="497"/>
      <c r="CF275" s="497"/>
      <c r="CG275" s="497"/>
      <c r="CH275" s="497"/>
      <c r="CI275" s="497"/>
      <c r="CJ275" s="497"/>
      <c r="CK275" s="497"/>
      <c r="CL275" s="497"/>
      <c r="CM275" s="497"/>
      <c r="CN275" s="497"/>
      <c r="CO275" s="497"/>
      <c r="CP275" s="497"/>
      <c r="CQ275" s="497"/>
      <c r="CR275" s="564" t="str">
        <f>IF(Table15[[#This Row],[Is your biodigester working?]]="yes",CO275/'SDG outcome'!$C$9*CP275*CQ275,"")</f>
        <v/>
      </c>
      <c r="CS275" s="497"/>
      <c r="CT275" s="500"/>
      <c r="CU275" s="496"/>
      <c r="CV275" s="497"/>
      <c r="CW275" s="500"/>
      <c r="CX275" s="496"/>
      <c r="CY275" s="497"/>
      <c r="CZ275" s="500"/>
      <c r="DA275" s="496"/>
      <c r="DB275" s="497"/>
      <c r="DC275" s="497"/>
      <c r="DD275" s="497"/>
      <c r="DE275" s="497"/>
      <c r="DF275" s="497"/>
      <c r="DG275" s="497"/>
      <c r="DH275" s="497"/>
      <c r="DI275" s="497"/>
      <c r="DJ275" s="497"/>
      <c r="DK275" s="497"/>
      <c r="DL275" s="497"/>
      <c r="DM275" s="497"/>
      <c r="DN275" s="497"/>
      <c r="DO275" s="497"/>
      <c r="DP275" s="497"/>
      <c r="DQ275" s="497"/>
      <c r="DR275" s="497"/>
      <c r="DS275" s="494"/>
      <c r="DT275" s="497"/>
      <c r="DU275" s="494"/>
      <c r="DV275" s="500"/>
      <c r="DW275" s="496"/>
      <c r="DX275" s="497"/>
      <c r="DY275" s="497"/>
      <c r="DZ275" s="497"/>
      <c r="EA275" s="497"/>
      <c r="EB275" s="497"/>
      <c r="EC275" s="497"/>
      <c r="ED275" s="497"/>
      <c r="EE275" s="497"/>
      <c r="EF275" s="497"/>
      <c r="EG275" s="497"/>
      <c r="EH275" s="497"/>
      <c r="EI275" s="497"/>
      <c r="EJ275" s="497"/>
      <c r="EK275" s="497"/>
      <c r="EL275" s="497"/>
      <c r="EM275" s="497"/>
      <c r="EN275" s="497"/>
      <c r="EO275" s="497"/>
      <c r="EP275" s="497"/>
      <c r="EQ275" s="497"/>
      <c r="ER275" s="497"/>
      <c r="ES275" s="497"/>
      <c r="ET275" s="497"/>
      <c r="EU275" s="497"/>
      <c r="EV275" s="497"/>
      <c r="EW275" s="497"/>
      <c r="EX275" s="497"/>
      <c r="EY275" s="497"/>
      <c r="EZ275" s="239"/>
      <c r="FA275" s="497"/>
      <c r="FB275" s="497"/>
      <c r="FC275" s="497"/>
      <c r="FD275" s="497"/>
      <c r="FE275" s="497"/>
      <c r="FF275" s="497"/>
      <c r="FG275" s="497"/>
      <c r="FH275" s="497"/>
      <c r="FI275" s="497"/>
      <c r="FJ275" s="497"/>
      <c r="FK275" s="497"/>
      <c r="FL275" s="497"/>
      <c r="FM275" s="497"/>
      <c r="FN275" s="494"/>
      <c r="FO275" s="497"/>
      <c r="FP275" s="497"/>
      <c r="FQ275" s="497"/>
      <c r="FR275" s="497"/>
      <c r="FS275" s="497"/>
      <c r="FT275" s="497"/>
      <c r="FU275" s="497"/>
      <c r="FV275" s="497"/>
      <c r="FW275" s="497"/>
      <c r="FX275" s="497"/>
      <c r="FY275" s="497"/>
      <c r="FZ275" s="497"/>
      <c r="GA275" s="497"/>
      <c r="GB275" s="497"/>
      <c r="GC275" s="497"/>
      <c r="GD275" s="497"/>
      <c r="GE275" s="497"/>
      <c r="GF275" s="497"/>
      <c r="GG275" s="497"/>
      <c r="GH275" s="497"/>
      <c r="GI275" s="497"/>
      <c r="GJ275" s="497"/>
      <c r="GK275" s="497"/>
      <c r="GL275" s="497"/>
      <c r="GM275" s="497"/>
      <c r="GN275" s="497"/>
      <c r="GO275" s="497"/>
      <c r="GP275" s="497"/>
      <c r="GQ275" s="497"/>
      <c r="GR275" s="497"/>
      <c r="GS275" s="497"/>
      <c r="GT275" s="497"/>
      <c r="GU275" s="497"/>
      <c r="GV275" s="494"/>
      <c r="GW275" s="497"/>
      <c r="GX275" s="497"/>
      <c r="GY275" s="497"/>
      <c r="GZ275" s="497"/>
      <c r="HA275" s="497"/>
      <c r="HB275" s="497"/>
      <c r="HC275" s="497"/>
      <c r="HD275" s="497"/>
      <c r="HE275" s="497"/>
      <c r="HF275" s="497"/>
      <c r="HG275" s="497"/>
      <c r="HH275" s="497"/>
      <c r="HI275" s="497"/>
      <c r="HJ275" s="497"/>
      <c r="HK275" s="494"/>
      <c r="HL275" s="497"/>
      <c r="HM275" s="497"/>
      <c r="HN275" s="497"/>
      <c r="HO275" s="497"/>
      <c r="HP275" s="497"/>
      <c r="HQ275" s="497"/>
      <c r="HR275" s="497"/>
      <c r="HS275" s="497"/>
      <c r="HT275" s="500"/>
      <c r="HU275" s="509"/>
      <c r="HV275" s="509"/>
    </row>
    <row r="276" spans="1:230" ht="30.2" customHeight="1" x14ac:dyDescent="0.25">
      <c r="A276" s="760"/>
      <c r="B276" s="496"/>
      <c r="C276" s="496"/>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8"/>
      <c r="AA276" s="744" t="str">
        <f>IF(OR(U276="yes",Z276&gt;'SDG outcome'!$C$39),"yes","no")</f>
        <v>no</v>
      </c>
      <c r="AB276" s="745" t="str">
        <f t="shared" si="8"/>
        <v/>
      </c>
      <c r="AC276" s="566" t="str">
        <f>IF(AND('SMS p2'!AA276="no",AND(Z276&gt;='SDG outcome'!$B$28,Z276&lt;'SDG outcome'!$C$39)),Z276-'SDG outcome'!$B$28,"")</f>
        <v/>
      </c>
      <c r="AD276" s="497"/>
      <c r="AE276" s="497"/>
      <c r="AF276" s="497"/>
      <c r="AG276" s="497"/>
      <c r="AH276" s="497"/>
      <c r="AI276" s="497"/>
      <c r="AJ276" s="498"/>
      <c r="AK276" s="497"/>
      <c r="AL276" s="497"/>
      <c r="AM276" s="497"/>
      <c r="AN276" s="497"/>
      <c r="AO276" s="497"/>
      <c r="AP276" s="497"/>
      <c r="AQ276" s="497"/>
      <c r="AR276" s="497"/>
      <c r="AS276" s="497"/>
      <c r="AT276" s="497"/>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9"/>
      <c r="BS276" s="497"/>
      <c r="BT276" s="497"/>
      <c r="BU276" s="494" t="e" cm="1">
        <f t="array" ref="BU276">_xlfn.IFS(BQ276="Foreword vehicle",BT276*0,BQ276="Human wastes",BT276*0,BS276="Jerrycans",BT276*$BT$4,BQ276="Number of Basins",BT276*$BT$5,BQ276="Number of Buckets",BT276*$BT$6,BQ276="Number of Kgs",BT276*$BT$7,BQ276="Number of spades",BT276*$BT$8,BQ276="Number of wheelbarrows",BT276*$BT$9,BS276="Septic Tank",BT276*0)</f>
        <v>#N/A</v>
      </c>
      <c r="BV276" s="500" t="e">
        <f>Table15[[#This Row],[Calculation: Conversion of metric to Kg manure feeding (Columns: BP, BQ, BR)]]*Table15[[#This Row],[Number of times used to feed biodigester]]</f>
        <v>#N/A</v>
      </c>
      <c r="BW276" s="495"/>
      <c r="BX276" s="496"/>
      <c r="BY276" s="497"/>
      <c r="BZ276" s="497"/>
      <c r="CA276" s="497"/>
      <c r="CB276" s="497"/>
      <c r="CC276" s="497"/>
      <c r="CD276" s="497"/>
      <c r="CE276" s="497"/>
      <c r="CF276" s="497"/>
      <c r="CG276" s="497"/>
      <c r="CH276" s="497"/>
      <c r="CI276" s="497"/>
      <c r="CJ276" s="497"/>
      <c r="CK276" s="497"/>
      <c r="CL276" s="497"/>
      <c r="CM276" s="497"/>
      <c r="CN276" s="497"/>
      <c r="CO276" s="497"/>
      <c r="CP276" s="497"/>
      <c r="CQ276" s="497"/>
      <c r="CR276" s="564" t="str">
        <f>IF(Table15[[#This Row],[Is your biodigester working?]]="yes",CO276/'SDG outcome'!$C$9*CP276*CQ276,"")</f>
        <v/>
      </c>
      <c r="CS276" s="497"/>
      <c r="CT276" s="500"/>
      <c r="CU276" s="496"/>
      <c r="CV276" s="497"/>
      <c r="CW276" s="500"/>
      <c r="CX276" s="496"/>
      <c r="CY276" s="497"/>
      <c r="CZ276" s="500"/>
      <c r="DA276" s="496"/>
      <c r="DB276" s="497"/>
      <c r="DC276" s="497"/>
      <c r="DD276" s="497"/>
      <c r="DE276" s="497"/>
      <c r="DF276" s="497"/>
      <c r="DG276" s="497"/>
      <c r="DH276" s="497"/>
      <c r="DI276" s="497"/>
      <c r="DJ276" s="497"/>
      <c r="DK276" s="497"/>
      <c r="DL276" s="497"/>
      <c r="DM276" s="497"/>
      <c r="DN276" s="497"/>
      <c r="DO276" s="497"/>
      <c r="DP276" s="497"/>
      <c r="DQ276" s="497"/>
      <c r="DR276" s="497"/>
      <c r="DS276" s="494"/>
      <c r="DT276" s="497"/>
      <c r="DU276" s="494"/>
      <c r="DV276" s="500"/>
      <c r="DW276" s="496"/>
      <c r="DX276" s="497"/>
      <c r="DY276" s="497"/>
      <c r="DZ276" s="497"/>
      <c r="EA276" s="497"/>
      <c r="EB276" s="497"/>
      <c r="EC276" s="497"/>
      <c r="ED276" s="497"/>
      <c r="EE276" s="497"/>
      <c r="EF276" s="497"/>
      <c r="EG276" s="497"/>
      <c r="EH276" s="497"/>
      <c r="EI276" s="497"/>
      <c r="EJ276" s="497"/>
      <c r="EK276" s="497"/>
      <c r="EL276" s="497"/>
      <c r="EM276" s="497"/>
      <c r="EN276" s="497"/>
      <c r="EO276" s="497"/>
      <c r="EP276" s="497"/>
      <c r="EQ276" s="497"/>
      <c r="ER276" s="497"/>
      <c r="ES276" s="497"/>
      <c r="ET276" s="497"/>
      <c r="EU276" s="497"/>
      <c r="EV276" s="497"/>
      <c r="EW276" s="497"/>
      <c r="EX276" s="497"/>
      <c r="EY276" s="497"/>
      <c r="EZ276" s="239"/>
      <c r="FA276" s="497"/>
      <c r="FB276" s="497"/>
      <c r="FC276" s="497"/>
      <c r="FD276" s="497"/>
      <c r="FE276" s="497"/>
      <c r="FF276" s="497"/>
      <c r="FG276" s="497"/>
      <c r="FH276" s="497"/>
      <c r="FI276" s="497"/>
      <c r="FJ276" s="497"/>
      <c r="FK276" s="497"/>
      <c r="FL276" s="497"/>
      <c r="FM276" s="497"/>
      <c r="FN276" s="494"/>
      <c r="FO276" s="497"/>
      <c r="FP276" s="497"/>
      <c r="FQ276" s="497"/>
      <c r="FR276" s="497"/>
      <c r="FS276" s="497"/>
      <c r="FT276" s="497"/>
      <c r="FU276" s="497"/>
      <c r="FV276" s="497"/>
      <c r="FW276" s="497"/>
      <c r="FX276" s="497"/>
      <c r="FY276" s="497"/>
      <c r="FZ276" s="497"/>
      <c r="GA276" s="497"/>
      <c r="GB276" s="497"/>
      <c r="GC276" s="497"/>
      <c r="GD276" s="497"/>
      <c r="GE276" s="497"/>
      <c r="GF276" s="497"/>
      <c r="GG276" s="497"/>
      <c r="GH276" s="497"/>
      <c r="GI276" s="497"/>
      <c r="GJ276" s="497"/>
      <c r="GK276" s="497"/>
      <c r="GL276" s="497"/>
      <c r="GM276" s="497"/>
      <c r="GN276" s="497"/>
      <c r="GO276" s="497"/>
      <c r="GP276" s="497"/>
      <c r="GQ276" s="497"/>
      <c r="GR276" s="497"/>
      <c r="GS276" s="497"/>
      <c r="GT276" s="497"/>
      <c r="GU276" s="497"/>
      <c r="GV276" s="494"/>
      <c r="GW276" s="497"/>
      <c r="GX276" s="497"/>
      <c r="GY276" s="497"/>
      <c r="GZ276" s="497"/>
      <c r="HA276" s="497"/>
      <c r="HB276" s="497"/>
      <c r="HC276" s="497"/>
      <c r="HD276" s="497"/>
      <c r="HE276" s="497"/>
      <c r="HF276" s="497"/>
      <c r="HG276" s="497"/>
      <c r="HH276" s="497"/>
      <c r="HI276" s="497"/>
      <c r="HJ276" s="497"/>
      <c r="HK276" s="494"/>
      <c r="HL276" s="497"/>
      <c r="HM276" s="497"/>
      <c r="HN276" s="497"/>
      <c r="HO276" s="497"/>
      <c r="HP276" s="497"/>
      <c r="HQ276" s="497"/>
      <c r="HR276" s="497"/>
      <c r="HS276" s="497"/>
      <c r="HT276" s="500"/>
      <c r="HU276" s="509"/>
      <c r="HV276" s="509"/>
    </row>
    <row r="277" spans="1:230" ht="30.2" customHeight="1" x14ac:dyDescent="0.25">
      <c r="A277" s="760"/>
      <c r="B277" s="496"/>
      <c r="C277" s="496"/>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8"/>
      <c r="AA277" s="744" t="str">
        <f>IF(OR(U277="yes",Z277&gt;'SDG outcome'!$C$39),"yes","no")</f>
        <v>no</v>
      </c>
      <c r="AB277" s="745" t="str">
        <f t="shared" si="8"/>
        <v/>
      </c>
      <c r="AC277" s="566" t="str">
        <f>IF(AND('SMS p2'!AA277="no",AND(Z277&gt;='SDG outcome'!$B$28,Z277&lt;'SDG outcome'!$C$39)),Z277-'SDG outcome'!$B$28,"")</f>
        <v/>
      </c>
      <c r="AD277" s="497"/>
      <c r="AE277" s="497"/>
      <c r="AF277" s="497"/>
      <c r="AG277" s="497"/>
      <c r="AH277" s="497"/>
      <c r="AI277" s="497"/>
      <c r="AJ277" s="498"/>
      <c r="AK277" s="497"/>
      <c r="AL277" s="497"/>
      <c r="AM277" s="497"/>
      <c r="AN277" s="497"/>
      <c r="AO277" s="497"/>
      <c r="AP277" s="497"/>
      <c r="AQ277" s="497"/>
      <c r="AR277" s="497"/>
      <c r="AS277" s="497"/>
      <c r="AT277" s="497"/>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9"/>
      <c r="BS277" s="497"/>
      <c r="BT277" s="497"/>
      <c r="BU277" s="494" t="e" cm="1">
        <f t="array" ref="BU277">_xlfn.IFS(BQ277="Foreword vehicle",BT277*0,BQ277="Human wastes",BT277*0,BS277="Jerrycans",BT277*$BT$4,BQ277="Number of Basins",BT277*$BT$5,BQ277="Number of Buckets",BT277*$BT$6,BQ277="Number of Kgs",BT277*$BT$7,BQ277="Number of spades",BT277*$BT$8,BQ277="Number of wheelbarrows",BT277*$BT$9,BS277="Septic Tank",BT277*0)</f>
        <v>#N/A</v>
      </c>
      <c r="BV277" s="500" t="e">
        <f>Table15[[#This Row],[Calculation: Conversion of metric to Kg manure feeding (Columns: BP, BQ, BR)]]*Table15[[#This Row],[Number of times used to feed biodigester]]</f>
        <v>#N/A</v>
      </c>
      <c r="BW277" s="495"/>
      <c r="BX277" s="496"/>
      <c r="BY277" s="497"/>
      <c r="BZ277" s="497"/>
      <c r="CA277" s="497"/>
      <c r="CB277" s="497"/>
      <c r="CC277" s="497"/>
      <c r="CD277" s="497"/>
      <c r="CE277" s="497"/>
      <c r="CF277" s="497"/>
      <c r="CG277" s="497"/>
      <c r="CH277" s="497"/>
      <c r="CI277" s="497"/>
      <c r="CJ277" s="497"/>
      <c r="CK277" s="497"/>
      <c r="CL277" s="497"/>
      <c r="CM277" s="497"/>
      <c r="CN277" s="497"/>
      <c r="CO277" s="497"/>
      <c r="CP277" s="497"/>
      <c r="CQ277" s="497"/>
      <c r="CR277" s="564" t="str">
        <f>IF(Table15[[#This Row],[Is your biodigester working?]]="yes",CO277/'SDG outcome'!$C$9*CP277*CQ277,"")</f>
        <v/>
      </c>
      <c r="CS277" s="497"/>
      <c r="CT277" s="500"/>
      <c r="CU277" s="496"/>
      <c r="CV277" s="497"/>
      <c r="CW277" s="500"/>
      <c r="CX277" s="496"/>
      <c r="CY277" s="497"/>
      <c r="CZ277" s="500"/>
      <c r="DA277" s="496"/>
      <c r="DB277" s="497"/>
      <c r="DC277" s="497"/>
      <c r="DD277" s="497"/>
      <c r="DE277" s="497"/>
      <c r="DF277" s="497"/>
      <c r="DG277" s="497"/>
      <c r="DH277" s="497"/>
      <c r="DI277" s="497"/>
      <c r="DJ277" s="497"/>
      <c r="DK277" s="497"/>
      <c r="DL277" s="497"/>
      <c r="DM277" s="497"/>
      <c r="DN277" s="497"/>
      <c r="DO277" s="497"/>
      <c r="DP277" s="497"/>
      <c r="DQ277" s="497"/>
      <c r="DR277" s="497"/>
      <c r="DS277" s="494"/>
      <c r="DT277" s="497"/>
      <c r="DU277" s="494"/>
      <c r="DV277" s="500"/>
      <c r="DW277" s="496"/>
      <c r="DX277" s="497"/>
      <c r="DY277" s="497"/>
      <c r="DZ277" s="497"/>
      <c r="EA277" s="497"/>
      <c r="EB277" s="497"/>
      <c r="EC277" s="497"/>
      <c r="ED277" s="497"/>
      <c r="EE277" s="497"/>
      <c r="EF277" s="497"/>
      <c r="EG277" s="497"/>
      <c r="EH277" s="497"/>
      <c r="EI277" s="497"/>
      <c r="EJ277" s="497"/>
      <c r="EK277" s="497"/>
      <c r="EL277" s="497"/>
      <c r="EM277" s="497"/>
      <c r="EN277" s="497"/>
      <c r="EO277" s="497"/>
      <c r="EP277" s="497"/>
      <c r="EQ277" s="497"/>
      <c r="ER277" s="497"/>
      <c r="ES277" s="497"/>
      <c r="ET277" s="497"/>
      <c r="EU277" s="497"/>
      <c r="EV277" s="497"/>
      <c r="EW277" s="497"/>
      <c r="EX277" s="497"/>
      <c r="EY277" s="497"/>
      <c r="EZ277" s="239"/>
      <c r="FA277" s="497"/>
      <c r="FB277" s="497"/>
      <c r="FC277" s="497"/>
      <c r="FD277" s="497"/>
      <c r="FE277" s="497"/>
      <c r="FF277" s="497"/>
      <c r="FG277" s="497"/>
      <c r="FH277" s="497"/>
      <c r="FI277" s="497"/>
      <c r="FJ277" s="497"/>
      <c r="FK277" s="497"/>
      <c r="FL277" s="497"/>
      <c r="FM277" s="497"/>
      <c r="FN277" s="494"/>
      <c r="FO277" s="497"/>
      <c r="FP277" s="497"/>
      <c r="FQ277" s="497"/>
      <c r="FR277" s="497"/>
      <c r="FS277" s="497"/>
      <c r="FT277" s="497"/>
      <c r="FU277" s="497"/>
      <c r="FV277" s="497"/>
      <c r="FW277" s="497"/>
      <c r="FX277" s="497"/>
      <c r="FY277" s="497"/>
      <c r="FZ277" s="497"/>
      <c r="GA277" s="497"/>
      <c r="GB277" s="497"/>
      <c r="GC277" s="497"/>
      <c r="GD277" s="497"/>
      <c r="GE277" s="497"/>
      <c r="GF277" s="497"/>
      <c r="GG277" s="497"/>
      <c r="GH277" s="497"/>
      <c r="GI277" s="497"/>
      <c r="GJ277" s="497"/>
      <c r="GK277" s="497"/>
      <c r="GL277" s="497"/>
      <c r="GM277" s="497"/>
      <c r="GN277" s="497"/>
      <c r="GO277" s="497"/>
      <c r="GP277" s="497"/>
      <c r="GQ277" s="497"/>
      <c r="GR277" s="497"/>
      <c r="GS277" s="497"/>
      <c r="GT277" s="497"/>
      <c r="GU277" s="497"/>
      <c r="GV277" s="494"/>
      <c r="GW277" s="497"/>
      <c r="GX277" s="497"/>
      <c r="GY277" s="497"/>
      <c r="GZ277" s="497"/>
      <c r="HA277" s="497"/>
      <c r="HB277" s="497"/>
      <c r="HC277" s="497"/>
      <c r="HD277" s="497"/>
      <c r="HE277" s="497"/>
      <c r="HF277" s="497"/>
      <c r="HG277" s="497"/>
      <c r="HH277" s="497"/>
      <c r="HI277" s="497"/>
      <c r="HJ277" s="497"/>
      <c r="HK277" s="494"/>
      <c r="HL277" s="497"/>
      <c r="HM277" s="497"/>
      <c r="HN277" s="497"/>
      <c r="HO277" s="497"/>
      <c r="HP277" s="497"/>
      <c r="HQ277" s="497"/>
      <c r="HR277" s="497"/>
      <c r="HS277" s="497"/>
      <c r="HT277" s="500"/>
      <c r="HU277" s="509"/>
      <c r="HV277" s="509"/>
    </row>
    <row r="278" spans="1:230" ht="30.2" customHeight="1" x14ac:dyDescent="0.25">
      <c r="A278" s="760"/>
      <c r="B278" s="496"/>
      <c r="C278" s="496"/>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8"/>
      <c r="AA278" s="744" t="str">
        <f>IF(OR(U278="yes",Z278&gt;'SDG outcome'!$C$39),"yes","no")</f>
        <v>no</v>
      </c>
      <c r="AB278" s="745" t="str">
        <f t="shared" si="8"/>
        <v/>
      </c>
      <c r="AC278" s="566" t="str">
        <f>IF(AND('SMS p2'!AA278="no",AND(Z278&gt;='SDG outcome'!$B$28,Z278&lt;'SDG outcome'!$C$39)),Z278-'SDG outcome'!$B$28,"")</f>
        <v/>
      </c>
      <c r="AD278" s="497"/>
      <c r="AE278" s="497"/>
      <c r="AF278" s="497"/>
      <c r="AG278" s="497"/>
      <c r="AH278" s="497"/>
      <c r="AI278" s="497"/>
      <c r="AJ278" s="498"/>
      <c r="AK278" s="497"/>
      <c r="AL278" s="497"/>
      <c r="AM278" s="497"/>
      <c r="AN278" s="497"/>
      <c r="AO278" s="497"/>
      <c r="AP278" s="497"/>
      <c r="AQ278" s="497"/>
      <c r="AR278" s="497"/>
      <c r="AS278" s="497"/>
      <c r="AT278" s="497"/>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9"/>
      <c r="BS278" s="497"/>
      <c r="BT278" s="497"/>
      <c r="BU278" s="494" t="e" cm="1">
        <f t="array" ref="BU278">_xlfn.IFS(BQ278="Foreword vehicle",BT278*0,BQ278="Human wastes",BT278*0,BS278="Jerrycans",BT278*$BT$4,BQ278="Number of Basins",BT278*$BT$5,BQ278="Number of Buckets",BT278*$BT$6,BQ278="Number of Kgs",BT278*$BT$7,BQ278="Number of spades",BT278*$BT$8,BQ278="Number of wheelbarrows",BT278*$BT$9,BS278="Septic Tank",BT278*0)</f>
        <v>#N/A</v>
      </c>
      <c r="BV278" s="500" t="e">
        <f>Table15[[#This Row],[Calculation: Conversion of metric to Kg manure feeding (Columns: BP, BQ, BR)]]*Table15[[#This Row],[Number of times used to feed biodigester]]</f>
        <v>#N/A</v>
      </c>
      <c r="BW278" s="495"/>
      <c r="BX278" s="496"/>
      <c r="BY278" s="497"/>
      <c r="BZ278" s="497"/>
      <c r="CA278" s="497"/>
      <c r="CB278" s="497"/>
      <c r="CC278" s="497"/>
      <c r="CD278" s="497"/>
      <c r="CE278" s="497"/>
      <c r="CF278" s="497"/>
      <c r="CG278" s="497"/>
      <c r="CH278" s="497"/>
      <c r="CI278" s="497"/>
      <c r="CJ278" s="497"/>
      <c r="CK278" s="497"/>
      <c r="CL278" s="497"/>
      <c r="CM278" s="497"/>
      <c r="CN278" s="497"/>
      <c r="CO278" s="497"/>
      <c r="CP278" s="497"/>
      <c r="CQ278" s="497"/>
      <c r="CR278" s="564" t="str">
        <f>IF(Table15[[#This Row],[Is your biodigester working?]]="yes",CO278/'SDG outcome'!$C$9*CP278*CQ278,"")</f>
        <v/>
      </c>
      <c r="CS278" s="497"/>
      <c r="CT278" s="500"/>
      <c r="CU278" s="496"/>
      <c r="CV278" s="497"/>
      <c r="CW278" s="500"/>
      <c r="CX278" s="496"/>
      <c r="CY278" s="497"/>
      <c r="CZ278" s="500"/>
      <c r="DA278" s="496"/>
      <c r="DB278" s="497"/>
      <c r="DC278" s="497"/>
      <c r="DD278" s="497"/>
      <c r="DE278" s="497"/>
      <c r="DF278" s="497"/>
      <c r="DG278" s="497"/>
      <c r="DH278" s="497"/>
      <c r="DI278" s="497"/>
      <c r="DJ278" s="497"/>
      <c r="DK278" s="497"/>
      <c r="DL278" s="497"/>
      <c r="DM278" s="497"/>
      <c r="DN278" s="497"/>
      <c r="DO278" s="497"/>
      <c r="DP278" s="497"/>
      <c r="DQ278" s="497"/>
      <c r="DR278" s="497"/>
      <c r="DS278" s="494"/>
      <c r="DT278" s="497"/>
      <c r="DU278" s="494"/>
      <c r="DV278" s="500"/>
      <c r="DW278" s="496"/>
      <c r="DX278" s="497"/>
      <c r="DY278" s="497"/>
      <c r="DZ278" s="497"/>
      <c r="EA278" s="497"/>
      <c r="EB278" s="497"/>
      <c r="EC278" s="497"/>
      <c r="ED278" s="497"/>
      <c r="EE278" s="497"/>
      <c r="EF278" s="497"/>
      <c r="EG278" s="497"/>
      <c r="EH278" s="497"/>
      <c r="EI278" s="497"/>
      <c r="EJ278" s="497"/>
      <c r="EK278" s="497"/>
      <c r="EL278" s="497"/>
      <c r="EM278" s="497"/>
      <c r="EN278" s="497"/>
      <c r="EO278" s="497"/>
      <c r="EP278" s="497"/>
      <c r="EQ278" s="497"/>
      <c r="ER278" s="497"/>
      <c r="ES278" s="497"/>
      <c r="ET278" s="497"/>
      <c r="EU278" s="497"/>
      <c r="EV278" s="497"/>
      <c r="EW278" s="497"/>
      <c r="EX278" s="497"/>
      <c r="EY278" s="497"/>
      <c r="EZ278" s="239"/>
      <c r="FA278" s="497"/>
      <c r="FB278" s="497"/>
      <c r="FC278" s="497"/>
      <c r="FD278" s="497"/>
      <c r="FE278" s="497"/>
      <c r="FF278" s="497"/>
      <c r="FG278" s="497"/>
      <c r="FH278" s="497"/>
      <c r="FI278" s="497"/>
      <c r="FJ278" s="497"/>
      <c r="FK278" s="497"/>
      <c r="FL278" s="497"/>
      <c r="FM278" s="497"/>
      <c r="FN278" s="494"/>
      <c r="FO278" s="497"/>
      <c r="FP278" s="497"/>
      <c r="FQ278" s="497"/>
      <c r="FR278" s="497"/>
      <c r="FS278" s="497"/>
      <c r="FT278" s="497"/>
      <c r="FU278" s="497"/>
      <c r="FV278" s="497"/>
      <c r="FW278" s="497"/>
      <c r="FX278" s="497"/>
      <c r="FY278" s="497"/>
      <c r="FZ278" s="497"/>
      <c r="GA278" s="497"/>
      <c r="GB278" s="497"/>
      <c r="GC278" s="497"/>
      <c r="GD278" s="497"/>
      <c r="GE278" s="497"/>
      <c r="GF278" s="497"/>
      <c r="GG278" s="497"/>
      <c r="GH278" s="497"/>
      <c r="GI278" s="497"/>
      <c r="GJ278" s="497"/>
      <c r="GK278" s="497"/>
      <c r="GL278" s="497"/>
      <c r="GM278" s="497"/>
      <c r="GN278" s="497"/>
      <c r="GO278" s="497"/>
      <c r="GP278" s="497"/>
      <c r="GQ278" s="497"/>
      <c r="GR278" s="497"/>
      <c r="GS278" s="497"/>
      <c r="GT278" s="497"/>
      <c r="GU278" s="497"/>
      <c r="GV278" s="494"/>
      <c r="GW278" s="497"/>
      <c r="GX278" s="497"/>
      <c r="GY278" s="497"/>
      <c r="GZ278" s="497"/>
      <c r="HA278" s="497"/>
      <c r="HB278" s="497"/>
      <c r="HC278" s="497"/>
      <c r="HD278" s="497"/>
      <c r="HE278" s="497"/>
      <c r="HF278" s="497"/>
      <c r="HG278" s="497"/>
      <c r="HH278" s="497"/>
      <c r="HI278" s="497"/>
      <c r="HJ278" s="497"/>
      <c r="HK278" s="494"/>
      <c r="HL278" s="497"/>
      <c r="HM278" s="497"/>
      <c r="HN278" s="497"/>
      <c r="HO278" s="497"/>
      <c r="HP278" s="497"/>
      <c r="HQ278" s="497"/>
      <c r="HR278" s="497"/>
      <c r="HS278" s="497"/>
      <c r="HT278" s="500"/>
      <c r="HU278" s="509"/>
      <c r="HV278" s="509"/>
    </row>
    <row r="279" spans="1:230" ht="30.2" customHeight="1" x14ac:dyDescent="0.25">
      <c r="A279" s="760"/>
      <c r="B279" s="496"/>
      <c r="C279" s="496"/>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8"/>
      <c r="AA279" s="744" t="str">
        <f>IF(OR(U279="yes",Z279&gt;'SDG outcome'!$C$39),"yes","no")</f>
        <v>no</v>
      </c>
      <c r="AB279" s="745" t="str">
        <f t="shared" si="8"/>
        <v/>
      </c>
      <c r="AC279" s="566" t="str">
        <f>IF(AND('SMS p2'!AA279="no",AND(Z279&gt;='SDG outcome'!$B$28,Z279&lt;'SDG outcome'!$C$39)),Z279-'SDG outcome'!$B$28,"")</f>
        <v/>
      </c>
      <c r="AD279" s="497"/>
      <c r="AE279" s="497"/>
      <c r="AF279" s="497"/>
      <c r="AG279" s="497"/>
      <c r="AH279" s="497"/>
      <c r="AI279" s="497"/>
      <c r="AJ279" s="498"/>
      <c r="AK279" s="497"/>
      <c r="AL279" s="497"/>
      <c r="AM279" s="497"/>
      <c r="AN279" s="497"/>
      <c r="AO279" s="497"/>
      <c r="AP279" s="497"/>
      <c r="AQ279" s="497"/>
      <c r="AR279" s="497"/>
      <c r="AS279" s="497"/>
      <c r="AT279" s="497"/>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9"/>
      <c r="BS279" s="497"/>
      <c r="BT279" s="497"/>
      <c r="BU279" s="494" t="e" cm="1">
        <f t="array" ref="BU279">_xlfn.IFS(BQ279="Foreword vehicle",BT279*0,BQ279="Human wastes",BT279*0,BS279="Jerrycans",BT279*$BT$4,BQ279="Number of Basins",BT279*$BT$5,BQ279="Number of Buckets",BT279*$BT$6,BQ279="Number of Kgs",BT279*$BT$7,BQ279="Number of spades",BT279*$BT$8,BQ279="Number of wheelbarrows",BT279*$BT$9,BS279="Septic Tank",BT279*0)</f>
        <v>#N/A</v>
      </c>
      <c r="BV279" s="500" t="e">
        <f>Table15[[#This Row],[Calculation: Conversion of metric to Kg manure feeding (Columns: BP, BQ, BR)]]*Table15[[#This Row],[Number of times used to feed biodigester]]</f>
        <v>#N/A</v>
      </c>
      <c r="BW279" s="495"/>
      <c r="BX279" s="496"/>
      <c r="BY279" s="497"/>
      <c r="BZ279" s="497"/>
      <c r="CA279" s="497"/>
      <c r="CB279" s="497"/>
      <c r="CC279" s="497"/>
      <c r="CD279" s="497"/>
      <c r="CE279" s="497"/>
      <c r="CF279" s="497"/>
      <c r="CG279" s="497"/>
      <c r="CH279" s="497"/>
      <c r="CI279" s="497"/>
      <c r="CJ279" s="497"/>
      <c r="CK279" s="497"/>
      <c r="CL279" s="497"/>
      <c r="CM279" s="497"/>
      <c r="CN279" s="497"/>
      <c r="CO279" s="497"/>
      <c r="CP279" s="497"/>
      <c r="CQ279" s="497"/>
      <c r="CR279" s="564" t="str">
        <f>IF(Table15[[#This Row],[Is your biodigester working?]]="yes",CO279/'SDG outcome'!$C$9*CP279*CQ279,"")</f>
        <v/>
      </c>
      <c r="CS279" s="497"/>
      <c r="CT279" s="500"/>
      <c r="CU279" s="496"/>
      <c r="CV279" s="497"/>
      <c r="CW279" s="500"/>
      <c r="CX279" s="496"/>
      <c r="CY279" s="497"/>
      <c r="CZ279" s="500"/>
      <c r="DA279" s="496"/>
      <c r="DB279" s="497"/>
      <c r="DC279" s="497"/>
      <c r="DD279" s="497"/>
      <c r="DE279" s="497"/>
      <c r="DF279" s="497"/>
      <c r="DG279" s="497"/>
      <c r="DH279" s="497"/>
      <c r="DI279" s="497"/>
      <c r="DJ279" s="497"/>
      <c r="DK279" s="497"/>
      <c r="DL279" s="497"/>
      <c r="DM279" s="497"/>
      <c r="DN279" s="497"/>
      <c r="DO279" s="497"/>
      <c r="DP279" s="497"/>
      <c r="DQ279" s="497"/>
      <c r="DR279" s="497"/>
      <c r="DS279" s="494"/>
      <c r="DT279" s="497"/>
      <c r="DU279" s="494"/>
      <c r="DV279" s="500"/>
      <c r="DW279" s="496"/>
      <c r="DX279" s="497"/>
      <c r="DY279" s="497"/>
      <c r="DZ279" s="497"/>
      <c r="EA279" s="497"/>
      <c r="EB279" s="497"/>
      <c r="EC279" s="497"/>
      <c r="ED279" s="497"/>
      <c r="EE279" s="497"/>
      <c r="EF279" s="497"/>
      <c r="EG279" s="497"/>
      <c r="EH279" s="497"/>
      <c r="EI279" s="497"/>
      <c r="EJ279" s="497"/>
      <c r="EK279" s="497"/>
      <c r="EL279" s="497"/>
      <c r="EM279" s="497"/>
      <c r="EN279" s="497"/>
      <c r="EO279" s="497"/>
      <c r="EP279" s="497"/>
      <c r="EQ279" s="497"/>
      <c r="ER279" s="497"/>
      <c r="ES279" s="497"/>
      <c r="ET279" s="497"/>
      <c r="EU279" s="497"/>
      <c r="EV279" s="497"/>
      <c r="EW279" s="497"/>
      <c r="EX279" s="497"/>
      <c r="EY279" s="497"/>
      <c r="EZ279" s="239"/>
      <c r="FA279" s="497"/>
      <c r="FB279" s="497"/>
      <c r="FC279" s="497"/>
      <c r="FD279" s="497"/>
      <c r="FE279" s="497"/>
      <c r="FF279" s="497"/>
      <c r="FG279" s="497"/>
      <c r="FH279" s="497"/>
      <c r="FI279" s="497"/>
      <c r="FJ279" s="497"/>
      <c r="FK279" s="497"/>
      <c r="FL279" s="497"/>
      <c r="FM279" s="497"/>
      <c r="FN279" s="494"/>
      <c r="FO279" s="497"/>
      <c r="FP279" s="497"/>
      <c r="FQ279" s="497"/>
      <c r="FR279" s="497"/>
      <c r="FS279" s="497"/>
      <c r="FT279" s="497"/>
      <c r="FU279" s="497"/>
      <c r="FV279" s="497"/>
      <c r="FW279" s="497"/>
      <c r="FX279" s="497"/>
      <c r="FY279" s="497"/>
      <c r="FZ279" s="497"/>
      <c r="GA279" s="497"/>
      <c r="GB279" s="497"/>
      <c r="GC279" s="497"/>
      <c r="GD279" s="497"/>
      <c r="GE279" s="497"/>
      <c r="GF279" s="497"/>
      <c r="GG279" s="497"/>
      <c r="GH279" s="497"/>
      <c r="GI279" s="497"/>
      <c r="GJ279" s="497"/>
      <c r="GK279" s="497"/>
      <c r="GL279" s="497"/>
      <c r="GM279" s="497"/>
      <c r="GN279" s="497"/>
      <c r="GO279" s="497"/>
      <c r="GP279" s="497"/>
      <c r="GQ279" s="497"/>
      <c r="GR279" s="497"/>
      <c r="GS279" s="497"/>
      <c r="GT279" s="497"/>
      <c r="GU279" s="497"/>
      <c r="GV279" s="494"/>
      <c r="GW279" s="497"/>
      <c r="GX279" s="497"/>
      <c r="GY279" s="497"/>
      <c r="GZ279" s="497"/>
      <c r="HA279" s="497"/>
      <c r="HB279" s="497"/>
      <c r="HC279" s="497"/>
      <c r="HD279" s="497"/>
      <c r="HE279" s="497"/>
      <c r="HF279" s="497"/>
      <c r="HG279" s="497"/>
      <c r="HH279" s="497"/>
      <c r="HI279" s="497"/>
      <c r="HJ279" s="497"/>
      <c r="HK279" s="494"/>
      <c r="HL279" s="497"/>
      <c r="HM279" s="497"/>
      <c r="HN279" s="497"/>
      <c r="HO279" s="497"/>
      <c r="HP279" s="497"/>
      <c r="HQ279" s="497"/>
      <c r="HR279" s="497"/>
      <c r="HS279" s="497"/>
      <c r="HT279" s="500"/>
      <c r="HU279" s="509"/>
      <c r="HV279" s="509"/>
    </row>
    <row r="280" spans="1:230" ht="30.2" customHeight="1" x14ac:dyDescent="0.25">
      <c r="A280" s="760"/>
      <c r="B280" s="496"/>
      <c r="C280" s="496"/>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8"/>
      <c r="AA280" s="744" t="str">
        <f>IF(OR(U280="yes",Z280&gt;'SDG outcome'!$C$39),"yes","no")</f>
        <v>no</v>
      </c>
      <c r="AB280" s="745" t="str">
        <f t="shared" si="8"/>
        <v/>
      </c>
      <c r="AC280" s="566" t="str">
        <f>IF(AND('SMS p2'!AA280="no",AND(Z280&gt;='SDG outcome'!$B$28,Z280&lt;'SDG outcome'!$C$39)),Z280-'SDG outcome'!$B$28,"")</f>
        <v/>
      </c>
      <c r="AD280" s="497"/>
      <c r="AE280" s="497"/>
      <c r="AF280" s="497"/>
      <c r="AG280" s="497"/>
      <c r="AH280" s="497"/>
      <c r="AI280" s="497"/>
      <c r="AJ280" s="498"/>
      <c r="AK280" s="497"/>
      <c r="AL280" s="497"/>
      <c r="AM280" s="497"/>
      <c r="AN280" s="497"/>
      <c r="AO280" s="497"/>
      <c r="AP280" s="497"/>
      <c r="AQ280" s="497"/>
      <c r="AR280" s="497"/>
      <c r="AS280" s="497"/>
      <c r="AT280" s="497"/>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9"/>
      <c r="BS280" s="497"/>
      <c r="BT280" s="497"/>
      <c r="BU280" s="494" t="e" cm="1">
        <f t="array" ref="BU280">_xlfn.IFS(BQ280="Foreword vehicle",BT280*0,BQ280="Human wastes",BT280*0,BS280="Jerrycans",BT280*$BT$4,BQ280="Number of Basins",BT280*$BT$5,BQ280="Number of Buckets",BT280*$BT$6,BQ280="Number of Kgs",BT280*$BT$7,BQ280="Number of spades",BT280*$BT$8,BQ280="Number of wheelbarrows",BT280*$BT$9,BS280="Septic Tank",BT280*0)</f>
        <v>#N/A</v>
      </c>
      <c r="BV280" s="500" t="e">
        <f>Table15[[#This Row],[Calculation: Conversion of metric to Kg manure feeding (Columns: BP, BQ, BR)]]*Table15[[#This Row],[Number of times used to feed biodigester]]</f>
        <v>#N/A</v>
      </c>
      <c r="BW280" s="495"/>
      <c r="BX280" s="496"/>
      <c r="BY280" s="497"/>
      <c r="BZ280" s="497"/>
      <c r="CA280" s="497"/>
      <c r="CB280" s="497"/>
      <c r="CC280" s="497"/>
      <c r="CD280" s="497"/>
      <c r="CE280" s="497"/>
      <c r="CF280" s="497"/>
      <c r="CG280" s="497"/>
      <c r="CH280" s="497"/>
      <c r="CI280" s="497"/>
      <c r="CJ280" s="497"/>
      <c r="CK280" s="497"/>
      <c r="CL280" s="497"/>
      <c r="CM280" s="497"/>
      <c r="CN280" s="497"/>
      <c r="CO280" s="497"/>
      <c r="CP280" s="497"/>
      <c r="CQ280" s="497"/>
      <c r="CR280" s="564" t="str">
        <f>IF(Table15[[#This Row],[Is your biodigester working?]]="yes",CO280/'SDG outcome'!$C$9*CP280*CQ280,"")</f>
        <v/>
      </c>
      <c r="CS280" s="497"/>
      <c r="CT280" s="500"/>
      <c r="CU280" s="496"/>
      <c r="CV280" s="497"/>
      <c r="CW280" s="500"/>
      <c r="CX280" s="496"/>
      <c r="CY280" s="497"/>
      <c r="CZ280" s="500"/>
      <c r="DA280" s="496"/>
      <c r="DB280" s="497"/>
      <c r="DC280" s="497"/>
      <c r="DD280" s="497"/>
      <c r="DE280" s="497"/>
      <c r="DF280" s="497"/>
      <c r="DG280" s="497"/>
      <c r="DH280" s="497"/>
      <c r="DI280" s="497"/>
      <c r="DJ280" s="497"/>
      <c r="DK280" s="497"/>
      <c r="DL280" s="497"/>
      <c r="DM280" s="497"/>
      <c r="DN280" s="497"/>
      <c r="DO280" s="497"/>
      <c r="DP280" s="497"/>
      <c r="DQ280" s="497"/>
      <c r="DR280" s="497"/>
      <c r="DS280" s="494"/>
      <c r="DT280" s="497"/>
      <c r="DU280" s="494"/>
      <c r="DV280" s="500"/>
      <c r="DW280" s="496"/>
      <c r="DX280" s="497"/>
      <c r="DY280" s="497"/>
      <c r="DZ280" s="497"/>
      <c r="EA280" s="497"/>
      <c r="EB280" s="497"/>
      <c r="EC280" s="497"/>
      <c r="ED280" s="497"/>
      <c r="EE280" s="497"/>
      <c r="EF280" s="497"/>
      <c r="EG280" s="497"/>
      <c r="EH280" s="497"/>
      <c r="EI280" s="497"/>
      <c r="EJ280" s="497"/>
      <c r="EK280" s="497"/>
      <c r="EL280" s="497"/>
      <c r="EM280" s="497"/>
      <c r="EN280" s="497"/>
      <c r="EO280" s="497"/>
      <c r="EP280" s="497"/>
      <c r="EQ280" s="497"/>
      <c r="ER280" s="497"/>
      <c r="ES280" s="497"/>
      <c r="ET280" s="497"/>
      <c r="EU280" s="497"/>
      <c r="EV280" s="497"/>
      <c r="EW280" s="497"/>
      <c r="EX280" s="497"/>
      <c r="EY280" s="497"/>
      <c r="EZ280" s="239"/>
      <c r="FA280" s="497"/>
      <c r="FB280" s="497"/>
      <c r="FC280" s="497"/>
      <c r="FD280" s="497"/>
      <c r="FE280" s="497"/>
      <c r="FF280" s="497"/>
      <c r="FG280" s="497"/>
      <c r="FH280" s="497"/>
      <c r="FI280" s="497"/>
      <c r="FJ280" s="497"/>
      <c r="FK280" s="497"/>
      <c r="FL280" s="497"/>
      <c r="FM280" s="497"/>
      <c r="FN280" s="494"/>
      <c r="FO280" s="497"/>
      <c r="FP280" s="497"/>
      <c r="FQ280" s="497"/>
      <c r="FR280" s="497"/>
      <c r="FS280" s="497"/>
      <c r="FT280" s="497"/>
      <c r="FU280" s="497"/>
      <c r="FV280" s="497"/>
      <c r="FW280" s="497"/>
      <c r="FX280" s="497"/>
      <c r="FY280" s="497"/>
      <c r="FZ280" s="497"/>
      <c r="GA280" s="497"/>
      <c r="GB280" s="497"/>
      <c r="GC280" s="497"/>
      <c r="GD280" s="497"/>
      <c r="GE280" s="497"/>
      <c r="GF280" s="497"/>
      <c r="GG280" s="497"/>
      <c r="GH280" s="497"/>
      <c r="GI280" s="497"/>
      <c r="GJ280" s="497"/>
      <c r="GK280" s="497"/>
      <c r="GL280" s="497"/>
      <c r="GM280" s="497"/>
      <c r="GN280" s="497"/>
      <c r="GO280" s="497"/>
      <c r="GP280" s="497"/>
      <c r="GQ280" s="497"/>
      <c r="GR280" s="497"/>
      <c r="GS280" s="497"/>
      <c r="GT280" s="497"/>
      <c r="GU280" s="497"/>
      <c r="GV280" s="494"/>
      <c r="GW280" s="497"/>
      <c r="GX280" s="497"/>
      <c r="GY280" s="497"/>
      <c r="GZ280" s="497"/>
      <c r="HA280" s="497"/>
      <c r="HB280" s="497"/>
      <c r="HC280" s="497"/>
      <c r="HD280" s="497"/>
      <c r="HE280" s="497"/>
      <c r="HF280" s="497"/>
      <c r="HG280" s="497"/>
      <c r="HH280" s="497"/>
      <c r="HI280" s="497"/>
      <c r="HJ280" s="497"/>
      <c r="HK280" s="494"/>
      <c r="HL280" s="497"/>
      <c r="HM280" s="497"/>
      <c r="HN280" s="497"/>
      <c r="HO280" s="497"/>
      <c r="HP280" s="497"/>
      <c r="HQ280" s="497"/>
      <c r="HR280" s="497"/>
      <c r="HS280" s="497"/>
      <c r="HT280" s="500"/>
      <c r="HU280" s="509"/>
      <c r="HV280" s="509"/>
    </row>
    <row r="281" spans="1:230" ht="30.2" customHeight="1" x14ac:dyDescent="0.25">
      <c r="A281" s="760"/>
      <c r="B281" s="496"/>
      <c r="C281" s="496"/>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8"/>
      <c r="AA281" s="744" t="str">
        <f>IF(OR(U281="yes",Z281&gt;'SDG outcome'!$C$39),"yes","no")</f>
        <v>no</v>
      </c>
      <c r="AB281" s="745" t="str">
        <f t="shared" si="8"/>
        <v/>
      </c>
      <c r="AC281" s="566" t="str">
        <f>IF(AND('SMS p2'!AA281="no",AND(Z281&gt;='SDG outcome'!$B$28,Z281&lt;'SDG outcome'!$C$39)),Z281-'SDG outcome'!$B$28,"")</f>
        <v/>
      </c>
      <c r="AD281" s="497"/>
      <c r="AE281" s="497"/>
      <c r="AF281" s="497"/>
      <c r="AG281" s="497"/>
      <c r="AH281" s="497"/>
      <c r="AI281" s="497"/>
      <c r="AJ281" s="498"/>
      <c r="AK281" s="497"/>
      <c r="AL281" s="497"/>
      <c r="AM281" s="497"/>
      <c r="AN281" s="497"/>
      <c r="AO281" s="497"/>
      <c r="AP281" s="497"/>
      <c r="AQ281" s="497"/>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9"/>
      <c r="BS281" s="497"/>
      <c r="BT281" s="497"/>
      <c r="BU281" s="494" t="e" cm="1">
        <f t="array" ref="BU281">_xlfn.IFS(BQ281="Foreword vehicle",BT281*0,BQ281="Human wastes",BT281*0,BS281="Jerrycans",BT281*$BT$4,BQ281="Number of Basins",BT281*$BT$5,BQ281="Number of Buckets",BT281*$BT$6,BQ281="Number of Kgs",BT281*$BT$7,BQ281="Number of spades",BT281*$BT$8,BQ281="Number of wheelbarrows",BT281*$BT$9,BS281="Septic Tank",BT281*0)</f>
        <v>#N/A</v>
      </c>
      <c r="BV281" s="500" t="e">
        <f>Table15[[#This Row],[Calculation: Conversion of metric to Kg manure feeding (Columns: BP, BQ, BR)]]*Table15[[#This Row],[Number of times used to feed biodigester]]</f>
        <v>#N/A</v>
      </c>
      <c r="BW281" s="495"/>
      <c r="BX281" s="496"/>
      <c r="BY281" s="497"/>
      <c r="BZ281" s="497"/>
      <c r="CA281" s="497"/>
      <c r="CB281" s="497"/>
      <c r="CC281" s="497"/>
      <c r="CD281" s="497"/>
      <c r="CE281" s="497"/>
      <c r="CF281" s="497"/>
      <c r="CG281" s="497"/>
      <c r="CH281" s="497"/>
      <c r="CI281" s="497"/>
      <c r="CJ281" s="497"/>
      <c r="CK281" s="497"/>
      <c r="CL281" s="497"/>
      <c r="CM281" s="497"/>
      <c r="CN281" s="497"/>
      <c r="CO281" s="497"/>
      <c r="CP281" s="497"/>
      <c r="CQ281" s="497"/>
      <c r="CR281" s="564" t="str">
        <f>IF(Table15[[#This Row],[Is your biodigester working?]]="yes",CO281/'SDG outcome'!$C$9*CP281*CQ281,"")</f>
        <v/>
      </c>
      <c r="CS281" s="497"/>
      <c r="CT281" s="500"/>
      <c r="CU281" s="496"/>
      <c r="CV281" s="497"/>
      <c r="CW281" s="500"/>
      <c r="CX281" s="496"/>
      <c r="CY281" s="497"/>
      <c r="CZ281" s="500"/>
      <c r="DA281" s="496"/>
      <c r="DB281" s="497"/>
      <c r="DC281" s="497"/>
      <c r="DD281" s="497"/>
      <c r="DE281" s="497"/>
      <c r="DF281" s="497"/>
      <c r="DG281" s="497"/>
      <c r="DH281" s="497"/>
      <c r="DI281" s="497"/>
      <c r="DJ281" s="497"/>
      <c r="DK281" s="497"/>
      <c r="DL281" s="497"/>
      <c r="DM281" s="497"/>
      <c r="DN281" s="497"/>
      <c r="DO281" s="497"/>
      <c r="DP281" s="497"/>
      <c r="DQ281" s="497"/>
      <c r="DR281" s="497"/>
      <c r="DS281" s="494"/>
      <c r="DT281" s="497"/>
      <c r="DU281" s="494"/>
      <c r="DV281" s="500"/>
      <c r="DW281" s="496"/>
      <c r="DX281" s="497"/>
      <c r="DY281" s="497"/>
      <c r="DZ281" s="497"/>
      <c r="EA281" s="497"/>
      <c r="EB281" s="497"/>
      <c r="EC281" s="497"/>
      <c r="ED281" s="497"/>
      <c r="EE281" s="497"/>
      <c r="EF281" s="497"/>
      <c r="EG281" s="497"/>
      <c r="EH281" s="497"/>
      <c r="EI281" s="497"/>
      <c r="EJ281" s="497"/>
      <c r="EK281" s="497"/>
      <c r="EL281" s="497"/>
      <c r="EM281" s="497"/>
      <c r="EN281" s="497"/>
      <c r="EO281" s="497"/>
      <c r="EP281" s="497"/>
      <c r="EQ281" s="497"/>
      <c r="ER281" s="497"/>
      <c r="ES281" s="497"/>
      <c r="ET281" s="497"/>
      <c r="EU281" s="497"/>
      <c r="EV281" s="497"/>
      <c r="EW281" s="497"/>
      <c r="EX281" s="497"/>
      <c r="EY281" s="497"/>
      <c r="EZ281" s="239"/>
      <c r="FA281" s="497"/>
      <c r="FB281" s="497"/>
      <c r="FC281" s="497"/>
      <c r="FD281" s="497"/>
      <c r="FE281" s="497"/>
      <c r="FF281" s="497"/>
      <c r="FG281" s="497"/>
      <c r="FH281" s="497"/>
      <c r="FI281" s="497"/>
      <c r="FJ281" s="497"/>
      <c r="FK281" s="497"/>
      <c r="FL281" s="497"/>
      <c r="FM281" s="497"/>
      <c r="FN281" s="494"/>
      <c r="FO281" s="497"/>
      <c r="FP281" s="497"/>
      <c r="FQ281" s="497"/>
      <c r="FR281" s="497"/>
      <c r="FS281" s="497"/>
      <c r="FT281" s="497"/>
      <c r="FU281" s="497"/>
      <c r="FV281" s="497"/>
      <c r="FW281" s="497"/>
      <c r="FX281" s="497"/>
      <c r="FY281" s="497"/>
      <c r="FZ281" s="497"/>
      <c r="GA281" s="497"/>
      <c r="GB281" s="497"/>
      <c r="GC281" s="497"/>
      <c r="GD281" s="497"/>
      <c r="GE281" s="497"/>
      <c r="GF281" s="497"/>
      <c r="GG281" s="497"/>
      <c r="GH281" s="497"/>
      <c r="GI281" s="497"/>
      <c r="GJ281" s="497"/>
      <c r="GK281" s="497"/>
      <c r="GL281" s="497"/>
      <c r="GM281" s="497"/>
      <c r="GN281" s="497"/>
      <c r="GO281" s="497"/>
      <c r="GP281" s="497"/>
      <c r="GQ281" s="497"/>
      <c r="GR281" s="497"/>
      <c r="GS281" s="497"/>
      <c r="GT281" s="497"/>
      <c r="GU281" s="497"/>
      <c r="GV281" s="494"/>
      <c r="GW281" s="497"/>
      <c r="GX281" s="497"/>
      <c r="GY281" s="497"/>
      <c r="GZ281" s="497"/>
      <c r="HA281" s="497"/>
      <c r="HB281" s="497"/>
      <c r="HC281" s="497"/>
      <c r="HD281" s="497"/>
      <c r="HE281" s="497"/>
      <c r="HF281" s="497"/>
      <c r="HG281" s="497"/>
      <c r="HH281" s="497"/>
      <c r="HI281" s="497"/>
      <c r="HJ281" s="497"/>
      <c r="HK281" s="494"/>
      <c r="HL281" s="497"/>
      <c r="HM281" s="497"/>
      <c r="HN281" s="497"/>
      <c r="HO281" s="497"/>
      <c r="HP281" s="497"/>
      <c r="HQ281" s="497"/>
      <c r="HR281" s="497"/>
      <c r="HS281" s="497"/>
      <c r="HT281" s="500"/>
      <c r="HU281" s="509"/>
      <c r="HV281" s="509"/>
    </row>
    <row r="282" spans="1:230" ht="30.2" customHeight="1" x14ac:dyDescent="0.25">
      <c r="A282" s="760"/>
      <c r="B282" s="496"/>
      <c r="C282" s="496"/>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8"/>
      <c r="AA282" s="744" t="str">
        <f>IF(OR(U282="yes",Z282&gt;'SDG outcome'!$C$39),"yes","no")</f>
        <v>no</v>
      </c>
      <c r="AB282" s="745" t="str">
        <f t="shared" si="8"/>
        <v/>
      </c>
      <c r="AC282" s="566" t="str">
        <f>IF(AND('SMS p2'!AA282="no",AND(Z282&gt;='SDG outcome'!$B$28,Z282&lt;'SDG outcome'!$C$39)),Z282-'SDG outcome'!$B$28,"")</f>
        <v/>
      </c>
      <c r="AD282" s="497"/>
      <c r="AE282" s="497"/>
      <c r="AF282" s="497"/>
      <c r="AG282" s="497"/>
      <c r="AH282" s="497"/>
      <c r="AI282" s="497"/>
      <c r="AJ282" s="498"/>
      <c r="AK282" s="497"/>
      <c r="AL282" s="497"/>
      <c r="AM282" s="497"/>
      <c r="AN282" s="497"/>
      <c r="AO282" s="497"/>
      <c r="AP282" s="497"/>
      <c r="AQ282" s="497"/>
      <c r="AR282" s="497"/>
      <c r="AS282" s="497"/>
      <c r="AT282" s="497"/>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9"/>
      <c r="BS282" s="497"/>
      <c r="BT282" s="497"/>
      <c r="BU282" s="494" t="e" cm="1">
        <f t="array" ref="BU282">_xlfn.IFS(BQ282="Foreword vehicle",BT282*0,BQ282="Human wastes",BT282*0,BS282="Jerrycans",BT282*$BT$4,BQ282="Number of Basins",BT282*$BT$5,BQ282="Number of Buckets",BT282*$BT$6,BQ282="Number of Kgs",BT282*$BT$7,BQ282="Number of spades",BT282*$BT$8,BQ282="Number of wheelbarrows",BT282*$BT$9,BS282="Septic Tank",BT282*0)</f>
        <v>#N/A</v>
      </c>
      <c r="BV282" s="500" t="e">
        <f>Table15[[#This Row],[Calculation: Conversion of metric to Kg manure feeding (Columns: BP, BQ, BR)]]*Table15[[#This Row],[Number of times used to feed biodigester]]</f>
        <v>#N/A</v>
      </c>
      <c r="BW282" s="495"/>
      <c r="BX282" s="496"/>
      <c r="BY282" s="497"/>
      <c r="BZ282" s="497"/>
      <c r="CA282" s="497"/>
      <c r="CB282" s="497"/>
      <c r="CC282" s="497"/>
      <c r="CD282" s="497"/>
      <c r="CE282" s="497"/>
      <c r="CF282" s="497"/>
      <c r="CG282" s="497"/>
      <c r="CH282" s="497"/>
      <c r="CI282" s="497"/>
      <c r="CJ282" s="497"/>
      <c r="CK282" s="497"/>
      <c r="CL282" s="497"/>
      <c r="CM282" s="497"/>
      <c r="CN282" s="497"/>
      <c r="CO282" s="497"/>
      <c r="CP282" s="497"/>
      <c r="CQ282" s="497"/>
      <c r="CR282" s="564" t="str">
        <f>IF(Table15[[#This Row],[Is your biodigester working?]]="yes",CO282/'SDG outcome'!$C$9*CP282*CQ282,"")</f>
        <v/>
      </c>
      <c r="CS282" s="497"/>
      <c r="CT282" s="500"/>
      <c r="CU282" s="496"/>
      <c r="CV282" s="497"/>
      <c r="CW282" s="500"/>
      <c r="CX282" s="496"/>
      <c r="CY282" s="497"/>
      <c r="CZ282" s="500"/>
      <c r="DA282" s="496"/>
      <c r="DB282" s="497"/>
      <c r="DC282" s="497"/>
      <c r="DD282" s="497"/>
      <c r="DE282" s="497"/>
      <c r="DF282" s="497"/>
      <c r="DG282" s="497"/>
      <c r="DH282" s="497"/>
      <c r="DI282" s="497"/>
      <c r="DJ282" s="497"/>
      <c r="DK282" s="497"/>
      <c r="DL282" s="497"/>
      <c r="DM282" s="497"/>
      <c r="DN282" s="497"/>
      <c r="DO282" s="497"/>
      <c r="DP282" s="497"/>
      <c r="DQ282" s="497"/>
      <c r="DR282" s="497"/>
      <c r="DS282" s="494"/>
      <c r="DT282" s="497"/>
      <c r="DU282" s="494"/>
      <c r="DV282" s="500"/>
      <c r="DW282" s="496"/>
      <c r="DX282" s="497"/>
      <c r="DY282" s="497"/>
      <c r="DZ282" s="497"/>
      <c r="EA282" s="497"/>
      <c r="EB282" s="497"/>
      <c r="EC282" s="497"/>
      <c r="ED282" s="497"/>
      <c r="EE282" s="497"/>
      <c r="EF282" s="497"/>
      <c r="EG282" s="497"/>
      <c r="EH282" s="497"/>
      <c r="EI282" s="497"/>
      <c r="EJ282" s="497"/>
      <c r="EK282" s="497"/>
      <c r="EL282" s="497"/>
      <c r="EM282" s="497"/>
      <c r="EN282" s="497"/>
      <c r="EO282" s="497"/>
      <c r="EP282" s="497"/>
      <c r="EQ282" s="497"/>
      <c r="ER282" s="497"/>
      <c r="ES282" s="497"/>
      <c r="ET282" s="497"/>
      <c r="EU282" s="497"/>
      <c r="EV282" s="497"/>
      <c r="EW282" s="497"/>
      <c r="EX282" s="497"/>
      <c r="EY282" s="497"/>
      <c r="EZ282" s="239"/>
      <c r="FA282" s="497"/>
      <c r="FB282" s="497"/>
      <c r="FC282" s="497"/>
      <c r="FD282" s="497"/>
      <c r="FE282" s="497"/>
      <c r="FF282" s="497"/>
      <c r="FG282" s="497"/>
      <c r="FH282" s="497"/>
      <c r="FI282" s="497"/>
      <c r="FJ282" s="497"/>
      <c r="FK282" s="497"/>
      <c r="FL282" s="497"/>
      <c r="FM282" s="497"/>
      <c r="FN282" s="494"/>
      <c r="FO282" s="497"/>
      <c r="FP282" s="497"/>
      <c r="FQ282" s="497"/>
      <c r="FR282" s="497"/>
      <c r="FS282" s="497"/>
      <c r="FT282" s="497"/>
      <c r="FU282" s="497"/>
      <c r="FV282" s="497"/>
      <c r="FW282" s="497"/>
      <c r="FX282" s="497"/>
      <c r="FY282" s="497"/>
      <c r="FZ282" s="497"/>
      <c r="GA282" s="497"/>
      <c r="GB282" s="497"/>
      <c r="GC282" s="497"/>
      <c r="GD282" s="497"/>
      <c r="GE282" s="497"/>
      <c r="GF282" s="497"/>
      <c r="GG282" s="497"/>
      <c r="GH282" s="497"/>
      <c r="GI282" s="497"/>
      <c r="GJ282" s="497"/>
      <c r="GK282" s="497"/>
      <c r="GL282" s="497"/>
      <c r="GM282" s="497"/>
      <c r="GN282" s="497"/>
      <c r="GO282" s="497"/>
      <c r="GP282" s="497"/>
      <c r="GQ282" s="497"/>
      <c r="GR282" s="497"/>
      <c r="GS282" s="497"/>
      <c r="GT282" s="497"/>
      <c r="GU282" s="497"/>
      <c r="GV282" s="494"/>
      <c r="GW282" s="497"/>
      <c r="GX282" s="497"/>
      <c r="GY282" s="497"/>
      <c r="GZ282" s="497"/>
      <c r="HA282" s="497"/>
      <c r="HB282" s="497"/>
      <c r="HC282" s="497"/>
      <c r="HD282" s="497"/>
      <c r="HE282" s="497"/>
      <c r="HF282" s="497"/>
      <c r="HG282" s="497"/>
      <c r="HH282" s="497"/>
      <c r="HI282" s="497"/>
      <c r="HJ282" s="497"/>
      <c r="HK282" s="494"/>
      <c r="HL282" s="497"/>
      <c r="HM282" s="497"/>
      <c r="HN282" s="497"/>
      <c r="HO282" s="497"/>
      <c r="HP282" s="497"/>
      <c r="HQ282" s="497"/>
      <c r="HR282" s="497"/>
      <c r="HS282" s="497"/>
      <c r="HT282" s="500"/>
      <c r="HU282" s="509"/>
      <c r="HV282" s="509"/>
    </row>
    <row r="283" spans="1:230" ht="30.2" customHeight="1" x14ac:dyDescent="0.25">
      <c r="A283" s="760"/>
      <c r="B283" s="496"/>
      <c r="C283" s="496"/>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8"/>
      <c r="AA283" s="744" t="str">
        <f>IF(OR(U283="yes",Z283&gt;'SDG outcome'!$C$39),"yes","no")</f>
        <v>no</v>
      </c>
      <c r="AB283" s="745" t="str">
        <f t="shared" si="8"/>
        <v/>
      </c>
      <c r="AC283" s="566" t="str">
        <f>IF(AND('SMS p2'!AA283="no",AND(Z283&gt;='SDG outcome'!$B$28,Z283&lt;'SDG outcome'!$C$39)),Z283-'SDG outcome'!$B$28,"")</f>
        <v/>
      </c>
      <c r="AD283" s="497"/>
      <c r="AE283" s="497"/>
      <c r="AF283" s="497"/>
      <c r="AG283" s="497"/>
      <c r="AH283" s="497"/>
      <c r="AI283" s="497"/>
      <c r="AJ283" s="498"/>
      <c r="AK283" s="497"/>
      <c r="AL283" s="497"/>
      <c r="AM283" s="497"/>
      <c r="AN283" s="497"/>
      <c r="AO283" s="497"/>
      <c r="AP283" s="497"/>
      <c r="AQ283" s="497"/>
      <c r="AR283" s="497"/>
      <c r="AS283" s="497"/>
      <c r="AT283" s="497"/>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9"/>
      <c r="BS283" s="497"/>
      <c r="BT283" s="497"/>
      <c r="BU283" s="494" t="e" cm="1">
        <f t="array" ref="BU283">_xlfn.IFS(BQ283="Foreword vehicle",BT283*0,BQ283="Human wastes",BT283*0,BS283="Jerrycans",BT283*$BT$4,BQ283="Number of Basins",BT283*$BT$5,BQ283="Number of Buckets",BT283*$BT$6,BQ283="Number of Kgs",BT283*$BT$7,BQ283="Number of spades",BT283*$BT$8,BQ283="Number of wheelbarrows",BT283*$BT$9,BS283="Septic Tank",BT283*0)</f>
        <v>#N/A</v>
      </c>
      <c r="BV283" s="500" t="e">
        <f>Table15[[#This Row],[Calculation: Conversion of metric to Kg manure feeding (Columns: BP, BQ, BR)]]*Table15[[#This Row],[Number of times used to feed biodigester]]</f>
        <v>#N/A</v>
      </c>
      <c r="BW283" s="495"/>
      <c r="BX283" s="496"/>
      <c r="BY283" s="497"/>
      <c r="BZ283" s="497"/>
      <c r="CA283" s="497"/>
      <c r="CB283" s="497"/>
      <c r="CC283" s="497"/>
      <c r="CD283" s="497"/>
      <c r="CE283" s="497"/>
      <c r="CF283" s="497"/>
      <c r="CG283" s="497"/>
      <c r="CH283" s="497"/>
      <c r="CI283" s="497"/>
      <c r="CJ283" s="497"/>
      <c r="CK283" s="497"/>
      <c r="CL283" s="497"/>
      <c r="CM283" s="497"/>
      <c r="CN283" s="497"/>
      <c r="CO283" s="497"/>
      <c r="CP283" s="497"/>
      <c r="CQ283" s="497"/>
      <c r="CR283" s="564" t="str">
        <f>IF(Table15[[#This Row],[Is your biodigester working?]]="yes",CO283/'SDG outcome'!$C$9*CP283*CQ283,"")</f>
        <v/>
      </c>
      <c r="CS283" s="497"/>
      <c r="CT283" s="500"/>
      <c r="CU283" s="496"/>
      <c r="CV283" s="497"/>
      <c r="CW283" s="500"/>
      <c r="CX283" s="496"/>
      <c r="CY283" s="497"/>
      <c r="CZ283" s="500"/>
      <c r="DA283" s="496"/>
      <c r="DB283" s="497"/>
      <c r="DC283" s="497"/>
      <c r="DD283" s="497"/>
      <c r="DE283" s="497"/>
      <c r="DF283" s="497"/>
      <c r="DG283" s="497"/>
      <c r="DH283" s="497"/>
      <c r="DI283" s="497"/>
      <c r="DJ283" s="497"/>
      <c r="DK283" s="497"/>
      <c r="DL283" s="497"/>
      <c r="DM283" s="497"/>
      <c r="DN283" s="497"/>
      <c r="DO283" s="497"/>
      <c r="DP283" s="497"/>
      <c r="DQ283" s="497"/>
      <c r="DR283" s="497"/>
      <c r="DS283" s="494"/>
      <c r="DT283" s="497"/>
      <c r="DU283" s="494"/>
      <c r="DV283" s="500"/>
      <c r="DW283" s="496"/>
      <c r="DX283" s="497"/>
      <c r="DY283" s="497"/>
      <c r="DZ283" s="497"/>
      <c r="EA283" s="497"/>
      <c r="EB283" s="497"/>
      <c r="EC283" s="497"/>
      <c r="ED283" s="497"/>
      <c r="EE283" s="497"/>
      <c r="EF283" s="497"/>
      <c r="EG283" s="497"/>
      <c r="EH283" s="497"/>
      <c r="EI283" s="497"/>
      <c r="EJ283" s="497"/>
      <c r="EK283" s="497"/>
      <c r="EL283" s="497"/>
      <c r="EM283" s="497"/>
      <c r="EN283" s="497"/>
      <c r="EO283" s="497"/>
      <c r="EP283" s="497"/>
      <c r="EQ283" s="497"/>
      <c r="ER283" s="497"/>
      <c r="ES283" s="497"/>
      <c r="ET283" s="497"/>
      <c r="EU283" s="497"/>
      <c r="EV283" s="497"/>
      <c r="EW283" s="497"/>
      <c r="EX283" s="497"/>
      <c r="EY283" s="497"/>
      <c r="EZ283" s="239"/>
      <c r="FA283" s="497"/>
      <c r="FB283" s="497"/>
      <c r="FC283" s="497"/>
      <c r="FD283" s="497"/>
      <c r="FE283" s="497"/>
      <c r="FF283" s="497"/>
      <c r="FG283" s="497"/>
      <c r="FH283" s="497"/>
      <c r="FI283" s="497"/>
      <c r="FJ283" s="497"/>
      <c r="FK283" s="497"/>
      <c r="FL283" s="497"/>
      <c r="FM283" s="497"/>
      <c r="FN283" s="494"/>
      <c r="FO283" s="497"/>
      <c r="FP283" s="497"/>
      <c r="FQ283" s="497"/>
      <c r="FR283" s="497"/>
      <c r="FS283" s="497"/>
      <c r="FT283" s="497"/>
      <c r="FU283" s="497"/>
      <c r="FV283" s="497"/>
      <c r="FW283" s="497"/>
      <c r="FX283" s="497"/>
      <c r="FY283" s="497"/>
      <c r="FZ283" s="497"/>
      <c r="GA283" s="497"/>
      <c r="GB283" s="497"/>
      <c r="GC283" s="497"/>
      <c r="GD283" s="497"/>
      <c r="GE283" s="497"/>
      <c r="GF283" s="497"/>
      <c r="GG283" s="497"/>
      <c r="GH283" s="497"/>
      <c r="GI283" s="497"/>
      <c r="GJ283" s="497"/>
      <c r="GK283" s="497"/>
      <c r="GL283" s="497"/>
      <c r="GM283" s="497"/>
      <c r="GN283" s="497"/>
      <c r="GO283" s="497"/>
      <c r="GP283" s="497"/>
      <c r="GQ283" s="497"/>
      <c r="GR283" s="497"/>
      <c r="GS283" s="497"/>
      <c r="GT283" s="497"/>
      <c r="GU283" s="497"/>
      <c r="GV283" s="494"/>
      <c r="GW283" s="497"/>
      <c r="GX283" s="497"/>
      <c r="GY283" s="497"/>
      <c r="GZ283" s="497"/>
      <c r="HA283" s="497"/>
      <c r="HB283" s="497"/>
      <c r="HC283" s="497"/>
      <c r="HD283" s="497"/>
      <c r="HE283" s="497"/>
      <c r="HF283" s="497"/>
      <c r="HG283" s="497"/>
      <c r="HH283" s="497"/>
      <c r="HI283" s="497"/>
      <c r="HJ283" s="497"/>
      <c r="HK283" s="494"/>
      <c r="HL283" s="497"/>
      <c r="HM283" s="497"/>
      <c r="HN283" s="497"/>
      <c r="HO283" s="497"/>
      <c r="HP283" s="497"/>
      <c r="HQ283" s="497"/>
      <c r="HR283" s="497"/>
      <c r="HS283" s="497"/>
      <c r="HT283" s="500"/>
      <c r="HU283" s="509"/>
      <c r="HV283" s="509"/>
    </row>
    <row r="284" spans="1:230" ht="30.2" customHeight="1" x14ac:dyDescent="0.25">
      <c r="A284" s="760"/>
      <c r="B284" s="496"/>
      <c r="C284" s="496"/>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8"/>
      <c r="AA284" s="744" t="str">
        <f>IF(OR(U284="yes",Z284&gt;'SDG outcome'!$C$39),"yes","no")</f>
        <v>no</v>
      </c>
      <c r="AB284" s="745" t="str">
        <f t="shared" si="8"/>
        <v/>
      </c>
      <c r="AC284" s="566" t="str">
        <f>IF(AND('SMS p2'!AA284="no",AND(Z284&gt;='SDG outcome'!$B$28,Z284&lt;'SDG outcome'!$C$39)),Z284-'SDG outcome'!$B$28,"")</f>
        <v/>
      </c>
      <c r="AD284" s="497"/>
      <c r="AE284" s="497"/>
      <c r="AF284" s="497"/>
      <c r="AG284" s="497"/>
      <c r="AH284" s="497"/>
      <c r="AI284" s="497"/>
      <c r="AJ284" s="498"/>
      <c r="AK284" s="497"/>
      <c r="AL284" s="497"/>
      <c r="AM284" s="497"/>
      <c r="AN284" s="497"/>
      <c r="AO284" s="497"/>
      <c r="AP284" s="497"/>
      <c r="AQ284" s="497"/>
      <c r="AR284" s="497"/>
      <c r="AS284" s="497"/>
      <c r="AT284" s="497"/>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9"/>
      <c r="BS284" s="497"/>
      <c r="BT284" s="497"/>
      <c r="BU284" s="494" t="e" cm="1">
        <f t="array" ref="BU284">_xlfn.IFS(BQ284="Foreword vehicle",BT284*0,BQ284="Human wastes",BT284*0,BS284="Jerrycans",BT284*$BT$4,BQ284="Number of Basins",BT284*$BT$5,BQ284="Number of Buckets",BT284*$BT$6,BQ284="Number of Kgs",BT284*$BT$7,BQ284="Number of spades",BT284*$BT$8,BQ284="Number of wheelbarrows",BT284*$BT$9,BS284="Septic Tank",BT284*0)</f>
        <v>#N/A</v>
      </c>
      <c r="BV284" s="500" t="e">
        <f>Table15[[#This Row],[Calculation: Conversion of metric to Kg manure feeding (Columns: BP, BQ, BR)]]*Table15[[#This Row],[Number of times used to feed biodigester]]</f>
        <v>#N/A</v>
      </c>
      <c r="BW284" s="495"/>
      <c r="BX284" s="496"/>
      <c r="BY284" s="497"/>
      <c r="BZ284" s="497"/>
      <c r="CA284" s="497"/>
      <c r="CB284" s="497"/>
      <c r="CC284" s="497"/>
      <c r="CD284" s="497"/>
      <c r="CE284" s="497"/>
      <c r="CF284" s="497"/>
      <c r="CG284" s="497"/>
      <c r="CH284" s="497"/>
      <c r="CI284" s="497"/>
      <c r="CJ284" s="497"/>
      <c r="CK284" s="497"/>
      <c r="CL284" s="497"/>
      <c r="CM284" s="497"/>
      <c r="CN284" s="497"/>
      <c r="CO284" s="497"/>
      <c r="CP284" s="497"/>
      <c r="CQ284" s="497"/>
      <c r="CR284" s="564" t="str">
        <f>IF(Table15[[#This Row],[Is your biodigester working?]]="yes",CO284/'SDG outcome'!$C$9*CP284*CQ284,"")</f>
        <v/>
      </c>
      <c r="CS284" s="497"/>
      <c r="CT284" s="500"/>
      <c r="CU284" s="496"/>
      <c r="CV284" s="497"/>
      <c r="CW284" s="500"/>
      <c r="CX284" s="496"/>
      <c r="CY284" s="497"/>
      <c r="CZ284" s="500"/>
      <c r="DA284" s="496"/>
      <c r="DB284" s="497"/>
      <c r="DC284" s="497"/>
      <c r="DD284" s="497"/>
      <c r="DE284" s="497"/>
      <c r="DF284" s="497"/>
      <c r="DG284" s="497"/>
      <c r="DH284" s="497"/>
      <c r="DI284" s="497"/>
      <c r="DJ284" s="497"/>
      <c r="DK284" s="497"/>
      <c r="DL284" s="497"/>
      <c r="DM284" s="497"/>
      <c r="DN284" s="497"/>
      <c r="DO284" s="497"/>
      <c r="DP284" s="497"/>
      <c r="DQ284" s="497"/>
      <c r="DR284" s="497"/>
      <c r="DS284" s="494"/>
      <c r="DT284" s="497"/>
      <c r="DU284" s="494"/>
      <c r="DV284" s="500"/>
      <c r="DW284" s="496"/>
      <c r="DX284" s="497"/>
      <c r="DY284" s="497"/>
      <c r="DZ284" s="497"/>
      <c r="EA284" s="497"/>
      <c r="EB284" s="497"/>
      <c r="EC284" s="497"/>
      <c r="ED284" s="497"/>
      <c r="EE284" s="497"/>
      <c r="EF284" s="497"/>
      <c r="EG284" s="497"/>
      <c r="EH284" s="497"/>
      <c r="EI284" s="497"/>
      <c r="EJ284" s="497"/>
      <c r="EK284" s="497"/>
      <c r="EL284" s="497"/>
      <c r="EM284" s="497"/>
      <c r="EN284" s="497"/>
      <c r="EO284" s="497"/>
      <c r="EP284" s="497"/>
      <c r="EQ284" s="497"/>
      <c r="ER284" s="497"/>
      <c r="ES284" s="497"/>
      <c r="ET284" s="497"/>
      <c r="EU284" s="497"/>
      <c r="EV284" s="497"/>
      <c r="EW284" s="497"/>
      <c r="EX284" s="497"/>
      <c r="EY284" s="497"/>
      <c r="EZ284" s="239"/>
      <c r="FA284" s="497"/>
      <c r="FB284" s="497"/>
      <c r="FC284" s="497"/>
      <c r="FD284" s="497"/>
      <c r="FE284" s="497"/>
      <c r="FF284" s="497"/>
      <c r="FG284" s="497"/>
      <c r="FH284" s="497"/>
      <c r="FI284" s="497"/>
      <c r="FJ284" s="497"/>
      <c r="FK284" s="497"/>
      <c r="FL284" s="497"/>
      <c r="FM284" s="497"/>
      <c r="FN284" s="494"/>
      <c r="FO284" s="497"/>
      <c r="FP284" s="497"/>
      <c r="FQ284" s="497"/>
      <c r="FR284" s="497"/>
      <c r="FS284" s="497"/>
      <c r="FT284" s="497"/>
      <c r="FU284" s="497"/>
      <c r="FV284" s="497"/>
      <c r="FW284" s="497"/>
      <c r="FX284" s="497"/>
      <c r="FY284" s="497"/>
      <c r="FZ284" s="497"/>
      <c r="GA284" s="497"/>
      <c r="GB284" s="497"/>
      <c r="GC284" s="497"/>
      <c r="GD284" s="497"/>
      <c r="GE284" s="497"/>
      <c r="GF284" s="497"/>
      <c r="GG284" s="497"/>
      <c r="GH284" s="497"/>
      <c r="GI284" s="497"/>
      <c r="GJ284" s="497"/>
      <c r="GK284" s="497"/>
      <c r="GL284" s="497"/>
      <c r="GM284" s="497"/>
      <c r="GN284" s="497"/>
      <c r="GO284" s="497"/>
      <c r="GP284" s="497"/>
      <c r="GQ284" s="497"/>
      <c r="GR284" s="497"/>
      <c r="GS284" s="497"/>
      <c r="GT284" s="497"/>
      <c r="GU284" s="497"/>
      <c r="GV284" s="494"/>
      <c r="GW284" s="497"/>
      <c r="GX284" s="497"/>
      <c r="GY284" s="497"/>
      <c r="GZ284" s="497"/>
      <c r="HA284" s="497"/>
      <c r="HB284" s="497"/>
      <c r="HC284" s="497"/>
      <c r="HD284" s="497"/>
      <c r="HE284" s="497"/>
      <c r="HF284" s="497"/>
      <c r="HG284" s="497"/>
      <c r="HH284" s="497"/>
      <c r="HI284" s="497"/>
      <c r="HJ284" s="497"/>
      <c r="HK284" s="494"/>
      <c r="HL284" s="497"/>
      <c r="HM284" s="497"/>
      <c r="HN284" s="497"/>
      <c r="HO284" s="497"/>
      <c r="HP284" s="497"/>
      <c r="HQ284" s="497"/>
      <c r="HR284" s="497"/>
      <c r="HS284" s="497"/>
      <c r="HT284" s="500"/>
      <c r="HU284" s="509"/>
      <c r="HV284" s="509"/>
    </row>
    <row r="285" spans="1:230" ht="30.2" customHeight="1" x14ac:dyDescent="0.25">
      <c r="A285" s="760"/>
      <c r="B285" s="496"/>
      <c r="C285" s="496"/>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8"/>
      <c r="AA285" s="744" t="str">
        <f>IF(OR(U285="yes",Z285&gt;'SDG outcome'!$C$39),"yes","no")</f>
        <v>no</v>
      </c>
      <c r="AB285" s="745" t="str">
        <f t="shared" si="8"/>
        <v/>
      </c>
      <c r="AC285" s="566" t="str">
        <f>IF(AND('SMS p2'!AA285="no",AND(Z285&gt;='SDG outcome'!$B$28,Z285&lt;'SDG outcome'!$C$39)),Z285-'SDG outcome'!$B$28,"")</f>
        <v/>
      </c>
      <c r="AD285" s="497"/>
      <c r="AE285" s="497"/>
      <c r="AF285" s="497"/>
      <c r="AG285" s="497"/>
      <c r="AH285" s="497"/>
      <c r="AI285" s="497"/>
      <c r="AJ285" s="498"/>
      <c r="AK285" s="497"/>
      <c r="AL285" s="497"/>
      <c r="AM285" s="497"/>
      <c r="AN285" s="497"/>
      <c r="AO285" s="497"/>
      <c r="AP285" s="497"/>
      <c r="AQ285" s="497"/>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9"/>
      <c r="BS285" s="497"/>
      <c r="BT285" s="497"/>
      <c r="BU285" s="494" t="e" cm="1">
        <f t="array" ref="BU285">_xlfn.IFS(BQ285="Foreword vehicle",BT285*0,BQ285="Human wastes",BT285*0,BS285="Jerrycans",BT285*$BT$4,BQ285="Number of Basins",BT285*$BT$5,BQ285="Number of Buckets",BT285*$BT$6,BQ285="Number of Kgs",BT285*$BT$7,BQ285="Number of spades",BT285*$BT$8,BQ285="Number of wheelbarrows",BT285*$BT$9,BS285="Septic Tank",BT285*0)</f>
        <v>#N/A</v>
      </c>
      <c r="BV285" s="500" t="e">
        <f>Table15[[#This Row],[Calculation: Conversion of metric to Kg manure feeding (Columns: BP, BQ, BR)]]*Table15[[#This Row],[Number of times used to feed biodigester]]</f>
        <v>#N/A</v>
      </c>
      <c r="BW285" s="495"/>
      <c r="BX285" s="496"/>
      <c r="BY285" s="497"/>
      <c r="BZ285" s="497"/>
      <c r="CA285" s="497"/>
      <c r="CB285" s="497"/>
      <c r="CC285" s="497"/>
      <c r="CD285" s="497"/>
      <c r="CE285" s="497"/>
      <c r="CF285" s="497"/>
      <c r="CG285" s="497"/>
      <c r="CH285" s="497"/>
      <c r="CI285" s="497"/>
      <c r="CJ285" s="497"/>
      <c r="CK285" s="497"/>
      <c r="CL285" s="497"/>
      <c r="CM285" s="497"/>
      <c r="CN285" s="497"/>
      <c r="CO285" s="497"/>
      <c r="CP285" s="497"/>
      <c r="CQ285" s="497"/>
      <c r="CR285" s="564" t="str">
        <f>IF(Table15[[#This Row],[Is your biodigester working?]]="yes",CO285/'SDG outcome'!$C$9*CP285*CQ285,"")</f>
        <v/>
      </c>
      <c r="CS285" s="497"/>
      <c r="CT285" s="500"/>
      <c r="CU285" s="496"/>
      <c r="CV285" s="497"/>
      <c r="CW285" s="500"/>
      <c r="CX285" s="496"/>
      <c r="CY285" s="497"/>
      <c r="CZ285" s="500"/>
      <c r="DA285" s="496"/>
      <c r="DB285" s="497"/>
      <c r="DC285" s="497"/>
      <c r="DD285" s="497"/>
      <c r="DE285" s="497"/>
      <c r="DF285" s="497"/>
      <c r="DG285" s="497"/>
      <c r="DH285" s="497"/>
      <c r="DI285" s="497"/>
      <c r="DJ285" s="497"/>
      <c r="DK285" s="497"/>
      <c r="DL285" s="497"/>
      <c r="DM285" s="497"/>
      <c r="DN285" s="497"/>
      <c r="DO285" s="497"/>
      <c r="DP285" s="497"/>
      <c r="DQ285" s="497"/>
      <c r="DR285" s="497"/>
      <c r="DS285" s="494"/>
      <c r="DT285" s="497"/>
      <c r="DU285" s="494"/>
      <c r="DV285" s="500"/>
      <c r="DW285" s="496"/>
      <c r="DX285" s="497"/>
      <c r="DY285" s="497"/>
      <c r="DZ285" s="497"/>
      <c r="EA285" s="497"/>
      <c r="EB285" s="497"/>
      <c r="EC285" s="497"/>
      <c r="ED285" s="497"/>
      <c r="EE285" s="497"/>
      <c r="EF285" s="497"/>
      <c r="EG285" s="497"/>
      <c r="EH285" s="497"/>
      <c r="EI285" s="497"/>
      <c r="EJ285" s="497"/>
      <c r="EK285" s="497"/>
      <c r="EL285" s="497"/>
      <c r="EM285" s="497"/>
      <c r="EN285" s="497"/>
      <c r="EO285" s="497"/>
      <c r="EP285" s="497"/>
      <c r="EQ285" s="497"/>
      <c r="ER285" s="497"/>
      <c r="ES285" s="497"/>
      <c r="ET285" s="497"/>
      <c r="EU285" s="497"/>
      <c r="EV285" s="497"/>
      <c r="EW285" s="497"/>
      <c r="EX285" s="497"/>
      <c r="EY285" s="497"/>
      <c r="EZ285" s="239"/>
      <c r="FA285" s="497"/>
      <c r="FB285" s="497"/>
      <c r="FC285" s="497"/>
      <c r="FD285" s="497"/>
      <c r="FE285" s="497"/>
      <c r="FF285" s="497"/>
      <c r="FG285" s="497"/>
      <c r="FH285" s="497"/>
      <c r="FI285" s="497"/>
      <c r="FJ285" s="497"/>
      <c r="FK285" s="497"/>
      <c r="FL285" s="497"/>
      <c r="FM285" s="497"/>
      <c r="FN285" s="494"/>
      <c r="FO285" s="497"/>
      <c r="FP285" s="497"/>
      <c r="FQ285" s="497"/>
      <c r="FR285" s="497"/>
      <c r="FS285" s="497"/>
      <c r="FT285" s="497"/>
      <c r="FU285" s="497"/>
      <c r="FV285" s="497"/>
      <c r="FW285" s="497"/>
      <c r="FX285" s="497"/>
      <c r="FY285" s="497"/>
      <c r="FZ285" s="497"/>
      <c r="GA285" s="497"/>
      <c r="GB285" s="497"/>
      <c r="GC285" s="497"/>
      <c r="GD285" s="497"/>
      <c r="GE285" s="497"/>
      <c r="GF285" s="497"/>
      <c r="GG285" s="497"/>
      <c r="GH285" s="497"/>
      <c r="GI285" s="497"/>
      <c r="GJ285" s="497"/>
      <c r="GK285" s="497"/>
      <c r="GL285" s="497"/>
      <c r="GM285" s="497"/>
      <c r="GN285" s="497"/>
      <c r="GO285" s="497"/>
      <c r="GP285" s="497"/>
      <c r="GQ285" s="497"/>
      <c r="GR285" s="497"/>
      <c r="GS285" s="497"/>
      <c r="GT285" s="497"/>
      <c r="GU285" s="497"/>
      <c r="GV285" s="494"/>
      <c r="GW285" s="497"/>
      <c r="GX285" s="497"/>
      <c r="GY285" s="497"/>
      <c r="GZ285" s="497"/>
      <c r="HA285" s="497"/>
      <c r="HB285" s="497"/>
      <c r="HC285" s="497"/>
      <c r="HD285" s="497"/>
      <c r="HE285" s="497"/>
      <c r="HF285" s="497"/>
      <c r="HG285" s="497"/>
      <c r="HH285" s="497"/>
      <c r="HI285" s="497"/>
      <c r="HJ285" s="497"/>
      <c r="HK285" s="494"/>
      <c r="HL285" s="497"/>
      <c r="HM285" s="497"/>
      <c r="HN285" s="497"/>
      <c r="HO285" s="497"/>
      <c r="HP285" s="497"/>
      <c r="HQ285" s="497"/>
      <c r="HR285" s="497"/>
      <c r="HS285" s="497"/>
      <c r="HT285" s="500"/>
      <c r="HU285" s="509"/>
      <c r="HV285" s="509"/>
    </row>
    <row r="286" spans="1:230" ht="66" x14ac:dyDescent="0.25">
      <c r="B286" s="756">
        <v>262</v>
      </c>
      <c r="C286" s="715" t="s">
        <v>5804</v>
      </c>
      <c r="D286" s="715" t="s">
        <v>36331</v>
      </c>
      <c r="E286" s="715" t="s">
        <v>34457</v>
      </c>
      <c r="F286" s="715" t="s">
        <v>7</v>
      </c>
      <c r="G286" s="715" t="s">
        <v>36332</v>
      </c>
      <c r="H286" s="715">
        <v>1187.4000000000001</v>
      </c>
      <c r="I286" s="715">
        <v>4.8</v>
      </c>
      <c r="J286" s="715" t="s">
        <v>29319</v>
      </c>
      <c r="K286" s="715" t="s">
        <v>4</v>
      </c>
      <c r="L286" s="715" t="s">
        <v>5805</v>
      </c>
      <c r="M286" s="715">
        <v>772479001</v>
      </c>
      <c r="N286" s="715" t="s">
        <v>5</v>
      </c>
      <c r="O286" s="715" t="s">
        <v>31438</v>
      </c>
      <c r="P286" s="715">
        <v>62</v>
      </c>
      <c r="Q286" s="715">
        <v>3</v>
      </c>
      <c r="R286" s="715" t="s">
        <v>7</v>
      </c>
      <c r="S286" s="715" t="s">
        <v>31588</v>
      </c>
      <c r="T286" s="715" t="s">
        <v>4</v>
      </c>
      <c r="U286" s="715" t="s">
        <v>7</v>
      </c>
      <c r="V286" s="715" t="s">
        <v>7</v>
      </c>
      <c r="W286" s="715" t="s">
        <v>4</v>
      </c>
      <c r="X286" s="715" t="s">
        <v>7</v>
      </c>
      <c r="Y286" s="715" t="s">
        <v>4</v>
      </c>
      <c r="Z286" s="715" t="s">
        <v>4</v>
      </c>
      <c r="AA286" s="717" t="str">
        <f>IF(OR(U286="yes",Z286&gt;'SDG outcome'!$C$39),"yes","no")</f>
        <v>yes</v>
      </c>
      <c r="AB286" s="718" t="str">
        <f t="shared" ref="AB286" si="9">IF(AA286="no","",W286)</f>
        <v>NA</v>
      </c>
      <c r="AC286" s="719" t="str">
        <f>IF(AND('SMS p2'!AA286="no",AND(Z286&gt;='SDG outcome'!$B$28,Z286&lt;'SDG outcome'!$C$39)),Z286-'SDG outcome'!$B$28,"")</f>
        <v/>
      </c>
      <c r="AD286" s="715" t="s">
        <v>4</v>
      </c>
      <c r="AE286" s="715" t="s">
        <v>4</v>
      </c>
      <c r="AF286" s="715" t="s">
        <v>4</v>
      </c>
      <c r="AG286" s="715" t="s">
        <v>4</v>
      </c>
      <c r="AH286" s="715" t="s">
        <v>4</v>
      </c>
      <c r="AI286" s="715" t="s">
        <v>4</v>
      </c>
      <c r="AJ286" s="715" t="s">
        <v>4</v>
      </c>
      <c r="AK286" s="715" t="s">
        <v>29290</v>
      </c>
      <c r="AL286" s="715" t="s">
        <v>29291</v>
      </c>
      <c r="AM286" s="715" t="s">
        <v>4</v>
      </c>
      <c r="AN286" s="715" t="s">
        <v>4</v>
      </c>
      <c r="AO286" s="715" t="s">
        <v>31536</v>
      </c>
      <c r="AP286" s="715" t="s">
        <v>4</v>
      </c>
      <c r="AQ286" s="715" t="s">
        <v>31537</v>
      </c>
      <c r="AR286" s="715" t="s">
        <v>4</v>
      </c>
      <c r="AS286" s="715" t="s">
        <v>31538</v>
      </c>
      <c r="AT286" s="715" t="s">
        <v>4</v>
      </c>
      <c r="AU286" s="715" t="s">
        <v>7</v>
      </c>
      <c r="AV286" s="715" t="s">
        <v>4</v>
      </c>
      <c r="AW286" s="715" t="s">
        <v>4</v>
      </c>
      <c r="AX286" s="715" t="s">
        <v>2</v>
      </c>
      <c r="AY286" s="715" t="s">
        <v>4</v>
      </c>
      <c r="AZ286" s="715" t="s">
        <v>4</v>
      </c>
      <c r="BA286" s="715" t="s">
        <v>4</v>
      </c>
      <c r="BB286" s="715" t="s">
        <v>4</v>
      </c>
      <c r="BC286" s="715" t="s">
        <v>4</v>
      </c>
      <c r="BD286" s="715" t="s">
        <v>4</v>
      </c>
      <c r="BE286" s="715" t="s">
        <v>4</v>
      </c>
      <c r="BF286" s="715" t="s">
        <v>4</v>
      </c>
      <c r="BG286" s="715" t="s">
        <v>4</v>
      </c>
      <c r="BH286" s="715" t="s">
        <v>4</v>
      </c>
      <c r="BI286" s="715" t="s">
        <v>4</v>
      </c>
      <c r="BJ286" s="715" t="s">
        <v>4</v>
      </c>
      <c r="BK286" s="715" t="s">
        <v>2</v>
      </c>
      <c r="BL286" s="715" t="s">
        <v>4</v>
      </c>
      <c r="BM286" s="715" t="s">
        <v>4</v>
      </c>
      <c r="BN286" s="715" t="s">
        <v>31425</v>
      </c>
      <c r="BO286" s="715">
        <v>1</v>
      </c>
      <c r="BP286" s="715">
        <v>60</v>
      </c>
      <c r="BQ286" s="715" t="s">
        <v>31426</v>
      </c>
      <c r="BR286" s="720" t="s">
        <v>33332</v>
      </c>
      <c r="BS286" s="715" t="s">
        <v>4</v>
      </c>
      <c r="BT286" s="715">
        <v>2</v>
      </c>
      <c r="BU286" s="713"/>
      <c r="BV286" s="509"/>
      <c r="BW286" s="714"/>
      <c r="BX286" s="715" t="s">
        <v>22</v>
      </c>
      <c r="BY286" s="715" t="s">
        <v>4</v>
      </c>
      <c r="BZ286" s="715" t="s">
        <v>2</v>
      </c>
      <c r="CA286" s="715" t="s">
        <v>4</v>
      </c>
      <c r="CB286" s="715" t="s">
        <v>4</v>
      </c>
      <c r="CC286" s="715" t="s">
        <v>4</v>
      </c>
      <c r="CD286" s="715" t="s">
        <v>7</v>
      </c>
      <c r="CE286" s="715" t="s">
        <v>36373</v>
      </c>
      <c r="CF286" s="715" t="s">
        <v>4</v>
      </c>
      <c r="CG286" s="715" t="s">
        <v>31604</v>
      </c>
      <c r="CH286" s="715">
        <v>2</v>
      </c>
      <c r="CI286" s="715" t="s">
        <v>4</v>
      </c>
      <c r="CJ286" s="715" t="s">
        <v>4</v>
      </c>
      <c r="CK286" s="715" t="s">
        <v>4</v>
      </c>
      <c r="CL286" s="715" t="s">
        <v>4</v>
      </c>
      <c r="CM286" s="715" t="s">
        <v>4</v>
      </c>
      <c r="CN286" s="715" t="s">
        <v>4</v>
      </c>
      <c r="CO286" s="715" t="s">
        <v>4</v>
      </c>
      <c r="CP286" s="715" t="s">
        <v>4</v>
      </c>
      <c r="CQ286" s="715" t="s">
        <v>4</v>
      </c>
      <c r="CR286" s="715">
        <v>90</v>
      </c>
      <c r="CS286" s="715">
        <v>10</v>
      </c>
      <c r="CT286" s="715" t="s">
        <v>36374</v>
      </c>
      <c r="CU286" s="715" t="s">
        <v>4</v>
      </c>
      <c r="CV286" s="715" t="s">
        <v>4</v>
      </c>
      <c r="CW286" s="715" t="s">
        <v>4</v>
      </c>
      <c r="CX286" s="715" t="s">
        <v>4</v>
      </c>
      <c r="CY286" s="715" t="s">
        <v>4</v>
      </c>
      <c r="CZ286" s="715" t="s">
        <v>4</v>
      </c>
      <c r="DA286" s="715" t="s">
        <v>4</v>
      </c>
      <c r="DB286" s="715" t="s">
        <v>4</v>
      </c>
      <c r="DC286" s="715" t="s">
        <v>4</v>
      </c>
      <c r="DD286" s="715" t="s">
        <v>4</v>
      </c>
      <c r="DE286" s="715" t="s">
        <v>4</v>
      </c>
      <c r="DF286" s="715" t="s">
        <v>4</v>
      </c>
      <c r="DG286" s="715" t="s">
        <v>4</v>
      </c>
      <c r="DH286" s="715" t="s">
        <v>4</v>
      </c>
      <c r="DI286" s="715" t="s">
        <v>4</v>
      </c>
      <c r="DJ286" s="715" t="s">
        <v>4</v>
      </c>
      <c r="DK286" s="715" t="s">
        <v>4</v>
      </c>
      <c r="DL286" s="715" t="s">
        <v>4</v>
      </c>
      <c r="DM286" s="715">
        <v>4</v>
      </c>
      <c r="DN286" s="715" t="s">
        <v>2</v>
      </c>
      <c r="DO286" s="715" t="s">
        <v>29292</v>
      </c>
      <c r="DP286" s="715" t="s">
        <v>4</v>
      </c>
      <c r="DQ286" s="715" t="s">
        <v>29293</v>
      </c>
      <c r="DR286" s="721">
        <v>80000</v>
      </c>
      <c r="DS286" s="715" t="s">
        <v>29294</v>
      </c>
      <c r="DT286" s="721" t="s">
        <v>4</v>
      </c>
      <c r="DU286" s="715" t="s">
        <v>29508</v>
      </c>
      <c r="DV286" s="721" t="s">
        <v>4</v>
      </c>
      <c r="DW286" s="721" t="s">
        <v>4</v>
      </c>
      <c r="DX286" s="721" t="s">
        <v>4</v>
      </c>
      <c r="DY286" s="721" t="s">
        <v>4</v>
      </c>
      <c r="DZ286" s="721" t="s">
        <v>4</v>
      </c>
      <c r="EA286" s="721" t="s">
        <v>4</v>
      </c>
      <c r="EB286" s="721" t="s">
        <v>4</v>
      </c>
      <c r="EC286" s="715">
        <v>100</v>
      </c>
      <c r="ED286" s="715" t="s">
        <v>30667</v>
      </c>
      <c r="EE286" s="721" t="s">
        <v>4</v>
      </c>
      <c r="EF286" s="721" t="s">
        <v>4</v>
      </c>
      <c r="EG286" s="715">
        <v>100</v>
      </c>
      <c r="EH286" s="721" t="s">
        <v>4</v>
      </c>
      <c r="EI286" s="721" t="s">
        <v>4</v>
      </c>
      <c r="EJ286" s="721" t="s">
        <v>4</v>
      </c>
      <c r="EK286" s="721" t="s">
        <v>4</v>
      </c>
      <c r="EL286" s="715">
        <v>30</v>
      </c>
      <c r="EM286" s="721" t="s">
        <v>4</v>
      </c>
      <c r="EN286" s="721" t="s">
        <v>4</v>
      </c>
      <c r="EO286" s="721" t="s">
        <v>4</v>
      </c>
      <c r="EP286" s="715" t="s">
        <v>29695</v>
      </c>
      <c r="EQ286" s="715">
        <v>80</v>
      </c>
      <c r="ER286" s="721" t="s">
        <v>4</v>
      </c>
      <c r="ES286" s="721" t="s">
        <v>4</v>
      </c>
      <c r="ET286" s="715">
        <v>20</v>
      </c>
      <c r="EU286" s="721" t="s">
        <v>4</v>
      </c>
      <c r="EW286" s="715">
        <v>8.0937099999999998E-2</v>
      </c>
      <c r="EX286" s="715" t="s">
        <v>7</v>
      </c>
      <c r="EY286" s="715">
        <v>10</v>
      </c>
      <c r="EZ286" s="746">
        <f t="shared" ref="EZ286:EZ293" si="10">IF(OR(EW286="NA","DNA"),"",EW286*EY286)/100</f>
        <v>8.0937099999999988E-3</v>
      </c>
      <c r="FA286" s="715" t="s">
        <v>36375</v>
      </c>
      <c r="FB286" s="715" t="s">
        <v>29298</v>
      </c>
      <c r="FC286" s="715">
        <v>72</v>
      </c>
      <c r="FD286" s="715" t="s">
        <v>2</v>
      </c>
      <c r="FE286" s="715" t="s">
        <v>4</v>
      </c>
      <c r="FF286" s="715" t="s">
        <v>4</v>
      </c>
      <c r="FG286" s="715" t="s">
        <v>2</v>
      </c>
      <c r="FH286" s="715" t="s">
        <v>4</v>
      </c>
      <c r="FI286" s="715" t="s">
        <v>4</v>
      </c>
      <c r="FJ286" s="715" t="s">
        <v>4</v>
      </c>
      <c r="FK286" s="715" t="s">
        <v>4</v>
      </c>
      <c r="FL286" s="715" t="s">
        <v>4</v>
      </c>
      <c r="FM286" s="715" t="s">
        <v>4</v>
      </c>
      <c r="FN286" s="721" t="s">
        <v>4</v>
      </c>
      <c r="FO286" s="715" t="s">
        <v>4</v>
      </c>
      <c r="FP286" s="715" t="s">
        <v>2</v>
      </c>
      <c r="FQ286" s="715" t="s">
        <v>4</v>
      </c>
      <c r="FR286" s="715" t="s">
        <v>4</v>
      </c>
      <c r="FS286" s="715" t="s">
        <v>7</v>
      </c>
      <c r="FT286" s="715" t="s">
        <v>7</v>
      </c>
      <c r="FU286" s="715" t="s">
        <v>29302</v>
      </c>
      <c r="FV286" s="715" t="s">
        <v>36376</v>
      </c>
      <c r="FW286" s="715" t="s">
        <v>4</v>
      </c>
      <c r="FX286" s="715" t="s">
        <v>4</v>
      </c>
      <c r="FY286" s="715" t="s">
        <v>4</v>
      </c>
      <c r="FZ286" s="715" t="s">
        <v>4</v>
      </c>
      <c r="GA286" s="715" t="s">
        <v>4</v>
      </c>
      <c r="GB286" s="715" t="s">
        <v>4</v>
      </c>
      <c r="GC286" s="715" t="s">
        <v>4</v>
      </c>
      <c r="GD286" s="715" t="s">
        <v>4</v>
      </c>
      <c r="GE286" s="715" t="s">
        <v>4</v>
      </c>
      <c r="GF286" s="715" t="s">
        <v>4</v>
      </c>
      <c r="GG286" s="715" t="s">
        <v>4</v>
      </c>
      <c r="GH286" s="715" t="s">
        <v>4</v>
      </c>
      <c r="GI286" s="715" t="s">
        <v>29304</v>
      </c>
      <c r="GJ286" s="715" t="s">
        <v>30052</v>
      </c>
      <c r="GK286" s="715" t="s">
        <v>29339</v>
      </c>
      <c r="GL286" s="715" t="s">
        <v>4</v>
      </c>
      <c r="GM286" s="715" t="s">
        <v>30273</v>
      </c>
      <c r="GN286" s="715" t="s">
        <v>4</v>
      </c>
      <c r="GO286" s="715" t="s">
        <v>4</v>
      </c>
      <c r="GP286" s="715" t="s">
        <v>4</v>
      </c>
      <c r="GQ286" s="715" t="s">
        <v>36377</v>
      </c>
      <c r="GR286" s="715" t="s">
        <v>13</v>
      </c>
      <c r="GS286" s="715" t="s">
        <v>36378</v>
      </c>
      <c r="GT286" s="715" t="s">
        <v>29307</v>
      </c>
      <c r="GU286" s="715" t="s">
        <v>36379</v>
      </c>
      <c r="GV286" s="721">
        <v>10</v>
      </c>
      <c r="GW286" s="715" t="s">
        <v>7</v>
      </c>
      <c r="GX286" s="715" t="s">
        <v>29837</v>
      </c>
      <c r="GY286" s="715" t="s">
        <v>4</v>
      </c>
      <c r="GZ286" s="715" t="s">
        <v>4</v>
      </c>
      <c r="HA286" s="715" t="s">
        <v>4</v>
      </c>
      <c r="HB286" s="715" t="s">
        <v>4</v>
      </c>
      <c r="HC286" s="715" t="s">
        <v>4</v>
      </c>
      <c r="HD286" s="715" t="s">
        <v>4</v>
      </c>
      <c r="HE286" s="715" t="s">
        <v>4</v>
      </c>
      <c r="HF286" s="715" t="s">
        <v>4</v>
      </c>
      <c r="HG286" s="715" t="s">
        <v>2</v>
      </c>
      <c r="HH286" s="715" t="s">
        <v>4</v>
      </c>
      <c r="HI286" s="715" t="s">
        <v>4</v>
      </c>
      <c r="HJ286" s="715" t="s">
        <v>4</v>
      </c>
      <c r="HK286" s="721" t="s">
        <v>4</v>
      </c>
      <c r="HL286" s="715" t="s">
        <v>36380</v>
      </c>
      <c r="HM286" s="715" t="s">
        <v>7</v>
      </c>
      <c r="HN286" s="715" t="s">
        <v>36381</v>
      </c>
      <c r="HO286" s="715" t="s">
        <v>36382</v>
      </c>
      <c r="HP286" s="715" t="s">
        <v>36383</v>
      </c>
      <c r="HQ286" s="715" t="s">
        <v>36384</v>
      </c>
      <c r="HR286" s="715" t="s">
        <v>36385</v>
      </c>
      <c r="HS286" s="715" t="s">
        <v>36386</v>
      </c>
      <c r="HT286" s="715" t="s">
        <v>36331</v>
      </c>
    </row>
    <row r="287" spans="1:230" ht="82.5" x14ac:dyDescent="0.25">
      <c r="B287" s="756">
        <v>263</v>
      </c>
      <c r="C287" s="715" t="s">
        <v>6288</v>
      </c>
      <c r="D287" s="715" t="s">
        <v>36333</v>
      </c>
      <c r="E287" s="715" t="s">
        <v>34457</v>
      </c>
      <c r="F287" s="715" t="s">
        <v>7</v>
      </c>
      <c r="G287" s="715" t="s">
        <v>36334</v>
      </c>
      <c r="H287" s="715">
        <v>1282.7</v>
      </c>
      <c r="I287" s="715">
        <v>4.8</v>
      </c>
      <c r="J287" s="715" t="s">
        <v>29389</v>
      </c>
      <c r="K287" s="715" t="s">
        <v>22</v>
      </c>
      <c r="L287" s="715" t="s">
        <v>36335</v>
      </c>
      <c r="M287" s="715">
        <v>786560652</v>
      </c>
      <c r="N287" s="715" t="s">
        <v>5</v>
      </c>
      <c r="O287" s="715" t="s">
        <v>31438</v>
      </c>
      <c r="P287" s="715">
        <v>22</v>
      </c>
      <c r="Q287" s="715">
        <v>5</v>
      </c>
      <c r="R287" s="715" t="s">
        <v>7</v>
      </c>
      <c r="S287" s="715" t="s">
        <v>31535</v>
      </c>
      <c r="T287" s="715" t="s">
        <v>4</v>
      </c>
      <c r="U287" s="715" t="s">
        <v>7</v>
      </c>
      <c r="V287" s="715" t="s">
        <v>7</v>
      </c>
      <c r="W287" s="715" t="s">
        <v>4</v>
      </c>
      <c r="X287" s="715" t="s">
        <v>7</v>
      </c>
      <c r="Y287" s="715" t="s">
        <v>4</v>
      </c>
      <c r="Z287" s="715" t="s">
        <v>4</v>
      </c>
      <c r="AA287" s="717" t="str">
        <f>IF(OR(U287="yes",Z287&gt;'SDG outcome'!$C$39),"yes","no")</f>
        <v>yes</v>
      </c>
      <c r="AB287" s="718" t="str">
        <f t="shared" ref="AB287:AB288" si="11">IF(AA287="no","",W287)</f>
        <v>NA</v>
      </c>
      <c r="AC287" s="719" t="str">
        <f>IF(AND('SMS p2'!AA287="no",AND(Z287&gt;='SDG outcome'!$B$28,Z287&lt;'SDG outcome'!$C$39)),Z287-'SDG outcome'!$B$28,"")</f>
        <v/>
      </c>
      <c r="AD287" s="715" t="s">
        <v>4</v>
      </c>
      <c r="AE287" s="715" t="s">
        <v>4</v>
      </c>
      <c r="AF287" s="715" t="s">
        <v>4</v>
      </c>
      <c r="AG287" s="715" t="s">
        <v>4</v>
      </c>
      <c r="AH287" s="715" t="s">
        <v>4</v>
      </c>
      <c r="AI287" s="715" t="s">
        <v>4</v>
      </c>
      <c r="AJ287" s="715" t="s">
        <v>4</v>
      </c>
      <c r="AK287" s="715" t="s">
        <v>29290</v>
      </c>
      <c r="AL287" s="715" t="s">
        <v>29694</v>
      </c>
      <c r="AM287" s="715" t="s">
        <v>4</v>
      </c>
      <c r="AN287" s="715" t="s">
        <v>4</v>
      </c>
      <c r="AO287" s="715" t="s">
        <v>31536</v>
      </c>
      <c r="AP287" s="715" t="s">
        <v>4</v>
      </c>
      <c r="AQ287" s="715" t="s">
        <v>31537</v>
      </c>
      <c r="AR287" s="715" t="s">
        <v>4</v>
      </c>
      <c r="AS287" s="715" t="s">
        <v>31538</v>
      </c>
      <c r="AT287" s="715" t="s">
        <v>4</v>
      </c>
      <c r="AU287" s="715" t="s">
        <v>7</v>
      </c>
      <c r="AV287" s="715" t="s">
        <v>4</v>
      </c>
      <c r="AW287" s="715" t="s">
        <v>4</v>
      </c>
      <c r="AX287" s="715" t="s">
        <v>2</v>
      </c>
      <c r="AY287" s="715" t="s">
        <v>4</v>
      </c>
      <c r="AZ287" s="715" t="s">
        <v>4</v>
      </c>
      <c r="BA287" s="715" t="s">
        <v>31557</v>
      </c>
      <c r="BB287" s="715" t="s">
        <v>4</v>
      </c>
      <c r="BC287" s="715" t="s">
        <v>4</v>
      </c>
      <c r="BD287" s="715" t="s">
        <v>4</v>
      </c>
      <c r="BE287" s="715" t="s">
        <v>4</v>
      </c>
      <c r="BF287" s="715" t="s">
        <v>4</v>
      </c>
      <c r="BG287" s="715" t="s">
        <v>4</v>
      </c>
      <c r="BH287" s="715" t="s">
        <v>4</v>
      </c>
      <c r="BI287" s="715" t="s">
        <v>4</v>
      </c>
      <c r="BJ287" s="715" t="s">
        <v>4</v>
      </c>
      <c r="BK287" s="715" t="s">
        <v>7</v>
      </c>
      <c r="BL287" s="715" t="s">
        <v>11</v>
      </c>
      <c r="BM287" s="715" t="s">
        <v>4</v>
      </c>
      <c r="BN287" s="715" t="s">
        <v>31429</v>
      </c>
      <c r="BO287" s="715">
        <v>1</v>
      </c>
      <c r="BP287" s="715">
        <v>60</v>
      </c>
      <c r="BQ287" s="715" t="s">
        <v>31435</v>
      </c>
      <c r="BR287" s="720" t="s">
        <v>33332</v>
      </c>
      <c r="BS287" s="715" t="s">
        <v>4</v>
      </c>
      <c r="BT287" s="715">
        <v>7</v>
      </c>
      <c r="BU287" s="713"/>
      <c r="BV287" s="509"/>
      <c r="BW287" s="714"/>
      <c r="BX287" s="715" t="s">
        <v>22</v>
      </c>
      <c r="BY287" s="715" t="s">
        <v>4</v>
      </c>
      <c r="BZ287" s="715" t="s">
        <v>2</v>
      </c>
      <c r="CA287" s="715" t="s">
        <v>4</v>
      </c>
      <c r="CB287" s="715" t="s">
        <v>4</v>
      </c>
      <c r="CC287" s="715" t="s">
        <v>4</v>
      </c>
      <c r="CD287" s="715" t="s">
        <v>7</v>
      </c>
      <c r="CE287" s="715" t="s">
        <v>36387</v>
      </c>
      <c r="CF287" s="715" t="s">
        <v>4</v>
      </c>
      <c r="CG287" s="715" t="s">
        <v>31604</v>
      </c>
      <c r="CH287" s="715">
        <v>3</v>
      </c>
      <c r="CI287" s="715" t="s">
        <v>4</v>
      </c>
      <c r="CJ287" s="715" t="s">
        <v>4</v>
      </c>
      <c r="CK287" s="715" t="s">
        <v>4</v>
      </c>
      <c r="CL287" s="715" t="s">
        <v>4</v>
      </c>
      <c r="CM287" s="715" t="s">
        <v>4</v>
      </c>
      <c r="CN287" s="715" t="s">
        <v>4</v>
      </c>
      <c r="CO287" s="715" t="s">
        <v>4</v>
      </c>
      <c r="CP287" s="715" t="s">
        <v>4</v>
      </c>
      <c r="CQ287" s="715" t="s">
        <v>4</v>
      </c>
      <c r="CR287" s="715">
        <v>100</v>
      </c>
      <c r="CS287" s="715" t="s">
        <v>4</v>
      </c>
      <c r="CT287" s="715" t="s">
        <v>4</v>
      </c>
      <c r="CU287" s="715" t="s">
        <v>4</v>
      </c>
      <c r="CV287" s="715" t="s">
        <v>4</v>
      </c>
      <c r="CW287" s="715" t="s">
        <v>4</v>
      </c>
      <c r="CX287" s="715" t="s">
        <v>4</v>
      </c>
      <c r="CY287" s="715" t="s">
        <v>4</v>
      </c>
      <c r="CZ287" s="715" t="s">
        <v>4</v>
      </c>
      <c r="DA287" s="715" t="s">
        <v>4</v>
      </c>
      <c r="DB287" s="715" t="s">
        <v>4</v>
      </c>
      <c r="DC287" s="715" t="s">
        <v>4</v>
      </c>
      <c r="DD287" s="715" t="s">
        <v>4</v>
      </c>
      <c r="DE287" s="715" t="s">
        <v>4</v>
      </c>
      <c r="DF287" s="715" t="s">
        <v>4</v>
      </c>
      <c r="DG287" s="715" t="s">
        <v>4</v>
      </c>
      <c r="DH287" s="715" t="s">
        <v>4</v>
      </c>
      <c r="DI287" s="715" t="s">
        <v>4</v>
      </c>
      <c r="DJ287" s="715" t="s">
        <v>4</v>
      </c>
      <c r="DK287" s="715" t="s">
        <v>4</v>
      </c>
      <c r="DL287" s="715" t="s">
        <v>4</v>
      </c>
      <c r="DM287" s="715">
        <v>6</v>
      </c>
      <c r="DN287" s="715" t="s">
        <v>2</v>
      </c>
      <c r="DO287" s="715" t="s">
        <v>29292</v>
      </c>
      <c r="DP287" s="715" t="s">
        <v>4</v>
      </c>
      <c r="DQ287" s="715" t="s">
        <v>29293</v>
      </c>
      <c r="DR287" s="721">
        <v>300000</v>
      </c>
      <c r="DS287" s="715" t="s">
        <v>29294</v>
      </c>
      <c r="DT287" s="721" t="s">
        <v>4</v>
      </c>
      <c r="DU287" s="715" t="s">
        <v>29508</v>
      </c>
      <c r="DV287" s="721" t="s">
        <v>4</v>
      </c>
      <c r="DW287" s="721" t="s">
        <v>4</v>
      </c>
      <c r="DX287" s="721" t="s">
        <v>4</v>
      </c>
      <c r="DY287" s="721" t="s">
        <v>4</v>
      </c>
      <c r="DZ287" s="721" t="s">
        <v>4</v>
      </c>
      <c r="EA287" s="721" t="s">
        <v>4</v>
      </c>
      <c r="EB287" s="721" t="s">
        <v>4</v>
      </c>
      <c r="EC287" s="715">
        <v>100</v>
      </c>
      <c r="ED287" s="715" t="s">
        <v>34308</v>
      </c>
      <c r="EE287" s="721" t="s">
        <v>4</v>
      </c>
      <c r="EF287" s="721" t="s">
        <v>4</v>
      </c>
      <c r="EG287" s="715">
        <v>40</v>
      </c>
      <c r="EH287" s="715">
        <v>60</v>
      </c>
      <c r="EI287" s="721" t="s">
        <v>4</v>
      </c>
      <c r="EJ287" s="721" t="s">
        <v>4</v>
      </c>
      <c r="EK287" s="721" t="s">
        <v>4</v>
      </c>
      <c r="EL287" s="715">
        <v>60</v>
      </c>
      <c r="EM287" s="721" t="s">
        <v>4</v>
      </c>
      <c r="EN287" s="721" t="s">
        <v>4</v>
      </c>
      <c r="EO287" s="721" t="s">
        <v>4</v>
      </c>
      <c r="EP287" s="715" t="s">
        <v>29296</v>
      </c>
      <c r="EQ287" s="715">
        <v>100</v>
      </c>
      <c r="ER287" s="721" t="s">
        <v>4</v>
      </c>
      <c r="ES287" s="721" t="s">
        <v>4</v>
      </c>
      <c r="ET287" s="721" t="s">
        <v>4</v>
      </c>
      <c r="EU287" s="721" t="s">
        <v>4</v>
      </c>
      <c r="EW287" s="715">
        <v>0.80937099999999995</v>
      </c>
      <c r="EX287" s="715" t="s">
        <v>7</v>
      </c>
      <c r="EY287" s="715">
        <v>30</v>
      </c>
      <c r="EZ287" s="746">
        <f t="shared" si="10"/>
        <v>0.24281129999999998</v>
      </c>
      <c r="FA287" s="715" t="s">
        <v>36388</v>
      </c>
      <c r="FB287" s="715" t="s">
        <v>29298</v>
      </c>
      <c r="FC287" s="715">
        <v>72</v>
      </c>
      <c r="FD287" s="715" t="s">
        <v>2</v>
      </c>
      <c r="FE287" s="715" t="s">
        <v>4</v>
      </c>
      <c r="FF287" s="715" t="s">
        <v>4</v>
      </c>
      <c r="FG287" s="715" t="s">
        <v>2</v>
      </c>
      <c r="FH287" s="715" t="s">
        <v>4</v>
      </c>
      <c r="FI287" s="715" t="s">
        <v>4</v>
      </c>
      <c r="FJ287" s="715" t="s">
        <v>4</v>
      </c>
      <c r="FK287" s="715" t="s">
        <v>4</v>
      </c>
      <c r="FL287" s="715" t="s">
        <v>4</v>
      </c>
      <c r="FM287" s="715" t="s">
        <v>4</v>
      </c>
      <c r="FN287" s="721" t="s">
        <v>4</v>
      </c>
      <c r="FO287" s="715" t="s">
        <v>4</v>
      </c>
      <c r="FP287" s="715" t="s">
        <v>2</v>
      </c>
      <c r="FQ287" s="715" t="s">
        <v>4</v>
      </c>
      <c r="FR287" s="715" t="s">
        <v>4</v>
      </c>
      <c r="FS287" s="715" t="s">
        <v>7</v>
      </c>
      <c r="FT287" s="715" t="s">
        <v>2</v>
      </c>
      <c r="FU287" s="715" t="s">
        <v>4</v>
      </c>
      <c r="FV287" s="715" t="s">
        <v>4</v>
      </c>
      <c r="FW287" s="715" t="s">
        <v>4</v>
      </c>
      <c r="FX287" s="715" t="s">
        <v>4</v>
      </c>
      <c r="FY287" s="715" t="s">
        <v>4</v>
      </c>
      <c r="FZ287" s="715" t="s">
        <v>4</v>
      </c>
      <c r="GA287" s="715" t="s">
        <v>4</v>
      </c>
      <c r="GB287" s="715" t="s">
        <v>4</v>
      </c>
      <c r="GC287" s="715" t="s">
        <v>4</v>
      </c>
      <c r="GD287" s="715" t="s">
        <v>4</v>
      </c>
      <c r="GE287" s="715" t="s">
        <v>4</v>
      </c>
      <c r="GF287" s="715" t="s">
        <v>4</v>
      </c>
      <c r="GG287" s="715" t="s">
        <v>4</v>
      </c>
      <c r="GH287" s="715" t="s">
        <v>4</v>
      </c>
      <c r="GI287" s="715" t="s">
        <v>29304</v>
      </c>
      <c r="GJ287" s="715" t="s">
        <v>29478</v>
      </c>
      <c r="GK287" s="715" t="s">
        <v>29306</v>
      </c>
      <c r="GL287" s="715" t="s">
        <v>29466</v>
      </c>
      <c r="GM287" s="715" t="s">
        <v>4</v>
      </c>
      <c r="GN287" s="715" t="s">
        <v>4</v>
      </c>
      <c r="GO287" s="715" t="s">
        <v>4</v>
      </c>
      <c r="GP287" s="715" t="s">
        <v>4</v>
      </c>
      <c r="GQ287" s="715" t="s">
        <v>4</v>
      </c>
      <c r="GR287" s="715" t="s">
        <v>29353</v>
      </c>
      <c r="GS287" s="715" t="s">
        <v>4</v>
      </c>
      <c r="GT287" s="715" t="s">
        <v>29698</v>
      </c>
      <c r="GU287" s="715" t="s">
        <v>4</v>
      </c>
      <c r="GV287" s="721">
        <v>5</v>
      </c>
      <c r="GW287" s="715" t="s">
        <v>2</v>
      </c>
      <c r="GX287" s="715" t="s">
        <v>29309</v>
      </c>
      <c r="GY287" s="715" t="s">
        <v>4</v>
      </c>
      <c r="GZ287" s="715" t="s">
        <v>4</v>
      </c>
      <c r="HA287" s="715" t="s">
        <v>4</v>
      </c>
      <c r="HB287" s="715" t="s">
        <v>4</v>
      </c>
      <c r="HC287" s="715" t="s">
        <v>4</v>
      </c>
      <c r="HD287" s="715" t="s">
        <v>4</v>
      </c>
      <c r="HE287" s="715" t="s">
        <v>4</v>
      </c>
      <c r="HF287" s="715" t="s">
        <v>4</v>
      </c>
      <c r="HG287" s="715" t="s">
        <v>2</v>
      </c>
      <c r="HH287" s="715" t="s">
        <v>4</v>
      </c>
      <c r="HI287" s="715" t="s">
        <v>4</v>
      </c>
      <c r="HJ287" s="715" t="s">
        <v>4</v>
      </c>
      <c r="HK287" s="721" t="s">
        <v>4</v>
      </c>
      <c r="HL287" s="715" t="s">
        <v>36389</v>
      </c>
      <c r="HM287" s="715" t="s">
        <v>2</v>
      </c>
      <c r="HN287" s="715" t="s">
        <v>4</v>
      </c>
      <c r="HO287" s="715" t="s">
        <v>36390</v>
      </c>
      <c r="HP287" s="715" t="s">
        <v>36391</v>
      </c>
      <c r="HQ287" s="715" t="s">
        <v>36392</v>
      </c>
      <c r="HR287" s="715" t="s">
        <v>36393</v>
      </c>
      <c r="HS287" s="715" t="s">
        <v>36394</v>
      </c>
      <c r="HT287" s="715" t="s">
        <v>36333</v>
      </c>
    </row>
    <row r="288" spans="1:230" ht="115.5" x14ac:dyDescent="0.25">
      <c r="B288" s="756">
        <v>264</v>
      </c>
      <c r="C288" s="715" t="s">
        <v>28939</v>
      </c>
      <c r="D288" s="715" t="s">
        <v>36336</v>
      </c>
      <c r="E288" s="715" t="s">
        <v>34457</v>
      </c>
      <c r="F288" s="715" t="s">
        <v>7</v>
      </c>
      <c r="G288" s="715" t="s">
        <v>36337</v>
      </c>
      <c r="H288" s="715">
        <v>1184.7</v>
      </c>
      <c r="I288" s="715">
        <v>5</v>
      </c>
      <c r="J288" s="715" t="s">
        <v>29389</v>
      </c>
      <c r="K288" s="715" t="s">
        <v>36338</v>
      </c>
      <c r="L288" s="715" t="s">
        <v>36339</v>
      </c>
      <c r="M288" s="715">
        <v>757858835</v>
      </c>
      <c r="N288" s="715" t="s">
        <v>5</v>
      </c>
      <c r="O288" s="715" t="s">
        <v>31590</v>
      </c>
      <c r="P288" s="715" t="s">
        <v>4</v>
      </c>
      <c r="Q288" s="715">
        <v>8</v>
      </c>
      <c r="R288" s="715" t="s">
        <v>7</v>
      </c>
      <c r="S288" s="715" t="s">
        <v>31588</v>
      </c>
      <c r="T288" s="715" t="s">
        <v>4</v>
      </c>
      <c r="U288" s="715" t="s">
        <v>7</v>
      </c>
      <c r="V288" s="715" t="s">
        <v>7</v>
      </c>
      <c r="W288" s="715" t="s">
        <v>4</v>
      </c>
      <c r="X288" s="715" t="s">
        <v>7</v>
      </c>
      <c r="Y288" s="715" t="s">
        <v>4</v>
      </c>
      <c r="Z288" s="715" t="s">
        <v>4</v>
      </c>
      <c r="AA288" s="717" t="str">
        <f>IF(OR(U288="yes",Z288&gt;'SDG outcome'!$C$39),"yes","no")</f>
        <v>yes</v>
      </c>
      <c r="AB288" s="718" t="str">
        <f t="shared" si="11"/>
        <v>NA</v>
      </c>
      <c r="AC288" s="719" t="str">
        <f>IF(AND('SMS p2'!AA288="no",AND(Z288&gt;='SDG outcome'!$B$28,Z288&lt;'SDG outcome'!$C$39)),Z288-'SDG outcome'!$B$28,"")</f>
        <v/>
      </c>
      <c r="AD288" s="715" t="s">
        <v>4</v>
      </c>
      <c r="AE288" s="715" t="s">
        <v>4</v>
      </c>
      <c r="AF288" s="715" t="s">
        <v>4</v>
      </c>
      <c r="AG288" s="715" t="s">
        <v>4</v>
      </c>
      <c r="AH288" s="715" t="s">
        <v>4</v>
      </c>
      <c r="AI288" s="715" t="s">
        <v>4</v>
      </c>
      <c r="AJ288" s="715" t="s">
        <v>4</v>
      </c>
      <c r="AK288" s="715" t="s">
        <v>29290</v>
      </c>
      <c r="AL288" s="715" t="s">
        <v>29694</v>
      </c>
      <c r="AM288" s="715" t="s">
        <v>4</v>
      </c>
      <c r="AN288" s="715" t="s">
        <v>4</v>
      </c>
      <c r="AO288" s="715" t="s">
        <v>31536</v>
      </c>
      <c r="AP288" s="715" t="s">
        <v>4</v>
      </c>
      <c r="AQ288" s="715" t="s">
        <v>31537</v>
      </c>
      <c r="AR288" s="715" t="s">
        <v>4</v>
      </c>
      <c r="AS288" s="715" t="s">
        <v>31538</v>
      </c>
      <c r="AT288" s="715" t="s">
        <v>4</v>
      </c>
      <c r="AU288" s="715" t="s">
        <v>7</v>
      </c>
      <c r="AV288" s="715" t="s">
        <v>4</v>
      </c>
      <c r="AW288" s="715" t="s">
        <v>4</v>
      </c>
      <c r="AX288" s="715" t="s">
        <v>7</v>
      </c>
      <c r="AY288" s="715" t="s">
        <v>11</v>
      </c>
      <c r="AZ288" s="715" t="s">
        <v>4</v>
      </c>
      <c r="BA288" s="715" t="s">
        <v>31540</v>
      </c>
      <c r="BB288" s="715" t="s">
        <v>22</v>
      </c>
      <c r="BC288" s="715" t="s">
        <v>4</v>
      </c>
      <c r="BD288" s="715" t="s">
        <v>31564</v>
      </c>
      <c r="BE288" s="715" t="s">
        <v>4</v>
      </c>
      <c r="BF288" s="715" t="s">
        <v>31542</v>
      </c>
      <c r="BG288" s="715" t="s">
        <v>36370</v>
      </c>
      <c r="BH288" s="715" t="s">
        <v>31544</v>
      </c>
      <c r="BI288" s="715">
        <v>2</v>
      </c>
      <c r="BJ288" s="715">
        <v>40</v>
      </c>
      <c r="BK288" s="715" t="s">
        <v>7</v>
      </c>
      <c r="BL288" s="715" t="s">
        <v>6</v>
      </c>
      <c r="BM288" s="715" t="s">
        <v>4</v>
      </c>
      <c r="BN288" s="715" t="s">
        <v>31425</v>
      </c>
      <c r="BO288" s="715">
        <v>1</v>
      </c>
      <c r="BP288" s="715">
        <v>20</v>
      </c>
      <c r="BQ288" s="715" t="s">
        <v>31434</v>
      </c>
      <c r="BR288" s="720" t="s">
        <v>33332</v>
      </c>
      <c r="BS288" s="715" t="s">
        <v>4</v>
      </c>
      <c r="BT288" s="715">
        <v>2</v>
      </c>
      <c r="BU288" s="713"/>
      <c r="BV288" s="509"/>
      <c r="BW288" s="714"/>
      <c r="BX288" s="715" t="s">
        <v>22</v>
      </c>
      <c r="BY288" s="715" t="s">
        <v>4</v>
      </c>
      <c r="BZ288" s="715" t="s">
        <v>2</v>
      </c>
      <c r="CA288" s="715" t="s">
        <v>4</v>
      </c>
      <c r="CB288" s="715" t="s">
        <v>4</v>
      </c>
      <c r="CC288" s="715" t="s">
        <v>4</v>
      </c>
      <c r="CD288" s="715" t="s">
        <v>7</v>
      </c>
      <c r="CE288" s="715" t="s">
        <v>36395</v>
      </c>
      <c r="CF288" s="715" t="s">
        <v>4</v>
      </c>
      <c r="CG288" s="715" t="s">
        <v>31578</v>
      </c>
      <c r="CH288" s="715">
        <v>2</v>
      </c>
      <c r="CI288" s="715" t="s">
        <v>4</v>
      </c>
      <c r="CJ288" s="715" t="s">
        <v>4</v>
      </c>
      <c r="CK288" s="715" t="s">
        <v>4</v>
      </c>
      <c r="CL288" s="715" t="s">
        <v>4</v>
      </c>
      <c r="CM288" s="715">
        <v>300</v>
      </c>
      <c r="CN288" s="715" t="s">
        <v>4</v>
      </c>
      <c r="CO288" s="715" t="s">
        <v>4</v>
      </c>
      <c r="CP288" s="715" t="s">
        <v>4</v>
      </c>
      <c r="CQ288" s="715" t="s">
        <v>4</v>
      </c>
      <c r="CR288" s="715">
        <v>100</v>
      </c>
      <c r="CS288" s="715" t="s">
        <v>4</v>
      </c>
      <c r="CT288" s="715" t="s">
        <v>4</v>
      </c>
      <c r="CU288" s="715" t="s">
        <v>4</v>
      </c>
      <c r="CV288" s="715" t="s">
        <v>4</v>
      </c>
      <c r="CW288" s="715" t="s">
        <v>4</v>
      </c>
      <c r="CX288" s="715" t="s">
        <v>4</v>
      </c>
      <c r="CY288" s="715" t="s">
        <v>4</v>
      </c>
      <c r="CZ288" s="715" t="s">
        <v>4</v>
      </c>
      <c r="DA288" s="715" t="s">
        <v>4</v>
      </c>
      <c r="DB288" s="715" t="s">
        <v>4</v>
      </c>
      <c r="DC288" s="715" t="s">
        <v>4</v>
      </c>
      <c r="DD288" s="715">
        <v>0</v>
      </c>
      <c r="DE288" s="715">
        <v>100</v>
      </c>
      <c r="DF288" s="715" t="s">
        <v>36396</v>
      </c>
      <c r="DG288" s="715" t="s">
        <v>4</v>
      </c>
      <c r="DH288" s="715" t="s">
        <v>4</v>
      </c>
      <c r="DI288" s="715" t="s">
        <v>4</v>
      </c>
      <c r="DJ288" s="715" t="s">
        <v>4</v>
      </c>
      <c r="DK288" s="715" t="s">
        <v>4</v>
      </c>
      <c r="DL288" s="715" t="s">
        <v>4</v>
      </c>
      <c r="DM288" s="715">
        <v>8</v>
      </c>
      <c r="DN288" s="715" t="s">
        <v>2</v>
      </c>
      <c r="DO288" s="715" t="s">
        <v>29292</v>
      </c>
      <c r="DP288" s="715" t="s">
        <v>4</v>
      </c>
      <c r="DQ288" s="715" t="s">
        <v>29293</v>
      </c>
      <c r="DR288" s="721">
        <v>160000</v>
      </c>
      <c r="DS288" s="715" t="s">
        <v>29293</v>
      </c>
      <c r="DT288" s="721">
        <v>60000</v>
      </c>
      <c r="DU288" s="715" t="s">
        <v>29295</v>
      </c>
      <c r="DV288" s="715">
        <v>100</v>
      </c>
      <c r="DW288" s="715" t="s">
        <v>29296</v>
      </c>
      <c r="DX288" s="715">
        <v>100</v>
      </c>
      <c r="DY288" s="721" t="s">
        <v>4</v>
      </c>
      <c r="DZ288" s="721" t="s">
        <v>4</v>
      </c>
      <c r="EA288" s="721" t="s">
        <v>4</v>
      </c>
      <c r="EB288" s="721" t="s">
        <v>4</v>
      </c>
      <c r="EC288" s="721" t="s">
        <v>4</v>
      </c>
      <c r="ED288" s="721" t="s">
        <v>4</v>
      </c>
      <c r="EE288" s="721" t="s">
        <v>4</v>
      </c>
      <c r="EF288" s="721" t="s">
        <v>4</v>
      </c>
      <c r="EG288" s="721" t="s">
        <v>4</v>
      </c>
      <c r="EH288" s="721" t="s">
        <v>4</v>
      </c>
      <c r="EI288" s="721" t="s">
        <v>4</v>
      </c>
      <c r="EJ288" s="721" t="s">
        <v>4</v>
      </c>
      <c r="EK288" s="721" t="s">
        <v>4</v>
      </c>
      <c r="EL288" s="721" t="s">
        <v>4</v>
      </c>
      <c r="EM288" s="721" t="s">
        <v>4</v>
      </c>
      <c r="EN288" s="721" t="s">
        <v>4</v>
      </c>
      <c r="EO288" s="721" t="s">
        <v>4</v>
      </c>
      <c r="EP288" s="721" t="s">
        <v>4</v>
      </c>
      <c r="EQ288" s="721" t="s">
        <v>4</v>
      </c>
      <c r="ER288" s="721" t="s">
        <v>4</v>
      </c>
      <c r="ES288" s="721" t="s">
        <v>4</v>
      </c>
      <c r="ET288" s="721" t="s">
        <v>4</v>
      </c>
      <c r="EU288" s="721" t="s">
        <v>4</v>
      </c>
      <c r="EW288" s="715">
        <v>0.80937099999999995</v>
      </c>
      <c r="EX288" s="715" t="s">
        <v>7</v>
      </c>
      <c r="EY288" s="715">
        <v>100</v>
      </c>
      <c r="EZ288" s="746">
        <f t="shared" si="10"/>
        <v>0.80937100000000006</v>
      </c>
      <c r="FA288" s="715" t="s">
        <v>36397</v>
      </c>
      <c r="FB288" s="715" t="s">
        <v>29298</v>
      </c>
      <c r="FC288" s="715">
        <v>96</v>
      </c>
      <c r="FD288" s="715" t="s">
        <v>7</v>
      </c>
      <c r="FE288" s="715" t="s">
        <v>29555</v>
      </c>
      <c r="FF288" s="715" t="s">
        <v>4</v>
      </c>
      <c r="FG288" s="715" t="s">
        <v>7</v>
      </c>
      <c r="FH288" s="715" t="s">
        <v>29393</v>
      </c>
      <c r="FI288" s="715" t="s">
        <v>4</v>
      </c>
      <c r="FJ288" s="715" t="s">
        <v>13</v>
      </c>
      <c r="FK288" s="715" t="s">
        <v>36398</v>
      </c>
      <c r="FL288" s="715" t="s">
        <v>4</v>
      </c>
      <c r="FM288" s="715" t="s">
        <v>4</v>
      </c>
      <c r="FN288" s="721" t="s">
        <v>4</v>
      </c>
      <c r="FO288" s="715" t="s">
        <v>4</v>
      </c>
      <c r="FP288" s="715" t="s">
        <v>2</v>
      </c>
      <c r="FQ288" s="715" t="s">
        <v>4</v>
      </c>
      <c r="FR288" s="715" t="s">
        <v>4</v>
      </c>
      <c r="FS288" s="715" t="s">
        <v>7</v>
      </c>
      <c r="FT288" s="715" t="s">
        <v>7</v>
      </c>
      <c r="FU288" s="715" t="s">
        <v>29302</v>
      </c>
      <c r="FV288" s="715" t="s">
        <v>36399</v>
      </c>
      <c r="FW288" s="715" t="s">
        <v>4</v>
      </c>
      <c r="FX288" s="715" t="s">
        <v>4</v>
      </c>
      <c r="FY288" s="715" t="s">
        <v>4</v>
      </c>
      <c r="FZ288" s="715" t="s">
        <v>4</v>
      </c>
      <c r="GA288" s="715" t="s">
        <v>4</v>
      </c>
      <c r="GB288" s="715" t="s">
        <v>4</v>
      </c>
      <c r="GC288" s="715" t="s">
        <v>4</v>
      </c>
      <c r="GD288" s="715" t="s">
        <v>4</v>
      </c>
      <c r="GE288" s="715" t="s">
        <v>4</v>
      </c>
      <c r="GF288" s="715" t="s">
        <v>4</v>
      </c>
      <c r="GG288" s="715" t="s">
        <v>4</v>
      </c>
      <c r="GH288" s="715" t="s">
        <v>4</v>
      </c>
      <c r="GI288" s="715" t="s">
        <v>29433</v>
      </c>
      <c r="GJ288" s="715" t="s">
        <v>4</v>
      </c>
      <c r="GK288" s="715" t="s">
        <v>4</v>
      </c>
      <c r="GL288" s="715" t="s">
        <v>4</v>
      </c>
      <c r="GM288" s="715" t="s">
        <v>4</v>
      </c>
      <c r="GN288" s="715" t="s">
        <v>4</v>
      </c>
      <c r="GO288" s="715" t="s">
        <v>4</v>
      </c>
      <c r="GP288" s="715" t="s">
        <v>4</v>
      </c>
      <c r="GQ288" s="715" t="s">
        <v>4</v>
      </c>
      <c r="GR288" s="715" t="s">
        <v>13</v>
      </c>
      <c r="GS288" s="715" t="s">
        <v>36400</v>
      </c>
      <c r="GT288" s="715" t="s">
        <v>29452</v>
      </c>
      <c r="GU288" s="715" t="s">
        <v>4</v>
      </c>
      <c r="GV288" s="721">
        <v>5</v>
      </c>
      <c r="GW288" s="715" t="s">
        <v>29325</v>
      </c>
      <c r="GX288" s="715" t="s">
        <v>29309</v>
      </c>
      <c r="GY288" s="715" t="s">
        <v>4</v>
      </c>
      <c r="GZ288" s="715" t="s">
        <v>4</v>
      </c>
      <c r="HA288" s="715" t="s">
        <v>4</v>
      </c>
      <c r="HB288" s="715" t="s">
        <v>4</v>
      </c>
      <c r="HC288" s="715" t="s">
        <v>4</v>
      </c>
      <c r="HD288" s="715" t="s">
        <v>4</v>
      </c>
      <c r="HE288" s="715" t="s">
        <v>4</v>
      </c>
      <c r="HF288" s="715" t="s">
        <v>4</v>
      </c>
      <c r="HG288" s="715" t="s">
        <v>2</v>
      </c>
      <c r="HH288" s="715" t="s">
        <v>4</v>
      </c>
      <c r="HI288" s="715" t="s">
        <v>4</v>
      </c>
      <c r="HJ288" s="715" t="s">
        <v>4</v>
      </c>
      <c r="HK288" s="721" t="s">
        <v>4</v>
      </c>
      <c r="HL288" s="715" t="s">
        <v>36401</v>
      </c>
      <c r="HM288" s="715" t="s">
        <v>2</v>
      </c>
      <c r="HN288" s="715" t="s">
        <v>4</v>
      </c>
      <c r="HO288" s="715" t="s">
        <v>36402</v>
      </c>
      <c r="HP288" s="715" t="s">
        <v>36403</v>
      </c>
      <c r="HQ288" s="715" t="s">
        <v>36404</v>
      </c>
      <c r="HR288" s="715" t="s">
        <v>36405</v>
      </c>
      <c r="HS288" s="715" t="s">
        <v>36406</v>
      </c>
      <c r="HT288" s="715" t="s">
        <v>36336</v>
      </c>
    </row>
    <row r="289" spans="2:228" ht="132" x14ac:dyDescent="0.25">
      <c r="B289" s="756">
        <v>265</v>
      </c>
      <c r="C289" s="715" t="s">
        <v>8993</v>
      </c>
      <c r="D289" s="715" t="s">
        <v>36340</v>
      </c>
      <c r="E289" s="715" t="s">
        <v>34457</v>
      </c>
      <c r="F289" s="715" t="s">
        <v>7</v>
      </c>
      <c r="G289" s="715" t="s">
        <v>36341</v>
      </c>
      <c r="H289" s="715">
        <v>1197.5</v>
      </c>
      <c r="I289" s="715">
        <v>4.7</v>
      </c>
      <c r="J289" s="715" t="s">
        <v>29288</v>
      </c>
      <c r="K289" s="715" t="s">
        <v>4</v>
      </c>
      <c r="L289" s="715" t="s">
        <v>36342</v>
      </c>
      <c r="M289" s="715">
        <v>754513084</v>
      </c>
      <c r="N289" s="715" t="s">
        <v>3</v>
      </c>
      <c r="O289" s="715" t="s">
        <v>31590</v>
      </c>
      <c r="P289" s="715" t="s">
        <v>4</v>
      </c>
      <c r="Q289" s="715">
        <v>6</v>
      </c>
      <c r="R289" s="715" t="s">
        <v>7</v>
      </c>
      <c r="S289" s="715" t="s">
        <v>31588</v>
      </c>
      <c r="T289" s="715" t="s">
        <v>4</v>
      </c>
      <c r="U289" s="715" t="s">
        <v>7</v>
      </c>
      <c r="V289" s="715" t="s">
        <v>7</v>
      </c>
      <c r="W289" s="715" t="s">
        <v>4</v>
      </c>
      <c r="X289" s="715" t="s">
        <v>7</v>
      </c>
      <c r="Y289" s="715" t="s">
        <v>4</v>
      </c>
      <c r="Z289" s="715" t="s">
        <v>4</v>
      </c>
      <c r="AA289" s="717" t="str">
        <f>IF(OR(U289="yes",Z289&gt;'SDG outcome'!$C$39),"yes","no")</f>
        <v>yes</v>
      </c>
      <c r="AB289" s="718" t="str">
        <f t="shared" ref="AB289:AB297" si="12">IF(AA289="no","",W289)</f>
        <v>NA</v>
      </c>
      <c r="AC289" s="719" t="str">
        <f>IF(AND('SMS p2'!AA289="no",AND(Z289&gt;='SDG outcome'!$B$28,Z289&lt;'SDG outcome'!$C$39)),Z289-'SDG outcome'!$B$28,"")</f>
        <v/>
      </c>
      <c r="AD289" s="715" t="s">
        <v>4</v>
      </c>
      <c r="AE289" s="715" t="s">
        <v>4</v>
      </c>
      <c r="AF289" s="715" t="s">
        <v>4</v>
      </c>
      <c r="AG289" s="715" t="s">
        <v>4</v>
      </c>
      <c r="AH289" s="715" t="s">
        <v>4</v>
      </c>
      <c r="AI289" s="715" t="s">
        <v>4</v>
      </c>
      <c r="AJ289" s="715" t="s">
        <v>4</v>
      </c>
      <c r="AK289" s="715" t="s">
        <v>29290</v>
      </c>
      <c r="AL289" s="715" t="s">
        <v>29291</v>
      </c>
      <c r="AM289" s="715" t="s">
        <v>4</v>
      </c>
      <c r="AN289" s="715" t="s">
        <v>4</v>
      </c>
      <c r="AO289" s="715" t="s">
        <v>31718</v>
      </c>
      <c r="AP289" s="715" t="s">
        <v>4</v>
      </c>
      <c r="AQ289" s="715" t="s">
        <v>31600</v>
      </c>
      <c r="AR289" s="715" t="s">
        <v>4</v>
      </c>
      <c r="AS289" s="715" t="s">
        <v>31601</v>
      </c>
      <c r="AT289" s="715" t="s">
        <v>4</v>
      </c>
      <c r="AU289" s="715" t="s">
        <v>7</v>
      </c>
      <c r="AV289" s="715" t="s">
        <v>4</v>
      </c>
      <c r="AW289" s="715" t="s">
        <v>4</v>
      </c>
      <c r="AX289" s="715" t="s">
        <v>2</v>
      </c>
      <c r="AY289" s="715" t="s">
        <v>4</v>
      </c>
      <c r="AZ289" s="715" t="s">
        <v>4</v>
      </c>
      <c r="BA289" s="715" t="s">
        <v>4</v>
      </c>
      <c r="BB289" s="715" t="s">
        <v>4</v>
      </c>
      <c r="BC289" s="715" t="s">
        <v>4</v>
      </c>
      <c r="BD289" s="715" t="s">
        <v>4</v>
      </c>
      <c r="BE289" s="715" t="s">
        <v>4</v>
      </c>
      <c r="BF289" s="715" t="s">
        <v>4</v>
      </c>
      <c r="BG289" s="715" t="s">
        <v>4</v>
      </c>
      <c r="BH289" s="715" t="s">
        <v>4</v>
      </c>
      <c r="BI289" s="715" t="s">
        <v>4</v>
      </c>
      <c r="BJ289" s="715" t="s">
        <v>4</v>
      </c>
      <c r="BK289" s="715" t="s">
        <v>7</v>
      </c>
      <c r="BL289" s="715" t="s">
        <v>11</v>
      </c>
      <c r="BM289" s="715" t="s">
        <v>4</v>
      </c>
      <c r="BN289" s="715" t="s">
        <v>31425</v>
      </c>
      <c r="BO289" s="715">
        <v>1</v>
      </c>
      <c r="BP289" s="715">
        <v>60</v>
      </c>
      <c r="BQ289" s="715" t="s">
        <v>31435</v>
      </c>
      <c r="BR289" s="720" t="s">
        <v>33332</v>
      </c>
      <c r="BS289" s="715" t="s">
        <v>4</v>
      </c>
      <c r="BT289" s="715">
        <v>3</v>
      </c>
      <c r="BU289" s="713"/>
      <c r="BV289" s="509"/>
      <c r="BW289" s="714"/>
      <c r="BX289" s="715" t="s">
        <v>22</v>
      </c>
      <c r="BY289" s="715" t="s">
        <v>4</v>
      </c>
      <c r="BZ289" s="715" t="s">
        <v>2</v>
      </c>
      <c r="CA289" s="715" t="s">
        <v>4</v>
      </c>
      <c r="CB289" s="715" t="s">
        <v>4</v>
      </c>
      <c r="CC289" s="715" t="s">
        <v>4</v>
      </c>
      <c r="CD289" s="715" t="s">
        <v>7</v>
      </c>
      <c r="CE289" s="715" t="s">
        <v>36407</v>
      </c>
      <c r="CF289" s="715" t="s">
        <v>4</v>
      </c>
      <c r="CG289" s="715" t="s">
        <v>31604</v>
      </c>
      <c r="CH289" s="715">
        <v>11</v>
      </c>
      <c r="CI289" s="715" t="s">
        <v>4</v>
      </c>
      <c r="CJ289" s="715" t="s">
        <v>4</v>
      </c>
      <c r="CK289" s="715" t="s">
        <v>4</v>
      </c>
      <c r="CL289" s="715" t="s">
        <v>4</v>
      </c>
      <c r="CM289" s="715" t="s">
        <v>4</v>
      </c>
      <c r="CN289" s="715" t="s">
        <v>4</v>
      </c>
      <c r="CO289" s="715" t="s">
        <v>4</v>
      </c>
      <c r="CP289" s="715" t="s">
        <v>4</v>
      </c>
      <c r="CQ289" s="715" t="s">
        <v>4</v>
      </c>
      <c r="CR289" s="715">
        <v>50</v>
      </c>
      <c r="CS289" s="715">
        <v>50</v>
      </c>
      <c r="CT289" s="715" t="s">
        <v>36408</v>
      </c>
      <c r="CU289" s="715" t="s">
        <v>4</v>
      </c>
      <c r="CV289" s="715" t="s">
        <v>4</v>
      </c>
      <c r="CW289" s="715" t="s">
        <v>4</v>
      </c>
      <c r="CX289" s="715" t="s">
        <v>4</v>
      </c>
      <c r="CY289" s="715" t="s">
        <v>4</v>
      </c>
      <c r="CZ289" s="715" t="s">
        <v>4</v>
      </c>
      <c r="DA289" s="715" t="s">
        <v>4</v>
      </c>
      <c r="DB289" s="715" t="s">
        <v>4</v>
      </c>
      <c r="DC289" s="715" t="s">
        <v>4</v>
      </c>
      <c r="DD289" s="715" t="s">
        <v>4</v>
      </c>
      <c r="DE289" s="715" t="s">
        <v>4</v>
      </c>
      <c r="DF289" s="715" t="s">
        <v>4</v>
      </c>
      <c r="DG289" s="715" t="s">
        <v>4</v>
      </c>
      <c r="DH289" s="715" t="s">
        <v>4</v>
      </c>
      <c r="DI289" s="715" t="s">
        <v>4</v>
      </c>
      <c r="DJ289" s="715" t="s">
        <v>4</v>
      </c>
      <c r="DK289" s="715" t="s">
        <v>4</v>
      </c>
      <c r="DL289" s="715" t="s">
        <v>4</v>
      </c>
      <c r="DM289" s="715">
        <v>8</v>
      </c>
      <c r="DN289" s="715" t="s">
        <v>2</v>
      </c>
      <c r="DO289" s="715" t="s">
        <v>29292</v>
      </c>
      <c r="DP289" s="715" t="s">
        <v>4</v>
      </c>
      <c r="DQ289" s="715" t="s">
        <v>29293</v>
      </c>
      <c r="DR289" s="721">
        <v>320000</v>
      </c>
      <c r="DS289" s="715" t="s">
        <v>29294</v>
      </c>
      <c r="DT289" s="721" t="s">
        <v>4</v>
      </c>
      <c r="DU289" s="715" t="s">
        <v>29508</v>
      </c>
      <c r="DV289" s="721" t="s">
        <v>4</v>
      </c>
      <c r="DW289" s="721" t="s">
        <v>4</v>
      </c>
      <c r="DX289" s="721" t="s">
        <v>4</v>
      </c>
      <c r="DY289" s="721" t="s">
        <v>4</v>
      </c>
      <c r="DZ289" s="721" t="s">
        <v>4</v>
      </c>
      <c r="EA289" s="721" t="s">
        <v>4</v>
      </c>
      <c r="EB289" s="721" t="s">
        <v>4</v>
      </c>
      <c r="EC289" s="715">
        <v>100</v>
      </c>
      <c r="ED289" s="715" t="s">
        <v>30747</v>
      </c>
      <c r="EE289" s="721" t="s">
        <v>4</v>
      </c>
      <c r="EF289" s="715">
        <v>100</v>
      </c>
      <c r="EG289" s="721" t="s">
        <v>4</v>
      </c>
      <c r="EH289" s="721" t="s">
        <v>4</v>
      </c>
      <c r="EI289" s="721" t="s">
        <v>4</v>
      </c>
      <c r="EJ289" s="721" t="s">
        <v>4</v>
      </c>
      <c r="EK289" s="721" t="s">
        <v>4</v>
      </c>
      <c r="EL289" s="715">
        <v>30</v>
      </c>
      <c r="EM289" s="721" t="s">
        <v>4</v>
      </c>
      <c r="EN289" s="721" t="s">
        <v>4</v>
      </c>
      <c r="EO289" s="721" t="s">
        <v>4</v>
      </c>
      <c r="EP289" s="715" t="s">
        <v>29296</v>
      </c>
      <c r="EQ289" s="715">
        <v>100</v>
      </c>
      <c r="ER289" s="721" t="s">
        <v>4</v>
      </c>
      <c r="ES289" s="721" t="s">
        <v>4</v>
      </c>
      <c r="ET289" s="721" t="s">
        <v>4</v>
      </c>
      <c r="EU289" s="721" t="s">
        <v>4</v>
      </c>
      <c r="EW289" s="715">
        <v>1.2140599999999999</v>
      </c>
      <c r="EX289" s="715" t="s">
        <v>7</v>
      </c>
      <c r="EY289" s="715">
        <v>40</v>
      </c>
      <c r="EZ289" s="746">
        <f t="shared" si="10"/>
        <v>0.48562399999999994</v>
      </c>
      <c r="FA289" s="715" t="s">
        <v>36409</v>
      </c>
      <c r="FB289" s="715" t="s">
        <v>29298</v>
      </c>
      <c r="FC289" s="715">
        <v>36</v>
      </c>
      <c r="FD289" s="715" t="s">
        <v>2</v>
      </c>
      <c r="FE289" s="715" t="s">
        <v>4</v>
      </c>
      <c r="FF289" s="715" t="s">
        <v>4</v>
      </c>
      <c r="FG289" s="715" t="s">
        <v>2</v>
      </c>
      <c r="FH289" s="715" t="s">
        <v>4</v>
      </c>
      <c r="FI289" s="715" t="s">
        <v>4</v>
      </c>
      <c r="FJ289" s="715" t="s">
        <v>4</v>
      </c>
      <c r="FK289" s="715" t="s">
        <v>4</v>
      </c>
      <c r="FL289" s="715" t="s">
        <v>4</v>
      </c>
      <c r="FM289" s="715" t="s">
        <v>4</v>
      </c>
      <c r="FN289" s="721" t="s">
        <v>4</v>
      </c>
      <c r="FO289" s="715" t="s">
        <v>4</v>
      </c>
      <c r="FP289" s="715" t="s">
        <v>2</v>
      </c>
      <c r="FQ289" s="715" t="s">
        <v>4</v>
      </c>
      <c r="FR289" s="715" t="s">
        <v>4</v>
      </c>
      <c r="FS289" s="715" t="s">
        <v>7</v>
      </c>
      <c r="FT289" s="715" t="s">
        <v>2</v>
      </c>
      <c r="FU289" s="715" t="s">
        <v>4</v>
      </c>
      <c r="FV289" s="715" t="s">
        <v>4</v>
      </c>
      <c r="FW289" s="715" t="s">
        <v>29433</v>
      </c>
      <c r="FX289" s="715" t="s">
        <v>4</v>
      </c>
      <c r="FY289" s="715" t="s">
        <v>4</v>
      </c>
      <c r="FZ289" s="715" t="s">
        <v>4</v>
      </c>
      <c r="GA289" s="715" t="s">
        <v>4</v>
      </c>
      <c r="GB289" s="715" t="s">
        <v>4</v>
      </c>
      <c r="GC289" s="715" t="s">
        <v>4</v>
      </c>
      <c r="GD289" s="715" t="s">
        <v>4</v>
      </c>
      <c r="GE289" s="715" t="s">
        <v>4</v>
      </c>
      <c r="GF289" s="715" t="s">
        <v>4</v>
      </c>
      <c r="GG289" s="715" t="s">
        <v>29353</v>
      </c>
      <c r="GH289" s="715" t="s">
        <v>4</v>
      </c>
      <c r="GI289" s="715" t="s">
        <v>4</v>
      </c>
      <c r="GJ289" s="715" t="s">
        <v>4</v>
      </c>
      <c r="GK289" s="715" t="s">
        <v>4</v>
      </c>
      <c r="GL289" s="715" t="s">
        <v>4</v>
      </c>
      <c r="GM289" s="715" t="s">
        <v>4</v>
      </c>
      <c r="GN289" s="715" t="s">
        <v>4</v>
      </c>
      <c r="GO289" s="715" t="s">
        <v>4</v>
      </c>
      <c r="GP289" s="715" t="s">
        <v>4</v>
      </c>
      <c r="GQ289" s="715" t="s">
        <v>4</v>
      </c>
      <c r="GR289" s="715" t="s">
        <v>4</v>
      </c>
      <c r="GS289" s="715" t="s">
        <v>4</v>
      </c>
      <c r="GT289" s="715" t="s">
        <v>29847</v>
      </c>
      <c r="GU289" s="715" t="s">
        <v>4</v>
      </c>
      <c r="GV289" s="721">
        <v>0</v>
      </c>
      <c r="GW289" s="715" t="s">
        <v>29325</v>
      </c>
      <c r="GX289" s="715" t="s">
        <v>29309</v>
      </c>
      <c r="GY289" s="715" t="s">
        <v>4</v>
      </c>
      <c r="GZ289" s="715" t="s">
        <v>4</v>
      </c>
      <c r="HA289" s="715" t="s">
        <v>4</v>
      </c>
      <c r="HB289" s="715" t="s">
        <v>4</v>
      </c>
      <c r="HC289" s="715" t="s">
        <v>4</v>
      </c>
      <c r="HD289" s="715" t="s">
        <v>4</v>
      </c>
      <c r="HE289" s="715" t="s">
        <v>4</v>
      </c>
      <c r="HF289" s="715" t="s">
        <v>4</v>
      </c>
      <c r="HG289" s="715" t="s">
        <v>2</v>
      </c>
      <c r="HH289" s="715" t="s">
        <v>4</v>
      </c>
      <c r="HI289" s="715" t="s">
        <v>4</v>
      </c>
      <c r="HJ289" s="715" t="s">
        <v>4</v>
      </c>
      <c r="HK289" s="721" t="s">
        <v>4</v>
      </c>
      <c r="HL289" s="715" t="s">
        <v>36410</v>
      </c>
      <c r="HM289" s="715" t="s">
        <v>2</v>
      </c>
      <c r="HN289" s="715" t="s">
        <v>4</v>
      </c>
      <c r="HO289" s="715" t="s">
        <v>36411</v>
      </c>
      <c r="HP289" s="715" t="s">
        <v>36412</v>
      </c>
      <c r="HQ289" s="715" t="s">
        <v>36413</v>
      </c>
      <c r="HR289" s="715" t="s">
        <v>36414</v>
      </c>
      <c r="HS289" s="715" t="s">
        <v>36415</v>
      </c>
      <c r="HT289" s="715" t="s">
        <v>36340</v>
      </c>
    </row>
    <row r="290" spans="2:228" ht="99" x14ac:dyDescent="0.25">
      <c r="B290" s="756">
        <v>266</v>
      </c>
      <c r="C290" s="715" t="s">
        <v>5907</v>
      </c>
      <c r="D290" s="715" t="s">
        <v>36343</v>
      </c>
      <c r="E290" s="715" t="s">
        <v>52</v>
      </c>
      <c r="F290" s="715" t="s">
        <v>7</v>
      </c>
      <c r="G290" s="715" t="s">
        <v>36344</v>
      </c>
      <c r="H290" s="715">
        <v>1214.532471</v>
      </c>
      <c r="I290" s="715">
        <v>4.7630990000000004</v>
      </c>
      <c r="J290" s="715" t="s">
        <v>29319</v>
      </c>
      <c r="K290" s="715" t="s">
        <v>4</v>
      </c>
      <c r="L290" s="715" t="s">
        <v>5908</v>
      </c>
      <c r="M290" s="715">
        <v>773381907</v>
      </c>
      <c r="N290" s="715" t="s">
        <v>5</v>
      </c>
      <c r="O290" s="715" t="s">
        <v>31598</v>
      </c>
      <c r="P290" s="715" t="s">
        <v>4</v>
      </c>
      <c r="Q290" s="715">
        <v>6</v>
      </c>
      <c r="R290" s="715" t="s">
        <v>7</v>
      </c>
      <c r="S290" s="715" t="s">
        <v>31549</v>
      </c>
      <c r="T290" s="715" t="s">
        <v>4</v>
      </c>
      <c r="U290" s="715" t="s">
        <v>7</v>
      </c>
      <c r="V290" s="715" t="s">
        <v>7</v>
      </c>
      <c r="W290" s="715" t="s">
        <v>4</v>
      </c>
      <c r="X290" s="715" t="s">
        <v>7</v>
      </c>
      <c r="Y290" s="715" t="s">
        <v>4</v>
      </c>
      <c r="Z290" s="715" t="s">
        <v>4</v>
      </c>
      <c r="AA290" s="717" t="str">
        <f>IF(OR(U290="yes",Z290&gt;'SDG outcome'!$C$39),"yes","no")</f>
        <v>yes</v>
      </c>
      <c r="AB290" s="718" t="str">
        <f t="shared" si="12"/>
        <v>NA</v>
      </c>
      <c r="AC290" s="719" t="str">
        <f>IF(AND('SMS p2'!AA290="no",AND(Z290&gt;='SDG outcome'!$B$28,Z290&lt;'SDG outcome'!$C$39)),Z290-'SDG outcome'!$B$28,"")</f>
        <v/>
      </c>
      <c r="AD290" s="715" t="s">
        <v>4</v>
      </c>
      <c r="AE290" s="715" t="s">
        <v>4</v>
      </c>
      <c r="AF290" s="715" t="s">
        <v>4</v>
      </c>
      <c r="AG290" s="715" t="s">
        <v>4</v>
      </c>
      <c r="AH290" s="715" t="s">
        <v>4</v>
      </c>
      <c r="AI290" s="715" t="s">
        <v>4</v>
      </c>
      <c r="AJ290" s="715" t="s">
        <v>4</v>
      </c>
      <c r="AK290" s="715" t="s">
        <v>29290</v>
      </c>
      <c r="AL290" s="715" t="s">
        <v>29291</v>
      </c>
      <c r="AM290" s="715" t="s">
        <v>4</v>
      </c>
      <c r="AN290" s="715" t="s">
        <v>4</v>
      </c>
      <c r="AO290" s="715" t="s">
        <v>31536</v>
      </c>
      <c r="AP290" s="715" t="s">
        <v>4</v>
      </c>
      <c r="AQ290" s="715" t="s">
        <v>31537</v>
      </c>
      <c r="AR290" s="715" t="s">
        <v>4</v>
      </c>
      <c r="AS290" s="715" t="s">
        <v>31538</v>
      </c>
      <c r="AT290" s="715" t="s">
        <v>4</v>
      </c>
      <c r="AU290" s="715" t="s">
        <v>7</v>
      </c>
      <c r="AV290" s="715" t="s">
        <v>4</v>
      </c>
      <c r="AW290" s="715" t="s">
        <v>4</v>
      </c>
      <c r="AX290" s="715" t="s">
        <v>7</v>
      </c>
      <c r="AY290" s="715" t="s">
        <v>6</v>
      </c>
      <c r="AZ290" s="715" t="s">
        <v>4</v>
      </c>
      <c r="BA290" s="715" t="s">
        <v>31563</v>
      </c>
      <c r="BB290" s="715" t="s">
        <v>22</v>
      </c>
      <c r="BC290" s="715" t="s">
        <v>4</v>
      </c>
      <c r="BD290" s="715" t="s">
        <v>31564</v>
      </c>
      <c r="BE290" s="715" t="s">
        <v>4</v>
      </c>
      <c r="BF290" s="715" t="s">
        <v>31542</v>
      </c>
      <c r="BG290" s="715" t="s">
        <v>36371</v>
      </c>
      <c r="BH290" s="715" t="s">
        <v>31616</v>
      </c>
      <c r="BI290" s="715">
        <v>1</v>
      </c>
      <c r="BJ290" s="715">
        <v>120</v>
      </c>
      <c r="BK290" s="715" t="s">
        <v>7</v>
      </c>
      <c r="BL290" s="715" t="s">
        <v>6</v>
      </c>
      <c r="BM290" s="715" t="s">
        <v>4</v>
      </c>
      <c r="BN290" s="715" t="s">
        <v>31429</v>
      </c>
      <c r="BO290" s="715">
        <v>3</v>
      </c>
      <c r="BP290" s="715">
        <v>30</v>
      </c>
      <c r="BQ290" s="715" t="s">
        <v>31435</v>
      </c>
      <c r="BR290" s="720" t="s">
        <v>33332</v>
      </c>
      <c r="BS290" s="715" t="s">
        <v>4</v>
      </c>
      <c r="BT290" s="715">
        <v>3</v>
      </c>
      <c r="BU290" s="713"/>
      <c r="BV290" s="509"/>
      <c r="BW290" s="714"/>
      <c r="BX290" s="715" t="s">
        <v>31552</v>
      </c>
      <c r="BY290" s="715" t="s">
        <v>4</v>
      </c>
      <c r="BZ290" s="715" t="s">
        <v>2</v>
      </c>
      <c r="CA290" s="715" t="s">
        <v>4</v>
      </c>
      <c r="CB290" s="715" t="s">
        <v>4</v>
      </c>
      <c r="CC290" s="715" t="s">
        <v>4</v>
      </c>
      <c r="CD290" s="715" t="s">
        <v>7</v>
      </c>
      <c r="CE290" s="715" t="s">
        <v>36416</v>
      </c>
      <c r="CF290" s="715" t="s">
        <v>4</v>
      </c>
      <c r="CG290" s="715" t="s">
        <v>31578</v>
      </c>
      <c r="CH290" s="715">
        <v>5</v>
      </c>
      <c r="CI290" s="715" t="s">
        <v>4</v>
      </c>
      <c r="CJ290" s="715" t="s">
        <v>4</v>
      </c>
      <c r="CK290" s="715" t="s">
        <v>4</v>
      </c>
      <c r="CL290" s="715" t="s">
        <v>4</v>
      </c>
      <c r="CM290" s="715">
        <v>100</v>
      </c>
      <c r="CN290" s="715" t="s">
        <v>4</v>
      </c>
      <c r="CO290" s="715" t="s">
        <v>4</v>
      </c>
      <c r="CP290" s="715" t="s">
        <v>4</v>
      </c>
      <c r="CQ290" s="715" t="s">
        <v>4</v>
      </c>
      <c r="CR290" s="715">
        <v>50</v>
      </c>
      <c r="CS290" s="715">
        <v>50</v>
      </c>
      <c r="CT290" s="715" t="s">
        <v>36417</v>
      </c>
      <c r="CU290" s="715" t="s">
        <v>4</v>
      </c>
      <c r="CV290" s="715" t="s">
        <v>4</v>
      </c>
      <c r="CW290" s="715" t="s">
        <v>4</v>
      </c>
      <c r="CX290" s="715" t="s">
        <v>4</v>
      </c>
      <c r="CY290" s="715" t="s">
        <v>4</v>
      </c>
      <c r="CZ290" s="715" t="s">
        <v>4</v>
      </c>
      <c r="DA290" s="715" t="s">
        <v>4</v>
      </c>
      <c r="DB290" s="715" t="s">
        <v>4</v>
      </c>
      <c r="DC290" s="715" t="s">
        <v>4</v>
      </c>
      <c r="DD290" s="715">
        <v>0</v>
      </c>
      <c r="DE290" s="715">
        <v>100</v>
      </c>
      <c r="DF290" s="715" t="s">
        <v>33471</v>
      </c>
      <c r="DG290" s="715" t="s">
        <v>4</v>
      </c>
      <c r="DH290" s="715" t="s">
        <v>4</v>
      </c>
      <c r="DI290" s="715" t="s">
        <v>4</v>
      </c>
      <c r="DJ290" s="715" t="s">
        <v>4</v>
      </c>
      <c r="DK290" s="715" t="s">
        <v>4</v>
      </c>
      <c r="DL290" s="715" t="s">
        <v>4</v>
      </c>
      <c r="DM290" s="715">
        <v>3</v>
      </c>
      <c r="DN290" s="715" t="s">
        <v>2</v>
      </c>
      <c r="DO290" s="715" t="s">
        <v>29292</v>
      </c>
      <c r="DP290" s="715" t="s">
        <v>4</v>
      </c>
      <c r="DQ290" s="715" t="s">
        <v>29294</v>
      </c>
      <c r="DR290" s="721" t="s">
        <v>4</v>
      </c>
      <c r="DS290" s="715" t="s">
        <v>29293</v>
      </c>
      <c r="DT290" s="721">
        <v>0</v>
      </c>
      <c r="DU290" s="715" t="s">
        <v>29295</v>
      </c>
      <c r="DV290" s="715">
        <v>100</v>
      </c>
      <c r="DW290" s="715" t="s">
        <v>29296</v>
      </c>
      <c r="DX290" s="715">
        <v>100</v>
      </c>
      <c r="DY290" s="721" t="s">
        <v>4</v>
      </c>
      <c r="DZ290" s="721" t="s">
        <v>4</v>
      </c>
      <c r="EA290" s="721" t="s">
        <v>4</v>
      </c>
      <c r="EB290" s="721" t="s">
        <v>4</v>
      </c>
      <c r="EC290" s="721" t="s">
        <v>4</v>
      </c>
      <c r="ED290" s="721" t="s">
        <v>4</v>
      </c>
      <c r="EE290" s="721" t="s">
        <v>4</v>
      </c>
      <c r="EF290" s="721" t="s">
        <v>4</v>
      </c>
      <c r="EG290" s="721" t="s">
        <v>4</v>
      </c>
      <c r="EH290" s="721" t="s">
        <v>4</v>
      </c>
      <c r="EI290" s="721" t="s">
        <v>4</v>
      </c>
      <c r="EJ290" s="721" t="s">
        <v>4</v>
      </c>
      <c r="EK290" s="721" t="s">
        <v>4</v>
      </c>
      <c r="EL290" s="721" t="s">
        <v>4</v>
      </c>
      <c r="EM290" s="721" t="s">
        <v>4</v>
      </c>
      <c r="EN290" s="721" t="s">
        <v>4</v>
      </c>
      <c r="EO290" s="721" t="s">
        <v>4</v>
      </c>
      <c r="EP290" s="721" t="s">
        <v>4</v>
      </c>
      <c r="EQ290" s="721" t="s">
        <v>4</v>
      </c>
      <c r="ER290" s="721" t="s">
        <v>4</v>
      </c>
      <c r="ES290" s="721" t="s">
        <v>4</v>
      </c>
      <c r="ET290" s="721" t="s">
        <v>4</v>
      </c>
      <c r="EU290" s="721" t="s">
        <v>4</v>
      </c>
      <c r="EW290" s="715">
        <v>2.02</v>
      </c>
      <c r="EX290" s="715" t="s">
        <v>7</v>
      </c>
      <c r="EY290" s="715">
        <v>60</v>
      </c>
      <c r="EZ290" s="746">
        <f t="shared" si="10"/>
        <v>1.212</v>
      </c>
      <c r="FA290" s="715" t="s">
        <v>36418</v>
      </c>
      <c r="FB290" s="715" t="s">
        <v>29298</v>
      </c>
      <c r="FC290" s="715">
        <v>92</v>
      </c>
      <c r="FD290" s="715" t="s">
        <v>7</v>
      </c>
      <c r="FE290" s="715" t="s">
        <v>29393</v>
      </c>
      <c r="FF290" s="715" t="s">
        <v>4</v>
      </c>
      <c r="FG290" s="715" t="s">
        <v>7</v>
      </c>
      <c r="FH290" s="715" t="s">
        <v>29393</v>
      </c>
      <c r="FI290" s="715" t="s">
        <v>4</v>
      </c>
      <c r="FJ290" s="715" t="s">
        <v>29300</v>
      </c>
      <c r="FK290" s="715" t="s">
        <v>4</v>
      </c>
      <c r="FL290" s="715" t="s">
        <v>4</v>
      </c>
      <c r="FM290" s="715" t="s">
        <v>4</v>
      </c>
      <c r="FN290" s="721" t="s">
        <v>4</v>
      </c>
      <c r="FO290" s="715" t="s">
        <v>4</v>
      </c>
      <c r="FP290" s="715" t="s">
        <v>2</v>
      </c>
      <c r="FQ290" s="715" t="s">
        <v>4</v>
      </c>
      <c r="FR290" s="715" t="s">
        <v>4</v>
      </c>
      <c r="FS290" s="715" t="s">
        <v>2</v>
      </c>
      <c r="FT290" s="715" t="s">
        <v>7</v>
      </c>
      <c r="FU290" s="715" t="s">
        <v>29302</v>
      </c>
      <c r="FV290" s="715" t="s">
        <v>36419</v>
      </c>
      <c r="FW290" s="715" t="s">
        <v>4</v>
      </c>
      <c r="FX290" s="715" t="s">
        <v>4</v>
      </c>
      <c r="FY290" s="715" t="s">
        <v>4</v>
      </c>
      <c r="FZ290" s="715" t="s">
        <v>4</v>
      </c>
      <c r="GA290" s="715" t="s">
        <v>4</v>
      </c>
      <c r="GB290" s="715" t="s">
        <v>4</v>
      </c>
      <c r="GC290" s="715" t="s">
        <v>4</v>
      </c>
      <c r="GD290" s="715" t="s">
        <v>4</v>
      </c>
      <c r="GE290" s="715" t="s">
        <v>4</v>
      </c>
      <c r="GF290" s="715" t="s">
        <v>4</v>
      </c>
      <c r="GG290" s="715" t="s">
        <v>4</v>
      </c>
      <c r="GH290" s="715" t="s">
        <v>4</v>
      </c>
      <c r="GI290" s="715" t="s">
        <v>29304</v>
      </c>
      <c r="GJ290" s="715" t="s">
        <v>29305</v>
      </c>
      <c r="GK290" s="715" t="s">
        <v>29306</v>
      </c>
      <c r="GL290" s="715" t="s">
        <v>4</v>
      </c>
      <c r="GM290" s="715" t="s">
        <v>4</v>
      </c>
      <c r="GN290" s="715" t="s">
        <v>4</v>
      </c>
      <c r="GO290" s="715" t="s">
        <v>4</v>
      </c>
      <c r="GP290" s="715" t="s">
        <v>4</v>
      </c>
      <c r="GQ290" s="715" t="s">
        <v>4</v>
      </c>
      <c r="GR290" s="715" t="s">
        <v>13</v>
      </c>
      <c r="GS290" s="715" t="s">
        <v>4</v>
      </c>
      <c r="GT290" s="715" t="s">
        <v>29467</v>
      </c>
      <c r="GU290" s="715" t="s">
        <v>4</v>
      </c>
      <c r="GV290" s="721">
        <v>10</v>
      </c>
      <c r="GW290" s="715" t="s">
        <v>7</v>
      </c>
      <c r="GX290" s="715" t="s">
        <v>29837</v>
      </c>
      <c r="GY290" s="715" t="s">
        <v>4</v>
      </c>
      <c r="GZ290" s="715" t="s">
        <v>4</v>
      </c>
      <c r="HA290" s="715" t="s">
        <v>4</v>
      </c>
      <c r="HB290" s="715" t="s">
        <v>4</v>
      </c>
      <c r="HC290" s="715" t="s">
        <v>4</v>
      </c>
      <c r="HD290" s="715" t="s">
        <v>4</v>
      </c>
      <c r="HE290" s="715" t="s">
        <v>4</v>
      </c>
      <c r="HF290" s="715" t="s">
        <v>4</v>
      </c>
      <c r="HG290" s="715" t="s">
        <v>2</v>
      </c>
      <c r="HH290" s="715" t="s">
        <v>4</v>
      </c>
      <c r="HI290" s="715" t="s">
        <v>4</v>
      </c>
      <c r="HJ290" s="715" t="s">
        <v>4</v>
      </c>
      <c r="HK290" s="721" t="s">
        <v>4</v>
      </c>
      <c r="HL290" s="715" t="s">
        <v>36420</v>
      </c>
      <c r="HM290" s="715" t="s">
        <v>2</v>
      </c>
      <c r="HN290" s="715" t="s">
        <v>4</v>
      </c>
      <c r="HO290" s="715" t="s">
        <v>36421</v>
      </c>
      <c r="HP290" s="715" t="s">
        <v>36422</v>
      </c>
      <c r="HQ290" s="715" t="s">
        <v>36423</v>
      </c>
      <c r="HR290" s="715" t="s">
        <v>36424</v>
      </c>
      <c r="HS290" s="715" t="s">
        <v>36425</v>
      </c>
      <c r="HT290" s="715" t="s">
        <v>36426</v>
      </c>
    </row>
    <row r="291" spans="2:228" ht="66" x14ac:dyDescent="0.25">
      <c r="B291" s="756">
        <v>267</v>
      </c>
      <c r="C291" s="715" t="s">
        <v>4888</v>
      </c>
      <c r="D291" s="715" t="s">
        <v>36345</v>
      </c>
      <c r="E291" s="715" t="s">
        <v>52</v>
      </c>
      <c r="F291" s="715" t="s">
        <v>7</v>
      </c>
      <c r="G291" s="715" t="s">
        <v>36346</v>
      </c>
      <c r="H291" s="715">
        <v>1169.868164</v>
      </c>
      <c r="I291" s="715">
        <v>4.9607970000000003</v>
      </c>
      <c r="J291" s="715" t="s">
        <v>29389</v>
      </c>
      <c r="K291" s="715" t="s">
        <v>36347</v>
      </c>
      <c r="L291" s="715" t="s">
        <v>36348</v>
      </c>
      <c r="M291" s="715">
        <v>772588433</v>
      </c>
      <c r="N291" s="715" t="s">
        <v>3</v>
      </c>
      <c r="O291" s="715" t="s">
        <v>31438</v>
      </c>
      <c r="P291" s="715">
        <v>25</v>
      </c>
      <c r="Q291" s="715">
        <v>12</v>
      </c>
      <c r="R291" s="715" t="s">
        <v>7</v>
      </c>
      <c r="S291" s="715" t="s">
        <v>31535</v>
      </c>
      <c r="T291" s="715" t="s">
        <v>4</v>
      </c>
      <c r="U291" s="715" t="s">
        <v>7</v>
      </c>
      <c r="V291" s="715" t="s">
        <v>7</v>
      </c>
      <c r="W291" s="715" t="s">
        <v>4</v>
      </c>
      <c r="X291" s="715" t="s">
        <v>7</v>
      </c>
      <c r="Y291" s="715" t="s">
        <v>4</v>
      </c>
      <c r="Z291" s="715" t="s">
        <v>4</v>
      </c>
      <c r="AA291" s="717" t="str">
        <f>IF(OR(U291="yes",Z291&gt;'SDG outcome'!$C$39),"yes","no")</f>
        <v>yes</v>
      </c>
      <c r="AB291" s="718" t="str">
        <f t="shared" si="12"/>
        <v>NA</v>
      </c>
      <c r="AC291" s="719" t="str">
        <f>IF(AND('SMS p2'!AA291="no",AND(Z291&gt;='SDG outcome'!$B$28,Z291&lt;'SDG outcome'!$C$39)),Z291-'SDG outcome'!$B$28,"")</f>
        <v/>
      </c>
      <c r="AD291" s="715" t="s">
        <v>4</v>
      </c>
      <c r="AE291" s="715" t="s">
        <v>4</v>
      </c>
      <c r="AF291" s="715" t="s">
        <v>4</v>
      </c>
      <c r="AG291" s="715" t="s">
        <v>4</v>
      </c>
      <c r="AH291" s="715" t="s">
        <v>4</v>
      </c>
      <c r="AI291" s="715" t="s">
        <v>4</v>
      </c>
      <c r="AJ291" s="715" t="s">
        <v>4</v>
      </c>
      <c r="AK291" s="715" t="s">
        <v>29290</v>
      </c>
      <c r="AL291" s="715" t="s">
        <v>29291</v>
      </c>
      <c r="AM291" s="715" t="s">
        <v>4</v>
      </c>
      <c r="AN291" s="715" t="s">
        <v>4</v>
      </c>
      <c r="AO291" s="715" t="s">
        <v>31536</v>
      </c>
      <c r="AP291" s="715" t="s">
        <v>4</v>
      </c>
      <c r="AQ291" s="715" t="s">
        <v>31600</v>
      </c>
      <c r="AR291" s="715" t="s">
        <v>4</v>
      </c>
      <c r="AS291" s="715" t="s">
        <v>31538</v>
      </c>
      <c r="AT291" s="715" t="s">
        <v>4</v>
      </c>
      <c r="AU291" s="715" t="s">
        <v>7</v>
      </c>
      <c r="AV291" s="715" t="s">
        <v>4</v>
      </c>
      <c r="AW291" s="715" t="s">
        <v>4</v>
      </c>
      <c r="AX291" s="715" t="s">
        <v>7</v>
      </c>
      <c r="AY291" s="715" t="s">
        <v>6</v>
      </c>
      <c r="AZ291" s="715" t="s">
        <v>4</v>
      </c>
      <c r="BA291" s="715" t="s">
        <v>31563</v>
      </c>
      <c r="BB291" s="715" t="s">
        <v>22</v>
      </c>
      <c r="BC291" s="715" t="s">
        <v>4</v>
      </c>
      <c r="BD291" s="715" t="s">
        <v>31564</v>
      </c>
      <c r="BE291" s="715" t="s">
        <v>4</v>
      </c>
      <c r="BF291" s="715" t="s">
        <v>31542</v>
      </c>
      <c r="BG291" s="715" t="s">
        <v>33572</v>
      </c>
      <c r="BH291" s="715" t="s">
        <v>31544</v>
      </c>
      <c r="BI291" s="715">
        <v>1</v>
      </c>
      <c r="BJ291" s="715">
        <v>120</v>
      </c>
      <c r="BK291" s="715" t="s">
        <v>7</v>
      </c>
      <c r="BL291" s="715" t="s">
        <v>6</v>
      </c>
      <c r="BM291" s="715" t="s">
        <v>4</v>
      </c>
      <c r="BN291" s="715" t="s">
        <v>31432</v>
      </c>
      <c r="BO291" s="715">
        <v>1</v>
      </c>
      <c r="BP291" s="715">
        <v>60</v>
      </c>
      <c r="BQ291" s="715" t="s">
        <v>31434</v>
      </c>
      <c r="BR291" s="720" t="s">
        <v>33361</v>
      </c>
      <c r="BS291" s="715" t="s">
        <v>4</v>
      </c>
      <c r="BT291" s="715">
        <v>4</v>
      </c>
      <c r="BU291" s="713"/>
      <c r="BV291" s="509"/>
      <c r="BW291" s="714"/>
      <c r="BX291" s="715" t="s">
        <v>31552</v>
      </c>
      <c r="BY291" s="715" t="s">
        <v>4</v>
      </c>
      <c r="BZ291" s="715" t="s">
        <v>2</v>
      </c>
      <c r="CA291" s="715" t="s">
        <v>4</v>
      </c>
      <c r="CB291" s="715" t="s">
        <v>4</v>
      </c>
      <c r="CC291" s="715" t="s">
        <v>4</v>
      </c>
      <c r="CD291" s="715" t="s">
        <v>7</v>
      </c>
      <c r="CE291" s="715" t="s">
        <v>36427</v>
      </c>
      <c r="CF291" s="715" t="s">
        <v>4</v>
      </c>
      <c r="CG291" s="715" t="s">
        <v>36428</v>
      </c>
      <c r="CH291" s="715" t="s">
        <v>4</v>
      </c>
      <c r="CI291" s="715" t="s">
        <v>4</v>
      </c>
      <c r="CJ291" s="715" t="s">
        <v>4</v>
      </c>
      <c r="CK291" s="715" t="s">
        <v>4</v>
      </c>
      <c r="CL291" s="715">
        <v>2</v>
      </c>
      <c r="CM291" s="715">
        <v>30</v>
      </c>
      <c r="CN291" s="715" t="s">
        <v>4</v>
      </c>
      <c r="CO291" s="715" t="s">
        <v>4</v>
      </c>
      <c r="CP291" s="715" t="s">
        <v>4</v>
      </c>
      <c r="CQ291" s="715" t="s">
        <v>4</v>
      </c>
      <c r="CR291" s="715" t="s">
        <v>4</v>
      </c>
      <c r="CS291" s="715" t="s">
        <v>4</v>
      </c>
      <c r="CT291" s="715" t="s">
        <v>4</v>
      </c>
      <c r="CU291" s="715" t="s">
        <v>4</v>
      </c>
      <c r="CV291" s="715" t="s">
        <v>4</v>
      </c>
      <c r="CW291" s="715" t="s">
        <v>4</v>
      </c>
      <c r="CX291" s="715" t="s">
        <v>4</v>
      </c>
      <c r="CY291" s="715" t="s">
        <v>4</v>
      </c>
      <c r="CZ291" s="715" t="s">
        <v>4</v>
      </c>
      <c r="DA291" s="715" t="s">
        <v>4</v>
      </c>
      <c r="DB291" s="715" t="s">
        <v>4</v>
      </c>
      <c r="DC291" s="715" t="s">
        <v>4</v>
      </c>
      <c r="DD291" s="715">
        <v>0</v>
      </c>
      <c r="DE291" s="715">
        <v>100</v>
      </c>
      <c r="DF291" s="715" t="s">
        <v>31611</v>
      </c>
      <c r="DG291" s="715" t="s">
        <v>4</v>
      </c>
      <c r="DH291" s="715" t="s">
        <v>4</v>
      </c>
      <c r="DI291" s="715" t="s">
        <v>4</v>
      </c>
      <c r="DJ291" s="715">
        <v>100</v>
      </c>
      <c r="DK291" s="715">
        <v>0</v>
      </c>
      <c r="DL291" s="715" t="s">
        <v>4</v>
      </c>
      <c r="DM291" s="715">
        <v>1</v>
      </c>
      <c r="DN291" s="715" t="s">
        <v>2</v>
      </c>
      <c r="DO291" s="715" t="s">
        <v>29375</v>
      </c>
      <c r="DP291" s="715" t="s">
        <v>4</v>
      </c>
      <c r="DQ291" s="715" t="s">
        <v>4</v>
      </c>
      <c r="DR291" s="721" t="s">
        <v>4</v>
      </c>
      <c r="DS291" s="715" t="s">
        <v>29293</v>
      </c>
      <c r="DT291" s="721">
        <v>0</v>
      </c>
      <c r="DU291" s="715" t="s">
        <v>29295</v>
      </c>
      <c r="DV291" s="715">
        <v>100</v>
      </c>
      <c r="DW291" s="715" t="s">
        <v>29296</v>
      </c>
      <c r="DX291" s="715">
        <v>100</v>
      </c>
      <c r="DY291" s="721" t="s">
        <v>4</v>
      </c>
      <c r="DZ291" s="721" t="s">
        <v>4</v>
      </c>
      <c r="EA291" s="721" t="s">
        <v>4</v>
      </c>
      <c r="EB291" s="721" t="s">
        <v>4</v>
      </c>
      <c r="EC291" s="721" t="s">
        <v>4</v>
      </c>
      <c r="ED291" s="721" t="s">
        <v>4</v>
      </c>
      <c r="EE291" s="721" t="s">
        <v>4</v>
      </c>
      <c r="EF291" s="721" t="s">
        <v>4</v>
      </c>
      <c r="EG291" s="721" t="s">
        <v>4</v>
      </c>
      <c r="EH291" s="721" t="s">
        <v>4</v>
      </c>
      <c r="EI291" s="721" t="s">
        <v>4</v>
      </c>
      <c r="EJ291" s="721" t="s">
        <v>4</v>
      </c>
      <c r="EK291" s="721" t="s">
        <v>4</v>
      </c>
      <c r="EL291" s="721" t="s">
        <v>4</v>
      </c>
      <c r="EM291" s="721" t="s">
        <v>4</v>
      </c>
      <c r="EN291" s="721" t="s">
        <v>4</v>
      </c>
      <c r="EO291" s="721" t="s">
        <v>4</v>
      </c>
      <c r="EP291" s="721" t="s">
        <v>4</v>
      </c>
      <c r="EQ291" s="721" t="s">
        <v>4</v>
      </c>
      <c r="ER291" s="721" t="s">
        <v>4</v>
      </c>
      <c r="ES291" s="721" t="s">
        <v>4</v>
      </c>
      <c r="ET291" s="721" t="s">
        <v>4</v>
      </c>
      <c r="EU291" s="721" t="s">
        <v>4</v>
      </c>
      <c r="EW291" s="715">
        <v>2</v>
      </c>
      <c r="EX291" s="715" t="s">
        <v>7</v>
      </c>
      <c r="EY291" s="715">
        <v>50</v>
      </c>
      <c r="EZ291" s="746">
        <f t="shared" si="10"/>
        <v>1</v>
      </c>
      <c r="FA291" s="715" t="s">
        <v>36429</v>
      </c>
      <c r="FB291" s="715" t="s">
        <v>29298</v>
      </c>
      <c r="FC291" s="715">
        <v>120</v>
      </c>
      <c r="FD291" s="715" t="s">
        <v>7</v>
      </c>
      <c r="FE291" s="715" t="s">
        <v>29393</v>
      </c>
      <c r="FF291" s="715" t="s">
        <v>4</v>
      </c>
      <c r="FG291" s="715" t="s">
        <v>7</v>
      </c>
      <c r="FH291" s="715" t="s">
        <v>29393</v>
      </c>
      <c r="FI291" s="715" t="s">
        <v>4</v>
      </c>
      <c r="FJ291" s="715" t="s">
        <v>29300</v>
      </c>
      <c r="FK291" s="715" t="s">
        <v>4</v>
      </c>
      <c r="FL291" s="715" t="s">
        <v>4</v>
      </c>
      <c r="FM291" s="715" t="s">
        <v>4</v>
      </c>
      <c r="FN291" s="721" t="s">
        <v>4</v>
      </c>
      <c r="FO291" s="715" t="s">
        <v>4</v>
      </c>
      <c r="FP291" s="715" t="s">
        <v>2</v>
      </c>
      <c r="FQ291" s="715" t="s">
        <v>4</v>
      </c>
      <c r="FR291" s="715" t="s">
        <v>4</v>
      </c>
      <c r="FS291" s="715" t="s">
        <v>2</v>
      </c>
      <c r="FT291" s="715" t="s">
        <v>7</v>
      </c>
      <c r="FU291" s="715" t="s">
        <v>29302</v>
      </c>
      <c r="FV291" s="715" t="s">
        <v>36430</v>
      </c>
      <c r="FW291" s="715" t="s">
        <v>29304</v>
      </c>
      <c r="FX291" s="715">
        <v>0.33</v>
      </c>
      <c r="FY291" s="715" t="s">
        <v>29940</v>
      </c>
      <c r="FZ291" s="715" t="s">
        <v>4</v>
      </c>
      <c r="GA291" s="715" t="s">
        <v>29556</v>
      </c>
      <c r="GB291" s="715" t="s">
        <v>4</v>
      </c>
      <c r="GC291" s="715" t="s">
        <v>4</v>
      </c>
      <c r="GD291" s="715" t="s">
        <v>4</v>
      </c>
      <c r="GE291" s="715" t="s">
        <v>4</v>
      </c>
      <c r="GF291" s="715" t="s">
        <v>4</v>
      </c>
      <c r="GG291" s="715" t="s">
        <v>4</v>
      </c>
      <c r="GH291" s="715" t="s">
        <v>4</v>
      </c>
      <c r="GI291" s="715" t="s">
        <v>4</v>
      </c>
      <c r="GJ291" s="715" t="s">
        <v>4</v>
      </c>
      <c r="GK291" s="715" t="s">
        <v>4</v>
      </c>
      <c r="GL291" s="715" t="s">
        <v>4</v>
      </c>
      <c r="GM291" s="715" t="s">
        <v>4</v>
      </c>
      <c r="GN291" s="715" t="s">
        <v>4</v>
      </c>
      <c r="GO291" s="715" t="s">
        <v>4</v>
      </c>
      <c r="GP291" s="715" t="s">
        <v>4</v>
      </c>
      <c r="GQ291" s="715" t="s">
        <v>4</v>
      </c>
      <c r="GR291" s="715" t="s">
        <v>4</v>
      </c>
      <c r="GS291" s="715" t="s">
        <v>4</v>
      </c>
      <c r="GT291" s="715" t="s">
        <v>35759</v>
      </c>
      <c r="GU291" s="715" t="s">
        <v>4</v>
      </c>
      <c r="GV291" s="721">
        <v>5</v>
      </c>
      <c r="GW291" s="715" t="s">
        <v>7</v>
      </c>
      <c r="GX291" s="715" t="s">
        <v>29309</v>
      </c>
      <c r="GY291" s="715" t="s">
        <v>4</v>
      </c>
      <c r="GZ291" s="715" t="s">
        <v>4</v>
      </c>
      <c r="HA291" s="715" t="s">
        <v>4</v>
      </c>
      <c r="HB291" s="715" t="s">
        <v>4</v>
      </c>
      <c r="HC291" s="715" t="s">
        <v>4</v>
      </c>
      <c r="HD291" s="715" t="s">
        <v>4</v>
      </c>
      <c r="HE291" s="715" t="s">
        <v>4</v>
      </c>
      <c r="HF291" s="715" t="s">
        <v>4</v>
      </c>
      <c r="HG291" s="715" t="s">
        <v>2</v>
      </c>
      <c r="HH291" s="715" t="s">
        <v>4</v>
      </c>
      <c r="HI291" s="715" t="s">
        <v>4</v>
      </c>
      <c r="HJ291" s="715" t="s">
        <v>4</v>
      </c>
      <c r="HK291" s="721" t="s">
        <v>4</v>
      </c>
      <c r="HL291" s="715" t="s">
        <v>36431</v>
      </c>
      <c r="HM291" s="715" t="s">
        <v>2</v>
      </c>
      <c r="HN291" s="715" t="s">
        <v>4</v>
      </c>
      <c r="HO291" s="715" t="s">
        <v>36432</v>
      </c>
      <c r="HP291" s="715" t="s">
        <v>36433</v>
      </c>
      <c r="HQ291" s="715" t="s">
        <v>36434</v>
      </c>
      <c r="HR291" s="715" t="s">
        <v>36435</v>
      </c>
      <c r="HS291" s="715" t="s">
        <v>36436</v>
      </c>
      <c r="HT291" s="715" t="s">
        <v>36437</v>
      </c>
    </row>
    <row r="292" spans="2:228" ht="66" x14ac:dyDescent="0.25">
      <c r="B292" s="756">
        <v>268</v>
      </c>
      <c r="C292" s="715" t="s">
        <v>7186</v>
      </c>
      <c r="D292" s="715" t="s">
        <v>36349</v>
      </c>
      <c r="E292" s="715" t="s">
        <v>52</v>
      </c>
      <c r="F292" s="715" t="s">
        <v>7</v>
      </c>
      <c r="G292" s="715" t="s">
        <v>36350</v>
      </c>
      <c r="H292" s="715">
        <v>1177.6129149999999</v>
      </c>
      <c r="I292" s="715">
        <v>4.7302499999999998</v>
      </c>
      <c r="J292" s="715" t="s">
        <v>29319</v>
      </c>
      <c r="K292" s="715" t="s">
        <v>4</v>
      </c>
      <c r="L292" s="715" t="s">
        <v>36351</v>
      </c>
      <c r="M292" s="715">
        <v>781869354</v>
      </c>
      <c r="N292" s="715" t="s">
        <v>5</v>
      </c>
      <c r="O292" s="715" t="s">
        <v>31598</v>
      </c>
      <c r="P292" s="715" t="s">
        <v>4</v>
      </c>
      <c r="Q292" s="715">
        <v>4</v>
      </c>
      <c r="R292" s="715" t="s">
        <v>7</v>
      </c>
      <c r="S292" s="715" t="s">
        <v>31588</v>
      </c>
      <c r="T292" s="715" t="s">
        <v>4</v>
      </c>
      <c r="U292" s="715" t="s">
        <v>7</v>
      </c>
      <c r="V292" s="715" t="s">
        <v>7</v>
      </c>
      <c r="W292" s="715" t="s">
        <v>4</v>
      </c>
      <c r="X292" s="715" t="s">
        <v>7</v>
      </c>
      <c r="Y292" s="715" t="s">
        <v>4</v>
      </c>
      <c r="Z292" s="715" t="s">
        <v>4</v>
      </c>
      <c r="AA292" s="717" t="str">
        <f>IF(OR(U292="yes",Z292&gt;'SDG outcome'!$C$39),"yes","no")</f>
        <v>yes</v>
      </c>
      <c r="AB292" s="718" t="str">
        <f t="shared" si="12"/>
        <v>NA</v>
      </c>
      <c r="AC292" s="719" t="str">
        <f>IF(AND('SMS p2'!AA292="no",AND(Z292&gt;='SDG outcome'!$B$28,Z292&lt;'SDG outcome'!$C$39)),Z292-'SDG outcome'!$B$28,"")</f>
        <v/>
      </c>
      <c r="AD292" s="715" t="s">
        <v>4</v>
      </c>
      <c r="AE292" s="715" t="s">
        <v>4</v>
      </c>
      <c r="AF292" s="715" t="s">
        <v>4</v>
      </c>
      <c r="AG292" s="715" t="s">
        <v>4</v>
      </c>
      <c r="AH292" s="715" t="s">
        <v>4</v>
      </c>
      <c r="AI292" s="715" t="s">
        <v>4</v>
      </c>
      <c r="AJ292" s="715" t="s">
        <v>4</v>
      </c>
      <c r="AK292" s="715" t="s">
        <v>29290</v>
      </c>
      <c r="AL292" s="715" t="s">
        <v>29291</v>
      </c>
      <c r="AM292" s="715" t="s">
        <v>4</v>
      </c>
      <c r="AN292" s="715" t="s">
        <v>4</v>
      </c>
      <c r="AO292" s="715" t="s">
        <v>31718</v>
      </c>
      <c r="AP292" s="715" t="s">
        <v>4</v>
      </c>
      <c r="AQ292" s="715" t="s">
        <v>31600</v>
      </c>
      <c r="AR292" s="715" t="s">
        <v>4</v>
      </c>
      <c r="AS292" s="715" t="s">
        <v>31538</v>
      </c>
      <c r="AT292" s="715" t="s">
        <v>4</v>
      </c>
      <c r="AU292" s="715" t="s">
        <v>2</v>
      </c>
      <c r="AV292" s="715" t="s">
        <v>31581</v>
      </c>
      <c r="AW292" s="715" t="s">
        <v>4</v>
      </c>
      <c r="AX292" s="715" t="s">
        <v>2</v>
      </c>
      <c r="AY292" s="715" t="s">
        <v>4</v>
      </c>
      <c r="AZ292" s="715" t="s">
        <v>4</v>
      </c>
      <c r="BA292" s="715" t="s">
        <v>4</v>
      </c>
      <c r="BB292" s="715" t="s">
        <v>4</v>
      </c>
      <c r="BC292" s="715" t="s">
        <v>4</v>
      </c>
      <c r="BD292" s="715" t="s">
        <v>4</v>
      </c>
      <c r="BE292" s="715" t="s">
        <v>4</v>
      </c>
      <c r="BF292" s="715" t="s">
        <v>4</v>
      </c>
      <c r="BG292" s="715" t="s">
        <v>4</v>
      </c>
      <c r="BH292" s="715" t="s">
        <v>4</v>
      </c>
      <c r="BI292" s="715" t="s">
        <v>4</v>
      </c>
      <c r="BJ292" s="715" t="s">
        <v>4</v>
      </c>
      <c r="BK292" s="715" t="s">
        <v>7</v>
      </c>
      <c r="BL292" s="715" t="s">
        <v>11</v>
      </c>
      <c r="BM292" s="715" t="s">
        <v>4</v>
      </c>
      <c r="BN292" s="715" t="s">
        <v>31425</v>
      </c>
      <c r="BO292" s="715">
        <v>1</v>
      </c>
      <c r="BP292" s="715">
        <v>20</v>
      </c>
      <c r="BQ292" s="715" t="s">
        <v>31426</v>
      </c>
      <c r="BR292" s="720" t="s">
        <v>33332</v>
      </c>
      <c r="BS292" s="715" t="s">
        <v>4</v>
      </c>
      <c r="BT292" s="715">
        <v>3</v>
      </c>
      <c r="BU292" s="713"/>
      <c r="BV292" s="509"/>
      <c r="BW292" s="714"/>
      <c r="BX292" s="715" t="s">
        <v>31552</v>
      </c>
      <c r="BY292" s="715" t="s">
        <v>4</v>
      </c>
      <c r="BZ292" s="715" t="s">
        <v>2</v>
      </c>
      <c r="CA292" s="715" t="s">
        <v>4</v>
      </c>
      <c r="CB292" s="715" t="s">
        <v>4</v>
      </c>
      <c r="CC292" s="715" t="s">
        <v>4</v>
      </c>
      <c r="CD292" s="715" t="s">
        <v>7</v>
      </c>
      <c r="CE292" s="715" t="s">
        <v>33468</v>
      </c>
      <c r="CF292" s="715" t="s">
        <v>4</v>
      </c>
      <c r="CG292" s="715" t="s">
        <v>31554</v>
      </c>
      <c r="CH292" s="715">
        <v>11</v>
      </c>
      <c r="CI292" s="715" t="s">
        <v>4</v>
      </c>
      <c r="CJ292" s="715">
        <v>4</v>
      </c>
      <c r="CK292" s="715" t="s">
        <v>4</v>
      </c>
      <c r="CL292" s="715">
        <v>2</v>
      </c>
      <c r="CM292" s="715">
        <v>5</v>
      </c>
      <c r="CN292" s="715" t="s">
        <v>4</v>
      </c>
      <c r="CO292" s="715" t="s">
        <v>4</v>
      </c>
      <c r="CP292" s="715" t="s">
        <v>4</v>
      </c>
      <c r="CQ292" s="715" t="s">
        <v>4</v>
      </c>
      <c r="CR292" s="715">
        <v>50</v>
      </c>
      <c r="CS292" s="715">
        <v>50</v>
      </c>
      <c r="CT292" s="715" t="s">
        <v>33471</v>
      </c>
      <c r="CU292" s="715" t="s">
        <v>4</v>
      </c>
      <c r="CV292" s="715" t="s">
        <v>4</v>
      </c>
      <c r="CW292" s="715" t="s">
        <v>4</v>
      </c>
      <c r="CX292" s="715" t="s">
        <v>4</v>
      </c>
      <c r="CY292" s="715" t="s">
        <v>4</v>
      </c>
      <c r="CZ292" s="715" t="s">
        <v>4</v>
      </c>
      <c r="DA292" s="715">
        <v>0</v>
      </c>
      <c r="DB292" s="715">
        <v>100</v>
      </c>
      <c r="DC292" s="715" t="s">
        <v>36438</v>
      </c>
      <c r="DD292" s="715">
        <v>0</v>
      </c>
      <c r="DE292" s="715">
        <v>100</v>
      </c>
      <c r="DF292" s="715" t="s">
        <v>31644</v>
      </c>
      <c r="DG292" s="715" t="s">
        <v>4</v>
      </c>
      <c r="DH292" s="715" t="s">
        <v>4</v>
      </c>
      <c r="DI292" s="715" t="s">
        <v>4</v>
      </c>
      <c r="DJ292" s="715">
        <v>0</v>
      </c>
      <c r="DK292" s="715">
        <v>100</v>
      </c>
      <c r="DL292" s="715" t="s">
        <v>36439</v>
      </c>
      <c r="DM292" s="715">
        <v>1</v>
      </c>
      <c r="DN292" s="715" t="s">
        <v>7</v>
      </c>
      <c r="DO292" s="715" t="s">
        <v>29292</v>
      </c>
      <c r="DP292" s="715" t="s">
        <v>4</v>
      </c>
      <c r="DQ292" s="715" t="s">
        <v>29293</v>
      </c>
      <c r="DR292" s="721">
        <v>2600</v>
      </c>
      <c r="DS292" s="715" t="s">
        <v>29294</v>
      </c>
      <c r="DT292" s="721" t="s">
        <v>4</v>
      </c>
      <c r="DU292" s="715" t="s">
        <v>30537</v>
      </c>
      <c r="DV292" s="721" t="s">
        <v>4</v>
      </c>
      <c r="DW292" s="721" t="s">
        <v>4</v>
      </c>
      <c r="DX292" s="721" t="s">
        <v>4</v>
      </c>
      <c r="DY292" s="721" t="s">
        <v>4</v>
      </c>
      <c r="DZ292" s="721" t="s">
        <v>4</v>
      </c>
      <c r="EA292" s="721" t="s">
        <v>4</v>
      </c>
      <c r="EB292" s="721" t="s">
        <v>4</v>
      </c>
      <c r="EC292" s="721" t="s">
        <v>4</v>
      </c>
      <c r="ED292" s="721" t="s">
        <v>4</v>
      </c>
      <c r="EE292" s="721" t="s">
        <v>4</v>
      </c>
      <c r="EF292" s="721" t="s">
        <v>4</v>
      </c>
      <c r="EG292" s="721" t="s">
        <v>4</v>
      </c>
      <c r="EH292" s="721" t="s">
        <v>4</v>
      </c>
      <c r="EI292" s="721" t="s">
        <v>4</v>
      </c>
      <c r="EJ292" s="721" t="s">
        <v>4</v>
      </c>
      <c r="EK292" s="721" t="s">
        <v>4</v>
      </c>
      <c r="EL292" s="721" t="s">
        <v>4</v>
      </c>
      <c r="EM292" s="715">
        <v>100</v>
      </c>
      <c r="EN292" s="721" t="s">
        <v>4</v>
      </c>
      <c r="EO292" s="721" t="s">
        <v>4</v>
      </c>
      <c r="EP292" s="721" t="s">
        <v>4</v>
      </c>
      <c r="EQ292" s="721" t="s">
        <v>4</v>
      </c>
      <c r="ER292" s="721" t="s">
        <v>4</v>
      </c>
      <c r="ES292" s="721" t="s">
        <v>4</v>
      </c>
      <c r="ET292" s="721" t="s">
        <v>4</v>
      </c>
      <c r="EU292" s="721" t="s">
        <v>4</v>
      </c>
      <c r="EW292" s="715">
        <v>0.80800000000000005</v>
      </c>
      <c r="EX292" s="715" t="s">
        <v>33837</v>
      </c>
      <c r="EY292" s="721">
        <v>0</v>
      </c>
      <c r="EZ292" s="746">
        <f t="shared" si="10"/>
        <v>0</v>
      </c>
      <c r="FA292" s="721" t="s">
        <v>4</v>
      </c>
      <c r="FB292" s="721" t="s">
        <v>4</v>
      </c>
      <c r="FC292" s="721" t="s">
        <v>4</v>
      </c>
      <c r="FD292" s="715" t="s">
        <v>4</v>
      </c>
      <c r="FE292" s="715" t="s">
        <v>4</v>
      </c>
      <c r="FF292" s="715" t="s">
        <v>4</v>
      </c>
      <c r="FG292" s="715" t="s">
        <v>4</v>
      </c>
      <c r="FH292" s="715" t="s">
        <v>4</v>
      </c>
      <c r="FI292" s="715" t="s">
        <v>4</v>
      </c>
      <c r="FJ292" s="715" t="s">
        <v>4</v>
      </c>
      <c r="FK292" s="715" t="s">
        <v>4</v>
      </c>
      <c r="FL292" s="715" t="s">
        <v>4</v>
      </c>
      <c r="FM292" s="715" t="s">
        <v>4</v>
      </c>
      <c r="FN292" s="721" t="s">
        <v>4</v>
      </c>
      <c r="FO292" s="715" t="s">
        <v>4</v>
      </c>
      <c r="FP292" s="715" t="s">
        <v>2</v>
      </c>
      <c r="FQ292" s="715" t="s">
        <v>4</v>
      </c>
      <c r="FR292" s="715" t="s">
        <v>4</v>
      </c>
      <c r="FS292" s="715" t="s">
        <v>2</v>
      </c>
      <c r="FT292" s="715" t="s">
        <v>2</v>
      </c>
      <c r="FU292" s="715" t="s">
        <v>4</v>
      </c>
      <c r="FV292" s="715" t="s">
        <v>4</v>
      </c>
      <c r="FW292" s="715" t="s">
        <v>4</v>
      </c>
      <c r="FX292" s="715" t="s">
        <v>4</v>
      </c>
      <c r="FY292" s="715" t="s">
        <v>4</v>
      </c>
      <c r="FZ292" s="715" t="s">
        <v>4</v>
      </c>
      <c r="GA292" s="715" t="s">
        <v>4</v>
      </c>
      <c r="GB292" s="715" t="s">
        <v>4</v>
      </c>
      <c r="GC292" s="715" t="s">
        <v>4</v>
      </c>
      <c r="GD292" s="715" t="s">
        <v>4</v>
      </c>
      <c r="GE292" s="715" t="s">
        <v>4</v>
      </c>
      <c r="GF292" s="715" t="s">
        <v>4</v>
      </c>
      <c r="GG292" s="715" t="s">
        <v>4</v>
      </c>
      <c r="GH292" s="715" t="s">
        <v>4</v>
      </c>
      <c r="GI292" s="715" t="s">
        <v>29304</v>
      </c>
      <c r="GJ292" s="715" t="s">
        <v>29529</v>
      </c>
      <c r="GK292" s="715" t="s">
        <v>4</v>
      </c>
      <c r="GL292" s="715" t="s">
        <v>4</v>
      </c>
      <c r="GM292" s="715" t="s">
        <v>4</v>
      </c>
      <c r="GN292" s="715" t="s">
        <v>4</v>
      </c>
      <c r="GO292" s="715" t="s">
        <v>29451</v>
      </c>
      <c r="GP292" s="715" t="s">
        <v>4</v>
      </c>
      <c r="GQ292" s="715" t="s">
        <v>4</v>
      </c>
      <c r="GR292" s="715" t="s">
        <v>13</v>
      </c>
      <c r="GS292" s="715" t="s">
        <v>4</v>
      </c>
      <c r="GT292" s="715" t="s">
        <v>29410</v>
      </c>
      <c r="GU292" s="715" t="s">
        <v>4</v>
      </c>
      <c r="GV292" s="721">
        <v>20</v>
      </c>
      <c r="GW292" s="715" t="s">
        <v>7</v>
      </c>
      <c r="GX292" s="715" t="s">
        <v>29309</v>
      </c>
      <c r="GY292" s="715" t="s">
        <v>4</v>
      </c>
      <c r="GZ292" s="715" t="s">
        <v>4</v>
      </c>
      <c r="HA292" s="715" t="s">
        <v>4</v>
      </c>
      <c r="HB292" s="715" t="s">
        <v>4</v>
      </c>
      <c r="HC292" s="715" t="s">
        <v>4</v>
      </c>
      <c r="HD292" s="715" t="s">
        <v>4</v>
      </c>
      <c r="HE292" s="715" t="s">
        <v>4</v>
      </c>
      <c r="HF292" s="715" t="s">
        <v>4</v>
      </c>
      <c r="HG292" s="715" t="s">
        <v>2</v>
      </c>
      <c r="HH292" s="715" t="s">
        <v>4</v>
      </c>
      <c r="HI292" s="715" t="s">
        <v>4</v>
      </c>
      <c r="HJ292" s="715" t="s">
        <v>4</v>
      </c>
      <c r="HK292" s="721" t="s">
        <v>4</v>
      </c>
      <c r="HL292" s="715" t="s">
        <v>36440</v>
      </c>
      <c r="HM292" s="715" t="s">
        <v>7</v>
      </c>
      <c r="HN292" s="715" t="s">
        <v>36441</v>
      </c>
      <c r="HO292" s="715" t="s">
        <v>36442</v>
      </c>
      <c r="HP292" s="715" t="s">
        <v>36443</v>
      </c>
      <c r="HQ292" s="715" t="s">
        <v>36444</v>
      </c>
      <c r="HR292" s="715" t="s">
        <v>36445</v>
      </c>
      <c r="HS292" s="715" t="s">
        <v>36446</v>
      </c>
      <c r="HT292" s="715" t="s">
        <v>36447</v>
      </c>
    </row>
    <row r="293" spans="2:228" ht="66" x14ac:dyDescent="0.25">
      <c r="B293" s="756">
        <v>269</v>
      </c>
      <c r="C293" s="715" t="s">
        <v>32118</v>
      </c>
      <c r="D293" s="715" t="s">
        <v>36352</v>
      </c>
      <c r="E293" s="715" t="s">
        <v>52</v>
      </c>
      <c r="F293" s="715" t="s">
        <v>7</v>
      </c>
      <c r="G293" s="715" t="s">
        <v>36353</v>
      </c>
      <c r="H293" s="715">
        <v>1191.397461</v>
      </c>
      <c r="I293" s="715">
        <v>4.1405440000000002</v>
      </c>
      <c r="J293" s="715" t="s">
        <v>29389</v>
      </c>
      <c r="K293" s="715" t="s">
        <v>33816</v>
      </c>
      <c r="L293" s="715" t="s">
        <v>36354</v>
      </c>
      <c r="M293" s="715">
        <v>772700108</v>
      </c>
      <c r="N293" s="715" t="s">
        <v>5</v>
      </c>
      <c r="O293" s="715" t="s">
        <v>31598</v>
      </c>
      <c r="P293" s="715" t="s">
        <v>4</v>
      </c>
      <c r="Q293" s="715">
        <v>50</v>
      </c>
      <c r="R293" s="715" t="s">
        <v>7</v>
      </c>
      <c r="S293" s="715" t="s">
        <v>31549</v>
      </c>
      <c r="T293" s="715" t="s">
        <v>4</v>
      </c>
      <c r="U293" s="715" t="s">
        <v>7</v>
      </c>
      <c r="V293" s="715" t="s">
        <v>7</v>
      </c>
      <c r="W293" s="715" t="s">
        <v>4</v>
      </c>
      <c r="X293" s="715" t="s">
        <v>7</v>
      </c>
      <c r="Y293" s="715" t="s">
        <v>4</v>
      </c>
      <c r="Z293" s="715" t="s">
        <v>4</v>
      </c>
      <c r="AA293" s="717" t="str">
        <f>IF(OR(U293="yes",Z293&gt;'SDG outcome'!$C$39),"yes","no")</f>
        <v>yes</v>
      </c>
      <c r="AB293" s="718" t="str">
        <f t="shared" si="12"/>
        <v>NA</v>
      </c>
      <c r="AC293" s="719" t="str">
        <f>IF(AND('SMS p2'!AA293="no",AND(Z293&gt;='SDG outcome'!$B$28,Z293&lt;'SDG outcome'!$C$39)),Z293-'SDG outcome'!$B$28,"")</f>
        <v/>
      </c>
      <c r="AD293" s="715" t="s">
        <v>4</v>
      </c>
      <c r="AE293" s="715" t="s">
        <v>4</v>
      </c>
      <c r="AF293" s="715" t="s">
        <v>4</v>
      </c>
      <c r="AG293" s="715" t="s">
        <v>4</v>
      </c>
      <c r="AH293" s="715" t="s">
        <v>4</v>
      </c>
      <c r="AI293" s="715" t="s">
        <v>4</v>
      </c>
      <c r="AJ293" s="715" t="s">
        <v>4</v>
      </c>
      <c r="AK293" s="715" t="s">
        <v>36366</v>
      </c>
      <c r="AL293" s="715" t="s">
        <v>29291</v>
      </c>
      <c r="AM293" s="715" t="s">
        <v>29490</v>
      </c>
      <c r="AN293" s="715" t="s">
        <v>4</v>
      </c>
      <c r="AO293" s="715" t="s">
        <v>31605</v>
      </c>
      <c r="AP293" s="715" t="s">
        <v>4</v>
      </c>
      <c r="AQ293" s="715" t="s">
        <v>31743</v>
      </c>
      <c r="AR293" s="715" t="s">
        <v>4</v>
      </c>
      <c r="AS293" s="715" t="s">
        <v>31538</v>
      </c>
      <c r="AT293" s="715" t="s">
        <v>4</v>
      </c>
      <c r="AU293" s="715" t="s">
        <v>7</v>
      </c>
      <c r="AV293" s="715" t="s">
        <v>4</v>
      </c>
      <c r="AW293" s="715" t="s">
        <v>4</v>
      </c>
      <c r="AX293" s="715" t="s">
        <v>7</v>
      </c>
      <c r="AY293" s="715" t="s">
        <v>11</v>
      </c>
      <c r="AZ293" s="715" t="s">
        <v>4</v>
      </c>
      <c r="BA293" s="715" t="s">
        <v>31619</v>
      </c>
      <c r="BB293" s="715" t="s">
        <v>13</v>
      </c>
      <c r="BC293" s="715" t="s">
        <v>4</v>
      </c>
      <c r="BD293" s="715" t="s">
        <v>31564</v>
      </c>
      <c r="BE293" s="715" t="s">
        <v>4</v>
      </c>
      <c r="BF293" s="715" t="s">
        <v>31542</v>
      </c>
      <c r="BG293" s="715" t="s">
        <v>36372</v>
      </c>
      <c r="BH293" s="715" t="s">
        <v>31566</v>
      </c>
      <c r="BI293" s="715">
        <v>1</v>
      </c>
      <c r="BJ293" s="715">
        <v>0</v>
      </c>
      <c r="BK293" s="715" t="s">
        <v>7</v>
      </c>
      <c r="BL293" s="715" t="s">
        <v>6</v>
      </c>
      <c r="BM293" s="715" t="s">
        <v>4</v>
      </c>
      <c r="BN293" s="715" t="s">
        <v>31429</v>
      </c>
      <c r="BO293" s="715">
        <v>3</v>
      </c>
      <c r="BP293" s="715">
        <v>60</v>
      </c>
      <c r="BQ293" s="715" t="s">
        <v>31435</v>
      </c>
      <c r="BR293" s="720" t="s">
        <v>33332</v>
      </c>
      <c r="BS293" s="715" t="s">
        <v>4</v>
      </c>
      <c r="BT293" s="715">
        <v>2</v>
      </c>
      <c r="BU293" s="713"/>
      <c r="BV293" s="509"/>
      <c r="BW293" s="714"/>
      <c r="BX293" s="715" t="s">
        <v>22</v>
      </c>
      <c r="BY293" s="715" t="s">
        <v>4</v>
      </c>
      <c r="BZ293" s="715" t="s">
        <v>2</v>
      </c>
      <c r="CA293" s="715" t="s">
        <v>4</v>
      </c>
      <c r="CB293" s="715" t="s">
        <v>4</v>
      </c>
      <c r="CC293" s="715" t="s">
        <v>4</v>
      </c>
      <c r="CD293" s="715" t="s">
        <v>7</v>
      </c>
      <c r="CE293" s="715" t="s">
        <v>36448</v>
      </c>
      <c r="CF293" s="715" t="s">
        <v>4</v>
      </c>
      <c r="CG293" s="715" t="s">
        <v>31698</v>
      </c>
      <c r="CH293" s="715" t="s">
        <v>4</v>
      </c>
      <c r="CI293" s="715" t="s">
        <v>4</v>
      </c>
      <c r="CJ293" s="715" t="s">
        <v>4</v>
      </c>
      <c r="CK293" s="715" t="s">
        <v>4</v>
      </c>
      <c r="CL293" s="715" t="s">
        <v>4</v>
      </c>
      <c r="CM293" s="715" t="s">
        <v>4</v>
      </c>
      <c r="CN293" s="715" t="s">
        <v>4</v>
      </c>
      <c r="CO293" s="715" t="s">
        <v>4</v>
      </c>
      <c r="CP293" s="715" t="s">
        <v>4</v>
      </c>
      <c r="CQ293" s="715" t="s">
        <v>4</v>
      </c>
      <c r="CR293" s="715" t="s">
        <v>4</v>
      </c>
      <c r="CS293" s="715" t="s">
        <v>4</v>
      </c>
      <c r="CT293" s="715" t="s">
        <v>4</v>
      </c>
      <c r="CU293" s="715" t="s">
        <v>4</v>
      </c>
      <c r="CV293" s="715" t="s">
        <v>4</v>
      </c>
      <c r="CW293" s="715" t="s">
        <v>4</v>
      </c>
      <c r="CX293" s="715" t="s">
        <v>4</v>
      </c>
      <c r="CY293" s="715" t="s">
        <v>4</v>
      </c>
      <c r="CZ293" s="715" t="s">
        <v>4</v>
      </c>
      <c r="DA293" s="715" t="s">
        <v>4</v>
      </c>
      <c r="DB293" s="715" t="s">
        <v>4</v>
      </c>
      <c r="DC293" s="715" t="s">
        <v>4</v>
      </c>
      <c r="DD293" s="715" t="s">
        <v>4</v>
      </c>
      <c r="DE293" s="715" t="s">
        <v>4</v>
      </c>
      <c r="DF293" s="715" t="s">
        <v>4</v>
      </c>
      <c r="DG293" s="715" t="s">
        <v>4</v>
      </c>
      <c r="DH293" s="715" t="s">
        <v>4</v>
      </c>
      <c r="DI293" s="715" t="s">
        <v>4</v>
      </c>
      <c r="DJ293" s="715" t="s">
        <v>4</v>
      </c>
      <c r="DK293" s="715" t="s">
        <v>4</v>
      </c>
      <c r="DL293" s="715" t="s">
        <v>4</v>
      </c>
      <c r="DM293" s="715">
        <v>4</v>
      </c>
      <c r="DN293" s="715" t="s">
        <v>2</v>
      </c>
      <c r="DO293" s="715" t="s">
        <v>29292</v>
      </c>
      <c r="DP293" s="715" t="s">
        <v>4</v>
      </c>
      <c r="DQ293" s="715" t="s">
        <v>29293</v>
      </c>
      <c r="DR293" s="721">
        <v>10000</v>
      </c>
      <c r="DS293" s="715" t="s">
        <v>29294</v>
      </c>
      <c r="DT293" s="721" t="s">
        <v>4</v>
      </c>
      <c r="DU293" s="715" t="s">
        <v>30537</v>
      </c>
      <c r="DV293" s="721" t="s">
        <v>4</v>
      </c>
      <c r="DW293" s="721" t="s">
        <v>4</v>
      </c>
      <c r="DX293" s="721" t="s">
        <v>4</v>
      </c>
      <c r="DY293" s="721" t="s">
        <v>4</v>
      </c>
      <c r="DZ293" s="721" t="s">
        <v>4</v>
      </c>
      <c r="EA293" s="721" t="s">
        <v>4</v>
      </c>
      <c r="EB293" s="721" t="s">
        <v>4</v>
      </c>
      <c r="EC293" s="721" t="s">
        <v>4</v>
      </c>
      <c r="ED293" s="721" t="s">
        <v>4</v>
      </c>
      <c r="EE293" s="721" t="s">
        <v>4</v>
      </c>
      <c r="EF293" s="721" t="s">
        <v>4</v>
      </c>
      <c r="EG293" s="721" t="s">
        <v>4</v>
      </c>
      <c r="EH293" s="721" t="s">
        <v>4</v>
      </c>
      <c r="EI293" s="721" t="s">
        <v>4</v>
      </c>
      <c r="EJ293" s="721" t="s">
        <v>4</v>
      </c>
      <c r="EK293" s="721" t="s">
        <v>4</v>
      </c>
      <c r="EL293" s="721" t="s">
        <v>4</v>
      </c>
      <c r="EM293" s="715">
        <v>100</v>
      </c>
      <c r="EN293" s="721" t="s">
        <v>4</v>
      </c>
      <c r="EO293" s="721" t="s">
        <v>4</v>
      </c>
      <c r="EP293" s="721" t="s">
        <v>4</v>
      </c>
      <c r="EQ293" s="721" t="s">
        <v>4</v>
      </c>
      <c r="ER293" s="721" t="s">
        <v>4</v>
      </c>
      <c r="ES293" s="721" t="s">
        <v>4</v>
      </c>
      <c r="ET293" s="721" t="s">
        <v>4</v>
      </c>
      <c r="EU293" s="721" t="s">
        <v>4</v>
      </c>
      <c r="EW293" s="715">
        <v>4.04</v>
      </c>
      <c r="EX293" s="715" t="s">
        <v>33636</v>
      </c>
      <c r="EY293" s="721">
        <v>0</v>
      </c>
      <c r="EZ293" s="746">
        <f t="shared" si="10"/>
        <v>0</v>
      </c>
      <c r="FA293" s="721" t="s">
        <v>4</v>
      </c>
      <c r="FB293" s="721" t="s">
        <v>4</v>
      </c>
      <c r="FC293" s="721" t="s">
        <v>4</v>
      </c>
      <c r="FD293" s="715" t="s">
        <v>4</v>
      </c>
      <c r="FE293" s="715" t="s">
        <v>4</v>
      </c>
      <c r="FF293" s="715" t="s">
        <v>4</v>
      </c>
      <c r="FG293" s="715" t="s">
        <v>4</v>
      </c>
      <c r="FH293" s="715" t="s">
        <v>4</v>
      </c>
      <c r="FI293" s="715" t="s">
        <v>4</v>
      </c>
      <c r="FJ293" s="715" t="s">
        <v>4</v>
      </c>
      <c r="FK293" s="715" t="s">
        <v>4</v>
      </c>
      <c r="FL293" s="715" t="s">
        <v>4</v>
      </c>
      <c r="FM293" s="715" t="s">
        <v>4</v>
      </c>
      <c r="FN293" s="721" t="s">
        <v>4</v>
      </c>
      <c r="FO293" s="715" t="s">
        <v>4</v>
      </c>
      <c r="FP293" s="715" t="s">
        <v>2</v>
      </c>
      <c r="FQ293" s="715" t="s">
        <v>4</v>
      </c>
      <c r="FR293" s="715" t="s">
        <v>4</v>
      </c>
      <c r="FS293" s="715" t="s">
        <v>2</v>
      </c>
      <c r="FT293" s="715" t="s">
        <v>2</v>
      </c>
      <c r="FU293" s="715" t="s">
        <v>4</v>
      </c>
      <c r="FV293" s="715" t="s">
        <v>4</v>
      </c>
      <c r="FW293" s="715" t="s">
        <v>4</v>
      </c>
      <c r="FX293" s="715" t="s">
        <v>4</v>
      </c>
      <c r="FY293" s="715" t="s">
        <v>4</v>
      </c>
      <c r="FZ293" s="715" t="s">
        <v>4</v>
      </c>
      <c r="GA293" s="715" t="s">
        <v>4</v>
      </c>
      <c r="GB293" s="715" t="s">
        <v>4</v>
      </c>
      <c r="GC293" s="715" t="s">
        <v>4</v>
      </c>
      <c r="GD293" s="715" t="s">
        <v>4</v>
      </c>
      <c r="GE293" s="715" t="s">
        <v>4</v>
      </c>
      <c r="GF293" s="715" t="s">
        <v>4</v>
      </c>
      <c r="GG293" s="715" t="s">
        <v>4</v>
      </c>
      <c r="GH293" s="715" t="s">
        <v>4</v>
      </c>
      <c r="GI293" s="715" t="s">
        <v>29304</v>
      </c>
      <c r="GJ293" s="715" t="s">
        <v>29940</v>
      </c>
      <c r="GK293" s="715" t="s">
        <v>4</v>
      </c>
      <c r="GL293" s="715" t="s">
        <v>35783</v>
      </c>
      <c r="GM293" s="715" t="s">
        <v>4</v>
      </c>
      <c r="GN293" s="715" t="s">
        <v>4</v>
      </c>
      <c r="GO293" s="715" t="s">
        <v>4</v>
      </c>
      <c r="GP293" s="715" t="s">
        <v>4</v>
      </c>
      <c r="GQ293" s="715" t="s">
        <v>4</v>
      </c>
      <c r="GR293" s="715" t="s">
        <v>13</v>
      </c>
      <c r="GS293" s="715" t="s">
        <v>4</v>
      </c>
      <c r="GT293" s="715" t="s">
        <v>29354</v>
      </c>
      <c r="GU293" s="715" t="s">
        <v>4</v>
      </c>
      <c r="GV293" s="721">
        <v>30</v>
      </c>
      <c r="GW293" s="715" t="s">
        <v>7</v>
      </c>
      <c r="GX293" s="715" t="s">
        <v>29837</v>
      </c>
      <c r="GY293" s="715" t="s">
        <v>4</v>
      </c>
      <c r="GZ293" s="715" t="s">
        <v>4</v>
      </c>
      <c r="HA293" s="715" t="s">
        <v>4</v>
      </c>
      <c r="HB293" s="715" t="s">
        <v>4</v>
      </c>
      <c r="HC293" s="715" t="s">
        <v>4</v>
      </c>
      <c r="HD293" s="715" t="s">
        <v>4</v>
      </c>
      <c r="HE293" s="715" t="s">
        <v>4</v>
      </c>
      <c r="HF293" s="715" t="s">
        <v>4</v>
      </c>
      <c r="HG293" s="715" t="s">
        <v>2</v>
      </c>
      <c r="HH293" s="715" t="s">
        <v>4</v>
      </c>
      <c r="HI293" s="715" t="s">
        <v>4</v>
      </c>
      <c r="HJ293" s="715" t="s">
        <v>4</v>
      </c>
      <c r="HK293" s="721" t="s">
        <v>4</v>
      </c>
      <c r="HL293" s="715" t="s">
        <v>36449</v>
      </c>
      <c r="HM293" s="715" t="s">
        <v>2</v>
      </c>
      <c r="HN293" s="715" t="s">
        <v>4</v>
      </c>
      <c r="HO293" s="715" t="s">
        <v>36450</v>
      </c>
      <c r="HP293" s="715" t="s">
        <v>36451</v>
      </c>
      <c r="HQ293" s="715" t="s">
        <v>4</v>
      </c>
      <c r="HR293" s="715" t="s">
        <v>36452</v>
      </c>
      <c r="HS293" s="715" t="s">
        <v>36453</v>
      </c>
      <c r="HT293" s="715" t="s">
        <v>36454</v>
      </c>
    </row>
    <row r="294" spans="2:228" ht="66" x14ac:dyDescent="0.25">
      <c r="B294" s="756">
        <v>270</v>
      </c>
      <c r="C294" s="715" t="s">
        <v>4520</v>
      </c>
      <c r="D294" s="715" t="s">
        <v>36355</v>
      </c>
      <c r="E294" s="715" t="s">
        <v>30638</v>
      </c>
      <c r="F294" s="715" t="s">
        <v>7</v>
      </c>
      <c r="G294" s="715" t="s">
        <v>36356</v>
      </c>
      <c r="H294" s="715">
        <v>1166.6907960000001</v>
      </c>
      <c r="I294" s="715">
        <v>4.2880000000000003</v>
      </c>
      <c r="J294" s="715" t="s">
        <v>29288</v>
      </c>
      <c r="K294" s="715" t="s">
        <v>4</v>
      </c>
      <c r="L294" s="715" t="s">
        <v>4521</v>
      </c>
      <c r="M294" s="715">
        <v>777238993</v>
      </c>
      <c r="N294" s="715" t="s">
        <v>3</v>
      </c>
      <c r="O294" s="715" t="s">
        <v>31438</v>
      </c>
      <c r="P294" s="715">
        <v>65</v>
      </c>
      <c r="Q294" s="715">
        <v>7</v>
      </c>
      <c r="R294" s="715" t="s">
        <v>7</v>
      </c>
      <c r="S294" s="715" t="s">
        <v>31535</v>
      </c>
      <c r="T294" s="715" t="s">
        <v>4</v>
      </c>
      <c r="U294" s="715" t="s">
        <v>2</v>
      </c>
      <c r="V294" s="715" t="s">
        <v>4</v>
      </c>
      <c r="W294" s="715" t="s">
        <v>4</v>
      </c>
      <c r="X294" s="715" t="s">
        <v>4</v>
      </c>
      <c r="Y294" s="715" t="s">
        <v>4</v>
      </c>
      <c r="Z294" s="716">
        <v>44586</v>
      </c>
      <c r="AA294" s="717" t="str">
        <f>IF(OR(U294="yes",Z294&gt;'SDG outcome'!$C$39),"yes","no")</f>
        <v>no</v>
      </c>
      <c r="AB294" s="718" t="str">
        <f t="shared" si="12"/>
        <v/>
      </c>
      <c r="AC294" s="719" t="str">
        <f>IF(AND('SMS p2'!AA294="no",AND(Z294&gt;='SDG outcome'!$B$28,Z294&lt;'SDG outcome'!$C$39)),Z294-'SDG outcome'!$B$28,"")</f>
        <v/>
      </c>
      <c r="AD294" s="715" t="s">
        <v>31572</v>
      </c>
      <c r="AE294" s="715" t="s">
        <v>4</v>
      </c>
      <c r="AF294" s="715" t="s">
        <v>2</v>
      </c>
      <c r="AG294" s="715" t="s">
        <v>4</v>
      </c>
      <c r="AH294" s="715" t="s">
        <v>36367</v>
      </c>
      <c r="AI294" s="715" t="s">
        <v>7</v>
      </c>
      <c r="AJ294" s="715" t="s">
        <v>33539</v>
      </c>
      <c r="AK294" s="715" t="s">
        <v>4</v>
      </c>
      <c r="AL294" s="715" t="s">
        <v>4</v>
      </c>
      <c r="AM294" s="715" t="s">
        <v>4</v>
      </c>
      <c r="AN294" s="715" t="s">
        <v>4</v>
      </c>
      <c r="AO294" s="715" t="s">
        <v>4</v>
      </c>
      <c r="AP294" s="715" t="s">
        <v>4</v>
      </c>
      <c r="AQ294" s="715" t="s">
        <v>4</v>
      </c>
      <c r="AR294" s="715" t="s">
        <v>4</v>
      </c>
      <c r="AS294" s="715" t="s">
        <v>4</v>
      </c>
      <c r="AT294" s="715" t="s">
        <v>4</v>
      </c>
      <c r="AU294" s="715" t="s">
        <v>4</v>
      </c>
      <c r="AV294" s="715" t="s">
        <v>4</v>
      </c>
      <c r="AW294" s="715" t="s">
        <v>4</v>
      </c>
      <c r="AX294" s="715" t="s">
        <v>4</v>
      </c>
      <c r="AY294" s="715" t="s">
        <v>4</v>
      </c>
      <c r="AZ294" s="715" t="s">
        <v>4</v>
      </c>
      <c r="BA294" s="715" t="s">
        <v>4</v>
      </c>
      <c r="BB294" s="715" t="s">
        <v>4</v>
      </c>
      <c r="BC294" s="715" t="s">
        <v>4</v>
      </c>
      <c r="BD294" s="715" t="s">
        <v>4</v>
      </c>
      <c r="BE294" s="715" t="s">
        <v>4</v>
      </c>
      <c r="BF294" s="715" t="s">
        <v>4</v>
      </c>
      <c r="BG294" s="715" t="s">
        <v>4</v>
      </c>
      <c r="BH294" s="715" t="s">
        <v>4</v>
      </c>
      <c r="BI294" s="715" t="s">
        <v>4</v>
      </c>
      <c r="BJ294" s="715" t="s">
        <v>4</v>
      </c>
      <c r="BK294" s="715" t="s">
        <v>4</v>
      </c>
      <c r="BL294" s="715" t="s">
        <v>4</v>
      </c>
      <c r="BM294" s="715" t="s">
        <v>4</v>
      </c>
      <c r="BN294" s="715" t="s">
        <v>4</v>
      </c>
      <c r="BO294" s="715" t="s">
        <v>4</v>
      </c>
      <c r="BP294" s="715" t="s">
        <v>4</v>
      </c>
      <c r="BQ294" s="715" t="s">
        <v>4</v>
      </c>
      <c r="BR294" s="720" t="s">
        <v>4</v>
      </c>
      <c r="BS294" s="715" t="s">
        <v>4</v>
      </c>
      <c r="BT294" s="715" t="s">
        <v>4</v>
      </c>
      <c r="BU294" s="713"/>
      <c r="BV294" s="509"/>
      <c r="BW294" s="714"/>
      <c r="BX294" s="715" t="s">
        <v>4</v>
      </c>
      <c r="BY294" s="715" t="s">
        <v>4</v>
      </c>
      <c r="BZ294" s="715" t="s">
        <v>4</v>
      </c>
      <c r="CA294" s="715" t="s">
        <v>4</v>
      </c>
      <c r="CB294" s="715" t="s">
        <v>4</v>
      </c>
      <c r="CC294" s="715" t="s">
        <v>4</v>
      </c>
      <c r="CD294" s="715" t="s">
        <v>4</v>
      </c>
      <c r="CE294" s="715" t="s">
        <v>4</v>
      </c>
      <c r="CF294" s="715" t="s">
        <v>4</v>
      </c>
      <c r="CG294" s="715" t="s">
        <v>4</v>
      </c>
      <c r="CH294" s="715" t="s">
        <v>4</v>
      </c>
      <c r="CI294" s="715" t="s">
        <v>4</v>
      </c>
      <c r="CJ294" s="715" t="s">
        <v>4</v>
      </c>
      <c r="CK294" s="715" t="s">
        <v>4</v>
      </c>
      <c r="CL294" s="715" t="s">
        <v>4</v>
      </c>
      <c r="CM294" s="715" t="s">
        <v>4</v>
      </c>
      <c r="CN294" s="715" t="s">
        <v>4</v>
      </c>
      <c r="CO294" s="715" t="s">
        <v>4</v>
      </c>
      <c r="CP294" s="715" t="s">
        <v>4</v>
      </c>
      <c r="CQ294" s="715" t="s">
        <v>4</v>
      </c>
      <c r="CR294" s="715" t="s">
        <v>4</v>
      </c>
      <c r="CS294" s="715" t="s">
        <v>4</v>
      </c>
      <c r="CT294" s="715" t="s">
        <v>4</v>
      </c>
      <c r="CU294" s="715" t="s">
        <v>4</v>
      </c>
      <c r="CV294" s="715" t="s">
        <v>4</v>
      </c>
      <c r="CW294" s="715" t="s">
        <v>4</v>
      </c>
      <c r="CX294" s="715" t="s">
        <v>4</v>
      </c>
      <c r="CY294" s="715" t="s">
        <v>4</v>
      </c>
      <c r="CZ294" s="715" t="s">
        <v>4</v>
      </c>
      <c r="DA294" s="715" t="s">
        <v>4</v>
      </c>
      <c r="DB294" s="715" t="s">
        <v>4</v>
      </c>
      <c r="DC294" s="715" t="s">
        <v>4</v>
      </c>
      <c r="DD294" s="715" t="s">
        <v>4</v>
      </c>
      <c r="DE294" s="715" t="s">
        <v>4</v>
      </c>
      <c r="DF294" s="715" t="s">
        <v>4</v>
      </c>
      <c r="DG294" s="715" t="s">
        <v>4</v>
      </c>
      <c r="DH294" s="715" t="s">
        <v>4</v>
      </c>
      <c r="DI294" s="715" t="s">
        <v>4</v>
      </c>
      <c r="DJ294" s="715" t="s">
        <v>4</v>
      </c>
      <c r="DK294" s="715" t="s">
        <v>4</v>
      </c>
      <c r="DL294" s="715" t="s">
        <v>4</v>
      </c>
      <c r="DM294" s="715" t="s">
        <v>4</v>
      </c>
      <c r="DN294" s="715" t="s">
        <v>4</v>
      </c>
      <c r="DO294" s="715" t="s">
        <v>4</v>
      </c>
      <c r="DP294" s="715" t="s">
        <v>4</v>
      </c>
      <c r="DQ294" s="715" t="s">
        <v>4</v>
      </c>
      <c r="DR294" s="721" t="s">
        <v>4</v>
      </c>
      <c r="DS294" s="715" t="s">
        <v>4</v>
      </c>
      <c r="DT294" s="721" t="s">
        <v>4</v>
      </c>
      <c r="DU294" s="715" t="s">
        <v>4</v>
      </c>
      <c r="DV294" s="715" t="s">
        <v>4</v>
      </c>
      <c r="DW294" s="715" t="s">
        <v>4</v>
      </c>
      <c r="DX294" s="715" t="s">
        <v>4</v>
      </c>
      <c r="DY294" s="715" t="s">
        <v>4</v>
      </c>
      <c r="DZ294" s="715" t="s">
        <v>4</v>
      </c>
      <c r="EA294" s="715" t="s">
        <v>4</v>
      </c>
      <c r="EB294" s="715" t="s">
        <v>4</v>
      </c>
      <c r="EC294" s="715" t="s">
        <v>4</v>
      </c>
      <c r="ED294" s="715" t="s">
        <v>4</v>
      </c>
      <c r="EE294" s="715" t="s">
        <v>4</v>
      </c>
      <c r="EF294" s="715" t="s">
        <v>4</v>
      </c>
      <c r="EG294" s="715" t="s">
        <v>4</v>
      </c>
      <c r="EH294" s="715" t="s">
        <v>4</v>
      </c>
      <c r="EI294" s="715" t="s">
        <v>4</v>
      </c>
      <c r="EJ294" s="715" t="s">
        <v>4</v>
      </c>
      <c r="EK294" s="715" t="s">
        <v>4</v>
      </c>
      <c r="EL294" s="715" t="s">
        <v>4</v>
      </c>
      <c r="EM294" s="715" t="s">
        <v>4</v>
      </c>
      <c r="EN294" s="715" t="s">
        <v>4</v>
      </c>
      <c r="EO294" s="715" t="s">
        <v>4</v>
      </c>
      <c r="EP294" s="715" t="s">
        <v>4</v>
      </c>
      <c r="EQ294" s="715" t="s">
        <v>4</v>
      </c>
      <c r="ER294" s="715" t="s">
        <v>4</v>
      </c>
      <c r="ES294" s="715" t="s">
        <v>4</v>
      </c>
      <c r="ET294" s="715" t="s">
        <v>4</v>
      </c>
      <c r="EU294" s="715" t="s">
        <v>4</v>
      </c>
      <c r="EW294" s="715" t="s">
        <v>4</v>
      </c>
      <c r="EX294" s="715" t="s">
        <v>4</v>
      </c>
      <c r="EY294" s="715" t="s">
        <v>4</v>
      </c>
      <c r="EZ294" s="746"/>
      <c r="FA294" s="715" t="s">
        <v>4</v>
      </c>
      <c r="FB294" s="715" t="s">
        <v>4</v>
      </c>
      <c r="FC294" s="715" t="s">
        <v>4</v>
      </c>
      <c r="FD294" s="715" t="s">
        <v>4</v>
      </c>
      <c r="FE294" s="715" t="s">
        <v>4</v>
      </c>
      <c r="FF294" s="715" t="s">
        <v>4</v>
      </c>
      <c r="FG294" s="715" t="s">
        <v>4</v>
      </c>
      <c r="FH294" s="715" t="s">
        <v>4</v>
      </c>
      <c r="FI294" s="715" t="s">
        <v>4</v>
      </c>
      <c r="FJ294" s="715" t="s">
        <v>4</v>
      </c>
      <c r="FK294" s="715" t="s">
        <v>4</v>
      </c>
      <c r="FL294" s="715" t="s">
        <v>4</v>
      </c>
      <c r="FM294" s="715" t="s">
        <v>4</v>
      </c>
      <c r="FN294" s="721" t="s">
        <v>4</v>
      </c>
      <c r="FO294" s="715" t="s">
        <v>4</v>
      </c>
      <c r="FP294" s="715" t="s">
        <v>4</v>
      </c>
      <c r="FQ294" s="715" t="s">
        <v>4</v>
      </c>
      <c r="FR294" s="715" t="s">
        <v>4</v>
      </c>
      <c r="FS294" s="715" t="s">
        <v>4</v>
      </c>
      <c r="FT294" s="715" t="s">
        <v>4</v>
      </c>
      <c r="FU294" s="715" t="s">
        <v>4</v>
      </c>
      <c r="FV294" s="715" t="s">
        <v>4</v>
      </c>
      <c r="FW294" s="715" t="s">
        <v>4</v>
      </c>
      <c r="FX294" s="715" t="s">
        <v>4</v>
      </c>
      <c r="FY294" s="715" t="s">
        <v>4</v>
      </c>
      <c r="FZ294" s="715" t="s">
        <v>4</v>
      </c>
      <c r="GA294" s="715" t="s">
        <v>4</v>
      </c>
      <c r="GB294" s="715" t="s">
        <v>4</v>
      </c>
      <c r="GC294" s="715" t="s">
        <v>4</v>
      </c>
      <c r="GD294" s="715" t="s">
        <v>4</v>
      </c>
      <c r="GE294" s="715" t="s">
        <v>4</v>
      </c>
      <c r="GF294" s="715" t="s">
        <v>4</v>
      </c>
      <c r="GG294" s="715" t="s">
        <v>4</v>
      </c>
      <c r="GH294" s="715" t="s">
        <v>4</v>
      </c>
      <c r="GI294" s="715" t="s">
        <v>4</v>
      </c>
      <c r="GJ294" s="715" t="s">
        <v>4</v>
      </c>
      <c r="GK294" s="715" t="s">
        <v>4</v>
      </c>
      <c r="GL294" s="715" t="s">
        <v>4</v>
      </c>
      <c r="GM294" s="715" t="s">
        <v>4</v>
      </c>
      <c r="GN294" s="715" t="s">
        <v>4</v>
      </c>
      <c r="GO294" s="715" t="s">
        <v>4</v>
      </c>
      <c r="GP294" s="715" t="s">
        <v>4</v>
      </c>
      <c r="GQ294" s="715" t="s">
        <v>4</v>
      </c>
      <c r="GR294" s="715" t="s">
        <v>4</v>
      </c>
      <c r="GS294" s="715" t="s">
        <v>4</v>
      </c>
      <c r="GT294" s="715" t="s">
        <v>4</v>
      </c>
      <c r="GU294" s="715" t="s">
        <v>4</v>
      </c>
      <c r="GV294" s="721" t="s">
        <v>4</v>
      </c>
      <c r="GW294" s="715" t="s">
        <v>4</v>
      </c>
      <c r="GX294" s="715" t="s">
        <v>4</v>
      </c>
      <c r="GY294" s="715" t="s">
        <v>4</v>
      </c>
      <c r="GZ294" s="715" t="s">
        <v>4</v>
      </c>
      <c r="HA294" s="715" t="s">
        <v>4</v>
      </c>
      <c r="HB294" s="715" t="s">
        <v>4</v>
      </c>
      <c r="HC294" s="715" t="s">
        <v>4</v>
      </c>
      <c r="HD294" s="715" t="s">
        <v>4</v>
      </c>
      <c r="HE294" s="715" t="s">
        <v>4</v>
      </c>
      <c r="HF294" s="715" t="s">
        <v>4</v>
      </c>
      <c r="HG294" s="715" t="s">
        <v>4</v>
      </c>
      <c r="HH294" s="715" t="s">
        <v>4</v>
      </c>
      <c r="HI294" s="715" t="s">
        <v>4</v>
      </c>
      <c r="HJ294" s="715" t="s">
        <v>4</v>
      </c>
      <c r="HK294" s="721" t="s">
        <v>4</v>
      </c>
      <c r="HL294" s="715" t="s">
        <v>36455</v>
      </c>
      <c r="HM294" s="715" t="s">
        <v>7</v>
      </c>
      <c r="HN294" s="715" t="s">
        <v>36456</v>
      </c>
      <c r="HO294" s="715" t="s">
        <v>4</v>
      </c>
      <c r="HP294" s="715" t="s">
        <v>36457</v>
      </c>
      <c r="HQ294" s="715" t="s">
        <v>36458</v>
      </c>
      <c r="HR294" s="715" t="s">
        <v>36459</v>
      </c>
      <c r="HS294" s="715" t="s">
        <v>36460</v>
      </c>
      <c r="HT294" s="715" t="s">
        <v>36355</v>
      </c>
    </row>
    <row r="295" spans="2:228" ht="66" x14ac:dyDescent="0.25">
      <c r="B295" s="756">
        <v>271</v>
      </c>
      <c r="C295" s="715" t="s">
        <v>4213</v>
      </c>
      <c r="D295" s="715" t="s">
        <v>36357</v>
      </c>
      <c r="E295" s="715" t="s">
        <v>30638</v>
      </c>
      <c r="F295" s="715" t="s">
        <v>7</v>
      </c>
      <c r="G295" s="715" t="s">
        <v>36358</v>
      </c>
      <c r="H295" s="715">
        <v>1171.338135</v>
      </c>
      <c r="I295" s="715">
        <v>4.2880000000000003</v>
      </c>
      <c r="J295" s="715" t="s">
        <v>29288</v>
      </c>
      <c r="K295" s="715" t="s">
        <v>4</v>
      </c>
      <c r="L295" s="715" t="s">
        <v>36359</v>
      </c>
      <c r="M295" s="715">
        <v>708359903</v>
      </c>
      <c r="N295" s="715" t="s">
        <v>3</v>
      </c>
      <c r="O295" s="715" t="s">
        <v>31598</v>
      </c>
      <c r="P295" s="715" t="s">
        <v>4</v>
      </c>
      <c r="Q295" s="715">
        <v>12</v>
      </c>
      <c r="R295" s="715" t="s">
        <v>7</v>
      </c>
      <c r="S295" s="715" t="s">
        <v>31535</v>
      </c>
      <c r="T295" s="715" t="s">
        <v>4</v>
      </c>
      <c r="U295" s="715" t="s">
        <v>2</v>
      </c>
      <c r="V295" s="715" t="s">
        <v>4</v>
      </c>
      <c r="W295" s="715" t="s">
        <v>4</v>
      </c>
      <c r="X295" s="715" t="s">
        <v>4</v>
      </c>
      <c r="Y295" s="715" t="s">
        <v>4</v>
      </c>
      <c r="Z295" s="716">
        <v>43221</v>
      </c>
      <c r="AA295" s="717" t="str">
        <f>IF(OR(U295="yes",Z295&gt;'SDG outcome'!$C$39),"yes","no")</f>
        <v>no</v>
      </c>
      <c r="AB295" s="718" t="str">
        <f t="shared" si="12"/>
        <v/>
      </c>
      <c r="AC295" s="719" t="str">
        <f>IF(AND('SMS p2'!AA295="no",AND(Z295&gt;='SDG outcome'!$B$28,Z295&lt;'SDG outcome'!$C$39)),Z295-'SDG outcome'!$B$28,"")</f>
        <v/>
      </c>
      <c r="AD295" s="715" t="s">
        <v>31572</v>
      </c>
      <c r="AE295" s="715" t="s">
        <v>4</v>
      </c>
      <c r="AF295" s="715" t="s">
        <v>2</v>
      </c>
      <c r="AG295" s="715" t="s">
        <v>4</v>
      </c>
      <c r="AH295" s="715" t="s">
        <v>36368</v>
      </c>
      <c r="AI295" s="715" t="s">
        <v>7</v>
      </c>
      <c r="AJ295" s="715" t="s">
        <v>33539</v>
      </c>
      <c r="AK295" s="715" t="s">
        <v>4</v>
      </c>
      <c r="AL295" s="715" t="s">
        <v>4</v>
      </c>
      <c r="AM295" s="715" t="s">
        <v>4</v>
      </c>
      <c r="AN295" s="715" t="s">
        <v>4</v>
      </c>
      <c r="AO295" s="715" t="s">
        <v>4</v>
      </c>
      <c r="AP295" s="715" t="s">
        <v>4</v>
      </c>
      <c r="AQ295" s="715" t="s">
        <v>4</v>
      </c>
      <c r="AR295" s="715" t="s">
        <v>4</v>
      </c>
      <c r="AS295" s="715" t="s">
        <v>4</v>
      </c>
      <c r="AT295" s="715" t="s">
        <v>4</v>
      </c>
      <c r="AU295" s="715" t="s">
        <v>4</v>
      </c>
      <c r="AV295" s="715" t="s">
        <v>4</v>
      </c>
      <c r="AW295" s="715" t="s">
        <v>4</v>
      </c>
      <c r="AX295" s="715" t="s">
        <v>4</v>
      </c>
      <c r="AY295" s="715" t="s">
        <v>4</v>
      </c>
      <c r="AZ295" s="715" t="s">
        <v>4</v>
      </c>
      <c r="BA295" s="715" t="s">
        <v>4</v>
      </c>
      <c r="BB295" s="715" t="s">
        <v>4</v>
      </c>
      <c r="BC295" s="715" t="s">
        <v>4</v>
      </c>
      <c r="BD295" s="715" t="s">
        <v>4</v>
      </c>
      <c r="BE295" s="715" t="s">
        <v>4</v>
      </c>
      <c r="BF295" s="715" t="s">
        <v>4</v>
      </c>
      <c r="BG295" s="715" t="s">
        <v>4</v>
      </c>
      <c r="BH295" s="715" t="s">
        <v>4</v>
      </c>
      <c r="BI295" s="715" t="s">
        <v>4</v>
      </c>
      <c r="BJ295" s="715" t="s">
        <v>4</v>
      </c>
      <c r="BK295" s="715" t="s">
        <v>4</v>
      </c>
      <c r="BL295" s="715" t="s">
        <v>4</v>
      </c>
      <c r="BM295" s="715" t="s">
        <v>4</v>
      </c>
      <c r="BN295" s="715" t="s">
        <v>4</v>
      </c>
      <c r="BO295" s="715" t="s">
        <v>4</v>
      </c>
      <c r="BP295" s="715" t="s">
        <v>4</v>
      </c>
      <c r="BQ295" s="715" t="s">
        <v>4</v>
      </c>
      <c r="BR295" s="720" t="s">
        <v>4</v>
      </c>
      <c r="BS295" s="715" t="s">
        <v>4</v>
      </c>
      <c r="BT295" s="715" t="s">
        <v>4</v>
      </c>
      <c r="BU295" s="713"/>
      <c r="BV295" s="509"/>
      <c r="BW295" s="714"/>
      <c r="BX295" s="715" t="s">
        <v>4</v>
      </c>
      <c r="BY295" s="715" t="s">
        <v>4</v>
      </c>
      <c r="BZ295" s="715" t="s">
        <v>4</v>
      </c>
      <c r="CA295" s="715" t="s">
        <v>4</v>
      </c>
      <c r="CB295" s="715" t="s">
        <v>4</v>
      </c>
      <c r="CC295" s="715" t="s">
        <v>4</v>
      </c>
      <c r="CD295" s="715" t="s">
        <v>4</v>
      </c>
      <c r="CE295" s="715" t="s">
        <v>4</v>
      </c>
      <c r="CF295" s="715" t="s">
        <v>4</v>
      </c>
      <c r="CG295" s="715" t="s">
        <v>4</v>
      </c>
      <c r="CH295" s="715" t="s">
        <v>4</v>
      </c>
      <c r="CI295" s="715" t="s">
        <v>4</v>
      </c>
      <c r="CJ295" s="715" t="s">
        <v>4</v>
      </c>
      <c r="CK295" s="715" t="s">
        <v>4</v>
      </c>
      <c r="CL295" s="715" t="s">
        <v>4</v>
      </c>
      <c r="CM295" s="715" t="s">
        <v>4</v>
      </c>
      <c r="CN295" s="715" t="s">
        <v>4</v>
      </c>
      <c r="CO295" s="715" t="s">
        <v>4</v>
      </c>
      <c r="CP295" s="715" t="s">
        <v>4</v>
      </c>
      <c r="CQ295" s="715" t="s">
        <v>4</v>
      </c>
      <c r="CR295" s="715" t="s">
        <v>4</v>
      </c>
      <c r="CS295" s="715" t="s">
        <v>4</v>
      </c>
      <c r="CT295" s="715" t="s">
        <v>4</v>
      </c>
      <c r="CU295" s="715" t="s">
        <v>4</v>
      </c>
      <c r="CV295" s="715" t="s">
        <v>4</v>
      </c>
      <c r="CW295" s="715" t="s">
        <v>4</v>
      </c>
      <c r="CX295" s="715" t="s">
        <v>4</v>
      </c>
      <c r="CY295" s="715" t="s">
        <v>4</v>
      </c>
      <c r="CZ295" s="715" t="s">
        <v>4</v>
      </c>
      <c r="DA295" s="715" t="s">
        <v>4</v>
      </c>
      <c r="DB295" s="715" t="s">
        <v>4</v>
      </c>
      <c r="DC295" s="715" t="s">
        <v>4</v>
      </c>
      <c r="DD295" s="715" t="s">
        <v>4</v>
      </c>
      <c r="DE295" s="715" t="s">
        <v>4</v>
      </c>
      <c r="DF295" s="715" t="s">
        <v>4</v>
      </c>
      <c r="DG295" s="715" t="s">
        <v>4</v>
      </c>
      <c r="DH295" s="715" t="s">
        <v>4</v>
      </c>
      <c r="DI295" s="715" t="s">
        <v>4</v>
      </c>
      <c r="DJ295" s="715" t="s">
        <v>4</v>
      </c>
      <c r="DK295" s="715" t="s">
        <v>4</v>
      </c>
      <c r="DL295" s="715" t="s">
        <v>4</v>
      </c>
      <c r="DM295" s="715" t="s">
        <v>4</v>
      </c>
      <c r="DN295" s="715" t="s">
        <v>4</v>
      </c>
      <c r="DO295" s="715" t="s">
        <v>4</v>
      </c>
      <c r="DP295" s="715" t="s">
        <v>4</v>
      </c>
      <c r="DQ295" s="715" t="s">
        <v>4</v>
      </c>
      <c r="DR295" s="721" t="s">
        <v>4</v>
      </c>
      <c r="DS295" s="715" t="s">
        <v>4</v>
      </c>
      <c r="DT295" s="721" t="s">
        <v>4</v>
      </c>
      <c r="DU295" s="715" t="s">
        <v>4</v>
      </c>
      <c r="DV295" s="715" t="s">
        <v>4</v>
      </c>
      <c r="DW295" s="715" t="s">
        <v>4</v>
      </c>
      <c r="DX295" s="715" t="s">
        <v>4</v>
      </c>
      <c r="DY295" s="715" t="s">
        <v>4</v>
      </c>
      <c r="DZ295" s="715" t="s">
        <v>4</v>
      </c>
      <c r="EA295" s="715" t="s">
        <v>4</v>
      </c>
      <c r="EB295" s="715" t="s">
        <v>4</v>
      </c>
      <c r="EC295" s="715" t="s">
        <v>4</v>
      </c>
      <c r="ED295" s="715" t="s">
        <v>4</v>
      </c>
      <c r="EE295" s="715" t="s">
        <v>4</v>
      </c>
      <c r="EF295" s="715" t="s">
        <v>4</v>
      </c>
      <c r="EG295" s="715" t="s">
        <v>4</v>
      </c>
      <c r="EH295" s="715" t="s">
        <v>4</v>
      </c>
      <c r="EI295" s="715" t="s">
        <v>4</v>
      </c>
      <c r="EJ295" s="715" t="s">
        <v>4</v>
      </c>
      <c r="EK295" s="715" t="s">
        <v>4</v>
      </c>
      <c r="EL295" s="715" t="s">
        <v>4</v>
      </c>
      <c r="EM295" s="715" t="s">
        <v>4</v>
      </c>
      <c r="EN295" s="715" t="s">
        <v>4</v>
      </c>
      <c r="EO295" s="715" t="s">
        <v>4</v>
      </c>
      <c r="EP295" s="715" t="s">
        <v>4</v>
      </c>
      <c r="EQ295" s="715" t="s">
        <v>4</v>
      </c>
      <c r="ER295" s="715" t="s">
        <v>4</v>
      </c>
      <c r="ES295" s="715" t="s">
        <v>4</v>
      </c>
      <c r="ET295" s="715" t="s">
        <v>4</v>
      </c>
      <c r="EU295" s="715" t="s">
        <v>4</v>
      </c>
      <c r="EW295" s="715" t="s">
        <v>4</v>
      </c>
      <c r="EX295" s="715" t="s">
        <v>4</v>
      </c>
      <c r="EY295" s="715" t="s">
        <v>4</v>
      </c>
      <c r="EZ295" s="746"/>
      <c r="FA295" s="715" t="s">
        <v>4</v>
      </c>
      <c r="FB295" s="715" t="s">
        <v>4</v>
      </c>
      <c r="FC295" s="715" t="s">
        <v>4</v>
      </c>
      <c r="FD295" s="715" t="s">
        <v>4</v>
      </c>
      <c r="FE295" s="715" t="s">
        <v>4</v>
      </c>
      <c r="FF295" s="715" t="s">
        <v>4</v>
      </c>
      <c r="FG295" s="715" t="s">
        <v>4</v>
      </c>
      <c r="FH295" s="715" t="s">
        <v>4</v>
      </c>
      <c r="FI295" s="715" t="s">
        <v>4</v>
      </c>
      <c r="FJ295" s="715" t="s">
        <v>4</v>
      </c>
      <c r="FK295" s="715" t="s">
        <v>4</v>
      </c>
      <c r="FL295" s="715" t="s">
        <v>4</v>
      </c>
      <c r="FM295" s="715" t="s">
        <v>4</v>
      </c>
      <c r="FN295" s="721" t="s">
        <v>4</v>
      </c>
      <c r="FO295" s="715" t="s">
        <v>4</v>
      </c>
      <c r="FP295" s="715" t="s">
        <v>4</v>
      </c>
      <c r="FQ295" s="715" t="s">
        <v>4</v>
      </c>
      <c r="FR295" s="715" t="s">
        <v>4</v>
      </c>
      <c r="FS295" s="715" t="s">
        <v>4</v>
      </c>
      <c r="FT295" s="715" t="s">
        <v>4</v>
      </c>
      <c r="FU295" s="715" t="s">
        <v>4</v>
      </c>
      <c r="FV295" s="715" t="s">
        <v>4</v>
      </c>
      <c r="FW295" s="715" t="s">
        <v>4</v>
      </c>
      <c r="FX295" s="715" t="s">
        <v>4</v>
      </c>
      <c r="FY295" s="715" t="s">
        <v>4</v>
      </c>
      <c r="FZ295" s="715" t="s">
        <v>4</v>
      </c>
      <c r="GA295" s="715" t="s">
        <v>4</v>
      </c>
      <c r="GB295" s="715" t="s">
        <v>4</v>
      </c>
      <c r="GC295" s="715" t="s">
        <v>4</v>
      </c>
      <c r="GD295" s="715" t="s">
        <v>4</v>
      </c>
      <c r="GE295" s="715" t="s">
        <v>4</v>
      </c>
      <c r="GF295" s="715" t="s">
        <v>4</v>
      </c>
      <c r="GG295" s="715" t="s">
        <v>4</v>
      </c>
      <c r="GH295" s="715" t="s">
        <v>4</v>
      </c>
      <c r="GI295" s="715" t="s">
        <v>4</v>
      </c>
      <c r="GJ295" s="715" t="s">
        <v>4</v>
      </c>
      <c r="GK295" s="715" t="s">
        <v>4</v>
      </c>
      <c r="GL295" s="715" t="s">
        <v>4</v>
      </c>
      <c r="GM295" s="715" t="s">
        <v>4</v>
      </c>
      <c r="GN295" s="715" t="s">
        <v>4</v>
      </c>
      <c r="GO295" s="715" t="s">
        <v>4</v>
      </c>
      <c r="GP295" s="715" t="s">
        <v>4</v>
      </c>
      <c r="GQ295" s="715" t="s">
        <v>4</v>
      </c>
      <c r="GR295" s="715" t="s">
        <v>4</v>
      </c>
      <c r="GS295" s="715" t="s">
        <v>4</v>
      </c>
      <c r="GT295" s="715" t="s">
        <v>4</v>
      </c>
      <c r="GU295" s="715" t="s">
        <v>4</v>
      </c>
      <c r="GV295" s="721" t="s">
        <v>4</v>
      </c>
      <c r="GW295" s="715" t="s">
        <v>4</v>
      </c>
      <c r="GX295" s="715" t="s">
        <v>4</v>
      </c>
      <c r="GY295" s="715" t="s">
        <v>4</v>
      </c>
      <c r="GZ295" s="715" t="s">
        <v>4</v>
      </c>
      <c r="HA295" s="715" t="s">
        <v>4</v>
      </c>
      <c r="HB295" s="715" t="s">
        <v>4</v>
      </c>
      <c r="HC295" s="715" t="s">
        <v>4</v>
      </c>
      <c r="HD295" s="715" t="s">
        <v>4</v>
      </c>
      <c r="HE295" s="715" t="s">
        <v>4</v>
      </c>
      <c r="HF295" s="715" t="s">
        <v>4</v>
      </c>
      <c r="HG295" s="715" t="s">
        <v>4</v>
      </c>
      <c r="HH295" s="715" t="s">
        <v>4</v>
      </c>
      <c r="HI295" s="715" t="s">
        <v>4</v>
      </c>
      <c r="HJ295" s="715" t="s">
        <v>4</v>
      </c>
      <c r="HK295" s="721" t="s">
        <v>4</v>
      </c>
      <c r="HL295" s="715" t="s">
        <v>36461</v>
      </c>
      <c r="HM295" s="715" t="s">
        <v>7</v>
      </c>
      <c r="HN295" s="715" t="s">
        <v>36462</v>
      </c>
      <c r="HO295" s="715" t="s">
        <v>4</v>
      </c>
      <c r="HP295" s="715" t="s">
        <v>36463</v>
      </c>
      <c r="HQ295" s="715" t="s">
        <v>36464</v>
      </c>
      <c r="HR295" s="715" t="s">
        <v>36465</v>
      </c>
      <c r="HS295" s="715" t="s">
        <v>36466</v>
      </c>
      <c r="HT295" s="715" t="s">
        <v>36357</v>
      </c>
    </row>
    <row r="296" spans="2:228" ht="66" x14ac:dyDescent="0.25">
      <c r="B296" s="756">
        <v>272</v>
      </c>
      <c r="C296" s="715" t="s">
        <v>2722</v>
      </c>
      <c r="D296" s="715" t="s">
        <v>36360</v>
      </c>
      <c r="E296" s="715" t="s">
        <v>30638</v>
      </c>
      <c r="F296" s="715" t="s">
        <v>7</v>
      </c>
      <c r="G296" s="715" t="s">
        <v>36361</v>
      </c>
      <c r="H296" s="715">
        <v>1190.537231</v>
      </c>
      <c r="I296" s="715">
        <v>3.2160000000000002</v>
      </c>
      <c r="J296" s="715" t="s">
        <v>29319</v>
      </c>
      <c r="K296" s="715" t="s">
        <v>4</v>
      </c>
      <c r="L296" s="715" t="s">
        <v>36362</v>
      </c>
      <c r="M296" s="715">
        <v>742141419</v>
      </c>
      <c r="N296" s="715" t="s">
        <v>5</v>
      </c>
      <c r="O296" s="715" t="s">
        <v>31438</v>
      </c>
      <c r="P296" s="715">
        <v>80</v>
      </c>
      <c r="Q296" s="715">
        <v>5</v>
      </c>
      <c r="R296" s="715" t="s">
        <v>7</v>
      </c>
      <c r="S296" s="715" t="s">
        <v>31549</v>
      </c>
      <c r="T296" s="715" t="s">
        <v>4</v>
      </c>
      <c r="U296" s="715" t="s">
        <v>2</v>
      </c>
      <c r="V296" s="715" t="s">
        <v>4</v>
      </c>
      <c r="W296" s="715" t="s">
        <v>4</v>
      </c>
      <c r="X296" s="715" t="s">
        <v>4</v>
      </c>
      <c r="Y296" s="715" t="s">
        <v>4</v>
      </c>
      <c r="Z296" s="716">
        <v>40118</v>
      </c>
      <c r="AA296" s="717" t="str">
        <f>IF(OR(U296="yes",Z296&gt;'SDG outcome'!$C$39),"yes","no")</f>
        <v>no</v>
      </c>
      <c r="AB296" s="718" t="str">
        <f t="shared" si="12"/>
        <v/>
      </c>
      <c r="AC296" s="719" t="str">
        <f>IF(AND('SMS p2'!AA296="no",AND(Z296&gt;='SDG outcome'!$B$28,Z296&lt;'SDG outcome'!$C$39)),Z296-'SDG outcome'!$B$28,"")</f>
        <v/>
      </c>
      <c r="AD296" s="715" t="s">
        <v>31842</v>
      </c>
      <c r="AE296" s="715" t="s">
        <v>4</v>
      </c>
      <c r="AF296" s="715" t="s">
        <v>4</v>
      </c>
      <c r="AG296" s="715" t="s">
        <v>4</v>
      </c>
      <c r="AH296" s="715" t="s">
        <v>4</v>
      </c>
      <c r="AI296" s="715" t="s">
        <v>4</v>
      </c>
      <c r="AJ296" s="715" t="s">
        <v>4</v>
      </c>
      <c r="AK296" s="715" t="s">
        <v>4</v>
      </c>
      <c r="AL296" s="715" t="s">
        <v>4</v>
      </c>
      <c r="AM296" s="715" t="s">
        <v>4</v>
      </c>
      <c r="AN296" s="715" t="s">
        <v>4</v>
      </c>
      <c r="AO296" s="715" t="s">
        <v>4</v>
      </c>
      <c r="AP296" s="715" t="s">
        <v>4</v>
      </c>
      <c r="AQ296" s="715" t="s">
        <v>4</v>
      </c>
      <c r="AR296" s="715" t="s">
        <v>4</v>
      </c>
      <c r="AS296" s="715" t="s">
        <v>4</v>
      </c>
      <c r="AT296" s="715" t="s">
        <v>4</v>
      </c>
      <c r="AU296" s="715" t="s">
        <v>4</v>
      </c>
      <c r="AV296" s="715" t="s">
        <v>4</v>
      </c>
      <c r="AW296" s="715" t="s">
        <v>4</v>
      </c>
      <c r="AX296" s="715" t="s">
        <v>4</v>
      </c>
      <c r="AY296" s="715" t="s">
        <v>4</v>
      </c>
      <c r="AZ296" s="715" t="s">
        <v>4</v>
      </c>
      <c r="BA296" s="715" t="s">
        <v>4</v>
      </c>
      <c r="BB296" s="715" t="s">
        <v>4</v>
      </c>
      <c r="BC296" s="715" t="s">
        <v>4</v>
      </c>
      <c r="BD296" s="715" t="s">
        <v>4</v>
      </c>
      <c r="BE296" s="715" t="s">
        <v>4</v>
      </c>
      <c r="BF296" s="715" t="s">
        <v>4</v>
      </c>
      <c r="BG296" s="715" t="s">
        <v>4</v>
      </c>
      <c r="BH296" s="715" t="s">
        <v>4</v>
      </c>
      <c r="BI296" s="715" t="s">
        <v>4</v>
      </c>
      <c r="BJ296" s="715" t="s">
        <v>4</v>
      </c>
      <c r="BK296" s="715" t="s">
        <v>4</v>
      </c>
      <c r="BL296" s="715" t="s">
        <v>4</v>
      </c>
      <c r="BM296" s="715" t="s">
        <v>4</v>
      </c>
      <c r="BN296" s="715" t="s">
        <v>4</v>
      </c>
      <c r="BO296" s="715" t="s">
        <v>4</v>
      </c>
      <c r="BP296" s="715" t="s">
        <v>4</v>
      </c>
      <c r="BQ296" s="715" t="s">
        <v>4</v>
      </c>
      <c r="BR296" s="720" t="s">
        <v>4</v>
      </c>
      <c r="BS296" s="715" t="s">
        <v>4</v>
      </c>
      <c r="BT296" s="715" t="s">
        <v>4</v>
      </c>
      <c r="BU296" s="713"/>
      <c r="BV296" s="509"/>
      <c r="BW296" s="714"/>
      <c r="BX296" s="715" t="s">
        <v>4</v>
      </c>
      <c r="BY296" s="715" t="s">
        <v>4</v>
      </c>
      <c r="BZ296" s="715" t="s">
        <v>4</v>
      </c>
      <c r="CA296" s="715" t="s">
        <v>4</v>
      </c>
      <c r="CB296" s="715" t="s">
        <v>4</v>
      </c>
      <c r="CC296" s="715" t="s">
        <v>4</v>
      </c>
      <c r="CD296" s="715" t="s">
        <v>4</v>
      </c>
      <c r="CE296" s="715" t="s">
        <v>4</v>
      </c>
      <c r="CF296" s="715" t="s">
        <v>4</v>
      </c>
      <c r="CG296" s="715" t="s">
        <v>4</v>
      </c>
      <c r="CH296" s="715" t="s">
        <v>4</v>
      </c>
      <c r="CI296" s="715" t="s">
        <v>4</v>
      </c>
      <c r="CJ296" s="715" t="s">
        <v>4</v>
      </c>
      <c r="CK296" s="715" t="s">
        <v>4</v>
      </c>
      <c r="CL296" s="715" t="s">
        <v>4</v>
      </c>
      <c r="CM296" s="715" t="s">
        <v>4</v>
      </c>
      <c r="CN296" s="715" t="s">
        <v>4</v>
      </c>
      <c r="CO296" s="715" t="s">
        <v>4</v>
      </c>
      <c r="CP296" s="715" t="s">
        <v>4</v>
      </c>
      <c r="CQ296" s="715" t="s">
        <v>4</v>
      </c>
      <c r="CR296" s="715" t="s">
        <v>4</v>
      </c>
      <c r="CS296" s="715" t="s">
        <v>4</v>
      </c>
      <c r="CT296" s="715" t="s">
        <v>4</v>
      </c>
      <c r="CU296" s="715" t="s">
        <v>4</v>
      </c>
      <c r="CV296" s="715" t="s">
        <v>4</v>
      </c>
      <c r="CW296" s="715" t="s">
        <v>4</v>
      </c>
      <c r="CX296" s="715" t="s">
        <v>4</v>
      </c>
      <c r="CY296" s="715" t="s">
        <v>4</v>
      </c>
      <c r="CZ296" s="715" t="s">
        <v>4</v>
      </c>
      <c r="DA296" s="715" t="s">
        <v>4</v>
      </c>
      <c r="DB296" s="715" t="s">
        <v>4</v>
      </c>
      <c r="DC296" s="715" t="s">
        <v>4</v>
      </c>
      <c r="DD296" s="715" t="s">
        <v>4</v>
      </c>
      <c r="DE296" s="715" t="s">
        <v>4</v>
      </c>
      <c r="DF296" s="715" t="s">
        <v>4</v>
      </c>
      <c r="DG296" s="715" t="s">
        <v>4</v>
      </c>
      <c r="DH296" s="715" t="s">
        <v>4</v>
      </c>
      <c r="DI296" s="715" t="s">
        <v>4</v>
      </c>
      <c r="DJ296" s="715" t="s">
        <v>4</v>
      </c>
      <c r="DK296" s="715" t="s">
        <v>4</v>
      </c>
      <c r="DL296" s="715" t="s">
        <v>4</v>
      </c>
      <c r="DM296" s="715" t="s">
        <v>4</v>
      </c>
      <c r="DN296" s="715" t="s">
        <v>4</v>
      </c>
      <c r="DO296" s="715" t="s">
        <v>4</v>
      </c>
      <c r="DP296" s="715" t="s">
        <v>4</v>
      </c>
      <c r="DQ296" s="715" t="s">
        <v>4</v>
      </c>
      <c r="DR296" s="721" t="s">
        <v>4</v>
      </c>
      <c r="DS296" s="715" t="s">
        <v>4</v>
      </c>
      <c r="DT296" s="721" t="s">
        <v>4</v>
      </c>
      <c r="DU296" s="715" t="s">
        <v>4</v>
      </c>
      <c r="DV296" s="715" t="s">
        <v>4</v>
      </c>
      <c r="DW296" s="715" t="s">
        <v>4</v>
      </c>
      <c r="DX296" s="715" t="s">
        <v>4</v>
      </c>
      <c r="DY296" s="715" t="s">
        <v>4</v>
      </c>
      <c r="DZ296" s="715" t="s">
        <v>4</v>
      </c>
      <c r="EA296" s="715" t="s">
        <v>4</v>
      </c>
      <c r="EB296" s="715" t="s">
        <v>4</v>
      </c>
      <c r="EC296" s="715" t="s">
        <v>4</v>
      </c>
      <c r="ED296" s="715" t="s">
        <v>4</v>
      </c>
      <c r="EE296" s="715" t="s">
        <v>4</v>
      </c>
      <c r="EF296" s="715" t="s">
        <v>4</v>
      </c>
      <c r="EG296" s="715" t="s">
        <v>4</v>
      </c>
      <c r="EH296" s="715" t="s">
        <v>4</v>
      </c>
      <c r="EI296" s="715" t="s">
        <v>4</v>
      </c>
      <c r="EJ296" s="715" t="s">
        <v>4</v>
      </c>
      <c r="EK296" s="715" t="s">
        <v>4</v>
      </c>
      <c r="EL296" s="715" t="s">
        <v>4</v>
      </c>
      <c r="EM296" s="715" t="s">
        <v>4</v>
      </c>
      <c r="EN296" s="715" t="s">
        <v>4</v>
      </c>
      <c r="EO296" s="715" t="s">
        <v>4</v>
      </c>
      <c r="EP296" s="715" t="s">
        <v>4</v>
      </c>
      <c r="EQ296" s="715" t="s">
        <v>4</v>
      </c>
      <c r="ER296" s="715" t="s">
        <v>4</v>
      </c>
      <c r="ES296" s="715" t="s">
        <v>4</v>
      </c>
      <c r="ET296" s="715" t="s">
        <v>4</v>
      </c>
      <c r="EU296" s="715" t="s">
        <v>4</v>
      </c>
      <c r="EW296" s="715" t="s">
        <v>4</v>
      </c>
      <c r="EX296" s="715" t="s">
        <v>4</v>
      </c>
      <c r="EY296" s="715" t="s">
        <v>4</v>
      </c>
      <c r="EZ296" s="746"/>
      <c r="FA296" s="715" t="s">
        <v>4</v>
      </c>
      <c r="FB296" s="715" t="s">
        <v>4</v>
      </c>
      <c r="FC296" s="715" t="s">
        <v>4</v>
      </c>
      <c r="FD296" s="715" t="s">
        <v>4</v>
      </c>
      <c r="FE296" s="715" t="s">
        <v>4</v>
      </c>
      <c r="FF296" s="715" t="s">
        <v>4</v>
      </c>
      <c r="FG296" s="715" t="s">
        <v>4</v>
      </c>
      <c r="FH296" s="715" t="s">
        <v>4</v>
      </c>
      <c r="FI296" s="715" t="s">
        <v>4</v>
      </c>
      <c r="FJ296" s="715" t="s">
        <v>4</v>
      </c>
      <c r="FK296" s="715" t="s">
        <v>4</v>
      </c>
      <c r="FL296" s="715" t="s">
        <v>4</v>
      </c>
      <c r="FM296" s="715" t="s">
        <v>4</v>
      </c>
      <c r="FN296" s="721" t="s">
        <v>4</v>
      </c>
      <c r="FO296" s="715" t="s">
        <v>4</v>
      </c>
      <c r="FP296" s="715" t="s">
        <v>4</v>
      </c>
      <c r="FQ296" s="715" t="s">
        <v>4</v>
      </c>
      <c r="FR296" s="715" t="s">
        <v>4</v>
      </c>
      <c r="FS296" s="715" t="s">
        <v>4</v>
      </c>
      <c r="FT296" s="715" t="s">
        <v>4</v>
      </c>
      <c r="FU296" s="715" t="s">
        <v>4</v>
      </c>
      <c r="FV296" s="715" t="s">
        <v>4</v>
      </c>
      <c r="FW296" s="715" t="s">
        <v>4</v>
      </c>
      <c r="FX296" s="715" t="s">
        <v>4</v>
      </c>
      <c r="FY296" s="715" t="s">
        <v>4</v>
      </c>
      <c r="FZ296" s="715" t="s">
        <v>4</v>
      </c>
      <c r="GA296" s="715" t="s">
        <v>4</v>
      </c>
      <c r="GB296" s="715" t="s">
        <v>4</v>
      </c>
      <c r="GC296" s="715" t="s">
        <v>4</v>
      </c>
      <c r="GD296" s="715" t="s">
        <v>4</v>
      </c>
      <c r="GE296" s="715" t="s">
        <v>4</v>
      </c>
      <c r="GF296" s="715" t="s">
        <v>4</v>
      </c>
      <c r="GG296" s="715" t="s">
        <v>4</v>
      </c>
      <c r="GH296" s="715" t="s">
        <v>4</v>
      </c>
      <c r="GI296" s="715" t="s">
        <v>4</v>
      </c>
      <c r="GJ296" s="715" t="s">
        <v>4</v>
      </c>
      <c r="GK296" s="715" t="s">
        <v>4</v>
      </c>
      <c r="GL296" s="715" t="s">
        <v>4</v>
      </c>
      <c r="GM296" s="715" t="s">
        <v>4</v>
      </c>
      <c r="GN296" s="715" t="s">
        <v>4</v>
      </c>
      <c r="GO296" s="715" t="s">
        <v>4</v>
      </c>
      <c r="GP296" s="715" t="s">
        <v>4</v>
      </c>
      <c r="GQ296" s="715" t="s">
        <v>4</v>
      </c>
      <c r="GR296" s="715" t="s">
        <v>4</v>
      </c>
      <c r="GS296" s="715" t="s">
        <v>4</v>
      </c>
      <c r="GT296" s="715" t="s">
        <v>4</v>
      </c>
      <c r="GU296" s="715" t="s">
        <v>4</v>
      </c>
      <c r="GV296" s="721" t="s">
        <v>4</v>
      </c>
      <c r="GW296" s="715" t="s">
        <v>4</v>
      </c>
      <c r="GX296" s="715" t="s">
        <v>4</v>
      </c>
      <c r="GY296" s="715" t="s">
        <v>4</v>
      </c>
      <c r="GZ296" s="715" t="s">
        <v>4</v>
      </c>
      <c r="HA296" s="715" t="s">
        <v>4</v>
      </c>
      <c r="HB296" s="715" t="s">
        <v>4</v>
      </c>
      <c r="HC296" s="715" t="s">
        <v>4</v>
      </c>
      <c r="HD296" s="715" t="s">
        <v>4</v>
      </c>
      <c r="HE296" s="715" t="s">
        <v>4</v>
      </c>
      <c r="HF296" s="715" t="s">
        <v>4</v>
      </c>
      <c r="HG296" s="715" t="s">
        <v>4</v>
      </c>
      <c r="HH296" s="715" t="s">
        <v>4</v>
      </c>
      <c r="HI296" s="715" t="s">
        <v>4</v>
      </c>
      <c r="HJ296" s="715" t="s">
        <v>4</v>
      </c>
      <c r="HK296" s="721" t="s">
        <v>4</v>
      </c>
      <c r="HL296" s="715" t="s">
        <v>36467</v>
      </c>
      <c r="HM296" s="715" t="s">
        <v>2</v>
      </c>
      <c r="HN296" s="715" t="s">
        <v>4</v>
      </c>
      <c r="HO296" s="715" t="s">
        <v>36468</v>
      </c>
      <c r="HP296" s="715" t="s">
        <v>36469</v>
      </c>
      <c r="HQ296" s="715" t="s">
        <v>36470</v>
      </c>
      <c r="HR296" s="715" t="s">
        <v>36471</v>
      </c>
      <c r="HS296" s="715" t="s">
        <v>36472</v>
      </c>
      <c r="HT296" s="715" t="s">
        <v>36360</v>
      </c>
    </row>
    <row r="297" spans="2:228" ht="66" x14ac:dyDescent="0.25">
      <c r="B297" s="756">
        <v>273</v>
      </c>
      <c r="C297" s="715" t="s">
        <v>33084</v>
      </c>
      <c r="D297" s="715" t="s">
        <v>36363</v>
      </c>
      <c r="E297" s="715" t="s">
        <v>30638</v>
      </c>
      <c r="F297" s="715" t="s">
        <v>7</v>
      </c>
      <c r="G297" s="715" t="s">
        <v>36364</v>
      </c>
      <c r="H297" s="715">
        <v>1172.9399410000001</v>
      </c>
      <c r="I297" s="715">
        <v>4.2880000000000003</v>
      </c>
      <c r="J297" s="715" t="s">
        <v>29319</v>
      </c>
      <c r="K297" s="715" t="s">
        <v>4</v>
      </c>
      <c r="L297" s="715" t="s">
        <v>36365</v>
      </c>
      <c r="M297" s="715">
        <v>754001139</v>
      </c>
      <c r="N297" s="715" t="s">
        <v>5</v>
      </c>
      <c r="O297" s="715" t="s">
        <v>31438</v>
      </c>
      <c r="P297" s="715">
        <v>49</v>
      </c>
      <c r="Q297" s="715">
        <v>5</v>
      </c>
      <c r="R297" s="715" t="s">
        <v>7</v>
      </c>
      <c r="S297" s="715" t="s">
        <v>31535</v>
      </c>
      <c r="T297" s="715" t="s">
        <v>4</v>
      </c>
      <c r="U297" s="715" t="s">
        <v>2</v>
      </c>
      <c r="V297" s="715" t="s">
        <v>4</v>
      </c>
      <c r="W297" s="715" t="s">
        <v>4</v>
      </c>
      <c r="X297" s="715" t="s">
        <v>4</v>
      </c>
      <c r="Y297" s="715" t="s">
        <v>4</v>
      </c>
      <c r="Z297" s="716">
        <v>43770</v>
      </c>
      <c r="AA297" s="717" t="str">
        <f>IF(OR(U297="yes",Z297&gt;'SDG outcome'!$C$39),"yes","no")</f>
        <v>no</v>
      </c>
      <c r="AB297" s="718" t="str">
        <f t="shared" si="12"/>
        <v/>
      </c>
      <c r="AC297" s="719" t="str">
        <f>IF(AND('SMS p2'!AA297="no",AND(Z297&gt;='SDG outcome'!$B$28,Z297&lt;'SDG outcome'!$C$39)),Z297-'SDG outcome'!$B$28,"")</f>
        <v/>
      </c>
      <c r="AD297" s="715" t="s">
        <v>31572</v>
      </c>
      <c r="AE297" s="715" t="s">
        <v>4</v>
      </c>
      <c r="AF297" s="715" t="s">
        <v>7</v>
      </c>
      <c r="AG297" s="715" t="s">
        <v>36369</v>
      </c>
      <c r="AH297" s="715" t="s">
        <v>4</v>
      </c>
      <c r="AI297" s="715" t="s">
        <v>7</v>
      </c>
      <c r="AJ297" s="716">
        <v>45601</v>
      </c>
      <c r="AK297" s="715" t="s">
        <v>4</v>
      </c>
      <c r="AL297" s="715" t="s">
        <v>4</v>
      </c>
      <c r="AM297" s="715" t="s">
        <v>4</v>
      </c>
      <c r="AN297" s="715" t="s">
        <v>4</v>
      </c>
      <c r="AO297" s="715" t="s">
        <v>4</v>
      </c>
      <c r="AP297" s="715" t="s">
        <v>4</v>
      </c>
      <c r="AQ297" s="715" t="s">
        <v>4</v>
      </c>
      <c r="AR297" s="715" t="s">
        <v>4</v>
      </c>
      <c r="AS297" s="715" t="s">
        <v>4</v>
      </c>
      <c r="AT297" s="715" t="s">
        <v>4</v>
      </c>
      <c r="AU297" s="715" t="s">
        <v>4</v>
      </c>
      <c r="AV297" s="715" t="s">
        <v>4</v>
      </c>
      <c r="AW297" s="715" t="s">
        <v>4</v>
      </c>
      <c r="AX297" s="715" t="s">
        <v>4</v>
      </c>
      <c r="AY297" s="715" t="s">
        <v>4</v>
      </c>
      <c r="AZ297" s="715" t="s">
        <v>4</v>
      </c>
      <c r="BA297" s="715" t="s">
        <v>4</v>
      </c>
      <c r="BB297" s="715" t="s">
        <v>4</v>
      </c>
      <c r="BC297" s="715" t="s">
        <v>4</v>
      </c>
      <c r="BD297" s="715" t="s">
        <v>4</v>
      </c>
      <c r="BE297" s="715" t="s">
        <v>4</v>
      </c>
      <c r="BF297" s="715" t="s">
        <v>4</v>
      </c>
      <c r="BG297" s="715" t="s">
        <v>4</v>
      </c>
      <c r="BH297" s="715" t="s">
        <v>4</v>
      </c>
      <c r="BI297" s="715" t="s">
        <v>4</v>
      </c>
      <c r="BJ297" s="715" t="s">
        <v>4</v>
      </c>
      <c r="BK297" s="715" t="s">
        <v>4</v>
      </c>
      <c r="BL297" s="715" t="s">
        <v>4</v>
      </c>
      <c r="BM297" s="715" t="s">
        <v>4</v>
      </c>
      <c r="BN297" s="715" t="s">
        <v>4</v>
      </c>
      <c r="BO297" s="715" t="s">
        <v>4</v>
      </c>
      <c r="BP297" s="715" t="s">
        <v>4</v>
      </c>
      <c r="BQ297" s="715" t="s">
        <v>4</v>
      </c>
      <c r="BR297" s="720" t="s">
        <v>4</v>
      </c>
      <c r="BS297" s="715" t="s">
        <v>4</v>
      </c>
      <c r="BT297" s="715" t="s">
        <v>4</v>
      </c>
      <c r="BU297" s="713"/>
      <c r="BV297" s="509"/>
      <c r="BW297" s="714"/>
      <c r="BX297" s="715" t="s">
        <v>4</v>
      </c>
      <c r="BY297" s="715" t="s">
        <v>4</v>
      </c>
      <c r="BZ297" s="715" t="s">
        <v>4</v>
      </c>
      <c r="CA297" s="715" t="s">
        <v>4</v>
      </c>
      <c r="CB297" s="715" t="s">
        <v>4</v>
      </c>
      <c r="CC297" s="715" t="s">
        <v>4</v>
      </c>
      <c r="CD297" s="715" t="s">
        <v>4</v>
      </c>
      <c r="CE297" s="715" t="s">
        <v>4</v>
      </c>
      <c r="CF297" s="715" t="s">
        <v>4</v>
      </c>
      <c r="CG297" s="715" t="s">
        <v>4</v>
      </c>
      <c r="CH297" s="715" t="s">
        <v>4</v>
      </c>
      <c r="CI297" s="715" t="s">
        <v>4</v>
      </c>
      <c r="CJ297" s="715" t="s">
        <v>4</v>
      </c>
      <c r="CK297" s="715" t="s">
        <v>4</v>
      </c>
      <c r="CL297" s="715" t="s">
        <v>4</v>
      </c>
      <c r="CM297" s="715" t="s">
        <v>4</v>
      </c>
      <c r="CN297" s="715" t="s">
        <v>4</v>
      </c>
      <c r="CO297" s="715" t="s">
        <v>4</v>
      </c>
      <c r="CP297" s="715" t="s">
        <v>4</v>
      </c>
      <c r="CQ297" s="715" t="s">
        <v>4</v>
      </c>
      <c r="CR297" s="715" t="s">
        <v>4</v>
      </c>
      <c r="CS297" s="715" t="s">
        <v>4</v>
      </c>
      <c r="CT297" s="715" t="s">
        <v>4</v>
      </c>
      <c r="CU297" s="715" t="s">
        <v>4</v>
      </c>
      <c r="CV297" s="715" t="s">
        <v>4</v>
      </c>
      <c r="CW297" s="715" t="s">
        <v>4</v>
      </c>
      <c r="CX297" s="715" t="s">
        <v>4</v>
      </c>
      <c r="CY297" s="715" t="s">
        <v>4</v>
      </c>
      <c r="CZ297" s="715" t="s">
        <v>4</v>
      </c>
      <c r="DA297" s="715" t="s">
        <v>4</v>
      </c>
      <c r="DB297" s="715" t="s">
        <v>4</v>
      </c>
      <c r="DC297" s="715" t="s">
        <v>4</v>
      </c>
      <c r="DD297" s="715" t="s">
        <v>4</v>
      </c>
      <c r="DE297" s="715" t="s">
        <v>4</v>
      </c>
      <c r="DF297" s="715" t="s">
        <v>4</v>
      </c>
      <c r="DG297" s="715" t="s">
        <v>4</v>
      </c>
      <c r="DH297" s="715" t="s">
        <v>4</v>
      </c>
      <c r="DI297" s="715" t="s">
        <v>4</v>
      </c>
      <c r="DJ297" s="715" t="s">
        <v>4</v>
      </c>
      <c r="DK297" s="715" t="s">
        <v>4</v>
      </c>
      <c r="DL297" s="715" t="s">
        <v>4</v>
      </c>
      <c r="DM297" s="715" t="s">
        <v>4</v>
      </c>
      <c r="DN297" s="715" t="s">
        <v>4</v>
      </c>
      <c r="DO297" s="715" t="s">
        <v>4</v>
      </c>
      <c r="DP297" s="715" t="s">
        <v>4</v>
      </c>
      <c r="DQ297" s="715" t="s">
        <v>4</v>
      </c>
      <c r="DR297" s="721" t="s">
        <v>4</v>
      </c>
      <c r="DS297" s="715" t="s">
        <v>4</v>
      </c>
      <c r="DT297" s="721" t="s">
        <v>4</v>
      </c>
      <c r="DU297" s="715" t="s">
        <v>4</v>
      </c>
      <c r="DV297" s="715" t="s">
        <v>4</v>
      </c>
      <c r="DW297" s="715" t="s">
        <v>4</v>
      </c>
      <c r="DX297" s="715" t="s">
        <v>4</v>
      </c>
      <c r="DY297" s="715" t="s">
        <v>4</v>
      </c>
      <c r="DZ297" s="715" t="s">
        <v>4</v>
      </c>
      <c r="EA297" s="715" t="s">
        <v>4</v>
      </c>
      <c r="EB297" s="715" t="s">
        <v>4</v>
      </c>
      <c r="EC297" s="715" t="s">
        <v>4</v>
      </c>
      <c r="ED297" s="715" t="s">
        <v>4</v>
      </c>
      <c r="EE297" s="715" t="s">
        <v>4</v>
      </c>
      <c r="EF297" s="715" t="s">
        <v>4</v>
      </c>
      <c r="EG297" s="715" t="s">
        <v>4</v>
      </c>
      <c r="EH297" s="715" t="s">
        <v>4</v>
      </c>
      <c r="EI297" s="715" t="s">
        <v>4</v>
      </c>
      <c r="EJ297" s="715" t="s">
        <v>4</v>
      </c>
      <c r="EK297" s="715" t="s">
        <v>4</v>
      </c>
      <c r="EL297" s="715" t="s">
        <v>4</v>
      </c>
      <c r="EM297" s="715" t="s">
        <v>4</v>
      </c>
      <c r="EN297" s="715" t="s">
        <v>4</v>
      </c>
      <c r="EO297" s="715" t="s">
        <v>4</v>
      </c>
      <c r="EP297" s="715" t="s">
        <v>4</v>
      </c>
      <c r="EQ297" s="715" t="s">
        <v>4</v>
      </c>
      <c r="ER297" s="715" t="s">
        <v>4</v>
      </c>
      <c r="ES297" s="715" t="s">
        <v>4</v>
      </c>
      <c r="ET297" s="715" t="s">
        <v>4</v>
      </c>
      <c r="EU297" s="715" t="s">
        <v>4</v>
      </c>
      <c r="EW297" s="715" t="s">
        <v>4</v>
      </c>
      <c r="EX297" s="715" t="s">
        <v>4</v>
      </c>
      <c r="EY297" s="715" t="s">
        <v>4</v>
      </c>
      <c r="EZ297" s="746"/>
      <c r="FA297" s="715" t="s">
        <v>4</v>
      </c>
      <c r="FB297" s="715" t="s">
        <v>4</v>
      </c>
      <c r="FC297" s="715" t="s">
        <v>4</v>
      </c>
      <c r="FD297" s="715" t="s">
        <v>4</v>
      </c>
      <c r="FE297" s="715" t="s">
        <v>4</v>
      </c>
      <c r="FF297" s="715" t="s">
        <v>4</v>
      </c>
      <c r="FG297" s="715" t="s">
        <v>4</v>
      </c>
      <c r="FH297" s="715" t="s">
        <v>4</v>
      </c>
      <c r="FI297" s="715" t="s">
        <v>4</v>
      </c>
      <c r="FJ297" s="715" t="s">
        <v>4</v>
      </c>
      <c r="FK297" s="715" t="s">
        <v>4</v>
      </c>
      <c r="FL297" s="715" t="s">
        <v>4</v>
      </c>
      <c r="FM297" s="715" t="s">
        <v>4</v>
      </c>
      <c r="FN297" s="721" t="s">
        <v>4</v>
      </c>
      <c r="FO297" s="715" t="s">
        <v>4</v>
      </c>
      <c r="FP297" s="715" t="s">
        <v>4</v>
      </c>
      <c r="FQ297" s="715" t="s">
        <v>4</v>
      </c>
      <c r="FR297" s="715" t="s">
        <v>4</v>
      </c>
      <c r="FS297" s="715" t="s">
        <v>4</v>
      </c>
      <c r="FT297" s="715" t="s">
        <v>4</v>
      </c>
      <c r="FU297" s="715" t="s">
        <v>4</v>
      </c>
      <c r="FV297" s="715" t="s">
        <v>4</v>
      </c>
      <c r="FW297" s="715" t="s">
        <v>4</v>
      </c>
      <c r="FX297" s="715" t="s">
        <v>4</v>
      </c>
      <c r="FY297" s="715" t="s">
        <v>4</v>
      </c>
      <c r="FZ297" s="715" t="s">
        <v>4</v>
      </c>
      <c r="GA297" s="715" t="s">
        <v>4</v>
      </c>
      <c r="GB297" s="715" t="s">
        <v>4</v>
      </c>
      <c r="GC297" s="715" t="s">
        <v>4</v>
      </c>
      <c r="GD297" s="715" t="s">
        <v>4</v>
      </c>
      <c r="GE297" s="715" t="s">
        <v>4</v>
      </c>
      <c r="GF297" s="715" t="s">
        <v>4</v>
      </c>
      <c r="GG297" s="715" t="s">
        <v>4</v>
      </c>
      <c r="GH297" s="715" t="s">
        <v>4</v>
      </c>
      <c r="GI297" s="715" t="s">
        <v>4</v>
      </c>
      <c r="GJ297" s="715" t="s">
        <v>4</v>
      </c>
      <c r="GK297" s="715" t="s">
        <v>4</v>
      </c>
      <c r="GL297" s="715" t="s">
        <v>4</v>
      </c>
      <c r="GM297" s="715" t="s">
        <v>4</v>
      </c>
      <c r="GN297" s="715" t="s">
        <v>4</v>
      </c>
      <c r="GO297" s="715" t="s">
        <v>4</v>
      </c>
      <c r="GP297" s="715" t="s">
        <v>4</v>
      </c>
      <c r="GQ297" s="715" t="s">
        <v>4</v>
      </c>
      <c r="GR297" s="715" t="s">
        <v>4</v>
      </c>
      <c r="GS297" s="715" t="s">
        <v>4</v>
      </c>
      <c r="GT297" s="715" t="s">
        <v>4</v>
      </c>
      <c r="GU297" s="715" t="s">
        <v>4</v>
      </c>
      <c r="GV297" s="721" t="s">
        <v>4</v>
      </c>
      <c r="GW297" s="715" t="s">
        <v>4</v>
      </c>
      <c r="GX297" s="715" t="s">
        <v>4</v>
      </c>
      <c r="GY297" s="715" t="s">
        <v>4</v>
      </c>
      <c r="GZ297" s="715" t="s">
        <v>4</v>
      </c>
      <c r="HA297" s="715" t="s">
        <v>4</v>
      </c>
      <c r="HB297" s="715" t="s">
        <v>4</v>
      </c>
      <c r="HC297" s="715" t="s">
        <v>4</v>
      </c>
      <c r="HD297" s="715" t="s">
        <v>4</v>
      </c>
      <c r="HE297" s="715" t="s">
        <v>4</v>
      </c>
      <c r="HF297" s="715" t="s">
        <v>4</v>
      </c>
      <c r="HG297" s="715" t="s">
        <v>4</v>
      </c>
      <c r="HH297" s="715" t="s">
        <v>4</v>
      </c>
      <c r="HI297" s="715" t="s">
        <v>4</v>
      </c>
      <c r="HJ297" s="715" t="s">
        <v>4</v>
      </c>
      <c r="HK297" s="721" t="s">
        <v>4</v>
      </c>
      <c r="HL297" s="715" t="s">
        <v>4</v>
      </c>
      <c r="HM297" s="715" t="s">
        <v>7</v>
      </c>
      <c r="HN297" s="715" t="s">
        <v>36191</v>
      </c>
      <c r="HO297" s="715" t="s">
        <v>4</v>
      </c>
      <c r="HP297" s="715" t="s">
        <v>36473</v>
      </c>
      <c r="HQ297" s="715" t="s">
        <v>36474</v>
      </c>
      <c r="HR297" s="715" t="s">
        <v>36475</v>
      </c>
      <c r="HS297" s="715" t="s">
        <v>36476</v>
      </c>
      <c r="HT297" s="715" t="s">
        <v>36363</v>
      </c>
    </row>
    <row r="300" spans="2:228" x14ac:dyDescent="0.25">
      <c r="CO300" s="740">
        <f>AVERAGEIF(CO13:CO297,"&gt;0")</f>
        <v>147.14285714285714</v>
      </c>
    </row>
  </sheetData>
  <mergeCells count="5">
    <mergeCell ref="BU11:BW11"/>
    <mergeCell ref="B1:C1"/>
    <mergeCell ref="BU3:BV3"/>
    <mergeCell ref="BU4:BV4"/>
    <mergeCell ref="BU5:BV5"/>
  </mergeCells>
  <phoneticPr fontId="30" type="noConversion"/>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D8D11-F432-4708-911D-D82BCD546FBD}">
  <dimension ref="B2:AD81"/>
  <sheetViews>
    <sheetView workbookViewId="0">
      <selection activeCell="Q33" sqref="Q33"/>
    </sheetView>
  </sheetViews>
  <sheetFormatPr defaultColWidth="8.85546875" defaultRowHeight="15" customHeight="1" x14ac:dyDescent="0.2"/>
  <cols>
    <col min="1" max="1" width="3" style="586" customWidth="1"/>
    <col min="2" max="2" width="5.7109375" style="585" customWidth="1"/>
    <col min="3" max="3" width="22.7109375" style="585" customWidth="1"/>
    <col min="4" max="4" width="2.7109375" style="586" customWidth="1"/>
    <col min="5" max="5" width="10.85546875" style="586" customWidth="1"/>
    <col min="6" max="10" width="15.7109375" style="586" customWidth="1"/>
    <col min="11" max="11" width="2.7109375" style="586" customWidth="1"/>
    <col min="12" max="17" width="11.28515625" style="586" customWidth="1"/>
    <col min="18" max="18" width="2.7109375" style="586" customWidth="1"/>
    <col min="19" max="19" width="2.85546875" style="591" customWidth="1"/>
    <col min="20" max="20" width="2.7109375" style="592" customWidth="1"/>
    <col min="21" max="21" width="16.42578125" style="586" customWidth="1"/>
    <col min="22" max="22" width="25.7109375" style="586" bestFit="1" customWidth="1"/>
    <col min="23" max="23" width="59.7109375" style="586" bestFit="1" customWidth="1"/>
    <col min="24" max="24" width="10.5703125" style="586" bestFit="1" customWidth="1"/>
    <col min="25" max="25" width="14.85546875" style="586" bestFit="1" customWidth="1"/>
    <col min="26" max="27" width="3" style="586" customWidth="1"/>
    <col min="28" max="16384" width="8.85546875" style="586"/>
  </cols>
  <sheetData>
    <row r="2" spans="2:26" ht="12.75" x14ac:dyDescent="0.2">
      <c r="B2" s="584" t="s">
        <v>36272</v>
      </c>
      <c r="E2" s="587"/>
      <c r="F2" s="588" t="s">
        <v>36273</v>
      </c>
      <c r="G2" s="589"/>
      <c r="H2" s="589"/>
      <c r="I2" s="589"/>
      <c r="J2" s="589"/>
      <c r="L2" s="590"/>
      <c r="M2" s="590"/>
      <c r="N2" s="590"/>
      <c r="O2" s="590"/>
      <c r="P2" s="590"/>
      <c r="Q2" s="590"/>
      <c r="U2" s="593" t="s">
        <v>36274</v>
      </c>
    </row>
    <row r="3" spans="2:26" ht="13.5" thickBot="1" x14ac:dyDescent="0.25">
      <c r="E3" s="584"/>
      <c r="L3" s="590"/>
      <c r="M3" s="590"/>
      <c r="N3" s="590"/>
      <c r="O3" s="590"/>
      <c r="P3" s="590"/>
      <c r="Q3" s="590"/>
    </row>
    <row r="4" spans="2:26" ht="12.75" x14ac:dyDescent="0.2">
      <c r="E4" s="594"/>
      <c r="F4" s="594"/>
      <c r="G4" s="594"/>
      <c r="H4" s="594"/>
      <c r="I4" s="594"/>
      <c r="J4" s="594"/>
      <c r="K4" s="595"/>
      <c r="S4" s="876" t="s">
        <v>36275</v>
      </c>
      <c r="T4" s="596"/>
      <c r="U4" s="597"/>
      <c r="V4" s="598"/>
      <c r="W4" s="598"/>
      <c r="X4" s="598"/>
      <c r="Y4" s="598"/>
      <c r="Z4" s="599"/>
    </row>
    <row r="5" spans="2:26" ht="13.5" thickBot="1" x14ac:dyDescent="0.25">
      <c r="B5" s="600" t="s">
        <v>36276</v>
      </c>
      <c r="F5" s="600" t="s">
        <v>36277</v>
      </c>
      <c r="K5" s="595"/>
      <c r="L5" s="600" t="s">
        <v>36278</v>
      </c>
      <c r="S5" s="877"/>
      <c r="T5" s="596"/>
      <c r="U5" s="601"/>
      <c r="V5" s="602" t="s">
        <v>36279</v>
      </c>
      <c r="W5" s="602"/>
      <c r="X5" s="602">
        <v>4</v>
      </c>
      <c r="Y5" s="602"/>
      <c r="Z5" s="603"/>
    </row>
    <row r="6" spans="2:26" ht="12.75" x14ac:dyDescent="0.2">
      <c r="B6" s="604" t="s">
        <v>36280</v>
      </c>
      <c r="C6" s="604" t="s">
        <v>36281</v>
      </c>
      <c r="F6" s="605" t="s">
        <v>36282</v>
      </c>
      <c r="G6" s="606" t="s">
        <v>36283</v>
      </c>
      <c r="H6" s="606" t="s">
        <v>36284</v>
      </c>
      <c r="I6" s="607" t="s">
        <v>36285</v>
      </c>
      <c r="J6" s="607" t="s">
        <v>36286</v>
      </c>
      <c r="K6" s="595"/>
      <c r="L6" s="608" t="s">
        <v>36287</v>
      </c>
      <c r="M6" s="609" t="s">
        <v>11</v>
      </c>
      <c r="N6" s="610" t="s">
        <v>53</v>
      </c>
      <c r="O6" s="610" t="s">
        <v>28</v>
      </c>
      <c r="P6" s="610" t="s">
        <v>36288</v>
      </c>
      <c r="Q6" s="610" t="s">
        <v>27020</v>
      </c>
      <c r="S6" s="877"/>
      <c r="T6" s="611"/>
      <c r="U6" s="601"/>
      <c r="V6" s="602"/>
      <c r="W6" s="602"/>
      <c r="X6" s="602"/>
      <c r="Y6" s="602"/>
      <c r="Z6" s="603"/>
    </row>
    <row r="7" spans="2:26" ht="13.5" thickBot="1" x14ac:dyDescent="0.25">
      <c r="F7" s="612" t="s">
        <v>36289</v>
      </c>
      <c r="G7" s="612" t="s">
        <v>36289</v>
      </c>
      <c r="H7" s="612" t="s">
        <v>36289</v>
      </c>
      <c r="I7" s="613" t="s">
        <v>36289</v>
      </c>
      <c r="J7" s="613" t="s">
        <v>36289</v>
      </c>
      <c r="K7" s="595"/>
      <c r="L7" s="614" t="s">
        <v>27022</v>
      </c>
      <c r="M7" s="615" t="s">
        <v>27022</v>
      </c>
      <c r="N7" s="616" t="s">
        <v>27022</v>
      </c>
      <c r="O7" s="616" t="s">
        <v>27022</v>
      </c>
      <c r="P7" s="616" t="s">
        <v>27022</v>
      </c>
      <c r="Q7" s="616" t="s">
        <v>27022</v>
      </c>
      <c r="S7" s="878"/>
      <c r="T7" s="611"/>
      <c r="U7" s="601"/>
      <c r="V7" s="602" t="s">
        <v>36290</v>
      </c>
      <c r="W7" s="602"/>
      <c r="X7" s="602">
        <v>1000</v>
      </c>
      <c r="Y7" s="602" t="s">
        <v>36291</v>
      </c>
      <c r="Z7" s="603"/>
    </row>
    <row r="8" spans="2:26" ht="13.5" thickBot="1" x14ac:dyDescent="0.25">
      <c r="B8" s="585">
        <f>'[1]Fuel Data'!A9</f>
        <v>1</v>
      </c>
      <c r="C8" s="617" t="str">
        <f>'[1]Fuel Data'!C9</f>
        <v>UG-NOR-1310-2978</v>
      </c>
      <c r="D8" s="585"/>
      <c r="F8" s="618">
        <f>'[1]Fuel Data'!AK9</f>
        <v>5.84</v>
      </c>
      <c r="G8" s="618">
        <f>'[1]Fuel Data'!AL9</f>
        <v>0</v>
      </c>
      <c r="H8" s="618">
        <f>'[1]Fuel Data'!AM9</f>
        <v>0</v>
      </c>
      <c r="I8" s="618">
        <f>'[1]Fuel Data'!AN9</f>
        <v>0</v>
      </c>
      <c r="J8" s="618"/>
      <c r="K8" s="595"/>
      <c r="L8" s="619">
        <f>IF(ISBLANK(F8),"",((F8/$X$7)*365)*$X$9*$X$11)</f>
        <v>2.7859555840366285E-2</v>
      </c>
      <c r="M8" s="620">
        <f>IF(ISBLANK(G8),"",((G8/$X$7)*365*$X$5)*$X$15*$X$17*$X$18)</f>
        <v>0</v>
      </c>
      <c r="N8" s="620">
        <f t="shared" ref="N8:N64" si="0">IF(ISBLANK(H8),"",((H8/$X$7)*365)*$X$21*$X$22)</f>
        <v>0</v>
      </c>
      <c r="O8" s="620">
        <f>IF(ISBLANK(I8),"",((I8/$X$7)*365)*$X$24*$X$25)</f>
        <v>0</v>
      </c>
      <c r="P8" s="620" t="str">
        <f>IF(ISBLANK(J8),"",((J8/$X$7)*365)*$X$24*$X$25)</f>
        <v/>
      </c>
      <c r="Q8" s="621">
        <f>IF(AND(ISBLANK(F8),ISBLANK(G8),ISBLANK(H8),ISBLANK(I8),ISBLANK(J8)),"",SUM(L8:P8))</f>
        <v>2.7859555840366285E-2</v>
      </c>
      <c r="S8" s="591" t="b">
        <v>0</v>
      </c>
      <c r="T8" s="622"/>
      <c r="U8" s="601"/>
      <c r="V8" s="602"/>
      <c r="W8" s="602"/>
      <c r="X8" s="602"/>
      <c r="Y8" s="602"/>
      <c r="Z8" s="603"/>
    </row>
    <row r="9" spans="2:26" ht="16.5" thickBot="1" x14ac:dyDescent="0.35">
      <c r="B9" s="585">
        <f>'[1]Fuel Data'!A10</f>
        <v>2</v>
      </c>
      <c r="C9" s="617" t="str">
        <f>'[1]Fuel Data'!C10</f>
        <v>UG-NOR-1402-3284</v>
      </c>
      <c r="D9" s="585"/>
      <c r="F9" s="618">
        <f>'[1]Fuel Data'!AK10</f>
        <v>0</v>
      </c>
      <c r="G9" s="618">
        <f>'[1]Fuel Data'!AL10</f>
        <v>2.2600000000000002</v>
      </c>
      <c r="H9" s="618">
        <f>'[1]Fuel Data'!AM10</f>
        <v>0</v>
      </c>
      <c r="I9" s="618">
        <f>'[1]Fuel Data'!AN10</f>
        <v>0</v>
      </c>
      <c r="J9" s="618"/>
      <c r="K9" s="595"/>
      <c r="L9" s="619">
        <f>IF(ISBLANK(F9),"",((F9/$X$7)*365)*$X$9*$X$11*$X$12)</f>
        <v>0</v>
      </c>
      <c r="M9" s="620">
        <f t="shared" ref="M9:M64" si="1">IF(ISBLANK(G9),"",((G9/$X$7)*365*$X$5)*$X$15*$X$17*$X$18)</f>
        <v>13.455849885833393</v>
      </c>
      <c r="N9" s="620">
        <f t="shared" si="0"/>
        <v>0</v>
      </c>
      <c r="O9" s="620">
        <f t="shared" ref="O9:P45" si="2">IF(ISBLANK(I9),"",((I9/$X$7)*365)*$X$24*$X$25)</f>
        <v>0</v>
      </c>
      <c r="P9" s="620" t="str">
        <f t="shared" si="2"/>
        <v/>
      </c>
      <c r="Q9" s="621">
        <f t="shared" ref="Q9:Q54" si="3">IF(AND(ISBLANK(F9),ISBLANK(G9),ISBLANK(H9),ISBLANK(I9),ISBLANK(J9)),"",SUM(L9:P9))</f>
        <v>13.455849885833393</v>
      </c>
      <c r="S9" s="591" t="b">
        <v>0</v>
      </c>
      <c r="T9" s="622"/>
      <c r="U9" s="623" t="s">
        <v>36292</v>
      </c>
      <c r="V9" s="624" t="s">
        <v>36293</v>
      </c>
      <c r="W9" s="625" t="s">
        <v>128</v>
      </c>
      <c r="X9" s="626">
        <f>FNRB</f>
        <v>0.83780679495498411</v>
      </c>
      <c r="Y9" s="627" t="s">
        <v>129</v>
      </c>
      <c r="Z9" s="603"/>
    </row>
    <row r="10" spans="2:26" ht="16.5" thickBot="1" x14ac:dyDescent="0.35">
      <c r="B10" s="585">
        <f>'[1]Fuel Data'!A11</f>
        <v>4</v>
      </c>
      <c r="C10" s="617" t="str">
        <f>'[1]Fuel Data'!C11</f>
        <v>UG-NOR-1311-3515</v>
      </c>
      <c r="D10" s="585"/>
      <c r="F10" s="618">
        <f>'[1]Fuel Data'!AK11</f>
        <v>0</v>
      </c>
      <c r="G10" s="618">
        <f>'[1]Fuel Data'!AL11</f>
        <v>1.3099999999999996</v>
      </c>
      <c r="H10" s="618">
        <f>'[1]Fuel Data'!AM11</f>
        <v>0</v>
      </c>
      <c r="I10" s="618">
        <f>'[1]Fuel Data'!AN11</f>
        <v>0</v>
      </c>
      <c r="J10" s="618"/>
      <c r="K10" s="595"/>
      <c r="L10" s="619">
        <f t="shared" ref="L10:L54" si="4">IF(ISBLANK(F10),"",((F10/$X$7)*365)*$X$9*$X$11*$X$12)</f>
        <v>0</v>
      </c>
      <c r="M10" s="620">
        <f t="shared" si="1"/>
        <v>7.7996298010804166</v>
      </c>
      <c r="N10" s="620">
        <f t="shared" si="0"/>
        <v>0</v>
      </c>
      <c r="O10" s="620">
        <f t="shared" si="2"/>
        <v>0</v>
      </c>
      <c r="P10" s="620" t="str">
        <f t="shared" si="2"/>
        <v/>
      </c>
      <c r="Q10" s="621">
        <f t="shared" si="3"/>
        <v>7.7996298010804166</v>
      </c>
      <c r="S10" s="591" t="b">
        <v>0</v>
      </c>
      <c r="T10" s="622"/>
      <c r="U10" s="628"/>
      <c r="V10" s="625" t="s">
        <v>36294</v>
      </c>
      <c r="W10" s="625" t="s">
        <v>36295</v>
      </c>
      <c r="X10" s="629" t="s">
        <v>36296</v>
      </c>
      <c r="Y10" s="630" t="s">
        <v>36297</v>
      </c>
      <c r="Z10" s="603"/>
    </row>
    <row r="11" spans="2:26" ht="16.5" thickBot="1" x14ac:dyDescent="0.35">
      <c r="B11" s="585">
        <f>'[1]Fuel Data'!A12</f>
        <v>5</v>
      </c>
      <c r="C11" s="617" t="str">
        <f>'[1]Fuel Data'!C12</f>
        <v>UG-NOR-1107-549</v>
      </c>
      <c r="D11" s="585"/>
      <c r="F11" s="618">
        <f>'[1]Fuel Data'!AK12</f>
        <v>0</v>
      </c>
      <c r="G11" s="618">
        <f>'[1]Fuel Data'!AL12</f>
        <v>2</v>
      </c>
      <c r="H11" s="618">
        <f>'[1]Fuel Data'!AM12</f>
        <v>0</v>
      </c>
      <c r="I11" s="618">
        <f>'[1]Fuel Data'!AN12</f>
        <v>0</v>
      </c>
      <c r="J11" s="618"/>
      <c r="K11" s="595"/>
      <c r="L11" s="619">
        <f t="shared" si="4"/>
        <v>0</v>
      </c>
      <c r="M11" s="620">
        <f t="shared" si="1"/>
        <v>11.907831757374684</v>
      </c>
      <c r="N11" s="620">
        <f t="shared" si="0"/>
        <v>0</v>
      </c>
      <c r="O11" s="620">
        <f t="shared" si="2"/>
        <v>0</v>
      </c>
      <c r="P11" s="620" t="str">
        <f t="shared" si="2"/>
        <v/>
      </c>
      <c r="Q11" s="621">
        <f t="shared" si="3"/>
        <v>11.907831757374684</v>
      </c>
      <c r="S11" s="591" t="b">
        <v>0</v>
      </c>
      <c r="T11" s="622"/>
      <c r="U11" s="628"/>
      <c r="V11" s="631" t="s">
        <v>36298</v>
      </c>
      <c r="W11" s="625" t="s">
        <v>36299</v>
      </c>
      <c r="X11" s="627">
        <v>1.5599999999999999E-2</v>
      </c>
      <c r="Y11" s="627" t="s">
        <v>130</v>
      </c>
      <c r="Z11" s="603"/>
    </row>
    <row r="12" spans="2:26" ht="16.5" thickBot="1" x14ac:dyDescent="0.35">
      <c r="B12" s="585">
        <f>'[1]Fuel Data'!A13</f>
        <v>6</v>
      </c>
      <c r="C12" s="617" t="str">
        <f>'[1]Fuel Data'!C13</f>
        <v>UG-WES-1810-012816</v>
      </c>
      <c r="D12" s="585"/>
      <c r="F12" s="618">
        <f>'[1]Fuel Data'!AK13</f>
        <v>10.010000000000002</v>
      </c>
      <c r="G12" s="618">
        <f>'[1]Fuel Data'!AL13</f>
        <v>0</v>
      </c>
      <c r="H12" s="618">
        <f>'[1]Fuel Data'!AM13</f>
        <v>0</v>
      </c>
      <c r="I12" s="618">
        <f>'[1]Fuel Data'!AN13</f>
        <v>0</v>
      </c>
      <c r="J12" s="618"/>
      <c r="K12" s="595"/>
      <c r="L12" s="619">
        <f t="shared" si="4"/>
        <v>5.3482714458478533</v>
      </c>
      <c r="M12" s="620">
        <f t="shared" si="1"/>
        <v>0</v>
      </c>
      <c r="N12" s="620">
        <f t="shared" si="0"/>
        <v>0</v>
      </c>
      <c r="O12" s="620">
        <f t="shared" si="2"/>
        <v>0</v>
      </c>
      <c r="P12" s="620" t="str">
        <f t="shared" si="2"/>
        <v/>
      </c>
      <c r="Q12" s="621">
        <f t="shared" si="3"/>
        <v>5.3482714458478533</v>
      </c>
      <c r="S12" s="591" t="b">
        <v>0</v>
      </c>
      <c r="T12" s="622"/>
      <c r="U12" s="628"/>
      <c r="V12" s="631" t="s">
        <v>36300</v>
      </c>
      <c r="W12" s="625" t="s">
        <v>36301</v>
      </c>
      <c r="X12" s="627">
        <v>112</v>
      </c>
      <c r="Y12" s="627" t="s">
        <v>36302</v>
      </c>
      <c r="Z12" s="603"/>
    </row>
    <row r="13" spans="2:26" ht="16.5" thickBot="1" x14ac:dyDescent="0.35">
      <c r="B13" s="585">
        <f>'[1]Fuel Data'!A14</f>
        <v>7</v>
      </c>
      <c r="C13" s="617" t="str">
        <f>'[1]Fuel Data'!C14</f>
        <v>UG-WES-1305-6273</v>
      </c>
      <c r="D13" s="585"/>
      <c r="F13" s="618">
        <f>'[1]Fuel Data'!AK14</f>
        <v>8.2800000000000011</v>
      </c>
      <c r="G13" s="618">
        <f>'[1]Fuel Data'!AL14</f>
        <v>0</v>
      </c>
      <c r="H13" s="618">
        <f>'[1]Fuel Data'!AM14</f>
        <v>0</v>
      </c>
      <c r="I13" s="618">
        <f>'[1]Fuel Data'!AN14</f>
        <v>0</v>
      </c>
      <c r="J13" s="618"/>
      <c r="K13" s="595"/>
      <c r="L13" s="619">
        <f t="shared" si="4"/>
        <v>4.4239448123496716</v>
      </c>
      <c r="M13" s="620">
        <f t="shared" si="1"/>
        <v>0</v>
      </c>
      <c r="N13" s="620">
        <f t="shared" si="0"/>
        <v>0</v>
      </c>
      <c r="O13" s="620">
        <f t="shared" si="2"/>
        <v>0</v>
      </c>
      <c r="P13" s="620" t="str">
        <f t="shared" si="2"/>
        <v/>
      </c>
      <c r="Q13" s="621">
        <f t="shared" si="3"/>
        <v>4.4239448123496716</v>
      </c>
      <c r="S13" s="591" t="b">
        <v>0</v>
      </c>
      <c r="T13" s="622"/>
      <c r="U13" s="632"/>
      <c r="V13" s="625" t="s">
        <v>36303</v>
      </c>
      <c r="W13" s="625" t="s">
        <v>36304</v>
      </c>
      <c r="X13" s="633" t="s">
        <v>36305</v>
      </c>
      <c r="Y13" s="630" t="s">
        <v>36306</v>
      </c>
      <c r="Z13" s="634"/>
    </row>
    <row r="14" spans="2:26" ht="13.5" thickBot="1" x14ac:dyDescent="0.25">
      <c r="B14" s="585">
        <f>'[1]Fuel Data'!A15</f>
        <v>8</v>
      </c>
      <c r="C14" s="617" t="str">
        <f>'[1]Fuel Data'!C15</f>
        <v>UG-WES-1807-06971</v>
      </c>
      <c r="D14" s="585"/>
      <c r="F14" s="618">
        <f>'[1]Fuel Data'!AK15</f>
        <v>0</v>
      </c>
      <c r="G14" s="618">
        <f>'[1]Fuel Data'!AL15</f>
        <v>0</v>
      </c>
      <c r="H14" s="618">
        <f>'[1]Fuel Data'!AM15</f>
        <v>0</v>
      </c>
      <c r="I14" s="618">
        <f>'[1]Fuel Data'!AN15</f>
        <v>0</v>
      </c>
      <c r="J14" s="618"/>
      <c r="K14" s="595"/>
      <c r="L14" s="619">
        <f t="shared" si="4"/>
        <v>0</v>
      </c>
      <c r="M14" s="620">
        <f t="shared" si="1"/>
        <v>0</v>
      </c>
      <c r="N14" s="620">
        <f t="shared" si="0"/>
        <v>0</v>
      </c>
      <c r="O14" s="620">
        <f t="shared" si="2"/>
        <v>0</v>
      </c>
      <c r="P14" s="620" t="str">
        <f t="shared" si="2"/>
        <v/>
      </c>
      <c r="Q14" s="621">
        <f t="shared" si="3"/>
        <v>0</v>
      </c>
      <c r="S14" s="591" t="b">
        <v>0</v>
      </c>
      <c r="T14" s="622"/>
      <c r="U14" s="628"/>
      <c r="V14" s="625"/>
      <c r="W14" s="625"/>
      <c r="X14" s="625"/>
      <c r="Y14" s="625"/>
      <c r="Z14" s="635"/>
    </row>
    <row r="15" spans="2:26" ht="16.5" thickBot="1" x14ac:dyDescent="0.35">
      <c r="B15" s="585">
        <f>'[1]Fuel Data'!A16</f>
        <v>9</v>
      </c>
      <c r="C15" s="617" t="str">
        <f>'[1]Fuel Data'!C16</f>
        <v>UG-WES-1403-554</v>
      </c>
      <c r="D15" s="585"/>
      <c r="F15" s="618">
        <f>'[1]Fuel Data'!AK16</f>
        <v>1.7300000000000004</v>
      </c>
      <c r="G15" s="618">
        <f>'[1]Fuel Data'!AL16</f>
        <v>0</v>
      </c>
      <c r="H15" s="618">
        <f>'[1]Fuel Data'!AM16</f>
        <v>0</v>
      </c>
      <c r="I15" s="618">
        <f>'[1]Fuel Data'!AN16</f>
        <v>0</v>
      </c>
      <c r="J15" s="618"/>
      <c r="K15" s="595"/>
      <c r="L15" s="619">
        <f t="shared" si="4"/>
        <v>0.92432663349818023</v>
      </c>
      <c r="M15" s="620">
        <f t="shared" si="1"/>
        <v>0</v>
      </c>
      <c r="N15" s="620">
        <f t="shared" si="0"/>
        <v>0</v>
      </c>
      <c r="O15" s="620">
        <f t="shared" si="2"/>
        <v>0</v>
      </c>
      <c r="P15" s="620" t="str">
        <f t="shared" si="2"/>
        <v/>
      </c>
      <c r="Q15" s="621">
        <f t="shared" si="3"/>
        <v>0.92432663349818023</v>
      </c>
      <c r="S15" s="591" t="b">
        <v>0</v>
      </c>
      <c r="T15" s="622"/>
      <c r="U15" s="623" t="s">
        <v>11</v>
      </c>
      <c r="V15" s="624" t="s">
        <v>36293</v>
      </c>
      <c r="W15" s="625" t="s">
        <v>128</v>
      </c>
      <c r="X15" s="626">
        <f>X9</f>
        <v>0.83780679495498411</v>
      </c>
      <c r="Y15" s="627" t="s">
        <v>129</v>
      </c>
      <c r="Z15" s="635"/>
    </row>
    <row r="16" spans="2:26" ht="16.5" thickBot="1" x14ac:dyDescent="0.35">
      <c r="B16" s="585">
        <f>'[1]Fuel Data'!A17</f>
        <v>10</v>
      </c>
      <c r="C16" s="617" t="str">
        <f>'[1]Fuel Data'!C17</f>
        <v>UG-WES-1101-5905</v>
      </c>
      <c r="D16" s="585"/>
      <c r="F16" s="618">
        <f>'[1]Fuel Data'!AK17</f>
        <v>16.000000000000004</v>
      </c>
      <c r="G16" s="618">
        <f>'[1]Fuel Data'!AL17</f>
        <v>0</v>
      </c>
      <c r="H16" s="618">
        <f>'[1]Fuel Data'!AM17</f>
        <v>0</v>
      </c>
      <c r="I16" s="618">
        <f>'[1]Fuel Data'!AN17</f>
        <v>0</v>
      </c>
      <c r="J16" s="618"/>
      <c r="K16" s="595"/>
      <c r="L16" s="619">
        <f t="shared" si="4"/>
        <v>8.5486856277288368</v>
      </c>
      <c r="M16" s="620">
        <f t="shared" si="1"/>
        <v>0</v>
      </c>
      <c r="N16" s="620">
        <f t="shared" si="0"/>
        <v>0</v>
      </c>
      <c r="O16" s="620">
        <f t="shared" si="2"/>
        <v>0</v>
      </c>
      <c r="P16" s="620" t="str">
        <f t="shared" si="2"/>
        <v/>
      </c>
      <c r="Q16" s="621">
        <f t="shared" si="3"/>
        <v>8.5486856277288368</v>
      </c>
      <c r="S16" s="591" t="b">
        <v>0</v>
      </c>
      <c r="T16" s="622"/>
      <c r="U16" s="628"/>
      <c r="V16" s="625" t="s">
        <v>36294</v>
      </c>
      <c r="W16" s="625" t="s">
        <v>36295</v>
      </c>
      <c r="X16" s="629" t="s">
        <v>36296</v>
      </c>
      <c r="Y16" s="630" t="s">
        <v>36297</v>
      </c>
      <c r="Z16" s="635"/>
    </row>
    <row r="17" spans="2:30" ht="16.5" thickBot="1" x14ac:dyDescent="0.35">
      <c r="B17" s="585">
        <f>'[1]Fuel Data'!A18</f>
        <v>11</v>
      </c>
      <c r="C17" s="617" t="str">
        <f>'[1]Fuel Data'!C18</f>
        <v>UG-WES-1902-012846</v>
      </c>
      <c r="D17" s="585"/>
      <c r="F17" s="618">
        <f>'[1]Fuel Data'!AK18</f>
        <v>15.2</v>
      </c>
      <c r="G17" s="618">
        <f>'[1]Fuel Data'!AL18</f>
        <v>0</v>
      </c>
      <c r="H17" s="618">
        <f>'[1]Fuel Data'!AM18</f>
        <v>0</v>
      </c>
      <c r="I17" s="618">
        <f>'[1]Fuel Data'!AN18</f>
        <v>0</v>
      </c>
      <c r="J17" s="618"/>
      <c r="K17" s="595"/>
      <c r="L17" s="619">
        <f t="shared" si="4"/>
        <v>8.1212513463423921</v>
      </c>
      <c r="M17" s="620">
        <f t="shared" si="1"/>
        <v>0</v>
      </c>
      <c r="N17" s="620">
        <f t="shared" si="0"/>
        <v>0</v>
      </c>
      <c r="O17" s="620">
        <f t="shared" si="2"/>
        <v>0</v>
      </c>
      <c r="P17" s="620" t="str">
        <f t="shared" si="2"/>
        <v/>
      </c>
      <c r="Q17" s="621">
        <f t="shared" si="3"/>
        <v>8.1212513463423921</v>
      </c>
      <c r="S17" s="591" t="b">
        <v>0</v>
      </c>
      <c r="T17" s="622"/>
      <c r="U17" s="628"/>
      <c r="V17" s="631" t="s">
        <v>36298</v>
      </c>
      <c r="W17" s="625" t="s">
        <v>36299</v>
      </c>
      <c r="X17" s="627">
        <f>PE_LE!M67</f>
        <v>2.9499999999999998E-2</v>
      </c>
      <c r="Y17" s="627" t="s">
        <v>130</v>
      </c>
      <c r="Z17" s="635"/>
    </row>
    <row r="18" spans="2:30" ht="16.5" thickBot="1" x14ac:dyDescent="0.35">
      <c r="B18" s="585">
        <f>'[1]Fuel Data'!A19</f>
        <v>12</v>
      </c>
      <c r="C18" s="617" t="str">
        <f>'[1]Fuel Data'!C19</f>
        <v>UG-WES-1611-3483</v>
      </c>
      <c r="D18" s="585"/>
      <c r="F18" s="618">
        <f>'[1]Fuel Data'!AK19</f>
        <v>16.700000000000003</v>
      </c>
      <c r="G18" s="618">
        <f>'[1]Fuel Data'!AL19</f>
        <v>0</v>
      </c>
      <c r="H18" s="618">
        <f>'[1]Fuel Data'!AM19</f>
        <v>0</v>
      </c>
      <c r="I18" s="618">
        <f>'[1]Fuel Data'!AN19</f>
        <v>0</v>
      </c>
      <c r="J18" s="618"/>
      <c r="K18" s="595"/>
      <c r="L18" s="619">
        <f t="shared" si="4"/>
        <v>8.922690623941973</v>
      </c>
      <c r="M18" s="620">
        <f t="shared" si="1"/>
        <v>0</v>
      </c>
      <c r="N18" s="620">
        <f t="shared" si="0"/>
        <v>0</v>
      </c>
      <c r="O18" s="620">
        <f t="shared" si="2"/>
        <v>0</v>
      </c>
      <c r="P18" s="620" t="str">
        <f t="shared" si="2"/>
        <v/>
      </c>
      <c r="Q18" s="621">
        <f t="shared" si="3"/>
        <v>8.922690623941973</v>
      </c>
      <c r="S18" s="591" t="b">
        <v>0</v>
      </c>
      <c r="T18" s="622"/>
      <c r="U18" s="628"/>
      <c r="V18" s="631" t="s">
        <v>36300</v>
      </c>
      <c r="W18" s="625" t="s">
        <v>36301</v>
      </c>
      <c r="X18" s="627">
        <f>PE_LE!M68</f>
        <v>165</v>
      </c>
      <c r="Y18" s="627" t="s">
        <v>36302</v>
      </c>
      <c r="Z18" s="635"/>
    </row>
    <row r="19" spans="2:30" ht="16.5" thickBot="1" x14ac:dyDescent="0.35">
      <c r="B19" s="585">
        <f>'[1]Fuel Data'!A20</f>
        <v>13</v>
      </c>
      <c r="C19" s="617" t="str">
        <f>'[1]Fuel Data'!C20</f>
        <v>UG-NOR-2108-014123</v>
      </c>
      <c r="D19" s="585"/>
      <c r="F19" s="618">
        <f>'[1]Fuel Data'!AK20</f>
        <v>0</v>
      </c>
      <c r="G19" s="618">
        <f>'[1]Fuel Data'!AL20</f>
        <v>1.2000000000000002</v>
      </c>
      <c r="H19" s="618">
        <f>'[1]Fuel Data'!AM20</f>
        <v>0</v>
      </c>
      <c r="I19" s="618">
        <f>'[1]Fuel Data'!AN20</f>
        <v>0</v>
      </c>
      <c r="J19" s="618"/>
      <c r="K19" s="595"/>
      <c r="L19" s="619">
        <f t="shared" si="4"/>
        <v>0</v>
      </c>
      <c r="M19" s="620">
        <f t="shared" si="1"/>
        <v>7.1446990544248115</v>
      </c>
      <c r="N19" s="620">
        <f t="shared" si="0"/>
        <v>0</v>
      </c>
      <c r="O19" s="620">
        <f t="shared" si="2"/>
        <v>0</v>
      </c>
      <c r="P19" s="620" t="str">
        <f t="shared" si="2"/>
        <v/>
      </c>
      <c r="Q19" s="621">
        <f t="shared" si="3"/>
        <v>7.1446990544248115</v>
      </c>
      <c r="S19" s="591" t="b">
        <v>0</v>
      </c>
      <c r="T19" s="622"/>
      <c r="U19" s="628"/>
      <c r="V19" s="625" t="s">
        <v>36303</v>
      </c>
      <c r="W19" s="625" t="s">
        <v>36304</v>
      </c>
      <c r="X19" s="633" t="s">
        <v>36305</v>
      </c>
      <c r="Y19" s="630" t="s">
        <v>36306</v>
      </c>
      <c r="Z19" s="635"/>
    </row>
    <row r="20" spans="2:30" ht="13.5" thickBot="1" x14ac:dyDescent="0.25">
      <c r="B20" s="585">
        <f>'[1]Fuel Data'!A21</f>
        <v>14</v>
      </c>
      <c r="C20" s="617" t="str">
        <f>'[1]Fuel Data'!C21</f>
        <v>UG-NOR-2211-010001</v>
      </c>
      <c r="D20" s="585"/>
      <c r="F20" s="618">
        <f>'[1]Fuel Data'!AK21</f>
        <v>5.8000000000000007</v>
      </c>
      <c r="G20" s="618">
        <f>'[1]Fuel Data'!AL21</f>
        <v>0</v>
      </c>
      <c r="H20" s="618">
        <f>'[1]Fuel Data'!AM21</f>
        <v>0</v>
      </c>
      <c r="I20" s="618">
        <f>'[1]Fuel Data'!AN21</f>
        <v>0</v>
      </c>
      <c r="J20" s="618"/>
      <c r="K20" s="595"/>
      <c r="L20" s="619">
        <f t="shared" si="4"/>
        <v>3.0988985400517022</v>
      </c>
      <c r="M20" s="620">
        <f t="shared" si="1"/>
        <v>0</v>
      </c>
      <c r="N20" s="620">
        <f t="shared" si="0"/>
        <v>0</v>
      </c>
      <c r="O20" s="620">
        <f t="shared" si="2"/>
        <v>0</v>
      </c>
      <c r="P20" s="620" t="str">
        <f t="shared" si="2"/>
        <v/>
      </c>
      <c r="Q20" s="621">
        <f t="shared" si="3"/>
        <v>3.0988985400517022</v>
      </c>
      <c r="S20" s="591" t="b">
        <v>0</v>
      </c>
      <c r="T20" s="622"/>
      <c r="U20" s="628"/>
      <c r="V20" s="625"/>
      <c r="W20" s="625"/>
      <c r="X20" s="633"/>
      <c r="Y20" s="630"/>
      <c r="Z20" s="635"/>
    </row>
    <row r="21" spans="2:30" ht="16.5" thickBot="1" x14ac:dyDescent="0.35">
      <c r="B21" s="585">
        <f>'[1]Fuel Data'!A22</f>
        <v>15</v>
      </c>
      <c r="C21" s="617" t="str">
        <f>'[1]Fuel Data'!C22</f>
        <v>UG-NOR-1303-5277</v>
      </c>
      <c r="D21" s="585"/>
      <c r="F21" s="618">
        <f>'[1]Fuel Data'!AK22</f>
        <v>0</v>
      </c>
      <c r="G21" s="618">
        <f>'[1]Fuel Data'!AL22</f>
        <v>0.20000000000000018</v>
      </c>
      <c r="H21" s="618">
        <f>'[1]Fuel Data'!AM22</f>
        <v>0</v>
      </c>
      <c r="I21" s="618">
        <f>'[1]Fuel Data'!AN22</f>
        <v>0</v>
      </c>
      <c r="J21" s="618"/>
      <c r="K21" s="595"/>
      <c r="L21" s="619">
        <f t="shared" si="4"/>
        <v>0</v>
      </c>
      <c r="M21" s="620">
        <f t="shared" si="1"/>
        <v>1.1907831757374694</v>
      </c>
      <c r="N21" s="620">
        <f t="shared" si="0"/>
        <v>0</v>
      </c>
      <c r="O21" s="620">
        <f t="shared" si="2"/>
        <v>0</v>
      </c>
      <c r="P21" s="620" t="str">
        <f t="shared" si="2"/>
        <v/>
      </c>
      <c r="Q21" s="621">
        <f t="shared" si="3"/>
        <v>1.1907831757374694</v>
      </c>
      <c r="S21" s="591" t="b">
        <v>0</v>
      </c>
      <c r="T21" s="622"/>
      <c r="U21" s="623" t="s">
        <v>53</v>
      </c>
      <c r="V21" s="631" t="s">
        <v>36307</v>
      </c>
      <c r="W21" s="625" t="s">
        <v>36308</v>
      </c>
      <c r="X21" s="627">
        <v>4.3799999999999999E-2</v>
      </c>
      <c r="Y21" s="627" t="s">
        <v>130</v>
      </c>
      <c r="Z21" s="635"/>
    </row>
    <row r="22" spans="2:30" ht="16.5" thickBot="1" x14ac:dyDescent="0.35">
      <c r="B22" s="585">
        <f>'[1]Fuel Data'!A23</f>
        <v>16</v>
      </c>
      <c r="C22" s="617" t="str">
        <f>'[1]Fuel Data'!C23</f>
        <v>UG-NOR-1904-07873</v>
      </c>
      <c r="D22" s="585"/>
      <c r="F22" s="618">
        <f>'[1]Fuel Data'!AK23</f>
        <v>0</v>
      </c>
      <c r="G22" s="618">
        <f>'[1]Fuel Data'!AL23</f>
        <v>1.8399999999999999</v>
      </c>
      <c r="H22" s="618">
        <f>'[1]Fuel Data'!AM23</f>
        <v>0</v>
      </c>
      <c r="I22" s="618">
        <f>'[1]Fuel Data'!AN23</f>
        <v>0</v>
      </c>
      <c r="J22" s="618"/>
      <c r="K22" s="595"/>
      <c r="L22" s="619">
        <f t="shared" si="4"/>
        <v>0</v>
      </c>
      <c r="M22" s="620">
        <f t="shared" si="1"/>
        <v>10.955205216784709</v>
      </c>
      <c r="N22" s="620">
        <f t="shared" si="0"/>
        <v>0</v>
      </c>
      <c r="O22" s="620">
        <f t="shared" si="2"/>
        <v>0</v>
      </c>
      <c r="P22" s="620" t="str">
        <f t="shared" si="2"/>
        <v/>
      </c>
      <c r="Q22" s="621">
        <f t="shared" si="3"/>
        <v>10.955205216784709</v>
      </c>
      <c r="S22" s="591" t="b">
        <v>0</v>
      </c>
      <c r="T22" s="622"/>
      <c r="U22" s="623"/>
      <c r="V22" s="631" t="s">
        <v>36309</v>
      </c>
      <c r="W22" s="625" t="s">
        <v>36310</v>
      </c>
      <c r="X22" s="627">
        <v>71.900000000000006</v>
      </c>
      <c r="Y22" s="627" t="s">
        <v>36302</v>
      </c>
      <c r="Z22" s="635"/>
    </row>
    <row r="23" spans="2:30" ht="13.5" thickBot="1" x14ac:dyDescent="0.25">
      <c r="B23" s="585">
        <f>'[1]Fuel Data'!A24</f>
        <v>17</v>
      </c>
      <c r="C23" s="617" t="str">
        <f>'[1]Fuel Data'!C24</f>
        <v>UG-NOR-2202-021388</v>
      </c>
      <c r="D23" s="585"/>
      <c r="F23" s="618">
        <f>'[1]Fuel Data'!AK24</f>
        <v>10.060000000000002</v>
      </c>
      <c r="G23" s="618">
        <f>'[1]Fuel Data'!AL24</f>
        <v>0</v>
      </c>
      <c r="H23" s="618">
        <f>'[1]Fuel Data'!AM24</f>
        <v>0</v>
      </c>
      <c r="I23" s="618">
        <f>'[1]Fuel Data'!AN24</f>
        <v>0</v>
      </c>
      <c r="J23" s="618"/>
      <c r="K23" s="595"/>
      <c r="L23" s="619">
        <f t="shared" si="4"/>
        <v>5.3749860884345058</v>
      </c>
      <c r="M23" s="620">
        <f t="shared" si="1"/>
        <v>0</v>
      </c>
      <c r="N23" s="620">
        <f t="shared" si="0"/>
        <v>0</v>
      </c>
      <c r="O23" s="620">
        <f t="shared" si="2"/>
        <v>0</v>
      </c>
      <c r="P23" s="620" t="str">
        <f t="shared" si="2"/>
        <v/>
      </c>
      <c r="Q23" s="621">
        <f t="shared" si="3"/>
        <v>5.3749860884345058</v>
      </c>
      <c r="S23" s="591" t="b">
        <v>0</v>
      </c>
      <c r="T23" s="622"/>
      <c r="U23" s="623"/>
      <c r="V23" s="602"/>
      <c r="W23" s="602"/>
      <c r="X23" s="602"/>
      <c r="Y23" s="602"/>
      <c r="Z23" s="635"/>
    </row>
    <row r="24" spans="2:30" ht="16.5" thickBot="1" x14ac:dyDescent="0.35">
      <c r="B24" s="585">
        <f>'[1]Fuel Data'!A25</f>
        <v>19</v>
      </c>
      <c r="C24" s="617" t="str">
        <f>'[1]Fuel Data'!C25</f>
        <v>UG-NOR-2210-010807</v>
      </c>
      <c r="D24" s="585"/>
      <c r="F24" s="618">
        <f>'[1]Fuel Data'!AK25</f>
        <v>6.58</v>
      </c>
      <c r="G24" s="618">
        <f>'[1]Fuel Data'!AL25</f>
        <v>0</v>
      </c>
      <c r="H24" s="618">
        <f>'[1]Fuel Data'!AM25</f>
        <v>0</v>
      </c>
      <c r="I24" s="618">
        <f>'[1]Fuel Data'!AN25</f>
        <v>0</v>
      </c>
      <c r="J24" s="618"/>
      <c r="K24" s="595"/>
      <c r="L24" s="619">
        <f t="shared" si="4"/>
        <v>3.5156469644034827</v>
      </c>
      <c r="M24" s="620">
        <f t="shared" si="1"/>
        <v>0</v>
      </c>
      <c r="N24" s="620">
        <f t="shared" si="0"/>
        <v>0</v>
      </c>
      <c r="O24" s="620">
        <f t="shared" si="2"/>
        <v>0</v>
      </c>
      <c r="P24" s="620" t="str">
        <f t="shared" si="2"/>
        <v/>
      </c>
      <c r="Q24" s="621">
        <f t="shared" si="3"/>
        <v>3.5156469644034827</v>
      </c>
      <c r="S24" s="591" t="b">
        <v>0</v>
      </c>
      <c r="T24" s="622"/>
      <c r="U24" s="623" t="s">
        <v>28</v>
      </c>
      <c r="V24" s="631" t="s">
        <v>36311</v>
      </c>
      <c r="W24" s="625" t="s">
        <v>36312</v>
      </c>
      <c r="X24" s="627">
        <v>4.7300000000000002E-2</v>
      </c>
      <c r="Y24" s="627" t="s">
        <v>130</v>
      </c>
      <c r="Z24" s="635"/>
    </row>
    <row r="25" spans="2:30" ht="16.5" thickBot="1" x14ac:dyDescent="0.35">
      <c r="B25" s="585">
        <f>'[1]Fuel Data'!A26</f>
        <v>20</v>
      </c>
      <c r="C25" s="617" t="str">
        <f>'[1]Fuel Data'!C26</f>
        <v>UG-CEN-1306-2924</v>
      </c>
      <c r="D25" s="585"/>
      <c r="F25" s="618">
        <f>'[1]Fuel Data'!AK26</f>
        <v>4.5999999999999996</v>
      </c>
      <c r="G25" s="618">
        <f>'[1]Fuel Data'!AL26</f>
        <v>0</v>
      </c>
      <c r="H25" s="618">
        <f>'[1]Fuel Data'!AM26</f>
        <v>0</v>
      </c>
      <c r="I25" s="618">
        <f>'[1]Fuel Data'!AN26</f>
        <v>0</v>
      </c>
      <c r="J25" s="618"/>
      <c r="K25" s="595"/>
      <c r="L25" s="619">
        <f t="shared" si="4"/>
        <v>2.4577471179720396</v>
      </c>
      <c r="M25" s="620">
        <f t="shared" si="1"/>
        <v>0</v>
      </c>
      <c r="N25" s="620">
        <f t="shared" si="0"/>
        <v>0</v>
      </c>
      <c r="O25" s="620">
        <f t="shared" si="2"/>
        <v>0</v>
      </c>
      <c r="P25" s="620" t="str">
        <f t="shared" si="2"/>
        <v/>
      </c>
      <c r="Q25" s="621">
        <f t="shared" si="3"/>
        <v>2.4577471179720396</v>
      </c>
      <c r="S25" s="591" t="b">
        <v>0</v>
      </c>
      <c r="T25" s="622"/>
      <c r="U25" s="623"/>
      <c r="V25" s="631" t="s">
        <v>36309</v>
      </c>
      <c r="W25" s="625" t="s">
        <v>36313</v>
      </c>
      <c r="X25" s="627">
        <v>63.1</v>
      </c>
      <c r="Y25" s="627" t="s">
        <v>36302</v>
      </c>
      <c r="Z25" s="635"/>
    </row>
    <row r="26" spans="2:30" ht="13.5" thickBot="1" x14ac:dyDescent="0.25">
      <c r="B26" s="585">
        <f>'[1]Fuel Data'!A27</f>
        <v>21</v>
      </c>
      <c r="C26" s="617" t="str">
        <f>'[1]Fuel Data'!C27</f>
        <v>UG-CEN-1402-5961</v>
      </c>
      <c r="D26" s="585"/>
      <c r="F26" s="618">
        <f>'[1]Fuel Data'!AK27</f>
        <v>1.9000000000000004</v>
      </c>
      <c r="G26" s="618">
        <f>'[1]Fuel Data'!AL27</f>
        <v>0</v>
      </c>
      <c r="H26" s="618">
        <f>'[1]Fuel Data'!AM27</f>
        <v>0</v>
      </c>
      <c r="I26" s="618">
        <f>'[1]Fuel Data'!AN27</f>
        <v>0</v>
      </c>
      <c r="J26" s="618"/>
      <c r="K26" s="595"/>
      <c r="L26" s="619">
        <f t="shared" si="4"/>
        <v>1.0151564182927992</v>
      </c>
      <c r="M26" s="620">
        <f t="shared" si="1"/>
        <v>0</v>
      </c>
      <c r="N26" s="620">
        <f t="shared" si="0"/>
        <v>0</v>
      </c>
      <c r="O26" s="620">
        <f t="shared" si="2"/>
        <v>0</v>
      </c>
      <c r="P26" s="620" t="str">
        <f t="shared" si="2"/>
        <v/>
      </c>
      <c r="Q26" s="621">
        <f t="shared" si="3"/>
        <v>1.0151564182927992</v>
      </c>
      <c r="S26" s="591" t="b">
        <v>0</v>
      </c>
      <c r="T26" s="622"/>
      <c r="U26" s="636"/>
      <c r="V26" s="637"/>
      <c r="W26" s="637"/>
      <c r="X26" s="637"/>
      <c r="Y26" s="637"/>
      <c r="Z26" s="638"/>
    </row>
    <row r="27" spans="2:30" ht="13.5" thickBot="1" x14ac:dyDescent="0.25">
      <c r="B27" s="585">
        <f>'[1]Fuel Data'!A28</f>
        <v>22</v>
      </c>
      <c r="C27" s="617" t="str">
        <f>'[1]Fuel Data'!C28</f>
        <v>UG-CEN-2109-021682</v>
      </c>
      <c r="D27" s="585"/>
      <c r="F27" s="618">
        <f>'[1]Fuel Data'!AK28</f>
        <v>2.3999999999999995</v>
      </c>
      <c r="G27" s="618">
        <f>'[1]Fuel Data'!AL28</f>
        <v>0</v>
      </c>
      <c r="H27" s="618">
        <f>'[1]Fuel Data'!AM28</f>
        <v>0</v>
      </c>
      <c r="I27" s="618">
        <f>'[1]Fuel Data'!AN28</f>
        <v>0</v>
      </c>
      <c r="J27" s="618"/>
      <c r="K27" s="595"/>
      <c r="L27" s="619">
        <f t="shared" si="4"/>
        <v>1.2823028441593247</v>
      </c>
      <c r="M27" s="620">
        <f t="shared" si="1"/>
        <v>0</v>
      </c>
      <c r="N27" s="620">
        <f t="shared" si="0"/>
        <v>0</v>
      </c>
      <c r="O27" s="620">
        <f t="shared" si="2"/>
        <v>0</v>
      </c>
      <c r="P27" s="620" t="str">
        <f t="shared" si="2"/>
        <v/>
      </c>
      <c r="Q27" s="621">
        <f t="shared" si="3"/>
        <v>1.2823028441593247</v>
      </c>
      <c r="S27" s="591" t="b">
        <v>0</v>
      </c>
      <c r="T27" s="622"/>
    </row>
    <row r="28" spans="2:30" ht="13.5" thickBot="1" x14ac:dyDescent="0.25">
      <c r="B28" s="585">
        <f>'[1]Fuel Data'!A29</f>
        <v>23</v>
      </c>
      <c r="C28" s="617" t="str">
        <f>'[1]Fuel Data'!C29</f>
        <v>UG-CEN-1011-561</v>
      </c>
      <c r="D28" s="585"/>
      <c r="F28" s="618">
        <f>'[1]Fuel Data'!AK29</f>
        <v>4</v>
      </c>
      <c r="G28" s="618">
        <f>'[1]Fuel Data'!AL29</f>
        <v>0</v>
      </c>
      <c r="H28" s="618">
        <f>'[1]Fuel Data'!AM29</f>
        <v>0</v>
      </c>
      <c r="I28" s="618">
        <f>'[1]Fuel Data'!AN29</f>
        <v>0</v>
      </c>
      <c r="J28" s="618"/>
      <c r="K28" s="595"/>
      <c r="L28" s="619">
        <f t="shared" si="4"/>
        <v>2.1371714069322083</v>
      </c>
      <c r="M28" s="620">
        <f t="shared" si="1"/>
        <v>0</v>
      </c>
      <c r="N28" s="620">
        <f>IF(ISBLANK(H28),"",((H28/$X$7)*365)*$X$21*$X$22)</f>
        <v>0</v>
      </c>
      <c r="O28" s="620">
        <f t="shared" si="2"/>
        <v>0</v>
      </c>
      <c r="P28" s="620" t="str">
        <f t="shared" si="2"/>
        <v/>
      </c>
      <c r="Q28" s="621">
        <f t="shared" si="3"/>
        <v>2.1371714069322083</v>
      </c>
      <c r="S28" s="591" t="b">
        <v>0</v>
      </c>
      <c r="T28" s="622"/>
      <c r="U28" s="639"/>
      <c r="V28" s="640"/>
      <c r="W28" s="640"/>
      <c r="X28" s="640"/>
      <c r="Y28" s="640"/>
      <c r="Z28" s="640"/>
      <c r="AB28" s="641"/>
      <c r="AC28" s="642"/>
      <c r="AD28" s="642"/>
    </row>
    <row r="29" spans="2:30" ht="13.5" thickBot="1" x14ac:dyDescent="0.25">
      <c r="B29" s="585">
        <f>'[1]Fuel Data'!A30</f>
        <v>24</v>
      </c>
      <c r="C29" s="617" t="str">
        <f>'[1]Fuel Data'!C30</f>
        <v>UG-CEN-1402-6086</v>
      </c>
      <c r="D29" s="585"/>
      <c r="F29" s="618">
        <f>'[1]Fuel Data'!AK30</f>
        <v>3.01</v>
      </c>
      <c r="G29" s="618">
        <f>'[1]Fuel Data'!AL30</f>
        <v>0</v>
      </c>
      <c r="H29" s="618">
        <f>'[1]Fuel Data'!AM30</f>
        <v>0</v>
      </c>
      <c r="I29" s="618">
        <f>'[1]Fuel Data'!AN30</f>
        <v>0</v>
      </c>
      <c r="J29" s="618"/>
      <c r="K29" s="595"/>
      <c r="L29" s="619">
        <f t="shared" si="4"/>
        <v>1.6082214837164868</v>
      </c>
      <c r="M29" s="620">
        <f t="shared" si="1"/>
        <v>0</v>
      </c>
      <c r="N29" s="620">
        <f t="shared" si="0"/>
        <v>0</v>
      </c>
      <c r="O29" s="620">
        <f t="shared" si="2"/>
        <v>0</v>
      </c>
      <c r="P29" s="620" t="str">
        <f t="shared" si="2"/>
        <v/>
      </c>
      <c r="Q29" s="621">
        <f t="shared" si="3"/>
        <v>1.6082214837164868</v>
      </c>
      <c r="S29" s="591" t="b">
        <v>0</v>
      </c>
      <c r="T29" s="622"/>
      <c r="U29" s="640"/>
      <c r="V29" s="640"/>
      <c r="W29" s="640"/>
      <c r="X29" s="640"/>
      <c r="Y29" s="640"/>
      <c r="Z29" s="640"/>
      <c r="AB29" s="641"/>
      <c r="AD29" s="592"/>
    </row>
    <row r="30" spans="2:30" ht="15.75" thickBot="1" x14ac:dyDescent="0.3">
      <c r="B30" s="585">
        <f>'[1]Fuel Data'!A31</f>
        <v>25</v>
      </c>
      <c r="C30" s="617" t="str">
        <f>'[1]Fuel Data'!C31</f>
        <v>UG-WES-1704-06500</v>
      </c>
      <c r="D30" s="585"/>
      <c r="F30" s="618">
        <f>'[1]Fuel Data'!AK31</f>
        <v>8.6</v>
      </c>
      <c r="G30" s="618">
        <f>'[1]Fuel Data'!AL31</f>
        <v>0</v>
      </c>
      <c r="H30" s="618">
        <f>'[1]Fuel Data'!AM31</f>
        <v>0</v>
      </c>
      <c r="I30" s="618">
        <f>'[1]Fuel Data'!AN31</f>
        <v>0</v>
      </c>
      <c r="J30" s="618"/>
      <c r="K30" s="595"/>
      <c r="L30" s="619">
        <f t="shared" si="4"/>
        <v>4.594918524904247</v>
      </c>
      <c r="M30" s="620">
        <f t="shared" si="1"/>
        <v>0</v>
      </c>
      <c r="N30" s="620">
        <f t="shared" si="0"/>
        <v>0</v>
      </c>
      <c r="O30" s="620">
        <f t="shared" si="2"/>
        <v>0</v>
      </c>
      <c r="P30" s="620" t="str">
        <f t="shared" si="2"/>
        <v/>
      </c>
      <c r="Q30" s="621">
        <f t="shared" si="3"/>
        <v>4.594918524904247</v>
      </c>
      <c r="S30" s="591" t="b">
        <v>0</v>
      </c>
      <c r="T30" s="622"/>
      <c r="U30" s="643"/>
      <c r="V30" s="644"/>
      <c r="W30" s="644"/>
      <c r="X30" s="644"/>
      <c r="Y30" s="644"/>
      <c r="Z30" s="645"/>
      <c r="AB30" s="641"/>
      <c r="AD30" s="646"/>
    </row>
    <row r="31" spans="2:30" ht="13.5" thickBot="1" x14ac:dyDescent="0.25">
      <c r="B31" s="585">
        <f>'[1]Fuel Data'!A32</f>
        <v>26</v>
      </c>
      <c r="C31" s="617" t="str">
        <f>'[1]Fuel Data'!C32</f>
        <v>UG-WES-1910-07427</v>
      </c>
      <c r="D31" s="585"/>
      <c r="F31" s="618">
        <f>'[1]Fuel Data'!AK32</f>
        <v>8</v>
      </c>
      <c r="G31" s="618">
        <f>'[1]Fuel Data'!AL32</f>
        <v>0</v>
      </c>
      <c r="H31" s="618">
        <f>'[1]Fuel Data'!AM32</f>
        <v>0</v>
      </c>
      <c r="I31" s="618">
        <f>'[1]Fuel Data'!AN32</f>
        <v>0</v>
      </c>
      <c r="J31" s="618"/>
      <c r="K31" s="595"/>
      <c r="L31" s="619">
        <f t="shared" si="4"/>
        <v>4.2743428138644166</v>
      </c>
      <c r="M31" s="620">
        <f t="shared" si="1"/>
        <v>0</v>
      </c>
      <c r="N31" s="620">
        <f t="shared" si="0"/>
        <v>0</v>
      </c>
      <c r="O31" s="620">
        <f t="shared" si="2"/>
        <v>0</v>
      </c>
      <c r="P31" s="620" t="str">
        <f t="shared" si="2"/>
        <v/>
      </c>
      <c r="Q31" s="621">
        <f t="shared" si="3"/>
        <v>4.2743428138644166</v>
      </c>
      <c r="S31" s="591" t="b">
        <v>0</v>
      </c>
      <c r="T31" s="622"/>
      <c r="U31" s="647" t="s">
        <v>36314</v>
      </c>
      <c r="V31" s="648" t="s">
        <v>36315</v>
      </c>
      <c r="W31" s="649">
        <v>0.9</v>
      </c>
      <c r="X31" s="648"/>
      <c r="Y31" s="648"/>
      <c r="Z31" s="650"/>
    </row>
    <row r="32" spans="2:30" ht="13.5" thickBot="1" x14ac:dyDescent="0.25">
      <c r="B32" s="585">
        <f>'[1]Fuel Data'!A33</f>
        <v>27</v>
      </c>
      <c r="C32" s="617" t="str">
        <f>'[1]Fuel Data'!C33</f>
        <v>UG-EAS-1112-1998</v>
      </c>
      <c r="D32" s="585"/>
      <c r="F32" s="618">
        <f>'[1]Fuel Data'!AK33</f>
        <v>7.18</v>
      </c>
      <c r="G32" s="618">
        <f>'[1]Fuel Data'!AL33</f>
        <v>0</v>
      </c>
      <c r="H32" s="618">
        <f>'[1]Fuel Data'!AM33</f>
        <v>0</v>
      </c>
      <c r="I32" s="618">
        <f>'[1]Fuel Data'!AN33</f>
        <v>0</v>
      </c>
      <c r="J32" s="618"/>
      <c r="K32" s="595"/>
      <c r="L32" s="619">
        <f t="shared" si="4"/>
        <v>3.836222675443314</v>
      </c>
      <c r="M32" s="620">
        <f t="shared" si="1"/>
        <v>0</v>
      </c>
      <c r="N32" s="620">
        <f t="shared" si="0"/>
        <v>0</v>
      </c>
      <c r="O32" s="620">
        <f t="shared" si="2"/>
        <v>0</v>
      </c>
      <c r="P32" s="620" t="str">
        <f t="shared" si="2"/>
        <v/>
      </c>
      <c r="Q32" s="621">
        <f t="shared" si="3"/>
        <v>3.836222675443314</v>
      </c>
      <c r="S32" s="591" t="b">
        <v>0</v>
      </c>
      <c r="T32" s="622"/>
      <c r="U32" s="651"/>
      <c r="V32" s="648" t="s">
        <v>36316</v>
      </c>
      <c r="W32" s="649">
        <v>0.3</v>
      </c>
      <c r="X32" s="648"/>
      <c r="Y32" s="648"/>
      <c r="Z32" s="650"/>
    </row>
    <row r="33" spans="2:27" ht="13.5" thickBot="1" x14ac:dyDescent="0.25">
      <c r="B33" s="585">
        <f>'[1]Fuel Data'!A34</f>
        <v>28</v>
      </c>
      <c r="C33" s="617" t="str">
        <f>'[1]Fuel Data'!C34</f>
        <v>UG-EAS-2006-9893</v>
      </c>
      <c r="D33" s="585"/>
      <c r="F33" s="618">
        <f>'[1]Fuel Data'!AK34</f>
        <v>5.5799999999999992</v>
      </c>
      <c r="G33" s="618">
        <f>'[1]Fuel Data'!AL34</f>
        <v>0</v>
      </c>
      <c r="H33" s="618">
        <f>'[1]Fuel Data'!AM34</f>
        <v>0</v>
      </c>
      <c r="I33" s="618">
        <f>'[1]Fuel Data'!AN34</f>
        <v>0</v>
      </c>
      <c r="J33" s="618"/>
      <c r="K33" s="595"/>
      <c r="L33" s="619">
        <f t="shared" si="4"/>
        <v>2.9813541126704304</v>
      </c>
      <c r="M33" s="620">
        <f t="shared" si="1"/>
        <v>0</v>
      </c>
      <c r="N33" s="620">
        <f t="shared" si="0"/>
        <v>0</v>
      </c>
      <c r="O33" s="620">
        <f t="shared" si="2"/>
        <v>0</v>
      </c>
      <c r="P33" s="620" t="str">
        <f t="shared" si="2"/>
        <v/>
      </c>
      <c r="Q33" s="621">
        <f t="shared" si="3"/>
        <v>2.9813541126704304</v>
      </c>
      <c r="S33" s="591" t="b">
        <v>0</v>
      </c>
      <c r="T33" s="622"/>
      <c r="U33" s="651"/>
      <c r="V33" s="648"/>
      <c r="W33" s="648"/>
      <c r="X33" s="648"/>
      <c r="Y33" s="648"/>
      <c r="Z33" s="650"/>
    </row>
    <row r="34" spans="2:27" ht="13.5" thickBot="1" x14ac:dyDescent="0.25">
      <c r="B34" s="585">
        <f>'[1]Fuel Data'!A35</f>
        <v>29</v>
      </c>
      <c r="C34" s="617" t="str">
        <f>'[1]Fuel Data'!C35</f>
        <v>UG-EAS-1810-07322</v>
      </c>
      <c r="D34" s="652"/>
      <c r="E34" s="588"/>
      <c r="F34" s="618">
        <f>'[1]Fuel Data'!AK35</f>
        <v>7.3299999999999992</v>
      </c>
      <c r="G34" s="618">
        <f>'[1]Fuel Data'!AL35</f>
        <v>0</v>
      </c>
      <c r="H34" s="618">
        <f>'[1]Fuel Data'!AM35</f>
        <v>0</v>
      </c>
      <c r="I34" s="618">
        <f>'[1]Fuel Data'!AN35</f>
        <v>0</v>
      </c>
      <c r="J34" s="618"/>
      <c r="K34" s="588"/>
      <c r="L34" s="619">
        <f t="shared" si="4"/>
        <v>3.9163666032032713</v>
      </c>
      <c r="M34" s="620">
        <f t="shared" si="1"/>
        <v>0</v>
      </c>
      <c r="N34" s="620">
        <f t="shared" si="0"/>
        <v>0</v>
      </c>
      <c r="O34" s="620">
        <f t="shared" si="2"/>
        <v>0</v>
      </c>
      <c r="P34" s="620" t="str">
        <f t="shared" si="2"/>
        <v/>
      </c>
      <c r="Q34" s="621">
        <f>IF(AND(ISBLANK(F34),ISBLANK(G34),ISBLANK(H34),ISBLANK(I34),ISBLANK(J34)),"",SUM(L34:P34))</f>
        <v>3.9163666032032713</v>
      </c>
      <c r="S34" s="591" t="b">
        <v>0</v>
      </c>
      <c r="T34" s="622"/>
      <c r="U34" s="647" t="s">
        <v>172</v>
      </c>
      <c r="V34" s="648" t="s">
        <v>36317</v>
      </c>
      <c r="W34" s="648">
        <f>SUMPRODUCT(--ISNUMBER(Q8:Q64))-COUNTIF(S8:S64,TRUE)</f>
        <v>56</v>
      </c>
      <c r="X34" s="602"/>
      <c r="Y34" s="602"/>
      <c r="Z34" s="603"/>
    </row>
    <row r="35" spans="2:27" thickBot="1" x14ac:dyDescent="0.25">
      <c r="B35" s="585">
        <f>'[1]Fuel Data'!A36</f>
        <v>30</v>
      </c>
      <c r="C35" s="617" t="str">
        <f>'[1]Fuel Data'!C36</f>
        <v>UG-EAS-2301-010433</v>
      </c>
      <c r="D35" s="585"/>
      <c r="F35" s="618">
        <f>'[1]Fuel Data'!AK36</f>
        <v>11.490000000000002</v>
      </c>
      <c r="G35" s="618">
        <f>'[1]Fuel Data'!AL36</f>
        <v>0</v>
      </c>
      <c r="H35" s="618">
        <f>'[1]Fuel Data'!AM36</f>
        <v>0</v>
      </c>
      <c r="I35" s="618">
        <f>'[1]Fuel Data'!AN36</f>
        <v>0</v>
      </c>
      <c r="J35" s="618"/>
      <c r="K35" s="595"/>
      <c r="L35" s="619">
        <f t="shared" si="4"/>
        <v>6.1390248664127682</v>
      </c>
      <c r="M35" s="620">
        <f t="shared" si="1"/>
        <v>0</v>
      </c>
      <c r="N35" s="620">
        <f t="shared" si="0"/>
        <v>0</v>
      </c>
      <c r="O35" s="620">
        <f t="shared" si="2"/>
        <v>0</v>
      </c>
      <c r="P35" s="620" t="str">
        <f t="shared" si="2"/>
        <v/>
      </c>
      <c r="Q35" s="621">
        <f t="shared" si="3"/>
        <v>6.1390248664127682</v>
      </c>
      <c r="S35" s="591" t="b">
        <v>0</v>
      </c>
      <c r="T35" s="622"/>
      <c r="U35" s="651"/>
      <c r="V35" s="762" t="s">
        <v>36514</v>
      </c>
      <c r="W35" s="763" cm="1">
        <f t="array" ref="W35">IFERROR(SQRT(VAR(IF(S7:S64=FALSE,Q7:Q64))/W34),"")</f>
        <v>0.42431499400576661</v>
      </c>
      <c r="X35" s="602"/>
      <c r="Y35" s="602"/>
      <c r="Z35" s="603"/>
    </row>
    <row r="36" spans="2:27" ht="13.5" thickBot="1" x14ac:dyDescent="0.25">
      <c r="B36" s="585">
        <f>'[1]Fuel Data'!A37</f>
        <v>31</v>
      </c>
      <c r="C36" s="617" t="str">
        <f>'[1]Fuel Data'!C37</f>
        <v>UG-WES-1306-3277</v>
      </c>
      <c r="D36" s="585"/>
      <c r="F36" s="618">
        <f>'[1]Fuel Data'!AK37</f>
        <v>3.8000000000000007</v>
      </c>
      <c r="G36" s="618">
        <f>'[1]Fuel Data'!AL37</f>
        <v>0</v>
      </c>
      <c r="H36" s="618">
        <f>'[1]Fuel Data'!AM37</f>
        <v>0</v>
      </c>
      <c r="I36" s="618">
        <f>'[1]Fuel Data'!AN37</f>
        <v>0</v>
      </c>
      <c r="J36" s="618"/>
      <c r="K36" s="595"/>
      <c r="L36" s="619">
        <f t="shared" si="4"/>
        <v>2.0303128365855985</v>
      </c>
      <c r="M36" s="620">
        <f t="shared" si="1"/>
        <v>0</v>
      </c>
      <c r="N36" s="620">
        <f t="shared" si="0"/>
        <v>0</v>
      </c>
      <c r="O36" s="620">
        <f t="shared" si="2"/>
        <v>0</v>
      </c>
      <c r="P36" s="620" t="str">
        <f t="shared" si="2"/>
        <v/>
      </c>
      <c r="Q36" s="621">
        <f t="shared" si="3"/>
        <v>2.0303128365855985</v>
      </c>
      <c r="S36" s="591" t="b">
        <v>0</v>
      </c>
      <c r="T36" s="622"/>
      <c r="U36" s="651"/>
      <c r="V36" s="648"/>
      <c r="W36" s="648"/>
      <c r="X36" s="602"/>
      <c r="Y36" s="602"/>
      <c r="Z36" s="603"/>
    </row>
    <row r="37" spans="2:27" ht="13.5" thickBot="1" x14ac:dyDescent="0.25">
      <c r="B37" s="585">
        <f>'[1]Fuel Data'!A38</f>
        <v>32</v>
      </c>
      <c r="C37" s="617" t="str">
        <f>'[1]Fuel Data'!C38</f>
        <v>UG-WES-1108-3213</v>
      </c>
      <c r="D37" s="585"/>
      <c r="F37" s="618">
        <f>'[1]Fuel Data'!AK38</f>
        <v>8.5</v>
      </c>
      <c r="G37" s="618">
        <f>'[1]Fuel Data'!AL38</f>
        <v>0</v>
      </c>
      <c r="H37" s="618">
        <f>'[1]Fuel Data'!AM38</f>
        <v>0</v>
      </c>
      <c r="I37" s="618">
        <f>'[1]Fuel Data'!AN38</f>
        <v>0</v>
      </c>
      <c r="J37" s="618"/>
      <c r="K37" s="595"/>
      <c r="L37" s="619">
        <f t="shared" si="4"/>
        <v>4.541489239730943</v>
      </c>
      <c r="M37" s="620">
        <f t="shared" si="1"/>
        <v>0</v>
      </c>
      <c r="N37" s="620">
        <f t="shared" si="0"/>
        <v>0</v>
      </c>
      <c r="O37" s="620">
        <f t="shared" si="2"/>
        <v>0</v>
      </c>
      <c r="P37" s="620" t="str">
        <f t="shared" si="2"/>
        <v/>
      </c>
      <c r="Q37" s="621">
        <f t="shared" si="3"/>
        <v>4.541489239730943</v>
      </c>
      <c r="S37" s="591" t="b">
        <v>0</v>
      </c>
      <c r="T37" s="622"/>
      <c r="U37" s="651"/>
      <c r="V37" s="648" t="s">
        <v>36318</v>
      </c>
      <c r="W37" s="653">
        <f>Q66</f>
        <v>4.7452705949072804</v>
      </c>
      <c r="X37" s="648"/>
      <c r="Y37" s="648"/>
      <c r="Z37" s="650"/>
      <c r="AA37" s="640"/>
    </row>
    <row r="38" spans="2:27" thickBot="1" x14ac:dyDescent="0.25">
      <c r="B38" s="585">
        <f>'[1]Fuel Data'!A39</f>
        <v>33</v>
      </c>
      <c r="C38" s="617" t="str">
        <f>'[1]Fuel Data'!C39</f>
        <v>UG-WES-2103-014496</v>
      </c>
      <c r="D38" s="585"/>
      <c r="F38" s="618">
        <f>'[1]Fuel Data'!AK39</f>
        <v>11.7</v>
      </c>
      <c r="G38" s="618">
        <f>'[1]Fuel Data'!AL39</f>
        <v>0</v>
      </c>
      <c r="H38" s="618">
        <f>'[1]Fuel Data'!AM39</f>
        <v>0</v>
      </c>
      <c r="I38" s="618">
        <f>'[1]Fuel Data'!AN39</f>
        <v>0</v>
      </c>
      <c r="J38" s="618"/>
      <c r="K38" s="595"/>
      <c r="L38" s="619">
        <f t="shared" si="4"/>
        <v>6.2512263652767084</v>
      </c>
      <c r="M38" s="620">
        <f t="shared" si="1"/>
        <v>0</v>
      </c>
      <c r="N38" s="620">
        <f t="shared" si="0"/>
        <v>0</v>
      </c>
      <c r="O38" s="620">
        <f t="shared" si="2"/>
        <v>0</v>
      </c>
      <c r="P38" s="620" t="str">
        <f t="shared" si="2"/>
        <v/>
      </c>
      <c r="Q38" s="621">
        <f t="shared" si="3"/>
        <v>6.2512263652767084</v>
      </c>
      <c r="S38" s="591" t="b">
        <v>0</v>
      </c>
      <c r="T38" s="622"/>
      <c r="U38" s="651"/>
      <c r="V38" s="648" t="s">
        <v>36319</v>
      </c>
      <c r="W38" s="761">
        <f>IFERROR(1.28*W35/W37,"")</f>
        <v>0.11445568413111615</v>
      </c>
      <c r="X38" s="648"/>
      <c r="Y38" s="648"/>
      <c r="Z38" s="650"/>
    </row>
    <row r="39" spans="2:27" ht="13.5" thickBot="1" x14ac:dyDescent="0.25">
      <c r="B39" s="585">
        <f>'[1]Fuel Data'!A40</f>
        <v>34</v>
      </c>
      <c r="C39" s="617" t="str">
        <f>'[1]Fuel Data'!C40</f>
        <v>UG-WES-2310-010107</v>
      </c>
      <c r="D39" s="585"/>
      <c r="F39" s="618">
        <f>'[1]Fuel Data'!AK40</f>
        <v>5.1999999999999993</v>
      </c>
      <c r="G39" s="618">
        <f>'[1]Fuel Data'!AL40</f>
        <v>0</v>
      </c>
      <c r="H39" s="618">
        <f>'[1]Fuel Data'!AM40</f>
        <v>0</v>
      </c>
      <c r="I39" s="618">
        <f>'[1]Fuel Data'!AN40</f>
        <v>0</v>
      </c>
      <c r="J39" s="618"/>
      <c r="K39" s="595"/>
      <c r="L39" s="619">
        <f t="shared" si="4"/>
        <v>2.7783228290118704</v>
      </c>
      <c r="M39" s="620">
        <f t="shared" si="1"/>
        <v>0</v>
      </c>
      <c r="N39" s="620">
        <f t="shared" si="0"/>
        <v>0</v>
      </c>
      <c r="O39" s="620">
        <f t="shared" si="2"/>
        <v>0</v>
      </c>
      <c r="P39" s="620" t="str">
        <f t="shared" si="2"/>
        <v/>
      </c>
      <c r="Q39" s="621">
        <f t="shared" si="3"/>
        <v>2.7783228290118704</v>
      </c>
      <c r="S39" s="591" t="b">
        <v>0</v>
      </c>
      <c r="T39" s="622"/>
      <c r="U39" s="651"/>
      <c r="V39" s="648"/>
      <c r="W39" s="648"/>
      <c r="X39" s="648"/>
      <c r="Y39" s="648"/>
      <c r="Z39" s="650"/>
    </row>
    <row r="40" spans="2:27" ht="18.75" thickBot="1" x14ac:dyDescent="0.25">
      <c r="B40" s="585">
        <f>'[1]Fuel Data'!A41</f>
        <v>35</v>
      </c>
      <c r="C40" s="617" t="str">
        <f>'[1]Fuel Data'!C41</f>
        <v>UG-CEN-1303-3857</v>
      </c>
      <c r="D40" s="585"/>
      <c r="F40" s="618">
        <f>'[1]Fuel Data'!AK41</f>
        <v>7.6</v>
      </c>
      <c r="G40" s="618">
        <f>'[1]Fuel Data'!AL41</f>
        <v>0</v>
      </c>
      <c r="H40" s="618">
        <f>'[1]Fuel Data'!AM41</f>
        <v>0</v>
      </c>
      <c r="I40" s="618">
        <f>'[1]Fuel Data'!AN41</f>
        <v>0</v>
      </c>
      <c r="J40" s="618"/>
      <c r="K40" s="595"/>
      <c r="L40" s="619">
        <f t="shared" si="4"/>
        <v>4.060625673171196</v>
      </c>
      <c r="M40" s="620">
        <f t="shared" si="1"/>
        <v>0</v>
      </c>
      <c r="N40" s="620">
        <f t="shared" si="0"/>
        <v>0</v>
      </c>
      <c r="O40" s="620">
        <f t="shared" si="2"/>
        <v>0</v>
      </c>
      <c r="P40" s="620" t="str">
        <f t="shared" si="2"/>
        <v/>
      </c>
      <c r="Q40" s="621">
        <f t="shared" si="3"/>
        <v>4.060625673171196</v>
      </c>
      <c r="S40" s="591" t="b">
        <v>0</v>
      </c>
      <c r="T40" s="622"/>
      <c r="U40" s="654"/>
      <c r="V40" s="655" t="str">
        <f>'[1]90-30_Analysis'!G14</f>
        <v>Verdict</v>
      </c>
      <c r="W40" s="656" t="str">
        <f>'[1]90-30_Analysis'!H14</f>
        <v>Clear</v>
      </c>
      <c r="X40" s="657"/>
      <c r="Y40" s="657"/>
      <c r="Z40" s="658"/>
    </row>
    <row r="41" spans="2:27" ht="13.5" thickBot="1" x14ac:dyDescent="0.25">
      <c r="B41" s="585">
        <f>'[1]Fuel Data'!A42</f>
        <v>36</v>
      </c>
      <c r="C41" s="617" t="str">
        <f>'[1]Fuel Data'!C42</f>
        <v>UG-CEN-2212-011211</v>
      </c>
      <c r="D41" s="585"/>
      <c r="F41" s="618">
        <f>'[1]Fuel Data'!AK42</f>
        <v>8.8999999999999986</v>
      </c>
      <c r="G41" s="618">
        <f>'[1]Fuel Data'!AL42</f>
        <v>0</v>
      </c>
      <c r="H41" s="618">
        <f>'[1]Fuel Data'!AM42</f>
        <v>0</v>
      </c>
      <c r="I41" s="618">
        <f>'[1]Fuel Data'!AN42</f>
        <v>0</v>
      </c>
      <c r="J41" s="618"/>
      <c r="K41" s="595"/>
      <c r="L41" s="619">
        <f t="shared" si="4"/>
        <v>4.7552063804241627</v>
      </c>
      <c r="M41" s="620">
        <f t="shared" si="1"/>
        <v>0</v>
      </c>
      <c r="N41" s="620">
        <f t="shared" si="0"/>
        <v>0</v>
      </c>
      <c r="O41" s="620">
        <f t="shared" si="2"/>
        <v>0</v>
      </c>
      <c r="P41" s="620" t="str">
        <f t="shared" si="2"/>
        <v/>
      </c>
      <c r="Q41" s="621">
        <f t="shared" si="3"/>
        <v>4.7552063804241627</v>
      </c>
      <c r="S41" s="591" t="b">
        <v>0</v>
      </c>
      <c r="T41" s="622"/>
    </row>
    <row r="42" spans="2:27" ht="13.5" thickBot="1" x14ac:dyDescent="0.25">
      <c r="B42" s="585">
        <f>'[1]Fuel Data'!A43</f>
        <v>39</v>
      </c>
      <c r="C42" s="617" t="str">
        <f>'[1]Fuel Data'!C43</f>
        <v>UG-CEN-2302-010256</v>
      </c>
      <c r="D42" s="585"/>
      <c r="F42" s="618">
        <f>'[1]Fuel Data'!AK43</f>
        <v>3.8999999999999986</v>
      </c>
      <c r="G42" s="618">
        <f>'[1]Fuel Data'!AL43</f>
        <v>0</v>
      </c>
      <c r="H42" s="618">
        <f>'[1]Fuel Data'!AM43</f>
        <v>0</v>
      </c>
      <c r="I42" s="618">
        <f>'[1]Fuel Data'!AN43</f>
        <v>0</v>
      </c>
      <c r="J42" s="618"/>
      <c r="K42" s="595"/>
      <c r="L42" s="619">
        <f t="shared" si="4"/>
        <v>2.0837421217589021</v>
      </c>
      <c r="M42" s="620">
        <f t="shared" si="1"/>
        <v>0</v>
      </c>
      <c r="N42" s="620">
        <f t="shared" si="0"/>
        <v>0</v>
      </c>
      <c r="O42" s="620">
        <f t="shared" si="2"/>
        <v>0</v>
      </c>
      <c r="P42" s="620" t="str">
        <f t="shared" si="2"/>
        <v/>
      </c>
      <c r="Q42" s="621">
        <f t="shared" si="3"/>
        <v>2.0837421217589021</v>
      </c>
      <c r="S42" s="591" t="b">
        <v>0</v>
      </c>
      <c r="T42" s="622"/>
    </row>
    <row r="43" spans="2:27" ht="13.5" thickBot="1" x14ac:dyDescent="0.25">
      <c r="B43" s="585">
        <f>'[1]Fuel Data'!A44</f>
        <v>40</v>
      </c>
      <c r="C43" s="617" t="str">
        <f>'[1]Fuel Data'!C44</f>
        <v>UG-CEN-2305-020134</v>
      </c>
      <c r="D43" s="585"/>
      <c r="F43" s="618">
        <f>'[1]Fuel Data'!AK44</f>
        <v>0</v>
      </c>
      <c r="G43" s="618">
        <f>'[1]Fuel Data'!AL44</f>
        <v>0.66000000000000014</v>
      </c>
      <c r="H43" s="618">
        <f>'[1]Fuel Data'!AM44</f>
        <v>0</v>
      </c>
      <c r="I43" s="618">
        <f>'[1]Fuel Data'!AN44</f>
        <v>0</v>
      </c>
      <c r="J43" s="618"/>
      <c r="K43" s="595"/>
      <c r="L43" s="619">
        <f t="shared" si="4"/>
        <v>0</v>
      </c>
      <c r="M43" s="620">
        <f t="shared" si="1"/>
        <v>3.9295844799336463</v>
      </c>
      <c r="N43" s="620">
        <f t="shared" si="0"/>
        <v>0</v>
      </c>
      <c r="O43" s="620">
        <f t="shared" si="2"/>
        <v>0</v>
      </c>
      <c r="P43" s="620" t="str">
        <f t="shared" si="2"/>
        <v/>
      </c>
      <c r="Q43" s="621">
        <f t="shared" si="3"/>
        <v>3.9295844799336463</v>
      </c>
      <c r="S43" s="591" t="b">
        <v>0</v>
      </c>
      <c r="T43" s="622"/>
    </row>
    <row r="44" spans="2:27" ht="13.5" thickBot="1" x14ac:dyDescent="0.25">
      <c r="B44" s="585">
        <f>'[1]Fuel Data'!A45</f>
        <v>41</v>
      </c>
      <c r="C44" s="617" t="str">
        <f>'[1]Fuel Data'!C45</f>
        <v>UG-CEN-1309-3753</v>
      </c>
      <c r="D44" s="585"/>
      <c r="F44" s="618">
        <f>'[1]Fuel Data'!AK45</f>
        <v>4.9000000000000004</v>
      </c>
      <c r="G44" s="618">
        <f>'[1]Fuel Data'!AL45</f>
        <v>0</v>
      </c>
      <c r="H44" s="618">
        <f>'[1]Fuel Data'!AM45</f>
        <v>0</v>
      </c>
      <c r="I44" s="618">
        <f>'[1]Fuel Data'!AN45</f>
        <v>0</v>
      </c>
      <c r="J44" s="618"/>
      <c r="K44" s="595"/>
      <c r="L44" s="619">
        <f t="shared" si="4"/>
        <v>2.6180349734919557</v>
      </c>
      <c r="M44" s="620">
        <f t="shared" si="1"/>
        <v>0</v>
      </c>
      <c r="N44" s="620">
        <f t="shared" si="0"/>
        <v>0</v>
      </c>
      <c r="O44" s="620">
        <f t="shared" si="2"/>
        <v>0</v>
      </c>
      <c r="P44" s="620" t="str">
        <f t="shared" si="2"/>
        <v/>
      </c>
      <c r="Q44" s="621">
        <f t="shared" si="3"/>
        <v>2.6180349734919557</v>
      </c>
      <c r="S44" s="591" t="b">
        <v>0</v>
      </c>
      <c r="T44" s="622"/>
    </row>
    <row r="45" spans="2:27" ht="13.5" thickBot="1" x14ac:dyDescent="0.25">
      <c r="B45" s="585">
        <f>'[1]Fuel Data'!A46</f>
        <v>42</v>
      </c>
      <c r="C45" s="617" t="str">
        <f>'[1]Fuel Data'!C46</f>
        <v>UG-CEN-1809-07682</v>
      </c>
      <c r="D45" s="585"/>
      <c r="F45" s="618">
        <f>'[1]Fuel Data'!AK46</f>
        <v>12.399999999999999</v>
      </c>
      <c r="G45" s="618">
        <f>'[1]Fuel Data'!AL46</f>
        <v>0</v>
      </c>
      <c r="H45" s="618">
        <f>'[1]Fuel Data'!AM46</f>
        <v>0</v>
      </c>
      <c r="I45" s="618">
        <f>'[1]Fuel Data'!AN46</f>
        <v>0</v>
      </c>
      <c r="J45" s="618"/>
      <c r="K45" s="595"/>
      <c r="L45" s="619">
        <f t="shared" si="4"/>
        <v>6.6252313614898446</v>
      </c>
      <c r="M45" s="620">
        <f t="shared" si="1"/>
        <v>0</v>
      </c>
      <c r="N45" s="620">
        <f t="shared" si="0"/>
        <v>0</v>
      </c>
      <c r="O45" s="620">
        <f t="shared" si="2"/>
        <v>0</v>
      </c>
      <c r="P45" s="620" t="str">
        <f t="shared" si="2"/>
        <v/>
      </c>
      <c r="Q45" s="621">
        <f t="shared" si="3"/>
        <v>6.6252313614898446</v>
      </c>
      <c r="S45" s="591" t="b">
        <v>0</v>
      </c>
      <c r="T45" s="622"/>
    </row>
    <row r="46" spans="2:27" ht="13.5" thickBot="1" x14ac:dyDescent="0.25">
      <c r="B46" s="585">
        <f>'[1]Fuel Data'!A47</f>
        <v>43</v>
      </c>
      <c r="C46" s="617" t="str">
        <f>'[1]Fuel Data'!C47</f>
        <v>UG-CEN-1304-5943</v>
      </c>
      <c r="D46" s="585"/>
      <c r="F46" s="618">
        <f>'[1]Fuel Data'!AK47</f>
        <v>6</v>
      </c>
      <c r="G46" s="618">
        <f>'[1]Fuel Data'!AL47</f>
        <v>0</v>
      </c>
      <c r="H46" s="618">
        <f>'[1]Fuel Data'!AM47</f>
        <v>0</v>
      </c>
      <c r="I46" s="618">
        <f>'[1]Fuel Data'!AN47</f>
        <v>0</v>
      </c>
      <c r="J46" s="618"/>
      <c r="K46" s="595"/>
      <c r="L46" s="619">
        <f t="shared" si="4"/>
        <v>3.2057571103983125</v>
      </c>
      <c r="M46" s="620">
        <f t="shared" si="1"/>
        <v>0</v>
      </c>
      <c r="N46" s="620">
        <f t="shared" si="0"/>
        <v>0</v>
      </c>
      <c r="O46" s="620">
        <f t="shared" ref="O46:P61" si="5">IF(ISBLANK(I46),"",((I46/$X$7)*365)*$X$24*$X$25)</f>
        <v>0</v>
      </c>
      <c r="P46" s="620" t="str">
        <f t="shared" si="5"/>
        <v/>
      </c>
      <c r="Q46" s="621">
        <f t="shared" si="3"/>
        <v>3.2057571103983125</v>
      </c>
      <c r="S46" s="591" t="b">
        <v>0</v>
      </c>
      <c r="T46" s="622"/>
    </row>
    <row r="47" spans="2:27" ht="13.5" thickBot="1" x14ac:dyDescent="0.25">
      <c r="B47" s="585">
        <f>'[1]Fuel Data'!A48</f>
        <v>44</v>
      </c>
      <c r="C47" s="617" t="str">
        <f>'[1]Fuel Data'!C48</f>
        <v>UG-CEN-1807-07671</v>
      </c>
      <c r="D47" s="585"/>
      <c r="F47" s="618">
        <f>'[1]Fuel Data'!AK48</f>
        <v>9.1999999999999993</v>
      </c>
      <c r="G47" s="618">
        <f>'[1]Fuel Data'!AL48</f>
        <v>0</v>
      </c>
      <c r="H47" s="618">
        <f>'[1]Fuel Data'!AM48</f>
        <v>0</v>
      </c>
      <c r="I47" s="618">
        <f>'[1]Fuel Data'!AN48</f>
        <v>0</v>
      </c>
      <c r="J47" s="618"/>
      <c r="K47" s="595"/>
      <c r="L47" s="619">
        <f t="shared" si="4"/>
        <v>4.9154942359440792</v>
      </c>
      <c r="M47" s="620">
        <f t="shared" si="1"/>
        <v>0</v>
      </c>
      <c r="N47" s="620">
        <f t="shared" si="0"/>
        <v>0</v>
      </c>
      <c r="O47" s="620">
        <f t="shared" si="5"/>
        <v>0</v>
      </c>
      <c r="P47" s="620" t="str">
        <f t="shared" si="5"/>
        <v/>
      </c>
      <c r="Q47" s="621">
        <f t="shared" si="3"/>
        <v>4.9154942359440792</v>
      </c>
      <c r="S47" s="591" t="b">
        <v>0</v>
      </c>
      <c r="T47" s="622"/>
    </row>
    <row r="48" spans="2:27" ht="13.5" thickBot="1" x14ac:dyDescent="0.25">
      <c r="B48" s="585">
        <f>'[1]Fuel Data'!A49</f>
        <v>46</v>
      </c>
      <c r="C48" s="617" t="str">
        <f>'[1]Fuel Data'!C49</f>
        <v>UG-EAS-2002-012133</v>
      </c>
      <c r="D48" s="585"/>
      <c r="F48" s="618">
        <f>'[1]Fuel Data'!AK49</f>
        <v>12</v>
      </c>
      <c r="G48" s="618">
        <f>'[1]Fuel Data'!AL49</f>
        <v>0</v>
      </c>
      <c r="H48" s="618">
        <f>'[1]Fuel Data'!AM49</f>
        <v>0</v>
      </c>
      <c r="I48" s="618">
        <f>'[1]Fuel Data'!AN49</f>
        <v>0</v>
      </c>
      <c r="J48" s="618"/>
      <c r="K48" s="595"/>
      <c r="L48" s="619">
        <f t="shared" si="4"/>
        <v>6.4115142207966249</v>
      </c>
      <c r="M48" s="620">
        <f t="shared" si="1"/>
        <v>0</v>
      </c>
      <c r="N48" s="620">
        <f t="shared" si="0"/>
        <v>0</v>
      </c>
      <c r="O48" s="620">
        <f t="shared" si="5"/>
        <v>0</v>
      </c>
      <c r="P48" s="620" t="str">
        <f t="shared" si="5"/>
        <v/>
      </c>
      <c r="Q48" s="621">
        <f t="shared" si="3"/>
        <v>6.4115142207966249</v>
      </c>
      <c r="S48" s="591" t="b">
        <v>0</v>
      </c>
      <c r="T48" s="622"/>
    </row>
    <row r="49" spans="2:20" ht="13.5" thickBot="1" x14ac:dyDescent="0.25">
      <c r="B49" s="585">
        <f>'[1]Fuel Data'!A50</f>
        <v>47</v>
      </c>
      <c r="C49" s="617" t="str">
        <f>'[1]Fuel Data'!C50</f>
        <v>UG-EAS-1302-2079</v>
      </c>
      <c r="D49" s="585"/>
      <c r="F49" s="618">
        <f>'[1]Fuel Data'!AK50</f>
        <v>0</v>
      </c>
      <c r="G49" s="618">
        <f>'[1]Fuel Data'!AL50</f>
        <v>2.0349999999999997</v>
      </c>
      <c r="H49" s="618">
        <f>'[1]Fuel Data'!AM50</f>
        <v>0</v>
      </c>
      <c r="I49" s="618">
        <f>'[1]Fuel Data'!AN50</f>
        <v>0</v>
      </c>
      <c r="J49" s="618"/>
      <c r="K49" s="595"/>
      <c r="L49" s="619">
        <f t="shared" si="4"/>
        <v>0</v>
      </c>
      <c r="M49" s="620">
        <f t="shared" si="1"/>
        <v>12.116218813128738</v>
      </c>
      <c r="N49" s="620">
        <f t="shared" si="0"/>
        <v>0</v>
      </c>
      <c r="O49" s="620">
        <f t="shared" si="5"/>
        <v>0</v>
      </c>
      <c r="P49" s="620" t="str">
        <f t="shared" si="5"/>
        <v/>
      </c>
      <c r="Q49" s="621">
        <f t="shared" si="3"/>
        <v>12.116218813128738</v>
      </c>
      <c r="S49" s="591" t="b">
        <v>0</v>
      </c>
      <c r="T49" s="622"/>
    </row>
    <row r="50" spans="2:20" ht="13.5" thickBot="1" x14ac:dyDescent="0.25">
      <c r="B50" s="585">
        <f>'[1]Fuel Data'!A51</f>
        <v>48</v>
      </c>
      <c r="C50" s="617" t="str">
        <f>'[1]Fuel Data'!C51</f>
        <v>UG-EAS-1903-012201</v>
      </c>
      <c r="D50" s="585"/>
      <c r="F50" s="618">
        <f>'[1]Fuel Data'!AK51</f>
        <v>7.01</v>
      </c>
      <c r="G50" s="618">
        <f>'[1]Fuel Data'!AL51</f>
        <v>0</v>
      </c>
      <c r="H50" s="618">
        <f>'[1]Fuel Data'!AM51</f>
        <v>0</v>
      </c>
      <c r="I50" s="618">
        <f>'[1]Fuel Data'!AN51</f>
        <v>0</v>
      </c>
      <c r="J50" s="618"/>
      <c r="K50" s="595"/>
      <c r="L50" s="619">
        <f t="shared" si="4"/>
        <v>3.7453928906486951</v>
      </c>
      <c r="M50" s="620">
        <f t="shared" si="1"/>
        <v>0</v>
      </c>
      <c r="N50" s="620">
        <f t="shared" si="0"/>
        <v>0</v>
      </c>
      <c r="O50" s="620">
        <f t="shared" si="5"/>
        <v>0</v>
      </c>
      <c r="P50" s="620" t="str">
        <f t="shared" si="5"/>
        <v/>
      </c>
      <c r="Q50" s="621">
        <f t="shared" si="3"/>
        <v>3.7453928906486951</v>
      </c>
      <c r="S50" s="591" t="b">
        <v>0</v>
      </c>
      <c r="T50" s="622"/>
    </row>
    <row r="51" spans="2:20" ht="13.5" thickBot="1" x14ac:dyDescent="0.25">
      <c r="B51" s="585">
        <f>'[1]Fuel Data'!A52</f>
        <v>49</v>
      </c>
      <c r="C51" s="617" t="str">
        <f>'[1]Fuel Data'!C52</f>
        <v>UG-EAS-2212-011134</v>
      </c>
      <c r="D51" s="585"/>
      <c r="F51" s="618">
        <f>'[1]Fuel Data'!AK52</f>
        <v>2.5</v>
      </c>
      <c r="G51" s="618">
        <f>'[1]Fuel Data'!AL52</f>
        <v>0</v>
      </c>
      <c r="H51" s="618">
        <f>'[1]Fuel Data'!AM52</f>
        <v>0</v>
      </c>
      <c r="I51" s="618">
        <f>'[1]Fuel Data'!AN52</f>
        <v>0</v>
      </c>
      <c r="J51" s="618"/>
      <c r="K51" s="595"/>
      <c r="L51" s="619">
        <f t="shared" si="4"/>
        <v>1.3357321293326301</v>
      </c>
      <c r="M51" s="620">
        <f t="shared" si="1"/>
        <v>0</v>
      </c>
      <c r="N51" s="620">
        <f t="shared" si="0"/>
        <v>0</v>
      </c>
      <c r="O51" s="620">
        <f t="shared" si="5"/>
        <v>0</v>
      </c>
      <c r="P51" s="620" t="str">
        <f t="shared" si="5"/>
        <v/>
      </c>
      <c r="Q51" s="621">
        <f t="shared" si="3"/>
        <v>1.3357321293326301</v>
      </c>
      <c r="S51" s="591" t="b">
        <v>0</v>
      </c>
      <c r="T51" s="622"/>
    </row>
    <row r="52" spans="2:20" ht="13.5" thickBot="1" x14ac:dyDescent="0.25">
      <c r="B52" s="585">
        <f>'[1]Fuel Data'!A53</f>
        <v>50</v>
      </c>
      <c r="C52" s="617" t="str">
        <f>'[1]Fuel Data'!C53</f>
        <v>UG-EAS-2212-011131</v>
      </c>
      <c r="D52" s="585"/>
      <c r="F52" s="618">
        <f>'[1]Fuel Data'!AK53</f>
        <v>12.39</v>
      </c>
      <c r="G52" s="618">
        <f>'[1]Fuel Data'!AL53</f>
        <v>0</v>
      </c>
      <c r="H52" s="618">
        <f>'[1]Fuel Data'!AM53</f>
        <v>0</v>
      </c>
      <c r="I52" s="618">
        <f>'[1]Fuel Data'!AN53</f>
        <v>0</v>
      </c>
      <c r="J52" s="618"/>
      <c r="K52" s="595"/>
      <c r="L52" s="619">
        <f t="shared" si="4"/>
        <v>6.6198884329725161</v>
      </c>
      <c r="M52" s="620">
        <f t="shared" si="1"/>
        <v>0</v>
      </c>
      <c r="N52" s="620">
        <f t="shared" si="0"/>
        <v>0</v>
      </c>
      <c r="O52" s="620">
        <f t="shared" si="5"/>
        <v>0</v>
      </c>
      <c r="P52" s="620" t="str">
        <f t="shared" si="5"/>
        <v/>
      </c>
      <c r="Q52" s="621">
        <f t="shared" si="3"/>
        <v>6.6198884329725161</v>
      </c>
      <c r="S52" s="591" t="b">
        <v>0</v>
      </c>
      <c r="T52" s="622"/>
    </row>
    <row r="53" spans="2:20" ht="13.5" thickBot="1" x14ac:dyDescent="0.25">
      <c r="B53" s="585">
        <f>'[1]Fuel Data'!A54</f>
        <v>51</v>
      </c>
      <c r="C53" s="617" t="str">
        <f>'[1]Fuel Data'!C54</f>
        <v>UG-EAS-2211-011106</v>
      </c>
      <c r="D53" s="585"/>
      <c r="F53" s="618">
        <f>'[1]Fuel Data'!AK54</f>
        <v>3.5</v>
      </c>
      <c r="G53" s="618">
        <f>'[1]Fuel Data'!AL54</f>
        <v>0</v>
      </c>
      <c r="H53" s="618">
        <f>'[1]Fuel Data'!AM54</f>
        <v>0</v>
      </c>
      <c r="I53" s="618">
        <f>'[1]Fuel Data'!AN54</f>
        <v>0</v>
      </c>
      <c r="J53" s="618"/>
      <c r="K53" s="595"/>
      <c r="L53" s="619">
        <f t="shared" si="4"/>
        <v>1.8700249810656824</v>
      </c>
      <c r="M53" s="620">
        <f t="shared" si="1"/>
        <v>0</v>
      </c>
      <c r="N53" s="620">
        <f t="shared" si="0"/>
        <v>0</v>
      </c>
      <c r="O53" s="620">
        <f t="shared" si="5"/>
        <v>0</v>
      </c>
      <c r="P53" s="620" t="str">
        <f t="shared" si="5"/>
        <v/>
      </c>
      <c r="Q53" s="621">
        <f t="shared" si="3"/>
        <v>1.8700249810656824</v>
      </c>
      <c r="S53" s="591" t="b">
        <v>0</v>
      </c>
      <c r="T53" s="622"/>
    </row>
    <row r="54" spans="2:20" ht="12.75" x14ac:dyDescent="0.2">
      <c r="B54" s="585">
        <f>'[1]Fuel Data'!A55</f>
        <v>52</v>
      </c>
      <c r="C54" s="617" t="str">
        <f>'[1]Fuel Data'!C55</f>
        <v>UG-EAS-2006-9891</v>
      </c>
      <c r="D54" s="585"/>
      <c r="F54" s="618">
        <f>'[1]Fuel Data'!AK55</f>
        <v>12</v>
      </c>
      <c r="G54" s="618">
        <f>'[1]Fuel Data'!AL55</f>
        <v>0</v>
      </c>
      <c r="H54" s="618">
        <f>'[1]Fuel Data'!AM55</f>
        <v>0</v>
      </c>
      <c r="I54" s="618">
        <f>'[1]Fuel Data'!AN55</f>
        <v>0</v>
      </c>
      <c r="J54" s="618"/>
      <c r="K54" s="595"/>
      <c r="L54" s="619">
        <f t="shared" si="4"/>
        <v>6.4115142207966249</v>
      </c>
      <c r="M54" s="620">
        <f t="shared" si="1"/>
        <v>0</v>
      </c>
      <c r="N54" s="620">
        <f t="shared" si="0"/>
        <v>0</v>
      </c>
      <c r="O54" s="620">
        <f t="shared" si="5"/>
        <v>0</v>
      </c>
      <c r="P54" s="620" t="str">
        <f t="shared" si="5"/>
        <v/>
      </c>
      <c r="Q54" s="621">
        <f t="shared" si="3"/>
        <v>6.4115142207966249</v>
      </c>
      <c r="S54" s="591" t="b">
        <v>0</v>
      </c>
      <c r="T54" s="622"/>
    </row>
    <row r="55" spans="2:20" ht="13.5" thickBot="1" x14ac:dyDescent="0.25">
      <c r="S55" s="591" t="b">
        <v>0</v>
      </c>
      <c r="T55" s="622"/>
    </row>
    <row r="56" spans="2:20" ht="13.5" thickBot="1" x14ac:dyDescent="0.25">
      <c r="B56" s="585">
        <f>'[1]Fuel Data'!A57</f>
        <v>54</v>
      </c>
      <c r="C56" s="617" t="str">
        <f>'[1]Fuel Data'!C57</f>
        <v>UG-EAS-1606-2021</v>
      </c>
      <c r="D56" s="585"/>
      <c r="F56" s="618">
        <f>'[1]Fuel Data'!AK57</f>
        <v>13.100000000000001</v>
      </c>
      <c r="G56" s="618">
        <f>'[1]Fuel Data'!AL57</f>
        <v>0</v>
      </c>
      <c r="H56" s="618">
        <f>'[1]Fuel Data'!AM57</f>
        <v>0</v>
      </c>
      <c r="I56" s="618">
        <f>'[1]Fuel Data'!AN57</f>
        <v>0</v>
      </c>
      <c r="J56" s="618"/>
      <c r="K56" s="595"/>
      <c r="L56" s="619">
        <f t="shared" ref="L56:L64" si="6">IF(ISBLANK(F56),"",((F56/$X$7)*365)*$X$9*$X$11*$X$12)</f>
        <v>6.9992363577029844</v>
      </c>
      <c r="M56" s="620">
        <f t="shared" si="1"/>
        <v>0</v>
      </c>
      <c r="N56" s="620">
        <f t="shared" si="0"/>
        <v>0</v>
      </c>
      <c r="O56" s="620">
        <f t="shared" si="5"/>
        <v>0</v>
      </c>
      <c r="P56" s="620" t="str">
        <f t="shared" si="5"/>
        <v/>
      </c>
      <c r="Q56" s="621">
        <f t="shared" ref="Q56:Q63" si="7">IF(AND(ISBLANK(F56),ISBLANK(G56),ISBLANK(H56),ISBLANK(I56),ISBLANK(J56)),"",SUM(L56:P56))</f>
        <v>6.9992363577029844</v>
      </c>
      <c r="S56" s="591" t="b">
        <v>0</v>
      </c>
      <c r="T56" s="622"/>
    </row>
    <row r="57" spans="2:20" ht="13.5" thickBot="1" x14ac:dyDescent="0.25">
      <c r="B57" s="585">
        <f>'[1]Fuel Data'!A58</f>
        <v>55</v>
      </c>
      <c r="C57" s="617" t="str">
        <f>'[1]Fuel Data'!C58</f>
        <v>UG-EAS-2212-010403</v>
      </c>
      <c r="D57" s="585"/>
      <c r="F57" s="618">
        <f>'[1]Fuel Data'!AK58</f>
        <v>17.100000000000001</v>
      </c>
      <c r="G57" s="618">
        <f>'[1]Fuel Data'!AL58</f>
        <v>0</v>
      </c>
      <c r="H57" s="618">
        <f>'[1]Fuel Data'!AM58</f>
        <v>0</v>
      </c>
      <c r="I57" s="618">
        <f>'[1]Fuel Data'!AN58</f>
        <v>0</v>
      </c>
      <c r="J57" s="618"/>
      <c r="K57" s="595"/>
      <c r="L57" s="619">
        <f t="shared" si="6"/>
        <v>9.1364077646351909</v>
      </c>
      <c r="M57" s="620">
        <f t="shared" si="1"/>
        <v>0</v>
      </c>
      <c r="N57" s="620">
        <f t="shared" si="0"/>
        <v>0</v>
      </c>
      <c r="O57" s="620">
        <f t="shared" si="5"/>
        <v>0</v>
      </c>
      <c r="P57" s="620" t="str">
        <f t="shared" si="5"/>
        <v/>
      </c>
      <c r="Q57" s="621">
        <f t="shared" si="7"/>
        <v>9.1364077646351909</v>
      </c>
      <c r="S57" s="591" t="b">
        <v>0</v>
      </c>
      <c r="T57" s="622"/>
    </row>
    <row r="58" spans="2:20" ht="13.5" thickBot="1" x14ac:dyDescent="0.25">
      <c r="B58" s="585">
        <f>'[1]Fuel Data'!A59</f>
        <v>56</v>
      </c>
      <c r="C58" s="617" t="str">
        <f>'[1]Fuel Data'!C59</f>
        <v>UG-CEN-1908-07749</v>
      </c>
      <c r="D58" s="585"/>
      <c r="F58" s="618">
        <f>'[1]Fuel Data'!AK59</f>
        <v>12</v>
      </c>
      <c r="G58" s="618">
        <f>'[1]Fuel Data'!AL59</f>
        <v>0</v>
      </c>
      <c r="H58" s="618">
        <f>'[1]Fuel Data'!AM59</f>
        <v>0</v>
      </c>
      <c r="I58" s="618">
        <f>'[1]Fuel Data'!AN59</f>
        <v>0</v>
      </c>
      <c r="J58" s="618"/>
      <c r="K58" s="595"/>
      <c r="L58" s="619">
        <f t="shared" si="6"/>
        <v>6.4115142207966249</v>
      </c>
      <c r="M58" s="620">
        <f t="shared" si="1"/>
        <v>0</v>
      </c>
      <c r="N58" s="620">
        <f t="shared" si="0"/>
        <v>0</v>
      </c>
      <c r="O58" s="620">
        <f t="shared" si="5"/>
        <v>0</v>
      </c>
      <c r="P58" s="620" t="str">
        <f t="shared" si="5"/>
        <v/>
      </c>
      <c r="Q58" s="621">
        <f t="shared" si="7"/>
        <v>6.4115142207966249</v>
      </c>
      <c r="S58" s="591" t="b">
        <v>0</v>
      </c>
      <c r="T58" s="622"/>
    </row>
    <row r="59" spans="2:20" ht="13.5" thickBot="1" x14ac:dyDescent="0.25">
      <c r="B59" s="585">
        <f>'[1]Fuel Data'!A60</f>
        <v>57</v>
      </c>
      <c r="C59" s="617" t="str">
        <f>'[1]Fuel Data'!C60</f>
        <v>UG-CEN-1305-3966</v>
      </c>
      <c r="D59" s="585"/>
      <c r="F59" s="618">
        <f>'[1]Fuel Data'!AK60</f>
        <v>16</v>
      </c>
      <c r="G59" s="618">
        <f>'[1]Fuel Data'!AL60</f>
        <v>0</v>
      </c>
      <c r="H59" s="618">
        <f>'[1]Fuel Data'!AM60</f>
        <v>0</v>
      </c>
      <c r="I59" s="618">
        <f>'[1]Fuel Data'!AN60</f>
        <v>0</v>
      </c>
      <c r="J59" s="618"/>
      <c r="K59" s="595"/>
      <c r="L59" s="619">
        <f t="shared" si="6"/>
        <v>8.5486856277288332</v>
      </c>
      <c r="M59" s="620">
        <f t="shared" si="1"/>
        <v>0</v>
      </c>
      <c r="N59" s="620">
        <f t="shared" si="0"/>
        <v>0</v>
      </c>
      <c r="O59" s="620">
        <f t="shared" si="5"/>
        <v>0</v>
      </c>
      <c r="P59" s="620" t="str">
        <f t="shared" si="5"/>
        <v/>
      </c>
      <c r="Q59" s="621">
        <f t="shared" si="7"/>
        <v>8.5486856277288332</v>
      </c>
      <c r="S59" s="591" t="b">
        <v>0</v>
      </c>
      <c r="T59" s="622"/>
    </row>
    <row r="60" spans="2:20" ht="13.5" thickBot="1" x14ac:dyDescent="0.25">
      <c r="B60" s="585">
        <f>'[1]Fuel Data'!A61</f>
        <v>58</v>
      </c>
      <c r="C60" s="617" t="str">
        <f>'[1]Fuel Data'!C61</f>
        <v>UG-WES-2301-011214</v>
      </c>
      <c r="D60" s="585"/>
      <c r="F60" s="618">
        <f>'[1]Fuel Data'!AK61</f>
        <v>3.9499999999999993</v>
      </c>
      <c r="G60" s="618">
        <f>'[1]Fuel Data'!AL61</f>
        <v>0</v>
      </c>
      <c r="H60" s="618">
        <f>'[1]Fuel Data'!AM61</f>
        <v>0</v>
      </c>
      <c r="I60" s="618">
        <f>'[1]Fuel Data'!AN61</f>
        <v>0</v>
      </c>
      <c r="J60" s="618"/>
      <c r="K60" s="595"/>
      <c r="L60" s="619">
        <f t="shared" si="6"/>
        <v>2.1104567643455558</v>
      </c>
      <c r="M60" s="620">
        <f t="shared" si="1"/>
        <v>0</v>
      </c>
      <c r="N60" s="620">
        <f t="shared" si="0"/>
        <v>0</v>
      </c>
      <c r="O60" s="620">
        <f t="shared" si="5"/>
        <v>0</v>
      </c>
      <c r="P60" s="620" t="str">
        <f t="shared" si="5"/>
        <v/>
      </c>
      <c r="Q60" s="621">
        <f t="shared" si="7"/>
        <v>2.1104567643455558</v>
      </c>
      <c r="S60" s="591" t="b">
        <v>0</v>
      </c>
      <c r="T60" s="622"/>
    </row>
    <row r="61" spans="2:20" ht="13.5" thickBot="1" x14ac:dyDescent="0.25">
      <c r="B61" s="585">
        <f>'[1]Fuel Data'!A62</f>
        <v>59</v>
      </c>
      <c r="C61" s="617" t="str">
        <f>'[1]Fuel Data'!C62</f>
        <v>UG-WES-1208-5540</v>
      </c>
      <c r="D61" s="585"/>
      <c r="F61" s="618">
        <f>'[1]Fuel Data'!AK62</f>
        <v>8.2000000000000011</v>
      </c>
      <c r="G61" s="618">
        <f>'[1]Fuel Data'!AL62</f>
        <v>0</v>
      </c>
      <c r="H61" s="618">
        <f>'[1]Fuel Data'!AM62</f>
        <v>0</v>
      </c>
      <c r="I61" s="618">
        <f>'[1]Fuel Data'!AN62</f>
        <v>0</v>
      </c>
      <c r="J61" s="618"/>
      <c r="K61" s="595"/>
      <c r="L61" s="619">
        <f t="shared" si="6"/>
        <v>4.3812013842110282</v>
      </c>
      <c r="M61" s="620">
        <f t="shared" si="1"/>
        <v>0</v>
      </c>
      <c r="N61" s="620">
        <f t="shared" si="0"/>
        <v>0</v>
      </c>
      <c r="O61" s="620">
        <f t="shared" si="5"/>
        <v>0</v>
      </c>
      <c r="P61" s="620" t="str">
        <f t="shared" si="5"/>
        <v/>
      </c>
      <c r="Q61" s="621">
        <f t="shared" si="7"/>
        <v>4.3812013842110282</v>
      </c>
      <c r="S61" s="591" t="b">
        <v>0</v>
      </c>
      <c r="T61" s="622"/>
    </row>
    <row r="62" spans="2:20" ht="13.5" thickBot="1" x14ac:dyDescent="0.25">
      <c r="B62" s="585">
        <f>'[1]Fuel Data'!A63</f>
        <v>60</v>
      </c>
      <c r="C62" s="617" t="str">
        <f>'[1]Fuel Data'!C63</f>
        <v>UG-WES-1812-012411</v>
      </c>
      <c r="D62" s="585"/>
      <c r="F62" s="618">
        <f>'[1]Fuel Data'!AK63</f>
        <v>6.98</v>
      </c>
      <c r="G62" s="618">
        <f>'[1]Fuel Data'!AL63</f>
        <v>0</v>
      </c>
      <c r="H62" s="618">
        <f>'[1]Fuel Data'!AM63</f>
        <v>0</v>
      </c>
      <c r="I62" s="618">
        <f>'[1]Fuel Data'!AN63</f>
        <v>0</v>
      </c>
      <c r="J62" s="618"/>
      <c r="K62" s="595"/>
      <c r="L62" s="619">
        <f t="shared" si="6"/>
        <v>3.7293641050967032</v>
      </c>
      <c r="M62" s="620">
        <f t="shared" si="1"/>
        <v>0</v>
      </c>
      <c r="N62" s="620">
        <f t="shared" si="0"/>
        <v>0</v>
      </c>
      <c r="O62" s="620">
        <f t="shared" ref="O62:P64" si="8">IF(ISBLANK(I62),"",((I62/$X$7)*365)*$X$24*$X$25)</f>
        <v>0</v>
      </c>
      <c r="P62" s="620" t="str">
        <f t="shared" si="8"/>
        <v/>
      </c>
      <c r="Q62" s="621">
        <f t="shared" si="7"/>
        <v>3.7293641050967032</v>
      </c>
      <c r="S62" s="591" t="b">
        <v>0</v>
      </c>
      <c r="T62" s="622"/>
    </row>
    <row r="63" spans="2:20" ht="13.5" thickBot="1" x14ac:dyDescent="0.25">
      <c r="B63" s="585">
        <f>'[1]Fuel Data'!A64</f>
        <v>61</v>
      </c>
      <c r="C63" s="617" t="str">
        <f>'[1]Fuel Data'!C64</f>
        <v>UG-EAS-2005-012172</v>
      </c>
      <c r="D63" s="585"/>
      <c r="F63" s="618">
        <f>'[1]Fuel Data'!AK64</f>
        <v>3.2900000000000009</v>
      </c>
      <c r="G63" s="618">
        <f>'[1]Fuel Data'!AL64</f>
        <v>0</v>
      </c>
      <c r="H63" s="618">
        <f>'[1]Fuel Data'!AM64</f>
        <v>0</v>
      </c>
      <c r="I63" s="618">
        <f>'[1]Fuel Data'!AN64</f>
        <v>0</v>
      </c>
      <c r="J63" s="618"/>
      <c r="K63" s="595"/>
      <c r="L63" s="619">
        <f t="shared" si="6"/>
        <v>1.7578234822017418</v>
      </c>
      <c r="M63" s="620">
        <f t="shared" si="1"/>
        <v>0</v>
      </c>
      <c r="N63" s="620">
        <f t="shared" si="0"/>
        <v>0</v>
      </c>
      <c r="O63" s="620">
        <f t="shared" si="8"/>
        <v>0</v>
      </c>
      <c r="P63" s="620" t="str">
        <f t="shared" si="8"/>
        <v/>
      </c>
      <c r="Q63" s="621">
        <f t="shared" si="7"/>
        <v>1.7578234822017418</v>
      </c>
      <c r="S63" s="591" t="b">
        <v>0</v>
      </c>
      <c r="T63" s="622"/>
    </row>
    <row r="64" spans="2:20" ht="13.5" thickBot="1" x14ac:dyDescent="0.25">
      <c r="B64" s="585">
        <f>'[1]Fuel Data'!A65</f>
        <v>62</v>
      </c>
      <c r="C64" s="617" t="str">
        <f>'[1]Fuel Data'!C65</f>
        <v>UG-EAS-1307-4045</v>
      </c>
      <c r="D64" s="585"/>
      <c r="F64" s="618">
        <f>'[1]Fuel Data'!AK65</f>
        <v>2.5300000000000002</v>
      </c>
      <c r="G64" s="618">
        <f>'[1]Fuel Data'!AL65</f>
        <v>0</v>
      </c>
      <c r="H64" s="618">
        <f>'[1]Fuel Data'!AM65</f>
        <v>0</v>
      </c>
      <c r="I64" s="618">
        <f>'[1]Fuel Data'!AN65</f>
        <v>0</v>
      </c>
      <c r="J64" s="618"/>
      <c r="K64" s="595"/>
      <c r="L64" s="619">
        <f t="shared" si="6"/>
        <v>1.3517609148846219</v>
      </c>
      <c r="M64" s="620">
        <f t="shared" si="1"/>
        <v>0</v>
      </c>
      <c r="N64" s="620">
        <f t="shared" si="0"/>
        <v>0</v>
      </c>
      <c r="O64" s="620">
        <f t="shared" si="8"/>
        <v>0</v>
      </c>
      <c r="P64" s="620" t="str">
        <f t="shared" si="8"/>
        <v/>
      </c>
      <c r="Q64" s="621">
        <f>IF(AND(ISBLANK(F64),ISBLANK(G64),ISBLANK(H64),ISBLANK(I64),ISBLANK(J64)),"",SUM(L64:P64))</f>
        <v>1.3517609148846219</v>
      </c>
      <c r="S64" s="591" t="b">
        <v>0</v>
      </c>
      <c r="T64" s="622"/>
    </row>
    <row r="65" spans="2:22" ht="15.75" thickBot="1" x14ac:dyDescent="0.3">
      <c r="C65" s="617"/>
      <c r="D65" s="585"/>
      <c r="F65" s="618"/>
      <c r="G65" s="618"/>
      <c r="H65" s="618"/>
      <c r="I65" s="618"/>
      <c r="J65" s="618"/>
      <c r="K65" s="595"/>
      <c r="L65" s="619"/>
      <c r="M65" s="620"/>
      <c r="N65" s="620"/>
      <c r="O65" s="620"/>
      <c r="P65" s="620"/>
      <c r="Q65" s="764"/>
      <c r="T65" s="622"/>
    </row>
    <row r="66" spans="2:22" ht="15.75" thickBot="1" x14ac:dyDescent="0.3">
      <c r="C66" s="617"/>
      <c r="D66" s="585"/>
      <c r="F66" s="618"/>
      <c r="G66" s="618"/>
      <c r="H66" s="618"/>
      <c r="I66" s="618"/>
      <c r="J66" s="618"/>
      <c r="K66" s="595"/>
      <c r="L66" s="619"/>
      <c r="M66" s="620"/>
      <c r="N66" s="620"/>
      <c r="O66" s="620"/>
      <c r="P66" s="620"/>
      <c r="Q66" s="765">
        <f>AVERAGE(Q8:Q64)</f>
        <v>4.7452705949072804</v>
      </c>
      <c r="S66" s="590"/>
      <c r="T66" s="622"/>
    </row>
    <row r="67" spans="2:22" ht="13.5" thickBot="1" x14ac:dyDescent="0.25">
      <c r="C67" s="617"/>
      <c r="D67" s="585"/>
      <c r="F67" s="618"/>
      <c r="G67" s="618"/>
      <c r="H67" s="618"/>
      <c r="I67" s="618"/>
      <c r="J67" s="618"/>
      <c r="K67" s="595"/>
      <c r="L67" s="619"/>
      <c r="M67" s="620"/>
      <c r="N67" s="620"/>
      <c r="O67" s="620"/>
      <c r="P67" s="620"/>
      <c r="Q67" s="621"/>
      <c r="T67" s="622" t="s">
        <v>36326</v>
      </c>
    </row>
    <row r="68" spans="2:22" ht="13.5" thickBot="1" x14ac:dyDescent="0.25">
      <c r="C68" s="617"/>
      <c r="D68" s="585"/>
      <c r="F68" s="618"/>
      <c r="G68" s="618"/>
      <c r="H68" s="618"/>
      <c r="I68" s="618"/>
      <c r="J68" s="618"/>
      <c r="K68" s="595"/>
      <c r="L68" s="619"/>
      <c r="M68" s="620"/>
      <c r="N68" s="620"/>
      <c r="O68" s="620"/>
      <c r="P68" s="620"/>
      <c r="Q68" s="621"/>
      <c r="T68" s="622"/>
    </row>
    <row r="69" spans="2:22" ht="12.75" x14ac:dyDescent="0.2">
      <c r="C69" s="617"/>
      <c r="D69" s="585"/>
      <c r="F69" s="618"/>
      <c r="G69" s="618"/>
      <c r="H69" s="618"/>
      <c r="I69" s="618"/>
      <c r="J69" s="618"/>
      <c r="K69" s="595"/>
      <c r="L69" s="619"/>
      <c r="M69" s="620"/>
      <c r="N69" s="620"/>
      <c r="O69" s="620"/>
      <c r="P69" s="620"/>
      <c r="Q69" s="621"/>
      <c r="T69" s="622"/>
    </row>
    <row r="70" spans="2:22" ht="13.5" thickBot="1" x14ac:dyDescent="0.25">
      <c r="C70" s="659"/>
      <c r="D70" s="611"/>
      <c r="Q70" s="660"/>
      <c r="S70" s="590"/>
      <c r="T70" s="622"/>
    </row>
    <row r="71" spans="2:22" ht="13.5" thickBot="1" x14ac:dyDescent="0.25">
      <c r="C71" s="659"/>
      <c r="E71" s="661" t="s">
        <v>36320</v>
      </c>
      <c r="F71" s="662">
        <f>AVERAGE(F8:F64)</f>
        <v>6.6953571428571435</v>
      </c>
      <c r="G71" s="662">
        <f>AVERAGE(G8:G64)</f>
        <v>0.20544642857142859</v>
      </c>
      <c r="H71" s="662">
        <f>AVERAGE(H8:H64)</f>
        <v>0</v>
      </c>
      <c r="I71" s="662">
        <f>AVERAGE(I8:I64)</f>
        <v>0</v>
      </c>
      <c r="J71" s="662"/>
      <c r="K71" s="879"/>
      <c r="L71" s="590"/>
      <c r="M71" s="590"/>
      <c r="N71" s="590"/>
      <c r="O71" s="590"/>
      <c r="P71" s="590"/>
      <c r="R71" s="641"/>
      <c r="S71" s="584"/>
      <c r="T71" s="622"/>
    </row>
    <row r="72" spans="2:22" ht="13.5" thickBot="1" x14ac:dyDescent="0.25">
      <c r="C72" s="659"/>
      <c r="E72" s="590"/>
      <c r="F72" s="663">
        <f>F71*365</f>
        <v>2443.8053571428572</v>
      </c>
      <c r="G72" s="664">
        <f>G71*365</f>
        <v>74.987946428571433</v>
      </c>
      <c r="H72" s="664">
        <f>H71*365</f>
        <v>0</v>
      </c>
      <c r="I72" s="664">
        <f>I71*365</f>
        <v>0</v>
      </c>
      <c r="J72" s="665"/>
      <c r="K72" s="880"/>
      <c r="L72" s="595"/>
      <c r="M72" s="595"/>
      <c r="N72" s="595"/>
      <c r="O72" s="595"/>
      <c r="P72" s="595"/>
      <c r="Q72" s="595"/>
      <c r="T72" s="622"/>
    </row>
    <row r="73" spans="2:22" ht="12.75" x14ac:dyDescent="0.2">
      <c r="E73" s="595"/>
      <c r="F73" s="595"/>
      <c r="G73" s="595"/>
      <c r="H73" s="595"/>
      <c r="I73" s="595"/>
      <c r="J73" s="595"/>
      <c r="K73" s="880"/>
      <c r="L73" s="595"/>
      <c r="M73" s="595"/>
      <c r="N73" s="595"/>
      <c r="O73" s="595"/>
      <c r="P73" s="595"/>
      <c r="Q73" s="666" t="s">
        <v>36321</v>
      </c>
      <c r="S73" s="667" t="s">
        <v>36322</v>
      </c>
      <c r="T73" s="668"/>
      <c r="U73" s="669"/>
      <c r="V73" s="670"/>
    </row>
    <row r="74" spans="2:22" ht="15" customHeight="1" thickBot="1" x14ac:dyDescent="0.3">
      <c r="F74" s="671" t="s">
        <v>36287</v>
      </c>
      <c r="G74" s="671" t="s">
        <v>11</v>
      </c>
      <c r="H74" s="671" t="s">
        <v>53</v>
      </c>
      <c r="I74" s="671" t="s">
        <v>28</v>
      </c>
      <c r="J74" s="671" t="s">
        <v>13</v>
      </c>
      <c r="K74" s="881"/>
      <c r="S74" s="672" t="s">
        <v>36323</v>
      </c>
      <c r="T74" s="673"/>
      <c r="U74" s="674"/>
      <c r="V74" s="675" t="s">
        <v>36324</v>
      </c>
    </row>
    <row r="75" spans="2:22" ht="13.5" thickBot="1" x14ac:dyDescent="0.25">
      <c r="E75" s="593"/>
      <c r="F75" s="676">
        <f>F72/1000</f>
        <v>2.4438053571428573</v>
      </c>
      <c r="G75" s="677">
        <f>G72/1000</f>
        <v>7.4987946428571428E-2</v>
      </c>
      <c r="H75" s="677">
        <f>H72/1000</f>
        <v>0</v>
      </c>
      <c r="I75" s="677">
        <f>I72/1000</f>
        <v>0</v>
      </c>
      <c r="J75" s="678">
        <f>J72/1000</f>
        <v>0</v>
      </c>
      <c r="K75" s="882"/>
      <c r="S75" s="679" t="s">
        <v>36325</v>
      </c>
      <c r="T75" s="680"/>
      <c r="U75" s="681"/>
      <c r="V75" s="682"/>
    </row>
    <row r="76" spans="2:22" ht="12.75" x14ac:dyDescent="0.2">
      <c r="G76" s="683"/>
      <c r="K76" s="882"/>
      <c r="T76" s="622"/>
    </row>
    <row r="77" spans="2:22" ht="15.75" thickBot="1" x14ac:dyDescent="0.25">
      <c r="F77" s="684"/>
      <c r="T77" s="622"/>
    </row>
    <row r="78" spans="2:22" ht="13.5" thickBot="1" x14ac:dyDescent="0.25">
      <c r="F78" s="685"/>
      <c r="T78" s="622"/>
    </row>
    <row r="79" spans="2:22" ht="12.75" x14ac:dyDescent="0.2">
      <c r="T79" s="622"/>
    </row>
    <row r="80" spans="2:22" ht="15" customHeight="1" thickBot="1" x14ac:dyDescent="0.25">
      <c r="B80" s="722" t="s">
        <v>36477</v>
      </c>
    </row>
    <row r="81" spans="2:18" ht="15" customHeight="1" x14ac:dyDescent="0.25">
      <c r="B81" s="687">
        <f>'[1]Fuel Data'!A56</f>
        <v>53</v>
      </c>
      <c r="C81" s="688" t="str">
        <f>'[1]Fuel Data'!C56</f>
        <v>UG-EAS-2308-010418</v>
      </c>
      <c r="D81" s="687"/>
      <c r="E81" s="689"/>
      <c r="F81" s="690">
        <f>'[1]Fuel Data'!AK56</f>
        <v>9.5</v>
      </c>
      <c r="G81" s="690">
        <f>'[1]Fuel Data'!AL56</f>
        <v>2.2999999999999998</v>
      </c>
      <c r="H81" s="690">
        <f>'[1]Fuel Data'!AM56</f>
        <v>0</v>
      </c>
      <c r="I81" s="690">
        <f>'[1]Fuel Data'!AN56</f>
        <v>0</v>
      </c>
      <c r="J81" s="690"/>
      <c r="K81" s="689"/>
      <c r="L81" s="691">
        <f>IF(ISBLANK(F81),"",((F81/$X$7)*365)*$X$9*$X$11*$X$12)</f>
        <v>5.0757820914639948</v>
      </c>
      <c r="M81" s="692">
        <f>IF(ISBLANK(G81),"",((G81/$X$7)*365*$X$5)*$X$15*$X$17*$X$18)</f>
        <v>13.694006520980887</v>
      </c>
      <c r="N81" s="692">
        <f>IF(ISBLANK(H81),"",((H81/$X$7)*365)*$X$21*$X$22)</f>
        <v>0</v>
      </c>
      <c r="O81" s="692">
        <f>IF(ISBLANK(I81),"",((I81/$X$7)*365)*$X$24*$X$25)</f>
        <v>0</v>
      </c>
      <c r="P81" s="692" t="str">
        <f>IF(ISBLANK(J81),"",((J81/$X$7)*365)*$X$24*$X$25)</f>
        <v/>
      </c>
      <c r="Q81" s="686">
        <f>IF(AND(ISBLANK(F81),ISBLANK(G81),ISBLANK(H81),ISBLANK(I81),ISBLANK(J81)),"",SUM(L81:P81))</f>
        <v>18.769788612444881</v>
      </c>
      <c r="R81" s="689"/>
    </row>
  </sheetData>
  <mergeCells count="3">
    <mergeCell ref="S4:S7"/>
    <mergeCell ref="K71:K73"/>
    <mergeCell ref="K74:K76"/>
  </mergeCells>
  <conditionalFormatting sqref="X40:Z40">
    <cfRule type="containsText" dxfId="1" priority="1" stopIfTrue="1" operator="containsText" text="A minimum sample size of 20 is required by the methodology">
      <formula>NOT(ISERROR(SEARCH("A minimum sample size of 20 is required by the methodology",X40)))</formula>
    </cfRule>
  </conditionalFormatting>
  <hyperlinks>
    <hyperlink ref="V74" r:id="rId1" xr:uid="{246E053F-4264-46AF-8F10-5117B9EE808B}"/>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18</xdr:col>
                    <xdr:colOff>0</xdr:colOff>
                    <xdr:row>7</xdr:row>
                    <xdr:rowOff>0</xdr:rowOff>
                  </from>
                  <to>
                    <xdr:col>20</xdr:col>
                    <xdr:colOff>9525</xdr:colOff>
                    <xdr:row>8</xdr:row>
                    <xdr:rowOff>57150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18</xdr:col>
                    <xdr:colOff>0</xdr:colOff>
                    <xdr:row>8</xdr:row>
                    <xdr:rowOff>0</xdr:rowOff>
                  </from>
                  <to>
                    <xdr:col>20</xdr:col>
                    <xdr:colOff>9525</xdr:colOff>
                    <xdr:row>9</xdr:row>
                    <xdr:rowOff>19050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18</xdr:col>
                    <xdr:colOff>0</xdr:colOff>
                    <xdr:row>9</xdr:row>
                    <xdr:rowOff>0</xdr:rowOff>
                  </from>
                  <to>
                    <xdr:col>20</xdr:col>
                    <xdr:colOff>9525</xdr:colOff>
                    <xdr:row>10</xdr:row>
                    <xdr:rowOff>19050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18</xdr:col>
                    <xdr:colOff>0</xdr:colOff>
                    <xdr:row>10</xdr:row>
                    <xdr:rowOff>0</xdr:rowOff>
                  </from>
                  <to>
                    <xdr:col>20</xdr:col>
                    <xdr:colOff>9525</xdr:colOff>
                    <xdr:row>11</xdr:row>
                    <xdr:rowOff>19050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18</xdr:col>
                    <xdr:colOff>0</xdr:colOff>
                    <xdr:row>11</xdr:row>
                    <xdr:rowOff>0</xdr:rowOff>
                  </from>
                  <to>
                    <xdr:col>20</xdr:col>
                    <xdr:colOff>9525</xdr:colOff>
                    <xdr:row>12</xdr:row>
                    <xdr:rowOff>19050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18</xdr:col>
                    <xdr:colOff>0</xdr:colOff>
                    <xdr:row>12</xdr:row>
                    <xdr:rowOff>0</xdr:rowOff>
                  </from>
                  <to>
                    <xdr:col>20</xdr:col>
                    <xdr:colOff>9525</xdr:colOff>
                    <xdr:row>13</xdr:row>
                    <xdr:rowOff>19050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18</xdr:col>
                    <xdr:colOff>0</xdr:colOff>
                    <xdr:row>13</xdr:row>
                    <xdr:rowOff>0</xdr:rowOff>
                  </from>
                  <to>
                    <xdr:col>20</xdr:col>
                    <xdr:colOff>9525</xdr:colOff>
                    <xdr:row>14</xdr:row>
                    <xdr:rowOff>57150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18</xdr:col>
                    <xdr:colOff>0</xdr:colOff>
                    <xdr:row>14</xdr:row>
                    <xdr:rowOff>0</xdr:rowOff>
                  </from>
                  <to>
                    <xdr:col>20</xdr:col>
                    <xdr:colOff>9525</xdr:colOff>
                    <xdr:row>15</xdr:row>
                    <xdr:rowOff>19050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18</xdr:col>
                    <xdr:colOff>0</xdr:colOff>
                    <xdr:row>15</xdr:row>
                    <xdr:rowOff>0</xdr:rowOff>
                  </from>
                  <to>
                    <xdr:col>20</xdr:col>
                    <xdr:colOff>9525</xdr:colOff>
                    <xdr:row>16</xdr:row>
                    <xdr:rowOff>19050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18</xdr:col>
                    <xdr:colOff>0</xdr:colOff>
                    <xdr:row>16</xdr:row>
                    <xdr:rowOff>0</xdr:rowOff>
                  </from>
                  <to>
                    <xdr:col>20</xdr:col>
                    <xdr:colOff>9525</xdr:colOff>
                    <xdr:row>17</xdr:row>
                    <xdr:rowOff>19050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18</xdr:col>
                    <xdr:colOff>0</xdr:colOff>
                    <xdr:row>17</xdr:row>
                    <xdr:rowOff>0</xdr:rowOff>
                  </from>
                  <to>
                    <xdr:col>20</xdr:col>
                    <xdr:colOff>9525</xdr:colOff>
                    <xdr:row>18</xdr:row>
                    <xdr:rowOff>19050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18</xdr:col>
                    <xdr:colOff>0</xdr:colOff>
                    <xdr:row>18</xdr:row>
                    <xdr:rowOff>0</xdr:rowOff>
                  </from>
                  <to>
                    <xdr:col>20</xdr:col>
                    <xdr:colOff>9525</xdr:colOff>
                    <xdr:row>19</xdr:row>
                    <xdr:rowOff>19050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18</xdr:col>
                    <xdr:colOff>0</xdr:colOff>
                    <xdr:row>19</xdr:row>
                    <xdr:rowOff>0</xdr:rowOff>
                  </from>
                  <to>
                    <xdr:col>20</xdr:col>
                    <xdr:colOff>9525</xdr:colOff>
                    <xdr:row>20</xdr:row>
                    <xdr:rowOff>57150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18</xdr:col>
                    <xdr:colOff>0</xdr:colOff>
                    <xdr:row>20</xdr:row>
                    <xdr:rowOff>0</xdr:rowOff>
                  </from>
                  <to>
                    <xdr:col>20</xdr:col>
                    <xdr:colOff>9525</xdr:colOff>
                    <xdr:row>21</xdr:row>
                    <xdr:rowOff>47625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18</xdr:col>
                    <xdr:colOff>0</xdr:colOff>
                    <xdr:row>21</xdr:row>
                    <xdr:rowOff>0</xdr:rowOff>
                  </from>
                  <to>
                    <xdr:col>20</xdr:col>
                    <xdr:colOff>9525</xdr:colOff>
                    <xdr:row>22</xdr:row>
                    <xdr:rowOff>19050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18</xdr:col>
                    <xdr:colOff>0</xdr:colOff>
                    <xdr:row>22</xdr:row>
                    <xdr:rowOff>0</xdr:rowOff>
                  </from>
                  <to>
                    <xdr:col>20</xdr:col>
                    <xdr:colOff>9525</xdr:colOff>
                    <xdr:row>23</xdr:row>
                    <xdr:rowOff>57150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18</xdr:col>
                    <xdr:colOff>0</xdr:colOff>
                    <xdr:row>23</xdr:row>
                    <xdr:rowOff>0</xdr:rowOff>
                  </from>
                  <to>
                    <xdr:col>20</xdr:col>
                    <xdr:colOff>9525</xdr:colOff>
                    <xdr:row>24</xdr:row>
                    <xdr:rowOff>19050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18</xdr:col>
                    <xdr:colOff>0</xdr:colOff>
                    <xdr:row>24</xdr:row>
                    <xdr:rowOff>0</xdr:rowOff>
                  </from>
                  <to>
                    <xdr:col>20</xdr:col>
                    <xdr:colOff>9525</xdr:colOff>
                    <xdr:row>25</xdr:row>
                    <xdr:rowOff>19050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18</xdr:col>
                    <xdr:colOff>0</xdr:colOff>
                    <xdr:row>25</xdr:row>
                    <xdr:rowOff>0</xdr:rowOff>
                  </from>
                  <to>
                    <xdr:col>20</xdr:col>
                    <xdr:colOff>9525</xdr:colOff>
                    <xdr:row>26</xdr:row>
                    <xdr:rowOff>57150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18</xdr:col>
                    <xdr:colOff>0</xdr:colOff>
                    <xdr:row>26</xdr:row>
                    <xdr:rowOff>0</xdr:rowOff>
                  </from>
                  <to>
                    <xdr:col>20</xdr:col>
                    <xdr:colOff>9525</xdr:colOff>
                    <xdr:row>27</xdr:row>
                    <xdr:rowOff>57150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18</xdr:col>
                    <xdr:colOff>0</xdr:colOff>
                    <xdr:row>26</xdr:row>
                    <xdr:rowOff>0</xdr:rowOff>
                  </from>
                  <to>
                    <xdr:col>20</xdr:col>
                    <xdr:colOff>9525</xdr:colOff>
                    <xdr:row>27</xdr:row>
                    <xdr:rowOff>57150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18</xdr:col>
                    <xdr:colOff>0</xdr:colOff>
                    <xdr:row>27</xdr:row>
                    <xdr:rowOff>0</xdr:rowOff>
                  </from>
                  <to>
                    <xdr:col>20</xdr:col>
                    <xdr:colOff>9525</xdr:colOff>
                    <xdr:row>28</xdr:row>
                    <xdr:rowOff>57150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18</xdr:col>
                    <xdr:colOff>0</xdr:colOff>
                    <xdr:row>28</xdr:row>
                    <xdr:rowOff>0</xdr:rowOff>
                  </from>
                  <to>
                    <xdr:col>20</xdr:col>
                    <xdr:colOff>9525</xdr:colOff>
                    <xdr:row>29</xdr:row>
                    <xdr:rowOff>57150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18</xdr:col>
                    <xdr:colOff>0</xdr:colOff>
                    <xdr:row>29</xdr:row>
                    <xdr:rowOff>0</xdr:rowOff>
                  </from>
                  <to>
                    <xdr:col>20</xdr:col>
                    <xdr:colOff>9525</xdr:colOff>
                    <xdr:row>30</xdr:row>
                    <xdr:rowOff>28575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18</xdr:col>
                    <xdr:colOff>0</xdr:colOff>
                    <xdr:row>30</xdr:row>
                    <xdr:rowOff>0</xdr:rowOff>
                  </from>
                  <to>
                    <xdr:col>20</xdr:col>
                    <xdr:colOff>9525</xdr:colOff>
                    <xdr:row>31</xdr:row>
                    <xdr:rowOff>57150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18</xdr:col>
                    <xdr:colOff>0</xdr:colOff>
                    <xdr:row>31</xdr:row>
                    <xdr:rowOff>0</xdr:rowOff>
                  </from>
                  <to>
                    <xdr:col>20</xdr:col>
                    <xdr:colOff>9525</xdr:colOff>
                    <xdr:row>32</xdr:row>
                    <xdr:rowOff>57150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18</xdr:col>
                    <xdr:colOff>0</xdr:colOff>
                    <xdr:row>32</xdr:row>
                    <xdr:rowOff>0</xdr:rowOff>
                  </from>
                  <to>
                    <xdr:col>20</xdr:col>
                    <xdr:colOff>9525</xdr:colOff>
                    <xdr:row>33</xdr:row>
                    <xdr:rowOff>57150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18</xdr:col>
                    <xdr:colOff>0</xdr:colOff>
                    <xdr:row>33</xdr:row>
                    <xdr:rowOff>0</xdr:rowOff>
                  </from>
                  <to>
                    <xdr:col>20</xdr:col>
                    <xdr:colOff>9525</xdr:colOff>
                    <xdr:row>34</xdr:row>
                    <xdr:rowOff>57150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18</xdr:col>
                    <xdr:colOff>0</xdr:colOff>
                    <xdr:row>34</xdr:row>
                    <xdr:rowOff>0</xdr:rowOff>
                  </from>
                  <to>
                    <xdr:col>20</xdr:col>
                    <xdr:colOff>9525</xdr:colOff>
                    <xdr:row>35</xdr:row>
                    <xdr:rowOff>57150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18</xdr:col>
                    <xdr:colOff>0</xdr:colOff>
                    <xdr:row>35</xdr:row>
                    <xdr:rowOff>0</xdr:rowOff>
                  </from>
                  <to>
                    <xdr:col>20</xdr:col>
                    <xdr:colOff>9525</xdr:colOff>
                    <xdr:row>36</xdr:row>
                    <xdr:rowOff>57150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18</xdr:col>
                    <xdr:colOff>0</xdr:colOff>
                    <xdr:row>36</xdr:row>
                    <xdr:rowOff>0</xdr:rowOff>
                  </from>
                  <to>
                    <xdr:col>20</xdr:col>
                    <xdr:colOff>9525</xdr:colOff>
                    <xdr:row>37</xdr:row>
                    <xdr:rowOff>57150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18</xdr:col>
                    <xdr:colOff>0</xdr:colOff>
                    <xdr:row>37</xdr:row>
                    <xdr:rowOff>0</xdr:rowOff>
                  </from>
                  <to>
                    <xdr:col>20</xdr:col>
                    <xdr:colOff>9525</xdr:colOff>
                    <xdr:row>38</xdr:row>
                    <xdr:rowOff>57150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18</xdr:col>
                    <xdr:colOff>0</xdr:colOff>
                    <xdr:row>38</xdr:row>
                    <xdr:rowOff>0</xdr:rowOff>
                  </from>
                  <to>
                    <xdr:col>20</xdr:col>
                    <xdr:colOff>9525</xdr:colOff>
                    <xdr:row>39</xdr:row>
                    <xdr:rowOff>57150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18</xdr:col>
                    <xdr:colOff>0</xdr:colOff>
                    <xdr:row>39</xdr:row>
                    <xdr:rowOff>0</xdr:rowOff>
                  </from>
                  <to>
                    <xdr:col>20</xdr:col>
                    <xdr:colOff>9525</xdr:colOff>
                    <xdr:row>39</xdr:row>
                    <xdr:rowOff>228600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18</xdr:col>
                    <xdr:colOff>0</xdr:colOff>
                    <xdr:row>40</xdr:row>
                    <xdr:rowOff>0</xdr:rowOff>
                  </from>
                  <to>
                    <xdr:col>20</xdr:col>
                    <xdr:colOff>9525</xdr:colOff>
                    <xdr:row>41</xdr:row>
                    <xdr:rowOff>57150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18</xdr:col>
                    <xdr:colOff>0</xdr:colOff>
                    <xdr:row>41</xdr:row>
                    <xdr:rowOff>0</xdr:rowOff>
                  </from>
                  <to>
                    <xdr:col>20</xdr:col>
                    <xdr:colOff>9525</xdr:colOff>
                    <xdr:row>42</xdr:row>
                    <xdr:rowOff>57150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18</xdr:col>
                    <xdr:colOff>0</xdr:colOff>
                    <xdr:row>42</xdr:row>
                    <xdr:rowOff>0</xdr:rowOff>
                  </from>
                  <to>
                    <xdr:col>20</xdr:col>
                    <xdr:colOff>9525</xdr:colOff>
                    <xdr:row>43</xdr:row>
                    <xdr:rowOff>57150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18</xdr:col>
                    <xdr:colOff>0</xdr:colOff>
                    <xdr:row>43</xdr:row>
                    <xdr:rowOff>0</xdr:rowOff>
                  </from>
                  <to>
                    <xdr:col>20</xdr:col>
                    <xdr:colOff>9525</xdr:colOff>
                    <xdr:row>44</xdr:row>
                    <xdr:rowOff>57150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18</xdr:col>
                    <xdr:colOff>0</xdr:colOff>
                    <xdr:row>44</xdr:row>
                    <xdr:rowOff>0</xdr:rowOff>
                  </from>
                  <to>
                    <xdr:col>20</xdr:col>
                    <xdr:colOff>9525</xdr:colOff>
                    <xdr:row>45</xdr:row>
                    <xdr:rowOff>57150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49" r:id="rId80" name="Check Box 7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0" r:id="rId81" name="Check Box 7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1" r:id="rId82" name="Check Box 7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2" r:id="rId83" name="Check Box 8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3" r:id="rId84" name="Check Box 8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4" r:id="rId85" name="Check Box 8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5" r:id="rId86" name="Check Box 8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6" r:id="rId87" name="Check Box 8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7" r:id="rId88" name="Check Box 8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8" r:id="rId89" name="Check Box 8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59" r:id="rId90" name="Check Box 8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0" r:id="rId91" name="Check Box 8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1" r:id="rId92" name="Check Box 8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2" r:id="rId93" name="Check Box 9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3" r:id="rId94" name="Check Box 9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8" r:id="rId99" name="Check Box 9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69" r:id="rId100" name="Check Box 9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0" r:id="rId101" name="Check Box 9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1" r:id="rId102" name="Check Box 99">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772" r:id="rId103" name="Check Box 10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3" r:id="rId104" name="Check Box 10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4" r:id="rId105" name="Check Box 10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5" r:id="rId106" name="Check Box 10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6" r:id="rId107" name="Check Box 10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7" r:id="rId108" name="Check Box 10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78" r:id="rId109" name="Check Box 106">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779" r:id="rId110" name="Check Box 10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0" r:id="rId111" name="Check Box 10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1" r:id="rId112" name="Check Box 10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2" r:id="rId113" name="Check Box 11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3" r:id="rId114" name="Check Box 11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4" r:id="rId115" name="Check Box 11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5" r:id="rId116" name="Check Box 113">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786" r:id="rId117" name="Check Box 11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7" r:id="rId118" name="Check Box 11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8" r:id="rId119" name="Check Box 11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89" r:id="rId120" name="Check Box 117">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790" r:id="rId121" name="Check Box 11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1" r:id="rId122" name="Check Box 11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2" r:id="rId123" name="Check Box 12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3" r:id="rId124" name="Check Box 12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4" r:id="rId125" name="Check Box 12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5" r:id="rId126" name="Check Box 12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6" r:id="rId127" name="Check Box 124">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797" r:id="rId128" name="Check Box 12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8" r:id="rId129" name="Check Box 12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799" r:id="rId130" name="Check Box 12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0" r:id="rId131" name="Check Box 128">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801" r:id="rId132" name="Check Box 12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2" r:id="rId133" name="Check Box 13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3" r:id="rId134" name="Check Box 13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4" r:id="rId135" name="Check Box 13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5" r:id="rId136" name="Check Box 13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6" r:id="rId137" name="Check Box 13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7" r:id="rId138" name="Check Box 135">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808" r:id="rId139" name="Check Box 13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09" r:id="rId140" name="Check Box 13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0" r:id="rId141" name="Check Box 13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1" r:id="rId142" name="Check Box 139">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812" r:id="rId143" name="Check Box 14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3" r:id="rId144" name="Check Box 14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4" r:id="rId145" name="Check Box 14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5" r:id="rId146" name="Check Box 14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6" r:id="rId147" name="Check Box 14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7" r:id="rId148" name="Check Box 14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18" r:id="rId149" name="Check Box 146">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819" r:id="rId150" name="Check Box 147">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0" r:id="rId151" name="Check Box 14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1" r:id="rId152" name="Check Box 14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2" r:id="rId153" name="Check Box 150">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823" r:id="rId154" name="Check Box 15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4" r:id="rId155" name="Check Box 15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5" r:id="rId156" name="Check Box 153">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6" r:id="rId157" name="Check Box 154">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7" r:id="rId158" name="Check Box 155">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8" r:id="rId159" name="Check Box 156">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29" r:id="rId160" name="Check Box 157">
              <controlPr defaultSize="0" autoFill="0" autoLine="0" autoPict="0">
                <anchor moveWithCells="1">
                  <from>
                    <xdr:col>17</xdr:col>
                    <xdr:colOff>171450</xdr:colOff>
                    <xdr:row>69</xdr:row>
                    <xdr:rowOff>0</xdr:rowOff>
                  </from>
                  <to>
                    <xdr:col>20</xdr:col>
                    <xdr:colOff>504825</xdr:colOff>
                    <xdr:row>70</xdr:row>
                    <xdr:rowOff>38100</xdr:rowOff>
                  </to>
                </anchor>
              </controlPr>
            </control>
          </mc:Choice>
        </mc:AlternateContent>
        <mc:AlternateContent xmlns:mc="http://schemas.openxmlformats.org/markup-compatibility/2006">
          <mc:Choice Requires="x14">
            <control shapeId="28830" r:id="rId161" name="Check Box 158">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31" r:id="rId162" name="Check Box 159">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32" r:id="rId163" name="Check Box 160">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33" r:id="rId164" name="Check Box 161">
              <controlPr defaultSize="0" autoFill="0" autoLine="0" autoPict="0">
                <anchor moveWithCells="1">
                  <from>
                    <xdr:col>18</xdr:col>
                    <xdr:colOff>0</xdr:colOff>
                    <xdr:row>44</xdr:row>
                    <xdr:rowOff>0</xdr:rowOff>
                  </from>
                  <to>
                    <xdr:col>20</xdr:col>
                    <xdr:colOff>9525</xdr:colOff>
                    <xdr:row>45</xdr:row>
                    <xdr:rowOff>57150</xdr:rowOff>
                  </to>
                </anchor>
              </controlPr>
            </control>
          </mc:Choice>
        </mc:AlternateContent>
        <mc:AlternateContent xmlns:mc="http://schemas.openxmlformats.org/markup-compatibility/2006">
          <mc:Choice Requires="x14">
            <control shapeId="28834" r:id="rId165" name="Check Box 162">
              <controlPr defaultSize="0" autoFill="0" autoLine="0" autoPict="0">
                <anchor moveWithCells="1">
                  <from>
                    <xdr:col>18</xdr:col>
                    <xdr:colOff>0</xdr:colOff>
                    <xdr:row>45</xdr:row>
                    <xdr:rowOff>0</xdr:rowOff>
                  </from>
                  <to>
                    <xdr:col>20</xdr:col>
                    <xdr:colOff>9525</xdr:colOff>
                    <xdr:row>46</xdr:row>
                    <xdr:rowOff>57150</xdr:rowOff>
                  </to>
                </anchor>
              </controlPr>
            </control>
          </mc:Choice>
        </mc:AlternateContent>
        <mc:AlternateContent xmlns:mc="http://schemas.openxmlformats.org/markup-compatibility/2006">
          <mc:Choice Requires="x14">
            <control shapeId="28835" r:id="rId166" name="Check Box 163">
              <controlPr defaultSize="0" autoFill="0" autoLine="0" autoPict="0">
                <anchor moveWithCells="1">
                  <from>
                    <xdr:col>18</xdr:col>
                    <xdr:colOff>0</xdr:colOff>
                    <xdr:row>45</xdr:row>
                    <xdr:rowOff>0</xdr:rowOff>
                  </from>
                  <to>
                    <xdr:col>20</xdr:col>
                    <xdr:colOff>9525</xdr:colOff>
                    <xdr:row>46</xdr:row>
                    <xdr:rowOff>57150</xdr:rowOff>
                  </to>
                </anchor>
              </controlPr>
            </control>
          </mc:Choice>
        </mc:AlternateContent>
        <mc:AlternateContent xmlns:mc="http://schemas.openxmlformats.org/markup-compatibility/2006">
          <mc:Choice Requires="x14">
            <control shapeId="28836" r:id="rId167" name="Check Box 164">
              <controlPr defaultSize="0" autoFill="0" autoLine="0" autoPict="0">
                <anchor moveWithCells="1">
                  <from>
                    <xdr:col>18</xdr:col>
                    <xdr:colOff>0</xdr:colOff>
                    <xdr:row>46</xdr:row>
                    <xdr:rowOff>0</xdr:rowOff>
                  </from>
                  <to>
                    <xdr:col>20</xdr:col>
                    <xdr:colOff>9525</xdr:colOff>
                    <xdr:row>47</xdr:row>
                    <xdr:rowOff>57150</xdr:rowOff>
                  </to>
                </anchor>
              </controlPr>
            </control>
          </mc:Choice>
        </mc:AlternateContent>
        <mc:AlternateContent xmlns:mc="http://schemas.openxmlformats.org/markup-compatibility/2006">
          <mc:Choice Requires="x14">
            <control shapeId="28837" r:id="rId168" name="Check Box 165">
              <controlPr defaultSize="0" autoFill="0" autoLine="0" autoPict="0">
                <anchor moveWithCells="1">
                  <from>
                    <xdr:col>18</xdr:col>
                    <xdr:colOff>0</xdr:colOff>
                    <xdr:row>46</xdr:row>
                    <xdr:rowOff>0</xdr:rowOff>
                  </from>
                  <to>
                    <xdr:col>20</xdr:col>
                    <xdr:colOff>9525</xdr:colOff>
                    <xdr:row>47</xdr:row>
                    <xdr:rowOff>57150</xdr:rowOff>
                  </to>
                </anchor>
              </controlPr>
            </control>
          </mc:Choice>
        </mc:AlternateContent>
        <mc:AlternateContent xmlns:mc="http://schemas.openxmlformats.org/markup-compatibility/2006">
          <mc:Choice Requires="x14">
            <control shapeId="28838" r:id="rId169" name="Check Box 166">
              <controlPr defaultSize="0" autoFill="0" autoLine="0" autoPict="0">
                <anchor moveWithCells="1">
                  <from>
                    <xdr:col>18</xdr:col>
                    <xdr:colOff>0</xdr:colOff>
                    <xdr:row>46</xdr:row>
                    <xdr:rowOff>0</xdr:rowOff>
                  </from>
                  <to>
                    <xdr:col>20</xdr:col>
                    <xdr:colOff>9525</xdr:colOff>
                    <xdr:row>47</xdr:row>
                    <xdr:rowOff>57150</xdr:rowOff>
                  </to>
                </anchor>
              </controlPr>
            </control>
          </mc:Choice>
        </mc:AlternateContent>
        <mc:AlternateContent xmlns:mc="http://schemas.openxmlformats.org/markup-compatibility/2006">
          <mc:Choice Requires="x14">
            <control shapeId="28839" r:id="rId170" name="Check Box 167">
              <controlPr defaultSize="0" autoFill="0" autoLine="0" autoPict="0">
                <anchor moveWithCells="1">
                  <from>
                    <xdr:col>18</xdr:col>
                    <xdr:colOff>0</xdr:colOff>
                    <xdr:row>47</xdr:row>
                    <xdr:rowOff>0</xdr:rowOff>
                  </from>
                  <to>
                    <xdr:col>20</xdr:col>
                    <xdr:colOff>9525</xdr:colOff>
                    <xdr:row>48</xdr:row>
                    <xdr:rowOff>57150</xdr:rowOff>
                  </to>
                </anchor>
              </controlPr>
            </control>
          </mc:Choice>
        </mc:AlternateContent>
        <mc:AlternateContent xmlns:mc="http://schemas.openxmlformats.org/markup-compatibility/2006">
          <mc:Choice Requires="x14">
            <control shapeId="28840" r:id="rId171" name="Check Box 168">
              <controlPr defaultSize="0" autoFill="0" autoLine="0" autoPict="0">
                <anchor moveWithCells="1">
                  <from>
                    <xdr:col>18</xdr:col>
                    <xdr:colOff>0</xdr:colOff>
                    <xdr:row>47</xdr:row>
                    <xdr:rowOff>0</xdr:rowOff>
                  </from>
                  <to>
                    <xdr:col>20</xdr:col>
                    <xdr:colOff>9525</xdr:colOff>
                    <xdr:row>48</xdr:row>
                    <xdr:rowOff>57150</xdr:rowOff>
                  </to>
                </anchor>
              </controlPr>
            </control>
          </mc:Choice>
        </mc:AlternateContent>
        <mc:AlternateContent xmlns:mc="http://schemas.openxmlformats.org/markup-compatibility/2006">
          <mc:Choice Requires="x14">
            <control shapeId="28841" r:id="rId172" name="Check Box 169">
              <controlPr defaultSize="0" autoFill="0" autoLine="0" autoPict="0">
                <anchor moveWithCells="1">
                  <from>
                    <xdr:col>18</xdr:col>
                    <xdr:colOff>0</xdr:colOff>
                    <xdr:row>47</xdr:row>
                    <xdr:rowOff>0</xdr:rowOff>
                  </from>
                  <to>
                    <xdr:col>20</xdr:col>
                    <xdr:colOff>9525</xdr:colOff>
                    <xdr:row>48</xdr:row>
                    <xdr:rowOff>57150</xdr:rowOff>
                  </to>
                </anchor>
              </controlPr>
            </control>
          </mc:Choice>
        </mc:AlternateContent>
        <mc:AlternateContent xmlns:mc="http://schemas.openxmlformats.org/markup-compatibility/2006">
          <mc:Choice Requires="x14">
            <control shapeId="28842" r:id="rId173" name="Check Box 170">
              <controlPr defaultSize="0" autoFill="0" autoLine="0" autoPict="0">
                <anchor moveWithCells="1">
                  <from>
                    <xdr:col>18</xdr:col>
                    <xdr:colOff>0</xdr:colOff>
                    <xdr:row>48</xdr:row>
                    <xdr:rowOff>0</xdr:rowOff>
                  </from>
                  <to>
                    <xdr:col>20</xdr:col>
                    <xdr:colOff>9525</xdr:colOff>
                    <xdr:row>49</xdr:row>
                    <xdr:rowOff>57150</xdr:rowOff>
                  </to>
                </anchor>
              </controlPr>
            </control>
          </mc:Choice>
        </mc:AlternateContent>
        <mc:AlternateContent xmlns:mc="http://schemas.openxmlformats.org/markup-compatibility/2006">
          <mc:Choice Requires="x14">
            <control shapeId="28843" r:id="rId174" name="Check Box 171">
              <controlPr defaultSize="0" autoFill="0" autoLine="0" autoPict="0">
                <anchor moveWithCells="1">
                  <from>
                    <xdr:col>18</xdr:col>
                    <xdr:colOff>0</xdr:colOff>
                    <xdr:row>48</xdr:row>
                    <xdr:rowOff>0</xdr:rowOff>
                  </from>
                  <to>
                    <xdr:col>20</xdr:col>
                    <xdr:colOff>9525</xdr:colOff>
                    <xdr:row>49</xdr:row>
                    <xdr:rowOff>57150</xdr:rowOff>
                  </to>
                </anchor>
              </controlPr>
            </control>
          </mc:Choice>
        </mc:AlternateContent>
        <mc:AlternateContent xmlns:mc="http://schemas.openxmlformats.org/markup-compatibility/2006">
          <mc:Choice Requires="x14">
            <control shapeId="28844" r:id="rId175" name="Check Box 172">
              <controlPr defaultSize="0" autoFill="0" autoLine="0" autoPict="0">
                <anchor moveWithCells="1">
                  <from>
                    <xdr:col>18</xdr:col>
                    <xdr:colOff>0</xdr:colOff>
                    <xdr:row>48</xdr:row>
                    <xdr:rowOff>0</xdr:rowOff>
                  </from>
                  <to>
                    <xdr:col>20</xdr:col>
                    <xdr:colOff>9525</xdr:colOff>
                    <xdr:row>49</xdr:row>
                    <xdr:rowOff>57150</xdr:rowOff>
                  </to>
                </anchor>
              </controlPr>
            </control>
          </mc:Choice>
        </mc:AlternateContent>
        <mc:AlternateContent xmlns:mc="http://schemas.openxmlformats.org/markup-compatibility/2006">
          <mc:Choice Requires="x14">
            <control shapeId="28845" r:id="rId176" name="Check Box 173">
              <controlPr defaultSize="0" autoFill="0" autoLine="0" autoPict="0">
                <anchor moveWithCells="1">
                  <from>
                    <xdr:col>18</xdr:col>
                    <xdr:colOff>0</xdr:colOff>
                    <xdr:row>49</xdr:row>
                    <xdr:rowOff>0</xdr:rowOff>
                  </from>
                  <to>
                    <xdr:col>20</xdr:col>
                    <xdr:colOff>9525</xdr:colOff>
                    <xdr:row>50</xdr:row>
                    <xdr:rowOff>57150</xdr:rowOff>
                  </to>
                </anchor>
              </controlPr>
            </control>
          </mc:Choice>
        </mc:AlternateContent>
        <mc:AlternateContent xmlns:mc="http://schemas.openxmlformats.org/markup-compatibility/2006">
          <mc:Choice Requires="x14">
            <control shapeId="28846" r:id="rId177" name="Check Box 174">
              <controlPr defaultSize="0" autoFill="0" autoLine="0" autoPict="0">
                <anchor moveWithCells="1">
                  <from>
                    <xdr:col>18</xdr:col>
                    <xdr:colOff>0</xdr:colOff>
                    <xdr:row>49</xdr:row>
                    <xdr:rowOff>0</xdr:rowOff>
                  </from>
                  <to>
                    <xdr:col>20</xdr:col>
                    <xdr:colOff>9525</xdr:colOff>
                    <xdr:row>50</xdr:row>
                    <xdr:rowOff>57150</xdr:rowOff>
                  </to>
                </anchor>
              </controlPr>
            </control>
          </mc:Choice>
        </mc:AlternateContent>
        <mc:AlternateContent xmlns:mc="http://schemas.openxmlformats.org/markup-compatibility/2006">
          <mc:Choice Requires="x14">
            <control shapeId="28847" r:id="rId178" name="Check Box 175">
              <controlPr defaultSize="0" autoFill="0" autoLine="0" autoPict="0">
                <anchor moveWithCells="1">
                  <from>
                    <xdr:col>18</xdr:col>
                    <xdr:colOff>0</xdr:colOff>
                    <xdr:row>49</xdr:row>
                    <xdr:rowOff>0</xdr:rowOff>
                  </from>
                  <to>
                    <xdr:col>20</xdr:col>
                    <xdr:colOff>9525</xdr:colOff>
                    <xdr:row>50</xdr:row>
                    <xdr:rowOff>57150</xdr:rowOff>
                  </to>
                </anchor>
              </controlPr>
            </control>
          </mc:Choice>
        </mc:AlternateContent>
        <mc:AlternateContent xmlns:mc="http://schemas.openxmlformats.org/markup-compatibility/2006">
          <mc:Choice Requires="x14">
            <control shapeId="28848" r:id="rId179" name="Check Box 176">
              <controlPr defaultSize="0" autoFill="0" autoLine="0" autoPict="0">
                <anchor moveWithCells="1">
                  <from>
                    <xdr:col>18</xdr:col>
                    <xdr:colOff>0</xdr:colOff>
                    <xdr:row>50</xdr:row>
                    <xdr:rowOff>0</xdr:rowOff>
                  </from>
                  <to>
                    <xdr:col>20</xdr:col>
                    <xdr:colOff>9525</xdr:colOff>
                    <xdr:row>51</xdr:row>
                    <xdr:rowOff>57150</xdr:rowOff>
                  </to>
                </anchor>
              </controlPr>
            </control>
          </mc:Choice>
        </mc:AlternateContent>
        <mc:AlternateContent xmlns:mc="http://schemas.openxmlformats.org/markup-compatibility/2006">
          <mc:Choice Requires="x14">
            <control shapeId="28849" r:id="rId180" name="Check Box 177">
              <controlPr defaultSize="0" autoFill="0" autoLine="0" autoPict="0">
                <anchor moveWithCells="1">
                  <from>
                    <xdr:col>18</xdr:col>
                    <xdr:colOff>0</xdr:colOff>
                    <xdr:row>50</xdr:row>
                    <xdr:rowOff>0</xdr:rowOff>
                  </from>
                  <to>
                    <xdr:col>20</xdr:col>
                    <xdr:colOff>9525</xdr:colOff>
                    <xdr:row>51</xdr:row>
                    <xdr:rowOff>57150</xdr:rowOff>
                  </to>
                </anchor>
              </controlPr>
            </control>
          </mc:Choice>
        </mc:AlternateContent>
        <mc:AlternateContent xmlns:mc="http://schemas.openxmlformats.org/markup-compatibility/2006">
          <mc:Choice Requires="x14">
            <control shapeId="28850" r:id="rId181" name="Check Box 178">
              <controlPr defaultSize="0" autoFill="0" autoLine="0" autoPict="0">
                <anchor moveWithCells="1">
                  <from>
                    <xdr:col>18</xdr:col>
                    <xdr:colOff>0</xdr:colOff>
                    <xdr:row>50</xdr:row>
                    <xdr:rowOff>0</xdr:rowOff>
                  </from>
                  <to>
                    <xdr:col>20</xdr:col>
                    <xdr:colOff>9525</xdr:colOff>
                    <xdr:row>51</xdr:row>
                    <xdr:rowOff>57150</xdr:rowOff>
                  </to>
                </anchor>
              </controlPr>
            </control>
          </mc:Choice>
        </mc:AlternateContent>
        <mc:AlternateContent xmlns:mc="http://schemas.openxmlformats.org/markup-compatibility/2006">
          <mc:Choice Requires="x14">
            <control shapeId="28851" r:id="rId182" name="Check Box 179">
              <controlPr defaultSize="0" autoFill="0" autoLine="0" autoPict="0">
                <anchor moveWithCells="1">
                  <from>
                    <xdr:col>18</xdr:col>
                    <xdr:colOff>0</xdr:colOff>
                    <xdr:row>51</xdr:row>
                    <xdr:rowOff>0</xdr:rowOff>
                  </from>
                  <to>
                    <xdr:col>20</xdr:col>
                    <xdr:colOff>9525</xdr:colOff>
                    <xdr:row>52</xdr:row>
                    <xdr:rowOff>57150</xdr:rowOff>
                  </to>
                </anchor>
              </controlPr>
            </control>
          </mc:Choice>
        </mc:AlternateContent>
        <mc:AlternateContent xmlns:mc="http://schemas.openxmlformats.org/markup-compatibility/2006">
          <mc:Choice Requires="x14">
            <control shapeId="28852" r:id="rId183" name="Check Box 180">
              <controlPr defaultSize="0" autoFill="0" autoLine="0" autoPict="0">
                <anchor moveWithCells="1">
                  <from>
                    <xdr:col>18</xdr:col>
                    <xdr:colOff>0</xdr:colOff>
                    <xdr:row>51</xdr:row>
                    <xdr:rowOff>0</xdr:rowOff>
                  </from>
                  <to>
                    <xdr:col>20</xdr:col>
                    <xdr:colOff>9525</xdr:colOff>
                    <xdr:row>52</xdr:row>
                    <xdr:rowOff>57150</xdr:rowOff>
                  </to>
                </anchor>
              </controlPr>
            </control>
          </mc:Choice>
        </mc:AlternateContent>
        <mc:AlternateContent xmlns:mc="http://schemas.openxmlformats.org/markup-compatibility/2006">
          <mc:Choice Requires="x14">
            <control shapeId="28853" r:id="rId184" name="Check Box 181">
              <controlPr defaultSize="0" autoFill="0" autoLine="0" autoPict="0">
                <anchor moveWithCells="1">
                  <from>
                    <xdr:col>18</xdr:col>
                    <xdr:colOff>0</xdr:colOff>
                    <xdr:row>51</xdr:row>
                    <xdr:rowOff>0</xdr:rowOff>
                  </from>
                  <to>
                    <xdr:col>20</xdr:col>
                    <xdr:colOff>9525</xdr:colOff>
                    <xdr:row>52</xdr:row>
                    <xdr:rowOff>57150</xdr:rowOff>
                  </to>
                </anchor>
              </controlPr>
            </control>
          </mc:Choice>
        </mc:AlternateContent>
        <mc:AlternateContent xmlns:mc="http://schemas.openxmlformats.org/markup-compatibility/2006">
          <mc:Choice Requires="x14">
            <control shapeId="28854" r:id="rId185" name="Check Box 182">
              <controlPr defaultSize="0" autoFill="0" autoLine="0" autoPict="0">
                <anchor moveWithCells="1">
                  <from>
                    <xdr:col>18</xdr:col>
                    <xdr:colOff>0</xdr:colOff>
                    <xdr:row>52</xdr:row>
                    <xdr:rowOff>0</xdr:rowOff>
                  </from>
                  <to>
                    <xdr:col>20</xdr:col>
                    <xdr:colOff>9525</xdr:colOff>
                    <xdr:row>53</xdr:row>
                    <xdr:rowOff>57150</xdr:rowOff>
                  </to>
                </anchor>
              </controlPr>
            </control>
          </mc:Choice>
        </mc:AlternateContent>
        <mc:AlternateContent xmlns:mc="http://schemas.openxmlformats.org/markup-compatibility/2006">
          <mc:Choice Requires="x14">
            <control shapeId="28855" r:id="rId186" name="Check Box 183">
              <controlPr defaultSize="0" autoFill="0" autoLine="0" autoPict="0">
                <anchor moveWithCells="1">
                  <from>
                    <xdr:col>18</xdr:col>
                    <xdr:colOff>0</xdr:colOff>
                    <xdr:row>52</xdr:row>
                    <xdr:rowOff>0</xdr:rowOff>
                  </from>
                  <to>
                    <xdr:col>20</xdr:col>
                    <xdr:colOff>9525</xdr:colOff>
                    <xdr:row>53</xdr:row>
                    <xdr:rowOff>57150</xdr:rowOff>
                  </to>
                </anchor>
              </controlPr>
            </control>
          </mc:Choice>
        </mc:AlternateContent>
        <mc:AlternateContent xmlns:mc="http://schemas.openxmlformats.org/markup-compatibility/2006">
          <mc:Choice Requires="x14">
            <control shapeId="28856" r:id="rId187" name="Check Box 184">
              <controlPr defaultSize="0" autoFill="0" autoLine="0" autoPict="0">
                <anchor moveWithCells="1">
                  <from>
                    <xdr:col>18</xdr:col>
                    <xdr:colOff>0</xdr:colOff>
                    <xdr:row>52</xdr:row>
                    <xdr:rowOff>0</xdr:rowOff>
                  </from>
                  <to>
                    <xdr:col>20</xdr:col>
                    <xdr:colOff>9525</xdr:colOff>
                    <xdr:row>53</xdr:row>
                    <xdr:rowOff>57150</xdr:rowOff>
                  </to>
                </anchor>
              </controlPr>
            </control>
          </mc:Choice>
        </mc:AlternateContent>
        <mc:AlternateContent xmlns:mc="http://schemas.openxmlformats.org/markup-compatibility/2006">
          <mc:Choice Requires="x14">
            <control shapeId="28857" r:id="rId188" name="Check Box 185">
              <controlPr defaultSize="0" autoFill="0" autoLine="0" autoPict="0">
                <anchor moveWithCells="1">
                  <from>
                    <xdr:col>18</xdr:col>
                    <xdr:colOff>0</xdr:colOff>
                    <xdr:row>53</xdr:row>
                    <xdr:rowOff>0</xdr:rowOff>
                  </from>
                  <to>
                    <xdr:col>20</xdr:col>
                    <xdr:colOff>9525</xdr:colOff>
                    <xdr:row>54</xdr:row>
                    <xdr:rowOff>66675</xdr:rowOff>
                  </to>
                </anchor>
              </controlPr>
            </control>
          </mc:Choice>
        </mc:AlternateContent>
        <mc:AlternateContent xmlns:mc="http://schemas.openxmlformats.org/markup-compatibility/2006">
          <mc:Choice Requires="x14">
            <control shapeId="28858" r:id="rId189" name="Check Box 186">
              <controlPr defaultSize="0" autoFill="0" autoLine="0" autoPict="0">
                <anchor moveWithCells="1">
                  <from>
                    <xdr:col>18</xdr:col>
                    <xdr:colOff>0</xdr:colOff>
                    <xdr:row>53</xdr:row>
                    <xdr:rowOff>0</xdr:rowOff>
                  </from>
                  <to>
                    <xdr:col>20</xdr:col>
                    <xdr:colOff>9525</xdr:colOff>
                    <xdr:row>54</xdr:row>
                    <xdr:rowOff>66675</xdr:rowOff>
                  </to>
                </anchor>
              </controlPr>
            </control>
          </mc:Choice>
        </mc:AlternateContent>
        <mc:AlternateContent xmlns:mc="http://schemas.openxmlformats.org/markup-compatibility/2006">
          <mc:Choice Requires="x14">
            <control shapeId="28859" r:id="rId190" name="Check Box 187">
              <controlPr defaultSize="0" autoFill="0" autoLine="0" autoPict="0">
                <anchor moveWithCells="1">
                  <from>
                    <xdr:col>18</xdr:col>
                    <xdr:colOff>0</xdr:colOff>
                    <xdr:row>53</xdr:row>
                    <xdr:rowOff>0</xdr:rowOff>
                  </from>
                  <to>
                    <xdr:col>20</xdr:col>
                    <xdr:colOff>9525</xdr:colOff>
                    <xdr:row>54</xdr:row>
                    <xdr:rowOff>66675</xdr:rowOff>
                  </to>
                </anchor>
              </controlPr>
            </control>
          </mc:Choice>
        </mc:AlternateContent>
        <mc:AlternateContent xmlns:mc="http://schemas.openxmlformats.org/markup-compatibility/2006">
          <mc:Choice Requires="x14">
            <control shapeId="28860" r:id="rId191" name="Check Box 188">
              <controlPr defaultSize="0" autoFill="0" autoLine="0" autoPict="0">
                <anchor moveWithCells="1">
                  <from>
                    <xdr:col>18</xdr:col>
                    <xdr:colOff>0</xdr:colOff>
                    <xdr:row>54</xdr:row>
                    <xdr:rowOff>0</xdr:rowOff>
                  </from>
                  <to>
                    <xdr:col>20</xdr:col>
                    <xdr:colOff>9525</xdr:colOff>
                    <xdr:row>55</xdr:row>
                    <xdr:rowOff>57150</xdr:rowOff>
                  </to>
                </anchor>
              </controlPr>
            </control>
          </mc:Choice>
        </mc:AlternateContent>
        <mc:AlternateContent xmlns:mc="http://schemas.openxmlformats.org/markup-compatibility/2006">
          <mc:Choice Requires="x14">
            <control shapeId="28861" r:id="rId192" name="Check Box 189">
              <controlPr defaultSize="0" autoFill="0" autoLine="0" autoPict="0">
                <anchor moveWithCells="1">
                  <from>
                    <xdr:col>18</xdr:col>
                    <xdr:colOff>0</xdr:colOff>
                    <xdr:row>54</xdr:row>
                    <xdr:rowOff>0</xdr:rowOff>
                  </from>
                  <to>
                    <xdr:col>20</xdr:col>
                    <xdr:colOff>9525</xdr:colOff>
                    <xdr:row>55</xdr:row>
                    <xdr:rowOff>57150</xdr:rowOff>
                  </to>
                </anchor>
              </controlPr>
            </control>
          </mc:Choice>
        </mc:AlternateContent>
        <mc:AlternateContent xmlns:mc="http://schemas.openxmlformats.org/markup-compatibility/2006">
          <mc:Choice Requires="x14">
            <control shapeId="28862" r:id="rId193" name="Check Box 190">
              <controlPr defaultSize="0" autoFill="0" autoLine="0" autoPict="0">
                <anchor moveWithCells="1">
                  <from>
                    <xdr:col>18</xdr:col>
                    <xdr:colOff>0</xdr:colOff>
                    <xdr:row>54</xdr:row>
                    <xdr:rowOff>0</xdr:rowOff>
                  </from>
                  <to>
                    <xdr:col>20</xdr:col>
                    <xdr:colOff>9525</xdr:colOff>
                    <xdr:row>55</xdr:row>
                    <xdr:rowOff>57150</xdr:rowOff>
                  </to>
                </anchor>
              </controlPr>
            </control>
          </mc:Choice>
        </mc:AlternateContent>
        <mc:AlternateContent xmlns:mc="http://schemas.openxmlformats.org/markup-compatibility/2006">
          <mc:Choice Requires="x14">
            <control shapeId="28863" r:id="rId194" name="Check Box 191">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64" r:id="rId195" name="Check Box 192">
              <controlPr defaultSize="0" autoFill="0" autoLine="0" autoPict="0">
                <anchor moveWithCells="1">
                  <from>
                    <xdr:col>18</xdr:col>
                    <xdr:colOff>0</xdr:colOff>
                    <xdr:row>69</xdr:row>
                    <xdr:rowOff>0</xdr:rowOff>
                  </from>
                  <to>
                    <xdr:col>20</xdr:col>
                    <xdr:colOff>9525</xdr:colOff>
                    <xdr:row>70</xdr:row>
                    <xdr:rowOff>57150</xdr:rowOff>
                  </to>
                </anchor>
              </controlPr>
            </control>
          </mc:Choice>
        </mc:AlternateContent>
        <mc:AlternateContent xmlns:mc="http://schemas.openxmlformats.org/markup-compatibility/2006">
          <mc:Choice Requires="x14">
            <control shapeId="28865" r:id="rId196" name="Check Box 193">
              <controlPr defaultSize="0" autoFill="0" autoLine="0" autoPict="0">
                <anchor moveWithCells="1">
                  <from>
                    <xdr:col>18</xdr:col>
                    <xdr:colOff>0</xdr:colOff>
                    <xdr:row>54</xdr:row>
                    <xdr:rowOff>0</xdr:rowOff>
                  </from>
                  <to>
                    <xdr:col>20</xdr:col>
                    <xdr:colOff>9525</xdr:colOff>
                    <xdr:row>55</xdr:row>
                    <xdr:rowOff>57150</xdr:rowOff>
                  </to>
                </anchor>
              </controlPr>
            </control>
          </mc:Choice>
        </mc:AlternateContent>
        <mc:AlternateContent xmlns:mc="http://schemas.openxmlformats.org/markup-compatibility/2006">
          <mc:Choice Requires="x14">
            <control shapeId="28866" r:id="rId197" name="Check Box 194">
              <controlPr defaultSize="0" autoFill="0" autoLine="0" autoPict="0">
                <anchor moveWithCells="1">
                  <from>
                    <xdr:col>18</xdr:col>
                    <xdr:colOff>0</xdr:colOff>
                    <xdr:row>54</xdr:row>
                    <xdr:rowOff>0</xdr:rowOff>
                  </from>
                  <to>
                    <xdr:col>20</xdr:col>
                    <xdr:colOff>9525</xdr:colOff>
                    <xdr:row>55</xdr:row>
                    <xdr:rowOff>57150</xdr:rowOff>
                  </to>
                </anchor>
              </controlPr>
            </control>
          </mc:Choice>
        </mc:AlternateContent>
        <mc:AlternateContent xmlns:mc="http://schemas.openxmlformats.org/markup-compatibility/2006">
          <mc:Choice Requires="x14">
            <control shapeId="28867" r:id="rId198" name="Check Box 195">
              <controlPr defaultSize="0" autoFill="0" autoLine="0" autoPict="0">
                <anchor moveWithCells="1">
                  <from>
                    <xdr:col>18</xdr:col>
                    <xdr:colOff>0</xdr:colOff>
                    <xdr:row>54</xdr:row>
                    <xdr:rowOff>0</xdr:rowOff>
                  </from>
                  <to>
                    <xdr:col>20</xdr:col>
                    <xdr:colOff>9525</xdr:colOff>
                    <xdr:row>55</xdr:row>
                    <xdr:rowOff>57150</xdr:rowOff>
                  </to>
                </anchor>
              </controlPr>
            </control>
          </mc:Choice>
        </mc:AlternateContent>
        <mc:AlternateContent xmlns:mc="http://schemas.openxmlformats.org/markup-compatibility/2006">
          <mc:Choice Requires="x14">
            <control shapeId="28868" r:id="rId199" name="Check Box 196">
              <controlPr defaultSize="0" autoFill="0" autoLine="0" autoPict="0">
                <anchor moveWithCells="1">
                  <from>
                    <xdr:col>18</xdr:col>
                    <xdr:colOff>0</xdr:colOff>
                    <xdr:row>55</xdr:row>
                    <xdr:rowOff>0</xdr:rowOff>
                  </from>
                  <to>
                    <xdr:col>20</xdr:col>
                    <xdr:colOff>9525</xdr:colOff>
                    <xdr:row>56</xdr:row>
                    <xdr:rowOff>57150</xdr:rowOff>
                  </to>
                </anchor>
              </controlPr>
            </control>
          </mc:Choice>
        </mc:AlternateContent>
        <mc:AlternateContent xmlns:mc="http://schemas.openxmlformats.org/markup-compatibility/2006">
          <mc:Choice Requires="x14">
            <control shapeId="28869" r:id="rId200" name="Check Box 197">
              <controlPr defaultSize="0" autoFill="0" autoLine="0" autoPict="0">
                <anchor moveWithCells="1">
                  <from>
                    <xdr:col>18</xdr:col>
                    <xdr:colOff>0</xdr:colOff>
                    <xdr:row>55</xdr:row>
                    <xdr:rowOff>0</xdr:rowOff>
                  </from>
                  <to>
                    <xdr:col>20</xdr:col>
                    <xdr:colOff>9525</xdr:colOff>
                    <xdr:row>56</xdr:row>
                    <xdr:rowOff>57150</xdr:rowOff>
                  </to>
                </anchor>
              </controlPr>
            </control>
          </mc:Choice>
        </mc:AlternateContent>
        <mc:AlternateContent xmlns:mc="http://schemas.openxmlformats.org/markup-compatibility/2006">
          <mc:Choice Requires="x14">
            <control shapeId="28870" r:id="rId201" name="Check Box 198">
              <controlPr defaultSize="0" autoFill="0" autoLine="0" autoPict="0">
                <anchor moveWithCells="1">
                  <from>
                    <xdr:col>18</xdr:col>
                    <xdr:colOff>0</xdr:colOff>
                    <xdr:row>55</xdr:row>
                    <xdr:rowOff>0</xdr:rowOff>
                  </from>
                  <to>
                    <xdr:col>20</xdr:col>
                    <xdr:colOff>9525</xdr:colOff>
                    <xdr:row>56</xdr:row>
                    <xdr:rowOff>57150</xdr:rowOff>
                  </to>
                </anchor>
              </controlPr>
            </control>
          </mc:Choice>
        </mc:AlternateContent>
        <mc:AlternateContent xmlns:mc="http://schemas.openxmlformats.org/markup-compatibility/2006">
          <mc:Choice Requires="x14">
            <control shapeId="28871" r:id="rId202" name="Check Box 199">
              <controlPr defaultSize="0" autoFill="0" autoLine="0" autoPict="0">
                <anchor moveWithCells="1">
                  <from>
                    <xdr:col>18</xdr:col>
                    <xdr:colOff>0</xdr:colOff>
                    <xdr:row>55</xdr:row>
                    <xdr:rowOff>0</xdr:rowOff>
                  </from>
                  <to>
                    <xdr:col>20</xdr:col>
                    <xdr:colOff>9525</xdr:colOff>
                    <xdr:row>56</xdr:row>
                    <xdr:rowOff>57150</xdr:rowOff>
                  </to>
                </anchor>
              </controlPr>
            </control>
          </mc:Choice>
        </mc:AlternateContent>
        <mc:AlternateContent xmlns:mc="http://schemas.openxmlformats.org/markup-compatibility/2006">
          <mc:Choice Requires="x14">
            <control shapeId="28872" r:id="rId203" name="Check Box 200">
              <controlPr defaultSize="0" autoFill="0" autoLine="0" autoPict="0">
                <anchor moveWithCells="1">
                  <from>
                    <xdr:col>18</xdr:col>
                    <xdr:colOff>0</xdr:colOff>
                    <xdr:row>55</xdr:row>
                    <xdr:rowOff>0</xdr:rowOff>
                  </from>
                  <to>
                    <xdr:col>20</xdr:col>
                    <xdr:colOff>9525</xdr:colOff>
                    <xdr:row>56</xdr:row>
                    <xdr:rowOff>57150</xdr:rowOff>
                  </to>
                </anchor>
              </controlPr>
            </control>
          </mc:Choice>
        </mc:AlternateContent>
        <mc:AlternateContent xmlns:mc="http://schemas.openxmlformats.org/markup-compatibility/2006">
          <mc:Choice Requires="x14">
            <control shapeId="28873" r:id="rId204" name="Check Box 201">
              <controlPr defaultSize="0" autoFill="0" autoLine="0" autoPict="0">
                <anchor moveWithCells="1">
                  <from>
                    <xdr:col>18</xdr:col>
                    <xdr:colOff>0</xdr:colOff>
                    <xdr:row>55</xdr:row>
                    <xdr:rowOff>0</xdr:rowOff>
                  </from>
                  <to>
                    <xdr:col>20</xdr:col>
                    <xdr:colOff>9525</xdr:colOff>
                    <xdr:row>56</xdr:row>
                    <xdr:rowOff>57150</xdr:rowOff>
                  </to>
                </anchor>
              </controlPr>
            </control>
          </mc:Choice>
        </mc:AlternateContent>
        <mc:AlternateContent xmlns:mc="http://schemas.openxmlformats.org/markup-compatibility/2006">
          <mc:Choice Requires="x14">
            <control shapeId="28874" r:id="rId205" name="Check Box 202">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75" r:id="rId206" name="Check Box 203">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76" r:id="rId207" name="Check Box 204">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77" r:id="rId208" name="Check Box 205">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78" r:id="rId209" name="Check Box 206">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79" r:id="rId210" name="Check Box 207">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80" r:id="rId211" name="Check Box 208">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81" r:id="rId212" name="Check Box 209">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82" r:id="rId213" name="Check Box 210">
              <controlPr defaultSize="0" autoFill="0" autoLine="0" autoPict="0">
                <anchor moveWithCells="1">
                  <from>
                    <xdr:col>18</xdr:col>
                    <xdr:colOff>0</xdr:colOff>
                    <xdr:row>56</xdr:row>
                    <xdr:rowOff>0</xdr:rowOff>
                  </from>
                  <to>
                    <xdr:col>20</xdr:col>
                    <xdr:colOff>9525</xdr:colOff>
                    <xdr:row>57</xdr:row>
                    <xdr:rowOff>57150</xdr:rowOff>
                  </to>
                </anchor>
              </controlPr>
            </control>
          </mc:Choice>
        </mc:AlternateContent>
        <mc:AlternateContent xmlns:mc="http://schemas.openxmlformats.org/markup-compatibility/2006">
          <mc:Choice Requires="x14">
            <control shapeId="28883" r:id="rId214" name="Check Box 211">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84" r:id="rId215" name="Check Box 212">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85" r:id="rId216" name="Check Box 213">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86" r:id="rId217" name="Check Box 214">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87" r:id="rId218" name="Check Box 215">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88" r:id="rId219" name="Check Box 216">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89" r:id="rId220" name="Check Box 217">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90" r:id="rId221" name="Check Box 218">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91" r:id="rId222" name="Check Box 219">
              <controlPr defaultSize="0" autoFill="0" autoLine="0" autoPict="0">
                <anchor moveWithCells="1">
                  <from>
                    <xdr:col>18</xdr:col>
                    <xdr:colOff>0</xdr:colOff>
                    <xdr:row>57</xdr:row>
                    <xdr:rowOff>0</xdr:rowOff>
                  </from>
                  <to>
                    <xdr:col>20</xdr:col>
                    <xdr:colOff>9525</xdr:colOff>
                    <xdr:row>58</xdr:row>
                    <xdr:rowOff>57150</xdr:rowOff>
                  </to>
                </anchor>
              </controlPr>
            </control>
          </mc:Choice>
        </mc:AlternateContent>
        <mc:AlternateContent xmlns:mc="http://schemas.openxmlformats.org/markup-compatibility/2006">
          <mc:Choice Requires="x14">
            <control shapeId="28892" r:id="rId223" name="Check Box 220">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3" r:id="rId224" name="Check Box 221">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4" r:id="rId225" name="Check Box 222">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5" r:id="rId226" name="Check Box 223">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6" r:id="rId227" name="Check Box 224">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7" r:id="rId228" name="Check Box 225">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8" r:id="rId229" name="Check Box 226">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899" r:id="rId230" name="Check Box 227">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900" r:id="rId231" name="Check Box 228">
              <controlPr defaultSize="0" autoFill="0" autoLine="0" autoPict="0">
                <anchor moveWithCells="1">
                  <from>
                    <xdr:col>18</xdr:col>
                    <xdr:colOff>0</xdr:colOff>
                    <xdr:row>58</xdr:row>
                    <xdr:rowOff>0</xdr:rowOff>
                  </from>
                  <to>
                    <xdr:col>20</xdr:col>
                    <xdr:colOff>9525</xdr:colOff>
                    <xdr:row>59</xdr:row>
                    <xdr:rowOff>57150</xdr:rowOff>
                  </to>
                </anchor>
              </controlPr>
            </control>
          </mc:Choice>
        </mc:AlternateContent>
        <mc:AlternateContent xmlns:mc="http://schemas.openxmlformats.org/markup-compatibility/2006">
          <mc:Choice Requires="x14">
            <control shapeId="28901" r:id="rId232" name="Check Box 229">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2" r:id="rId233" name="Check Box 230">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3" r:id="rId234" name="Check Box 231">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4" r:id="rId235" name="Check Box 232">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5" r:id="rId236" name="Check Box 233">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6" r:id="rId237" name="Check Box 234">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7" r:id="rId238" name="Check Box 235">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8" r:id="rId239" name="Check Box 236">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09" r:id="rId240" name="Check Box 237">
              <controlPr defaultSize="0" autoFill="0" autoLine="0" autoPict="0">
                <anchor moveWithCells="1">
                  <from>
                    <xdr:col>18</xdr:col>
                    <xdr:colOff>0</xdr:colOff>
                    <xdr:row>59</xdr:row>
                    <xdr:rowOff>0</xdr:rowOff>
                  </from>
                  <to>
                    <xdr:col>20</xdr:col>
                    <xdr:colOff>9525</xdr:colOff>
                    <xdr:row>60</xdr:row>
                    <xdr:rowOff>57150</xdr:rowOff>
                  </to>
                </anchor>
              </controlPr>
            </control>
          </mc:Choice>
        </mc:AlternateContent>
        <mc:AlternateContent xmlns:mc="http://schemas.openxmlformats.org/markup-compatibility/2006">
          <mc:Choice Requires="x14">
            <control shapeId="28910" r:id="rId241" name="Check Box 238">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1" r:id="rId242" name="Check Box 239">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2" r:id="rId243" name="Check Box 240">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3" r:id="rId244" name="Check Box 241">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4" r:id="rId245" name="Check Box 242">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5" r:id="rId246" name="Check Box 243">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6" r:id="rId247" name="Check Box 244">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7" r:id="rId248" name="Check Box 245">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8" r:id="rId249" name="Check Box 246">
              <controlPr defaultSize="0" autoFill="0" autoLine="0" autoPict="0">
                <anchor moveWithCells="1">
                  <from>
                    <xdr:col>18</xdr:col>
                    <xdr:colOff>0</xdr:colOff>
                    <xdr:row>60</xdr:row>
                    <xdr:rowOff>0</xdr:rowOff>
                  </from>
                  <to>
                    <xdr:col>20</xdr:col>
                    <xdr:colOff>9525</xdr:colOff>
                    <xdr:row>61</xdr:row>
                    <xdr:rowOff>57150</xdr:rowOff>
                  </to>
                </anchor>
              </controlPr>
            </control>
          </mc:Choice>
        </mc:AlternateContent>
        <mc:AlternateContent xmlns:mc="http://schemas.openxmlformats.org/markup-compatibility/2006">
          <mc:Choice Requires="x14">
            <control shapeId="28919" r:id="rId250" name="Check Box 247">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0" r:id="rId251" name="Check Box 248">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1" r:id="rId252" name="Check Box 249">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2" r:id="rId253" name="Check Box 250">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3" r:id="rId254" name="Check Box 251">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4" r:id="rId255" name="Check Box 252">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5" r:id="rId256" name="Check Box 253">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6" r:id="rId257" name="Check Box 254">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7" r:id="rId258" name="Check Box 255">
              <controlPr defaultSize="0" autoFill="0" autoLine="0" autoPict="0">
                <anchor moveWithCells="1">
                  <from>
                    <xdr:col>18</xdr:col>
                    <xdr:colOff>0</xdr:colOff>
                    <xdr:row>61</xdr:row>
                    <xdr:rowOff>0</xdr:rowOff>
                  </from>
                  <to>
                    <xdr:col>20</xdr:col>
                    <xdr:colOff>9525</xdr:colOff>
                    <xdr:row>62</xdr:row>
                    <xdr:rowOff>57150</xdr:rowOff>
                  </to>
                </anchor>
              </controlPr>
            </control>
          </mc:Choice>
        </mc:AlternateContent>
        <mc:AlternateContent xmlns:mc="http://schemas.openxmlformats.org/markup-compatibility/2006">
          <mc:Choice Requires="x14">
            <control shapeId="28928" r:id="rId259" name="Check Box 256">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29" r:id="rId260" name="Check Box 257">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0" r:id="rId261" name="Check Box 258">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1" r:id="rId262" name="Check Box 259">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2" r:id="rId263" name="Check Box 260">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3" r:id="rId264" name="Check Box 261">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4" r:id="rId265" name="Check Box 262">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5" r:id="rId266" name="Check Box 263">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6" r:id="rId267" name="Check Box 264">
              <controlPr defaultSize="0" autoFill="0" autoLine="0" autoPict="0">
                <anchor moveWithCells="1">
                  <from>
                    <xdr:col>18</xdr:col>
                    <xdr:colOff>0</xdr:colOff>
                    <xdr:row>62</xdr:row>
                    <xdr:rowOff>0</xdr:rowOff>
                  </from>
                  <to>
                    <xdr:col>20</xdr:col>
                    <xdr:colOff>9525</xdr:colOff>
                    <xdr:row>63</xdr:row>
                    <xdr:rowOff>57150</xdr:rowOff>
                  </to>
                </anchor>
              </controlPr>
            </control>
          </mc:Choice>
        </mc:AlternateContent>
        <mc:AlternateContent xmlns:mc="http://schemas.openxmlformats.org/markup-compatibility/2006">
          <mc:Choice Requires="x14">
            <control shapeId="28937" r:id="rId268" name="Check Box 265">
              <controlPr defaultSize="0" autoFill="0" autoLine="0" autoPict="0">
                <anchor moveWithCells="1">
                  <from>
                    <xdr:col>18</xdr:col>
                    <xdr:colOff>0</xdr:colOff>
                    <xdr:row>63</xdr:row>
                    <xdr:rowOff>0</xdr:rowOff>
                  </from>
                  <to>
                    <xdr:col>20</xdr:col>
                    <xdr:colOff>9525</xdr:colOff>
                    <xdr:row>64</xdr:row>
                    <xdr:rowOff>57150</xdr:rowOff>
                  </to>
                </anchor>
              </controlPr>
            </control>
          </mc:Choice>
        </mc:AlternateContent>
        <mc:AlternateContent xmlns:mc="http://schemas.openxmlformats.org/markup-compatibility/2006">
          <mc:Choice Requires="x14">
            <control shapeId="28938" r:id="rId269" name="Check Box 266">
              <controlPr defaultSize="0" autoFill="0" autoLine="0" autoPict="0">
                <anchor moveWithCells="1">
                  <from>
                    <xdr:col>18</xdr:col>
                    <xdr:colOff>0</xdr:colOff>
                    <xdr:row>63</xdr:row>
                    <xdr:rowOff>0</xdr:rowOff>
                  </from>
                  <to>
                    <xdr:col>20</xdr:col>
                    <xdr:colOff>9525</xdr:colOff>
                    <xdr:row>64</xdr:row>
                    <xdr:rowOff>57150</xdr:rowOff>
                  </to>
                </anchor>
              </controlPr>
            </control>
          </mc:Choice>
        </mc:AlternateContent>
        <mc:AlternateContent xmlns:mc="http://schemas.openxmlformats.org/markup-compatibility/2006">
          <mc:Choice Requires="x14">
            <control shapeId="28939" r:id="rId270" name="Check Box 267">
              <controlPr defaultSize="0" autoFill="0" autoLine="0" autoPict="0">
                <anchor moveWithCells="1">
                  <from>
                    <xdr:col>18</xdr:col>
                    <xdr:colOff>0</xdr:colOff>
                    <xdr:row>63</xdr:row>
                    <xdr:rowOff>0</xdr:rowOff>
                  </from>
                  <to>
                    <xdr:col>20</xdr:col>
                    <xdr:colOff>9525</xdr:colOff>
                    <xdr:row>64</xdr:row>
                    <xdr:rowOff>57150</xdr:rowOff>
                  </to>
                </anchor>
              </controlPr>
            </control>
          </mc:Choice>
        </mc:AlternateContent>
        <mc:AlternateContent xmlns:mc="http://schemas.openxmlformats.org/markup-compatibility/2006">
          <mc:Choice Requires="x14">
            <control shapeId="28940" r:id="rId271" name="Check Box 268">
              <controlPr defaultSize="0" autoFill="0" autoLine="0" autoPict="0">
                <anchor moveWithCells="1">
                  <from>
                    <xdr:col>18</xdr:col>
                    <xdr:colOff>0</xdr:colOff>
                    <xdr:row>63</xdr:row>
                    <xdr:rowOff>0</xdr:rowOff>
                  </from>
                  <to>
                    <xdr:col>20</xdr:col>
                    <xdr:colOff>9525</xdr:colOff>
                    <xdr:row>64</xdr:row>
                    <xdr:rowOff>57150</xdr:rowOff>
                  </to>
                </anchor>
              </controlPr>
            </control>
          </mc:Choice>
        </mc:AlternateContent>
        <mc:AlternateContent xmlns:mc="http://schemas.openxmlformats.org/markup-compatibility/2006">
          <mc:Choice Requires="x14">
            <control shapeId="28941" r:id="rId272" name="Check Box 269">
              <controlPr defaultSize="0" autoFill="0" autoLine="0" autoPict="0">
                <anchor moveWithCells="1">
                  <from>
                    <xdr:col>18</xdr:col>
                    <xdr:colOff>0</xdr:colOff>
                    <xdr:row>63</xdr:row>
                    <xdr:rowOff>0</xdr:rowOff>
                  </from>
                  <to>
                    <xdr:col>20</xdr:col>
                    <xdr:colOff>9525</xdr:colOff>
                    <xdr:row>64</xdr:row>
                    <xdr:rowOff>57150</xdr:rowOff>
                  </to>
                </anchor>
              </controlPr>
            </control>
          </mc:Choice>
        </mc:AlternateContent>
        <mc:AlternateContent xmlns:mc="http://schemas.openxmlformats.org/markup-compatibility/2006">
          <mc:Choice Requires="x14">
            <control shapeId="28942" r:id="rId273" name="Check Box 270">
              <controlPr defaultSize="0" autoFill="0" autoLine="0" autoPict="0">
                <anchor moveWithCells="1">
                  <from>
                    <xdr:col>18</xdr:col>
                    <xdr:colOff>0</xdr:colOff>
                    <xdr:row>63</xdr:row>
                    <xdr:rowOff>0</xdr:rowOff>
                  </from>
                  <to>
                    <xdr:col>20</xdr:col>
                    <xdr:colOff>9525</xdr:colOff>
                    <xdr:row>64</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units</vt:lpstr>
      <vt:lpstr>MPI DB final</vt:lpstr>
      <vt:lpstr>sample size</vt:lpstr>
      <vt:lpstr>BGTA 6</vt:lpstr>
      <vt:lpstr>AWMS</vt:lpstr>
      <vt:lpstr>VS</vt:lpstr>
      <vt:lpstr>SMS p1</vt:lpstr>
      <vt:lpstr>SMS p2</vt:lpstr>
      <vt:lpstr>PFT24</vt:lpstr>
      <vt:lpstr>BE</vt:lpstr>
      <vt:lpstr>PE_LE</vt:lpstr>
      <vt:lpstr>SDG outcome</vt:lpstr>
      <vt:lpstr>thermal capacity</vt:lpstr>
      <vt:lpstr>'thermal capacity'!_ftnref2</vt:lpstr>
      <vt:lpstr>D</vt:lpstr>
      <vt:lpstr>FNRB</vt:lpstr>
      <vt:lpstr>GWPch4</vt:lpstr>
      <vt:lpstr>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Paddy Ntabu</dc:creator>
  <cp:lastModifiedBy>Eric Buysman</cp:lastModifiedBy>
  <dcterms:created xsi:type="dcterms:W3CDTF">2021-11-22T09:40:04Z</dcterms:created>
  <dcterms:modified xsi:type="dcterms:W3CDTF">2026-02-12T08:25:44Z</dcterms:modified>
</cp:coreProperties>
</file>